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ink/ink365.xml" ContentType="application/inkml+xml"/>
  <Override PartName="/xl/ink/ink366.xml" ContentType="application/inkml+xml"/>
  <Override PartName="/xl/ink/ink367.xml" ContentType="application/inkml+xml"/>
  <Override PartName="/xl/ink/ink368.xml" ContentType="application/inkml+xml"/>
  <Override PartName="/xl/ink/ink369.xml" ContentType="application/inkml+xml"/>
  <Override PartName="/xl/ink/ink370.xml" ContentType="application/inkml+xml"/>
  <Override PartName="/xl/ink/ink371.xml" ContentType="application/inkml+xml"/>
  <Override PartName="/xl/ink/ink372.xml" ContentType="application/inkml+xml"/>
  <Override PartName="/xl/ink/ink373.xml" ContentType="application/inkml+xml"/>
  <Override PartName="/xl/ink/ink374.xml" ContentType="application/inkml+xml"/>
  <Override PartName="/xl/ink/ink375.xml" ContentType="application/inkml+xml"/>
  <Override PartName="/xl/ink/ink376.xml" ContentType="application/inkml+xml"/>
  <Override PartName="/xl/ink/ink377.xml" ContentType="application/inkml+xml"/>
  <Override PartName="/xl/ink/ink378.xml" ContentType="application/inkml+xml"/>
  <Override PartName="/xl/ink/ink379.xml" ContentType="application/inkml+xml"/>
  <Override PartName="/xl/ink/ink380.xml" ContentType="application/inkml+xml"/>
  <Override PartName="/xl/ink/ink381.xml" ContentType="application/inkml+xml"/>
  <Override PartName="/xl/ink/ink382.xml" ContentType="application/inkml+xml"/>
  <Override PartName="/xl/ink/ink383.xml" ContentType="application/inkml+xml"/>
  <Override PartName="/xl/ink/ink384.xml" ContentType="application/inkml+xml"/>
  <Override PartName="/xl/ink/ink385.xml" ContentType="application/inkml+xml"/>
  <Override PartName="/xl/ink/ink386.xml" ContentType="application/inkml+xml"/>
  <Override PartName="/xl/ink/ink387.xml" ContentType="application/inkml+xml"/>
  <Override PartName="/xl/ink/ink388.xml" ContentType="application/inkml+xml"/>
  <Override PartName="/xl/ink/ink389.xml" ContentType="application/inkml+xml"/>
  <Override PartName="/xl/ink/ink390.xml" ContentType="application/inkml+xml"/>
  <Override PartName="/xl/ink/ink391.xml" ContentType="application/inkml+xml"/>
  <Override PartName="/xl/ink/ink392.xml" ContentType="application/inkml+xml"/>
  <Override PartName="/xl/ink/ink393.xml" ContentType="application/inkml+xml"/>
  <Override PartName="/xl/ink/ink394.xml" ContentType="application/inkml+xml"/>
  <Override PartName="/xl/ink/ink395.xml" ContentType="application/inkml+xml"/>
  <Override PartName="/xl/ink/ink396.xml" ContentType="application/inkml+xml"/>
  <Override PartName="/xl/ink/ink397.xml" ContentType="application/inkml+xml"/>
  <Override PartName="/xl/ink/ink398.xml" ContentType="application/inkml+xml"/>
  <Override PartName="/xl/ink/ink399.xml" ContentType="application/inkml+xml"/>
  <Override PartName="/xl/ink/ink400.xml" ContentType="application/inkml+xml"/>
  <Override PartName="/xl/ink/ink401.xml" ContentType="application/inkml+xml"/>
  <Override PartName="/xl/ink/ink402.xml" ContentType="application/inkml+xml"/>
  <Override PartName="/xl/ink/ink403.xml" ContentType="application/inkml+xml"/>
  <Override PartName="/xl/ink/ink404.xml" ContentType="application/inkml+xml"/>
  <Override PartName="/xl/ink/ink405.xml" ContentType="application/inkml+xml"/>
  <Override PartName="/xl/ink/ink406.xml" ContentType="application/inkml+xml"/>
  <Override PartName="/xl/ink/ink407.xml" ContentType="application/inkml+xml"/>
  <Override PartName="/xl/ink/ink408.xml" ContentType="application/inkml+xml"/>
  <Override PartName="/xl/ink/ink409.xml" ContentType="application/inkml+xml"/>
  <Override PartName="/xl/ink/ink410.xml" ContentType="application/inkml+xml"/>
  <Override PartName="/xl/ink/ink411.xml" ContentType="application/inkml+xml"/>
  <Override PartName="/xl/ink/ink412.xml" ContentType="application/inkml+xml"/>
  <Override PartName="/xl/ink/ink413.xml" ContentType="application/inkml+xml"/>
  <Override PartName="/xl/ink/ink414.xml" ContentType="application/inkml+xml"/>
  <Override PartName="/xl/ink/ink415.xml" ContentType="application/inkml+xml"/>
  <Override PartName="/xl/ink/ink416.xml" ContentType="application/inkml+xml"/>
  <Override PartName="/xl/ink/ink417.xml" ContentType="application/inkml+xml"/>
  <Override PartName="/xl/ink/ink418.xml" ContentType="application/inkml+xml"/>
  <Override PartName="/xl/ink/ink419.xml" ContentType="application/inkml+xml"/>
  <Override PartName="/xl/ink/ink420.xml" ContentType="application/inkml+xml"/>
  <Override PartName="/xl/ink/ink421.xml" ContentType="application/inkml+xml"/>
  <Override PartName="/xl/ink/ink422.xml" ContentType="application/inkml+xml"/>
  <Override PartName="/xl/ink/ink423.xml" ContentType="application/inkml+xml"/>
  <Override PartName="/xl/ink/ink424.xml" ContentType="application/inkml+xml"/>
  <Override PartName="/xl/ink/ink425.xml" ContentType="application/inkml+xml"/>
  <Override PartName="/xl/ink/ink426.xml" ContentType="application/inkml+xml"/>
  <Override PartName="/xl/ink/ink427.xml" ContentType="application/inkml+xml"/>
  <Override PartName="/xl/ink/ink428.xml" ContentType="application/inkml+xml"/>
  <Override PartName="/xl/ink/ink429.xml" ContentType="application/inkml+xml"/>
  <Override PartName="/xl/ink/ink430.xml" ContentType="application/inkml+xml"/>
  <Override PartName="/xl/ink/ink431.xml" ContentType="application/inkml+xml"/>
  <Override PartName="/xl/ink/ink432.xml" ContentType="application/inkml+xml"/>
  <Override PartName="/xl/ink/ink433.xml" ContentType="application/inkml+xml"/>
  <Override PartName="/xl/ink/ink434.xml" ContentType="application/inkml+xml"/>
  <Override PartName="/xl/ink/ink435.xml" ContentType="application/inkml+xml"/>
  <Override PartName="/xl/ink/ink436.xml" ContentType="application/inkml+xml"/>
  <Override PartName="/xl/ink/ink437.xml" ContentType="application/inkml+xml"/>
  <Override PartName="/xl/ink/ink438.xml" ContentType="application/inkml+xml"/>
  <Override PartName="/xl/ink/ink439.xml" ContentType="application/inkml+xml"/>
  <Override PartName="/xl/ink/ink440.xml" ContentType="application/inkml+xml"/>
  <Override PartName="/xl/ink/ink441.xml" ContentType="application/inkml+xml"/>
  <Override PartName="/xl/ink/ink442.xml" ContentType="application/inkml+xml"/>
  <Override PartName="/xl/ink/ink443.xml" ContentType="application/inkml+xml"/>
  <Override PartName="/xl/ink/ink444.xml" ContentType="application/inkml+xml"/>
  <Override PartName="/xl/ink/ink445.xml" ContentType="application/inkml+xml"/>
  <Override PartName="/xl/ink/ink446.xml" ContentType="application/inkml+xml"/>
  <Override PartName="/xl/ink/ink447.xml" ContentType="application/inkml+xml"/>
  <Override PartName="/xl/ink/ink448.xml" ContentType="application/inkml+xml"/>
  <Override PartName="/xl/ink/ink449.xml" ContentType="application/inkml+xml"/>
  <Override PartName="/xl/ink/ink450.xml" ContentType="application/inkml+xml"/>
  <Override PartName="/xl/ink/ink451.xml" ContentType="application/inkml+xml"/>
  <Override PartName="/xl/ink/ink452.xml" ContentType="application/inkml+xml"/>
  <Override PartName="/xl/ink/ink453.xml" ContentType="application/inkml+xml"/>
  <Override PartName="/xl/ink/ink454.xml" ContentType="application/inkml+xml"/>
  <Override PartName="/xl/ink/ink455.xml" ContentType="application/inkml+xml"/>
  <Override PartName="/xl/ink/ink456.xml" ContentType="application/inkml+xml"/>
  <Override PartName="/xl/ink/ink457.xml" ContentType="application/inkml+xml"/>
  <Override PartName="/xl/ink/ink458.xml" ContentType="application/inkml+xml"/>
  <Override PartName="/xl/ink/ink459.xml" ContentType="application/inkml+xml"/>
  <Override PartName="/xl/ink/ink460.xml" ContentType="application/inkml+xml"/>
  <Override PartName="/xl/ink/ink461.xml" ContentType="application/inkml+xml"/>
  <Override PartName="/xl/ink/ink462.xml" ContentType="application/inkml+xml"/>
  <Override PartName="/xl/ink/ink463.xml" ContentType="application/inkml+xml"/>
  <Override PartName="/xl/ink/ink464.xml" ContentType="application/inkml+xml"/>
  <Override PartName="/xl/ink/ink465.xml" ContentType="application/inkml+xml"/>
  <Override PartName="/xl/ink/ink466.xml" ContentType="application/inkml+xml"/>
  <Override PartName="/xl/ink/ink467.xml" ContentType="application/inkml+xml"/>
  <Override PartName="/xl/ink/ink468.xml" ContentType="application/inkml+xml"/>
  <Override PartName="/xl/ink/ink469.xml" ContentType="application/inkml+xml"/>
  <Override PartName="/xl/ink/ink470.xml" ContentType="application/inkml+xml"/>
  <Override PartName="/xl/ink/ink471.xml" ContentType="application/inkml+xml"/>
  <Override PartName="/xl/ink/ink472.xml" ContentType="application/inkml+xml"/>
  <Override PartName="/xl/ink/ink473.xml" ContentType="application/inkml+xml"/>
  <Override PartName="/xl/ink/ink474.xml" ContentType="application/inkml+xml"/>
  <Override PartName="/xl/ink/ink475.xml" ContentType="application/inkml+xml"/>
  <Override PartName="/xl/ink/ink476.xml" ContentType="application/inkml+xml"/>
  <Override PartName="/xl/ink/ink477.xml" ContentType="application/inkml+xml"/>
  <Override PartName="/xl/ink/ink478.xml" ContentType="application/inkml+xml"/>
  <Override PartName="/xl/ink/ink479.xml" ContentType="application/inkml+xml"/>
  <Override PartName="/xl/ink/ink480.xml" ContentType="application/inkml+xml"/>
  <Override PartName="/xl/ink/ink481.xml" ContentType="application/inkml+xml"/>
  <Override PartName="/xl/ink/ink482.xml" ContentType="application/inkml+xml"/>
  <Override PartName="/xl/ink/ink483.xml" ContentType="application/inkml+xml"/>
  <Override PartName="/xl/ink/ink484.xml" ContentType="application/inkml+xml"/>
  <Override PartName="/xl/ink/ink485.xml" ContentType="application/inkml+xml"/>
  <Override PartName="/xl/ink/ink486.xml" ContentType="application/inkml+xml"/>
  <Override PartName="/xl/ink/ink487.xml" ContentType="application/inkml+xml"/>
  <Override PartName="/xl/ink/ink488.xml" ContentType="application/inkml+xml"/>
  <Override PartName="/xl/ink/ink489.xml" ContentType="application/inkml+xml"/>
  <Override PartName="/xl/ink/ink490.xml" ContentType="application/inkml+xml"/>
  <Override PartName="/xl/ink/ink491.xml" ContentType="application/inkml+xml"/>
  <Override PartName="/xl/ink/ink492.xml" ContentType="application/inkml+xml"/>
  <Override PartName="/xl/ink/ink493.xml" ContentType="application/inkml+xml"/>
  <Override PartName="/xl/ink/ink494.xml" ContentType="application/inkml+xml"/>
  <Override PartName="/xl/ink/ink495.xml" ContentType="application/inkml+xml"/>
  <Override PartName="/xl/ink/ink496.xml" ContentType="application/inkml+xml"/>
  <Override PartName="/xl/ink/ink497.xml" ContentType="application/inkml+xml"/>
  <Override PartName="/xl/ink/ink498.xml" ContentType="application/inkml+xml"/>
  <Override PartName="/xl/ink/ink499.xml" ContentType="application/inkml+xml"/>
  <Override PartName="/xl/ink/ink500.xml" ContentType="application/inkml+xml"/>
  <Override PartName="/xl/ink/ink501.xml" ContentType="application/inkml+xml"/>
  <Override PartName="/xl/ink/ink502.xml" ContentType="application/inkml+xml"/>
  <Override PartName="/xl/ink/ink503.xml" ContentType="application/inkml+xml"/>
  <Override PartName="/xl/ink/ink504.xml" ContentType="application/inkml+xml"/>
  <Override PartName="/xl/ink/ink505.xml" ContentType="application/inkml+xml"/>
  <Override PartName="/xl/ink/ink506.xml" ContentType="application/inkml+xml"/>
  <Override PartName="/xl/ink/ink507.xml" ContentType="application/inkml+xml"/>
  <Override PartName="/xl/ink/ink508.xml" ContentType="application/inkml+xml"/>
  <Override PartName="/xl/ink/ink509.xml" ContentType="application/inkml+xml"/>
  <Override PartName="/xl/ink/ink510.xml" ContentType="application/inkml+xml"/>
  <Override PartName="/xl/ink/ink511.xml" ContentType="application/inkml+xml"/>
  <Override PartName="/xl/ink/ink512.xml" ContentType="application/inkml+xml"/>
  <Override PartName="/xl/ink/ink513.xml" ContentType="application/inkml+xml"/>
  <Override PartName="/xl/ink/ink514.xml" ContentType="application/inkml+xml"/>
  <Override PartName="/xl/ink/ink515.xml" ContentType="application/inkml+xml"/>
  <Override PartName="/xl/ink/ink516.xml" ContentType="application/inkml+xml"/>
  <Override PartName="/xl/ink/ink517.xml" ContentType="application/inkml+xml"/>
  <Override PartName="/xl/ink/ink518.xml" ContentType="application/inkml+xml"/>
  <Override PartName="/xl/ink/ink519.xml" ContentType="application/inkml+xml"/>
  <Override PartName="/xl/ink/ink520.xml" ContentType="application/inkml+xml"/>
  <Override PartName="/xl/ink/ink521.xml" ContentType="application/inkml+xml"/>
  <Override PartName="/xl/ink/ink522.xml" ContentType="application/inkml+xml"/>
  <Override PartName="/xl/ink/ink523.xml" ContentType="application/inkml+xml"/>
  <Override PartName="/xl/ink/ink524.xml" ContentType="application/inkml+xml"/>
  <Override PartName="/xl/ink/ink525.xml" ContentType="application/inkml+xml"/>
  <Override PartName="/xl/ink/ink526.xml" ContentType="application/inkml+xml"/>
  <Override PartName="/xl/ink/ink527.xml" ContentType="application/inkml+xml"/>
  <Override PartName="/xl/ink/ink528.xml" ContentType="application/inkml+xml"/>
  <Override PartName="/xl/ink/ink529.xml" ContentType="application/inkml+xml"/>
  <Override PartName="/xl/ink/ink530.xml" ContentType="application/inkml+xml"/>
  <Override PartName="/xl/ink/ink531.xml" ContentType="application/inkml+xml"/>
  <Override PartName="/xl/ink/ink532.xml" ContentType="application/inkml+xml"/>
  <Override PartName="/xl/ink/ink533.xml" ContentType="application/inkml+xml"/>
  <Override PartName="/xl/ink/ink534.xml" ContentType="application/inkml+xml"/>
  <Override PartName="/xl/ink/ink535.xml" ContentType="application/inkml+xml"/>
  <Override PartName="/xl/ink/ink536.xml" ContentType="application/inkml+xml"/>
  <Override PartName="/xl/ink/ink537.xml" ContentType="application/inkml+xml"/>
  <Override PartName="/xl/ink/ink538.xml" ContentType="application/inkml+xml"/>
  <Override PartName="/xl/ink/ink539.xml" ContentType="application/inkml+xml"/>
  <Override PartName="/xl/ink/ink540.xml" ContentType="application/inkml+xml"/>
  <Override PartName="/xl/ink/ink541.xml" ContentType="application/inkml+xml"/>
  <Override PartName="/xl/ink/ink542.xml" ContentType="application/inkml+xml"/>
  <Override PartName="/xl/ink/ink543.xml" ContentType="application/inkml+xml"/>
  <Override PartName="/xl/ink/ink544.xml" ContentType="application/inkml+xml"/>
  <Override PartName="/xl/ink/ink545.xml" ContentType="application/inkml+xml"/>
  <Override PartName="/xl/ink/ink546.xml" ContentType="application/inkml+xml"/>
  <Override PartName="/xl/ink/ink547.xml" ContentType="application/inkml+xml"/>
  <Override PartName="/xl/ink/ink548.xml" ContentType="application/inkml+xml"/>
  <Override PartName="/xl/ink/ink549.xml" ContentType="application/inkml+xml"/>
  <Override PartName="/xl/ink/ink550.xml" ContentType="application/inkml+xml"/>
  <Override PartName="/xl/ink/ink551.xml" ContentType="application/inkml+xml"/>
  <Override PartName="/xl/ink/ink552.xml" ContentType="application/inkml+xml"/>
  <Override PartName="/xl/ink/ink553.xml" ContentType="application/inkml+xml"/>
  <Override PartName="/xl/ink/ink554.xml" ContentType="application/inkml+xml"/>
  <Override PartName="/xl/ink/ink555.xml" ContentType="application/inkml+xml"/>
  <Override PartName="/xl/ink/ink556.xml" ContentType="application/inkml+xml"/>
  <Override PartName="/xl/ink/ink557.xml" ContentType="application/inkml+xml"/>
  <Override PartName="/xl/ink/ink558.xml" ContentType="application/inkml+xml"/>
  <Override PartName="/xl/ink/ink559.xml" ContentType="application/inkml+xml"/>
  <Override PartName="/xl/ink/ink560.xml" ContentType="application/inkml+xml"/>
  <Override PartName="/xl/ink/ink561.xml" ContentType="application/inkml+xml"/>
  <Override PartName="/xl/ink/ink562.xml" ContentType="application/inkml+xml"/>
  <Override PartName="/xl/ink/ink563.xml" ContentType="application/inkml+xml"/>
  <Override PartName="/xl/ink/ink564.xml" ContentType="application/inkml+xml"/>
  <Override PartName="/xl/ink/ink565.xml" ContentType="application/inkml+xml"/>
  <Override PartName="/xl/ink/ink566.xml" ContentType="application/inkml+xml"/>
  <Override PartName="/xl/ink/ink567.xml" ContentType="application/inkml+xml"/>
  <Override PartName="/xl/ink/ink568.xml" ContentType="application/inkml+xml"/>
  <Override PartName="/xl/ink/ink569.xml" ContentType="application/inkml+xml"/>
  <Override PartName="/xl/ink/ink570.xml" ContentType="application/inkml+xml"/>
  <Override PartName="/xl/ink/ink571.xml" ContentType="application/inkml+xml"/>
  <Override PartName="/xl/ink/ink572.xml" ContentType="application/inkml+xml"/>
  <Override PartName="/xl/ink/ink573.xml" ContentType="application/inkml+xml"/>
  <Override PartName="/xl/ink/ink574.xml" ContentType="application/inkml+xml"/>
  <Override PartName="/xl/ink/ink575.xml" ContentType="application/inkml+xml"/>
  <Override PartName="/xl/ink/ink576.xml" ContentType="application/inkml+xml"/>
  <Override PartName="/xl/ink/ink577.xml" ContentType="application/inkml+xml"/>
  <Override PartName="/xl/ink/ink578.xml" ContentType="application/inkml+xml"/>
  <Override PartName="/xl/ink/ink579.xml" ContentType="application/inkml+xml"/>
  <Override PartName="/xl/ink/ink580.xml" ContentType="application/inkml+xml"/>
  <Override PartName="/xl/ink/ink581.xml" ContentType="application/inkml+xml"/>
  <Override PartName="/xl/ink/ink582.xml" ContentType="application/inkml+xml"/>
  <Override PartName="/xl/ink/ink583.xml" ContentType="application/inkml+xml"/>
  <Override PartName="/xl/ink/ink584.xml" ContentType="application/inkml+xml"/>
  <Override PartName="/xl/ink/ink585.xml" ContentType="application/inkml+xml"/>
  <Override PartName="/xl/ink/ink586.xml" ContentType="application/inkml+xml"/>
  <Override PartName="/xl/ink/ink587.xml" ContentType="application/inkml+xml"/>
  <Override PartName="/xl/ink/ink588.xml" ContentType="application/inkml+xml"/>
  <Override PartName="/xl/ink/ink589.xml" ContentType="application/inkml+xml"/>
  <Override PartName="/xl/ink/ink590.xml" ContentType="application/inkml+xml"/>
  <Override PartName="/xl/ink/ink591.xml" ContentType="application/inkml+xml"/>
  <Override PartName="/xl/ink/ink592.xml" ContentType="application/inkml+xml"/>
  <Override PartName="/xl/ink/ink593.xml" ContentType="application/inkml+xml"/>
  <Override PartName="/xl/ink/ink594.xml" ContentType="application/inkml+xml"/>
  <Override PartName="/xl/ink/ink595.xml" ContentType="application/inkml+xml"/>
  <Override PartName="/xl/ink/ink596.xml" ContentType="application/inkml+xml"/>
  <Override PartName="/xl/ink/ink597.xml" ContentType="application/inkml+xml"/>
  <Override PartName="/xl/ink/ink598.xml" ContentType="application/inkml+xml"/>
  <Override PartName="/xl/ink/ink599.xml" ContentType="application/inkml+xml"/>
  <Override PartName="/xl/ink/ink600.xml" ContentType="application/inkml+xml"/>
  <Override PartName="/xl/ink/ink601.xml" ContentType="application/inkml+xml"/>
  <Override PartName="/xl/ink/ink602.xml" ContentType="application/inkml+xml"/>
  <Override PartName="/xl/ink/ink603.xml" ContentType="application/inkml+xml"/>
  <Override PartName="/xl/ink/ink604.xml" ContentType="application/inkml+xml"/>
  <Override PartName="/xl/ink/ink605.xml" ContentType="application/inkml+xml"/>
  <Override PartName="/xl/ink/ink606.xml" ContentType="application/inkml+xml"/>
  <Override PartName="/xl/ink/ink607.xml" ContentType="application/inkml+xml"/>
  <Override PartName="/xl/ink/ink608.xml" ContentType="application/inkml+xml"/>
  <Override PartName="/xl/ink/ink609.xml" ContentType="application/inkml+xml"/>
  <Override PartName="/xl/ink/ink610.xml" ContentType="application/inkml+xml"/>
  <Override PartName="/xl/ink/ink611.xml" ContentType="application/inkml+xml"/>
  <Override PartName="/xl/ink/ink612.xml" ContentType="application/inkml+xml"/>
  <Override PartName="/xl/ink/ink613.xml" ContentType="application/inkml+xml"/>
  <Override PartName="/xl/ink/ink614.xml" ContentType="application/inkml+xml"/>
  <Override PartName="/xl/ink/ink615.xml" ContentType="application/inkml+xml"/>
  <Override PartName="/xl/ink/ink616.xml" ContentType="application/inkml+xml"/>
  <Override PartName="/xl/ink/ink617.xml" ContentType="application/inkml+xml"/>
  <Override PartName="/xl/ink/ink618.xml" ContentType="application/inkml+xml"/>
  <Override PartName="/xl/ink/ink619.xml" ContentType="application/inkml+xml"/>
  <Override PartName="/xl/ink/ink620.xml" ContentType="application/inkml+xml"/>
  <Override PartName="/xl/ink/ink621.xml" ContentType="application/inkml+xml"/>
  <Override PartName="/xl/ink/ink622.xml" ContentType="application/inkml+xml"/>
  <Override PartName="/xl/ink/ink623.xml" ContentType="application/inkml+xml"/>
  <Override PartName="/xl/ink/ink624.xml" ContentType="application/inkml+xml"/>
  <Override PartName="/xl/ink/ink625.xml" ContentType="application/inkml+xml"/>
  <Override PartName="/xl/ink/ink626.xml" ContentType="application/inkml+xml"/>
  <Override PartName="/xl/ink/ink627.xml" ContentType="application/inkml+xml"/>
  <Override PartName="/xl/ink/ink628.xml" ContentType="application/inkml+xml"/>
  <Override PartName="/xl/ink/ink629.xml" ContentType="application/inkml+xml"/>
  <Override PartName="/xl/ink/ink630.xml" ContentType="application/inkml+xml"/>
  <Override PartName="/xl/ink/ink631.xml" ContentType="application/inkml+xml"/>
  <Override PartName="/xl/ink/ink632.xml" ContentType="application/inkml+xml"/>
  <Override PartName="/xl/ink/ink633.xml" ContentType="application/inkml+xml"/>
  <Override PartName="/xl/ink/ink634.xml" ContentType="application/inkml+xml"/>
  <Override PartName="/xl/ink/ink635.xml" ContentType="application/inkml+xml"/>
  <Override PartName="/xl/ink/ink636.xml" ContentType="application/inkml+xml"/>
  <Override PartName="/xl/ink/ink637.xml" ContentType="application/inkml+xml"/>
  <Override PartName="/xl/ink/ink638.xml" ContentType="application/inkml+xml"/>
  <Override PartName="/xl/ink/ink639.xml" ContentType="application/inkml+xml"/>
  <Override PartName="/xl/ink/ink640.xml" ContentType="application/inkml+xml"/>
  <Override PartName="/xl/ink/ink641.xml" ContentType="application/inkml+xml"/>
  <Override PartName="/xl/ink/ink642.xml" ContentType="application/inkml+xml"/>
  <Override PartName="/xl/ink/ink643.xml" ContentType="application/inkml+xml"/>
  <Override PartName="/xl/ink/ink644.xml" ContentType="application/inkml+xml"/>
  <Override PartName="/xl/ink/ink645.xml" ContentType="application/inkml+xml"/>
  <Override PartName="/xl/ink/ink646.xml" ContentType="application/inkml+xml"/>
  <Override PartName="/xl/ink/ink647.xml" ContentType="application/inkml+xml"/>
  <Override PartName="/xl/ink/ink648.xml" ContentType="application/inkml+xml"/>
  <Override PartName="/xl/ink/ink649.xml" ContentType="application/inkml+xml"/>
  <Override PartName="/xl/ink/ink650.xml" ContentType="application/inkml+xml"/>
  <Override PartName="/xl/ink/ink651.xml" ContentType="application/inkml+xml"/>
  <Override PartName="/xl/ink/ink652.xml" ContentType="application/inkml+xml"/>
  <Override PartName="/xl/ink/ink653.xml" ContentType="application/inkml+xml"/>
  <Override PartName="/xl/ink/ink654.xml" ContentType="application/inkml+xml"/>
  <Override PartName="/xl/ink/ink655.xml" ContentType="application/inkml+xml"/>
  <Override PartName="/xl/ink/ink656.xml" ContentType="application/inkml+xml"/>
  <Override PartName="/xl/ink/ink657.xml" ContentType="application/inkml+xml"/>
  <Override PartName="/xl/ink/ink658.xml" ContentType="application/inkml+xml"/>
  <Override PartName="/xl/ink/ink659.xml" ContentType="application/inkml+xml"/>
  <Override PartName="/xl/ink/ink660.xml" ContentType="application/inkml+xml"/>
  <Override PartName="/xl/ink/ink661.xml" ContentType="application/inkml+xml"/>
  <Override PartName="/xl/ink/ink662.xml" ContentType="application/inkml+xml"/>
  <Override PartName="/xl/ink/ink663.xml" ContentType="application/inkml+xml"/>
  <Override PartName="/xl/ink/ink664.xml" ContentType="application/inkml+xml"/>
  <Override PartName="/xl/ink/ink665.xml" ContentType="application/inkml+xml"/>
  <Override PartName="/xl/ink/ink666.xml" ContentType="application/inkml+xml"/>
  <Override PartName="/xl/ink/ink667.xml" ContentType="application/inkml+xml"/>
  <Override PartName="/xl/ink/ink668.xml" ContentType="application/inkml+xml"/>
  <Override PartName="/xl/ink/ink669.xml" ContentType="application/inkml+xml"/>
  <Override PartName="/xl/ink/ink670.xml" ContentType="application/inkml+xml"/>
  <Override PartName="/xl/ink/ink671.xml" ContentType="application/inkml+xml"/>
  <Override PartName="/xl/ink/ink672.xml" ContentType="application/inkml+xml"/>
  <Override PartName="/xl/ink/ink673.xml" ContentType="application/inkml+xml"/>
  <Override PartName="/xl/ink/ink674.xml" ContentType="application/inkml+xml"/>
  <Override PartName="/xl/ink/ink675.xml" ContentType="application/inkml+xml"/>
  <Override PartName="/xl/ink/ink676.xml" ContentType="application/inkml+xml"/>
  <Override PartName="/xl/ink/ink677.xml" ContentType="application/inkml+xml"/>
  <Override PartName="/xl/ink/ink678.xml" ContentType="application/inkml+xml"/>
  <Override PartName="/xl/ink/ink679.xml" ContentType="application/inkml+xml"/>
  <Override PartName="/xl/ink/ink680.xml" ContentType="application/inkml+xml"/>
  <Override PartName="/xl/ink/ink681.xml" ContentType="application/inkml+xml"/>
  <Override PartName="/xl/ink/ink682.xml" ContentType="application/inkml+xml"/>
  <Override PartName="/xl/ink/ink683.xml" ContentType="application/inkml+xml"/>
  <Override PartName="/xl/ink/ink684.xml" ContentType="application/inkml+xml"/>
  <Override PartName="/xl/ink/ink685.xml" ContentType="application/inkml+xml"/>
  <Override PartName="/xl/ink/ink686.xml" ContentType="application/inkml+xml"/>
  <Override PartName="/xl/ink/ink687.xml" ContentType="application/inkml+xml"/>
  <Override PartName="/xl/ink/ink688.xml" ContentType="application/inkml+xml"/>
  <Override PartName="/xl/ink/ink689.xml" ContentType="application/inkml+xml"/>
  <Override PartName="/xl/ink/ink690.xml" ContentType="application/inkml+xml"/>
  <Override PartName="/xl/ink/ink691.xml" ContentType="application/inkml+xml"/>
  <Override PartName="/xl/ink/ink692.xml" ContentType="application/inkml+xml"/>
  <Override PartName="/xl/ink/ink693.xml" ContentType="application/inkml+xml"/>
  <Override PartName="/xl/ink/ink694.xml" ContentType="application/inkml+xml"/>
  <Override PartName="/xl/ink/ink695.xml" ContentType="application/inkml+xml"/>
  <Override PartName="/xl/ink/ink696.xml" ContentType="application/inkml+xml"/>
  <Override PartName="/xl/ink/ink697.xml" ContentType="application/inkml+xml"/>
  <Override PartName="/xl/ink/ink698.xml" ContentType="application/inkml+xml"/>
  <Override PartName="/xl/ink/ink699.xml" ContentType="application/inkml+xml"/>
  <Override PartName="/xl/ink/ink700.xml" ContentType="application/inkml+xml"/>
  <Override PartName="/xl/ink/ink701.xml" ContentType="application/inkml+xml"/>
  <Override PartName="/xl/ink/ink702.xml" ContentType="application/inkml+xml"/>
  <Override PartName="/xl/ink/ink703.xml" ContentType="application/inkml+xml"/>
  <Override PartName="/xl/ink/ink704.xml" ContentType="application/inkml+xml"/>
  <Override PartName="/xl/ink/ink705.xml" ContentType="application/inkml+xml"/>
  <Override PartName="/xl/ink/ink706.xml" ContentType="application/inkml+xml"/>
  <Override PartName="/xl/ink/ink707.xml" ContentType="application/inkml+xml"/>
  <Override PartName="/xl/ink/ink708.xml" ContentType="application/inkml+xml"/>
  <Override PartName="/xl/ink/ink709.xml" ContentType="application/inkml+xml"/>
  <Override PartName="/xl/ink/ink710.xml" ContentType="application/inkml+xml"/>
  <Override PartName="/xl/ink/ink711.xml" ContentType="application/inkml+xml"/>
  <Override PartName="/xl/ink/ink712.xml" ContentType="application/inkml+xml"/>
  <Override PartName="/xl/ink/ink713.xml" ContentType="application/inkml+xml"/>
  <Override PartName="/xl/ink/ink714.xml" ContentType="application/inkml+xml"/>
  <Override PartName="/xl/ink/ink715.xml" ContentType="application/inkml+xml"/>
  <Override PartName="/xl/ink/ink716.xml" ContentType="application/inkml+xml"/>
  <Override PartName="/xl/ink/ink717.xml" ContentType="application/inkml+xml"/>
  <Override PartName="/xl/ink/ink718.xml" ContentType="application/inkml+xml"/>
  <Override PartName="/xl/ink/ink719.xml" ContentType="application/inkml+xml"/>
  <Override PartName="/xl/ink/ink720.xml" ContentType="application/inkml+xml"/>
  <Override PartName="/xl/ink/ink721.xml" ContentType="application/inkml+xml"/>
  <Override PartName="/xl/ink/ink722.xml" ContentType="application/inkml+xml"/>
  <Override PartName="/xl/ink/ink723.xml" ContentType="application/inkml+xml"/>
  <Override PartName="/xl/ink/ink724.xml" ContentType="application/inkml+xml"/>
  <Override PartName="/xl/ink/ink725.xml" ContentType="application/inkml+xml"/>
  <Override PartName="/xl/ink/ink726.xml" ContentType="application/inkml+xml"/>
  <Override PartName="/xl/ink/ink727.xml" ContentType="application/inkml+xml"/>
  <Override PartName="/xl/ink/ink728.xml" ContentType="application/inkml+xml"/>
  <Override PartName="/xl/ink/ink729.xml" ContentType="application/inkml+xml"/>
  <Override PartName="/xl/ink/ink730.xml" ContentType="application/inkml+xml"/>
  <Override PartName="/xl/ink/ink731.xml" ContentType="application/inkml+xml"/>
  <Override PartName="/xl/ink/ink732.xml" ContentType="application/inkml+xml"/>
  <Override PartName="/xl/ink/ink733.xml" ContentType="application/inkml+xml"/>
  <Override PartName="/xl/ink/ink734.xml" ContentType="application/inkml+xml"/>
  <Override PartName="/xl/ink/ink735.xml" ContentType="application/inkml+xml"/>
  <Override PartName="/xl/ink/ink736.xml" ContentType="application/inkml+xml"/>
  <Override PartName="/xl/ink/ink737.xml" ContentType="application/inkml+xml"/>
  <Override PartName="/xl/ink/ink738.xml" ContentType="application/inkml+xml"/>
  <Override PartName="/xl/ink/ink739.xml" ContentType="application/inkml+xml"/>
  <Override PartName="/xl/ink/ink740.xml" ContentType="application/inkml+xml"/>
  <Override PartName="/xl/ink/ink741.xml" ContentType="application/inkml+xml"/>
  <Override PartName="/xl/ink/ink742.xml" ContentType="application/inkml+xml"/>
  <Override PartName="/xl/ink/ink743.xml" ContentType="application/inkml+xml"/>
  <Override PartName="/xl/ink/ink744.xml" ContentType="application/inkml+xml"/>
  <Override PartName="/xl/ink/ink745.xml" ContentType="application/inkml+xml"/>
  <Override PartName="/xl/ink/ink746.xml" ContentType="application/inkml+xml"/>
  <Override PartName="/xl/ink/ink747.xml" ContentType="application/inkml+xml"/>
  <Override PartName="/xl/ink/ink748.xml" ContentType="application/inkml+xml"/>
  <Override PartName="/xl/ink/ink749.xml" ContentType="application/inkml+xml"/>
  <Override PartName="/xl/ink/ink750.xml" ContentType="application/inkml+xml"/>
  <Override PartName="/xl/ink/ink751.xml" ContentType="application/inkml+xml"/>
  <Override PartName="/xl/ink/ink752.xml" ContentType="application/inkml+xml"/>
  <Override PartName="/xl/ink/ink753.xml" ContentType="application/inkml+xml"/>
  <Override PartName="/xl/ink/ink754.xml" ContentType="application/inkml+xml"/>
  <Override PartName="/xl/ink/ink755.xml" ContentType="application/inkml+xml"/>
  <Override PartName="/xl/ink/ink756.xml" ContentType="application/inkml+xml"/>
  <Override PartName="/xl/ink/ink757.xml" ContentType="application/inkml+xml"/>
  <Override PartName="/xl/ink/ink758.xml" ContentType="application/inkml+xml"/>
  <Override PartName="/xl/ink/ink759.xml" ContentType="application/inkml+xml"/>
  <Override PartName="/xl/ink/ink760.xml" ContentType="application/inkml+xml"/>
  <Override PartName="/xl/ink/ink761.xml" ContentType="application/inkml+xml"/>
  <Override PartName="/xl/ink/ink762.xml" ContentType="application/inkml+xml"/>
  <Override PartName="/xl/ink/ink763.xml" ContentType="application/inkml+xml"/>
  <Override PartName="/xl/ink/ink764.xml" ContentType="application/inkml+xml"/>
  <Override PartName="/xl/ink/ink765.xml" ContentType="application/inkml+xml"/>
  <Override PartName="/xl/ink/ink766.xml" ContentType="application/inkml+xml"/>
  <Override PartName="/xl/ink/ink767.xml" ContentType="application/inkml+xml"/>
  <Override PartName="/xl/ink/ink768.xml" ContentType="application/inkml+xml"/>
  <Override PartName="/xl/ink/ink769.xml" ContentType="application/inkml+xml"/>
  <Override PartName="/xl/ink/ink770.xml" ContentType="application/inkml+xml"/>
  <Override PartName="/xl/ink/ink771.xml" ContentType="application/inkml+xml"/>
  <Override PartName="/xl/ink/ink772.xml" ContentType="application/inkml+xml"/>
  <Override PartName="/xl/ink/ink773.xml" ContentType="application/inkml+xml"/>
  <Override PartName="/xl/ink/ink774.xml" ContentType="application/inkml+xml"/>
  <Override PartName="/xl/ink/ink775.xml" ContentType="application/inkml+xml"/>
  <Override PartName="/xl/ink/ink776.xml" ContentType="application/inkml+xml"/>
  <Override PartName="/xl/ink/ink777.xml" ContentType="application/inkml+xml"/>
  <Override PartName="/xl/ink/ink778.xml" ContentType="application/inkml+xml"/>
  <Override PartName="/xl/ink/ink779.xml" ContentType="application/inkml+xml"/>
  <Override PartName="/xl/ink/ink780.xml" ContentType="application/inkml+xml"/>
  <Override PartName="/xl/ink/ink781.xml" ContentType="application/inkml+xml"/>
  <Override PartName="/xl/ink/ink782.xml" ContentType="application/inkml+xml"/>
  <Override PartName="/xl/ink/ink783.xml" ContentType="application/inkml+xml"/>
  <Override PartName="/xl/ink/ink784.xml" ContentType="application/inkml+xml"/>
  <Override PartName="/xl/ink/ink785.xml" ContentType="application/inkml+xml"/>
  <Override PartName="/xl/ink/ink786.xml" ContentType="application/inkml+xml"/>
  <Override PartName="/xl/ink/ink787.xml" ContentType="application/inkml+xml"/>
  <Override PartName="/xl/ink/ink788.xml" ContentType="application/inkml+xml"/>
  <Override PartName="/xl/ink/ink789.xml" ContentType="application/inkml+xml"/>
  <Override PartName="/xl/ink/ink790.xml" ContentType="application/inkml+xml"/>
  <Override PartName="/xl/ink/ink791.xml" ContentType="application/inkml+xml"/>
  <Override PartName="/xl/ink/ink792.xml" ContentType="application/inkml+xml"/>
  <Override PartName="/xl/ink/ink793.xml" ContentType="application/inkml+xml"/>
  <Override PartName="/xl/ink/ink794.xml" ContentType="application/inkml+xml"/>
  <Override PartName="/xl/ink/ink795.xml" ContentType="application/inkml+xml"/>
  <Override PartName="/xl/ink/ink796.xml" ContentType="application/inkml+xml"/>
  <Override PartName="/xl/ink/ink797.xml" ContentType="application/inkml+xml"/>
  <Override PartName="/xl/ink/ink798.xml" ContentType="application/inkml+xml"/>
  <Override PartName="/xl/ink/ink799.xml" ContentType="application/inkml+xml"/>
  <Override PartName="/xl/ink/ink800.xml" ContentType="application/inkml+xml"/>
  <Override PartName="/xl/ink/ink801.xml" ContentType="application/inkml+xml"/>
  <Override PartName="/xl/ink/ink802.xml" ContentType="application/inkml+xml"/>
  <Override PartName="/xl/ink/ink803.xml" ContentType="application/inkml+xml"/>
  <Override PartName="/xl/ink/ink804.xml" ContentType="application/inkml+xml"/>
  <Override PartName="/xl/ink/ink805.xml" ContentType="application/inkml+xml"/>
  <Override PartName="/xl/ink/ink806.xml" ContentType="application/inkml+xml"/>
  <Override PartName="/xl/ink/ink807.xml" ContentType="application/inkml+xml"/>
  <Override PartName="/xl/ink/ink808.xml" ContentType="application/inkml+xml"/>
  <Override PartName="/xl/ink/ink809.xml" ContentType="application/inkml+xml"/>
  <Override PartName="/xl/ink/ink810.xml" ContentType="application/inkml+xml"/>
  <Override PartName="/xl/ink/ink811.xml" ContentType="application/inkml+xml"/>
  <Override PartName="/xl/ink/ink812.xml" ContentType="application/inkml+xml"/>
  <Override PartName="/xl/ink/ink813.xml" ContentType="application/inkml+xml"/>
  <Override PartName="/xl/ink/ink814.xml" ContentType="application/inkml+xml"/>
  <Override PartName="/xl/ink/ink815.xml" ContentType="application/inkml+xml"/>
  <Override PartName="/xl/ink/ink816.xml" ContentType="application/inkml+xml"/>
  <Override PartName="/xl/ink/ink817.xml" ContentType="application/inkml+xml"/>
  <Override PartName="/xl/ink/ink818.xml" ContentType="application/inkml+xml"/>
  <Override PartName="/xl/ink/ink819.xml" ContentType="application/inkml+xml"/>
  <Override PartName="/xl/ink/ink820.xml" ContentType="application/inkml+xml"/>
  <Override PartName="/xl/ink/ink821.xml" ContentType="application/inkml+xml"/>
  <Override PartName="/xl/ink/ink822.xml" ContentType="application/inkml+xml"/>
  <Override PartName="/xl/ink/ink823.xml" ContentType="application/inkml+xml"/>
  <Override PartName="/xl/ink/ink824.xml" ContentType="application/inkml+xml"/>
  <Override PartName="/xl/ink/ink825.xml" ContentType="application/inkml+xml"/>
  <Override PartName="/xl/ink/ink826.xml" ContentType="application/inkml+xml"/>
  <Override PartName="/xl/ink/ink827.xml" ContentType="application/inkml+xml"/>
  <Override PartName="/xl/ink/ink828.xml" ContentType="application/inkml+xml"/>
  <Override PartName="/xl/ink/ink829.xml" ContentType="application/inkml+xml"/>
  <Override PartName="/xl/ink/ink830.xml" ContentType="application/inkml+xml"/>
  <Override PartName="/xl/ink/ink831.xml" ContentType="application/inkml+xml"/>
  <Override PartName="/xl/ink/ink832.xml" ContentType="application/inkml+xml"/>
  <Override PartName="/xl/ink/ink833.xml" ContentType="application/inkml+xml"/>
  <Override PartName="/xl/ink/ink834.xml" ContentType="application/inkml+xml"/>
  <Override PartName="/xl/ink/ink835.xml" ContentType="application/inkml+xml"/>
  <Override PartName="/xl/ink/ink836.xml" ContentType="application/inkml+xml"/>
  <Override PartName="/xl/ink/ink837.xml" ContentType="application/inkml+xml"/>
  <Override PartName="/xl/ink/ink838.xml" ContentType="application/inkml+xml"/>
  <Override PartName="/xl/ink/ink839.xml" ContentType="application/inkml+xml"/>
  <Override PartName="/xl/ink/ink840.xml" ContentType="application/inkml+xml"/>
  <Override PartName="/xl/ink/ink841.xml" ContentType="application/inkml+xml"/>
  <Override PartName="/xl/ink/ink842.xml" ContentType="application/inkml+xml"/>
  <Override PartName="/xl/ink/ink843.xml" ContentType="application/inkml+xml"/>
  <Override PartName="/xl/ink/ink844.xml" ContentType="application/inkml+xml"/>
  <Override PartName="/xl/ink/ink845.xml" ContentType="application/inkml+xml"/>
  <Override PartName="/xl/ink/ink846.xml" ContentType="application/inkml+xml"/>
  <Override PartName="/xl/ink/ink847.xml" ContentType="application/inkml+xml"/>
  <Override PartName="/xl/ink/ink848.xml" ContentType="application/inkml+xml"/>
  <Override PartName="/xl/ink/ink849.xml" ContentType="application/inkml+xml"/>
  <Override PartName="/xl/ink/ink850.xml" ContentType="application/inkml+xml"/>
  <Override PartName="/xl/ink/ink851.xml" ContentType="application/inkml+xml"/>
  <Override PartName="/xl/ink/ink852.xml" ContentType="application/inkml+xml"/>
  <Override PartName="/xl/ink/ink853.xml" ContentType="application/inkml+xml"/>
  <Override PartName="/xl/ink/ink854.xml" ContentType="application/inkml+xml"/>
  <Override PartName="/xl/ink/ink855.xml" ContentType="application/inkml+xml"/>
  <Override PartName="/xl/ink/ink856.xml" ContentType="application/inkml+xml"/>
  <Override PartName="/xl/ink/ink857.xml" ContentType="application/inkml+xml"/>
  <Override PartName="/xl/ink/ink858.xml" ContentType="application/inkml+xml"/>
  <Override PartName="/xl/ink/ink859.xml" ContentType="application/inkml+xml"/>
  <Override PartName="/xl/ink/ink860.xml" ContentType="application/inkml+xml"/>
  <Override PartName="/xl/ink/ink861.xml" ContentType="application/inkml+xml"/>
  <Override PartName="/xl/ink/ink862.xml" ContentType="application/inkml+xml"/>
  <Override PartName="/xl/ink/ink863.xml" ContentType="application/inkml+xml"/>
  <Override PartName="/xl/ink/ink864.xml" ContentType="application/inkml+xml"/>
  <Override PartName="/xl/ink/ink865.xml" ContentType="application/inkml+xml"/>
  <Override PartName="/xl/ink/ink866.xml" ContentType="application/inkml+xml"/>
  <Override PartName="/xl/ink/ink867.xml" ContentType="application/inkml+xml"/>
  <Override PartName="/xl/ink/ink868.xml" ContentType="application/inkml+xml"/>
  <Override PartName="/xl/ink/ink869.xml" ContentType="application/inkml+xml"/>
  <Override PartName="/xl/ink/ink870.xml" ContentType="application/inkml+xml"/>
  <Override PartName="/xl/ink/ink871.xml" ContentType="application/inkml+xml"/>
  <Override PartName="/xl/ink/ink872.xml" ContentType="application/inkml+xml"/>
  <Override PartName="/xl/ink/ink873.xml" ContentType="application/inkml+xml"/>
  <Override PartName="/xl/ink/ink874.xml" ContentType="application/inkml+xml"/>
  <Override PartName="/xl/ink/ink875.xml" ContentType="application/inkml+xml"/>
  <Override PartName="/xl/ink/ink876.xml" ContentType="application/inkml+xml"/>
  <Override PartName="/xl/ink/ink877.xml" ContentType="application/inkml+xml"/>
  <Override PartName="/xl/ink/ink878.xml" ContentType="application/inkml+xml"/>
  <Override PartName="/xl/ink/ink879.xml" ContentType="application/inkml+xml"/>
  <Override PartName="/xl/ink/ink880.xml" ContentType="application/inkml+xml"/>
  <Override PartName="/xl/ink/ink881.xml" ContentType="application/inkml+xml"/>
  <Override PartName="/xl/ink/ink882.xml" ContentType="application/inkml+xml"/>
  <Override PartName="/xl/ink/ink883.xml" ContentType="application/inkml+xml"/>
  <Override PartName="/xl/ink/ink884.xml" ContentType="application/inkml+xml"/>
  <Override PartName="/xl/ink/ink885.xml" ContentType="application/inkml+xml"/>
  <Override PartName="/xl/ink/ink886.xml" ContentType="application/inkml+xml"/>
  <Override PartName="/xl/ink/ink887.xml" ContentType="application/inkml+xml"/>
  <Override PartName="/xl/ink/ink888.xml" ContentType="application/inkml+xml"/>
  <Override PartName="/xl/ink/ink889.xml" ContentType="application/inkml+xml"/>
  <Override PartName="/xl/ink/ink890.xml" ContentType="application/inkml+xml"/>
  <Override PartName="/xl/ink/ink891.xml" ContentType="application/inkml+xml"/>
  <Override PartName="/xl/ink/ink892.xml" ContentType="application/inkml+xml"/>
  <Override PartName="/xl/ink/ink893.xml" ContentType="application/inkml+xml"/>
  <Override PartName="/xl/ink/ink894.xml" ContentType="application/inkml+xml"/>
  <Override PartName="/xl/ink/ink895.xml" ContentType="application/inkml+xml"/>
  <Override PartName="/xl/ink/ink896.xml" ContentType="application/inkml+xml"/>
  <Override PartName="/xl/ink/ink897.xml" ContentType="application/inkml+xml"/>
  <Override PartName="/xl/ink/ink898.xml" ContentType="application/inkml+xml"/>
  <Override PartName="/xl/ink/ink899.xml" ContentType="application/inkml+xml"/>
  <Override PartName="/xl/ink/ink900.xml" ContentType="application/inkml+xml"/>
  <Override PartName="/xl/ink/ink901.xml" ContentType="application/inkml+xml"/>
  <Override PartName="/xl/ink/ink902.xml" ContentType="application/inkml+xml"/>
  <Override PartName="/xl/ink/ink903.xml" ContentType="application/inkml+xml"/>
  <Override PartName="/xl/ink/ink904.xml" ContentType="application/inkml+xml"/>
  <Override PartName="/xl/ink/ink905.xml" ContentType="application/inkml+xml"/>
  <Override PartName="/xl/ink/ink906.xml" ContentType="application/inkml+xml"/>
  <Override PartName="/xl/ink/ink907.xml" ContentType="application/inkml+xml"/>
  <Override PartName="/xl/ink/ink908.xml" ContentType="application/inkml+xml"/>
  <Override PartName="/xl/ink/ink909.xml" ContentType="application/inkml+xml"/>
  <Override PartName="/xl/ink/ink910.xml" ContentType="application/inkml+xml"/>
  <Override PartName="/xl/ink/ink911.xml" ContentType="application/inkml+xml"/>
  <Override PartName="/xl/ink/ink912.xml" ContentType="application/inkml+xml"/>
  <Override PartName="/xl/ink/ink913.xml" ContentType="application/inkml+xml"/>
  <Override PartName="/xl/ink/ink914.xml" ContentType="application/inkml+xml"/>
  <Override PartName="/xl/ink/ink915.xml" ContentType="application/inkml+xml"/>
  <Override PartName="/xl/ink/ink916.xml" ContentType="application/inkml+xml"/>
  <Override PartName="/xl/ink/ink917.xml" ContentType="application/inkml+xml"/>
  <Override PartName="/xl/ink/ink918.xml" ContentType="application/inkml+xml"/>
  <Override PartName="/xl/ink/ink919.xml" ContentType="application/inkml+xml"/>
  <Override PartName="/xl/ink/ink920.xml" ContentType="application/inkml+xml"/>
  <Override PartName="/xl/ink/ink921.xml" ContentType="application/inkml+xml"/>
  <Override PartName="/xl/ink/ink922.xml" ContentType="application/inkml+xml"/>
  <Override PartName="/xl/ink/ink923.xml" ContentType="application/inkml+xml"/>
  <Override PartName="/xl/ink/ink924.xml" ContentType="application/inkml+xml"/>
  <Override PartName="/xl/ink/ink925.xml" ContentType="application/inkml+xml"/>
  <Override PartName="/xl/ink/ink926.xml" ContentType="application/inkml+xml"/>
  <Override PartName="/xl/ink/ink927.xml" ContentType="application/inkml+xml"/>
  <Override PartName="/xl/ink/ink928.xml" ContentType="application/inkml+xml"/>
  <Override PartName="/xl/ink/ink929.xml" ContentType="application/inkml+xml"/>
  <Override PartName="/xl/ink/ink930.xml" ContentType="application/inkml+xml"/>
  <Override PartName="/xl/ink/ink931.xml" ContentType="application/inkml+xml"/>
  <Override PartName="/xl/ink/ink932.xml" ContentType="application/inkml+xml"/>
  <Override PartName="/xl/ink/ink933.xml" ContentType="application/inkml+xml"/>
  <Override PartName="/xl/ink/ink934.xml" ContentType="application/inkml+xml"/>
  <Override PartName="/xl/ink/ink935.xml" ContentType="application/inkml+xml"/>
  <Override PartName="/xl/ink/ink936.xml" ContentType="application/inkml+xml"/>
  <Override PartName="/xl/ink/ink937.xml" ContentType="application/inkml+xml"/>
  <Override PartName="/xl/ink/ink938.xml" ContentType="application/inkml+xml"/>
  <Override PartName="/xl/ink/ink939.xml" ContentType="application/inkml+xml"/>
  <Override PartName="/xl/ink/ink940.xml" ContentType="application/inkml+xml"/>
  <Override PartName="/xl/ink/ink941.xml" ContentType="application/inkml+xml"/>
  <Override PartName="/xl/ink/ink942.xml" ContentType="application/inkml+xml"/>
  <Override PartName="/xl/ink/ink943.xml" ContentType="application/inkml+xml"/>
  <Override PartName="/xl/ink/ink944.xml" ContentType="application/inkml+xml"/>
  <Override PartName="/xl/ink/ink945.xml" ContentType="application/inkml+xml"/>
  <Override PartName="/xl/ink/ink946.xml" ContentType="application/inkml+xml"/>
  <Override PartName="/xl/ink/ink947.xml" ContentType="application/inkml+xml"/>
  <Override PartName="/xl/ink/ink948.xml" ContentType="application/inkml+xml"/>
  <Override PartName="/xl/ink/ink949.xml" ContentType="application/inkml+xml"/>
  <Override PartName="/xl/ink/ink950.xml" ContentType="application/inkml+xml"/>
  <Override PartName="/xl/ink/ink951.xml" ContentType="application/inkml+xml"/>
  <Override PartName="/xl/ink/ink952.xml" ContentType="application/inkml+xml"/>
  <Override PartName="/xl/ink/ink953.xml" ContentType="application/inkml+xml"/>
  <Override PartName="/xl/ink/ink954.xml" ContentType="application/inkml+xml"/>
  <Override PartName="/xl/ink/ink955.xml" ContentType="application/inkml+xml"/>
  <Override PartName="/xl/ink/ink956.xml" ContentType="application/inkml+xml"/>
  <Override PartName="/xl/ink/ink957.xml" ContentType="application/inkml+xml"/>
  <Override PartName="/xl/ink/ink958.xml" ContentType="application/inkml+xml"/>
  <Override PartName="/xl/ink/ink959.xml" ContentType="application/inkml+xml"/>
  <Override PartName="/xl/ink/ink960.xml" ContentType="application/inkml+xml"/>
  <Override PartName="/xl/ink/ink961.xml" ContentType="application/inkml+xml"/>
  <Override PartName="/xl/ink/ink962.xml" ContentType="application/inkml+xml"/>
  <Override PartName="/xl/ink/ink963.xml" ContentType="application/inkml+xml"/>
  <Override PartName="/xl/ink/ink964.xml" ContentType="application/inkml+xml"/>
  <Override PartName="/xl/ink/ink965.xml" ContentType="application/inkml+xml"/>
  <Override PartName="/xl/ink/ink966.xml" ContentType="application/inkml+xml"/>
  <Override PartName="/xl/ink/ink967.xml" ContentType="application/inkml+xml"/>
  <Override PartName="/xl/ink/ink968.xml" ContentType="application/inkml+xml"/>
  <Override PartName="/xl/ink/ink969.xml" ContentType="application/inkml+xml"/>
  <Override PartName="/xl/ink/ink970.xml" ContentType="application/inkml+xml"/>
  <Override PartName="/xl/ink/ink971.xml" ContentType="application/inkml+xml"/>
  <Override PartName="/xl/ink/ink972.xml" ContentType="application/inkml+xml"/>
  <Override PartName="/xl/ink/ink973.xml" ContentType="application/inkml+xml"/>
  <Override PartName="/xl/ink/ink974.xml" ContentType="application/inkml+xml"/>
  <Override PartName="/xl/ink/ink975.xml" ContentType="application/inkml+xml"/>
  <Override PartName="/xl/ink/ink976.xml" ContentType="application/inkml+xml"/>
  <Override PartName="/xl/ink/ink977.xml" ContentType="application/inkml+xml"/>
  <Override PartName="/xl/ink/ink978.xml" ContentType="application/inkml+xml"/>
  <Override PartName="/xl/ink/ink979.xml" ContentType="application/inkml+xml"/>
  <Override PartName="/xl/ink/ink980.xml" ContentType="application/inkml+xml"/>
  <Override PartName="/xl/ink/ink981.xml" ContentType="application/inkml+xml"/>
  <Override PartName="/xl/ink/ink982.xml" ContentType="application/inkml+xml"/>
  <Override PartName="/xl/ink/ink983.xml" ContentType="application/inkml+xml"/>
  <Override PartName="/xl/ink/ink984.xml" ContentType="application/inkml+xml"/>
  <Override PartName="/xl/ink/ink985.xml" ContentType="application/inkml+xml"/>
  <Override PartName="/xl/ink/ink986.xml" ContentType="application/inkml+xml"/>
  <Override PartName="/xl/ink/ink987.xml" ContentType="application/inkml+xml"/>
  <Override PartName="/xl/ink/ink988.xml" ContentType="application/inkml+xml"/>
  <Override PartName="/xl/ink/ink989.xml" ContentType="application/inkml+xml"/>
  <Override PartName="/xl/ink/ink990.xml" ContentType="application/inkml+xml"/>
  <Override PartName="/xl/ink/ink991.xml" ContentType="application/inkml+xml"/>
  <Override PartName="/xl/ink/ink992.xml" ContentType="application/inkml+xml"/>
  <Override PartName="/xl/ink/ink993.xml" ContentType="application/inkml+xml"/>
  <Override PartName="/xl/ink/ink994.xml" ContentType="application/inkml+xml"/>
  <Override PartName="/xl/ink/ink995.xml" ContentType="application/inkml+xml"/>
  <Override PartName="/xl/ink/ink996.xml" ContentType="application/inkml+xml"/>
  <Override PartName="/xl/ink/ink997.xml" ContentType="application/inkml+xml"/>
  <Override PartName="/xl/ink/ink998.xml" ContentType="application/inkml+xml"/>
  <Override PartName="/xl/ink/ink999.xml" ContentType="application/inkml+xml"/>
  <Override PartName="/xl/ink/ink1000.xml" ContentType="application/inkml+xml"/>
  <Override PartName="/xl/ink/ink1001.xml" ContentType="application/inkml+xml"/>
  <Override PartName="/xl/ink/ink1002.xml" ContentType="application/inkml+xml"/>
  <Override PartName="/xl/ink/ink1003.xml" ContentType="application/inkml+xml"/>
  <Override PartName="/xl/ink/ink1004.xml" ContentType="application/inkml+xml"/>
  <Override PartName="/xl/ink/ink1005.xml" ContentType="application/inkml+xml"/>
  <Override PartName="/xl/ink/ink1006.xml" ContentType="application/inkml+xml"/>
  <Override PartName="/xl/ink/ink1007.xml" ContentType="application/inkml+xml"/>
  <Override PartName="/xl/ink/ink1008.xml" ContentType="application/inkml+xml"/>
  <Override PartName="/xl/ink/ink1009.xml" ContentType="application/inkml+xml"/>
  <Override PartName="/xl/ink/ink1010.xml" ContentType="application/inkml+xml"/>
  <Override PartName="/xl/ink/ink1011.xml" ContentType="application/inkml+xml"/>
  <Override PartName="/xl/ink/ink1012.xml" ContentType="application/inkml+xml"/>
  <Override PartName="/xl/ink/ink1013.xml" ContentType="application/inkml+xml"/>
  <Override PartName="/xl/ink/ink1014.xml" ContentType="application/inkml+xml"/>
  <Override PartName="/xl/ink/ink1015.xml" ContentType="application/inkml+xml"/>
  <Override PartName="/xl/ink/ink1016.xml" ContentType="application/inkml+xml"/>
  <Override PartName="/xl/ink/ink1017.xml" ContentType="application/inkml+xml"/>
  <Override PartName="/xl/ink/ink1018.xml" ContentType="application/inkml+xml"/>
  <Override PartName="/xl/ink/ink1019.xml" ContentType="application/inkml+xml"/>
  <Override PartName="/xl/ink/ink1020.xml" ContentType="application/inkml+xml"/>
  <Override PartName="/xl/ink/ink1021.xml" ContentType="application/inkml+xml"/>
  <Override PartName="/xl/ink/ink1022.xml" ContentType="application/inkml+xml"/>
  <Override PartName="/xl/ink/ink1023.xml" ContentType="application/inkml+xml"/>
  <Override PartName="/xl/ink/ink1024.xml" ContentType="application/inkml+xml"/>
  <Override PartName="/xl/ink/ink1025.xml" ContentType="application/inkml+xml"/>
  <Override PartName="/xl/ink/ink1026.xml" ContentType="application/inkml+xml"/>
  <Override PartName="/xl/ink/ink1027.xml" ContentType="application/inkml+xml"/>
  <Override PartName="/xl/ink/ink1028.xml" ContentType="application/inkml+xml"/>
  <Override PartName="/xl/ink/ink1029.xml" ContentType="application/inkml+xml"/>
  <Override PartName="/xl/ink/ink1030.xml" ContentType="application/inkml+xml"/>
  <Override PartName="/xl/ink/ink1031.xml" ContentType="application/inkml+xml"/>
  <Override PartName="/xl/ink/ink1032.xml" ContentType="application/inkml+xml"/>
  <Override PartName="/xl/ink/ink1033.xml" ContentType="application/inkml+xml"/>
  <Override PartName="/xl/ink/ink1034.xml" ContentType="application/inkml+xml"/>
  <Override PartName="/xl/ink/ink1035.xml" ContentType="application/inkml+xml"/>
  <Override PartName="/xl/ink/ink1036.xml" ContentType="application/inkml+xml"/>
  <Override PartName="/xl/ink/ink1037.xml" ContentType="application/inkml+xml"/>
  <Override PartName="/xl/ink/ink1038.xml" ContentType="application/inkml+xml"/>
  <Override PartName="/xl/ink/ink1039.xml" ContentType="application/inkml+xml"/>
  <Override PartName="/xl/ink/ink1040.xml" ContentType="application/inkml+xml"/>
  <Override PartName="/xl/ink/ink1041.xml" ContentType="application/inkml+xml"/>
  <Override PartName="/xl/ink/ink1042.xml" ContentType="application/inkml+xml"/>
  <Override PartName="/xl/ink/ink1043.xml" ContentType="application/inkml+xml"/>
  <Override PartName="/xl/ink/ink1044.xml" ContentType="application/inkml+xml"/>
  <Override PartName="/xl/ink/ink1045.xml" ContentType="application/inkml+xml"/>
  <Override PartName="/xl/ink/ink1046.xml" ContentType="application/inkml+xml"/>
  <Override PartName="/xl/ink/ink1047.xml" ContentType="application/inkml+xml"/>
  <Override PartName="/xl/ink/ink1048.xml" ContentType="application/inkml+xml"/>
  <Override PartName="/xl/ink/ink1049.xml" ContentType="application/inkml+xml"/>
  <Override PartName="/xl/ink/ink1050.xml" ContentType="application/inkml+xml"/>
  <Override PartName="/xl/ink/ink1051.xml" ContentType="application/inkml+xml"/>
  <Override PartName="/xl/ink/ink1052.xml" ContentType="application/inkml+xml"/>
  <Override PartName="/xl/ink/ink1053.xml" ContentType="application/inkml+xml"/>
  <Override PartName="/xl/ink/ink1054.xml" ContentType="application/inkml+xml"/>
  <Override PartName="/xl/ink/ink1055.xml" ContentType="application/inkml+xml"/>
  <Override PartName="/xl/ink/ink1056.xml" ContentType="application/inkml+xml"/>
  <Override PartName="/xl/ink/ink1057.xml" ContentType="application/inkml+xml"/>
  <Override PartName="/xl/ink/ink1058.xml" ContentType="application/inkml+xml"/>
  <Override PartName="/xl/ink/ink1059.xml" ContentType="application/inkml+xml"/>
  <Override PartName="/xl/ink/ink1060.xml" ContentType="application/inkml+xml"/>
  <Override PartName="/xl/ink/ink1061.xml" ContentType="application/inkml+xml"/>
  <Override PartName="/xl/ink/ink1062.xml" ContentType="application/inkml+xml"/>
  <Override PartName="/xl/ink/ink1063.xml" ContentType="application/inkml+xml"/>
  <Override PartName="/xl/ink/ink1064.xml" ContentType="application/inkml+xml"/>
  <Override PartName="/xl/ink/ink1065.xml" ContentType="application/inkml+xml"/>
  <Override PartName="/xl/ink/ink1066.xml" ContentType="application/inkml+xml"/>
  <Override PartName="/xl/ink/ink1067.xml" ContentType="application/inkml+xml"/>
  <Override PartName="/xl/ink/ink1068.xml" ContentType="application/inkml+xml"/>
  <Override PartName="/xl/ink/ink1069.xml" ContentType="application/inkml+xml"/>
  <Override PartName="/xl/ink/ink1070.xml" ContentType="application/inkml+xml"/>
  <Override PartName="/xl/ink/ink1071.xml" ContentType="application/inkml+xml"/>
  <Override PartName="/xl/ink/ink1072.xml" ContentType="application/inkml+xml"/>
  <Override PartName="/xl/ink/ink1073.xml" ContentType="application/inkml+xml"/>
  <Override PartName="/xl/ink/ink1074.xml" ContentType="application/inkml+xml"/>
  <Override PartName="/xl/ink/ink1075.xml" ContentType="application/inkml+xml"/>
  <Override PartName="/xl/ink/ink1076.xml" ContentType="application/inkml+xml"/>
  <Override PartName="/xl/ink/ink1077.xml" ContentType="application/inkml+xml"/>
  <Override PartName="/xl/ink/ink1078.xml" ContentType="application/inkml+xml"/>
  <Override PartName="/xl/ink/ink1079.xml" ContentType="application/inkml+xml"/>
  <Override PartName="/xl/ink/ink1080.xml" ContentType="application/inkml+xml"/>
  <Override PartName="/xl/ink/ink1081.xml" ContentType="application/inkml+xml"/>
  <Override PartName="/xl/ink/ink1082.xml" ContentType="application/inkml+xml"/>
  <Override PartName="/xl/ink/ink1083.xml" ContentType="application/inkml+xml"/>
  <Override PartName="/xl/ink/ink1084.xml" ContentType="application/inkml+xml"/>
  <Override PartName="/xl/ink/ink1085.xml" ContentType="application/inkml+xml"/>
  <Override PartName="/xl/ink/ink1086.xml" ContentType="application/inkml+xml"/>
  <Override PartName="/xl/ink/ink1087.xml" ContentType="application/inkml+xml"/>
  <Override PartName="/xl/ink/ink1088.xml" ContentType="application/inkml+xml"/>
  <Override PartName="/xl/ink/ink1089.xml" ContentType="application/inkml+xml"/>
  <Override PartName="/xl/ink/ink1090.xml" ContentType="application/inkml+xml"/>
  <Override PartName="/xl/ink/ink1091.xml" ContentType="application/inkml+xml"/>
  <Override PartName="/xl/ink/ink1092.xml" ContentType="application/inkml+xml"/>
  <Override PartName="/xl/ink/ink1093.xml" ContentType="application/inkml+xml"/>
  <Override PartName="/xl/ink/ink1094.xml" ContentType="application/inkml+xml"/>
  <Override PartName="/xl/ink/ink1095.xml" ContentType="application/inkml+xml"/>
  <Override PartName="/xl/ink/ink1096.xml" ContentType="application/inkml+xml"/>
  <Override PartName="/xl/ink/ink1097.xml" ContentType="application/inkml+xml"/>
  <Override PartName="/xl/ink/ink1098.xml" ContentType="application/inkml+xml"/>
  <Override PartName="/xl/ink/ink1099.xml" ContentType="application/inkml+xml"/>
  <Override PartName="/xl/ink/ink1100.xml" ContentType="application/inkml+xml"/>
  <Override PartName="/xl/ink/ink1101.xml" ContentType="application/inkml+xml"/>
  <Override PartName="/xl/ink/ink1102.xml" ContentType="application/inkml+xml"/>
  <Override PartName="/xl/ink/ink1103.xml" ContentType="application/inkml+xml"/>
  <Override PartName="/xl/ink/ink1104.xml" ContentType="application/inkml+xml"/>
  <Override PartName="/xl/ink/ink1105.xml" ContentType="application/inkml+xml"/>
  <Override PartName="/xl/ink/ink1106.xml" ContentType="application/inkml+xml"/>
  <Override PartName="/xl/ink/ink1107.xml" ContentType="application/inkml+xml"/>
  <Override PartName="/xl/ink/ink1108.xml" ContentType="application/inkml+xml"/>
  <Override PartName="/xl/ink/ink1109.xml" ContentType="application/inkml+xml"/>
  <Override PartName="/xl/ink/ink1110.xml" ContentType="application/inkml+xml"/>
  <Override PartName="/xl/ink/ink1111.xml" ContentType="application/inkml+xml"/>
  <Override PartName="/xl/ink/ink1112.xml" ContentType="application/inkml+xml"/>
  <Override PartName="/xl/ink/ink1113.xml" ContentType="application/inkml+xml"/>
  <Override PartName="/xl/ink/ink1114.xml" ContentType="application/inkml+xml"/>
  <Override PartName="/xl/ink/ink1115.xml" ContentType="application/inkml+xml"/>
  <Override PartName="/xl/ink/ink1116.xml" ContentType="application/inkml+xml"/>
  <Override PartName="/xl/ink/ink1117.xml" ContentType="application/inkml+xml"/>
  <Override PartName="/xl/ink/ink1118.xml" ContentType="application/inkml+xml"/>
  <Override PartName="/xl/ink/ink1119.xml" ContentType="application/inkml+xml"/>
  <Override PartName="/xl/ink/ink1120.xml" ContentType="application/inkml+xml"/>
  <Override PartName="/xl/ink/ink1121.xml" ContentType="application/inkml+xml"/>
  <Override PartName="/xl/ink/ink1122.xml" ContentType="application/inkml+xml"/>
  <Override PartName="/xl/ink/ink1123.xml" ContentType="application/inkml+xml"/>
  <Override PartName="/xl/ink/ink1124.xml" ContentType="application/inkml+xml"/>
  <Override PartName="/xl/ink/ink1125.xml" ContentType="application/inkml+xml"/>
  <Override PartName="/xl/ink/ink1126.xml" ContentType="application/inkml+xml"/>
  <Override PartName="/xl/ink/ink1127.xml" ContentType="application/inkml+xml"/>
  <Override PartName="/xl/ink/ink1128.xml" ContentType="application/inkml+xml"/>
  <Override PartName="/xl/ink/ink1129.xml" ContentType="application/inkml+xml"/>
  <Override PartName="/xl/ink/ink1130.xml" ContentType="application/inkml+xml"/>
  <Override PartName="/xl/ink/ink1131.xml" ContentType="application/inkml+xml"/>
  <Override PartName="/xl/ink/ink1132.xml" ContentType="application/inkml+xml"/>
  <Override PartName="/xl/ink/ink1133.xml" ContentType="application/inkml+xml"/>
  <Override PartName="/xl/ink/ink1134.xml" ContentType="application/inkml+xml"/>
  <Override PartName="/xl/ink/ink1135.xml" ContentType="application/inkml+xml"/>
  <Override PartName="/xl/ink/ink1136.xml" ContentType="application/inkml+xml"/>
  <Override PartName="/xl/ink/ink1137.xml" ContentType="application/inkml+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rick/Dropbox/RICK/FAM HIST/"/>
    </mc:Choice>
  </mc:AlternateContent>
  <xr:revisionPtr revIDLastSave="0" documentId="13_ncr:1_{7041F809-647F-1744-8A6C-8E90C274FB7A}" xr6:coauthVersionLast="47" xr6:coauthVersionMax="47" xr10:uidLastSave="{00000000-0000-0000-0000-000000000000}"/>
  <bookViews>
    <workbookView xWindow="1040" yWindow="500" windowWidth="27760" windowHeight="17500" firstSheet="2" activeTab="2" xr2:uid="{853DDB72-CE9D-C047-ACA2-A2EBD1D2E659}"/>
  </bookViews>
  <sheets>
    <sheet name="Data check lookup table" sheetId="4" r:id="rId1"/>
    <sheet name="Book Details - NO EDIT" sheetId="12" r:id="rId2"/>
    <sheet name="Mums of Loyd Edit&amp;Partner Edit" sheetId="27" r:id="rId3"/>
    <sheet name="Grandchildren" sheetId="32" r:id="rId4"/>
    <sheet name="Loyd Book 2022 - Print" sheetId="18" r:id="rId5"/>
    <sheet name="Hatch&amp;Match Details" sheetId="29" r:id="rId6"/>
    <sheet name="BiographyMarriageDetsCountries" sheetId="31" r:id="rId7"/>
    <sheet name="Lineage" sheetId="30" r:id="rId8"/>
    <sheet name="Loyd List 1-190 - Edit" sheetId="2" r:id="rId9"/>
    <sheet name="Siblings &amp; Children" sheetId="28" r:id="rId10"/>
    <sheet name="Siblings of those BORN Loyd" sheetId="10" r:id="rId11"/>
    <sheet name="All Girls &amp; Descendants" sheetId="9" r:id="rId12"/>
    <sheet name="All Girls &amp; Descendants - Edit" sheetId="20" r:id="rId13"/>
    <sheet name="All Girls &amp; Descendants - Print" sheetId="21" r:id="rId14"/>
    <sheet name="Updated Bios &amp; Spouse Details" sheetId="24" r:id="rId15"/>
    <sheet name="Generations&amp;Photos- CostsAT1" sheetId="8" r:id="rId16"/>
    <sheet name="Children of Female Loyds" sheetId="14" r:id="rId17"/>
    <sheet name="Grandchildren of Male Loyds" sheetId="13" r:id="rId18"/>
    <sheet name="Grandchildren of Female Loyds" sheetId="15" r:id="rId19"/>
    <sheet name="Grandchildren Loyd Daughters" sheetId="17" r:id="rId20"/>
    <sheet name="Children Female Loyds-NOT USED" sheetId="11" r:id="rId21"/>
    <sheet name="Contacts" sheetId="3" r:id="rId22"/>
    <sheet name="Women from #85 onwards" sheetId="5" r:id="rId23"/>
    <sheet name="Women before #85" sheetId="6" r:id="rId24"/>
  </sheets>
  <definedNames>
    <definedName name="_xlnm._FilterDatabase" localSheetId="11" hidden="1">'All Girls &amp; Descendants'!$A$1:$AF$451</definedName>
    <definedName name="_xlnm._FilterDatabase" localSheetId="12" hidden="1">'All Girls &amp; Descendants - Edit'!$A$2:$AA$419</definedName>
    <definedName name="_xlnm._FilterDatabase" localSheetId="1" hidden="1">'Book Details - NO EDIT'!$A$2:$AN$192</definedName>
    <definedName name="_xlnm._FilterDatabase" localSheetId="16" hidden="1">'Children of Female Loyds'!$A$3:$S$438</definedName>
    <definedName name="_xlnm._FilterDatabase" localSheetId="21" hidden="1">Contacts!$A$1:$O$82</definedName>
    <definedName name="_xlnm._FilterDatabase" localSheetId="0" hidden="1">'Data check lookup table'!$G$2:$U$73</definedName>
    <definedName name="_xlnm._FilterDatabase" localSheetId="15" hidden="1">'Generations&amp;Photos- CostsAT1'!$A$2:$G$295</definedName>
    <definedName name="_xlnm._FilterDatabase" localSheetId="19" hidden="1">'Grandchildren Loyd Daughters'!$A$3:$S$447</definedName>
    <definedName name="_xlnm._FilterDatabase" localSheetId="18" hidden="1">'Grandchildren of Female Loyds'!$A$3:$S$448</definedName>
    <definedName name="_xlnm._FilterDatabase" localSheetId="5" hidden="1">'Hatch&amp;Match Details'!$A$1:$AN$194</definedName>
    <definedName name="_xlnm._FilterDatabase" localSheetId="4" hidden="1">'Loyd Book 2022 - Print'!$A$2:$X$192</definedName>
    <definedName name="_xlnm._FilterDatabase" localSheetId="8" hidden="1">'Loyd List 1-190 - Edit'!$A$1:$AQ$196</definedName>
    <definedName name="_xlnm._FilterDatabase" localSheetId="2" hidden="1">'Mums of Loyd Edit&amp;Partner Edit'!$H$5:$S$194</definedName>
    <definedName name="DateDeath">'Loyd List 1-190 - Edit'!$C$1:$O$184</definedName>
    <definedName name="Generation">'Loyd List 1-190 - Edit'!$A$1:$B$184</definedName>
    <definedName name="Loydname">'Loyd List 1-190 - Edit'!$C$1:$Q$184</definedName>
    <definedName name="namewithfather">'Loyd List 1-190 - Edit'!$P$1:$R$184</definedName>
  </definedNames>
  <calcPr calcId="191029"/>
  <pivotCaches>
    <pivotCache cacheId="252" r:id="rId25"/>
    <pivotCache cacheId="253" r:id="rId26"/>
    <pivotCache cacheId="254" r:id="rId27"/>
    <pivotCache cacheId="255" r:id="rId28"/>
    <pivotCache cacheId="256" r:id="rId29"/>
    <pivotCache cacheId="257" r:id="rId30"/>
    <pivotCache cacheId="258"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27" l="1"/>
  <c r="F5" i="27"/>
  <c r="F6" i="27"/>
  <c r="F7" i="27"/>
  <c r="F8" i="27"/>
  <c r="F9" i="27"/>
  <c r="F10" i="27"/>
  <c r="F11" i="27"/>
  <c r="F12" i="27"/>
  <c r="F13" i="27"/>
  <c r="F14" i="27"/>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3" i="27"/>
  <c r="F54" i="27"/>
  <c r="F55" i="27"/>
  <c r="F56" i="27"/>
  <c r="F57" i="27"/>
  <c r="F58" i="27"/>
  <c r="F59" i="27"/>
  <c r="F60" i="27"/>
  <c r="F61" i="27"/>
  <c r="F62" i="27"/>
  <c r="F63" i="27"/>
  <c r="F64" i="27"/>
  <c r="F65" i="27"/>
  <c r="F66" i="27"/>
  <c r="F67" i="27"/>
  <c r="F68" i="27"/>
  <c r="F69" i="27"/>
  <c r="F70" i="27"/>
  <c r="F71" i="27"/>
  <c r="F72" i="27"/>
  <c r="F73" i="27"/>
  <c r="F74" i="27"/>
  <c r="F75" i="27"/>
  <c r="F76" i="27"/>
  <c r="F77" i="27"/>
  <c r="F78" i="27"/>
  <c r="F79" i="27"/>
  <c r="F80" i="27"/>
  <c r="F81" i="27"/>
  <c r="F82" i="27"/>
  <c r="F83" i="27"/>
  <c r="F84" i="27"/>
  <c r="F85" i="27"/>
  <c r="F86" i="27"/>
  <c r="F87" i="27"/>
  <c r="F88" i="27"/>
  <c r="F89" i="27"/>
  <c r="F90" i="27"/>
  <c r="F91" i="27"/>
  <c r="F92" i="27"/>
  <c r="F93" i="27"/>
  <c r="F94" i="27"/>
  <c r="F95" i="27"/>
  <c r="F96" i="27"/>
  <c r="F97" i="27"/>
  <c r="F98" i="27"/>
  <c r="F99" i="27"/>
  <c r="F100" i="27"/>
  <c r="F101" i="27"/>
  <c r="F102" i="27"/>
  <c r="F103" i="27"/>
  <c r="F104" i="27"/>
  <c r="F105" i="27"/>
  <c r="F106" i="27"/>
  <c r="F107" i="27"/>
  <c r="F108" i="27"/>
  <c r="F109" i="27"/>
  <c r="F110" i="27"/>
  <c r="F111" i="27"/>
  <c r="F112" i="27"/>
  <c r="F113" i="27"/>
  <c r="F114" i="27"/>
  <c r="F115" i="27"/>
  <c r="F116" i="27"/>
  <c r="F117" i="27"/>
  <c r="F118" i="27"/>
  <c r="F119" i="27"/>
  <c r="F120" i="27"/>
  <c r="F121" i="27"/>
  <c r="F122" i="27"/>
  <c r="F123" i="27"/>
  <c r="F124" i="27"/>
  <c r="F125" i="27"/>
  <c r="F126" i="27"/>
  <c r="F127" i="27"/>
  <c r="F128" i="27"/>
  <c r="F129" i="27"/>
  <c r="F130" i="27"/>
  <c r="F131" i="27"/>
  <c r="F132" i="27"/>
  <c r="F133" i="27"/>
  <c r="F134" i="27"/>
  <c r="F135" i="27"/>
  <c r="F136" i="27"/>
  <c r="F137" i="27"/>
  <c r="F138" i="27"/>
  <c r="F139" i="27"/>
  <c r="F140" i="27"/>
  <c r="F141" i="27"/>
  <c r="F142" i="27"/>
  <c r="F143" i="27"/>
  <c r="F144" i="27"/>
  <c r="F145" i="27"/>
  <c r="F146" i="27"/>
  <c r="F147" i="27"/>
  <c r="F148" i="27"/>
  <c r="F149" i="27"/>
  <c r="F150" i="27"/>
  <c r="F151" i="27"/>
  <c r="F152" i="27"/>
  <c r="F153" i="27"/>
  <c r="F154" i="27"/>
  <c r="F155" i="27"/>
  <c r="F156" i="27"/>
  <c r="F157" i="27"/>
  <c r="F158" i="27"/>
  <c r="F159" i="27"/>
  <c r="F160" i="27"/>
  <c r="F161" i="27"/>
  <c r="F162" i="27"/>
  <c r="F163" i="27"/>
  <c r="F164" i="27"/>
  <c r="F165" i="27"/>
  <c r="F166" i="27"/>
  <c r="F167" i="27"/>
  <c r="F168" i="27"/>
  <c r="F169" i="27"/>
  <c r="F170" i="27"/>
  <c r="F171" i="27"/>
  <c r="F172" i="27"/>
  <c r="F173" i="27"/>
  <c r="F174" i="27"/>
  <c r="F175" i="27"/>
  <c r="F176" i="27"/>
  <c r="F177" i="27"/>
  <c r="F178" i="27"/>
  <c r="F179" i="27"/>
  <c r="F180" i="27"/>
  <c r="F181" i="27"/>
  <c r="F182" i="27"/>
  <c r="F183" i="27"/>
  <c r="F184" i="27"/>
  <c r="F185" i="27"/>
  <c r="F186" i="27"/>
  <c r="F187" i="27"/>
  <c r="F188" i="27"/>
  <c r="F189" i="27"/>
  <c r="F190" i="27"/>
  <c r="F191" i="27"/>
  <c r="F192" i="27"/>
  <c r="F3" i="27"/>
  <c r="E2" i="27"/>
  <c r="A68" i="27"/>
  <c r="A3" i="27"/>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Q35" i="27"/>
  <c r="Q36" i="27"/>
  <c r="Q37" i="27"/>
  <c r="Q38" i="27"/>
  <c r="Q39" i="27"/>
  <c r="Q40" i="27"/>
  <c r="Q41" i="27"/>
  <c r="Q42" i="27"/>
  <c r="Q43" i="27"/>
  <c r="Q44" i="27"/>
  <c r="Q45" i="27"/>
  <c r="Q46" i="27"/>
  <c r="Q47" i="27"/>
  <c r="Q48" i="27"/>
  <c r="Q49" i="27"/>
  <c r="Q50" i="27"/>
  <c r="Q51" i="27"/>
  <c r="Q52" i="27"/>
  <c r="Q53" i="27"/>
  <c r="Q54" i="27"/>
  <c r="Q55" i="27"/>
  <c r="Q56" i="27"/>
  <c r="Q57" i="27"/>
  <c r="Q58" i="27"/>
  <c r="Q59" i="27"/>
  <c r="Q60" i="27"/>
  <c r="Q61" i="27"/>
  <c r="Q62" i="27"/>
  <c r="Q63" i="27"/>
  <c r="Q64" i="27"/>
  <c r="Q65" i="27"/>
  <c r="Q66" i="27"/>
  <c r="Q67" i="27"/>
  <c r="Q68" i="27"/>
  <c r="Q69" i="27"/>
  <c r="Q70" i="27"/>
  <c r="Q71" i="27"/>
  <c r="Q72" i="27"/>
  <c r="Q73" i="27"/>
  <c r="Q74" i="27"/>
  <c r="Q75" i="27"/>
  <c r="Q76" i="27"/>
  <c r="Q77" i="27"/>
  <c r="Q78" i="27"/>
  <c r="Q79" i="27"/>
  <c r="Q80" i="27"/>
  <c r="Q81" i="27"/>
  <c r="Q82" i="27"/>
  <c r="Q83" i="27"/>
  <c r="Q84" i="27"/>
  <c r="Q85" i="27"/>
  <c r="Q86" i="27"/>
  <c r="Q87" i="27"/>
  <c r="Q88" i="27"/>
  <c r="Q89" i="27"/>
  <c r="Q90" i="27"/>
  <c r="Q91" i="27"/>
  <c r="Q92" i="27"/>
  <c r="Q93" i="27"/>
  <c r="Q94" i="27"/>
  <c r="Q95" i="27"/>
  <c r="Q96" i="27"/>
  <c r="Q97" i="27"/>
  <c r="Q98" i="27"/>
  <c r="Q99" i="27"/>
  <c r="Q100" i="27"/>
  <c r="Q101" i="27"/>
  <c r="Q102" i="27"/>
  <c r="Q103" i="27"/>
  <c r="Q104" i="27"/>
  <c r="Q105" i="27"/>
  <c r="Q106" i="27"/>
  <c r="Q107" i="27"/>
  <c r="Q108" i="27"/>
  <c r="Q109" i="27"/>
  <c r="Q110" i="27"/>
  <c r="Q111" i="27"/>
  <c r="Q112" i="27"/>
  <c r="Q113" i="27"/>
  <c r="Q114" i="27"/>
  <c r="Q115" i="27"/>
  <c r="Q116" i="27"/>
  <c r="Q117" i="27"/>
  <c r="Q118" i="27"/>
  <c r="Q119" i="27"/>
  <c r="Q120" i="27"/>
  <c r="Q121" i="27"/>
  <c r="Q122" i="27"/>
  <c r="Q123" i="27"/>
  <c r="Q124" i="27"/>
  <c r="Q125" i="27"/>
  <c r="Q126" i="27"/>
  <c r="Q127" i="27"/>
  <c r="Q128" i="27"/>
  <c r="Q129" i="27"/>
  <c r="Q130" i="27"/>
  <c r="Q131" i="27"/>
  <c r="Q132" i="27"/>
  <c r="Q133" i="27"/>
  <c r="Q134" i="27"/>
  <c r="Q135" i="27"/>
  <c r="Q136" i="27"/>
  <c r="Q137" i="27"/>
  <c r="Q138" i="27"/>
  <c r="Q139" i="27"/>
  <c r="Q140" i="27"/>
  <c r="Q141" i="27"/>
  <c r="Q142" i="27"/>
  <c r="Q143" i="27"/>
  <c r="Q144" i="27"/>
  <c r="Q145" i="27"/>
  <c r="Q146" i="27"/>
  <c r="Q147" i="27"/>
  <c r="Q148" i="27"/>
  <c r="Q149" i="27"/>
  <c r="Q150" i="27"/>
  <c r="Q151" i="27"/>
  <c r="Q152" i="27"/>
  <c r="Q153" i="27"/>
  <c r="Q154" i="27"/>
  <c r="Q155" i="27"/>
  <c r="Q156" i="27"/>
  <c r="Q157" i="27"/>
  <c r="Q158" i="27"/>
  <c r="Q159" i="27"/>
  <c r="Q160" i="27"/>
  <c r="Q161" i="27"/>
  <c r="Q162" i="27"/>
  <c r="Q163" i="27"/>
  <c r="Q164" i="27"/>
  <c r="Q165" i="27"/>
  <c r="Q166" i="27"/>
  <c r="Q167" i="27"/>
  <c r="Q168" i="27"/>
  <c r="Q169" i="27"/>
  <c r="Q170" i="27"/>
  <c r="Q171" i="27"/>
  <c r="Q172" i="27"/>
  <c r="Q173" i="27"/>
  <c r="Q174" i="27"/>
  <c r="Q175" i="27"/>
  <c r="Q176" i="27"/>
  <c r="Q177" i="27"/>
  <c r="Q178" i="27"/>
  <c r="Q179" i="27"/>
  <c r="Q180" i="27"/>
  <c r="Q181" i="27"/>
  <c r="Q182" i="27"/>
  <c r="Q183" i="27"/>
  <c r="Q184" i="27"/>
  <c r="Q185" i="27"/>
  <c r="Q186" i="27"/>
  <c r="Q187" i="27"/>
  <c r="Q188" i="27"/>
  <c r="Q189" i="27"/>
  <c r="Q190" i="27"/>
  <c r="Q191" i="27"/>
  <c r="Q192" i="27"/>
  <c r="Q193" i="27"/>
  <c r="Q194" i="27"/>
  <c r="Q5"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7" i="27"/>
  <c r="A38" i="27"/>
  <c r="A39" i="27"/>
  <c r="A40" i="27"/>
  <c r="A41" i="27"/>
  <c r="A45" i="27"/>
  <c r="A46" i="27"/>
  <c r="A47" i="27"/>
  <c r="A48" i="27"/>
  <c r="A49" i="27"/>
  <c r="A50" i="27"/>
  <c r="A51" i="27"/>
  <c r="A52" i="27"/>
  <c r="A53" i="27"/>
  <c r="A54" i="27"/>
  <c r="A55" i="27"/>
  <c r="A56" i="27"/>
  <c r="A57" i="27"/>
  <c r="A58" i="27"/>
  <c r="A59" i="27"/>
  <c r="A60" i="27"/>
  <c r="A61" i="27"/>
  <c r="A62" i="27"/>
  <c r="A63" i="27"/>
  <c r="A64" i="27"/>
  <c r="A65" i="27"/>
  <c r="A66" i="27"/>
  <c r="A5" i="27"/>
  <c r="E3" i="27"/>
  <c r="S194" i="27"/>
  <c r="S193" i="27"/>
  <c r="S192" i="27"/>
  <c r="S191" i="27"/>
  <c r="S190" i="27"/>
  <c r="S189" i="27"/>
  <c r="S188" i="27"/>
  <c r="S187" i="27"/>
  <c r="S186" i="27"/>
  <c r="S185" i="27"/>
  <c r="S184" i="27"/>
  <c r="S183" i="27"/>
  <c r="S182" i="27"/>
  <c r="S181" i="27"/>
  <c r="S180" i="27"/>
  <c r="S179" i="27"/>
  <c r="S178" i="27"/>
  <c r="S177" i="27"/>
  <c r="S176" i="27"/>
  <c r="S175" i="27"/>
  <c r="S174" i="27"/>
  <c r="S173" i="27"/>
  <c r="S172" i="27"/>
  <c r="S171" i="27"/>
  <c r="S170" i="27"/>
  <c r="S169" i="27"/>
  <c r="S168" i="27"/>
  <c r="S167" i="27"/>
  <c r="S166" i="27"/>
  <c r="S165" i="27"/>
  <c r="S164" i="27"/>
  <c r="S163" i="27"/>
  <c r="S162" i="27"/>
  <c r="S161" i="27"/>
  <c r="S160" i="27"/>
  <c r="S159" i="27"/>
  <c r="S158" i="27"/>
  <c r="S157" i="27"/>
  <c r="S156" i="27"/>
  <c r="S155" i="27"/>
  <c r="S154" i="27"/>
  <c r="S153" i="27"/>
  <c r="S152" i="27"/>
  <c r="S151" i="27"/>
  <c r="S150" i="27"/>
  <c r="S149" i="27"/>
  <c r="S148" i="27"/>
  <c r="S147" i="27"/>
  <c r="S146" i="27"/>
  <c r="S145" i="27"/>
  <c r="S144" i="27"/>
  <c r="S143" i="27"/>
  <c r="S142" i="27"/>
  <c r="S141" i="27"/>
  <c r="S140" i="27"/>
  <c r="S139" i="27"/>
  <c r="S138" i="27"/>
  <c r="S137" i="27"/>
  <c r="S136" i="27"/>
  <c r="S135" i="27"/>
  <c r="S134" i="27"/>
  <c r="S133" i="27"/>
  <c r="S132" i="27"/>
  <c r="S131" i="27"/>
  <c r="S130" i="27"/>
  <c r="S129" i="27"/>
  <c r="S128" i="27"/>
  <c r="S127" i="27"/>
  <c r="S126" i="27"/>
  <c r="S125" i="27"/>
  <c r="S124" i="27"/>
  <c r="S123" i="27"/>
  <c r="S122" i="27"/>
  <c r="S121" i="27"/>
  <c r="S120" i="27"/>
  <c r="S119" i="27"/>
  <c r="S118" i="27"/>
  <c r="S117" i="27"/>
  <c r="S116" i="27"/>
  <c r="S115" i="27"/>
  <c r="S114" i="27"/>
  <c r="S113" i="27"/>
  <c r="S112" i="27"/>
  <c r="S111" i="27"/>
  <c r="S110" i="27"/>
  <c r="S109" i="27"/>
  <c r="S108" i="27"/>
  <c r="S107" i="27"/>
  <c r="S106" i="27"/>
  <c r="S105" i="27"/>
  <c r="S104" i="27"/>
  <c r="S103" i="27"/>
  <c r="S102" i="27"/>
  <c r="S101" i="27"/>
  <c r="S100" i="27"/>
  <c r="S99" i="27"/>
  <c r="S98" i="27"/>
  <c r="S97" i="27"/>
  <c r="S96" i="27"/>
  <c r="S95" i="27"/>
  <c r="S94" i="27"/>
  <c r="S93" i="27"/>
  <c r="S92" i="27"/>
  <c r="S91" i="27"/>
  <c r="S90" i="27"/>
  <c r="S89" i="27"/>
  <c r="S88" i="27"/>
  <c r="S87" i="27"/>
  <c r="S86" i="27"/>
  <c r="S85" i="27"/>
  <c r="S84" i="27"/>
  <c r="S83" i="27"/>
  <c r="S82" i="27"/>
  <c r="S81" i="27"/>
  <c r="S80" i="27"/>
  <c r="S79" i="27"/>
  <c r="S78" i="27"/>
  <c r="S77" i="27"/>
  <c r="S76" i="27"/>
  <c r="S75" i="27"/>
  <c r="S74" i="27"/>
  <c r="S73" i="27"/>
  <c r="S72" i="27"/>
  <c r="S71" i="27"/>
  <c r="S70" i="27"/>
  <c r="S69" i="27"/>
  <c r="S68" i="27"/>
  <c r="S67" i="27"/>
  <c r="S66" i="27"/>
  <c r="S65" i="27"/>
  <c r="S64" i="27"/>
  <c r="S63" i="27"/>
  <c r="S62" i="27"/>
  <c r="S61" i="27"/>
  <c r="S60" i="27"/>
  <c r="S59" i="27"/>
  <c r="S58" i="27"/>
  <c r="S57" i="27"/>
  <c r="S56" i="27"/>
  <c r="S55" i="27"/>
  <c r="S54" i="27"/>
  <c r="S53" i="27"/>
  <c r="S52" i="27"/>
  <c r="S51" i="27"/>
  <c r="S50" i="27"/>
  <c r="S49" i="27"/>
  <c r="S48" i="27"/>
  <c r="S47" i="27"/>
  <c r="S46" i="27"/>
  <c r="S45" i="27"/>
  <c r="S44" i="27"/>
  <c r="S43" i="27"/>
  <c r="S42" i="27"/>
  <c r="S41" i="27"/>
  <c r="S40" i="27"/>
  <c r="S39" i="27"/>
  <c r="S38" i="27"/>
  <c r="S37" i="27"/>
  <c r="S36" i="27"/>
  <c r="S35" i="27"/>
  <c r="S34" i="27"/>
  <c r="S33" i="27"/>
  <c r="S32" i="27"/>
  <c r="S31" i="27"/>
  <c r="S30" i="27"/>
  <c r="S29" i="27"/>
  <c r="S28" i="27"/>
  <c r="S27" i="27"/>
  <c r="S26" i="27"/>
  <c r="S25" i="27"/>
  <c r="S24" i="27"/>
  <c r="S23" i="27"/>
  <c r="S22" i="27"/>
  <c r="S21" i="27"/>
  <c r="S20" i="27"/>
  <c r="S19" i="27"/>
  <c r="S18" i="27"/>
  <c r="S17" i="27"/>
  <c r="S16" i="27"/>
  <c r="S15" i="27"/>
  <c r="S14" i="27"/>
  <c r="S13" i="27"/>
  <c r="S12" i="27"/>
  <c r="S11" i="27"/>
  <c r="S10" i="27"/>
  <c r="S9" i="27"/>
  <c r="S8" i="27"/>
  <c r="S7" i="27"/>
  <c r="S6" i="27"/>
  <c r="S5" i="27"/>
  <c r="BB4" i="29"/>
  <c r="BB5" i="29"/>
  <c r="BB6" i="29"/>
  <c r="BB7" i="29"/>
  <c r="BB8" i="29"/>
  <c r="BB9" i="29"/>
  <c r="BB10" i="29"/>
  <c r="BB11" i="29"/>
  <c r="BB12" i="29"/>
  <c r="BB13" i="29"/>
  <c r="BB14" i="29"/>
  <c r="BB15" i="29"/>
  <c r="BB16" i="29"/>
  <c r="BB17" i="29"/>
  <c r="BB18" i="29"/>
  <c r="BB19" i="29"/>
  <c r="BB20" i="29"/>
  <c r="BB21" i="29"/>
  <c r="BB22" i="29"/>
  <c r="BB23" i="29"/>
  <c r="BB24" i="29"/>
  <c r="BB25" i="29"/>
  <c r="BB26" i="29"/>
  <c r="BB27" i="29"/>
  <c r="BB28" i="29"/>
  <c r="BB29" i="29"/>
  <c r="BB30" i="29"/>
  <c r="BB31" i="29"/>
  <c r="BB32" i="29"/>
  <c r="BB33" i="29"/>
  <c r="BB34" i="29"/>
  <c r="BB35" i="29"/>
  <c r="BB36" i="29"/>
  <c r="BB37" i="29"/>
  <c r="BB38" i="29"/>
  <c r="BB39" i="29"/>
  <c r="BB40" i="29"/>
  <c r="BB41" i="29"/>
  <c r="BB42" i="29"/>
  <c r="BB43" i="29"/>
  <c r="BB44" i="29"/>
  <c r="BB45" i="29"/>
  <c r="BB46" i="29"/>
  <c r="BB47" i="29"/>
  <c r="BB48" i="29"/>
  <c r="BB49" i="29"/>
  <c r="BB50" i="29"/>
  <c r="BB51" i="29"/>
  <c r="BB52" i="29"/>
  <c r="BB53" i="29"/>
  <c r="BB54" i="29"/>
  <c r="BB55" i="29"/>
  <c r="BB56" i="29"/>
  <c r="BB57" i="29"/>
  <c r="BB58" i="29"/>
  <c r="BB59" i="29"/>
  <c r="BB60" i="29"/>
  <c r="BB61" i="29"/>
  <c r="BB62" i="29"/>
  <c r="BB63" i="29"/>
  <c r="BB64" i="29"/>
  <c r="BB65" i="29"/>
  <c r="BB66" i="29"/>
  <c r="BB67" i="29"/>
  <c r="BB68" i="29"/>
  <c r="BB69" i="29"/>
  <c r="BB70" i="29"/>
  <c r="BB71" i="29"/>
  <c r="BB72" i="29"/>
  <c r="BB73" i="29"/>
  <c r="BB74" i="29"/>
  <c r="BB75" i="29"/>
  <c r="BB76" i="29"/>
  <c r="BB77" i="29"/>
  <c r="BB78" i="29"/>
  <c r="BB79" i="29"/>
  <c r="BB80" i="29"/>
  <c r="BB81" i="29"/>
  <c r="BB82" i="29"/>
  <c r="BB83" i="29"/>
  <c r="BB84" i="29"/>
  <c r="BB85" i="29"/>
  <c r="BB86" i="29"/>
  <c r="BB87" i="29"/>
  <c r="BB88" i="29"/>
  <c r="BB89" i="29"/>
  <c r="BB90" i="29"/>
  <c r="BB91" i="29"/>
  <c r="BB92" i="29"/>
  <c r="BB93" i="29"/>
  <c r="BB94" i="29"/>
  <c r="BB95" i="29"/>
  <c r="BB96" i="29"/>
  <c r="BB97" i="29"/>
  <c r="BB98" i="29"/>
  <c r="BB99" i="29"/>
  <c r="BB100" i="29"/>
  <c r="BB101" i="29"/>
  <c r="BB102" i="29"/>
  <c r="BB103" i="29"/>
  <c r="BB104" i="29"/>
  <c r="BB105" i="29"/>
  <c r="BB106" i="29"/>
  <c r="BB107" i="29"/>
  <c r="BB108" i="29"/>
  <c r="BB109" i="29"/>
  <c r="BB110" i="29"/>
  <c r="BB111" i="29"/>
  <c r="BB112" i="29"/>
  <c r="BB113" i="29"/>
  <c r="BB114" i="29"/>
  <c r="BB115" i="29"/>
  <c r="BB116" i="29"/>
  <c r="BB117" i="29"/>
  <c r="BB118" i="29"/>
  <c r="BB119" i="29"/>
  <c r="BB120" i="29"/>
  <c r="BB121" i="29"/>
  <c r="BB122" i="29"/>
  <c r="BB123" i="29"/>
  <c r="BB124" i="29"/>
  <c r="BB125" i="29"/>
  <c r="BB126" i="29"/>
  <c r="BB127" i="29"/>
  <c r="BB128" i="29"/>
  <c r="BB129" i="29"/>
  <c r="BB130" i="29"/>
  <c r="BB131" i="29"/>
  <c r="BB132" i="29"/>
  <c r="BB133" i="29"/>
  <c r="BB134" i="29"/>
  <c r="BB135" i="29"/>
  <c r="BB136" i="29"/>
  <c r="BB137" i="29"/>
  <c r="BB138" i="29"/>
  <c r="BB139" i="29"/>
  <c r="BB140" i="29"/>
  <c r="BB141" i="29"/>
  <c r="BB142" i="29"/>
  <c r="BB143" i="29"/>
  <c r="BB144" i="29"/>
  <c r="BB145" i="29"/>
  <c r="BB146" i="29"/>
  <c r="BB147" i="29"/>
  <c r="BB148" i="29"/>
  <c r="BB149" i="29"/>
  <c r="BB150" i="29"/>
  <c r="BB151" i="29"/>
  <c r="BB152" i="29"/>
  <c r="BB153" i="29"/>
  <c r="BB154" i="29"/>
  <c r="BB155" i="29"/>
  <c r="BB156" i="29"/>
  <c r="BB157" i="29"/>
  <c r="BB158" i="29"/>
  <c r="BB159" i="29"/>
  <c r="BB160" i="29"/>
  <c r="BB161" i="29"/>
  <c r="BB162" i="29"/>
  <c r="BB163" i="29"/>
  <c r="BB164" i="29"/>
  <c r="BB165" i="29"/>
  <c r="BB166" i="29"/>
  <c r="BB167" i="29"/>
  <c r="BB168" i="29"/>
  <c r="BB169" i="29"/>
  <c r="BB170" i="29"/>
  <c r="BB171" i="29"/>
  <c r="BB172" i="29"/>
  <c r="BB173" i="29"/>
  <c r="BB174" i="29"/>
  <c r="BB175" i="29"/>
  <c r="BB176" i="29"/>
  <c r="BB177" i="29"/>
  <c r="BB178" i="29"/>
  <c r="BB179" i="29"/>
  <c r="BB180" i="29"/>
  <c r="BB181" i="29"/>
  <c r="BB182" i="29"/>
  <c r="BB183" i="29"/>
  <c r="BB184" i="29"/>
  <c r="BB185" i="29"/>
  <c r="BB186" i="29"/>
  <c r="BB187" i="29"/>
  <c r="BB188" i="29"/>
  <c r="BB189" i="29"/>
  <c r="BB190" i="29"/>
  <c r="BB191" i="29"/>
  <c r="BB192" i="29"/>
  <c r="BB193" i="29"/>
  <c r="BN194" i="29"/>
  <c r="BO1" i="29"/>
  <c r="BN1" i="29"/>
  <c r="BP194" i="29"/>
  <c r="BM194" i="29"/>
  <c r="BM1" i="29"/>
  <c r="BL194" i="29"/>
  <c r="BL1" i="29"/>
  <c r="BK5" i="29"/>
  <c r="BK6" i="29"/>
  <c r="BK7" i="29"/>
  <c r="BK8" i="29"/>
  <c r="BK9" i="29"/>
  <c r="BK10" i="29"/>
  <c r="BK11" i="29"/>
  <c r="BK12" i="29"/>
  <c r="BK13" i="29"/>
  <c r="BK14" i="29"/>
  <c r="BK15" i="29"/>
  <c r="BK16" i="29"/>
  <c r="BK17" i="29"/>
  <c r="BK18" i="29"/>
  <c r="BK19" i="29"/>
  <c r="BK20" i="29"/>
  <c r="BK21" i="29"/>
  <c r="BK22" i="29"/>
  <c r="BK23" i="29"/>
  <c r="BK24" i="29"/>
  <c r="BK25" i="29"/>
  <c r="BK26" i="29"/>
  <c r="BK27" i="29"/>
  <c r="BK28" i="29"/>
  <c r="BK29" i="29"/>
  <c r="BK30" i="29"/>
  <c r="BK31" i="29"/>
  <c r="BK32" i="29"/>
  <c r="BK33" i="29"/>
  <c r="BK34" i="29"/>
  <c r="BK35" i="29"/>
  <c r="BK36" i="29"/>
  <c r="BK37" i="29"/>
  <c r="BK38" i="29"/>
  <c r="BK39" i="29"/>
  <c r="BK40" i="29"/>
  <c r="BK41" i="29"/>
  <c r="BK42" i="29"/>
  <c r="BK43" i="29"/>
  <c r="BK44" i="29"/>
  <c r="BK45" i="29"/>
  <c r="BK46" i="29"/>
  <c r="BK47" i="29"/>
  <c r="BK48" i="29"/>
  <c r="BK49" i="29"/>
  <c r="BK50" i="29"/>
  <c r="BK51" i="29"/>
  <c r="BK52" i="29"/>
  <c r="BK53" i="29"/>
  <c r="BK54" i="29"/>
  <c r="BK55" i="29"/>
  <c r="BK56" i="29"/>
  <c r="BK57" i="29"/>
  <c r="BK58" i="29"/>
  <c r="BK59" i="29"/>
  <c r="BK60" i="29"/>
  <c r="BK61" i="29"/>
  <c r="BK62" i="29"/>
  <c r="BK63" i="29"/>
  <c r="BK64" i="29"/>
  <c r="BK65" i="29"/>
  <c r="BK66" i="29"/>
  <c r="BK67" i="29"/>
  <c r="BK68" i="29"/>
  <c r="BK69" i="29"/>
  <c r="BK70" i="29"/>
  <c r="BK71" i="29"/>
  <c r="BK72" i="29"/>
  <c r="BK73" i="29"/>
  <c r="BK74" i="29"/>
  <c r="BK75" i="29"/>
  <c r="BK76" i="29"/>
  <c r="BK77" i="29"/>
  <c r="BK78" i="29"/>
  <c r="BK79" i="29"/>
  <c r="BK80" i="29"/>
  <c r="BK81" i="29"/>
  <c r="BK82" i="29"/>
  <c r="BK83" i="29"/>
  <c r="BK84" i="29"/>
  <c r="BK85" i="29"/>
  <c r="BK86" i="29"/>
  <c r="BK87" i="29"/>
  <c r="BK88" i="29"/>
  <c r="BK89" i="29"/>
  <c r="BK90" i="29"/>
  <c r="BK91" i="29"/>
  <c r="BK92" i="29"/>
  <c r="BK93" i="29"/>
  <c r="BK94" i="29"/>
  <c r="BK95" i="29"/>
  <c r="BK96" i="29"/>
  <c r="BK97" i="29"/>
  <c r="BK98" i="29"/>
  <c r="BK99" i="29"/>
  <c r="BK100" i="29"/>
  <c r="BK101" i="29"/>
  <c r="BK102" i="29"/>
  <c r="BK103" i="29"/>
  <c r="BK104" i="29"/>
  <c r="BK105" i="29"/>
  <c r="BK106" i="29"/>
  <c r="BK107" i="29"/>
  <c r="BK108" i="29"/>
  <c r="BK109" i="29"/>
  <c r="BK110" i="29"/>
  <c r="BK111" i="29"/>
  <c r="BK112" i="29"/>
  <c r="BK113" i="29"/>
  <c r="BK114" i="29"/>
  <c r="BK115" i="29"/>
  <c r="BK116" i="29"/>
  <c r="BK117" i="29"/>
  <c r="BK118" i="29"/>
  <c r="BK119" i="29"/>
  <c r="BK120" i="29"/>
  <c r="BK121" i="29"/>
  <c r="BK122" i="29"/>
  <c r="BK123" i="29"/>
  <c r="BK124" i="29"/>
  <c r="BK125" i="29"/>
  <c r="BK126" i="29"/>
  <c r="BK127" i="29"/>
  <c r="BK128" i="29"/>
  <c r="BK129" i="29"/>
  <c r="BK130" i="29"/>
  <c r="BK131" i="29"/>
  <c r="BK132" i="29"/>
  <c r="BK133" i="29"/>
  <c r="BK134" i="29"/>
  <c r="BK135" i="29"/>
  <c r="BK136" i="29"/>
  <c r="BK137" i="29"/>
  <c r="BK138" i="29"/>
  <c r="BK139" i="29"/>
  <c r="BK140" i="29"/>
  <c r="BK141" i="29"/>
  <c r="BK142" i="29"/>
  <c r="BK143" i="29"/>
  <c r="BK144" i="29"/>
  <c r="BK145" i="29"/>
  <c r="BK146" i="29"/>
  <c r="BK147" i="29"/>
  <c r="BK148" i="29"/>
  <c r="BK149" i="29"/>
  <c r="BK150" i="29"/>
  <c r="BK151" i="29"/>
  <c r="BK152" i="29"/>
  <c r="BK153" i="29"/>
  <c r="BK154" i="29"/>
  <c r="BK155" i="29"/>
  <c r="BK156" i="29"/>
  <c r="BK157" i="29"/>
  <c r="BK158" i="29"/>
  <c r="BK159" i="29"/>
  <c r="BK160" i="29"/>
  <c r="BK161" i="29"/>
  <c r="BK162" i="29"/>
  <c r="BK163" i="29"/>
  <c r="BK164" i="29"/>
  <c r="BK165" i="29"/>
  <c r="BK166" i="29"/>
  <c r="BK167" i="29"/>
  <c r="BK168" i="29"/>
  <c r="BK169" i="29"/>
  <c r="BK170" i="29"/>
  <c r="BK171" i="29"/>
  <c r="BK172" i="29"/>
  <c r="BK173" i="29"/>
  <c r="BK174" i="29"/>
  <c r="BK175" i="29"/>
  <c r="BK176" i="29"/>
  <c r="BK177" i="29"/>
  <c r="BK178" i="29"/>
  <c r="BK179" i="29"/>
  <c r="BK180" i="29"/>
  <c r="BK181" i="29"/>
  <c r="BK182" i="29"/>
  <c r="BK183" i="29"/>
  <c r="BK184" i="29"/>
  <c r="BK185" i="29"/>
  <c r="BK186" i="29"/>
  <c r="BK187" i="29"/>
  <c r="BK188" i="29"/>
  <c r="BK189" i="29"/>
  <c r="BK190" i="29"/>
  <c r="BK191" i="29"/>
  <c r="BK192" i="29"/>
  <c r="BK193" i="29"/>
  <c r="BK194" i="29"/>
  <c r="BK4" i="29"/>
  <c r="BK1" i="29"/>
  <c r="BJ194" i="29"/>
  <c r="BJ1" i="29"/>
  <c r="BI194" i="29"/>
  <c r="BI4" i="29"/>
  <c r="BI1" i="29"/>
  <c r="BH5" i="29"/>
  <c r="BH6" i="29"/>
  <c r="BH7" i="29"/>
  <c r="BH8" i="29"/>
  <c r="BH9" i="29"/>
  <c r="BH10" i="29"/>
  <c r="BH11" i="29"/>
  <c r="BH12" i="29"/>
  <c r="BH13" i="29"/>
  <c r="BH14" i="29"/>
  <c r="BH15" i="29"/>
  <c r="BH16" i="29"/>
  <c r="BH17" i="29"/>
  <c r="BH18" i="29"/>
  <c r="BH19" i="29"/>
  <c r="BH20" i="29"/>
  <c r="BH21" i="29"/>
  <c r="BH22" i="29"/>
  <c r="BH23" i="29"/>
  <c r="BH24" i="29"/>
  <c r="BH25" i="29"/>
  <c r="BH26" i="29"/>
  <c r="BH27" i="29"/>
  <c r="BH28" i="29"/>
  <c r="BH29" i="29"/>
  <c r="BH30" i="29"/>
  <c r="BH31" i="29"/>
  <c r="BH32" i="29"/>
  <c r="BH33" i="29"/>
  <c r="BH34" i="29"/>
  <c r="BH35" i="29"/>
  <c r="BH36" i="29"/>
  <c r="BH37" i="29"/>
  <c r="BH38" i="29"/>
  <c r="BH39" i="29"/>
  <c r="BH40" i="29"/>
  <c r="BH41" i="29"/>
  <c r="BH42" i="29"/>
  <c r="BH43" i="29"/>
  <c r="BH44" i="29"/>
  <c r="BH45" i="29"/>
  <c r="BH46" i="29"/>
  <c r="BH47" i="29"/>
  <c r="BH48" i="29"/>
  <c r="BH49" i="29"/>
  <c r="BH50" i="29"/>
  <c r="BH51" i="29"/>
  <c r="BH52" i="29"/>
  <c r="BH53" i="29"/>
  <c r="BH54" i="29"/>
  <c r="BH55" i="29"/>
  <c r="BH56" i="29"/>
  <c r="BH57" i="29"/>
  <c r="BH58" i="29"/>
  <c r="BH59" i="29"/>
  <c r="BH60" i="29"/>
  <c r="BH61" i="29"/>
  <c r="BH62" i="29"/>
  <c r="BH63" i="29"/>
  <c r="BH64" i="29"/>
  <c r="BH65" i="29"/>
  <c r="BH66" i="29"/>
  <c r="BH67" i="29"/>
  <c r="BH68" i="29"/>
  <c r="BH69" i="29"/>
  <c r="BH70" i="29"/>
  <c r="BH71" i="29"/>
  <c r="BH72" i="29"/>
  <c r="BH73" i="29"/>
  <c r="BH74" i="29"/>
  <c r="BH75" i="29"/>
  <c r="BH76" i="29"/>
  <c r="BH77" i="29"/>
  <c r="BH78" i="29"/>
  <c r="BH79" i="29"/>
  <c r="BH80" i="29"/>
  <c r="BH81" i="29"/>
  <c r="BH82" i="29"/>
  <c r="BH83" i="29"/>
  <c r="BH84" i="29"/>
  <c r="BH85" i="29"/>
  <c r="BH86" i="29"/>
  <c r="BH87" i="29"/>
  <c r="BH88" i="29"/>
  <c r="BH89" i="29"/>
  <c r="BH90" i="29"/>
  <c r="BH91" i="29"/>
  <c r="BH92" i="29"/>
  <c r="BH93" i="29"/>
  <c r="BH94" i="29"/>
  <c r="BH95" i="29"/>
  <c r="BH96" i="29"/>
  <c r="BH97" i="29"/>
  <c r="BH98" i="29"/>
  <c r="BH99" i="29"/>
  <c r="BH100" i="29"/>
  <c r="BH101" i="29"/>
  <c r="BH102" i="29"/>
  <c r="BH103" i="29"/>
  <c r="BH104" i="29"/>
  <c r="BH105" i="29"/>
  <c r="BH106" i="29"/>
  <c r="BH107" i="29"/>
  <c r="BH108" i="29"/>
  <c r="BH109" i="29"/>
  <c r="BH110" i="29"/>
  <c r="BH111" i="29"/>
  <c r="BH112" i="29"/>
  <c r="BH113" i="29"/>
  <c r="BH114" i="29"/>
  <c r="BH115" i="29"/>
  <c r="BH116" i="29"/>
  <c r="BH117" i="29"/>
  <c r="BH118" i="29"/>
  <c r="BH119" i="29"/>
  <c r="BH120" i="29"/>
  <c r="BH121" i="29"/>
  <c r="BH122" i="29"/>
  <c r="BH123" i="29"/>
  <c r="BH124" i="29"/>
  <c r="BH125" i="29"/>
  <c r="BH126" i="29"/>
  <c r="BH127" i="29"/>
  <c r="BH128" i="29"/>
  <c r="BH129" i="29"/>
  <c r="BH130" i="29"/>
  <c r="BH131" i="29"/>
  <c r="BH132" i="29"/>
  <c r="BH133" i="29"/>
  <c r="BH134" i="29"/>
  <c r="BH135" i="29"/>
  <c r="BH136" i="29"/>
  <c r="BH137" i="29"/>
  <c r="BH138" i="29"/>
  <c r="BH139" i="29"/>
  <c r="BH140" i="29"/>
  <c r="BH141" i="29"/>
  <c r="BH142" i="29"/>
  <c r="BH143" i="29"/>
  <c r="BH144" i="29"/>
  <c r="BH145" i="29"/>
  <c r="BH146" i="29"/>
  <c r="BH147" i="29"/>
  <c r="BH148" i="29"/>
  <c r="BH149" i="29"/>
  <c r="BH150" i="29"/>
  <c r="BH151" i="29"/>
  <c r="BH152" i="29"/>
  <c r="BH153" i="29"/>
  <c r="BH154" i="29"/>
  <c r="BH155" i="29"/>
  <c r="BH156" i="29"/>
  <c r="BH157" i="29"/>
  <c r="BH158" i="29"/>
  <c r="BH159" i="29"/>
  <c r="BH160" i="29"/>
  <c r="BH161" i="29"/>
  <c r="BH162" i="29"/>
  <c r="BH163" i="29"/>
  <c r="BH164" i="29"/>
  <c r="BH165" i="29"/>
  <c r="BH166" i="29"/>
  <c r="BH167" i="29"/>
  <c r="BH168" i="29"/>
  <c r="BH169" i="29"/>
  <c r="BH170" i="29"/>
  <c r="BH171" i="29"/>
  <c r="BH172" i="29"/>
  <c r="BH173" i="29"/>
  <c r="BH174" i="29"/>
  <c r="BH175" i="29"/>
  <c r="BH176" i="29"/>
  <c r="BH177" i="29"/>
  <c r="BH178" i="29"/>
  <c r="BH179" i="29"/>
  <c r="BH180" i="29"/>
  <c r="BH181" i="29"/>
  <c r="BH182" i="29"/>
  <c r="BH183" i="29"/>
  <c r="BH184" i="29"/>
  <c r="BH185" i="29"/>
  <c r="BH186" i="29"/>
  <c r="BH187" i="29"/>
  <c r="BH188" i="29"/>
  <c r="BH189" i="29"/>
  <c r="BH190" i="29"/>
  <c r="BH191" i="29"/>
  <c r="BH192" i="29"/>
  <c r="BH193" i="29"/>
  <c r="BH194" i="29"/>
  <c r="BH4" i="29"/>
  <c r="BG82" i="29"/>
  <c r="BG83" i="29"/>
  <c r="BG84" i="29"/>
  <c r="BG85" i="29"/>
  <c r="BG86" i="29"/>
  <c r="BG87" i="29"/>
  <c r="BG88" i="29"/>
  <c r="BG89" i="29"/>
  <c r="BG90" i="29"/>
  <c r="BG91" i="29"/>
  <c r="BG92" i="29"/>
  <c r="BG93" i="29"/>
  <c r="BG94" i="29"/>
  <c r="BG95" i="29"/>
  <c r="BG96" i="29"/>
  <c r="BG97" i="29"/>
  <c r="BG98" i="29"/>
  <c r="BG99" i="29"/>
  <c r="BG100" i="29"/>
  <c r="BG101" i="29"/>
  <c r="BG102" i="29"/>
  <c r="BG103" i="29"/>
  <c r="BG104" i="29"/>
  <c r="BG105" i="29"/>
  <c r="BG106" i="29"/>
  <c r="BG107" i="29"/>
  <c r="BG108" i="29"/>
  <c r="BG109" i="29"/>
  <c r="BG110" i="29"/>
  <c r="BG111" i="29"/>
  <c r="BG112" i="29"/>
  <c r="BG113" i="29"/>
  <c r="BG114" i="29"/>
  <c r="BG115" i="29"/>
  <c r="BG116" i="29"/>
  <c r="BG117" i="29"/>
  <c r="BG118" i="29"/>
  <c r="BG119" i="29"/>
  <c r="BG120" i="29"/>
  <c r="BG121" i="29"/>
  <c r="BG122" i="29"/>
  <c r="BG123" i="29"/>
  <c r="BG124" i="29"/>
  <c r="BG125" i="29"/>
  <c r="BG126" i="29"/>
  <c r="BG127" i="29"/>
  <c r="BG128" i="29"/>
  <c r="BG129" i="29"/>
  <c r="BG130" i="29"/>
  <c r="BG131" i="29"/>
  <c r="BG132" i="29"/>
  <c r="BG133" i="29"/>
  <c r="BG134" i="29"/>
  <c r="BG135" i="29"/>
  <c r="BG136" i="29"/>
  <c r="BG137" i="29"/>
  <c r="BG138" i="29"/>
  <c r="BG139" i="29"/>
  <c r="BG140" i="29"/>
  <c r="BG141" i="29"/>
  <c r="BG142" i="29"/>
  <c r="BG143" i="29"/>
  <c r="BG144" i="29"/>
  <c r="BG145" i="29"/>
  <c r="BG146" i="29"/>
  <c r="BG147" i="29"/>
  <c r="BG148" i="29"/>
  <c r="BG149" i="29"/>
  <c r="BG150" i="29"/>
  <c r="BG151" i="29"/>
  <c r="BG152" i="29"/>
  <c r="BG153" i="29"/>
  <c r="BG154" i="29"/>
  <c r="BG155" i="29"/>
  <c r="BG156" i="29"/>
  <c r="BG157" i="29"/>
  <c r="BG158" i="29"/>
  <c r="BG159" i="29"/>
  <c r="BG160" i="29"/>
  <c r="BG161" i="29"/>
  <c r="BG162" i="29"/>
  <c r="BG163" i="29"/>
  <c r="BG164" i="29"/>
  <c r="BG165" i="29"/>
  <c r="BG166" i="29"/>
  <c r="BG167" i="29"/>
  <c r="BG168" i="29"/>
  <c r="BG169" i="29"/>
  <c r="BG170" i="29"/>
  <c r="BG171" i="29"/>
  <c r="BG172" i="29"/>
  <c r="BG173" i="29"/>
  <c r="BG174" i="29"/>
  <c r="BG175" i="29"/>
  <c r="BG176" i="29"/>
  <c r="BG177" i="29"/>
  <c r="BG178" i="29"/>
  <c r="BG179" i="29"/>
  <c r="BG180" i="29"/>
  <c r="BG181" i="29"/>
  <c r="BG182" i="29"/>
  <c r="BG183" i="29"/>
  <c r="BG184" i="29"/>
  <c r="BG185" i="29"/>
  <c r="BG186" i="29"/>
  <c r="BG187" i="29"/>
  <c r="BG188" i="29"/>
  <c r="BG189" i="29"/>
  <c r="BG190" i="29"/>
  <c r="BG191" i="29"/>
  <c r="BG192" i="29"/>
  <c r="BG193" i="29"/>
  <c r="BG194" i="29"/>
  <c r="BG17" i="29"/>
  <c r="BG18" i="29"/>
  <c r="BG19" i="29"/>
  <c r="BG20" i="29"/>
  <c r="BG21" i="29"/>
  <c r="BG22" i="29"/>
  <c r="BG23" i="29"/>
  <c r="BG24" i="29"/>
  <c r="BG25" i="29"/>
  <c r="BG26" i="29"/>
  <c r="BG27" i="29"/>
  <c r="BG28" i="29"/>
  <c r="BG29" i="29"/>
  <c r="BG30" i="29"/>
  <c r="BG31" i="29"/>
  <c r="BG32" i="29"/>
  <c r="BG33" i="29"/>
  <c r="BG34" i="29"/>
  <c r="BG35" i="29"/>
  <c r="BG36" i="29"/>
  <c r="BG37" i="29"/>
  <c r="BG38" i="29"/>
  <c r="BG39" i="29"/>
  <c r="BG40" i="29"/>
  <c r="BG41" i="29"/>
  <c r="BG42" i="29"/>
  <c r="BG43" i="29"/>
  <c r="BG44" i="29"/>
  <c r="BG45" i="29"/>
  <c r="BG46" i="29"/>
  <c r="BG47" i="29"/>
  <c r="BG48" i="29"/>
  <c r="BG49" i="29"/>
  <c r="BG50" i="29"/>
  <c r="BG51" i="29"/>
  <c r="BG52" i="29"/>
  <c r="BG53" i="29"/>
  <c r="BG54" i="29"/>
  <c r="BG55" i="29"/>
  <c r="BG56" i="29"/>
  <c r="BG57" i="29"/>
  <c r="BG58" i="29"/>
  <c r="BG59" i="29"/>
  <c r="BG60" i="29"/>
  <c r="BG61" i="29"/>
  <c r="BG62" i="29"/>
  <c r="BG63" i="29"/>
  <c r="BG64" i="29"/>
  <c r="BG65" i="29"/>
  <c r="BG66" i="29"/>
  <c r="BG67" i="29"/>
  <c r="BG68" i="29"/>
  <c r="BG69" i="29"/>
  <c r="BG70" i="29"/>
  <c r="BG71" i="29"/>
  <c r="BG72" i="29"/>
  <c r="BG73" i="29"/>
  <c r="BG74" i="29"/>
  <c r="BG75" i="29"/>
  <c r="BG76" i="29"/>
  <c r="BG77" i="29"/>
  <c r="BG78" i="29"/>
  <c r="BG79" i="29"/>
  <c r="BG80" i="29"/>
  <c r="BG81" i="29"/>
  <c r="BG5" i="29"/>
  <c r="BG6" i="29"/>
  <c r="BG7" i="29"/>
  <c r="BG8" i="29"/>
  <c r="BG9" i="29"/>
  <c r="BG10" i="29"/>
  <c r="BG11" i="29"/>
  <c r="BG12" i="29"/>
  <c r="BG13" i="29"/>
  <c r="BG14" i="29"/>
  <c r="BG15" i="29"/>
  <c r="BG16" i="29"/>
  <c r="BG4" i="29"/>
  <c r="BG1" i="29"/>
  <c r="AU3" i="29"/>
  <c r="AU4" i="29"/>
  <c r="BJ4" i="29" s="1"/>
  <c r="AU5" i="29"/>
  <c r="BJ5" i="29" s="1"/>
  <c r="AU6" i="29"/>
  <c r="BJ6" i="29" s="1"/>
  <c r="AU7" i="29"/>
  <c r="BJ7" i="29" s="1"/>
  <c r="AU8" i="29"/>
  <c r="BJ8" i="29" s="1"/>
  <c r="AU9" i="29"/>
  <c r="BJ9" i="29" s="1"/>
  <c r="AU10" i="29"/>
  <c r="BJ10" i="29" s="1"/>
  <c r="AU11" i="29"/>
  <c r="BJ11" i="29" s="1"/>
  <c r="AU12" i="29"/>
  <c r="BJ12" i="29" s="1"/>
  <c r="AU13" i="29"/>
  <c r="BJ13" i="29" s="1"/>
  <c r="AU14" i="29"/>
  <c r="BJ14" i="29" s="1"/>
  <c r="AU15" i="29"/>
  <c r="BJ15" i="29" s="1"/>
  <c r="AU16" i="29"/>
  <c r="BJ16" i="29" s="1"/>
  <c r="AU17" i="29"/>
  <c r="BJ17" i="29" s="1"/>
  <c r="AU18" i="29"/>
  <c r="BJ18" i="29" s="1"/>
  <c r="AU19" i="29"/>
  <c r="BJ19" i="29" s="1"/>
  <c r="AU20" i="29"/>
  <c r="BJ20" i="29" s="1"/>
  <c r="AU21" i="29"/>
  <c r="BJ21" i="29" s="1"/>
  <c r="AU22" i="29"/>
  <c r="BJ22" i="29" s="1"/>
  <c r="AU23" i="29"/>
  <c r="BJ23" i="29" s="1"/>
  <c r="AU24" i="29"/>
  <c r="BJ24" i="29" s="1"/>
  <c r="AU25" i="29"/>
  <c r="BJ25" i="29" s="1"/>
  <c r="AU26" i="29"/>
  <c r="BJ26" i="29" s="1"/>
  <c r="AU27" i="29"/>
  <c r="BJ27" i="29" s="1"/>
  <c r="AU28" i="29"/>
  <c r="BJ28" i="29" s="1"/>
  <c r="AU29" i="29"/>
  <c r="BJ29" i="29" s="1"/>
  <c r="AU30" i="29"/>
  <c r="BJ30" i="29" s="1"/>
  <c r="AU31" i="29"/>
  <c r="BJ31" i="29" s="1"/>
  <c r="AU32" i="29"/>
  <c r="BJ32" i="29" s="1"/>
  <c r="AU33" i="29"/>
  <c r="BJ33" i="29" s="1"/>
  <c r="AU34" i="29"/>
  <c r="BJ34" i="29" s="1"/>
  <c r="AU35" i="29"/>
  <c r="BJ35" i="29" s="1"/>
  <c r="AU36" i="29"/>
  <c r="BJ36" i="29" s="1"/>
  <c r="AU37" i="29"/>
  <c r="BJ37" i="29" s="1"/>
  <c r="AU38" i="29"/>
  <c r="BJ38" i="29" s="1"/>
  <c r="AU39" i="29"/>
  <c r="BJ39" i="29" s="1"/>
  <c r="AU40" i="29"/>
  <c r="BJ40" i="29" s="1"/>
  <c r="AU41" i="29"/>
  <c r="BJ41" i="29" s="1"/>
  <c r="AU42" i="29"/>
  <c r="BJ42" i="29" s="1"/>
  <c r="AU43" i="29"/>
  <c r="BJ43" i="29" s="1"/>
  <c r="AU44" i="29"/>
  <c r="BJ44" i="29" s="1"/>
  <c r="AU45" i="29"/>
  <c r="BJ45" i="29" s="1"/>
  <c r="AU46" i="29"/>
  <c r="BJ46" i="29" s="1"/>
  <c r="AU47" i="29"/>
  <c r="BJ47" i="29" s="1"/>
  <c r="AU48" i="29"/>
  <c r="BJ48" i="29" s="1"/>
  <c r="AU49" i="29"/>
  <c r="BJ49" i="29" s="1"/>
  <c r="AU50" i="29"/>
  <c r="BJ50" i="29" s="1"/>
  <c r="AU51" i="29"/>
  <c r="BJ51" i="29" s="1"/>
  <c r="AU52" i="29"/>
  <c r="BJ52" i="29" s="1"/>
  <c r="AU53" i="29"/>
  <c r="BJ53" i="29" s="1"/>
  <c r="AU54" i="29"/>
  <c r="BJ54" i="29" s="1"/>
  <c r="AU55" i="29"/>
  <c r="BJ55" i="29" s="1"/>
  <c r="AU56" i="29"/>
  <c r="BJ56" i="29" s="1"/>
  <c r="AU57" i="29"/>
  <c r="BJ57" i="29" s="1"/>
  <c r="AU58" i="29"/>
  <c r="BJ58" i="29" s="1"/>
  <c r="AU59" i="29"/>
  <c r="BJ59" i="29" s="1"/>
  <c r="AU60" i="29"/>
  <c r="BJ60" i="29" s="1"/>
  <c r="AU61" i="29"/>
  <c r="BJ61" i="29" s="1"/>
  <c r="AU62" i="29"/>
  <c r="BJ62" i="29" s="1"/>
  <c r="AU63" i="29"/>
  <c r="BJ63" i="29" s="1"/>
  <c r="AU64" i="29"/>
  <c r="BJ64" i="29" s="1"/>
  <c r="AU65" i="29"/>
  <c r="BJ65" i="29" s="1"/>
  <c r="AU66" i="29"/>
  <c r="BJ66" i="29" s="1"/>
  <c r="AU67" i="29"/>
  <c r="BJ67" i="29" s="1"/>
  <c r="AU68" i="29"/>
  <c r="BJ68" i="29" s="1"/>
  <c r="AU69" i="29"/>
  <c r="BJ69" i="29" s="1"/>
  <c r="AU70" i="29"/>
  <c r="BJ70" i="29" s="1"/>
  <c r="AU71" i="29"/>
  <c r="BJ71" i="29" s="1"/>
  <c r="AU72" i="29"/>
  <c r="BJ72" i="29" s="1"/>
  <c r="AU73" i="29"/>
  <c r="BJ73" i="29" s="1"/>
  <c r="AU74" i="29"/>
  <c r="BJ74" i="29" s="1"/>
  <c r="AU75" i="29"/>
  <c r="BJ75" i="29" s="1"/>
  <c r="AU76" i="29"/>
  <c r="BJ76" i="29" s="1"/>
  <c r="AU77" i="29"/>
  <c r="BJ77" i="29" s="1"/>
  <c r="AU78" i="29"/>
  <c r="BJ78" i="29" s="1"/>
  <c r="AU79" i="29"/>
  <c r="BJ79" i="29" s="1"/>
  <c r="AU80" i="29"/>
  <c r="BJ80" i="29" s="1"/>
  <c r="AU81" i="29"/>
  <c r="BJ81" i="29" s="1"/>
  <c r="AU82" i="29"/>
  <c r="BJ82" i="29" s="1"/>
  <c r="AU83" i="29"/>
  <c r="BJ83" i="29" s="1"/>
  <c r="AU84" i="29"/>
  <c r="BJ84" i="29" s="1"/>
  <c r="AU85" i="29"/>
  <c r="BJ85" i="29" s="1"/>
  <c r="AU86" i="29"/>
  <c r="BJ86" i="29" s="1"/>
  <c r="AU87" i="29"/>
  <c r="BJ87" i="29" s="1"/>
  <c r="AU88" i="29"/>
  <c r="BJ88" i="29" s="1"/>
  <c r="AU89" i="29"/>
  <c r="BJ89" i="29" s="1"/>
  <c r="AU90" i="29"/>
  <c r="BJ90" i="29" s="1"/>
  <c r="AU91" i="29"/>
  <c r="BJ91" i="29" s="1"/>
  <c r="AU92" i="29"/>
  <c r="BJ92" i="29" s="1"/>
  <c r="AU93" i="29"/>
  <c r="BJ93" i="29" s="1"/>
  <c r="AU94" i="29"/>
  <c r="BJ94" i="29" s="1"/>
  <c r="AU95" i="29"/>
  <c r="BJ95" i="29" s="1"/>
  <c r="AU96" i="29"/>
  <c r="BJ96" i="29" s="1"/>
  <c r="AU97" i="29"/>
  <c r="BJ97" i="29" s="1"/>
  <c r="AU98" i="29"/>
  <c r="BJ98" i="29" s="1"/>
  <c r="AU99" i="29"/>
  <c r="BJ99" i="29" s="1"/>
  <c r="AU100" i="29"/>
  <c r="BJ100" i="29" s="1"/>
  <c r="AU101" i="29"/>
  <c r="BJ101" i="29" s="1"/>
  <c r="AU102" i="29"/>
  <c r="BJ102" i="29" s="1"/>
  <c r="AU103" i="29"/>
  <c r="BJ103" i="29" s="1"/>
  <c r="AU104" i="29"/>
  <c r="BJ104" i="29" s="1"/>
  <c r="AU105" i="29"/>
  <c r="BJ105" i="29" s="1"/>
  <c r="AU106" i="29"/>
  <c r="BJ106" i="29" s="1"/>
  <c r="AU107" i="29"/>
  <c r="BJ107" i="29" s="1"/>
  <c r="AU108" i="29"/>
  <c r="BJ108" i="29" s="1"/>
  <c r="AU109" i="29"/>
  <c r="BJ109" i="29" s="1"/>
  <c r="AU110" i="29"/>
  <c r="BJ110" i="29" s="1"/>
  <c r="AU111" i="29"/>
  <c r="BJ111" i="29" s="1"/>
  <c r="AU112" i="29"/>
  <c r="BJ112" i="29" s="1"/>
  <c r="AU113" i="29"/>
  <c r="BJ113" i="29" s="1"/>
  <c r="AU114" i="29"/>
  <c r="BJ114" i="29" s="1"/>
  <c r="AU115" i="29"/>
  <c r="BJ115" i="29" s="1"/>
  <c r="AU116" i="29"/>
  <c r="BJ116" i="29" s="1"/>
  <c r="AU117" i="29"/>
  <c r="BJ117" i="29" s="1"/>
  <c r="AU118" i="29"/>
  <c r="BJ118" i="29" s="1"/>
  <c r="AU119" i="29"/>
  <c r="BJ119" i="29" s="1"/>
  <c r="AU120" i="29"/>
  <c r="BJ120" i="29" s="1"/>
  <c r="AU121" i="29"/>
  <c r="BJ121" i="29" s="1"/>
  <c r="AU122" i="29"/>
  <c r="BJ122" i="29" s="1"/>
  <c r="AU123" i="29"/>
  <c r="BJ123" i="29" s="1"/>
  <c r="AU124" i="29"/>
  <c r="BJ124" i="29" s="1"/>
  <c r="AU125" i="29"/>
  <c r="BJ125" i="29" s="1"/>
  <c r="AU126" i="29"/>
  <c r="BJ126" i="29" s="1"/>
  <c r="AU127" i="29"/>
  <c r="BJ127" i="29" s="1"/>
  <c r="AU128" i="29"/>
  <c r="BJ128" i="29" s="1"/>
  <c r="AU129" i="29"/>
  <c r="BJ129" i="29" s="1"/>
  <c r="AU130" i="29"/>
  <c r="BJ130" i="29" s="1"/>
  <c r="AU131" i="29"/>
  <c r="BJ131" i="29" s="1"/>
  <c r="AU132" i="29"/>
  <c r="BJ132" i="29" s="1"/>
  <c r="AU133" i="29"/>
  <c r="BJ133" i="29" s="1"/>
  <c r="AU134" i="29"/>
  <c r="BJ134" i="29" s="1"/>
  <c r="AU135" i="29"/>
  <c r="BJ135" i="29" s="1"/>
  <c r="AU136" i="29"/>
  <c r="BJ136" i="29" s="1"/>
  <c r="AU137" i="29"/>
  <c r="BJ137" i="29" s="1"/>
  <c r="AU138" i="29"/>
  <c r="BJ138" i="29" s="1"/>
  <c r="AU139" i="29"/>
  <c r="BJ139" i="29" s="1"/>
  <c r="AU140" i="29"/>
  <c r="BJ140" i="29" s="1"/>
  <c r="AU141" i="29"/>
  <c r="BJ141" i="29" s="1"/>
  <c r="AU142" i="29"/>
  <c r="BJ142" i="29" s="1"/>
  <c r="AU143" i="29"/>
  <c r="BJ143" i="29" s="1"/>
  <c r="AU144" i="29"/>
  <c r="BJ144" i="29" s="1"/>
  <c r="AU145" i="29"/>
  <c r="BJ145" i="29" s="1"/>
  <c r="AU146" i="29"/>
  <c r="BJ146" i="29" s="1"/>
  <c r="AU147" i="29"/>
  <c r="BJ147" i="29" s="1"/>
  <c r="AU148" i="29"/>
  <c r="BJ148" i="29" s="1"/>
  <c r="AU149" i="29"/>
  <c r="BJ149" i="29" s="1"/>
  <c r="AU150" i="29"/>
  <c r="BJ150" i="29" s="1"/>
  <c r="AU151" i="29"/>
  <c r="BJ151" i="29" s="1"/>
  <c r="AU152" i="29"/>
  <c r="BJ152" i="29" s="1"/>
  <c r="AU153" i="29"/>
  <c r="BJ153" i="29" s="1"/>
  <c r="AU154" i="29"/>
  <c r="BJ154" i="29" s="1"/>
  <c r="AU155" i="29"/>
  <c r="BJ155" i="29" s="1"/>
  <c r="AU156" i="29"/>
  <c r="BJ156" i="29" s="1"/>
  <c r="AU157" i="29"/>
  <c r="BJ157" i="29" s="1"/>
  <c r="AU158" i="29"/>
  <c r="BJ158" i="29" s="1"/>
  <c r="AU159" i="29"/>
  <c r="BJ159" i="29" s="1"/>
  <c r="AU160" i="29"/>
  <c r="BJ160" i="29" s="1"/>
  <c r="AU161" i="29"/>
  <c r="BJ161" i="29" s="1"/>
  <c r="AU162" i="29"/>
  <c r="BJ162" i="29" s="1"/>
  <c r="AU163" i="29"/>
  <c r="BJ163" i="29" s="1"/>
  <c r="AU164" i="29"/>
  <c r="BJ164" i="29" s="1"/>
  <c r="AU165" i="29"/>
  <c r="BJ165" i="29" s="1"/>
  <c r="AU166" i="29"/>
  <c r="BJ166" i="29" s="1"/>
  <c r="AU167" i="29"/>
  <c r="BJ167" i="29" s="1"/>
  <c r="AU168" i="29"/>
  <c r="BJ168" i="29" s="1"/>
  <c r="AU169" i="29"/>
  <c r="BJ169" i="29" s="1"/>
  <c r="AU170" i="29"/>
  <c r="BJ170" i="29" s="1"/>
  <c r="AU171" i="29"/>
  <c r="BJ171" i="29" s="1"/>
  <c r="AU172" i="29"/>
  <c r="BJ172" i="29" s="1"/>
  <c r="AU173" i="29"/>
  <c r="BJ173" i="29" s="1"/>
  <c r="AU174" i="29"/>
  <c r="BJ174" i="29" s="1"/>
  <c r="AU175" i="29"/>
  <c r="BJ175" i="29" s="1"/>
  <c r="AU176" i="29"/>
  <c r="BJ176" i="29" s="1"/>
  <c r="AU177" i="29"/>
  <c r="BJ177" i="29" s="1"/>
  <c r="AU178" i="29"/>
  <c r="BJ178" i="29" s="1"/>
  <c r="AU179" i="29"/>
  <c r="BJ179" i="29" s="1"/>
  <c r="AU180" i="29"/>
  <c r="BJ180" i="29" s="1"/>
  <c r="AU181" i="29"/>
  <c r="BJ181" i="29" s="1"/>
  <c r="AU182" i="29"/>
  <c r="BJ182" i="29" s="1"/>
  <c r="AU183" i="29"/>
  <c r="BJ183" i="29" s="1"/>
  <c r="AU184" i="29"/>
  <c r="BJ184" i="29" s="1"/>
  <c r="AU185" i="29"/>
  <c r="BJ185" i="29" s="1"/>
  <c r="AU186" i="29"/>
  <c r="BJ186" i="29" s="1"/>
  <c r="AU187" i="29"/>
  <c r="BJ187" i="29" s="1"/>
  <c r="AU188" i="29"/>
  <c r="BJ188" i="29" s="1"/>
  <c r="AU189" i="29"/>
  <c r="BJ189" i="29" s="1"/>
  <c r="AU190" i="29"/>
  <c r="BJ190" i="29" s="1"/>
  <c r="AU191" i="29"/>
  <c r="BJ191" i="29" s="1"/>
  <c r="AU192" i="29"/>
  <c r="BJ192" i="29" s="1"/>
  <c r="AU193" i="29"/>
  <c r="BJ193" i="29" s="1"/>
  <c r="AU2" i="29"/>
  <c r="M3" i="29"/>
  <c r="AN8" i="29"/>
  <c r="AN9" i="29"/>
  <c r="AN10" i="29"/>
  <c r="AN13" i="29"/>
  <c r="AN15" i="29"/>
  <c r="AN18" i="29"/>
  <c r="AN20" i="29"/>
  <c r="AN23" i="29"/>
  <c r="AN24" i="29"/>
  <c r="AN28" i="29"/>
  <c r="AN30" i="29"/>
  <c r="AN34" i="29"/>
  <c r="AN36" i="29"/>
  <c r="AN40" i="29"/>
  <c r="AN41" i="29"/>
  <c r="AN42" i="29"/>
  <c r="AN43" i="29"/>
  <c r="AN46" i="29"/>
  <c r="AN52" i="29"/>
  <c r="AN54" i="29"/>
  <c r="AN60" i="29"/>
  <c r="AN61" i="29"/>
  <c r="AN62" i="29"/>
  <c r="AN64" i="29"/>
  <c r="AN70" i="29"/>
  <c r="AN72" i="29"/>
  <c r="AN77" i="29"/>
  <c r="AN78" i="29"/>
  <c r="AN82" i="29"/>
  <c r="AN84" i="29"/>
  <c r="AN85" i="29"/>
  <c r="AN86" i="29"/>
  <c r="AN87" i="29"/>
  <c r="AN90" i="29"/>
  <c r="AN94" i="29"/>
  <c r="AN96" i="29"/>
  <c r="AN114" i="29"/>
  <c r="AN121" i="29"/>
  <c r="AN129" i="29"/>
  <c r="AN130" i="29"/>
  <c r="AN135" i="29"/>
  <c r="AN137" i="29"/>
  <c r="AN147" i="29"/>
  <c r="AN151" i="29"/>
  <c r="AT2" i="29"/>
  <c r="E4" i="32"/>
  <c r="E5" i="32"/>
  <c r="E6" i="32"/>
  <c r="E7" i="32"/>
  <c r="E8" i="32"/>
  <c r="E9" i="32"/>
  <c r="E10" i="32"/>
  <c r="E11" i="32"/>
  <c r="E12" i="32"/>
  <c r="E13" i="32"/>
  <c r="E14" i="32"/>
  <c r="E15" i="32"/>
  <c r="E16" i="32"/>
  <c r="E17" i="32"/>
  <c r="E18" i="32"/>
  <c r="E19" i="32"/>
  <c r="E20" i="32"/>
  <c r="E21" i="32"/>
  <c r="E22" i="32"/>
  <c r="E23" i="32"/>
  <c r="E24"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5" i="32"/>
  <c r="E56" i="32"/>
  <c r="E57" i="32"/>
  <c r="E58" i="32"/>
  <c r="E59" i="32"/>
  <c r="E60" i="32"/>
  <c r="E61" i="32"/>
  <c r="E62" i="32"/>
  <c r="E63" i="32"/>
  <c r="E64" i="32"/>
  <c r="E65" i="32"/>
  <c r="E66" i="32"/>
  <c r="E67" i="32"/>
  <c r="E68" i="32"/>
  <c r="E69" i="32"/>
  <c r="E70" i="32"/>
  <c r="E71" i="32"/>
  <c r="E72" i="32"/>
  <c r="E73" i="32"/>
  <c r="E74" i="32"/>
  <c r="E75" i="32"/>
  <c r="E76" i="32"/>
  <c r="E77" i="32"/>
  <c r="E78" i="32"/>
  <c r="E79" i="32"/>
  <c r="E80" i="32"/>
  <c r="E81" i="32"/>
  <c r="E82" i="32"/>
  <c r="E83" i="32"/>
  <c r="E84" i="32"/>
  <c r="E85" i="32"/>
  <c r="E86" i="32"/>
  <c r="E87" i="32"/>
  <c r="E88" i="32"/>
  <c r="E89" i="32"/>
  <c r="E90" i="32"/>
  <c r="E91" i="32"/>
  <c r="E92" i="32"/>
  <c r="E93" i="32"/>
  <c r="E94" i="32"/>
  <c r="E95" i="32"/>
  <c r="E96" i="32"/>
  <c r="E97" i="32"/>
  <c r="E98" i="32"/>
  <c r="E99" i="32"/>
  <c r="E100" i="32"/>
  <c r="E101" i="32"/>
  <c r="E102" i="32"/>
  <c r="E103" i="32"/>
  <c r="E104" i="32"/>
  <c r="E105" i="32"/>
  <c r="E106" i="32"/>
  <c r="E107" i="32"/>
  <c r="E108" i="32"/>
  <c r="E109" i="32"/>
  <c r="E110" i="32"/>
  <c r="E111" i="32"/>
  <c r="E112" i="32"/>
  <c r="E113" i="32"/>
  <c r="E114" i="32"/>
  <c r="E115" i="32"/>
  <c r="E116" i="32"/>
  <c r="E117" i="32"/>
  <c r="E118" i="32"/>
  <c r="E119" i="32"/>
  <c r="E120" i="32"/>
  <c r="E121" i="32"/>
  <c r="E122" i="32"/>
  <c r="E123" i="32"/>
  <c r="E124" i="32"/>
  <c r="E125" i="32"/>
  <c r="E126" i="32"/>
  <c r="E127" i="32"/>
  <c r="E128" i="32"/>
  <c r="E129" i="32"/>
  <c r="E130" i="32"/>
  <c r="E131" i="32"/>
  <c r="E132" i="32"/>
  <c r="E133" i="32"/>
  <c r="E134" i="32"/>
  <c r="E135" i="32"/>
  <c r="E136" i="32"/>
  <c r="E137" i="32"/>
  <c r="E138" i="32"/>
  <c r="E139" i="32"/>
  <c r="E140" i="32"/>
  <c r="E141" i="32"/>
  <c r="E142" i="32"/>
  <c r="E143" i="32"/>
  <c r="E144" i="32"/>
  <c r="E145" i="32"/>
  <c r="E146" i="32"/>
  <c r="E147" i="32"/>
  <c r="E148" i="32"/>
  <c r="E149" i="32"/>
  <c r="E150" i="32"/>
  <c r="E151" i="32"/>
  <c r="E152" i="32"/>
  <c r="E153" i="32"/>
  <c r="E154" i="32"/>
  <c r="E155" i="32"/>
  <c r="E156" i="32"/>
  <c r="E157" i="32"/>
  <c r="E158" i="32"/>
  <c r="E159" i="32"/>
  <c r="E160" i="32"/>
  <c r="E161" i="32"/>
  <c r="E162" i="32"/>
  <c r="E163" i="32"/>
  <c r="E164" i="32"/>
  <c r="E165" i="32"/>
  <c r="E166" i="32"/>
  <c r="E167" i="32"/>
  <c r="E168" i="32"/>
  <c r="E169" i="32"/>
  <c r="E170" i="32"/>
  <c r="E171" i="32"/>
  <c r="E172" i="32"/>
  <c r="E173" i="32"/>
  <c r="E174" i="32"/>
  <c r="E175" i="32"/>
  <c r="E176" i="32"/>
  <c r="E177" i="32"/>
  <c r="E178" i="32"/>
  <c r="E179" i="32"/>
  <c r="E180" i="32"/>
  <c r="E181" i="32"/>
  <c r="E182" i="32"/>
  <c r="E183" i="32"/>
  <c r="E184" i="32"/>
  <c r="E185" i="32"/>
  <c r="E186" i="32"/>
  <c r="E187" i="32"/>
  <c r="E188" i="32"/>
  <c r="E189" i="32"/>
  <c r="E190" i="32"/>
  <c r="E191" i="32"/>
  <c r="E192" i="32"/>
  <c r="E3" i="32"/>
  <c r="D4" i="32"/>
  <c r="D5" i="32"/>
  <c r="D6" i="32"/>
  <c r="D7" i="32"/>
  <c r="D8" i="32"/>
  <c r="D9" i="32"/>
  <c r="D10" i="32"/>
  <c r="D11" i="32"/>
  <c r="D12" i="32"/>
  <c r="D13" i="32"/>
  <c r="D14" i="32"/>
  <c r="D15" i="32"/>
  <c r="D16" i="32"/>
  <c r="D17" i="32"/>
  <c r="D18" i="32"/>
  <c r="D19" i="32"/>
  <c r="D20" i="32"/>
  <c r="D21" i="32"/>
  <c r="D22" i="32"/>
  <c r="D23" i="32"/>
  <c r="D24" i="32"/>
  <c r="D25" i="32"/>
  <c r="E25" i="32" s="1"/>
  <c r="D26" i="32"/>
  <c r="D27" i="32"/>
  <c r="D28" i="32"/>
  <c r="D29"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E54" i="32" s="1"/>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171" i="32"/>
  <c r="D172" i="32"/>
  <c r="D173" i="32"/>
  <c r="D174" i="32"/>
  <c r="D175" i="32"/>
  <c r="D176" i="32"/>
  <c r="D177" i="32"/>
  <c r="D178" i="32"/>
  <c r="D179" i="32"/>
  <c r="D180" i="32"/>
  <c r="D181" i="32"/>
  <c r="D182" i="32"/>
  <c r="D183" i="32"/>
  <c r="D184" i="32"/>
  <c r="D185" i="32"/>
  <c r="D186" i="32"/>
  <c r="D187" i="32"/>
  <c r="D188" i="32"/>
  <c r="D189" i="32"/>
  <c r="D190" i="32"/>
  <c r="D191" i="32"/>
  <c r="D192" i="32"/>
  <c r="D3" i="32"/>
  <c r="P5" i="27" l="1"/>
  <c r="P8" i="27"/>
  <c r="P191" i="27"/>
  <c r="P187" i="27"/>
  <c r="P183" i="27"/>
  <c r="P179" i="27"/>
  <c r="P175" i="27"/>
  <c r="P171" i="27"/>
  <c r="P167" i="27"/>
  <c r="P163" i="27"/>
  <c r="P159" i="27"/>
  <c r="P155" i="27"/>
  <c r="P151" i="27"/>
  <c r="P147" i="27"/>
  <c r="P143" i="27"/>
  <c r="P139" i="27"/>
  <c r="P135" i="27"/>
  <c r="P131" i="27"/>
  <c r="P127" i="27"/>
  <c r="P123" i="27"/>
  <c r="P119" i="27"/>
  <c r="P115" i="27"/>
  <c r="P111" i="27"/>
  <c r="P107" i="27"/>
  <c r="P103" i="27"/>
  <c r="P99" i="27"/>
  <c r="P95" i="27"/>
  <c r="P91" i="27"/>
  <c r="P87" i="27"/>
  <c r="P83" i="27"/>
  <c r="P79" i="27"/>
  <c r="P75" i="27"/>
  <c r="P71" i="27"/>
  <c r="P67" i="27"/>
  <c r="P63" i="27"/>
  <c r="P59" i="27"/>
  <c r="P55" i="27"/>
  <c r="P51" i="27"/>
  <c r="P47" i="27"/>
  <c r="P43" i="27"/>
  <c r="P39" i="27"/>
  <c r="P35" i="27"/>
  <c r="P31" i="27"/>
  <c r="P27" i="27"/>
  <c r="P23" i="27"/>
  <c r="P19" i="27"/>
  <c r="P15" i="27"/>
  <c r="P11" i="27"/>
  <c r="P7" i="27"/>
  <c r="P194" i="27"/>
  <c r="P190" i="27"/>
  <c r="P186" i="27"/>
  <c r="P182" i="27"/>
  <c r="P178" i="27"/>
  <c r="P174" i="27"/>
  <c r="P170" i="27"/>
  <c r="P166" i="27"/>
  <c r="P162" i="27"/>
  <c r="P158" i="27"/>
  <c r="P154" i="27"/>
  <c r="P150" i="27"/>
  <c r="P146" i="27"/>
  <c r="P142" i="27"/>
  <c r="P138" i="27"/>
  <c r="P134" i="27"/>
  <c r="P130" i="27"/>
  <c r="P126" i="27"/>
  <c r="P122" i="27"/>
  <c r="P118" i="27"/>
  <c r="P114" i="27"/>
  <c r="P110" i="27"/>
  <c r="P106" i="27"/>
  <c r="P102" i="27"/>
  <c r="P98" i="27"/>
  <c r="P94" i="27"/>
  <c r="P90" i="27"/>
  <c r="P86" i="27"/>
  <c r="P82" i="27"/>
  <c r="P78" i="27"/>
  <c r="P74" i="27"/>
  <c r="P70" i="27"/>
  <c r="P66" i="27"/>
  <c r="P62" i="27"/>
  <c r="P58" i="27"/>
  <c r="P54" i="27"/>
  <c r="P50" i="27"/>
  <c r="P46" i="27"/>
  <c r="P42" i="27"/>
  <c r="P38" i="27"/>
  <c r="P34" i="27"/>
  <c r="P30" i="27"/>
  <c r="P26" i="27"/>
  <c r="P22" i="27"/>
  <c r="P18" i="27"/>
  <c r="P14" i="27"/>
  <c r="P10" i="27"/>
  <c r="P6" i="27"/>
  <c r="P193" i="27"/>
  <c r="P189" i="27"/>
  <c r="P185" i="27"/>
  <c r="P181" i="27"/>
  <c r="P177" i="27"/>
  <c r="P173" i="27"/>
  <c r="P169" i="27"/>
  <c r="P165" i="27"/>
  <c r="P161" i="27"/>
  <c r="P157" i="27"/>
  <c r="P153" i="27"/>
  <c r="P149" i="27"/>
  <c r="P145" i="27"/>
  <c r="P141" i="27"/>
  <c r="P137" i="27"/>
  <c r="P133" i="27"/>
  <c r="P129" i="27"/>
  <c r="P125" i="27"/>
  <c r="P121" i="27"/>
  <c r="P117" i="27"/>
  <c r="P113" i="27"/>
  <c r="P109" i="27"/>
  <c r="P105" i="27"/>
  <c r="P101" i="27"/>
  <c r="P97" i="27"/>
  <c r="P93" i="27"/>
  <c r="P89" i="27"/>
  <c r="P85" i="27"/>
  <c r="P81" i="27"/>
  <c r="P77" i="27"/>
  <c r="P73" i="27"/>
  <c r="P69" i="27"/>
  <c r="P65" i="27"/>
  <c r="P61" i="27"/>
  <c r="P57" i="27"/>
  <c r="P53" i="27"/>
  <c r="P49" i="27"/>
  <c r="P45" i="27"/>
  <c r="P41" i="27"/>
  <c r="P37" i="27"/>
  <c r="P33" i="27"/>
  <c r="P29" i="27"/>
  <c r="P25" i="27"/>
  <c r="P21" i="27"/>
  <c r="P17" i="27"/>
  <c r="P13" i="27"/>
  <c r="P9" i="27"/>
  <c r="P192" i="27"/>
  <c r="P188" i="27"/>
  <c r="P184" i="27"/>
  <c r="P180" i="27"/>
  <c r="P176" i="27"/>
  <c r="P172" i="27"/>
  <c r="P168" i="27"/>
  <c r="P164" i="27"/>
  <c r="P160" i="27"/>
  <c r="P156" i="27"/>
  <c r="P152" i="27"/>
  <c r="P148" i="27"/>
  <c r="P144" i="27"/>
  <c r="P140" i="27"/>
  <c r="P136" i="27"/>
  <c r="P132" i="27"/>
  <c r="P128" i="27"/>
  <c r="P124" i="27"/>
  <c r="P120" i="27"/>
  <c r="P116" i="27"/>
  <c r="P112" i="27"/>
  <c r="P108" i="27"/>
  <c r="P104" i="27"/>
  <c r="P100" i="27"/>
  <c r="P96" i="27"/>
  <c r="P92" i="27"/>
  <c r="P88" i="27"/>
  <c r="P84" i="27"/>
  <c r="P80" i="27"/>
  <c r="P76" i="27"/>
  <c r="P72" i="27"/>
  <c r="P68" i="27"/>
  <c r="P64" i="27"/>
  <c r="P60" i="27"/>
  <c r="P56" i="27"/>
  <c r="P52" i="27"/>
  <c r="P48" i="27"/>
  <c r="P44" i="27"/>
  <c r="P40" i="27"/>
  <c r="P36" i="27"/>
  <c r="P32" i="27"/>
  <c r="P28" i="27"/>
  <c r="P24" i="27"/>
  <c r="P20" i="27"/>
  <c r="P16" i="27"/>
  <c r="P12" i="27"/>
  <c r="G2" i="32"/>
  <c r="H2" i="32" s="1"/>
  <c r="I2" i="32" s="1"/>
  <c r="J2" i="32" s="1"/>
  <c r="K2" i="32" s="1"/>
  <c r="L2" i="32" s="1"/>
  <c r="M2" i="32" s="1"/>
  <c r="N2" i="32" s="1"/>
  <c r="O2" i="32" s="1"/>
  <c r="P2" i="32" s="1"/>
  <c r="Q2" i="32" s="1"/>
  <c r="R2" i="32" s="1"/>
  <c r="S2" i="32" s="1"/>
  <c r="T2" i="32" s="1"/>
  <c r="U2" i="32" s="1"/>
  <c r="V2" i="32" s="1"/>
  <c r="W2" i="32" s="1"/>
  <c r="X2" i="32" s="1"/>
  <c r="Y2" i="32" s="1"/>
  <c r="Z2" i="32" s="1"/>
  <c r="AA2" i="32" s="1"/>
  <c r="AB2" i="32" s="1"/>
  <c r="AC2" i="32" s="1"/>
  <c r="AD2" i="32" s="1"/>
  <c r="AE2" i="32" s="1"/>
  <c r="AF2" i="32" s="1"/>
  <c r="AG2" i="32" s="1"/>
  <c r="AH2" i="32" s="1"/>
  <c r="AI2" i="32" s="1"/>
  <c r="AJ2" i="32" s="1"/>
  <c r="AK2" i="32" s="1"/>
  <c r="AL2" i="32" s="1"/>
  <c r="AM2" i="32" s="1"/>
  <c r="AN2" i="32" s="1"/>
  <c r="AO2" i="32" s="1"/>
  <c r="B4" i="32"/>
  <c r="B5" i="32"/>
  <c r="B6" i="32"/>
  <c r="B10" i="32"/>
  <c r="B16" i="32"/>
  <c r="B20" i="32"/>
  <c r="B24" i="32"/>
  <c r="B25" i="32"/>
  <c r="B30" i="32"/>
  <c r="B31" i="32"/>
  <c r="B32" i="32"/>
  <c r="B34" i="32"/>
  <c r="B36" i="32"/>
  <c r="B37" i="32"/>
  <c r="B38" i="32"/>
  <c r="B43" i="32"/>
  <c r="B46" i="32"/>
  <c r="B47" i="32"/>
  <c r="B48" i="32"/>
  <c r="B49" i="32"/>
  <c r="B54" i="32"/>
  <c r="B55" i="32"/>
  <c r="B56" i="32"/>
  <c r="B57" i="32"/>
  <c r="B58" i="32"/>
  <c r="B64" i="32"/>
  <c r="B65" i="32"/>
  <c r="B67" i="32"/>
  <c r="B68" i="32"/>
  <c r="B70" i="32"/>
  <c r="B72" i="32"/>
  <c r="B73" i="32"/>
  <c r="B74" i="32"/>
  <c r="B78" i="32"/>
  <c r="B79" i="32"/>
  <c r="B80" i="32"/>
  <c r="B82" i="32"/>
  <c r="B87" i="32"/>
  <c r="B88" i="32"/>
  <c r="B90" i="32"/>
  <c r="B91" i="32"/>
  <c r="B92" i="32"/>
  <c r="B94" i="32"/>
  <c r="B96" i="32"/>
  <c r="B97" i="32"/>
  <c r="B98" i="32"/>
  <c r="B99" i="32"/>
  <c r="B100" i="32"/>
  <c r="B101" i="32"/>
  <c r="B102" i="32"/>
  <c r="B103" i="32"/>
  <c r="B104" i="32"/>
  <c r="B105" i="32"/>
  <c r="B106" i="32"/>
  <c r="B108" i="32"/>
  <c r="B109" i="32"/>
  <c r="B110" i="32"/>
  <c r="B111" i="32"/>
  <c r="B112" i="32"/>
  <c r="B115" i="32"/>
  <c r="B116" i="32"/>
  <c r="B117" i="32"/>
  <c r="B121" i="32"/>
  <c r="B125" i="32"/>
  <c r="B133" i="32"/>
  <c r="B138" i="32"/>
  <c r="B140" i="32"/>
  <c r="B145" i="32"/>
  <c r="B3" i="32"/>
  <c r="DC3" i="28"/>
  <c r="DC4" i="28"/>
  <c r="DC5" i="28"/>
  <c r="DC6" i="28"/>
  <c r="DG7" i="28" s="1"/>
  <c r="DC7" i="28"/>
  <c r="DC8" i="28"/>
  <c r="DC9" i="28"/>
  <c r="DC10" i="28"/>
  <c r="DC11" i="28"/>
  <c r="DC12" i="28"/>
  <c r="DC13" i="28"/>
  <c r="DC14" i="28"/>
  <c r="DC15" i="28"/>
  <c r="DC16" i="28"/>
  <c r="DC17" i="28"/>
  <c r="DC18" i="28"/>
  <c r="DC19" i="28"/>
  <c r="DC20" i="28"/>
  <c r="DC21" i="28"/>
  <c r="DC22" i="28"/>
  <c r="DC23" i="28"/>
  <c r="DC24" i="28"/>
  <c r="DC25" i="28"/>
  <c r="DC26" i="28"/>
  <c r="DC27" i="28"/>
  <c r="DC28" i="28"/>
  <c r="DC29" i="28"/>
  <c r="DC30" i="28"/>
  <c r="DC31" i="28"/>
  <c r="DC32" i="28"/>
  <c r="DC33" i="28"/>
  <c r="DC34" i="28"/>
  <c r="DC35" i="28"/>
  <c r="DC36" i="28"/>
  <c r="DC37" i="28"/>
  <c r="DC38" i="28"/>
  <c r="DC39" i="28"/>
  <c r="DC40" i="28"/>
  <c r="DC41" i="28"/>
  <c r="DC42" i="28"/>
  <c r="DC43" i="28"/>
  <c r="DC44" i="28"/>
  <c r="DC45" i="28"/>
  <c r="DC46" i="28"/>
  <c r="DC47" i="28"/>
  <c r="DC48" i="28"/>
  <c r="DC49" i="28"/>
  <c r="DC50" i="28"/>
  <c r="DC51" i="28"/>
  <c r="DC52" i="28"/>
  <c r="DC53" i="28"/>
  <c r="DC54" i="28"/>
  <c r="DC55" i="28"/>
  <c r="DC56" i="28"/>
  <c r="DC57" i="28"/>
  <c r="DC58" i="28"/>
  <c r="DC59" i="28"/>
  <c r="DC60" i="28"/>
  <c r="DC61" i="28"/>
  <c r="DC62" i="28"/>
  <c r="DC63" i="28"/>
  <c r="DC64" i="28"/>
  <c r="DC65" i="28"/>
  <c r="DC66" i="28"/>
  <c r="DC67" i="28"/>
  <c r="DC68" i="28"/>
  <c r="DC69" i="28"/>
  <c r="DC70" i="28"/>
  <c r="DC71" i="28"/>
  <c r="DC72" i="28"/>
  <c r="DC73" i="28"/>
  <c r="DC74" i="28"/>
  <c r="DC75" i="28"/>
  <c r="DC76" i="28"/>
  <c r="DC77" i="28"/>
  <c r="DC78" i="28"/>
  <c r="DC79" i="28"/>
  <c r="DC80" i="28"/>
  <c r="DC81" i="28"/>
  <c r="DC82" i="28"/>
  <c r="DC83" i="28"/>
  <c r="DC84" i="28"/>
  <c r="DC85" i="28"/>
  <c r="DC86" i="28"/>
  <c r="DC87" i="28"/>
  <c r="DC88" i="28"/>
  <c r="DC89" i="28"/>
  <c r="DC90" i="28"/>
  <c r="DC91" i="28"/>
  <c r="DC92" i="28"/>
  <c r="DC93" i="28"/>
  <c r="DC94" i="28"/>
  <c r="DC95" i="28"/>
  <c r="DC96" i="28"/>
  <c r="DC97" i="28"/>
  <c r="DC98" i="28"/>
  <c r="DC99" i="28"/>
  <c r="DC100" i="28"/>
  <c r="DC101" i="28"/>
  <c r="DC102" i="28"/>
  <c r="DC103" i="28"/>
  <c r="DC104" i="28"/>
  <c r="DC105" i="28"/>
  <c r="DC106" i="28"/>
  <c r="DC2" i="28"/>
  <c r="DG3" i="28"/>
  <c r="DH3" i="28" s="1"/>
  <c r="DE3" i="28" s="1"/>
  <c r="DG6" i="28"/>
  <c r="DG8" i="28"/>
  <c r="DH8" i="28" s="1"/>
  <c r="DE8" i="28" s="1"/>
  <c r="DG10" i="28"/>
  <c r="DH10" i="28" s="1"/>
  <c r="DE10" i="28" s="1"/>
  <c r="DG11" i="28"/>
  <c r="DH11" i="28" s="1"/>
  <c r="DE11" i="28" s="1"/>
  <c r="DG14" i="28"/>
  <c r="DG18" i="28"/>
  <c r="DG22" i="28"/>
  <c r="DH22" i="28" s="1"/>
  <c r="DE22" i="28" s="1"/>
  <c r="DG26" i="28"/>
  <c r="DH26" i="28" s="1"/>
  <c r="DE26" i="28" s="1"/>
  <c r="DG30" i="28"/>
  <c r="DG34" i="28"/>
  <c r="DH34" i="28" s="1"/>
  <c r="DE34" i="28" s="1"/>
  <c r="DG38" i="28"/>
  <c r="DH38" i="28" s="1"/>
  <c r="DE38" i="28" s="1"/>
  <c r="DG42" i="28"/>
  <c r="DG46" i="28"/>
  <c r="DG50" i="28"/>
  <c r="DH50" i="28" s="1"/>
  <c r="DE50" i="28" s="1"/>
  <c r="DG54" i="28"/>
  <c r="DH54" i="28" s="1"/>
  <c r="DE54" i="28" s="1"/>
  <c r="DG58" i="28"/>
  <c r="DH58" i="28" s="1"/>
  <c r="DE58" i="28" s="1"/>
  <c r="DG62" i="28"/>
  <c r="DG66" i="28"/>
  <c r="DH66" i="28" s="1"/>
  <c r="DE66" i="28" s="1"/>
  <c r="DG70" i="28"/>
  <c r="DG74" i="28"/>
  <c r="DG78" i="28"/>
  <c r="DH78" i="28" s="1"/>
  <c r="DE78" i="28" s="1"/>
  <c r="DG82" i="28"/>
  <c r="DG86" i="28"/>
  <c r="DH86" i="28" s="1"/>
  <c r="DE86" i="28" s="1"/>
  <c r="DG90" i="28"/>
  <c r="DG94" i="28"/>
  <c r="DG98" i="28"/>
  <c r="DH98" i="28" s="1"/>
  <c r="DE98" i="28" s="1"/>
  <c r="DG102" i="28"/>
  <c r="DH102" i="28" s="1"/>
  <c r="DE102" i="28" s="1"/>
  <c r="DG106" i="28"/>
  <c r="DH106" i="28" s="1"/>
  <c r="DE106" i="28" s="1"/>
  <c r="CW5" i="28"/>
  <c r="CW6" i="28"/>
  <c r="CW7" i="28"/>
  <c r="CW8" i="28"/>
  <c r="CW9" i="28"/>
  <c r="CW10" i="28"/>
  <c r="CW11" i="28"/>
  <c r="CW12" i="28"/>
  <c r="CW13" i="28"/>
  <c r="CW14" i="28"/>
  <c r="CW15" i="28"/>
  <c r="CW16" i="28"/>
  <c r="CW17" i="28"/>
  <c r="CW18" i="28"/>
  <c r="CW19" i="28"/>
  <c r="CW20" i="28"/>
  <c r="CW21" i="28"/>
  <c r="CW22" i="28"/>
  <c r="CW23" i="28"/>
  <c r="CW24" i="28"/>
  <c r="CW25" i="28"/>
  <c r="CW26" i="28"/>
  <c r="CW27" i="28"/>
  <c r="CW28" i="28"/>
  <c r="CW29" i="28"/>
  <c r="CW30" i="28"/>
  <c r="CW31" i="28"/>
  <c r="CW32" i="28"/>
  <c r="CW33" i="28"/>
  <c r="CW34" i="28"/>
  <c r="CW35" i="28"/>
  <c r="CW36" i="28"/>
  <c r="CW37" i="28"/>
  <c r="CW38" i="28"/>
  <c r="CW39" i="28"/>
  <c r="CW40" i="28"/>
  <c r="CW41" i="28"/>
  <c r="CW42" i="28"/>
  <c r="CW43" i="28"/>
  <c r="CW44" i="28"/>
  <c r="CW45" i="28"/>
  <c r="CW46" i="28"/>
  <c r="CW47" i="28"/>
  <c r="CW48" i="28"/>
  <c r="CW49" i="28"/>
  <c r="CW50" i="28"/>
  <c r="CW51" i="28"/>
  <c r="CW52" i="28"/>
  <c r="CW53" i="28"/>
  <c r="CW54" i="28"/>
  <c r="CW55" i="28"/>
  <c r="CW56" i="28"/>
  <c r="CW57" i="28"/>
  <c r="CW58" i="28"/>
  <c r="CW59" i="28"/>
  <c r="CW60" i="28"/>
  <c r="CW61" i="28"/>
  <c r="CW62" i="28"/>
  <c r="CW63" i="28"/>
  <c r="CW64" i="28"/>
  <c r="CW65" i="28"/>
  <c r="CW66" i="28"/>
  <c r="CW67" i="28"/>
  <c r="CW68" i="28"/>
  <c r="CW69" i="28"/>
  <c r="CW70" i="28"/>
  <c r="CW71" i="28"/>
  <c r="CW72" i="28"/>
  <c r="CW73" i="28"/>
  <c r="CW74" i="28"/>
  <c r="CW75" i="28"/>
  <c r="CW76" i="28"/>
  <c r="CW77" i="28"/>
  <c r="CW78" i="28"/>
  <c r="CW79" i="28"/>
  <c r="CW80" i="28"/>
  <c r="CW81" i="28"/>
  <c r="CW82" i="28"/>
  <c r="CW83" i="28"/>
  <c r="CW84" i="28"/>
  <c r="CW85" i="28"/>
  <c r="CW86" i="28"/>
  <c r="CW87" i="28"/>
  <c r="CW88" i="28"/>
  <c r="CW89" i="28"/>
  <c r="CW90" i="28"/>
  <c r="CW91" i="28"/>
  <c r="CW92" i="28"/>
  <c r="CW93" i="28"/>
  <c r="CW94" i="28"/>
  <c r="CW95" i="28"/>
  <c r="CW96" i="28"/>
  <c r="CW97" i="28"/>
  <c r="CW98" i="28"/>
  <c r="CW99" i="28"/>
  <c r="CW100" i="28"/>
  <c r="CW101" i="28"/>
  <c r="CW102" i="28"/>
  <c r="CW103" i="28"/>
  <c r="CW104" i="28"/>
  <c r="CW105" i="28"/>
  <c r="CW106" i="28"/>
  <c r="CW107" i="28"/>
  <c r="CW108" i="28"/>
  <c r="CW109" i="28"/>
  <c r="CW110" i="28"/>
  <c r="CW111" i="28"/>
  <c r="CW112" i="28"/>
  <c r="CW113" i="28"/>
  <c r="CW114" i="28"/>
  <c r="CW115" i="28"/>
  <c r="CW116" i="28"/>
  <c r="CW117" i="28"/>
  <c r="CW118" i="28"/>
  <c r="CW119" i="28"/>
  <c r="CW120" i="28"/>
  <c r="CW121" i="28"/>
  <c r="CW122" i="28"/>
  <c r="CW123" i="28"/>
  <c r="CW124" i="28"/>
  <c r="CW125" i="28"/>
  <c r="CW126" i="28"/>
  <c r="CW127" i="28"/>
  <c r="CW128" i="28"/>
  <c r="CW129" i="28"/>
  <c r="CW130" i="28"/>
  <c r="CW131" i="28"/>
  <c r="CW132" i="28"/>
  <c r="CW133" i="28"/>
  <c r="CW134" i="28"/>
  <c r="CW135" i="28"/>
  <c r="CW136" i="28"/>
  <c r="CW137" i="28"/>
  <c r="CW138" i="28"/>
  <c r="CW139" i="28"/>
  <c r="CW140" i="28"/>
  <c r="CW141" i="28"/>
  <c r="CW142" i="28"/>
  <c r="CW143" i="28"/>
  <c r="CW144" i="28"/>
  <c r="CW145" i="28"/>
  <c r="CW146" i="28"/>
  <c r="CW147" i="28"/>
  <c r="CW148" i="28"/>
  <c r="CW149" i="28"/>
  <c r="CW150" i="28"/>
  <c r="CW151" i="28"/>
  <c r="CW152" i="28"/>
  <c r="CW153" i="28"/>
  <c r="CW154" i="28"/>
  <c r="CW155" i="28"/>
  <c r="CW156" i="28"/>
  <c r="CW157" i="28"/>
  <c r="CW158" i="28"/>
  <c r="CW159" i="28"/>
  <c r="CW160" i="28"/>
  <c r="CW161" i="28"/>
  <c r="CW162" i="28"/>
  <c r="CW163" i="28"/>
  <c r="CW164" i="28"/>
  <c r="CW165" i="28"/>
  <c r="CW166" i="28"/>
  <c r="CW167" i="28"/>
  <c r="CW168" i="28"/>
  <c r="CW169" i="28"/>
  <c r="CW170" i="28"/>
  <c r="CW171" i="28"/>
  <c r="CW172" i="28"/>
  <c r="CW173" i="28"/>
  <c r="CW174" i="28"/>
  <c r="CW175" i="28"/>
  <c r="CW176" i="28"/>
  <c r="CW177" i="28"/>
  <c r="CW178" i="28"/>
  <c r="CW179" i="28"/>
  <c r="CW180" i="28"/>
  <c r="CW181" i="28"/>
  <c r="CW182" i="28"/>
  <c r="CW183" i="28"/>
  <c r="CW184" i="28"/>
  <c r="CW185" i="28"/>
  <c r="CW186" i="28"/>
  <c r="CW187" i="28"/>
  <c r="CW188" i="28"/>
  <c r="CW189" i="28"/>
  <c r="CW190" i="28"/>
  <c r="CW191" i="28"/>
  <c r="CW192" i="28"/>
  <c r="CW193" i="28"/>
  <c r="CW194" i="28"/>
  <c r="CW195" i="28"/>
  <c r="CW196" i="28"/>
  <c r="CW197" i="28"/>
  <c r="CW198" i="28"/>
  <c r="CW199" i="28"/>
  <c r="CW200" i="28"/>
  <c r="CW201" i="28"/>
  <c r="CW202" i="28"/>
  <c r="CW203" i="28"/>
  <c r="CW204" i="28"/>
  <c r="CW205" i="28"/>
  <c r="CW206" i="28"/>
  <c r="CW207" i="28"/>
  <c r="CW208" i="28"/>
  <c r="CW209" i="28"/>
  <c r="CW210" i="28"/>
  <c r="CW211" i="28"/>
  <c r="CW212" i="28"/>
  <c r="CW213" i="28"/>
  <c r="CW214" i="28"/>
  <c r="CW215" i="28"/>
  <c r="CW216" i="28"/>
  <c r="CW217" i="28"/>
  <c r="CW218" i="28"/>
  <c r="CW219" i="28"/>
  <c r="CW220" i="28"/>
  <c r="CW221" i="28"/>
  <c r="CW222" i="28"/>
  <c r="CW223" i="28"/>
  <c r="CW224" i="28"/>
  <c r="CW225" i="28"/>
  <c r="CW226" i="28"/>
  <c r="CW227" i="28"/>
  <c r="CW228" i="28"/>
  <c r="CW229" i="28"/>
  <c r="CW230" i="28"/>
  <c r="CW231" i="28"/>
  <c r="CW232" i="28"/>
  <c r="CW233" i="28"/>
  <c r="CW234" i="28"/>
  <c r="CW235" i="28"/>
  <c r="CW236" i="28"/>
  <c r="CW237" i="28"/>
  <c r="CW238" i="28"/>
  <c r="CW239" i="28"/>
  <c r="CW240" i="28"/>
  <c r="CW241" i="28"/>
  <c r="CW242" i="28"/>
  <c r="CW243" i="28"/>
  <c r="CW244" i="28"/>
  <c r="CW245" i="28"/>
  <c r="CW246" i="28"/>
  <c r="CW247" i="28"/>
  <c r="CW248" i="28"/>
  <c r="CW249" i="28"/>
  <c r="CW250" i="28"/>
  <c r="CW251" i="28"/>
  <c r="CW252" i="28"/>
  <c r="CW253" i="28"/>
  <c r="CW254" i="28"/>
  <c r="CW255" i="28"/>
  <c r="CW256" i="28"/>
  <c r="CW257" i="28"/>
  <c r="CW258" i="28"/>
  <c r="CW259" i="28"/>
  <c r="CW260" i="28"/>
  <c r="CW261" i="28"/>
  <c r="CW262" i="28"/>
  <c r="CW263" i="28"/>
  <c r="CW264" i="28"/>
  <c r="CW265" i="28"/>
  <c r="CW266" i="28"/>
  <c r="CW267" i="28"/>
  <c r="CW268" i="28"/>
  <c r="CW269" i="28"/>
  <c r="CW270" i="28"/>
  <c r="CW271" i="28"/>
  <c r="CW272" i="28"/>
  <c r="CW273" i="28"/>
  <c r="CW274" i="28"/>
  <c r="CW275" i="28"/>
  <c r="CW276" i="28"/>
  <c r="CW277" i="28"/>
  <c r="CW278" i="28"/>
  <c r="CW279" i="28"/>
  <c r="CW280" i="28"/>
  <c r="CW281" i="28"/>
  <c r="CW282" i="28"/>
  <c r="CW283" i="28"/>
  <c r="CW284" i="28"/>
  <c r="CW285" i="28"/>
  <c r="CW286" i="28"/>
  <c r="CW287" i="28"/>
  <c r="CW288" i="28"/>
  <c r="CW289" i="28"/>
  <c r="CW290" i="28"/>
  <c r="CW291" i="28"/>
  <c r="CW4" i="28"/>
  <c r="BR29" i="28"/>
  <c r="BR31" i="28"/>
  <c r="BR32" i="28"/>
  <c r="BR33" i="28"/>
  <c r="BR41" i="28"/>
  <c r="BR52" i="28"/>
  <c r="BR54" i="28"/>
  <c r="BR57" i="28"/>
  <c r="BR59" i="28"/>
  <c r="BR63" i="28"/>
  <c r="BR71" i="28"/>
  <c r="BR72" i="28"/>
  <c r="BR83" i="28"/>
  <c r="BR116" i="28"/>
  <c r="BR117" i="28"/>
  <c r="BR122" i="28"/>
  <c r="BR123" i="28"/>
  <c r="BR125" i="28"/>
  <c r="BR136" i="28"/>
  <c r="BQ3" i="28"/>
  <c r="BR3" i="28" s="1"/>
  <c r="BQ4" i="28"/>
  <c r="BR4" i="28" s="1"/>
  <c r="BQ5" i="28"/>
  <c r="BR5" i="28" s="1"/>
  <c r="BQ6" i="28"/>
  <c r="BQ7" i="28"/>
  <c r="BR7" i="28" s="1"/>
  <c r="BQ8" i="28"/>
  <c r="BR8" i="28" s="1"/>
  <c r="BQ9" i="28"/>
  <c r="BR9" i="28" s="1"/>
  <c r="BQ10" i="28"/>
  <c r="BR10" i="28" s="1"/>
  <c r="BQ11" i="28"/>
  <c r="BR11" i="28" s="1"/>
  <c r="BQ12" i="28"/>
  <c r="BR12" i="28" s="1"/>
  <c r="BQ13" i="28"/>
  <c r="BR13" i="28" s="1"/>
  <c r="BQ14" i="28"/>
  <c r="BR14" i="28" s="1"/>
  <c r="BQ15" i="28"/>
  <c r="BR15" i="28" s="1"/>
  <c r="BQ16" i="28"/>
  <c r="BR16" i="28" s="1"/>
  <c r="BQ17" i="28"/>
  <c r="BR17" i="28" s="1"/>
  <c r="BQ18" i="28"/>
  <c r="BR18" i="28" s="1"/>
  <c r="BQ19" i="28"/>
  <c r="BR19" i="28" s="1"/>
  <c r="BQ20" i="28"/>
  <c r="BR20" i="28" s="1"/>
  <c r="BQ21" i="28"/>
  <c r="BR21" i="28" s="1"/>
  <c r="BQ22" i="28"/>
  <c r="BQ23" i="28"/>
  <c r="BR23" i="28" s="1"/>
  <c r="BQ24" i="28"/>
  <c r="BR24" i="28" s="1"/>
  <c r="BQ25" i="28"/>
  <c r="BR25" i="28" s="1"/>
  <c r="BQ26" i="28"/>
  <c r="BR26" i="28" s="1"/>
  <c r="BQ27" i="28"/>
  <c r="BR27" i="28" s="1"/>
  <c r="BQ28" i="28"/>
  <c r="BR28" i="28" s="1"/>
  <c r="BQ29" i="28"/>
  <c r="BQ30" i="28"/>
  <c r="BR30" i="28" s="1"/>
  <c r="BQ31" i="28"/>
  <c r="BQ32" i="28"/>
  <c r="BQ33" i="28"/>
  <c r="BQ34" i="28"/>
  <c r="BR34" i="28" s="1"/>
  <c r="BQ35" i="28"/>
  <c r="BR35" i="28" s="1"/>
  <c r="BQ36" i="28"/>
  <c r="BR36" i="28" s="1"/>
  <c r="BQ37" i="28"/>
  <c r="BR37" i="28" s="1"/>
  <c r="BQ38" i="28"/>
  <c r="BR38" i="28" s="1"/>
  <c r="BQ39" i="28"/>
  <c r="BR39" i="28" s="1"/>
  <c r="BQ40" i="28"/>
  <c r="BR40" i="28" s="1"/>
  <c r="BQ41" i="28"/>
  <c r="BQ42" i="28"/>
  <c r="BQ43" i="28"/>
  <c r="BR43" i="28" s="1"/>
  <c r="BQ44" i="28"/>
  <c r="BR44" i="28" s="1"/>
  <c r="BQ45" i="28"/>
  <c r="BR45" i="28" s="1"/>
  <c r="BQ46" i="28"/>
  <c r="BR46" i="28" s="1"/>
  <c r="BQ47" i="28"/>
  <c r="BR47" i="28" s="1"/>
  <c r="BQ48" i="28"/>
  <c r="BR48" i="28" s="1"/>
  <c r="BQ49" i="28"/>
  <c r="BR49" i="28" s="1"/>
  <c r="BQ50" i="28"/>
  <c r="BR50" i="28" s="1"/>
  <c r="BQ51" i="28"/>
  <c r="BR51" i="28" s="1"/>
  <c r="BQ52" i="28"/>
  <c r="BQ53" i="28"/>
  <c r="BR53" i="28" s="1"/>
  <c r="BQ54" i="28"/>
  <c r="BQ55" i="28"/>
  <c r="BR55" i="28" s="1"/>
  <c r="BQ56" i="28"/>
  <c r="BR56" i="28" s="1"/>
  <c r="BQ57" i="28"/>
  <c r="BQ58" i="28"/>
  <c r="BR58" i="28" s="1"/>
  <c r="BQ59" i="28"/>
  <c r="BQ60" i="28"/>
  <c r="BR60" i="28" s="1"/>
  <c r="BQ61" i="28"/>
  <c r="BR61" i="28" s="1"/>
  <c r="BQ62" i="28"/>
  <c r="BR62" i="28" s="1"/>
  <c r="BQ63" i="28"/>
  <c r="BQ64" i="28"/>
  <c r="BR64" i="28" s="1"/>
  <c r="BQ65" i="28"/>
  <c r="BR65" i="28" s="1"/>
  <c r="BQ66" i="28"/>
  <c r="BR66" i="28" s="1"/>
  <c r="BQ67" i="28"/>
  <c r="BR67" i="28" s="1"/>
  <c r="BQ68" i="28"/>
  <c r="BR68" i="28" s="1"/>
  <c r="BQ69" i="28"/>
  <c r="BR69" i="28" s="1"/>
  <c r="BQ70" i="28"/>
  <c r="BR70" i="28" s="1"/>
  <c r="BQ71" i="28"/>
  <c r="BQ72" i="28"/>
  <c r="BQ73" i="28"/>
  <c r="BR73" i="28" s="1"/>
  <c r="BQ74" i="28"/>
  <c r="BR74" i="28" s="1"/>
  <c r="BQ75" i="28"/>
  <c r="BR75" i="28" s="1"/>
  <c r="BQ76" i="28"/>
  <c r="BR76" i="28" s="1"/>
  <c r="BQ77" i="28"/>
  <c r="BR77" i="28" s="1"/>
  <c r="BQ78" i="28"/>
  <c r="BR78" i="28" s="1"/>
  <c r="BQ79" i="28"/>
  <c r="BR79" i="28" s="1"/>
  <c r="BQ80" i="28"/>
  <c r="BR80" i="28" s="1"/>
  <c r="BQ81" i="28"/>
  <c r="BR81" i="28" s="1"/>
  <c r="BQ82" i="28"/>
  <c r="BR82" i="28" s="1"/>
  <c r="BQ83" i="28"/>
  <c r="BQ84" i="28"/>
  <c r="BR84" i="28" s="1"/>
  <c r="BQ85" i="28"/>
  <c r="BR85" i="28" s="1"/>
  <c r="BQ86" i="28"/>
  <c r="BR86" i="28" s="1"/>
  <c r="BQ87" i="28"/>
  <c r="BR87" i="28" s="1"/>
  <c r="BQ88" i="28"/>
  <c r="BR88" i="28" s="1"/>
  <c r="BQ89" i="28"/>
  <c r="BR89" i="28" s="1"/>
  <c r="BQ90" i="28"/>
  <c r="BR90" i="28" s="1"/>
  <c r="BQ91" i="28"/>
  <c r="BR91" i="28" s="1"/>
  <c r="BQ92" i="28"/>
  <c r="BR92" i="28" s="1"/>
  <c r="BQ93" i="28"/>
  <c r="BR93" i="28" s="1"/>
  <c r="BQ94" i="28"/>
  <c r="BR94" i="28" s="1"/>
  <c r="BQ95" i="28"/>
  <c r="BR95" i="28" s="1"/>
  <c r="BQ96" i="28"/>
  <c r="BR96" i="28" s="1"/>
  <c r="BQ97" i="28"/>
  <c r="BR97" i="28" s="1"/>
  <c r="BQ98" i="28"/>
  <c r="BR98" i="28" s="1"/>
  <c r="BQ99" i="28"/>
  <c r="BR99" i="28" s="1"/>
  <c r="BQ100" i="28"/>
  <c r="BR100" i="28" s="1"/>
  <c r="BQ101" i="28"/>
  <c r="BR101" i="28" s="1"/>
  <c r="BQ102" i="28"/>
  <c r="BR102" i="28" s="1"/>
  <c r="BQ103" i="28"/>
  <c r="BR103" i="28" s="1"/>
  <c r="BQ104" i="28"/>
  <c r="BR104" i="28" s="1"/>
  <c r="BQ105" i="28"/>
  <c r="BR105" i="28" s="1"/>
  <c r="BQ106" i="28"/>
  <c r="BR106" i="28" s="1"/>
  <c r="BQ107" i="28"/>
  <c r="BR107" i="28" s="1"/>
  <c r="BQ108" i="28"/>
  <c r="BR108" i="28" s="1"/>
  <c r="BQ109" i="28"/>
  <c r="BR109" i="28" s="1"/>
  <c r="BQ110" i="28"/>
  <c r="BR110" i="28" s="1"/>
  <c r="BQ111" i="28"/>
  <c r="BR111" i="28" s="1"/>
  <c r="BQ112" i="28"/>
  <c r="BR112" i="28" s="1"/>
  <c r="BQ113" i="28"/>
  <c r="BR113" i="28" s="1"/>
  <c r="BQ114" i="28"/>
  <c r="BR114" i="28" s="1"/>
  <c r="BQ115" i="28"/>
  <c r="BR115" i="28" s="1"/>
  <c r="BQ116" i="28"/>
  <c r="BQ117" i="28"/>
  <c r="BQ118" i="28"/>
  <c r="BR118" i="28" s="1"/>
  <c r="BQ119" i="28"/>
  <c r="BR119" i="28" s="1"/>
  <c r="BQ120" i="28"/>
  <c r="BR120" i="28" s="1"/>
  <c r="BQ121" i="28"/>
  <c r="BR121" i="28" s="1"/>
  <c r="BQ122" i="28"/>
  <c r="BQ123" i="28"/>
  <c r="BQ124" i="28"/>
  <c r="BR124" i="28" s="1"/>
  <c r="BQ125" i="28"/>
  <c r="BQ126" i="28"/>
  <c r="BR126" i="28" s="1"/>
  <c r="BQ127" i="28"/>
  <c r="BR127" i="28" s="1"/>
  <c r="BQ128" i="28"/>
  <c r="BR128" i="28" s="1"/>
  <c r="BQ129" i="28"/>
  <c r="BR129" i="28" s="1"/>
  <c r="BQ130" i="28"/>
  <c r="BR130" i="28" s="1"/>
  <c r="BQ131" i="28"/>
  <c r="BR131" i="28" s="1"/>
  <c r="BQ132" i="28"/>
  <c r="BR132" i="28" s="1"/>
  <c r="BQ133" i="28"/>
  <c r="BR133" i="28" s="1"/>
  <c r="BQ134" i="28"/>
  <c r="BR134" i="28" s="1"/>
  <c r="BQ135" i="28"/>
  <c r="BR135" i="28" s="1"/>
  <c r="BQ136" i="28"/>
  <c r="BQ137" i="28"/>
  <c r="BR137" i="28" s="1"/>
  <c r="BQ138" i="28"/>
  <c r="BR138" i="28" s="1"/>
  <c r="BQ139" i="28"/>
  <c r="BR139" i="28" s="1"/>
  <c r="BQ140" i="28"/>
  <c r="BR140" i="28" s="1"/>
  <c r="BQ141" i="28"/>
  <c r="BR141" i="28" s="1"/>
  <c r="BQ142" i="28"/>
  <c r="BR142" i="28" s="1"/>
  <c r="BQ143" i="28"/>
  <c r="BR143" i="28" s="1"/>
  <c r="BR1" i="28"/>
  <c r="BQ2" i="28"/>
  <c r="BR2" i="28" s="1"/>
  <c r="BP2" i="28"/>
  <c r="BQ1" i="28"/>
  <c r="BP1" i="28"/>
  <c r="BP3" i="28"/>
  <c r="BP4" i="28"/>
  <c r="BP5" i="28"/>
  <c r="BP6" i="28"/>
  <c r="BP7" i="28"/>
  <c r="BP8" i="28"/>
  <c r="BP9" i="28"/>
  <c r="BP10" i="28"/>
  <c r="BP11" i="28"/>
  <c r="BP12" i="28"/>
  <c r="BP13" i="28"/>
  <c r="BP14" i="28"/>
  <c r="BP15" i="28"/>
  <c r="BP16" i="28"/>
  <c r="BP17" i="28"/>
  <c r="BP18" i="28"/>
  <c r="BP19" i="28"/>
  <c r="BP20" i="28"/>
  <c r="BP21" i="28"/>
  <c r="BP22" i="28"/>
  <c r="BP23" i="28"/>
  <c r="BP24" i="28"/>
  <c r="BP25" i="28"/>
  <c r="BP26" i="28"/>
  <c r="BP27" i="28"/>
  <c r="BP28" i="28"/>
  <c r="BP29" i="28"/>
  <c r="BP30" i="28"/>
  <c r="BP31" i="28"/>
  <c r="BP32" i="28"/>
  <c r="BP33" i="28"/>
  <c r="BP34" i="28"/>
  <c r="BP35" i="28"/>
  <c r="BP36" i="28"/>
  <c r="BP37" i="28"/>
  <c r="BP38" i="28"/>
  <c r="BP39" i="28"/>
  <c r="BP40" i="28"/>
  <c r="BP41" i="28"/>
  <c r="BP42" i="28"/>
  <c r="BP43" i="28"/>
  <c r="BP44" i="28"/>
  <c r="BP45" i="28"/>
  <c r="BP46" i="28"/>
  <c r="BP47" i="28"/>
  <c r="BP48" i="28"/>
  <c r="BP49" i="28"/>
  <c r="BP50" i="28"/>
  <c r="BP51" i="28"/>
  <c r="BP52" i="28"/>
  <c r="BP53" i="28"/>
  <c r="BP54" i="28"/>
  <c r="BP55" i="28"/>
  <c r="BP56" i="28"/>
  <c r="BP57" i="28"/>
  <c r="BP58" i="28"/>
  <c r="BP59" i="28"/>
  <c r="BP60" i="28"/>
  <c r="BP61" i="28"/>
  <c r="BP62" i="28"/>
  <c r="BP63" i="28"/>
  <c r="BP64" i="28"/>
  <c r="BP65" i="28"/>
  <c r="BP66" i="28"/>
  <c r="BP67" i="28"/>
  <c r="BP68" i="28"/>
  <c r="BP69" i="28"/>
  <c r="BP70" i="28"/>
  <c r="BP71" i="28"/>
  <c r="BP72" i="28"/>
  <c r="BP73" i="28"/>
  <c r="BP74" i="28"/>
  <c r="BP75" i="28"/>
  <c r="BP76" i="28"/>
  <c r="BP77" i="28"/>
  <c r="BP78" i="28"/>
  <c r="BP79" i="28"/>
  <c r="BP80" i="28"/>
  <c r="BP81" i="28"/>
  <c r="BP82" i="28"/>
  <c r="BP83" i="28"/>
  <c r="BP84" i="28"/>
  <c r="BP85" i="28"/>
  <c r="BP86" i="28"/>
  <c r="BP87" i="28"/>
  <c r="BP88" i="28"/>
  <c r="BP89" i="28"/>
  <c r="BP90" i="28"/>
  <c r="BP91" i="28"/>
  <c r="BP92" i="28"/>
  <c r="BP93" i="28"/>
  <c r="BP94" i="28"/>
  <c r="BP95" i="28"/>
  <c r="BP96" i="28"/>
  <c r="BP97" i="28"/>
  <c r="BP98" i="28"/>
  <c r="BP99" i="28"/>
  <c r="BP100" i="28"/>
  <c r="BP101" i="28"/>
  <c r="BP102" i="28"/>
  <c r="BP103" i="28"/>
  <c r="BP104" i="28"/>
  <c r="BP105" i="28"/>
  <c r="BP106" i="28"/>
  <c r="BP107" i="28"/>
  <c r="BP108" i="28"/>
  <c r="BP109" i="28"/>
  <c r="BP110" i="28"/>
  <c r="BP111" i="28"/>
  <c r="BP112" i="28"/>
  <c r="BP113" i="28"/>
  <c r="BP114" i="28"/>
  <c r="BP115" i="28"/>
  <c r="BP116" i="28"/>
  <c r="BP117" i="28"/>
  <c r="BP118" i="28"/>
  <c r="BP119" i="28"/>
  <c r="BP120" i="28"/>
  <c r="BP121" i="28"/>
  <c r="BP122" i="28"/>
  <c r="BP123" i="28"/>
  <c r="BP124" i="28"/>
  <c r="BP125" i="28"/>
  <c r="BP126" i="28"/>
  <c r="BP127" i="28"/>
  <c r="BP128" i="28"/>
  <c r="BP129" i="28"/>
  <c r="BP130" i="28"/>
  <c r="BP131" i="28"/>
  <c r="BP132" i="28"/>
  <c r="BP133" i="28"/>
  <c r="BP134" i="28"/>
  <c r="BP135" i="28"/>
  <c r="BP136" i="28"/>
  <c r="BP137" i="28"/>
  <c r="BP138" i="28"/>
  <c r="BP139" i="28"/>
  <c r="BP140" i="28"/>
  <c r="BP141" i="28"/>
  <c r="BP142" i="28"/>
  <c r="BP143" i="28"/>
  <c r="BS48" i="28"/>
  <c r="BS43" i="28"/>
  <c r="BS44" i="28"/>
  <c r="BS45" i="28"/>
  <c r="BS46" i="28"/>
  <c r="BS47" i="28"/>
  <c r="BS36" i="28"/>
  <c r="BS37" i="28"/>
  <c r="BS38" i="28"/>
  <c r="BS39" i="28"/>
  <c r="BS40" i="28"/>
  <c r="BS41" i="28"/>
  <c r="BS42" i="28"/>
  <c r="BS26" i="28"/>
  <c r="BS27" i="28"/>
  <c r="BS28" i="28"/>
  <c r="BS29" i="28"/>
  <c r="BS30" i="28"/>
  <c r="BS31" i="28"/>
  <c r="BS32" i="28"/>
  <c r="BS33" i="28"/>
  <c r="BS34" i="28"/>
  <c r="BS35" i="28"/>
  <c r="BS9" i="28"/>
  <c r="BS10" i="28"/>
  <c r="BS11" i="28"/>
  <c r="BS12" i="28"/>
  <c r="BS13" i="28"/>
  <c r="BS14" i="28"/>
  <c r="BS15" i="28"/>
  <c r="BS16" i="28"/>
  <c r="BS17" i="28"/>
  <c r="BS18" i="28"/>
  <c r="BS19" i="28"/>
  <c r="BS20" i="28"/>
  <c r="BS21" i="28"/>
  <c r="BS22" i="28"/>
  <c r="BS23" i="28"/>
  <c r="BS24" i="28"/>
  <c r="BS25" i="28"/>
  <c r="BS3" i="28"/>
  <c r="BS4" i="28"/>
  <c r="BS5" i="28"/>
  <c r="BS6" i="28"/>
  <c r="BS7" i="28"/>
  <c r="BS8" i="28"/>
  <c r="BS2" i="28"/>
  <c r="BZ49" i="28"/>
  <c r="BZ1" i="28"/>
  <c r="BH3" i="28"/>
  <c r="BH4" i="28"/>
  <c r="BH5" i="28"/>
  <c r="BH6" i="28"/>
  <c r="BH7" i="28"/>
  <c r="BH8" i="28"/>
  <c r="BH9" i="28"/>
  <c r="BH10" i="28"/>
  <c r="BH11" i="28"/>
  <c r="BH12" i="28"/>
  <c r="BH13" i="28"/>
  <c r="BH14" i="28"/>
  <c r="BH15" i="28"/>
  <c r="BH16" i="28"/>
  <c r="BH17" i="28"/>
  <c r="BH18" i="28"/>
  <c r="BH19" i="28"/>
  <c r="BH20" i="28"/>
  <c r="BH21" i="28"/>
  <c r="BH22" i="28"/>
  <c r="BH23" i="28"/>
  <c r="BH24" i="28"/>
  <c r="BH25" i="28"/>
  <c r="BH26" i="28"/>
  <c r="BH27" i="28"/>
  <c r="BH28" i="28"/>
  <c r="BH29" i="28"/>
  <c r="BH30" i="28"/>
  <c r="BH31" i="28"/>
  <c r="BH32" i="28"/>
  <c r="BH33" i="28"/>
  <c r="BH34" i="28"/>
  <c r="BH35" i="28"/>
  <c r="BH36" i="28"/>
  <c r="BH37" i="28"/>
  <c r="BH38" i="28"/>
  <c r="BH39" i="28"/>
  <c r="BH40" i="28"/>
  <c r="BH41" i="28"/>
  <c r="BH42" i="28"/>
  <c r="BH43" i="28"/>
  <c r="BH44" i="28"/>
  <c r="BH45" i="28"/>
  <c r="BH46" i="28"/>
  <c r="BH47" i="28"/>
  <c r="BH48" i="28"/>
  <c r="BH49" i="28"/>
  <c r="BH50" i="28"/>
  <c r="BH51" i="28"/>
  <c r="BH52" i="28"/>
  <c r="BH53" i="28"/>
  <c r="BH54" i="28"/>
  <c r="BH55" i="28"/>
  <c r="BH56" i="28"/>
  <c r="BH57" i="28"/>
  <c r="BH58" i="28"/>
  <c r="BH59" i="28"/>
  <c r="BH60" i="28"/>
  <c r="BH61" i="28"/>
  <c r="BH62" i="28"/>
  <c r="BH63" i="28"/>
  <c r="BH64" i="28"/>
  <c r="BH65" i="28"/>
  <c r="BH66" i="28"/>
  <c r="BH67" i="28"/>
  <c r="BH68" i="28"/>
  <c r="BH69" i="28"/>
  <c r="BH70" i="28"/>
  <c r="BH71" i="28"/>
  <c r="BH72" i="28"/>
  <c r="BH73" i="28"/>
  <c r="BH74" i="28"/>
  <c r="BH75" i="28"/>
  <c r="BH76" i="28"/>
  <c r="BH77" i="28"/>
  <c r="BH78" i="28"/>
  <c r="BH79" i="28"/>
  <c r="BH80" i="28"/>
  <c r="BH81" i="28"/>
  <c r="BH82" i="28"/>
  <c r="BH83" i="28"/>
  <c r="BH84" i="28"/>
  <c r="BH85" i="28"/>
  <c r="BH86" i="28"/>
  <c r="BH87" i="28"/>
  <c r="BH88" i="28"/>
  <c r="BH89" i="28"/>
  <c r="BH90" i="28"/>
  <c r="BH91" i="28"/>
  <c r="BH92" i="28"/>
  <c r="BH93" i="28"/>
  <c r="BH94" i="28"/>
  <c r="BH95" i="28"/>
  <c r="BH96" i="28"/>
  <c r="BH97" i="28"/>
  <c r="BH98" i="28"/>
  <c r="BH99" i="28"/>
  <c r="BH100" i="28"/>
  <c r="BH101" i="28"/>
  <c r="BH102" i="28"/>
  <c r="BH103" i="28"/>
  <c r="BH104" i="28"/>
  <c r="BH105" i="28"/>
  <c r="BH106" i="28"/>
  <c r="BH107" i="28"/>
  <c r="BH108" i="28"/>
  <c r="BH109" i="28"/>
  <c r="BH110" i="28"/>
  <c r="BH111" i="28"/>
  <c r="BH112" i="28"/>
  <c r="BH113" i="28"/>
  <c r="BH114" i="28"/>
  <c r="BH115" i="28"/>
  <c r="BH116" i="28"/>
  <c r="BH117" i="28"/>
  <c r="BH118" i="28"/>
  <c r="BH119" i="28"/>
  <c r="BH120" i="28"/>
  <c r="BH121" i="28"/>
  <c r="BH122" i="28"/>
  <c r="BH123" i="28"/>
  <c r="BH124" i="28"/>
  <c r="BH125" i="28"/>
  <c r="BH126" i="28"/>
  <c r="BH127" i="28"/>
  <c r="BH128" i="28"/>
  <c r="BH129" i="28"/>
  <c r="BH130" i="28"/>
  <c r="BH131" i="28"/>
  <c r="BH132" i="28"/>
  <c r="BH133" i="28"/>
  <c r="BH134" i="28"/>
  <c r="BH135" i="28"/>
  <c r="BH136" i="28"/>
  <c r="BH137" i="28"/>
  <c r="BH138" i="28"/>
  <c r="BH139" i="28"/>
  <c r="BH140" i="28"/>
  <c r="BH141" i="28"/>
  <c r="BH142" i="28"/>
  <c r="BH143" i="28"/>
  <c r="BH2" i="28"/>
  <c r="BH147" i="28"/>
  <c r="BH148" i="28"/>
  <c r="BH149" i="28"/>
  <c r="BH150" i="28"/>
  <c r="BH151" i="28"/>
  <c r="BH152" i="28"/>
  <c r="BH153" i="28"/>
  <c r="BH154" i="28"/>
  <c r="BH155" i="28"/>
  <c r="BH156" i="28"/>
  <c r="BH157" i="28"/>
  <c r="BH158" i="28"/>
  <c r="BH159" i="28"/>
  <c r="BH160" i="28"/>
  <c r="BH161" i="28"/>
  <c r="BH162" i="28"/>
  <c r="BH163" i="28"/>
  <c r="BH164" i="28"/>
  <c r="BH165" i="28"/>
  <c r="BH166" i="28"/>
  <c r="BH167" i="28"/>
  <c r="BH168" i="28"/>
  <c r="BH169" i="28"/>
  <c r="BH170" i="28"/>
  <c r="BH171" i="28"/>
  <c r="BH172" i="28"/>
  <c r="BH173" i="28"/>
  <c r="BH174" i="28"/>
  <c r="BH175" i="28"/>
  <c r="BH176" i="28"/>
  <c r="BH177" i="28"/>
  <c r="BH178" i="28"/>
  <c r="BH179" i="28"/>
  <c r="BH180" i="28"/>
  <c r="BH181" i="28"/>
  <c r="BH182" i="28"/>
  <c r="BH183" i="28"/>
  <c r="BH184" i="28"/>
  <c r="BH185" i="28"/>
  <c r="BH186" i="28"/>
  <c r="BH187" i="28"/>
  <c r="BH188" i="28"/>
  <c r="BH189" i="28"/>
  <c r="BH190" i="28"/>
  <c r="BH191" i="28"/>
  <c r="BH192" i="28"/>
  <c r="BH193" i="28"/>
  <c r="BH194" i="28"/>
  <c r="BH195" i="28"/>
  <c r="BH196" i="28"/>
  <c r="BH197" i="28"/>
  <c r="BH198" i="28"/>
  <c r="BH199" i="28"/>
  <c r="BH200" i="28"/>
  <c r="BH201" i="28"/>
  <c r="BH202" i="28"/>
  <c r="BH203" i="28"/>
  <c r="BH204" i="28"/>
  <c r="BH205" i="28"/>
  <c r="BH206" i="28"/>
  <c r="BH207" i="28"/>
  <c r="BH208" i="28"/>
  <c r="BH209" i="28"/>
  <c r="BH210" i="28"/>
  <c r="BH211" i="28"/>
  <c r="BH212" i="28"/>
  <c r="BH213" i="28"/>
  <c r="BH214" i="28"/>
  <c r="BH215" i="28"/>
  <c r="BH216" i="28"/>
  <c r="BH217" i="28"/>
  <c r="BH218" i="28"/>
  <c r="BH219" i="28"/>
  <c r="BH220" i="28"/>
  <c r="BH221" i="28"/>
  <c r="BH222" i="28"/>
  <c r="BH223" i="28"/>
  <c r="BH224" i="28"/>
  <c r="BH225" i="28"/>
  <c r="BH226" i="28"/>
  <c r="BH227" i="28"/>
  <c r="BH228" i="28"/>
  <c r="BH229" i="28"/>
  <c r="BH230" i="28"/>
  <c r="BH231" i="28"/>
  <c r="BH232" i="28"/>
  <c r="BH233" i="28"/>
  <c r="BH234" i="28"/>
  <c r="BH235" i="28"/>
  <c r="BH236" i="28"/>
  <c r="BH237" i="28"/>
  <c r="BH238" i="28"/>
  <c r="BH239" i="28"/>
  <c r="BH240" i="28"/>
  <c r="BH241" i="28"/>
  <c r="BH242" i="28"/>
  <c r="BH243" i="28"/>
  <c r="BH244" i="28"/>
  <c r="BH245" i="28"/>
  <c r="BH246" i="28"/>
  <c r="BH247" i="28"/>
  <c r="BH248" i="28"/>
  <c r="BH249" i="28"/>
  <c r="BH250" i="28"/>
  <c r="BH251" i="28"/>
  <c r="BH252" i="28"/>
  <c r="BH253" i="28"/>
  <c r="BH254" i="28"/>
  <c r="BH255" i="28"/>
  <c r="BH256" i="28"/>
  <c r="BH257" i="28"/>
  <c r="BH258" i="28"/>
  <c r="BH259" i="28"/>
  <c r="BH260" i="28"/>
  <c r="BH261" i="28"/>
  <c r="BH262" i="28"/>
  <c r="BH263" i="28"/>
  <c r="BH264" i="28"/>
  <c r="BH265" i="28"/>
  <c r="BH266" i="28"/>
  <c r="BH267" i="28"/>
  <c r="BH268" i="28"/>
  <c r="BH269" i="28"/>
  <c r="BH270" i="28"/>
  <c r="BH271" i="28"/>
  <c r="BH272" i="28"/>
  <c r="BH273" i="28"/>
  <c r="BH274" i="28"/>
  <c r="BH275" i="28"/>
  <c r="BH276" i="28"/>
  <c r="BH277" i="28"/>
  <c r="BH278" i="28"/>
  <c r="BH279" i="28"/>
  <c r="BH280" i="28"/>
  <c r="BH281" i="28"/>
  <c r="BH282" i="28"/>
  <c r="BH283" i="28"/>
  <c r="BH284" i="28"/>
  <c r="BH285" i="28"/>
  <c r="BH286" i="28"/>
  <c r="BH287" i="28"/>
  <c r="BH288" i="28"/>
  <c r="BH289" i="28"/>
  <c r="BH290" i="28"/>
  <c r="BH291" i="28"/>
  <c r="BH292" i="28"/>
  <c r="BH293" i="28"/>
  <c r="BH294" i="28"/>
  <c r="BH296" i="28"/>
  <c r="BH297" i="28"/>
  <c r="BH298" i="28"/>
  <c r="BH299" i="28"/>
  <c r="BH300" i="28"/>
  <c r="BH301" i="28"/>
  <c r="BH302" i="28"/>
  <c r="BH303" i="28"/>
  <c r="BH304" i="28"/>
  <c r="BH305" i="28"/>
  <c r="BH306" i="28"/>
  <c r="BH307" i="28"/>
  <c r="BH308" i="28"/>
  <c r="BH309" i="28"/>
  <c r="BH310" i="28"/>
  <c r="BH311" i="28"/>
  <c r="BH312" i="28"/>
  <c r="BH313" i="28"/>
  <c r="BH314" i="28"/>
  <c r="BH315" i="28"/>
  <c r="BH316" i="28"/>
  <c r="BH317" i="28"/>
  <c r="BH318" i="28"/>
  <c r="BH319" i="28"/>
  <c r="BH320" i="28"/>
  <c r="BH321" i="28"/>
  <c r="BH322" i="28"/>
  <c r="BH323" i="28"/>
  <c r="BH324" i="28"/>
  <c r="BH325" i="28"/>
  <c r="BH326" i="28"/>
  <c r="BH327" i="28"/>
  <c r="BH328" i="28"/>
  <c r="BH329" i="28"/>
  <c r="BH330" i="28"/>
  <c r="BH331" i="28"/>
  <c r="BH332" i="28"/>
  <c r="BH333" i="28"/>
  <c r="BH334" i="28"/>
  <c r="BH335" i="28"/>
  <c r="BH336" i="28"/>
  <c r="BH337" i="28"/>
  <c r="BH338" i="28"/>
  <c r="BH339" i="28"/>
  <c r="BH340" i="28"/>
  <c r="BH341" i="28"/>
  <c r="BH342" i="28"/>
  <c r="BH343" i="28"/>
  <c r="BH344" i="28"/>
  <c r="BH345" i="28"/>
  <c r="BH346" i="28"/>
  <c r="BH347" i="28"/>
  <c r="BH348" i="28"/>
  <c r="BH349" i="28"/>
  <c r="BH350" i="28"/>
  <c r="BH351" i="28"/>
  <c r="BH352" i="28"/>
  <c r="BH353" i="28"/>
  <c r="BH354" i="28"/>
  <c r="BH355" i="28"/>
  <c r="BH356" i="28"/>
  <c r="BH357" i="28"/>
  <c r="BH358" i="28"/>
  <c r="BH359" i="28"/>
  <c r="BH360" i="28"/>
  <c r="BH361" i="28"/>
  <c r="BH362" i="28"/>
  <c r="BH363" i="28"/>
  <c r="BH364" i="28"/>
  <c r="BH365" i="28"/>
  <c r="BH366" i="28"/>
  <c r="BH367" i="28"/>
  <c r="BH368" i="28"/>
  <c r="BH369" i="28"/>
  <c r="BH370" i="28"/>
  <c r="BH371" i="28"/>
  <c r="BH372" i="28"/>
  <c r="BH373" i="28"/>
  <c r="BH374" i="28"/>
  <c r="BH375" i="28"/>
  <c r="BH376" i="28"/>
  <c r="BH377" i="28"/>
  <c r="BH378" i="28"/>
  <c r="BH379" i="28"/>
  <c r="BH380" i="28"/>
  <c r="BH381" i="28"/>
  <c r="BH382" i="28"/>
  <c r="BH383" i="28"/>
  <c r="BH384" i="28"/>
  <c r="BH385" i="28"/>
  <c r="BH386" i="28"/>
  <c r="BH387" i="28"/>
  <c r="BH388" i="28"/>
  <c r="BH389" i="28"/>
  <c r="BH390" i="28"/>
  <c r="BH391" i="28"/>
  <c r="BH392" i="28"/>
  <c r="BH393" i="28"/>
  <c r="BH394" i="28"/>
  <c r="BH395" i="28"/>
  <c r="BH396" i="28"/>
  <c r="BH397" i="28"/>
  <c r="BH398" i="28"/>
  <c r="BH399" i="28"/>
  <c r="BH400" i="28"/>
  <c r="BH401" i="28"/>
  <c r="BH402" i="28"/>
  <c r="BH403" i="28"/>
  <c r="BH404" i="28"/>
  <c r="BH405" i="28"/>
  <c r="BH406" i="28"/>
  <c r="BH407" i="28"/>
  <c r="BH408" i="28"/>
  <c r="BH409" i="28"/>
  <c r="BH410" i="28"/>
  <c r="BH411" i="28"/>
  <c r="BH412" i="28"/>
  <c r="BH413" i="28"/>
  <c r="BH414" i="28"/>
  <c r="BH415" i="28"/>
  <c r="BH416" i="28"/>
  <c r="BH417" i="28"/>
  <c r="BH418" i="28"/>
  <c r="BH419" i="28"/>
  <c r="BH420" i="28"/>
  <c r="BH421" i="28"/>
  <c r="BH422" i="28"/>
  <c r="BK3" i="28"/>
  <c r="BM3" i="28" s="1"/>
  <c r="BK4" i="28"/>
  <c r="BM4" i="28" s="1"/>
  <c r="BK5" i="28"/>
  <c r="BM5" i="28" s="1"/>
  <c r="BK6" i="28"/>
  <c r="BM6" i="28" s="1"/>
  <c r="BK7" i="28"/>
  <c r="BM7" i="28" s="1"/>
  <c r="BK8" i="28"/>
  <c r="BM8" i="28" s="1"/>
  <c r="BK9" i="28"/>
  <c r="BM9" i="28" s="1"/>
  <c r="BK10" i="28"/>
  <c r="BM10" i="28" s="1"/>
  <c r="BK11" i="28"/>
  <c r="BM11" i="28" s="1"/>
  <c r="BK12" i="28"/>
  <c r="BM12" i="28" s="1"/>
  <c r="BK13" i="28"/>
  <c r="BM13" i="28" s="1"/>
  <c r="BK14" i="28"/>
  <c r="BM14" i="28" s="1"/>
  <c r="BK15" i="28"/>
  <c r="BM15" i="28" s="1"/>
  <c r="BK16" i="28"/>
  <c r="BM16" i="28" s="1"/>
  <c r="BK17" i="28"/>
  <c r="BM17" i="28" s="1"/>
  <c r="BK18" i="28"/>
  <c r="BM18" i="28" s="1"/>
  <c r="BK19" i="28"/>
  <c r="BM19" i="28" s="1"/>
  <c r="BK20" i="28"/>
  <c r="BM20" i="28" s="1"/>
  <c r="BK21" i="28"/>
  <c r="BM21" i="28" s="1"/>
  <c r="BK22" i="28"/>
  <c r="BM22" i="28" s="1"/>
  <c r="BK23" i="28"/>
  <c r="BM23" i="28" s="1"/>
  <c r="BK24" i="28"/>
  <c r="BM24" i="28" s="1"/>
  <c r="BK25" i="28"/>
  <c r="BM25" i="28" s="1"/>
  <c r="BK26" i="28"/>
  <c r="BM26" i="28" s="1"/>
  <c r="BK27" i="28"/>
  <c r="BM27" i="28" s="1"/>
  <c r="BK28" i="28"/>
  <c r="BK29" i="28"/>
  <c r="BM29" i="28" s="1"/>
  <c r="BK30" i="28"/>
  <c r="BM30" i="28" s="1"/>
  <c r="BK31" i="28"/>
  <c r="BK32" i="28"/>
  <c r="BM32" i="28" s="1"/>
  <c r="BK33" i="28"/>
  <c r="BM33" i="28" s="1"/>
  <c r="BK34" i="28"/>
  <c r="BM34" i="28" s="1"/>
  <c r="BK35" i="28"/>
  <c r="BM35" i="28" s="1"/>
  <c r="BK36" i="28"/>
  <c r="BM36" i="28" s="1"/>
  <c r="BK37" i="28"/>
  <c r="BM37" i="28" s="1"/>
  <c r="BK38" i="28"/>
  <c r="BM38" i="28" s="1"/>
  <c r="BK39" i="28"/>
  <c r="BM39" i="28" s="1"/>
  <c r="BK40" i="28"/>
  <c r="BM40" i="28" s="1"/>
  <c r="BK41" i="28"/>
  <c r="BM41" i="28" s="1"/>
  <c r="BK42" i="28"/>
  <c r="BM42" i="28" s="1"/>
  <c r="BK43" i="28"/>
  <c r="BM43" i="28" s="1"/>
  <c r="BK44" i="28"/>
  <c r="BM44" i="28" s="1"/>
  <c r="BK45" i="28"/>
  <c r="BM45" i="28" s="1"/>
  <c r="BK46" i="28"/>
  <c r="BM46" i="28" s="1"/>
  <c r="BK47" i="28"/>
  <c r="BM47" i="28" s="1"/>
  <c r="BK48" i="28"/>
  <c r="BM48" i="28" s="1"/>
  <c r="BK49" i="28"/>
  <c r="BM49" i="28" s="1"/>
  <c r="BK50" i="28"/>
  <c r="BM50" i="28" s="1"/>
  <c r="BK51" i="28"/>
  <c r="BM51" i="28" s="1"/>
  <c r="BK52" i="28"/>
  <c r="BM52" i="28" s="1"/>
  <c r="BK53" i="28"/>
  <c r="BM53" i="28" s="1"/>
  <c r="BK54" i="28"/>
  <c r="BM54" i="28" s="1"/>
  <c r="BK55" i="28"/>
  <c r="BM55" i="28" s="1"/>
  <c r="BK56" i="28"/>
  <c r="BM56" i="28" s="1"/>
  <c r="BK57" i="28"/>
  <c r="BM57" i="28" s="1"/>
  <c r="BK58" i="28"/>
  <c r="BM58" i="28" s="1"/>
  <c r="BK59" i="28"/>
  <c r="BM59" i="28" s="1"/>
  <c r="BK60" i="28"/>
  <c r="BM60" i="28" s="1"/>
  <c r="BK61" i="28"/>
  <c r="BM61" i="28" s="1"/>
  <c r="BK62" i="28"/>
  <c r="BM62" i="28" s="1"/>
  <c r="BK63" i="28"/>
  <c r="BM63" i="28" s="1"/>
  <c r="BK64" i="28"/>
  <c r="BM64" i="28" s="1"/>
  <c r="BK65" i="28"/>
  <c r="BM65" i="28" s="1"/>
  <c r="BK66" i="28"/>
  <c r="BM66" i="28" s="1"/>
  <c r="BK67" i="28"/>
  <c r="BM67" i="28" s="1"/>
  <c r="BK68" i="28"/>
  <c r="BM68" i="28" s="1"/>
  <c r="BK69" i="28"/>
  <c r="BM69" i="28" s="1"/>
  <c r="BK70" i="28"/>
  <c r="BM70" i="28" s="1"/>
  <c r="BK71" i="28"/>
  <c r="BM71" i="28" s="1"/>
  <c r="BK72" i="28"/>
  <c r="BM72" i="28" s="1"/>
  <c r="BK73" i="28"/>
  <c r="BM73" i="28" s="1"/>
  <c r="BK74" i="28"/>
  <c r="BM74" i="28" s="1"/>
  <c r="BK75" i="28"/>
  <c r="BM75" i="28" s="1"/>
  <c r="BK76" i="28"/>
  <c r="BM76" i="28" s="1"/>
  <c r="BK77" i="28"/>
  <c r="BM77" i="28" s="1"/>
  <c r="BK78" i="28"/>
  <c r="BM78" i="28" s="1"/>
  <c r="BK79" i="28"/>
  <c r="BM79" i="28" s="1"/>
  <c r="BK80" i="28"/>
  <c r="BM80" i="28" s="1"/>
  <c r="BK81" i="28"/>
  <c r="BM81" i="28" s="1"/>
  <c r="BK82" i="28"/>
  <c r="BM82" i="28" s="1"/>
  <c r="BK83" i="28"/>
  <c r="BM83" i="28" s="1"/>
  <c r="BK84" i="28"/>
  <c r="BM84" i="28" s="1"/>
  <c r="BK85" i="28"/>
  <c r="BM85" i="28" s="1"/>
  <c r="BK86" i="28"/>
  <c r="BM86" i="28" s="1"/>
  <c r="BK87" i="28"/>
  <c r="BM87" i="28" s="1"/>
  <c r="BK88" i="28"/>
  <c r="BM88" i="28" s="1"/>
  <c r="BK89" i="28"/>
  <c r="BM89" i="28" s="1"/>
  <c r="BK90" i="28"/>
  <c r="BM90" i="28" s="1"/>
  <c r="BK91" i="28"/>
  <c r="BM91" i="28" s="1"/>
  <c r="BK92" i="28"/>
  <c r="BM92" i="28" s="1"/>
  <c r="BK93" i="28"/>
  <c r="BM93" i="28" s="1"/>
  <c r="BK94" i="28"/>
  <c r="BM94" i="28" s="1"/>
  <c r="BK95" i="28"/>
  <c r="BM95" i="28" s="1"/>
  <c r="BK96" i="28"/>
  <c r="BM96" i="28" s="1"/>
  <c r="BK97" i="28"/>
  <c r="BM97" i="28" s="1"/>
  <c r="BK98" i="28"/>
  <c r="BM98" i="28" s="1"/>
  <c r="BK99" i="28"/>
  <c r="BM99" i="28" s="1"/>
  <c r="BK100" i="28"/>
  <c r="BM100" i="28" s="1"/>
  <c r="BK101" i="28"/>
  <c r="BM101" i="28" s="1"/>
  <c r="BK102" i="28"/>
  <c r="BM102" i="28" s="1"/>
  <c r="BK103" i="28"/>
  <c r="BM103" i="28" s="1"/>
  <c r="BK104" i="28"/>
  <c r="BM104" i="28" s="1"/>
  <c r="BK105" i="28"/>
  <c r="BM105" i="28" s="1"/>
  <c r="BK106" i="28"/>
  <c r="BM106" i="28" s="1"/>
  <c r="BK107" i="28"/>
  <c r="BM107" i="28" s="1"/>
  <c r="BK108" i="28"/>
  <c r="BM108" i="28" s="1"/>
  <c r="BK109" i="28"/>
  <c r="BM109" i="28" s="1"/>
  <c r="BK110" i="28"/>
  <c r="BM110" i="28" s="1"/>
  <c r="BK111" i="28"/>
  <c r="BM111" i="28" s="1"/>
  <c r="BK112" i="28"/>
  <c r="BM112" i="28" s="1"/>
  <c r="BK113" i="28"/>
  <c r="BM113" i="28" s="1"/>
  <c r="BK114" i="28"/>
  <c r="BM114" i="28" s="1"/>
  <c r="BK115" i="28"/>
  <c r="BM115" i="28" s="1"/>
  <c r="BK116" i="28"/>
  <c r="BM116" i="28" s="1"/>
  <c r="BK117" i="28"/>
  <c r="BM117" i="28" s="1"/>
  <c r="BK118" i="28"/>
  <c r="BM118" i="28" s="1"/>
  <c r="BK119" i="28"/>
  <c r="BM119" i="28" s="1"/>
  <c r="BK120" i="28"/>
  <c r="BM120" i="28" s="1"/>
  <c r="BK121" i="28"/>
  <c r="BM121" i="28" s="1"/>
  <c r="BK122" i="28"/>
  <c r="BM122" i="28" s="1"/>
  <c r="BK123" i="28"/>
  <c r="BM123" i="28" s="1"/>
  <c r="BK124" i="28"/>
  <c r="BM124" i="28" s="1"/>
  <c r="BK125" i="28"/>
  <c r="BM125" i="28" s="1"/>
  <c r="BK126" i="28"/>
  <c r="BM126" i="28" s="1"/>
  <c r="BK127" i="28"/>
  <c r="BM127" i="28" s="1"/>
  <c r="BK128" i="28"/>
  <c r="BM128" i="28" s="1"/>
  <c r="BK129" i="28"/>
  <c r="BM129" i="28" s="1"/>
  <c r="BK130" i="28"/>
  <c r="BM130" i="28" s="1"/>
  <c r="BK131" i="28"/>
  <c r="BM131" i="28" s="1"/>
  <c r="BK132" i="28"/>
  <c r="BM132" i="28" s="1"/>
  <c r="BK133" i="28"/>
  <c r="BM133" i="28" s="1"/>
  <c r="BK134" i="28"/>
  <c r="BM134" i="28" s="1"/>
  <c r="BK135" i="28"/>
  <c r="BM135" i="28" s="1"/>
  <c r="BK136" i="28"/>
  <c r="BM136" i="28" s="1"/>
  <c r="BK137" i="28"/>
  <c r="BM137" i="28" s="1"/>
  <c r="BK138" i="28"/>
  <c r="BM138" i="28" s="1"/>
  <c r="BK139" i="28"/>
  <c r="BM139" i="28" s="1"/>
  <c r="BK140" i="28"/>
  <c r="BM140" i="28" s="1"/>
  <c r="BK141" i="28"/>
  <c r="BM141" i="28" s="1"/>
  <c r="BK142" i="28"/>
  <c r="BM142" i="28" s="1"/>
  <c r="BK143" i="28"/>
  <c r="BM143" i="28" s="1"/>
  <c r="BK147" i="28"/>
  <c r="BL147" i="28" s="1"/>
  <c r="BK148" i="28"/>
  <c r="BL148" i="28" s="1"/>
  <c r="BK149" i="28"/>
  <c r="BL149" i="28" s="1"/>
  <c r="BK150" i="28"/>
  <c r="BL150" i="28" s="1"/>
  <c r="BK151" i="28"/>
  <c r="BL151" i="28" s="1"/>
  <c r="BK152" i="28"/>
  <c r="BL152" i="28" s="1"/>
  <c r="BK153" i="28"/>
  <c r="BL153" i="28" s="1"/>
  <c r="BK154" i="28"/>
  <c r="BL154" i="28" s="1"/>
  <c r="BK155" i="28"/>
  <c r="BL155" i="28" s="1"/>
  <c r="BK156" i="28"/>
  <c r="BL156" i="28" s="1"/>
  <c r="BK157" i="28"/>
  <c r="BL157" i="28" s="1"/>
  <c r="BK158" i="28"/>
  <c r="BL158" i="28" s="1"/>
  <c r="BK159" i="28"/>
  <c r="BL159" i="28" s="1"/>
  <c r="BK160" i="28"/>
  <c r="BL160" i="28" s="1"/>
  <c r="BK161" i="28"/>
  <c r="BL161" i="28" s="1"/>
  <c r="BK162" i="28"/>
  <c r="BL162" i="28" s="1"/>
  <c r="BK163" i="28"/>
  <c r="BL163" i="28" s="1"/>
  <c r="BK164" i="28"/>
  <c r="BL164" i="28" s="1"/>
  <c r="BK165" i="28"/>
  <c r="BL165" i="28" s="1"/>
  <c r="BK166" i="28"/>
  <c r="BL166" i="28" s="1"/>
  <c r="BK167" i="28"/>
  <c r="BL167" i="28" s="1"/>
  <c r="BK168" i="28"/>
  <c r="BL168" i="28" s="1"/>
  <c r="BK169" i="28"/>
  <c r="BL169" i="28" s="1"/>
  <c r="BK170" i="28"/>
  <c r="BL170" i="28" s="1"/>
  <c r="BK171" i="28"/>
  <c r="BL171" i="28" s="1"/>
  <c r="BK172" i="28"/>
  <c r="BL172" i="28" s="1"/>
  <c r="BK173" i="28"/>
  <c r="BL173" i="28" s="1"/>
  <c r="BK174" i="28"/>
  <c r="BL174" i="28" s="1"/>
  <c r="BK175" i="28"/>
  <c r="BL175" i="28" s="1"/>
  <c r="BK176" i="28"/>
  <c r="BL176" i="28" s="1"/>
  <c r="BK177" i="28"/>
  <c r="BL177" i="28" s="1"/>
  <c r="BK178" i="28"/>
  <c r="BL178" i="28" s="1"/>
  <c r="BK179" i="28"/>
  <c r="BL179" i="28" s="1"/>
  <c r="BK180" i="28"/>
  <c r="BL180" i="28" s="1"/>
  <c r="BK181" i="28"/>
  <c r="BL181" i="28" s="1"/>
  <c r="BK182" i="28"/>
  <c r="BL182" i="28" s="1"/>
  <c r="BK183" i="28"/>
  <c r="BL183" i="28" s="1"/>
  <c r="BK184" i="28"/>
  <c r="BL184" i="28" s="1"/>
  <c r="BK185" i="28"/>
  <c r="BL185" i="28" s="1"/>
  <c r="BK186" i="28"/>
  <c r="BL186" i="28" s="1"/>
  <c r="BK187" i="28"/>
  <c r="BL187" i="28" s="1"/>
  <c r="BK188" i="28"/>
  <c r="BL188" i="28" s="1"/>
  <c r="BK189" i="28"/>
  <c r="BL189" i="28" s="1"/>
  <c r="BK190" i="28"/>
  <c r="BL190" i="28" s="1"/>
  <c r="BK191" i="28"/>
  <c r="BL191" i="28" s="1"/>
  <c r="BK192" i="28"/>
  <c r="BL192" i="28" s="1"/>
  <c r="BK193" i="28"/>
  <c r="BL193" i="28" s="1"/>
  <c r="BK194" i="28"/>
  <c r="BL194" i="28" s="1"/>
  <c r="BK195" i="28"/>
  <c r="BL195" i="28" s="1"/>
  <c r="BK196" i="28"/>
  <c r="BL196" i="28" s="1"/>
  <c r="BK197" i="28"/>
  <c r="BL197" i="28" s="1"/>
  <c r="BK198" i="28"/>
  <c r="BL198" i="28" s="1"/>
  <c r="BK199" i="28"/>
  <c r="BL199" i="28" s="1"/>
  <c r="BK200" i="28"/>
  <c r="BL200" i="28" s="1"/>
  <c r="BK201" i="28"/>
  <c r="BL201" i="28" s="1"/>
  <c r="BK202" i="28"/>
  <c r="BL202" i="28" s="1"/>
  <c r="BK203" i="28"/>
  <c r="BL203" i="28" s="1"/>
  <c r="BK204" i="28"/>
  <c r="BL204" i="28" s="1"/>
  <c r="BK205" i="28"/>
  <c r="BL205" i="28" s="1"/>
  <c r="BK206" i="28"/>
  <c r="BL206" i="28" s="1"/>
  <c r="BK207" i="28"/>
  <c r="BL207" i="28" s="1"/>
  <c r="BK208" i="28"/>
  <c r="BL208" i="28" s="1"/>
  <c r="BK209" i="28"/>
  <c r="BL209" i="28" s="1"/>
  <c r="BK210" i="28"/>
  <c r="BL210" i="28" s="1"/>
  <c r="BK211" i="28"/>
  <c r="BL211" i="28" s="1"/>
  <c r="BK212" i="28"/>
  <c r="BL212" i="28" s="1"/>
  <c r="BK213" i="28"/>
  <c r="BL213" i="28" s="1"/>
  <c r="BK214" i="28"/>
  <c r="BL214" i="28" s="1"/>
  <c r="BK215" i="28"/>
  <c r="BL215" i="28" s="1"/>
  <c r="BK216" i="28"/>
  <c r="BL216" i="28" s="1"/>
  <c r="BK217" i="28"/>
  <c r="BL217" i="28" s="1"/>
  <c r="BK218" i="28"/>
  <c r="BL218" i="28" s="1"/>
  <c r="BK219" i="28"/>
  <c r="BL219" i="28" s="1"/>
  <c r="BK220" i="28"/>
  <c r="BL220" i="28" s="1"/>
  <c r="BK221" i="28"/>
  <c r="BL221" i="28" s="1"/>
  <c r="BK222" i="28"/>
  <c r="BL222" i="28" s="1"/>
  <c r="BK223" i="28"/>
  <c r="BL223" i="28" s="1"/>
  <c r="BK224" i="28"/>
  <c r="BL224" i="28" s="1"/>
  <c r="BK225" i="28"/>
  <c r="BL225" i="28" s="1"/>
  <c r="BK226" i="28"/>
  <c r="BL226" i="28" s="1"/>
  <c r="BK227" i="28"/>
  <c r="BL227" i="28" s="1"/>
  <c r="BK228" i="28"/>
  <c r="BL228" i="28" s="1"/>
  <c r="BK229" i="28"/>
  <c r="BL229" i="28" s="1"/>
  <c r="BK230" i="28"/>
  <c r="BL230" i="28" s="1"/>
  <c r="BK231" i="28"/>
  <c r="BL231" i="28" s="1"/>
  <c r="BK232" i="28"/>
  <c r="BL232" i="28" s="1"/>
  <c r="BK233" i="28"/>
  <c r="BL233" i="28" s="1"/>
  <c r="BK234" i="28"/>
  <c r="BL234" i="28" s="1"/>
  <c r="BK235" i="28"/>
  <c r="BL235" i="28" s="1"/>
  <c r="BK236" i="28"/>
  <c r="BL236" i="28" s="1"/>
  <c r="BK237" i="28"/>
  <c r="BL237" i="28" s="1"/>
  <c r="BK238" i="28"/>
  <c r="BL238" i="28" s="1"/>
  <c r="BK239" i="28"/>
  <c r="BL239" i="28" s="1"/>
  <c r="BK240" i="28"/>
  <c r="BL240" i="28" s="1"/>
  <c r="BK241" i="28"/>
  <c r="BL241" i="28" s="1"/>
  <c r="BK242" i="28"/>
  <c r="BL242" i="28" s="1"/>
  <c r="BK243" i="28"/>
  <c r="BL243" i="28" s="1"/>
  <c r="BK244" i="28"/>
  <c r="BL244" i="28" s="1"/>
  <c r="BK245" i="28"/>
  <c r="BL245" i="28" s="1"/>
  <c r="BK246" i="28"/>
  <c r="BL246" i="28" s="1"/>
  <c r="BK247" i="28"/>
  <c r="BL247" i="28" s="1"/>
  <c r="BK248" i="28"/>
  <c r="BL248" i="28" s="1"/>
  <c r="BK249" i="28"/>
  <c r="BL249" i="28" s="1"/>
  <c r="BK250" i="28"/>
  <c r="BL250" i="28" s="1"/>
  <c r="BK251" i="28"/>
  <c r="BL251" i="28" s="1"/>
  <c r="BK252" i="28"/>
  <c r="BL252" i="28" s="1"/>
  <c r="BK253" i="28"/>
  <c r="BL253" i="28" s="1"/>
  <c r="BK254" i="28"/>
  <c r="BL254" i="28" s="1"/>
  <c r="BK255" i="28"/>
  <c r="BL255" i="28" s="1"/>
  <c r="BK256" i="28"/>
  <c r="BL256" i="28" s="1"/>
  <c r="BK257" i="28"/>
  <c r="BL257" i="28" s="1"/>
  <c r="BK258" i="28"/>
  <c r="BL258" i="28" s="1"/>
  <c r="BK259" i="28"/>
  <c r="BL259" i="28" s="1"/>
  <c r="BK260" i="28"/>
  <c r="BL260" i="28" s="1"/>
  <c r="BK261" i="28"/>
  <c r="BL261" i="28" s="1"/>
  <c r="BK262" i="28"/>
  <c r="BL262" i="28" s="1"/>
  <c r="BK263" i="28"/>
  <c r="BL263" i="28" s="1"/>
  <c r="BK264" i="28"/>
  <c r="BL264" i="28" s="1"/>
  <c r="BK265" i="28"/>
  <c r="BL265" i="28" s="1"/>
  <c r="BK266" i="28"/>
  <c r="BL266" i="28" s="1"/>
  <c r="BK267" i="28"/>
  <c r="BL267" i="28" s="1"/>
  <c r="BK268" i="28"/>
  <c r="BL268" i="28" s="1"/>
  <c r="BK269" i="28"/>
  <c r="BL269" i="28" s="1"/>
  <c r="BK270" i="28"/>
  <c r="BL270" i="28" s="1"/>
  <c r="BK271" i="28"/>
  <c r="BL271" i="28" s="1"/>
  <c r="BK272" i="28"/>
  <c r="BL272" i="28" s="1"/>
  <c r="BK273" i="28"/>
  <c r="BL273" i="28" s="1"/>
  <c r="BK274" i="28"/>
  <c r="BL274" i="28" s="1"/>
  <c r="BK275" i="28"/>
  <c r="BL275" i="28" s="1"/>
  <c r="BK276" i="28"/>
  <c r="BL276" i="28" s="1"/>
  <c r="BK277" i="28"/>
  <c r="BL277" i="28" s="1"/>
  <c r="BK278" i="28"/>
  <c r="BL278" i="28" s="1"/>
  <c r="BK279" i="28"/>
  <c r="BL279" i="28" s="1"/>
  <c r="BK280" i="28"/>
  <c r="BL280" i="28" s="1"/>
  <c r="BK281" i="28"/>
  <c r="BL281" i="28" s="1"/>
  <c r="BK282" i="28"/>
  <c r="BL282" i="28" s="1"/>
  <c r="BK283" i="28"/>
  <c r="BL283" i="28" s="1"/>
  <c r="BK284" i="28"/>
  <c r="BL284" i="28" s="1"/>
  <c r="BK285" i="28"/>
  <c r="BL285" i="28" s="1"/>
  <c r="BK286" i="28"/>
  <c r="BL286" i="28" s="1"/>
  <c r="BK287" i="28"/>
  <c r="BL287" i="28" s="1"/>
  <c r="BK288" i="28"/>
  <c r="BL288" i="28" s="1"/>
  <c r="BK289" i="28"/>
  <c r="BL289" i="28" s="1"/>
  <c r="BK290" i="28"/>
  <c r="BL290" i="28" s="1"/>
  <c r="BK291" i="28"/>
  <c r="BL291" i="28" s="1"/>
  <c r="BK292" i="28"/>
  <c r="BL292" i="28" s="1"/>
  <c r="BK293" i="28"/>
  <c r="BL293" i="28" s="1"/>
  <c r="BK294" i="28"/>
  <c r="BL294" i="28" s="1"/>
  <c r="BK296" i="28"/>
  <c r="BL296" i="28" s="1"/>
  <c r="BK297" i="28"/>
  <c r="BL297" i="28" s="1"/>
  <c r="BK298" i="28"/>
  <c r="BL298" i="28" s="1"/>
  <c r="BK299" i="28"/>
  <c r="BL299" i="28" s="1"/>
  <c r="BK300" i="28"/>
  <c r="BL300" i="28" s="1"/>
  <c r="BK301" i="28"/>
  <c r="BL301" i="28" s="1"/>
  <c r="BK302" i="28"/>
  <c r="BL302" i="28" s="1"/>
  <c r="BK303" i="28"/>
  <c r="BL303" i="28" s="1"/>
  <c r="BK304" i="28"/>
  <c r="BL304" i="28" s="1"/>
  <c r="BK305" i="28"/>
  <c r="BL305" i="28" s="1"/>
  <c r="BK306" i="28"/>
  <c r="BL306" i="28" s="1"/>
  <c r="BK307" i="28"/>
  <c r="BL307" i="28" s="1"/>
  <c r="BK308" i="28"/>
  <c r="BL308" i="28" s="1"/>
  <c r="BK309" i="28"/>
  <c r="BL309" i="28" s="1"/>
  <c r="BK310" i="28"/>
  <c r="BL310" i="28" s="1"/>
  <c r="BK311" i="28"/>
  <c r="BL311" i="28" s="1"/>
  <c r="BK312" i="28"/>
  <c r="BL312" i="28" s="1"/>
  <c r="BK313" i="28"/>
  <c r="BL313" i="28" s="1"/>
  <c r="BK314" i="28"/>
  <c r="BL314" i="28" s="1"/>
  <c r="BK315" i="28"/>
  <c r="BL315" i="28" s="1"/>
  <c r="BK316" i="28"/>
  <c r="BL316" i="28" s="1"/>
  <c r="BK317" i="28"/>
  <c r="BL317" i="28" s="1"/>
  <c r="BK318" i="28"/>
  <c r="BL318" i="28" s="1"/>
  <c r="BK319" i="28"/>
  <c r="BL319" i="28" s="1"/>
  <c r="BK320" i="28"/>
  <c r="BL320" i="28" s="1"/>
  <c r="BK321" i="28"/>
  <c r="BL321" i="28" s="1"/>
  <c r="BK322" i="28"/>
  <c r="BL322" i="28" s="1"/>
  <c r="BK323" i="28"/>
  <c r="BL323" i="28" s="1"/>
  <c r="BK324" i="28"/>
  <c r="BL324" i="28" s="1"/>
  <c r="BK325" i="28"/>
  <c r="BL325" i="28" s="1"/>
  <c r="BK326" i="28"/>
  <c r="BL326" i="28" s="1"/>
  <c r="BK327" i="28"/>
  <c r="BL327" i="28" s="1"/>
  <c r="BK328" i="28"/>
  <c r="BL328" i="28" s="1"/>
  <c r="BK329" i="28"/>
  <c r="BL329" i="28" s="1"/>
  <c r="BK330" i="28"/>
  <c r="BL330" i="28" s="1"/>
  <c r="BK331" i="28"/>
  <c r="BL331" i="28" s="1"/>
  <c r="BK332" i="28"/>
  <c r="BL332" i="28" s="1"/>
  <c r="BK333" i="28"/>
  <c r="BL333" i="28" s="1"/>
  <c r="BK334" i="28"/>
  <c r="BL334" i="28" s="1"/>
  <c r="BK335" i="28"/>
  <c r="BL335" i="28" s="1"/>
  <c r="BK336" i="28"/>
  <c r="BL336" i="28" s="1"/>
  <c r="BK337" i="28"/>
  <c r="BL337" i="28" s="1"/>
  <c r="BK338" i="28"/>
  <c r="BL338" i="28" s="1"/>
  <c r="BK339" i="28"/>
  <c r="BL339" i="28" s="1"/>
  <c r="BK340" i="28"/>
  <c r="BL340" i="28" s="1"/>
  <c r="BK341" i="28"/>
  <c r="BL341" i="28" s="1"/>
  <c r="BK342" i="28"/>
  <c r="BL342" i="28" s="1"/>
  <c r="BK343" i="28"/>
  <c r="BL343" i="28" s="1"/>
  <c r="BK344" i="28"/>
  <c r="BL344" i="28" s="1"/>
  <c r="BK345" i="28"/>
  <c r="BL345" i="28" s="1"/>
  <c r="BK346" i="28"/>
  <c r="BL346" i="28" s="1"/>
  <c r="BK347" i="28"/>
  <c r="BL347" i="28" s="1"/>
  <c r="BK348" i="28"/>
  <c r="BL348" i="28" s="1"/>
  <c r="BK349" i="28"/>
  <c r="BL349" i="28" s="1"/>
  <c r="BK350" i="28"/>
  <c r="BL350" i="28" s="1"/>
  <c r="BK351" i="28"/>
  <c r="BL351" i="28" s="1"/>
  <c r="BK352" i="28"/>
  <c r="BL352" i="28" s="1"/>
  <c r="BK353" i="28"/>
  <c r="BL353" i="28" s="1"/>
  <c r="BK354" i="28"/>
  <c r="BL354" i="28" s="1"/>
  <c r="BK355" i="28"/>
  <c r="BL355" i="28" s="1"/>
  <c r="BK356" i="28"/>
  <c r="BL356" i="28" s="1"/>
  <c r="BK357" i="28"/>
  <c r="BL357" i="28" s="1"/>
  <c r="BK358" i="28"/>
  <c r="BL358" i="28" s="1"/>
  <c r="BK359" i="28"/>
  <c r="BL359" i="28" s="1"/>
  <c r="BK360" i="28"/>
  <c r="BL360" i="28" s="1"/>
  <c r="BK361" i="28"/>
  <c r="BL361" i="28" s="1"/>
  <c r="BK362" i="28"/>
  <c r="BL362" i="28" s="1"/>
  <c r="BK363" i="28"/>
  <c r="BL363" i="28" s="1"/>
  <c r="BK364" i="28"/>
  <c r="BL364" i="28" s="1"/>
  <c r="BK365" i="28"/>
  <c r="BL365" i="28" s="1"/>
  <c r="BK366" i="28"/>
  <c r="BL366" i="28" s="1"/>
  <c r="BK367" i="28"/>
  <c r="BL367" i="28" s="1"/>
  <c r="BK368" i="28"/>
  <c r="BL368" i="28" s="1"/>
  <c r="BK369" i="28"/>
  <c r="BL369" i="28" s="1"/>
  <c r="BK370" i="28"/>
  <c r="BL370" i="28" s="1"/>
  <c r="BK371" i="28"/>
  <c r="BL371" i="28" s="1"/>
  <c r="BK372" i="28"/>
  <c r="BL372" i="28" s="1"/>
  <c r="BK373" i="28"/>
  <c r="BL373" i="28" s="1"/>
  <c r="BK374" i="28"/>
  <c r="BL374" i="28" s="1"/>
  <c r="BK375" i="28"/>
  <c r="BL375" i="28" s="1"/>
  <c r="BK376" i="28"/>
  <c r="BL376" i="28" s="1"/>
  <c r="BK377" i="28"/>
  <c r="BL377" i="28" s="1"/>
  <c r="BK378" i="28"/>
  <c r="BL378" i="28" s="1"/>
  <c r="BK379" i="28"/>
  <c r="BL379" i="28" s="1"/>
  <c r="BK380" i="28"/>
  <c r="BL380" i="28" s="1"/>
  <c r="BK381" i="28"/>
  <c r="BL381" i="28" s="1"/>
  <c r="BK382" i="28"/>
  <c r="BL382" i="28" s="1"/>
  <c r="BK383" i="28"/>
  <c r="BL383" i="28" s="1"/>
  <c r="BK384" i="28"/>
  <c r="BL384" i="28" s="1"/>
  <c r="BK385" i="28"/>
  <c r="BL385" i="28" s="1"/>
  <c r="BK386" i="28"/>
  <c r="BL386" i="28" s="1"/>
  <c r="BK387" i="28"/>
  <c r="BL387" i="28" s="1"/>
  <c r="BK388" i="28"/>
  <c r="BL388" i="28" s="1"/>
  <c r="BK389" i="28"/>
  <c r="BL389" i="28" s="1"/>
  <c r="BK390" i="28"/>
  <c r="BL390" i="28" s="1"/>
  <c r="BK391" i="28"/>
  <c r="BL391" i="28" s="1"/>
  <c r="BK392" i="28"/>
  <c r="BL392" i="28" s="1"/>
  <c r="BK393" i="28"/>
  <c r="BL393" i="28" s="1"/>
  <c r="BK394" i="28"/>
  <c r="BL394" i="28" s="1"/>
  <c r="BK395" i="28"/>
  <c r="BL395" i="28" s="1"/>
  <c r="BK396" i="28"/>
  <c r="BL396" i="28" s="1"/>
  <c r="BK397" i="28"/>
  <c r="BL397" i="28" s="1"/>
  <c r="BK398" i="28"/>
  <c r="BL398" i="28" s="1"/>
  <c r="BK399" i="28"/>
  <c r="BL399" i="28" s="1"/>
  <c r="BK400" i="28"/>
  <c r="BL400" i="28" s="1"/>
  <c r="BK401" i="28"/>
  <c r="BL401" i="28" s="1"/>
  <c r="BK402" i="28"/>
  <c r="BL402" i="28" s="1"/>
  <c r="BK403" i="28"/>
  <c r="BL403" i="28" s="1"/>
  <c r="BK404" i="28"/>
  <c r="BL404" i="28" s="1"/>
  <c r="BK405" i="28"/>
  <c r="BL405" i="28" s="1"/>
  <c r="BK406" i="28"/>
  <c r="BL406" i="28" s="1"/>
  <c r="BK407" i="28"/>
  <c r="BL407" i="28" s="1"/>
  <c r="BK408" i="28"/>
  <c r="BL408" i="28" s="1"/>
  <c r="BK409" i="28"/>
  <c r="BL409" i="28" s="1"/>
  <c r="BK410" i="28"/>
  <c r="BL410" i="28" s="1"/>
  <c r="BK411" i="28"/>
  <c r="BL411" i="28" s="1"/>
  <c r="BK412" i="28"/>
  <c r="BL412" i="28" s="1"/>
  <c r="BK413" i="28"/>
  <c r="BL413" i="28" s="1"/>
  <c r="BK414" i="28"/>
  <c r="BL414" i="28" s="1"/>
  <c r="BK415" i="28"/>
  <c r="BL415" i="28" s="1"/>
  <c r="BK416" i="28"/>
  <c r="BL416" i="28" s="1"/>
  <c r="BK417" i="28"/>
  <c r="BL417" i="28" s="1"/>
  <c r="BK418" i="28"/>
  <c r="BL418" i="28" s="1"/>
  <c r="BK419" i="28"/>
  <c r="BL419" i="28" s="1"/>
  <c r="BK420" i="28"/>
  <c r="BL420" i="28" s="1"/>
  <c r="BK421" i="28"/>
  <c r="BL421" i="28" s="1"/>
  <c r="BK422" i="28"/>
  <c r="BL422" i="28" s="1"/>
  <c r="BK2" i="28"/>
  <c r="BM2" i="28" s="1"/>
  <c r="V119" i="29"/>
  <c r="AD2" i="29"/>
  <c r="AC2" i="29"/>
  <c r="AB2" i="29"/>
  <c r="A4" i="27"/>
  <c r="AW4" i="29"/>
  <c r="BM4" i="29" s="1"/>
  <c r="AW5" i="29"/>
  <c r="BM5" i="29" s="1"/>
  <c r="AW6" i="29"/>
  <c r="BM6" i="29" s="1"/>
  <c r="AW7" i="29"/>
  <c r="BM7" i="29" s="1"/>
  <c r="AW8" i="29"/>
  <c r="BM8" i="29" s="1"/>
  <c r="AW9" i="29"/>
  <c r="BM9" i="29" s="1"/>
  <c r="AW10" i="29"/>
  <c r="BM10" i="29" s="1"/>
  <c r="AW11" i="29"/>
  <c r="BM11" i="29" s="1"/>
  <c r="AW12" i="29"/>
  <c r="BM12" i="29" s="1"/>
  <c r="AW13" i="29"/>
  <c r="BM13" i="29" s="1"/>
  <c r="AW14" i="29"/>
  <c r="BM14" i="29" s="1"/>
  <c r="AW15" i="29"/>
  <c r="BM15" i="29" s="1"/>
  <c r="AW16" i="29"/>
  <c r="BM16" i="29" s="1"/>
  <c r="AW17" i="29"/>
  <c r="BM17" i="29" s="1"/>
  <c r="AW18" i="29"/>
  <c r="BM18" i="29" s="1"/>
  <c r="AW19" i="29"/>
  <c r="BM19" i="29" s="1"/>
  <c r="AW20" i="29"/>
  <c r="BM20" i="29" s="1"/>
  <c r="AW21" i="29"/>
  <c r="BM21" i="29" s="1"/>
  <c r="AW22" i="29"/>
  <c r="BM22" i="29" s="1"/>
  <c r="AW23" i="29"/>
  <c r="BM23" i="29" s="1"/>
  <c r="AW24" i="29"/>
  <c r="BM24" i="29" s="1"/>
  <c r="AW25" i="29"/>
  <c r="BM25" i="29" s="1"/>
  <c r="AW26" i="29"/>
  <c r="BM26" i="29" s="1"/>
  <c r="AW27" i="29"/>
  <c r="BM27" i="29" s="1"/>
  <c r="AW28" i="29"/>
  <c r="BM28" i="29" s="1"/>
  <c r="AW29" i="29"/>
  <c r="BM29" i="29" s="1"/>
  <c r="AW30" i="29"/>
  <c r="BM30" i="29" s="1"/>
  <c r="AW31" i="29"/>
  <c r="BM31" i="29" s="1"/>
  <c r="AW32" i="29"/>
  <c r="BM32" i="29" s="1"/>
  <c r="AW33" i="29"/>
  <c r="BM33" i="29" s="1"/>
  <c r="AW34" i="29"/>
  <c r="BM34" i="29" s="1"/>
  <c r="AW35" i="29"/>
  <c r="BM35" i="29" s="1"/>
  <c r="AW36" i="29"/>
  <c r="BM36" i="29" s="1"/>
  <c r="AW37" i="29"/>
  <c r="BM37" i="29" s="1"/>
  <c r="AW38" i="29"/>
  <c r="BM38" i="29" s="1"/>
  <c r="AW39" i="29"/>
  <c r="BM39" i="29" s="1"/>
  <c r="AW40" i="29"/>
  <c r="BM40" i="29" s="1"/>
  <c r="AW41" i="29"/>
  <c r="BM41" i="29" s="1"/>
  <c r="AW42" i="29"/>
  <c r="BM42" i="29" s="1"/>
  <c r="AW43" i="29"/>
  <c r="BM43" i="29" s="1"/>
  <c r="AW44" i="29"/>
  <c r="BM44" i="29" s="1"/>
  <c r="AW45" i="29"/>
  <c r="BM45" i="29" s="1"/>
  <c r="AW46" i="29"/>
  <c r="BM46" i="29" s="1"/>
  <c r="AW47" i="29"/>
  <c r="BM47" i="29" s="1"/>
  <c r="AW48" i="29"/>
  <c r="BM48" i="29" s="1"/>
  <c r="AW49" i="29"/>
  <c r="BM49" i="29" s="1"/>
  <c r="AW50" i="29"/>
  <c r="BM50" i="29" s="1"/>
  <c r="AW51" i="29"/>
  <c r="BM51" i="29" s="1"/>
  <c r="AW52" i="29"/>
  <c r="BM52" i="29" s="1"/>
  <c r="AW53" i="29"/>
  <c r="BM53" i="29" s="1"/>
  <c r="AW54" i="29"/>
  <c r="BM54" i="29" s="1"/>
  <c r="AW55" i="29"/>
  <c r="BM55" i="29" s="1"/>
  <c r="AW56" i="29"/>
  <c r="BM56" i="29" s="1"/>
  <c r="AW57" i="29"/>
  <c r="BM57" i="29" s="1"/>
  <c r="AW58" i="29"/>
  <c r="BM58" i="29" s="1"/>
  <c r="AW59" i="29"/>
  <c r="BM59" i="29" s="1"/>
  <c r="AW60" i="29"/>
  <c r="BM60" i="29" s="1"/>
  <c r="AW61" i="29"/>
  <c r="BM61" i="29" s="1"/>
  <c r="AW62" i="29"/>
  <c r="BM62" i="29" s="1"/>
  <c r="AW63" i="29"/>
  <c r="BM63" i="29" s="1"/>
  <c r="AW64" i="29"/>
  <c r="BM64" i="29" s="1"/>
  <c r="AW65" i="29"/>
  <c r="BM65" i="29" s="1"/>
  <c r="AW66" i="29"/>
  <c r="BM66" i="29" s="1"/>
  <c r="AW67" i="29"/>
  <c r="BM67" i="29" s="1"/>
  <c r="AW68" i="29"/>
  <c r="BM68" i="29" s="1"/>
  <c r="AW69" i="29"/>
  <c r="BM69" i="29" s="1"/>
  <c r="AW70" i="29"/>
  <c r="BM70" i="29" s="1"/>
  <c r="AW71" i="29"/>
  <c r="BM71" i="29" s="1"/>
  <c r="AW72" i="29"/>
  <c r="BM72" i="29" s="1"/>
  <c r="AW73" i="29"/>
  <c r="BM73" i="29" s="1"/>
  <c r="AW74" i="29"/>
  <c r="BM74" i="29" s="1"/>
  <c r="AW75" i="29"/>
  <c r="BM75" i="29" s="1"/>
  <c r="AW76" i="29"/>
  <c r="BM76" i="29" s="1"/>
  <c r="AW77" i="29"/>
  <c r="BM77" i="29" s="1"/>
  <c r="AW78" i="29"/>
  <c r="BM78" i="29" s="1"/>
  <c r="AW79" i="29"/>
  <c r="BM79" i="29" s="1"/>
  <c r="AW80" i="29"/>
  <c r="BM80" i="29" s="1"/>
  <c r="AW81" i="29"/>
  <c r="BM81" i="29" s="1"/>
  <c r="AW82" i="29"/>
  <c r="BM82" i="29" s="1"/>
  <c r="AW83" i="29"/>
  <c r="BM83" i="29" s="1"/>
  <c r="AW84" i="29"/>
  <c r="BM84" i="29" s="1"/>
  <c r="AW85" i="29"/>
  <c r="BM85" i="29" s="1"/>
  <c r="AW86" i="29"/>
  <c r="BM86" i="29" s="1"/>
  <c r="AW87" i="29"/>
  <c r="BM87" i="29" s="1"/>
  <c r="AW88" i="29"/>
  <c r="BM88" i="29" s="1"/>
  <c r="AW89" i="29"/>
  <c r="BM89" i="29" s="1"/>
  <c r="AW90" i="29"/>
  <c r="BM90" i="29" s="1"/>
  <c r="AW91" i="29"/>
  <c r="BM91" i="29" s="1"/>
  <c r="AW92" i="29"/>
  <c r="BM92" i="29" s="1"/>
  <c r="AW93" i="29"/>
  <c r="BM93" i="29" s="1"/>
  <c r="AW94" i="29"/>
  <c r="BM94" i="29" s="1"/>
  <c r="AW95" i="29"/>
  <c r="BM95" i="29" s="1"/>
  <c r="AW96" i="29"/>
  <c r="BM96" i="29" s="1"/>
  <c r="AW97" i="29"/>
  <c r="BM97" i="29" s="1"/>
  <c r="AW98" i="29"/>
  <c r="BM98" i="29" s="1"/>
  <c r="AW99" i="29"/>
  <c r="BM99" i="29" s="1"/>
  <c r="AW100" i="29"/>
  <c r="BM100" i="29" s="1"/>
  <c r="AW101" i="29"/>
  <c r="BM101" i="29" s="1"/>
  <c r="AW102" i="29"/>
  <c r="BM102" i="29" s="1"/>
  <c r="AW103" i="29"/>
  <c r="BM103" i="29" s="1"/>
  <c r="AW104" i="29"/>
  <c r="BM104" i="29" s="1"/>
  <c r="AW105" i="29"/>
  <c r="BM105" i="29" s="1"/>
  <c r="AW106" i="29"/>
  <c r="BM106" i="29" s="1"/>
  <c r="AW107" i="29"/>
  <c r="BM107" i="29" s="1"/>
  <c r="AW108" i="29"/>
  <c r="BM108" i="29" s="1"/>
  <c r="AW109" i="29"/>
  <c r="BM109" i="29" s="1"/>
  <c r="AW110" i="29"/>
  <c r="BM110" i="29" s="1"/>
  <c r="AW111" i="29"/>
  <c r="BM111" i="29" s="1"/>
  <c r="AW112" i="29"/>
  <c r="BM112" i="29" s="1"/>
  <c r="AW113" i="29"/>
  <c r="BM113" i="29" s="1"/>
  <c r="AW114" i="29"/>
  <c r="BM114" i="29" s="1"/>
  <c r="AW115" i="29"/>
  <c r="BM115" i="29" s="1"/>
  <c r="AW116" i="29"/>
  <c r="BM116" i="29" s="1"/>
  <c r="AW117" i="29"/>
  <c r="BM117" i="29" s="1"/>
  <c r="AW118" i="29"/>
  <c r="BM118" i="29" s="1"/>
  <c r="AW119" i="29"/>
  <c r="BM119" i="29" s="1"/>
  <c r="AW120" i="29"/>
  <c r="BM120" i="29" s="1"/>
  <c r="AW121" i="29"/>
  <c r="BM121" i="29" s="1"/>
  <c r="AW122" i="29"/>
  <c r="BM122" i="29" s="1"/>
  <c r="AW123" i="29"/>
  <c r="BM123" i="29" s="1"/>
  <c r="AW124" i="29"/>
  <c r="BM124" i="29" s="1"/>
  <c r="AW125" i="29"/>
  <c r="BM125" i="29" s="1"/>
  <c r="AW126" i="29"/>
  <c r="BM126" i="29" s="1"/>
  <c r="AW127" i="29"/>
  <c r="BM127" i="29" s="1"/>
  <c r="AW128" i="29"/>
  <c r="BM128" i="29" s="1"/>
  <c r="AW129" i="29"/>
  <c r="BM129" i="29" s="1"/>
  <c r="AW130" i="29"/>
  <c r="BM130" i="29" s="1"/>
  <c r="AW131" i="29"/>
  <c r="BM131" i="29" s="1"/>
  <c r="AW132" i="29"/>
  <c r="BM132" i="29" s="1"/>
  <c r="AW133" i="29"/>
  <c r="BM133" i="29" s="1"/>
  <c r="AW134" i="29"/>
  <c r="BM134" i="29" s="1"/>
  <c r="AW135" i="29"/>
  <c r="BM135" i="29" s="1"/>
  <c r="AW136" i="29"/>
  <c r="BM136" i="29" s="1"/>
  <c r="AW137" i="29"/>
  <c r="BM137" i="29" s="1"/>
  <c r="AW138" i="29"/>
  <c r="BM138" i="29" s="1"/>
  <c r="AW139" i="29"/>
  <c r="BM139" i="29" s="1"/>
  <c r="AW140" i="29"/>
  <c r="BM140" i="29" s="1"/>
  <c r="AW141" i="29"/>
  <c r="BM141" i="29" s="1"/>
  <c r="AW142" i="29"/>
  <c r="BM142" i="29" s="1"/>
  <c r="AW143" i="29"/>
  <c r="BM143" i="29" s="1"/>
  <c r="AW144" i="29"/>
  <c r="BM144" i="29" s="1"/>
  <c r="AW145" i="29"/>
  <c r="BM145" i="29" s="1"/>
  <c r="AW146" i="29"/>
  <c r="BM146" i="29" s="1"/>
  <c r="AW147" i="29"/>
  <c r="BM147" i="29" s="1"/>
  <c r="AW148" i="29"/>
  <c r="BM148" i="29" s="1"/>
  <c r="AW149" i="29"/>
  <c r="BM149" i="29" s="1"/>
  <c r="AW150" i="29"/>
  <c r="BM150" i="29" s="1"/>
  <c r="AW151" i="29"/>
  <c r="BM151" i="29" s="1"/>
  <c r="AW152" i="29"/>
  <c r="BM152" i="29" s="1"/>
  <c r="AW153" i="29"/>
  <c r="BM153" i="29" s="1"/>
  <c r="AW154" i="29"/>
  <c r="BM154" i="29" s="1"/>
  <c r="AW155" i="29"/>
  <c r="BM155" i="29" s="1"/>
  <c r="AW156" i="29"/>
  <c r="BM156" i="29" s="1"/>
  <c r="AW157" i="29"/>
  <c r="BM157" i="29" s="1"/>
  <c r="AW158" i="29"/>
  <c r="BM158" i="29" s="1"/>
  <c r="AW159" i="29"/>
  <c r="BM159" i="29" s="1"/>
  <c r="AW160" i="29"/>
  <c r="BM160" i="29" s="1"/>
  <c r="AW161" i="29"/>
  <c r="BM161" i="29" s="1"/>
  <c r="AW162" i="29"/>
  <c r="BM162" i="29" s="1"/>
  <c r="AW163" i="29"/>
  <c r="BM163" i="29" s="1"/>
  <c r="AW164" i="29"/>
  <c r="BM164" i="29" s="1"/>
  <c r="AW165" i="29"/>
  <c r="BM165" i="29" s="1"/>
  <c r="AW166" i="29"/>
  <c r="BM166" i="29" s="1"/>
  <c r="AW167" i="29"/>
  <c r="BM167" i="29" s="1"/>
  <c r="AW168" i="29"/>
  <c r="BM168" i="29" s="1"/>
  <c r="AW169" i="29"/>
  <c r="BM169" i="29" s="1"/>
  <c r="AW170" i="29"/>
  <c r="BM170" i="29" s="1"/>
  <c r="AW171" i="29"/>
  <c r="BM171" i="29" s="1"/>
  <c r="AW172" i="29"/>
  <c r="BM172" i="29" s="1"/>
  <c r="AW173" i="29"/>
  <c r="BM173" i="29" s="1"/>
  <c r="AW174" i="29"/>
  <c r="BM174" i="29" s="1"/>
  <c r="AW175" i="29"/>
  <c r="BM175" i="29" s="1"/>
  <c r="AW176" i="29"/>
  <c r="BM176" i="29" s="1"/>
  <c r="AW177" i="29"/>
  <c r="BM177" i="29" s="1"/>
  <c r="AW178" i="29"/>
  <c r="BM178" i="29" s="1"/>
  <c r="AW179" i="29"/>
  <c r="BM179" i="29" s="1"/>
  <c r="AW180" i="29"/>
  <c r="BM180" i="29" s="1"/>
  <c r="AW181" i="29"/>
  <c r="BM181" i="29" s="1"/>
  <c r="AW182" i="29"/>
  <c r="BM182" i="29" s="1"/>
  <c r="AW183" i="29"/>
  <c r="BM183" i="29" s="1"/>
  <c r="AW184" i="29"/>
  <c r="BM184" i="29" s="1"/>
  <c r="AW185" i="29"/>
  <c r="BM185" i="29" s="1"/>
  <c r="AW186" i="29"/>
  <c r="BM186" i="29" s="1"/>
  <c r="AW187" i="29"/>
  <c r="BM187" i="29" s="1"/>
  <c r="AW188" i="29"/>
  <c r="BM188" i="29" s="1"/>
  <c r="AW189" i="29"/>
  <c r="BM189" i="29" s="1"/>
  <c r="AW190" i="29"/>
  <c r="BM190" i="29" s="1"/>
  <c r="AW191" i="29"/>
  <c r="BM191" i="29" s="1"/>
  <c r="AW192" i="29"/>
  <c r="BM192" i="29" s="1"/>
  <c r="AW193" i="29"/>
  <c r="BM193" i="29" s="1"/>
  <c r="AW3" i="29"/>
  <c r="AR2" i="29"/>
  <c r="K1" i="30"/>
  <c r="J1" i="30"/>
  <c r="I1" i="30"/>
  <c r="H1" i="30"/>
  <c r="A153" i="30"/>
  <c r="B153" i="30" s="1"/>
  <c r="A154" i="30"/>
  <c r="B154" i="30" s="1"/>
  <c r="A155" i="30"/>
  <c r="B155" i="30" s="1"/>
  <c r="A156" i="30"/>
  <c r="B156" i="30" s="1"/>
  <c r="A157" i="30"/>
  <c r="B157" i="30" s="1"/>
  <c r="A158" i="30"/>
  <c r="B158" i="30" s="1"/>
  <c r="A159" i="30"/>
  <c r="B159" i="30" s="1"/>
  <c r="A160" i="30"/>
  <c r="B160" i="30" s="1"/>
  <c r="A161" i="30"/>
  <c r="B161" i="30" s="1"/>
  <c r="A162" i="30"/>
  <c r="B162" i="30" s="1"/>
  <c r="A163" i="30"/>
  <c r="B163" i="30" s="1"/>
  <c r="A164" i="30"/>
  <c r="B164" i="30" s="1"/>
  <c r="A165" i="30"/>
  <c r="B165" i="30" s="1"/>
  <c r="A166" i="30"/>
  <c r="B166" i="30" s="1"/>
  <c r="A167" i="30"/>
  <c r="B167" i="30" s="1"/>
  <c r="A168" i="30"/>
  <c r="B168" i="30" s="1"/>
  <c r="A169" i="30"/>
  <c r="B169" i="30" s="1"/>
  <c r="A170" i="30"/>
  <c r="B170" i="30" s="1"/>
  <c r="A171" i="30"/>
  <c r="B171" i="30" s="1"/>
  <c r="A172" i="30"/>
  <c r="B172" i="30" s="1"/>
  <c r="A173" i="30"/>
  <c r="B173" i="30" s="1"/>
  <c r="A174" i="30"/>
  <c r="B174" i="30" s="1"/>
  <c r="A175" i="30"/>
  <c r="B175" i="30" s="1"/>
  <c r="A176" i="30"/>
  <c r="B176" i="30" s="1"/>
  <c r="A177" i="30"/>
  <c r="B177" i="30" s="1"/>
  <c r="A178" i="30"/>
  <c r="B178" i="30" s="1"/>
  <c r="A179" i="30"/>
  <c r="B179" i="30" s="1"/>
  <c r="A180" i="30"/>
  <c r="B180" i="30" s="1"/>
  <c r="A181" i="30"/>
  <c r="B181" i="30" s="1"/>
  <c r="A182" i="30"/>
  <c r="B182" i="30" s="1"/>
  <c r="A183" i="30"/>
  <c r="B183" i="30" s="1"/>
  <c r="A184" i="30"/>
  <c r="B184" i="30" s="1"/>
  <c r="A185" i="30"/>
  <c r="B185" i="30" s="1"/>
  <c r="A186" i="30"/>
  <c r="B186" i="30" s="1"/>
  <c r="A187" i="30"/>
  <c r="B187" i="30" s="1"/>
  <c r="A188" i="30"/>
  <c r="B188" i="30" s="1"/>
  <c r="A189" i="30"/>
  <c r="B189" i="30" s="1"/>
  <c r="A190" i="30"/>
  <c r="B190" i="30" s="1"/>
  <c r="A191" i="30"/>
  <c r="B191" i="30" s="1"/>
  <c r="A192" i="30"/>
  <c r="B192" i="30" s="1"/>
  <c r="A134" i="30"/>
  <c r="B134" i="30" s="1"/>
  <c r="A135" i="30"/>
  <c r="B135" i="30" s="1"/>
  <c r="A136" i="30"/>
  <c r="B136" i="30" s="1"/>
  <c r="A137" i="30"/>
  <c r="B137" i="30" s="1"/>
  <c r="A138" i="30"/>
  <c r="B138" i="30" s="1"/>
  <c r="A139" i="30"/>
  <c r="B139" i="30" s="1"/>
  <c r="A140" i="30"/>
  <c r="B140" i="30" s="1"/>
  <c r="A141" i="30"/>
  <c r="B141" i="30" s="1"/>
  <c r="A142" i="30"/>
  <c r="B142" i="30" s="1"/>
  <c r="A143" i="30"/>
  <c r="B143" i="30" s="1"/>
  <c r="A144" i="30"/>
  <c r="B144" i="30" s="1"/>
  <c r="A145" i="30"/>
  <c r="B145" i="30" s="1"/>
  <c r="A146" i="30"/>
  <c r="B146" i="30" s="1"/>
  <c r="A147" i="30"/>
  <c r="B147" i="30" s="1"/>
  <c r="A148" i="30"/>
  <c r="B148" i="30" s="1"/>
  <c r="A149" i="30"/>
  <c r="B149" i="30" s="1"/>
  <c r="A150" i="30"/>
  <c r="B150" i="30" s="1"/>
  <c r="A151" i="30"/>
  <c r="B151" i="30" s="1"/>
  <c r="A152" i="30"/>
  <c r="B152" i="30" s="1"/>
  <c r="A112" i="30"/>
  <c r="B112" i="30" s="1"/>
  <c r="A113" i="30"/>
  <c r="B113" i="30" s="1"/>
  <c r="A114" i="30"/>
  <c r="B114" i="30" s="1"/>
  <c r="A115" i="30"/>
  <c r="B115" i="30" s="1"/>
  <c r="A116" i="30"/>
  <c r="B116" i="30" s="1"/>
  <c r="A117" i="30"/>
  <c r="B117" i="30" s="1"/>
  <c r="A118" i="30"/>
  <c r="B118" i="30" s="1"/>
  <c r="A119" i="30"/>
  <c r="B119" i="30" s="1"/>
  <c r="A120" i="30"/>
  <c r="B120" i="30" s="1"/>
  <c r="A121" i="30"/>
  <c r="B121" i="30" s="1"/>
  <c r="A122" i="30"/>
  <c r="B122" i="30" s="1"/>
  <c r="A123" i="30"/>
  <c r="B123" i="30" s="1"/>
  <c r="A124" i="30"/>
  <c r="B124" i="30" s="1"/>
  <c r="A125" i="30"/>
  <c r="B125" i="30" s="1"/>
  <c r="A126" i="30"/>
  <c r="B126" i="30" s="1"/>
  <c r="A127" i="30"/>
  <c r="B127" i="30" s="1"/>
  <c r="A128" i="30"/>
  <c r="B128" i="30" s="1"/>
  <c r="A129" i="30"/>
  <c r="B129" i="30" s="1"/>
  <c r="A130" i="30"/>
  <c r="B130" i="30" s="1"/>
  <c r="A131" i="30"/>
  <c r="B131" i="30" s="1"/>
  <c r="A132" i="30"/>
  <c r="B132" i="30" s="1"/>
  <c r="A133" i="30"/>
  <c r="B133" i="30" s="1"/>
  <c r="A93" i="30"/>
  <c r="B93" i="30" s="1"/>
  <c r="A94" i="30"/>
  <c r="B94" i="30" s="1"/>
  <c r="A95" i="30"/>
  <c r="B95" i="30" s="1"/>
  <c r="A96" i="30"/>
  <c r="B96" i="30" s="1"/>
  <c r="A97" i="30"/>
  <c r="B97" i="30" s="1"/>
  <c r="A98" i="30"/>
  <c r="B98" i="30" s="1"/>
  <c r="A99" i="30"/>
  <c r="B99" i="30" s="1"/>
  <c r="A100" i="30"/>
  <c r="B100" i="30" s="1"/>
  <c r="A101" i="30"/>
  <c r="B101" i="30" s="1"/>
  <c r="A102" i="30"/>
  <c r="B102" i="30" s="1"/>
  <c r="A103" i="30"/>
  <c r="B103" i="30" s="1"/>
  <c r="A104" i="30"/>
  <c r="B104" i="30" s="1"/>
  <c r="A105" i="30"/>
  <c r="B105" i="30" s="1"/>
  <c r="A106" i="30"/>
  <c r="B106" i="30" s="1"/>
  <c r="A107" i="30"/>
  <c r="B107" i="30" s="1"/>
  <c r="A108" i="30"/>
  <c r="B108" i="30" s="1"/>
  <c r="A109" i="30"/>
  <c r="B109" i="30" s="1"/>
  <c r="A110" i="30"/>
  <c r="B110" i="30" s="1"/>
  <c r="A111" i="30"/>
  <c r="B111" i="30" s="1"/>
  <c r="A63" i="30"/>
  <c r="B63" i="30" s="1"/>
  <c r="A64" i="30"/>
  <c r="B64" i="30" s="1"/>
  <c r="A65" i="30"/>
  <c r="B65" i="30" s="1"/>
  <c r="A66" i="30"/>
  <c r="B66" i="30" s="1"/>
  <c r="A67" i="30"/>
  <c r="B67" i="30" s="1"/>
  <c r="A68" i="30"/>
  <c r="B68" i="30" s="1"/>
  <c r="A69" i="30"/>
  <c r="B69" i="30" s="1"/>
  <c r="A70" i="30"/>
  <c r="B70" i="30" s="1"/>
  <c r="A71" i="30"/>
  <c r="B71" i="30" s="1"/>
  <c r="A72" i="30"/>
  <c r="B72" i="30" s="1"/>
  <c r="A73" i="30"/>
  <c r="B73" i="30" s="1"/>
  <c r="A74" i="30"/>
  <c r="B74" i="30" s="1"/>
  <c r="A75" i="30"/>
  <c r="B75" i="30" s="1"/>
  <c r="A76" i="30"/>
  <c r="B76" i="30" s="1"/>
  <c r="A77" i="30"/>
  <c r="B77" i="30" s="1"/>
  <c r="A78" i="30"/>
  <c r="B78" i="30" s="1"/>
  <c r="A79" i="30"/>
  <c r="B79" i="30" s="1"/>
  <c r="A80" i="30"/>
  <c r="B80" i="30" s="1"/>
  <c r="A81" i="30"/>
  <c r="B81" i="30" s="1"/>
  <c r="A82" i="30"/>
  <c r="B82" i="30" s="1"/>
  <c r="A83" i="30"/>
  <c r="B83" i="30" s="1"/>
  <c r="A84" i="30"/>
  <c r="B84" i="30" s="1"/>
  <c r="A85" i="30"/>
  <c r="B85" i="30" s="1"/>
  <c r="A86" i="30"/>
  <c r="B86" i="30" s="1"/>
  <c r="A87" i="30"/>
  <c r="B87" i="30" s="1"/>
  <c r="A88" i="30"/>
  <c r="B88" i="30" s="1"/>
  <c r="A89" i="30"/>
  <c r="B89" i="30" s="1"/>
  <c r="A90" i="30"/>
  <c r="B90" i="30" s="1"/>
  <c r="A91" i="30"/>
  <c r="B91" i="30" s="1"/>
  <c r="A92" i="30"/>
  <c r="B92" i="30" s="1"/>
  <c r="A31" i="30"/>
  <c r="B31" i="30" s="1"/>
  <c r="A32" i="30"/>
  <c r="B32" i="30" s="1"/>
  <c r="A33" i="30"/>
  <c r="B33" i="30" s="1"/>
  <c r="A34" i="30"/>
  <c r="B34" i="30" s="1"/>
  <c r="A35" i="30"/>
  <c r="B35" i="30" s="1"/>
  <c r="A36" i="30"/>
  <c r="B36" i="30" s="1"/>
  <c r="A37" i="30"/>
  <c r="B37" i="30" s="1"/>
  <c r="A38" i="30"/>
  <c r="B38" i="30" s="1"/>
  <c r="A39" i="30"/>
  <c r="B39" i="30" s="1"/>
  <c r="A40" i="30"/>
  <c r="B40" i="30" s="1"/>
  <c r="A41" i="30"/>
  <c r="B41" i="30" s="1"/>
  <c r="A42" i="30"/>
  <c r="B42" i="30" s="1"/>
  <c r="A43" i="30"/>
  <c r="B43" i="30" s="1"/>
  <c r="A44" i="30"/>
  <c r="B44" i="30" s="1"/>
  <c r="A45" i="30"/>
  <c r="B45" i="30" s="1"/>
  <c r="A46" i="30"/>
  <c r="B46" i="30" s="1"/>
  <c r="A47" i="30"/>
  <c r="B47" i="30" s="1"/>
  <c r="A48" i="30"/>
  <c r="B48" i="30" s="1"/>
  <c r="A49" i="30"/>
  <c r="B49" i="30" s="1"/>
  <c r="A50" i="30"/>
  <c r="B50" i="30" s="1"/>
  <c r="A51" i="30"/>
  <c r="B51" i="30" s="1"/>
  <c r="A52" i="30"/>
  <c r="B52" i="30" s="1"/>
  <c r="A53" i="30"/>
  <c r="B53" i="30" s="1"/>
  <c r="A54" i="30"/>
  <c r="B54" i="30" s="1"/>
  <c r="A55" i="30"/>
  <c r="B55" i="30" s="1"/>
  <c r="A56" i="30"/>
  <c r="B56" i="30" s="1"/>
  <c r="A57" i="30"/>
  <c r="B57" i="30" s="1"/>
  <c r="A58" i="30"/>
  <c r="B58" i="30" s="1"/>
  <c r="A59" i="30"/>
  <c r="B59" i="30" s="1"/>
  <c r="A60" i="30"/>
  <c r="B60" i="30" s="1"/>
  <c r="A61" i="30"/>
  <c r="B61" i="30" s="1"/>
  <c r="A62" i="30"/>
  <c r="B62" i="30" s="1"/>
  <c r="A3" i="30"/>
  <c r="B3" i="30" s="1"/>
  <c r="A4" i="30"/>
  <c r="B4" i="30" s="1"/>
  <c r="A5" i="30"/>
  <c r="B5" i="30" s="1"/>
  <c r="A6" i="30"/>
  <c r="B6" i="30" s="1"/>
  <c r="A7" i="30"/>
  <c r="B7" i="30" s="1"/>
  <c r="A8" i="30"/>
  <c r="B8" i="30" s="1"/>
  <c r="A9" i="30"/>
  <c r="B9" i="30" s="1"/>
  <c r="A10" i="30"/>
  <c r="B10" i="30" s="1"/>
  <c r="A11" i="30"/>
  <c r="B11" i="30" s="1"/>
  <c r="A12" i="30"/>
  <c r="B12" i="30" s="1"/>
  <c r="A13" i="30"/>
  <c r="B13" i="30" s="1"/>
  <c r="A14" i="30"/>
  <c r="B14" i="30" s="1"/>
  <c r="A15" i="30"/>
  <c r="B15" i="30" s="1"/>
  <c r="A16" i="30"/>
  <c r="B16" i="30" s="1"/>
  <c r="A17" i="30"/>
  <c r="B17" i="30" s="1"/>
  <c r="A18" i="30"/>
  <c r="B18" i="30" s="1"/>
  <c r="A19" i="30"/>
  <c r="B19" i="30" s="1"/>
  <c r="A20" i="30"/>
  <c r="B20" i="30" s="1"/>
  <c r="A21" i="30"/>
  <c r="B21" i="30" s="1"/>
  <c r="A22" i="30"/>
  <c r="B22" i="30" s="1"/>
  <c r="A23" i="30"/>
  <c r="B23" i="30" s="1"/>
  <c r="A24" i="30"/>
  <c r="B24" i="30" s="1"/>
  <c r="A25" i="30"/>
  <c r="B25" i="30" s="1"/>
  <c r="A26" i="30"/>
  <c r="B26" i="30" s="1"/>
  <c r="A27" i="30"/>
  <c r="B27" i="30" s="1"/>
  <c r="A28" i="30"/>
  <c r="B28" i="30" s="1"/>
  <c r="A29" i="30"/>
  <c r="B29" i="30" s="1"/>
  <c r="A30" i="30"/>
  <c r="B30" i="30" s="1"/>
  <c r="A1" i="30"/>
  <c r="A2" i="30"/>
  <c r="B2" i="30" s="1"/>
  <c r="AR4" i="29"/>
  <c r="AR5" i="29"/>
  <c r="AR6" i="29"/>
  <c r="AR7" i="29"/>
  <c r="AR8" i="29"/>
  <c r="AR9" i="29"/>
  <c r="AR10" i="29"/>
  <c r="AR11" i="29"/>
  <c r="AR12" i="29"/>
  <c r="AR13" i="29"/>
  <c r="AR14" i="29"/>
  <c r="AR15" i="29"/>
  <c r="AR16" i="29"/>
  <c r="AR17" i="29"/>
  <c r="AR18" i="29"/>
  <c r="AR19" i="29"/>
  <c r="AR20" i="29"/>
  <c r="AR21" i="29"/>
  <c r="AR22" i="29"/>
  <c r="AR23" i="29"/>
  <c r="AR24" i="29"/>
  <c r="AR25" i="29"/>
  <c r="AR26" i="29"/>
  <c r="AR27" i="29"/>
  <c r="AR28" i="29"/>
  <c r="AR29" i="29"/>
  <c r="AR30" i="29"/>
  <c r="AR31" i="29"/>
  <c r="AR32" i="29"/>
  <c r="AR33" i="29"/>
  <c r="AR34" i="29"/>
  <c r="AR35" i="29"/>
  <c r="AR36" i="29"/>
  <c r="AR37" i="29"/>
  <c r="AR38" i="29"/>
  <c r="AR39" i="29"/>
  <c r="AR40" i="29"/>
  <c r="AR41" i="29"/>
  <c r="AR42" i="29"/>
  <c r="AR43" i="29"/>
  <c r="AR44" i="29"/>
  <c r="AR45" i="29"/>
  <c r="AR46" i="29"/>
  <c r="AR47" i="29"/>
  <c r="AR48" i="29"/>
  <c r="AR49" i="29"/>
  <c r="AR50" i="29"/>
  <c r="AR51" i="29"/>
  <c r="AR52" i="29"/>
  <c r="AR53" i="29"/>
  <c r="AR54" i="29"/>
  <c r="AR55" i="29"/>
  <c r="AR56" i="29"/>
  <c r="AR57" i="29"/>
  <c r="AR58" i="29"/>
  <c r="AR59" i="29"/>
  <c r="AR60" i="29"/>
  <c r="AR61" i="29"/>
  <c r="AR62" i="29"/>
  <c r="AR63" i="29"/>
  <c r="AR64" i="29"/>
  <c r="AR65" i="29"/>
  <c r="AR66" i="29"/>
  <c r="AR67" i="29"/>
  <c r="AR68" i="29"/>
  <c r="AR69" i="29"/>
  <c r="AR70" i="29"/>
  <c r="AR71" i="29"/>
  <c r="AR72" i="29"/>
  <c r="AR73" i="29"/>
  <c r="AR74" i="29"/>
  <c r="AR75" i="29"/>
  <c r="AR76" i="29"/>
  <c r="AR77" i="29"/>
  <c r="AR78" i="29"/>
  <c r="AR79" i="29"/>
  <c r="AR80" i="29"/>
  <c r="AR81" i="29"/>
  <c r="AR82" i="29"/>
  <c r="AR83" i="29"/>
  <c r="AR84" i="29"/>
  <c r="AR85" i="29"/>
  <c r="AR86" i="29"/>
  <c r="AR87" i="29"/>
  <c r="AR88" i="29"/>
  <c r="AR89" i="29"/>
  <c r="AR90" i="29"/>
  <c r="AR91" i="29"/>
  <c r="AR92" i="29"/>
  <c r="AR93" i="29"/>
  <c r="AR94" i="29"/>
  <c r="AR95" i="29"/>
  <c r="AR96" i="29"/>
  <c r="AR97" i="29"/>
  <c r="AR98" i="29"/>
  <c r="AR99" i="29"/>
  <c r="AR100" i="29"/>
  <c r="AR101" i="29"/>
  <c r="AR102" i="29"/>
  <c r="AR103" i="29"/>
  <c r="AR104" i="29"/>
  <c r="AR105" i="29"/>
  <c r="AR106" i="29"/>
  <c r="AR107" i="29"/>
  <c r="AR108" i="29"/>
  <c r="AR109" i="29"/>
  <c r="AR110" i="29"/>
  <c r="AR111" i="29"/>
  <c r="AR112" i="29"/>
  <c r="AR113" i="29"/>
  <c r="AR114" i="29"/>
  <c r="AR115" i="29"/>
  <c r="AR116" i="29"/>
  <c r="AR117" i="29"/>
  <c r="AR118" i="29"/>
  <c r="AR119" i="29"/>
  <c r="AR120" i="29"/>
  <c r="AR121" i="29"/>
  <c r="AR122" i="29"/>
  <c r="AR123" i="29"/>
  <c r="AR124" i="29"/>
  <c r="AR125" i="29"/>
  <c r="AR126" i="29"/>
  <c r="AR127" i="29"/>
  <c r="AR128" i="29"/>
  <c r="AR129" i="29"/>
  <c r="AR130" i="29"/>
  <c r="AR131" i="29"/>
  <c r="AR132" i="29"/>
  <c r="AR133" i="29"/>
  <c r="AR134" i="29"/>
  <c r="AR135" i="29"/>
  <c r="AR136" i="29"/>
  <c r="AR137" i="29"/>
  <c r="AR138" i="29"/>
  <c r="AR139" i="29"/>
  <c r="AR140" i="29"/>
  <c r="AR141" i="29"/>
  <c r="AR142" i="29"/>
  <c r="AR143" i="29"/>
  <c r="AR144" i="29"/>
  <c r="AR145" i="29"/>
  <c r="AR146" i="29"/>
  <c r="AR147" i="29"/>
  <c r="AR148" i="29"/>
  <c r="AR149" i="29"/>
  <c r="AR150" i="29"/>
  <c r="AR151" i="29"/>
  <c r="AR152" i="29"/>
  <c r="AR153" i="29"/>
  <c r="AR154" i="29"/>
  <c r="AR155" i="29"/>
  <c r="AR156" i="29"/>
  <c r="AR157" i="29"/>
  <c r="AR158" i="29"/>
  <c r="AR159" i="29"/>
  <c r="AR160" i="29"/>
  <c r="AR161" i="29"/>
  <c r="AR162" i="29"/>
  <c r="AR163" i="29"/>
  <c r="AR164" i="29"/>
  <c r="AR165" i="29"/>
  <c r="AR166" i="29"/>
  <c r="AR167" i="29"/>
  <c r="AR168" i="29"/>
  <c r="AR169" i="29"/>
  <c r="AR170" i="29"/>
  <c r="AR171" i="29"/>
  <c r="AR172" i="29"/>
  <c r="AR173" i="29"/>
  <c r="AR174" i="29"/>
  <c r="AR175" i="29"/>
  <c r="AR176" i="29"/>
  <c r="AR177" i="29"/>
  <c r="AR178" i="29"/>
  <c r="AR179" i="29"/>
  <c r="AR180" i="29"/>
  <c r="AR181" i="29"/>
  <c r="AR182" i="29"/>
  <c r="AR183" i="29"/>
  <c r="AR184" i="29"/>
  <c r="AR185" i="29"/>
  <c r="AR186" i="29"/>
  <c r="AR187" i="29"/>
  <c r="AR188" i="29"/>
  <c r="AR189" i="29"/>
  <c r="AR190" i="29"/>
  <c r="AR191" i="29"/>
  <c r="AR192" i="29"/>
  <c r="AR193" i="29"/>
  <c r="AR3" i="29"/>
  <c r="AO152" i="29"/>
  <c r="AN175" i="29"/>
  <c r="AM175" i="29"/>
  <c r="AL175" i="29"/>
  <c r="AK175" i="29"/>
  <c r="AN174" i="29"/>
  <c r="AM174" i="29"/>
  <c r="AL174" i="29"/>
  <c r="AK174" i="29"/>
  <c r="AM193" i="29"/>
  <c r="AL193" i="29"/>
  <c r="AK193" i="29"/>
  <c r="AM192" i="29"/>
  <c r="AL192" i="29"/>
  <c r="AK192" i="29"/>
  <c r="AM191" i="29"/>
  <c r="AL191" i="29"/>
  <c r="AK191" i="29"/>
  <c r="AM190" i="29"/>
  <c r="AL190" i="29"/>
  <c r="AK190" i="29"/>
  <c r="AM189" i="29"/>
  <c r="AL189" i="29"/>
  <c r="AK189" i="29"/>
  <c r="AM188" i="29"/>
  <c r="AL188" i="29"/>
  <c r="AK188" i="29"/>
  <c r="AM187" i="29"/>
  <c r="AL187" i="29"/>
  <c r="AN187" i="29" s="1"/>
  <c r="AO187" i="29" s="1"/>
  <c r="AK187" i="29"/>
  <c r="AM186" i="29"/>
  <c r="AL186" i="29"/>
  <c r="AK186" i="29"/>
  <c r="AM185" i="29"/>
  <c r="AL185" i="29"/>
  <c r="AK185" i="29"/>
  <c r="AM184" i="29"/>
  <c r="AL184" i="29"/>
  <c r="AK184" i="29"/>
  <c r="AM183" i="29"/>
  <c r="AL183" i="29"/>
  <c r="AN183" i="29" s="1"/>
  <c r="AO183" i="29" s="1"/>
  <c r="AK183" i="29"/>
  <c r="AM182" i="29"/>
  <c r="AL182" i="29"/>
  <c r="AK182" i="29"/>
  <c r="AM181" i="29"/>
  <c r="AL181" i="29"/>
  <c r="AK181" i="29"/>
  <c r="AM180" i="29"/>
  <c r="AL180" i="29"/>
  <c r="AK180" i="29"/>
  <c r="AM179" i="29"/>
  <c r="AL179" i="29"/>
  <c r="AN179" i="29" s="1"/>
  <c r="AO179" i="29" s="1"/>
  <c r="AK179" i="29"/>
  <c r="AM178" i="29"/>
  <c r="AL178" i="29"/>
  <c r="AK178" i="29"/>
  <c r="AM177" i="29"/>
  <c r="AL177" i="29"/>
  <c r="AK177" i="29"/>
  <c r="AM176" i="29"/>
  <c r="AL176" i="29"/>
  <c r="AN176" i="29" s="1"/>
  <c r="AK176" i="29"/>
  <c r="AO175" i="29"/>
  <c r="AM173" i="29"/>
  <c r="AL173" i="29"/>
  <c r="AN173" i="29" s="1"/>
  <c r="AK173" i="29"/>
  <c r="AM172" i="29"/>
  <c r="AL172" i="29"/>
  <c r="AK172" i="29"/>
  <c r="AM171" i="29"/>
  <c r="AL171" i="29"/>
  <c r="AN171" i="29" s="1"/>
  <c r="AK171" i="29"/>
  <c r="AM170" i="29"/>
  <c r="AL170" i="29"/>
  <c r="AN170" i="29" s="1"/>
  <c r="AK170" i="29"/>
  <c r="AM169" i="29"/>
  <c r="AL169" i="29"/>
  <c r="AK169" i="29"/>
  <c r="AM168" i="29"/>
  <c r="AL168" i="29"/>
  <c r="AN168" i="29" s="1"/>
  <c r="AK168" i="29"/>
  <c r="AM167" i="29"/>
  <c r="AL167" i="29"/>
  <c r="AN167" i="29" s="1"/>
  <c r="AK167" i="29"/>
  <c r="AM166" i="29"/>
  <c r="AL166" i="29"/>
  <c r="AN166" i="29" s="1"/>
  <c r="AK166" i="29"/>
  <c r="AM165" i="29"/>
  <c r="AL165" i="29"/>
  <c r="AN165" i="29" s="1"/>
  <c r="AK165" i="29"/>
  <c r="AM164" i="29"/>
  <c r="AL164" i="29"/>
  <c r="AN164" i="29" s="1"/>
  <c r="AK164" i="29"/>
  <c r="AM163" i="29"/>
  <c r="AL163" i="29"/>
  <c r="AN163" i="29" s="1"/>
  <c r="AK163" i="29"/>
  <c r="AM162" i="29"/>
  <c r="AL162" i="29"/>
  <c r="AN162" i="29" s="1"/>
  <c r="AK162" i="29"/>
  <c r="AM161" i="29"/>
  <c r="AL161" i="29"/>
  <c r="AN161" i="29" s="1"/>
  <c r="AK161" i="29"/>
  <c r="AM160" i="29"/>
  <c r="AL160" i="29"/>
  <c r="AN160" i="29" s="1"/>
  <c r="AK160" i="29"/>
  <c r="AM159" i="29"/>
  <c r="AL159" i="29"/>
  <c r="AN159" i="29" s="1"/>
  <c r="AK159" i="29"/>
  <c r="AM158" i="29"/>
  <c r="AL158" i="29"/>
  <c r="AK158" i="29"/>
  <c r="AM157" i="29"/>
  <c r="AL157" i="29"/>
  <c r="AN157" i="29" s="1"/>
  <c r="AK157" i="29"/>
  <c r="AM156" i="29"/>
  <c r="AL156" i="29"/>
  <c r="AN156" i="29" s="1"/>
  <c r="AK156" i="29"/>
  <c r="AM155" i="29"/>
  <c r="AL155" i="29"/>
  <c r="AN155" i="29" s="1"/>
  <c r="AK155" i="29"/>
  <c r="AM154" i="29"/>
  <c r="AL154" i="29"/>
  <c r="AN154" i="29" s="1"/>
  <c r="AK154" i="29"/>
  <c r="AM153" i="29"/>
  <c r="AL153" i="29"/>
  <c r="AN153" i="29" s="1"/>
  <c r="AK153" i="29"/>
  <c r="AM152" i="29"/>
  <c r="AM151" i="29"/>
  <c r="AL151" i="29"/>
  <c r="AK151" i="29"/>
  <c r="AM150" i="29"/>
  <c r="AL150" i="29"/>
  <c r="AN150" i="29" s="1"/>
  <c r="AK150" i="29"/>
  <c r="AM149" i="29"/>
  <c r="AL149" i="29"/>
  <c r="AN149" i="29" s="1"/>
  <c r="AK149" i="29"/>
  <c r="AM148" i="29"/>
  <c r="AL148" i="29"/>
  <c r="AN148" i="29" s="1"/>
  <c r="AK148" i="29"/>
  <c r="AM147" i="29"/>
  <c r="AL147" i="29"/>
  <c r="AK147" i="29"/>
  <c r="AM146" i="29"/>
  <c r="AL146" i="29"/>
  <c r="AN146" i="29" s="1"/>
  <c r="AK146" i="29"/>
  <c r="AM145" i="29"/>
  <c r="AL145" i="29"/>
  <c r="AN145" i="29" s="1"/>
  <c r="AK145" i="29"/>
  <c r="AM144" i="29"/>
  <c r="AL144" i="29"/>
  <c r="AN144" i="29" s="1"/>
  <c r="AK144" i="29"/>
  <c r="AM143" i="29"/>
  <c r="AL143" i="29"/>
  <c r="AN143" i="29" s="1"/>
  <c r="AK143" i="29"/>
  <c r="AM142" i="29"/>
  <c r="AL142" i="29"/>
  <c r="AN142" i="29" s="1"/>
  <c r="AK142" i="29"/>
  <c r="AM141" i="29"/>
  <c r="AL141" i="29"/>
  <c r="AN141" i="29" s="1"/>
  <c r="AK141" i="29"/>
  <c r="AM140" i="29"/>
  <c r="AL140" i="29"/>
  <c r="AN140" i="29" s="1"/>
  <c r="AK140" i="29"/>
  <c r="AM139" i="29"/>
  <c r="AL139" i="29"/>
  <c r="AN139" i="29" s="1"/>
  <c r="AK139" i="29"/>
  <c r="AM138" i="29"/>
  <c r="AL138" i="29"/>
  <c r="AN138" i="29" s="1"/>
  <c r="AK138" i="29"/>
  <c r="AM137" i="29"/>
  <c r="AL137" i="29"/>
  <c r="AK137" i="29"/>
  <c r="AM136" i="29"/>
  <c r="AL136" i="29"/>
  <c r="AN136" i="29" s="1"/>
  <c r="AK136" i="29"/>
  <c r="AM135" i="29"/>
  <c r="AL135" i="29"/>
  <c r="AK135" i="29"/>
  <c r="AM134" i="29"/>
  <c r="AL134" i="29"/>
  <c r="AN134" i="29" s="1"/>
  <c r="AK134" i="29"/>
  <c r="AM133" i="29"/>
  <c r="AL133" i="29"/>
  <c r="AN133" i="29" s="1"/>
  <c r="AK133" i="29"/>
  <c r="AM132" i="29"/>
  <c r="AL132" i="29"/>
  <c r="AN132" i="29" s="1"/>
  <c r="AK132" i="29"/>
  <c r="AM131" i="29"/>
  <c r="AL131" i="29"/>
  <c r="AN131" i="29" s="1"/>
  <c r="AK131" i="29"/>
  <c r="AK130" i="29"/>
  <c r="AL130" i="29"/>
  <c r="AM130" i="29"/>
  <c r="AQ51" i="29"/>
  <c r="AQ59" i="29"/>
  <c r="AQ60" i="29"/>
  <c r="AQ58" i="29"/>
  <c r="AO8" i="29"/>
  <c r="AO9" i="29"/>
  <c r="AO10" i="29"/>
  <c r="AO13" i="29"/>
  <c r="AO15" i="29"/>
  <c r="AO18" i="29"/>
  <c r="AO130" i="29"/>
  <c r="AO135" i="29"/>
  <c r="AO137" i="29"/>
  <c r="AO147" i="29"/>
  <c r="AO151" i="29"/>
  <c r="AN158" i="29"/>
  <c r="AN169" i="29"/>
  <c r="AO169" i="29" s="1"/>
  <c r="AN172" i="29"/>
  <c r="AO172" i="29" s="1"/>
  <c r="AO174" i="29"/>
  <c r="AN177" i="29"/>
  <c r="AO177" i="29" s="1"/>
  <c r="AN178" i="29"/>
  <c r="AO178" i="29" s="1"/>
  <c r="AN180" i="29"/>
  <c r="AO180" i="29" s="1"/>
  <c r="AN181" i="29"/>
  <c r="AO181" i="29" s="1"/>
  <c r="AN182" i="29"/>
  <c r="AO182" i="29" s="1"/>
  <c r="AN184" i="29"/>
  <c r="AO184" i="29" s="1"/>
  <c r="AN185" i="29"/>
  <c r="AO185" i="29" s="1"/>
  <c r="AN186" i="29"/>
  <c r="AO186" i="29" s="1"/>
  <c r="AN188" i="29"/>
  <c r="AO188" i="29" s="1"/>
  <c r="AN189" i="29"/>
  <c r="AO189" i="29" s="1"/>
  <c r="AN190" i="29"/>
  <c r="AO190" i="29" s="1"/>
  <c r="AN191" i="29"/>
  <c r="AO191" i="29" s="1"/>
  <c r="AN192" i="29"/>
  <c r="AO192" i="29" s="1"/>
  <c r="AN193" i="29"/>
  <c r="AO193" i="29" s="1"/>
  <c r="AK9" i="29"/>
  <c r="AL9" i="29"/>
  <c r="AM9" i="29"/>
  <c r="AK10" i="29"/>
  <c r="AL10" i="29"/>
  <c r="AM10" i="29"/>
  <c r="AK11" i="29"/>
  <c r="AL11" i="29"/>
  <c r="AN11" i="29" s="1"/>
  <c r="AM11" i="29"/>
  <c r="AK12" i="29"/>
  <c r="AL12" i="29"/>
  <c r="AN12" i="29" s="1"/>
  <c r="AM12" i="29"/>
  <c r="AK13" i="29"/>
  <c r="AL13" i="29"/>
  <c r="AM13" i="29"/>
  <c r="AK14" i="29"/>
  <c r="AL14" i="29"/>
  <c r="AN14" i="29" s="1"/>
  <c r="AM14" i="29"/>
  <c r="AK15" i="29"/>
  <c r="AL15" i="29"/>
  <c r="AM15" i="29"/>
  <c r="AK16" i="29"/>
  <c r="AL16" i="29"/>
  <c r="AN16" i="29" s="1"/>
  <c r="AM16" i="29"/>
  <c r="AK17" i="29"/>
  <c r="AL17" i="29"/>
  <c r="AN17" i="29" s="1"/>
  <c r="AM17" i="29"/>
  <c r="AK18" i="29"/>
  <c r="AL18" i="29"/>
  <c r="AM18" i="29"/>
  <c r="AK19" i="29"/>
  <c r="AL19" i="29"/>
  <c r="AN19" i="29" s="1"/>
  <c r="AM19" i="29"/>
  <c r="AK20" i="29"/>
  <c r="AL20" i="29"/>
  <c r="AM20" i="29"/>
  <c r="AK21" i="29"/>
  <c r="AL21" i="29"/>
  <c r="AN21" i="29" s="1"/>
  <c r="AM21" i="29"/>
  <c r="AK22" i="29"/>
  <c r="AL22" i="29"/>
  <c r="AN22" i="29" s="1"/>
  <c r="AM22" i="29"/>
  <c r="AK23" i="29"/>
  <c r="AO23" i="29" s="1"/>
  <c r="AL23" i="29"/>
  <c r="AM23" i="29"/>
  <c r="AK24" i="29"/>
  <c r="AL24" i="29"/>
  <c r="AM24" i="29"/>
  <c r="AK25" i="29"/>
  <c r="AL25" i="29"/>
  <c r="AN25" i="29" s="1"/>
  <c r="AM25" i="29"/>
  <c r="AK26" i="29"/>
  <c r="AL26" i="29"/>
  <c r="AN26" i="29" s="1"/>
  <c r="AM26" i="29"/>
  <c r="AK27" i="29"/>
  <c r="AL27" i="29"/>
  <c r="AN27" i="29" s="1"/>
  <c r="AM27" i="29"/>
  <c r="AK28" i="29"/>
  <c r="AL28" i="29"/>
  <c r="AM28" i="29"/>
  <c r="AK29" i="29"/>
  <c r="AL29" i="29"/>
  <c r="AN29" i="29" s="1"/>
  <c r="AM29" i="29"/>
  <c r="AK30" i="29"/>
  <c r="AO30" i="29" s="1"/>
  <c r="AL30" i="29"/>
  <c r="AM30" i="29"/>
  <c r="AK31" i="29"/>
  <c r="AL31" i="29"/>
  <c r="AN31" i="29" s="1"/>
  <c r="AM31" i="29"/>
  <c r="AK32" i="29"/>
  <c r="AL32" i="29"/>
  <c r="AN32" i="29" s="1"/>
  <c r="AM32" i="29"/>
  <c r="AK33" i="29"/>
  <c r="AL33" i="29"/>
  <c r="AN33" i="29" s="1"/>
  <c r="AM33" i="29"/>
  <c r="AK34" i="29"/>
  <c r="AO34" i="29" s="1"/>
  <c r="AL34" i="29"/>
  <c r="AM34" i="29"/>
  <c r="AK35" i="29"/>
  <c r="AL35" i="29"/>
  <c r="AN35" i="29" s="1"/>
  <c r="AM35" i="29"/>
  <c r="AK36" i="29"/>
  <c r="AL36" i="29"/>
  <c r="AM36" i="29"/>
  <c r="AK37" i="29"/>
  <c r="AL37" i="29"/>
  <c r="AN37" i="29" s="1"/>
  <c r="AM37" i="29"/>
  <c r="AK38" i="29"/>
  <c r="AL38" i="29"/>
  <c r="AN38" i="29" s="1"/>
  <c r="AM38" i="29"/>
  <c r="AK39" i="29"/>
  <c r="AL39" i="29"/>
  <c r="AN39" i="29" s="1"/>
  <c r="AM39" i="29"/>
  <c r="AK40" i="29"/>
  <c r="AL40" i="29"/>
  <c r="AM40" i="29"/>
  <c r="AK41" i="29"/>
  <c r="AO41" i="29" s="1"/>
  <c r="AL41" i="29"/>
  <c r="AM41" i="29"/>
  <c r="AK42" i="29"/>
  <c r="AO42" i="29" s="1"/>
  <c r="AL42" i="29"/>
  <c r="AM42" i="29"/>
  <c r="AK43" i="29"/>
  <c r="AO43" i="29" s="1"/>
  <c r="AL43" i="29"/>
  <c r="AM43" i="29"/>
  <c r="AK44" i="29"/>
  <c r="AL44" i="29"/>
  <c r="AN44" i="29" s="1"/>
  <c r="AM44" i="29"/>
  <c r="AK45" i="29"/>
  <c r="AL45" i="29"/>
  <c r="AN45" i="29" s="1"/>
  <c r="AM45" i="29"/>
  <c r="AK46" i="29"/>
  <c r="AO46" i="29" s="1"/>
  <c r="AL46" i="29"/>
  <c r="AM46" i="29"/>
  <c r="AK47" i="29"/>
  <c r="AL47" i="29"/>
  <c r="AN47" i="29" s="1"/>
  <c r="AM47" i="29"/>
  <c r="AK48" i="29"/>
  <c r="AL48" i="29"/>
  <c r="AN48" i="29" s="1"/>
  <c r="AM48" i="29"/>
  <c r="AK49" i="29"/>
  <c r="AL49" i="29"/>
  <c r="AN49" i="29" s="1"/>
  <c r="AM49" i="29"/>
  <c r="AK50" i="29"/>
  <c r="AL50" i="29"/>
  <c r="AN50" i="29" s="1"/>
  <c r="AM50" i="29"/>
  <c r="AK51" i="29"/>
  <c r="AL51" i="29"/>
  <c r="AN51" i="29" s="1"/>
  <c r="AM51" i="29"/>
  <c r="AK52" i="29"/>
  <c r="AL52" i="29"/>
  <c r="AM52" i="29"/>
  <c r="AK53" i="29"/>
  <c r="AL53" i="29"/>
  <c r="AN53" i="29" s="1"/>
  <c r="AM53" i="29"/>
  <c r="AK54" i="29"/>
  <c r="AO54" i="29" s="1"/>
  <c r="AL54" i="29"/>
  <c r="AM54" i="29"/>
  <c r="AK55" i="29"/>
  <c r="AL55" i="29"/>
  <c r="AN55" i="29" s="1"/>
  <c r="AM55" i="29"/>
  <c r="AK56" i="29"/>
  <c r="AL56" i="29"/>
  <c r="AN56" i="29" s="1"/>
  <c r="AM56" i="29"/>
  <c r="AK57" i="29"/>
  <c r="AL57" i="29"/>
  <c r="AN57" i="29" s="1"/>
  <c r="AM57" i="29"/>
  <c r="AK58" i="29"/>
  <c r="AL58" i="29"/>
  <c r="AN58" i="29" s="1"/>
  <c r="AM58" i="29"/>
  <c r="AK59" i="29"/>
  <c r="AL59" i="29"/>
  <c r="AN59" i="29" s="1"/>
  <c r="AM59" i="29"/>
  <c r="AK60" i="29"/>
  <c r="AL60" i="29"/>
  <c r="AM60" i="29"/>
  <c r="AK61" i="29"/>
  <c r="AO61" i="29" s="1"/>
  <c r="AL61" i="29"/>
  <c r="AM61" i="29"/>
  <c r="AK62" i="29"/>
  <c r="AO62" i="29" s="1"/>
  <c r="AL62" i="29"/>
  <c r="AM62" i="29"/>
  <c r="AK63" i="29"/>
  <c r="AL63" i="29"/>
  <c r="AN63" i="29" s="1"/>
  <c r="AM63" i="29"/>
  <c r="AK64" i="29"/>
  <c r="AL64" i="29"/>
  <c r="AM64" i="29"/>
  <c r="AK65" i="29"/>
  <c r="AL65" i="29"/>
  <c r="AN65" i="29" s="1"/>
  <c r="AM65" i="29"/>
  <c r="AK66" i="29"/>
  <c r="AL66" i="29"/>
  <c r="AN66" i="29" s="1"/>
  <c r="AM66" i="29"/>
  <c r="AK67" i="29"/>
  <c r="AL67" i="29"/>
  <c r="AN67" i="29" s="1"/>
  <c r="AM67" i="29"/>
  <c r="AK68" i="29"/>
  <c r="AL68" i="29"/>
  <c r="AN68" i="29" s="1"/>
  <c r="AM68" i="29"/>
  <c r="AK69" i="29"/>
  <c r="AL69" i="29"/>
  <c r="AN69" i="29" s="1"/>
  <c r="AM69" i="29"/>
  <c r="AK70" i="29"/>
  <c r="AO70" i="29" s="1"/>
  <c r="AL70" i="29"/>
  <c r="AM70" i="29"/>
  <c r="AK71" i="29"/>
  <c r="AL71" i="29"/>
  <c r="AN71" i="29" s="1"/>
  <c r="AM71" i="29"/>
  <c r="AK72" i="29"/>
  <c r="AL72" i="29"/>
  <c r="AM72" i="29"/>
  <c r="AK73" i="29"/>
  <c r="AL73" i="29"/>
  <c r="AN73" i="29" s="1"/>
  <c r="AM73" i="29"/>
  <c r="AK74" i="29"/>
  <c r="AL74" i="29"/>
  <c r="AN74" i="29" s="1"/>
  <c r="AM74" i="29"/>
  <c r="AK75" i="29"/>
  <c r="AL75" i="29"/>
  <c r="AN75" i="29" s="1"/>
  <c r="AM75" i="29"/>
  <c r="AK76" i="29"/>
  <c r="AL76" i="29"/>
  <c r="AN76" i="29" s="1"/>
  <c r="AM76" i="29"/>
  <c r="AK77" i="29"/>
  <c r="AO77" i="29" s="1"/>
  <c r="AL77" i="29"/>
  <c r="AM77" i="29"/>
  <c r="AK78" i="29"/>
  <c r="AO78" i="29" s="1"/>
  <c r="AL78" i="29"/>
  <c r="AM78" i="29"/>
  <c r="AK79" i="29"/>
  <c r="AL79" i="29"/>
  <c r="AN79" i="29" s="1"/>
  <c r="AM79" i="29"/>
  <c r="AK80" i="29"/>
  <c r="AL80" i="29"/>
  <c r="AN80" i="29" s="1"/>
  <c r="AM80" i="29"/>
  <c r="AK81" i="29"/>
  <c r="AL81" i="29"/>
  <c r="AN81" i="29" s="1"/>
  <c r="AM81" i="29"/>
  <c r="AK82" i="29"/>
  <c r="AO82" i="29" s="1"/>
  <c r="AL82" i="29"/>
  <c r="AM82" i="29"/>
  <c r="AK83" i="29"/>
  <c r="AL83" i="29"/>
  <c r="AN83" i="29" s="1"/>
  <c r="AM83" i="29"/>
  <c r="AK84" i="29"/>
  <c r="AL84" i="29"/>
  <c r="AM84" i="29"/>
  <c r="AK85" i="29"/>
  <c r="AO85" i="29" s="1"/>
  <c r="AL85" i="29"/>
  <c r="AM85" i="29"/>
  <c r="AK86" i="29"/>
  <c r="AO86" i="29" s="1"/>
  <c r="AL86" i="29"/>
  <c r="AM86" i="29"/>
  <c r="AK87" i="29"/>
  <c r="AO87" i="29" s="1"/>
  <c r="AL87" i="29"/>
  <c r="AM87" i="29"/>
  <c r="AK88" i="29"/>
  <c r="AL88" i="29"/>
  <c r="AN88" i="29" s="1"/>
  <c r="AM88" i="29"/>
  <c r="AK89" i="29"/>
  <c r="AL89" i="29"/>
  <c r="AN89" i="29" s="1"/>
  <c r="AM89" i="29"/>
  <c r="AK90" i="29"/>
  <c r="AO90" i="29" s="1"/>
  <c r="AL90" i="29"/>
  <c r="AM90" i="29"/>
  <c r="AK91" i="29"/>
  <c r="AL91" i="29"/>
  <c r="AN91" i="29" s="1"/>
  <c r="AM91" i="29"/>
  <c r="AK92" i="29"/>
  <c r="AL92" i="29"/>
  <c r="AN92" i="29" s="1"/>
  <c r="AM92" i="29"/>
  <c r="AK93" i="29"/>
  <c r="AL93" i="29"/>
  <c r="AN93" i="29" s="1"/>
  <c r="AM93" i="29"/>
  <c r="AK94" i="29"/>
  <c r="AO94" i="29" s="1"/>
  <c r="AL94" i="29"/>
  <c r="AM94" i="29"/>
  <c r="AK95" i="29"/>
  <c r="AL95" i="29"/>
  <c r="AN95" i="29" s="1"/>
  <c r="AM95" i="29"/>
  <c r="AK96" i="29"/>
  <c r="AL96" i="29"/>
  <c r="AM96" i="29"/>
  <c r="AK97" i="29"/>
  <c r="AL97" i="29"/>
  <c r="AN97" i="29" s="1"/>
  <c r="AM97" i="29"/>
  <c r="AK98" i="29"/>
  <c r="AL98" i="29"/>
  <c r="AN98" i="29" s="1"/>
  <c r="AM98" i="29"/>
  <c r="AK99" i="29"/>
  <c r="AL99" i="29"/>
  <c r="AN99" i="29" s="1"/>
  <c r="AM99" i="29"/>
  <c r="AK100" i="29"/>
  <c r="AL100" i="29"/>
  <c r="AN100" i="29" s="1"/>
  <c r="AM100" i="29"/>
  <c r="AK101" i="29"/>
  <c r="AL101" i="29"/>
  <c r="AN101" i="29" s="1"/>
  <c r="AM101" i="29"/>
  <c r="AK102" i="29"/>
  <c r="AL102" i="29"/>
  <c r="AN102" i="29" s="1"/>
  <c r="AM102" i="29"/>
  <c r="AK103" i="29"/>
  <c r="AL103" i="29"/>
  <c r="AN103" i="29" s="1"/>
  <c r="AM103" i="29"/>
  <c r="AK104" i="29"/>
  <c r="AL104" i="29"/>
  <c r="AN104" i="29" s="1"/>
  <c r="AM104" i="29"/>
  <c r="AK105" i="29"/>
  <c r="AL105" i="29"/>
  <c r="AN105" i="29" s="1"/>
  <c r="AM105" i="29"/>
  <c r="AK106" i="29"/>
  <c r="AL106" i="29"/>
  <c r="AN106" i="29" s="1"/>
  <c r="AM106" i="29"/>
  <c r="AK107" i="29"/>
  <c r="AL107" i="29"/>
  <c r="AN107" i="29" s="1"/>
  <c r="AM107" i="29"/>
  <c r="AK108" i="29"/>
  <c r="AL108" i="29"/>
  <c r="AN108" i="29" s="1"/>
  <c r="AM108" i="29"/>
  <c r="AK109" i="29"/>
  <c r="AL109" i="29"/>
  <c r="AN109" i="29" s="1"/>
  <c r="AM109" i="29"/>
  <c r="AK110" i="29"/>
  <c r="AL110" i="29"/>
  <c r="AN110" i="29" s="1"/>
  <c r="AM110" i="29"/>
  <c r="AK111" i="29"/>
  <c r="AL111" i="29"/>
  <c r="AN111" i="29" s="1"/>
  <c r="AM111" i="29"/>
  <c r="AK112" i="29"/>
  <c r="AL112" i="29"/>
  <c r="AN112" i="29" s="1"/>
  <c r="AM112" i="29"/>
  <c r="AK113" i="29"/>
  <c r="AL113" i="29"/>
  <c r="AN113" i="29" s="1"/>
  <c r="AM113" i="29"/>
  <c r="AK114" i="29"/>
  <c r="AO114" i="29" s="1"/>
  <c r="AL114" i="29"/>
  <c r="AM114" i="29"/>
  <c r="AK115" i="29"/>
  <c r="AL115" i="29"/>
  <c r="AN115" i="29" s="1"/>
  <c r="AM115" i="29"/>
  <c r="AK116" i="29"/>
  <c r="AL116" i="29"/>
  <c r="AN116" i="29" s="1"/>
  <c r="AM116" i="29"/>
  <c r="AK117" i="29"/>
  <c r="AL117" i="29"/>
  <c r="AN117" i="29" s="1"/>
  <c r="AM117" i="29"/>
  <c r="AK118" i="29"/>
  <c r="AL118" i="29"/>
  <c r="AN118" i="29" s="1"/>
  <c r="AM118" i="29"/>
  <c r="AK119" i="29"/>
  <c r="AL119" i="29"/>
  <c r="AN119" i="29" s="1"/>
  <c r="AM119" i="29"/>
  <c r="AK120" i="29"/>
  <c r="AL120" i="29"/>
  <c r="AN120" i="29" s="1"/>
  <c r="AM120" i="29"/>
  <c r="AK121" i="29"/>
  <c r="AO121" i="29" s="1"/>
  <c r="AL121" i="29"/>
  <c r="AM121" i="29"/>
  <c r="AK122" i="29"/>
  <c r="AL122" i="29"/>
  <c r="AN122" i="29" s="1"/>
  <c r="AM122" i="29"/>
  <c r="AK123" i="29"/>
  <c r="AL123" i="29"/>
  <c r="AN123" i="29" s="1"/>
  <c r="AM123" i="29"/>
  <c r="AK124" i="29"/>
  <c r="AL124" i="29"/>
  <c r="AN124" i="29" s="1"/>
  <c r="AM124" i="29"/>
  <c r="AK125" i="29"/>
  <c r="AL125" i="29"/>
  <c r="AN125" i="29" s="1"/>
  <c r="AM125" i="29"/>
  <c r="AK126" i="29"/>
  <c r="AL126" i="29"/>
  <c r="AN126" i="29" s="1"/>
  <c r="AM126" i="29"/>
  <c r="AK127" i="29"/>
  <c r="AL127" i="29"/>
  <c r="AN127" i="29" s="1"/>
  <c r="AM127" i="29"/>
  <c r="AK128" i="29"/>
  <c r="AL128" i="29"/>
  <c r="AN128" i="29" s="1"/>
  <c r="AM128" i="29"/>
  <c r="AK129" i="29"/>
  <c r="AO129" i="29" s="1"/>
  <c r="AL129" i="29"/>
  <c r="AM129" i="29"/>
  <c r="AK8" i="29"/>
  <c r="AL8" i="29"/>
  <c r="AM8" i="29"/>
  <c r="AK5" i="29"/>
  <c r="AL5" i="29"/>
  <c r="AN5" i="29" s="1"/>
  <c r="AM5" i="29"/>
  <c r="AK6" i="29"/>
  <c r="AL6" i="29"/>
  <c r="AN6" i="29" s="1"/>
  <c r="AM6" i="29"/>
  <c r="AK7" i="29"/>
  <c r="AL7" i="29"/>
  <c r="AN7" i="29" s="1"/>
  <c r="AM7" i="29"/>
  <c r="AM4" i="29"/>
  <c r="AL4" i="29"/>
  <c r="AN4" i="29" s="1"/>
  <c r="AK4" i="29"/>
  <c r="AA109" i="29"/>
  <c r="BO109" i="29" s="1"/>
  <c r="AA111" i="29"/>
  <c r="BO111" i="29" s="1"/>
  <c r="AA112" i="29"/>
  <c r="BO112" i="29" s="1"/>
  <c r="AA113" i="29"/>
  <c r="BO113" i="29" s="1"/>
  <c r="AA117" i="29"/>
  <c r="BO117" i="29" s="1"/>
  <c r="AA119" i="29"/>
  <c r="BO119" i="29" s="1"/>
  <c r="AA120" i="29"/>
  <c r="BO120" i="29" s="1"/>
  <c r="AA122" i="29"/>
  <c r="BO122" i="29" s="1"/>
  <c r="AA124" i="29"/>
  <c r="BO124" i="29" s="1"/>
  <c r="AA125" i="29"/>
  <c r="BO125" i="29" s="1"/>
  <c r="AA126" i="29"/>
  <c r="BO126" i="29" s="1"/>
  <c r="AA127" i="29"/>
  <c r="BO127" i="29" s="1"/>
  <c r="AA128" i="29"/>
  <c r="BO128" i="29" s="1"/>
  <c r="AA129" i="29"/>
  <c r="BO129" i="29" s="1"/>
  <c r="AA130" i="29"/>
  <c r="BO130" i="29" s="1"/>
  <c r="AA131" i="29"/>
  <c r="BO131" i="29" s="1"/>
  <c r="AA132" i="29"/>
  <c r="BO132" i="29" s="1"/>
  <c r="AA133" i="29"/>
  <c r="BO133" i="29" s="1"/>
  <c r="AA134" i="29"/>
  <c r="BO134" i="29" s="1"/>
  <c r="AA136" i="29"/>
  <c r="BO136" i="29" s="1"/>
  <c r="AA137" i="29"/>
  <c r="BO137" i="29" s="1"/>
  <c r="AA138" i="29"/>
  <c r="BO138" i="29" s="1"/>
  <c r="AA139" i="29"/>
  <c r="BO139" i="29" s="1"/>
  <c r="AA140" i="29"/>
  <c r="BO140" i="29" s="1"/>
  <c r="AA141" i="29"/>
  <c r="BO141" i="29" s="1"/>
  <c r="AA142" i="29"/>
  <c r="BO142" i="29" s="1"/>
  <c r="AA143" i="29"/>
  <c r="BO143" i="29" s="1"/>
  <c r="AA144" i="29"/>
  <c r="BO144" i="29" s="1"/>
  <c r="AA145" i="29"/>
  <c r="BO145" i="29" s="1"/>
  <c r="AA146" i="29"/>
  <c r="BO146" i="29" s="1"/>
  <c r="AA147" i="29"/>
  <c r="BO147" i="29" s="1"/>
  <c r="AA148" i="29"/>
  <c r="BO148" i="29" s="1"/>
  <c r="AA149" i="29"/>
  <c r="BO149" i="29" s="1"/>
  <c r="AA150" i="29"/>
  <c r="BO150" i="29" s="1"/>
  <c r="AA152" i="29"/>
  <c r="BO152" i="29" s="1"/>
  <c r="AA153" i="29"/>
  <c r="BO153" i="29" s="1"/>
  <c r="AA154" i="29"/>
  <c r="BO154" i="29" s="1"/>
  <c r="AA155" i="29"/>
  <c r="BO155" i="29" s="1"/>
  <c r="AA156" i="29"/>
  <c r="BO156" i="29" s="1"/>
  <c r="AA157" i="29"/>
  <c r="BO157" i="29" s="1"/>
  <c r="AA158" i="29"/>
  <c r="BO158" i="29" s="1"/>
  <c r="AA159" i="29"/>
  <c r="BO159" i="29" s="1"/>
  <c r="AA160" i="29"/>
  <c r="BO160" i="29" s="1"/>
  <c r="AA161" i="29"/>
  <c r="BO161" i="29" s="1"/>
  <c r="AA162" i="29"/>
  <c r="BO162" i="29" s="1"/>
  <c r="AA163" i="29"/>
  <c r="BO163" i="29" s="1"/>
  <c r="AA164" i="29"/>
  <c r="BO164" i="29" s="1"/>
  <c r="AA165" i="29"/>
  <c r="BO165" i="29" s="1"/>
  <c r="AA166" i="29"/>
  <c r="BO166" i="29" s="1"/>
  <c r="AA167" i="29"/>
  <c r="BO167" i="29" s="1"/>
  <c r="AA168" i="29"/>
  <c r="BO168" i="29" s="1"/>
  <c r="AA169" i="29"/>
  <c r="BO169" i="29" s="1"/>
  <c r="AA170" i="29"/>
  <c r="BO170" i="29" s="1"/>
  <c r="AA171" i="29"/>
  <c r="BO171" i="29" s="1"/>
  <c r="AA172" i="29"/>
  <c r="BO172" i="29" s="1"/>
  <c r="AA173" i="29"/>
  <c r="BO173" i="29" s="1"/>
  <c r="AA174" i="29"/>
  <c r="BO174" i="29" s="1"/>
  <c r="AA175" i="29"/>
  <c r="BO175" i="29" s="1"/>
  <c r="AA176" i="29"/>
  <c r="BO176" i="29" s="1"/>
  <c r="AA177" i="29"/>
  <c r="BO177" i="29" s="1"/>
  <c r="AA178" i="29"/>
  <c r="BO178" i="29" s="1"/>
  <c r="AA179" i="29"/>
  <c r="BO179" i="29" s="1"/>
  <c r="AA180" i="29"/>
  <c r="BO180" i="29" s="1"/>
  <c r="AA181" i="29"/>
  <c r="BO181" i="29" s="1"/>
  <c r="AA182" i="29"/>
  <c r="BO182" i="29" s="1"/>
  <c r="AA183" i="29"/>
  <c r="BO183" i="29" s="1"/>
  <c r="AA184" i="29"/>
  <c r="BO184" i="29" s="1"/>
  <c r="AA185" i="29"/>
  <c r="BO185" i="29" s="1"/>
  <c r="AA186" i="29"/>
  <c r="BO186" i="29" s="1"/>
  <c r="AA187" i="29"/>
  <c r="BO187" i="29" s="1"/>
  <c r="AA188" i="29"/>
  <c r="BO188" i="29" s="1"/>
  <c r="AA189" i="29"/>
  <c r="BO189" i="29" s="1"/>
  <c r="AA190" i="29"/>
  <c r="BO190" i="29" s="1"/>
  <c r="AA191" i="29"/>
  <c r="BO191" i="29" s="1"/>
  <c r="AA192" i="29"/>
  <c r="BO192" i="29" s="1"/>
  <c r="AA193" i="29"/>
  <c r="BO193" i="29" s="1"/>
  <c r="AA194" i="29"/>
  <c r="BO194" i="29" s="1"/>
  <c r="O5" i="29"/>
  <c r="O6" i="29"/>
  <c r="O7" i="29"/>
  <c r="O8" i="29"/>
  <c r="O9" i="29"/>
  <c r="O10" i="29"/>
  <c r="O11" i="29"/>
  <c r="O12" i="29"/>
  <c r="O13" i="29"/>
  <c r="O14" i="29"/>
  <c r="O15" i="29"/>
  <c r="O16" i="29"/>
  <c r="O17" i="29"/>
  <c r="O18" i="29"/>
  <c r="O19" i="29"/>
  <c r="O20" i="29"/>
  <c r="O21" i="29"/>
  <c r="O22" i="29"/>
  <c r="O23" i="29"/>
  <c r="O24" i="29"/>
  <c r="O25" i="29"/>
  <c r="O26" i="29"/>
  <c r="O27" i="29"/>
  <c r="O28" i="29"/>
  <c r="O29" i="29"/>
  <c r="O30" i="29"/>
  <c r="O31" i="29"/>
  <c r="O32" i="29"/>
  <c r="O33" i="29"/>
  <c r="O34" i="29"/>
  <c r="O35" i="29"/>
  <c r="O36" i="29"/>
  <c r="O37" i="29"/>
  <c r="O38" i="29"/>
  <c r="O39" i="29"/>
  <c r="O40" i="29"/>
  <c r="O41" i="29"/>
  <c r="O42" i="29"/>
  <c r="O43" i="29"/>
  <c r="O44" i="29"/>
  <c r="O45" i="29"/>
  <c r="O46" i="29"/>
  <c r="O47" i="29"/>
  <c r="O48" i="29"/>
  <c r="O49" i="29"/>
  <c r="O50" i="29"/>
  <c r="O51" i="29"/>
  <c r="O52" i="29"/>
  <c r="O53" i="29"/>
  <c r="O54" i="29"/>
  <c r="O55" i="29"/>
  <c r="O56" i="29"/>
  <c r="O57" i="29"/>
  <c r="O58" i="29"/>
  <c r="O59" i="29"/>
  <c r="O60" i="29"/>
  <c r="O61" i="29"/>
  <c r="O62" i="29"/>
  <c r="O63" i="29"/>
  <c r="O64" i="29"/>
  <c r="O65" i="29"/>
  <c r="O66" i="29"/>
  <c r="O67" i="29"/>
  <c r="O68" i="29"/>
  <c r="O69" i="29"/>
  <c r="O70" i="29"/>
  <c r="O71" i="29"/>
  <c r="O72" i="29"/>
  <c r="O73" i="29"/>
  <c r="O74" i="29"/>
  <c r="O75" i="29"/>
  <c r="O76" i="29"/>
  <c r="O77" i="29"/>
  <c r="O78" i="29"/>
  <c r="O79" i="29"/>
  <c r="O80" i="29"/>
  <c r="O81" i="29"/>
  <c r="O82" i="29"/>
  <c r="O83" i="29"/>
  <c r="O84" i="29"/>
  <c r="O85" i="29"/>
  <c r="O86" i="29"/>
  <c r="O87" i="29"/>
  <c r="O88" i="29"/>
  <c r="O89" i="29"/>
  <c r="O90" i="29"/>
  <c r="O91" i="29"/>
  <c r="O92" i="29"/>
  <c r="O93" i="29"/>
  <c r="O94" i="29"/>
  <c r="O95" i="29"/>
  <c r="O96" i="29"/>
  <c r="O97" i="29"/>
  <c r="O98" i="29"/>
  <c r="O99" i="29"/>
  <c r="O100" i="29"/>
  <c r="O101" i="29"/>
  <c r="O102" i="29"/>
  <c r="O103" i="29"/>
  <c r="O104" i="29"/>
  <c r="O105" i="29"/>
  <c r="O106" i="29"/>
  <c r="O107" i="29"/>
  <c r="O108" i="29"/>
  <c r="O109" i="29"/>
  <c r="O110" i="29"/>
  <c r="O111" i="29"/>
  <c r="O112" i="29"/>
  <c r="O113" i="29"/>
  <c r="O114" i="29"/>
  <c r="O115" i="29"/>
  <c r="O116" i="29"/>
  <c r="O117" i="29"/>
  <c r="O118" i="29"/>
  <c r="O119" i="29"/>
  <c r="O120" i="29"/>
  <c r="O121" i="29"/>
  <c r="O122" i="29"/>
  <c r="O123" i="29"/>
  <c r="O124" i="29"/>
  <c r="O125" i="29"/>
  <c r="O126" i="29"/>
  <c r="O127" i="29"/>
  <c r="O128" i="29"/>
  <c r="O129" i="29"/>
  <c r="O130" i="29"/>
  <c r="O131" i="29"/>
  <c r="O132" i="29"/>
  <c r="O133" i="29"/>
  <c r="O134" i="29"/>
  <c r="O135" i="29"/>
  <c r="O136" i="29"/>
  <c r="O137" i="29"/>
  <c r="O138" i="29"/>
  <c r="O139" i="29"/>
  <c r="O140" i="29"/>
  <c r="O141" i="29"/>
  <c r="O142" i="29"/>
  <c r="O143" i="29"/>
  <c r="O144" i="29"/>
  <c r="O145" i="29"/>
  <c r="O146" i="29"/>
  <c r="O147" i="29"/>
  <c r="O148" i="29"/>
  <c r="O149" i="29"/>
  <c r="O150" i="29"/>
  <c r="O151" i="29"/>
  <c r="O152" i="29"/>
  <c r="O153" i="29"/>
  <c r="O154" i="29"/>
  <c r="O155" i="29"/>
  <c r="O156" i="29"/>
  <c r="O157" i="29"/>
  <c r="O158" i="29"/>
  <c r="O159" i="29"/>
  <c r="O160" i="29"/>
  <c r="O161" i="29"/>
  <c r="O162" i="29"/>
  <c r="O163" i="29"/>
  <c r="O164" i="29"/>
  <c r="O165" i="29"/>
  <c r="O166" i="29"/>
  <c r="O167" i="29"/>
  <c r="O168" i="29"/>
  <c r="O169" i="29"/>
  <c r="O170" i="29"/>
  <c r="O171" i="29"/>
  <c r="O172" i="29"/>
  <c r="O173" i="29"/>
  <c r="O174" i="29"/>
  <c r="O175" i="29"/>
  <c r="O176" i="29"/>
  <c r="O177" i="29"/>
  <c r="O178" i="29"/>
  <c r="O179" i="29"/>
  <c r="O180" i="29"/>
  <c r="O181" i="29"/>
  <c r="O182" i="29"/>
  <c r="O183" i="29"/>
  <c r="O184" i="29"/>
  <c r="O185" i="29"/>
  <c r="O186" i="29"/>
  <c r="O187" i="29"/>
  <c r="O188" i="29"/>
  <c r="O189" i="29"/>
  <c r="O190" i="29"/>
  <c r="O191" i="29"/>
  <c r="O192" i="29"/>
  <c r="O193" i="29"/>
  <c r="O194" i="29"/>
  <c r="O4" i="29"/>
  <c r="V5" i="29"/>
  <c r="V6" i="29"/>
  <c r="V7" i="29"/>
  <c r="V8" i="29"/>
  <c r="V9" i="29"/>
  <c r="V10" i="29"/>
  <c r="V11" i="29"/>
  <c r="V12" i="29"/>
  <c r="V13" i="29"/>
  <c r="V14" i="29"/>
  <c r="V15" i="29"/>
  <c r="V16" i="29"/>
  <c r="V17" i="29"/>
  <c r="V18" i="29"/>
  <c r="V19" i="29"/>
  <c r="V20" i="29"/>
  <c r="V21" i="29"/>
  <c r="V22" i="29"/>
  <c r="V23" i="29"/>
  <c r="V24" i="29"/>
  <c r="V25" i="29"/>
  <c r="V26" i="29"/>
  <c r="V27" i="29"/>
  <c r="V28" i="29"/>
  <c r="V29" i="29"/>
  <c r="V30" i="29"/>
  <c r="V31" i="29"/>
  <c r="V32" i="29"/>
  <c r="V33" i="29"/>
  <c r="V34" i="29"/>
  <c r="V35" i="29"/>
  <c r="V36" i="29"/>
  <c r="V37" i="29"/>
  <c r="V38" i="29"/>
  <c r="V39" i="29"/>
  <c r="V40" i="29"/>
  <c r="V41" i="29"/>
  <c r="V42" i="29"/>
  <c r="V43" i="29"/>
  <c r="V44" i="29"/>
  <c r="V45" i="29"/>
  <c r="V46" i="29"/>
  <c r="V47" i="29"/>
  <c r="V48" i="29"/>
  <c r="V49" i="29"/>
  <c r="V50" i="29"/>
  <c r="V51" i="29"/>
  <c r="V52" i="29"/>
  <c r="V53" i="29"/>
  <c r="V54" i="29"/>
  <c r="V55" i="29"/>
  <c r="V56" i="29"/>
  <c r="V57" i="29"/>
  <c r="V58" i="29"/>
  <c r="V59" i="29"/>
  <c r="V60" i="29"/>
  <c r="V61" i="29"/>
  <c r="V62" i="29"/>
  <c r="V63" i="29"/>
  <c r="V64" i="29"/>
  <c r="V65" i="29"/>
  <c r="V66" i="29"/>
  <c r="V67" i="29"/>
  <c r="V68" i="29"/>
  <c r="V69" i="29"/>
  <c r="V70" i="29"/>
  <c r="V71" i="29"/>
  <c r="V72" i="29"/>
  <c r="V73" i="29"/>
  <c r="V74" i="29"/>
  <c r="V75" i="29"/>
  <c r="V76" i="29"/>
  <c r="V77" i="29"/>
  <c r="V78" i="29"/>
  <c r="V79" i="29"/>
  <c r="V80" i="29"/>
  <c r="V81" i="29"/>
  <c r="V82" i="29"/>
  <c r="V83" i="29"/>
  <c r="V84" i="29"/>
  <c r="V85" i="29"/>
  <c r="V86" i="29"/>
  <c r="V87" i="29"/>
  <c r="V88" i="29"/>
  <c r="V89" i="29"/>
  <c r="V90" i="29"/>
  <c r="V91" i="29"/>
  <c r="V92" i="29"/>
  <c r="V93" i="29"/>
  <c r="V94" i="29"/>
  <c r="V95" i="29"/>
  <c r="V96" i="29"/>
  <c r="V97" i="29"/>
  <c r="V98" i="29"/>
  <c r="V99" i="29"/>
  <c r="V100" i="29"/>
  <c r="V101" i="29"/>
  <c r="V102" i="29"/>
  <c r="V103" i="29"/>
  <c r="V104" i="29"/>
  <c r="V105" i="29"/>
  <c r="V106" i="29"/>
  <c r="V107" i="29"/>
  <c r="V108" i="29"/>
  <c r="V109" i="29"/>
  <c r="V110" i="29"/>
  <c r="V111" i="29"/>
  <c r="V112" i="29"/>
  <c r="V113" i="29"/>
  <c r="V114" i="29"/>
  <c r="V115" i="29"/>
  <c r="V116" i="29"/>
  <c r="V117" i="29"/>
  <c r="V118" i="29"/>
  <c r="V120" i="29"/>
  <c r="V121" i="29"/>
  <c r="V122" i="29"/>
  <c r="V123" i="29"/>
  <c r="V124" i="29"/>
  <c r="V125" i="29"/>
  <c r="V126" i="29"/>
  <c r="V127" i="29"/>
  <c r="V128" i="29"/>
  <c r="V129" i="29"/>
  <c r="V130" i="29"/>
  <c r="V131" i="29"/>
  <c r="V132" i="29"/>
  <c r="V133" i="29"/>
  <c r="V134" i="29"/>
  <c r="V135" i="29"/>
  <c r="V136" i="29"/>
  <c r="V137" i="29"/>
  <c r="V138" i="29"/>
  <c r="V139" i="29"/>
  <c r="V140" i="29"/>
  <c r="V141" i="29"/>
  <c r="V142" i="29"/>
  <c r="V143" i="29"/>
  <c r="V144" i="29"/>
  <c r="V145" i="29"/>
  <c r="V146" i="29"/>
  <c r="V147" i="29"/>
  <c r="V148" i="29"/>
  <c r="V149" i="29"/>
  <c r="V150" i="29"/>
  <c r="V151" i="29"/>
  <c r="V152" i="29"/>
  <c r="V153" i="29"/>
  <c r="V154" i="29"/>
  <c r="V155" i="29"/>
  <c r="V156" i="29"/>
  <c r="V157" i="29"/>
  <c r="V158" i="29"/>
  <c r="V159" i="29"/>
  <c r="V160" i="29"/>
  <c r="V161" i="29"/>
  <c r="V162" i="29"/>
  <c r="V163" i="29"/>
  <c r="V164" i="29"/>
  <c r="V165" i="29"/>
  <c r="V166" i="29"/>
  <c r="V167" i="29"/>
  <c r="V168" i="29"/>
  <c r="V169" i="29"/>
  <c r="V170" i="29"/>
  <c r="V171" i="29"/>
  <c r="V172" i="29"/>
  <c r="V173" i="29"/>
  <c r="V174" i="29"/>
  <c r="V175" i="29"/>
  <c r="V176" i="29"/>
  <c r="V177" i="29"/>
  <c r="V178" i="29"/>
  <c r="V179" i="29"/>
  <c r="V180" i="29"/>
  <c r="V181" i="29"/>
  <c r="V182" i="29"/>
  <c r="V183" i="29"/>
  <c r="V184" i="29"/>
  <c r="V185" i="29"/>
  <c r="V186" i="29"/>
  <c r="V187" i="29"/>
  <c r="V188" i="29"/>
  <c r="V189" i="29"/>
  <c r="V190" i="29"/>
  <c r="V191" i="29"/>
  <c r="V192" i="29"/>
  <c r="V193" i="29"/>
  <c r="V194" i="29"/>
  <c r="V4" i="29"/>
  <c r="U5" i="29"/>
  <c r="W5" i="29" s="1"/>
  <c r="U6" i="29"/>
  <c r="W6" i="29" s="1"/>
  <c r="U7" i="29"/>
  <c r="W7" i="29" s="1"/>
  <c r="U8" i="29"/>
  <c r="W8" i="29" s="1"/>
  <c r="U9" i="29"/>
  <c r="W9" i="29" s="1"/>
  <c r="U10" i="29"/>
  <c r="W10" i="29" s="1"/>
  <c r="U11" i="29"/>
  <c r="W11" i="29" s="1"/>
  <c r="U12" i="29"/>
  <c r="W12" i="29" s="1"/>
  <c r="U13" i="29"/>
  <c r="W13" i="29" s="1"/>
  <c r="U14" i="29"/>
  <c r="W14" i="29" s="1"/>
  <c r="U15" i="29"/>
  <c r="W15" i="29" s="1"/>
  <c r="U16" i="29"/>
  <c r="W16" i="29" s="1"/>
  <c r="U17" i="29"/>
  <c r="W17" i="29" s="1"/>
  <c r="U18" i="29"/>
  <c r="W18" i="29" s="1"/>
  <c r="U19" i="29"/>
  <c r="W19" i="29" s="1"/>
  <c r="U20" i="29"/>
  <c r="W20" i="29" s="1"/>
  <c r="U21" i="29"/>
  <c r="W21" i="29" s="1"/>
  <c r="U22" i="29"/>
  <c r="W22" i="29" s="1"/>
  <c r="U23" i="29"/>
  <c r="W23" i="29" s="1"/>
  <c r="U24" i="29"/>
  <c r="W24" i="29" s="1"/>
  <c r="U25" i="29"/>
  <c r="W25" i="29" s="1"/>
  <c r="U26" i="29"/>
  <c r="W26" i="29" s="1"/>
  <c r="U27" i="29"/>
  <c r="W27" i="29" s="1"/>
  <c r="U28" i="29"/>
  <c r="W28" i="29" s="1"/>
  <c r="U29" i="29"/>
  <c r="W29" i="29" s="1"/>
  <c r="U30" i="29"/>
  <c r="W30" i="29" s="1"/>
  <c r="U31" i="29"/>
  <c r="W31" i="29" s="1"/>
  <c r="U32" i="29"/>
  <c r="W32" i="29" s="1"/>
  <c r="U33" i="29"/>
  <c r="W33" i="29" s="1"/>
  <c r="U34" i="29"/>
  <c r="W34" i="29" s="1"/>
  <c r="U35" i="29"/>
  <c r="W35" i="29" s="1"/>
  <c r="U36" i="29"/>
  <c r="W36" i="29" s="1"/>
  <c r="U37" i="29"/>
  <c r="W37" i="29" s="1"/>
  <c r="U38" i="29"/>
  <c r="W38" i="29" s="1"/>
  <c r="U39" i="29"/>
  <c r="W39" i="29" s="1"/>
  <c r="U40" i="29"/>
  <c r="W40" i="29" s="1"/>
  <c r="U41" i="29"/>
  <c r="W41" i="29" s="1"/>
  <c r="U42" i="29"/>
  <c r="W42" i="29" s="1"/>
  <c r="U43" i="29"/>
  <c r="W43" i="29" s="1"/>
  <c r="U44" i="29"/>
  <c r="W44" i="29" s="1"/>
  <c r="U45" i="29"/>
  <c r="W45" i="29" s="1"/>
  <c r="U46" i="29"/>
  <c r="W46" i="29" s="1"/>
  <c r="U47" i="29"/>
  <c r="W47" i="29" s="1"/>
  <c r="U48" i="29"/>
  <c r="W48" i="29" s="1"/>
  <c r="U49" i="29"/>
  <c r="W49" i="29" s="1"/>
  <c r="U50" i="29"/>
  <c r="W50" i="29" s="1"/>
  <c r="U51" i="29"/>
  <c r="W51" i="29" s="1"/>
  <c r="U52" i="29"/>
  <c r="W52" i="29" s="1"/>
  <c r="U53" i="29"/>
  <c r="W53" i="29" s="1"/>
  <c r="U54" i="29"/>
  <c r="W54" i="29" s="1"/>
  <c r="U55" i="29"/>
  <c r="W55" i="29" s="1"/>
  <c r="U56" i="29"/>
  <c r="W56" i="29" s="1"/>
  <c r="U57" i="29"/>
  <c r="W57" i="29" s="1"/>
  <c r="U58" i="29"/>
  <c r="W58" i="29" s="1"/>
  <c r="U59" i="29"/>
  <c r="W59" i="29" s="1"/>
  <c r="U60" i="29"/>
  <c r="W60" i="29" s="1"/>
  <c r="U61" i="29"/>
  <c r="W61" i="29" s="1"/>
  <c r="U62" i="29"/>
  <c r="W62" i="29" s="1"/>
  <c r="U63" i="29"/>
  <c r="W63" i="29" s="1"/>
  <c r="U64" i="29"/>
  <c r="W64" i="29" s="1"/>
  <c r="U65" i="29"/>
  <c r="W65" i="29" s="1"/>
  <c r="U66" i="29"/>
  <c r="W66" i="29" s="1"/>
  <c r="U67" i="29"/>
  <c r="W67" i="29" s="1"/>
  <c r="U68" i="29"/>
  <c r="W68" i="29" s="1"/>
  <c r="U69" i="29"/>
  <c r="W69" i="29" s="1"/>
  <c r="U70" i="29"/>
  <c r="W70" i="29" s="1"/>
  <c r="U71" i="29"/>
  <c r="W71" i="29" s="1"/>
  <c r="U72" i="29"/>
  <c r="W72" i="29" s="1"/>
  <c r="U73" i="29"/>
  <c r="W73" i="29" s="1"/>
  <c r="U74" i="29"/>
  <c r="W74" i="29" s="1"/>
  <c r="U75" i="29"/>
  <c r="W75" i="29" s="1"/>
  <c r="U76" i="29"/>
  <c r="W76" i="29" s="1"/>
  <c r="U77" i="29"/>
  <c r="W77" i="29" s="1"/>
  <c r="U78" i="29"/>
  <c r="W78" i="29" s="1"/>
  <c r="U79" i="29"/>
  <c r="W79" i="29" s="1"/>
  <c r="U80" i="29"/>
  <c r="W80" i="29" s="1"/>
  <c r="U81" i="29"/>
  <c r="W81" i="29" s="1"/>
  <c r="U82" i="29"/>
  <c r="W82" i="29" s="1"/>
  <c r="U83" i="29"/>
  <c r="W83" i="29" s="1"/>
  <c r="U84" i="29"/>
  <c r="W84" i="29" s="1"/>
  <c r="U85" i="29"/>
  <c r="W85" i="29" s="1"/>
  <c r="U86" i="29"/>
  <c r="W86" i="29" s="1"/>
  <c r="U87" i="29"/>
  <c r="W87" i="29" s="1"/>
  <c r="U88" i="29"/>
  <c r="W88" i="29" s="1"/>
  <c r="U89" i="29"/>
  <c r="W89" i="29" s="1"/>
  <c r="U90" i="29"/>
  <c r="W90" i="29" s="1"/>
  <c r="U91" i="29"/>
  <c r="W91" i="29" s="1"/>
  <c r="U92" i="29"/>
  <c r="W92" i="29" s="1"/>
  <c r="U93" i="29"/>
  <c r="W93" i="29" s="1"/>
  <c r="U94" i="29"/>
  <c r="W94" i="29" s="1"/>
  <c r="U95" i="29"/>
  <c r="W95" i="29" s="1"/>
  <c r="U96" i="29"/>
  <c r="W96" i="29" s="1"/>
  <c r="U97" i="29"/>
  <c r="W97" i="29" s="1"/>
  <c r="U98" i="29"/>
  <c r="W98" i="29" s="1"/>
  <c r="U99" i="29"/>
  <c r="W99" i="29" s="1"/>
  <c r="U100" i="29"/>
  <c r="W100" i="29" s="1"/>
  <c r="U101" i="29"/>
  <c r="W101" i="29" s="1"/>
  <c r="U102" i="29"/>
  <c r="W102" i="29" s="1"/>
  <c r="U103" i="29"/>
  <c r="W103" i="29" s="1"/>
  <c r="U104" i="29"/>
  <c r="W104" i="29" s="1"/>
  <c r="U105" i="29"/>
  <c r="W105" i="29" s="1"/>
  <c r="U106" i="29"/>
  <c r="W106" i="29" s="1"/>
  <c r="U107" i="29"/>
  <c r="W107" i="29" s="1"/>
  <c r="U108" i="29"/>
  <c r="W108" i="29" s="1"/>
  <c r="U109" i="29"/>
  <c r="W109" i="29" s="1"/>
  <c r="U110" i="29"/>
  <c r="W110" i="29" s="1"/>
  <c r="U111" i="29"/>
  <c r="W111" i="29" s="1"/>
  <c r="U112" i="29"/>
  <c r="W112" i="29" s="1"/>
  <c r="U113" i="29"/>
  <c r="W113" i="29" s="1"/>
  <c r="U114" i="29"/>
  <c r="W114" i="29" s="1"/>
  <c r="U115" i="29"/>
  <c r="W115" i="29" s="1"/>
  <c r="U116" i="29"/>
  <c r="W116" i="29" s="1"/>
  <c r="U117" i="29"/>
  <c r="W117" i="29" s="1"/>
  <c r="U118" i="29"/>
  <c r="W118" i="29" s="1"/>
  <c r="U119" i="29"/>
  <c r="W119" i="29" s="1"/>
  <c r="U120" i="29"/>
  <c r="W120" i="29" s="1"/>
  <c r="U121" i="29"/>
  <c r="W121" i="29" s="1"/>
  <c r="U122" i="29"/>
  <c r="W122" i="29" s="1"/>
  <c r="U123" i="29"/>
  <c r="W123" i="29" s="1"/>
  <c r="U124" i="29"/>
  <c r="W124" i="29" s="1"/>
  <c r="U125" i="29"/>
  <c r="W125" i="29" s="1"/>
  <c r="U126" i="29"/>
  <c r="W126" i="29" s="1"/>
  <c r="U127" i="29"/>
  <c r="W127" i="29" s="1"/>
  <c r="U128" i="29"/>
  <c r="W128" i="29" s="1"/>
  <c r="U129" i="29"/>
  <c r="W129" i="29" s="1"/>
  <c r="U130" i="29"/>
  <c r="W130" i="29" s="1"/>
  <c r="U131" i="29"/>
  <c r="W131" i="29" s="1"/>
  <c r="U132" i="29"/>
  <c r="W132" i="29" s="1"/>
  <c r="U133" i="29"/>
  <c r="W133" i="29" s="1"/>
  <c r="U134" i="29"/>
  <c r="W134" i="29" s="1"/>
  <c r="U135" i="29"/>
  <c r="W135" i="29" s="1"/>
  <c r="U136" i="29"/>
  <c r="W136" i="29" s="1"/>
  <c r="U137" i="29"/>
  <c r="W137" i="29" s="1"/>
  <c r="U138" i="29"/>
  <c r="W138" i="29" s="1"/>
  <c r="U139" i="29"/>
  <c r="W139" i="29" s="1"/>
  <c r="U140" i="29"/>
  <c r="W140" i="29" s="1"/>
  <c r="U141" i="29"/>
  <c r="W141" i="29" s="1"/>
  <c r="U142" i="29"/>
  <c r="W142" i="29" s="1"/>
  <c r="U143" i="29"/>
  <c r="W143" i="29" s="1"/>
  <c r="U144" i="29"/>
  <c r="W144" i="29" s="1"/>
  <c r="U145" i="29"/>
  <c r="W145" i="29" s="1"/>
  <c r="U146" i="29"/>
  <c r="W146" i="29" s="1"/>
  <c r="U147" i="29"/>
  <c r="W147" i="29" s="1"/>
  <c r="U148" i="29"/>
  <c r="W148" i="29" s="1"/>
  <c r="U149" i="29"/>
  <c r="W149" i="29" s="1"/>
  <c r="U150" i="29"/>
  <c r="W150" i="29" s="1"/>
  <c r="U151" i="29"/>
  <c r="W151" i="29" s="1"/>
  <c r="U152" i="29"/>
  <c r="W152" i="29" s="1"/>
  <c r="U153" i="29"/>
  <c r="W153" i="29" s="1"/>
  <c r="U154" i="29"/>
  <c r="W154" i="29" s="1"/>
  <c r="U155" i="29"/>
  <c r="W155" i="29" s="1"/>
  <c r="U156" i="29"/>
  <c r="W156" i="29" s="1"/>
  <c r="U157" i="29"/>
  <c r="W157" i="29" s="1"/>
  <c r="U158" i="29"/>
  <c r="W158" i="29" s="1"/>
  <c r="U159" i="29"/>
  <c r="W159" i="29" s="1"/>
  <c r="U160" i="29"/>
  <c r="W160" i="29" s="1"/>
  <c r="U161" i="29"/>
  <c r="W161" i="29" s="1"/>
  <c r="U162" i="29"/>
  <c r="W162" i="29" s="1"/>
  <c r="U163" i="29"/>
  <c r="W163" i="29" s="1"/>
  <c r="U164" i="29"/>
  <c r="W164" i="29" s="1"/>
  <c r="U165" i="29"/>
  <c r="W165" i="29" s="1"/>
  <c r="U166" i="29"/>
  <c r="W166" i="29" s="1"/>
  <c r="U167" i="29"/>
  <c r="W167" i="29" s="1"/>
  <c r="U168" i="29"/>
  <c r="W168" i="29" s="1"/>
  <c r="U169" i="29"/>
  <c r="W169" i="29" s="1"/>
  <c r="U170" i="29"/>
  <c r="W170" i="29" s="1"/>
  <c r="U171" i="29"/>
  <c r="W171" i="29" s="1"/>
  <c r="U172" i="29"/>
  <c r="W172" i="29" s="1"/>
  <c r="U173" i="29"/>
  <c r="W173" i="29" s="1"/>
  <c r="U174" i="29"/>
  <c r="W174" i="29" s="1"/>
  <c r="U175" i="29"/>
  <c r="W175" i="29" s="1"/>
  <c r="U176" i="29"/>
  <c r="W176" i="29" s="1"/>
  <c r="U177" i="29"/>
  <c r="W177" i="29" s="1"/>
  <c r="U178" i="29"/>
  <c r="W178" i="29" s="1"/>
  <c r="U179" i="29"/>
  <c r="W179" i="29" s="1"/>
  <c r="U180" i="29"/>
  <c r="W180" i="29" s="1"/>
  <c r="U181" i="29"/>
  <c r="W181" i="29" s="1"/>
  <c r="U182" i="29"/>
  <c r="W182" i="29" s="1"/>
  <c r="U183" i="29"/>
  <c r="W183" i="29" s="1"/>
  <c r="U184" i="29"/>
  <c r="W184" i="29" s="1"/>
  <c r="U185" i="29"/>
  <c r="W185" i="29" s="1"/>
  <c r="U186" i="29"/>
  <c r="W186" i="29" s="1"/>
  <c r="U187" i="29"/>
  <c r="W187" i="29" s="1"/>
  <c r="U188" i="29"/>
  <c r="W188" i="29" s="1"/>
  <c r="U189" i="29"/>
  <c r="W189" i="29" s="1"/>
  <c r="U190" i="29"/>
  <c r="W190" i="29" s="1"/>
  <c r="U191" i="29"/>
  <c r="W191" i="29" s="1"/>
  <c r="U192" i="29"/>
  <c r="W192" i="29" s="1"/>
  <c r="U193" i="29"/>
  <c r="W193" i="29" s="1"/>
  <c r="U194" i="29"/>
  <c r="W194" i="29" s="1"/>
  <c r="U4" i="29"/>
  <c r="W4" i="29" s="1"/>
  <c r="T5" i="29"/>
  <c r="T6" i="29"/>
  <c r="T7" i="29"/>
  <c r="T8" i="29"/>
  <c r="T9" i="29"/>
  <c r="T10" i="29"/>
  <c r="T11" i="29"/>
  <c r="T12" i="29"/>
  <c r="T13" i="29"/>
  <c r="T14" i="29"/>
  <c r="T15" i="29"/>
  <c r="T16" i="29"/>
  <c r="T17" i="29"/>
  <c r="T18" i="29"/>
  <c r="T19" i="29"/>
  <c r="T20" i="29"/>
  <c r="T21" i="29"/>
  <c r="T22" i="29"/>
  <c r="T23" i="29"/>
  <c r="T24" i="29"/>
  <c r="T25" i="29"/>
  <c r="T26" i="29"/>
  <c r="T27" i="29"/>
  <c r="T28" i="29"/>
  <c r="T29" i="29"/>
  <c r="T30" i="29"/>
  <c r="T31" i="29"/>
  <c r="T32" i="29"/>
  <c r="T33" i="29"/>
  <c r="T34" i="29"/>
  <c r="T35" i="29"/>
  <c r="T36" i="29"/>
  <c r="T37" i="29"/>
  <c r="T38" i="29"/>
  <c r="T39" i="29"/>
  <c r="T40" i="29"/>
  <c r="T41" i="29"/>
  <c r="T42" i="29"/>
  <c r="T43" i="29"/>
  <c r="T44" i="29"/>
  <c r="T45" i="29"/>
  <c r="T46" i="29"/>
  <c r="T47" i="29"/>
  <c r="T48" i="29"/>
  <c r="T49" i="29"/>
  <c r="T50" i="29"/>
  <c r="T51" i="29"/>
  <c r="T52" i="29"/>
  <c r="T53" i="29"/>
  <c r="T54" i="29"/>
  <c r="T55" i="29"/>
  <c r="T56" i="29"/>
  <c r="T57" i="29"/>
  <c r="T58" i="29"/>
  <c r="T59" i="29"/>
  <c r="T60" i="29"/>
  <c r="T61" i="29"/>
  <c r="T62" i="29"/>
  <c r="T63" i="29"/>
  <c r="T64" i="29"/>
  <c r="T65" i="29"/>
  <c r="T66" i="29"/>
  <c r="T67" i="29"/>
  <c r="T68" i="29"/>
  <c r="T69" i="29"/>
  <c r="T70" i="29"/>
  <c r="T71" i="29"/>
  <c r="T72" i="29"/>
  <c r="T73" i="29"/>
  <c r="T74" i="29"/>
  <c r="T75" i="29"/>
  <c r="T76" i="29"/>
  <c r="T77" i="29"/>
  <c r="T78" i="29"/>
  <c r="T79" i="29"/>
  <c r="T80" i="29"/>
  <c r="T81" i="29"/>
  <c r="T82" i="29"/>
  <c r="T83" i="29"/>
  <c r="T84" i="29"/>
  <c r="T85" i="29"/>
  <c r="T86" i="29"/>
  <c r="T87" i="29"/>
  <c r="T88" i="29"/>
  <c r="T89" i="29"/>
  <c r="T90" i="29"/>
  <c r="T91" i="29"/>
  <c r="T92" i="29"/>
  <c r="T93" i="29"/>
  <c r="T94" i="29"/>
  <c r="T95" i="29"/>
  <c r="T96" i="29"/>
  <c r="T97" i="29"/>
  <c r="T98" i="29"/>
  <c r="T99" i="29"/>
  <c r="T100" i="29"/>
  <c r="T101" i="29"/>
  <c r="T102" i="29"/>
  <c r="T103" i="29"/>
  <c r="T104" i="29"/>
  <c r="T105" i="29"/>
  <c r="T106" i="29"/>
  <c r="T107" i="29"/>
  <c r="T108" i="29"/>
  <c r="T109" i="29"/>
  <c r="T110" i="29"/>
  <c r="T111" i="29"/>
  <c r="T112" i="29"/>
  <c r="T113" i="29"/>
  <c r="T114" i="29"/>
  <c r="T115" i="29"/>
  <c r="T116" i="29"/>
  <c r="T117" i="29"/>
  <c r="T118" i="29"/>
  <c r="T119" i="29"/>
  <c r="T120" i="29"/>
  <c r="T121" i="29"/>
  <c r="T122" i="29"/>
  <c r="T123" i="29"/>
  <c r="T124" i="29"/>
  <c r="T125" i="29"/>
  <c r="T126" i="29"/>
  <c r="T127" i="29"/>
  <c r="T128" i="29"/>
  <c r="T129" i="29"/>
  <c r="T130" i="29"/>
  <c r="T131" i="29"/>
  <c r="T132" i="29"/>
  <c r="T133" i="29"/>
  <c r="T134" i="29"/>
  <c r="T135" i="29"/>
  <c r="T136" i="29"/>
  <c r="T137" i="29"/>
  <c r="T138" i="29"/>
  <c r="T139" i="29"/>
  <c r="T140" i="29"/>
  <c r="T141" i="29"/>
  <c r="T142" i="29"/>
  <c r="T143" i="29"/>
  <c r="T144" i="29"/>
  <c r="T145" i="29"/>
  <c r="T146" i="29"/>
  <c r="T147" i="29"/>
  <c r="T148" i="29"/>
  <c r="T149" i="29"/>
  <c r="T150" i="29"/>
  <c r="T151" i="29"/>
  <c r="T152" i="29"/>
  <c r="T153" i="29"/>
  <c r="T154" i="29"/>
  <c r="T155" i="29"/>
  <c r="T156" i="29"/>
  <c r="T157" i="29"/>
  <c r="T158" i="29"/>
  <c r="T159" i="29"/>
  <c r="T160" i="29"/>
  <c r="T161" i="29"/>
  <c r="T162" i="29"/>
  <c r="T163" i="29"/>
  <c r="T164" i="29"/>
  <c r="T165" i="29"/>
  <c r="T166" i="29"/>
  <c r="T167" i="29"/>
  <c r="T168" i="29"/>
  <c r="T169" i="29"/>
  <c r="T170" i="29"/>
  <c r="T171" i="29"/>
  <c r="T172" i="29"/>
  <c r="T173" i="29"/>
  <c r="T174" i="29"/>
  <c r="T175" i="29"/>
  <c r="T176" i="29"/>
  <c r="T177" i="29"/>
  <c r="T178" i="29"/>
  <c r="T179" i="29"/>
  <c r="T180" i="29"/>
  <c r="T181" i="29"/>
  <c r="T182" i="29"/>
  <c r="T183" i="29"/>
  <c r="T184" i="29"/>
  <c r="T185" i="29"/>
  <c r="T186" i="29"/>
  <c r="T187" i="29"/>
  <c r="T188" i="29"/>
  <c r="T189" i="29"/>
  <c r="T190" i="29"/>
  <c r="T191" i="29"/>
  <c r="T192" i="29"/>
  <c r="T193" i="29"/>
  <c r="T194" i="29"/>
  <c r="T4" i="29"/>
  <c r="P5" i="29"/>
  <c r="R5" i="29" s="1"/>
  <c r="P6" i="29"/>
  <c r="R6" i="29" s="1"/>
  <c r="P7" i="29"/>
  <c r="R7" i="29" s="1"/>
  <c r="P8" i="29"/>
  <c r="R8" i="29" s="1"/>
  <c r="P9" i="29"/>
  <c r="R9" i="29" s="1"/>
  <c r="P10" i="29"/>
  <c r="R10" i="29" s="1"/>
  <c r="P11" i="29"/>
  <c r="R11" i="29" s="1"/>
  <c r="P12" i="29"/>
  <c r="R12" i="29" s="1"/>
  <c r="P13" i="29"/>
  <c r="R13" i="29" s="1"/>
  <c r="P14" i="29"/>
  <c r="R14" i="29" s="1"/>
  <c r="P15" i="29"/>
  <c r="R15" i="29" s="1"/>
  <c r="P16" i="29"/>
  <c r="R16" i="29" s="1"/>
  <c r="P17" i="29"/>
  <c r="R17" i="29" s="1"/>
  <c r="P18" i="29"/>
  <c r="R18" i="29" s="1"/>
  <c r="P19" i="29"/>
  <c r="R19" i="29" s="1"/>
  <c r="P20" i="29"/>
  <c r="R20" i="29" s="1"/>
  <c r="P21" i="29"/>
  <c r="R21" i="29" s="1"/>
  <c r="P22" i="29"/>
  <c r="R22" i="29" s="1"/>
  <c r="P23" i="29"/>
  <c r="R23" i="29" s="1"/>
  <c r="P24" i="29"/>
  <c r="R24" i="29" s="1"/>
  <c r="P25" i="29"/>
  <c r="R25" i="29" s="1"/>
  <c r="P26" i="29"/>
  <c r="R26" i="29" s="1"/>
  <c r="P27" i="29"/>
  <c r="R27" i="29" s="1"/>
  <c r="P28" i="29"/>
  <c r="R28" i="29" s="1"/>
  <c r="P29" i="29"/>
  <c r="R29" i="29" s="1"/>
  <c r="P30" i="29"/>
  <c r="R30" i="29" s="1"/>
  <c r="P31" i="29"/>
  <c r="R31" i="29" s="1"/>
  <c r="P32" i="29"/>
  <c r="R32" i="29" s="1"/>
  <c r="P33" i="29"/>
  <c r="R33" i="29" s="1"/>
  <c r="P34" i="29"/>
  <c r="R34" i="29" s="1"/>
  <c r="P35" i="29"/>
  <c r="R35" i="29" s="1"/>
  <c r="P36" i="29"/>
  <c r="R36" i="29" s="1"/>
  <c r="P37" i="29"/>
  <c r="R37" i="29" s="1"/>
  <c r="P38" i="29"/>
  <c r="R38" i="29" s="1"/>
  <c r="P39" i="29"/>
  <c r="R39" i="29" s="1"/>
  <c r="P40" i="29"/>
  <c r="R40" i="29" s="1"/>
  <c r="P41" i="29"/>
  <c r="R41" i="29" s="1"/>
  <c r="P42" i="29"/>
  <c r="R42" i="29" s="1"/>
  <c r="P43" i="29"/>
  <c r="R43" i="29" s="1"/>
  <c r="P44" i="29"/>
  <c r="R44" i="29" s="1"/>
  <c r="P45" i="29"/>
  <c r="R45" i="29" s="1"/>
  <c r="P46" i="29"/>
  <c r="R46" i="29" s="1"/>
  <c r="P47" i="29"/>
  <c r="R47" i="29" s="1"/>
  <c r="P48" i="29"/>
  <c r="R48" i="29" s="1"/>
  <c r="P49" i="29"/>
  <c r="R49" i="29" s="1"/>
  <c r="P50" i="29"/>
  <c r="R50" i="29" s="1"/>
  <c r="P51" i="29"/>
  <c r="R51" i="29" s="1"/>
  <c r="P52" i="29"/>
  <c r="R52" i="29" s="1"/>
  <c r="P53" i="29"/>
  <c r="R53" i="29" s="1"/>
  <c r="P54" i="29"/>
  <c r="R54" i="29" s="1"/>
  <c r="P55" i="29"/>
  <c r="R55" i="29" s="1"/>
  <c r="P56" i="29"/>
  <c r="R56" i="29" s="1"/>
  <c r="P57" i="29"/>
  <c r="R57" i="29" s="1"/>
  <c r="P58" i="29"/>
  <c r="R58" i="29" s="1"/>
  <c r="P59" i="29"/>
  <c r="R59" i="29" s="1"/>
  <c r="P60" i="29"/>
  <c r="R60" i="29" s="1"/>
  <c r="P61" i="29"/>
  <c r="R61" i="29" s="1"/>
  <c r="P62" i="29"/>
  <c r="R62" i="29" s="1"/>
  <c r="P63" i="29"/>
  <c r="R63" i="29" s="1"/>
  <c r="P64" i="29"/>
  <c r="R64" i="29" s="1"/>
  <c r="P65" i="29"/>
  <c r="R65" i="29" s="1"/>
  <c r="P66" i="29"/>
  <c r="R66" i="29" s="1"/>
  <c r="P67" i="29"/>
  <c r="R67" i="29" s="1"/>
  <c r="P68" i="29"/>
  <c r="R68" i="29" s="1"/>
  <c r="P69" i="29"/>
  <c r="R69" i="29" s="1"/>
  <c r="P70" i="29"/>
  <c r="R70" i="29" s="1"/>
  <c r="P71" i="29"/>
  <c r="R71" i="29" s="1"/>
  <c r="P72" i="29"/>
  <c r="R72" i="29" s="1"/>
  <c r="P73" i="29"/>
  <c r="R73" i="29" s="1"/>
  <c r="P74" i="29"/>
  <c r="R74" i="29" s="1"/>
  <c r="P75" i="29"/>
  <c r="R75" i="29" s="1"/>
  <c r="P76" i="29"/>
  <c r="R76" i="29" s="1"/>
  <c r="P77" i="29"/>
  <c r="R77" i="29" s="1"/>
  <c r="P78" i="29"/>
  <c r="R78" i="29" s="1"/>
  <c r="P79" i="29"/>
  <c r="R79" i="29" s="1"/>
  <c r="P80" i="29"/>
  <c r="R80" i="29" s="1"/>
  <c r="P81" i="29"/>
  <c r="R81" i="29" s="1"/>
  <c r="P82" i="29"/>
  <c r="R82" i="29" s="1"/>
  <c r="P83" i="29"/>
  <c r="R83" i="29" s="1"/>
  <c r="P84" i="29"/>
  <c r="R84" i="29" s="1"/>
  <c r="P85" i="29"/>
  <c r="R85" i="29" s="1"/>
  <c r="P86" i="29"/>
  <c r="R86" i="29" s="1"/>
  <c r="P87" i="29"/>
  <c r="R87" i="29" s="1"/>
  <c r="P88" i="29"/>
  <c r="R88" i="29" s="1"/>
  <c r="P89" i="29"/>
  <c r="R89" i="29" s="1"/>
  <c r="P90" i="29"/>
  <c r="R90" i="29" s="1"/>
  <c r="P91" i="29"/>
  <c r="R91" i="29" s="1"/>
  <c r="P92" i="29"/>
  <c r="R92" i="29" s="1"/>
  <c r="P93" i="29"/>
  <c r="R93" i="29" s="1"/>
  <c r="P94" i="29"/>
  <c r="R94" i="29" s="1"/>
  <c r="P95" i="29"/>
  <c r="R95" i="29" s="1"/>
  <c r="P96" i="29"/>
  <c r="R96" i="29" s="1"/>
  <c r="P97" i="29"/>
  <c r="R97" i="29" s="1"/>
  <c r="P98" i="29"/>
  <c r="R98" i="29" s="1"/>
  <c r="P99" i="29"/>
  <c r="R99" i="29" s="1"/>
  <c r="P100" i="29"/>
  <c r="R100" i="29" s="1"/>
  <c r="P101" i="29"/>
  <c r="R101" i="29" s="1"/>
  <c r="P102" i="29"/>
  <c r="R102" i="29" s="1"/>
  <c r="P103" i="29"/>
  <c r="R103" i="29" s="1"/>
  <c r="P104" i="29"/>
  <c r="R104" i="29" s="1"/>
  <c r="P105" i="29"/>
  <c r="R105" i="29" s="1"/>
  <c r="P106" i="29"/>
  <c r="R106" i="29" s="1"/>
  <c r="P107" i="29"/>
  <c r="R107" i="29" s="1"/>
  <c r="P108" i="29"/>
  <c r="R108" i="29" s="1"/>
  <c r="P109" i="29"/>
  <c r="R109" i="29" s="1"/>
  <c r="P110" i="29"/>
  <c r="R110" i="29" s="1"/>
  <c r="P111" i="29"/>
  <c r="R111" i="29" s="1"/>
  <c r="P112" i="29"/>
  <c r="R112" i="29" s="1"/>
  <c r="P113" i="29"/>
  <c r="R113" i="29" s="1"/>
  <c r="P114" i="29"/>
  <c r="R114" i="29" s="1"/>
  <c r="P115" i="29"/>
  <c r="R115" i="29" s="1"/>
  <c r="P116" i="29"/>
  <c r="R116" i="29" s="1"/>
  <c r="P117" i="29"/>
  <c r="R117" i="29" s="1"/>
  <c r="P118" i="29"/>
  <c r="R118" i="29" s="1"/>
  <c r="P119" i="29"/>
  <c r="R119" i="29" s="1"/>
  <c r="P120" i="29"/>
  <c r="R120" i="29" s="1"/>
  <c r="P121" i="29"/>
  <c r="R121" i="29" s="1"/>
  <c r="P122" i="29"/>
  <c r="R122" i="29" s="1"/>
  <c r="P123" i="29"/>
  <c r="R123" i="29" s="1"/>
  <c r="P124" i="29"/>
  <c r="R124" i="29" s="1"/>
  <c r="P125" i="29"/>
  <c r="R125" i="29" s="1"/>
  <c r="P126" i="29"/>
  <c r="R126" i="29" s="1"/>
  <c r="P127" i="29"/>
  <c r="R127" i="29" s="1"/>
  <c r="P128" i="29"/>
  <c r="R128" i="29" s="1"/>
  <c r="P129" i="29"/>
  <c r="R129" i="29" s="1"/>
  <c r="P130" i="29"/>
  <c r="R130" i="29" s="1"/>
  <c r="P131" i="29"/>
  <c r="R131" i="29" s="1"/>
  <c r="P132" i="29"/>
  <c r="R132" i="29" s="1"/>
  <c r="P133" i="29"/>
  <c r="R133" i="29" s="1"/>
  <c r="P134" i="29"/>
  <c r="R134" i="29" s="1"/>
  <c r="P135" i="29"/>
  <c r="R135" i="29" s="1"/>
  <c r="P136" i="29"/>
  <c r="R136" i="29" s="1"/>
  <c r="P137" i="29"/>
  <c r="R137" i="29" s="1"/>
  <c r="P138" i="29"/>
  <c r="R138" i="29" s="1"/>
  <c r="P139" i="29"/>
  <c r="R139" i="29" s="1"/>
  <c r="P140" i="29"/>
  <c r="R140" i="29" s="1"/>
  <c r="P141" i="29"/>
  <c r="R141" i="29" s="1"/>
  <c r="P142" i="29"/>
  <c r="R142" i="29" s="1"/>
  <c r="P143" i="29"/>
  <c r="R143" i="29" s="1"/>
  <c r="P144" i="29"/>
  <c r="R144" i="29" s="1"/>
  <c r="P145" i="29"/>
  <c r="R145" i="29" s="1"/>
  <c r="P146" i="29"/>
  <c r="R146" i="29" s="1"/>
  <c r="P147" i="29"/>
  <c r="R147" i="29" s="1"/>
  <c r="P148" i="29"/>
  <c r="R148" i="29" s="1"/>
  <c r="P149" i="29"/>
  <c r="R149" i="29" s="1"/>
  <c r="P150" i="29"/>
  <c r="R150" i="29" s="1"/>
  <c r="P151" i="29"/>
  <c r="R151" i="29" s="1"/>
  <c r="P152" i="29"/>
  <c r="R152" i="29" s="1"/>
  <c r="P153" i="29"/>
  <c r="R153" i="29" s="1"/>
  <c r="P154" i="29"/>
  <c r="R154" i="29" s="1"/>
  <c r="P155" i="29"/>
  <c r="R155" i="29" s="1"/>
  <c r="P156" i="29"/>
  <c r="R156" i="29" s="1"/>
  <c r="P157" i="29"/>
  <c r="R157" i="29" s="1"/>
  <c r="P158" i="29"/>
  <c r="R158" i="29" s="1"/>
  <c r="P159" i="29"/>
  <c r="R159" i="29" s="1"/>
  <c r="P160" i="29"/>
  <c r="R160" i="29" s="1"/>
  <c r="P161" i="29"/>
  <c r="R161" i="29" s="1"/>
  <c r="P162" i="29"/>
  <c r="R162" i="29" s="1"/>
  <c r="P163" i="29"/>
  <c r="R163" i="29" s="1"/>
  <c r="P164" i="29"/>
  <c r="R164" i="29" s="1"/>
  <c r="P165" i="29"/>
  <c r="R165" i="29" s="1"/>
  <c r="P166" i="29"/>
  <c r="R166" i="29" s="1"/>
  <c r="P167" i="29"/>
  <c r="R167" i="29" s="1"/>
  <c r="P168" i="29"/>
  <c r="R168" i="29" s="1"/>
  <c r="P169" i="29"/>
  <c r="R169" i="29" s="1"/>
  <c r="P170" i="29"/>
  <c r="R170" i="29" s="1"/>
  <c r="P171" i="29"/>
  <c r="R171" i="29" s="1"/>
  <c r="P172" i="29"/>
  <c r="R172" i="29" s="1"/>
  <c r="P173" i="29"/>
  <c r="R173" i="29" s="1"/>
  <c r="P174" i="29"/>
  <c r="R174" i="29" s="1"/>
  <c r="P175" i="29"/>
  <c r="R175" i="29" s="1"/>
  <c r="P176" i="29"/>
  <c r="R176" i="29" s="1"/>
  <c r="P177" i="29"/>
  <c r="R177" i="29" s="1"/>
  <c r="P178" i="29"/>
  <c r="R178" i="29" s="1"/>
  <c r="P179" i="29"/>
  <c r="R179" i="29" s="1"/>
  <c r="P180" i="29"/>
  <c r="R180" i="29" s="1"/>
  <c r="P181" i="29"/>
  <c r="R181" i="29" s="1"/>
  <c r="P182" i="29"/>
  <c r="R182" i="29" s="1"/>
  <c r="P183" i="29"/>
  <c r="R183" i="29" s="1"/>
  <c r="P184" i="29"/>
  <c r="R184" i="29" s="1"/>
  <c r="P185" i="29"/>
  <c r="R185" i="29" s="1"/>
  <c r="P186" i="29"/>
  <c r="R186" i="29" s="1"/>
  <c r="P187" i="29"/>
  <c r="R187" i="29" s="1"/>
  <c r="P188" i="29"/>
  <c r="R188" i="29" s="1"/>
  <c r="P189" i="29"/>
  <c r="R189" i="29" s="1"/>
  <c r="P190" i="29"/>
  <c r="R190" i="29" s="1"/>
  <c r="P191" i="29"/>
  <c r="R191" i="29" s="1"/>
  <c r="P192" i="29"/>
  <c r="R192" i="29" s="1"/>
  <c r="P193" i="29"/>
  <c r="R193" i="29" s="1"/>
  <c r="P4" i="29"/>
  <c r="R4" i="29" s="1"/>
  <c r="S5" i="29"/>
  <c r="S6" i="29"/>
  <c r="S7" i="29"/>
  <c r="S8" i="29"/>
  <c r="S9" i="29"/>
  <c r="S10" i="29"/>
  <c r="S11" i="29"/>
  <c r="S12" i="29"/>
  <c r="S13" i="29"/>
  <c r="S14" i="29"/>
  <c r="S15" i="29"/>
  <c r="S16" i="29"/>
  <c r="S17" i="29"/>
  <c r="S18" i="29"/>
  <c r="S19" i="29"/>
  <c r="S20" i="29"/>
  <c r="S21" i="29"/>
  <c r="S22" i="29"/>
  <c r="S23" i="29"/>
  <c r="S24" i="29"/>
  <c r="S25" i="29"/>
  <c r="S26" i="29"/>
  <c r="S27" i="29"/>
  <c r="S28" i="29"/>
  <c r="S29" i="29"/>
  <c r="S30" i="29"/>
  <c r="S31" i="29"/>
  <c r="S32" i="29"/>
  <c r="S33" i="29"/>
  <c r="S34" i="29"/>
  <c r="S35" i="29"/>
  <c r="S36" i="29"/>
  <c r="S37" i="29"/>
  <c r="S38" i="29"/>
  <c r="S39" i="29"/>
  <c r="S40" i="29"/>
  <c r="S41" i="29"/>
  <c r="S42" i="29"/>
  <c r="S43" i="29"/>
  <c r="S44" i="29"/>
  <c r="S45" i="29"/>
  <c r="S46" i="29"/>
  <c r="S47" i="29"/>
  <c r="S48" i="29"/>
  <c r="S49" i="29"/>
  <c r="S50" i="29"/>
  <c r="S51" i="29"/>
  <c r="S52" i="29"/>
  <c r="S53" i="29"/>
  <c r="S54" i="29"/>
  <c r="S55" i="29"/>
  <c r="S56" i="29"/>
  <c r="S57" i="29"/>
  <c r="S58" i="29"/>
  <c r="S59" i="29"/>
  <c r="S60" i="29"/>
  <c r="S61" i="29"/>
  <c r="S62" i="29"/>
  <c r="S63" i="29"/>
  <c r="S64" i="29"/>
  <c r="S65" i="29"/>
  <c r="S66" i="29"/>
  <c r="S67" i="29"/>
  <c r="S68" i="29"/>
  <c r="S69" i="29"/>
  <c r="S70" i="29"/>
  <c r="S71" i="29"/>
  <c r="S72" i="29"/>
  <c r="S73" i="29"/>
  <c r="S74" i="29"/>
  <c r="S75" i="29"/>
  <c r="S76" i="29"/>
  <c r="S77" i="29"/>
  <c r="S78" i="29"/>
  <c r="S79" i="29"/>
  <c r="S80" i="29"/>
  <c r="S81" i="29"/>
  <c r="S82" i="29"/>
  <c r="S83" i="29"/>
  <c r="S84" i="29"/>
  <c r="S85" i="29"/>
  <c r="S86" i="29"/>
  <c r="S87" i="29"/>
  <c r="S88" i="29"/>
  <c r="S89" i="29"/>
  <c r="S90" i="29"/>
  <c r="S91" i="29"/>
  <c r="S92" i="29"/>
  <c r="S93" i="29"/>
  <c r="S94" i="29"/>
  <c r="S95" i="29"/>
  <c r="S96" i="29"/>
  <c r="S97" i="29"/>
  <c r="S98" i="29"/>
  <c r="S99" i="29"/>
  <c r="S100" i="29"/>
  <c r="S101" i="29"/>
  <c r="S102" i="29"/>
  <c r="S103" i="29"/>
  <c r="S104" i="29"/>
  <c r="S105" i="29"/>
  <c r="S106" i="29"/>
  <c r="S107" i="29"/>
  <c r="S108" i="29"/>
  <c r="S109" i="29"/>
  <c r="S110" i="29"/>
  <c r="S111" i="29"/>
  <c r="S112" i="29"/>
  <c r="S113" i="29"/>
  <c r="S114" i="29"/>
  <c r="S115" i="29"/>
  <c r="S116" i="29"/>
  <c r="S117" i="29"/>
  <c r="S118" i="29"/>
  <c r="S119" i="29"/>
  <c r="S120" i="29"/>
  <c r="S121" i="29"/>
  <c r="S122" i="29"/>
  <c r="S123" i="29"/>
  <c r="S124" i="29"/>
  <c r="S125" i="29"/>
  <c r="S126" i="29"/>
  <c r="S127" i="29"/>
  <c r="S128" i="29"/>
  <c r="S129" i="29"/>
  <c r="S130" i="29"/>
  <c r="S131" i="29"/>
  <c r="S132" i="29"/>
  <c r="S133" i="29"/>
  <c r="S134" i="29"/>
  <c r="S135" i="29"/>
  <c r="S136" i="29"/>
  <c r="S137" i="29"/>
  <c r="S138" i="29"/>
  <c r="S139" i="29"/>
  <c r="S140" i="29"/>
  <c r="S141" i="29"/>
  <c r="S142" i="29"/>
  <c r="S143" i="29"/>
  <c r="S144" i="29"/>
  <c r="S145" i="29"/>
  <c r="S146" i="29"/>
  <c r="S147" i="29"/>
  <c r="S148" i="29"/>
  <c r="S149" i="29"/>
  <c r="S150" i="29"/>
  <c r="S151" i="29"/>
  <c r="S152" i="29"/>
  <c r="S153" i="29"/>
  <c r="S154" i="29"/>
  <c r="S155" i="29"/>
  <c r="S156" i="29"/>
  <c r="S157" i="29"/>
  <c r="S158" i="29"/>
  <c r="S159" i="29"/>
  <c r="S160" i="29"/>
  <c r="S161" i="29"/>
  <c r="S162" i="29"/>
  <c r="S163" i="29"/>
  <c r="S164" i="29"/>
  <c r="S165" i="29"/>
  <c r="S166" i="29"/>
  <c r="S167" i="29"/>
  <c r="S168" i="29"/>
  <c r="S169" i="29"/>
  <c r="S170" i="29"/>
  <c r="S171" i="29"/>
  <c r="S172" i="29"/>
  <c r="S173" i="29"/>
  <c r="S174" i="29"/>
  <c r="S175" i="29"/>
  <c r="S176" i="29"/>
  <c r="S177" i="29"/>
  <c r="S178" i="29"/>
  <c r="S179" i="29"/>
  <c r="S180" i="29"/>
  <c r="S181" i="29"/>
  <c r="S182" i="29"/>
  <c r="S183" i="29"/>
  <c r="S184" i="29"/>
  <c r="S185" i="29"/>
  <c r="S186" i="29"/>
  <c r="S187" i="29"/>
  <c r="S188" i="29"/>
  <c r="S189" i="29"/>
  <c r="S190" i="29"/>
  <c r="S191" i="29"/>
  <c r="S192" i="29"/>
  <c r="S193" i="29"/>
  <c r="S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8" i="29"/>
  <c r="Q79" i="29"/>
  <c r="Q80" i="29"/>
  <c r="Q81" i="29"/>
  <c r="Q82" i="29"/>
  <c r="Q83" i="29"/>
  <c r="Q84" i="29"/>
  <c r="Q85" i="29"/>
  <c r="Q86" i="29"/>
  <c r="Q87" i="29"/>
  <c r="Q88" i="29"/>
  <c r="Q89" i="29"/>
  <c r="Q90" i="29"/>
  <c r="Q91" i="29"/>
  <c r="Q92" i="29"/>
  <c r="Q93" i="29"/>
  <c r="Q94" i="29"/>
  <c r="Q95" i="29"/>
  <c r="Q96" i="29"/>
  <c r="Q97" i="29"/>
  <c r="Q98" i="29"/>
  <c r="Q99" i="29"/>
  <c r="Q100" i="29"/>
  <c r="Q101" i="29"/>
  <c r="Q102" i="29"/>
  <c r="Q103" i="29"/>
  <c r="Q104" i="29"/>
  <c r="Q105" i="29"/>
  <c r="Q106" i="29"/>
  <c r="Q107" i="29"/>
  <c r="Q108" i="29"/>
  <c r="Q109" i="29"/>
  <c r="Q110" i="29"/>
  <c r="Q111" i="29"/>
  <c r="Q112" i="29"/>
  <c r="Q113" i="29"/>
  <c r="Q114" i="29"/>
  <c r="Q115" i="29"/>
  <c r="Q116" i="29"/>
  <c r="Q117" i="29"/>
  <c r="Q118" i="29"/>
  <c r="Q119" i="29"/>
  <c r="Q120" i="29"/>
  <c r="Q121" i="29"/>
  <c r="Q122" i="29"/>
  <c r="Q123" i="29"/>
  <c r="Q124" i="29"/>
  <c r="Q125" i="29"/>
  <c r="Q126" i="29"/>
  <c r="Q127" i="29"/>
  <c r="Q128" i="29"/>
  <c r="Q129" i="29"/>
  <c r="Q130" i="29"/>
  <c r="Q131" i="29"/>
  <c r="Q132" i="29"/>
  <c r="Q133" i="29"/>
  <c r="Q134" i="29"/>
  <c r="Q135" i="29"/>
  <c r="Q136" i="29"/>
  <c r="Q137" i="29"/>
  <c r="Q138" i="29"/>
  <c r="Q139" i="29"/>
  <c r="Q140" i="29"/>
  <c r="Q141" i="29"/>
  <c r="Q142" i="29"/>
  <c r="Q143" i="29"/>
  <c r="Q144" i="29"/>
  <c r="Q145" i="29"/>
  <c r="Q146" i="29"/>
  <c r="Q147" i="29"/>
  <c r="Q148" i="29"/>
  <c r="Q149" i="29"/>
  <c r="Q150" i="29"/>
  <c r="Q151" i="29"/>
  <c r="Q152" i="29"/>
  <c r="Q153" i="29"/>
  <c r="Q154" i="29"/>
  <c r="Q155" i="29"/>
  <c r="Q156" i="29"/>
  <c r="Q157" i="29"/>
  <c r="Q158" i="29"/>
  <c r="Q159" i="29"/>
  <c r="Q160" i="29"/>
  <c r="Q161" i="29"/>
  <c r="Q162" i="29"/>
  <c r="Q163" i="29"/>
  <c r="Q164" i="29"/>
  <c r="Q165" i="29"/>
  <c r="Q166" i="29"/>
  <c r="Q167" i="29"/>
  <c r="Q168" i="29"/>
  <c r="Q169" i="29"/>
  <c r="Q170" i="29"/>
  <c r="Q171" i="29"/>
  <c r="Q172" i="29"/>
  <c r="Q173" i="29"/>
  <c r="Q174" i="29"/>
  <c r="Q175" i="29"/>
  <c r="Q176" i="29"/>
  <c r="Q177" i="29"/>
  <c r="Q178" i="29"/>
  <c r="Q179" i="29"/>
  <c r="Q180" i="29"/>
  <c r="Q181" i="29"/>
  <c r="Q182" i="29"/>
  <c r="Q183" i="29"/>
  <c r="Q184" i="29"/>
  <c r="Q185" i="29"/>
  <c r="Q186" i="29"/>
  <c r="Q187" i="29"/>
  <c r="Q188" i="29"/>
  <c r="Q189" i="29"/>
  <c r="Q190" i="29"/>
  <c r="Q191" i="29"/>
  <c r="Q192" i="29"/>
  <c r="Q193" i="29"/>
  <c r="Q4" i="29"/>
  <c r="R358" i="20"/>
  <c r="P358" i="20" s="1"/>
  <c r="J358" i="20"/>
  <c r="AG12" i="13"/>
  <c r="AH12" i="13"/>
  <c r="U1" i="28"/>
  <c r="P1" i="28"/>
  <c r="Q1" i="28"/>
  <c r="R1" i="28"/>
  <c r="S1" i="28"/>
  <c r="T1" i="28"/>
  <c r="M1" i="28"/>
  <c r="N1" i="28"/>
  <c r="O1" i="28"/>
  <c r="K1" i="28"/>
  <c r="L1" i="28"/>
  <c r="J1" i="28"/>
  <c r="AT1" i="28"/>
  <c r="AU1" i="28"/>
  <c r="AV1" i="28"/>
  <c r="AW1" i="28"/>
  <c r="AX1" i="28"/>
  <c r="AY1" i="28"/>
  <c r="AZ1" i="28"/>
  <c r="BA1" i="28"/>
  <c r="BB1" i="28"/>
  <c r="AS1" i="28"/>
  <c r="AQ2" i="28"/>
  <c r="AR3" i="28"/>
  <c r="AR5" i="28"/>
  <c r="AR6" i="28"/>
  <c r="AR7" i="28"/>
  <c r="AR8" i="28"/>
  <c r="AR9" i="28"/>
  <c r="AR10" i="28"/>
  <c r="AR11" i="28"/>
  <c r="AR12" i="28"/>
  <c r="AR13" i="28"/>
  <c r="AR14" i="28"/>
  <c r="AR15" i="28"/>
  <c r="AR16" i="28"/>
  <c r="AR17" i="28"/>
  <c r="AR18" i="28"/>
  <c r="AR19" i="28"/>
  <c r="AR20" i="28"/>
  <c r="AR21" i="28"/>
  <c r="AR22" i="28"/>
  <c r="AR23" i="28"/>
  <c r="AR24" i="28"/>
  <c r="AR25" i="28"/>
  <c r="AR26" i="28"/>
  <c r="AR27" i="28"/>
  <c r="AR28" i="28"/>
  <c r="AR29" i="28"/>
  <c r="AR30" i="28"/>
  <c r="AR31" i="28"/>
  <c r="AR32" i="28"/>
  <c r="AR33" i="28"/>
  <c r="AR34" i="28"/>
  <c r="AR35" i="28"/>
  <c r="AR36" i="28"/>
  <c r="AR37" i="28"/>
  <c r="AR38" i="28"/>
  <c r="AR39" i="28"/>
  <c r="AR40" i="28"/>
  <c r="AR41" i="28"/>
  <c r="AR42" i="28"/>
  <c r="AR43" i="28"/>
  <c r="AR44" i="28"/>
  <c r="AR45" i="28"/>
  <c r="AR46" i="28"/>
  <c r="AR47" i="28"/>
  <c r="AR48" i="28"/>
  <c r="AR49" i="28"/>
  <c r="AR50" i="28"/>
  <c r="AR51" i="28"/>
  <c r="AR52" i="28"/>
  <c r="AR53" i="28"/>
  <c r="AR54" i="28"/>
  <c r="AR55" i="28"/>
  <c r="AR56" i="28"/>
  <c r="AR57" i="28"/>
  <c r="AR58" i="28"/>
  <c r="AR59" i="28"/>
  <c r="AR60" i="28"/>
  <c r="AR61" i="28"/>
  <c r="AR4" i="28"/>
  <c r="Z4" i="28"/>
  <c r="Z5" i="28"/>
  <c r="Z6" i="28"/>
  <c r="Z7" i="28"/>
  <c r="Z8" i="28"/>
  <c r="Z9" i="28"/>
  <c r="Z10" i="28"/>
  <c r="Z11" i="28"/>
  <c r="Z12" i="28"/>
  <c r="Z13" i="28"/>
  <c r="Z14" i="28"/>
  <c r="Z15" i="28"/>
  <c r="Z16" i="28"/>
  <c r="Z17" i="28"/>
  <c r="Z18" i="28"/>
  <c r="Z19" i="28"/>
  <c r="Z20" i="28"/>
  <c r="Z21" i="28"/>
  <c r="Z22" i="28"/>
  <c r="Z23" i="28"/>
  <c r="Z24" i="28"/>
  <c r="Z25" i="28"/>
  <c r="Z26" i="28"/>
  <c r="Z27" i="28"/>
  <c r="Z28" i="28"/>
  <c r="Z29" i="28"/>
  <c r="Z30" i="28"/>
  <c r="Z31" i="28"/>
  <c r="Z32" i="28"/>
  <c r="Z33" i="28"/>
  <c r="Z34" i="28"/>
  <c r="Z35" i="28"/>
  <c r="Z36" i="28"/>
  <c r="Z37" i="28"/>
  <c r="Z38" i="28"/>
  <c r="Z39" i="28"/>
  <c r="Z40" i="28"/>
  <c r="Z41" i="28"/>
  <c r="Z42" i="28"/>
  <c r="Z43" i="28"/>
  <c r="Z44" i="28"/>
  <c r="Z45" i="28"/>
  <c r="Z46" i="28"/>
  <c r="Z47" i="28"/>
  <c r="Z48" i="28"/>
  <c r="Z49" i="28"/>
  <c r="Z50" i="28"/>
  <c r="Z51" i="28"/>
  <c r="Z52" i="28"/>
  <c r="Z53" i="28"/>
  <c r="Z54" i="28"/>
  <c r="Z55" i="28"/>
  <c r="Z56" i="28"/>
  <c r="Z57" i="28"/>
  <c r="Z58" i="28"/>
  <c r="Z59" i="28"/>
  <c r="Z60" i="28"/>
  <c r="Z61" i="28"/>
  <c r="Z3" i="28"/>
  <c r="A190" i="28"/>
  <c r="A191" i="28"/>
  <c r="C191" i="28" s="1"/>
  <c r="A192" i="28"/>
  <c r="E192" i="28" s="1"/>
  <c r="A182" i="28"/>
  <c r="A183" i="28"/>
  <c r="A184" i="28"/>
  <c r="A185" i="28"/>
  <c r="A186" i="28"/>
  <c r="A187" i="28"/>
  <c r="A188" i="28"/>
  <c r="A189" i="28"/>
  <c r="C189" i="28" s="1"/>
  <c r="A166" i="28"/>
  <c r="A167" i="28"/>
  <c r="A168" i="28"/>
  <c r="A169" i="28"/>
  <c r="A170" i="28"/>
  <c r="A171" i="28"/>
  <c r="A172" i="28"/>
  <c r="A173" i="28"/>
  <c r="A174" i="28"/>
  <c r="A175" i="28"/>
  <c r="A176" i="28"/>
  <c r="A177" i="28"/>
  <c r="A178" i="28"/>
  <c r="A179" i="28"/>
  <c r="A180" i="28"/>
  <c r="A181" i="28"/>
  <c r="E181" i="28" s="1"/>
  <c r="A145" i="28"/>
  <c r="A146" i="28"/>
  <c r="A147" i="28"/>
  <c r="A148" i="28"/>
  <c r="A149" i="28"/>
  <c r="A150" i="28"/>
  <c r="A151" i="28"/>
  <c r="C151" i="28" s="1"/>
  <c r="J151" i="28" s="1"/>
  <c r="A152" i="28"/>
  <c r="A153" i="28"/>
  <c r="A154" i="28"/>
  <c r="A155" i="28"/>
  <c r="C155" i="28" s="1"/>
  <c r="A156" i="28"/>
  <c r="A157" i="28"/>
  <c r="A158" i="28"/>
  <c r="A159" i="28"/>
  <c r="C159" i="28" s="1"/>
  <c r="A160" i="28"/>
  <c r="A161" i="28"/>
  <c r="A162" i="28"/>
  <c r="A163" i="28"/>
  <c r="A164" i="28"/>
  <c r="A165" i="28"/>
  <c r="A110" i="28"/>
  <c r="A111" i="28"/>
  <c r="C111" i="28" s="1"/>
  <c r="A112" i="28"/>
  <c r="A113" i="28"/>
  <c r="A114" i="28"/>
  <c r="A115" i="28"/>
  <c r="A116" i="28"/>
  <c r="A117" i="28"/>
  <c r="A118" i="28"/>
  <c r="A119" i="28"/>
  <c r="C119" i="28" s="1"/>
  <c r="A120" i="28"/>
  <c r="A121" i="28"/>
  <c r="A122" i="28"/>
  <c r="A123" i="28"/>
  <c r="C123" i="28" s="1"/>
  <c r="A124" i="28"/>
  <c r="A125" i="28"/>
  <c r="A126" i="28"/>
  <c r="A127" i="28"/>
  <c r="C127" i="28" s="1"/>
  <c r="A128" i="28"/>
  <c r="A129" i="28"/>
  <c r="A130" i="28"/>
  <c r="A131" i="28"/>
  <c r="A132" i="28"/>
  <c r="A133" i="28"/>
  <c r="A134" i="28"/>
  <c r="A135" i="28"/>
  <c r="C135" i="28" s="1"/>
  <c r="A136" i="28"/>
  <c r="A137" i="28"/>
  <c r="A138" i="28"/>
  <c r="A139" i="28"/>
  <c r="C139" i="28" s="1"/>
  <c r="A140" i="28"/>
  <c r="A141" i="28"/>
  <c r="A142" i="28"/>
  <c r="A143" i="28"/>
  <c r="C143" i="28" s="1"/>
  <c r="A144" i="28"/>
  <c r="A2" i="28"/>
  <c r="E2" i="28" s="1"/>
  <c r="A3" i="28"/>
  <c r="E3" i="28" s="1"/>
  <c r="A4" i="28"/>
  <c r="A5" i="28"/>
  <c r="A6" i="28"/>
  <c r="A7" i="28"/>
  <c r="A8" i="28"/>
  <c r="A9" i="28"/>
  <c r="A10" i="28"/>
  <c r="A11" i="28"/>
  <c r="A12" i="28"/>
  <c r="A13" i="28"/>
  <c r="A14" i="28"/>
  <c r="A15" i="28"/>
  <c r="E15" i="28" s="1"/>
  <c r="A16" i="28"/>
  <c r="A17" i="28"/>
  <c r="A18" i="28"/>
  <c r="A19" i="28"/>
  <c r="A20" i="28"/>
  <c r="A21" i="28"/>
  <c r="A22" i="28"/>
  <c r="A23" i="28"/>
  <c r="C23" i="28" s="1"/>
  <c r="P23" i="28" s="1"/>
  <c r="A24" i="28"/>
  <c r="A25" i="28"/>
  <c r="A26" i="28"/>
  <c r="A27" i="28"/>
  <c r="C27" i="28" s="1"/>
  <c r="J27" i="28" s="1"/>
  <c r="A28" i="28"/>
  <c r="A29" i="28"/>
  <c r="A30" i="28"/>
  <c r="A31" i="28"/>
  <c r="C31" i="28" s="1"/>
  <c r="A32" i="28"/>
  <c r="A33" i="28"/>
  <c r="A34" i="28"/>
  <c r="A35" i="28"/>
  <c r="A36" i="28"/>
  <c r="A37" i="28"/>
  <c r="A38" i="28"/>
  <c r="A39" i="28"/>
  <c r="C39" i="28" s="1"/>
  <c r="A40" i="28"/>
  <c r="A41" i="28"/>
  <c r="A42" i="28"/>
  <c r="A43" i="28"/>
  <c r="C43" i="28" s="1"/>
  <c r="A44" i="28"/>
  <c r="A45" i="28"/>
  <c r="A46" i="28"/>
  <c r="A47" i="28"/>
  <c r="C47" i="28" s="1"/>
  <c r="A48" i="28"/>
  <c r="A49" i="28"/>
  <c r="A50" i="28"/>
  <c r="A51" i="28"/>
  <c r="A52" i="28"/>
  <c r="A53" i="28"/>
  <c r="A54" i="28"/>
  <c r="A55" i="28"/>
  <c r="C55" i="28" s="1"/>
  <c r="A56" i="28"/>
  <c r="A57" i="28"/>
  <c r="A58" i="28"/>
  <c r="A59" i="28"/>
  <c r="C59" i="28" s="1"/>
  <c r="A60" i="28"/>
  <c r="A61" i="28"/>
  <c r="A62" i="28"/>
  <c r="A63" i="28"/>
  <c r="C63" i="28" s="1"/>
  <c r="J63" i="28" s="1"/>
  <c r="A64" i="28"/>
  <c r="A65" i="28"/>
  <c r="A66" i="28"/>
  <c r="A67" i="28"/>
  <c r="A68" i="28"/>
  <c r="A69" i="28"/>
  <c r="A70" i="28"/>
  <c r="A71" i="28"/>
  <c r="C71" i="28" s="1"/>
  <c r="A72" i="28"/>
  <c r="A73" i="28"/>
  <c r="A74" i="28"/>
  <c r="A75" i="28"/>
  <c r="C75" i="28" s="1"/>
  <c r="A76" i="28"/>
  <c r="A77" i="28"/>
  <c r="A78" i="28"/>
  <c r="A79" i="28"/>
  <c r="C79" i="28" s="1"/>
  <c r="A80" i="28"/>
  <c r="A81" i="28"/>
  <c r="A82" i="28"/>
  <c r="A83" i="28"/>
  <c r="A84" i="28"/>
  <c r="A85" i="28"/>
  <c r="A86" i="28"/>
  <c r="A87" i="28"/>
  <c r="C87" i="28" s="1"/>
  <c r="J87" i="28" s="1"/>
  <c r="A88" i="28"/>
  <c r="A89" i="28"/>
  <c r="A90" i="28"/>
  <c r="A91" i="28"/>
  <c r="C91" i="28" s="1"/>
  <c r="A92" i="28"/>
  <c r="A93" i="28"/>
  <c r="A94" i="28"/>
  <c r="A95" i="28"/>
  <c r="C95" i="28" s="1"/>
  <c r="A96" i="28"/>
  <c r="A97" i="28"/>
  <c r="A98" i="28"/>
  <c r="A99" i="28"/>
  <c r="A100" i="28"/>
  <c r="A101" i="28"/>
  <c r="A102" i="28"/>
  <c r="A103" i="28"/>
  <c r="C103" i="28" s="1"/>
  <c r="A104" i="28"/>
  <c r="A105" i="28"/>
  <c r="A106" i="28"/>
  <c r="A107" i="28"/>
  <c r="C107" i="28" s="1"/>
  <c r="A108" i="28"/>
  <c r="A109" i="28"/>
  <c r="A1" i="28"/>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2" i="2"/>
  <c r="AA4" i="28"/>
  <c r="AQ4" i="28" s="1"/>
  <c r="AA5" i="28"/>
  <c r="AQ5" i="28" s="1"/>
  <c r="AA6" i="28"/>
  <c r="AQ6" i="28" s="1"/>
  <c r="AA7" i="28"/>
  <c r="AQ7" i="28" s="1"/>
  <c r="AA8" i="28"/>
  <c r="AQ8" i="28" s="1"/>
  <c r="AA9" i="28"/>
  <c r="AQ9" i="28" s="1"/>
  <c r="AA10" i="28"/>
  <c r="AQ10" i="28" s="1"/>
  <c r="AA11" i="28"/>
  <c r="AQ11" i="28" s="1"/>
  <c r="AA12" i="28"/>
  <c r="AQ12" i="28" s="1"/>
  <c r="AA13" i="28"/>
  <c r="AQ13" i="28" s="1"/>
  <c r="AA14" i="28"/>
  <c r="AQ14" i="28" s="1"/>
  <c r="AA15" i="28"/>
  <c r="AQ15" i="28" s="1"/>
  <c r="AA16" i="28"/>
  <c r="AQ16" i="28" s="1"/>
  <c r="AA17" i="28"/>
  <c r="AQ17" i="28" s="1"/>
  <c r="AA18" i="28"/>
  <c r="AQ18" i="28" s="1"/>
  <c r="AA19" i="28"/>
  <c r="AQ19" i="28" s="1"/>
  <c r="AA20" i="28"/>
  <c r="AQ20" i="28" s="1"/>
  <c r="AA21" i="28"/>
  <c r="AQ21" i="28" s="1"/>
  <c r="AA22" i="28"/>
  <c r="AQ22" i="28" s="1"/>
  <c r="AA23" i="28"/>
  <c r="AQ23" i="28" s="1"/>
  <c r="AA24" i="28"/>
  <c r="AQ24" i="28" s="1"/>
  <c r="AA25" i="28"/>
  <c r="AQ25" i="28" s="1"/>
  <c r="AA26" i="28"/>
  <c r="AQ26" i="28" s="1"/>
  <c r="AA27" i="28"/>
  <c r="AQ27" i="28" s="1"/>
  <c r="AA28" i="28"/>
  <c r="AQ28" i="28" s="1"/>
  <c r="AA29" i="28"/>
  <c r="AQ29" i="28" s="1"/>
  <c r="AA30" i="28"/>
  <c r="AQ30" i="28" s="1"/>
  <c r="AA31" i="28"/>
  <c r="AQ31" i="28" s="1"/>
  <c r="AA32" i="28"/>
  <c r="AQ32" i="28" s="1"/>
  <c r="AA33" i="28"/>
  <c r="AQ33" i="28" s="1"/>
  <c r="AA34" i="28"/>
  <c r="AQ34" i="28" s="1"/>
  <c r="AA35" i="28"/>
  <c r="AQ35" i="28" s="1"/>
  <c r="AA36" i="28"/>
  <c r="AQ36" i="28" s="1"/>
  <c r="AA37" i="28"/>
  <c r="AQ37" i="28" s="1"/>
  <c r="AA38" i="28"/>
  <c r="AQ38" i="28" s="1"/>
  <c r="AA39" i="28"/>
  <c r="AQ39" i="28" s="1"/>
  <c r="AA40" i="28"/>
  <c r="AQ40" i="28" s="1"/>
  <c r="AA41" i="28"/>
  <c r="AQ41" i="28" s="1"/>
  <c r="AA42" i="28"/>
  <c r="AQ42" i="28" s="1"/>
  <c r="AA43" i="28"/>
  <c r="AQ43" i="28" s="1"/>
  <c r="AA44" i="28"/>
  <c r="AQ44" i="28" s="1"/>
  <c r="AA45" i="28"/>
  <c r="AQ45" i="28" s="1"/>
  <c r="AA46" i="28"/>
  <c r="AQ46" i="28" s="1"/>
  <c r="AA47" i="28"/>
  <c r="AQ47" i="28" s="1"/>
  <c r="AA48" i="28"/>
  <c r="AQ48" i="28" s="1"/>
  <c r="AA49" i="28"/>
  <c r="AQ49" i="28" s="1"/>
  <c r="AA50" i="28"/>
  <c r="AQ50" i="28" s="1"/>
  <c r="AA51" i="28"/>
  <c r="AQ51" i="28" s="1"/>
  <c r="AA52" i="28"/>
  <c r="AQ52" i="28" s="1"/>
  <c r="AA53" i="28"/>
  <c r="AQ53" i="28" s="1"/>
  <c r="AA54" i="28"/>
  <c r="AQ54" i="28" s="1"/>
  <c r="AA55" i="28"/>
  <c r="AQ55" i="28" s="1"/>
  <c r="AA56" i="28"/>
  <c r="AQ56" i="28" s="1"/>
  <c r="AA57" i="28"/>
  <c r="AQ57" i="28" s="1"/>
  <c r="AA58" i="28"/>
  <c r="AQ58" i="28" s="1"/>
  <c r="AA59" i="28"/>
  <c r="AQ59" i="28" s="1"/>
  <c r="AA60" i="28"/>
  <c r="AQ60" i="28" s="1"/>
  <c r="AA61" i="28"/>
  <c r="AQ61" i="28" s="1"/>
  <c r="AA3" i="28"/>
  <c r="AQ3" i="28" s="1"/>
  <c r="AL2" i="12"/>
  <c r="K2" i="18"/>
  <c r="AJ192" i="2"/>
  <c r="AJ191" i="2"/>
  <c r="AJ190" i="2"/>
  <c r="AJ189" i="2"/>
  <c r="AJ188" i="2"/>
  <c r="AJ187" i="2"/>
  <c r="AJ186" i="2"/>
  <c r="AJ185" i="2"/>
  <c r="AJ184" i="2"/>
  <c r="AJ183" i="2"/>
  <c r="AJ182" i="2"/>
  <c r="AJ181" i="2"/>
  <c r="AJ180" i="2"/>
  <c r="AJ179" i="2"/>
  <c r="AJ178" i="2"/>
  <c r="AJ177" i="2"/>
  <c r="AJ176" i="2"/>
  <c r="AJ175" i="2"/>
  <c r="AJ174" i="2"/>
  <c r="AJ173" i="2"/>
  <c r="AJ172" i="2"/>
  <c r="AJ171" i="2"/>
  <c r="AJ170" i="2"/>
  <c r="AJ169" i="2"/>
  <c r="AJ168" i="2"/>
  <c r="AJ167" i="2"/>
  <c r="AJ166" i="2"/>
  <c r="AJ165" i="2"/>
  <c r="AJ164" i="2"/>
  <c r="AJ163" i="2"/>
  <c r="AJ162" i="2"/>
  <c r="AJ161" i="2"/>
  <c r="AJ160" i="2"/>
  <c r="AJ159" i="2"/>
  <c r="AJ158" i="2"/>
  <c r="AJ157" i="2"/>
  <c r="AJ156" i="2"/>
  <c r="AJ155" i="2"/>
  <c r="AJ154" i="2"/>
  <c r="AJ153" i="2"/>
  <c r="AJ152" i="2"/>
  <c r="AJ151" i="2"/>
  <c r="AJ150" i="2"/>
  <c r="AJ149" i="2"/>
  <c r="AJ148" i="2"/>
  <c r="AJ147" i="2"/>
  <c r="AJ146" i="2"/>
  <c r="AJ145" i="2"/>
  <c r="AJ144" i="2"/>
  <c r="AJ143" i="2"/>
  <c r="AJ142" i="2"/>
  <c r="AJ141" i="2"/>
  <c r="AJ140" i="2"/>
  <c r="AJ139" i="2"/>
  <c r="AJ138" i="2"/>
  <c r="AJ137" i="2"/>
  <c r="AJ136" i="2"/>
  <c r="AJ135" i="2"/>
  <c r="AJ134" i="2"/>
  <c r="AJ133" i="2"/>
  <c r="AJ132" i="2"/>
  <c r="AJ131" i="2"/>
  <c r="AJ130" i="2"/>
  <c r="AJ129" i="2"/>
  <c r="AJ128" i="2"/>
  <c r="AJ127" i="2"/>
  <c r="AJ126" i="2"/>
  <c r="AJ125" i="2"/>
  <c r="AJ124" i="2"/>
  <c r="AJ123" i="2"/>
  <c r="AJ122" i="2"/>
  <c r="AJ121" i="2"/>
  <c r="AJ120" i="2"/>
  <c r="AJ119" i="2"/>
  <c r="AJ118" i="2"/>
  <c r="AJ117" i="2"/>
  <c r="AJ116" i="2"/>
  <c r="AJ115" i="2"/>
  <c r="AJ114" i="2"/>
  <c r="AJ113" i="2"/>
  <c r="AJ112" i="2"/>
  <c r="AJ111" i="2"/>
  <c r="AJ110" i="2"/>
  <c r="AJ109" i="2"/>
  <c r="AJ108" i="2"/>
  <c r="AJ107" i="2"/>
  <c r="AJ106" i="2"/>
  <c r="AJ105" i="2"/>
  <c r="AJ104" i="2"/>
  <c r="AJ103" i="2"/>
  <c r="AJ102" i="2"/>
  <c r="AJ101" i="2"/>
  <c r="AJ100" i="2"/>
  <c r="AJ99" i="2"/>
  <c r="AJ98" i="2"/>
  <c r="AJ97" i="2"/>
  <c r="AJ96" i="2"/>
  <c r="AJ95" i="2"/>
  <c r="AJ94" i="2"/>
  <c r="AJ93" i="2"/>
  <c r="AJ92" i="2"/>
  <c r="AJ91" i="2"/>
  <c r="AJ90" i="2"/>
  <c r="AJ89" i="2"/>
  <c r="AJ88" i="2"/>
  <c r="AJ87" i="2"/>
  <c r="AJ86" i="2"/>
  <c r="AJ85" i="2"/>
  <c r="AJ84" i="2"/>
  <c r="AJ83" i="2"/>
  <c r="AJ82" i="2"/>
  <c r="AJ81" i="2"/>
  <c r="AJ80" i="2"/>
  <c r="AJ79" i="2"/>
  <c r="AJ78" i="2"/>
  <c r="AJ77" i="2"/>
  <c r="AJ76" i="2"/>
  <c r="AJ75" i="2"/>
  <c r="AJ74" i="2"/>
  <c r="AJ73" i="2"/>
  <c r="AJ72" i="2"/>
  <c r="AJ71" i="2"/>
  <c r="AJ70" i="2"/>
  <c r="AJ69" i="2"/>
  <c r="AJ68" i="2"/>
  <c r="AJ67" i="2"/>
  <c r="AJ66" i="2"/>
  <c r="AJ65" i="2"/>
  <c r="AJ64" i="2"/>
  <c r="AJ63" i="2"/>
  <c r="AJ62" i="2"/>
  <c r="AJ61" i="2"/>
  <c r="AJ60" i="2"/>
  <c r="AJ59" i="2"/>
  <c r="AJ58" i="2"/>
  <c r="AJ57" i="2"/>
  <c r="AJ56" i="2"/>
  <c r="AJ55" i="2"/>
  <c r="AJ54" i="2"/>
  <c r="AJ53" i="2"/>
  <c r="AJ52" i="2"/>
  <c r="AJ51" i="2"/>
  <c r="AJ50" i="2"/>
  <c r="AJ49" i="2"/>
  <c r="AJ48" i="2"/>
  <c r="AJ47" i="2"/>
  <c r="AJ46" i="2"/>
  <c r="AJ45" i="2"/>
  <c r="AJ44" i="2"/>
  <c r="AJ43" i="2"/>
  <c r="AJ42" i="2"/>
  <c r="AJ41" i="2"/>
  <c r="AJ40" i="2"/>
  <c r="AJ39" i="2"/>
  <c r="AJ38" i="2"/>
  <c r="AJ37" i="2"/>
  <c r="AJ36" i="2"/>
  <c r="AJ35" i="2"/>
  <c r="AJ34" i="2"/>
  <c r="AJ33" i="2"/>
  <c r="AJ32" i="2"/>
  <c r="AJ31" i="2"/>
  <c r="AJ30" i="2"/>
  <c r="AJ29" i="2"/>
  <c r="AJ28" i="2"/>
  <c r="AJ27" i="2"/>
  <c r="AJ26" i="2"/>
  <c r="AJ25" i="2"/>
  <c r="AJ24" i="2"/>
  <c r="AJ23" i="2"/>
  <c r="AJ22" i="2"/>
  <c r="AJ21" i="2"/>
  <c r="AJ20" i="2"/>
  <c r="AJ19" i="2"/>
  <c r="AJ18" i="2"/>
  <c r="AJ17" i="2"/>
  <c r="AJ16" i="2"/>
  <c r="AJ15" i="2"/>
  <c r="AJ14" i="2"/>
  <c r="AJ13" i="2"/>
  <c r="AJ12" i="2"/>
  <c r="AJ11" i="2"/>
  <c r="AJ10" i="2"/>
  <c r="AJ9" i="2"/>
  <c r="AJ8" i="2"/>
  <c r="AJ7" i="2"/>
  <c r="AJ6" i="2"/>
  <c r="AJ5" i="2"/>
  <c r="AJ4" i="2"/>
  <c r="AJ3" i="2"/>
  <c r="K2" i="2"/>
  <c r="BF5" i="8"/>
  <c r="BE5" i="8"/>
  <c r="BC5" i="8"/>
  <c r="BH3" i="8"/>
  <c r="BH4" i="8"/>
  <c r="BH2" i="8"/>
  <c r="BG3" i="8"/>
  <c r="BG4" i="8"/>
  <c r="BG5" i="8"/>
  <c r="BH5" i="8" s="1"/>
  <c r="BG2" i="8"/>
  <c r="BE4" i="8"/>
  <c r="BF4" i="8" s="1"/>
  <c r="BC4" i="8"/>
  <c r="BE3" i="8"/>
  <c r="BE2" i="8"/>
  <c r="AW21" i="8"/>
  <c r="AV21" i="8"/>
  <c r="AW14" i="8"/>
  <c r="AW11" i="8"/>
  <c r="AW16" i="8" s="1"/>
  <c r="AW17" i="8" s="1"/>
  <c r="AX17" i="8" s="1"/>
  <c r="AX7" i="8"/>
  <c r="AY7" i="8" s="1"/>
  <c r="AZ7" i="8" s="1"/>
  <c r="AW7" i="8"/>
  <c r="AV2" i="8"/>
  <c r="AU1" i="8"/>
  <c r="AV1" i="8" s="1"/>
  <c r="AV3" i="8" s="1"/>
  <c r="AD1" i="29" l="1"/>
  <c r="BP1" i="29" s="1"/>
  <c r="AS4" i="29"/>
  <c r="AY4" i="29"/>
  <c r="BL4" i="29" s="1"/>
  <c r="DG105" i="28"/>
  <c r="DH105" i="28" s="1"/>
  <c r="DE105" i="28" s="1"/>
  <c r="DG101" i="28"/>
  <c r="DH101" i="28" s="1"/>
  <c r="DE101" i="28" s="1"/>
  <c r="DG97" i="28"/>
  <c r="DH97" i="28" s="1"/>
  <c r="DE97" i="28" s="1"/>
  <c r="DG93" i="28"/>
  <c r="DH93" i="28" s="1"/>
  <c r="DE93" i="28" s="1"/>
  <c r="DG89" i="28"/>
  <c r="DG85" i="28"/>
  <c r="DH85" i="28" s="1"/>
  <c r="DE85" i="28" s="1"/>
  <c r="DG81" i="28"/>
  <c r="DG77" i="28"/>
  <c r="DH77" i="28" s="1"/>
  <c r="DE77" i="28" s="1"/>
  <c r="DG73" i="28"/>
  <c r="DG69" i="28"/>
  <c r="DG65" i="28"/>
  <c r="DH65" i="28" s="1"/>
  <c r="DE65" i="28" s="1"/>
  <c r="DG61" i="28"/>
  <c r="DG57" i="28"/>
  <c r="DG53" i="28"/>
  <c r="DG49" i="28"/>
  <c r="DH49" i="28" s="1"/>
  <c r="DE49" i="28" s="1"/>
  <c r="DG45" i="28"/>
  <c r="DH45" i="28" s="1"/>
  <c r="DE45" i="28" s="1"/>
  <c r="DG41" i="28"/>
  <c r="DG37" i="28"/>
  <c r="DG33" i="28"/>
  <c r="DG29" i="28"/>
  <c r="DG25" i="28"/>
  <c r="DG21" i="28"/>
  <c r="DG17" i="28"/>
  <c r="DG13" i="28"/>
  <c r="DG9" i="28"/>
  <c r="DG5" i="28"/>
  <c r="DG104" i="28"/>
  <c r="DG100" i="28"/>
  <c r="DG96" i="28"/>
  <c r="DH96" i="28" s="1"/>
  <c r="DE96" i="28" s="1"/>
  <c r="DG92" i="28"/>
  <c r="DH92" i="28" s="1"/>
  <c r="DE92" i="28" s="1"/>
  <c r="DG88" i="28"/>
  <c r="DH88" i="28" s="1"/>
  <c r="DE88" i="28" s="1"/>
  <c r="DG84" i="28"/>
  <c r="DG80" i="28"/>
  <c r="DG76" i="28"/>
  <c r="DH76" i="28" s="1"/>
  <c r="DE76" i="28" s="1"/>
  <c r="DG72" i="28"/>
  <c r="DH72" i="28" s="1"/>
  <c r="DE72" i="28" s="1"/>
  <c r="DG68" i="28"/>
  <c r="DH68" i="28" s="1"/>
  <c r="DE68" i="28" s="1"/>
  <c r="DG64" i="28"/>
  <c r="DH64" i="28" s="1"/>
  <c r="DE64" i="28" s="1"/>
  <c r="DG60" i="28"/>
  <c r="DH60" i="28" s="1"/>
  <c r="DE60" i="28" s="1"/>
  <c r="DG56" i="28"/>
  <c r="DG52" i="28"/>
  <c r="DH52" i="28" s="1"/>
  <c r="DE52" i="28" s="1"/>
  <c r="DG48" i="28"/>
  <c r="DG44" i="28"/>
  <c r="DG40" i="28"/>
  <c r="DG36" i="28"/>
  <c r="DG32" i="28"/>
  <c r="DG28" i="28"/>
  <c r="DG24" i="28"/>
  <c r="DG20" i="28"/>
  <c r="DH20" i="28" s="1"/>
  <c r="DE20" i="28" s="1"/>
  <c r="DG16" i="28"/>
  <c r="DG12" i="28"/>
  <c r="DG2" i="28"/>
  <c r="DG103" i="28"/>
  <c r="DH103" i="28" s="1"/>
  <c r="DE103" i="28" s="1"/>
  <c r="DG99" i="28"/>
  <c r="DH99" i="28" s="1"/>
  <c r="DE99" i="28" s="1"/>
  <c r="DG95" i="28"/>
  <c r="DH95" i="28" s="1"/>
  <c r="DE95" i="28" s="1"/>
  <c r="DG91" i="28"/>
  <c r="DG87" i="28"/>
  <c r="DG83" i="28"/>
  <c r="DH83" i="28" s="1"/>
  <c r="DE83" i="28" s="1"/>
  <c r="DG79" i="28"/>
  <c r="DG75" i="28"/>
  <c r="DG71" i="28"/>
  <c r="DH71" i="28" s="1"/>
  <c r="DE71" i="28" s="1"/>
  <c r="DG67" i="28"/>
  <c r="DH67" i="28" s="1"/>
  <c r="DE67" i="28" s="1"/>
  <c r="DG63" i="28"/>
  <c r="DH63" i="28" s="1"/>
  <c r="DE63" i="28" s="1"/>
  <c r="DG59" i="28"/>
  <c r="DH59" i="28" s="1"/>
  <c r="DE59" i="28" s="1"/>
  <c r="DG55" i="28"/>
  <c r="DG51" i="28"/>
  <c r="DG47" i="28"/>
  <c r="DH47" i="28" s="1"/>
  <c r="DE47" i="28" s="1"/>
  <c r="DG43" i="28"/>
  <c r="DG39" i="28"/>
  <c r="DG35" i="28"/>
  <c r="DH35" i="28" s="1"/>
  <c r="DE35" i="28" s="1"/>
  <c r="DG31" i="28"/>
  <c r="DG27" i="28"/>
  <c r="DH27" i="28" s="1"/>
  <c r="DE27" i="28" s="1"/>
  <c r="DG23" i="28"/>
  <c r="DG19" i="28"/>
  <c r="DG15" i="28"/>
  <c r="DG4" i="28"/>
  <c r="BL38" i="28"/>
  <c r="BL18" i="28"/>
  <c r="BL2" i="28"/>
  <c r="BR42" i="28"/>
  <c r="BL42" i="28" s="1"/>
  <c r="BR22" i="28"/>
  <c r="BR6" i="28"/>
  <c r="BL6" i="28" s="1"/>
  <c r="BL136" i="28"/>
  <c r="BL132" i="28"/>
  <c r="BL128" i="28"/>
  <c r="BL124" i="28"/>
  <c r="BL120" i="28"/>
  <c r="BL116" i="28"/>
  <c r="BL112" i="28"/>
  <c r="BL108" i="28"/>
  <c r="BL104" i="28"/>
  <c r="BL100" i="28"/>
  <c r="BL96" i="28"/>
  <c r="BL92" i="28"/>
  <c r="BL88" i="28"/>
  <c r="BL84" i="28"/>
  <c r="BL63" i="28"/>
  <c r="BL59" i="28"/>
  <c r="BL54" i="28"/>
  <c r="BL139" i="28"/>
  <c r="BL135" i="28"/>
  <c r="BL131" i="28"/>
  <c r="BL127" i="28"/>
  <c r="CA40" i="28" s="1" a="1"/>
  <c r="CA40" i="28" s="1"/>
  <c r="BZ40" i="28" s="1"/>
  <c r="BT40" i="28" s="1"/>
  <c r="BL123" i="28"/>
  <c r="BL119" i="28"/>
  <c r="BL115" i="28"/>
  <c r="CA34" i="28" s="1" a="1"/>
  <c r="CA34" i="28" s="1"/>
  <c r="BZ34" i="28" s="1"/>
  <c r="BT34" i="28" s="1"/>
  <c r="BL111" i="28"/>
  <c r="CA32" i="28" s="1" a="1"/>
  <c r="CA32" i="28" s="1"/>
  <c r="BZ32" i="28" s="1"/>
  <c r="BT32" i="28" s="1"/>
  <c r="BL107" i="28"/>
  <c r="BL103" i="28"/>
  <c r="BL99" i="28"/>
  <c r="BL95" i="28"/>
  <c r="BL91" i="28"/>
  <c r="BL87" i="28"/>
  <c r="BL83" i="28"/>
  <c r="BL79" i="28"/>
  <c r="BL75" i="28"/>
  <c r="BL71" i="28"/>
  <c r="BL66" i="28"/>
  <c r="BL62" i="28"/>
  <c r="BL58" i="28"/>
  <c r="BL53" i="28"/>
  <c r="BL48" i="28"/>
  <c r="BL37" i="28"/>
  <c r="BL32" i="28"/>
  <c r="BL28" i="28"/>
  <c r="CA7" i="28" s="1" a="1"/>
  <c r="CA7" i="28" s="1"/>
  <c r="BZ7" i="28" s="1"/>
  <c r="BL22" i="28"/>
  <c r="BL17" i="28"/>
  <c r="BL12" i="28"/>
  <c r="BL143" i="28"/>
  <c r="BM28" i="28"/>
  <c r="BL138" i="28"/>
  <c r="BL134" i="28"/>
  <c r="BL130" i="28"/>
  <c r="BL126" i="28"/>
  <c r="BL122" i="28"/>
  <c r="BL118" i="28"/>
  <c r="CA36" i="28" s="1" a="1"/>
  <c r="CA36" i="28" s="1"/>
  <c r="BZ36" i="28" s="1"/>
  <c r="BT36" i="28" s="1"/>
  <c r="BL114" i="28"/>
  <c r="BL110" i="28"/>
  <c r="BL106" i="28"/>
  <c r="BL102" i="28"/>
  <c r="BL98" i="28"/>
  <c r="BL94" i="28"/>
  <c r="BL90" i="28"/>
  <c r="BL86" i="28"/>
  <c r="BL82" i="28"/>
  <c r="BL78" i="28"/>
  <c r="BL74" i="28"/>
  <c r="BL70" i="28"/>
  <c r="BL65" i="28"/>
  <c r="BL61" i="28"/>
  <c r="BL57" i="28"/>
  <c r="BL52" i="28"/>
  <c r="BL46" i="28"/>
  <c r="BL41" i="28"/>
  <c r="BL36" i="28"/>
  <c r="BL31" i="28"/>
  <c r="CA9" i="28" s="1"/>
  <c r="BZ9" i="28" s="1"/>
  <c r="BL26" i="28"/>
  <c r="BL21" i="28"/>
  <c r="BL16" i="28"/>
  <c r="BL10" i="28"/>
  <c r="BL5" i="28"/>
  <c r="BL142" i="28"/>
  <c r="BM31" i="28"/>
  <c r="BL137" i="28"/>
  <c r="BL133" i="28"/>
  <c r="BL129" i="28"/>
  <c r="BL125" i="28"/>
  <c r="BL121" i="28"/>
  <c r="BL117" i="28"/>
  <c r="BL113" i="28"/>
  <c r="CA33" i="28" s="1" a="1"/>
  <c r="CA33" i="28" s="1"/>
  <c r="BZ33" i="28" s="1"/>
  <c r="BW33" i="28" s="1"/>
  <c r="BL109" i="28"/>
  <c r="BL105" i="28"/>
  <c r="BL101" i="28"/>
  <c r="BL97" i="28"/>
  <c r="BL93" i="28"/>
  <c r="BL89" i="28"/>
  <c r="BL85" i="28"/>
  <c r="BL81" i="28"/>
  <c r="BL77" i="28"/>
  <c r="BL73" i="28"/>
  <c r="BL69" i="28"/>
  <c r="BL64" i="28"/>
  <c r="BL60" i="28"/>
  <c r="BL56" i="28"/>
  <c r="BL50" i="28"/>
  <c r="BL45" i="28"/>
  <c r="BL40" i="28"/>
  <c r="BL34" i="28"/>
  <c r="BL30" i="28"/>
  <c r="BL25" i="28"/>
  <c r="BL20" i="28"/>
  <c r="BL14" i="28"/>
  <c r="BL9" i="28"/>
  <c r="BL4" i="28"/>
  <c r="BL141" i="28"/>
  <c r="BL80" i="28"/>
  <c r="BL76" i="28"/>
  <c r="BL72" i="28"/>
  <c r="BL68" i="28"/>
  <c r="BL49" i="28"/>
  <c r="BL44" i="28"/>
  <c r="BL33" i="28"/>
  <c r="BL29" i="28"/>
  <c r="BL24" i="28"/>
  <c r="BL13" i="28"/>
  <c r="BL8" i="28"/>
  <c r="BL67" i="28"/>
  <c r="BL55" i="28"/>
  <c r="BL51" i="28"/>
  <c r="BL47" i="28"/>
  <c r="BL43" i="28"/>
  <c r="BL39" i="28"/>
  <c r="BL35" i="28"/>
  <c r="BL27" i="28"/>
  <c r="BL23" i="28"/>
  <c r="BL19" i="28"/>
  <c r="BL15" i="28"/>
  <c r="BL11" i="28"/>
  <c r="BL7" i="28"/>
  <c r="BL3" i="28"/>
  <c r="BL140" i="28"/>
  <c r="CA41" i="28" a="1"/>
  <c r="CA41" i="28" s="1"/>
  <c r="BZ41" i="28" s="1"/>
  <c r="BW41" i="28" s="1"/>
  <c r="CA48" i="28" a="1"/>
  <c r="CA48" i="28" s="1"/>
  <c r="BZ48" i="28" s="1"/>
  <c r="CA44" i="28" a="1"/>
  <c r="CA44" i="28" s="1"/>
  <c r="BZ44" i="28" s="1"/>
  <c r="BT44" i="28" s="1"/>
  <c r="O47" i="28"/>
  <c r="AB190" i="29"/>
  <c r="AC190" i="29"/>
  <c r="AD190" i="29" s="1"/>
  <c r="BP190" i="29" s="1"/>
  <c r="AB186" i="29"/>
  <c r="AC186" i="29"/>
  <c r="AD186" i="29" s="1"/>
  <c r="BP186" i="29" s="1"/>
  <c r="AC182" i="29"/>
  <c r="AD182" i="29" s="1"/>
  <c r="BP182" i="29" s="1"/>
  <c r="AB182" i="29"/>
  <c r="AB178" i="29"/>
  <c r="AC178" i="29"/>
  <c r="AD178" i="29" s="1"/>
  <c r="BP178" i="29" s="1"/>
  <c r="AC174" i="29"/>
  <c r="AD174" i="29" s="1"/>
  <c r="BP174" i="29" s="1"/>
  <c r="AB174" i="29"/>
  <c r="AC170" i="29"/>
  <c r="AD170" i="29" s="1"/>
  <c r="BP170" i="29" s="1"/>
  <c r="AB170" i="29"/>
  <c r="AC166" i="29"/>
  <c r="AD166" i="29" s="1"/>
  <c r="BP166" i="29" s="1"/>
  <c r="AB166" i="29"/>
  <c r="AC162" i="29"/>
  <c r="AD162" i="29" s="1"/>
  <c r="BP162" i="29" s="1"/>
  <c r="AB162" i="29"/>
  <c r="AC158" i="29"/>
  <c r="AD158" i="29" s="1"/>
  <c r="BP158" i="29" s="1"/>
  <c r="AB158" i="29"/>
  <c r="AC154" i="29"/>
  <c r="AD154" i="29" s="1"/>
  <c r="BP154" i="29" s="1"/>
  <c r="AB154" i="29"/>
  <c r="AB150" i="29"/>
  <c r="AC150" i="29"/>
  <c r="AD150" i="29" s="1"/>
  <c r="BP150" i="29" s="1"/>
  <c r="AB146" i="29"/>
  <c r="AC146" i="29"/>
  <c r="AD146" i="29" s="1"/>
  <c r="BP146" i="29" s="1"/>
  <c r="AC142" i="29"/>
  <c r="AD142" i="29" s="1"/>
  <c r="BP142" i="29" s="1"/>
  <c r="AB142" i="29"/>
  <c r="AC138" i="29"/>
  <c r="AD138" i="29" s="1"/>
  <c r="BP138" i="29" s="1"/>
  <c r="AB138" i="29"/>
  <c r="AB134" i="29"/>
  <c r="AC134" i="29"/>
  <c r="AD134" i="29" s="1"/>
  <c r="BP134" i="29" s="1"/>
  <c r="AC130" i="29"/>
  <c r="AD130" i="29" s="1"/>
  <c r="BP130" i="29" s="1"/>
  <c r="AB130" i="29"/>
  <c r="AC126" i="29"/>
  <c r="AD126" i="29" s="1"/>
  <c r="BP126" i="29" s="1"/>
  <c r="AB126" i="29"/>
  <c r="AC122" i="29"/>
  <c r="AD122" i="29" s="1"/>
  <c r="BP122" i="29" s="1"/>
  <c r="AB122" i="29"/>
  <c r="AC117" i="29"/>
  <c r="AD117" i="29" s="1"/>
  <c r="BP117" i="29" s="1"/>
  <c r="AB117" i="29"/>
  <c r="AC113" i="29"/>
  <c r="AD113" i="29" s="1"/>
  <c r="BP113" i="29" s="1"/>
  <c r="AB113" i="29"/>
  <c r="AC109" i="29"/>
  <c r="AD109" i="29" s="1"/>
  <c r="BP109" i="29" s="1"/>
  <c r="AB109" i="29"/>
  <c r="AC105" i="29"/>
  <c r="AB105" i="29"/>
  <c r="AC101" i="29"/>
  <c r="AB101" i="29"/>
  <c r="AC97" i="29"/>
  <c r="AB97" i="29"/>
  <c r="AC93" i="29"/>
  <c r="AB93" i="29"/>
  <c r="AC89" i="29"/>
  <c r="AB89" i="29"/>
  <c r="AC85" i="29"/>
  <c r="AB85" i="29"/>
  <c r="AC81" i="29"/>
  <c r="AB81" i="29"/>
  <c r="AC77" i="29"/>
  <c r="AB77" i="29"/>
  <c r="AC73" i="29"/>
  <c r="AB73" i="29"/>
  <c r="AC69" i="29"/>
  <c r="AB69" i="29"/>
  <c r="AB65" i="29"/>
  <c r="AC65" i="29"/>
  <c r="AC61" i="29"/>
  <c r="AB61" i="29"/>
  <c r="AC57" i="29"/>
  <c r="AB57" i="29"/>
  <c r="AC53" i="29"/>
  <c r="AB53" i="29"/>
  <c r="AC49" i="29"/>
  <c r="AB49" i="29"/>
  <c r="AC45" i="29"/>
  <c r="AB45" i="29"/>
  <c r="AC41" i="29"/>
  <c r="AB41" i="29"/>
  <c r="AC37" i="29"/>
  <c r="AB37" i="29"/>
  <c r="AB33" i="29"/>
  <c r="AC33" i="29"/>
  <c r="AB29" i="29"/>
  <c r="AC29" i="29"/>
  <c r="AC25" i="29"/>
  <c r="AB25" i="29"/>
  <c r="AC21" i="29"/>
  <c r="AB21" i="29"/>
  <c r="AC17" i="29"/>
  <c r="AB17" i="29"/>
  <c r="AC13" i="29"/>
  <c r="AB13" i="29"/>
  <c r="AC9" i="29"/>
  <c r="AB9" i="29"/>
  <c r="AC5" i="29"/>
  <c r="AB5" i="29"/>
  <c r="AC193" i="29"/>
  <c r="AD193" i="29" s="1"/>
  <c r="BP193" i="29" s="1"/>
  <c r="AB193" i="29"/>
  <c r="AC189" i="29"/>
  <c r="AD189" i="29" s="1"/>
  <c r="BP189" i="29" s="1"/>
  <c r="AB189" i="29"/>
  <c r="AC185" i="29"/>
  <c r="AD185" i="29" s="1"/>
  <c r="BP185" i="29" s="1"/>
  <c r="AB185" i="29"/>
  <c r="AC181" i="29"/>
  <c r="AD181" i="29" s="1"/>
  <c r="BP181" i="29" s="1"/>
  <c r="AB181" i="29"/>
  <c r="AC177" i="29"/>
  <c r="AD177" i="29" s="1"/>
  <c r="BP177" i="29" s="1"/>
  <c r="AB177" i="29"/>
  <c r="AC173" i="29"/>
  <c r="AD173" i="29" s="1"/>
  <c r="BP173" i="29" s="1"/>
  <c r="AB173" i="29"/>
  <c r="AC169" i="29"/>
  <c r="AD169" i="29" s="1"/>
  <c r="BP169" i="29" s="1"/>
  <c r="AB169" i="29"/>
  <c r="AC165" i="29"/>
  <c r="AD165" i="29" s="1"/>
  <c r="BP165" i="29" s="1"/>
  <c r="AB165" i="29"/>
  <c r="AC161" i="29"/>
  <c r="AD161" i="29" s="1"/>
  <c r="BP161" i="29" s="1"/>
  <c r="AB161" i="29"/>
  <c r="AC157" i="29"/>
  <c r="AD157" i="29" s="1"/>
  <c r="BP157" i="29" s="1"/>
  <c r="AB157" i="29"/>
  <c r="AC153" i="29"/>
  <c r="AD153" i="29" s="1"/>
  <c r="BP153" i="29" s="1"/>
  <c r="AB153" i="29"/>
  <c r="AC149" i="29"/>
  <c r="AD149" i="29" s="1"/>
  <c r="BP149" i="29" s="1"/>
  <c r="AB149" i="29"/>
  <c r="AC145" i="29"/>
  <c r="AD145" i="29" s="1"/>
  <c r="BP145" i="29" s="1"/>
  <c r="AB145" i="29"/>
  <c r="AC141" i="29"/>
  <c r="AD141" i="29" s="1"/>
  <c r="BP141" i="29" s="1"/>
  <c r="AB141" i="29"/>
  <c r="AC137" i="29"/>
  <c r="AD137" i="29" s="1"/>
  <c r="BP137" i="29" s="1"/>
  <c r="AB137" i="29"/>
  <c r="AC133" i="29"/>
  <c r="AD133" i="29" s="1"/>
  <c r="BP133" i="29" s="1"/>
  <c r="AB133" i="29"/>
  <c r="AB129" i="29"/>
  <c r="AC129" i="29"/>
  <c r="AD129" i="29" s="1"/>
  <c r="BP129" i="29" s="1"/>
  <c r="AC125" i="29"/>
  <c r="AD125" i="29" s="1"/>
  <c r="BP125" i="29" s="1"/>
  <c r="AB125" i="29"/>
  <c r="AC121" i="29"/>
  <c r="AB121" i="29"/>
  <c r="AC116" i="29"/>
  <c r="AB116" i="29"/>
  <c r="AC112" i="29"/>
  <c r="AD112" i="29" s="1"/>
  <c r="BP112" i="29" s="1"/>
  <c r="AB112" i="29"/>
  <c r="AC108" i="29"/>
  <c r="AB108" i="29"/>
  <c r="AC104" i="29"/>
  <c r="AB104" i="29"/>
  <c r="AC100" i="29"/>
  <c r="AB100" i="29"/>
  <c r="AC96" i="29"/>
  <c r="AB96" i="29"/>
  <c r="AC92" i="29"/>
  <c r="AB92" i="29"/>
  <c r="AC88" i="29"/>
  <c r="AB88" i="29"/>
  <c r="AC84" i="29"/>
  <c r="AB84" i="29"/>
  <c r="AC80" i="29"/>
  <c r="AB80" i="29"/>
  <c r="AC76" i="29"/>
  <c r="AB76" i="29"/>
  <c r="AC72" i="29"/>
  <c r="AB72" i="29"/>
  <c r="AC68" i="29"/>
  <c r="AB68" i="29"/>
  <c r="AC64" i="29"/>
  <c r="AB64" i="29"/>
  <c r="AC60" i="29"/>
  <c r="AB60" i="29"/>
  <c r="AC56" i="29"/>
  <c r="AB56" i="29"/>
  <c r="AC52" i="29"/>
  <c r="AB52" i="29"/>
  <c r="AC48" i="29"/>
  <c r="AB48" i="29"/>
  <c r="AC44" i="29"/>
  <c r="AB44" i="29"/>
  <c r="AC40" i="29"/>
  <c r="AB40" i="29"/>
  <c r="AC36" i="29"/>
  <c r="AB36" i="29"/>
  <c r="AC32" i="29"/>
  <c r="AB32" i="29"/>
  <c r="AC28" i="29"/>
  <c r="AB28" i="29"/>
  <c r="AC24" i="29"/>
  <c r="AB24" i="29"/>
  <c r="AC20" i="29"/>
  <c r="AB20" i="29"/>
  <c r="AC16" i="29"/>
  <c r="AB16" i="29"/>
  <c r="AC12" i="29"/>
  <c r="AB12" i="29"/>
  <c r="AC8" i="29"/>
  <c r="AB8" i="29"/>
  <c r="AZ9" i="29"/>
  <c r="BA9" i="29" s="1"/>
  <c r="AZ13" i="29"/>
  <c r="AZ17" i="29"/>
  <c r="AZ21" i="29"/>
  <c r="AZ25" i="29"/>
  <c r="AZ29" i="29"/>
  <c r="AZ33" i="29"/>
  <c r="AZ37" i="29"/>
  <c r="AZ41" i="29"/>
  <c r="AZ45" i="29"/>
  <c r="AZ49" i="29"/>
  <c r="AZ53" i="29"/>
  <c r="AZ57" i="29"/>
  <c r="AZ61" i="29"/>
  <c r="AZ65" i="29"/>
  <c r="AZ69" i="29"/>
  <c r="AZ73" i="29"/>
  <c r="AZ77" i="29"/>
  <c r="AZ81" i="29"/>
  <c r="AZ85" i="29"/>
  <c r="AZ6" i="29"/>
  <c r="BA6" i="29" s="1"/>
  <c r="AZ10" i="29"/>
  <c r="BA10" i="29" s="1"/>
  <c r="AZ14" i="29"/>
  <c r="AZ18" i="29"/>
  <c r="AZ22" i="29"/>
  <c r="AZ26" i="29"/>
  <c r="AZ30" i="29"/>
  <c r="AZ34" i="29"/>
  <c r="AZ38" i="29"/>
  <c r="AZ42" i="29"/>
  <c r="AZ46" i="29"/>
  <c r="AZ50" i="29"/>
  <c r="AZ54" i="29"/>
  <c r="AZ58" i="29"/>
  <c r="AZ62" i="29"/>
  <c r="AZ66" i="29"/>
  <c r="AZ70" i="29"/>
  <c r="AZ74" i="29"/>
  <c r="AZ78" i="29"/>
  <c r="AZ82" i="29"/>
  <c r="AZ7" i="29"/>
  <c r="BA7" i="29" s="1"/>
  <c r="AZ11" i="29"/>
  <c r="BA11" i="29" s="1"/>
  <c r="AZ16" i="29"/>
  <c r="AZ24" i="29"/>
  <c r="AZ32" i="29"/>
  <c r="AZ40" i="29"/>
  <c r="AZ48" i="29"/>
  <c r="AZ56" i="29"/>
  <c r="AZ64" i="29"/>
  <c r="AZ72" i="29"/>
  <c r="AZ80" i="29"/>
  <c r="AZ87" i="29"/>
  <c r="AZ91" i="29"/>
  <c r="AZ95" i="29"/>
  <c r="AZ99" i="29"/>
  <c r="AZ103" i="29"/>
  <c r="AZ107" i="29"/>
  <c r="AZ111" i="29"/>
  <c r="AZ115" i="29"/>
  <c r="AZ119" i="29"/>
  <c r="AZ123" i="29"/>
  <c r="AZ127" i="29"/>
  <c r="AZ131" i="29"/>
  <c r="AZ135" i="29"/>
  <c r="AZ139" i="29"/>
  <c r="AZ143" i="29"/>
  <c r="AZ147" i="29"/>
  <c r="AZ151" i="29"/>
  <c r="AZ155" i="29"/>
  <c r="AZ159" i="29"/>
  <c r="AZ163" i="29"/>
  <c r="AZ167" i="29"/>
  <c r="AZ171" i="29"/>
  <c r="AZ175" i="29"/>
  <c r="AZ179" i="29"/>
  <c r="AZ183" i="29"/>
  <c r="AZ187" i="29"/>
  <c r="AZ191" i="29"/>
  <c r="AZ8" i="29"/>
  <c r="BA8" i="29" s="1"/>
  <c r="AZ19" i="29"/>
  <c r="AZ27" i="29"/>
  <c r="AZ35" i="29"/>
  <c r="AZ43" i="29"/>
  <c r="AZ51" i="29"/>
  <c r="AZ59" i="29"/>
  <c r="AZ67" i="29"/>
  <c r="AZ75" i="29"/>
  <c r="AZ83" i="29"/>
  <c r="AZ88" i="29"/>
  <c r="AZ92" i="29"/>
  <c r="AZ96" i="29"/>
  <c r="AZ100" i="29"/>
  <c r="AZ104" i="29"/>
  <c r="AZ108" i="29"/>
  <c r="AZ112" i="29"/>
  <c r="AZ116" i="29"/>
  <c r="AZ120" i="29"/>
  <c r="AZ124" i="29"/>
  <c r="AZ128" i="29"/>
  <c r="AZ132" i="29"/>
  <c r="AZ136" i="29"/>
  <c r="AZ140" i="29"/>
  <c r="AZ144" i="29"/>
  <c r="AZ148" i="29"/>
  <c r="AZ152" i="29"/>
  <c r="AZ156" i="29"/>
  <c r="AZ160" i="29"/>
  <c r="AZ164" i="29"/>
  <c r="AZ168" i="29"/>
  <c r="AZ172" i="29"/>
  <c r="AZ176" i="29"/>
  <c r="AZ180" i="29"/>
  <c r="AZ184" i="29"/>
  <c r="AZ188" i="29"/>
  <c r="AZ192" i="29"/>
  <c r="AZ12" i="29"/>
  <c r="AZ20" i="29"/>
  <c r="AZ28" i="29"/>
  <c r="AZ36" i="29"/>
  <c r="AZ44" i="29"/>
  <c r="AZ52" i="29"/>
  <c r="AZ60" i="29"/>
  <c r="AZ68" i="29"/>
  <c r="AZ76" i="29"/>
  <c r="AZ84" i="29"/>
  <c r="AZ89" i="29"/>
  <c r="AZ93" i="29"/>
  <c r="AZ97" i="29"/>
  <c r="AZ101" i="29"/>
  <c r="AZ105" i="29"/>
  <c r="AZ109" i="29"/>
  <c r="AZ113" i="29"/>
  <c r="AZ117" i="29"/>
  <c r="AZ121" i="29"/>
  <c r="AZ125" i="29"/>
  <c r="AZ129" i="29"/>
  <c r="AZ133" i="29"/>
  <c r="AZ137" i="29"/>
  <c r="AZ141" i="29"/>
  <c r="AZ145" i="29"/>
  <c r="AZ149" i="29"/>
  <c r="AZ153" i="29"/>
  <c r="AZ157" i="29"/>
  <c r="AZ161" i="29"/>
  <c r="AZ165" i="29"/>
  <c r="AZ169" i="29"/>
  <c r="AZ173" i="29"/>
  <c r="AZ177" i="29"/>
  <c r="AZ181" i="29"/>
  <c r="AZ185" i="29"/>
  <c r="AZ189" i="29"/>
  <c r="AZ193" i="29"/>
  <c r="AZ15" i="29"/>
  <c r="AZ23" i="29"/>
  <c r="AZ31" i="29"/>
  <c r="AZ39" i="29"/>
  <c r="AZ47" i="29"/>
  <c r="AZ55" i="29"/>
  <c r="AZ63" i="29"/>
  <c r="AZ71" i="29"/>
  <c r="AZ79" i="29"/>
  <c r="AZ86" i="29"/>
  <c r="AZ90" i="29"/>
  <c r="AZ94" i="29"/>
  <c r="AZ98" i="29"/>
  <c r="AZ102" i="29"/>
  <c r="AZ106" i="29"/>
  <c r="AZ110" i="29"/>
  <c r="AZ114" i="29"/>
  <c r="AZ118" i="29"/>
  <c r="AZ122" i="29"/>
  <c r="AZ126" i="29"/>
  <c r="AZ130" i="29"/>
  <c r="AZ134" i="29"/>
  <c r="AZ138" i="29"/>
  <c r="AZ142" i="29"/>
  <c r="AZ146" i="29"/>
  <c r="AZ150" i="29"/>
  <c r="AZ154" i="29"/>
  <c r="AZ158" i="29"/>
  <c r="AZ162" i="29"/>
  <c r="AZ166" i="29"/>
  <c r="AZ170" i="29"/>
  <c r="AZ174" i="29"/>
  <c r="AZ178" i="29"/>
  <c r="AZ182" i="29"/>
  <c r="AZ186" i="29"/>
  <c r="AZ190" i="29"/>
  <c r="AZ5" i="29"/>
  <c r="BA5" i="29" s="1"/>
  <c r="AY3" i="29"/>
  <c r="AC192" i="29"/>
  <c r="AD192" i="29" s="1"/>
  <c r="BP192" i="29" s="1"/>
  <c r="AB192" i="29"/>
  <c r="AC188" i="29"/>
  <c r="AD188" i="29" s="1"/>
  <c r="BP188" i="29" s="1"/>
  <c r="AB188" i="29"/>
  <c r="AC184" i="29"/>
  <c r="AD184" i="29" s="1"/>
  <c r="BP184" i="29" s="1"/>
  <c r="AB184" i="29"/>
  <c r="AB180" i="29"/>
  <c r="AC180" i="29"/>
  <c r="AD180" i="29" s="1"/>
  <c r="BP180" i="29" s="1"/>
  <c r="AC176" i="29"/>
  <c r="AD176" i="29" s="1"/>
  <c r="BP176" i="29" s="1"/>
  <c r="AB176" i="29"/>
  <c r="AC172" i="29"/>
  <c r="AD172" i="29" s="1"/>
  <c r="BP172" i="29" s="1"/>
  <c r="AB172" i="29"/>
  <c r="AC168" i="29"/>
  <c r="AD168" i="29" s="1"/>
  <c r="BP168" i="29" s="1"/>
  <c r="AB168" i="29"/>
  <c r="AC164" i="29"/>
  <c r="AD164" i="29" s="1"/>
  <c r="BP164" i="29" s="1"/>
  <c r="AB164" i="29"/>
  <c r="AC160" i="29"/>
  <c r="AD160" i="29" s="1"/>
  <c r="BP160" i="29" s="1"/>
  <c r="AB160" i="29"/>
  <c r="AC156" i="29"/>
  <c r="AD156" i="29" s="1"/>
  <c r="BP156" i="29" s="1"/>
  <c r="AB156" i="29"/>
  <c r="AC152" i="29"/>
  <c r="AD152" i="29" s="1"/>
  <c r="BP152" i="29" s="1"/>
  <c r="AB152" i="29"/>
  <c r="AC148" i="29"/>
  <c r="AD148" i="29" s="1"/>
  <c r="BP148" i="29" s="1"/>
  <c r="AB148" i="29"/>
  <c r="AC144" i="29"/>
  <c r="AD144" i="29" s="1"/>
  <c r="BP144" i="29" s="1"/>
  <c r="AB144" i="29"/>
  <c r="AC140" i="29"/>
  <c r="AD140" i="29" s="1"/>
  <c r="BP140" i="29" s="1"/>
  <c r="AB140" i="29"/>
  <c r="AC136" i="29"/>
  <c r="AD136" i="29" s="1"/>
  <c r="BP136" i="29" s="1"/>
  <c r="AB136" i="29"/>
  <c r="AC132" i="29"/>
  <c r="AD132" i="29" s="1"/>
  <c r="BP132" i="29" s="1"/>
  <c r="AB132" i="29"/>
  <c r="AC128" i="29"/>
  <c r="AD128" i="29" s="1"/>
  <c r="BP128" i="29" s="1"/>
  <c r="AB128" i="29"/>
  <c r="AC124" i="29"/>
  <c r="AD124" i="29" s="1"/>
  <c r="BP124" i="29" s="1"/>
  <c r="AB124" i="29"/>
  <c r="AC120" i="29"/>
  <c r="AD120" i="29" s="1"/>
  <c r="BP120" i="29" s="1"/>
  <c r="AB120" i="29"/>
  <c r="AC115" i="29"/>
  <c r="AB115" i="29"/>
  <c r="AC111" i="29"/>
  <c r="AD111" i="29" s="1"/>
  <c r="BP111" i="29" s="1"/>
  <c r="AB111" i="29"/>
  <c r="AB107" i="29"/>
  <c r="AC107" i="29"/>
  <c r="AB103" i="29"/>
  <c r="AC103" i="29"/>
  <c r="AC99" i="29"/>
  <c r="AB99" i="29"/>
  <c r="AC95" i="29"/>
  <c r="AB95" i="29"/>
  <c r="AC91" i="29"/>
  <c r="AB91" i="29"/>
  <c r="AC87" i="29"/>
  <c r="AB87" i="29"/>
  <c r="AC83" i="29"/>
  <c r="AB83" i="29"/>
  <c r="AC79" i="29"/>
  <c r="AB79" i="29"/>
  <c r="AB75" i="29"/>
  <c r="AC75" i="29"/>
  <c r="AB71" i="29"/>
  <c r="AC71" i="29"/>
  <c r="AC67" i="29"/>
  <c r="AB67" i="29"/>
  <c r="AC63" i="29"/>
  <c r="AB63" i="29"/>
  <c r="AC59" i="29"/>
  <c r="AB59" i="29"/>
  <c r="AC55" i="29"/>
  <c r="AB55" i="29"/>
  <c r="AC51" i="29"/>
  <c r="AB51" i="29"/>
  <c r="AB47" i="29"/>
  <c r="AC47" i="29"/>
  <c r="AB43" i="29"/>
  <c r="AC43" i="29"/>
  <c r="AB39" i="29"/>
  <c r="AC39" i="29"/>
  <c r="AC35" i="29"/>
  <c r="AB35" i="29"/>
  <c r="AB31" i="29"/>
  <c r="AC31" i="29"/>
  <c r="AB27" i="29"/>
  <c r="AC27" i="29"/>
  <c r="AB23" i="29"/>
  <c r="AC23" i="29"/>
  <c r="AC19" i="29"/>
  <c r="AB19" i="29"/>
  <c r="AB15" i="29"/>
  <c r="AC15" i="29"/>
  <c r="AB11" i="29"/>
  <c r="AC11" i="29"/>
  <c r="AB7" i="29"/>
  <c r="AC7" i="29"/>
  <c r="AB4" i="29"/>
  <c r="AC4" i="29"/>
  <c r="AB191" i="29"/>
  <c r="AC191" i="29"/>
  <c r="AD191" i="29" s="1"/>
  <c r="BP191" i="29" s="1"/>
  <c r="AC187" i="29"/>
  <c r="AD187" i="29" s="1"/>
  <c r="BP187" i="29" s="1"/>
  <c r="AB187" i="29"/>
  <c r="AC183" i="29"/>
  <c r="AD183" i="29" s="1"/>
  <c r="BP183" i="29" s="1"/>
  <c r="AB183" i="29"/>
  <c r="AB179" i="29"/>
  <c r="AC179" i="29"/>
  <c r="AD179" i="29" s="1"/>
  <c r="BP179" i="29" s="1"/>
  <c r="AB175" i="29"/>
  <c r="AC175" i="29"/>
  <c r="AD175" i="29" s="1"/>
  <c r="BP175" i="29" s="1"/>
  <c r="AC171" i="29"/>
  <c r="AD171" i="29" s="1"/>
  <c r="BP171" i="29" s="1"/>
  <c r="AB171" i="29"/>
  <c r="AB167" i="29"/>
  <c r="AC167" i="29"/>
  <c r="AD167" i="29" s="1"/>
  <c r="BP167" i="29" s="1"/>
  <c r="AC163" i="29"/>
  <c r="AD163" i="29" s="1"/>
  <c r="BP163" i="29" s="1"/>
  <c r="AB163" i="29"/>
  <c r="AB159" i="29"/>
  <c r="AC159" i="29"/>
  <c r="AD159" i="29" s="1"/>
  <c r="BP159" i="29" s="1"/>
  <c r="AC155" i="29"/>
  <c r="AD155" i="29" s="1"/>
  <c r="BP155" i="29" s="1"/>
  <c r="AB155" i="29"/>
  <c r="AC151" i="29"/>
  <c r="AB151" i="29"/>
  <c r="AC147" i="29"/>
  <c r="AD147" i="29" s="1"/>
  <c r="BP147" i="29" s="1"/>
  <c r="AB147" i="29"/>
  <c r="AC143" i="29"/>
  <c r="AD143" i="29" s="1"/>
  <c r="BP143" i="29" s="1"/>
  <c r="AB143" i="29"/>
  <c r="AB139" i="29"/>
  <c r="AC139" i="29"/>
  <c r="AD139" i="29" s="1"/>
  <c r="BP139" i="29" s="1"/>
  <c r="AB135" i="29"/>
  <c r="AC135" i="29"/>
  <c r="AC131" i="29"/>
  <c r="AD131" i="29" s="1"/>
  <c r="BP131" i="29" s="1"/>
  <c r="AB131" i="29"/>
  <c r="AC127" i="29"/>
  <c r="AD127" i="29" s="1"/>
  <c r="BP127" i="29" s="1"/>
  <c r="AB127" i="29"/>
  <c r="AC123" i="29"/>
  <c r="AB123" i="29"/>
  <c r="AB118" i="29"/>
  <c r="AC118" i="29"/>
  <c r="AB114" i="29"/>
  <c r="AC114" i="29"/>
  <c r="AC110" i="29"/>
  <c r="AB110" i="29"/>
  <c r="AC106" i="29"/>
  <c r="AB106" i="29"/>
  <c r="AB102" i="29"/>
  <c r="AC102" i="29"/>
  <c r="AC98" i="29"/>
  <c r="AB98" i="29"/>
  <c r="AC94" i="29"/>
  <c r="AB94" i="29"/>
  <c r="AC90" i="29"/>
  <c r="AB90" i="29"/>
  <c r="AB86" i="29"/>
  <c r="AC86" i="29"/>
  <c r="AB82" i="29"/>
  <c r="AC82" i="29"/>
  <c r="AC78" i="29"/>
  <c r="AB78" i="29"/>
  <c r="AC74" i="29"/>
  <c r="AB74" i="29"/>
  <c r="AB70" i="29"/>
  <c r="AC70" i="29"/>
  <c r="AC66" i="29"/>
  <c r="AB66" i="29"/>
  <c r="AC62" i="29"/>
  <c r="AB62" i="29"/>
  <c r="AC58" i="29"/>
  <c r="AB58" i="29"/>
  <c r="AB54" i="29"/>
  <c r="AC54" i="29"/>
  <c r="AB50" i="29"/>
  <c r="AC50" i="29"/>
  <c r="AC46" i="29"/>
  <c r="AB46" i="29"/>
  <c r="AC42" i="29"/>
  <c r="AB42" i="29"/>
  <c r="AC38" i="29"/>
  <c r="AB38" i="29"/>
  <c r="AC34" i="29"/>
  <c r="AB34" i="29"/>
  <c r="AC30" i="29"/>
  <c r="AB30" i="29"/>
  <c r="AC26" i="29"/>
  <c r="AB26" i="29"/>
  <c r="AC22" i="29"/>
  <c r="AB22" i="29"/>
  <c r="AB18" i="29"/>
  <c r="AC18" i="29"/>
  <c r="AC14" i="29"/>
  <c r="AB14" i="29"/>
  <c r="AC10" i="29"/>
  <c r="AB10" i="29"/>
  <c r="AC6" i="29"/>
  <c r="AB6" i="29"/>
  <c r="AB119" i="29"/>
  <c r="AC119" i="29"/>
  <c r="AD119" i="29" s="1"/>
  <c r="BP119" i="29" s="1"/>
  <c r="AT192" i="29"/>
  <c r="BI192" i="29" s="1"/>
  <c r="AT188" i="29"/>
  <c r="BI188" i="29" s="1"/>
  <c r="AT184" i="29"/>
  <c r="BI184" i="29" s="1"/>
  <c r="AT180" i="29"/>
  <c r="BI180" i="29" s="1"/>
  <c r="AT176" i="29"/>
  <c r="BI176" i="29" s="1"/>
  <c r="AT172" i="29"/>
  <c r="BI172" i="29" s="1"/>
  <c r="AT168" i="29"/>
  <c r="BI168" i="29" s="1"/>
  <c r="AT164" i="29"/>
  <c r="BI164" i="29" s="1"/>
  <c r="AT160" i="29"/>
  <c r="BI160" i="29" s="1"/>
  <c r="AT156" i="29"/>
  <c r="BI156" i="29" s="1"/>
  <c r="AT152" i="29"/>
  <c r="BI152" i="29" s="1"/>
  <c r="AT148" i="29"/>
  <c r="BI148" i="29" s="1"/>
  <c r="AT144" i="29"/>
  <c r="BI144" i="29" s="1"/>
  <c r="AT140" i="29"/>
  <c r="BI140" i="29" s="1"/>
  <c r="AT136" i="29"/>
  <c r="BI136" i="29" s="1"/>
  <c r="AT132" i="29"/>
  <c r="BI132" i="29" s="1"/>
  <c r="AT128" i="29"/>
  <c r="BI128" i="29" s="1"/>
  <c r="AT124" i="29"/>
  <c r="BI124" i="29" s="1"/>
  <c r="AS120" i="29"/>
  <c r="AY154" i="29" s="1"/>
  <c r="BL154" i="29" s="1"/>
  <c r="AT116" i="29"/>
  <c r="BI116" i="29" s="1"/>
  <c r="AT112" i="29"/>
  <c r="BI112" i="29" s="1"/>
  <c r="AT108" i="29"/>
  <c r="BI108" i="29" s="1"/>
  <c r="AS104" i="29"/>
  <c r="AT100" i="29"/>
  <c r="BI100" i="29" s="1"/>
  <c r="AT96" i="29"/>
  <c r="BI96" i="29" s="1"/>
  <c r="AT92" i="29"/>
  <c r="BI92" i="29" s="1"/>
  <c r="AS88" i="29"/>
  <c r="AT84" i="29"/>
  <c r="BI84" i="29" s="1"/>
  <c r="AT80" i="29"/>
  <c r="BI80" i="29" s="1"/>
  <c r="AT76" i="29"/>
  <c r="BI76" i="29" s="1"/>
  <c r="AS72" i="29"/>
  <c r="AT68" i="29"/>
  <c r="BI68" i="29" s="1"/>
  <c r="AT64" i="29"/>
  <c r="BI64" i="29" s="1"/>
  <c r="AT60" i="29"/>
  <c r="BI60" i="29" s="1"/>
  <c r="AS56" i="29"/>
  <c r="AY100" i="29" s="1"/>
  <c r="BL100" i="29" s="1"/>
  <c r="AT52" i="29"/>
  <c r="BI52" i="29" s="1"/>
  <c r="AT48" i="29"/>
  <c r="BI48" i="29" s="1"/>
  <c r="AT44" i="29"/>
  <c r="BI44" i="29" s="1"/>
  <c r="AS40" i="29"/>
  <c r="AT36" i="29"/>
  <c r="BI36" i="29" s="1"/>
  <c r="AT32" i="29"/>
  <c r="BI32" i="29" s="1"/>
  <c r="AT28" i="29"/>
  <c r="BI28" i="29" s="1"/>
  <c r="AS24" i="29"/>
  <c r="AT20" i="29"/>
  <c r="BI20" i="29" s="1"/>
  <c r="AT16" i="29"/>
  <c r="BI16" i="29" s="1"/>
  <c r="AT12" i="29"/>
  <c r="BI12" i="29" s="1"/>
  <c r="AS8" i="29"/>
  <c r="AT191" i="29"/>
  <c r="BI191" i="29" s="1"/>
  <c r="AT187" i="29"/>
  <c r="BI187" i="29" s="1"/>
  <c r="AT183" i="29"/>
  <c r="BI183" i="29" s="1"/>
  <c r="AT179" i="29"/>
  <c r="BI179" i="29" s="1"/>
  <c r="AT175" i="29"/>
  <c r="BI175" i="29" s="1"/>
  <c r="AT171" i="29"/>
  <c r="BI171" i="29" s="1"/>
  <c r="AT167" i="29"/>
  <c r="BI167" i="29" s="1"/>
  <c r="AT163" i="29"/>
  <c r="BI163" i="29" s="1"/>
  <c r="AT159" i="29"/>
  <c r="BI159" i="29" s="1"/>
  <c r="AT155" i="29"/>
  <c r="BI155" i="29" s="1"/>
  <c r="AT151" i="29"/>
  <c r="BI151" i="29" s="1"/>
  <c r="AT147" i="29"/>
  <c r="BI147" i="29" s="1"/>
  <c r="AT143" i="29"/>
  <c r="BI143" i="29" s="1"/>
  <c r="AT139" i="29"/>
  <c r="BI139" i="29" s="1"/>
  <c r="AT135" i="29"/>
  <c r="BI135" i="29" s="1"/>
  <c r="AT131" i="29"/>
  <c r="BI131" i="29" s="1"/>
  <c r="AT127" i="29"/>
  <c r="BI127" i="29" s="1"/>
  <c r="AT123" i="29"/>
  <c r="BI123" i="29" s="1"/>
  <c r="AT119" i="29"/>
  <c r="BI119" i="29" s="1"/>
  <c r="AT115" i="29"/>
  <c r="BI115" i="29" s="1"/>
  <c r="AT111" i="29"/>
  <c r="BI111" i="29" s="1"/>
  <c r="AT107" i="29"/>
  <c r="BI107" i="29" s="1"/>
  <c r="AT103" i="29"/>
  <c r="BI103" i="29" s="1"/>
  <c r="AT99" i="29"/>
  <c r="BI99" i="29" s="1"/>
  <c r="AT95" i="29"/>
  <c r="BI95" i="29" s="1"/>
  <c r="AT91" i="29"/>
  <c r="BI91" i="29" s="1"/>
  <c r="AT87" i="29"/>
  <c r="BI87" i="29" s="1"/>
  <c r="AT83" i="29"/>
  <c r="BI83" i="29" s="1"/>
  <c r="AT79" i="29"/>
  <c r="BI79" i="29" s="1"/>
  <c r="AT75" i="29"/>
  <c r="BI75" i="29" s="1"/>
  <c r="AT71" i="29"/>
  <c r="BI71" i="29" s="1"/>
  <c r="AT67" i="29"/>
  <c r="BI67" i="29" s="1"/>
  <c r="AT63" i="29"/>
  <c r="BI63" i="29" s="1"/>
  <c r="AT59" i="29"/>
  <c r="BI59" i="29" s="1"/>
  <c r="AT55" i="29"/>
  <c r="BI55" i="29" s="1"/>
  <c r="AT51" i="29"/>
  <c r="BI51" i="29" s="1"/>
  <c r="AT47" i="29"/>
  <c r="BI47" i="29" s="1"/>
  <c r="AT43" i="29"/>
  <c r="BI43" i="29" s="1"/>
  <c r="AT39" i="29"/>
  <c r="BI39" i="29" s="1"/>
  <c r="AT35" i="29"/>
  <c r="BI35" i="29" s="1"/>
  <c r="AT31" i="29"/>
  <c r="BI31" i="29" s="1"/>
  <c r="AT27" i="29"/>
  <c r="BI27" i="29" s="1"/>
  <c r="AT23" i="29"/>
  <c r="BI23" i="29" s="1"/>
  <c r="AT19" i="29"/>
  <c r="BI19" i="29" s="1"/>
  <c r="AT15" i="29"/>
  <c r="BI15" i="29" s="1"/>
  <c r="AT11" i="29"/>
  <c r="BI11" i="29" s="1"/>
  <c r="AT7" i="29"/>
  <c r="BI7" i="29" s="1"/>
  <c r="AT126" i="29"/>
  <c r="BI126" i="29" s="1"/>
  <c r="AT122" i="29"/>
  <c r="BI122" i="29" s="1"/>
  <c r="AT118" i="29"/>
  <c r="BI118" i="29" s="1"/>
  <c r="AT110" i="29"/>
  <c r="BI110" i="29" s="1"/>
  <c r="AT106" i="29"/>
  <c r="BI106" i="29" s="1"/>
  <c r="AT102" i="29"/>
  <c r="BI102" i="29" s="1"/>
  <c r="AT94" i="29"/>
  <c r="BI94" i="29" s="1"/>
  <c r="AT90" i="29"/>
  <c r="BI90" i="29" s="1"/>
  <c r="AT86" i="29"/>
  <c r="BI86" i="29" s="1"/>
  <c r="AT78" i="29"/>
  <c r="BI78" i="29" s="1"/>
  <c r="AT74" i="29"/>
  <c r="BI74" i="29" s="1"/>
  <c r="AT70" i="29"/>
  <c r="BI70" i="29" s="1"/>
  <c r="AT62" i="29"/>
  <c r="BI62" i="29" s="1"/>
  <c r="AT58" i="29"/>
  <c r="BI58" i="29" s="1"/>
  <c r="AT54" i="29"/>
  <c r="BI54" i="29" s="1"/>
  <c r="AT46" i="29"/>
  <c r="BI46" i="29" s="1"/>
  <c r="AT42" i="29"/>
  <c r="BI42" i="29" s="1"/>
  <c r="AT38" i="29"/>
  <c r="BI38" i="29" s="1"/>
  <c r="AT30" i="29"/>
  <c r="BI30" i="29" s="1"/>
  <c r="AT26" i="29"/>
  <c r="BI26" i="29" s="1"/>
  <c r="AT22" i="29"/>
  <c r="BI22" i="29" s="1"/>
  <c r="AT14" i="29"/>
  <c r="BI14" i="29" s="1"/>
  <c r="AT10" i="29"/>
  <c r="BI10" i="29" s="1"/>
  <c r="AT6" i="29"/>
  <c r="BI6" i="29" s="1"/>
  <c r="AT193" i="29"/>
  <c r="BI193" i="29" s="1"/>
  <c r="AT189" i="29"/>
  <c r="BI189" i="29" s="1"/>
  <c r="AT185" i="29"/>
  <c r="BI185" i="29" s="1"/>
  <c r="AT181" i="29"/>
  <c r="BI181" i="29" s="1"/>
  <c r="AT177" i="29"/>
  <c r="BI177" i="29" s="1"/>
  <c r="AT173" i="29"/>
  <c r="BI173" i="29" s="1"/>
  <c r="AT169" i="29"/>
  <c r="BI169" i="29" s="1"/>
  <c r="AT165" i="29"/>
  <c r="BI165" i="29" s="1"/>
  <c r="AT161" i="29"/>
  <c r="BI161" i="29" s="1"/>
  <c r="AT157" i="29"/>
  <c r="BI157" i="29" s="1"/>
  <c r="AT153" i="29"/>
  <c r="BI153" i="29" s="1"/>
  <c r="AT149" i="29"/>
  <c r="BI149" i="29" s="1"/>
  <c r="AT145" i="29"/>
  <c r="BI145" i="29" s="1"/>
  <c r="AT141" i="29"/>
  <c r="BI141" i="29" s="1"/>
  <c r="AT137" i="29"/>
  <c r="BI137" i="29" s="1"/>
  <c r="AT133" i="29"/>
  <c r="BI133" i="29" s="1"/>
  <c r="AT129" i="29"/>
  <c r="BI129" i="29" s="1"/>
  <c r="AT121" i="29"/>
  <c r="BI121" i="29" s="1"/>
  <c r="AT117" i="29"/>
  <c r="BI117" i="29" s="1"/>
  <c r="AT113" i="29"/>
  <c r="BI113" i="29" s="1"/>
  <c r="AT105" i="29"/>
  <c r="BI105" i="29" s="1"/>
  <c r="AT101" i="29"/>
  <c r="BI101" i="29" s="1"/>
  <c r="AT97" i="29"/>
  <c r="BI97" i="29" s="1"/>
  <c r="AT89" i="29"/>
  <c r="BI89" i="29" s="1"/>
  <c r="AT85" i="29"/>
  <c r="BI85" i="29" s="1"/>
  <c r="AT81" i="29"/>
  <c r="BI81" i="29" s="1"/>
  <c r="AT73" i="29"/>
  <c r="BI73" i="29" s="1"/>
  <c r="AT69" i="29"/>
  <c r="BI69" i="29" s="1"/>
  <c r="AT65" i="29"/>
  <c r="BI65" i="29" s="1"/>
  <c r="AT57" i="29"/>
  <c r="BI57" i="29" s="1"/>
  <c r="AT53" i="29"/>
  <c r="BI53" i="29" s="1"/>
  <c r="AT49" i="29"/>
  <c r="BI49" i="29" s="1"/>
  <c r="AT41" i="29"/>
  <c r="BI41" i="29" s="1"/>
  <c r="AT37" i="29"/>
  <c r="BI37" i="29" s="1"/>
  <c r="AT33" i="29"/>
  <c r="BI33" i="29" s="1"/>
  <c r="AT25" i="29"/>
  <c r="BI25" i="29" s="1"/>
  <c r="AT21" i="29"/>
  <c r="BI21" i="29" s="1"/>
  <c r="AT17" i="29"/>
  <c r="BI17" i="29" s="1"/>
  <c r="AT9" i="29"/>
  <c r="BI9" i="29" s="1"/>
  <c r="AT5" i="29"/>
  <c r="BI5" i="29" s="1"/>
  <c r="C47" i="30"/>
  <c r="D47" i="30" s="1"/>
  <c r="E47" i="30" s="1"/>
  <c r="F47" i="30" s="1"/>
  <c r="G47" i="30" s="1"/>
  <c r="H47" i="30" s="1"/>
  <c r="I47" i="30" s="1"/>
  <c r="J47" i="30" s="1"/>
  <c r="K47" i="30" s="1"/>
  <c r="C85" i="30"/>
  <c r="D85" i="30" s="1"/>
  <c r="E85" i="30" s="1"/>
  <c r="F85" i="30" s="1"/>
  <c r="G85" i="30" s="1"/>
  <c r="H85" i="30" s="1"/>
  <c r="I85" i="30" s="1"/>
  <c r="J85" i="30" s="1"/>
  <c r="K85" i="30" s="1"/>
  <c r="C69" i="30"/>
  <c r="D69" i="30" s="1"/>
  <c r="E69" i="30" s="1"/>
  <c r="F69" i="30" s="1"/>
  <c r="G69" i="30" s="1"/>
  <c r="H69" i="30" s="1"/>
  <c r="I69" i="30" s="1"/>
  <c r="J69" i="30" s="1"/>
  <c r="K69" i="30" s="1"/>
  <c r="C106" i="30"/>
  <c r="D106" i="30" s="1"/>
  <c r="E106" i="30" s="1"/>
  <c r="F106" i="30" s="1"/>
  <c r="G106" i="30" s="1"/>
  <c r="H106" i="30" s="1"/>
  <c r="I106" i="30" s="1"/>
  <c r="J106" i="30" s="1"/>
  <c r="K106" i="30" s="1"/>
  <c r="C127" i="30"/>
  <c r="D127" i="30" s="1"/>
  <c r="E127" i="30" s="1"/>
  <c r="F127" i="30" s="1"/>
  <c r="G127" i="30" s="1"/>
  <c r="H127" i="30" s="1"/>
  <c r="I127" i="30" s="1"/>
  <c r="J127" i="30" s="1"/>
  <c r="K127" i="30" s="1"/>
  <c r="C191" i="30"/>
  <c r="D191" i="30" s="1"/>
  <c r="E191" i="30" s="1"/>
  <c r="F191" i="30" s="1"/>
  <c r="G191" i="30" s="1"/>
  <c r="H191" i="30" s="1"/>
  <c r="I191" i="30" s="1"/>
  <c r="J191" i="30" s="1"/>
  <c r="K191" i="30" s="1"/>
  <c r="C175" i="30"/>
  <c r="D175" i="30" s="1"/>
  <c r="E175" i="30" s="1"/>
  <c r="F175" i="30" s="1"/>
  <c r="G175" i="30" s="1"/>
  <c r="H175" i="30" s="1"/>
  <c r="I175" i="30" s="1"/>
  <c r="J175" i="30" s="1"/>
  <c r="K175" i="30" s="1"/>
  <c r="AT120" i="29"/>
  <c r="BI120" i="29" s="1"/>
  <c r="AT104" i="29"/>
  <c r="BI104" i="29" s="1"/>
  <c r="AT88" i="29"/>
  <c r="BI88" i="29" s="1"/>
  <c r="AT72" i="29"/>
  <c r="BI72" i="29" s="1"/>
  <c r="AT56" i="29"/>
  <c r="BI56" i="29" s="1"/>
  <c r="AT40" i="29"/>
  <c r="BI40" i="29" s="1"/>
  <c r="AT24" i="29"/>
  <c r="BI24" i="29" s="1"/>
  <c r="AT8" i="29"/>
  <c r="BI8" i="29" s="1"/>
  <c r="AY10" i="29"/>
  <c r="BL10" i="29" s="1"/>
  <c r="C26" i="30"/>
  <c r="D26" i="30" s="1"/>
  <c r="E26" i="30" s="1"/>
  <c r="F26" i="30" s="1"/>
  <c r="G26" i="30" s="1"/>
  <c r="H26" i="30" s="1"/>
  <c r="I26" i="30" s="1"/>
  <c r="J26" i="30" s="1"/>
  <c r="K26" i="30" s="1"/>
  <c r="C58" i="30"/>
  <c r="D58" i="30" s="1"/>
  <c r="E58" i="30" s="1"/>
  <c r="F58" i="30" s="1"/>
  <c r="G58" i="30" s="1"/>
  <c r="H58" i="30" s="1"/>
  <c r="I58" i="30" s="1"/>
  <c r="J58" i="30" s="1"/>
  <c r="K58" i="30" s="1"/>
  <c r="C42" i="30"/>
  <c r="D42" i="30" s="1"/>
  <c r="E42" i="30" s="1"/>
  <c r="F42" i="30" s="1"/>
  <c r="G42" i="30" s="1"/>
  <c r="H42" i="30" s="1"/>
  <c r="I42" i="30" s="1"/>
  <c r="J42" i="30" s="1"/>
  <c r="K42" i="30" s="1"/>
  <c r="C101" i="30"/>
  <c r="D101" i="30" s="1"/>
  <c r="E101" i="30" s="1"/>
  <c r="F101" i="30" s="1"/>
  <c r="G101" i="30" s="1"/>
  <c r="H101" i="30" s="1"/>
  <c r="I101" i="30" s="1"/>
  <c r="J101" i="30" s="1"/>
  <c r="K101" i="30" s="1"/>
  <c r="C122" i="30"/>
  <c r="D122" i="30" s="1"/>
  <c r="E122" i="30" s="1"/>
  <c r="F122" i="30" s="1"/>
  <c r="G122" i="30" s="1"/>
  <c r="H122" i="30" s="1"/>
  <c r="I122" i="30" s="1"/>
  <c r="J122" i="30" s="1"/>
  <c r="K122" i="30" s="1"/>
  <c r="C143" i="30"/>
  <c r="D143" i="30" s="1"/>
  <c r="E143" i="30" s="1"/>
  <c r="F143" i="30" s="1"/>
  <c r="G143" i="30" s="1"/>
  <c r="H143" i="30" s="1"/>
  <c r="I143" i="30" s="1"/>
  <c r="J143" i="30" s="1"/>
  <c r="K143" i="30" s="1"/>
  <c r="C186" i="30"/>
  <c r="D186" i="30" s="1"/>
  <c r="E186" i="30" s="1"/>
  <c r="F186" i="30" s="1"/>
  <c r="G186" i="30" s="1"/>
  <c r="H186" i="30" s="1"/>
  <c r="I186" i="30" s="1"/>
  <c r="J186" i="30" s="1"/>
  <c r="K186" i="30" s="1"/>
  <c r="C170" i="30"/>
  <c r="D170" i="30" s="1"/>
  <c r="E170" i="30" s="1"/>
  <c r="F170" i="30" s="1"/>
  <c r="G170" i="30" s="1"/>
  <c r="H170" i="30" s="1"/>
  <c r="I170" i="30" s="1"/>
  <c r="J170" i="30" s="1"/>
  <c r="K170" i="30" s="1"/>
  <c r="C154" i="30"/>
  <c r="D154" i="30" s="1"/>
  <c r="E154" i="30" s="1"/>
  <c r="F154" i="30" s="1"/>
  <c r="G154" i="30" s="1"/>
  <c r="H154" i="30" s="1"/>
  <c r="I154" i="30" s="1"/>
  <c r="J154" i="30" s="1"/>
  <c r="K154" i="30" s="1"/>
  <c r="AS190" i="29"/>
  <c r="AS186" i="29"/>
  <c r="AS182" i="29"/>
  <c r="AS178" i="29"/>
  <c r="AS174" i="29"/>
  <c r="AS170" i="29"/>
  <c r="AY190" i="29" s="1"/>
  <c r="BL190" i="29" s="1"/>
  <c r="AS166" i="29"/>
  <c r="AS162" i="29"/>
  <c r="AS158" i="29"/>
  <c r="AY186" i="29" s="1"/>
  <c r="BL186" i="29" s="1"/>
  <c r="AS154" i="29"/>
  <c r="AS150" i="29"/>
  <c r="AS146" i="29"/>
  <c r="AS142" i="29"/>
  <c r="AS138" i="29"/>
  <c r="AY180" i="29" s="1"/>
  <c r="BL180" i="29" s="1"/>
  <c r="AS134" i="29"/>
  <c r="AY163" i="29" s="1"/>
  <c r="BL163" i="29" s="1"/>
  <c r="AS130" i="29"/>
  <c r="AS114" i="29"/>
  <c r="AS98" i="29"/>
  <c r="AS82" i="29"/>
  <c r="AS66" i="29"/>
  <c r="AS50" i="29"/>
  <c r="AS34" i="29"/>
  <c r="AS18" i="29"/>
  <c r="AT190" i="29"/>
  <c r="BI190" i="29" s="1"/>
  <c r="AT186" i="29"/>
  <c r="BI186" i="29" s="1"/>
  <c r="AT182" i="29"/>
  <c r="BI182" i="29" s="1"/>
  <c r="AT178" i="29"/>
  <c r="BI178" i="29" s="1"/>
  <c r="AT174" i="29"/>
  <c r="BI174" i="29" s="1"/>
  <c r="AT170" i="29"/>
  <c r="BI170" i="29" s="1"/>
  <c r="AT166" i="29"/>
  <c r="BI166" i="29" s="1"/>
  <c r="AT162" i="29"/>
  <c r="BI162" i="29" s="1"/>
  <c r="AT158" i="29"/>
  <c r="BI158" i="29" s="1"/>
  <c r="AT154" i="29"/>
  <c r="BI154" i="29" s="1"/>
  <c r="AT150" i="29"/>
  <c r="BI150" i="29" s="1"/>
  <c r="AT146" i="29"/>
  <c r="BI146" i="29" s="1"/>
  <c r="AT142" i="29"/>
  <c r="BI142" i="29" s="1"/>
  <c r="AT138" i="29"/>
  <c r="BI138" i="29" s="1"/>
  <c r="AT134" i="29"/>
  <c r="BI134" i="29" s="1"/>
  <c r="AT130" i="29"/>
  <c r="BI130" i="29" s="1"/>
  <c r="AT114" i="29"/>
  <c r="BI114" i="29" s="1"/>
  <c r="AT98" i="29"/>
  <c r="BI98" i="29" s="1"/>
  <c r="AT82" i="29"/>
  <c r="BI82" i="29" s="1"/>
  <c r="AT66" i="29"/>
  <c r="BI66" i="29" s="1"/>
  <c r="AT50" i="29"/>
  <c r="BI50" i="29" s="1"/>
  <c r="AT34" i="29"/>
  <c r="BI34" i="29" s="1"/>
  <c r="AT18" i="29"/>
  <c r="BI18" i="29" s="1"/>
  <c r="AS125" i="29"/>
  <c r="AS109" i="29"/>
  <c r="AS93" i="29"/>
  <c r="AS77" i="29"/>
  <c r="AS61" i="29"/>
  <c r="AS45" i="29"/>
  <c r="AS29" i="29"/>
  <c r="AS13" i="29"/>
  <c r="C90" i="30"/>
  <c r="D90" i="30" s="1"/>
  <c r="E90" i="30" s="1"/>
  <c r="F90" i="30" s="1"/>
  <c r="G90" i="30" s="1"/>
  <c r="H90" i="30" s="1"/>
  <c r="I90" i="30" s="1"/>
  <c r="J90" i="30" s="1"/>
  <c r="K90" i="30" s="1"/>
  <c r="C111" i="30"/>
  <c r="D111" i="30" s="1"/>
  <c r="E111" i="30" s="1"/>
  <c r="F111" i="30" s="1"/>
  <c r="G111" i="30" s="1"/>
  <c r="H111" i="30" s="1"/>
  <c r="I111" i="30" s="1"/>
  <c r="J111" i="30" s="1"/>
  <c r="K111" i="30" s="1"/>
  <c r="AT125" i="29"/>
  <c r="BI125" i="29" s="1"/>
  <c r="AT109" i="29"/>
  <c r="BI109" i="29" s="1"/>
  <c r="AT93" i="29"/>
  <c r="BI93" i="29" s="1"/>
  <c r="AT77" i="29"/>
  <c r="BI77" i="29" s="1"/>
  <c r="AT61" i="29"/>
  <c r="BI61" i="29" s="1"/>
  <c r="AT45" i="29"/>
  <c r="BI45" i="29" s="1"/>
  <c r="AT29" i="29"/>
  <c r="BI29" i="29" s="1"/>
  <c r="AT13" i="29"/>
  <c r="BI13" i="29" s="1"/>
  <c r="AS126" i="29"/>
  <c r="AS122" i="29"/>
  <c r="AY159" i="29" s="1"/>
  <c r="BL159" i="29" s="1"/>
  <c r="AS118" i="29"/>
  <c r="AS110" i="29"/>
  <c r="AS106" i="29"/>
  <c r="AS102" i="29"/>
  <c r="AY147" i="29" s="1"/>
  <c r="BL147" i="29" s="1"/>
  <c r="AS94" i="29"/>
  <c r="AS90" i="29"/>
  <c r="AS86" i="29"/>
  <c r="AS78" i="29"/>
  <c r="AS74" i="29"/>
  <c r="AY89" i="29" s="1"/>
  <c r="BL89" i="29" s="1"/>
  <c r="AS70" i="29"/>
  <c r="AS62" i="29"/>
  <c r="AS58" i="29"/>
  <c r="AY115" i="29" s="1"/>
  <c r="BL115" i="29" s="1"/>
  <c r="AS54" i="29"/>
  <c r="AS46" i="29"/>
  <c r="AS42" i="29"/>
  <c r="AS38" i="29"/>
  <c r="AY67" i="29" s="1"/>
  <c r="BL67" i="29" s="1"/>
  <c r="AS30" i="29"/>
  <c r="AS26" i="29"/>
  <c r="AY51" i="29" s="1"/>
  <c r="BL51" i="29" s="1"/>
  <c r="AS22" i="29"/>
  <c r="AS14" i="29"/>
  <c r="AS10" i="29"/>
  <c r="AS6" i="29"/>
  <c r="C29" i="30"/>
  <c r="D29" i="30" s="1"/>
  <c r="E29" i="30" s="1"/>
  <c r="F29" i="30" s="1"/>
  <c r="G29" i="30" s="1"/>
  <c r="H29" i="30" s="1"/>
  <c r="I29" i="30" s="1"/>
  <c r="J29" i="30" s="1"/>
  <c r="K29" i="30" s="1"/>
  <c r="C25" i="30"/>
  <c r="D25" i="30" s="1"/>
  <c r="E25" i="30" s="1"/>
  <c r="F25" i="30" s="1"/>
  <c r="G25" i="30" s="1"/>
  <c r="H25" i="30" s="1"/>
  <c r="I25" i="30" s="1"/>
  <c r="J25" i="30" s="1"/>
  <c r="K25" i="30" s="1"/>
  <c r="C17" i="30"/>
  <c r="D17" i="30" s="1"/>
  <c r="E17" i="30" s="1"/>
  <c r="F17" i="30" s="1"/>
  <c r="G17" i="30" s="1"/>
  <c r="H17" i="30" s="1"/>
  <c r="I17" i="30" s="1"/>
  <c r="J17" i="30" s="1"/>
  <c r="K17" i="30" s="1"/>
  <c r="C13" i="30"/>
  <c r="D13" i="30" s="1"/>
  <c r="E13" i="30" s="1"/>
  <c r="F13" i="30" s="1"/>
  <c r="G13" i="30" s="1"/>
  <c r="H13" i="30" s="1"/>
  <c r="I13" i="30" s="1"/>
  <c r="J13" i="30" s="1"/>
  <c r="K13" i="30" s="1"/>
  <c r="C9" i="30"/>
  <c r="D9" i="30" s="1"/>
  <c r="E9" i="30" s="1"/>
  <c r="F9" i="30" s="1"/>
  <c r="G9" i="30" s="1"/>
  <c r="H9" i="30" s="1"/>
  <c r="I9" i="30" s="1"/>
  <c r="J9" i="30" s="1"/>
  <c r="K9" i="30" s="1"/>
  <c r="C61" i="30"/>
  <c r="D61" i="30" s="1"/>
  <c r="E61" i="30" s="1"/>
  <c r="F61" i="30" s="1"/>
  <c r="G61" i="30" s="1"/>
  <c r="H61" i="30" s="1"/>
  <c r="I61" i="30" s="1"/>
  <c r="J61" i="30" s="1"/>
  <c r="K61" i="30" s="1"/>
  <c r="C57" i="30"/>
  <c r="D57" i="30" s="1"/>
  <c r="E57" i="30" s="1"/>
  <c r="F57" i="30" s="1"/>
  <c r="G57" i="30" s="1"/>
  <c r="H57" i="30" s="1"/>
  <c r="I57" i="30" s="1"/>
  <c r="J57" i="30" s="1"/>
  <c r="K57" i="30" s="1"/>
  <c r="C49" i="30"/>
  <c r="D49" i="30" s="1"/>
  <c r="E49" i="30" s="1"/>
  <c r="F49" i="30" s="1"/>
  <c r="G49" i="30" s="1"/>
  <c r="H49" i="30" s="1"/>
  <c r="I49" i="30" s="1"/>
  <c r="J49" i="30" s="1"/>
  <c r="K49" i="30" s="1"/>
  <c r="C45" i="30"/>
  <c r="D45" i="30" s="1"/>
  <c r="E45" i="30" s="1"/>
  <c r="F45" i="30" s="1"/>
  <c r="G45" i="30" s="1"/>
  <c r="H45" i="30" s="1"/>
  <c r="I45" i="30" s="1"/>
  <c r="J45" i="30" s="1"/>
  <c r="K45" i="30" s="1"/>
  <c r="C41" i="30"/>
  <c r="D41" i="30" s="1"/>
  <c r="E41" i="30" s="1"/>
  <c r="F41" i="30" s="1"/>
  <c r="G41" i="30" s="1"/>
  <c r="H41" i="30" s="1"/>
  <c r="I41" i="30" s="1"/>
  <c r="J41" i="30" s="1"/>
  <c r="K41" i="30" s="1"/>
  <c r="C33" i="30"/>
  <c r="D33" i="30" s="1"/>
  <c r="E33" i="30" s="1"/>
  <c r="F33" i="30" s="1"/>
  <c r="G33" i="30" s="1"/>
  <c r="H33" i="30" s="1"/>
  <c r="I33" i="30" s="1"/>
  <c r="J33" i="30" s="1"/>
  <c r="K33" i="30" s="1"/>
  <c r="C91" i="30"/>
  <c r="D91" i="30" s="1"/>
  <c r="E91" i="30" s="1"/>
  <c r="F91" i="30" s="1"/>
  <c r="G91" i="30" s="1"/>
  <c r="H91" i="30" s="1"/>
  <c r="I91" i="30" s="1"/>
  <c r="J91" i="30" s="1"/>
  <c r="K91" i="30" s="1"/>
  <c r="C87" i="30"/>
  <c r="D87" i="30" s="1"/>
  <c r="E87" i="30" s="1"/>
  <c r="F87" i="30" s="1"/>
  <c r="G87" i="30" s="1"/>
  <c r="H87" i="30" s="1"/>
  <c r="I87" i="30" s="1"/>
  <c r="J87" i="30" s="1"/>
  <c r="K87" i="30" s="1"/>
  <c r="C83" i="30"/>
  <c r="D83" i="30" s="1"/>
  <c r="E83" i="30" s="1"/>
  <c r="F83" i="30" s="1"/>
  <c r="G83" i="30" s="1"/>
  <c r="H83" i="30" s="1"/>
  <c r="I83" i="30" s="1"/>
  <c r="J83" i="30" s="1"/>
  <c r="K83" i="30" s="1"/>
  <c r="C75" i="30"/>
  <c r="D75" i="30" s="1"/>
  <c r="E75" i="30" s="1"/>
  <c r="F75" i="30" s="1"/>
  <c r="G75" i="30" s="1"/>
  <c r="H75" i="30" s="1"/>
  <c r="I75" i="30" s="1"/>
  <c r="J75" i="30" s="1"/>
  <c r="K75" i="30" s="1"/>
  <c r="C71" i="30"/>
  <c r="D71" i="30" s="1"/>
  <c r="E71" i="30" s="1"/>
  <c r="F71" i="30" s="1"/>
  <c r="G71" i="30" s="1"/>
  <c r="H71" i="30" s="1"/>
  <c r="I71" i="30" s="1"/>
  <c r="J71" i="30" s="1"/>
  <c r="K71" i="30" s="1"/>
  <c r="C67" i="30"/>
  <c r="D67" i="30" s="1"/>
  <c r="E67" i="30" s="1"/>
  <c r="F67" i="30" s="1"/>
  <c r="G67" i="30" s="1"/>
  <c r="H67" i="30" s="1"/>
  <c r="I67" i="30" s="1"/>
  <c r="J67" i="30" s="1"/>
  <c r="K67" i="30" s="1"/>
  <c r="C108" i="30"/>
  <c r="D108" i="30" s="1"/>
  <c r="E108" i="30" s="1"/>
  <c r="F108" i="30" s="1"/>
  <c r="G108" i="30" s="1"/>
  <c r="H108" i="30" s="1"/>
  <c r="I108" i="30" s="1"/>
  <c r="J108" i="30" s="1"/>
  <c r="K108" i="30" s="1"/>
  <c r="C104" i="30"/>
  <c r="D104" i="30" s="1"/>
  <c r="E104" i="30" s="1"/>
  <c r="F104" i="30" s="1"/>
  <c r="G104" i="30" s="1"/>
  <c r="H104" i="30" s="1"/>
  <c r="I104" i="30" s="1"/>
  <c r="J104" i="30" s="1"/>
  <c r="K104" i="30" s="1"/>
  <c r="C100" i="30"/>
  <c r="D100" i="30" s="1"/>
  <c r="E100" i="30" s="1"/>
  <c r="F100" i="30" s="1"/>
  <c r="G100" i="30" s="1"/>
  <c r="H100" i="30" s="1"/>
  <c r="I100" i="30" s="1"/>
  <c r="J100" i="30" s="1"/>
  <c r="K100" i="30" s="1"/>
  <c r="C96" i="30"/>
  <c r="D96" i="30" s="1"/>
  <c r="E96" i="30" s="1"/>
  <c r="F96" i="30" s="1"/>
  <c r="G96" i="30" s="1"/>
  <c r="H96" i="30" s="1"/>
  <c r="I96" i="30" s="1"/>
  <c r="J96" i="30" s="1"/>
  <c r="K96" i="30" s="1"/>
  <c r="C129" i="30"/>
  <c r="D129" i="30" s="1"/>
  <c r="E129" i="30" s="1"/>
  <c r="F129" i="30" s="1"/>
  <c r="G129" i="30" s="1"/>
  <c r="H129" i="30" s="1"/>
  <c r="I129" i="30" s="1"/>
  <c r="J129" i="30" s="1"/>
  <c r="K129" i="30" s="1"/>
  <c r="C125" i="30"/>
  <c r="D125" i="30" s="1"/>
  <c r="E125" i="30" s="1"/>
  <c r="F125" i="30" s="1"/>
  <c r="G125" i="30" s="1"/>
  <c r="H125" i="30" s="1"/>
  <c r="I125" i="30" s="1"/>
  <c r="J125" i="30" s="1"/>
  <c r="K125" i="30" s="1"/>
  <c r="C121" i="30"/>
  <c r="D121" i="30" s="1"/>
  <c r="E121" i="30" s="1"/>
  <c r="F121" i="30" s="1"/>
  <c r="G121" i="30" s="1"/>
  <c r="H121" i="30" s="1"/>
  <c r="I121" i="30" s="1"/>
  <c r="J121" i="30" s="1"/>
  <c r="K121" i="30" s="1"/>
  <c r="C113" i="30"/>
  <c r="D113" i="30" s="1"/>
  <c r="E113" i="30" s="1"/>
  <c r="F113" i="30" s="1"/>
  <c r="G113" i="30" s="1"/>
  <c r="H113" i="30" s="1"/>
  <c r="I113" i="30" s="1"/>
  <c r="J113" i="30" s="1"/>
  <c r="K113" i="30" s="1"/>
  <c r="C150" i="30"/>
  <c r="D150" i="30" s="1"/>
  <c r="E150" i="30" s="1"/>
  <c r="F150" i="30" s="1"/>
  <c r="G150" i="30" s="1"/>
  <c r="H150" i="30" s="1"/>
  <c r="I150" i="30" s="1"/>
  <c r="J150" i="30" s="1"/>
  <c r="K150" i="30" s="1"/>
  <c r="C146" i="30"/>
  <c r="D146" i="30" s="1"/>
  <c r="E146" i="30" s="1"/>
  <c r="F146" i="30" s="1"/>
  <c r="G146" i="30" s="1"/>
  <c r="H146" i="30" s="1"/>
  <c r="I146" i="30" s="1"/>
  <c r="J146" i="30" s="1"/>
  <c r="K146" i="30" s="1"/>
  <c r="C142" i="30"/>
  <c r="D142" i="30" s="1"/>
  <c r="E142" i="30" s="1"/>
  <c r="F142" i="30" s="1"/>
  <c r="G142" i="30" s="1"/>
  <c r="H142" i="30" s="1"/>
  <c r="I142" i="30" s="1"/>
  <c r="J142" i="30" s="1"/>
  <c r="K142" i="30" s="1"/>
  <c r="C134" i="30"/>
  <c r="D134" i="30" s="1"/>
  <c r="E134" i="30" s="1"/>
  <c r="F134" i="30" s="1"/>
  <c r="G134" i="30" s="1"/>
  <c r="H134" i="30" s="1"/>
  <c r="I134" i="30" s="1"/>
  <c r="J134" i="30" s="1"/>
  <c r="K134" i="30" s="1"/>
  <c r="C189" i="30"/>
  <c r="D189" i="30" s="1"/>
  <c r="E189" i="30" s="1"/>
  <c r="F189" i="30" s="1"/>
  <c r="G189" i="30" s="1"/>
  <c r="H189" i="30" s="1"/>
  <c r="I189" i="30" s="1"/>
  <c r="J189" i="30" s="1"/>
  <c r="K189" i="30" s="1"/>
  <c r="C185" i="30"/>
  <c r="D185" i="30" s="1"/>
  <c r="E185" i="30" s="1"/>
  <c r="F185" i="30" s="1"/>
  <c r="G185" i="30" s="1"/>
  <c r="H185" i="30" s="1"/>
  <c r="I185" i="30" s="1"/>
  <c r="J185" i="30" s="1"/>
  <c r="K185" i="30" s="1"/>
  <c r="C177" i="30"/>
  <c r="D177" i="30" s="1"/>
  <c r="E177" i="30" s="1"/>
  <c r="F177" i="30" s="1"/>
  <c r="G177" i="30" s="1"/>
  <c r="H177" i="30" s="1"/>
  <c r="I177" i="30" s="1"/>
  <c r="J177" i="30" s="1"/>
  <c r="K177" i="30" s="1"/>
  <c r="C173" i="30"/>
  <c r="D173" i="30" s="1"/>
  <c r="E173" i="30" s="1"/>
  <c r="F173" i="30" s="1"/>
  <c r="G173" i="30" s="1"/>
  <c r="H173" i="30" s="1"/>
  <c r="I173" i="30" s="1"/>
  <c r="J173" i="30" s="1"/>
  <c r="K173" i="30" s="1"/>
  <c r="C169" i="30"/>
  <c r="D169" i="30" s="1"/>
  <c r="E169" i="30" s="1"/>
  <c r="F169" i="30" s="1"/>
  <c r="G169" i="30" s="1"/>
  <c r="H169" i="30" s="1"/>
  <c r="I169" i="30" s="1"/>
  <c r="J169" i="30" s="1"/>
  <c r="K169" i="30" s="1"/>
  <c r="C161" i="30"/>
  <c r="D161" i="30" s="1"/>
  <c r="E161" i="30" s="1"/>
  <c r="F161" i="30" s="1"/>
  <c r="G161" i="30" s="1"/>
  <c r="H161" i="30" s="1"/>
  <c r="I161" i="30" s="1"/>
  <c r="J161" i="30" s="1"/>
  <c r="K161" i="30" s="1"/>
  <c r="C157" i="30"/>
  <c r="D157" i="30" s="1"/>
  <c r="E157" i="30" s="1"/>
  <c r="F157" i="30" s="1"/>
  <c r="G157" i="30" s="1"/>
  <c r="H157" i="30" s="1"/>
  <c r="I157" i="30" s="1"/>
  <c r="J157" i="30" s="1"/>
  <c r="K157" i="30" s="1"/>
  <c r="C153" i="30"/>
  <c r="D153" i="30" s="1"/>
  <c r="E153" i="30" s="1"/>
  <c r="F153" i="30" s="1"/>
  <c r="G153" i="30" s="1"/>
  <c r="H153" i="30" s="1"/>
  <c r="I153" i="30" s="1"/>
  <c r="J153" i="30" s="1"/>
  <c r="K153" i="30" s="1"/>
  <c r="L153" i="30" s="1"/>
  <c r="C133" i="30"/>
  <c r="D133" i="30" s="1"/>
  <c r="E133" i="30" s="1"/>
  <c r="F133" i="30" s="1"/>
  <c r="G133" i="30" s="1"/>
  <c r="H133" i="30" s="1"/>
  <c r="I133" i="30" s="1"/>
  <c r="J133" i="30" s="1"/>
  <c r="K133" i="30" s="1"/>
  <c r="C5" i="30"/>
  <c r="D5" i="30" s="1"/>
  <c r="E5" i="30" s="1"/>
  <c r="F5" i="30" s="1"/>
  <c r="G5" i="30" s="1"/>
  <c r="H5" i="30" s="1"/>
  <c r="I5" i="30" s="1"/>
  <c r="J5" i="30" s="1"/>
  <c r="K5" i="30" s="1"/>
  <c r="AS193" i="29"/>
  <c r="AS189" i="29"/>
  <c r="AS185" i="29"/>
  <c r="AS181" i="29"/>
  <c r="AS177" i="29"/>
  <c r="AS173" i="29"/>
  <c r="AS169" i="29"/>
  <c r="AS165" i="29"/>
  <c r="AY191" i="29" s="1"/>
  <c r="BL191" i="29" s="1"/>
  <c r="AS161" i="29"/>
  <c r="AS157" i="29"/>
  <c r="AS153" i="29"/>
  <c r="AY184" i="29" s="1"/>
  <c r="BL184" i="29" s="1"/>
  <c r="AS149" i="29"/>
  <c r="AY185" i="29" s="1"/>
  <c r="BL185" i="29" s="1"/>
  <c r="AS145" i="29"/>
  <c r="AY179" i="29" s="1"/>
  <c r="BL179" i="29" s="1"/>
  <c r="AS141" i="29"/>
  <c r="AY173" i="29" s="1"/>
  <c r="BL173" i="29" s="1"/>
  <c r="AS137" i="29"/>
  <c r="AS133" i="29"/>
  <c r="AY169" i="29" s="1"/>
  <c r="BL169" i="29" s="1"/>
  <c r="AS129" i="29"/>
  <c r="AS121" i="29"/>
  <c r="AS117" i="29"/>
  <c r="AY162" i="29" s="1"/>
  <c r="BL162" i="29" s="1"/>
  <c r="AS113" i="29"/>
  <c r="AS105" i="29"/>
  <c r="AS101" i="29"/>
  <c r="AY131" i="29" s="1"/>
  <c r="BL131" i="29" s="1"/>
  <c r="AS97" i="29"/>
  <c r="AY127" i="29" s="1"/>
  <c r="BL127" i="29" s="1"/>
  <c r="AS89" i="29"/>
  <c r="AY138" i="29" s="1"/>
  <c r="BL138" i="29" s="1"/>
  <c r="AS85" i="29"/>
  <c r="AS81" i="29"/>
  <c r="AY143" i="29" s="1"/>
  <c r="BL143" i="29" s="1"/>
  <c r="AS73" i="29"/>
  <c r="AS69" i="29"/>
  <c r="AY99" i="29" s="1"/>
  <c r="BL99" i="29" s="1"/>
  <c r="AS65" i="29"/>
  <c r="AS57" i="29"/>
  <c r="AY92" i="29" s="1"/>
  <c r="BL92" i="29" s="1"/>
  <c r="AS53" i="29"/>
  <c r="AS49" i="29"/>
  <c r="AY73" i="29" s="1"/>
  <c r="BL73" i="29" s="1"/>
  <c r="AS41" i="29"/>
  <c r="AS37" i="29"/>
  <c r="AY74" i="29" s="1"/>
  <c r="BL74" i="29" s="1"/>
  <c r="AS33" i="29"/>
  <c r="AS25" i="29"/>
  <c r="AY42" i="29" s="1"/>
  <c r="BL42" i="29" s="1"/>
  <c r="AS21" i="29"/>
  <c r="AS17" i="29"/>
  <c r="AY35" i="29" s="1"/>
  <c r="BL35" i="29" s="1"/>
  <c r="AS9" i="29"/>
  <c r="AS5" i="29"/>
  <c r="C2" i="30"/>
  <c r="D2" i="30" s="1"/>
  <c r="E2" i="30" s="1"/>
  <c r="F2" i="30" s="1"/>
  <c r="G2" i="30" s="1"/>
  <c r="H2" i="30" s="1"/>
  <c r="I2" i="30" s="1"/>
  <c r="J2" i="30" s="1"/>
  <c r="K2" i="30" s="1"/>
  <c r="C28" i="30"/>
  <c r="D28" i="30" s="1"/>
  <c r="E28" i="30" s="1"/>
  <c r="F28" i="30" s="1"/>
  <c r="G28" i="30" s="1"/>
  <c r="H28" i="30" s="1"/>
  <c r="I28" i="30" s="1"/>
  <c r="J28" i="30" s="1"/>
  <c r="K28" i="30" s="1"/>
  <c r="C24" i="30"/>
  <c r="D24" i="30" s="1"/>
  <c r="E24" i="30" s="1"/>
  <c r="F24" i="30" s="1"/>
  <c r="G24" i="30" s="1"/>
  <c r="H24" i="30" s="1"/>
  <c r="I24" i="30" s="1"/>
  <c r="J24" i="30" s="1"/>
  <c r="K24" i="30" s="1"/>
  <c r="C20" i="30"/>
  <c r="D20" i="30" s="1"/>
  <c r="E20" i="30" s="1"/>
  <c r="F20" i="30" s="1"/>
  <c r="G20" i="30" s="1"/>
  <c r="H20" i="30" s="1"/>
  <c r="I20" i="30" s="1"/>
  <c r="J20" i="30" s="1"/>
  <c r="K20" i="30" s="1"/>
  <c r="C16" i="30"/>
  <c r="D16" i="30" s="1"/>
  <c r="E16" i="30" s="1"/>
  <c r="F16" i="30" s="1"/>
  <c r="G16" i="30" s="1"/>
  <c r="H16" i="30" s="1"/>
  <c r="I16" i="30" s="1"/>
  <c r="J16" i="30" s="1"/>
  <c r="K16" i="30" s="1"/>
  <c r="C12" i="30"/>
  <c r="D12" i="30" s="1"/>
  <c r="E12" i="30" s="1"/>
  <c r="F12" i="30" s="1"/>
  <c r="G12" i="30" s="1"/>
  <c r="H12" i="30" s="1"/>
  <c r="I12" i="30" s="1"/>
  <c r="J12" i="30" s="1"/>
  <c r="K12" i="30" s="1"/>
  <c r="C8" i="30"/>
  <c r="D8" i="30" s="1"/>
  <c r="E8" i="30" s="1"/>
  <c r="F8" i="30" s="1"/>
  <c r="G8" i="30" s="1"/>
  <c r="H8" i="30" s="1"/>
  <c r="I8" i="30" s="1"/>
  <c r="J8" i="30" s="1"/>
  <c r="K8" i="30" s="1"/>
  <c r="C4" i="30"/>
  <c r="D4" i="30" s="1"/>
  <c r="E4" i="30" s="1"/>
  <c r="F4" i="30" s="1"/>
  <c r="G4" i="30" s="1"/>
  <c r="H4" i="30" s="1"/>
  <c r="I4" i="30" s="1"/>
  <c r="J4" i="30" s="1"/>
  <c r="K4" i="30" s="1"/>
  <c r="C60" i="30"/>
  <c r="D60" i="30" s="1"/>
  <c r="E60" i="30" s="1"/>
  <c r="F60" i="30" s="1"/>
  <c r="G60" i="30" s="1"/>
  <c r="H60" i="30" s="1"/>
  <c r="I60" i="30" s="1"/>
  <c r="J60" i="30" s="1"/>
  <c r="K60" i="30" s="1"/>
  <c r="C56" i="30"/>
  <c r="D56" i="30" s="1"/>
  <c r="E56" i="30" s="1"/>
  <c r="F56" i="30" s="1"/>
  <c r="G56" i="30" s="1"/>
  <c r="H56" i="30" s="1"/>
  <c r="I56" i="30" s="1"/>
  <c r="J56" i="30" s="1"/>
  <c r="K56" i="30" s="1"/>
  <c r="L56" i="30" s="1"/>
  <c r="C52" i="30"/>
  <c r="D52" i="30" s="1"/>
  <c r="E52" i="30" s="1"/>
  <c r="F52" i="30" s="1"/>
  <c r="G52" i="30" s="1"/>
  <c r="H52" i="30" s="1"/>
  <c r="I52" i="30" s="1"/>
  <c r="J52" i="30" s="1"/>
  <c r="K52" i="30" s="1"/>
  <c r="C48" i="30"/>
  <c r="D48" i="30" s="1"/>
  <c r="E48" i="30" s="1"/>
  <c r="F48" i="30" s="1"/>
  <c r="G48" i="30" s="1"/>
  <c r="H48" i="30" s="1"/>
  <c r="I48" i="30" s="1"/>
  <c r="J48" i="30" s="1"/>
  <c r="K48" i="30" s="1"/>
  <c r="C44" i="30"/>
  <c r="D44" i="30" s="1"/>
  <c r="E44" i="30" s="1"/>
  <c r="F44" i="30" s="1"/>
  <c r="G44" i="30" s="1"/>
  <c r="H44" i="30" s="1"/>
  <c r="I44" i="30" s="1"/>
  <c r="J44" i="30" s="1"/>
  <c r="K44" i="30" s="1"/>
  <c r="L44" i="30" s="1"/>
  <c r="C40" i="30"/>
  <c r="D40" i="30" s="1"/>
  <c r="E40" i="30" s="1"/>
  <c r="F40" i="30" s="1"/>
  <c r="G40" i="30" s="1"/>
  <c r="H40" i="30" s="1"/>
  <c r="I40" i="30" s="1"/>
  <c r="J40" i="30" s="1"/>
  <c r="K40" i="30" s="1"/>
  <c r="C36" i="30"/>
  <c r="D36" i="30" s="1"/>
  <c r="E36" i="30" s="1"/>
  <c r="F36" i="30" s="1"/>
  <c r="G36" i="30" s="1"/>
  <c r="H36" i="30" s="1"/>
  <c r="I36" i="30" s="1"/>
  <c r="J36" i="30" s="1"/>
  <c r="K36" i="30" s="1"/>
  <c r="C32" i="30"/>
  <c r="D32" i="30" s="1"/>
  <c r="E32" i="30" s="1"/>
  <c r="F32" i="30" s="1"/>
  <c r="G32" i="30" s="1"/>
  <c r="H32" i="30" s="1"/>
  <c r="I32" i="30" s="1"/>
  <c r="J32" i="30" s="1"/>
  <c r="K32" i="30" s="1"/>
  <c r="C86" i="30"/>
  <c r="D86" i="30" s="1"/>
  <c r="E86" i="30" s="1"/>
  <c r="F86" i="30" s="1"/>
  <c r="G86" i="30" s="1"/>
  <c r="H86" i="30" s="1"/>
  <c r="I86" i="30" s="1"/>
  <c r="J86" i="30" s="1"/>
  <c r="K86" i="30" s="1"/>
  <c r="C82" i="30"/>
  <c r="D82" i="30" s="1"/>
  <c r="E82" i="30" s="1"/>
  <c r="F82" i="30" s="1"/>
  <c r="G82" i="30" s="1"/>
  <c r="H82" i="30" s="1"/>
  <c r="I82" i="30" s="1"/>
  <c r="J82" i="30" s="1"/>
  <c r="K82" i="30" s="1"/>
  <c r="C78" i="30"/>
  <c r="D78" i="30" s="1"/>
  <c r="E78" i="30" s="1"/>
  <c r="F78" i="30" s="1"/>
  <c r="G78" i="30" s="1"/>
  <c r="H78" i="30" s="1"/>
  <c r="I78" i="30" s="1"/>
  <c r="J78" i="30" s="1"/>
  <c r="K78" i="30" s="1"/>
  <c r="C70" i="30"/>
  <c r="D70" i="30" s="1"/>
  <c r="E70" i="30" s="1"/>
  <c r="F70" i="30" s="1"/>
  <c r="G70" i="30" s="1"/>
  <c r="H70" i="30" s="1"/>
  <c r="I70" i="30" s="1"/>
  <c r="J70" i="30" s="1"/>
  <c r="K70" i="30" s="1"/>
  <c r="C66" i="30"/>
  <c r="D66" i="30" s="1"/>
  <c r="E66" i="30" s="1"/>
  <c r="F66" i="30" s="1"/>
  <c r="G66" i="30" s="1"/>
  <c r="H66" i="30" s="1"/>
  <c r="I66" i="30" s="1"/>
  <c r="J66" i="30" s="1"/>
  <c r="K66" i="30" s="1"/>
  <c r="C107" i="30"/>
  <c r="D107" i="30" s="1"/>
  <c r="E107" i="30" s="1"/>
  <c r="F107" i="30" s="1"/>
  <c r="G107" i="30" s="1"/>
  <c r="H107" i="30" s="1"/>
  <c r="I107" i="30" s="1"/>
  <c r="J107" i="30" s="1"/>
  <c r="K107" i="30" s="1"/>
  <c r="C103" i="30"/>
  <c r="D103" i="30" s="1"/>
  <c r="E103" i="30" s="1"/>
  <c r="F103" i="30" s="1"/>
  <c r="G103" i="30" s="1"/>
  <c r="H103" i="30" s="1"/>
  <c r="I103" i="30" s="1"/>
  <c r="J103" i="30" s="1"/>
  <c r="K103" i="30" s="1"/>
  <c r="C99" i="30"/>
  <c r="D99" i="30" s="1"/>
  <c r="E99" i="30" s="1"/>
  <c r="F99" i="30" s="1"/>
  <c r="G99" i="30" s="1"/>
  <c r="H99" i="30" s="1"/>
  <c r="I99" i="30" s="1"/>
  <c r="J99" i="30" s="1"/>
  <c r="K99" i="30" s="1"/>
  <c r="C132" i="30"/>
  <c r="D132" i="30" s="1"/>
  <c r="E132" i="30" s="1"/>
  <c r="F132" i="30" s="1"/>
  <c r="G132" i="30" s="1"/>
  <c r="H132" i="30" s="1"/>
  <c r="I132" i="30" s="1"/>
  <c r="J132" i="30" s="1"/>
  <c r="K132" i="30" s="1"/>
  <c r="C128" i="30"/>
  <c r="D128" i="30" s="1"/>
  <c r="E128" i="30" s="1"/>
  <c r="F128" i="30" s="1"/>
  <c r="G128" i="30" s="1"/>
  <c r="H128" i="30" s="1"/>
  <c r="I128" i="30" s="1"/>
  <c r="J128" i="30" s="1"/>
  <c r="K128" i="30" s="1"/>
  <c r="C124" i="30"/>
  <c r="D124" i="30" s="1"/>
  <c r="E124" i="30" s="1"/>
  <c r="F124" i="30" s="1"/>
  <c r="G124" i="30" s="1"/>
  <c r="H124" i="30" s="1"/>
  <c r="I124" i="30" s="1"/>
  <c r="J124" i="30" s="1"/>
  <c r="K124" i="30" s="1"/>
  <c r="C120" i="30"/>
  <c r="D120" i="30" s="1"/>
  <c r="E120" i="30" s="1"/>
  <c r="F120" i="30" s="1"/>
  <c r="G120" i="30" s="1"/>
  <c r="H120" i="30" s="1"/>
  <c r="I120" i="30" s="1"/>
  <c r="J120" i="30" s="1"/>
  <c r="K120" i="30" s="1"/>
  <c r="C116" i="30"/>
  <c r="D116" i="30" s="1"/>
  <c r="E116" i="30" s="1"/>
  <c r="F116" i="30" s="1"/>
  <c r="G116" i="30" s="1"/>
  <c r="H116" i="30" s="1"/>
  <c r="I116" i="30" s="1"/>
  <c r="J116" i="30" s="1"/>
  <c r="K116" i="30" s="1"/>
  <c r="C112" i="30"/>
  <c r="D112" i="30" s="1"/>
  <c r="E112" i="30" s="1"/>
  <c r="F112" i="30" s="1"/>
  <c r="G112" i="30" s="1"/>
  <c r="H112" i="30" s="1"/>
  <c r="I112" i="30" s="1"/>
  <c r="J112" i="30" s="1"/>
  <c r="K112" i="30" s="1"/>
  <c r="C145" i="30"/>
  <c r="D145" i="30" s="1"/>
  <c r="E145" i="30" s="1"/>
  <c r="F145" i="30" s="1"/>
  <c r="G145" i="30" s="1"/>
  <c r="H145" i="30" s="1"/>
  <c r="I145" i="30" s="1"/>
  <c r="J145" i="30" s="1"/>
  <c r="K145" i="30" s="1"/>
  <c r="C141" i="30"/>
  <c r="D141" i="30" s="1"/>
  <c r="E141" i="30" s="1"/>
  <c r="F141" i="30" s="1"/>
  <c r="G141" i="30" s="1"/>
  <c r="H141" i="30" s="1"/>
  <c r="I141" i="30" s="1"/>
  <c r="J141" i="30" s="1"/>
  <c r="K141" i="30" s="1"/>
  <c r="C137" i="30"/>
  <c r="D137" i="30" s="1"/>
  <c r="E137" i="30" s="1"/>
  <c r="F137" i="30" s="1"/>
  <c r="G137" i="30" s="1"/>
  <c r="H137" i="30" s="1"/>
  <c r="I137" i="30" s="1"/>
  <c r="J137" i="30" s="1"/>
  <c r="K137" i="30" s="1"/>
  <c r="C192" i="30"/>
  <c r="D192" i="30" s="1"/>
  <c r="E192" i="30" s="1"/>
  <c r="F192" i="30" s="1"/>
  <c r="G192" i="30" s="1"/>
  <c r="H192" i="30" s="1"/>
  <c r="I192" i="30" s="1"/>
  <c r="J192" i="30" s="1"/>
  <c r="K192" i="30" s="1"/>
  <c r="C188" i="30"/>
  <c r="D188" i="30" s="1"/>
  <c r="E188" i="30" s="1"/>
  <c r="F188" i="30" s="1"/>
  <c r="G188" i="30" s="1"/>
  <c r="H188" i="30" s="1"/>
  <c r="I188" i="30" s="1"/>
  <c r="J188" i="30" s="1"/>
  <c r="K188" i="30" s="1"/>
  <c r="C184" i="30"/>
  <c r="D184" i="30" s="1"/>
  <c r="E184" i="30" s="1"/>
  <c r="F184" i="30" s="1"/>
  <c r="G184" i="30" s="1"/>
  <c r="H184" i="30" s="1"/>
  <c r="I184" i="30" s="1"/>
  <c r="J184" i="30" s="1"/>
  <c r="K184" i="30" s="1"/>
  <c r="C180" i="30"/>
  <c r="D180" i="30" s="1"/>
  <c r="E180" i="30" s="1"/>
  <c r="F180" i="30" s="1"/>
  <c r="G180" i="30" s="1"/>
  <c r="H180" i="30" s="1"/>
  <c r="I180" i="30" s="1"/>
  <c r="J180" i="30" s="1"/>
  <c r="K180" i="30" s="1"/>
  <c r="C176" i="30"/>
  <c r="D176" i="30" s="1"/>
  <c r="E176" i="30" s="1"/>
  <c r="F176" i="30" s="1"/>
  <c r="G176" i="30" s="1"/>
  <c r="H176" i="30" s="1"/>
  <c r="I176" i="30" s="1"/>
  <c r="J176" i="30" s="1"/>
  <c r="K176" i="30" s="1"/>
  <c r="C172" i="30"/>
  <c r="D172" i="30" s="1"/>
  <c r="E172" i="30" s="1"/>
  <c r="F172" i="30" s="1"/>
  <c r="G172" i="30" s="1"/>
  <c r="H172" i="30" s="1"/>
  <c r="I172" i="30" s="1"/>
  <c r="J172" i="30" s="1"/>
  <c r="K172" i="30" s="1"/>
  <c r="C168" i="30"/>
  <c r="D168" i="30" s="1"/>
  <c r="E168" i="30" s="1"/>
  <c r="F168" i="30" s="1"/>
  <c r="G168" i="30" s="1"/>
  <c r="H168" i="30" s="1"/>
  <c r="I168" i="30" s="1"/>
  <c r="J168" i="30" s="1"/>
  <c r="K168" i="30" s="1"/>
  <c r="C164" i="30"/>
  <c r="D164" i="30" s="1"/>
  <c r="E164" i="30" s="1"/>
  <c r="F164" i="30" s="1"/>
  <c r="G164" i="30" s="1"/>
  <c r="H164" i="30" s="1"/>
  <c r="I164" i="30" s="1"/>
  <c r="J164" i="30" s="1"/>
  <c r="K164" i="30" s="1"/>
  <c r="C160" i="30"/>
  <c r="D160" i="30" s="1"/>
  <c r="E160" i="30" s="1"/>
  <c r="F160" i="30" s="1"/>
  <c r="G160" i="30" s="1"/>
  <c r="H160" i="30" s="1"/>
  <c r="I160" i="30" s="1"/>
  <c r="J160" i="30" s="1"/>
  <c r="K160" i="30" s="1"/>
  <c r="C156" i="30"/>
  <c r="D156" i="30" s="1"/>
  <c r="E156" i="30" s="1"/>
  <c r="F156" i="30" s="1"/>
  <c r="G156" i="30" s="1"/>
  <c r="H156" i="30" s="1"/>
  <c r="I156" i="30" s="1"/>
  <c r="J156" i="30" s="1"/>
  <c r="K156" i="30" s="1"/>
  <c r="C149" i="30"/>
  <c r="D149" i="30" s="1"/>
  <c r="E149" i="30" s="1"/>
  <c r="F149" i="30" s="1"/>
  <c r="G149" i="30" s="1"/>
  <c r="H149" i="30" s="1"/>
  <c r="I149" i="30" s="1"/>
  <c r="J149" i="30" s="1"/>
  <c r="K149" i="30" s="1"/>
  <c r="C63" i="30"/>
  <c r="D63" i="30" s="1"/>
  <c r="E63" i="30" s="1"/>
  <c r="F63" i="30" s="1"/>
  <c r="G63" i="30" s="1"/>
  <c r="H63" i="30" s="1"/>
  <c r="I63" i="30" s="1"/>
  <c r="J63" i="30" s="1"/>
  <c r="K63" i="30" s="1"/>
  <c r="C21" i="30"/>
  <c r="D21" i="30" s="1"/>
  <c r="E21" i="30" s="1"/>
  <c r="F21" i="30" s="1"/>
  <c r="G21" i="30" s="1"/>
  <c r="H21" i="30" s="1"/>
  <c r="I21" i="30" s="1"/>
  <c r="J21" i="30" s="1"/>
  <c r="K21" i="30" s="1"/>
  <c r="AS192" i="29"/>
  <c r="AS188" i="29"/>
  <c r="AS184" i="29"/>
  <c r="AS180" i="29"/>
  <c r="AS176" i="29"/>
  <c r="AS172" i="29"/>
  <c r="AS168" i="29"/>
  <c r="AS164" i="29"/>
  <c r="AS160" i="29"/>
  <c r="AS156" i="29"/>
  <c r="AS152" i="29"/>
  <c r="AY187" i="29" s="1"/>
  <c r="BL187" i="29" s="1"/>
  <c r="AS148" i="29"/>
  <c r="AS144" i="29"/>
  <c r="AS140" i="29"/>
  <c r="AS136" i="29"/>
  <c r="AS132" i="29"/>
  <c r="AS128" i="29"/>
  <c r="AS124" i="29"/>
  <c r="AY172" i="29" s="1"/>
  <c r="BL172" i="29" s="1"/>
  <c r="AS116" i="29"/>
  <c r="AS112" i="29"/>
  <c r="AS108" i="29"/>
  <c r="AY125" i="29" s="1"/>
  <c r="BL125" i="29" s="1"/>
  <c r="AS100" i="29"/>
  <c r="AS96" i="29"/>
  <c r="AS92" i="29"/>
  <c r="AY132" i="29" s="1"/>
  <c r="BL132" i="29" s="1"/>
  <c r="AS84" i="29"/>
  <c r="AS80" i="29"/>
  <c r="AY109" i="29" s="1"/>
  <c r="BL109" i="29" s="1"/>
  <c r="AS76" i="29"/>
  <c r="AS68" i="29"/>
  <c r="AS64" i="29"/>
  <c r="AS60" i="29"/>
  <c r="AS52" i="29"/>
  <c r="AS48" i="29"/>
  <c r="AY76" i="29" s="1"/>
  <c r="BL76" i="29" s="1"/>
  <c r="AS44" i="29"/>
  <c r="AY77" i="29" s="1"/>
  <c r="BL77" i="29" s="1"/>
  <c r="AS36" i="29"/>
  <c r="AS32" i="29"/>
  <c r="AS28" i="29"/>
  <c r="AS20" i="29"/>
  <c r="AS16" i="29"/>
  <c r="AS12" i="29"/>
  <c r="AY29" i="29" s="1"/>
  <c r="BL29" i="29" s="1"/>
  <c r="C27" i="30"/>
  <c r="D27" i="30" s="1"/>
  <c r="E27" i="30" s="1"/>
  <c r="F27" i="30" s="1"/>
  <c r="G27" i="30" s="1"/>
  <c r="H27" i="30" s="1"/>
  <c r="I27" i="30" s="1"/>
  <c r="J27" i="30" s="1"/>
  <c r="K27" i="30" s="1"/>
  <c r="C23" i="30"/>
  <c r="D23" i="30" s="1"/>
  <c r="E23" i="30" s="1"/>
  <c r="F23" i="30" s="1"/>
  <c r="G23" i="30" s="1"/>
  <c r="H23" i="30" s="1"/>
  <c r="I23" i="30" s="1"/>
  <c r="J23" i="30" s="1"/>
  <c r="K23" i="30" s="1"/>
  <c r="C19" i="30"/>
  <c r="D19" i="30" s="1"/>
  <c r="E19" i="30" s="1"/>
  <c r="F19" i="30" s="1"/>
  <c r="G19" i="30" s="1"/>
  <c r="H19" i="30" s="1"/>
  <c r="I19" i="30" s="1"/>
  <c r="J19" i="30" s="1"/>
  <c r="K19" i="30" s="1"/>
  <c r="C11" i="30"/>
  <c r="D11" i="30" s="1"/>
  <c r="E11" i="30" s="1"/>
  <c r="F11" i="30" s="1"/>
  <c r="G11" i="30" s="1"/>
  <c r="H11" i="30" s="1"/>
  <c r="I11" i="30" s="1"/>
  <c r="J11" i="30" s="1"/>
  <c r="K11" i="30" s="1"/>
  <c r="C7" i="30"/>
  <c r="D7" i="30" s="1"/>
  <c r="E7" i="30" s="1"/>
  <c r="F7" i="30" s="1"/>
  <c r="G7" i="30" s="1"/>
  <c r="H7" i="30" s="1"/>
  <c r="I7" i="30" s="1"/>
  <c r="J7" i="30" s="1"/>
  <c r="K7" i="30" s="1"/>
  <c r="C3" i="30"/>
  <c r="D3" i="30" s="1"/>
  <c r="E3" i="30" s="1"/>
  <c r="F3" i="30" s="1"/>
  <c r="G3" i="30" s="1"/>
  <c r="H3" i="30" s="1"/>
  <c r="I3" i="30" s="1"/>
  <c r="J3" i="30" s="1"/>
  <c r="K3" i="30" s="1"/>
  <c r="C59" i="30"/>
  <c r="D59" i="30" s="1"/>
  <c r="E59" i="30" s="1"/>
  <c r="F59" i="30" s="1"/>
  <c r="G59" i="30" s="1"/>
  <c r="H59" i="30" s="1"/>
  <c r="I59" i="30" s="1"/>
  <c r="J59" i="30" s="1"/>
  <c r="K59" i="30" s="1"/>
  <c r="C55" i="30"/>
  <c r="D55" i="30" s="1"/>
  <c r="E55" i="30" s="1"/>
  <c r="F55" i="30" s="1"/>
  <c r="G55" i="30" s="1"/>
  <c r="H55" i="30" s="1"/>
  <c r="I55" i="30" s="1"/>
  <c r="J55" i="30" s="1"/>
  <c r="K55" i="30" s="1"/>
  <c r="C51" i="30"/>
  <c r="D51" i="30" s="1"/>
  <c r="E51" i="30" s="1"/>
  <c r="F51" i="30" s="1"/>
  <c r="G51" i="30" s="1"/>
  <c r="H51" i="30" s="1"/>
  <c r="I51" i="30" s="1"/>
  <c r="J51" i="30" s="1"/>
  <c r="K51" i="30" s="1"/>
  <c r="C43" i="30"/>
  <c r="D43" i="30" s="1"/>
  <c r="E43" i="30" s="1"/>
  <c r="F43" i="30" s="1"/>
  <c r="G43" i="30" s="1"/>
  <c r="H43" i="30" s="1"/>
  <c r="I43" i="30" s="1"/>
  <c r="J43" i="30" s="1"/>
  <c r="K43" i="30" s="1"/>
  <c r="C39" i="30"/>
  <c r="D39" i="30" s="1"/>
  <c r="E39" i="30" s="1"/>
  <c r="F39" i="30" s="1"/>
  <c r="G39" i="30" s="1"/>
  <c r="H39" i="30" s="1"/>
  <c r="I39" i="30" s="1"/>
  <c r="J39" i="30" s="1"/>
  <c r="K39" i="30" s="1"/>
  <c r="C35" i="30"/>
  <c r="D35" i="30" s="1"/>
  <c r="E35" i="30" s="1"/>
  <c r="F35" i="30" s="1"/>
  <c r="G35" i="30" s="1"/>
  <c r="H35" i="30" s="1"/>
  <c r="I35" i="30" s="1"/>
  <c r="J35" i="30" s="1"/>
  <c r="K35" i="30" s="1"/>
  <c r="C89" i="30"/>
  <c r="D89" i="30" s="1"/>
  <c r="E89" i="30" s="1"/>
  <c r="F89" i="30" s="1"/>
  <c r="G89" i="30" s="1"/>
  <c r="H89" i="30" s="1"/>
  <c r="I89" i="30" s="1"/>
  <c r="J89" i="30" s="1"/>
  <c r="K89" i="30" s="1"/>
  <c r="L85" i="30"/>
  <c r="C81" i="30"/>
  <c r="D81" i="30" s="1"/>
  <c r="E81" i="30" s="1"/>
  <c r="F81" i="30" s="1"/>
  <c r="G81" i="30" s="1"/>
  <c r="H81" i="30" s="1"/>
  <c r="I81" i="30" s="1"/>
  <c r="J81" i="30" s="1"/>
  <c r="K81" i="30" s="1"/>
  <c r="C77" i="30"/>
  <c r="D77" i="30" s="1"/>
  <c r="E77" i="30" s="1"/>
  <c r="F77" i="30" s="1"/>
  <c r="G77" i="30" s="1"/>
  <c r="H77" i="30" s="1"/>
  <c r="I77" i="30" s="1"/>
  <c r="J77" i="30" s="1"/>
  <c r="K77" i="30" s="1"/>
  <c r="C73" i="30"/>
  <c r="D73" i="30" s="1"/>
  <c r="E73" i="30" s="1"/>
  <c r="F73" i="30" s="1"/>
  <c r="G73" i="30" s="1"/>
  <c r="H73" i="30" s="1"/>
  <c r="I73" i="30" s="1"/>
  <c r="J73" i="30" s="1"/>
  <c r="K73" i="30" s="1"/>
  <c r="C65" i="30"/>
  <c r="D65" i="30" s="1"/>
  <c r="E65" i="30" s="1"/>
  <c r="F65" i="30" s="1"/>
  <c r="G65" i="30" s="1"/>
  <c r="H65" i="30" s="1"/>
  <c r="I65" i="30" s="1"/>
  <c r="J65" i="30" s="1"/>
  <c r="K65" i="30" s="1"/>
  <c r="C110" i="30"/>
  <c r="D110" i="30" s="1"/>
  <c r="E110" i="30" s="1"/>
  <c r="F110" i="30" s="1"/>
  <c r="G110" i="30" s="1"/>
  <c r="H110" i="30" s="1"/>
  <c r="I110" i="30" s="1"/>
  <c r="J110" i="30" s="1"/>
  <c r="K110" i="30" s="1"/>
  <c r="L106" i="30"/>
  <c r="C102" i="30"/>
  <c r="D102" i="30" s="1"/>
  <c r="E102" i="30" s="1"/>
  <c r="F102" i="30" s="1"/>
  <c r="G102" i="30" s="1"/>
  <c r="H102" i="30" s="1"/>
  <c r="I102" i="30" s="1"/>
  <c r="J102" i="30" s="1"/>
  <c r="K102" i="30" s="1"/>
  <c r="C98" i="30"/>
  <c r="D98" i="30" s="1"/>
  <c r="E98" i="30" s="1"/>
  <c r="F98" i="30" s="1"/>
  <c r="G98" i="30" s="1"/>
  <c r="H98" i="30" s="1"/>
  <c r="I98" i="30" s="1"/>
  <c r="J98" i="30" s="1"/>
  <c r="K98" i="30" s="1"/>
  <c r="C94" i="30"/>
  <c r="D94" i="30" s="1"/>
  <c r="E94" i="30" s="1"/>
  <c r="F94" i="30" s="1"/>
  <c r="G94" i="30" s="1"/>
  <c r="H94" i="30" s="1"/>
  <c r="I94" i="30" s="1"/>
  <c r="J94" i="30" s="1"/>
  <c r="K94" i="30" s="1"/>
  <c r="C131" i="30"/>
  <c r="D131" i="30" s="1"/>
  <c r="E131" i="30" s="1"/>
  <c r="F131" i="30" s="1"/>
  <c r="G131" i="30" s="1"/>
  <c r="H131" i="30" s="1"/>
  <c r="I131" i="30" s="1"/>
  <c r="J131" i="30" s="1"/>
  <c r="K131" i="30" s="1"/>
  <c r="L127" i="30"/>
  <c r="C123" i="30"/>
  <c r="D123" i="30" s="1"/>
  <c r="E123" i="30" s="1"/>
  <c r="F123" i="30" s="1"/>
  <c r="G123" i="30" s="1"/>
  <c r="H123" i="30" s="1"/>
  <c r="I123" i="30" s="1"/>
  <c r="J123" i="30" s="1"/>
  <c r="K123" i="30" s="1"/>
  <c r="C119" i="30"/>
  <c r="D119" i="30" s="1"/>
  <c r="E119" i="30" s="1"/>
  <c r="F119" i="30" s="1"/>
  <c r="G119" i="30" s="1"/>
  <c r="H119" i="30" s="1"/>
  <c r="I119" i="30" s="1"/>
  <c r="J119" i="30" s="1"/>
  <c r="K119" i="30" s="1"/>
  <c r="C115" i="30"/>
  <c r="D115" i="30" s="1"/>
  <c r="E115" i="30" s="1"/>
  <c r="F115" i="30" s="1"/>
  <c r="G115" i="30" s="1"/>
  <c r="H115" i="30" s="1"/>
  <c r="I115" i="30" s="1"/>
  <c r="J115" i="30" s="1"/>
  <c r="K115" i="30" s="1"/>
  <c r="L115" i="30" s="1"/>
  <c r="C152" i="30"/>
  <c r="D152" i="30" s="1"/>
  <c r="E152" i="30" s="1"/>
  <c r="F152" i="30" s="1"/>
  <c r="G152" i="30" s="1"/>
  <c r="H152" i="30" s="1"/>
  <c r="I152" i="30" s="1"/>
  <c r="J152" i="30" s="1"/>
  <c r="K152" i="30" s="1"/>
  <c r="C148" i="30"/>
  <c r="D148" i="30" s="1"/>
  <c r="E148" i="30" s="1"/>
  <c r="F148" i="30" s="1"/>
  <c r="G148" i="30" s="1"/>
  <c r="H148" i="30" s="1"/>
  <c r="I148" i="30" s="1"/>
  <c r="J148" i="30" s="1"/>
  <c r="K148" i="30" s="1"/>
  <c r="C144" i="30"/>
  <c r="D144" i="30" s="1"/>
  <c r="E144" i="30" s="1"/>
  <c r="F144" i="30" s="1"/>
  <c r="G144" i="30" s="1"/>
  <c r="H144" i="30" s="1"/>
  <c r="I144" i="30" s="1"/>
  <c r="J144" i="30" s="1"/>
  <c r="K144" i="30" s="1"/>
  <c r="C140" i="30"/>
  <c r="D140" i="30" s="1"/>
  <c r="E140" i="30" s="1"/>
  <c r="F140" i="30" s="1"/>
  <c r="G140" i="30" s="1"/>
  <c r="H140" i="30" s="1"/>
  <c r="I140" i="30" s="1"/>
  <c r="J140" i="30" s="1"/>
  <c r="K140" i="30" s="1"/>
  <c r="C136" i="30"/>
  <c r="D136" i="30" s="1"/>
  <c r="E136" i="30" s="1"/>
  <c r="F136" i="30" s="1"/>
  <c r="G136" i="30" s="1"/>
  <c r="H136" i="30" s="1"/>
  <c r="I136" i="30" s="1"/>
  <c r="J136" i="30" s="1"/>
  <c r="K136" i="30" s="1"/>
  <c r="C187" i="30"/>
  <c r="D187" i="30" s="1"/>
  <c r="E187" i="30" s="1"/>
  <c r="F187" i="30" s="1"/>
  <c r="G187" i="30" s="1"/>
  <c r="H187" i="30" s="1"/>
  <c r="I187" i="30" s="1"/>
  <c r="J187" i="30" s="1"/>
  <c r="K187" i="30" s="1"/>
  <c r="C183" i="30"/>
  <c r="D183" i="30" s="1"/>
  <c r="E183" i="30" s="1"/>
  <c r="F183" i="30" s="1"/>
  <c r="G183" i="30" s="1"/>
  <c r="H183" i="30" s="1"/>
  <c r="I183" i="30" s="1"/>
  <c r="J183" i="30" s="1"/>
  <c r="K183" i="30" s="1"/>
  <c r="C179" i="30"/>
  <c r="D179" i="30" s="1"/>
  <c r="E179" i="30" s="1"/>
  <c r="F179" i="30" s="1"/>
  <c r="G179" i="30" s="1"/>
  <c r="H179" i="30" s="1"/>
  <c r="I179" i="30" s="1"/>
  <c r="J179" i="30" s="1"/>
  <c r="K179" i="30" s="1"/>
  <c r="C171" i="30"/>
  <c r="D171" i="30" s="1"/>
  <c r="E171" i="30" s="1"/>
  <c r="F171" i="30" s="1"/>
  <c r="G171" i="30" s="1"/>
  <c r="H171" i="30" s="1"/>
  <c r="I171" i="30" s="1"/>
  <c r="J171" i="30" s="1"/>
  <c r="K171" i="30" s="1"/>
  <c r="C167" i="30"/>
  <c r="D167" i="30" s="1"/>
  <c r="E167" i="30" s="1"/>
  <c r="F167" i="30" s="1"/>
  <c r="G167" i="30" s="1"/>
  <c r="H167" i="30" s="1"/>
  <c r="I167" i="30" s="1"/>
  <c r="J167" i="30" s="1"/>
  <c r="K167" i="30" s="1"/>
  <c r="C163" i="30"/>
  <c r="D163" i="30" s="1"/>
  <c r="E163" i="30" s="1"/>
  <c r="F163" i="30" s="1"/>
  <c r="G163" i="30" s="1"/>
  <c r="H163" i="30" s="1"/>
  <c r="I163" i="30" s="1"/>
  <c r="J163" i="30" s="1"/>
  <c r="K163" i="30" s="1"/>
  <c r="C155" i="30"/>
  <c r="D155" i="30" s="1"/>
  <c r="E155" i="30" s="1"/>
  <c r="F155" i="30" s="1"/>
  <c r="G155" i="30" s="1"/>
  <c r="H155" i="30" s="1"/>
  <c r="I155" i="30" s="1"/>
  <c r="J155" i="30" s="1"/>
  <c r="K155" i="30" s="1"/>
  <c r="C165" i="30"/>
  <c r="D165" i="30" s="1"/>
  <c r="E165" i="30" s="1"/>
  <c r="F165" i="30" s="1"/>
  <c r="G165" i="30" s="1"/>
  <c r="H165" i="30" s="1"/>
  <c r="I165" i="30" s="1"/>
  <c r="J165" i="30" s="1"/>
  <c r="K165" i="30" s="1"/>
  <c r="C79" i="30"/>
  <c r="D79" i="30" s="1"/>
  <c r="E79" i="30" s="1"/>
  <c r="F79" i="30" s="1"/>
  <c r="G79" i="30" s="1"/>
  <c r="H79" i="30" s="1"/>
  <c r="I79" i="30" s="1"/>
  <c r="J79" i="30" s="1"/>
  <c r="K79" i="30" s="1"/>
  <c r="C37" i="30"/>
  <c r="D37" i="30" s="1"/>
  <c r="E37" i="30" s="1"/>
  <c r="F37" i="30" s="1"/>
  <c r="G37" i="30" s="1"/>
  <c r="H37" i="30" s="1"/>
  <c r="I37" i="30" s="1"/>
  <c r="J37" i="30" s="1"/>
  <c r="K37" i="30" s="1"/>
  <c r="C15" i="30"/>
  <c r="D15" i="30" s="1"/>
  <c r="E15" i="30" s="1"/>
  <c r="F15" i="30" s="1"/>
  <c r="G15" i="30" s="1"/>
  <c r="H15" i="30" s="1"/>
  <c r="I15" i="30" s="1"/>
  <c r="J15" i="30" s="1"/>
  <c r="K15" i="30" s="1"/>
  <c r="AS191" i="29"/>
  <c r="AS187" i="29"/>
  <c r="AS183" i="29"/>
  <c r="AS179" i="29"/>
  <c r="AS175" i="29"/>
  <c r="AS171" i="29"/>
  <c r="AS167" i="29"/>
  <c r="AS163" i="29"/>
  <c r="AS159" i="29"/>
  <c r="AS155" i="29"/>
  <c r="AS151" i="29"/>
  <c r="AS147" i="29"/>
  <c r="AS143" i="29"/>
  <c r="AS139" i="29"/>
  <c r="AY175" i="29" s="1"/>
  <c r="BL175" i="29" s="1"/>
  <c r="AS135" i="29"/>
  <c r="AS131" i="29"/>
  <c r="AS127" i="29"/>
  <c r="AS123" i="29"/>
  <c r="AS119" i="29"/>
  <c r="AS115" i="29"/>
  <c r="AS111" i="29"/>
  <c r="AS107" i="29"/>
  <c r="AY155" i="29" s="1"/>
  <c r="BL155" i="29" s="1"/>
  <c r="AS103" i="29"/>
  <c r="AY141" i="29" s="1"/>
  <c r="BL141" i="29" s="1"/>
  <c r="AS99" i="29"/>
  <c r="AY124" i="29" s="1"/>
  <c r="BL124" i="29" s="1"/>
  <c r="AS95" i="29"/>
  <c r="AS91" i="29"/>
  <c r="AS87" i="29"/>
  <c r="AS83" i="29"/>
  <c r="AY122" i="29" s="1"/>
  <c r="BL122" i="29" s="1"/>
  <c r="AS79" i="29"/>
  <c r="AY110" i="29" s="1"/>
  <c r="BL110" i="29" s="1"/>
  <c r="AS75" i="29"/>
  <c r="AY106" i="29" s="1"/>
  <c r="BL106" i="29" s="1"/>
  <c r="AS71" i="29"/>
  <c r="AS67" i="29"/>
  <c r="AS63" i="29"/>
  <c r="AS59" i="29"/>
  <c r="AY90" i="29" s="1"/>
  <c r="BL90" i="29" s="1"/>
  <c r="AS55" i="29"/>
  <c r="AS51" i="29"/>
  <c r="AS47" i="29"/>
  <c r="AY75" i="29" s="1"/>
  <c r="BL75" i="29" s="1"/>
  <c r="AS43" i="29"/>
  <c r="AS39" i="29"/>
  <c r="AS35" i="29"/>
  <c r="AY70" i="29" s="1"/>
  <c r="BL70" i="29" s="1"/>
  <c r="AS31" i="29"/>
  <c r="AY61" i="29" s="1"/>
  <c r="BL61" i="29" s="1"/>
  <c r="AS27" i="29"/>
  <c r="AS23" i="29"/>
  <c r="AS19" i="29"/>
  <c r="AS15" i="29"/>
  <c r="AS11" i="29"/>
  <c r="AY26" i="29" s="1"/>
  <c r="BL26" i="29" s="1"/>
  <c r="AS7" i="29"/>
  <c r="AY19" i="29" s="1"/>
  <c r="BL19" i="29" s="1"/>
  <c r="C30" i="30"/>
  <c r="D30" i="30" s="1"/>
  <c r="E30" i="30" s="1"/>
  <c r="F30" i="30" s="1"/>
  <c r="G30" i="30" s="1"/>
  <c r="H30" i="30" s="1"/>
  <c r="I30" i="30" s="1"/>
  <c r="J30" i="30" s="1"/>
  <c r="K30" i="30" s="1"/>
  <c r="L26" i="30"/>
  <c r="C22" i="30"/>
  <c r="D22" i="30" s="1"/>
  <c r="E22" i="30" s="1"/>
  <c r="F22" i="30" s="1"/>
  <c r="G22" i="30" s="1"/>
  <c r="H22" i="30" s="1"/>
  <c r="I22" i="30" s="1"/>
  <c r="J22" i="30" s="1"/>
  <c r="K22" i="30" s="1"/>
  <c r="C18" i="30"/>
  <c r="D18" i="30" s="1"/>
  <c r="E18" i="30" s="1"/>
  <c r="F18" i="30" s="1"/>
  <c r="G18" i="30" s="1"/>
  <c r="H18" i="30" s="1"/>
  <c r="I18" i="30" s="1"/>
  <c r="J18" i="30" s="1"/>
  <c r="K18" i="30" s="1"/>
  <c r="C14" i="30"/>
  <c r="D14" i="30" s="1"/>
  <c r="E14" i="30" s="1"/>
  <c r="F14" i="30" s="1"/>
  <c r="G14" i="30" s="1"/>
  <c r="H14" i="30" s="1"/>
  <c r="I14" i="30" s="1"/>
  <c r="J14" i="30" s="1"/>
  <c r="K14" i="30" s="1"/>
  <c r="C6" i="30"/>
  <c r="D6" i="30" s="1"/>
  <c r="E6" i="30" s="1"/>
  <c r="F6" i="30" s="1"/>
  <c r="G6" i="30" s="1"/>
  <c r="H6" i="30" s="1"/>
  <c r="I6" i="30" s="1"/>
  <c r="J6" i="30" s="1"/>
  <c r="K6" i="30" s="1"/>
  <c r="C62" i="30"/>
  <c r="D62" i="30" s="1"/>
  <c r="E62" i="30" s="1"/>
  <c r="F62" i="30" s="1"/>
  <c r="G62" i="30" s="1"/>
  <c r="H62" i="30" s="1"/>
  <c r="I62" i="30" s="1"/>
  <c r="J62" i="30" s="1"/>
  <c r="K62" i="30" s="1"/>
  <c r="L58" i="30"/>
  <c r="C54" i="30"/>
  <c r="D54" i="30" s="1"/>
  <c r="E54" i="30" s="1"/>
  <c r="F54" i="30" s="1"/>
  <c r="G54" i="30" s="1"/>
  <c r="H54" i="30" s="1"/>
  <c r="I54" i="30" s="1"/>
  <c r="J54" i="30" s="1"/>
  <c r="K54" i="30" s="1"/>
  <c r="C50" i="30"/>
  <c r="D50" i="30" s="1"/>
  <c r="E50" i="30" s="1"/>
  <c r="F50" i="30" s="1"/>
  <c r="G50" i="30" s="1"/>
  <c r="H50" i="30" s="1"/>
  <c r="I50" i="30" s="1"/>
  <c r="J50" i="30" s="1"/>
  <c r="K50" i="30" s="1"/>
  <c r="C46" i="30"/>
  <c r="D46" i="30" s="1"/>
  <c r="E46" i="30" s="1"/>
  <c r="F46" i="30" s="1"/>
  <c r="G46" i="30" s="1"/>
  <c r="H46" i="30" s="1"/>
  <c r="I46" i="30" s="1"/>
  <c r="J46" i="30" s="1"/>
  <c r="K46" i="30" s="1"/>
  <c r="L42" i="30"/>
  <c r="C38" i="30"/>
  <c r="D38" i="30" s="1"/>
  <c r="E38" i="30" s="1"/>
  <c r="F38" i="30" s="1"/>
  <c r="G38" i="30" s="1"/>
  <c r="H38" i="30" s="1"/>
  <c r="I38" i="30" s="1"/>
  <c r="J38" i="30" s="1"/>
  <c r="K38" i="30" s="1"/>
  <c r="C34" i="30"/>
  <c r="D34" i="30" s="1"/>
  <c r="E34" i="30" s="1"/>
  <c r="F34" i="30" s="1"/>
  <c r="G34" i="30" s="1"/>
  <c r="H34" i="30" s="1"/>
  <c r="I34" i="30" s="1"/>
  <c r="J34" i="30" s="1"/>
  <c r="K34" i="30" s="1"/>
  <c r="C92" i="30"/>
  <c r="D92" i="30" s="1"/>
  <c r="E92" i="30" s="1"/>
  <c r="F92" i="30" s="1"/>
  <c r="G92" i="30" s="1"/>
  <c r="H92" i="30" s="1"/>
  <c r="I92" i="30" s="1"/>
  <c r="J92" i="30" s="1"/>
  <c r="K92" i="30" s="1"/>
  <c r="C88" i="30"/>
  <c r="D88" i="30" s="1"/>
  <c r="E88" i="30" s="1"/>
  <c r="F88" i="30" s="1"/>
  <c r="G88" i="30" s="1"/>
  <c r="H88" i="30" s="1"/>
  <c r="I88" i="30" s="1"/>
  <c r="J88" i="30" s="1"/>
  <c r="K88" i="30" s="1"/>
  <c r="C84" i="30"/>
  <c r="D84" i="30" s="1"/>
  <c r="E84" i="30" s="1"/>
  <c r="F84" i="30" s="1"/>
  <c r="G84" i="30" s="1"/>
  <c r="H84" i="30" s="1"/>
  <c r="I84" i="30" s="1"/>
  <c r="J84" i="30" s="1"/>
  <c r="K84" i="30" s="1"/>
  <c r="C80" i="30"/>
  <c r="D80" i="30" s="1"/>
  <c r="E80" i="30" s="1"/>
  <c r="F80" i="30" s="1"/>
  <c r="G80" i="30" s="1"/>
  <c r="H80" i="30" s="1"/>
  <c r="I80" i="30" s="1"/>
  <c r="J80" i="30" s="1"/>
  <c r="K80" i="30" s="1"/>
  <c r="C76" i="30"/>
  <c r="D76" i="30" s="1"/>
  <c r="E76" i="30" s="1"/>
  <c r="F76" i="30" s="1"/>
  <c r="G76" i="30" s="1"/>
  <c r="H76" i="30" s="1"/>
  <c r="I76" i="30" s="1"/>
  <c r="J76" i="30" s="1"/>
  <c r="K76" i="30" s="1"/>
  <c r="C72" i="30"/>
  <c r="D72" i="30" s="1"/>
  <c r="E72" i="30" s="1"/>
  <c r="F72" i="30" s="1"/>
  <c r="G72" i="30" s="1"/>
  <c r="H72" i="30" s="1"/>
  <c r="I72" i="30" s="1"/>
  <c r="J72" i="30" s="1"/>
  <c r="K72" i="30" s="1"/>
  <c r="C68" i="30"/>
  <c r="D68" i="30" s="1"/>
  <c r="E68" i="30" s="1"/>
  <c r="F68" i="30" s="1"/>
  <c r="G68" i="30" s="1"/>
  <c r="H68" i="30" s="1"/>
  <c r="I68" i="30" s="1"/>
  <c r="J68" i="30" s="1"/>
  <c r="K68" i="30" s="1"/>
  <c r="C64" i="30"/>
  <c r="D64" i="30" s="1"/>
  <c r="E64" i="30" s="1"/>
  <c r="F64" i="30" s="1"/>
  <c r="G64" i="30" s="1"/>
  <c r="H64" i="30" s="1"/>
  <c r="I64" i="30" s="1"/>
  <c r="J64" i="30" s="1"/>
  <c r="K64" i="30" s="1"/>
  <c r="C109" i="30"/>
  <c r="D109" i="30" s="1"/>
  <c r="E109" i="30" s="1"/>
  <c r="F109" i="30" s="1"/>
  <c r="G109" i="30" s="1"/>
  <c r="H109" i="30" s="1"/>
  <c r="I109" i="30" s="1"/>
  <c r="J109" i="30" s="1"/>
  <c r="K109" i="30" s="1"/>
  <c r="C105" i="30"/>
  <c r="D105" i="30" s="1"/>
  <c r="E105" i="30" s="1"/>
  <c r="F105" i="30" s="1"/>
  <c r="G105" i="30" s="1"/>
  <c r="H105" i="30" s="1"/>
  <c r="I105" i="30" s="1"/>
  <c r="J105" i="30" s="1"/>
  <c r="K105" i="30" s="1"/>
  <c r="L101" i="30"/>
  <c r="C97" i="30"/>
  <c r="D97" i="30" s="1"/>
  <c r="E97" i="30" s="1"/>
  <c r="F97" i="30" s="1"/>
  <c r="G97" i="30" s="1"/>
  <c r="H97" i="30" s="1"/>
  <c r="I97" i="30" s="1"/>
  <c r="J97" i="30" s="1"/>
  <c r="K97" i="30" s="1"/>
  <c r="C93" i="30"/>
  <c r="D93" i="30" s="1"/>
  <c r="E93" i="30" s="1"/>
  <c r="F93" i="30" s="1"/>
  <c r="G93" i="30" s="1"/>
  <c r="H93" i="30" s="1"/>
  <c r="I93" i="30" s="1"/>
  <c r="J93" i="30" s="1"/>
  <c r="K93" i="30" s="1"/>
  <c r="C130" i="30"/>
  <c r="D130" i="30" s="1"/>
  <c r="E130" i="30" s="1"/>
  <c r="F130" i="30" s="1"/>
  <c r="G130" i="30" s="1"/>
  <c r="H130" i="30" s="1"/>
  <c r="I130" i="30" s="1"/>
  <c r="J130" i="30" s="1"/>
  <c r="K130" i="30" s="1"/>
  <c r="C126" i="30"/>
  <c r="D126" i="30" s="1"/>
  <c r="E126" i="30" s="1"/>
  <c r="F126" i="30" s="1"/>
  <c r="G126" i="30" s="1"/>
  <c r="H126" i="30" s="1"/>
  <c r="I126" i="30" s="1"/>
  <c r="J126" i="30" s="1"/>
  <c r="K126" i="30" s="1"/>
  <c r="L122" i="30"/>
  <c r="C118" i="30"/>
  <c r="D118" i="30" s="1"/>
  <c r="E118" i="30" s="1"/>
  <c r="F118" i="30" s="1"/>
  <c r="G118" i="30" s="1"/>
  <c r="H118" i="30" s="1"/>
  <c r="I118" i="30" s="1"/>
  <c r="J118" i="30" s="1"/>
  <c r="K118" i="30" s="1"/>
  <c r="C114" i="30"/>
  <c r="D114" i="30" s="1"/>
  <c r="E114" i="30" s="1"/>
  <c r="F114" i="30" s="1"/>
  <c r="G114" i="30" s="1"/>
  <c r="H114" i="30" s="1"/>
  <c r="I114" i="30" s="1"/>
  <c r="J114" i="30" s="1"/>
  <c r="K114" i="30" s="1"/>
  <c r="L114" i="30" s="1"/>
  <c r="C151" i="30"/>
  <c r="D151" i="30" s="1"/>
  <c r="E151" i="30" s="1"/>
  <c r="F151" i="30" s="1"/>
  <c r="G151" i="30" s="1"/>
  <c r="H151" i="30" s="1"/>
  <c r="I151" i="30" s="1"/>
  <c r="J151" i="30" s="1"/>
  <c r="K151" i="30" s="1"/>
  <c r="C147" i="30"/>
  <c r="D147" i="30" s="1"/>
  <c r="E147" i="30" s="1"/>
  <c r="F147" i="30" s="1"/>
  <c r="G147" i="30" s="1"/>
  <c r="H147" i="30" s="1"/>
  <c r="I147" i="30" s="1"/>
  <c r="J147" i="30" s="1"/>
  <c r="K147" i="30" s="1"/>
  <c r="L143" i="30"/>
  <c r="C139" i="30"/>
  <c r="D139" i="30" s="1"/>
  <c r="E139" i="30" s="1"/>
  <c r="F139" i="30" s="1"/>
  <c r="G139" i="30" s="1"/>
  <c r="H139" i="30" s="1"/>
  <c r="I139" i="30" s="1"/>
  <c r="J139" i="30" s="1"/>
  <c r="K139" i="30" s="1"/>
  <c r="C135" i="30"/>
  <c r="D135" i="30" s="1"/>
  <c r="E135" i="30" s="1"/>
  <c r="F135" i="30" s="1"/>
  <c r="G135" i="30" s="1"/>
  <c r="H135" i="30" s="1"/>
  <c r="I135" i="30" s="1"/>
  <c r="J135" i="30" s="1"/>
  <c r="K135" i="30" s="1"/>
  <c r="C190" i="30"/>
  <c r="D190" i="30" s="1"/>
  <c r="E190" i="30" s="1"/>
  <c r="F190" i="30" s="1"/>
  <c r="G190" i="30" s="1"/>
  <c r="H190" i="30" s="1"/>
  <c r="I190" i="30" s="1"/>
  <c r="J190" i="30" s="1"/>
  <c r="K190" i="30" s="1"/>
  <c r="C182" i="30"/>
  <c r="D182" i="30" s="1"/>
  <c r="E182" i="30" s="1"/>
  <c r="F182" i="30" s="1"/>
  <c r="G182" i="30" s="1"/>
  <c r="H182" i="30" s="1"/>
  <c r="I182" i="30" s="1"/>
  <c r="J182" i="30" s="1"/>
  <c r="K182" i="30" s="1"/>
  <c r="C178" i="30"/>
  <c r="D178" i="30" s="1"/>
  <c r="E178" i="30" s="1"/>
  <c r="F178" i="30" s="1"/>
  <c r="G178" i="30" s="1"/>
  <c r="H178" i="30" s="1"/>
  <c r="I178" i="30" s="1"/>
  <c r="J178" i="30" s="1"/>
  <c r="K178" i="30" s="1"/>
  <c r="C174" i="30"/>
  <c r="D174" i="30" s="1"/>
  <c r="E174" i="30" s="1"/>
  <c r="F174" i="30" s="1"/>
  <c r="G174" i="30" s="1"/>
  <c r="H174" i="30" s="1"/>
  <c r="I174" i="30" s="1"/>
  <c r="J174" i="30" s="1"/>
  <c r="K174" i="30" s="1"/>
  <c r="L170" i="30"/>
  <c r="C166" i="30"/>
  <c r="D166" i="30" s="1"/>
  <c r="E166" i="30" s="1"/>
  <c r="F166" i="30" s="1"/>
  <c r="G166" i="30" s="1"/>
  <c r="H166" i="30" s="1"/>
  <c r="I166" i="30" s="1"/>
  <c r="J166" i="30" s="1"/>
  <c r="K166" i="30" s="1"/>
  <c r="C162" i="30"/>
  <c r="D162" i="30" s="1"/>
  <c r="E162" i="30" s="1"/>
  <c r="F162" i="30" s="1"/>
  <c r="G162" i="30" s="1"/>
  <c r="H162" i="30" s="1"/>
  <c r="I162" i="30" s="1"/>
  <c r="J162" i="30" s="1"/>
  <c r="K162" i="30" s="1"/>
  <c r="C158" i="30"/>
  <c r="D158" i="30" s="1"/>
  <c r="E158" i="30" s="1"/>
  <c r="F158" i="30" s="1"/>
  <c r="G158" i="30" s="1"/>
  <c r="H158" i="30" s="1"/>
  <c r="I158" i="30" s="1"/>
  <c r="J158" i="30" s="1"/>
  <c r="K158" i="30" s="1"/>
  <c r="C181" i="30"/>
  <c r="D181" i="30" s="1"/>
  <c r="E181" i="30" s="1"/>
  <c r="F181" i="30" s="1"/>
  <c r="G181" i="30" s="1"/>
  <c r="H181" i="30" s="1"/>
  <c r="I181" i="30" s="1"/>
  <c r="J181" i="30" s="1"/>
  <c r="K181" i="30" s="1"/>
  <c r="C159" i="30"/>
  <c r="D159" i="30" s="1"/>
  <c r="E159" i="30" s="1"/>
  <c r="F159" i="30" s="1"/>
  <c r="G159" i="30" s="1"/>
  <c r="H159" i="30" s="1"/>
  <c r="I159" i="30" s="1"/>
  <c r="J159" i="30" s="1"/>
  <c r="K159" i="30" s="1"/>
  <c r="C138" i="30"/>
  <c r="D138" i="30" s="1"/>
  <c r="E138" i="30" s="1"/>
  <c r="F138" i="30" s="1"/>
  <c r="G138" i="30" s="1"/>
  <c r="H138" i="30" s="1"/>
  <c r="I138" i="30" s="1"/>
  <c r="J138" i="30" s="1"/>
  <c r="K138" i="30" s="1"/>
  <c r="C117" i="30"/>
  <c r="D117" i="30" s="1"/>
  <c r="E117" i="30" s="1"/>
  <c r="F117" i="30" s="1"/>
  <c r="G117" i="30" s="1"/>
  <c r="H117" i="30" s="1"/>
  <c r="I117" i="30" s="1"/>
  <c r="J117" i="30" s="1"/>
  <c r="K117" i="30" s="1"/>
  <c r="C95" i="30"/>
  <c r="D95" i="30" s="1"/>
  <c r="E95" i="30" s="1"/>
  <c r="F95" i="30" s="1"/>
  <c r="G95" i="30" s="1"/>
  <c r="H95" i="30" s="1"/>
  <c r="I95" i="30" s="1"/>
  <c r="J95" i="30" s="1"/>
  <c r="K95" i="30" s="1"/>
  <c r="C74" i="30"/>
  <c r="D74" i="30" s="1"/>
  <c r="E74" i="30" s="1"/>
  <c r="F74" i="30" s="1"/>
  <c r="G74" i="30" s="1"/>
  <c r="H74" i="30" s="1"/>
  <c r="I74" i="30" s="1"/>
  <c r="J74" i="30" s="1"/>
  <c r="K74" i="30" s="1"/>
  <c r="C53" i="30"/>
  <c r="D53" i="30" s="1"/>
  <c r="E53" i="30" s="1"/>
  <c r="F53" i="30" s="1"/>
  <c r="G53" i="30" s="1"/>
  <c r="H53" i="30" s="1"/>
  <c r="I53" i="30" s="1"/>
  <c r="J53" i="30" s="1"/>
  <c r="K53" i="30" s="1"/>
  <c r="C31" i="30"/>
  <c r="D31" i="30" s="1"/>
  <c r="E31" i="30" s="1"/>
  <c r="F31" i="30" s="1"/>
  <c r="G31" i="30" s="1"/>
  <c r="H31" i="30" s="1"/>
  <c r="I31" i="30" s="1"/>
  <c r="J31" i="30" s="1"/>
  <c r="K31" i="30" s="1"/>
  <c r="C10" i="30"/>
  <c r="D10" i="30" s="1"/>
  <c r="E10" i="30" s="1"/>
  <c r="F10" i="30" s="1"/>
  <c r="G10" i="30" s="1"/>
  <c r="H10" i="30" s="1"/>
  <c r="I10" i="30" s="1"/>
  <c r="J10" i="30" s="1"/>
  <c r="K10" i="30" s="1"/>
  <c r="Z104" i="29"/>
  <c r="BN104" i="29" s="1"/>
  <c r="Z100" i="29"/>
  <c r="BN100" i="29" s="1"/>
  <c r="Z92" i="29"/>
  <c r="BN92" i="29" s="1"/>
  <c r="Z88" i="29"/>
  <c r="BN88" i="29" s="1"/>
  <c r="Z84" i="29"/>
  <c r="BN84" i="29" s="1"/>
  <c r="Z76" i="29"/>
  <c r="BN76" i="29" s="1"/>
  <c r="Z72" i="29"/>
  <c r="BN72" i="29" s="1"/>
  <c r="Z68" i="29"/>
  <c r="BN68" i="29" s="1"/>
  <c r="Z60" i="29"/>
  <c r="BN60" i="29" s="1"/>
  <c r="Z56" i="29"/>
  <c r="BN56" i="29" s="1"/>
  <c r="Z52" i="29"/>
  <c r="BN52" i="29" s="1"/>
  <c r="Z44" i="29"/>
  <c r="BN44" i="29" s="1"/>
  <c r="Z40" i="29"/>
  <c r="BN40" i="29" s="1"/>
  <c r="Z28" i="29"/>
  <c r="BN28" i="29" s="1"/>
  <c r="Z24" i="29"/>
  <c r="BN24" i="29" s="1"/>
  <c r="Z20" i="29"/>
  <c r="BN20" i="29" s="1"/>
  <c r="Z12" i="29"/>
  <c r="BN12" i="29" s="1"/>
  <c r="Z8" i="29"/>
  <c r="BN8" i="29" s="1"/>
  <c r="Z187" i="29"/>
  <c r="BN187" i="29" s="1"/>
  <c r="Z183" i="29"/>
  <c r="BN183" i="29" s="1"/>
  <c r="Z179" i="29"/>
  <c r="BN179" i="29" s="1"/>
  <c r="Z175" i="29"/>
  <c r="BN175" i="29" s="1"/>
  <c r="Z171" i="29"/>
  <c r="BN171" i="29" s="1"/>
  <c r="Z167" i="29"/>
  <c r="BN167" i="29" s="1"/>
  <c r="Z159" i="29"/>
  <c r="BN159" i="29" s="1"/>
  <c r="Z155" i="29"/>
  <c r="BN155" i="29" s="1"/>
  <c r="Z151" i="29"/>
  <c r="BN151" i="29" s="1"/>
  <c r="Z147" i="29"/>
  <c r="BN147" i="29" s="1"/>
  <c r="Z139" i="29"/>
  <c r="BN139" i="29" s="1"/>
  <c r="Z135" i="29"/>
  <c r="BN135" i="29" s="1"/>
  <c r="Z131" i="29"/>
  <c r="BN131" i="29" s="1"/>
  <c r="Z127" i="29"/>
  <c r="BN127" i="29" s="1"/>
  <c r="Z123" i="29"/>
  <c r="BN123" i="29" s="1"/>
  <c r="Z115" i="29"/>
  <c r="BN115" i="29" s="1"/>
  <c r="Z111" i="29"/>
  <c r="BN111" i="29" s="1"/>
  <c r="Z107" i="29"/>
  <c r="BN107" i="29" s="1"/>
  <c r="Z103" i="29"/>
  <c r="BN103" i="29" s="1"/>
  <c r="Z99" i="29"/>
  <c r="BN99" i="29" s="1"/>
  <c r="Z95" i="29"/>
  <c r="BN95" i="29" s="1"/>
  <c r="Z91" i="29"/>
  <c r="BN91" i="29" s="1"/>
  <c r="Z87" i="29"/>
  <c r="BN87" i="29" s="1"/>
  <c r="Z75" i="29"/>
  <c r="BN75" i="29" s="1"/>
  <c r="Z71" i="29"/>
  <c r="BN71" i="29" s="1"/>
  <c r="Z67" i="29"/>
  <c r="BN67" i="29" s="1"/>
  <c r="Z63" i="29"/>
  <c r="BN63" i="29" s="1"/>
  <c r="Z59" i="29"/>
  <c r="BN59" i="29" s="1"/>
  <c r="Z51" i="29"/>
  <c r="BN51" i="29" s="1"/>
  <c r="Z47" i="29"/>
  <c r="BN47" i="29" s="1"/>
  <c r="Z43" i="29"/>
  <c r="BN43" i="29" s="1"/>
  <c r="Z39" i="29"/>
  <c r="BN39" i="29" s="1"/>
  <c r="Z35" i="29"/>
  <c r="BN35" i="29" s="1"/>
  <c r="Z31" i="29"/>
  <c r="BN31" i="29" s="1"/>
  <c r="Z27" i="29"/>
  <c r="BN27" i="29" s="1"/>
  <c r="Z23" i="29"/>
  <c r="BN23" i="29" s="1"/>
  <c r="Z19" i="29"/>
  <c r="BN19" i="29" s="1"/>
  <c r="Z11" i="29"/>
  <c r="BN11" i="29" s="1"/>
  <c r="Z7" i="29"/>
  <c r="BN7" i="29" s="1"/>
  <c r="Z110" i="29"/>
  <c r="BN110" i="29" s="1"/>
  <c r="Z106" i="29"/>
  <c r="BN106" i="29" s="1"/>
  <c r="Z102" i="29"/>
  <c r="BN102" i="29" s="1"/>
  <c r="Z98" i="29"/>
  <c r="BN98" i="29" s="1"/>
  <c r="Z94" i="29"/>
  <c r="BN94" i="29" s="1"/>
  <c r="Z90" i="29"/>
  <c r="BN90" i="29" s="1"/>
  <c r="Z86" i="29"/>
  <c r="BN86" i="29" s="1"/>
  <c r="Z78" i="29"/>
  <c r="BN78" i="29" s="1"/>
  <c r="Z74" i="29"/>
  <c r="BN74" i="29" s="1"/>
  <c r="Z70" i="29"/>
  <c r="BN70" i="29" s="1"/>
  <c r="Z66" i="29"/>
  <c r="BN66" i="29" s="1"/>
  <c r="Z62" i="29"/>
  <c r="BN62" i="29" s="1"/>
  <c r="Z58" i="29"/>
  <c r="BN58" i="29" s="1"/>
  <c r="Z54" i="29"/>
  <c r="BN54" i="29" s="1"/>
  <c r="Z50" i="29"/>
  <c r="BN50" i="29" s="1"/>
  <c r="Z46" i="29"/>
  <c r="BN46" i="29" s="1"/>
  <c r="Z42" i="29"/>
  <c r="BN42" i="29" s="1"/>
  <c r="Z38" i="29"/>
  <c r="BN38" i="29" s="1"/>
  <c r="Z34" i="29"/>
  <c r="BN34" i="29" s="1"/>
  <c r="Z30" i="29"/>
  <c r="BN30" i="29" s="1"/>
  <c r="Z22" i="29"/>
  <c r="BN22" i="29" s="1"/>
  <c r="Z18" i="29"/>
  <c r="BN18" i="29" s="1"/>
  <c r="Z10" i="29"/>
  <c r="BN10" i="29" s="1"/>
  <c r="Z6" i="29"/>
  <c r="BN6" i="29" s="1"/>
  <c r="Z193" i="29"/>
  <c r="BN193" i="29" s="1"/>
  <c r="Z189" i="29"/>
  <c r="BN189" i="29" s="1"/>
  <c r="Z185" i="29"/>
  <c r="BN185" i="29" s="1"/>
  <c r="Z181" i="29"/>
  <c r="BN181" i="29" s="1"/>
  <c r="Z177" i="29"/>
  <c r="BN177" i="29" s="1"/>
  <c r="Z173" i="29"/>
  <c r="BN173" i="29" s="1"/>
  <c r="Z165" i="29"/>
  <c r="BN165" i="29" s="1"/>
  <c r="Z161" i="29"/>
  <c r="BN161" i="29" s="1"/>
  <c r="Z153" i="29"/>
  <c r="BN153" i="29" s="1"/>
  <c r="Z149" i="29"/>
  <c r="BN149" i="29" s="1"/>
  <c r="Z145" i="29"/>
  <c r="BN145" i="29" s="1"/>
  <c r="Z141" i="29"/>
  <c r="BN141" i="29" s="1"/>
  <c r="Z137" i="29"/>
  <c r="BN137" i="29" s="1"/>
  <c r="Z133" i="29"/>
  <c r="BN133" i="29" s="1"/>
  <c r="Z129" i="29"/>
  <c r="BN129" i="29" s="1"/>
  <c r="Z125" i="29"/>
  <c r="BN125" i="29" s="1"/>
  <c r="Z117" i="29"/>
  <c r="BN117" i="29" s="1"/>
  <c r="Z113" i="29"/>
  <c r="BN113" i="29" s="1"/>
  <c r="Z109" i="29"/>
  <c r="BN109" i="29" s="1"/>
  <c r="Z105" i="29"/>
  <c r="BN105" i="29" s="1"/>
  <c r="Z101" i="29"/>
  <c r="BN101" i="29" s="1"/>
  <c r="Z97" i="29"/>
  <c r="BN97" i="29" s="1"/>
  <c r="Z93" i="29"/>
  <c r="BN93" i="29" s="1"/>
  <c r="Z89" i="29"/>
  <c r="BN89" i="29" s="1"/>
  <c r="Z85" i="29"/>
  <c r="BN85" i="29" s="1"/>
  <c r="Z77" i="29"/>
  <c r="BN77" i="29" s="1"/>
  <c r="Z73" i="29"/>
  <c r="BN73" i="29" s="1"/>
  <c r="Z69" i="29"/>
  <c r="BN69" i="29" s="1"/>
  <c r="Z65" i="29"/>
  <c r="BN65" i="29" s="1"/>
  <c r="Z61" i="29"/>
  <c r="BN61" i="29" s="1"/>
  <c r="Z53" i="29"/>
  <c r="BN53" i="29" s="1"/>
  <c r="Z49" i="29"/>
  <c r="BN49" i="29" s="1"/>
  <c r="Z41" i="29"/>
  <c r="BN41" i="29" s="1"/>
  <c r="Z37" i="29"/>
  <c r="BN37" i="29" s="1"/>
  <c r="Z33" i="29"/>
  <c r="BN33" i="29" s="1"/>
  <c r="Z29" i="29"/>
  <c r="BN29" i="29" s="1"/>
  <c r="Z25" i="29"/>
  <c r="BN25" i="29" s="1"/>
  <c r="Z21" i="29"/>
  <c r="BN21" i="29" s="1"/>
  <c r="Z17" i="29"/>
  <c r="BN17" i="29" s="1"/>
  <c r="Z13" i="29"/>
  <c r="BN13" i="29" s="1"/>
  <c r="Z9" i="29"/>
  <c r="BN9" i="29" s="1"/>
  <c r="Z5" i="29"/>
  <c r="BN5" i="29" s="1"/>
  <c r="AO136" i="29"/>
  <c r="AO144" i="29"/>
  <c r="AO156" i="29"/>
  <c r="AO160" i="29"/>
  <c r="AO164" i="29"/>
  <c r="AO168" i="29"/>
  <c r="AO166" i="29"/>
  <c r="AO161" i="29"/>
  <c r="AO165" i="29"/>
  <c r="AO157" i="29"/>
  <c r="AO140" i="29"/>
  <c r="AO173" i="29"/>
  <c r="AO149" i="29"/>
  <c r="AO141" i="29"/>
  <c r="AO145" i="29"/>
  <c r="AO131" i="29"/>
  <c r="AO139" i="29"/>
  <c r="AO143" i="29"/>
  <c r="AO159" i="29"/>
  <c r="AO163" i="29"/>
  <c r="AO167" i="29"/>
  <c r="AO171" i="29"/>
  <c r="AO176" i="29"/>
  <c r="AO133" i="29"/>
  <c r="AO134" i="29"/>
  <c r="AO170" i="29"/>
  <c r="AO153" i="29"/>
  <c r="AO155" i="29"/>
  <c r="AO148" i="29"/>
  <c r="AO132" i="29"/>
  <c r="AO162" i="29"/>
  <c r="AO158" i="29"/>
  <c r="AO154" i="29"/>
  <c r="AO150" i="29"/>
  <c r="AO146" i="29"/>
  <c r="AO142" i="29"/>
  <c r="AO138" i="29"/>
  <c r="AO126" i="29"/>
  <c r="AO122" i="29"/>
  <c r="AO118" i="29"/>
  <c r="AO110" i="29"/>
  <c r="AO102" i="29"/>
  <c r="AO98" i="29"/>
  <c r="AO58" i="29"/>
  <c r="AO106" i="29"/>
  <c r="AO74" i="29"/>
  <c r="AO66" i="29"/>
  <c r="AO50" i="29"/>
  <c r="AO38" i="29"/>
  <c r="AO26" i="29"/>
  <c r="AO22" i="29"/>
  <c r="AO14" i="29"/>
  <c r="AO125" i="29"/>
  <c r="AO117" i="29"/>
  <c r="AO109" i="29"/>
  <c r="AO101" i="29"/>
  <c r="AO93" i="29"/>
  <c r="AO89" i="29"/>
  <c r="AO81" i="29"/>
  <c r="AO73" i="29"/>
  <c r="AO69" i="29"/>
  <c r="AO65" i="29"/>
  <c r="AO5" i="29"/>
  <c r="AO127" i="29"/>
  <c r="AO123" i="29"/>
  <c r="AO119" i="29"/>
  <c r="AO115" i="29"/>
  <c r="AO111" i="29"/>
  <c r="AO107" i="29"/>
  <c r="AO103" i="29"/>
  <c r="AO99" i="29"/>
  <c r="AO95" i="29"/>
  <c r="AO91" i="29"/>
  <c r="AO83" i="29"/>
  <c r="AO79" i="29"/>
  <c r="AO75" i="29"/>
  <c r="AO71" i="29"/>
  <c r="AO67" i="29"/>
  <c r="AO63" i="29"/>
  <c r="AO59" i="29"/>
  <c r="AO55" i="29"/>
  <c r="AO51" i="29"/>
  <c r="AO47" i="29"/>
  <c r="AO39" i="29"/>
  <c r="AO35" i="29"/>
  <c r="AO31" i="29"/>
  <c r="AO27" i="29"/>
  <c r="AO19" i="29"/>
  <c r="AO11" i="29"/>
  <c r="AO4" i="29"/>
  <c r="AO6" i="29"/>
  <c r="AO113" i="29"/>
  <c r="AO105" i="29"/>
  <c r="AO97" i="29"/>
  <c r="AO57" i="29"/>
  <c r="AO53" i="29"/>
  <c r="AO49" i="29"/>
  <c r="AO45" i="29"/>
  <c r="AO37" i="29"/>
  <c r="AO33" i="29"/>
  <c r="AO29" i="29"/>
  <c r="AO25" i="29"/>
  <c r="AO21" i="29"/>
  <c r="AO17" i="29"/>
  <c r="AO128" i="29"/>
  <c r="AO124" i="29"/>
  <c r="AO120" i="29"/>
  <c r="AO116" i="29"/>
  <c r="AO112" i="29"/>
  <c r="AO108" i="29"/>
  <c r="AO104" i="29"/>
  <c r="AO100" i="29"/>
  <c r="AO96" i="29"/>
  <c r="AO92" i="29"/>
  <c r="AO88" i="29"/>
  <c r="AO84" i="29"/>
  <c r="AO80" i="29"/>
  <c r="AO76" i="29"/>
  <c r="AO72" i="29"/>
  <c r="AO68" i="29"/>
  <c r="AO64" i="29"/>
  <c r="AO60" i="29"/>
  <c r="AO56" i="29"/>
  <c r="AO52" i="29"/>
  <c r="AO48" i="29"/>
  <c r="AO44" i="29"/>
  <c r="AO40" i="29"/>
  <c r="AO36" i="29"/>
  <c r="AO32" i="29"/>
  <c r="AO28" i="29"/>
  <c r="AO24" i="29"/>
  <c r="AO20" i="29"/>
  <c r="AO16" i="29"/>
  <c r="AO12" i="29"/>
  <c r="AO7" i="29"/>
  <c r="AA107" i="29"/>
  <c r="AA103" i="29"/>
  <c r="BO103" i="29" s="1"/>
  <c r="AA99" i="29"/>
  <c r="BO99" i="29" s="1"/>
  <c r="AA95" i="29"/>
  <c r="BO95" i="29" s="1"/>
  <c r="AA91" i="29"/>
  <c r="AA87" i="29"/>
  <c r="BO87" i="29" s="1"/>
  <c r="AA83" i="29"/>
  <c r="BO83" i="29" s="1"/>
  <c r="AA79" i="29"/>
  <c r="BO79" i="29" s="1"/>
  <c r="AA75" i="29"/>
  <c r="AA71" i="29"/>
  <c r="BO71" i="29" s="1"/>
  <c r="AA67" i="29"/>
  <c r="BO67" i="29" s="1"/>
  <c r="AA63" i="29"/>
  <c r="BO63" i="29" s="1"/>
  <c r="AA59" i="29"/>
  <c r="AA55" i="29"/>
  <c r="BO55" i="29" s="1"/>
  <c r="AA51" i="29"/>
  <c r="BO51" i="29" s="1"/>
  <c r="AA47" i="29"/>
  <c r="BO47" i="29" s="1"/>
  <c r="AA43" i="29"/>
  <c r="AA39" i="29"/>
  <c r="BO39" i="29" s="1"/>
  <c r="AA35" i="29"/>
  <c r="BO35" i="29" s="1"/>
  <c r="AA31" i="29"/>
  <c r="BO31" i="29" s="1"/>
  <c r="AA27" i="29"/>
  <c r="AA23" i="29"/>
  <c r="BO23" i="29" s="1"/>
  <c r="AA19" i="29"/>
  <c r="BO19" i="29" s="1"/>
  <c r="AA15" i="29"/>
  <c r="BO15" i="29" s="1"/>
  <c r="AA11" i="29"/>
  <c r="AA7" i="29"/>
  <c r="BO7" i="29" s="1"/>
  <c r="AA118" i="29"/>
  <c r="BO118" i="29" s="1"/>
  <c r="AA114" i="29"/>
  <c r="BO114" i="29" s="1"/>
  <c r="AA110" i="29"/>
  <c r="BO110" i="29" s="1"/>
  <c r="AA106" i="29"/>
  <c r="BO106" i="29" s="1"/>
  <c r="AA102" i="29"/>
  <c r="BO102" i="29" s="1"/>
  <c r="AA98" i="29"/>
  <c r="BO98" i="29" s="1"/>
  <c r="AA94" i="29"/>
  <c r="BO94" i="29" s="1"/>
  <c r="AA90" i="29"/>
  <c r="BO90" i="29" s="1"/>
  <c r="AA86" i="29"/>
  <c r="BO86" i="29" s="1"/>
  <c r="AA82" i="29"/>
  <c r="BO82" i="29" s="1"/>
  <c r="AA78" i="29"/>
  <c r="BO78" i="29" s="1"/>
  <c r="AA74" i="29"/>
  <c r="BO74" i="29" s="1"/>
  <c r="AA70" i="29"/>
  <c r="BO70" i="29" s="1"/>
  <c r="AA66" i="29"/>
  <c r="BO66" i="29" s="1"/>
  <c r="AA62" i="29"/>
  <c r="BO62" i="29" s="1"/>
  <c r="AA58" i="29"/>
  <c r="BO58" i="29" s="1"/>
  <c r="AA54" i="29"/>
  <c r="BO54" i="29" s="1"/>
  <c r="AA50" i="29"/>
  <c r="BO50" i="29" s="1"/>
  <c r="AA46" i="29"/>
  <c r="BO46" i="29" s="1"/>
  <c r="AA42" i="29"/>
  <c r="BO42" i="29" s="1"/>
  <c r="AA38" i="29"/>
  <c r="BO38" i="29" s="1"/>
  <c r="AA34" i="29"/>
  <c r="BO34" i="29" s="1"/>
  <c r="AA30" i="29"/>
  <c r="BO30" i="29" s="1"/>
  <c r="AA26" i="29"/>
  <c r="BO26" i="29" s="1"/>
  <c r="AA22" i="29"/>
  <c r="BO22" i="29" s="1"/>
  <c r="AA18" i="29"/>
  <c r="BO18" i="29" s="1"/>
  <c r="AA14" i="29"/>
  <c r="BO14" i="29" s="1"/>
  <c r="AA10" i="29"/>
  <c r="BO10" i="29" s="1"/>
  <c r="AA6" i="29"/>
  <c r="BO6" i="29" s="1"/>
  <c r="AA121" i="29"/>
  <c r="BO121" i="29" s="1"/>
  <c r="AA105" i="29"/>
  <c r="BO105" i="29" s="1"/>
  <c r="AA101" i="29"/>
  <c r="BO101" i="29" s="1"/>
  <c r="AA97" i="29"/>
  <c r="BO97" i="29" s="1"/>
  <c r="AA93" i="29"/>
  <c r="BO93" i="29" s="1"/>
  <c r="AA89" i="29"/>
  <c r="BO89" i="29" s="1"/>
  <c r="AA85" i="29"/>
  <c r="BO85" i="29" s="1"/>
  <c r="AA81" i="29"/>
  <c r="BO81" i="29" s="1"/>
  <c r="AA77" i="29"/>
  <c r="BO77" i="29" s="1"/>
  <c r="AA73" i="29"/>
  <c r="BO73" i="29" s="1"/>
  <c r="AA69" i="29"/>
  <c r="BO69" i="29" s="1"/>
  <c r="AA65" i="29"/>
  <c r="BO65" i="29" s="1"/>
  <c r="AA61" i="29"/>
  <c r="BO61" i="29" s="1"/>
  <c r="AA57" i="29"/>
  <c r="BO57" i="29" s="1"/>
  <c r="AA53" i="29"/>
  <c r="BO53" i="29" s="1"/>
  <c r="AA49" i="29"/>
  <c r="BO49" i="29" s="1"/>
  <c r="AA45" i="29"/>
  <c r="BO45" i="29" s="1"/>
  <c r="AA41" i="29"/>
  <c r="BO41" i="29" s="1"/>
  <c r="AA37" i="29"/>
  <c r="BO37" i="29" s="1"/>
  <c r="AA33" i="29"/>
  <c r="BO33" i="29" s="1"/>
  <c r="AA29" i="29"/>
  <c r="BO29" i="29" s="1"/>
  <c r="AA25" i="29"/>
  <c r="BO25" i="29" s="1"/>
  <c r="AA21" i="29"/>
  <c r="BO21" i="29" s="1"/>
  <c r="AA17" i="29"/>
  <c r="BO17" i="29" s="1"/>
  <c r="AA13" i="29"/>
  <c r="BO13" i="29" s="1"/>
  <c r="AA9" i="29"/>
  <c r="BO9" i="29" s="1"/>
  <c r="AA5" i="29"/>
  <c r="BO5" i="29" s="1"/>
  <c r="AA116" i="29"/>
  <c r="AA108" i="29"/>
  <c r="BO108" i="29" s="1"/>
  <c r="AA104" i="29"/>
  <c r="BO104" i="29" s="1"/>
  <c r="AA100" i="29"/>
  <c r="AA96" i="29"/>
  <c r="BO96" i="29" s="1"/>
  <c r="AA92" i="29"/>
  <c r="BO92" i="29" s="1"/>
  <c r="AA88" i="29"/>
  <c r="BO88" i="29" s="1"/>
  <c r="AA84" i="29"/>
  <c r="AA80" i="29"/>
  <c r="BO80" i="29" s="1"/>
  <c r="AA76" i="29"/>
  <c r="BO76" i="29" s="1"/>
  <c r="AA72" i="29"/>
  <c r="BO72" i="29" s="1"/>
  <c r="AA68" i="29"/>
  <c r="AA64" i="29"/>
  <c r="BO64" i="29" s="1"/>
  <c r="AA60" i="29"/>
  <c r="BO60" i="29" s="1"/>
  <c r="AA56" i="29"/>
  <c r="BO56" i="29" s="1"/>
  <c r="AA52" i="29"/>
  <c r="AA48" i="29"/>
  <c r="BO48" i="29" s="1"/>
  <c r="AA44" i="29"/>
  <c r="BO44" i="29" s="1"/>
  <c r="AA40" i="29"/>
  <c r="BO40" i="29" s="1"/>
  <c r="AA36" i="29"/>
  <c r="AA32" i="29"/>
  <c r="BO32" i="29" s="1"/>
  <c r="AA28" i="29"/>
  <c r="BO28" i="29" s="1"/>
  <c r="AA24" i="29"/>
  <c r="BO24" i="29" s="1"/>
  <c r="AA20" i="29"/>
  <c r="AA16" i="29"/>
  <c r="BO16" i="29" s="1"/>
  <c r="AA12" i="29"/>
  <c r="BO12" i="29" s="1"/>
  <c r="AA8" i="29"/>
  <c r="BO8" i="29" s="1"/>
  <c r="AA4" i="29"/>
  <c r="AA151" i="29"/>
  <c r="BO151" i="29" s="1"/>
  <c r="AA135" i="29"/>
  <c r="BO135" i="29" s="1"/>
  <c r="AA123" i="29"/>
  <c r="BO123" i="29" s="1"/>
  <c r="AA115" i="29"/>
  <c r="BO115" i="29" s="1"/>
  <c r="Z4" i="29"/>
  <c r="BN4" i="29" s="1"/>
  <c r="Z191" i="29"/>
  <c r="BN191" i="29" s="1"/>
  <c r="Z163" i="29"/>
  <c r="BN163" i="29" s="1"/>
  <c r="Z143" i="29"/>
  <c r="BN143" i="29" s="1"/>
  <c r="Z119" i="29"/>
  <c r="BN119" i="29" s="1"/>
  <c r="Z83" i="29"/>
  <c r="BN83" i="29" s="1"/>
  <c r="Z79" i="29"/>
  <c r="BN79" i="29" s="1"/>
  <c r="Z55" i="29"/>
  <c r="BN55" i="29" s="1"/>
  <c r="Z15" i="29"/>
  <c r="BN15" i="29" s="1"/>
  <c r="Z190" i="29"/>
  <c r="BN190" i="29" s="1"/>
  <c r="Z186" i="29"/>
  <c r="BN186" i="29" s="1"/>
  <c r="Z182" i="29"/>
  <c r="BN182" i="29" s="1"/>
  <c r="Z178" i="29"/>
  <c r="BN178" i="29" s="1"/>
  <c r="Z174" i="29"/>
  <c r="BN174" i="29" s="1"/>
  <c r="Z170" i="29"/>
  <c r="BN170" i="29" s="1"/>
  <c r="Z166" i="29"/>
  <c r="BN166" i="29" s="1"/>
  <c r="Z162" i="29"/>
  <c r="BN162" i="29" s="1"/>
  <c r="Z158" i="29"/>
  <c r="BN158" i="29" s="1"/>
  <c r="Z154" i="29"/>
  <c r="BN154" i="29" s="1"/>
  <c r="Z150" i="29"/>
  <c r="BN150" i="29" s="1"/>
  <c r="Z146" i="29"/>
  <c r="BN146" i="29" s="1"/>
  <c r="Z142" i="29"/>
  <c r="BN142" i="29" s="1"/>
  <c r="Z138" i="29"/>
  <c r="BN138" i="29" s="1"/>
  <c r="Z134" i="29"/>
  <c r="BN134" i="29" s="1"/>
  <c r="Z130" i="29"/>
  <c r="BN130" i="29" s="1"/>
  <c r="Z126" i="29"/>
  <c r="BN126" i="29" s="1"/>
  <c r="Z122" i="29"/>
  <c r="BN122" i="29" s="1"/>
  <c r="Z118" i="29"/>
  <c r="BN118" i="29" s="1"/>
  <c r="Z114" i="29"/>
  <c r="BN114" i="29" s="1"/>
  <c r="Z82" i="29"/>
  <c r="BN82" i="29" s="1"/>
  <c r="Z26" i="29"/>
  <c r="BN26" i="29" s="1"/>
  <c r="Z14" i="29"/>
  <c r="BN14" i="29" s="1"/>
  <c r="Z169" i="29"/>
  <c r="BN169" i="29" s="1"/>
  <c r="Z157" i="29"/>
  <c r="BN157" i="29" s="1"/>
  <c r="Z121" i="29"/>
  <c r="BN121" i="29" s="1"/>
  <c r="Z81" i="29"/>
  <c r="BN81" i="29" s="1"/>
  <c r="Z57" i="29"/>
  <c r="BN57" i="29" s="1"/>
  <c r="Z45" i="29"/>
  <c r="BN45" i="29" s="1"/>
  <c r="Z192" i="29"/>
  <c r="BN192" i="29" s="1"/>
  <c r="Z188" i="29"/>
  <c r="BN188" i="29" s="1"/>
  <c r="Z184" i="29"/>
  <c r="BN184" i="29" s="1"/>
  <c r="Z180" i="29"/>
  <c r="BN180" i="29" s="1"/>
  <c r="Z176" i="29"/>
  <c r="BN176" i="29" s="1"/>
  <c r="Z172" i="29"/>
  <c r="BN172" i="29" s="1"/>
  <c r="Z168" i="29"/>
  <c r="BN168" i="29" s="1"/>
  <c r="Z164" i="29"/>
  <c r="BN164" i="29" s="1"/>
  <c r="Z160" i="29"/>
  <c r="BN160" i="29" s="1"/>
  <c r="Z156" i="29"/>
  <c r="BN156" i="29" s="1"/>
  <c r="Z152" i="29"/>
  <c r="BN152" i="29" s="1"/>
  <c r="Z148" i="29"/>
  <c r="BN148" i="29" s="1"/>
  <c r="Z144" i="29"/>
  <c r="BN144" i="29" s="1"/>
  <c r="Z140" i="29"/>
  <c r="BN140" i="29" s="1"/>
  <c r="Z136" i="29"/>
  <c r="BN136" i="29" s="1"/>
  <c r="Z132" i="29"/>
  <c r="BN132" i="29" s="1"/>
  <c r="Z128" i="29"/>
  <c r="BN128" i="29" s="1"/>
  <c r="Z124" i="29"/>
  <c r="BN124" i="29" s="1"/>
  <c r="Z120" i="29"/>
  <c r="BN120" i="29" s="1"/>
  <c r="Z116" i="29"/>
  <c r="BN116" i="29" s="1"/>
  <c r="Z112" i="29"/>
  <c r="BN112" i="29" s="1"/>
  <c r="Z108" i="29"/>
  <c r="BN108" i="29" s="1"/>
  <c r="Z96" i="29"/>
  <c r="BN96" i="29" s="1"/>
  <c r="Z80" i="29"/>
  <c r="BN80" i="29" s="1"/>
  <c r="Z64" i="29"/>
  <c r="BN64" i="29" s="1"/>
  <c r="Z48" i="29"/>
  <c r="BN48" i="29" s="1"/>
  <c r="Z36" i="29"/>
  <c r="BN36" i="29" s="1"/>
  <c r="Z32" i="29"/>
  <c r="BN32" i="29" s="1"/>
  <c r="Z16" i="29"/>
  <c r="BN16" i="29" s="1"/>
  <c r="L197" i="28"/>
  <c r="L193" i="28"/>
  <c r="L199" i="28"/>
  <c r="L195" i="28"/>
  <c r="L200" i="28"/>
  <c r="L196" i="28"/>
  <c r="L198" i="28"/>
  <c r="L194" i="28"/>
  <c r="M198" i="28"/>
  <c r="M194" i="28"/>
  <c r="M199" i="28"/>
  <c r="M200" i="28"/>
  <c r="M196" i="28"/>
  <c r="M197" i="28"/>
  <c r="M193" i="28"/>
  <c r="M195" i="28"/>
  <c r="J189" i="28"/>
  <c r="J143" i="28"/>
  <c r="J139" i="28"/>
  <c r="K135" i="28"/>
  <c r="J127" i="28"/>
  <c r="K123" i="28"/>
  <c r="M119" i="28"/>
  <c r="J111" i="28"/>
  <c r="J159" i="28"/>
  <c r="L155" i="28"/>
  <c r="K191" i="28"/>
  <c r="K200" i="28"/>
  <c r="K196" i="28"/>
  <c r="K198" i="28"/>
  <c r="K194" i="28"/>
  <c r="K199" i="28"/>
  <c r="K195" i="28"/>
  <c r="K193" i="28"/>
  <c r="K197" i="28"/>
  <c r="K107" i="28"/>
  <c r="J95" i="28"/>
  <c r="K75" i="28"/>
  <c r="K55" i="28"/>
  <c r="M43" i="28"/>
  <c r="L31" i="28"/>
  <c r="O103" i="28"/>
  <c r="J91" i="28"/>
  <c r="M79" i="28"/>
  <c r="L71" i="28"/>
  <c r="K59" i="28"/>
  <c r="Q39" i="28"/>
  <c r="D91" i="28"/>
  <c r="D75" i="28"/>
  <c r="D139" i="28"/>
  <c r="D135" i="28"/>
  <c r="D123" i="28"/>
  <c r="D119" i="28"/>
  <c r="D159" i="28"/>
  <c r="D155" i="28"/>
  <c r="D103" i="28"/>
  <c r="D71" i="28"/>
  <c r="D63" i="28"/>
  <c r="D59" i="28"/>
  <c r="D55" i="28"/>
  <c r="D47" i="28"/>
  <c r="D43" i="28"/>
  <c r="D39" i="28"/>
  <c r="D31" i="28"/>
  <c r="D27" i="28"/>
  <c r="D23" i="28"/>
  <c r="D95" i="28"/>
  <c r="D87" i="28"/>
  <c r="D107" i="28"/>
  <c r="D79" i="28"/>
  <c r="D189" i="28"/>
  <c r="E11" i="28"/>
  <c r="E7" i="28"/>
  <c r="E142" i="28"/>
  <c r="C142" i="28"/>
  <c r="E138" i="28"/>
  <c r="C138" i="28"/>
  <c r="E134" i="28"/>
  <c r="C134" i="28"/>
  <c r="E130" i="28"/>
  <c r="C130" i="28"/>
  <c r="E126" i="28"/>
  <c r="C126" i="28"/>
  <c r="E122" i="28"/>
  <c r="C122" i="28"/>
  <c r="E118" i="28"/>
  <c r="C118" i="28"/>
  <c r="E114" i="28"/>
  <c r="C114" i="28"/>
  <c r="E110" i="28"/>
  <c r="C110" i="28"/>
  <c r="E162" i="28"/>
  <c r="C162" i="28"/>
  <c r="E158" i="28"/>
  <c r="C158" i="28"/>
  <c r="E154" i="28"/>
  <c r="C154" i="28"/>
  <c r="E150" i="28"/>
  <c r="C150" i="28"/>
  <c r="E146" i="28"/>
  <c r="C146" i="28"/>
  <c r="E179" i="28"/>
  <c r="E175" i="28"/>
  <c r="E171" i="28"/>
  <c r="E167" i="28"/>
  <c r="E187" i="28"/>
  <c r="E183" i="28"/>
  <c r="E190" i="28"/>
  <c r="C183" i="28"/>
  <c r="C175" i="28"/>
  <c r="D143" i="28"/>
  <c r="D127" i="28"/>
  <c r="D111" i="28"/>
  <c r="C15" i="28"/>
  <c r="E141" i="28"/>
  <c r="C141" i="28"/>
  <c r="E137" i="28"/>
  <c r="C137" i="28"/>
  <c r="E133" i="28"/>
  <c r="C133" i="28"/>
  <c r="E129" i="28"/>
  <c r="C129" i="28"/>
  <c r="E125" i="28"/>
  <c r="C125" i="28"/>
  <c r="E121" i="28"/>
  <c r="C121" i="28"/>
  <c r="E117" i="28"/>
  <c r="C117" i="28"/>
  <c r="E113" i="28"/>
  <c r="C113" i="28"/>
  <c r="E165" i="28"/>
  <c r="C165" i="28"/>
  <c r="E161" i="28"/>
  <c r="C161" i="28"/>
  <c r="E157" i="28"/>
  <c r="C157" i="28"/>
  <c r="E153" i="28"/>
  <c r="C153" i="28"/>
  <c r="E149" i="28"/>
  <c r="C149" i="28"/>
  <c r="E145" i="28"/>
  <c r="C145" i="28"/>
  <c r="E178" i="28"/>
  <c r="C178" i="28"/>
  <c r="E174" i="28"/>
  <c r="C174" i="28"/>
  <c r="E170" i="28"/>
  <c r="C170" i="28"/>
  <c r="E166" i="28"/>
  <c r="C166" i="28"/>
  <c r="E186" i="28"/>
  <c r="E182" i="28"/>
  <c r="C2" i="28"/>
  <c r="C187" i="28"/>
  <c r="C182" i="28"/>
  <c r="C171" i="28"/>
  <c r="C11" i="28"/>
  <c r="E177" i="28"/>
  <c r="C177" i="28"/>
  <c r="E173" i="28"/>
  <c r="C173" i="28"/>
  <c r="E169" i="28"/>
  <c r="C169" i="28"/>
  <c r="E189" i="28"/>
  <c r="E185" i="28"/>
  <c r="D191" i="28"/>
  <c r="C186" i="28"/>
  <c r="C181" i="28"/>
  <c r="C167" i="28"/>
  <c r="D151" i="28"/>
  <c r="F151" i="28" s="1"/>
  <c r="C7" i="28"/>
  <c r="E107" i="28"/>
  <c r="E103" i="28"/>
  <c r="E99" i="28"/>
  <c r="E95" i="28"/>
  <c r="E91" i="28"/>
  <c r="E87" i="28"/>
  <c r="E83" i="28"/>
  <c r="E79" i="28"/>
  <c r="E75" i="28"/>
  <c r="E71" i="28"/>
  <c r="E67" i="28"/>
  <c r="E63" i="28"/>
  <c r="E59" i="28"/>
  <c r="E55" i="28"/>
  <c r="E51" i="28"/>
  <c r="E47" i="28"/>
  <c r="E43" i="28"/>
  <c r="E39" i="28"/>
  <c r="E35" i="28"/>
  <c r="E31" i="28"/>
  <c r="E27" i="28"/>
  <c r="E23" i="28"/>
  <c r="E19" i="28"/>
  <c r="E106" i="28"/>
  <c r="C106" i="28"/>
  <c r="E102" i="28"/>
  <c r="C102" i="28"/>
  <c r="E98" i="28"/>
  <c r="C98" i="28"/>
  <c r="E94" i="28"/>
  <c r="C94" i="28"/>
  <c r="E90" i="28"/>
  <c r="C90" i="28"/>
  <c r="E86" i="28"/>
  <c r="C86" i="28"/>
  <c r="E82" i="28"/>
  <c r="C82" i="28"/>
  <c r="E78" i="28"/>
  <c r="C78" i="28"/>
  <c r="E74" i="28"/>
  <c r="C74" i="28"/>
  <c r="E70" i="28"/>
  <c r="C70" i="28"/>
  <c r="E66" i="28"/>
  <c r="C66" i="28"/>
  <c r="E62" i="28"/>
  <c r="C62" i="28"/>
  <c r="E58" i="28"/>
  <c r="C58" i="28"/>
  <c r="E54" i="28"/>
  <c r="C54" i="28"/>
  <c r="E50" i="28"/>
  <c r="C50" i="28"/>
  <c r="E46" i="28"/>
  <c r="C46" i="28"/>
  <c r="E42" i="28"/>
  <c r="C42" i="28"/>
  <c r="E38" i="28"/>
  <c r="C38" i="28"/>
  <c r="E34" i="28"/>
  <c r="C34" i="28"/>
  <c r="E30" i="28"/>
  <c r="C30" i="28"/>
  <c r="E26" i="28"/>
  <c r="C26" i="28"/>
  <c r="E22" i="28"/>
  <c r="C22" i="28"/>
  <c r="E18" i="28"/>
  <c r="C18" i="28"/>
  <c r="E14" i="28"/>
  <c r="C14" i="28"/>
  <c r="E10" i="28"/>
  <c r="C10" i="28"/>
  <c r="E6" i="28"/>
  <c r="C6" i="28"/>
  <c r="E109" i="28"/>
  <c r="C109" i="28"/>
  <c r="E105" i="28"/>
  <c r="C105" i="28"/>
  <c r="E101" i="28"/>
  <c r="C101" i="28"/>
  <c r="E97" i="28"/>
  <c r="C97" i="28"/>
  <c r="E93" i="28"/>
  <c r="C93" i="28"/>
  <c r="E89" i="28"/>
  <c r="C89" i="28"/>
  <c r="E85" i="28"/>
  <c r="C85" i="28"/>
  <c r="E81" i="28"/>
  <c r="C81" i="28"/>
  <c r="E77" i="28"/>
  <c r="C77" i="28"/>
  <c r="E73" i="28"/>
  <c r="C73" i="28"/>
  <c r="E69" i="28"/>
  <c r="C69" i="28"/>
  <c r="E65" i="28"/>
  <c r="C65" i="28"/>
  <c r="E61" i="28"/>
  <c r="C61" i="28"/>
  <c r="E57" i="28"/>
  <c r="C57" i="28"/>
  <c r="E53" i="28"/>
  <c r="C53" i="28"/>
  <c r="E49" i="28"/>
  <c r="C49" i="28"/>
  <c r="E45" i="28"/>
  <c r="C45" i="28"/>
  <c r="E41" i="28"/>
  <c r="C41" i="28"/>
  <c r="E37" i="28"/>
  <c r="C37" i="28"/>
  <c r="E33" i="28"/>
  <c r="C33" i="28"/>
  <c r="E29" i="28"/>
  <c r="C29" i="28"/>
  <c r="E25" i="28"/>
  <c r="C25" i="28"/>
  <c r="E21" i="28"/>
  <c r="C21" i="28"/>
  <c r="E17" i="28"/>
  <c r="C17" i="28"/>
  <c r="E13" i="28"/>
  <c r="C13" i="28"/>
  <c r="E9" i="28"/>
  <c r="C9" i="28"/>
  <c r="E5" i="28"/>
  <c r="C5" i="28"/>
  <c r="E144" i="28"/>
  <c r="C144" i="28"/>
  <c r="E140" i="28"/>
  <c r="C140" i="28"/>
  <c r="E136" i="28"/>
  <c r="C136" i="28"/>
  <c r="E132" i="28"/>
  <c r="C132" i="28"/>
  <c r="E128" i="28"/>
  <c r="C128" i="28"/>
  <c r="E124" i="28"/>
  <c r="C124" i="28"/>
  <c r="E120" i="28"/>
  <c r="C120" i="28"/>
  <c r="E116" i="28"/>
  <c r="C116" i="28"/>
  <c r="E112" i="28"/>
  <c r="C112" i="28"/>
  <c r="E164" i="28"/>
  <c r="C164" i="28"/>
  <c r="E160" i="28"/>
  <c r="C160" i="28"/>
  <c r="E156" i="28"/>
  <c r="C156" i="28"/>
  <c r="E152" i="28"/>
  <c r="C152" i="28"/>
  <c r="E148" i="28"/>
  <c r="C148" i="28"/>
  <c r="E108" i="28"/>
  <c r="C108" i="28"/>
  <c r="C104" i="28"/>
  <c r="C100" i="28"/>
  <c r="C96" i="28"/>
  <c r="E92" i="28"/>
  <c r="C92" i="28"/>
  <c r="C88" i="28"/>
  <c r="C84" i="28"/>
  <c r="C80" i="28"/>
  <c r="E76" i="28"/>
  <c r="C76" i="28"/>
  <c r="C72" i="28"/>
  <c r="C68" i="28"/>
  <c r="C64" i="28"/>
  <c r="E60" i="28"/>
  <c r="C60" i="28"/>
  <c r="C56" i="28"/>
  <c r="C52" i="28"/>
  <c r="C48" i="28"/>
  <c r="E44" i="28"/>
  <c r="C44" i="28"/>
  <c r="C40" i="28"/>
  <c r="C36" i="28"/>
  <c r="C32" i="28"/>
  <c r="E28" i="28"/>
  <c r="C28" i="28"/>
  <c r="C24" i="28"/>
  <c r="C20" i="28"/>
  <c r="C16" i="28"/>
  <c r="E12" i="28"/>
  <c r="C12" i="28"/>
  <c r="C8" i="28"/>
  <c r="C4" i="28"/>
  <c r="E143" i="28"/>
  <c r="E139" i="28"/>
  <c r="E135" i="28"/>
  <c r="E131" i="28"/>
  <c r="E127" i="28"/>
  <c r="E123" i="28"/>
  <c r="E119" i="28"/>
  <c r="E115" i="28"/>
  <c r="E111" i="28"/>
  <c r="E163" i="28"/>
  <c r="E159" i="28"/>
  <c r="E155" i="28"/>
  <c r="E151" i="28"/>
  <c r="E147" i="28"/>
  <c r="E180" i="28"/>
  <c r="C180" i="28"/>
  <c r="C176" i="28"/>
  <c r="C172" i="28"/>
  <c r="C168" i="28"/>
  <c r="C188" i="28"/>
  <c r="C184" i="28"/>
  <c r="E191" i="28"/>
  <c r="C190" i="28"/>
  <c r="C185" i="28"/>
  <c r="C179" i="28"/>
  <c r="C163" i="28"/>
  <c r="C147" i="28"/>
  <c r="C131" i="28"/>
  <c r="C115" i="28"/>
  <c r="C99" i="28"/>
  <c r="C83" i="28"/>
  <c r="C67" i="28"/>
  <c r="C51" i="28"/>
  <c r="C35" i="28"/>
  <c r="C19" i="28"/>
  <c r="C3" i="28"/>
  <c r="D3" i="28" s="1"/>
  <c r="C192" i="28"/>
  <c r="E176" i="28"/>
  <c r="E104" i="28"/>
  <c r="E88" i="28"/>
  <c r="E72" i="28"/>
  <c r="E56" i="28"/>
  <c r="E40" i="28"/>
  <c r="E24" i="28"/>
  <c r="E8" i="28"/>
  <c r="E188" i="28"/>
  <c r="E172" i="28"/>
  <c r="E100" i="28"/>
  <c r="E84" i="28"/>
  <c r="E68" i="28"/>
  <c r="E52" i="28"/>
  <c r="E36" i="28"/>
  <c r="E20" i="28"/>
  <c r="E4" i="28"/>
  <c r="E184" i="28"/>
  <c r="E168" i="28"/>
  <c r="E96" i="28"/>
  <c r="E80" i="28"/>
  <c r="E64" i="28"/>
  <c r="E48" i="28"/>
  <c r="E32" i="28"/>
  <c r="E16" i="28"/>
  <c r="AO7" i="8"/>
  <c r="AO8" i="8"/>
  <c r="AO9" i="8"/>
  <c r="AO6" i="8"/>
  <c r="AN10" i="8"/>
  <c r="AO10" i="8" s="1"/>
  <c r="J3" i="8"/>
  <c r="K3" i="8" s="1"/>
  <c r="AD11" i="29" l="1"/>
  <c r="BP11" i="29" s="1"/>
  <c r="BO11" i="29"/>
  <c r="AD27" i="29"/>
  <c r="BP27" i="29" s="1"/>
  <c r="BO27" i="29"/>
  <c r="AD59" i="29"/>
  <c r="BP59" i="29" s="1"/>
  <c r="BO59" i="29"/>
  <c r="AD107" i="29"/>
  <c r="BP107" i="29" s="1"/>
  <c r="BO107" i="29"/>
  <c r="AD43" i="29"/>
  <c r="BP43" i="29" s="1"/>
  <c r="BO43" i="29"/>
  <c r="AD75" i="29"/>
  <c r="BP75" i="29" s="1"/>
  <c r="BO75" i="29"/>
  <c r="AD91" i="29"/>
  <c r="BP91" i="29" s="1"/>
  <c r="BO91" i="29"/>
  <c r="AD116" i="29"/>
  <c r="BP116" i="29" s="1"/>
  <c r="BO116" i="29"/>
  <c r="AD4" i="29"/>
  <c r="BP4" i="29" s="1"/>
  <c r="BO4" i="29"/>
  <c r="AD20" i="29"/>
  <c r="BP20" i="29" s="1"/>
  <c r="BO20" i="29"/>
  <c r="AD36" i="29"/>
  <c r="BP36" i="29" s="1"/>
  <c r="BO36" i="29"/>
  <c r="AD52" i="29"/>
  <c r="BP52" i="29" s="1"/>
  <c r="BO52" i="29"/>
  <c r="AD68" i="29"/>
  <c r="BP68" i="29" s="1"/>
  <c r="BO68" i="29"/>
  <c r="AD84" i="29"/>
  <c r="BP84" i="29" s="1"/>
  <c r="BO84" i="29"/>
  <c r="AD100" i="29"/>
  <c r="BP100" i="29" s="1"/>
  <c r="BO100" i="29"/>
  <c r="AD18" i="29"/>
  <c r="BP18" i="29" s="1"/>
  <c r="AD50" i="29"/>
  <c r="BP50" i="29" s="1"/>
  <c r="AD82" i="29"/>
  <c r="BP82" i="29" s="1"/>
  <c r="AD114" i="29"/>
  <c r="BP114" i="29" s="1"/>
  <c r="AD29" i="29"/>
  <c r="BP29" i="29" s="1"/>
  <c r="AD6" i="29"/>
  <c r="BP6" i="29" s="1"/>
  <c r="AD14" i="29"/>
  <c r="BP14" i="29" s="1"/>
  <c r="AD22" i="29"/>
  <c r="BP22" i="29" s="1"/>
  <c r="AD30" i="29"/>
  <c r="BP30" i="29" s="1"/>
  <c r="AD38" i="29"/>
  <c r="BP38" i="29" s="1"/>
  <c r="AD46" i="29"/>
  <c r="BP46" i="29" s="1"/>
  <c r="AD62" i="29"/>
  <c r="BP62" i="29" s="1"/>
  <c r="AD78" i="29"/>
  <c r="BP78" i="29" s="1"/>
  <c r="AD94" i="29"/>
  <c r="BP94" i="29" s="1"/>
  <c r="AD110" i="29"/>
  <c r="BP110" i="29" s="1"/>
  <c r="AD151" i="29"/>
  <c r="BP151" i="29" s="1"/>
  <c r="AD55" i="29"/>
  <c r="BP55" i="29" s="1"/>
  <c r="AD63" i="29"/>
  <c r="BP63" i="29" s="1"/>
  <c r="AD79" i="29"/>
  <c r="BP79" i="29" s="1"/>
  <c r="AD87" i="29"/>
  <c r="BP87" i="29" s="1"/>
  <c r="AD95" i="29"/>
  <c r="BP95" i="29" s="1"/>
  <c r="AD8" i="29"/>
  <c r="BP8" i="29" s="1"/>
  <c r="AD16" i="29"/>
  <c r="BP16" i="29" s="1"/>
  <c r="AD24" i="29"/>
  <c r="BP24" i="29" s="1"/>
  <c r="AD32" i="29"/>
  <c r="BP32" i="29" s="1"/>
  <c r="AD40" i="29"/>
  <c r="BP40" i="29" s="1"/>
  <c r="AD48" i="29"/>
  <c r="BP48" i="29" s="1"/>
  <c r="AD56" i="29"/>
  <c r="BP56" i="29" s="1"/>
  <c r="AD64" i="29"/>
  <c r="BP64" i="29" s="1"/>
  <c r="AD72" i="29"/>
  <c r="BP72" i="29" s="1"/>
  <c r="AD80" i="29"/>
  <c r="BP80" i="29" s="1"/>
  <c r="AD88" i="29"/>
  <c r="BP88" i="29" s="1"/>
  <c r="AD96" i="29"/>
  <c r="BP96" i="29" s="1"/>
  <c r="AD104" i="29"/>
  <c r="BP104" i="29" s="1"/>
  <c r="AD121" i="29"/>
  <c r="BP121" i="29" s="1"/>
  <c r="AD9" i="29"/>
  <c r="BP9" i="29" s="1"/>
  <c r="AD17" i="29"/>
  <c r="BP17" i="29" s="1"/>
  <c r="AD25" i="29"/>
  <c r="BP25" i="29" s="1"/>
  <c r="AD41" i="29"/>
  <c r="BP41" i="29" s="1"/>
  <c r="AD49" i="29"/>
  <c r="BP49" i="29" s="1"/>
  <c r="AD57" i="29"/>
  <c r="BP57" i="29" s="1"/>
  <c r="AD73" i="29"/>
  <c r="BP73" i="29" s="1"/>
  <c r="AD81" i="29"/>
  <c r="BP81" i="29" s="1"/>
  <c r="AD89" i="29"/>
  <c r="BP89" i="29" s="1"/>
  <c r="AD97" i="29"/>
  <c r="BP97" i="29" s="1"/>
  <c r="AD105" i="29"/>
  <c r="BP105" i="29" s="1"/>
  <c r="AD54" i="29"/>
  <c r="BP54" i="29" s="1"/>
  <c r="AD70" i="29"/>
  <c r="BP70" i="29" s="1"/>
  <c r="AD86" i="29"/>
  <c r="BP86" i="29" s="1"/>
  <c r="AD102" i="29"/>
  <c r="BP102" i="29" s="1"/>
  <c r="AD118" i="29"/>
  <c r="BP118" i="29" s="1"/>
  <c r="AD135" i="29"/>
  <c r="BP135" i="29" s="1"/>
  <c r="AD7" i="29"/>
  <c r="BP7" i="29" s="1"/>
  <c r="AD15" i="29"/>
  <c r="BP15" i="29" s="1"/>
  <c r="AD23" i="29"/>
  <c r="BP23" i="29" s="1"/>
  <c r="AD31" i="29"/>
  <c r="BP31" i="29" s="1"/>
  <c r="AD39" i="29"/>
  <c r="BP39" i="29" s="1"/>
  <c r="AD47" i="29"/>
  <c r="BP47" i="29" s="1"/>
  <c r="AD71" i="29"/>
  <c r="BP71" i="29" s="1"/>
  <c r="AD103" i="29"/>
  <c r="BP103" i="29" s="1"/>
  <c r="AD33" i="29"/>
  <c r="BP33" i="29" s="1"/>
  <c r="AD65" i="29"/>
  <c r="BP65" i="29" s="1"/>
  <c r="AD10" i="29"/>
  <c r="BP10" i="29" s="1"/>
  <c r="AD26" i="29"/>
  <c r="BP26" i="29" s="1"/>
  <c r="AD34" i="29"/>
  <c r="BP34" i="29" s="1"/>
  <c r="AD42" i="29"/>
  <c r="BP42" i="29" s="1"/>
  <c r="AD58" i="29"/>
  <c r="BP58" i="29" s="1"/>
  <c r="AD66" i="29"/>
  <c r="BP66" i="29" s="1"/>
  <c r="AD74" i="29"/>
  <c r="BP74" i="29" s="1"/>
  <c r="AD90" i="29"/>
  <c r="BP90" i="29" s="1"/>
  <c r="AD98" i="29"/>
  <c r="BP98" i="29" s="1"/>
  <c r="AD106" i="29"/>
  <c r="BP106" i="29" s="1"/>
  <c r="AD123" i="29"/>
  <c r="BP123" i="29" s="1"/>
  <c r="AD19" i="29"/>
  <c r="BP19" i="29" s="1"/>
  <c r="AD35" i="29"/>
  <c r="BP35" i="29" s="1"/>
  <c r="AD51" i="29"/>
  <c r="BP51" i="29" s="1"/>
  <c r="AD67" i="29"/>
  <c r="BP67" i="29" s="1"/>
  <c r="AD83" i="29"/>
  <c r="BP83" i="29" s="1"/>
  <c r="AD99" i="29"/>
  <c r="BP99" i="29" s="1"/>
  <c r="AD115" i="29"/>
  <c r="BP115" i="29" s="1"/>
  <c r="AD12" i="29"/>
  <c r="BP12" i="29" s="1"/>
  <c r="AD28" i="29"/>
  <c r="BP28" i="29" s="1"/>
  <c r="AD44" i="29"/>
  <c r="BP44" i="29" s="1"/>
  <c r="AD60" i="29"/>
  <c r="BP60" i="29" s="1"/>
  <c r="AD76" i="29"/>
  <c r="BP76" i="29" s="1"/>
  <c r="AD92" i="29"/>
  <c r="BP92" i="29" s="1"/>
  <c r="AD108" i="29"/>
  <c r="BP108" i="29" s="1"/>
  <c r="AD5" i="29"/>
  <c r="BP5" i="29" s="1"/>
  <c r="AD13" i="29"/>
  <c r="BP13" i="29" s="1"/>
  <c r="AD21" i="29"/>
  <c r="BP21" i="29" s="1"/>
  <c r="AD37" i="29"/>
  <c r="BP37" i="29" s="1"/>
  <c r="AD45" i="29"/>
  <c r="BP45" i="29" s="1"/>
  <c r="AD53" i="29"/>
  <c r="BP53" i="29" s="1"/>
  <c r="AD61" i="29"/>
  <c r="BP61" i="29" s="1"/>
  <c r="AD69" i="29"/>
  <c r="BP69" i="29" s="1"/>
  <c r="AD77" i="29"/>
  <c r="BP77" i="29" s="1"/>
  <c r="AD85" i="29"/>
  <c r="BP85" i="29" s="1"/>
  <c r="AD93" i="29"/>
  <c r="BP93" i="29" s="1"/>
  <c r="AD101" i="29"/>
  <c r="BP101" i="29" s="1"/>
  <c r="L186" i="30"/>
  <c r="L69" i="30"/>
  <c r="L175" i="30"/>
  <c r="L191" i="30"/>
  <c r="CA17" i="28" a="1"/>
  <c r="CA17" i="28" s="1"/>
  <c r="BZ17" i="28" s="1"/>
  <c r="BU17" i="28" s="1"/>
  <c r="CA30" i="28" a="1"/>
  <c r="CA30" i="28" s="1"/>
  <c r="BZ30" i="28" s="1"/>
  <c r="BT30" i="28" s="1"/>
  <c r="CA42" i="28" a="1"/>
  <c r="CA42" i="28" s="1"/>
  <c r="BZ42" i="28" s="1"/>
  <c r="BT42" i="28" s="1"/>
  <c r="CA27" i="28" a="1"/>
  <c r="CA27" i="28" s="1"/>
  <c r="BZ27" i="28" s="1"/>
  <c r="BT27" i="28" s="1"/>
  <c r="CA24" i="28" a="1"/>
  <c r="CA24" i="28" s="1"/>
  <c r="BZ24" i="28" s="1"/>
  <c r="BT24" i="28" s="1"/>
  <c r="CA20" i="28" a="1"/>
  <c r="CA20" i="28" s="1"/>
  <c r="BZ20" i="28" s="1"/>
  <c r="BT20" i="28" s="1"/>
  <c r="CA22" i="28" a="1"/>
  <c r="CA22" i="28" s="1"/>
  <c r="BZ22" i="28" s="1"/>
  <c r="BT22" i="28" s="1"/>
  <c r="CA29" i="28" a="1"/>
  <c r="CA29" i="28" s="1"/>
  <c r="BZ29" i="28" s="1"/>
  <c r="BU29" i="28" s="1"/>
  <c r="CA45" i="28" a="1"/>
  <c r="CA45" i="28" s="1"/>
  <c r="BZ45" i="28" s="1"/>
  <c r="BT45" i="28" s="1"/>
  <c r="CA46" i="28" a="1"/>
  <c r="CA46" i="28" s="1"/>
  <c r="BZ46" i="28" s="1"/>
  <c r="BT46" i="28" s="1"/>
  <c r="CA28" i="28" a="1"/>
  <c r="CA28" i="28" s="1"/>
  <c r="BZ28" i="28" s="1"/>
  <c r="BU28" i="28" s="1"/>
  <c r="CA35" i="28" a="1"/>
  <c r="CA35" i="28" s="1"/>
  <c r="BZ35" i="28" s="1"/>
  <c r="BW35" i="28" s="1"/>
  <c r="CA43" i="28" a="1"/>
  <c r="CA43" i="28" s="1"/>
  <c r="BZ43" i="28" s="1"/>
  <c r="BT43" i="28" s="1"/>
  <c r="CA21" i="28" a="1"/>
  <c r="CA21" i="28" s="1"/>
  <c r="BZ21" i="28" s="1"/>
  <c r="BT21" i="28" s="1"/>
  <c r="CA38" i="28" a="1"/>
  <c r="CA38" i="28" s="1"/>
  <c r="BZ38" i="28" s="1"/>
  <c r="BT38" i="28" s="1"/>
  <c r="CA18" i="28" a="1"/>
  <c r="CA18" i="28" s="1"/>
  <c r="BZ18" i="28" s="1"/>
  <c r="BW18" i="28" s="1"/>
  <c r="CA37" i="28" a="1"/>
  <c r="CA37" i="28" s="1"/>
  <c r="BZ37" i="28" s="1"/>
  <c r="BU37" i="28" s="1"/>
  <c r="CA11" i="28" a="1"/>
  <c r="CA11" i="28" s="1"/>
  <c r="BZ11" i="28" s="1"/>
  <c r="BT11" i="28" s="1"/>
  <c r="CA8" i="28" a="1"/>
  <c r="CA8" i="28" s="1"/>
  <c r="BZ8" i="28" s="1"/>
  <c r="BW8" i="28" s="1"/>
  <c r="CA25" i="28" a="1"/>
  <c r="CA25" i="28" s="1"/>
  <c r="BZ25" i="28" s="1"/>
  <c r="BT25" i="28" s="1"/>
  <c r="BU41" i="28"/>
  <c r="CA2" i="28" a="1"/>
  <c r="CA2" i="28" s="1"/>
  <c r="BZ2" i="28" s="1"/>
  <c r="BT2" i="28" s="1"/>
  <c r="CA5" i="28" a="1"/>
  <c r="CA5" i="28" s="1"/>
  <c r="BZ5" i="28" s="1"/>
  <c r="BW5" i="28" s="1"/>
  <c r="CA16" i="28" a="1"/>
  <c r="CA16" i="28" s="1"/>
  <c r="BZ16" i="28" s="1"/>
  <c r="BW16" i="28" s="1"/>
  <c r="CA14" i="28" a="1"/>
  <c r="CA14" i="28" s="1"/>
  <c r="BZ14" i="28" s="1"/>
  <c r="BW14" i="28" s="1"/>
  <c r="CA23" i="28" a="1"/>
  <c r="CA23" i="28" s="1"/>
  <c r="BZ23" i="28" s="1"/>
  <c r="BT23" i="28" s="1"/>
  <c r="CA13" i="28" a="1"/>
  <c r="CA13" i="28" s="1"/>
  <c r="BZ13" i="28" s="1"/>
  <c r="BW13" i="28" s="1"/>
  <c r="CA39" i="28" a="1"/>
  <c r="CA39" i="28" s="1"/>
  <c r="BZ39" i="28" s="1"/>
  <c r="BW39" i="28" s="1"/>
  <c r="CA10" i="28" a="1"/>
  <c r="CA10" i="28" s="1"/>
  <c r="BZ10" i="28" s="1"/>
  <c r="BT10" i="28" s="1"/>
  <c r="CA4" i="28" a="1"/>
  <c r="CA4" i="28" s="1"/>
  <c r="BZ4" i="28" s="1"/>
  <c r="BT4" i="28" s="1"/>
  <c r="CA15" i="28" a="1"/>
  <c r="CA15" i="28" s="1"/>
  <c r="BZ15" i="28" s="1"/>
  <c r="BT15" i="28" s="1"/>
  <c r="BW29" i="28"/>
  <c r="CA3" i="28" a="1"/>
  <c r="CA3" i="28" s="1"/>
  <c r="BZ3" i="28" s="1"/>
  <c r="BW3" i="28" s="1"/>
  <c r="CA19" i="28" a="1"/>
  <c r="CA19" i="28" s="1"/>
  <c r="BZ19" i="28" s="1"/>
  <c r="BU19" i="28" s="1"/>
  <c r="CA47" i="28" a="1"/>
  <c r="CA47" i="28" s="1"/>
  <c r="BZ47" i="28" s="1"/>
  <c r="BT47" i="28" s="1"/>
  <c r="CA6" i="28" a="1"/>
  <c r="CA6" i="28" s="1"/>
  <c r="BZ6" i="28" s="1"/>
  <c r="BW6" i="28" s="1"/>
  <c r="CA26" i="28" a="1"/>
  <c r="CA26" i="28" s="1"/>
  <c r="BZ26" i="28" s="1"/>
  <c r="BW26" i="28" s="1"/>
  <c r="CA31" i="28" a="1"/>
  <c r="CA31" i="28" s="1"/>
  <c r="BZ31" i="28" s="1"/>
  <c r="BT31" i="28" s="1"/>
  <c r="BT41" i="28"/>
  <c r="BW7" i="28"/>
  <c r="BU7" i="28"/>
  <c r="BT7" i="28"/>
  <c r="BU33" i="28"/>
  <c r="BT33" i="28"/>
  <c r="CA12" i="28" a="1"/>
  <c r="CA12" i="28" s="1"/>
  <c r="BZ12" i="28" s="1"/>
  <c r="BW12" i="28" s="1"/>
  <c r="BW9" i="28"/>
  <c r="BT9" i="28"/>
  <c r="BU9" i="28"/>
  <c r="BW44" i="28"/>
  <c r="BU44" i="28"/>
  <c r="BW11" i="28"/>
  <c r="BW27" i="28"/>
  <c r="BW48" i="28"/>
  <c r="BT48" i="28"/>
  <c r="BU48" i="28"/>
  <c r="BW22" i="28"/>
  <c r="BU22" i="28"/>
  <c r="BW42" i="28"/>
  <c r="BU42" i="28"/>
  <c r="BW30" i="28"/>
  <c r="BU30" i="28"/>
  <c r="BW34" i="28"/>
  <c r="BU34" i="28"/>
  <c r="BW32" i="28"/>
  <c r="BU32" i="28"/>
  <c r="BT18" i="28"/>
  <c r="BW24" i="28"/>
  <c r="BT17" i="28"/>
  <c r="BW36" i="28"/>
  <c r="BU36" i="28"/>
  <c r="BW40" i="28"/>
  <c r="BU40" i="28"/>
  <c r="AY16" i="29"/>
  <c r="BL16" i="29" s="1"/>
  <c r="AY32" i="29"/>
  <c r="BL32" i="29" s="1"/>
  <c r="AY48" i="29"/>
  <c r="BL48" i="29" s="1"/>
  <c r="AY64" i="29"/>
  <c r="BL64" i="29" s="1"/>
  <c r="AY80" i="29"/>
  <c r="BL80" i="29" s="1"/>
  <c r="AY96" i="29"/>
  <c r="BL96" i="29" s="1"/>
  <c r="AY112" i="29"/>
  <c r="BL112" i="29" s="1"/>
  <c r="AY128" i="29"/>
  <c r="BL128" i="29" s="1"/>
  <c r="AY144" i="29"/>
  <c r="BL144" i="29" s="1"/>
  <c r="AY160" i="29"/>
  <c r="BL160" i="29" s="1"/>
  <c r="AY176" i="29"/>
  <c r="BL176" i="29" s="1"/>
  <c r="AY192" i="29"/>
  <c r="BL192" i="29" s="1"/>
  <c r="AY17" i="29"/>
  <c r="BL17" i="29" s="1"/>
  <c r="AY33" i="29"/>
  <c r="BL33" i="29" s="1"/>
  <c r="AY49" i="29"/>
  <c r="BL49" i="29" s="1"/>
  <c r="AY65" i="29"/>
  <c r="BL65" i="29" s="1"/>
  <c r="AY81" i="29"/>
  <c r="BL81" i="29" s="1"/>
  <c r="AY97" i="29"/>
  <c r="BL97" i="29" s="1"/>
  <c r="AY113" i="29"/>
  <c r="BL113" i="29" s="1"/>
  <c r="AY129" i="29"/>
  <c r="BL129" i="29" s="1"/>
  <c r="AY145" i="29"/>
  <c r="BL145" i="29" s="1"/>
  <c r="AY161" i="29"/>
  <c r="BL161" i="29" s="1"/>
  <c r="AY177" i="29"/>
  <c r="BL177" i="29" s="1"/>
  <c r="AY193" i="29"/>
  <c r="BL193" i="29" s="1"/>
  <c r="AY14" i="29"/>
  <c r="BL14" i="29" s="1"/>
  <c r="AY30" i="29"/>
  <c r="BL30" i="29" s="1"/>
  <c r="AY46" i="29"/>
  <c r="BL46" i="29" s="1"/>
  <c r="AY62" i="29"/>
  <c r="BL62" i="29" s="1"/>
  <c r="AY78" i="29"/>
  <c r="BL78" i="29" s="1"/>
  <c r="AY94" i="29"/>
  <c r="BL94" i="29" s="1"/>
  <c r="AY126" i="29"/>
  <c r="BL126" i="29" s="1"/>
  <c r="AY142" i="29"/>
  <c r="BL142" i="29" s="1"/>
  <c r="AY158" i="29"/>
  <c r="BL158" i="29" s="1"/>
  <c r="AY174" i="29"/>
  <c r="BL174" i="29" s="1"/>
  <c r="BA186" i="29"/>
  <c r="BA170" i="29"/>
  <c r="BA154" i="29"/>
  <c r="BA138" i="29"/>
  <c r="BA122" i="29"/>
  <c r="BA106" i="29"/>
  <c r="BA90" i="29"/>
  <c r="BA63" i="29"/>
  <c r="BA31" i="29"/>
  <c r="BA189" i="29"/>
  <c r="BA173" i="29"/>
  <c r="BA157" i="29"/>
  <c r="BA141" i="29"/>
  <c r="BA125" i="29"/>
  <c r="BA109" i="29"/>
  <c r="BA93" i="29"/>
  <c r="BA68" i="29"/>
  <c r="BA36" i="29"/>
  <c r="BA192" i="29"/>
  <c r="BA176" i="29"/>
  <c r="BA160" i="29"/>
  <c r="BA144" i="29"/>
  <c r="BA128" i="29"/>
  <c r="BA112" i="29"/>
  <c r="BA96" i="29"/>
  <c r="BA75" i="29"/>
  <c r="BA43" i="29"/>
  <c r="BA179" i="29"/>
  <c r="BA163" i="29"/>
  <c r="BA147" i="29"/>
  <c r="BA131" i="29"/>
  <c r="BA115" i="29"/>
  <c r="BA99" i="29"/>
  <c r="BA80" i="29"/>
  <c r="BA48" i="29"/>
  <c r="BA16" i="29"/>
  <c r="BA78" i="29"/>
  <c r="BA62" i="29"/>
  <c r="BA46" i="29"/>
  <c r="BA30" i="29"/>
  <c r="BA14" i="29"/>
  <c r="BA81" i="29"/>
  <c r="BA65" i="29"/>
  <c r="BA49" i="29"/>
  <c r="BA33" i="29"/>
  <c r="BA17" i="29"/>
  <c r="AY7" i="29"/>
  <c r="BL7" i="29" s="1"/>
  <c r="AY23" i="29"/>
  <c r="BL23" i="29" s="1"/>
  <c r="AY39" i="29"/>
  <c r="BL39" i="29" s="1"/>
  <c r="AY55" i="29"/>
  <c r="BL55" i="29" s="1"/>
  <c r="AY71" i="29"/>
  <c r="BL71" i="29" s="1"/>
  <c r="AY87" i="29"/>
  <c r="BL87" i="29" s="1"/>
  <c r="AY103" i="29"/>
  <c r="BL103" i="29" s="1"/>
  <c r="AY119" i="29"/>
  <c r="BL119" i="29" s="1"/>
  <c r="AY135" i="29"/>
  <c r="BL135" i="29" s="1"/>
  <c r="AY151" i="29"/>
  <c r="BL151" i="29" s="1"/>
  <c r="AY167" i="29"/>
  <c r="BL167" i="29" s="1"/>
  <c r="AY183" i="29"/>
  <c r="BL183" i="29" s="1"/>
  <c r="L80" i="30"/>
  <c r="AY20" i="29"/>
  <c r="BL20" i="29" s="1"/>
  <c r="AY36" i="29"/>
  <c r="BL36" i="29" s="1"/>
  <c r="AY52" i="29"/>
  <c r="BL52" i="29" s="1"/>
  <c r="AY68" i="29"/>
  <c r="BL68" i="29" s="1"/>
  <c r="AY84" i="29"/>
  <c r="BL84" i="29" s="1"/>
  <c r="AY116" i="29"/>
  <c r="BL116" i="29" s="1"/>
  <c r="AY148" i="29"/>
  <c r="BL148" i="29" s="1"/>
  <c r="AY164" i="29"/>
  <c r="BL164" i="29" s="1"/>
  <c r="AY5" i="29"/>
  <c r="BL5" i="29" s="1"/>
  <c r="AY21" i="29"/>
  <c r="BL21" i="29" s="1"/>
  <c r="AY37" i="29"/>
  <c r="BL37" i="29" s="1"/>
  <c r="AY53" i="29"/>
  <c r="BL53" i="29" s="1"/>
  <c r="AY69" i="29"/>
  <c r="BL69" i="29" s="1"/>
  <c r="AY85" i="29"/>
  <c r="BL85" i="29" s="1"/>
  <c r="AY101" i="29"/>
  <c r="BL101" i="29" s="1"/>
  <c r="AY117" i="29"/>
  <c r="BL117" i="29" s="1"/>
  <c r="AY133" i="29"/>
  <c r="BL133" i="29" s="1"/>
  <c r="AY149" i="29"/>
  <c r="BL149" i="29" s="1"/>
  <c r="AY165" i="29"/>
  <c r="BL165" i="29" s="1"/>
  <c r="AY181" i="29"/>
  <c r="BL181" i="29" s="1"/>
  <c r="AY18" i="29"/>
  <c r="BL18" i="29" s="1"/>
  <c r="AY34" i="29"/>
  <c r="BL34" i="29" s="1"/>
  <c r="AY50" i="29"/>
  <c r="BL50" i="29" s="1"/>
  <c r="AY66" i="29"/>
  <c r="BL66" i="29" s="1"/>
  <c r="AY82" i="29"/>
  <c r="BL82" i="29" s="1"/>
  <c r="AY98" i="29"/>
  <c r="BL98" i="29" s="1"/>
  <c r="AY114" i="29"/>
  <c r="BL114" i="29" s="1"/>
  <c r="AY130" i="29"/>
  <c r="BL130" i="29" s="1"/>
  <c r="AY146" i="29"/>
  <c r="BL146" i="29" s="1"/>
  <c r="AY178" i="29"/>
  <c r="BL178" i="29" s="1"/>
  <c r="BA182" i="29"/>
  <c r="BA166" i="29"/>
  <c r="BA150" i="29"/>
  <c r="BA134" i="29"/>
  <c r="BA118" i="29"/>
  <c r="BA102" i="29"/>
  <c r="BA86" i="29"/>
  <c r="BA55" i="29"/>
  <c r="BA23" i="29"/>
  <c r="BA185" i="29"/>
  <c r="BA169" i="29"/>
  <c r="BA153" i="29"/>
  <c r="BA137" i="29"/>
  <c r="BA121" i="29"/>
  <c r="BA105" i="29"/>
  <c r="BA89" i="29"/>
  <c r="BA60" i="29"/>
  <c r="BA28" i="29"/>
  <c r="BA188" i="29"/>
  <c r="BA172" i="29"/>
  <c r="BA156" i="29"/>
  <c r="BA140" i="29"/>
  <c r="BA124" i="29"/>
  <c r="BA108" i="29"/>
  <c r="BA92" i="29"/>
  <c r="BA67" i="29"/>
  <c r="BA35" i="29"/>
  <c r="BA191" i="29"/>
  <c r="BA175" i="29"/>
  <c r="BA159" i="29"/>
  <c r="BA143" i="29"/>
  <c r="BA127" i="29"/>
  <c r="BA111" i="29"/>
  <c r="BA95" i="29"/>
  <c r="BA72" i="29"/>
  <c r="BA40" i="29"/>
  <c r="BA74" i="29"/>
  <c r="BA58" i="29"/>
  <c r="BA42" i="29"/>
  <c r="BA26" i="29"/>
  <c r="BA77" i="29"/>
  <c r="BA61" i="29"/>
  <c r="BA45" i="29"/>
  <c r="BA29" i="29"/>
  <c r="BA13" i="29"/>
  <c r="AY11" i="29"/>
  <c r="BL11" i="29" s="1"/>
  <c r="AY27" i="29"/>
  <c r="BL27" i="29" s="1"/>
  <c r="AY43" i="29"/>
  <c r="BL43" i="29" s="1"/>
  <c r="AY59" i="29"/>
  <c r="BL59" i="29" s="1"/>
  <c r="AY91" i="29"/>
  <c r="BL91" i="29" s="1"/>
  <c r="AY107" i="29"/>
  <c r="BL107" i="29" s="1"/>
  <c r="AY123" i="29"/>
  <c r="BL123" i="29" s="1"/>
  <c r="AY139" i="29"/>
  <c r="BL139" i="29" s="1"/>
  <c r="AY171" i="29"/>
  <c r="BL171" i="29" s="1"/>
  <c r="AY8" i="29"/>
  <c r="BL8" i="29" s="1"/>
  <c r="AY24" i="29"/>
  <c r="BL24" i="29" s="1"/>
  <c r="AY40" i="29"/>
  <c r="BL40" i="29" s="1"/>
  <c r="AY56" i="29"/>
  <c r="BL56" i="29" s="1"/>
  <c r="AY72" i="29"/>
  <c r="BL72" i="29" s="1"/>
  <c r="AY88" i="29"/>
  <c r="BL88" i="29" s="1"/>
  <c r="AY104" i="29"/>
  <c r="BL104" i="29" s="1"/>
  <c r="AY120" i="29"/>
  <c r="BL120" i="29" s="1"/>
  <c r="AY136" i="29"/>
  <c r="BL136" i="29" s="1"/>
  <c r="AY152" i="29"/>
  <c r="BL152" i="29" s="1"/>
  <c r="AY168" i="29"/>
  <c r="BL168" i="29" s="1"/>
  <c r="AY9" i="29"/>
  <c r="BL9" i="29" s="1"/>
  <c r="AY25" i="29"/>
  <c r="BL25" i="29" s="1"/>
  <c r="AY41" i="29"/>
  <c r="BL41" i="29" s="1"/>
  <c r="AY57" i="29"/>
  <c r="BL57" i="29" s="1"/>
  <c r="AY105" i="29"/>
  <c r="BL105" i="29" s="1"/>
  <c r="AY121" i="29"/>
  <c r="BL121" i="29" s="1"/>
  <c r="AY137" i="29"/>
  <c r="BL137" i="29" s="1"/>
  <c r="AY153" i="29"/>
  <c r="BL153" i="29" s="1"/>
  <c r="AY6" i="29"/>
  <c r="BL6" i="29" s="1"/>
  <c r="AY22" i="29"/>
  <c r="BL22" i="29" s="1"/>
  <c r="AY38" i="29"/>
  <c r="BL38" i="29" s="1"/>
  <c r="AY54" i="29"/>
  <c r="BL54" i="29" s="1"/>
  <c r="AY86" i="29"/>
  <c r="BL86" i="29" s="1"/>
  <c r="AY102" i="29"/>
  <c r="BL102" i="29" s="1"/>
  <c r="AY118" i="29"/>
  <c r="BL118" i="29" s="1"/>
  <c r="AY134" i="29"/>
  <c r="BL134" i="29" s="1"/>
  <c r="AY150" i="29"/>
  <c r="BL150" i="29" s="1"/>
  <c r="AY166" i="29"/>
  <c r="BL166" i="29" s="1"/>
  <c r="AY182" i="29"/>
  <c r="BL182" i="29" s="1"/>
  <c r="BA178" i="29"/>
  <c r="BA162" i="29"/>
  <c r="BA146" i="29"/>
  <c r="BA130" i="29"/>
  <c r="BA114" i="29"/>
  <c r="BA98" i="29"/>
  <c r="BA79" i="29"/>
  <c r="BA47" i="29"/>
  <c r="BA15" i="29"/>
  <c r="BA181" i="29"/>
  <c r="BA165" i="29"/>
  <c r="BA149" i="29"/>
  <c r="BA133" i="29"/>
  <c r="BA117" i="29"/>
  <c r="BA101" i="29"/>
  <c r="BA84" i="29"/>
  <c r="BA52" i="29"/>
  <c r="BA20" i="29"/>
  <c r="BA184" i="29"/>
  <c r="BA168" i="29"/>
  <c r="BA152" i="29"/>
  <c r="BA136" i="29"/>
  <c r="BA120" i="29"/>
  <c r="BA104" i="29"/>
  <c r="BA88" i="29"/>
  <c r="BA59" i="29"/>
  <c r="BA27" i="29"/>
  <c r="BA187" i="29"/>
  <c r="BA171" i="29"/>
  <c r="BA155" i="29"/>
  <c r="BA139" i="29"/>
  <c r="BA123" i="29"/>
  <c r="BA107" i="29"/>
  <c r="BA91" i="29"/>
  <c r="BA64" i="29"/>
  <c r="BA32" i="29"/>
  <c r="BA70" i="29"/>
  <c r="BA54" i="29"/>
  <c r="BA38" i="29"/>
  <c r="BA22" i="29"/>
  <c r="BA73" i="29"/>
  <c r="BA57" i="29"/>
  <c r="BA41" i="29"/>
  <c r="BA25" i="29"/>
  <c r="AY15" i="29"/>
  <c r="BL15" i="29" s="1"/>
  <c r="AY31" i="29"/>
  <c r="BL31" i="29" s="1"/>
  <c r="AY47" i="29"/>
  <c r="BL47" i="29" s="1"/>
  <c r="AY63" i="29"/>
  <c r="BL63" i="29" s="1"/>
  <c r="AY79" i="29"/>
  <c r="BL79" i="29" s="1"/>
  <c r="AY95" i="29"/>
  <c r="BL95" i="29" s="1"/>
  <c r="AY111" i="29"/>
  <c r="BL111" i="29" s="1"/>
  <c r="AY12" i="29"/>
  <c r="BL12" i="29" s="1"/>
  <c r="AY28" i="29"/>
  <c r="BL28" i="29" s="1"/>
  <c r="AY44" i="29"/>
  <c r="BL44" i="29" s="1"/>
  <c r="AY60" i="29"/>
  <c r="BL60" i="29" s="1"/>
  <c r="AY108" i="29"/>
  <c r="BL108" i="29" s="1"/>
  <c r="AY140" i="29"/>
  <c r="BL140" i="29" s="1"/>
  <c r="AY156" i="29"/>
  <c r="BL156" i="29" s="1"/>
  <c r="AY188" i="29"/>
  <c r="BL188" i="29" s="1"/>
  <c r="AY13" i="29"/>
  <c r="BL13" i="29" s="1"/>
  <c r="AY45" i="29"/>
  <c r="BL45" i="29" s="1"/>
  <c r="AY93" i="29"/>
  <c r="BL93" i="29" s="1"/>
  <c r="AY157" i="29"/>
  <c r="BL157" i="29" s="1"/>
  <c r="AY189" i="29"/>
  <c r="BL189" i="29" s="1"/>
  <c r="AY58" i="29"/>
  <c r="BL58" i="29" s="1"/>
  <c r="AY170" i="29"/>
  <c r="BL170" i="29" s="1"/>
  <c r="BA190" i="29"/>
  <c r="BA174" i="29"/>
  <c r="BA158" i="29"/>
  <c r="BA142" i="29"/>
  <c r="BA126" i="29"/>
  <c r="BA110" i="29"/>
  <c r="BA94" i="29"/>
  <c r="BA71" i="29"/>
  <c r="BA39" i="29"/>
  <c r="BA193" i="29"/>
  <c r="BA177" i="29"/>
  <c r="BA161" i="29"/>
  <c r="BA145" i="29"/>
  <c r="BA129" i="29"/>
  <c r="BA113" i="29"/>
  <c r="BA97" i="29"/>
  <c r="BA76" i="29"/>
  <c r="BA44" i="29"/>
  <c r="BA12" i="29"/>
  <c r="BA180" i="29"/>
  <c r="BA164" i="29"/>
  <c r="BA148" i="29"/>
  <c r="BA132" i="29"/>
  <c r="BA116" i="29"/>
  <c r="BA100" i="29"/>
  <c r="BA83" i="29"/>
  <c r="BA51" i="29"/>
  <c r="BA19" i="29"/>
  <c r="BA183" i="29"/>
  <c r="BA167" i="29"/>
  <c r="BA151" i="29"/>
  <c r="BA135" i="29"/>
  <c r="BA119" i="29"/>
  <c r="BA103" i="29"/>
  <c r="BA87" i="29"/>
  <c r="BA56" i="29"/>
  <c r="BA24" i="29"/>
  <c r="BA82" i="29"/>
  <c r="BA66" i="29"/>
  <c r="BA50" i="29"/>
  <c r="BA34" i="29"/>
  <c r="BA18" i="29"/>
  <c r="BA85" i="29"/>
  <c r="BA69" i="29"/>
  <c r="BA53" i="29"/>
  <c r="BA37" i="29"/>
  <c r="BA21" i="29"/>
  <c r="AY83" i="29"/>
  <c r="BL83" i="29" s="1"/>
  <c r="L3" i="30"/>
  <c r="L188" i="30"/>
  <c r="L86" i="30"/>
  <c r="L52" i="30"/>
  <c r="L20" i="30"/>
  <c r="L90" i="30"/>
  <c r="L154" i="30"/>
  <c r="L123" i="30"/>
  <c r="L110" i="30"/>
  <c r="L89" i="30"/>
  <c r="L47" i="30"/>
  <c r="L111" i="30"/>
  <c r="L55" i="30"/>
  <c r="L107" i="30"/>
  <c r="L157" i="30"/>
  <c r="L75" i="30"/>
  <c r="L45" i="30"/>
  <c r="L136" i="30"/>
  <c r="L68" i="30"/>
  <c r="L11" i="30"/>
  <c r="L145" i="30"/>
  <c r="L28" i="30"/>
  <c r="L161" i="30"/>
  <c r="L71" i="30"/>
  <c r="L41" i="30"/>
  <c r="L49" i="30"/>
  <c r="I200" i="28"/>
  <c r="I197" i="28"/>
  <c r="L162" i="30"/>
  <c r="L139" i="30"/>
  <c r="L126" i="30"/>
  <c r="L92" i="30"/>
  <c r="L6" i="30"/>
  <c r="L187" i="30"/>
  <c r="L152" i="30"/>
  <c r="L119" i="30"/>
  <c r="L65" i="30"/>
  <c r="L180" i="30"/>
  <c r="L60" i="30"/>
  <c r="L8" i="30"/>
  <c r="L16" i="30"/>
  <c r="L24" i="30"/>
  <c r="L2" i="30"/>
  <c r="L9" i="30"/>
  <c r="L17" i="30"/>
  <c r="L178" i="30"/>
  <c r="L190" i="30"/>
  <c r="L76" i="30"/>
  <c r="L84" i="30"/>
  <c r="L167" i="30"/>
  <c r="L179" i="30"/>
  <c r="L51" i="30"/>
  <c r="L59" i="30"/>
  <c r="L7" i="30"/>
  <c r="L185" i="30"/>
  <c r="L134" i="30"/>
  <c r="L125" i="30"/>
  <c r="L67" i="30"/>
  <c r="L137" i="30"/>
  <c r="L112" i="30"/>
  <c r="L99" i="30"/>
  <c r="L78" i="30"/>
  <c r="L4" i="30"/>
  <c r="L12" i="30"/>
  <c r="L5" i="30"/>
  <c r="L13" i="30"/>
  <c r="L93" i="30"/>
  <c r="L38" i="30"/>
  <c r="L50" i="30"/>
  <c r="L18" i="30"/>
  <c r="L189" i="30"/>
  <c r="L121" i="30"/>
  <c r="L129" i="30"/>
  <c r="L174" i="30"/>
  <c r="L182" i="30"/>
  <c r="L151" i="30"/>
  <c r="L118" i="30"/>
  <c r="L105" i="30"/>
  <c r="L64" i="30"/>
  <c r="L72" i="30"/>
  <c r="L88" i="30"/>
  <c r="L34" i="30"/>
  <c r="L62" i="30"/>
  <c r="L30" i="30"/>
  <c r="L163" i="30"/>
  <c r="L171" i="30"/>
  <c r="L140" i="30"/>
  <c r="L148" i="30"/>
  <c r="L149" i="30"/>
  <c r="L116" i="30"/>
  <c r="L124" i="30"/>
  <c r="L132" i="30"/>
  <c r="L70" i="30"/>
  <c r="L36" i="30"/>
  <c r="L181" i="30"/>
  <c r="L117" i="30"/>
  <c r="L63" i="30"/>
  <c r="L37" i="30"/>
  <c r="L158" i="30"/>
  <c r="L166" i="30"/>
  <c r="L135" i="30"/>
  <c r="L130" i="30"/>
  <c r="L97" i="30"/>
  <c r="L46" i="30"/>
  <c r="L54" i="30"/>
  <c r="L14" i="30"/>
  <c r="L22" i="30"/>
  <c r="L155" i="30"/>
  <c r="L183" i="30"/>
  <c r="L144" i="30"/>
  <c r="L94" i="30"/>
  <c r="L102" i="30"/>
  <c r="L73" i="30"/>
  <c r="L81" i="30"/>
  <c r="L31" i="30"/>
  <c r="L39" i="30"/>
  <c r="L15" i="30"/>
  <c r="L23" i="30"/>
  <c r="L160" i="30"/>
  <c r="L168" i="30"/>
  <c r="L176" i="30"/>
  <c r="L184" i="30"/>
  <c r="L192" i="30"/>
  <c r="L141" i="30"/>
  <c r="L95" i="30"/>
  <c r="L103" i="30"/>
  <c r="L74" i="30"/>
  <c r="L82" i="30"/>
  <c r="L165" i="30"/>
  <c r="L173" i="30"/>
  <c r="L142" i="30"/>
  <c r="L150" i="30"/>
  <c r="L96" i="30"/>
  <c r="L104" i="30"/>
  <c r="L83" i="30"/>
  <c r="L91" i="30"/>
  <c r="L57" i="30"/>
  <c r="L25" i="30"/>
  <c r="L147" i="30"/>
  <c r="L109" i="30"/>
  <c r="L159" i="30"/>
  <c r="L120" i="30"/>
  <c r="L128" i="30"/>
  <c r="L66" i="30"/>
  <c r="L32" i="30"/>
  <c r="L40" i="30"/>
  <c r="L48" i="30"/>
  <c r="L10" i="30"/>
  <c r="L131" i="30"/>
  <c r="L98" i="30"/>
  <c r="L77" i="30"/>
  <c r="L35" i="30"/>
  <c r="L43" i="30"/>
  <c r="L19" i="30"/>
  <c r="L27" i="30"/>
  <c r="L156" i="30"/>
  <c r="L164" i="30"/>
  <c r="L172" i="30"/>
  <c r="L169" i="30"/>
  <c r="L177" i="30"/>
  <c r="L138" i="30"/>
  <c r="L146" i="30"/>
  <c r="L113" i="30"/>
  <c r="L133" i="30"/>
  <c r="L100" i="30"/>
  <c r="L108" i="30"/>
  <c r="L79" i="30"/>
  <c r="L87" i="30"/>
  <c r="L33" i="30"/>
  <c r="L53" i="30"/>
  <c r="L61" i="30"/>
  <c r="L21" i="30"/>
  <c r="L29" i="30"/>
  <c r="I194" i="28"/>
  <c r="I196" i="28"/>
  <c r="I199" i="28"/>
  <c r="I193" i="28"/>
  <c r="I198" i="28"/>
  <c r="I195" i="28"/>
  <c r="D190" i="28"/>
  <c r="J190" i="28"/>
  <c r="D180" i="28"/>
  <c r="J180" i="28"/>
  <c r="D35" i="28"/>
  <c r="O35" i="28"/>
  <c r="D99" i="28"/>
  <c r="F99" i="28" s="1"/>
  <c r="J99" i="28"/>
  <c r="D163" i="28"/>
  <c r="L163" i="28"/>
  <c r="D167" i="28"/>
  <c r="K167" i="28"/>
  <c r="D173" i="28"/>
  <c r="K173" i="28"/>
  <c r="D11" i="28"/>
  <c r="F11" i="28" s="1"/>
  <c r="J11" i="28"/>
  <c r="D183" i="28"/>
  <c r="K183" i="28"/>
  <c r="D146" i="28"/>
  <c r="K146" i="28"/>
  <c r="D154" i="28"/>
  <c r="M154" i="28"/>
  <c r="D162" i="28"/>
  <c r="J162" i="28"/>
  <c r="D114" i="28"/>
  <c r="K114" i="28"/>
  <c r="D122" i="28"/>
  <c r="J122" i="28"/>
  <c r="D130" i="28"/>
  <c r="J130" i="28"/>
  <c r="D138" i="28"/>
  <c r="M138" i="28"/>
  <c r="D192" i="28"/>
  <c r="K192" i="28"/>
  <c r="D51" i="28"/>
  <c r="Q51" i="28"/>
  <c r="D115" i="28"/>
  <c r="J115" i="28"/>
  <c r="D179" i="28"/>
  <c r="K179" i="28"/>
  <c r="D184" i="28"/>
  <c r="K184" i="28"/>
  <c r="D168" i="28"/>
  <c r="F168" i="28" s="1"/>
  <c r="J168" i="28"/>
  <c r="D176" i="28"/>
  <c r="D8" i="28"/>
  <c r="N8" i="28"/>
  <c r="D16" i="28"/>
  <c r="L16" i="28"/>
  <c r="D24" i="28"/>
  <c r="O24" i="28"/>
  <c r="D32" i="28"/>
  <c r="M32" i="28"/>
  <c r="D40" i="28"/>
  <c r="K40" i="28"/>
  <c r="D48" i="28"/>
  <c r="O48" i="28"/>
  <c r="D56" i="28"/>
  <c r="J56" i="28"/>
  <c r="D64" i="28"/>
  <c r="K64" i="28"/>
  <c r="D72" i="28"/>
  <c r="J72" i="28"/>
  <c r="D80" i="28"/>
  <c r="L80" i="28"/>
  <c r="D88" i="28"/>
  <c r="F88" i="28" s="1"/>
  <c r="J88" i="28"/>
  <c r="D96" i="28"/>
  <c r="K96" i="28"/>
  <c r="D104" i="28"/>
  <c r="F104" i="28" s="1"/>
  <c r="J104" i="28"/>
  <c r="I104" i="28" s="1"/>
  <c r="D148" i="28"/>
  <c r="K148" i="28"/>
  <c r="D156" i="28"/>
  <c r="D164" i="28"/>
  <c r="K164" i="28"/>
  <c r="D116" i="28"/>
  <c r="L116" i="28"/>
  <c r="D124" i="28"/>
  <c r="J124" i="28"/>
  <c r="D132" i="28"/>
  <c r="K132" i="28"/>
  <c r="D140" i="28"/>
  <c r="J140" i="28"/>
  <c r="D5" i="28"/>
  <c r="K5" i="28"/>
  <c r="D13" i="28"/>
  <c r="J13" i="28"/>
  <c r="D21" i="28"/>
  <c r="N21" i="28"/>
  <c r="D29" i="28"/>
  <c r="J29" i="28"/>
  <c r="D37" i="28"/>
  <c r="J37" i="28"/>
  <c r="D45" i="28"/>
  <c r="N45" i="28"/>
  <c r="D53" i="28"/>
  <c r="J53" i="28"/>
  <c r="D61" i="28"/>
  <c r="L61" i="28"/>
  <c r="D69" i="28"/>
  <c r="K69" i="28"/>
  <c r="D77" i="28"/>
  <c r="K77" i="28"/>
  <c r="D85" i="28"/>
  <c r="M85" i="28"/>
  <c r="D93" i="28"/>
  <c r="L93" i="28"/>
  <c r="D101" i="28"/>
  <c r="L101" i="28"/>
  <c r="D109" i="28"/>
  <c r="F109" i="28" s="1"/>
  <c r="J109" i="28"/>
  <c r="D10" i="28"/>
  <c r="P10" i="28"/>
  <c r="D18" i="28"/>
  <c r="M18" i="28"/>
  <c r="D26" i="28"/>
  <c r="Q26" i="28"/>
  <c r="D34" i="28"/>
  <c r="N34" i="28"/>
  <c r="D42" i="28"/>
  <c r="L42" i="28"/>
  <c r="D50" i="28"/>
  <c r="P50" i="28"/>
  <c r="D58" i="28"/>
  <c r="K58" i="28"/>
  <c r="D66" i="28"/>
  <c r="L66" i="28"/>
  <c r="D74" i="28"/>
  <c r="K74" i="28"/>
  <c r="D82" i="28"/>
  <c r="F82" i="28" s="1"/>
  <c r="J82" i="28"/>
  <c r="D90" i="28"/>
  <c r="J90" i="28"/>
  <c r="D98" i="28"/>
  <c r="K98" i="28"/>
  <c r="D106" i="28"/>
  <c r="K106" i="28"/>
  <c r="D181" i="28"/>
  <c r="K181" i="28"/>
  <c r="D171" i="28"/>
  <c r="J171" i="28"/>
  <c r="D170" i="28"/>
  <c r="J170" i="28"/>
  <c r="D178" i="28"/>
  <c r="J178" i="28"/>
  <c r="D149" i="28"/>
  <c r="J149" i="28"/>
  <c r="D157" i="28"/>
  <c r="J157" i="28"/>
  <c r="D165" i="28"/>
  <c r="M165" i="28"/>
  <c r="D117" i="28"/>
  <c r="K117" i="28"/>
  <c r="D125" i="28"/>
  <c r="J125" i="28"/>
  <c r="D133" i="28"/>
  <c r="L133" i="28"/>
  <c r="D141" i="28"/>
  <c r="N141" i="28"/>
  <c r="D83" i="28"/>
  <c r="L83" i="28"/>
  <c r="D172" i="28"/>
  <c r="K172" i="28"/>
  <c r="D67" i="28"/>
  <c r="J67" i="28"/>
  <c r="D131" i="28"/>
  <c r="K131" i="28"/>
  <c r="D185" i="28"/>
  <c r="J185" i="28"/>
  <c r="D7" i="28"/>
  <c r="M7" i="28"/>
  <c r="D186" i="28"/>
  <c r="F186" i="28" s="1"/>
  <c r="J186" i="28"/>
  <c r="D169" i="28"/>
  <c r="L169" i="28"/>
  <c r="D177" i="28"/>
  <c r="D182" i="28"/>
  <c r="J182" i="28"/>
  <c r="D150" i="28"/>
  <c r="L150" i="28"/>
  <c r="D158" i="28"/>
  <c r="K158" i="28"/>
  <c r="D110" i="28"/>
  <c r="J110" i="28"/>
  <c r="D118" i="28"/>
  <c r="L118" i="28"/>
  <c r="D126" i="28"/>
  <c r="J126" i="28"/>
  <c r="D134" i="28"/>
  <c r="K134" i="28"/>
  <c r="D142" i="28"/>
  <c r="M142" i="28"/>
  <c r="D19" i="28"/>
  <c r="N19" i="28"/>
  <c r="D147" i="28"/>
  <c r="M147" i="28"/>
  <c r="D188" i="28"/>
  <c r="L188" i="28"/>
  <c r="D4" i="28"/>
  <c r="J4" i="28"/>
  <c r="D12" i="28"/>
  <c r="J12" i="28"/>
  <c r="D20" i="28"/>
  <c r="M20" i="28"/>
  <c r="D28" i="28"/>
  <c r="K28" i="28"/>
  <c r="D36" i="28"/>
  <c r="P36" i="28"/>
  <c r="D44" i="28"/>
  <c r="M44" i="28"/>
  <c r="D52" i="28"/>
  <c r="R52" i="28"/>
  <c r="D60" i="28"/>
  <c r="L60" i="28"/>
  <c r="D68" i="28"/>
  <c r="J68" i="28"/>
  <c r="D76" i="28"/>
  <c r="N76" i="28"/>
  <c r="D84" i="28"/>
  <c r="M84" i="28"/>
  <c r="D92" i="28"/>
  <c r="F92" i="28" s="1"/>
  <c r="J92" i="28"/>
  <c r="D100" i="28"/>
  <c r="J100" i="28"/>
  <c r="D108" i="28"/>
  <c r="L108" i="28"/>
  <c r="D152" i="28"/>
  <c r="L152" i="28"/>
  <c r="D160" i="28"/>
  <c r="K160" i="28"/>
  <c r="D112" i="28"/>
  <c r="K112" i="28"/>
  <c r="D120" i="28"/>
  <c r="N120" i="28"/>
  <c r="D128" i="28"/>
  <c r="K128" i="28"/>
  <c r="D136" i="28"/>
  <c r="L136" i="28"/>
  <c r="D144" i="28"/>
  <c r="O144" i="28"/>
  <c r="D9" i="28"/>
  <c r="O9" i="28"/>
  <c r="D17" i="28"/>
  <c r="L17" i="28"/>
  <c r="D25" i="28"/>
  <c r="P25" i="28"/>
  <c r="D33" i="28"/>
  <c r="J33" i="28"/>
  <c r="D41" i="28"/>
  <c r="L41" i="28"/>
  <c r="D49" i="28"/>
  <c r="P49" i="28"/>
  <c r="D57" i="28"/>
  <c r="J57" i="28"/>
  <c r="D65" i="28"/>
  <c r="M65" i="28"/>
  <c r="D73" i="28"/>
  <c r="K73" i="28"/>
  <c r="D81" i="28"/>
  <c r="L81" i="28"/>
  <c r="D89" i="28"/>
  <c r="K89" i="28"/>
  <c r="D97" i="28"/>
  <c r="M97" i="28"/>
  <c r="D105" i="28"/>
  <c r="J105" i="28"/>
  <c r="D6" i="28"/>
  <c r="L6" i="28"/>
  <c r="D14" i="28"/>
  <c r="K14" i="28"/>
  <c r="D22" i="28"/>
  <c r="O22" i="28"/>
  <c r="D30" i="28"/>
  <c r="K30" i="28"/>
  <c r="D38" i="28"/>
  <c r="K38" i="28"/>
  <c r="D46" i="28"/>
  <c r="N46" i="28"/>
  <c r="D54" i="28"/>
  <c r="J54" i="28"/>
  <c r="D62" i="28"/>
  <c r="M62" i="28"/>
  <c r="D70" i="28"/>
  <c r="J70" i="28"/>
  <c r="D78" i="28"/>
  <c r="L78" i="28"/>
  <c r="D86" i="28"/>
  <c r="N86" i="28"/>
  <c r="D94" i="28"/>
  <c r="K94" i="28"/>
  <c r="D102" i="28"/>
  <c r="N102" i="28"/>
  <c r="D187" i="28"/>
  <c r="K187" i="28"/>
  <c r="D166" i="28"/>
  <c r="J166" i="28"/>
  <c r="D174" i="28"/>
  <c r="L174" i="28"/>
  <c r="D145" i="28"/>
  <c r="K145" i="28"/>
  <c r="D153" i="28"/>
  <c r="K153" i="28"/>
  <c r="D161" i="28"/>
  <c r="L161" i="28"/>
  <c r="D113" i="28"/>
  <c r="M113" i="28"/>
  <c r="D121" i="28"/>
  <c r="M121" i="28"/>
  <c r="D129" i="28"/>
  <c r="L129" i="28"/>
  <c r="D137" i="28"/>
  <c r="L137" i="28"/>
  <c r="D15" i="28"/>
  <c r="K15" i="28"/>
  <c r="D175" i="28"/>
  <c r="J175" i="28"/>
  <c r="I151" i="28"/>
  <c r="E1" i="28"/>
  <c r="AP9" i="8"/>
  <c r="AP8" i="8"/>
  <c r="AP6" i="8"/>
  <c r="AP7" i="8"/>
  <c r="J6" i="8"/>
  <c r="J5" i="8"/>
  <c r="K5" i="8" s="1"/>
  <c r="BW17" i="28" l="1"/>
  <c r="BU24" i="28"/>
  <c r="BU14" i="28"/>
  <c r="BU10" i="28"/>
  <c r="BU20" i="28"/>
  <c r="BW45" i="28"/>
  <c r="BW21" i="28"/>
  <c r="BW20" i="28"/>
  <c r="BW23" i="28"/>
  <c r="BU2" i="28"/>
  <c r="BU35" i="28"/>
  <c r="BU27" i="28"/>
  <c r="BW25" i="28"/>
  <c r="BT35" i="28"/>
  <c r="BU18" i="28"/>
  <c r="BT29" i="28"/>
  <c r="BU25" i="28"/>
  <c r="BU11" i="28"/>
  <c r="BU4" i="28"/>
  <c r="BU47" i="28"/>
  <c r="BT6" i="28"/>
  <c r="BU43" i="28"/>
  <c r="BW43" i="28"/>
  <c r="BT16" i="28"/>
  <c r="BT37" i="28"/>
  <c r="BW46" i="28"/>
  <c r="BW4" i="28"/>
  <c r="BW2" i="28"/>
  <c r="BU21" i="28"/>
  <c r="BU23" i="28"/>
  <c r="BU45" i="28"/>
  <c r="BT14" i="28"/>
  <c r="BT28" i="28"/>
  <c r="BU26" i="28"/>
  <c r="BT13" i="28"/>
  <c r="BU46" i="28"/>
  <c r="BW37" i="28"/>
  <c r="BU5" i="28"/>
  <c r="BW15" i="28"/>
  <c r="BW28" i="28"/>
  <c r="BU38" i="28"/>
  <c r="BT8" i="28"/>
  <c r="BU13" i="28"/>
  <c r="BW38" i="28"/>
  <c r="BU8" i="28"/>
  <c r="BT12" i="28"/>
  <c r="BU6" i="28"/>
  <c r="BU12" i="28"/>
  <c r="BW19" i="28"/>
  <c r="BT26" i="28"/>
  <c r="BU16" i="28"/>
  <c r="BT39" i="28"/>
  <c r="BT5" i="28"/>
  <c r="BU3" i="28"/>
  <c r="BU39" i="28"/>
  <c r="BT3" i="28"/>
  <c r="BU15" i="28"/>
  <c r="BU31" i="28"/>
  <c r="BT19" i="28"/>
  <c r="BW10" i="28"/>
  <c r="BW47" i="28"/>
  <c r="BW31" i="28"/>
  <c r="I92" i="28"/>
  <c r="I186" i="28"/>
  <c r="I99" i="28"/>
  <c r="I11" i="28"/>
  <c r="I82" i="28"/>
  <c r="I168" i="28"/>
  <c r="I109" i="28"/>
  <c r="I88" i="28"/>
  <c r="AP10" i="8"/>
  <c r="I234" i="17"/>
  <c r="M234" i="17"/>
  <c r="N234" i="17"/>
  <c r="AH33" i="17"/>
  <c r="AI33" i="17"/>
  <c r="AH32" i="17"/>
  <c r="AI32" i="17"/>
  <c r="AJ32" i="17"/>
  <c r="AK32" i="17"/>
  <c r="AH31" i="17"/>
  <c r="AI31" i="17"/>
  <c r="AJ31" i="17"/>
  <c r="AK31" i="17"/>
  <c r="AL31" i="17"/>
  <c r="AH30" i="17"/>
  <c r="AI30" i="17"/>
  <c r="AJ30" i="17"/>
  <c r="AK30" i="17"/>
  <c r="AH29" i="17"/>
  <c r="AI29" i="17"/>
  <c r="AJ29" i="17"/>
  <c r="AH28" i="17"/>
  <c r="AH26" i="17"/>
  <c r="AI26" i="17"/>
  <c r="AJ26" i="17"/>
  <c r="AK26" i="17"/>
  <c r="AH25" i="17"/>
  <c r="AH24" i="17"/>
  <c r="AH23" i="17"/>
  <c r="AI23" i="17"/>
  <c r="AJ23" i="17"/>
  <c r="AK23" i="17"/>
  <c r="AL23" i="17"/>
  <c r="AH22" i="17"/>
  <c r="AI22" i="17"/>
  <c r="AJ22" i="17"/>
  <c r="AK22" i="17"/>
  <c r="AL22" i="17"/>
  <c r="AM22" i="17"/>
  <c r="AH21" i="17"/>
  <c r="AH20" i="17"/>
  <c r="AI20" i="17"/>
  <c r="AJ20" i="17"/>
  <c r="AK20" i="17"/>
  <c r="AH19" i="17"/>
  <c r="AI19" i="17"/>
  <c r="AJ19" i="17"/>
  <c r="AH18" i="17"/>
  <c r="AI18" i="17"/>
  <c r="AH17" i="17"/>
  <c r="AI17" i="17"/>
  <c r="AH16" i="17"/>
  <c r="AI16" i="17"/>
  <c r="AJ16" i="17"/>
  <c r="AK16" i="17"/>
  <c r="AL16" i="17"/>
  <c r="AM16" i="17"/>
  <c r="AN16" i="17"/>
  <c r="AO16" i="17"/>
  <c r="AP16" i="17"/>
  <c r="AQ16" i="17"/>
  <c r="AR16" i="17"/>
  <c r="AH15" i="17"/>
  <c r="AI15" i="17"/>
  <c r="AJ15" i="17"/>
  <c r="AK15" i="17"/>
  <c r="AL15" i="17"/>
  <c r="AM15" i="17"/>
  <c r="AN15" i="17"/>
  <c r="AO15" i="17"/>
  <c r="AP15" i="17"/>
  <c r="AQ15" i="17"/>
  <c r="AH14" i="17"/>
  <c r="AI14" i="17"/>
  <c r="AJ14" i="17"/>
  <c r="AH13" i="17"/>
  <c r="AI13" i="17"/>
  <c r="AJ13" i="17"/>
  <c r="AK13" i="17"/>
  <c r="AH12" i="17"/>
  <c r="AI12" i="17"/>
  <c r="AH11" i="17"/>
  <c r="AI11" i="17"/>
  <c r="AJ11" i="17"/>
  <c r="AK11" i="17"/>
  <c r="AL11" i="17"/>
  <c r="AH10" i="17"/>
  <c r="AI10" i="17"/>
  <c r="AH9" i="17"/>
  <c r="AI9" i="17"/>
  <c r="AH8" i="17"/>
  <c r="AP7" i="17"/>
  <c r="AO7" i="17"/>
  <c r="AN7" i="17"/>
  <c r="AM7" i="17"/>
  <c r="AL7" i="17"/>
  <c r="AK7" i="17"/>
  <c r="AJ7" i="17"/>
  <c r="AI7" i="17"/>
  <c r="AH7" i="17"/>
  <c r="AU6" i="17"/>
  <c r="AT6" i="17"/>
  <c r="AS6" i="17"/>
  <c r="AR6" i="17"/>
  <c r="AQ6" i="17"/>
  <c r="AP6" i="17"/>
  <c r="AO6" i="17"/>
  <c r="AN6" i="17"/>
  <c r="AM6" i="17"/>
  <c r="AL6" i="17"/>
  <c r="AK6" i="17"/>
  <c r="AJ6" i="17"/>
  <c r="AI6" i="17"/>
  <c r="AH6" i="17"/>
  <c r="AH5" i="17"/>
  <c r="AI5" i="17"/>
  <c r="AG6" i="17"/>
  <c r="AG7" i="17"/>
  <c r="AG8" i="17"/>
  <c r="AG9" i="17"/>
  <c r="AG10" i="17"/>
  <c r="AG11" i="17"/>
  <c r="AG12" i="17"/>
  <c r="AG13" i="17"/>
  <c r="AG14" i="17"/>
  <c r="AG15" i="17"/>
  <c r="AG16" i="17"/>
  <c r="AG17" i="17"/>
  <c r="AG18" i="17"/>
  <c r="AG19" i="17"/>
  <c r="AG20" i="17"/>
  <c r="AG21" i="17"/>
  <c r="AG22" i="17"/>
  <c r="AG23" i="17"/>
  <c r="AG24" i="17"/>
  <c r="AG25" i="17"/>
  <c r="AG26" i="17"/>
  <c r="AG27" i="17"/>
  <c r="AG28" i="17"/>
  <c r="AG29" i="17"/>
  <c r="AG30" i="17"/>
  <c r="AG31" i="17"/>
  <c r="AG32" i="17"/>
  <c r="AG33" i="17"/>
  <c r="AG5" i="17"/>
  <c r="AF6" i="17"/>
  <c r="AF7" i="17"/>
  <c r="AF8" i="17"/>
  <c r="AF9" i="17"/>
  <c r="AF10" i="17"/>
  <c r="AF11" i="17"/>
  <c r="AF12" i="17"/>
  <c r="AF13" i="17"/>
  <c r="AF14" i="17"/>
  <c r="AF15" i="17"/>
  <c r="AF16" i="17"/>
  <c r="AF17" i="17"/>
  <c r="AF18" i="17"/>
  <c r="AF19" i="17"/>
  <c r="AF20" i="17"/>
  <c r="AF21" i="17"/>
  <c r="AF22" i="17"/>
  <c r="AF23" i="17"/>
  <c r="AF24" i="17"/>
  <c r="AF25" i="17"/>
  <c r="AF26" i="17"/>
  <c r="AF27" i="17"/>
  <c r="AF28" i="17"/>
  <c r="AF29" i="17"/>
  <c r="AF30" i="17"/>
  <c r="AF31" i="17"/>
  <c r="AF32" i="17"/>
  <c r="AF33" i="17"/>
  <c r="AF5" i="17"/>
  <c r="X145" i="17"/>
  <c r="W145" i="17"/>
  <c r="U145" i="17"/>
  <c r="J143" i="20"/>
  <c r="I144" i="14" s="1"/>
  <c r="AG6" i="14"/>
  <c r="AG7" i="14"/>
  <c r="AG8" i="14"/>
  <c r="AG9" i="14"/>
  <c r="AG10" i="14"/>
  <c r="AG11" i="14"/>
  <c r="AG12" i="14"/>
  <c r="AG13" i="14"/>
  <c r="AG14" i="14"/>
  <c r="AG15" i="14"/>
  <c r="AG16" i="14"/>
  <c r="AG17" i="14"/>
  <c r="AG18" i="14"/>
  <c r="AG19" i="14"/>
  <c r="AG20" i="14"/>
  <c r="AG21" i="14"/>
  <c r="AG22" i="14"/>
  <c r="AG23" i="14"/>
  <c r="AG24" i="14"/>
  <c r="AG25" i="14"/>
  <c r="AG26" i="14"/>
  <c r="AG27" i="14"/>
  <c r="AG28" i="14"/>
  <c r="AG29" i="14"/>
  <c r="AG30" i="14"/>
  <c r="AG31" i="14"/>
  <c r="AG32" i="14"/>
  <c r="AG33" i="14"/>
  <c r="AG34" i="14"/>
  <c r="AG35" i="14"/>
  <c r="AG36" i="14"/>
  <c r="AG37" i="14"/>
  <c r="AG38" i="14"/>
  <c r="AG39" i="14"/>
  <c r="AG40" i="14"/>
  <c r="AG41" i="14"/>
  <c r="AG42" i="14"/>
  <c r="AG43" i="14"/>
  <c r="AG44" i="14"/>
  <c r="AG45" i="14"/>
  <c r="AG46" i="14"/>
  <c r="AG47" i="14"/>
  <c r="AG48" i="14"/>
  <c r="AG49" i="14"/>
  <c r="AG50" i="14"/>
  <c r="AG51" i="14"/>
  <c r="AG5" i="14"/>
  <c r="B5" i="14"/>
  <c r="C5" i="14"/>
  <c r="D5" i="14"/>
  <c r="E5" i="14"/>
  <c r="F5" i="14"/>
  <c r="H5" i="14"/>
  <c r="I5" i="14"/>
  <c r="J5" i="14"/>
  <c r="K5" i="14"/>
  <c r="L5" i="14"/>
  <c r="M5" i="14"/>
  <c r="N5" i="14"/>
  <c r="P5" i="14"/>
  <c r="V5" i="14" s="1"/>
  <c r="B6" i="14"/>
  <c r="P6" i="14" s="1"/>
  <c r="V6" i="14" s="1"/>
  <c r="C6" i="14"/>
  <c r="D6" i="14"/>
  <c r="E6" i="14"/>
  <c r="F6" i="14"/>
  <c r="J6" i="14"/>
  <c r="L6" i="14"/>
  <c r="M6" i="14"/>
  <c r="N6" i="14"/>
  <c r="B7" i="14"/>
  <c r="P7" i="14" s="1"/>
  <c r="V7" i="14" s="1"/>
  <c r="C7" i="14"/>
  <c r="D7" i="14"/>
  <c r="G7" i="14" s="1"/>
  <c r="E7" i="14"/>
  <c r="F7" i="14"/>
  <c r="J7" i="14"/>
  <c r="L7" i="14"/>
  <c r="M7" i="14"/>
  <c r="N7" i="14"/>
  <c r="O7" i="14"/>
  <c r="B8" i="14"/>
  <c r="P8" i="14" s="1"/>
  <c r="V8" i="14" s="1"/>
  <c r="C8" i="14"/>
  <c r="D8" i="14"/>
  <c r="G8" i="14" s="1"/>
  <c r="E8" i="14"/>
  <c r="F8" i="14"/>
  <c r="J8" i="14"/>
  <c r="L8" i="14"/>
  <c r="M8" i="14"/>
  <c r="N8" i="14"/>
  <c r="B9" i="14"/>
  <c r="C9" i="14"/>
  <c r="D9" i="14"/>
  <c r="E9" i="14"/>
  <c r="F9" i="14"/>
  <c r="J9" i="14"/>
  <c r="L9" i="14"/>
  <c r="M9" i="14"/>
  <c r="N9" i="14"/>
  <c r="B10" i="14"/>
  <c r="C10" i="14"/>
  <c r="D10" i="14"/>
  <c r="E10" i="14"/>
  <c r="F10" i="14"/>
  <c r="J10" i="14"/>
  <c r="L10" i="14"/>
  <c r="M10" i="14"/>
  <c r="N10" i="14"/>
  <c r="B11" i="14"/>
  <c r="P11" i="14" s="1"/>
  <c r="V11" i="14" s="1"/>
  <c r="C11" i="14"/>
  <c r="D11" i="14"/>
  <c r="G11" i="14" s="1"/>
  <c r="E11" i="14"/>
  <c r="F11" i="14"/>
  <c r="J11" i="14"/>
  <c r="L11" i="14"/>
  <c r="M11" i="14"/>
  <c r="N11" i="14"/>
  <c r="O11" i="14"/>
  <c r="B12" i="14"/>
  <c r="P12" i="14" s="1"/>
  <c r="V12" i="14" s="1"/>
  <c r="C12" i="14"/>
  <c r="D12" i="14"/>
  <c r="G12" i="14" s="1"/>
  <c r="E12" i="14"/>
  <c r="F12" i="14"/>
  <c r="J12" i="14"/>
  <c r="L12" i="14"/>
  <c r="M12" i="14"/>
  <c r="N12" i="14"/>
  <c r="B13" i="14"/>
  <c r="P13" i="14" s="1"/>
  <c r="V13" i="14" s="1"/>
  <c r="C13" i="14"/>
  <c r="D13" i="14"/>
  <c r="E13" i="14"/>
  <c r="F13" i="14"/>
  <c r="J13" i="14"/>
  <c r="L13" i="14"/>
  <c r="M13" i="14"/>
  <c r="N13" i="14"/>
  <c r="O13" i="14"/>
  <c r="B14" i="14"/>
  <c r="P14" i="14" s="1"/>
  <c r="V14" i="14" s="1"/>
  <c r="C14" i="14"/>
  <c r="D14" i="14"/>
  <c r="E14" i="14"/>
  <c r="F14" i="14"/>
  <c r="J14" i="14"/>
  <c r="L14" i="14"/>
  <c r="M14" i="14"/>
  <c r="N14" i="14"/>
  <c r="B15" i="14"/>
  <c r="P15" i="14" s="1"/>
  <c r="V15" i="14" s="1"/>
  <c r="C15" i="14"/>
  <c r="D15" i="14"/>
  <c r="G15" i="14" s="1"/>
  <c r="E15" i="14"/>
  <c r="F15" i="14"/>
  <c r="J15" i="14"/>
  <c r="L15" i="14"/>
  <c r="M15" i="14"/>
  <c r="N15" i="14"/>
  <c r="B16" i="14"/>
  <c r="P16" i="14" s="1"/>
  <c r="V16" i="14" s="1"/>
  <c r="C16" i="14"/>
  <c r="D16" i="14"/>
  <c r="G16" i="14" s="1"/>
  <c r="E16" i="14"/>
  <c r="F16" i="14"/>
  <c r="J16" i="14"/>
  <c r="L16" i="14"/>
  <c r="M16" i="14"/>
  <c r="N16" i="14"/>
  <c r="B17" i="14"/>
  <c r="P17" i="14" s="1"/>
  <c r="V17" i="14" s="1"/>
  <c r="C17" i="14"/>
  <c r="D17" i="14"/>
  <c r="E17" i="14"/>
  <c r="F17" i="14"/>
  <c r="J17" i="14"/>
  <c r="L17" i="14"/>
  <c r="M17" i="14"/>
  <c r="N17" i="14"/>
  <c r="B18" i="14"/>
  <c r="P18" i="14" s="1"/>
  <c r="V18" i="14" s="1"/>
  <c r="C18" i="14"/>
  <c r="D18" i="14"/>
  <c r="E18" i="14"/>
  <c r="F18" i="14"/>
  <c r="J18" i="14"/>
  <c r="L18" i="14"/>
  <c r="M18" i="14"/>
  <c r="N18" i="14"/>
  <c r="B19" i="14"/>
  <c r="P19" i="14" s="1"/>
  <c r="V19" i="14" s="1"/>
  <c r="C19" i="14"/>
  <c r="D19" i="14"/>
  <c r="E19" i="14"/>
  <c r="F19" i="14"/>
  <c r="J19" i="14"/>
  <c r="L19" i="14"/>
  <c r="M19" i="14"/>
  <c r="N19" i="14"/>
  <c r="O19" i="14"/>
  <c r="B20" i="14"/>
  <c r="P20" i="14" s="1"/>
  <c r="V20" i="14" s="1"/>
  <c r="C20" i="14"/>
  <c r="D20" i="14"/>
  <c r="G20" i="14" s="1"/>
  <c r="E20" i="14"/>
  <c r="F20" i="14"/>
  <c r="J20" i="14"/>
  <c r="L20" i="14"/>
  <c r="M20" i="14"/>
  <c r="N20" i="14"/>
  <c r="B21" i="14"/>
  <c r="P21" i="14" s="1"/>
  <c r="V21" i="14" s="1"/>
  <c r="C21" i="14"/>
  <c r="D21" i="14"/>
  <c r="E21" i="14"/>
  <c r="F21" i="14"/>
  <c r="J21" i="14"/>
  <c r="L21" i="14"/>
  <c r="M21" i="14"/>
  <c r="N21" i="14"/>
  <c r="B22" i="14"/>
  <c r="P22" i="14" s="1"/>
  <c r="V22" i="14" s="1"/>
  <c r="C22" i="14"/>
  <c r="D22" i="14"/>
  <c r="E22" i="14"/>
  <c r="F22" i="14"/>
  <c r="J22" i="14"/>
  <c r="L22" i="14"/>
  <c r="M22" i="14"/>
  <c r="N22" i="14"/>
  <c r="B23" i="14"/>
  <c r="P23" i="14" s="1"/>
  <c r="V23" i="14" s="1"/>
  <c r="C23" i="14"/>
  <c r="D23" i="14"/>
  <c r="E23" i="14"/>
  <c r="F23" i="14"/>
  <c r="J23" i="14"/>
  <c r="L23" i="14"/>
  <c r="M23" i="14"/>
  <c r="N23" i="14"/>
  <c r="B24" i="14"/>
  <c r="P24" i="14" s="1"/>
  <c r="V24" i="14" s="1"/>
  <c r="C24" i="14"/>
  <c r="D24" i="14"/>
  <c r="G24" i="14" s="1"/>
  <c r="E24" i="14"/>
  <c r="F24" i="14"/>
  <c r="J24" i="14"/>
  <c r="L24" i="14"/>
  <c r="M24" i="14"/>
  <c r="N24" i="14"/>
  <c r="B25" i="14"/>
  <c r="C25" i="14"/>
  <c r="D25" i="14"/>
  <c r="G25" i="14" s="1"/>
  <c r="E25" i="14"/>
  <c r="F25" i="14"/>
  <c r="J25" i="14"/>
  <c r="L25" i="14"/>
  <c r="M25" i="14"/>
  <c r="N25" i="14"/>
  <c r="B26" i="14"/>
  <c r="P26" i="14" s="1"/>
  <c r="V26" i="14" s="1"/>
  <c r="C26" i="14"/>
  <c r="D26" i="14"/>
  <c r="G26" i="14" s="1"/>
  <c r="E26" i="14"/>
  <c r="F26" i="14"/>
  <c r="J26" i="14"/>
  <c r="L26" i="14"/>
  <c r="M26" i="14"/>
  <c r="N26" i="14"/>
  <c r="B27" i="14"/>
  <c r="P27" i="14" s="1"/>
  <c r="V27" i="14" s="1"/>
  <c r="C27" i="14"/>
  <c r="D27" i="14"/>
  <c r="E27" i="14"/>
  <c r="F27" i="14"/>
  <c r="J27" i="14"/>
  <c r="L27" i="14"/>
  <c r="M27" i="14"/>
  <c r="N27" i="14"/>
  <c r="B28" i="14"/>
  <c r="P28" i="14" s="1"/>
  <c r="V28" i="14" s="1"/>
  <c r="C28" i="14"/>
  <c r="D28" i="14"/>
  <c r="G28" i="14" s="1"/>
  <c r="E28" i="14"/>
  <c r="F28" i="14"/>
  <c r="J28" i="14"/>
  <c r="L28" i="14"/>
  <c r="M28" i="14"/>
  <c r="N28" i="14"/>
  <c r="B29" i="14"/>
  <c r="C29" i="14"/>
  <c r="D29" i="14"/>
  <c r="G29" i="14" s="1"/>
  <c r="E29" i="14"/>
  <c r="F29" i="14"/>
  <c r="J29" i="14"/>
  <c r="L29" i="14"/>
  <c r="M29" i="14"/>
  <c r="N29" i="14"/>
  <c r="B30" i="14"/>
  <c r="C30" i="14"/>
  <c r="D30" i="14"/>
  <c r="G30" i="14" s="1"/>
  <c r="E30" i="14"/>
  <c r="F30" i="14"/>
  <c r="J30" i="14"/>
  <c r="L30" i="14"/>
  <c r="M30" i="14"/>
  <c r="N30" i="14"/>
  <c r="B31" i="14"/>
  <c r="C31" i="14"/>
  <c r="D31" i="14"/>
  <c r="E31" i="14"/>
  <c r="F31" i="14"/>
  <c r="G31" i="14"/>
  <c r="J31" i="14"/>
  <c r="L31" i="14"/>
  <c r="M31" i="14"/>
  <c r="N31" i="14"/>
  <c r="B32" i="14"/>
  <c r="P32" i="14" s="1"/>
  <c r="V32" i="14" s="1"/>
  <c r="C32" i="14"/>
  <c r="D32" i="14"/>
  <c r="G32" i="14" s="1"/>
  <c r="E32" i="14"/>
  <c r="F32" i="14"/>
  <c r="J32" i="14"/>
  <c r="L32" i="14"/>
  <c r="M32" i="14"/>
  <c r="N32" i="14"/>
  <c r="B33" i="14"/>
  <c r="C33" i="14"/>
  <c r="D33" i="14"/>
  <c r="E33" i="14"/>
  <c r="F33" i="14"/>
  <c r="G33" i="14"/>
  <c r="J33" i="14"/>
  <c r="L33" i="14"/>
  <c r="M33" i="14"/>
  <c r="N33" i="14"/>
  <c r="B34" i="14"/>
  <c r="P34" i="14" s="1"/>
  <c r="V34" i="14" s="1"/>
  <c r="C34" i="14"/>
  <c r="D34" i="14"/>
  <c r="E34" i="14"/>
  <c r="F34" i="14"/>
  <c r="G34" i="14"/>
  <c r="J34" i="14"/>
  <c r="L34" i="14"/>
  <c r="M34" i="14"/>
  <c r="N34" i="14"/>
  <c r="B35" i="14"/>
  <c r="P35" i="14" s="1"/>
  <c r="V35" i="14" s="1"/>
  <c r="C35" i="14"/>
  <c r="D35" i="14"/>
  <c r="E35" i="14"/>
  <c r="F35" i="14"/>
  <c r="G35" i="14"/>
  <c r="J35" i="14"/>
  <c r="L35" i="14"/>
  <c r="M35" i="14"/>
  <c r="N35" i="14"/>
  <c r="B36" i="14"/>
  <c r="P36" i="14" s="1"/>
  <c r="V36" i="14" s="1"/>
  <c r="C36" i="14"/>
  <c r="D36" i="14"/>
  <c r="G36" i="14" s="1"/>
  <c r="E36" i="14"/>
  <c r="F36" i="14"/>
  <c r="J36" i="14"/>
  <c r="L36" i="14"/>
  <c r="M36" i="14"/>
  <c r="N36" i="14"/>
  <c r="B37" i="14"/>
  <c r="C37" i="14"/>
  <c r="D37" i="14"/>
  <c r="E37" i="14"/>
  <c r="F37" i="14"/>
  <c r="J37" i="14"/>
  <c r="L37" i="14"/>
  <c r="M37" i="14"/>
  <c r="N37" i="14"/>
  <c r="B38" i="14"/>
  <c r="P38" i="14" s="1"/>
  <c r="V38" i="14" s="1"/>
  <c r="C38" i="14"/>
  <c r="D38" i="14"/>
  <c r="G38" i="14" s="1"/>
  <c r="E38" i="14"/>
  <c r="F38" i="14"/>
  <c r="J38" i="14"/>
  <c r="L38" i="14"/>
  <c r="M38" i="14"/>
  <c r="N38" i="14"/>
  <c r="B39" i="14"/>
  <c r="C39" i="14"/>
  <c r="D39" i="14"/>
  <c r="E39" i="14"/>
  <c r="F39" i="14"/>
  <c r="J39" i="14"/>
  <c r="L39" i="14"/>
  <c r="M39" i="14"/>
  <c r="N39" i="14"/>
  <c r="B40" i="14"/>
  <c r="P40" i="14" s="1"/>
  <c r="V40" i="14" s="1"/>
  <c r="C40" i="14"/>
  <c r="D40" i="14"/>
  <c r="G40" i="14" s="1"/>
  <c r="E40" i="14"/>
  <c r="F40" i="14"/>
  <c r="J40" i="14"/>
  <c r="L40" i="14"/>
  <c r="M40" i="14"/>
  <c r="N40" i="14"/>
  <c r="B41" i="14"/>
  <c r="C41" i="14"/>
  <c r="D41" i="14"/>
  <c r="G41" i="14" s="1"/>
  <c r="E41" i="14"/>
  <c r="F41" i="14"/>
  <c r="J41" i="14"/>
  <c r="L41" i="14"/>
  <c r="M41" i="14"/>
  <c r="N41" i="14"/>
  <c r="B42" i="14"/>
  <c r="P42" i="14" s="1"/>
  <c r="V42" i="14" s="1"/>
  <c r="C42" i="14"/>
  <c r="D42" i="14"/>
  <c r="G42" i="14" s="1"/>
  <c r="E42" i="14"/>
  <c r="F42" i="14"/>
  <c r="J42" i="14"/>
  <c r="L42" i="14"/>
  <c r="M42" i="14"/>
  <c r="N42" i="14"/>
  <c r="B43" i="14"/>
  <c r="C43" i="14"/>
  <c r="D43" i="14"/>
  <c r="E43" i="14"/>
  <c r="F43" i="14"/>
  <c r="G43" i="14"/>
  <c r="J43" i="14"/>
  <c r="L43" i="14"/>
  <c r="M43" i="14"/>
  <c r="N43" i="14"/>
  <c r="B44" i="14"/>
  <c r="P44" i="14" s="1"/>
  <c r="V44" i="14" s="1"/>
  <c r="C44" i="14"/>
  <c r="D44" i="14"/>
  <c r="G44" i="14" s="1"/>
  <c r="E44" i="14"/>
  <c r="F44" i="14"/>
  <c r="J44" i="14"/>
  <c r="L44" i="14"/>
  <c r="M44" i="14"/>
  <c r="N44" i="14"/>
  <c r="B45" i="14"/>
  <c r="C45" i="14"/>
  <c r="D45" i="14"/>
  <c r="G45" i="14" s="1"/>
  <c r="E45" i="14"/>
  <c r="F45" i="14"/>
  <c r="J45" i="14"/>
  <c r="L45" i="14"/>
  <c r="M45" i="14"/>
  <c r="N45" i="14"/>
  <c r="B46" i="14"/>
  <c r="P46" i="14" s="1"/>
  <c r="V46" i="14" s="1"/>
  <c r="C46" i="14"/>
  <c r="D46" i="14"/>
  <c r="G46" i="14" s="1"/>
  <c r="E46" i="14"/>
  <c r="F46" i="14"/>
  <c r="J46" i="14"/>
  <c r="L46" i="14"/>
  <c r="M46" i="14"/>
  <c r="N46" i="14"/>
  <c r="B47" i="14"/>
  <c r="P47" i="14" s="1"/>
  <c r="V47" i="14" s="1"/>
  <c r="C47" i="14"/>
  <c r="D47" i="14"/>
  <c r="E47" i="14"/>
  <c r="F47" i="14"/>
  <c r="J47" i="14"/>
  <c r="L47" i="14"/>
  <c r="M47" i="14"/>
  <c r="N47" i="14"/>
  <c r="B48" i="14"/>
  <c r="P48" i="14" s="1"/>
  <c r="V48" i="14" s="1"/>
  <c r="C48" i="14"/>
  <c r="D48" i="14"/>
  <c r="G48" i="14" s="1"/>
  <c r="E48" i="14"/>
  <c r="F48" i="14"/>
  <c r="J48" i="14"/>
  <c r="L48" i="14"/>
  <c r="M48" i="14"/>
  <c r="N48" i="14"/>
  <c r="B49" i="14"/>
  <c r="C49" i="14"/>
  <c r="D49" i="14"/>
  <c r="G49" i="14" s="1"/>
  <c r="E49" i="14"/>
  <c r="F49" i="14"/>
  <c r="J49" i="14"/>
  <c r="L49" i="14"/>
  <c r="M49" i="14"/>
  <c r="N49" i="14"/>
  <c r="B50" i="14"/>
  <c r="P50" i="14" s="1"/>
  <c r="V50" i="14" s="1"/>
  <c r="C50" i="14"/>
  <c r="D50" i="14"/>
  <c r="G50" i="14" s="1"/>
  <c r="E50" i="14"/>
  <c r="F50" i="14"/>
  <c r="J50" i="14"/>
  <c r="L50" i="14"/>
  <c r="M50" i="14"/>
  <c r="N50" i="14"/>
  <c r="B51" i="14"/>
  <c r="P51" i="14" s="1"/>
  <c r="V51" i="14" s="1"/>
  <c r="C51" i="14"/>
  <c r="D51" i="14"/>
  <c r="E51" i="14"/>
  <c r="F51" i="14"/>
  <c r="I51" i="14"/>
  <c r="J51" i="14"/>
  <c r="L51" i="14"/>
  <c r="M51" i="14"/>
  <c r="N51" i="14"/>
  <c r="B52" i="14"/>
  <c r="P52" i="14" s="1"/>
  <c r="V52" i="14" s="1"/>
  <c r="C52" i="14"/>
  <c r="D52" i="14"/>
  <c r="G52" i="14" s="1"/>
  <c r="E52" i="14"/>
  <c r="F52" i="14"/>
  <c r="J52" i="14"/>
  <c r="L52" i="14"/>
  <c r="M52" i="14"/>
  <c r="N52" i="14"/>
  <c r="B53" i="14"/>
  <c r="C53" i="14"/>
  <c r="D53" i="14"/>
  <c r="E53" i="14"/>
  <c r="F53" i="14"/>
  <c r="J53" i="14"/>
  <c r="L53" i="14"/>
  <c r="M53" i="14"/>
  <c r="N53" i="14"/>
  <c r="B54" i="14"/>
  <c r="P54" i="14" s="1"/>
  <c r="V54" i="14" s="1"/>
  <c r="C54" i="14"/>
  <c r="D54" i="14"/>
  <c r="E54" i="14"/>
  <c r="F54" i="14"/>
  <c r="G54" i="14"/>
  <c r="J54" i="14"/>
  <c r="L54" i="14"/>
  <c r="M54" i="14"/>
  <c r="N54" i="14"/>
  <c r="B55" i="14"/>
  <c r="C55" i="14"/>
  <c r="D55" i="14"/>
  <c r="E55" i="14"/>
  <c r="F55" i="14"/>
  <c r="J55" i="14"/>
  <c r="L55" i="14"/>
  <c r="M55" i="14"/>
  <c r="N55" i="14"/>
  <c r="B56" i="14"/>
  <c r="C56" i="14"/>
  <c r="D56" i="14"/>
  <c r="E56" i="14"/>
  <c r="F56" i="14"/>
  <c r="G56" i="14"/>
  <c r="J56" i="14"/>
  <c r="L56" i="14"/>
  <c r="M56" i="14"/>
  <c r="N56" i="14"/>
  <c r="B57" i="14"/>
  <c r="C57" i="14"/>
  <c r="D57" i="14"/>
  <c r="G57" i="14" s="1"/>
  <c r="E57" i="14"/>
  <c r="F57" i="14"/>
  <c r="J57" i="14"/>
  <c r="L57" i="14"/>
  <c r="M57" i="14"/>
  <c r="N57" i="14"/>
  <c r="B58" i="14"/>
  <c r="P58" i="14" s="1"/>
  <c r="V58" i="14" s="1"/>
  <c r="C58" i="14"/>
  <c r="D58" i="14"/>
  <c r="G58" i="14" s="1"/>
  <c r="E58" i="14"/>
  <c r="F58" i="14"/>
  <c r="J58" i="14"/>
  <c r="L58" i="14"/>
  <c r="M58" i="14"/>
  <c r="N58" i="14"/>
  <c r="B59" i="14"/>
  <c r="P59" i="14" s="1"/>
  <c r="V59" i="14" s="1"/>
  <c r="C59" i="14"/>
  <c r="D59" i="14"/>
  <c r="E59" i="14"/>
  <c r="F59" i="14"/>
  <c r="G59" i="14"/>
  <c r="J59" i="14"/>
  <c r="L59" i="14"/>
  <c r="M59" i="14"/>
  <c r="N59" i="14"/>
  <c r="B60" i="14"/>
  <c r="P60" i="14" s="1"/>
  <c r="V60" i="14" s="1"/>
  <c r="C60" i="14"/>
  <c r="D60" i="14"/>
  <c r="G60" i="14" s="1"/>
  <c r="E60" i="14"/>
  <c r="F60" i="14"/>
  <c r="J60" i="14"/>
  <c r="L60" i="14"/>
  <c r="M60" i="14"/>
  <c r="N60" i="14"/>
  <c r="B61" i="14"/>
  <c r="C61" i="14"/>
  <c r="D61" i="14"/>
  <c r="E61" i="14"/>
  <c r="F61" i="14"/>
  <c r="G61" i="14"/>
  <c r="J61" i="14"/>
  <c r="L61" i="14"/>
  <c r="M61" i="14"/>
  <c r="N61" i="14"/>
  <c r="B62" i="14"/>
  <c r="C62" i="14"/>
  <c r="D62" i="14"/>
  <c r="G62" i="14" s="1"/>
  <c r="E62" i="14"/>
  <c r="F62" i="14"/>
  <c r="J62" i="14"/>
  <c r="L62" i="14"/>
  <c r="M62" i="14"/>
  <c r="N62" i="14"/>
  <c r="B63" i="14"/>
  <c r="C63" i="14"/>
  <c r="D63" i="14"/>
  <c r="E63" i="14"/>
  <c r="F63" i="14"/>
  <c r="J63" i="14"/>
  <c r="L63" i="14"/>
  <c r="M63" i="14"/>
  <c r="N63" i="14"/>
  <c r="B64" i="14"/>
  <c r="P64" i="14" s="1"/>
  <c r="V64" i="14" s="1"/>
  <c r="C64" i="14"/>
  <c r="D64" i="14"/>
  <c r="G64" i="14" s="1"/>
  <c r="E64" i="14"/>
  <c r="F64" i="14"/>
  <c r="J64" i="14"/>
  <c r="L64" i="14"/>
  <c r="M64" i="14"/>
  <c r="N64" i="14"/>
  <c r="B65" i="14"/>
  <c r="C65" i="14"/>
  <c r="D65" i="14"/>
  <c r="E65" i="14"/>
  <c r="F65" i="14"/>
  <c r="G65" i="14"/>
  <c r="J65" i="14"/>
  <c r="L65" i="14"/>
  <c r="M65" i="14"/>
  <c r="N65" i="14"/>
  <c r="B66" i="14"/>
  <c r="C66" i="14"/>
  <c r="D66" i="14"/>
  <c r="G66" i="14" s="1"/>
  <c r="E66" i="14"/>
  <c r="F66" i="14"/>
  <c r="J66" i="14"/>
  <c r="L66" i="14"/>
  <c r="M66" i="14"/>
  <c r="N66" i="14"/>
  <c r="B67" i="14"/>
  <c r="C67" i="14"/>
  <c r="D67" i="14"/>
  <c r="E67" i="14"/>
  <c r="F67" i="14"/>
  <c r="J67" i="14"/>
  <c r="L67" i="14"/>
  <c r="M67" i="14"/>
  <c r="N67" i="14"/>
  <c r="B68" i="14"/>
  <c r="C68" i="14"/>
  <c r="D68" i="14"/>
  <c r="G68" i="14" s="1"/>
  <c r="E68" i="14"/>
  <c r="F68" i="14"/>
  <c r="J68" i="14"/>
  <c r="L68" i="14"/>
  <c r="M68" i="14"/>
  <c r="N68" i="14"/>
  <c r="B69" i="14"/>
  <c r="C69" i="14"/>
  <c r="D69" i="14"/>
  <c r="G69" i="14" s="1"/>
  <c r="E69" i="14"/>
  <c r="F69" i="14"/>
  <c r="J69" i="14"/>
  <c r="L69" i="14"/>
  <c r="M69" i="14"/>
  <c r="N69" i="14"/>
  <c r="B70" i="14"/>
  <c r="C70" i="14"/>
  <c r="D70" i="14"/>
  <c r="G70" i="14" s="1"/>
  <c r="E70" i="14"/>
  <c r="F70" i="14"/>
  <c r="J70" i="14"/>
  <c r="L70" i="14"/>
  <c r="M70" i="14"/>
  <c r="N70" i="14"/>
  <c r="B71" i="14"/>
  <c r="P71" i="14" s="1"/>
  <c r="V71" i="14" s="1"/>
  <c r="C71" i="14"/>
  <c r="D71" i="14"/>
  <c r="E71" i="14"/>
  <c r="F71" i="14"/>
  <c r="J71" i="14"/>
  <c r="L71" i="14"/>
  <c r="M71" i="14"/>
  <c r="N71" i="14"/>
  <c r="B72" i="14"/>
  <c r="P72" i="14" s="1"/>
  <c r="V72" i="14" s="1"/>
  <c r="C72" i="14"/>
  <c r="D72" i="14"/>
  <c r="G72" i="14" s="1"/>
  <c r="E72" i="14"/>
  <c r="F72" i="14"/>
  <c r="J72" i="14"/>
  <c r="L72" i="14"/>
  <c r="M72" i="14"/>
  <c r="N72" i="14"/>
  <c r="B73" i="14"/>
  <c r="C73" i="14"/>
  <c r="D73" i="14"/>
  <c r="E73" i="14"/>
  <c r="F73" i="14"/>
  <c r="G73" i="14"/>
  <c r="J73" i="14"/>
  <c r="L73" i="14"/>
  <c r="M73" i="14"/>
  <c r="N73" i="14"/>
  <c r="B74" i="14"/>
  <c r="C74" i="14"/>
  <c r="D74" i="14"/>
  <c r="E74" i="14"/>
  <c r="F74" i="14"/>
  <c r="G74" i="14"/>
  <c r="J74" i="14"/>
  <c r="L74" i="14"/>
  <c r="M74" i="14"/>
  <c r="N74" i="14"/>
  <c r="B75" i="14"/>
  <c r="P75" i="14" s="1"/>
  <c r="V75" i="14" s="1"/>
  <c r="C75" i="14"/>
  <c r="D75" i="14"/>
  <c r="E75" i="14"/>
  <c r="F75" i="14"/>
  <c r="J75" i="14"/>
  <c r="L75" i="14"/>
  <c r="M75" i="14"/>
  <c r="N75" i="14"/>
  <c r="B76" i="14"/>
  <c r="P76" i="14" s="1"/>
  <c r="V76" i="14" s="1"/>
  <c r="C76" i="14"/>
  <c r="D76" i="14"/>
  <c r="G76" i="14" s="1"/>
  <c r="E76" i="14"/>
  <c r="F76" i="14"/>
  <c r="J76" i="14"/>
  <c r="L76" i="14"/>
  <c r="M76" i="14"/>
  <c r="N76" i="14"/>
  <c r="B77" i="14"/>
  <c r="C77" i="14"/>
  <c r="D77" i="14"/>
  <c r="G77" i="14" s="1"/>
  <c r="E77" i="14"/>
  <c r="F77" i="14"/>
  <c r="J77" i="14"/>
  <c r="L77" i="14"/>
  <c r="M77" i="14"/>
  <c r="N77" i="14"/>
  <c r="B78" i="14"/>
  <c r="C78" i="14"/>
  <c r="D78" i="14"/>
  <c r="G78" i="14" s="1"/>
  <c r="E78" i="14"/>
  <c r="F78" i="14"/>
  <c r="J78" i="14"/>
  <c r="L78" i="14"/>
  <c r="M78" i="14"/>
  <c r="N78" i="14"/>
  <c r="O78" i="14"/>
  <c r="B79" i="14"/>
  <c r="C79" i="14"/>
  <c r="D79" i="14"/>
  <c r="E79" i="14"/>
  <c r="F79" i="14"/>
  <c r="J79" i="14"/>
  <c r="L79" i="14"/>
  <c r="M79" i="14"/>
  <c r="N79" i="14"/>
  <c r="B80" i="14"/>
  <c r="P80" i="14" s="1"/>
  <c r="V80" i="14" s="1"/>
  <c r="C80" i="14"/>
  <c r="D80" i="14"/>
  <c r="G80" i="14" s="1"/>
  <c r="E80" i="14"/>
  <c r="F80" i="14"/>
  <c r="J80" i="14"/>
  <c r="L80" i="14"/>
  <c r="M80" i="14"/>
  <c r="N80" i="14"/>
  <c r="B81" i="14"/>
  <c r="C81" i="14"/>
  <c r="D81" i="14"/>
  <c r="G81" i="14" s="1"/>
  <c r="E81" i="14"/>
  <c r="F81" i="14"/>
  <c r="J81" i="14"/>
  <c r="L81" i="14"/>
  <c r="M81" i="14"/>
  <c r="N81" i="14"/>
  <c r="B82" i="14"/>
  <c r="C82" i="14"/>
  <c r="D82" i="14"/>
  <c r="G82" i="14" s="1"/>
  <c r="E82" i="14"/>
  <c r="F82" i="14"/>
  <c r="J82" i="14"/>
  <c r="L82" i="14"/>
  <c r="M82" i="14"/>
  <c r="N82" i="14"/>
  <c r="B83" i="14"/>
  <c r="C83" i="14"/>
  <c r="D83" i="14"/>
  <c r="E83" i="14"/>
  <c r="F83" i="14"/>
  <c r="J83" i="14"/>
  <c r="L83" i="14"/>
  <c r="M83" i="14"/>
  <c r="N83" i="14"/>
  <c r="B84" i="14"/>
  <c r="P84" i="14" s="1"/>
  <c r="V84" i="14" s="1"/>
  <c r="C84" i="14"/>
  <c r="D84" i="14"/>
  <c r="G84" i="14" s="1"/>
  <c r="E84" i="14"/>
  <c r="F84" i="14"/>
  <c r="J84" i="14"/>
  <c r="L84" i="14"/>
  <c r="M84" i="14"/>
  <c r="N84" i="14"/>
  <c r="B85" i="14"/>
  <c r="C85" i="14"/>
  <c r="D85" i="14"/>
  <c r="E85" i="14"/>
  <c r="F85" i="14"/>
  <c r="G85" i="14"/>
  <c r="J85" i="14"/>
  <c r="L85" i="14"/>
  <c r="M85" i="14"/>
  <c r="N85" i="14"/>
  <c r="B86" i="14"/>
  <c r="P86" i="14" s="1"/>
  <c r="V86" i="14" s="1"/>
  <c r="C86" i="14"/>
  <c r="D86" i="14"/>
  <c r="G86" i="14" s="1"/>
  <c r="E86" i="14"/>
  <c r="F86" i="14"/>
  <c r="J86" i="14"/>
  <c r="L86" i="14"/>
  <c r="M86" i="14"/>
  <c r="N86" i="14"/>
  <c r="B87" i="14"/>
  <c r="P87" i="14" s="1"/>
  <c r="V87" i="14" s="1"/>
  <c r="C87" i="14"/>
  <c r="D87" i="14"/>
  <c r="G87" i="14" s="1"/>
  <c r="E87" i="14"/>
  <c r="F87" i="14"/>
  <c r="J87" i="14"/>
  <c r="L87" i="14"/>
  <c r="M87" i="14"/>
  <c r="N87" i="14"/>
  <c r="B88" i="14"/>
  <c r="P88" i="14" s="1"/>
  <c r="V88" i="14" s="1"/>
  <c r="C88" i="14"/>
  <c r="D88" i="14"/>
  <c r="G88" i="14" s="1"/>
  <c r="E88" i="14"/>
  <c r="F88" i="14"/>
  <c r="J88" i="14"/>
  <c r="L88" i="14"/>
  <c r="M88" i="14"/>
  <c r="N88" i="14"/>
  <c r="B89" i="14"/>
  <c r="C89" i="14"/>
  <c r="D89" i="14"/>
  <c r="G89" i="14" s="1"/>
  <c r="E89" i="14"/>
  <c r="F89" i="14"/>
  <c r="J89" i="14"/>
  <c r="L89" i="14"/>
  <c r="M89" i="14"/>
  <c r="N89" i="14"/>
  <c r="B90" i="14"/>
  <c r="C90" i="14"/>
  <c r="D90" i="14"/>
  <c r="E90" i="14"/>
  <c r="F90" i="14"/>
  <c r="J90" i="14"/>
  <c r="L90" i="14"/>
  <c r="M90" i="14"/>
  <c r="N90" i="14"/>
  <c r="B91" i="14"/>
  <c r="C91" i="14"/>
  <c r="D91" i="14"/>
  <c r="G91" i="14" s="1"/>
  <c r="E91" i="14"/>
  <c r="F91" i="14"/>
  <c r="J91" i="14"/>
  <c r="L91" i="14"/>
  <c r="M91" i="14"/>
  <c r="N91" i="14"/>
  <c r="B92" i="14"/>
  <c r="P92" i="14" s="1"/>
  <c r="V92" i="14" s="1"/>
  <c r="C92" i="14"/>
  <c r="D92" i="14"/>
  <c r="G92" i="14" s="1"/>
  <c r="E92" i="14"/>
  <c r="F92" i="14"/>
  <c r="J92" i="14"/>
  <c r="L92" i="14"/>
  <c r="M92" i="14"/>
  <c r="N92" i="14"/>
  <c r="B93" i="14"/>
  <c r="P93" i="14" s="1"/>
  <c r="V93" i="14" s="1"/>
  <c r="C93" i="14"/>
  <c r="D93" i="14"/>
  <c r="G93" i="14" s="1"/>
  <c r="E93" i="14"/>
  <c r="F93" i="14"/>
  <c r="J93" i="14"/>
  <c r="L93" i="14"/>
  <c r="M93" i="14"/>
  <c r="N93" i="14"/>
  <c r="B94" i="14"/>
  <c r="C94" i="14"/>
  <c r="D94" i="14"/>
  <c r="E94" i="14"/>
  <c r="F94" i="14"/>
  <c r="J94" i="14"/>
  <c r="L94" i="14"/>
  <c r="M94" i="14"/>
  <c r="N94" i="14"/>
  <c r="B95" i="14"/>
  <c r="C95" i="14"/>
  <c r="D95" i="14"/>
  <c r="E95" i="14"/>
  <c r="F95" i="14"/>
  <c r="J95" i="14"/>
  <c r="L95" i="14"/>
  <c r="M95" i="14"/>
  <c r="N95" i="14"/>
  <c r="B96" i="14"/>
  <c r="P96" i="14" s="1"/>
  <c r="V96" i="14" s="1"/>
  <c r="C96" i="14"/>
  <c r="D96" i="14"/>
  <c r="G96" i="14" s="1"/>
  <c r="E96" i="14"/>
  <c r="F96" i="14"/>
  <c r="J96" i="14"/>
  <c r="L96" i="14"/>
  <c r="M96" i="14"/>
  <c r="N96" i="14"/>
  <c r="B97" i="14"/>
  <c r="P97" i="14" s="1"/>
  <c r="V97" i="14" s="1"/>
  <c r="C97" i="14"/>
  <c r="D97" i="14"/>
  <c r="G97" i="14" s="1"/>
  <c r="E97" i="14"/>
  <c r="F97" i="14"/>
  <c r="J97" i="14"/>
  <c r="L97" i="14"/>
  <c r="M97" i="14"/>
  <c r="N97" i="14"/>
  <c r="B98" i="14"/>
  <c r="P98" i="14" s="1"/>
  <c r="V98" i="14" s="1"/>
  <c r="C98" i="14"/>
  <c r="D98" i="14"/>
  <c r="E98" i="14"/>
  <c r="F98" i="14"/>
  <c r="J98" i="14"/>
  <c r="L98" i="14"/>
  <c r="M98" i="14"/>
  <c r="N98" i="14"/>
  <c r="B99" i="14"/>
  <c r="P99" i="14" s="1"/>
  <c r="V99" i="14" s="1"/>
  <c r="C99" i="14"/>
  <c r="D99" i="14"/>
  <c r="E99" i="14"/>
  <c r="F99" i="14"/>
  <c r="J99" i="14"/>
  <c r="L99" i="14"/>
  <c r="M99" i="14"/>
  <c r="N99" i="14"/>
  <c r="B100" i="14"/>
  <c r="C100" i="14"/>
  <c r="D100" i="14"/>
  <c r="G100" i="14" s="1"/>
  <c r="E100" i="14"/>
  <c r="F100" i="14"/>
  <c r="J100" i="14"/>
  <c r="L100" i="14"/>
  <c r="M100" i="14"/>
  <c r="N100" i="14"/>
  <c r="B101" i="14"/>
  <c r="P101" i="14" s="1"/>
  <c r="V101" i="14" s="1"/>
  <c r="C101" i="14"/>
  <c r="D101" i="14"/>
  <c r="G101" i="14" s="1"/>
  <c r="E101" i="14"/>
  <c r="F101" i="14"/>
  <c r="J101" i="14"/>
  <c r="L101" i="14"/>
  <c r="M101" i="14"/>
  <c r="N101" i="14"/>
  <c r="B102" i="14"/>
  <c r="C102" i="14"/>
  <c r="D102" i="14"/>
  <c r="E102" i="14"/>
  <c r="F102" i="14"/>
  <c r="J102" i="14"/>
  <c r="L102" i="14"/>
  <c r="M102" i="14"/>
  <c r="N102" i="14"/>
  <c r="B103" i="14"/>
  <c r="C103" i="14"/>
  <c r="D103" i="14"/>
  <c r="G103" i="14" s="1"/>
  <c r="E103" i="14"/>
  <c r="F103" i="14"/>
  <c r="J103" i="14"/>
  <c r="L103" i="14"/>
  <c r="M103" i="14"/>
  <c r="N103" i="14"/>
  <c r="B104" i="14"/>
  <c r="C104" i="14"/>
  <c r="D104" i="14"/>
  <c r="G104" i="14" s="1"/>
  <c r="E104" i="14"/>
  <c r="F104" i="14"/>
  <c r="J104" i="14"/>
  <c r="L104" i="14"/>
  <c r="M104" i="14"/>
  <c r="N104" i="14"/>
  <c r="B105" i="14"/>
  <c r="C105" i="14"/>
  <c r="D105" i="14"/>
  <c r="G105" i="14" s="1"/>
  <c r="E105" i="14"/>
  <c r="F105" i="14"/>
  <c r="J105" i="14"/>
  <c r="L105" i="14"/>
  <c r="M105" i="14"/>
  <c r="N105" i="14"/>
  <c r="B106" i="14"/>
  <c r="P106" i="14" s="1"/>
  <c r="V106" i="14" s="1"/>
  <c r="C106" i="14"/>
  <c r="D106" i="14"/>
  <c r="E106" i="14"/>
  <c r="F106" i="14"/>
  <c r="J106" i="14"/>
  <c r="L106" i="14"/>
  <c r="M106" i="14"/>
  <c r="N106" i="14"/>
  <c r="B107" i="14"/>
  <c r="P107" i="14" s="1"/>
  <c r="V107" i="14" s="1"/>
  <c r="C107" i="14"/>
  <c r="D107" i="14"/>
  <c r="G107" i="14" s="1"/>
  <c r="E107" i="14"/>
  <c r="F107" i="14"/>
  <c r="J107" i="14"/>
  <c r="L107" i="14"/>
  <c r="M107" i="14"/>
  <c r="N107" i="14"/>
  <c r="B108" i="14"/>
  <c r="C108" i="14"/>
  <c r="D108" i="14"/>
  <c r="G108" i="14" s="1"/>
  <c r="E108" i="14"/>
  <c r="F108" i="14"/>
  <c r="J108" i="14"/>
  <c r="L108" i="14"/>
  <c r="M108" i="14"/>
  <c r="N108" i="14"/>
  <c r="B109" i="14"/>
  <c r="C109" i="14"/>
  <c r="D109" i="14"/>
  <c r="E109" i="14"/>
  <c r="F109" i="14"/>
  <c r="J109" i="14"/>
  <c r="L109" i="14"/>
  <c r="M109" i="14"/>
  <c r="N109" i="14"/>
  <c r="B110" i="14"/>
  <c r="P110" i="14" s="1"/>
  <c r="V110" i="14" s="1"/>
  <c r="C110" i="14"/>
  <c r="D110" i="14"/>
  <c r="E110" i="14"/>
  <c r="F110" i="14"/>
  <c r="J110" i="14"/>
  <c r="L110" i="14"/>
  <c r="M110" i="14"/>
  <c r="N110" i="14"/>
  <c r="B111" i="14"/>
  <c r="P111" i="14" s="1"/>
  <c r="V111" i="14" s="1"/>
  <c r="C111" i="14"/>
  <c r="D111" i="14"/>
  <c r="G111" i="14" s="1"/>
  <c r="E111" i="14"/>
  <c r="F111" i="14"/>
  <c r="J111" i="14"/>
  <c r="L111" i="14"/>
  <c r="M111" i="14"/>
  <c r="N111" i="14"/>
  <c r="B112" i="14"/>
  <c r="C112" i="14"/>
  <c r="D112" i="14"/>
  <c r="G112" i="14" s="1"/>
  <c r="E112" i="14"/>
  <c r="F112" i="14"/>
  <c r="J112" i="14"/>
  <c r="L112" i="14"/>
  <c r="M112" i="14"/>
  <c r="N112" i="14"/>
  <c r="B113" i="14"/>
  <c r="C113" i="14"/>
  <c r="D113" i="14"/>
  <c r="E113" i="14"/>
  <c r="F113" i="14"/>
  <c r="J113" i="14"/>
  <c r="L113" i="14"/>
  <c r="M113" i="14"/>
  <c r="N113" i="14"/>
  <c r="B114" i="14"/>
  <c r="P114" i="14" s="1"/>
  <c r="V114" i="14" s="1"/>
  <c r="C114" i="14"/>
  <c r="D114" i="14"/>
  <c r="E114" i="14"/>
  <c r="F114" i="14"/>
  <c r="J114" i="14"/>
  <c r="L114" i="14"/>
  <c r="M114" i="14"/>
  <c r="N114" i="14"/>
  <c r="B115" i="14"/>
  <c r="P115" i="14" s="1"/>
  <c r="V115" i="14" s="1"/>
  <c r="C115" i="14"/>
  <c r="D115" i="14"/>
  <c r="G115" i="14" s="1"/>
  <c r="E115" i="14"/>
  <c r="F115" i="14"/>
  <c r="J115" i="14"/>
  <c r="L115" i="14"/>
  <c r="M115" i="14"/>
  <c r="N115" i="14"/>
  <c r="B116" i="14"/>
  <c r="C116" i="14"/>
  <c r="D116" i="14"/>
  <c r="G116" i="14" s="1"/>
  <c r="E116" i="14"/>
  <c r="F116" i="14"/>
  <c r="J116" i="14"/>
  <c r="L116" i="14"/>
  <c r="M116" i="14"/>
  <c r="N116" i="14"/>
  <c r="B117" i="14"/>
  <c r="C117" i="14"/>
  <c r="D117" i="14"/>
  <c r="E117" i="14"/>
  <c r="F117" i="14"/>
  <c r="J117" i="14"/>
  <c r="L117" i="14"/>
  <c r="M117" i="14"/>
  <c r="N117" i="14"/>
  <c r="B118" i="14"/>
  <c r="C118" i="14"/>
  <c r="D118" i="14"/>
  <c r="E118" i="14"/>
  <c r="F118" i="14"/>
  <c r="G118" i="14"/>
  <c r="J118" i="14"/>
  <c r="L118" i="14"/>
  <c r="M118" i="14"/>
  <c r="N118" i="14"/>
  <c r="B119" i="14"/>
  <c r="C119" i="14"/>
  <c r="D119" i="14"/>
  <c r="E119" i="14"/>
  <c r="F119" i="14"/>
  <c r="G119" i="14"/>
  <c r="J119" i="14"/>
  <c r="L119" i="14"/>
  <c r="M119" i="14"/>
  <c r="N119" i="14"/>
  <c r="B120" i="14"/>
  <c r="C120" i="14"/>
  <c r="D120" i="14"/>
  <c r="G120" i="14" s="1"/>
  <c r="E120" i="14"/>
  <c r="F120" i="14"/>
  <c r="J120" i="14"/>
  <c r="L120" i="14"/>
  <c r="M120" i="14"/>
  <c r="N120" i="14"/>
  <c r="B121" i="14"/>
  <c r="P121" i="14" s="1"/>
  <c r="V121" i="14" s="1"/>
  <c r="C121" i="14"/>
  <c r="D121" i="14"/>
  <c r="G121" i="14" s="1"/>
  <c r="E121" i="14"/>
  <c r="F121" i="14"/>
  <c r="J121" i="14"/>
  <c r="L121" i="14"/>
  <c r="M121" i="14"/>
  <c r="N121" i="14"/>
  <c r="B122" i="14"/>
  <c r="P122" i="14" s="1"/>
  <c r="V122" i="14" s="1"/>
  <c r="C122" i="14"/>
  <c r="D122" i="14"/>
  <c r="E122" i="14"/>
  <c r="F122" i="14"/>
  <c r="J122" i="14"/>
  <c r="L122" i="14"/>
  <c r="M122" i="14"/>
  <c r="N122" i="14"/>
  <c r="B123" i="14"/>
  <c r="P123" i="14" s="1"/>
  <c r="V123" i="14" s="1"/>
  <c r="C123" i="14"/>
  <c r="D123" i="14"/>
  <c r="G123" i="14" s="1"/>
  <c r="E123" i="14"/>
  <c r="F123" i="14"/>
  <c r="L123" i="14"/>
  <c r="M123" i="14"/>
  <c r="N123" i="14"/>
  <c r="B124" i="14"/>
  <c r="C124" i="14"/>
  <c r="D124" i="14"/>
  <c r="E124" i="14"/>
  <c r="F124" i="14"/>
  <c r="G124" i="14"/>
  <c r="L124" i="14"/>
  <c r="M124" i="14"/>
  <c r="N124" i="14"/>
  <c r="B125" i="14"/>
  <c r="P125" i="14" s="1"/>
  <c r="V125" i="14" s="1"/>
  <c r="C125" i="14"/>
  <c r="D125" i="14"/>
  <c r="E125" i="14"/>
  <c r="F125" i="14"/>
  <c r="G125" i="14"/>
  <c r="L125" i="14"/>
  <c r="M125" i="14"/>
  <c r="N125" i="14"/>
  <c r="B126" i="14"/>
  <c r="C126" i="14"/>
  <c r="D126" i="14"/>
  <c r="E126" i="14"/>
  <c r="F126" i="14"/>
  <c r="L126" i="14"/>
  <c r="M126" i="14"/>
  <c r="N126" i="14"/>
  <c r="P126" i="14"/>
  <c r="V126" i="14" s="1"/>
  <c r="B127" i="14"/>
  <c r="P127" i="14" s="1"/>
  <c r="V127" i="14" s="1"/>
  <c r="C127" i="14"/>
  <c r="D127" i="14"/>
  <c r="E127" i="14"/>
  <c r="F127" i="14"/>
  <c r="G127" i="14"/>
  <c r="L127" i="14"/>
  <c r="M127" i="14"/>
  <c r="N127" i="14"/>
  <c r="B128" i="14"/>
  <c r="C128" i="14"/>
  <c r="D128" i="14"/>
  <c r="G128" i="14" s="1"/>
  <c r="E128" i="14"/>
  <c r="F128" i="14"/>
  <c r="L128" i="14"/>
  <c r="M128" i="14"/>
  <c r="N128" i="14"/>
  <c r="B129" i="14"/>
  <c r="C129" i="14"/>
  <c r="D129" i="14"/>
  <c r="G129" i="14" s="1"/>
  <c r="E129" i="14"/>
  <c r="F129" i="14"/>
  <c r="L129" i="14"/>
  <c r="M129" i="14"/>
  <c r="N129" i="14"/>
  <c r="B130" i="14"/>
  <c r="C130" i="14"/>
  <c r="D130" i="14"/>
  <c r="E130" i="14"/>
  <c r="F130" i="14"/>
  <c r="L130" i="14"/>
  <c r="M130" i="14"/>
  <c r="N130" i="14"/>
  <c r="B131" i="14"/>
  <c r="P131" i="14" s="1"/>
  <c r="V131" i="14" s="1"/>
  <c r="C131" i="14"/>
  <c r="D131" i="14"/>
  <c r="G131" i="14" s="1"/>
  <c r="E131" i="14"/>
  <c r="F131" i="14"/>
  <c r="L131" i="14"/>
  <c r="M131" i="14"/>
  <c r="N131" i="14"/>
  <c r="B132" i="14"/>
  <c r="C132" i="14"/>
  <c r="D132" i="14"/>
  <c r="G132" i="14" s="1"/>
  <c r="E132" i="14"/>
  <c r="F132" i="14"/>
  <c r="L132" i="14"/>
  <c r="M132" i="14"/>
  <c r="N132" i="14"/>
  <c r="B133" i="14"/>
  <c r="P133" i="14" s="1"/>
  <c r="V133" i="14" s="1"/>
  <c r="C133" i="14"/>
  <c r="D133" i="14"/>
  <c r="E133" i="14"/>
  <c r="F133" i="14"/>
  <c r="L133" i="14"/>
  <c r="M133" i="14"/>
  <c r="N133" i="14"/>
  <c r="B134" i="14"/>
  <c r="P134" i="14" s="1"/>
  <c r="V134" i="14" s="1"/>
  <c r="C134" i="14"/>
  <c r="D134" i="14"/>
  <c r="E134" i="14"/>
  <c r="F134" i="14"/>
  <c r="L134" i="14"/>
  <c r="M134" i="14"/>
  <c r="N134" i="14"/>
  <c r="B135" i="14"/>
  <c r="P135" i="14" s="1"/>
  <c r="V135" i="14" s="1"/>
  <c r="C135" i="14"/>
  <c r="D135" i="14"/>
  <c r="E135" i="14"/>
  <c r="F135" i="14"/>
  <c r="L135" i="14"/>
  <c r="M135" i="14"/>
  <c r="N135" i="14"/>
  <c r="B136" i="14"/>
  <c r="P136" i="14" s="1"/>
  <c r="V136" i="14" s="1"/>
  <c r="C136" i="14"/>
  <c r="D136" i="14"/>
  <c r="G136" i="14" s="1"/>
  <c r="E136" i="14"/>
  <c r="F136" i="14"/>
  <c r="L136" i="14"/>
  <c r="M136" i="14"/>
  <c r="N136" i="14"/>
  <c r="O136" i="14"/>
  <c r="B137" i="14"/>
  <c r="C137" i="14"/>
  <c r="D137" i="14"/>
  <c r="G137" i="14" s="1"/>
  <c r="E137" i="14"/>
  <c r="F137" i="14"/>
  <c r="L137" i="14"/>
  <c r="M137" i="14"/>
  <c r="N137" i="14"/>
  <c r="O137" i="14"/>
  <c r="B138" i="14"/>
  <c r="C138" i="14"/>
  <c r="D138" i="14"/>
  <c r="E138" i="14"/>
  <c r="F138" i="14"/>
  <c r="G138" i="14"/>
  <c r="L138" i="14"/>
  <c r="M138" i="14"/>
  <c r="N138" i="14"/>
  <c r="B139" i="14"/>
  <c r="C139" i="14"/>
  <c r="D139" i="14"/>
  <c r="G139" i="14" s="1"/>
  <c r="E139" i="14"/>
  <c r="F139" i="14"/>
  <c r="L139" i="14"/>
  <c r="M139" i="14"/>
  <c r="N139" i="14"/>
  <c r="B140" i="14"/>
  <c r="C140" i="14"/>
  <c r="D140" i="14"/>
  <c r="G140" i="14" s="1"/>
  <c r="E140" i="14"/>
  <c r="F140" i="14"/>
  <c r="L140" i="14"/>
  <c r="M140" i="14"/>
  <c r="N140" i="14"/>
  <c r="B141" i="14"/>
  <c r="P141" i="14" s="1"/>
  <c r="V141" i="14" s="1"/>
  <c r="C141" i="14"/>
  <c r="D141" i="14"/>
  <c r="E141" i="14"/>
  <c r="F141" i="14"/>
  <c r="L141" i="14"/>
  <c r="M141" i="14"/>
  <c r="N141" i="14"/>
  <c r="B142" i="14"/>
  <c r="P142" i="14" s="1"/>
  <c r="V142" i="14" s="1"/>
  <c r="C142" i="14"/>
  <c r="D142" i="14"/>
  <c r="E142" i="14"/>
  <c r="F142" i="14"/>
  <c r="L142" i="14"/>
  <c r="M142" i="14"/>
  <c r="N142" i="14"/>
  <c r="B143" i="14"/>
  <c r="P143" i="14" s="1"/>
  <c r="V143" i="14" s="1"/>
  <c r="C143" i="14"/>
  <c r="D143" i="14"/>
  <c r="G143" i="14" s="1"/>
  <c r="E143" i="14"/>
  <c r="F143" i="14"/>
  <c r="L143" i="14"/>
  <c r="M143" i="14"/>
  <c r="N143" i="14"/>
  <c r="B144" i="14"/>
  <c r="P144" i="14" s="1"/>
  <c r="V144" i="14" s="1"/>
  <c r="C144" i="14"/>
  <c r="D144" i="14"/>
  <c r="E144" i="14"/>
  <c r="F144" i="14"/>
  <c r="L144" i="14"/>
  <c r="M144" i="14"/>
  <c r="N144" i="14"/>
  <c r="O144" i="14"/>
  <c r="B145" i="14"/>
  <c r="P145" i="14" s="1"/>
  <c r="V145" i="14" s="1"/>
  <c r="C145" i="14"/>
  <c r="D145" i="14"/>
  <c r="G145" i="14" s="1"/>
  <c r="E145" i="14"/>
  <c r="F145" i="14"/>
  <c r="L145" i="14"/>
  <c r="M145" i="14"/>
  <c r="N145" i="14"/>
  <c r="B146" i="14"/>
  <c r="C146" i="14"/>
  <c r="D146" i="14"/>
  <c r="E146" i="14"/>
  <c r="F146" i="14"/>
  <c r="H146" i="14"/>
  <c r="J146" i="14"/>
  <c r="K146" i="14"/>
  <c r="M146" i="14"/>
  <c r="N146" i="14"/>
  <c r="B147" i="14"/>
  <c r="C147" i="14"/>
  <c r="D147" i="14"/>
  <c r="G147" i="14" s="1"/>
  <c r="E147" i="14"/>
  <c r="F147" i="14"/>
  <c r="I147" i="14"/>
  <c r="J147" i="14"/>
  <c r="L147" i="14"/>
  <c r="M147" i="14"/>
  <c r="N147" i="14"/>
  <c r="B148" i="14"/>
  <c r="P148" i="14" s="1"/>
  <c r="C148" i="14"/>
  <c r="D148" i="14"/>
  <c r="G148" i="14" s="1"/>
  <c r="E148" i="14"/>
  <c r="F148" i="14"/>
  <c r="J148" i="14"/>
  <c r="L148" i="14"/>
  <c r="M148" i="14"/>
  <c r="N148" i="14"/>
  <c r="B149" i="14"/>
  <c r="C149" i="14"/>
  <c r="D149" i="14"/>
  <c r="E149" i="14"/>
  <c r="F149" i="14"/>
  <c r="J149" i="14"/>
  <c r="L149" i="14"/>
  <c r="M149" i="14"/>
  <c r="N149" i="14"/>
  <c r="B150" i="14"/>
  <c r="C150" i="14"/>
  <c r="D150" i="14"/>
  <c r="E150" i="14"/>
  <c r="F150" i="14"/>
  <c r="J150" i="14"/>
  <c r="L150" i="14"/>
  <c r="M150" i="14"/>
  <c r="N150" i="14"/>
  <c r="B151" i="14"/>
  <c r="P151" i="14" s="1"/>
  <c r="C151" i="14"/>
  <c r="D151" i="14"/>
  <c r="G151" i="14" s="1"/>
  <c r="E151" i="14"/>
  <c r="F151" i="14"/>
  <c r="J151" i="14"/>
  <c r="L151" i="14"/>
  <c r="M151" i="14"/>
  <c r="N151" i="14"/>
  <c r="B152" i="14"/>
  <c r="P152" i="14" s="1"/>
  <c r="C152" i="14"/>
  <c r="D152" i="14"/>
  <c r="G152" i="14" s="1"/>
  <c r="E152" i="14"/>
  <c r="F152" i="14"/>
  <c r="J152" i="14"/>
  <c r="L152" i="14"/>
  <c r="M152" i="14"/>
  <c r="N152" i="14"/>
  <c r="B153" i="14"/>
  <c r="C153" i="14"/>
  <c r="D153" i="14"/>
  <c r="E153" i="14"/>
  <c r="F153" i="14"/>
  <c r="G153" i="14"/>
  <c r="J153" i="14"/>
  <c r="L153" i="14"/>
  <c r="M153" i="14"/>
  <c r="N153" i="14"/>
  <c r="B154" i="14"/>
  <c r="P154" i="14" s="1"/>
  <c r="C154" i="14"/>
  <c r="D154" i="14"/>
  <c r="E154" i="14"/>
  <c r="F154" i="14"/>
  <c r="G154" i="14"/>
  <c r="J154" i="14"/>
  <c r="L154" i="14"/>
  <c r="M154" i="14"/>
  <c r="N154" i="14"/>
  <c r="B155" i="14"/>
  <c r="C155" i="14"/>
  <c r="D155" i="14"/>
  <c r="G155" i="14" s="1"/>
  <c r="E155" i="14"/>
  <c r="F155" i="14"/>
  <c r="J155" i="14"/>
  <c r="L155" i="14"/>
  <c r="M155" i="14"/>
  <c r="N155" i="14"/>
  <c r="B156" i="14"/>
  <c r="P156" i="14" s="1"/>
  <c r="C156" i="14"/>
  <c r="D156" i="14"/>
  <c r="G156" i="14" s="1"/>
  <c r="E156" i="14"/>
  <c r="F156" i="14"/>
  <c r="J156" i="14"/>
  <c r="L156" i="14"/>
  <c r="M156" i="14"/>
  <c r="N156" i="14"/>
  <c r="B157" i="14"/>
  <c r="P157" i="14" s="1"/>
  <c r="C157" i="14"/>
  <c r="D157" i="14"/>
  <c r="E157" i="14"/>
  <c r="F157" i="14"/>
  <c r="G157" i="14"/>
  <c r="J157" i="14"/>
  <c r="L157" i="14"/>
  <c r="M157" i="14"/>
  <c r="N157" i="14"/>
  <c r="B158" i="14"/>
  <c r="P158" i="14" s="1"/>
  <c r="C158" i="14"/>
  <c r="D158" i="14"/>
  <c r="E158" i="14"/>
  <c r="F158" i="14"/>
  <c r="J158" i="14"/>
  <c r="L158" i="14"/>
  <c r="M158" i="14"/>
  <c r="N158" i="14"/>
  <c r="B159" i="14"/>
  <c r="P159" i="14" s="1"/>
  <c r="C159" i="14"/>
  <c r="D159" i="14"/>
  <c r="G159" i="14" s="1"/>
  <c r="E159" i="14"/>
  <c r="F159" i="14"/>
  <c r="J159" i="14"/>
  <c r="L159" i="14"/>
  <c r="M159" i="14"/>
  <c r="N159" i="14"/>
  <c r="B160" i="14"/>
  <c r="P160" i="14" s="1"/>
  <c r="C160" i="14"/>
  <c r="D160" i="14"/>
  <c r="G160" i="14" s="1"/>
  <c r="E160" i="14"/>
  <c r="F160" i="14"/>
  <c r="J160" i="14"/>
  <c r="L160" i="14"/>
  <c r="M160" i="14"/>
  <c r="N160" i="14"/>
  <c r="B161" i="14"/>
  <c r="C161" i="14"/>
  <c r="D161" i="14"/>
  <c r="G161" i="14" s="1"/>
  <c r="E161" i="14"/>
  <c r="F161" i="14"/>
  <c r="J161" i="14"/>
  <c r="L161" i="14"/>
  <c r="M161" i="14"/>
  <c r="N161" i="14"/>
  <c r="B162" i="14"/>
  <c r="C162" i="14"/>
  <c r="D162" i="14"/>
  <c r="E162" i="14"/>
  <c r="F162" i="14"/>
  <c r="J162" i="14"/>
  <c r="L162" i="14"/>
  <c r="M162" i="14"/>
  <c r="N162" i="14"/>
  <c r="B163" i="14"/>
  <c r="P163" i="14" s="1"/>
  <c r="C163" i="14"/>
  <c r="D163" i="14"/>
  <c r="G163" i="14" s="1"/>
  <c r="E163" i="14"/>
  <c r="F163" i="14"/>
  <c r="J163" i="14"/>
  <c r="L163" i="14"/>
  <c r="M163" i="14"/>
  <c r="N163" i="14"/>
  <c r="B164" i="14"/>
  <c r="P164" i="14" s="1"/>
  <c r="C164" i="14"/>
  <c r="D164" i="14"/>
  <c r="G164" i="14" s="1"/>
  <c r="E164" i="14"/>
  <c r="F164" i="14"/>
  <c r="J164" i="14"/>
  <c r="L164" i="14"/>
  <c r="M164" i="14"/>
  <c r="N164" i="14"/>
  <c r="B165" i="14"/>
  <c r="C165" i="14"/>
  <c r="D165" i="14"/>
  <c r="E165" i="14"/>
  <c r="F165" i="14"/>
  <c r="J165" i="14"/>
  <c r="L165" i="14"/>
  <c r="M165" i="14"/>
  <c r="N165" i="14"/>
  <c r="B166" i="14"/>
  <c r="C166" i="14"/>
  <c r="D166" i="14"/>
  <c r="E166" i="14"/>
  <c r="F166" i="14"/>
  <c r="G166" i="14"/>
  <c r="J166" i="14"/>
  <c r="L166" i="14"/>
  <c r="M166" i="14"/>
  <c r="N166" i="14"/>
  <c r="B167" i="14"/>
  <c r="C167" i="14"/>
  <c r="D167" i="14"/>
  <c r="G167" i="14" s="1"/>
  <c r="E167" i="14"/>
  <c r="F167" i="14"/>
  <c r="J167" i="14"/>
  <c r="L167" i="14"/>
  <c r="M167" i="14"/>
  <c r="N167" i="14"/>
  <c r="B168" i="14"/>
  <c r="P168" i="14" s="1"/>
  <c r="C168" i="14"/>
  <c r="D168" i="14"/>
  <c r="E168" i="14"/>
  <c r="F168" i="14"/>
  <c r="G168" i="14"/>
  <c r="J168" i="14"/>
  <c r="L168" i="14"/>
  <c r="M168" i="14"/>
  <c r="N168" i="14"/>
  <c r="B169" i="14"/>
  <c r="P169" i="14" s="1"/>
  <c r="C169" i="14"/>
  <c r="D169" i="14"/>
  <c r="E169" i="14"/>
  <c r="F169" i="14"/>
  <c r="G169" i="14"/>
  <c r="J169" i="14"/>
  <c r="L169" i="14"/>
  <c r="M169" i="14"/>
  <c r="N169" i="14"/>
  <c r="B170" i="14"/>
  <c r="P170" i="14" s="1"/>
  <c r="C170" i="14"/>
  <c r="D170" i="14"/>
  <c r="E170" i="14"/>
  <c r="F170" i="14"/>
  <c r="J170" i="14"/>
  <c r="L170" i="14"/>
  <c r="M170" i="14"/>
  <c r="N170" i="14"/>
  <c r="B171" i="14"/>
  <c r="P171" i="14" s="1"/>
  <c r="C171" i="14"/>
  <c r="D171" i="14"/>
  <c r="G171" i="14" s="1"/>
  <c r="E171" i="14"/>
  <c r="F171" i="14"/>
  <c r="J171" i="14"/>
  <c r="L171" i="14"/>
  <c r="M171" i="14"/>
  <c r="N171" i="14"/>
  <c r="B172" i="14"/>
  <c r="P172" i="14" s="1"/>
  <c r="C172" i="14"/>
  <c r="D172" i="14"/>
  <c r="G172" i="14" s="1"/>
  <c r="E172" i="14"/>
  <c r="F172" i="14"/>
  <c r="J172" i="14"/>
  <c r="L172" i="14"/>
  <c r="M172" i="14"/>
  <c r="N172" i="14"/>
  <c r="B173" i="14"/>
  <c r="P173" i="14" s="1"/>
  <c r="C173" i="14"/>
  <c r="D173" i="14"/>
  <c r="G173" i="14" s="1"/>
  <c r="E173" i="14"/>
  <c r="F173" i="14"/>
  <c r="J173" i="14"/>
  <c r="L173" i="14"/>
  <c r="M173" i="14"/>
  <c r="N173" i="14"/>
  <c r="B174" i="14"/>
  <c r="P174" i="14" s="1"/>
  <c r="C174" i="14"/>
  <c r="D174" i="14"/>
  <c r="E174" i="14"/>
  <c r="F174" i="14"/>
  <c r="G174" i="14"/>
  <c r="J174" i="14"/>
  <c r="L174" i="14"/>
  <c r="M174" i="14"/>
  <c r="N174" i="14"/>
  <c r="B175" i="14"/>
  <c r="P175" i="14" s="1"/>
  <c r="C175" i="14"/>
  <c r="D175" i="14"/>
  <c r="G175" i="14" s="1"/>
  <c r="E175" i="14"/>
  <c r="F175" i="14"/>
  <c r="J175" i="14"/>
  <c r="L175" i="14"/>
  <c r="M175" i="14"/>
  <c r="N175" i="14"/>
  <c r="B176" i="14"/>
  <c r="P176" i="14" s="1"/>
  <c r="C176" i="14"/>
  <c r="D176" i="14"/>
  <c r="G176" i="14" s="1"/>
  <c r="E176" i="14"/>
  <c r="F176" i="14"/>
  <c r="J176" i="14"/>
  <c r="L176" i="14"/>
  <c r="M176" i="14"/>
  <c r="N176" i="14"/>
  <c r="B177" i="14"/>
  <c r="P177" i="14" s="1"/>
  <c r="C177" i="14"/>
  <c r="D177" i="14"/>
  <c r="G177" i="14" s="1"/>
  <c r="E177" i="14"/>
  <c r="F177" i="14"/>
  <c r="J177" i="14"/>
  <c r="L177" i="14"/>
  <c r="M177" i="14"/>
  <c r="N177" i="14"/>
  <c r="B178" i="14"/>
  <c r="C178" i="14"/>
  <c r="D178" i="14"/>
  <c r="E178" i="14"/>
  <c r="F178" i="14"/>
  <c r="J178" i="14"/>
  <c r="L178" i="14"/>
  <c r="M178" i="14"/>
  <c r="N178" i="14"/>
  <c r="B179" i="14"/>
  <c r="P179" i="14" s="1"/>
  <c r="C179" i="14"/>
  <c r="D179" i="14"/>
  <c r="G179" i="14" s="1"/>
  <c r="E179" i="14"/>
  <c r="F179" i="14"/>
  <c r="J179" i="14"/>
  <c r="L179" i="14"/>
  <c r="M179" i="14"/>
  <c r="N179" i="14"/>
  <c r="B180" i="14"/>
  <c r="C180" i="14"/>
  <c r="D180" i="14"/>
  <c r="G180" i="14" s="1"/>
  <c r="E180" i="14"/>
  <c r="F180" i="14"/>
  <c r="J180" i="14"/>
  <c r="L180" i="14"/>
  <c r="M180" i="14"/>
  <c r="N180" i="14"/>
  <c r="B181" i="14"/>
  <c r="P181" i="14" s="1"/>
  <c r="C181" i="14"/>
  <c r="D181" i="14"/>
  <c r="G181" i="14" s="1"/>
  <c r="E181" i="14"/>
  <c r="F181" i="14"/>
  <c r="J181" i="14"/>
  <c r="L181" i="14"/>
  <c r="M181" i="14"/>
  <c r="N181" i="14"/>
  <c r="B182" i="14"/>
  <c r="P182" i="14" s="1"/>
  <c r="C182" i="14"/>
  <c r="D182" i="14"/>
  <c r="E182" i="14"/>
  <c r="F182" i="14"/>
  <c r="J182" i="14"/>
  <c r="L182" i="14"/>
  <c r="M182" i="14"/>
  <c r="N182" i="14"/>
  <c r="B183" i="14"/>
  <c r="C183" i="14"/>
  <c r="D183" i="14"/>
  <c r="G183" i="14" s="1"/>
  <c r="E183" i="14"/>
  <c r="F183" i="14"/>
  <c r="J183" i="14"/>
  <c r="L183" i="14"/>
  <c r="M183" i="14"/>
  <c r="N183" i="14"/>
  <c r="B184" i="14"/>
  <c r="C184" i="14"/>
  <c r="D184" i="14"/>
  <c r="G184" i="14" s="1"/>
  <c r="E184" i="14"/>
  <c r="F184" i="14"/>
  <c r="J184" i="14"/>
  <c r="L184" i="14"/>
  <c r="M184" i="14"/>
  <c r="N184" i="14"/>
  <c r="B185" i="14"/>
  <c r="P185" i="14" s="1"/>
  <c r="C185" i="14"/>
  <c r="D185" i="14"/>
  <c r="G185" i="14" s="1"/>
  <c r="E185" i="14"/>
  <c r="F185" i="14"/>
  <c r="J185" i="14"/>
  <c r="L185" i="14"/>
  <c r="M185" i="14"/>
  <c r="N185" i="14"/>
  <c r="B186" i="14"/>
  <c r="P186" i="14" s="1"/>
  <c r="C186" i="14"/>
  <c r="D186" i="14"/>
  <c r="E186" i="14"/>
  <c r="F186" i="14"/>
  <c r="J186" i="14"/>
  <c r="L186" i="14"/>
  <c r="M186" i="14"/>
  <c r="N186" i="14"/>
  <c r="B187" i="14"/>
  <c r="P187" i="14" s="1"/>
  <c r="C187" i="14"/>
  <c r="D187" i="14"/>
  <c r="G187" i="14" s="1"/>
  <c r="E187" i="14"/>
  <c r="F187" i="14"/>
  <c r="J187" i="14"/>
  <c r="L187" i="14"/>
  <c r="M187" i="14"/>
  <c r="N187" i="14"/>
  <c r="B188" i="14"/>
  <c r="C188" i="14"/>
  <c r="D188" i="14"/>
  <c r="G188" i="14" s="1"/>
  <c r="E188" i="14"/>
  <c r="F188" i="14"/>
  <c r="J188" i="14"/>
  <c r="L188" i="14"/>
  <c r="M188" i="14"/>
  <c r="N188" i="14"/>
  <c r="B189" i="14"/>
  <c r="P189" i="14" s="1"/>
  <c r="C189" i="14"/>
  <c r="D189" i="14"/>
  <c r="G189" i="14" s="1"/>
  <c r="E189" i="14"/>
  <c r="F189" i="14"/>
  <c r="J189" i="14"/>
  <c r="L189" i="14"/>
  <c r="M189" i="14"/>
  <c r="N189" i="14"/>
  <c r="B190" i="14"/>
  <c r="C190" i="14"/>
  <c r="D190" i="14"/>
  <c r="E190" i="14"/>
  <c r="F190" i="14"/>
  <c r="J190" i="14"/>
  <c r="L190" i="14"/>
  <c r="M190" i="14"/>
  <c r="N190" i="14"/>
  <c r="B191" i="14"/>
  <c r="C191" i="14"/>
  <c r="D191" i="14"/>
  <c r="G191" i="14" s="1"/>
  <c r="E191" i="14"/>
  <c r="F191" i="14"/>
  <c r="J191" i="14"/>
  <c r="L191" i="14"/>
  <c r="M191" i="14"/>
  <c r="N191" i="14"/>
  <c r="B192" i="14"/>
  <c r="C192" i="14"/>
  <c r="D192" i="14"/>
  <c r="G192" i="14" s="1"/>
  <c r="E192" i="14"/>
  <c r="F192" i="14"/>
  <c r="J192" i="14"/>
  <c r="L192" i="14"/>
  <c r="M192" i="14"/>
  <c r="N192" i="14"/>
  <c r="B193" i="14"/>
  <c r="P193" i="14" s="1"/>
  <c r="C193" i="14"/>
  <c r="D193" i="14"/>
  <c r="G193" i="14" s="1"/>
  <c r="E193" i="14"/>
  <c r="F193" i="14"/>
  <c r="J193" i="14"/>
  <c r="L193" i="14"/>
  <c r="M193" i="14"/>
  <c r="N193" i="14"/>
  <c r="B194" i="14"/>
  <c r="P194" i="14" s="1"/>
  <c r="C194" i="14"/>
  <c r="D194" i="14"/>
  <c r="E194" i="14"/>
  <c r="F194" i="14"/>
  <c r="J194" i="14"/>
  <c r="L194" i="14"/>
  <c r="M194" i="14"/>
  <c r="N194" i="14"/>
  <c r="B195" i="14"/>
  <c r="P195" i="14" s="1"/>
  <c r="C195" i="14"/>
  <c r="D195" i="14"/>
  <c r="E195" i="14"/>
  <c r="F195" i="14"/>
  <c r="J195" i="14"/>
  <c r="L195" i="14"/>
  <c r="M195" i="14"/>
  <c r="N195" i="14"/>
  <c r="B196" i="14"/>
  <c r="C196" i="14"/>
  <c r="D196" i="14"/>
  <c r="G196" i="14" s="1"/>
  <c r="E196" i="14"/>
  <c r="F196" i="14"/>
  <c r="J196" i="14"/>
  <c r="L196" i="14"/>
  <c r="M196" i="14"/>
  <c r="N196" i="14"/>
  <c r="B197" i="14"/>
  <c r="C197" i="14"/>
  <c r="D197" i="14"/>
  <c r="G197" i="14" s="1"/>
  <c r="E197" i="14"/>
  <c r="F197" i="14"/>
  <c r="J197" i="14"/>
  <c r="L197" i="14"/>
  <c r="M197" i="14"/>
  <c r="N197" i="14"/>
  <c r="B198" i="14"/>
  <c r="P198" i="14" s="1"/>
  <c r="C198" i="14"/>
  <c r="D198" i="14"/>
  <c r="G198" i="14" s="1"/>
  <c r="E198" i="14"/>
  <c r="F198" i="14"/>
  <c r="J198" i="14"/>
  <c r="L198" i="14"/>
  <c r="M198" i="14"/>
  <c r="N198" i="14"/>
  <c r="B199" i="14"/>
  <c r="C199" i="14"/>
  <c r="D199" i="14"/>
  <c r="G199" i="14" s="1"/>
  <c r="E199" i="14"/>
  <c r="F199" i="14"/>
  <c r="J199" i="14"/>
  <c r="L199" i="14"/>
  <c r="M199" i="14"/>
  <c r="N199" i="14"/>
  <c r="B200" i="14"/>
  <c r="C200" i="14"/>
  <c r="D200" i="14"/>
  <c r="G200" i="14" s="1"/>
  <c r="E200" i="14"/>
  <c r="F200" i="14"/>
  <c r="J200" i="14"/>
  <c r="L200" i="14"/>
  <c r="M200" i="14"/>
  <c r="N200" i="14"/>
  <c r="B201" i="14"/>
  <c r="P201" i="14" s="1"/>
  <c r="C201" i="14"/>
  <c r="D201" i="14"/>
  <c r="G201" i="14" s="1"/>
  <c r="E201" i="14"/>
  <c r="F201" i="14"/>
  <c r="J201" i="14"/>
  <c r="L201" i="14"/>
  <c r="M201" i="14"/>
  <c r="N201" i="14"/>
  <c r="B202" i="14"/>
  <c r="P202" i="14" s="1"/>
  <c r="C202" i="14"/>
  <c r="D202" i="14"/>
  <c r="G202" i="14" s="1"/>
  <c r="E202" i="14"/>
  <c r="F202" i="14"/>
  <c r="J202" i="14"/>
  <c r="L202" i="14"/>
  <c r="M202" i="14"/>
  <c r="N202" i="14"/>
  <c r="B203" i="14"/>
  <c r="P203" i="14" s="1"/>
  <c r="C203" i="14"/>
  <c r="D203" i="14"/>
  <c r="G203" i="14" s="1"/>
  <c r="E203" i="14"/>
  <c r="F203" i="14"/>
  <c r="J203" i="14"/>
  <c r="L203" i="14"/>
  <c r="M203" i="14"/>
  <c r="N203" i="14"/>
  <c r="B204" i="14"/>
  <c r="P204" i="14" s="1"/>
  <c r="C204" i="14"/>
  <c r="D204" i="14"/>
  <c r="E204" i="14"/>
  <c r="F204" i="14"/>
  <c r="G204" i="14"/>
  <c r="J204" i="14"/>
  <c r="L204" i="14"/>
  <c r="M204" i="14"/>
  <c r="N204" i="14"/>
  <c r="B205" i="14"/>
  <c r="P205" i="14" s="1"/>
  <c r="C205" i="14"/>
  <c r="D205" i="14"/>
  <c r="E205" i="14"/>
  <c r="F205" i="14"/>
  <c r="J205" i="14"/>
  <c r="L205" i="14"/>
  <c r="M205" i="14"/>
  <c r="N205" i="14"/>
  <c r="B206" i="14"/>
  <c r="P206" i="14" s="1"/>
  <c r="C206" i="14"/>
  <c r="D206" i="14"/>
  <c r="E206" i="14"/>
  <c r="F206" i="14"/>
  <c r="J206" i="14"/>
  <c r="L206" i="14"/>
  <c r="M206" i="14"/>
  <c r="N206" i="14"/>
  <c r="B207" i="14"/>
  <c r="P207" i="14" s="1"/>
  <c r="C207" i="14"/>
  <c r="D207" i="14"/>
  <c r="G207" i="14" s="1"/>
  <c r="E207" i="14"/>
  <c r="F207" i="14"/>
  <c r="J207" i="14"/>
  <c r="L207" i="14"/>
  <c r="M207" i="14"/>
  <c r="N207" i="14"/>
  <c r="B208" i="14"/>
  <c r="C208" i="14"/>
  <c r="D208" i="14"/>
  <c r="E208" i="14"/>
  <c r="F208" i="14"/>
  <c r="J208" i="14"/>
  <c r="L208" i="14"/>
  <c r="M208" i="14"/>
  <c r="N208" i="14"/>
  <c r="B209" i="14"/>
  <c r="P209" i="14" s="1"/>
  <c r="C209" i="14"/>
  <c r="D209" i="14"/>
  <c r="E209" i="14"/>
  <c r="F209" i="14"/>
  <c r="J209" i="14"/>
  <c r="L209" i="14"/>
  <c r="M209" i="14"/>
  <c r="N209" i="14"/>
  <c r="B210" i="14"/>
  <c r="P210" i="14" s="1"/>
  <c r="C210" i="14"/>
  <c r="D210" i="14"/>
  <c r="G210" i="14" s="1"/>
  <c r="E210" i="14"/>
  <c r="F210" i="14"/>
  <c r="J210" i="14"/>
  <c r="L210" i="14"/>
  <c r="M210" i="14"/>
  <c r="N210" i="14"/>
  <c r="B211" i="14"/>
  <c r="P211" i="14" s="1"/>
  <c r="C211" i="14"/>
  <c r="D211" i="14"/>
  <c r="G211" i="14" s="1"/>
  <c r="E211" i="14"/>
  <c r="F211" i="14"/>
  <c r="J211" i="14"/>
  <c r="L211" i="14"/>
  <c r="M211" i="14"/>
  <c r="N211" i="14"/>
  <c r="B212" i="14"/>
  <c r="C212" i="14"/>
  <c r="D212" i="14"/>
  <c r="E212" i="14"/>
  <c r="F212" i="14"/>
  <c r="J212" i="14"/>
  <c r="L212" i="14"/>
  <c r="M212" i="14"/>
  <c r="N212" i="14"/>
  <c r="B213" i="14"/>
  <c r="P213" i="14" s="1"/>
  <c r="C213" i="14"/>
  <c r="D213" i="14"/>
  <c r="E213" i="14"/>
  <c r="F213" i="14"/>
  <c r="J213" i="14"/>
  <c r="L213" i="14"/>
  <c r="M213" i="14"/>
  <c r="N213" i="14"/>
  <c r="B214" i="14"/>
  <c r="P214" i="14" s="1"/>
  <c r="C214" i="14"/>
  <c r="D214" i="14"/>
  <c r="G214" i="14" s="1"/>
  <c r="E214" i="14"/>
  <c r="F214" i="14"/>
  <c r="J214" i="14"/>
  <c r="L214" i="14"/>
  <c r="M214" i="14"/>
  <c r="N214" i="14"/>
  <c r="B215" i="14"/>
  <c r="P215" i="14" s="1"/>
  <c r="C215" i="14"/>
  <c r="D215" i="14"/>
  <c r="G215" i="14" s="1"/>
  <c r="E215" i="14"/>
  <c r="F215" i="14"/>
  <c r="J215" i="14"/>
  <c r="L215" i="14"/>
  <c r="M215" i="14"/>
  <c r="N215" i="14"/>
  <c r="B216" i="14"/>
  <c r="P216" i="14" s="1"/>
  <c r="C216" i="14"/>
  <c r="D216" i="14"/>
  <c r="E216" i="14"/>
  <c r="F216" i="14"/>
  <c r="I216" i="14"/>
  <c r="J216" i="14"/>
  <c r="L216" i="14"/>
  <c r="M216" i="14"/>
  <c r="N216" i="14"/>
  <c r="O216" i="14"/>
  <c r="B217" i="14"/>
  <c r="P217" i="14" s="1"/>
  <c r="C217" i="14"/>
  <c r="D217" i="14"/>
  <c r="E217" i="14"/>
  <c r="F217" i="14"/>
  <c r="J217" i="14"/>
  <c r="L217" i="14"/>
  <c r="M217" i="14"/>
  <c r="N217" i="14"/>
  <c r="B218" i="14"/>
  <c r="P218" i="14" s="1"/>
  <c r="C218" i="14"/>
  <c r="D218" i="14"/>
  <c r="G218" i="14" s="1"/>
  <c r="E218" i="14"/>
  <c r="F218" i="14"/>
  <c r="J218" i="14"/>
  <c r="L218" i="14"/>
  <c r="M218" i="14"/>
  <c r="N218" i="14"/>
  <c r="B219" i="14"/>
  <c r="P219" i="14" s="1"/>
  <c r="C219" i="14"/>
  <c r="D219" i="14"/>
  <c r="G219" i="14" s="1"/>
  <c r="E219" i="14"/>
  <c r="F219" i="14"/>
  <c r="J219" i="14"/>
  <c r="L219" i="14"/>
  <c r="M219" i="14"/>
  <c r="N219" i="14"/>
  <c r="B220" i="14"/>
  <c r="P220" i="14" s="1"/>
  <c r="C220" i="14"/>
  <c r="D220" i="14"/>
  <c r="E220" i="14"/>
  <c r="F220" i="14"/>
  <c r="J220" i="14"/>
  <c r="L220" i="14"/>
  <c r="M220" i="14"/>
  <c r="N220" i="14"/>
  <c r="B221" i="14"/>
  <c r="P221" i="14" s="1"/>
  <c r="C221" i="14"/>
  <c r="D221" i="14"/>
  <c r="E221" i="14"/>
  <c r="F221" i="14"/>
  <c r="J221" i="14"/>
  <c r="L221" i="14"/>
  <c r="M221" i="14"/>
  <c r="N221" i="14"/>
  <c r="B222" i="14"/>
  <c r="P222" i="14" s="1"/>
  <c r="C222" i="14"/>
  <c r="D222" i="14"/>
  <c r="G222" i="14" s="1"/>
  <c r="E222" i="14"/>
  <c r="F222" i="14"/>
  <c r="J222" i="14"/>
  <c r="L222" i="14"/>
  <c r="M222" i="14"/>
  <c r="N222" i="14"/>
  <c r="B223" i="14"/>
  <c r="P223" i="14" s="1"/>
  <c r="C223" i="14"/>
  <c r="D223" i="14"/>
  <c r="G223" i="14" s="1"/>
  <c r="E223" i="14"/>
  <c r="F223" i="14"/>
  <c r="J223" i="14"/>
  <c r="L223" i="14"/>
  <c r="M223" i="14"/>
  <c r="N223" i="14"/>
  <c r="B224" i="14"/>
  <c r="P224" i="14" s="1"/>
  <c r="C224" i="14"/>
  <c r="D224" i="14"/>
  <c r="E224" i="14"/>
  <c r="F224" i="14"/>
  <c r="J224" i="14"/>
  <c r="L224" i="14"/>
  <c r="M224" i="14"/>
  <c r="N224" i="14"/>
  <c r="B225" i="14"/>
  <c r="P225" i="14" s="1"/>
  <c r="C225" i="14"/>
  <c r="D225" i="14"/>
  <c r="E225" i="14"/>
  <c r="F225" i="14"/>
  <c r="J225" i="14"/>
  <c r="L225" i="14"/>
  <c r="M225" i="14"/>
  <c r="N225" i="14"/>
  <c r="B226" i="14"/>
  <c r="P226" i="14" s="1"/>
  <c r="C226" i="14"/>
  <c r="D226" i="14"/>
  <c r="G226" i="14" s="1"/>
  <c r="E226" i="14"/>
  <c r="F226" i="14"/>
  <c r="J226" i="14"/>
  <c r="L226" i="14"/>
  <c r="M226" i="14"/>
  <c r="N226" i="14"/>
  <c r="B227" i="14"/>
  <c r="P227" i="14" s="1"/>
  <c r="C227" i="14"/>
  <c r="D227" i="14"/>
  <c r="G227" i="14" s="1"/>
  <c r="E227" i="14"/>
  <c r="F227" i="14"/>
  <c r="J227" i="14"/>
  <c r="L227" i="14"/>
  <c r="M227" i="14"/>
  <c r="N227" i="14"/>
  <c r="B228" i="14"/>
  <c r="C228" i="14"/>
  <c r="D228" i="14"/>
  <c r="E228" i="14"/>
  <c r="F228" i="14"/>
  <c r="J228" i="14"/>
  <c r="L228" i="14"/>
  <c r="M228" i="14"/>
  <c r="N228" i="14"/>
  <c r="B229" i="14"/>
  <c r="P229" i="14" s="1"/>
  <c r="C229" i="14"/>
  <c r="D229" i="14"/>
  <c r="E229" i="14"/>
  <c r="F229" i="14"/>
  <c r="J229" i="14"/>
  <c r="L229" i="14"/>
  <c r="M229" i="14"/>
  <c r="N229" i="14"/>
  <c r="B230" i="14"/>
  <c r="P230" i="14" s="1"/>
  <c r="C230" i="14"/>
  <c r="D230" i="14"/>
  <c r="G230" i="14" s="1"/>
  <c r="E230" i="14"/>
  <c r="F230" i="14"/>
  <c r="J230" i="14"/>
  <c r="L230" i="14"/>
  <c r="M230" i="14"/>
  <c r="N230" i="14"/>
  <c r="B231" i="14"/>
  <c r="P231" i="14" s="1"/>
  <c r="C231" i="14"/>
  <c r="D231" i="14"/>
  <c r="G231" i="14" s="1"/>
  <c r="E231" i="14"/>
  <c r="F231" i="14"/>
  <c r="J231" i="14"/>
  <c r="L231" i="14"/>
  <c r="M231" i="14"/>
  <c r="N231" i="14"/>
  <c r="B232" i="14"/>
  <c r="C232" i="14"/>
  <c r="D232" i="14"/>
  <c r="E232" i="14"/>
  <c r="F232" i="14"/>
  <c r="J232" i="14"/>
  <c r="L232" i="14"/>
  <c r="M232" i="14"/>
  <c r="N232" i="14"/>
  <c r="B233" i="14"/>
  <c r="P233" i="14" s="1"/>
  <c r="C233" i="14"/>
  <c r="D233" i="14"/>
  <c r="E233" i="14"/>
  <c r="F233" i="14"/>
  <c r="J233" i="14"/>
  <c r="L233" i="14"/>
  <c r="M233" i="14"/>
  <c r="N233" i="14"/>
  <c r="B234" i="14"/>
  <c r="P234" i="14" s="1"/>
  <c r="C234" i="14"/>
  <c r="D234" i="14"/>
  <c r="G234" i="14" s="1"/>
  <c r="E234" i="14"/>
  <c r="F234" i="14"/>
  <c r="I234" i="14"/>
  <c r="J234" i="14"/>
  <c r="L234" i="14"/>
  <c r="M234" i="14"/>
  <c r="N234" i="14"/>
  <c r="O234" i="14"/>
  <c r="B235" i="14"/>
  <c r="P235" i="14" s="1"/>
  <c r="C235" i="14"/>
  <c r="D235" i="14"/>
  <c r="G235" i="14" s="1"/>
  <c r="E235" i="14"/>
  <c r="F235" i="14"/>
  <c r="J235" i="14"/>
  <c r="L235" i="14"/>
  <c r="M235" i="14"/>
  <c r="N235" i="14"/>
  <c r="B236" i="14"/>
  <c r="C236" i="14"/>
  <c r="D236" i="14"/>
  <c r="E236" i="14"/>
  <c r="F236" i="14"/>
  <c r="J236" i="14"/>
  <c r="L236" i="14"/>
  <c r="M236" i="14"/>
  <c r="N236" i="14"/>
  <c r="B237" i="14"/>
  <c r="C237" i="14"/>
  <c r="D237" i="14"/>
  <c r="E237" i="14"/>
  <c r="F237" i="14"/>
  <c r="J237" i="14"/>
  <c r="L237" i="14"/>
  <c r="M237" i="14"/>
  <c r="N237" i="14"/>
  <c r="B238" i="14"/>
  <c r="P238" i="14" s="1"/>
  <c r="C238" i="14"/>
  <c r="D238" i="14"/>
  <c r="G238" i="14" s="1"/>
  <c r="E238" i="14"/>
  <c r="F238" i="14"/>
  <c r="J238" i="14"/>
  <c r="L238" i="14"/>
  <c r="M238" i="14"/>
  <c r="N238" i="14"/>
  <c r="B239" i="14"/>
  <c r="P239" i="14" s="1"/>
  <c r="C239" i="14"/>
  <c r="D239" i="14"/>
  <c r="E239" i="14"/>
  <c r="F239" i="14"/>
  <c r="G239" i="14"/>
  <c r="J239" i="14"/>
  <c r="L239" i="14"/>
  <c r="M239" i="14"/>
  <c r="N239" i="14"/>
  <c r="B240" i="14"/>
  <c r="C240" i="14"/>
  <c r="D240" i="14"/>
  <c r="E240" i="14"/>
  <c r="F240" i="14"/>
  <c r="J240" i="14"/>
  <c r="L240" i="14"/>
  <c r="M240" i="14"/>
  <c r="N240" i="14"/>
  <c r="B241" i="14"/>
  <c r="P241" i="14" s="1"/>
  <c r="C241" i="14"/>
  <c r="D241" i="14"/>
  <c r="E241" i="14"/>
  <c r="F241" i="14"/>
  <c r="J241" i="14"/>
  <c r="L241" i="14"/>
  <c r="M241" i="14"/>
  <c r="N241" i="14"/>
  <c r="B242" i="14"/>
  <c r="P242" i="14" s="1"/>
  <c r="C242" i="14"/>
  <c r="D242" i="14"/>
  <c r="G242" i="14" s="1"/>
  <c r="E242" i="14"/>
  <c r="F242" i="14"/>
  <c r="J242" i="14"/>
  <c r="L242" i="14"/>
  <c r="M242" i="14"/>
  <c r="N242" i="14"/>
  <c r="B243" i="14"/>
  <c r="P243" i="14" s="1"/>
  <c r="C243" i="14"/>
  <c r="D243" i="14"/>
  <c r="G243" i="14" s="1"/>
  <c r="E243" i="14"/>
  <c r="F243" i="14"/>
  <c r="J243" i="14"/>
  <c r="L243" i="14"/>
  <c r="M243" i="14"/>
  <c r="N243" i="14"/>
  <c r="B244" i="14"/>
  <c r="C244" i="14"/>
  <c r="D244" i="14"/>
  <c r="E244" i="14"/>
  <c r="F244" i="14"/>
  <c r="J244" i="14"/>
  <c r="L244" i="14"/>
  <c r="M244" i="14"/>
  <c r="N244" i="14"/>
  <c r="B245" i="14"/>
  <c r="C245" i="14"/>
  <c r="D245" i="14"/>
  <c r="E245" i="14"/>
  <c r="F245" i="14"/>
  <c r="J245" i="14"/>
  <c r="L245" i="14"/>
  <c r="M245" i="14"/>
  <c r="N245" i="14"/>
  <c r="B246" i="14"/>
  <c r="P246" i="14" s="1"/>
  <c r="C246" i="14"/>
  <c r="D246" i="14"/>
  <c r="G246" i="14" s="1"/>
  <c r="E246" i="14"/>
  <c r="F246" i="14"/>
  <c r="J246" i="14"/>
  <c r="L246" i="14"/>
  <c r="M246" i="14"/>
  <c r="N246" i="14"/>
  <c r="B247" i="14"/>
  <c r="P247" i="14" s="1"/>
  <c r="C247" i="14"/>
  <c r="D247" i="14"/>
  <c r="G247" i="14" s="1"/>
  <c r="E247" i="14"/>
  <c r="F247" i="14"/>
  <c r="J247" i="14"/>
  <c r="L247" i="14"/>
  <c r="M247" i="14"/>
  <c r="N247" i="14"/>
  <c r="B248" i="14"/>
  <c r="C248" i="14"/>
  <c r="D248" i="14"/>
  <c r="E248" i="14"/>
  <c r="F248" i="14"/>
  <c r="G248" i="14"/>
  <c r="J248" i="14"/>
  <c r="L248" i="14"/>
  <c r="M248" i="14"/>
  <c r="N248" i="14"/>
  <c r="B249" i="14"/>
  <c r="P249" i="14" s="1"/>
  <c r="C249" i="14"/>
  <c r="D249" i="14"/>
  <c r="E249" i="14"/>
  <c r="F249" i="14"/>
  <c r="G249" i="14"/>
  <c r="J249" i="14"/>
  <c r="L249" i="14"/>
  <c r="M249" i="14"/>
  <c r="N249" i="14"/>
  <c r="B250" i="14"/>
  <c r="P250" i="14" s="1"/>
  <c r="C250" i="14"/>
  <c r="D250" i="14"/>
  <c r="E250" i="14"/>
  <c r="F250" i="14"/>
  <c r="G250" i="14"/>
  <c r="J250" i="14"/>
  <c r="L250" i="14"/>
  <c r="M250" i="14"/>
  <c r="N250" i="14"/>
  <c r="B251" i="14"/>
  <c r="P251" i="14" s="1"/>
  <c r="C251" i="14"/>
  <c r="D251" i="14"/>
  <c r="G251" i="14" s="1"/>
  <c r="E251" i="14"/>
  <c r="F251" i="14"/>
  <c r="J251" i="14"/>
  <c r="L251" i="14"/>
  <c r="M251" i="14"/>
  <c r="N251" i="14"/>
  <c r="B252" i="14"/>
  <c r="P252" i="14" s="1"/>
  <c r="C252" i="14"/>
  <c r="D252" i="14"/>
  <c r="E252" i="14"/>
  <c r="F252" i="14"/>
  <c r="J252" i="14"/>
  <c r="L252" i="14"/>
  <c r="M252" i="14"/>
  <c r="N252" i="14"/>
  <c r="B253" i="14"/>
  <c r="P253" i="14" s="1"/>
  <c r="C253" i="14"/>
  <c r="D253" i="14"/>
  <c r="E253" i="14"/>
  <c r="F253" i="14"/>
  <c r="J253" i="14"/>
  <c r="L253" i="14"/>
  <c r="M253" i="14"/>
  <c r="N253" i="14"/>
  <c r="B254" i="14"/>
  <c r="C254" i="14"/>
  <c r="D254" i="14"/>
  <c r="G254" i="14" s="1"/>
  <c r="E254" i="14"/>
  <c r="F254" i="14"/>
  <c r="J254" i="14"/>
  <c r="L254" i="14"/>
  <c r="M254" i="14"/>
  <c r="N254" i="14"/>
  <c r="B255" i="14"/>
  <c r="P255" i="14" s="1"/>
  <c r="C255" i="14"/>
  <c r="D255" i="14"/>
  <c r="G255" i="14" s="1"/>
  <c r="E255" i="14"/>
  <c r="F255" i="14"/>
  <c r="J255" i="14"/>
  <c r="L255" i="14"/>
  <c r="M255" i="14"/>
  <c r="N255" i="14"/>
  <c r="B256" i="14"/>
  <c r="P256" i="14" s="1"/>
  <c r="C256" i="14"/>
  <c r="D256" i="14"/>
  <c r="E256" i="14"/>
  <c r="F256" i="14"/>
  <c r="J256" i="14"/>
  <c r="L256" i="14"/>
  <c r="M256" i="14"/>
  <c r="N256" i="14"/>
  <c r="B257" i="14"/>
  <c r="P257" i="14" s="1"/>
  <c r="C257" i="14"/>
  <c r="D257" i="14"/>
  <c r="E257" i="14"/>
  <c r="F257" i="14"/>
  <c r="J257" i="14"/>
  <c r="L257" i="14"/>
  <c r="M257" i="14"/>
  <c r="N257" i="14"/>
  <c r="B258" i="14"/>
  <c r="C258" i="14"/>
  <c r="D258" i="14"/>
  <c r="G258" i="14" s="1"/>
  <c r="E258" i="14"/>
  <c r="F258" i="14"/>
  <c r="J258" i="14"/>
  <c r="L258" i="14"/>
  <c r="M258" i="14"/>
  <c r="N258" i="14"/>
  <c r="B259" i="14"/>
  <c r="P259" i="14" s="1"/>
  <c r="C259" i="14"/>
  <c r="D259" i="14"/>
  <c r="G259" i="14" s="1"/>
  <c r="E259" i="14"/>
  <c r="F259" i="14"/>
  <c r="J259" i="14"/>
  <c r="L259" i="14"/>
  <c r="M259" i="14"/>
  <c r="N259" i="14"/>
  <c r="B260" i="14"/>
  <c r="P260" i="14" s="1"/>
  <c r="C260" i="14"/>
  <c r="D260" i="14"/>
  <c r="E260" i="14"/>
  <c r="F260" i="14"/>
  <c r="J260" i="14"/>
  <c r="L260" i="14"/>
  <c r="M260" i="14"/>
  <c r="N260" i="14"/>
  <c r="B261" i="14"/>
  <c r="P261" i="14" s="1"/>
  <c r="C261" i="14"/>
  <c r="D261" i="14"/>
  <c r="E261" i="14"/>
  <c r="F261" i="14"/>
  <c r="J261" i="14"/>
  <c r="L261" i="14"/>
  <c r="M261" i="14"/>
  <c r="N261" i="14"/>
  <c r="B262" i="14"/>
  <c r="P262" i="14" s="1"/>
  <c r="C262" i="14"/>
  <c r="D262" i="14"/>
  <c r="G262" i="14" s="1"/>
  <c r="E262" i="14"/>
  <c r="F262" i="14"/>
  <c r="J262" i="14"/>
  <c r="L262" i="14"/>
  <c r="M262" i="14"/>
  <c r="N262" i="14"/>
  <c r="B263" i="14"/>
  <c r="C263" i="14"/>
  <c r="D263" i="14"/>
  <c r="G263" i="14" s="1"/>
  <c r="E263" i="14"/>
  <c r="F263" i="14"/>
  <c r="J263" i="14"/>
  <c r="L263" i="14"/>
  <c r="M263" i="14"/>
  <c r="N263" i="14"/>
  <c r="B264" i="14"/>
  <c r="P264" i="14" s="1"/>
  <c r="C264" i="14"/>
  <c r="D264" i="14"/>
  <c r="G264" i="14" s="1"/>
  <c r="E264" i="14"/>
  <c r="F264" i="14"/>
  <c r="J264" i="14"/>
  <c r="L264" i="14"/>
  <c r="M264" i="14"/>
  <c r="N264" i="14"/>
  <c r="B265" i="14"/>
  <c r="P265" i="14" s="1"/>
  <c r="C265" i="14"/>
  <c r="D265" i="14"/>
  <c r="E265" i="14"/>
  <c r="F265" i="14"/>
  <c r="J265" i="14"/>
  <c r="L265" i="14"/>
  <c r="M265" i="14"/>
  <c r="N265" i="14"/>
  <c r="B266" i="14"/>
  <c r="P266" i="14" s="1"/>
  <c r="C266" i="14"/>
  <c r="D266" i="14"/>
  <c r="G266" i="14" s="1"/>
  <c r="E266" i="14"/>
  <c r="F266" i="14"/>
  <c r="J266" i="14"/>
  <c r="L266" i="14"/>
  <c r="M266" i="14"/>
  <c r="N266" i="14"/>
  <c r="B267" i="14"/>
  <c r="C267" i="14"/>
  <c r="D267" i="14"/>
  <c r="G267" i="14" s="1"/>
  <c r="E267" i="14"/>
  <c r="F267" i="14"/>
  <c r="J267" i="14"/>
  <c r="L267" i="14"/>
  <c r="M267" i="14"/>
  <c r="N267" i="14"/>
  <c r="B268" i="14"/>
  <c r="P268" i="14" s="1"/>
  <c r="C268" i="14"/>
  <c r="D268" i="14"/>
  <c r="G268" i="14" s="1"/>
  <c r="E268" i="14"/>
  <c r="F268" i="14"/>
  <c r="J268" i="14"/>
  <c r="L268" i="14"/>
  <c r="M268" i="14"/>
  <c r="N268" i="14"/>
  <c r="B269" i="14"/>
  <c r="C269" i="14"/>
  <c r="D269" i="14"/>
  <c r="E269" i="14"/>
  <c r="F269" i="14"/>
  <c r="J269" i="14"/>
  <c r="L269" i="14"/>
  <c r="M269" i="14"/>
  <c r="N269" i="14"/>
  <c r="B270" i="14"/>
  <c r="P270" i="14" s="1"/>
  <c r="C270" i="14"/>
  <c r="D270" i="14"/>
  <c r="G270" i="14" s="1"/>
  <c r="E270" i="14"/>
  <c r="F270" i="14"/>
  <c r="J270" i="14"/>
  <c r="L270" i="14"/>
  <c r="M270" i="14"/>
  <c r="N270" i="14"/>
  <c r="B271" i="14"/>
  <c r="C271" i="14"/>
  <c r="D271" i="14"/>
  <c r="G271" i="14" s="1"/>
  <c r="E271" i="14"/>
  <c r="F271" i="14"/>
  <c r="J271" i="14"/>
  <c r="L271" i="14"/>
  <c r="M271" i="14"/>
  <c r="N271" i="14"/>
  <c r="B272" i="14"/>
  <c r="P272" i="14" s="1"/>
  <c r="C272" i="14"/>
  <c r="D272" i="14"/>
  <c r="G272" i="14" s="1"/>
  <c r="E272" i="14"/>
  <c r="F272" i="14"/>
  <c r="J272" i="14"/>
  <c r="L272" i="14"/>
  <c r="M272" i="14"/>
  <c r="N272" i="14"/>
  <c r="O272" i="14"/>
  <c r="B273" i="14"/>
  <c r="P273" i="14" s="1"/>
  <c r="C273" i="14"/>
  <c r="D273" i="14"/>
  <c r="E273" i="14"/>
  <c r="F273" i="14"/>
  <c r="J273" i="14"/>
  <c r="L273" i="14"/>
  <c r="M273" i="14"/>
  <c r="N273" i="14"/>
  <c r="O273" i="14"/>
  <c r="B274" i="14"/>
  <c r="P274" i="14" s="1"/>
  <c r="C274" i="14"/>
  <c r="D274" i="14"/>
  <c r="G274" i="14" s="1"/>
  <c r="E274" i="14"/>
  <c r="F274" i="14"/>
  <c r="J274" i="14"/>
  <c r="L274" i="14"/>
  <c r="M274" i="14"/>
  <c r="N274" i="14"/>
  <c r="O274" i="14"/>
  <c r="B275" i="14"/>
  <c r="C275" i="14"/>
  <c r="D275" i="14"/>
  <c r="G275" i="14" s="1"/>
  <c r="E275" i="14"/>
  <c r="F275" i="14"/>
  <c r="J275" i="14"/>
  <c r="L275" i="14"/>
  <c r="M275" i="14"/>
  <c r="N275" i="14"/>
  <c r="O275" i="14"/>
  <c r="B276" i="14"/>
  <c r="P276" i="14" s="1"/>
  <c r="C276" i="14"/>
  <c r="D276" i="14"/>
  <c r="G276" i="14" s="1"/>
  <c r="E276" i="14"/>
  <c r="F276" i="14"/>
  <c r="J276" i="14"/>
  <c r="L276" i="14"/>
  <c r="M276" i="14"/>
  <c r="N276" i="14"/>
  <c r="B277" i="14"/>
  <c r="P277" i="14" s="1"/>
  <c r="C277" i="14"/>
  <c r="D277" i="14"/>
  <c r="E277" i="14"/>
  <c r="F277" i="14"/>
  <c r="J277" i="14"/>
  <c r="L277" i="14"/>
  <c r="M277" i="14"/>
  <c r="N277" i="14"/>
  <c r="B278" i="14"/>
  <c r="P278" i="14" s="1"/>
  <c r="C278" i="14"/>
  <c r="D278" i="14"/>
  <c r="G278" i="14" s="1"/>
  <c r="E278" i="14"/>
  <c r="F278" i="14"/>
  <c r="J278" i="14"/>
  <c r="L278" i="14"/>
  <c r="M278" i="14"/>
  <c r="N278" i="14"/>
  <c r="B279" i="14"/>
  <c r="C279" i="14"/>
  <c r="D279" i="14"/>
  <c r="G279" i="14" s="1"/>
  <c r="E279" i="14"/>
  <c r="F279" i="14"/>
  <c r="J279" i="14"/>
  <c r="L279" i="14"/>
  <c r="M279" i="14"/>
  <c r="N279" i="14"/>
  <c r="O279" i="14"/>
  <c r="B280" i="14"/>
  <c r="P280" i="14" s="1"/>
  <c r="C280" i="14"/>
  <c r="D280" i="14"/>
  <c r="G280" i="14" s="1"/>
  <c r="E280" i="14"/>
  <c r="F280" i="14"/>
  <c r="J280" i="14"/>
  <c r="L280" i="14"/>
  <c r="M280" i="14"/>
  <c r="N280" i="14"/>
  <c r="B281" i="14"/>
  <c r="P281" i="14" s="1"/>
  <c r="C281" i="14"/>
  <c r="D281" i="14"/>
  <c r="E281" i="14"/>
  <c r="F281" i="14"/>
  <c r="I281" i="14"/>
  <c r="J281" i="14"/>
  <c r="L281" i="14"/>
  <c r="M281" i="14"/>
  <c r="N281" i="14"/>
  <c r="O281" i="14"/>
  <c r="B282" i="14"/>
  <c r="P282" i="14" s="1"/>
  <c r="C282" i="14"/>
  <c r="D282" i="14"/>
  <c r="G282" i="14" s="1"/>
  <c r="E282" i="14"/>
  <c r="F282" i="14"/>
  <c r="J282" i="14"/>
  <c r="L282" i="14"/>
  <c r="M282" i="14"/>
  <c r="N282" i="14"/>
  <c r="B283" i="14"/>
  <c r="C283" i="14"/>
  <c r="D283" i="14"/>
  <c r="G283" i="14" s="1"/>
  <c r="E283" i="14"/>
  <c r="F283" i="14"/>
  <c r="J283" i="14"/>
  <c r="L283" i="14"/>
  <c r="M283" i="14"/>
  <c r="N283" i="14"/>
  <c r="B284" i="14"/>
  <c r="C284" i="14"/>
  <c r="D284" i="14"/>
  <c r="G284" i="14" s="1"/>
  <c r="E284" i="14"/>
  <c r="F284" i="14"/>
  <c r="J284" i="14"/>
  <c r="L284" i="14"/>
  <c r="M284" i="14"/>
  <c r="N284" i="14"/>
  <c r="B285" i="14"/>
  <c r="C285" i="14"/>
  <c r="D285" i="14"/>
  <c r="E285" i="14"/>
  <c r="F285" i="14"/>
  <c r="J285" i="14"/>
  <c r="L285" i="14"/>
  <c r="M285" i="14"/>
  <c r="N285" i="14"/>
  <c r="B286" i="14"/>
  <c r="P286" i="14" s="1"/>
  <c r="C286" i="14"/>
  <c r="D286" i="14"/>
  <c r="G286" i="14" s="1"/>
  <c r="E286" i="14"/>
  <c r="F286" i="14"/>
  <c r="J286" i="14"/>
  <c r="L286" i="14"/>
  <c r="M286" i="14"/>
  <c r="N286" i="14"/>
  <c r="B287" i="14"/>
  <c r="C287" i="14"/>
  <c r="D287" i="14"/>
  <c r="G287" i="14" s="1"/>
  <c r="E287" i="14"/>
  <c r="F287" i="14"/>
  <c r="J287" i="14"/>
  <c r="L287" i="14"/>
  <c r="M287" i="14"/>
  <c r="N287" i="14"/>
  <c r="B288" i="14"/>
  <c r="C288" i="14"/>
  <c r="D288" i="14"/>
  <c r="E288" i="14"/>
  <c r="F288" i="14"/>
  <c r="G288" i="14"/>
  <c r="J288" i="14"/>
  <c r="L288" i="14"/>
  <c r="M288" i="14"/>
  <c r="N288" i="14"/>
  <c r="O288" i="14"/>
  <c r="B289" i="14"/>
  <c r="P289" i="14" s="1"/>
  <c r="C289" i="14"/>
  <c r="D289" i="14"/>
  <c r="E289" i="14"/>
  <c r="F289" i="14"/>
  <c r="J289" i="14"/>
  <c r="L289" i="14"/>
  <c r="M289" i="14"/>
  <c r="N289" i="14"/>
  <c r="O289" i="14"/>
  <c r="B290" i="14"/>
  <c r="C290" i="14"/>
  <c r="D290" i="14"/>
  <c r="G290" i="14" s="1"/>
  <c r="E290" i="14"/>
  <c r="F290" i="14"/>
  <c r="J290" i="14"/>
  <c r="L290" i="14"/>
  <c r="M290" i="14"/>
  <c r="N290" i="14"/>
  <c r="O290" i="14"/>
  <c r="B291" i="14"/>
  <c r="C291" i="14"/>
  <c r="D291" i="14"/>
  <c r="G291" i="14" s="1"/>
  <c r="E291" i="14"/>
  <c r="F291" i="14"/>
  <c r="J291" i="14"/>
  <c r="L291" i="14"/>
  <c r="M291" i="14"/>
  <c r="N291" i="14"/>
  <c r="O291" i="14"/>
  <c r="B292" i="14"/>
  <c r="P292" i="14" s="1"/>
  <c r="C292" i="14"/>
  <c r="D292" i="14"/>
  <c r="E292" i="14"/>
  <c r="F292" i="14"/>
  <c r="J292" i="14"/>
  <c r="L292" i="14"/>
  <c r="M292" i="14"/>
  <c r="N292" i="14"/>
  <c r="O292" i="14"/>
  <c r="B293" i="14"/>
  <c r="P293" i="14" s="1"/>
  <c r="C293" i="14"/>
  <c r="D293" i="14"/>
  <c r="E293" i="14"/>
  <c r="F293" i="14"/>
  <c r="L293" i="14"/>
  <c r="M293" i="14"/>
  <c r="N293" i="14"/>
  <c r="B294" i="14"/>
  <c r="P294" i="14" s="1"/>
  <c r="C294" i="14"/>
  <c r="D294" i="14"/>
  <c r="G294" i="14" s="1"/>
  <c r="E294" i="14"/>
  <c r="F294" i="14"/>
  <c r="H294" i="14"/>
  <c r="J294" i="14"/>
  <c r="L294" i="14"/>
  <c r="M294" i="14"/>
  <c r="N294" i="14"/>
  <c r="B295" i="14"/>
  <c r="C295" i="14"/>
  <c r="D295" i="14"/>
  <c r="G295" i="14" s="1"/>
  <c r="E295" i="14"/>
  <c r="F295" i="14"/>
  <c r="J295" i="14"/>
  <c r="K295" i="14"/>
  <c r="L295" i="14"/>
  <c r="M295" i="14"/>
  <c r="N295" i="14"/>
  <c r="B296" i="14"/>
  <c r="P296" i="14" s="1"/>
  <c r="C296" i="14"/>
  <c r="D296" i="14"/>
  <c r="G296" i="14" s="1"/>
  <c r="E296" i="14"/>
  <c r="F296" i="14"/>
  <c r="J296" i="14"/>
  <c r="L296" i="14"/>
  <c r="M296" i="14"/>
  <c r="N296" i="14"/>
  <c r="B297" i="14"/>
  <c r="P297" i="14" s="1"/>
  <c r="C297" i="14"/>
  <c r="D297" i="14"/>
  <c r="E297" i="14"/>
  <c r="F297" i="14"/>
  <c r="J297" i="14"/>
  <c r="L297" i="14"/>
  <c r="M297" i="14"/>
  <c r="N297" i="14"/>
  <c r="B298" i="14"/>
  <c r="C298" i="14"/>
  <c r="D298" i="14"/>
  <c r="G298" i="14" s="1"/>
  <c r="E298" i="14"/>
  <c r="F298" i="14"/>
  <c r="J298" i="14"/>
  <c r="L298" i="14"/>
  <c r="M298" i="14"/>
  <c r="N298" i="14"/>
  <c r="B299" i="14"/>
  <c r="C299" i="14"/>
  <c r="D299" i="14"/>
  <c r="G299" i="14" s="1"/>
  <c r="E299" i="14"/>
  <c r="F299" i="14"/>
  <c r="J299" i="14"/>
  <c r="L299" i="14"/>
  <c r="M299" i="14"/>
  <c r="N299" i="14"/>
  <c r="B300" i="14"/>
  <c r="C300" i="14"/>
  <c r="D300" i="14"/>
  <c r="E300" i="14"/>
  <c r="F300" i="14"/>
  <c r="J300" i="14"/>
  <c r="L300" i="14"/>
  <c r="M300" i="14"/>
  <c r="N300" i="14"/>
  <c r="B301" i="14"/>
  <c r="P301" i="14" s="1"/>
  <c r="C301" i="14"/>
  <c r="D301" i="14"/>
  <c r="E301" i="14"/>
  <c r="F301" i="14"/>
  <c r="G301" i="14"/>
  <c r="J301" i="14"/>
  <c r="L301" i="14"/>
  <c r="M301" i="14"/>
  <c r="N301" i="14"/>
  <c r="B302" i="14"/>
  <c r="P302" i="14" s="1"/>
  <c r="C302" i="14"/>
  <c r="D302" i="14"/>
  <c r="G302" i="14" s="1"/>
  <c r="E302" i="14"/>
  <c r="F302" i="14"/>
  <c r="J302" i="14"/>
  <c r="L302" i="14"/>
  <c r="M302" i="14"/>
  <c r="N302" i="14"/>
  <c r="B303" i="14"/>
  <c r="C303" i="14"/>
  <c r="D303" i="14"/>
  <c r="G303" i="14" s="1"/>
  <c r="E303" i="14"/>
  <c r="F303" i="14"/>
  <c r="J303" i="14"/>
  <c r="L303" i="14"/>
  <c r="M303" i="14"/>
  <c r="N303" i="14"/>
  <c r="B304" i="14"/>
  <c r="P304" i="14" s="1"/>
  <c r="C304" i="14"/>
  <c r="D304" i="14"/>
  <c r="E304" i="14"/>
  <c r="F304" i="14"/>
  <c r="G304" i="14"/>
  <c r="J304" i="14"/>
  <c r="L304" i="14"/>
  <c r="M304" i="14"/>
  <c r="N304" i="14"/>
  <c r="B305" i="14"/>
  <c r="P305" i="14" s="1"/>
  <c r="C305" i="14"/>
  <c r="D305" i="14"/>
  <c r="E305" i="14"/>
  <c r="F305" i="14"/>
  <c r="G305" i="14"/>
  <c r="J305" i="14"/>
  <c r="L305" i="14"/>
  <c r="M305" i="14"/>
  <c r="N305" i="14"/>
  <c r="B306" i="14"/>
  <c r="P306" i="14" s="1"/>
  <c r="C306" i="14"/>
  <c r="D306" i="14"/>
  <c r="E306" i="14"/>
  <c r="F306" i="14"/>
  <c r="J306" i="14"/>
  <c r="L306" i="14"/>
  <c r="M306" i="14"/>
  <c r="N306" i="14"/>
  <c r="B307" i="14"/>
  <c r="C307" i="14"/>
  <c r="D307" i="14"/>
  <c r="G307" i="14" s="1"/>
  <c r="E307" i="14"/>
  <c r="F307" i="14"/>
  <c r="J307" i="14"/>
  <c r="L307" i="14"/>
  <c r="M307" i="14"/>
  <c r="N307" i="14"/>
  <c r="B308" i="14"/>
  <c r="C308" i="14"/>
  <c r="D308" i="14"/>
  <c r="G308" i="14" s="1"/>
  <c r="E308" i="14"/>
  <c r="F308" i="14"/>
  <c r="J308" i="14"/>
  <c r="L308" i="14"/>
  <c r="M308" i="14"/>
  <c r="N308" i="14"/>
  <c r="B309" i="14"/>
  <c r="P309" i="14" s="1"/>
  <c r="C309" i="14"/>
  <c r="D309" i="14"/>
  <c r="E309" i="14"/>
  <c r="F309" i="14"/>
  <c r="J309" i="14"/>
  <c r="L309" i="14"/>
  <c r="M309" i="14"/>
  <c r="N309" i="14"/>
  <c r="B310" i="14"/>
  <c r="C310" i="14"/>
  <c r="D310" i="14"/>
  <c r="G310" i="14" s="1"/>
  <c r="E310" i="14"/>
  <c r="F310" i="14"/>
  <c r="J310" i="14"/>
  <c r="L310" i="14"/>
  <c r="M310" i="14"/>
  <c r="N310" i="14"/>
  <c r="B311" i="14"/>
  <c r="C311" i="14"/>
  <c r="D311" i="14"/>
  <c r="G311" i="14" s="1"/>
  <c r="E311" i="14"/>
  <c r="F311" i="14"/>
  <c r="J311" i="14"/>
  <c r="L311" i="14"/>
  <c r="M311" i="14"/>
  <c r="N311" i="14"/>
  <c r="B312" i="14"/>
  <c r="C312" i="14"/>
  <c r="D312" i="14"/>
  <c r="E312" i="14"/>
  <c r="F312" i="14"/>
  <c r="J312" i="14"/>
  <c r="L312" i="14"/>
  <c r="M312" i="14"/>
  <c r="N312" i="14"/>
  <c r="B313" i="14"/>
  <c r="P313" i="14" s="1"/>
  <c r="C313" i="14"/>
  <c r="D313" i="14"/>
  <c r="E313" i="14"/>
  <c r="F313" i="14"/>
  <c r="J313" i="14"/>
  <c r="L313" i="14"/>
  <c r="M313" i="14"/>
  <c r="N313" i="14"/>
  <c r="B314" i="14"/>
  <c r="P314" i="14" s="1"/>
  <c r="C314" i="14"/>
  <c r="D314" i="14"/>
  <c r="G314" i="14" s="1"/>
  <c r="E314" i="14"/>
  <c r="F314" i="14"/>
  <c r="J314" i="14"/>
  <c r="L314" i="14"/>
  <c r="M314" i="14"/>
  <c r="N314" i="14"/>
  <c r="B315" i="14"/>
  <c r="C315" i="14"/>
  <c r="D315" i="14"/>
  <c r="G315" i="14" s="1"/>
  <c r="E315" i="14"/>
  <c r="F315" i="14"/>
  <c r="J315" i="14"/>
  <c r="L315" i="14"/>
  <c r="M315" i="14"/>
  <c r="N315" i="14"/>
  <c r="B316" i="14"/>
  <c r="P316" i="14" s="1"/>
  <c r="C316" i="14"/>
  <c r="D316" i="14"/>
  <c r="E316" i="14"/>
  <c r="F316" i="14"/>
  <c r="G316" i="14"/>
  <c r="J316" i="14"/>
  <c r="L316" i="14"/>
  <c r="M316" i="14"/>
  <c r="N316" i="14"/>
  <c r="B317" i="14"/>
  <c r="P317" i="14" s="1"/>
  <c r="C317" i="14"/>
  <c r="D317" i="14"/>
  <c r="E317" i="14"/>
  <c r="F317" i="14"/>
  <c r="J317" i="14"/>
  <c r="L317" i="14"/>
  <c r="M317" i="14"/>
  <c r="N317" i="14"/>
  <c r="B318" i="14"/>
  <c r="C318" i="14"/>
  <c r="D318" i="14"/>
  <c r="G318" i="14" s="1"/>
  <c r="E318" i="14"/>
  <c r="F318" i="14"/>
  <c r="J318" i="14"/>
  <c r="L318" i="14"/>
  <c r="M318" i="14"/>
  <c r="N318" i="14"/>
  <c r="B319" i="14"/>
  <c r="C319" i="14"/>
  <c r="D319" i="14"/>
  <c r="G319" i="14" s="1"/>
  <c r="E319" i="14"/>
  <c r="F319" i="14"/>
  <c r="J319" i="14"/>
  <c r="L319" i="14"/>
  <c r="M319" i="14"/>
  <c r="N319" i="14"/>
  <c r="B320" i="14"/>
  <c r="P320" i="14" s="1"/>
  <c r="C320" i="14"/>
  <c r="D320" i="14"/>
  <c r="E320" i="14"/>
  <c r="F320" i="14"/>
  <c r="J320" i="14"/>
  <c r="L320" i="14"/>
  <c r="M320" i="14"/>
  <c r="N320" i="14"/>
  <c r="B321" i="14"/>
  <c r="C321" i="14"/>
  <c r="D321" i="14"/>
  <c r="E321" i="14"/>
  <c r="F321" i="14"/>
  <c r="J321" i="14"/>
  <c r="L321" i="14"/>
  <c r="M321" i="14"/>
  <c r="N321" i="14"/>
  <c r="B322" i="14"/>
  <c r="P322" i="14" s="1"/>
  <c r="C322" i="14"/>
  <c r="D322" i="14"/>
  <c r="G322" i="14" s="1"/>
  <c r="E322" i="14"/>
  <c r="F322" i="14"/>
  <c r="J322" i="14"/>
  <c r="L322" i="14"/>
  <c r="M322" i="14"/>
  <c r="N322" i="14"/>
  <c r="B323" i="14"/>
  <c r="C323" i="14"/>
  <c r="D323" i="14"/>
  <c r="G323" i="14" s="1"/>
  <c r="E323" i="14"/>
  <c r="F323" i="14"/>
  <c r="J323" i="14"/>
  <c r="L323" i="14"/>
  <c r="M323" i="14"/>
  <c r="N323" i="14"/>
  <c r="B324" i="14"/>
  <c r="C324" i="14"/>
  <c r="D324" i="14"/>
  <c r="G324" i="14" s="1"/>
  <c r="E324" i="14"/>
  <c r="F324" i="14"/>
  <c r="J324" i="14"/>
  <c r="L324" i="14"/>
  <c r="M324" i="14"/>
  <c r="N324" i="14"/>
  <c r="B325" i="14"/>
  <c r="P325" i="14" s="1"/>
  <c r="C325" i="14"/>
  <c r="D325" i="14"/>
  <c r="E325" i="14"/>
  <c r="F325" i="14"/>
  <c r="J325" i="14"/>
  <c r="L325" i="14"/>
  <c r="M325" i="14"/>
  <c r="N325" i="14"/>
  <c r="B326" i="14"/>
  <c r="C326" i="14"/>
  <c r="D326" i="14"/>
  <c r="G326" i="14" s="1"/>
  <c r="E326" i="14"/>
  <c r="F326" i="14"/>
  <c r="J326" i="14"/>
  <c r="L326" i="14"/>
  <c r="M326" i="14"/>
  <c r="N326" i="14"/>
  <c r="B327" i="14"/>
  <c r="C327" i="14"/>
  <c r="D327" i="14"/>
  <c r="G327" i="14" s="1"/>
  <c r="E327" i="14"/>
  <c r="F327" i="14"/>
  <c r="J327" i="14"/>
  <c r="L327" i="14"/>
  <c r="M327" i="14"/>
  <c r="N327" i="14"/>
  <c r="B328" i="14"/>
  <c r="C328" i="14"/>
  <c r="D328" i="14"/>
  <c r="E328" i="14"/>
  <c r="F328" i="14"/>
  <c r="J328" i="14"/>
  <c r="L328" i="14"/>
  <c r="M328" i="14"/>
  <c r="N328" i="14"/>
  <c r="B329" i="14"/>
  <c r="P329" i="14" s="1"/>
  <c r="C329" i="14"/>
  <c r="D329" i="14"/>
  <c r="G329" i="14" s="1"/>
  <c r="E329" i="14"/>
  <c r="F329" i="14"/>
  <c r="J329" i="14"/>
  <c r="L329" i="14"/>
  <c r="M329" i="14"/>
  <c r="N329" i="14"/>
  <c r="B330" i="14"/>
  <c r="P330" i="14" s="1"/>
  <c r="C330" i="14"/>
  <c r="D330" i="14"/>
  <c r="E330" i="14"/>
  <c r="F330" i="14"/>
  <c r="J330" i="14"/>
  <c r="L330" i="14"/>
  <c r="M330" i="14"/>
  <c r="N330" i="14"/>
  <c r="B331" i="14"/>
  <c r="P331" i="14" s="1"/>
  <c r="C331" i="14"/>
  <c r="D331" i="14"/>
  <c r="G331" i="14" s="1"/>
  <c r="E331" i="14"/>
  <c r="F331" i="14"/>
  <c r="J331" i="14"/>
  <c r="L331" i="14"/>
  <c r="M331" i="14"/>
  <c r="N331" i="14"/>
  <c r="B332" i="14"/>
  <c r="C332" i="14"/>
  <c r="D332" i="14"/>
  <c r="G332" i="14" s="1"/>
  <c r="E332" i="14"/>
  <c r="F332" i="14"/>
  <c r="J332" i="14"/>
  <c r="L332" i="14"/>
  <c r="M332" i="14"/>
  <c r="N332" i="14"/>
  <c r="B333" i="14"/>
  <c r="C333" i="14"/>
  <c r="D333" i="14"/>
  <c r="G333" i="14" s="1"/>
  <c r="E333" i="14"/>
  <c r="F333" i="14"/>
  <c r="J333" i="14"/>
  <c r="L333" i="14"/>
  <c r="M333" i="14"/>
  <c r="N333" i="14"/>
  <c r="B334" i="14"/>
  <c r="P334" i="14" s="1"/>
  <c r="C334" i="14"/>
  <c r="D334" i="14"/>
  <c r="G334" i="14" s="1"/>
  <c r="E334" i="14"/>
  <c r="F334" i="14"/>
  <c r="J334" i="14"/>
  <c r="L334" i="14"/>
  <c r="M334" i="14"/>
  <c r="N334" i="14"/>
  <c r="B335" i="14"/>
  <c r="P335" i="14" s="1"/>
  <c r="C335" i="14"/>
  <c r="D335" i="14"/>
  <c r="G335" i="14" s="1"/>
  <c r="E335" i="14"/>
  <c r="F335" i="14"/>
  <c r="J335" i="14"/>
  <c r="L335" i="14"/>
  <c r="M335" i="14"/>
  <c r="N335" i="14"/>
  <c r="B336" i="14"/>
  <c r="C336" i="14"/>
  <c r="D336" i="14"/>
  <c r="G336" i="14" s="1"/>
  <c r="E336" i="14"/>
  <c r="F336" i="14"/>
  <c r="J336" i="14"/>
  <c r="L336" i="14"/>
  <c r="M336" i="14"/>
  <c r="N336" i="14"/>
  <c r="B337" i="14"/>
  <c r="C337" i="14"/>
  <c r="D337" i="14"/>
  <c r="E337" i="14"/>
  <c r="F337" i="14"/>
  <c r="J337" i="14"/>
  <c r="L337" i="14"/>
  <c r="M337" i="14"/>
  <c r="N337" i="14"/>
  <c r="O337" i="14"/>
  <c r="B338" i="14"/>
  <c r="C338" i="14"/>
  <c r="D338" i="14"/>
  <c r="G338" i="14" s="1"/>
  <c r="E338" i="14"/>
  <c r="F338" i="14"/>
  <c r="J338" i="14"/>
  <c r="L338" i="14"/>
  <c r="M338" i="14"/>
  <c r="N338" i="14"/>
  <c r="O338" i="14"/>
  <c r="B339" i="14"/>
  <c r="P339" i="14" s="1"/>
  <c r="C339" i="14"/>
  <c r="D339" i="14"/>
  <c r="G339" i="14" s="1"/>
  <c r="E339" i="14"/>
  <c r="F339" i="14"/>
  <c r="J339" i="14"/>
  <c r="L339" i="14"/>
  <c r="M339" i="14"/>
  <c r="N339" i="14"/>
  <c r="O339" i="14"/>
  <c r="B340" i="14"/>
  <c r="P340" i="14" s="1"/>
  <c r="C340" i="14"/>
  <c r="D340" i="14"/>
  <c r="G340" i="14" s="1"/>
  <c r="E340" i="14"/>
  <c r="F340" i="14"/>
  <c r="J340" i="14"/>
  <c r="L340" i="14"/>
  <c r="M340" i="14"/>
  <c r="N340" i="14"/>
  <c r="O340" i="14"/>
  <c r="B341" i="14"/>
  <c r="P341" i="14" s="1"/>
  <c r="C341" i="14"/>
  <c r="D341" i="14"/>
  <c r="E341" i="14"/>
  <c r="F341" i="14"/>
  <c r="J341" i="14"/>
  <c r="L341" i="14"/>
  <c r="M341" i="14"/>
  <c r="N341" i="14"/>
  <c r="B342" i="14"/>
  <c r="P342" i="14" s="1"/>
  <c r="C342" i="14"/>
  <c r="D342" i="14"/>
  <c r="G342" i="14" s="1"/>
  <c r="E342" i="14"/>
  <c r="F342" i="14"/>
  <c r="J342" i="14"/>
  <c r="L342" i="14"/>
  <c r="M342" i="14"/>
  <c r="N342" i="14"/>
  <c r="O342" i="14"/>
  <c r="B343" i="14"/>
  <c r="C343" i="14"/>
  <c r="D343" i="14"/>
  <c r="G343" i="14" s="1"/>
  <c r="E343" i="14"/>
  <c r="F343" i="14"/>
  <c r="J343" i="14"/>
  <c r="L343" i="14"/>
  <c r="M343" i="14"/>
  <c r="N343" i="14"/>
  <c r="O343" i="14"/>
  <c r="B344" i="14"/>
  <c r="P344" i="14" s="1"/>
  <c r="C344" i="14"/>
  <c r="D344" i="14"/>
  <c r="E344" i="14"/>
  <c r="F344" i="14"/>
  <c r="J344" i="14"/>
  <c r="L344" i="14"/>
  <c r="M344" i="14"/>
  <c r="N344" i="14"/>
  <c r="O344" i="14"/>
  <c r="B345" i="14"/>
  <c r="C345" i="14"/>
  <c r="D345" i="14"/>
  <c r="G345" i="14" s="1"/>
  <c r="E345" i="14"/>
  <c r="F345" i="14"/>
  <c r="J345" i="14"/>
  <c r="L345" i="14"/>
  <c r="M345" i="14"/>
  <c r="N345" i="14"/>
  <c r="O345" i="14"/>
  <c r="B346" i="14"/>
  <c r="P346" i="14" s="1"/>
  <c r="C346" i="14"/>
  <c r="D346" i="14"/>
  <c r="E346" i="14"/>
  <c r="F346" i="14"/>
  <c r="J346" i="14"/>
  <c r="L346" i="14"/>
  <c r="M346" i="14"/>
  <c r="N346" i="14"/>
  <c r="O346" i="14"/>
  <c r="B347" i="14"/>
  <c r="P347" i="14" s="1"/>
  <c r="C347" i="14"/>
  <c r="D347" i="14"/>
  <c r="G347" i="14" s="1"/>
  <c r="E347" i="14"/>
  <c r="F347" i="14"/>
  <c r="J347" i="14"/>
  <c r="L347" i="14"/>
  <c r="M347" i="14"/>
  <c r="N347" i="14"/>
  <c r="O347" i="14"/>
  <c r="B348" i="14"/>
  <c r="C348" i="14"/>
  <c r="D348" i="14"/>
  <c r="E348" i="14"/>
  <c r="F348" i="14"/>
  <c r="J348" i="14"/>
  <c r="L348" i="14"/>
  <c r="M348" i="14"/>
  <c r="N348" i="14"/>
  <c r="O348" i="14"/>
  <c r="B349" i="14"/>
  <c r="P349" i="14" s="1"/>
  <c r="C349" i="14"/>
  <c r="D349" i="14"/>
  <c r="G349" i="14" s="1"/>
  <c r="E349" i="14"/>
  <c r="F349" i="14"/>
  <c r="J349" i="14"/>
  <c r="L349" i="14"/>
  <c r="M349" i="14"/>
  <c r="N349" i="14"/>
  <c r="O349" i="14"/>
  <c r="B350" i="14"/>
  <c r="P350" i="14" s="1"/>
  <c r="C350" i="14"/>
  <c r="D350" i="14"/>
  <c r="E350" i="14"/>
  <c r="F350" i="14"/>
  <c r="J350" i="14"/>
  <c r="L350" i="14"/>
  <c r="M350" i="14"/>
  <c r="N350" i="14"/>
  <c r="O350" i="14"/>
  <c r="B351" i="14"/>
  <c r="P351" i="14" s="1"/>
  <c r="C351" i="14"/>
  <c r="D351" i="14"/>
  <c r="G351" i="14" s="1"/>
  <c r="E351" i="14"/>
  <c r="F351" i="14"/>
  <c r="J351" i="14"/>
  <c r="L351" i="14"/>
  <c r="M351" i="14"/>
  <c r="N351" i="14"/>
  <c r="O351" i="14"/>
  <c r="B352" i="14"/>
  <c r="C352" i="14"/>
  <c r="D352" i="14"/>
  <c r="G352" i="14" s="1"/>
  <c r="E352" i="14"/>
  <c r="F352" i="14"/>
  <c r="J352" i="14"/>
  <c r="L352" i="14"/>
  <c r="M352" i="14"/>
  <c r="N352" i="14"/>
  <c r="O352" i="14"/>
  <c r="B353" i="14"/>
  <c r="P353" i="14" s="1"/>
  <c r="C353" i="14"/>
  <c r="D353" i="14"/>
  <c r="E353" i="14"/>
  <c r="F353" i="14"/>
  <c r="J353" i="14"/>
  <c r="L353" i="14"/>
  <c r="M353" i="14"/>
  <c r="N353" i="14"/>
  <c r="O353" i="14"/>
  <c r="B354" i="14"/>
  <c r="C354" i="14"/>
  <c r="D354" i="14"/>
  <c r="G354" i="14" s="1"/>
  <c r="E354" i="14"/>
  <c r="F354" i="14"/>
  <c r="J354" i="14"/>
  <c r="L354" i="14"/>
  <c r="M354" i="14"/>
  <c r="N354" i="14"/>
  <c r="O354" i="14"/>
  <c r="B355" i="14"/>
  <c r="P355" i="14" s="1"/>
  <c r="C355" i="14"/>
  <c r="D355" i="14"/>
  <c r="G355" i="14" s="1"/>
  <c r="E355" i="14"/>
  <c r="F355" i="14"/>
  <c r="J355" i="14"/>
  <c r="L355" i="14"/>
  <c r="M355" i="14"/>
  <c r="N355" i="14"/>
  <c r="O355" i="14"/>
  <c r="B356" i="14"/>
  <c r="C356" i="14"/>
  <c r="D356" i="14"/>
  <c r="G356" i="14" s="1"/>
  <c r="E356" i="14"/>
  <c r="F356" i="14"/>
  <c r="J356" i="14"/>
  <c r="L356" i="14"/>
  <c r="M356" i="14"/>
  <c r="N356" i="14"/>
  <c r="O356" i="14"/>
  <c r="B357" i="14"/>
  <c r="C357" i="14"/>
  <c r="D357" i="14"/>
  <c r="E357" i="14"/>
  <c r="F357" i="14"/>
  <c r="J357" i="14"/>
  <c r="L357" i="14"/>
  <c r="M357" i="14"/>
  <c r="N357" i="14"/>
  <c r="O357" i="14"/>
  <c r="B358" i="14"/>
  <c r="P358" i="14" s="1"/>
  <c r="C358" i="14"/>
  <c r="D358" i="14"/>
  <c r="G358" i="14" s="1"/>
  <c r="E358" i="14"/>
  <c r="F358" i="14"/>
  <c r="J358" i="14"/>
  <c r="L358" i="14"/>
  <c r="M358" i="14"/>
  <c r="N358" i="14"/>
  <c r="O358" i="14"/>
  <c r="B359" i="14"/>
  <c r="C359" i="14"/>
  <c r="D359" i="14"/>
  <c r="G359" i="14" s="1"/>
  <c r="E359" i="14"/>
  <c r="F359" i="14"/>
  <c r="I359" i="14"/>
  <c r="J359" i="14"/>
  <c r="L359" i="14"/>
  <c r="M359" i="14"/>
  <c r="N359" i="14"/>
  <c r="O359" i="14"/>
  <c r="B360" i="14"/>
  <c r="P360" i="14" s="1"/>
  <c r="C360" i="14"/>
  <c r="D360" i="14"/>
  <c r="E360" i="14"/>
  <c r="F360" i="14"/>
  <c r="I360" i="14"/>
  <c r="J360" i="14"/>
  <c r="L360" i="14"/>
  <c r="M360" i="14"/>
  <c r="N360" i="14"/>
  <c r="O360" i="14"/>
  <c r="B361" i="14"/>
  <c r="C361" i="14"/>
  <c r="D361" i="14"/>
  <c r="G361" i="14" s="1"/>
  <c r="E361" i="14"/>
  <c r="F361" i="14"/>
  <c r="J361" i="14"/>
  <c r="L361" i="14"/>
  <c r="M361" i="14"/>
  <c r="N361" i="14"/>
  <c r="O361" i="14"/>
  <c r="B362" i="14"/>
  <c r="P362" i="14" s="1"/>
  <c r="C362" i="14"/>
  <c r="D362" i="14"/>
  <c r="E362" i="14"/>
  <c r="F362" i="14"/>
  <c r="J362" i="14"/>
  <c r="L362" i="14"/>
  <c r="M362" i="14"/>
  <c r="N362" i="14"/>
  <c r="B363" i="14"/>
  <c r="P363" i="14" s="1"/>
  <c r="C363" i="14"/>
  <c r="D363" i="14"/>
  <c r="G363" i="14" s="1"/>
  <c r="E363" i="14"/>
  <c r="F363" i="14"/>
  <c r="J363" i="14"/>
  <c r="L363" i="14"/>
  <c r="M363" i="14"/>
  <c r="N363" i="14"/>
  <c r="B364" i="14"/>
  <c r="C364" i="14"/>
  <c r="D364" i="14"/>
  <c r="E364" i="14"/>
  <c r="F364" i="14"/>
  <c r="J364" i="14"/>
  <c r="L364" i="14"/>
  <c r="M364" i="14"/>
  <c r="N364" i="14"/>
  <c r="B365" i="14"/>
  <c r="C365" i="14"/>
  <c r="D365" i="14"/>
  <c r="G365" i="14" s="1"/>
  <c r="E365" i="14"/>
  <c r="F365" i="14"/>
  <c r="J365" i="14"/>
  <c r="L365" i="14"/>
  <c r="M365" i="14"/>
  <c r="N365" i="14"/>
  <c r="B366" i="14"/>
  <c r="P366" i="14" s="1"/>
  <c r="C366" i="14"/>
  <c r="D366" i="14"/>
  <c r="E366" i="14"/>
  <c r="F366" i="14"/>
  <c r="J366" i="14"/>
  <c r="L366" i="14"/>
  <c r="M366" i="14"/>
  <c r="N366" i="14"/>
  <c r="B367" i="14"/>
  <c r="C367" i="14"/>
  <c r="D367" i="14"/>
  <c r="G367" i="14" s="1"/>
  <c r="E367" i="14"/>
  <c r="F367" i="14"/>
  <c r="J367" i="14"/>
  <c r="L367" i="14"/>
  <c r="M367" i="14"/>
  <c r="N367" i="14"/>
  <c r="B368" i="14"/>
  <c r="C368" i="14"/>
  <c r="D368" i="14"/>
  <c r="G368" i="14" s="1"/>
  <c r="E368" i="14"/>
  <c r="F368" i="14"/>
  <c r="J368" i="14"/>
  <c r="L368" i="14"/>
  <c r="M368" i="14"/>
  <c r="N368" i="14"/>
  <c r="B369" i="14"/>
  <c r="C369" i="14"/>
  <c r="D369" i="14"/>
  <c r="G369" i="14" s="1"/>
  <c r="E369" i="14"/>
  <c r="F369" i="14"/>
  <c r="J369" i="14"/>
  <c r="L369" i="14"/>
  <c r="M369" i="14"/>
  <c r="N369" i="14"/>
  <c r="B370" i="14"/>
  <c r="P370" i="14" s="1"/>
  <c r="C370" i="14"/>
  <c r="D370" i="14"/>
  <c r="E370" i="14"/>
  <c r="F370" i="14"/>
  <c r="J370" i="14"/>
  <c r="L370" i="14"/>
  <c r="M370" i="14"/>
  <c r="N370" i="14"/>
  <c r="B371" i="14"/>
  <c r="C371" i="14"/>
  <c r="D371" i="14"/>
  <c r="G371" i="14" s="1"/>
  <c r="E371" i="14"/>
  <c r="F371" i="14"/>
  <c r="J371" i="14"/>
  <c r="L371" i="14"/>
  <c r="M371" i="14"/>
  <c r="N371" i="14"/>
  <c r="B372" i="14"/>
  <c r="C372" i="14"/>
  <c r="D372" i="14"/>
  <c r="G372" i="14" s="1"/>
  <c r="E372" i="14"/>
  <c r="F372" i="14"/>
  <c r="J372" i="14"/>
  <c r="L372" i="14"/>
  <c r="M372" i="14"/>
  <c r="N372" i="14"/>
  <c r="B373" i="14"/>
  <c r="C373" i="14"/>
  <c r="D373" i="14"/>
  <c r="G373" i="14" s="1"/>
  <c r="E373" i="14"/>
  <c r="F373" i="14"/>
  <c r="J373" i="14"/>
  <c r="L373" i="14"/>
  <c r="M373" i="14"/>
  <c r="N373" i="14"/>
  <c r="B374" i="14"/>
  <c r="P374" i="14" s="1"/>
  <c r="C374" i="14"/>
  <c r="D374" i="14"/>
  <c r="E374" i="14"/>
  <c r="F374" i="14"/>
  <c r="J374" i="14"/>
  <c r="L374" i="14"/>
  <c r="M374" i="14"/>
  <c r="N374" i="14"/>
  <c r="B375" i="14"/>
  <c r="C375" i="14"/>
  <c r="D375" i="14"/>
  <c r="G375" i="14" s="1"/>
  <c r="E375" i="14"/>
  <c r="F375" i="14"/>
  <c r="J375" i="14"/>
  <c r="L375" i="14"/>
  <c r="M375" i="14"/>
  <c r="N375" i="14"/>
  <c r="B376" i="14"/>
  <c r="C376" i="14"/>
  <c r="D376" i="14"/>
  <c r="G376" i="14" s="1"/>
  <c r="E376" i="14"/>
  <c r="F376" i="14"/>
  <c r="J376" i="14"/>
  <c r="L376" i="14"/>
  <c r="M376" i="14"/>
  <c r="N376" i="14"/>
  <c r="B377" i="14"/>
  <c r="C377" i="14"/>
  <c r="D377" i="14"/>
  <c r="E377" i="14"/>
  <c r="F377" i="14"/>
  <c r="G377" i="14"/>
  <c r="J377" i="14"/>
  <c r="L377" i="14"/>
  <c r="M377" i="14"/>
  <c r="N377" i="14"/>
  <c r="B378" i="14"/>
  <c r="P378" i="14" s="1"/>
  <c r="C378" i="14"/>
  <c r="D378" i="14"/>
  <c r="E378" i="14"/>
  <c r="F378" i="14"/>
  <c r="J378" i="14"/>
  <c r="L378" i="14"/>
  <c r="M378" i="14"/>
  <c r="N378" i="14"/>
  <c r="B379" i="14"/>
  <c r="P379" i="14" s="1"/>
  <c r="C379" i="14"/>
  <c r="D379" i="14"/>
  <c r="G379" i="14" s="1"/>
  <c r="E379" i="14"/>
  <c r="F379" i="14"/>
  <c r="J379" i="14"/>
  <c r="L379" i="14"/>
  <c r="M379" i="14"/>
  <c r="N379" i="14"/>
  <c r="B380" i="14"/>
  <c r="C380" i="14"/>
  <c r="D380" i="14"/>
  <c r="G380" i="14" s="1"/>
  <c r="E380" i="14"/>
  <c r="F380" i="14"/>
  <c r="J380" i="14"/>
  <c r="L380" i="14"/>
  <c r="M380" i="14"/>
  <c r="N380" i="14"/>
  <c r="B381" i="14"/>
  <c r="C381" i="14"/>
  <c r="D381" i="14"/>
  <c r="G381" i="14" s="1"/>
  <c r="E381" i="14"/>
  <c r="F381" i="14"/>
  <c r="J381" i="14"/>
  <c r="L381" i="14"/>
  <c r="M381" i="14"/>
  <c r="N381" i="14"/>
  <c r="B382" i="14"/>
  <c r="P382" i="14" s="1"/>
  <c r="C382" i="14"/>
  <c r="D382" i="14"/>
  <c r="E382" i="14"/>
  <c r="F382" i="14"/>
  <c r="J382" i="14"/>
  <c r="L382" i="14"/>
  <c r="M382" i="14"/>
  <c r="N382" i="14"/>
  <c r="B383" i="14"/>
  <c r="P383" i="14" s="1"/>
  <c r="C383" i="14"/>
  <c r="D383" i="14"/>
  <c r="G383" i="14" s="1"/>
  <c r="E383" i="14"/>
  <c r="F383" i="14"/>
  <c r="J383" i="14"/>
  <c r="L383" i="14"/>
  <c r="M383" i="14"/>
  <c r="N383" i="14"/>
  <c r="B384" i="14"/>
  <c r="C384" i="14"/>
  <c r="D384" i="14"/>
  <c r="G384" i="14" s="1"/>
  <c r="E384" i="14"/>
  <c r="F384" i="14"/>
  <c r="J384" i="14"/>
  <c r="L384" i="14"/>
  <c r="M384" i="14"/>
  <c r="N384" i="14"/>
  <c r="B385" i="14"/>
  <c r="P385" i="14" s="1"/>
  <c r="C385" i="14"/>
  <c r="D385" i="14"/>
  <c r="E385" i="14"/>
  <c r="F385" i="14"/>
  <c r="J385" i="14"/>
  <c r="L385" i="14"/>
  <c r="M385" i="14"/>
  <c r="N385" i="14"/>
  <c r="B386" i="14"/>
  <c r="P386" i="14" s="1"/>
  <c r="C386" i="14"/>
  <c r="D386" i="14"/>
  <c r="E386" i="14"/>
  <c r="F386" i="14"/>
  <c r="J386" i="14"/>
  <c r="L386" i="14"/>
  <c r="M386" i="14"/>
  <c r="N386" i="14"/>
  <c r="B387" i="14"/>
  <c r="C387" i="14"/>
  <c r="D387" i="14"/>
  <c r="G387" i="14" s="1"/>
  <c r="E387" i="14"/>
  <c r="F387" i="14"/>
  <c r="J387" i="14"/>
  <c r="L387" i="14"/>
  <c r="M387" i="14"/>
  <c r="N387" i="14"/>
  <c r="B388" i="14"/>
  <c r="C388" i="14"/>
  <c r="D388" i="14"/>
  <c r="G388" i="14" s="1"/>
  <c r="E388" i="14"/>
  <c r="F388" i="14"/>
  <c r="J388" i="14"/>
  <c r="L388" i="14"/>
  <c r="M388" i="14"/>
  <c r="N388" i="14"/>
  <c r="B389" i="14"/>
  <c r="P389" i="14" s="1"/>
  <c r="C389" i="14"/>
  <c r="D389" i="14"/>
  <c r="G389" i="14" s="1"/>
  <c r="E389" i="14"/>
  <c r="F389" i="14"/>
  <c r="J389" i="14"/>
  <c r="L389" i="14"/>
  <c r="M389" i="14"/>
  <c r="N389" i="14"/>
  <c r="B390" i="14"/>
  <c r="P390" i="14" s="1"/>
  <c r="C390" i="14"/>
  <c r="D390" i="14"/>
  <c r="E390" i="14"/>
  <c r="F390" i="14"/>
  <c r="J390" i="14"/>
  <c r="L390" i="14"/>
  <c r="M390" i="14"/>
  <c r="N390" i="14"/>
  <c r="B391" i="14"/>
  <c r="P391" i="14" s="1"/>
  <c r="C391" i="14"/>
  <c r="D391" i="14"/>
  <c r="G391" i="14" s="1"/>
  <c r="E391" i="14"/>
  <c r="F391" i="14"/>
  <c r="J391" i="14"/>
  <c r="L391" i="14"/>
  <c r="M391" i="14"/>
  <c r="N391" i="14"/>
  <c r="B392" i="14"/>
  <c r="C392" i="14"/>
  <c r="D392" i="14"/>
  <c r="G392" i="14" s="1"/>
  <c r="E392" i="14"/>
  <c r="F392" i="14"/>
  <c r="J392" i="14"/>
  <c r="L392" i="14"/>
  <c r="M392" i="14"/>
  <c r="N392" i="14"/>
  <c r="B393" i="14"/>
  <c r="C393" i="14"/>
  <c r="D393" i="14"/>
  <c r="E393" i="14"/>
  <c r="F393" i="14"/>
  <c r="J393" i="14"/>
  <c r="L393" i="14"/>
  <c r="M393" i="14"/>
  <c r="N393" i="14"/>
  <c r="B394" i="14"/>
  <c r="P394" i="14" s="1"/>
  <c r="C394" i="14"/>
  <c r="D394" i="14"/>
  <c r="E394" i="14"/>
  <c r="F394" i="14"/>
  <c r="J394" i="14"/>
  <c r="L394" i="14"/>
  <c r="M394" i="14"/>
  <c r="N394" i="14"/>
  <c r="B395" i="14"/>
  <c r="P395" i="14" s="1"/>
  <c r="C395" i="14"/>
  <c r="D395" i="14"/>
  <c r="G395" i="14" s="1"/>
  <c r="E395" i="14"/>
  <c r="F395" i="14"/>
  <c r="J395" i="14"/>
  <c r="L395" i="14"/>
  <c r="M395" i="14"/>
  <c r="N395" i="14"/>
  <c r="B396" i="14"/>
  <c r="C396" i="14"/>
  <c r="D396" i="14"/>
  <c r="G396" i="14" s="1"/>
  <c r="E396" i="14"/>
  <c r="F396" i="14"/>
  <c r="J396" i="14"/>
  <c r="L396" i="14"/>
  <c r="M396" i="14"/>
  <c r="N396" i="14"/>
  <c r="B397" i="14"/>
  <c r="C397" i="14"/>
  <c r="D397" i="14"/>
  <c r="E397" i="14"/>
  <c r="F397" i="14"/>
  <c r="G397" i="14"/>
  <c r="J397" i="14"/>
  <c r="L397" i="14"/>
  <c r="M397" i="14"/>
  <c r="N397" i="14"/>
  <c r="B398" i="14"/>
  <c r="P398" i="14" s="1"/>
  <c r="C398" i="14"/>
  <c r="D398" i="14"/>
  <c r="E398" i="14"/>
  <c r="F398" i="14"/>
  <c r="J398" i="14"/>
  <c r="L398" i="14"/>
  <c r="M398" i="14"/>
  <c r="N398" i="14"/>
  <c r="B399" i="14"/>
  <c r="P399" i="14" s="1"/>
  <c r="C399" i="14"/>
  <c r="D399" i="14"/>
  <c r="G399" i="14" s="1"/>
  <c r="E399" i="14"/>
  <c r="F399" i="14"/>
  <c r="J399" i="14"/>
  <c r="L399" i="14"/>
  <c r="M399" i="14"/>
  <c r="N399" i="14"/>
  <c r="B400" i="14"/>
  <c r="P400" i="14" s="1"/>
  <c r="C400" i="14"/>
  <c r="D400" i="14"/>
  <c r="E400" i="14"/>
  <c r="F400" i="14"/>
  <c r="G400" i="14"/>
  <c r="J400" i="14"/>
  <c r="L400" i="14"/>
  <c r="M400" i="14"/>
  <c r="N400" i="14"/>
  <c r="B401" i="14"/>
  <c r="C401" i="14"/>
  <c r="D401" i="14"/>
  <c r="G401" i="14" s="1"/>
  <c r="E401" i="14"/>
  <c r="F401" i="14"/>
  <c r="J401" i="14"/>
  <c r="L401" i="14"/>
  <c r="M401" i="14"/>
  <c r="N401" i="14"/>
  <c r="B402" i="14"/>
  <c r="P402" i="14" s="1"/>
  <c r="C402" i="14"/>
  <c r="D402" i="14"/>
  <c r="G402" i="14" s="1"/>
  <c r="E402" i="14"/>
  <c r="F402" i="14"/>
  <c r="J402" i="14"/>
  <c r="L402" i="14"/>
  <c r="M402" i="14"/>
  <c r="N402" i="14"/>
  <c r="B403" i="14"/>
  <c r="P403" i="14" s="1"/>
  <c r="C403" i="14"/>
  <c r="D403" i="14"/>
  <c r="G403" i="14" s="1"/>
  <c r="E403" i="14"/>
  <c r="F403" i="14"/>
  <c r="J403" i="14"/>
  <c r="L403" i="14"/>
  <c r="M403" i="14"/>
  <c r="N403" i="14"/>
  <c r="B404" i="14"/>
  <c r="P404" i="14" s="1"/>
  <c r="C404" i="14"/>
  <c r="D404" i="14"/>
  <c r="G404" i="14" s="1"/>
  <c r="E404" i="14"/>
  <c r="F404" i="14"/>
  <c r="J404" i="14"/>
  <c r="L404" i="14"/>
  <c r="M404" i="14"/>
  <c r="N404" i="14"/>
  <c r="B405" i="14"/>
  <c r="C405" i="14"/>
  <c r="D405" i="14"/>
  <c r="G405" i="14" s="1"/>
  <c r="E405" i="14"/>
  <c r="F405" i="14"/>
  <c r="J405" i="14"/>
  <c r="L405" i="14"/>
  <c r="M405" i="14"/>
  <c r="N405" i="14"/>
  <c r="B406" i="14"/>
  <c r="P406" i="14" s="1"/>
  <c r="C406" i="14"/>
  <c r="D406" i="14"/>
  <c r="E406" i="14"/>
  <c r="F406" i="14"/>
  <c r="J406" i="14"/>
  <c r="L406" i="14"/>
  <c r="M406" i="14"/>
  <c r="N406" i="14"/>
  <c r="B407" i="14"/>
  <c r="P407" i="14" s="1"/>
  <c r="C407" i="14"/>
  <c r="D407" i="14"/>
  <c r="E407" i="14"/>
  <c r="F407" i="14"/>
  <c r="J407" i="14"/>
  <c r="L407" i="14"/>
  <c r="M407" i="14"/>
  <c r="N407" i="14"/>
  <c r="B408" i="14"/>
  <c r="P408" i="14" s="1"/>
  <c r="C408" i="14"/>
  <c r="D408" i="14"/>
  <c r="G408" i="14" s="1"/>
  <c r="E408" i="14"/>
  <c r="F408" i="14"/>
  <c r="J408" i="14"/>
  <c r="L408" i="14"/>
  <c r="M408" i="14"/>
  <c r="N408" i="14"/>
  <c r="B409" i="14"/>
  <c r="P409" i="14" s="1"/>
  <c r="C409" i="14"/>
  <c r="D409" i="14"/>
  <c r="G409" i="14" s="1"/>
  <c r="E409" i="14"/>
  <c r="F409" i="14"/>
  <c r="J409" i="14"/>
  <c r="L409" i="14"/>
  <c r="M409" i="14"/>
  <c r="N409" i="14"/>
  <c r="B410" i="14"/>
  <c r="P410" i="14" s="1"/>
  <c r="C410" i="14"/>
  <c r="D410" i="14"/>
  <c r="G410" i="14" s="1"/>
  <c r="E410" i="14"/>
  <c r="F410" i="14"/>
  <c r="J410" i="14"/>
  <c r="L410" i="14"/>
  <c r="M410" i="14"/>
  <c r="N410" i="14"/>
  <c r="B411" i="14"/>
  <c r="C411" i="14"/>
  <c r="D411" i="14"/>
  <c r="E411" i="14"/>
  <c r="F411" i="14"/>
  <c r="J411" i="14"/>
  <c r="L411" i="14"/>
  <c r="M411" i="14"/>
  <c r="N411" i="14"/>
  <c r="B412" i="14"/>
  <c r="P412" i="14" s="1"/>
  <c r="C412" i="14"/>
  <c r="D412" i="14"/>
  <c r="G412" i="14" s="1"/>
  <c r="E412" i="14"/>
  <c r="F412" i="14"/>
  <c r="J412" i="14"/>
  <c r="L412" i="14"/>
  <c r="M412" i="14"/>
  <c r="N412" i="14"/>
  <c r="B413" i="14"/>
  <c r="P413" i="14" s="1"/>
  <c r="C413" i="14"/>
  <c r="D413" i="14"/>
  <c r="G413" i="14" s="1"/>
  <c r="E413" i="14"/>
  <c r="F413" i="14"/>
  <c r="J413" i="14"/>
  <c r="L413" i="14"/>
  <c r="M413" i="14"/>
  <c r="N413" i="14"/>
  <c r="B414" i="14"/>
  <c r="P414" i="14" s="1"/>
  <c r="C414" i="14"/>
  <c r="D414" i="14"/>
  <c r="E414" i="14"/>
  <c r="F414" i="14"/>
  <c r="J414" i="14"/>
  <c r="L414" i="14"/>
  <c r="M414" i="14"/>
  <c r="N414" i="14"/>
  <c r="O414" i="14"/>
  <c r="B415" i="14"/>
  <c r="P415" i="14" s="1"/>
  <c r="C415" i="14"/>
  <c r="D415" i="14"/>
  <c r="E415" i="14"/>
  <c r="F415" i="14"/>
  <c r="J415" i="14"/>
  <c r="L415" i="14"/>
  <c r="M415" i="14"/>
  <c r="N415" i="14"/>
  <c r="O415" i="14"/>
  <c r="B416" i="14"/>
  <c r="P416" i="14" s="1"/>
  <c r="C416" i="14"/>
  <c r="D416" i="14"/>
  <c r="G416" i="14" s="1"/>
  <c r="E416" i="14"/>
  <c r="F416" i="14"/>
  <c r="J416" i="14"/>
  <c r="L416" i="14"/>
  <c r="M416" i="14"/>
  <c r="N416" i="14"/>
  <c r="O416" i="14"/>
  <c r="B417" i="14"/>
  <c r="P417" i="14" s="1"/>
  <c r="C417" i="14"/>
  <c r="D417" i="14"/>
  <c r="G417" i="14" s="1"/>
  <c r="E417" i="14"/>
  <c r="F417" i="14"/>
  <c r="J417" i="14"/>
  <c r="L417" i="14"/>
  <c r="M417" i="14"/>
  <c r="N417" i="14"/>
  <c r="O417" i="14"/>
  <c r="B418" i="14"/>
  <c r="P418" i="14" s="1"/>
  <c r="C418" i="14"/>
  <c r="D418" i="14"/>
  <c r="G418" i="14" s="1"/>
  <c r="E418" i="14"/>
  <c r="F418" i="14"/>
  <c r="J418" i="14"/>
  <c r="L418" i="14"/>
  <c r="M418" i="14"/>
  <c r="N418" i="14"/>
  <c r="O418" i="14"/>
  <c r="B419" i="14"/>
  <c r="P419" i="14" s="1"/>
  <c r="C419" i="14"/>
  <c r="D419" i="14"/>
  <c r="E419" i="14"/>
  <c r="F419" i="14"/>
  <c r="J419" i="14"/>
  <c r="L419" i="14"/>
  <c r="M419" i="14"/>
  <c r="N419" i="14"/>
  <c r="O419" i="14"/>
  <c r="B420" i="14"/>
  <c r="P420" i="14" s="1"/>
  <c r="C420" i="14"/>
  <c r="D420" i="14"/>
  <c r="G420" i="14" s="1"/>
  <c r="E420" i="14"/>
  <c r="F420" i="14"/>
  <c r="J420" i="14"/>
  <c r="L420" i="14"/>
  <c r="M420" i="14"/>
  <c r="N420" i="14"/>
  <c r="O420" i="14"/>
  <c r="H142" i="9"/>
  <c r="G142" i="9"/>
  <c r="F144" i="17" s="1"/>
  <c r="F142" i="9"/>
  <c r="E144" i="17" s="1"/>
  <c r="E142" i="9"/>
  <c r="D144" i="17" s="1"/>
  <c r="D142" i="9"/>
  <c r="C144" i="17" s="1"/>
  <c r="C142" i="9"/>
  <c r="AG143" i="20"/>
  <c r="AI143" i="20"/>
  <c r="L143" i="20"/>
  <c r="B143" i="20"/>
  <c r="B142" i="9" s="1"/>
  <c r="A144" i="17" s="1"/>
  <c r="U143" i="20"/>
  <c r="AD143" i="20"/>
  <c r="R7" i="14" l="1"/>
  <c r="R376" i="14"/>
  <c r="R393" i="14"/>
  <c r="R314" i="14"/>
  <c r="R184" i="14"/>
  <c r="R124" i="14"/>
  <c r="R274" i="14"/>
  <c r="R225" i="14"/>
  <c r="R336" i="14"/>
  <c r="Q143" i="20"/>
  <c r="A144" i="14"/>
  <c r="B144" i="17"/>
  <c r="R286" i="14"/>
  <c r="I143" i="20"/>
  <c r="K144" i="14"/>
  <c r="AK143" i="20"/>
  <c r="AJ143" i="20" s="1"/>
  <c r="AJ142" i="9" s="1"/>
  <c r="R144" i="17"/>
  <c r="P284" i="14"/>
  <c r="P153" i="14"/>
  <c r="P150" i="14"/>
  <c r="R282" i="14"/>
  <c r="R266" i="14"/>
  <c r="R258" i="14"/>
  <c r="R195" i="14"/>
  <c r="R270" i="14"/>
  <c r="P237" i="14"/>
  <c r="R214" i="14"/>
  <c r="P162" i="14"/>
  <c r="R175" i="14"/>
  <c r="R59" i="14"/>
  <c r="R104" i="14"/>
  <c r="R191" i="14"/>
  <c r="R159" i="14"/>
  <c r="R125" i="14"/>
  <c r="R112" i="14"/>
  <c r="R107" i="14"/>
  <c r="R97" i="14"/>
  <c r="P56" i="14"/>
  <c r="V56" i="14" s="1"/>
  <c r="R172" i="14"/>
  <c r="R168" i="14"/>
  <c r="R162" i="14"/>
  <c r="R143" i="14"/>
  <c r="P118" i="14"/>
  <c r="V118" i="14" s="1"/>
  <c r="R18" i="14"/>
  <c r="R17" i="14"/>
  <c r="R35" i="14"/>
  <c r="G144" i="17"/>
  <c r="X145" i="14"/>
  <c r="W145" i="14"/>
  <c r="G144" i="14"/>
  <c r="R144" i="14"/>
  <c r="P138" i="14"/>
  <c r="V138" i="14" s="1"/>
  <c r="R417" i="14"/>
  <c r="R383" i="14"/>
  <c r="P357" i="14"/>
  <c r="P337" i="14"/>
  <c r="R315" i="14"/>
  <c r="P308" i="14"/>
  <c r="R300" i="14"/>
  <c r="R298" i="14"/>
  <c r="R287" i="14"/>
  <c r="G206" i="14"/>
  <c r="R206" i="14"/>
  <c r="P95" i="14"/>
  <c r="V95" i="14" s="1"/>
  <c r="P62" i="14"/>
  <c r="V62" i="14" s="1"/>
  <c r="P55" i="14"/>
  <c r="V55" i="14" s="1"/>
  <c r="P147" i="14"/>
  <c r="G53" i="14"/>
  <c r="R53" i="14"/>
  <c r="R413" i="14"/>
  <c r="R368" i="14"/>
  <c r="R339" i="14"/>
  <c r="R335" i="14"/>
  <c r="R334" i="14"/>
  <c r="R332" i="14"/>
  <c r="R312" i="14"/>
  <c r="R310" i="14"/>
  <c r="R307" i="14"/>
  <c r="R295" i="14"/>
  <c r="R278" i="14"/>
  <c r="R262" i="14"/>
  <c r="R254" i="14"/>
  <c r="P244" i="14"/>
  <c r="P236" i="14"/>
  <c r="P212" i="14"/>
  <c r="P178" i="14"/>
  <c r="P165" i="14"/>
  <c r="P146" i="14"/>
  <c r="P119" i="14"/>
  <c r="V119" i="14" s="1"/>
  <c r="P78" i="14"/>
  <c r="V78" i="14" s="1"/>
  <c r="P248" i="14"/>
  <c r="P240" i="14"/>
  <c r="P228" i="14"/>
  <c r="R414" i="14"/>
  <c r="R409" i="14"/>
  <c r="R405" i="14"/>
  <c r="R347" i="14"/>
  <c r="R420" i="14"/>
  <c r="P411" i="14"/>
  <c r="R407" i="14"/>
  <c r="R372" i="14"/>
  <c r="R352" i="14"/>
  <c r="R351" i="14"/>
  <c r="R291" i="14"/>
  <c r="P285" i="14"/>
  <c r="P269" i="14"/>
  <c r="R259" i="14"/>
  <c r="R255" i="14"/>
  <c r="P245" i="14"/>
  <c r="P232" i="14"/>
  <c r="P208" i="14"/>
  <c r="P197" i="14"/>
  <c r="P183" i="14"/>
  <c r="P94" i="14"/>
  <c r="V94" i="14" s="1"/>
  <c r="P74" i="14"/>
  <c r="V74" i="14" s="1"/>
  <c r="R73" i="14"/>
  <c r="P66" i="14"/>
  <c r="V66" i="14" s="1"/>
  <c r="R226" i="14"/>
  <c r="R221" i="14"/>
  <c r="R202" i="14"/>
  <c r="R152" i="14"/>
  <c r="R136" i="14"/>
  <c r="R114" i="14"/>
  <c r="R100" i="14"/>
  <c r="R92" i="14"/>
  <c r="R250" i="14"/>
  <c r="R247" i="14"/>
  <c r="R243" i="14"/>
  <c r="R239" i="14"/>
  <c r="R235" i="14"/>
  <c r="R231" i="14"/>
  <c r="R222" i="14"/>
  <c r="R217" i="14"/>
  <c r="R207" i="14"/>
  <c r="R203" i="14"/>
  <c r="R196" i="14"/>
  <c r="R187" i="14"/>
  <c r="R167" i="14"/>
  <c r="R164" i="14"/>
  <c r="R160" i="14"/>
  <c r="R155" i="14"/>
  <c r="R146" i="14"/>
  <c r="R116" i="14"/>
  <c r="R108" i="14"/>
  <c r="R101" i="14"/>
  <c r="R93" i="14"/>
  <c r="P10" i="14"/>
  <c r="V10" i="14" s="1"/>
  <c r="R246" i="14"/>
  <c r="R242" i="14"/>
  <c r="R238" i="14"/>
  <c r="R234" i="14"/>
  <c r="R230" i="14"/>
  <c r="R218" i="14"/>
  <c r="R213" i="14"/>
  <c r="R204" i="14"/>
  <c r="R200" i="14"/>
  <c r="R150" i="14"/>
  <c r="R120" i="14"/>
  <c r="R118" i="14"/>
  <c r="R110" i="14"/>
  <c r="R96" i="14"/>
  <c r="R72" i="14"/>
  <c r="R65" i="14"/>
  <c r="G37" i="14"/>
  <c r="R37" i="14"/>
  <c r="P30" i="14"/>
  <c r="V30" i="14" s="1"/>
  <c r="G19" i="14"/>
  <c r="R19" i="14"/>
  <c r="P9" i="14"/>
  <c r="V9" i="14" s="1"/>
  <c r="R49" i="14"/>
  <c r="R14" i="14"/>
  <c r="R13" i="14"/>
  <c r="R29" i="14"/>
  <c r="R15" i="14"/>
  <c r="R10" i="14"/>
  <c r="R9" i="14"/>
  <c r="R61" i="14"/>
  <c r="R54" i="14"/>
  <c r="R50" i="14"/>
  <c r="R41" i="14"/>
  <c r="R33" i="14"/>
  <c r="R24" i="14"/>
  <c r="R22" i="14"/>
  <c r="R21" i="14"/>
  <c r="R11" i="14"/>
  <c r="R6" i="14"/>
  <c r="R5" i="14"/>
  <c r="P387" i="14"/>
  <c r="G364" i="14"/>
  <c r="R364" i="14"/>
  <c r="G348" i="14"/>
  <c r="R348" i="14"/>
  <c r="P324" i="14"/>
  <c r="R323" i="14"/>
  <c r="G306" i="14"/>
  <c r="R306" i="14"/>
  <c r="R419" i="14"/>
  <c r="R416" i="14"/>
  <c r="G414" i="14"/>
  <c r="R410" i="14"/>
  <c r="R406" i="14"/>
  <c r="G406" i="14"/>
  <c r="P375" i="14"/>
  <c r="P371" i="14"/>
  <c r="P367" i="14"/>
  <c r="G350" i="14"/>
  <c r="R350" i="14"/>
  <c r="P333" i="14"/>
  <c r="R412" i="14"/>
  <c r="P401" i="14"/>
  <c r="R400" i="14"/>
  <c r="P397" i="14"/>
  <c r="R396" i="14"/>
  <c r="R392" i="14"/>
  <c r="R380" i="14"/>
  <c r="R415" i="14"/>
  <c r="R418" i="14"/>
  <c r="R411" i="14"/>
  <c r="R395" i="14"/>
  <c r="P393" i="14"/>
  <c r="R387" i="14"/>
  <c r="P381" i="14"/>
  <c r="R379" i="14"/>
  <c r="P361" i="14"/>
  <c r="R355" i="14"/>
  <c r="P345" i="14"/>
  <c r="P328" i="14"/>
  <c r="P321" i="14"/>
  <c r="R302" i="14"/>
  <c r="P166" i="14"/>
  <c r="R391" i="14"/>
  <c r="R388" i="14"/>
  <c r="R384" i="14"/>
  <c r="R375" i="14"/>
  <c r="R371" i="14"/>
  <c r="R367" i="14"/>
  <c r="R359" i="14"/>
  <c r="R338" i="14"/>
  <c r="R320" i="14"/>
  <c r="R318" i="14"/>
  <c r="P312" i="14"/>
  <c r="R311" i="14"/>
  <c r="R303" i="14"/>
  <c r="R301" i="14"/>
  <c r="P300" i="14"/>
  <c r="R299" i="14"/>
  <c r="R294" i="14"/>
  <c r="R283" i="14"/>
  <c r="R275" i="14"/>
  <c r="R252" i="14"/>
  <c r="R199" i="14"/>
  <c r="G195" i="14"/>
  <c r="P191" i="14"/>
  <c r="R173" i="14"/>
  <c r="R170" i="14"/>
  <c r="P167" i="14"/>
  <c r="G135" i="14"/>
  <c r="R135" i="14"/>
  <c r="R326" i="14"/>
  <c r="R319" i="14"/>
  <c r="R267" i="14"/>
  <c r="R251" i="14"/>
  <c r="R249" i="14"/>
  <c r="R211" i="14"/>
  <c r="P199" i="14"/>
  <c r="R165" i="14"/>
  <c r="G165" i="14"/>
  <c r="P161" i="14"/>
  <c r="P140" i="14"/>
  <c r="V140" i="14" s="1"/>
  <c r="R408" i="14"/>
  <c r="R404" i="14"/>
  <c r="R385" i="14"/>
  <c r="P377" i="14"/>
  <c r="R377" i="14"/>
  <c r="P373" i="14"/>
  <c r="R373" i="14"/>
  <c r="P369" i="14"/>
  <c r="R369" i="14"/>
  <c r="P365" i="14"/>
  <c r="R365" i="14"/>
  <c r="P356" i="14"/>
  <c r="R356" i="14"/>
  <c r="R354" i="14"/>
  <c r="R343" i="14"/>
  <c r="R331" i="14"/>
  <c r="R327" i="14"/>
  <c r="R322" i="14"/>
  <c r="R292" i="14"/>
  <c r="R290" i="14"/>
  <c r="P288" i="14"/>
  <c r="R279" i="14"/>
  <c r="R271" i="14"/>
  <c r="R261" i="14"/>
  <c r="R257" i="14"/>
  <c r="R248" i="14"/>
  <c r="R245" i="14"/>
  <c r="R244" i="14"/>
  <c r="R241" i="14"/>
  <c r="R240" i="14"/>
  <c r="R237" i="14"/>
  <c r="R236" i="14"/>
  <c r="R233" i="14"/>
  <c r="R232" i="14"/>
  <c r="R229" i="14"/>
  <c r="R228" i="14"/>
  <c r="R224" i="14"/>
  <c r="R220" i="14"/>
  <c r="R216" i="14"/>
  <c r="R212" i="14"/>
  <c r="R210" i="14"/>
  <c r="R209" i="14"/>
  <c r="R208" i="14"/>
  <c r="R205" i="14"/>
  <c r="P190" i="14"/>
  <c r="R188" i="14"/>
  <c r="R176" i="14"/>
  <c r="R156" i="14"/>
  <c r="P149" i="14"/>
  <c r="R140" i="14"/>
  <c r="R174" i="14"/>
  <c r="R169" i="14"/>
  <c r="R158" i="14"/>
  <c r="R138" i="14"/>
  <c r="P129" i="14"/>
  <c r="V129" i="14" s="1"/>
  <c r="P103" i="14"/>
  <c r="V103" i="14" s="1"/>
  <c r="P82" i="14"/>
  <c r="V82" i="14" s="1"/>
  <c r="R227" i="14"/>
  <c r="R223" i="14"/>
  <c r="R219" i="14"/>
  <c r="R215" i="14"/>
  <c r="R192" i="14"/>
  <c r="R183" i="14"/>
  <c r="R180" i="14"/>
  <c r="R179" i="14"/>
  <c r="R171" i="14"/>
  <c r="R166" i="14"/>
  <c r="R161" i="14"/>
  <c r="R153" i="14"/>
  <c r="R149" i="14"/>
  <c r="G149" i="14"/>
  <c r="R148" i="14"/>
  <c r="R142" i="14"/>
  <c r="R141" i="14"/>
  <c r="R139" i="14"/>
  <c r="R133" i="14"/>
  <c r="R131" i="14"/>
  <c r="P90" i="14"/>
  <c r="V90" i="14" s="1"/>
  <c r="P70" i="14"/>
  <c r="V70" i="14" s="1"/>
  <c r="P63" i="14"/>
  <c r="V63" i="14" s="1"/>
  <c r="R163" i="14"/>
  <c r="R157" i="14"/>
  <c r="P155" i="14"/>
  <c r="R147" i="14"/>
  <c r="P130" i="14"/>
  <c r="V130" i="14" s="1"/>
  <c r="P102" i="14"/>
  <c r="V102" i="14" s="1"/>
  <c r="P68" i="14"/>
  <c r="V68" i="14" s="1"/>
  <c r="R127" i="14"/>
  <c r="P105" i="14"/>
  <c r="V105" i="14" s="1"/>
  <c r="P91" i="14"/>
  <c r="V91" i="14" s="1"/>
  <c r="P79" i="14"/>
  <c r="V79" i="14" s="1"/>
  <c r="R121" i="14"/>
  <c r="R115" i="14"/>
  <c r="R111" i="14"/>
  <c r="R105" i="14"/>
  <c r="R99" i="14"/>
  <c r="R98" i="14"/>
  <c r="R95" i="14"/>
  <c r="R94" i="14"/>
  <c r="R77" i="14"/>
  <c r="R76" i="14"/>
  <c r="R60" i="14"/>
  <c r="R56" i="14"/>
  <c r="R52" i="14"/>
  <c r="R48" i="14"/>
  <c r="R44" i="14"/>
  <c r="R32" i="14"/>
  <c r="R28" i="14"/>
  <c r="R20" i="14"/>
  <c r="R16" i="14"/>
  <c r="R12" i="14"/>
  <c r="R8" i="14"/>
  <c r="R134" i="14"/>
  <c r="R132" i="14"/>
  <c r="P117" i="14"/>
  <c r="V117" i="14" s="1"/>
  <c r="R117" i="14"/>
  <c r="P113" i="14"/>
  <c r="V113" i="14" s="1"/>
  <c r="R113" i="14"/>
  <c r="P109" i="14"/>
  <c r="V109" i="14" s="1"/>
  <c r="R109" i="14"/>
  <c r="R106" i="14"/>
  <c r="R103" i="14"/>
  <c r="R87" i="14"/>
  <c r="R85" i="14"/>
  <c r="R84" i="14"/>
  <c r="R70" i="14"/>
  <c r="R68" i="14"/>
  <c r="R57" i="14"/>
  <c r="R46" i="14"/>
  <c r="P43" i="14"/>
  <c r="V43" i="14" s="1"/>
  <c r="R43" i="14"/>
  <c r="R42" i="14"/>
  <c r="R40" i="14"/>
  <c r="P31" i="14"/>
  <c r="V31" i="14" s="1"/>
  <c r="R31" i="14"/>
  <c r="R154" i="14"/>
  <c r="R151" i="14"/>
  <c r="R145" i="14"/>
  <c r="R137" i="14"/>
  <c r="G134" i="14"/>
  <c r="R128" i="14"/>
  <c r="R123" i="14"/>
  <c r="R119" i="14"/>
  <c r="G117" i="14"/>
  <c r="G113" i="14"/>
  <c r="G109" i="14"/>
  <c r="R102" i="14"/>
  <c r="R89" i="14"/>
  <c r="P83" i="14"/>
  <c r="V83" i="14" s="1"/>
  <c r="R81" i="14"/>
  <c r="R80" i="14"/>
  <c r="R69" i="14"/>
  <c r="P67" i="14"/>
  <c r="V67" i="14" s="1"/>
  <c r="R66" i="14"/>
  <c r="R64" i="14"/>
  <c r="R62" i="14"/>
  <c r="R45" i="14"/>
  <c r="P39" i="14"/>
  <c r="V39" i="14" s="1"/>
  <c r="R38" i="14"/>
  <c r="R36" i="14"/>
  <c r="R25" i="14"/>
  <c r="R403" i="14"/>
  <c r="R401" i="14"/>
  <c r="R394" i="14"/>
  <c r="G394" i="14"/>
  <c r="P392" i="14"/>
  <c r="R386" i="14"/>
  <c r="G386" i="14"/>
  <c r="P384" i="14"/>
  <c r="R378" i="14"/>
  <c r="G378" i="14"/>
  <c r="R374" i="14"/>
  <c r="G374" i="14"/>
  <c r="R370" i="14"/>
  <c r="G370" i="14"/>
  <c r="R366" i="14"/>
  <c r="G366" i="14"/>
  <c r="G362" i="14"/>
  <c r="R362" i="14"/>
  <c r="R344" i="14"/>
  <c r="G344" i="14"/>
  <c r="R340" i="14"/>
  <c r="P338" i="14"/>
  <c r="P336" i="14"/>
  <c r="R321" i="14"/>
  <c r="G321" i="14"/>
  <c r="R313" i="14"/>
  <c r="G313" i="14"/>
  <c r="P298" i="14"/>
  <c r="P290" i="14"/>
  <c r="R360" i="14"/>
  <c r="G360" i="14"/>
  <c r="P354" i="14"/>
  <c r="P352" i="14"/>
  <c r="P327" i="14"/>
  <c r="P319" i="14"/>
  <c r="P311" i="14"/>
  <c r="R293" i="14"/>
  <c r="G293" i="14"/>
  <c r="R285" i="14"/>
  <c r="G285" i="14"/>
  <c r="R277" i="14"/>
  <c r="G277" i="14"/>
  <c r="R269" i="14"/>
  <c r="G269" i="14"/>
  <c r="R260" i="14"/>
  <c r="G260" i="14"/>
  <c r="R256" i="14"/>
  <c r="G256" i="14"/>
  <c r="G419" i="14"/>
  <c r="G415" i="14"/>
  <c r="G411" i="14"/>
  <c r="G407" i="14"/>
  <c r="P405" i="14"/>
  <c r="R398" i="14"/>
  <c r="P396" i="14"/>
  <c r="G393" i="14"/>
  <c r="R390" i="14"/>
  <c r="G390" i="14"/>
  <c r="P388" i="14"/>
  <c r="G385" i="14"/>
  <c r="R382" i="14"/>
  <c r="G382" i="14"/>
  <c r="P380" i="14"/>
  <c r="R363" i="14"/>
  <c r="P343" i="14"/>
  <c r="R337" i="14"/>
  <c r="G337" i="14"/>
  <c r="G330" i="14"/>
  <c r="R330" i="14"/>
  <c r="P299" i="14"/>
  <c r="P291" i="14"/>
  <c r="R263" i="14"/>
  <c r="R402" i="14"/>
  <c r="R399" i="14"/>
  <c r="G398" i="14"/>
  <c r="R397" i="14"/>
  <c r="R389" i="14"/>
  <c r="R381" i="14"/>
  <c r="P376" i="14"/>
  <c r="P372" i="14"/>
  <c r="P368" i="14"/>
  <c r="P359" i="14"/>
  <c r="R353" i="14"/>
  <c r="G353" i="14"/>
  <c r="G346" i="14"/>
  <c r="R346" i="14"/>
  <c r="R328" i="14"/>
  <c r="G328" i="14"/>
  <c r="P326" i="14"/>
  <c r="P318" i="14"/>
  <c r="P310" i="14"/>
  <c r="R281" i="14"/>
  <c r="G281" i="14"/>
  <c r="R273" i="14"/>
  <c r="G273" i="14"/>
  <c r="R265" i="14"/>
  <c r="G265" i="14"/>
  <c r="P364" i="14"/>
  <c r="R357" i="14"/>
  <c r="P348" i="14"/>
  <c r="R341" i="14"/>
  <c r="P332" i="14"/>
  <c r="R305" i="14"/>
  <c r="P303" i="14"/>
  <c r="P283" i="14"/>
  <c r="P279" i="14"/>
  <c r="P275" i="14"/>
  <c r="P271" i="14"/>
  <c r="P267" i="14"/>
  <c r="P263" i="14"/>
  <c r="R361" i="14"/>
  <c r="R358" i="14"/>
  <c r="G357" i="14"/>
  <c r="R345" i="14"/>
  <c r="R342" i="14"/>
  <c r="G341" i="14"/>
  <c r="R329" i="14"/>
  <c r="R325" i="14"/>
  <c r="G325" i="14"/>
  <c r="P323" i="14"/>
  <c r="G320" i="14"/>
  <c r="R317" i="14"/>
  <c r="G317" i="14"/>
  <c r="P315" i="14"/>
  <c r="G312" i="14"/>
  <c r="R309" i="14"/>
  <c r="G309" i="14"/>
  <c r="P307" i="14"/>
  <c r="R304" i="14"/>
  <c r="G300" i="14"/>
  <c r="R297" i="14"/>
  <c r="G297" i="14"/>
  <c r="P295" i="14"/>
  <c r="G292" i="14"/>
  <c r="R289" i="14"/>
  <c r="G289" i="14"/>
  <c r="P287" i="14"/>
  <c r="R284" i="14"/>
  <c r="R280" i="14"/>
  <c r="R276" i="14"/>
  <c r="R272" i="14"/>
  <c r="R268" i="14"/>
  <c r="R264" i="14"/>
  <c r="P258" i="14"/>
  <c r="P254" i="14"/>
  <c r="R349" i="14"/>
  <c r="R333" i="14"/>
  <c r="R324" i="14"/>
  <c r="R316" i="14"/>
  <c r="R308" i="14"/>
  <c r="R296" i="14"/>
  <c r="R288" i="14"/>
  <c r="R253" i="14"/>
  <c r="R201" i="14"/>
  <c r="R198" i="14"/>
  <c r="R182" i="14"/>
  <c r="G182" i="14"/>
  <c r="P180" i="14"/>
  <c r="R177" i="14"/>
  <c r="G252" i="14"/>
  <c r="G244" i="14"/>
  <c r="G240" i="14"/>
  <c r="G236" i="14"/>
  <c r="G232" i="14"/>
  <c r="G228" i="14"/>
  <c r="G224" i="14"/>
  <c r="G220" i="14"/>
  <c r="G216" i="14"/>
  <c r="G212" i="14"/>
  <c r="G208" i="14"/>
  <c r="R194" i="14"/>
  <c r="G194" i="14"/>
  <c r="R190" i="14"/>
  <c r="G190" i="14"/>
  <c r="R186" i="14"/>
  <c r="G186" i="14"/>
  <c r="G261" i="14"/>
  <c r="G257" i="14"/>
  <c r="G253" i="14"/>
  <c r="G245" i="14"/>
  <c r="G241" i="14"/>
  <c r="G237" i="14"/>
  <c r="G233" i="14"/>
  <c r="G229" i="14"/>
  <c r="G225" i="14"/>
  <c r="G221" i="14"/>
  <c r="G217" i="14"/>
  <c r="G213" i="14"/>
  <c r="G209" i="14"/>
  <c r="G205" i="14"/>
  <c r="P200" i="14"/>
  <c r="P196" i="14"/>
  <c r="P192" i="14"/>
  <c r="P188" i="14"/>
  <c r="P184" i="14"/>
  <c r="R181" i="14"/>
  <c r="R178" i="14"/>
  <c r="G178" i="14"/>
  <c r="R197" i="14"/>
  <c r="R193" i="14"/>
  <c r="R189" i="14"/>
  <c r="R185" i="14"/>
  <c r="P139" i="14"/>
  <c r="V139" i="14" s="1"/>
  <c r="P132" i="14"/>
  <c r="V132" i="14" s="1"/>
  <c r="G141" i="14"/>
  <c r="P128" i="14"/>
  <c r="V128" i="14" s="1"/>
  <c r="G170" i="14"/>
  <c r="G162" i="14"/>
  <c r="G158" i="14"/>
  <c r="G150" i="14"/>
  <c r="G146" i="14"/>
  <c r="Q144" i="14"/>
  <c r="G142" i="14"/>
  <c r="G133" i="14"/>
  <c r="R130" i="14"/>
  <c r="G130" i="14"/>
  <c r="P124" i="14"/>
  <c r="V124" i="14" s="1"/>
  <c r="P120" i="14"/>
  <c r="V120" i="14" s="1"/>
  <c r="P137" i="14"/>
  <c r="V137" i="14" s="1"/>
  <c r="R129" i="14"/>
  <c r="R126" i="14"/>
  <c r="G126" i="14"/>
  <c r="R122" i="14"/>
  <c r="G122" i="14"/>
  <c r="G114" i="14"/>
  <c r="G110" i="14"/>
  <c r="G106" i="14"/>
  <c r="G102" i="14"/>
  <c r="G98" i="14"/>
  <c r="G94" i="14"/>
  <c r="R90" i="14"/>
  <c r="R86" i="14"/>
  <c r="G83" i="14"/>
  <c r="R83" i="14"/>
  <c r="G79" i="14"/>
  <c r="R79" i="14"/>
  <c r="G75" i="14"/>
  <c r="R75" i="14"/>
  <c r="P73" i="14"/>
  <c r="V73" i="14" s="1"/>
  <c r="P53" i="14"/>
  <c r="V53" i="14" s="1"/>
  <c r="P41" i="14"/>
  <c r="V41" i="14" s="1"/>
  <c r="P33" i="14"/>
  <c r="V33" i="14" s="1"/>
  <c r="P116" i="14"/>
  <c r="V116" i="14" s="1"/>
  <c r="P112" i="14"/>
  <c r="V112" i="14" s="1"/>
  <c r="P108" i="14"/>
  <c r="V108" i="14" s="1"/>
  <c r="P104" i="14"/>
  <c r="V104" i="14" s="1"/>
  <c r="P100" i="14"/>
  <c r="V100" i="14" s="1"/>
  <c r="G99" i="14"/>
  <c r="G95" i="14"/>
  <c r="R91" i="14"/>
  <c r="G90" i="14"/>
  <c r="R88" i="14"/>
  <c r="P85" i="14"/>
  <c r="V85" i="14" s="1"/>
  <c r="P69" i="14"/>
  <c r="V69" i="14" s="1"/>
  <c r="G63" i="14"/>
  <c r="R63" i="14"/>
  <c r="P61" i="14"/>
  <c r="V61" i="14" s="1"/>
  <c r="R58" i="14"/>
  <c r="G55" i="14"/>
  <c r="R55" i="14"/>
  <c r="P49" i="14"/>
  <c r="V49" i="14" s="1"/>
  <c r="P37" i="14"/>
  <c r="V37" i="14" s="1"/>
  <c r="R30" i="14"/>
  <c r="R26" i="14"/>
  <c r="P89" i="14"/>
  <c r="V89" i="14" s="1"/>
  <c r="R82" i="14"/>
  <c r="R78" i="14"/>
  <c r="R74" i="14"/>
  <c r="G71" i="14"/>
  <c r="R71" i="14"/>
  <c r="G51" i="14"/>
  <c r="R51" i="14"/>
  <c r="P45" i="14"/>
  <c r="V45" i="14" s="1"/>
  <c r="G39" i="14"/>
  <c r="R39" i="14"/>
  <c r="R34" i="14"/>
  <c r="P29" i="14"/>
  <c r="V29" i="14" s="1"/>
  <c r="P25" i="14"/>
  <c r="V25" i="14" s="1"/>
  <c r="P81" i="14"/>
  <c r="V81" i="14" s="1"/>
  <c r="P77" i="14"/>
  <c r="V77" i="14" s="1"/>
  <c r="G67" i="14"/>
  <c r="R67" i="14"/>
  <c r="P65" i="14"/>
  <c r="V65" i="14" s="1"/>
  <c r="P57" i="14"/>
  <c r="V57" i="14" s="1"/>
  <c r="G47" i="14"/>
  <c r="R47" i="14"/>
  <c r="G27" i="14"/>
  <c r="R27" i="14"/>
  <c r="G23" i="14"/>
  <c r="R23" i="14"/>
  <c r="G21" i="14"/>
  <c r="G17" i="14"/>
  <c r="G13" i="14"/>
  <c r="G9" i="14"/>
  <c r="G5" i="14"/>
  <c r="S5" i="14" s="1"/>
  <c r="G22" i="14"/>
  <c r="G18" i="14"/>
  <c r="G14" i="14"/>
  <c r="G10" i="14"/>
  <c r="G6" i="14"/>
  <c r="U142" i="9"/>
  <c r="Y142" i="9"/>
  <c r="AG142" i="9"/>
  <c r="M142" i="9"/>
  <c r="Q142" i="9"/>
  <c r="O144" i="17" s="1"/>
  <c r="Z142" i="9"/>
  <c r="AD142" i="9"/>
  <c r="N142" i="9"/>
  <c r="L144" i="17" s="1"/>
  <c r="S142" i="9"/>
  <c r="W142" i="9"/>
  <c r="AA142" i="9"/>
  <c r="AI142" i="9"/>
  <c r="J142" i="9"/>
  <c r="I144" i="17" s="1"/>
  <c r="O142" i="9"/>
  <c r="X142" i="9"/>
  <c r="W143" i="20"/>
  <c r="I142" i="9" l="1"/>
  <c r="H144" i="17" s="1"/>
  <c r="S144" i="17" s="1"/>
  <c r="AK142" i="9"/>
  <c r="U145" i="14"/>
  <c r="P144" i="17"/>
  <c r="Q144" i="17"/>
  <c r="H144" i="14"/>
  <c r="S144" i="14" s="1"/>
  <c r="AE143" i="20"/>
  <c r="AE142" i="9" s="1"/>
  <c r="L142" i="9"/>
  <c r="K144" i="17"/>
  <c r="P142" i="9"/>
  <c r="N144" i="17" s="1"/>
  <c r="M144" i="17"/>
  <c r="AG32" i="8"/>
  <c r="AG33" i="8" s="1"/>
  <c r="AG34" i="8" s="1"/>
  <c r="AG35" i="8" s="1"/>
  <c r="AG36" i="8" s="1"/>
  <c r="AG37" i="8" s="1"/>
  <c r="AG38" i="8" s="1"/>
  <c r="AJ25" i="8"/>
  <c r="AI25" i="8"/>
  <c r="AH24" i="8"/>
  <c r="AH23" i="8"/>
  <c r="AK36" i="8" s="1"/>
  <c r="AH22" i="8"/>
  <c r="AK35" i="8" s="1"/>
  <c r="AH21" i="8"/>
  <c r="AK34" i="8" s="1"/>
  <c r="AH20" i="8"/>
  <c r="AK33" i="8" s="1"/>
  <c r="AH19" i="8"/>
  <c r="AK32" i="8" s="1"/>
  <c r="AH18" i="8"/>
  <c r="AK31" i="8" s="1"/>
  <c r="AG18" i="8"/>
  <c r="AG19" i="8" s="1"/>
  <c r="AG20" i="8" s="1"/>
  <c r="AG21" i="8" s="1"/>
  <c r="AG22" i="8" s="1"/>
  <c r="AG23" i="8" s="1"/>
  <c r="AG24" i="8" s="1"/>
  <c r="Z25" i="8"/>
  <c r="Y25" i="8"/>
  <c r="X17" i="8"/>
  <c r="X18" i="8"/>
  <c r="X19" i="8"/>
  <c r="X20" i="8"/>
  <c r="AJ33" i="8" s="1"/>
  <c r="X21" i="8"/>
  <c r="X22" i="8"/>
  <c r="X23" i="8"/>
  <c r="X24" i="8"/>
  <c r="X16" i="8"/>
  <c r="V18" i="8"/>
  <c r="V19" i="8" s="1"/>
  <c r="V20" i="8" s="1"/>
  <c r="V21" i="8" s="1"/>
  <c r="V22" i="8" s="1"/>
  <c r="V23" i="8" s="1"/>
  <c r="V24" i="8" s="1"/>
  <c r="M48" i="8"/>
  <c r="M53" i="8"/>
  <c r="M56" i="8"/>
  <c r="X25" i="8" l="1"/>
  <c r="AI34" i="8"/>
  <c r="AJ36" i="8"/>
  <c r="AI36" i="8"/>
  <c r="AJ30" i="8"/>
  <c r="AJ32" i="8"/>
  <c r="AI33" i="8"/>
  <c r="AJ35" i="8"/>
  <c r="AJ31" i="8"/>
  <c r="AI32" i="8"/>
  <c r="AJ34" i="8"/>
  <c r="AI35" i="8"/>
  <c r="AI31" i="8"/>
  <c r="AH25" i="8"/>
  <c r="M77" i="8"/>
  <c r="M106" i="8"/>
  <c r="M143" i="8"/>
  <c r="M171"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88" i="8"/>
  <c r="M61" i="8"/>
  <c r="L289" i="8"/>
  <c r="L290" i="8" s="1"/>
  <c r="L291" i="8" s="1"/>
  <c r="L292" i="8" s="1"/>
  <c r="L293" i="8" s="1"/>
  <c r="L294" i="8" s="1"/>
  <c r="L295" i="8" s="1"/>
  <c r="K289" i="8"/>
  <c r="K290" i="8" s="1"/>
  <c r="K291" i="8" s="1"/>
  <c r="K292" i="8" s="1"/>
  <c r="K293" i="8" s="1"/>
  <c r="K294" i="8" s="1"/>
  <c r="K295" i="8" s="1"/>
  <c r="L260" i="8"/>
  <c r="L261" i="8" s="1"/>
  <c r="L262" i="8" s="1"/>
  <c r="L263" i="8" s="1"/>
  <c r="L264" i="8" s="1"/>
  <c r="L265" i="8" s="1"/>
  <c r="L266" i="8" s="1"/>
  <c r="L267" i="8" s="1"/>
  <c r="L268" i="8" s="1"/>
  <c r="L269" i="8" s="1"/>
  <c r="L270" i="8" s="1"/>
  <c r="L271" i="8" s="1"/>
  <c r="L272" i="8" s="1"/>
  <c r="L273" i="8" s="1"/>
  <c r="L274" i="8" s="1"/>
  <c r="L275" i="8" s="1"/>
  <c r="L276" i="8" s="1"/>
  <c r="L277" i="8" s="1"/>
  <c r="L278" i="8" s="1"/>
  <c r="L279" i="8" s="1"/>
  <c r="L280" i="8" s="1"/>
  <c r="L281" i="8" s="1"/>
  <c r="L282" i="8" s="1"/>
  <c r="L283" i="8" s="1"/>
  <c r="L284" i="8" s="1"/>
  <c r="L285" i="8" s="1"/>
  <c r="L286" i="8" s="1"/>
  <c r="L287" i="8" s="1"/>
  <c r="K260" i="8"/>
  <c r="K261" i="8" s="1"/>
  <c r="K262" i="8" s="1"/>
  <c r="K263" i="8" s="1"/>
  <c r="K264" i="8" s="1"/>
  <c r="K265" i="8" s="1"/>
  <c r="K266" i="8" s="1"/>
  <c r="K267" i="8" s="1"/>
  <c r="K268" i="8" s="1"/>
  <c r="K269" i="8" s="1"/>
  <c r="K270" i="8" s="1"/>
  <c r="K271" i="8" s="1"/>
  <c r="K272" i="8" s="1"/>
  <c r="K273" i="8" s="1"/>
  <c r="K274" i="8" s="1"/>
  <c r="K275" i="8" s="1"/>
  <c r="K276" i="8" s="1"/>
  <c r="K277" i="8" s="1"/>
  <c r="K278" i="8" s="1"/>
  <c r="K279" i="8" s="1"/>
  <c r="K280" i="8" s="1"/>
  <c r="K281" i="8" s="1"/>
  <c r="K282" i="8" s="1"/>
  <c r="K283" i="8" s="1"/>
  <c r="K284" i="8" s="1"/>
  <c r="K285" i="8" s="1"/>
  <c r="K286" i="8" s="1"/>
  <c r="K287" i="8" s="1"/>
  <c r="L222" i="8"/>
  <c r="L223" i="8" s="1"/>
  <c r="L224" i="8" s="1"/>
  <c r="L225" i="8" s="1"/>
  <c r="L226" i="8" s="1"/>
  <c r="L227" i="8" s="1"/>
  <c r="L228" i="8" s="1"/>
  <c r="L229" i="8" s="1"/>
  <c r="L230" i="8" s="1"/>
  <c r="L231" i="8" s="1"/>
  <c r="L232" i="8" s="1"/>
  <c r="L233" i="8" s="1"/>
  <c r="L234" i="8" s="1"/>
  <c r="L235" i="8" s="1"/>
  <c r="L236" i="8" s="1"/>
  <c r="L237" i="8" s="1"/>
  <c r="L238" i="8" s="1"/>
  <c r="L239" i="8" s="1"/>
  <c r="L240" i="8" s="1"/>
  <c r="L241" i="8" s="1"/>
  <c r="L242" i="8" s="1"/>
  <c r="L243" i="8" s="1"/>
  <c r="L244" i="8" s="1"/>
  <c r="L245" i="8" s="1"/>
  <c r="L246" i="8" s="1"/>
  <c r="L247" i="8" s="1"/>
  <c r="L248" i="8" s="1"/>
  <c r="L249" i="8" s="1"/>
  <c r="L250" i="8" s="1"/>
  <c r="L251" i="8" s="1"/>
  <c r="L252" i="8" s="1"/>
  <c r="L253" i="8" s="1"/>
  <c r="L254" i="8" s="1"/>
  <c r="L255" i="8" s="1"/>
  <c r="L256" i="8" s="1"/>
  <c r="L257" i="8" s="1"/>
  <c r="L258" i="8" s="1"/>
  <c r="L144" i="8"/>
  <c r="L145" i="8" s="1"/>
  <c r="L146" i="8" s="1"/>
  <c r="L147" i="8" s="1"/>
  <c r="L148" i="8" s="1"/>
  <c r="L149" i="8" s="1"/>
  <c r="L150" i="8" s="1"/>
  <c r="L151" i="8" s="1"/>
  <c r="L152" i="8" s="1"/>
  <c r="L153" i="8" s="1"/>
  <c r="L154" i="8" s="1"/>
  <c r="L155" i="8" s="1"/>
  <c r="L156" i="8" s="1"/>
  <c r="L157" i="8" s="1"/>
  <c r="L158" i="8" s="1"/>
  <c r="L159" i="8" s="1"/>
  <c r="L160" i="8" s="1"/>
  <c r="L161" i="8" s="1"/>
  <c r="L162" i="8" s="1"/>
  <c r="L163" i="8" s="1"/>
  <c r="L164" i="8" s="1"/>
  <c r="L165" i="8" s="1"/>
  <c r="L166" i="8" s="1"/>
  <c r="L167" i="8" s="1"/>
  <c r="L168" i="8" s="1"/>
  <c r="L169" i="8" s="1"/>
  <c r="L170" i="8" s="1"/>
  <c r="L107" i="8"/>
  <c r="L108" i="8" s="1"/>
  <c r="L109" i="8" s="1"/>
  <c r="L110" i="8" s="1"/>
  <c r="L111" i="8" s="1"/>
  <c r="L112" i="8" s="1"/>
  <c r="L113" i="8" s="1"/>
  <c r="L114" i="8" s="1"/>
  <c r="L115" i="8" s="1"/>
  <c r="L116" i="8" s="1"/>
  <c r="L117" i="8" s="1"/>
  <c r="L118" i="8" s="1"/>
  <c r="L119" i="8" s="1"/>
  <c r="L120" i="8" s="1"/>
  <c r="L121" i="8" s="1"/>
  <c r="L122" i="8" s="1"/>
  <c r="L123" i="8" s="1"/>
  <c r="L124" i="8" s="1"/>
  <c r="L125" i="8" s="1"/>
  <c r="L126" i="8" s="1"/>
  <c r="L127" i="8" s="1"/>
  <c r="L128" i="8" s="1"/>
  <c r="L129" i="8" s="1"/>
  <c r="L130" i="8" s="1"/>
  <c r="L131" i="8" s="1"/>
  <c r="L132" i="8" s="1"/>
  <c r="L133" i="8" s="1"/>
  <c r="L134" i="8" s="1"/>
  <c r="L135" i="8" s="1"/>
  <c r="L136" i="8" s="1"/>
  <c r="L137" i="8" s="1"/>
  <c r="L138" i="8" s="1"/>
  <c r="L139" i="8" s="1"/>
  <c r="L140" i="8" s="1"/>
  <c r="L141" i="8" s="1"/>
  <c r="L142" i="8" s="1"/>
  <c r="K62" i="8"/>
  <c r="L62" i="8"/>
  <c r="L63" i="8" s="1"/>
  <c r="L64" i="8" s="1"/>
  <c r="L65" i="8" s="1"/>
  <c r="L66" i="8" s="1"/>
  <c r="L67" i="8" s="1"/>
  <c r="L68" i="8" s="1"/>
  <c r="L69" i="8" s="1"/>
  <c r="L70" i="8" s="1"/>
  <c r="L71" i="8" s="1"/>
  <c r="L72" i="8" s="1"/>
  <c r="L73" i="8" s="1"/>
  <c r="L74" i="8" s="1"/>
  <c r="L75" i="8" s="1"/>
  <c r="L76" i="8" s="1"/>
  <c r="L78" i="8" s="1"/>
  <c r="L79" i="8" s="1"/>
  <c r="L80" i="8" s="1"/>
  <c r="L81" i="8" s="1"/>
  <c r="L82" i="8" s="1"/>
  <c r="L83" i="8" s="1"/>
  <c r="L84" i="8" s="1"/>
  <c r="L85" i="8" s="1"/>
  <c r="L86" i="8" s="1"/>
  <c r="L87" i="8" s="1"/>
  <c r="L88" i="8" s="1"/>
  <c r="L89" i="8" s="1"/>
  <c r="L90" i="8" s="1"/>
  <c r="L91" i="8" s="1"/>
  <c r="L92" i="8" s="1"/>
  <c r="L93" i="8" s="1"/>
  <c r="L94" i="8" s="1"/>
  <c r="L95" i="8" s="1"/>
  <c r="L96" i="8" s="1"/>
  <c r="L97" i="8" s="1"/>
  <c r="L98" i="8" s="1"/>
  <c r="L99" i="8" s="1"/>
  <c r="L100" i="8" s="1"/>
  <c r="L101" i="8" s="1"/>
  <c r="L102" i="8" s="1"/>
  <c r="L103" i="8" s="1"/>
  <c r="L104" i="8" s="1"/>
  <c r="L105" i="8" s="1"/>
  <c r="C1" i="9"/>
  <c r="AO193" i="2"/>
  <c r="AO194" i="2"/>
  <c r="AO195" i="2"/>
  <c r="AO196"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94" i="2"/>
  <c r="L93" i="2"/>
  <c r="L83" i="2"/>
  <c r="AL26" i="15"/>
  <c r="AK26" i="15"/>
  <c r="AJ26" i="15"/>
  <c r="AI26" i="15"/>
  <c r="AH26" i="15"/>
  <c r="AL25" i="15"/>
  <c r="AK25" i="15"/>
  <c r="AJ25" i="15"/>
  <c r="AI25" i="15"/>
  <c r="AH25" i="15"/>
  <c r="AJ24" i="15"/>
  <c r="AI24" i="15"/>
  <c r="AH24" i="15"/>
  <c r="AK23" i="15"/>
  <c r="AJ23" i="15"/>
  <c r="AI23" i="15"/>
  <c r="AH23" i="15"/>
  <c r="AS22" i="15"/>
  <c r="AR22" i="15"/>
  <c r="AQ22" i="15"/>
  <c r="AP22" i="15"/>
  <c r="AO22" i="15"/>
  <c r="AN22" i="15"/>
  <c r="AM22" i="15"/>
  <c r="AL22" i="15"/>
  <c r="AK22" i="15"/>
  <c r="AJ22" i="15"/>
  <c r="AI22" i="15"/>
  <c r="AH22" i="15"/>
  <c r="AL21" i="15"/>
  <c r="AK21" i="15"/>
  <c r="AJ21" i="15"/>
  <c r="AI21" i="15"/>
  <c r="AH21" i="15"/>
  <c r="AS20" i="15"/>
  <c r="AR20" i="15"/>
  <c r="AQ20" i="15"/>
  <c r="AP20" i="15"/>
  <c r="AO20" i="15"/>
  <c r="AN20" i="15"/>
  <c r="AM20" i="15"/>
  <c r="AL20" i="15"/>
  <c r="AK20" i="15"/>
  <c r="AJ20" i="15"/>
  <c r="AI20" i="15"/>
  <c r="AH20" i="15"/>
  <c r="AH19" i="15"/>
  <c r="AV18" i="15"/>
  <c r="AU18" i="15"/>
  <c r="AT18" i="15"/>
  <c r="AS18" i="15"/>
  <c r="AR18" i="15"/>
  <c r="AQ18" i="15"/>
  <c r="AP18" i="15"/>
  <c r="AO18" i="15"/>
  <c r="AN18" i="15"/>
  <c r="AM18" i="15"/>
  <c r="AL18" i="15"/>
  <c r="AK18" i="15"/>
  <c r="AJ18" i="15"/>
  <c r="AI18" i="15"/>
  <c r="AH18" i="15"/>
  <c r="AK17" i="15"/>
  <c r="AJ17" i="15"/>
  <c r="AI17" i="15"/>
  <c r="AH17" i="15"/>
  <c r="AI16" i="15"/>
  <c r="AH16" i="15"/>
  <c r="AP15" i="15"/>
  <c r="AO15" i="15"/>
  <c r="AN15" i="15"/>
  <c r="AM15" i="15"/>
  <c r="AL15" i="15"/>
  <c r="AK15" i="15"/>
  <c r="AJ15" i="15"/>
  <c r="AI15" i="15"/>
  <c r="AH15" i="15"/>
  <c r="AM14" i="15"/>
  <c r="AL14" i="15"/>
  <c r="AK14" i="15"/>
  <c r="AJ14" i="15"/>
  <c r="AI14" i="15"/>
  <c r="AH14" i="15"/>
  <c r="AL13" i="15"/>
  <c r="AK13" i="15"/>
  <c r="AJ13" i="15"/>
  <c r="AI13" i="15"/>
  <c r="AH13" i="15"/>
  <c r="AQ12" i="15"/>
  <c r="AP12" i="15"/>
  <c r="AO12" i="15"/>
  <c r="AN12" i="15"/>
  <c r="AM12" i="15"/>
  <c r="AL12" i="15"/>
  <c r="AK12" i="15"/>
  <c r="AJ12" i="15"/>
  <c r="AI12" i="15"/>
  <c r="AH12" i="15"/>
  <c r="AR11" i="15"/>
  <c r="AQ11" i="15"/>
  <c r="AP11" i="15"/>
  <c r="AO11" i="15"/>
  <c r="AN11" i="15"/>
  <c r="AM11" i="15"/>
  <c r="AL11" i="15"/>
  <c r="AK11" i="15"/>
  <c r="AJ11" i="15"/>
  <c r="AI11" i="15"/>
  <c r="AH11" i="15"/>
  <c r="AH10" i="15"/>
  <c r="AG10" i="15"/>
  <c r="AH9" i="15"/>
  <c r="AG9" i="15"/>
  <c r="AH8" i="15"/>
  <c r="AJ7" i="15"/>
  <c r="AI7" i="15"/>
  <c r="AH7" i="15"/>
  <c r="AK6" i="15"/>
  <c r="AJ6" i="15"/>
  <c r="AI6" i="15"/>
  <c r="AH6" i="15"/>
  <c r="AH5" i="15"/>
  <c r="AG28" i="15"/>
  <c r="AG27" i="15"/>
  <c r="AG26" i="15"/>
  <c r="AG25" i="15"/>
  <c r="AG24" i="15"/>
  <c r="AG23" i="15"/>
  <c r="AG22" i="15"/>
  <c r="AG21" i="15"/>
  <c r="AG20" i="15"/>
  <c r="AG19" i="15"/>
  <c r="AG18" i="15"/>
  <c r="AG17" i="15"/>
  <c r="AG16" i="15"/>
  <c r="AG15" i="15"/>
  <c r="AG14" i="15"/>
  <c r="AG13" i="15"/>
  <c r="AG12" i="15"/>
  <c r="AG11" i="15"/>
  <c r="AG8" i="15"/>
  <c r="AG7" i="15"/>
  <c r="AG6" i="15"/>
  <c r="AG5" i="15"/>
  <c r="AF6" i="15"/>
  <c r="AF7" i="15"/>
  <c r="AF8" i="15"/>
  <c r="AF9" i="15"/>
  <c r="AF10" i="15"/>
  <c r="AF11" i="15"/>
  <c r="AF12" i="15"/>
  <c r="AF13" i="15"/>
  <c r="AF14" i="15"/>
  <c r="AF15" i="15"/>
  <c r="AF16" i="15"/>
  <c r="AF17" i="15"/>
  <c r="AF18" i="15"/>
  <c r="AF19" i="15"/>
  <c r="AF20" i="15"/>
  <c r="AF21" i="15"/>
  <c r="AF22" i="15"/>
  <c r="AF23" i="15"/>
  <c r="AF24" i="15"/>
  <c r="AF25" i="15"/>
  <c r="AF26" i="15"/>
  <c r="AF27" i="15"/>
  <c r="AF28" i="15"/>
  <c r="AF5" i="15"/>
  <c r="X74" i="15"/>
  <c r="U74" i="15" s="1"/>
  <c r="X73" i="15"/>
  <c r="U73" i="15" s="1"/>
  <c r="W74" i="15"/>
  <c r="Y74" i="15"/>
  <c r="W75" i="15"/>
  <c r="U75" i="15" s="1"/>
  <c r="X75" i="15"/>
  <c r="Y75" i="15"/>
  <c r="W76" i="15"/>
  <c r="U76" i="15" s="1"/>
  <c r="X76" i="15"/>
  <c r="Y76" i="15"/>
  <c r="W77" i="15"/>
  <c r="U77" i="15" s="1"/>
  <c r="X77" i="15"/>
  <c r="Y77" i="15"/>
  <c r="W78" i="15"/>
  <c r="U78" i="15" s="1"/>
  <c r="X78" i="15"/>
  <c r="Y78" i="15"/>
  <c r="W79" i="15"/>
  <c r="U79" i="15" s="1"/>
  <c r="X79" i="15"/>
  <c r="Y79" i="15"/>
  <c r="W80" i="15"/>
  <c r="U80" i="15" s="1"/>
  <c r="X80" i="15"/>
  <c r="Y80" i="15"/>
  <c r="W81" i="15"/>
  <c r="U81" i="15" s="1"/>
  <c r="X81" i="15"/>
  <c r="Y81" i="15"/>
  <c r="W82" i="15"/>
  <c r="U82" i="15" s="1"/>
  <c r="X82" i="15"/>
  <c r="Y82" i="15"/>
  <c r="W83" i="15"/>
  <c r="U83" i="15" s="1"/>
  <c r="X83" i="15"/>
  <c r="Y83" i="15"/>
  <c r="W84" i="15"/>
  <c r="U84" i="15" s="1"/>
  <c r="X84" i="15"/>
  <c r="Y84" i="15"/>
  <c r="W85" i="15"/>
  <c r="U85" i="15" s="1"/>
  <c r="X85" i="15"/>
  <c r="Y85" i="15"/>
  <c r="W86" i="15"/>
  <c r="U86" i="15" s="1"/>
  <c r="X86" i="15"/>
  <c r="Y86" i="15"/>
  <c r="W87" i="15"/>
  <c r="U87" i="15" s="1"/>
  <c r="X87" i="15"/>
  <c r="Y87" i="15"/>
  <c r="W88" i="15"/>
  <c r="U88" i="15" s="1"/>
  <c r="X88" i="15"/>
  <c r="Y88" i="15"/>
  <c r="W89" i="15"/>
  <c r="U89" i="15" s="1"/>
  <c r="X89" i="15"/>
  <c r="Y89" i="15"/>
  <c r="W90" i="15"/>
  <c r="U90" i="15" s="1"/>
  <c r="X90" i="15"/>
  <c r="Y90" i="15"/>
  <c r="W91" i="15"/>
  <c r="U91" i="15" s="1"/>
  <c r="X91" i="15"/>
  <c r="Y91" i="15"/>
  <c r="W92" i="15"/>
  <c r="U92" i="15" s="1"/>
  <c r="X92" i="15"/>
  <c r="Y92" i="15"/>
  <c r="W93" i="15"/>
  <c r="U93" i="15" s="1"/>
  <c r="X93" i="15"/>
  <c r="Y93" i="15"/>
  <c r="W94" i="15"/>
  <c r="U94" i="15" s="1"/>
  <c r="X94" i="15"/>
  <c r="Y94" i="15"/>
  <c r="W95" i="15"/>
  <c r="U95" i="15" s="1"/>
  <c r="X95" i="15"/>
  <c r="Y95" i="15"/>
  <c r="W96" i="15"/>
  <c r="U96" i="15" s="1"/>
  <c r="X96" i="15"/>
  <c r="Y96" i="15"/>
  <c r="W97" i="15"/>
  <c r="U97" i="15" s="1"/>
  <c r="X97" i="15"/>
  <c r="Y97" i="15"/>
  <c r="W98" i="15"/>
  <c r="U98" i="15" s="1"/>
  <c r="X98" i="15"/>
  <c r="Y98" i="15"/>
  <c r="W99" i="15"/>
  <c r="U99" i="15" s="1"/>
  <c r="X99" i="15"/>
  <c r="Y99" i="15"/>
  <c r="W100" i="15"/>
  <c r="U100" i="15" s="1"/>
  <c r="X100" i="15"/>
  <c r="Y100" i="15"/>
  <c r="W101" i="15"/>
  <c r="U101" i="15" s="1"/>
  <c r="X101" i="15"/>
  <c r="Y101" i="15"/>
  <c r="W102" i="15"/>
  <c r="U102" i="15" s="1"/>
  <c r="X102" i="15"/>
  <c r="Y102" i="15"/>
  <c r="W103" i="15"/>
  <c r="U103" i="15" s="1"/>
  <c r="X103" i="15"/>
  <c r="Y103" i="15"/>
  <c r="W104" i="15"/>
  <c r="U104" i="15" s="1"/>
  <c r="X104" i="15"/>
  <c r="Y104" i="15"/>
  <c r="W105" i="15"/>
  <c r="U105" i="15" s="1"/>
  <c r="X105" i="15"/>
  <c r="Y105" i="15"/>
  <c r="W106" i="15"/>
  <c r="U106" i="15" s="1"/>
  <c r="X106" i="15"/>
  <c r="Y106" i="15"/>
  <c r="W107" i="15"/>
  <c r="U107" i="15" s="1"/>
  <c r="X107" i="15"/>
  <c r="Y107" i="15"/>
  <c r="W108" i="15"/>
  <c r="U108" i="15" s="1"/>
  <c r="X108" i="15"/>
  <c r="Y108" i="15"/>
  <c r="W109" i="15"/>
  <c r="U109" i="15" s="1"/>
  <c r="X109" i="15"/>
  <c r="Y109" i="15"/>
  <c r="W110" i="15"/>
  <c r="U110" i="15" s="1"/>
  <c r="X110" i="15"/>
  <c r="Y110" i="15"/>
  <c r="W111" i="15"/>
  <c r="U111" i="15" s="1"/>
  <c r="X111" i="15"/>
  <c r="Y111" i="15"/>
  <c r="W112" i="15"/>
  <c r="U112" i="15" s="1"/>
  <c r="X112" i="15"/>
  <c r="Y112" i="15"/>
  <c r="W113" i="15"/>
  <c r="U113" i="15" s="1"/>
  <c r="X113" i="15"/>
  <c r="Y113" i="15"/>
  <c r="W114" i="15"/>
  <c r="U114" i="15" s="1"/>
  <c r="X114" i="15"/>
  <c r="Y114" i="15"/>
  <c r="W115" i="15"/>
  <c r="U115" i="15" s="1"/>
  <c r="X115" i="15"/>
  <c r="Y115" i="15"/>
  <c r="W116" i="15"/>
  <c r="U116" i="15" s="1"/>
  <c r="X116" i="15"/>
  <c r="Y116" i="15"/>
  <c r="W117" i="15"/>
  <c r="U117" i="15" s="1"/>
  <c r="X117" i="15"/>
  <c r="Y117" i="15"/>
  <c r="W118" i="15"/>
  <c r="U118" i="15" s="1"/>
  <c r="X118" i="15"/>
  <c r="Y118" i="15"/>
  <c r="W119" i="15"/>
  <c r="U119" i="15" s="1"/>
  <c r="X119" i="15"/>
  <c r="Y119" i="15"/>
  <c r="W120" i="15"/>
  <c r="U120" i="15" s="1"/>
  <c r="X120" i="15"/>
  <c r="Y120" i="15"/>
  <c r="W121" i="15"/>
  <c r="U121" i="15" s="1"/>
  <c r="X121" i="15"/>
  <c r="Y121" i="15"/>
  <c r="W122" i="15"/>
  <c r="U122" i="15" s="1"/>
  <c r="X122" i="15"/>
  <c r="Y122" i="15"/>
  <c r="W123" i="15"/>
  <c r="U123" i="15" s="1"/>
  <c r="X123" i="15"/>
  <c r="Y123" i="15"/>
  <c r="W124" i="15"/>
  <c r="U124" i="15" s="1"/>
  <c r="X124" i="15"/>
  <c r="Y124" i="15"/>
  <c r="W125" i="15"/>
  <c r="U125" i="15" s="1"/>
  <c r="X125" i="15"/>
  <c r="Y125" i="15"/>
  <c r="W126" i="15"/>
  <c r="U126" i="15" s="1"/>
  <c r="X126" i="15"/>
  <c r="Y126" i="15"/>
  <c r="W127" i="15"/>
  <c r="U127" i="15" s="1"/>
  <c r="X127" i="15"/>
  <c r="Y127" i="15"/>
  <c r="W128" i="15"/>
  <c r="U128" i="15" s="1"/>
  <c r="X128" i="15"/>
  <c r="Y128" i="15"/>
  <c r="W129" i="15"/>
  <c r="U129" i="15" s="1"/>
  <c r="X129" i="15"/>
  <c r="Y129" i="15"/>
  <c r="W130" i="15"/>
  <c r="U130" i="15" s="1"/>
  <c r="X130" i="15"/>
  <c r="Y130" i="15"/>
  <c r="W131" i="15"/>
  <c r="U131" i="15" s="1"/>
  <c r="X131" i="15"/>
  <c r="Y131" i="15"/>
  <c r="W132" i="15"/>
  <c r="U132" i="15" s="1"/>
  <c r="X132" i="15"/>
  <c r="Y132" i="15"/>
  <c r="W133" i="15"/>
  <c r="U133" i="15" s="1"/>
  <c r="X133" i="15"/>
  <c r="Y133" i="15"/>
  <c r="W134" i="15"/>
  <c r="U134" i="15" s="1"/>
  <c r="X134" i="15"/>
  <c r="Y134" i="15"/>
  <c r="W135" i="15"/>
  <c r="U135" i="15" s="1"/>
  <c r="X135" i="15"/>
  <c r="Y135" i="15"/>
  <c r="W136" i="15"/>
  <c r="U136" i="15" s="1"/>
  <c r="X136" i="15"/>
  <c r="Y136" i="15"/>
  <c r="W137" i="15"/>
  <c r="U137" i="15" s="1"/>
  <c r="X137" i="15"/>
  <c r="Y137" i="15"/>
  <c r="W138" i="15"/>
  <c r="U138" i="15" s="1"/>
  <c r="X138" i="15"/>
  <c r="Y138" i="15"/>
  <c r="W139" i="15"/>
  <c r="U139" i="15" s="1"/>
  <c r="X139" i="15"/>
  <c r="Y139" i="15"/>
  <c r="W140" i="15"/>
  <c r="U140" i="15" s="1"/>
  <c r="X140" i="15"/>
  <c r="Y140" i="15"/>
  <c r="W141" i="15"/>
  <c r="U141" i="15" s="1"/>
  <c r="X141" i="15"/>
  <c r="Y141" i="15"/>
  <c r="W142" i="15"/>
  <c r="U142" i="15" s="1"/>
  <c r="X142" i="15"/>
  <c r="Y142" i="15"/>
  <c r="W143" i="15"/>
  <c r="U143" i="15" s="1"/>
  <c r="X143" i="15"/>
  <c r="Y143" i="15"/>
  <c r="W144" i="15"/>
  <c r="U144" i="15" s="1"/>
  <c r="X144" i="15"/>
  <c r="Y144" i="15"/>
  <c r="W145" i="15"/>
  <c r="U145" i="15" s="1"/>
  <c r="X145" i="15"/>
  <c r="Y145" i="15"/>
  <c r="W146" i="15"/>
  <c r="U146" i="15" s="1"/>
  <c r="X146" i="15"/>
  <c r="Y146" i="15"/>
  <c r="W147" i="15"/>
  <c r="U147" i="15" s="1"/>
  <c r="X147" i="15"/>
  <c r="Y147" i="15"/>
  <c r="W148" i="15"/>
  <c r="U148" i="15" s="1"/>
  <c r="X148" i="15"/>
  <c r="Y148" i="15"/>
  <c r="W149" i="15"/>
  <c r="U149" i="15" s="1"/>
  <c r="X149" i="15"/>
  <c r="Y149" i="15"/>
  <c r="W150" i="15"/>
  <c r="U150" i="15" s="1"/>
  <c r="X150" i="15"/>
  <c r="Y150" i="15"/>
  <c r="W151" i="15"/>
  <c r="U151" i="15" s="1"/>
  <c r="X151" i="15"/>
  <c r="Y151" i="15"/>
  <c r="J419" i="15"/>
  <c r="J418" i="15"/>
  <c r="J215" i="15"/>
  <c r="J216" i="15"/>
  <c r="J217" i="15"/>
  <c r="J218" i="15"/>
  <c r="J219" i="15"/>
  <c r="J220" i="15"/>
  <c r="J221" i="15"/>
  <c r="J222" i="15"/>
  <c r="J223" i="15"/>
  <c r="J224" i="15"/>
  <c r="J225" i="15"/>
  <c r="J226" i="15"/>
  <c r="J227" i="15"/>
  <c r="J228" i="15"/>
  <c r="J229" i="15"/>
  <c r="J230" i="15"/>
  <c r="J231" i="15"/>
  <c r="J232" i="15"/>
  <c r="I233" i="15"/>
  <c r="J233" i="15"/>
  <c r="M233" i="15"/>
  <c r="N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C214" i="9"/>
  <c r="D214" i="9"/>
  <c r="E214" i="9"/>
  <c r="F214" i="9"/>
  <c r="G214" i="9"/>
  <c r="H214" i="9"/>
  <c r="D215" i="15" l="1"/>
  <c r="D216" i="17"/>
  <c r="G216" i="17" s="1"/>
  <c r="F215" i="15"/>
  <c r="F216" i="17"/>
  <c r="B216" i="17"/>
  <c r="P216" i="17" s="1"/>
  <c r="E215" i="15"/>
  <c r="E216" i="17"/>
  <c r="C215" i="15"/>
  <c r="C216" i="17"/>
  <c r="O214" i="9"/>
  <c r="Z214" i="9"/>
  <c r="B215" i="15"/>
  <c r="P215" i="15" s="1"/>
  <c r="U214" i="9"/>
  <c r="M214" i="9"/>
  <c r="Y214" i="9"/>
  <c r="S214" i="9"/>
  <c r="J214" i="9"/>
  <c r="X214" i="9"/>
  <c r="Q214" i="9"/>
  <c r="AA214" i="9"/>
  <c r="M292" i="8"/>
  <c r="M284" i="8"/>
  <c r="M280" i="8"/>
  <c r="M276" i="8"/>
  <c r="M272" i="8"/>
  <c r="M268" i="8"/>
  <c r="M264" i="8"/>
  <c r="M260" i="8"/>
  <c r="M295" i="8"/>
  <c r="M291" i="8"/>
  <c r="M287" i="8"/>
  <c r="M283" i="8"/>
  <c r="M279" i="8"/>
  <c r="M275" i="8"/>
  <c r="M271" i="8"/>
  <c r="M267" i="8"/>
  <c r="M263" i="8"/>
  <c r="K63" i="8"/>
  <c r="M62" i="8"/>
  <c r="M294" i="8"/>
  <c r="M290" i="8"/>
  <c r="M286" i="8"/>
  <c r="M282" i="8"/>
  <c r="M278" i="8"/>
  <c r="M274" i="8"/>
  <c r="M270" i="8"/>
  <c r="M266" i="8"/>
  <c r="M262" i="8"/>
  <c r="M293" i="8"/>
  <c r="M289" i="8"/>
  <c r="M285" i="8"/>
  <c r="M281" i="8"/>
  <c r="M277" i="8"/>
  <c r="M273" i="8"/>
  <c r="M269" i="8"/>
  <c r="M265" i="8"/>
  <c r="M261" i="8"/>
  <c r="K78" i="8"/>
  <c r="L172" i="8"/>
  <c r="L173" i="8" s="1"/>
  <c r="L174" i="8" s="1"/>
  <c r="L175" i="8" s="1"/>
  <c r="L176" i="8" s="1"/>
  <c r="L177" i="8" s="1"/>
  <c r="L178" i="8" s="1"/>
  <c r="L179" i="8" s="1"/>
  <c r="L180" i="8" s="1"/>
  <c r="L181" i="8" s="1"/>
  <c r="L182" i="8" s="1"/>
  <c r="L183" i="8" s="1"/>
  <c r="L184" i="8" s="1"/>
  <c r="L185" i="8" s="1"/>
  <c r="L186" i="8" s="1"/>
  <c r="L187" i="8" s="1"/>
  <c r="L188" i="8" s="1"/>
  <c r="L189" i="8" s="1"/>
  <c r="L190" i="8" s="1"/>
  <c r="L191" i="8" s="1"/>
  <c r="L192" i="8" s="1"/>
  <c r="L193" i="8" s="1"/>
  <c r="L194" i="8" s="1"/>
  <c r="L195" i="8" s="1"/>
  <c r="L196" i="8" s="1"/>
  <c r="L197" i="8" s="1"/>
  <c r="L198" i="8" s="1"/>
  <c r="L199" i="8" s="1"/>
  <c r="L200" i="8" s="1"/>
  <c r="L201" i="8" s="1"/>
  <c r="L202" i="8" s="1"/>
  <c r="L203" i="8" s="1"/>
  <c r="L204" i="8" s="1"/>
  <c r="L205" i="8" s="1"/>
  <c r="L206" i="8" s="1"/>
  <c r="L207" i="8" s="1"/>
  <c r="L208" i="8" s="1"/>
  <c r="L209" i="8" s="1"/>
  <c r="L210" i="8" s="1"/>
  <c r="L211" i="8" s="1"/>
  <c r="L212" i="8" s="1"/>
  <c r="L213" i="8" s="1"/>
  <c r="L214" i="8" s="1"/>
  <c r="L215" i="8" s="1"/>
  <c r="L216" i="8" s="1"/>
  <c r="L217" i="8" s="1"/>
  <c r="L218" i="8" s="1"/>
  <c r="L219" i="8" s="1"/>
  <c r="L220" i="8" s="1"/>
  <c r="N214" i="9"/>
  <c r="R215" i="15" l="1"/>
  <c r="O215" i="15"/>
  <c r="O216" i="17"/>
  <c r="G215" i="15"/>
  <c r="R216" i="17"/>
  <c r="L215" i="15"/>
  <c r="L216" i="17"/>
  <c r="I215" i="15"/>
  <c r="I216" i="17"/>
  <c r="L214" i="9"/>
  <c r="K216" i="17"/>
  <c r="P214" i="9"/>
  <c r="M216" i="17"/>
  <c r="M215" i="15"/>
  <c r="K215" i="15"/>
  <c r="K64" i="8"/>
  <c r="M63" i="8"/>
  <c r="K79" i="8"/>
  <c r="M78" i="8"/>
  <c r="K107" i="8"/>
  <c r="AG215" i="20"/>
  <c r="AI215" i="20"/>
  <c r="AI214" i="9" s="1"/>
  <c r="L215" i="20"/>
  <c r="B215" i="20"/>
  <c r="A216" i="14" s="1"/>
  <c r="Q216" i="14" s="1"/>
  <c r="Q215" i="20"/>
  <c r="U215" i="20"/>
  <c r="AD215" i="20"/>
  <c r="AD214" i="9" s="1"/>
  <c r="AD358" i="20"/>
  <c r="C357" i="9"/>
  <c r="D357" i="9"/>
  <c r="E357" i="9"/>
  <c r="F357" i="9"/>
  <c r="G357" i="9"/>
  <c r="H357" i="9"/>
  <c r="C358" i="9"/>
  <c r="D358" i="9"/>
  <c r="E358" i="9"/>
  <c r="F358" i="9"/>
  <c r="G358" i="9"/>
  <c r="H358" i="9"/>
  <c r="D232" i="9"/>
  <c r="E232" i="9"/>
  <c r="F232" i="9"/>
  <c r="G232" i="9"/>
  <c r="C232" i="9"/>
  <c r="B234" i="17" s="1"/>
  <c r="AG233" i="20"/>
  <c r="AI233" i="20"/>
  <c r="L233" i="20"/>
  <c r="B233" i="20"/>
  <c r="Q233" i="20"/>
  <c r="U233" i="20"/>
  <c r="AD233" i="20"/>
  <c r="AG359" i="20"/>
  <c r="AI359" i="20"/>
  <c r="B359" i="20"/>
  <c r="L359" i="20"/>
  <c r="Q359" i="20"/>
  <c r="U359" i="20"/>
  <c r="AD359" i="20"/>
  <c r="AG358" i="20"/>
  <c r="L358" i="20"/>
  <c r="B358" i="20"/>
  <c r="Q358" i="20"/>
  <c r="U358" i="20"/>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3"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52" i="2"/>
  <c r="AM153" i="2"/>
  <c r="AM154" i="2"/>
  <c r="AM155" i="2"/>
  <c r="AM151" i="2"/>
  <c r="AM150" i="2"/>
  <c r="AM149" i="2"/>
  <c r="AM148" i="2"/>
  <c r="AM147" i="2"/>
  <c r="AM137" i="2"/>
  <c r="AM138" i="2"/>
  <c r="AM139" i="2"/>
  <c r="AM140" i="2"/>
  <c r="AM141" i="2"/>
  <c r="AM142" i="2"/>
  <c r="AM143" i="2"/>
  <c r="AM144" i="2"/>
  <c r="AM145" i="2"/>
  <c r="AM146" i="2"/>
  <c r="AM135" i="2"/>
  <c r="AM136" i="2"/>
  <c r="AM130" i="2"/>
  <c r="AM131" i="2"/>
  <c r="AM132" i="2"/>
  <c r="AM133" i="2"/>
  <c r="AM134" i="2"/>
  <c r="AM129" i="2"/>
  <c r="AM125" i="2"/>
  <c r="AM126" i="2"/>
  <c r="AM127" i="2"/>
  <c r="AM128" i="2"/>
  <c r="AM124" i="2"/>
  <c r="AM123" i="2"/>
  <c r="AM122"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3" i="2"/>
  <c r="J4" i="8"/>
  <c r="B5" i="2"/>
  <c r="B6" i="2"/>
  <c r="B7" i="2"/>
  <c r="B8" i="2"/>
  <c r="B9" i="2"/>
  <c r="B10" i="2"/>
  <c r="B4" i="2"/>
  <c r="A1"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3" i="8"/>
  <c r="BE6" i="17"/>
  <c r="W138" i="17"/>
  <c r="U138" i="17" s="1"/>
  <c r="X138" i="17"/>
  <c r="W139" i="17"/>
  <c r="U139" i="17" s="1"/>
  <c r="X139" i="17"/>
  <c r="W140" i="17"/>
  <c r="U140" i="17" s="1"/>
  <c r="X140" i="17"/>
  <c r="W141" i="17"/>
  <c r="U141" i="17" s="1"/>
  <c r="X141" i="17"/>
  <c r="W142" i="17"/>
  <c r="U142" i="17" s="1"/>
  <c r="X142" i="17"/>
  <c r="W143" i="17"/>
  <c r="U143" i="17" s="1"/>
  <c r="X143" i="17"/>
  <c r="W144" i="17"/>
  <c r="U144" i="17" s="1"/>
  <c r="X144" i="17"/>
  <c r="K4" i="8" l="1"/>
  <c r="J8" i="8"/>
  <c r="AG357" i="9"/>
  <c r="AG214" i="9"/>
  <c r="E233" i="15"/>
  <c r="E234" i="17"/>
  <c r="F359" i="15"/>
  <c r="F360" i="17"/>
  <c r="Y358" i="9"/>
  <c r="B360" i="17"/>
  <c r="D358" i="15"/>
  <c r="G358" i="15" s="1"/>
  <c r="D359" i="17"/>
  <c r="G359" i="17" s="1"/>
  <c r="D233" i="15"/>
  <c r="G233" i="15" s="1"/>
  <c r="D234" i="17"/>
  <c r="E359" i="15"/>
  <c r="E360" i="17"/>
  <c r="C358" i="15"/>
  <c r="C359" i="17"/>
  <c r="I359" i="20"/>
  <c r="I358" i="9" s="1"/>
  <c r="K360" i="14"/>
  <c r="W233" i="20"/>
  <c r="A234" i="14"/>
  <c r="Q234" i="14" s="1"/>
  <c r="P234" i="17"/>
  <c r="C233" i="15"/>
  <c r="C234" i="17"/>
  <c r="D359" i="15"/>
  <c r="G359" i="15" s="1"/>
  <c r="D360" i="17"/>
  <c r="G360" i="17" s="1"/>
  <c r="F358" i="15"/>
  <c r="F359" i="17"/>
  <c r="Y357" i="9"/>
  <c r="B359" i="17"/>
  <c r="I215" i="20"/>
  <c r="AE215" i="20" s="1"/>
  <c r="AE214" i="9" s="1"/>
  <c r="K216" i="14"/>
  <c r="I358" i="20"/>
  <c r="I357" i="9" s="1"/>
  <c r="K359" i="14"/>
  <c r="B357" i="9"/>
  <c r="W357" i="9" s="1"/>
  <c r="A359" i="14"/>
  <c r="Q359" i="14" s="1"/>
  <c r="W359" i="20"/>
  <c r="A360" i="14"/>
  <c r="Q360" i="14" s="1"/>
  <c r="I233" i="20"/>
  <c r="K234" i="14"/>
  <c r="F233" i="15"/>
  <c r="F234" i="17"/>
  <c r="C359" i="15"/>
  <c r="C360" i="17"/>
  <c r="E358" i="15"/>
  <c r="E359" i="17"/>
  <c r="N215" i="15"/>
  <c r="N216" i="17"/>
  <c r="AI357" i="9"/>
  <c r="Q357" i="9"/>
  <c r="U232" i="9"/>
  <c r="B233" i="15"/>
  <c r="B358" i="15"/>
  <c r="AK215" i="20"/>
  <c r="AK214" i="9" s="1"/>
  <c r="AD357" i="9"/>
  <c r="X357" i="9"/>
  <c r="N357" i="9"/>
  <c r="AA357" i="9"/>
  <c r="U357" i="9"/>
  <c r="M357" i="9"/>
  <c r="B232" i="9"/>
  <c r="J358" i="9"/>
  <c r="B359" i="15"/>
  <c r="Z357" i="9"/>
  <c r="S357" i="9"/>
  <c r="W215" i="20"/>
  <c r="B214" i="9"/>
  <c r="A216" i="17" s="1"/>
  <c r="Q216" i="17" s="1"/>
  <c r="K80" i="8"/>
  <c r="M79" i="8"/>
  <c r="K108" i="8"/>
  <c r="M107" i="8"/>
  <c r="K65" i="8"/>
  <c r="M64" i="8"/>
  <c r="C3" i="8"/>
  <c r="AG358" i="9"/>
  <c r="J357" i="9"/>
  <c r="O357" i="9"/>
  <c r="M359" i="17" s="1"/>
  <c r="AK233" i="20"/>
  <c r="AJ233" i="20" s="1"/>
  <c r="B358" i="9"/>
  <c r="U358" i="9"/>
  <c r="AI358" i="9"/>
  <c r="AA358" i="9"/>
  <c r="S358" i="9"/>
  <c r="N358" i="9"/>
  <c r="AD358" i="9"/>
  <c r="Z358" i="9"/>
  <c r="Q358" i="9"/>
  <c r="M358" i="9"/>
  <c r="K360" i="17" s="1"/>
  <c r="X358" i="9"/>
  <c r="O358" i="9"/>
  <c r="M360" i="17" s="1"/>
  <c r="I232" i="9"/>
  <c r="S232" i="9"/>
  <c r="N232" i="9"/>
  <c r="X232" i="9"/>
  <c r="Z232" i="9"/>
  <c r="Q232" i="9"/>
  <c r="AD232" i="9"/>
  <c r="M232" i="9"/>
  <c r="K234" i="17" s="1"/>
  <c r="Y232" i="9"/>
  <c r="W358" i="20"/>
  <c r="AK359" i="20"/>
  <c r="AJ359" i="20" s="1"/>
  <c r="AJ358" i="9" s="1"/>
  <c r="AK358" i="20"/>
  <c r="AJ358" i="20" s="1"/>
  <c r="A4" i="8"/>
  <c r="Q32" i="20"/>
  <c r="R308" i="20"/>
  <c r="AD343" i="20"/>
  <c r="AD344" i="20"/>
  <c r="AD345" i="20"/>
  <c r="AD346" i="20"/>
  <c r="AD347" i="20"/>
  <c r="AD348" i="20"/>
  <c r="AD349" i="20"/>
  <c r="AD350" i="20"/>
  <c r="AD351" i="20"/>
  <c r="AD352" i="20"/>
  <c r="AD353" i="20"/>
  <c r="AD354" i="20"/>
  <c r="AD355" i="20"/>
  <c r="AD356" i="20"/>
  <c r="AD357" i="20"/>
  <c r="AD360" i="20"/>
  <c r="AG336" i="20"/>
  <c r="AI336" i="20"/>
  <c r="AG337" i="20"/>
  <c r="AI337" i="20"/>
  <c r="AG338" i="20"/>
  <c r="AI338" i="20"/>
  <c r="AG339" i="20"/>
  <c r="AI339" i="20"/>
  <c r="J411" i="20"/>
  <c r="I412" i="14" s="1"/>
  <c r="J412" i="20"/>
  <c r="I413" i="14" s="1"/>
  <c r="J413" i="20"/>
  <c r="I414" i="14" s="1"/>
  <c r="J414" i="20"/>
  <c r="I415" i="14" s="1"/>
  <c r="J415" i="20"/>
  <c r="I416" i="14" s="1"/>
  <c r="J416" i="20"/>
  <c r="I417" i="14" s="1"/>
  <c r="J417" i="20"/>
  <c r="I418" i="14" s="1"/>
  <c r="J418" i="20"/>
  <c r="I419" i="14" s="1"/>
  <c r="J419" i="20"/>
  <c r="I420" i="14" s="1"/>
  <c r="J362" i="20"/>
  <c r="I363" i="14" s="1"/>
  <c r="J363" i="20"/>
  <c r="I364" i="14" s="1"/>
  <c r="J364" i="20"/>
  <c r="I365" i="14" s="1"/>
  <c r="J365" i="20"/>
  <c r="I366" i="14" s="1"/>
  <c r="J366" i="20"/>
  <c r="I367" i="14" s="1"/>
  <c r="J334" i="20"/>
  <c r="I335" i="14" s="1"/>
  <c r="J335" i="20"/>
  <c r="I336" i="14" s="1"/>
  <c r="J336" i="20"/>
  <c r="I337" i="14" s="1"/>
  <c r="J337" i="20"/>
  <c r="I338" i="14" s="1"/>
  <c r="J338" i="20"/>
  <c r="I339" i="14" s="1"/>
  <c r="J339" i="20"/>
  <c r="I340" i="14" s="1"/>
  <c r="J340" i="20"/>
  <c r="I341" i="14" s="1"/>
  <c r="J341" i="20"/>
  <c r="I342" i="14" s="1"/>
  <c r="J342" i="20"/>
  <c r="I343" i="14" s="1"/>
  <c r="J343" i="20"/>
  <c r="I344" i="14" s="1"/>
  <c r="J344" i="20"/>
  <c r="I345" i="14" s="1"/>
  <c r="J345" i="20"/>
  <c r="I346" i="14" s="1"/>
  <c r="J346" i="20"/>
  <c r="I347" i="14" s="1"/>
  <c r="J347" i="20"/>
  <c r="I348" i="14" s="1"/>
  <c r="J348" i="20"/>
  <c r="I349" i="14" s="1"/>
  <c r="J349" i="20"/>
  <c r="I350" i="14" s="1"/>
  <c r="J350" i="20"/>
  <c r="I351" i="14" s="1"/>
  <c r="J351" i="20"/>
  <c r="I352" i="14" s="1"/>
  <c r="J352" i="20"/>
  <c r="I353" i="14" s="1"/>
  <c r="J353" i="20"/>
  <c r="I354" i="14" s="1"/>
  <c r="J354" i="20"/>
  <c r="I355" i="14" s="1"/>
  <c r="J355" i="20"/>
  <c r="I356" i="14" s="1"/>
  <c r="J356" i="20"/>
  <c r="I357" i="14" s="1"/>
  <c r="J357" i="20"/>
  <c r="I358" i="14" s="1"/>
  <c r="J360" i="20"/>
  <c r="I361" i="14" s="1"/>
  <c r="J291" i="20"/>
  <c r="I292" i="14" s="1"/>
  <c r="J290" i="20"/>
  <c r="I291" i="14" s="1"/>
  <c r="J289" i="20"/>
  <c r="I290" i="14" s="1"/>
  <c r="J288" i="20"/>
  <c r="I289" i="14" s="1"/>
  <c r="J287" i="20"/>
  <c r="I288" i="14" s="1"/>
  <c r="J278" i="20"/>
  <c r="I279" i="14" s="1"/>
  <c r="J263" i="20"/>
  <c r="I264" i="14" s="1"/>
  <c r="J264" i="20"/>
  <c r="I265" i="14" s="1"/>
  <c r="J271" i="20"/>
  <c r="I272" i="14" s="1"/>
  <c r="J272" i="20"/>
  <c r="I273" i="14" s="1"/>
  <c r="J273" i="20"/>
  <c r="I274" i="14" s="1"/>
  <c r="J274" i="20"/>
  <c r="I275" i="14" s="1"/>
  <c r="J275" i="20"/>
  <c r="I276" i="14" s="1"/>
  <c r="J276" i="20"/>
  <c r="I277" i="14" s="1"/>
  <c r="AY28" i="15"/>
  <c r="AE26" i="15"/>
  <c r="AE27" i="15"/>
  <c r="AE28" i="15"/>
  <c r="AX28" i="15" s="1"/>
  <c r="H5"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C134" i="9"/>
  <c r="B136" i="15" s="1"/>
  <c r="P136" i="15" s="1"/>
  <c r="D134" i="9"/>
  <c r="C136" i="15" s="1"/>
  <c r="E134" i="9"/>
  <c r="D136" i="15" s="1"/>
  <c r="F134" i="9"/>
  <c r="E136" i="15" s="1"/>
  <c r="G134" i="9"/>
  <c r="F136" i="15" s="1"/>
  <c r="H134" i="9"/>
  <c r="C135" i="9"/>
  <c r="U135" i="9" s="1"/>
  <c r="D135" i="9"/>
  <c r="C137" i="15" s="1"/>
  <c r="E135" i="9"/>
  <c r="D137" i="15" s="1"/>
  <c r="F135" i="9"/>
  <c r="E137" i="15" s="1"/>
  <c r="G135" i="9"/>
  <c r="F137" i="15" s="1"/>
  <c r="H135" i="9"/>
  <c r="C136" i="9"/>
  <c r="U136" i="9" s="1"/>
  <c r="D136" i="9"/>
  <c r="C138" i="15" s="1"/>
  <c r="E136" i="9"/>
  <c r="D138" i="15" s="1"/>
  <c r="F136" i="9"/>
  <c r="E138" i="15" s="1"/>
  <c r="G136" i="9"/>
  <c r="F138" i="15" s="1"/>
  <c r="H136" i="9"/>
  <c r="G138" i="15" s="1"/>
  <c r="C137" i="9"/>
  <c r="U137" i="9" s="1"/>
  <c r="D137" i="9"/>
  <c r="C139" i="15" s="1"/>
  <c r="E137" i="9"/>
  <c r="D139" i="15" s="1"/>
  <c r="F137" i="9"/>
  <c r="E139" i="15" s="1"/>
  <c r="G137" i="9"/>
  <c r="F139" i="15" s="1"/>
  <c r="H137" i="9"/>
  <c r="C138" i="9"/>
  <c r="M138" i="9" s="1"/>
  <c r="D138" i="9"/>
  <c r="C140" i="15" s="1"/>
  <c r="E138" i="9"/>
  <c r="D140" i="15" s="1"/>
  <c r="F138" i="9"/>
  <c r="E140" i="15" s="1"/>
  <c r="G138" i="9"/>
  <c r="F140" i="15" s="1"/>
  <c r="H138" i="9"/>
  <c r="C139" i="9"/>
  <c r="B141" i="15" s="1"/>
  <c r="P141" i="15" s="1"/>
  <c r="D139" i="9"/>
  <c r="C141" i="15" s="1"/>
  <c r="E139" i="9"/>
  <c r="D141" i="15" s="1"/>
  <c r="F139" i="9"/>
  <c r="E141" i="15" s="1"/>
  <c r="G139" i="9"/>
  <c r="F141" i="15" s="1"/>
  <c r="H139" i="9"/>
  <c r="C140" i="9"/>
  <c r="M140" i="9" s="1"/>
  <c r="D140" i="9"/>
  <c r="C142" i="15" s="1"/>
  <c r="E140" i="9"/>
  <c r="D142" i="15" s="1"/>
  <c r="F140" i="9"/>
  <c r="E142" i="15" s="1"/>
  <c r="G140" i="9"/>
  <c r="F142" i="15" s="1"/>
  <c r="H140" i="9"/>
  <c r="C141" i="9"/>
  <c r="Q141" i="9" s="1"/>
  <c r="O143" i="15" s="1"/>
  <c r="D141" i="9"/>
  <c r="C143" i="15" s="1"/>
  <c r="E141" i="9"/>
  <c r="D143" i="15" s="1"/>
  <c r="F141" i="9"/>
  <c r="E143" i="15" s="1"/>
  <c r="G141" i="9"/>
  <c r="F143" i="15" s="1"/>
  <c r="H141" i="9"/>
  <c r="C143" i="9"/>
  <c r="B145" i="17" s="1"/>
  <c r="D143" i="9"/>
  <c r="E143" i="9"/>
  <c r="F143" i="9"/>
  <c r="G143" i="9"/>
  <c r="H143" i="9"/>
  <c r="C144" i="9"/>
  <c r="B146" i="17" s="1"/>
  <c r="D144" i="9"/>
  <c r="E144" i="9"/>
  <c r="F144" i="9"/>
  <c r="G144" i="9"/>
  <c r="H144" i="9"/>
  <c r="C145" i="9"/>
  <c r="D145" i="9"/>
  <c r="E145" i="9"/>
  <c r="F145" i="9"/>
  <c r="G145" i="9"/>
  <c r="H145" i="9"/>
  <c r="C146" i="9"/>
  <c r="D146" i="9"/>
  <c r="E146" i="9"/>
  <c r="F146" i="9"/>
  <c r="G146" i="9"/>
  <c r="H146" i="9"/>
  <c r="C147" i="9"/>
  <c r="D147" i="9"/>
  <c r="E147" i="9"/>
  <c r="F147" i="9"/>
  <c r="G147" i="9"/>
  <c r="H147" i="9"/>
  <c r="C148" i="9"/>
  <c r="D148" i="9"/>
  <c r="E148" i="9"/>
  <c r="F148" i="9"/>
  <c r="G148" i="9"/>
  <c r="H148" i="9"/>
  <c r="C149" i="9"/>
  <c r="B151" i="17" s="1"/>
  <c r="D149" i="9"/>
  <c r="E149" i="9"/>
  <c r="F149" i="9"/>
  <c r="G149" i="9"/>
  <c r="H149" i="9"/>
  <c r="C150" i="9"/>
  <c r="D150" i="9"/>
  <c r="E150" i="9"/>
  <c r="F150" i="9"/>
  <c r="G150" i="9"/>
  <c r="H150" i="9"/>
  <c r="C151" i="9"/>
  <c r="B153" i="17" s="1"/>
  <c r="D151" i="9"/>
  <c r="E151" i="9"/>
  <c r="F151" i="9"/>
  <c r="G151" i="9"/>
  <c r="H151" i="9"/>
  <c r="C152" i="9"/>
  <c r="B154" i="17" s="1"/>
  <c r="D152" i="9"/>
  <c r="E152" i="9"/>
  <c r="F152" i="9"/>
  <c r="G152" i="9"/>
  <c r="H152" i="9"/>
  <c r="C153" i="9"/>
  <c r="D153" i="9"/>
  <c r="E153" i="9"/>
  <c r="F153" i="9"/>
  <c r="G153" i="9"/>
  <c r="H153" i="9"/>
  <c r="C154" i="9"/>
  <c r="D154" i="9"/>
  <c r="E154" i="9"/>
  <c r="F154" i="9"/>
  <c r="G154" i="9"/>
  <c r="H154" i="9"/>
  <c r="C155" i="9"/>
  <c r="D155" i="9"/>
  <c r="E155" i="9"/>
  <c r="F155" i="9"/>
  <c r="G155" i="9"/>
  <c r="H155" i="9"/>
  <c r="C156" i="9"/>
  <c r="D156" i="9"/>
  <c r="E156" i="9"/>
  <c r="F156" i="9"/>
  <c r="G156" i="9"/>
  <c r="H156" i="9"/>
  <c r="C157" i="9"/>
  <c r="D157" i="9"/>
  <c r="E157" i="9"/>
  <c r="F157" i="9"/>
  <c r="G157" i="9"/>
  <c r="H157" i="9"/>
  <c r="C158" i="9"/>
  <c r="D158" i="9"/>
  <c r="E158" i="9"/>
  <c r="F158" i="9"/>
  <c r="G158" i="9"/>
  <c r="H158" i="9"/>
  <c r="C159" i="9"/>
  <c r="D159" i="9"/>
  <c r="E159" i="9"/>
  <c r="F159" i="9"/>
  <c r="G159" i="9"/>
  <c r="H159" i="9"/>
  <c r="C160" i="9"/>
  <c r="D160" i="9"/>
  <c r="E160" i="9"/>
  <c r="F160" i="9"/>
  <c r="G160" i="9"/>
  <c r="H160" i="9"/>
  <c r="C161" i="9"/>
  <c r="D161" i="9"/>
  <c r="E161" i="9"/>
  <c r="F161" i="9"/>
  <c r="G161" i="9"/>
  <c r="H161" i="9"/>
  <c r="C162" i="9"/>
  <c r="D162" i="9"/>
  <c r="E162" i="9"/>
  <c r="F162" i="9"/>
  <c r="G162" i="9"/>
  <c r="H162" i="9"/>
  <c r="C163" i="9"/>
  <c r="D163" i="9"/>
  <c r="E163" i="9"/>
  <c r="F163" i="9"/>
  <c r="G163" i="9"/>
  <c r="H163" i="9"/>
  <c r="C164" i="9"/>
  <c r="D164" i="9"/>
  <c r="E164" i="9"/>
  <c r="F164" i="9"/>
  <c r="G164" i="9"/>
  <c r="H164" i="9"/>
  <c r="C165" i="9"/>
  <c r="D165" i="9"/>
  <c r="E165" i="9"/>
  <c r="F165" i="9"/>
  <c r="G165" i="9"/>
  <c r="H165" i="9"/>
  <c r="C166" i="9"/>
  <c r="D166" i="9"/>
  <c r="E166" i="9"/>
  <c r="F166" i="9"/>
  <c r="G166" i="9"/>
  <c r="H166" i="9"/>
  <c r="C167" i="9"/>
  <c r="B169" i="17" s="1"/>
  <c r="D167" i="9"/>
  <c r="E167" i="9"/>
  <c r="F167" i="9"/>
  <c r="G167" i="9"/>
  <c r="H167" i="9"/>
  <c r="C168" i="9"/>
  <c r="D168" i="9"/>
  <c r="E168" i="9"/>
  <c r="F168" i="9"/>
  <c r="G168" i="9"/>
  <c r="H168" i="9"/>
  <c r="C169" i="9"/>
  <c r="D169" i="9"/>
  <c r="E169" i="9"/>
  <c r="F169" i="9"/>
  <c r="G169" i="9"/>
  <c r="H169" i="9"/>
  <c r="C170" i="9"/>
  <c r="D170" i="9"/>
  <c r="E170" i="9"/>
  <c r="F170" i="9"/>
  <c r="G170" i="9"/>
  <c r="H170" i="9"/>
  <c r="C171" i="9"/>
  <c r="D171" i="9"/>
  <c r="E171" i="9"/>
  <c r="F171" i="9"/>
  <c r="G171" i="9"/>
  <c r="H171" i="9"/>
  <c r="C172" i="9"/>
  <c r="D172" i="9"/>
  <c r="E172" i="9"/>
  <c r="F172" i="9"/>
  <c r="G172" i="9"/>
  <c r="H172" i="9"/>
  <c r="C173" i="9"/>
  <c r="B175" i="17" s="1"/>
  <c r="D173" i="9"/>
  <c r="E173" i="9"/>
  <c r="F173" i="9"/>
  <c r="G173" i="9"/>
  <c r="H173" i="9"/>
  <c r="C174" i="9"/>
  <c r="D174" i="9"/>
  <c r="E174" i="9"/>
  <c r="F174" i="9"/>
  <c r="G174" i="9"/>
  <c r="H174" i="9"/>
  <c r="C175" i="9"/>
  <c r="B177" i="17" s="1"/>
  <c r="D175" i="9"/>
  <c r="E175" i="9"/>
  <c r="F175" i="9"/>
  <c r="G175" i="9"/>
  <c r="H175" i="9"/>
  <c r="C176" i="9"/>
  <c r="B178" i="17" s="1"/>
  <c r="D176" i="9"/>
  <c r="E176" i="9"/>
  <c r="F176" i="9"/>
  <c r="G176" i="9"/>
  <c r="H176" i="9"/>
  <c r="C177" i="9"/>
  <c r="B179" i="17" s="1"/>
  <c r="D177" i="9"/>
  <c r="E177" i="9"/>
  <c r="F177" i="9"/>
  <c r="G177" i="9"/>
  <c r="H177" i="9"/>
  <c r="C178" i="9"/>
  <c r="B180" i="17" s="1"/>
  <c r="D178" i="9"/>
  <c r="E178" i="9"/>
  <c r="F178" i="9"/>
  <c r="G178" i="9"/>
  <c r="H178" i="9"/>
  <c r="C179" i="9"/>
  <c r="D179" i="9"/>
  <c r="E179" i="9"/>
  <c r="F179" i="9"/>
  <c r="G179" i="9"/>
  <c r="H179" i="9"/>
  <c r="C180" i="9"/>
  <c r="D180" i="9"/>
  <c r="E180" i="9"/>
  <c r="F180" i="9"/>
  <c r="G180" i="9"/>
  <c r="H180" i="9"/>
  <c r="C181" i="9"/>
  <c r="D181" i="9"/>
  <c r="E181" i="9"/>
  <c r="F181" i="9"/>
  <c r="G181" i="9"/>
  <c r="H181" i="9"/>
  <c r="C182" i="9"/>
  <c r="B184" i="17" s="1"/>
  <c r="D182" i="9"/>
  <c r="E182" i="9"/>
  <c r="F182" i="9"/>
  <c r="G182" i="9"/>
  <c r="H182" i="9"/>
  <c r="C183" i="9"/>
  <c r="B185" i="17" s="1"/>
  <c r="D183" i="9"/>
  <c r="E183" i="9"/>
  <c r="F183" i="9"/>
  <c r="G183" i="9"/>
  <c r="H183" i="9"/>
  <c r="C184" i="9"/>
  <c r="D184" i="9"/>
  <c r="E184" i="9"/>
  <c r="F184" i="9"/>
  <c r="G184" i="9"/>
  <c r="H184" i="9"/>
  <c r="C185" i="9"/>
  <c r="B187" i="17" s="1"/>
  <c r="D185" i="9"/>
  <c r="E185" i="9"/>
  <c r="F185" i="9"/>
  <c r="G185" i="9"/>
  <c r="H185" i="9"/>
  <c r="C186" i="9"/>
  <c r="D186" i="9"/>
  <c r="E186" i="9"/>
  <c r="F186" i="9"/>
  <c r="G186" i="9"/>
  <c r="H186" i="9"/>
  <c r="C187" i="9"/>
  <c r="D187" i="9"/>
  <c r="E187" i="9"/>
  <c r="F187" i="9"/>
  <c r="G187" i="9"/>
  <c r="H187" i="9"/>
  <c r="C188" i="9"/>
  <c r="B190" i="17" s="1"/>
  <c r="D188" i="9"/>
  <c r="E188" i="9"/>
  <c r="F188" i="9"/>
  <c r="G188" i="9"/>
  <c r="H188" i="9"/>
  <c r="C189" i="9"/>
  <c r="D189" i="9"/>
  <c r="E189" i="9"/>
  <c r="F189" i="9"/>
  <c r="G189" i="9"/>
  <c r="H189" i="9"/>
  <c r="C190" i="9"/>
  <c r="D190" i="9"/>
  <c r="E190" i="9"/>
  <c r="F190" i="9"/>
  <c r="G190" i="9"/>
  <c r="H190" i="9"/>
  <c r="C191" i="9"/>
  <c r="D191" i="9"/>
  <c r="E191" i="9"/>
  <c r="F191" i="9"/>
  <c r="G191" i="9"/>
  <c r="H191" i="9"/>
  <c r="C192" i="9"/>
  <c r="D192" i="9"/>
  <c r="E192" i="9"/>
  <c r="F192" i="9"/>
  <c r="G192" i="9"/>
  <c r="H192" i="9"/>
  <c r="C193" i="9"/>
  <c r="B195" i="17" s="1"/>
  <c r="D193" i="9"/>
  <c r="E193" i="9"/>
  <c r="F193" i="9"/>
  <c r="G193" i="9"/>
  <c r="H193" i="9"/>
  <c r="C194" i="9"/>
  <c r="D194" i="9"/>
  <c r="E194" i="9"/>
  <c r="F194" i="9"/>
  <c r="G194" i="9"/>
  <c r="H194" i="9"/>
  <c r="C195" i="9"/>
  <c r="B197" i="17" s="1"/>
  <c r="D195" i="9"/>
  <c r="E195" i="9"/>
  <c r="F195" i="9"/>
  <c r="G195" i="9"/>
  <c r="H195" i="9"/>
  <c r="C196" i="9"/>
  <c r="B198" i="17" s="1"/>
  <c r="D196" i="9"/>
  <c r="E196" i="9"/>
  <c r="F196" i="9"/>
  <c r="G196" i="9"/>
  <c r="H196" i="9"/>
  <c r="C197" i="9"/>
  <c r="D197" i="9"/>
  <c r="E197" i="9"/>
  <c r="F197" i="9"/>
  <c r="G197" i="9"/>
  <c r="H197" i="9"/>
  <c r="C198" i="9"/>
  <c r="D198" i="9"/>
  <c r="E198" i="9"/>
  <c r="F198" i="9"/>
  <c r="G198" i="9"/>
  <c r="H198" i="9"/>
  <c r="C199" i="9"/>
  <c r="D199" i="9"/>
  <c r="E199" i="9"/>
  <c r="F199" i="9"/>
  <c r="G199" i="9"/>
  <c r="H199" i="9"/>
  <c r="C200" i="9"/>
  <c r="D200" i="9"/>
  <c r="E200" i="9"/>
  <c r="F200" i="9"/>
  <c r="G200" i="9"/>
  <c r="H200" i="9"/>
  <c r="C201" i="9"/>
  <c r="D201" i="9"/>
  <c r="E201" i="9"/>
  <c r="F201" i="9"/>
  <c r="G201" i="9"/>
  <c r="H201" i="9"/>
  <c r="C202" i="9"/>
  <c r="D202" i="9"/>
  <c r="E202" i="9"/>
  <c r="F202" i="9"/>
  <c r="G202" i="9"/>
  <c r="H202" i="9"/>
  <c r="C203" i="9"/>
  <c r="B205" i="17" s="1"/>
  <c r="D203" i="9"/>
  <c r="E203" i="9"/>
  <c r="F203" i="9"/>
  <c r="G203" i="9"/>
  <c r="H203" i="9"/>
  <c r="C204" i="9"/>
  <c r="D204" i="9"/>
  <c r="E204" i="9"/>
  <c r="F204" i="9"/>
  <c r="G204" i="9"/>
  <c r="H204" i="9"/>
  <c r="C205" i="9"/>
  <c r="D205" i="9"/>
  <c r="E205" i="9"/>
  <c r="F205" i="9"/>
  <c r="G205" i="9"/>
  <c r="H205" i="9"/>
  <c r="C206" i="9"/>
  <c r="D206" i="9"/>
  <c r="E206" i="9"/>
  <c r="F206" i="9"/>
  <c r="G206" i="9"/>
  <c r="H206" i="9"/>
  <c r="C207" i="9"/>
  <c r="B209" i="17" s="1"/>
  <c r="D207" i="9"/>
  <c r="E207" i="9"/>
  <c r="F207" i="9"/>
  <c r="G207" i="9"/>
  <c r="H207" i="9"/>
  <c r="C208" i="9"/>
  <c r="D208" i="9"/>
  <c r="E208" i="9"/>
  <c r="F208" i="9"/>
  <c r="G208" i="9"/>
  <c r="H208" i="9"/>
  <c r="C209" i="9"/>
  <c r="B211" i="17" s="1"/>
  <c r="D209" i="9"/>
  <c r="E209" i="9"/>
  <c r="F209" i="9"/>
  <c r="G209" i="9"/>
  <c r="H209" i="9"/>
  <c r="C210" i="9"/>
  <c r="D210" i="9"/>
  <c r="E210" i="9"/>
  <c r="F210" i="9"/>
  <c r="G210" i="9"/>
  <c r="H210" i="9"/>
  <c r="C211" i="9"/>
  <c r="D211" i="9"/>
  <c r="E211" i="9"/>
  <c r="F211" i="9"/>
  <c r="G211" i="9"/>
  <c r="H211" i="9"/>
  <c r="C212" i="9"/>
  <c r="B214" i="17" s="1"/>
  <c r="P214" i="17" s="1"/>
  <c r="D212" i="9"/>
  <c r="E212" i="9"/>
  <c r="F212" i="9"/>
  <c r="G212" i="9"/>
  <c r="H212" i="9"/>
  <c r="C213" i="9"/>
  <c r="D213" i="9"/>
  <c r="E213" i="9"/>
  <c r="F213" i="9"/>
  <c r="G213" i="9"/>
  <c r="H213" i="9"/>
  <c r="C215" i="9"/>
  <c r="D215" i="9"/>
  <c r="E215" i="9"/>
  <c r="F215" i="9"/>
  <c r="G215" i="9"/>
  <c r="H215" i="9"/>
  <c r="C216" i="9"/>
  <c r="B218" i="17" s="1"/>
  <c r="P218" i="17" s="1"/>
  <c r="D216" i="9"/>
  <c r="E216" i="9"/>
  <c r="F216" i="9"/>
  <c r="G216" i="9"/>
  <c r="H216" i="9"/>
  <c r="C217" i="9"/>
  <c r="D217" i="9"/>
  <c r="E217" i="9"/>
  <c r="F217" i="9"/>
  <c r="G217" i="9"/>
  <c r="H217" i="9"/>
  <c r="C218" i="9"/>
  <c r="D218" i="9"/>
  <c r="E218" i="9"/>
  <c r="F218" i="9"/>
  <c r="G218" i="9"/>
  <c r="H218" i="9"/>
  <c r="C219" i="9"/>
  <c r="D219" i="9"/>
  <c r="E219" i="9"/>
  <c r="F219" i="9"/>
  <c r="G219" i="9"/>
  <c r="H219" i="9"/>
  <c r="C220" i="9"/>
  <c r="B222" i="17" s="1"/>
  <c r="P222" i="17" s="1"/>
  <c r="D220" i="9"/>
  <c r="E220" i="9"/>
  <c r="F220" i="9"/>
  <c r="G220" i="9"/>
  <c r="H220" i="9"/>
  <c r="C221" i="9"/>
  <c r="D221" i="9"/>
  <c r="E221" i="9"/>
  <c r="F221" i="9"/>
  <c r="G221" i="9"/>
  <c r="H221" i="9"/>
  <c r="C222" i="9"/>
  <c r="D222" i="9"/>
  <c r="E222" i="9"/>
  <c r="F222" i="9"/>
  <c r="G222" i="9"/>
  <c r="H222" i="9"/>
  <c r="C223" i="9"/>
  <c r="D223" i="9"/>
  <c r="E223" i="9"/>
  <c r="F223" i="9"/>
  <c r="G223" i="9"/>
  <c r="H223" i="9"/>
  <c r="C224" i="9"/>
  <c r="B226" i="17" s="1"/>
  <c r="P226" i="17" s="1"/>
  <c r="D224" i="9"/>
  <c r="E224" i="9"/>
  <c r="F224" i="9"/>
  <c r="G224" i="9"/>
  <c r="H224" i="9"/>
  <c r="C225" i="9"/>
  <c r="D225" i="9"/>
  <c r="E225" i="9"/>
  <c r="F225" i="9"/>
  <c r="G225" i="9"/>
  <c r="H225" i="9"/>
  <c r="C226" i="9"/>
  <c r="D226" i="9"/>
  <c r="E226" i="9"/>
  <c r="F226" i="9"/>
  <c r="G226" i="9"/>
  <c r="H226" i="9"/>
  <c r="C227" i="9"/>
  <c r="D227" i="9"/>
  <c r="E227" i="9"/>
  <c r="F227" i="9"/>
  <c r="G227" i="9"/>
  <c r="H227" i="9"/>
  <c r="C228" i="9"/>
  <c r="B230" i="17" s="1"/>
  <c r="D228" i="9"/>
  <c r="E228" i="9"/>
  <c r="F228" i="9"/>
  <c r="G228" i="9"/>
  <c r="H228" i="9"/>
  <c r="C229" i="9"/>
  <c r="B231" i="17" s="1"/>
  <c r="D229" i="9"/>
  <c r="E229" i="9"/>
  <c r="F229" i="9"/>
  <c r="G229" i="9"/>
  <c r="H229" i="9"/>
  <c r="C230" i="9"/>
  <c r="D230" i="9"/>
  <c r="E230" i="9"/>
  <c r="F230" i="9"/>
  <c r="G230" i="9"/>
  <c r="H230" i="9"/>
  <c r="C231" i="9"/>
  <c r="D231" i="9"/>
  <c r="E231" i="9"/>
  <c r="F231" i="9"/>
  <c r="G231" i="9"/>
  <c r="H231" i="9"/>
  <c r="C233" i="9"/>
  <c r="B235" i="17" s="1"/>
  <c r="D233" i="9"/>
  <c r="E233" i="9"/>
  <c r="F233" i="9"/>
  <c r="G233" i="9"/>
  <c r="H233" i="9"/>
  <c r="C234" i="9"/>
  <c r="B236" i="17" s="1"/>
  <c r="D234" i="9"/>
  <c r="E234" i="9"/>
  <c r="F234" i="9"/>
  <c r="G234" i="9"/>
  <c r="H234" i="9"/>
  <c r="C235" i="9"/>
  <c r="D235" i="9"/>
  <c r="E235" i="9"/>
  <c r="F235" i="9"/>
  <c r="G235" i="9"/>
  <c r="H235" i="9"/>
  <c r="C236" i="9"/>
  <c r="B238" i="17" s="1"/>
  <c r="D236" i="9"/>
  <c r="E236" i="9"/>
  <c r="F236" i="9"/>
  <c r="G236" i="9"/>
  <c r="H236" i="9"/>
  <c r="C237" i="9"/>
  <c r="D237" i="9"/>
  <c r="E237" i="9"/>
  <c r="F237" i="9"/>
  <c r="G237" i="9"/>
  <c r="H237" i="9"/>
  <c r="C238" i="9"/>
  <c r="D238" i="9"/>
  <c r="E238" i="9"/>
  <c r="F238" i="9"/>
  <c r="G238" i="9"/>
  <c r="H238" i="9"/>
  <c r="C239" i="9"/>
  <c r="B241" i="17" s="1"/>
  <c r="D239" i="9"/>
  <c r="E239" i="9"/>
  <c r="F239" i="9"/>
  <c r="G239" i="9"/>
  <c r="H239" i="9"/>
  <c r="C240" i="9"/>
  <c r="B242" i="17" s="1"/>
  <c r="D240" i="9"/>
  <c r="E240" i="9"/>
  <c r="F240" i="9"/>
  <c r="G240" i="9"/>
  <c r="H240" i="9"/>
  <c r="C241" i="9"/>
  <c r="B243" i="17" s="1"/>
  <c r="D241" i="9"/>
  <c r="E241" i="9"/>
  <c r="F241" i="9"/>
  <c r="G241" i="9"/>
  <c r="H241" i="9"/>
  <c r="C242" i="9"/>
  <c r="B244" i="17" s="1"/>
  <c r="D242" i="9"/>
  <c r="E242" i="9"/>
  <c r="F242" i="9"/>
  <c r="G242" i="9"/>
  <c r="H242" i="9"/>
  <c r="C243" i="9"/>
  <c r="B245" i="17" s="1"/>
  <c r="D243" i="9"/>
  <c r="E243" i="9"/>
  <c r="F243" i="9"/>
  <c r="G243" i="9"/>
  <c r="H243" i="9"/>
  <c r="C244" i="9"/>
  <c r="D244" i="9"/>
  <c r="E244" i="9"/>
  <c r="F244" i="9"/>
  <c r="G244" i="9"/>
  <c r="H244" i="9"/>
  <c r="C245" i="9"/>
  <c r="D245" i="9"/>
  <c r="E245" i="9"/>
  <c r="F245" i="9"/>
  <c r="G245" i="9"/>
  <c r="H245" i="9"/>
  <c r="C246" i="9"/>
  <c r="B248" i="17" s="1"/>
  <c r="D246" i="9"/>
  <c r="E246" i="9"/>
  <c r="F246" i="9"/>
  <c r="G246" i="9"/>
  <c r="H246" i="9"/>
  <c r="C247" i="9"/>
  <c r="B249" i="17" s="1"/>
  <c r="D247" i="9"/>
  <c r="E247" i="9"/>
  <c r="F247" i="9"/>
  <c r="G247" i="9"/>
  <c r="H247" i="9"/>
  <c r="C248" i="9"/>
  <c r="B250" i="17" s="1"/>
  <c r="D248" i="9"/>
  <c r="E248" i="9"/>
  <c r="F248" i="9"/>
  <c r="G248" i="9"/>
  <c r="H248" i="9"/>
  <c r="C249" i="9"/>
  <c r="D249" i="9"/>
  <c r="E249" i="9"/>
  <c r="F249" i="9"/>
  <c r="G249" i="9"/>
  <c r="H249" i="9"/>
  <c r="C250" i="9"/>
  <c r="B252" i="17" s="1"/>
  <c r="D250" i="9"/>
  <c r="E250" i="9"/>
  <c r="F250" i="9"/>
  <c r="G250" i="9"/>
  <c r="H250" i="9"/>
  <c r="C251" i="9"/>
  <c r="D251" i="9"/>
  <c r="E251" i="9"/>
  <c r="F251" i="9"/>
  <c r="G251" i="9"/>
  <c r="H251" i="9"/>
  <c r="C252" i="9"/>
  <c r="B254" i="17" s="1"/>
  <c r="D252" i="9"/>
  <c r="E252" i="9"/>
  <c r="F252" i="9"/>
  <c r="G252" i="9"/>
  <c r="H252" i="9"/>
  <c r="C253" i="9"/>
  <c r="D253" i="9"/>
  <c r="E253" i="9"/>
  <c r="F253" i="9"/>
  <c r="G253" i="9"/>
  <c r="H253" i="9"/>
  <c r="C254" i="9"/>
  <c r="B256" i="17" s="1"/>
  <c r="D254" i="9"/>
  <c r="E254" i="9"/>
  <c r="F254" i="9"/>
  <c r="G254" i="9"/>
  <c r="H254" i="9"/>
  <c r="C255" i="9"/>
  <c r="D255" i="9"/>
  <c r="E255" i="9"/>
  <c r="F255" i="9"/>
  <c r="G255" i="9"/>
  <c r="H255" i="9"/>
  <c r="C256" i="9"/>
  <c r="B258" i="17" s="1"/>
  <c r="P258" i="17" s="1"/>
  <c r="D256" i="9"/>
  <c r="E256" i="9"/>
  <c r="F256" i="9"/>
  <c r="G256" i="9"/>
  <c r="H256" i="9"/>
  <c r="C257" i="9"/>
  <c r="D257" i="9"/>
  <c r="E257" i="9"/>
  <c r="F257" i="9"/>
  <c r="G257" i="9"/>
  <c r="H257" i="9"/>
  <c r="C258" i="9"/>
  <c r="B260" i="17" s="1"/>
  <c r="D258" i="9"/>
  <c r="E258" i="9"/>
  <c r="F258" i="9"/>
  <c r="G258" i="9"/>
  <c r="H258" i="9"/>
  <c r="C259" i="9"/>
  <c r="D259" i="9"/>
  <c r="E259" i="9"/>
  <c r="F259" i="9"/>
  <c r="G259" i="9"/>
  <c r="H259" i="9"/>
  <c r="C260" i="9"/>
  <c r="D260" i="9"/>
  <c r="E260" i="9"/>
  <c r="F260" i="9"/>
  <c r="G260" i="9"/>
  <c r="H260" i="9"/>
  <c r="C261" i="9"/>
  <c r="D261" i="9"/>
  <c r="E261" i="9"/>
  <c r="F261" i="9"/>
  <c r="G261" i="9"/>
  <c r="H261" i="9"/>
  <c r="C262" i="9"/>
  <c r="B264" i="17" s="1"/>
  <c r="D262" i="9"/>
  <c r="E262" i="9"/>
  <c r="F262" i="9"/>
  <c r="G262" i="9"/>
  <c r="H262" i="9"/>
  <c r="C263" i="9"/>
  <c r="B265" i="17" s="1"/>
  <c r="D263" i="9"/>
  <c r="E263" i="9"/>
  <c r="F263" i="9"/>
  <c r="G263" i="9"/>
  <c r="H263" i="9"/>
  <c r="C264" i="9"/>
  <c r="B266" i="17" s="1"/>
  <c r="D264" i="9"/>
  <c r="E264" i="9"/>
  <c r="F264" i="9"/>
  <c r="G264" i="9"/>
  <c r="H264" i="9"/>
  <c r="C265" i="9"/>
  <c r="D265" i="9"/>
  <c r="E265" i="9"/>
  <c r="F265" i="9"/>
  <c r="G265" i="9"/>
  <c r="H265" i="9"/>
  <c r="C266" i="9"/>
  <c r="D266" i="9"/>
  <c r="E266" i="9"/>
  <c r="F266" i="9"/>
  <c r="G266" i="9"/>
  <c r="H266" i="9"/>
  <c r="C267" i="9"/>
  <c r="B269" i="17" s="1"/>
  <c r="D267" i="9"/>
  <c r="E267" i="9"/>
  <c r="F267" i="9"/>
  <c r="G267" i="9"/>
  <c r="H267" i="9"/>
  <c r="C268" i="9"/>
  <c r="D268" i="9"/>
  <c r="E268" i="9"/>
  <c r="F268" i="9"/>
  <c r="G268" i="9"/>
  <c r="H268" i="9"/>
  <c r="C269" i="9"/>
  <c r="D269" i="9"/>
  <c r="E269" i="9"/>
  <c r="F269" i="9"/>
  <c r="G269" i="9"/>
  <c r="H269" i="9"/>
  <c r="C270" i="9"/>
  <c r="D270" i="9"/>
  <c r="E270" i="9"/>
  <c r="F270" i="9"/>
  <c r="G270" i="9"/>
  <c r="H270" i="9"/>
  <c r="C271" i="9"/>
  <c r="D271" i="9"/>
  <c r="E271" i="9"/>
  <c r="F271" i="9"/>
  <c r="G271" i="9"/>
  <c r="H271" i="9"/>
  <c r="C272" i="9"/>
  <c r="B274" i="17" s="1"/>
  <c r="D272" i="9"/>
  <c r="E272" i="9"/>
  <c r="F272" i="9"/>
  <c r="G272" i="9"/>
  <c r="H272" i="9"/>
  <c r="C273" i="9"/>
  <c r="B275" i="17" s="1"/>
  <c r="D273" i="9"/>
  <c r="E273" i="9"/>
  <c r="F273" i="9"/>
  <c r="G273" i="9"/>
  <c r="H273" i="9"/>
  <c r="C274" i="9"/>
  <c r="B276" i="17" s="1"/>
  <c r="D274" i="9"/>
  <c r="E274" i="9"/>
  <c r="F274" i="9"/>
  <c r="G274" i="9"/>
  <c r="H274" i="9"/>
  <c r="C275" i="9"/>
  <c r="D275" i="9"/>
  <c r="E275" i="9"/>
  <c r="F275" i="9"/>
  <c r="G275" i="9"/>
  <c r="H275" i="9"/>
  <c r="C276" i="9"/>
  <c r="D276" i="9"/>
  <c r="E276" i="9"/>
  <c r="F276" i="9"/>
  <c r="G276" i="9"/>
  <c r="H276" i="9"/>
  <c r="C277" i="9"/>
  <c r="D277" i="9"/>
  <c r="E277" i="9"/>
  <c r="F277" i="9"/>
  <c r="G277" i="9"/>
  <c r="H277" i="9"/>
  <c r="C278" i="9"/>
  <c r="B280" i="17" s="1"/>
  <c r="D278" i="9"/>
  <c r="E278" i="9"/>
  <c r="F278" i="9"/>
  <c r="G278" i="9"/>
  <c r="H278" i="9"/>
  <c r="C279" i="9"/>
  <c r="B281" i="17" s="1"/>
  <c r="D279" i="9"/>
  <c r="E279" i="9"/>
  <c r="F279" i="9"/>
  <c r="G279" i="9"/>
  <c r="H279" i="9"/>
  <c r="C280" i="9"/>
  <c r="B282" i="17" s="1"/>
  <c r="D280" i="9"/>
  <c r="E280" i="9"/>
  <c r="F280" i="9"/>
  <c r="G280" i="9"/>
  <c r="H280" i="9"/>
  <c r="C281" i="9"/>
  <c r="B283" i="17" s="1"/>
  <c r="D281" i="9"/>
  <c r="E281" i="9"/>
  <c r="F281" i="9"/>
  <c r="G281" i="9"/>
  <c r="H281" i="9"/>
  <c r="C282" i="9"/>
  <c r="B284" i="17" s="1"/>
  <c r="D282" i="9"/>
  <c r="E282" i="9"/>
  <c r="F282" i="9"/>
  <c r="G282" i="9"/>
  <c r="H282" i="9"/>
  <c r="C283" i="9"/>
  <c r="B285" i="17" s="1"/>
  <c r="D283" i="9"/>
  <c r="E283" i="9"/>
  <c r="F283" i="9"/>
  <c r="G283" i="9"/>
  <c r="H283" i="9"/>
  <c r="C284" i="9"/>
  <c r="D284" i="9"/>
  <c r="E284" i="9"/>
  <c r="F284" i="9"/>
  <c r="G284" i="9"/>
  <c r="H284" i="9"/>
  <c r="C285" i="9"/>
  <c r="B287" i="17" s="1"/>
  <c r="D285" i="9"/>
  <c r="E285" i="9"/>
  <c r="F285" i="9"/>
  <c r="G285" i="9"/>
  <c r="H285" i="9"/>
  <c r="C286" i="9"/>
  <c r="B288" i="17" s="1"/>
  <c r="D286" i="9"/>
  <c r="E286" i="9"/>
  <c r="F286" i="9"/>
  <c r="G286" i="9"/>
  <c r="H286" i="9"/>
  <c r="C287" i="9"/>
  <c r="B289" i="17" s="1"/>
  <c r="D287" i="9"/>
  <c r="E287" i="9"/>
  <c r="F287" i="9"/>
  <c r="G287" i="9"/>
  <c r="H287" i="9"/>
  <c r="C288" i="9"/>
  <c r="B290" i="17" s="1"/>
  <c r="D288" i="9"/>
  <c r="E288" i="9"/>
  <c r="F288" i="9"/>
  <c r="G288" i="9"/>
  <c r="H288" i="9"/>
  <c r="C289" i="9"/>
  <c r="B291" i="17" s="1"/>
  <c r="D289" i="9"/>
  <c r="E289" i="9"/>
  <c r="F289" i="9"/>
  <c r="G289" i="9"/>
  <c r="H289" i="9"/>
  <c r="C290" i="9"/>
  <c r="B292" i="17" s="1"/>
  <c r="D290" i="9"/>
  <c r="E290" i="9"/>
  <c r="F290" i="9"/>
  <c r="G290" i="9"/>
  <c r="H290" i="9"/>
  <c r="C291" i="9"/>
  <c r="B293" i="17" s="1"/>
  <c r="D291" i="9"/>
  <c r="E291" i="9"/>
  <c r="F291" i="9"/>
  <c r="G291" i="9"/>
  <c r="H291" i="9"/>
  <c r="C292" i="9"/>
  <c r="B294" i="17" s="1"/>
  <c r="D292" i="9"/>
  <c r="E292" i="9"/>
  <c r="F292" i="9"/>
  <c r="G292" i="9"/>
  <c r="H292" i="9"/>
  <c r="C293" i="9"/>
  <c r="B295" i="17" s="1"/>
  <c r="D293" i="9"/>
  <c r="E293" i="9"/>
  <c r="F293" i="9"/>
  <c r="G293" i="9"/>
  <c r="H293" i="9"/>
  <c r="C294" i="9"/>
  <c r="B296" i="17" s="1"/>
  <c r="D294" i="9"/>
  <c r="E294" i="9"/>
  <c r="F294" i="9"/>
  <c r="G294" i="9"/>
  <c r="H294" i="9"/>
  <c r="C295" i="9"/>
  <c r="D295" i="9"/>
  <c r="E295" i="9"/>
  <c r="F295" i="9"/>
  <c r="G295" i="9"/>
  <c r="H295" i="9"/>
  <c r="C296" i="9"/>
  <c r="B298" i="17" s="1"/>
  <c r="D296" i="9"/>
  <c r="E296" i="9"/>
  <c r="F296" i="9"/>
  <c r="G296" i="9"/>
  <c r="H296" i="9"/>
  <c r="C297" i="9"/>
  <c r="D297" i="9"/>
  <c r="E297" i="9"/>
  <c r="F297" i="9"/>
  <c r="G297" i="9"/>
  <c r="H297" i="9"/>
  <c r="C298" i="9"/>
  <c r="D298" i="9"/>
  <c r="E298" i="9"/>
  <c r="F298" i="9"/>
  <c r="G298" i="9"/>
  <c r="H298" i="9"/>
  <c r="C299" i="9"/>
  <c r="D299" i="9"/>
  <c r="E299" i="9"/>
  <c r="F299" i="9"/>
  <c r="G299" i="9"/>
  <c r="H299" i="9"/>
  <c r="C300" i="9"/>
  <c r="B302" i="17" s="1"/>
  <c r="D300" i="9"/>
  <c r="E300" i="9"/>
  <c r="F300" i="9"/>
  <c r="G300" i="9"/>
  <c r="H300" i="9"/>
  <c r="C301" i="9"/>
  <c r="B303" i="17" s="1"/>
  <c r="D301" i="9"/>
  <c r="E301" i="9"/>
  <c r="F301" i="9"/>
  <c r="G301" i="9"/>
  <c r="H301" i="9"/>
  <c r="C302" i="9"/>
  <c r="D302" i="9"/>
  <c r="E302" i="9"/>
  <c r="F302" i="9"/>
  <c r="G302" i="9"/>
  <c r="H302" i="9"/>
  <c r="C303" i="9"/>
  <c r="D303" i="9"/>
  <c r="E303" i="9"/>
  <c r="F303" i="9"/>
  <c r="G303" i="9"/>
  <c r="H303" i="9"/>
  <c r="C304" i="9"/>
  <c r="B306" i="17" s="1"/>
  <c r="D304" i="9"/>
  <c r="E304" i="9"/>
  <c r="F304" i="9"/>
  <c r="G304" i="9"/>
  <c r="H304" i="9"/>
  <c r="C305" i="9"/>
  <c r="B307" i="17" s="1"/>
  <c r="D305" i="9"/>
  <c r="E305" i="9"/>
  <c r="F305" i="9"/>
  <c r="G305" i="9"/>
  <c r="H305" i="9"/>
  <c r="C306" i="9"/>
  <c r="D306" i="9"/>
  <c r="E306" i="9"/>
  <c r="F306" i="9"/>
  <c r="G306" i="9"/>
  <c r="H306" i="9"/>
  <c r="C307" i="9"/>
  <c r="B309" i="17" s="1"/>
  <c r="D307" i="9"/>
  <c r="E307" i="9"/>
  <c r="F307" i="9"/>
  <c r="G307" i="9"/>
  <c r="H307" i="9"/>
  <c r="C308" i="9"/>
  <c r="D308" i="9"/>
  <c r="E308" i="9"/>
  <c r="F308" i="9"/>
  <c r="G308" i="9"/>
  <c r="H308" i="9"/>
  <c r="C309" i="9"/>
  <c r="B311" i="17" s="1"/>
  <c r="D309" i="9"/>
  <c r="E309" i="9"/>
  <c r="F309" i="9"/>
  <c r="G309" i="9"/>
  <c r="H309" i="9"/>
  <c r="C310" i="9"/>
  <c r="B312" i="17" s="1"/>
  <c r="D310" i="9"/>
  <c r="E310" i="9"/>
  <c r="F310" i="9"/>
  <c r="G310" i="9"/>
  <c r="H310" i="9"/>
  <c r="C311" i="9"/>
  <c r="B313" i="17" s="1"/>
  <c r="D311" i="9"/>
  <c r="E311" i="9"/>
  <c r="F311" i="9"/>
  <c r="G311" i="9"/>
  <c r="H311" i="9"/>
  <c r="C312" i="9"/>
  <c r="D312" i="9"/>
  <c r="E312" i="9"/>
  <c r="F312" i="9"/>
  <c r="G312" i="9"/>
  <c r="H312" i="9"/>
  <c r="C313" i="9"/>
  <c r="D313" i="9"/>
  <c r="E313" i="9"/>
  <c r="F313" i="9"/>
  <c r="G313" i="9"/>
  <c r="H313" i="9"/>
  <c r="C314" i="9"/>
  <c r="B316" i="17" s="1"/>
  <c r="D314" i="9"/>
  <c r="E314" i="9"/>
  <c r="F314" i="9"/>
  <c r="G314" i="9"/>
  <c r="H314" i="9"/>
  <c r="C315" i="9"/>
  <c r="D315" i="9"/>
  <c r="E315" i="9"/>
  <c r="F315" i="9"/>
  <c r="G315" i="9"/>
  <c r="H315" i="9"/>
  <c r="C316" i="9"/>
  <c r="B318" i="17" s="1"/>
  <c r="D316" i="9"/>
  <c r="E316" i="9"/>
  <c r="F316" i="9"/>
  <c r="G316" i="9"/>
  <c r="H316" i="9"/>
  <c r="C317" i="9"/>
  <c r="D317" i="9"/>
  <c r="E317" i="9"/>
  <c r="F317" i="9"/>
  <c r="G317" i="9"/>
  <c r="H317" i="9"/>
  <c r="C318" i="9"/>
  <c r="D318" i="9"/>
  <c r="E318" i="9"/>
  <c r="F318" i="9"/>
  <c r="G318" i="9"/>
  <c r="H318" i="9"/>
  <c r="C319" i="9"/>
  <c r="B321" i="17" s="1"/>
  <c r="D319" i="9"/>
  <c r="E319" i="9"/>
  <c r="F319" i="9"/>
  <c r="G319" i="9"/>
  <c r="H319" i="9"/>
  <c r="C320" i="9"/>
  <c r="B322" i="17" s="1"/>
  <c r="D320" i="9"/>
  <c r="E320" i="9"/>
  <c r="F320" i="9"/>
  <c r="G320" i="9"/>
  <c r="H320" i="9"/>
  <c r="C321" i="9"/>
  <c r="D321" i="9"/>
  <c r="E321" i="9"/>
  <c r="F321" i="9"/>
  <c r="G321" i="9"/>
  <c r="H321" i="9"/>
  <c r="C322" i="9"/>
  <c r="B324" i="17" s="1"/>
  <c r="D322" i="9"/>
  <c r="E322" i="9"/>
  <c r="F322" i="9"/>
  <c r="G322" i="9"/>
  <c r="H322" i="9"/>
  <c r="C323" i="9"/>
  <c r="D323" i="9"/>
  <c r="E323" i="9"/>
  <c r="F323" i="9"/>
  <c r="G323" i="9"/>
  <c r="H323" i="9"/>
  <c r="C324" i="9"/>
  <c r="D324" i="9"/>
  <c r="E324" i="9"/>
  <c r="F324" i="9"/>
  <c r="G324" i="9"/>
  <c r="H324" i="9"/>
  <c r="C325" i="9"/>
  <c r="B327" i="17" s="1"/>
  <c r="D325" i="9"/>
  <c r="E325" i="9"/>
  <c r="F325" i="9"/>
  <c r="G325" i="9"/>
  <c r="H325" i="9"/>
  <c r="C326" i="9"/>
  <c r="D326" i="9"/>
  <c r="E326" i="9"/>
  <c r="F326" i="9"/>
  <c r="G326" i="9"/>
  <c r="H326" i="9"/>
  <c r="C327" i="9"/>
  <c r="B329" i="17" s="1"/>
  <c r="D327" i="9"/>
  <c r="E327" i="9"/>
  <c r="F327" i="9"/>
  <c r="G327" i="9"/>
  <c r="H327" i="9"/>
  <c r="C328" i="9"/>
  <c r="B330" i="17" s="1"/>
  <c r="D328" i="9"/>
  <c r="E328" i="9"/>
  <c r="F328" i="9"/>
  <c r="G328" i="9"/>
  <c r="H328" i="9"/>
  <c r="C329" i="9"/>
  <c r="D329" i="9"/>
  <c r="E329" i="9"/>
  <c r="F329" i="9"/>
  <c r="G329" i="9"/>
  <c r="H329" i="9"/>
  <c r="C330" i="9"/>
  <c r="B332" i="17" s="1"/>
  <c r="D330" i="9"/>
  <c r="E330" i="9"/>
  <c r="F330" i="9"/>
  <c r="G330" i="9"/>
  <c r="H330" i="9"/>
  <c r="C331" i="9"/>
  <c r="B333" i="17" s="1"/>
  <c r="D331" i="9"/>
  <c r="E331" i="9"/>
  <c r="F331" i="9"/>
  <c r="G331" i="9"/>
  <c r="H331" i="9"/>
  <c r="C332" i="9"/>
  <c r="B334" i="17" s="1"/>
  <c r="D332" i="9"/>
  <c r="E332" i="9"/>
  <c r="F332" i="9"/>
  <c r="G332" i="9"/>
  <c r="H332" i="9"/>
  <c r="C333" i="9"/>
  <c r="B335" i="17" s="1"/>
  <c r="D333" i="9"/>
  <c r="E333" i="9"/>
  <c r="F333" i="9"/>
  <c r="G333" i="9"/>
  <c r="H333" i="9"/>
  <c r="C334" i="9"/>
  <c r="B336" i="17" s="1"/>
  <c r="D334" i="9"/>
  <c r="E334" i="9"/>
  <c r="F334" i="9"/>
  <c r="G334" i="9"/>
  <c r="H334" i="9"/>
  <c r="C335" i="9"/>
  <c r="D335" i="9"/>
  <c r="E335" i="9"/>
  <c r="F335" i="9"/>
  <c r="G335" i="9"/>
  <c r="H335" i="9"/>
  <c r="C336" i="9"/>
  <c r="B338" i="17" s="1"/>
  <c r="D336" i="9"/>
  <c r="E336" i="9"/>
  <c r="F336" i="9"/>
  <c r="G336" i="9"/>
  <c r="H336" i="9"/>
  <c r="C337" i="9"/>
  <c r="B339" i="17" s="1"/>
  <c r="D337" i="9"/>
  <c r="E337" i="9"/>
  <c r="F337" i="9"/>
  <c r="G337" i="9"/>
  <c r="H337" i="9"/>
  <c r="C338" i="9"/>
  <c r="B340" i="17" s="1"/>
  <c r="D338" i="9"/>
  <c r="E338" i="9"/>
  <c r="F338" i="9"/>
  <c r="G338" i="9"/>
  <c r="H338" i="9"/>
  <c r="C339" i="9"/>
  <c r="D339" i="9"/>
  <c r="E339" i="9"/>
  <c r="F339" i="9"/>
  <c r="G339" i="9"/>
  <c r="H339" i="9"/>
  <c r="C340" i="9"/>
  <c r="D340" i="9"/>
  <c r="E340" i="9"/>
  <c r="F340" i="9"/>
  <c r="G340" i="9"/>
  <c r="H340" i="9"/>
  <c r="C341" i="9"/>
  <c r="D341" i="9"/>
  <c r="E341" i="9"/>
  <c r="F341" i="9"/>
  <c r="G341" i="9"/>
  <c r="H341" i="9"/>
  <c r="C342" i="9"/>
  <c r="D342" i="9"/>
  <c r="E342" i="9"/>
  <c r="F342" i="9"/>
  <c r="G342" i="9"/>
  <c r="H342" i="9"/>
  <c r="C343" i="9"/>
  <c r="B345" i="17" s="1"/>
  <c r="D343" i="9"/>
  <c r="E343" i="9"/>
  <c r="F343" i="9"/>
  <c r="G343" i="9"/>
  <c r="H343" i="9"/>
  <c r="C344" i="9"/>
  <c r="B346" i="17" s="1"/>
  <c r="D344" i="9"/>
  <c r="E344" i="9"/>
  <c r="F344" i="9"/>
  <c r="G344" i="9"/>
  <c r="H344" i="9"/>
  <c r="C345" i="9"/>
  <c r="B347" i="17" s="1"/>
  <c r="D345" i="9"/>
  <c r="E345" i="9"/>
  <c r="F345" i="9"/>
  <c r="G345" i="9"/>
  <c r="H345" i="9"/>
  <c r="C346" i="9"/>
  <c r="B348" i="17" s="1"/>
  <c r="D346" i="9"/>
  <c r="E346" i="9"/>
  <c r="F346" i="9"/>
  <c r="G346" i="9"/>
  <c r="H346" i="9"/>
  <c r="C347" i="9"/>
  <c r="D347" i="9"/>
  <c r="E347" i="9"/>
  <c r="F347" i="9"/>
  <c r="G347" i="9"/>
  <c r="H347" i="9"/>
  <c r="C348" i="9"/>
  <c r="B350" i="17" s="1"/>
  <c r="D348" i="9"/>
  <c r="E348" i="9"/>
  <c r="F348" i="9"/>
  <c r="G348" i="9"/>
  <c r="H348" i="9"/>
  <c r="C349" i="9"/>
  <c r="D349" i="9"/>
  <c r="E349" i="9"/>
  <c r="F349" i="9"/>
  <c r="G349" i="9"/>
  <c r="H349" i="9"/>
  <c r="C350" i="9"/>
  <c r="D350" i="9"/>
  <c r="E350" i="9"/>
  <c r="F350" i="9"/>
  <c r="G350" i="9"/>
  <c r="H350" i="9"/>
  <c r="C351" i="9"/>
  <c r="B353" i="17" s="1"/>
  <c r="D351" i="9"/>
  <c r="E351" i="9"/>
  <c r="F351" i="9"/>
  <c r="G351" i="9"/>
  <c r="H351" i="9"/>
  <c r="C352" i="9"/>
  <c r="B354" i="17" s="1"/>
  <c r="D352" i="9"/>
  <c r="E352" i="9"/>
  <c r="F352" i="9"/>
  <c r="G352" i="9"/>
  <c r="H352" i="9"/>
  <c r="C353" i="9"/>
  <c r="D353" i="9"/>
  <c r="E353" i="9"/>
  <c r="F353" i="9"/>
  <c r="G353" i="9"/>
  <c r="H353" i="9"/>
  <c r="C354" i="9"/>
  <c r="D354" i="9"/>
  <c r="E354" i="9"/>
  <c r="F354" i="9"/>
  <c r="G354" i="9"/>
  <c r="H354" i="9"/>
  <c r="C355" i="9"/>
  <c r="B357" i="17" s="1"/>
  <c r="D355" i="9"/>
  <c r="E355" i="9"/>
  <c r="F355" i="9"/>
  <c r="G355" i="9"/>
  <c r="H355" i="9"/>
  <c r="C356" i="9"/>
  <c r="B358" i="17" s="1"/>
  <c r="D356" i="9"/>
  <c r="E356" i="9"/>
  <c r="F356" i="9"/>
  <c r="G356" i="9"/>
  <c r="H356" i="9"/>
  <c r="C359" i="9"/>
  <c r="D359" i="9"/>
  <c r="E359" i="9"/>
  <c r="F359" i="9"/>
  <c r="G359" i="9"/>
  <c r="H359" i="9"/>
  <c r="C360" i="9"/>
  <c r="B362" i="17" s="1"/>
  <c r="D360" i="9"/>
  <c r="E360" i="9"/>
  <c r="F360" i="9"/>
  <c r="G360" i="9"/>
  <c r="H360" i="9"/>
  <c r="C361" i="9"/>
  <c r="B363" i="17" s="1"/>
  <c r="D361" i="9"/>
  <c r="E361" i="9"/>
  <c r="F361" i="9"/>
  <c r="G361" i="9"/>
  <c r="H361" i="9"/>
  <c r="C362" i="9"/>
  <c r="B364" i="17" s="1"/>
  <c r="D362" i="9"/>
  <c r="E362" i="9"/>
  <c r="F362" i="9"/>
  <c r="G362" i="9"/>
  <c r="H362" i="9"/>
  <c r="C363" i="9"/>
  <c r="B365" i="17" s="1"/>
  <c r="D363" i="9"/>
  <c r="E363" i="9"/>
  <c r="F363" i="9"/>
  <c r="G363" i="9"/>
  <c r="H363" i="9"/>
  <c r="C364" i="9"/>
  <c r="D364" i="9"/>
  <c r="E364" i="9"/>
  <c r="F364" i="9"/>
  <c r="G364" i="9"/>
  <c r="H364" i="9"/>
  <c r="C365" i="9"/>
  <c r="B367" i="17" s="1"/>
  <c r="D365" i="9"/>
  <c r="E365" i="9"/>
  <c r="F365" i="9"/>
  <c r="G365" i="9"/>
  <c r="H365" i="9"/>
  <c r="C366" i="9"/>
  <c r="D366" i="9"/>
  <c r="C367" i="15" s="1"/>
  <c r="E366" i="9"/>
  <c r="D367" i="15" s="1"/>
  <c r="F366" i="9"/>
  <c r="E367" i="15" s="1"/>
  <c r="G366" i="9"/>
  <c r="F367" i="15" s="1"/>
  <c r="H366" i="9"/>
  <c r="C367" i="9"/>
  <c r="B368" i="15" s="1"/>
  <c r="D367" i="9"/>
  <c r="C368" i="15" s="1"/>
  <c r="E367" i="9"/>
  <c r="D368" i="15" s="1"/>
  <c r="F367" i="9"/>
  <c r="E368" i="15" s="1"/>
  <c r="G367" i="9"/>
  <c r="F368" i="15" s="1"/>
  <c r="H367" i="9"/>
  <c r="C368" i="9"/>
  <c r="D368" i="9"/>
  <c r="C369" i="15" s="1"/>
  <c r="E368" i="9"/>
  <c r="D369" i="15" s="1"/>
  <c r="F368" i="9"/>
  <c r="E369" i="15" s="1"/>
  <c r="G368" i="9"/>
  <c r="F369" i="15" s="1"/>
  <c r="H368" i="9"/>
  <c r="C369" i="9"/>
  <c r="D369" i="9"/>
  <c r="C370" i="15" s="1"/>
  <c r="E369" i="9"/>
  <c r="D370" i="15" s="1"/>
  <c r="F369" i="9"/>
  <c r="E370" i="15" s="1"/>
  <c r="G369" i="9"/>
  <c r="F370" i="15" s="1"/>
  <c r="H369" i="9"/>
  <c r="C370" i="9"/>
  <c r="B371" i="15" s="1"/>
  <c r="D370" i="9"/>
  <c r="C371" i="15" s="1"/>
  <c r="E370" i="9"/>
  <c r="D371" i="15" s="1"/>
  <c r="F370" i="9"/>
  <c r="E371" i="15" s="1"/>
  <c r="G370" i="9"/>
  <c r="F371" i="15" s="1"/>
  <c r="H370" i="9"/>
  <c r="C371" i="9"/>
  <c r="B372" i="15" s="1"/>
  <c r="D371" i="9"/>
  <c r="C372" i="15" s="1"/>
  <c r="E371" i="9"/>
  <c r="D372" i="15" s="1"/>
  <c r="F371" i="9"/>
  <c r="E372" i="15" s="1"/>
  <c r="G371" i="9"/>
  <c r="F372" i="15" s="1"/>
  <c r="H371" i="9"/>
  <c r="C372" i="9"/>
  <c r="B373" i="15" s="1"/>
  <c r="D372" i="9"/>
  <c r="C373" i="15" s="1"/>
  <c r="E372" i="9"/>
  <c r="D373" i="15" s="1"/>
  <c r="F372" i="9"/>
  <c r="E373" i="15" s="1"/>
  <c r="G372" i="9"/>
  <c r="F373" i="15" s="1"/>
  <c r="H372" i="9"/>
  <c r="C373" i="9"/>
  <c r="D373" i="9"/>
  <c r="C374" i="15" s="1"/>
  <c r="E373" i="9"/>
  <c r="D374" i="15" s="1"/>
  <c r="F373" i="9"/>
  <c r="E374" i="15" s="1"/>
  <c r="G373" i="9"/>
  <c r="F374" i="15" s="1"/>
  <c r="H373" i="9"/>
  <c r="C374" i="9"/>
  <c r="D374" i="9"/>
  <c r="C375" i="15" s="1"/>
  <c r="E374" i="9"/>
  <c r="D375" i="15" s="1"/>
  <c r="F374" i="9"/>
  <c r="E375" i="15" s="1"/>
  <c r="G374" i="9"/>
  <c r="F375" i="15" s="1"/>
  <c r="H374" i="9"/>
  <c r="C375" i="9"/>
  <c r="D375" i="9"/>
  <c r="C376" i="15" s="1"/>
  <c r="E375" i="9"/>
  <c r="D376" i="15" s="1"/>
  <c r="F375" i="9"/>
  <c r="E376" i="15" s="1"/>
  <c r="G375" i="9"/>
  <c r="F376" i="15" s="1"/>
  <c r="H375" i="9"/>
  <c r="G376" i="15" s="1"/>
  <c r="C376" i="9"/>
  <c r="D376" i="9"/>
  <c r="C377" i="15" s="1"/>
  <c r="E376" i="9"/>
  <c r="D377" i="15" s="1"/>
  <c r="F376" i="9"/>
  <c r="E377" i="15" s="1"/>
  <c r="G376" i="9"/>
  <c r="F377" i="15" s="1"/>
  <c r="H376" i="9"/>
  <c r="C377" i="9"/>
  <c r="D377" i="9"/>
  <c r="C378" i="15" s="1"/>
  <c r="E377" i="9"/>
  <c r="D378" i="15" s="1"/>
  <c r="F377" i="9"/>
  <c r="E378" i="15" s="1"/>
  <c r="G377" i="9"/>
  <c r="F378" i="15" s="1"/>
  <c r="H377" i="9"/>
  <c r="C378" i="9"/>
  <c r="D378" i="9"/>
  <c r="C379" i="15" s="1"/>
  <c r="E378" i="9"/>
  <c r="D379" i="15" s="1"/>
  <c r="F378" i="9"/>
  <c r="E379" i="15" s="1"/>
  <c r="G378" i="9"/>
  <c r="F379" i="15" s="1"/>
  <c r="H378" i="9"/>
  <c r="C379" i="9"/>
  <c r="D379" i="9"/>
  <c r="C380" i="15" s="1"/>
  <c r="E379" i="9"/>
  <c r="D380" i="15" s="1"/>
  <c r="F379" i="9"/>
  <c r="E380" i="15" s="1"/>
  <c r="G379" i="9"/>
  <c r="F380" i="15" s="1"/>
  <c r="H379" i="9"/>
  <c r="C380" i="9"/>
  <c r="B381" i="15" s="1"/>
  <c r="D380" i="9"/>
  <c r="C381" i="15" s="1"/>
  <c r="E380" i="9"/>
  <c r="D381" i="15" s="1"/>
  <c r="F380" i="9"/>
  <c r="E381" i="15" s="1"/>
  <c r="G380" i="9"/>
  <c r="F381" i="15" s="1"/>
  <c r="H380" i="9"/>
  <c r="C381" i="9"/>
  <c r="D381" i="9"/>
  <c r="C382" i="15" s="1"/>
  <c r="E381" i="9"/>
  <c r="D382" i="15" s="1"/>
  <c r="F381" i="9"/>
  <c r="E382" i="15" s="1"/>
  <c r="G381" i="9"/>
  <c r="F382" i="15" s="1"/>
  <c r="H381" i="9"/>
  <c r="C382" i="9"/>
  <c r="D382" i="9"/>
  <c r="C383" i="15" s="1"/>
  <c r="E382" i="9"/>
  <c r="D383" i="15" s="1"/>
  <c r="F382" i="9"/>
  <c r="E383" i="15" s="1"/>
  <c r="G382" i="9"/>
  <c r="F383" i="15" s="1"/>
  <c r="H382" i="9"/>
  <c r="C383" i="9"/>
  <c r="D383" i="9"/>
  <c r="C384" i="15" s="1"/>
  <c r="E383" i="9"/>
  <c r="D384" i="15" s="1"/>
  <c r="F383" i="9"/>
  <c r="E384" i="15" s="1"/>
  <c r="G383" i="9"/>
  <c r="F384" i="15" s="1"/>
  <c r="H383" i="9"/>
  <c r="C384" i="9"/>
  <c r="B385" i="15" s="1"/>
  <c r="D384" i="9"/>
  <c r="C385" i="15" s="1"/>
  <c r="E384" i="9"/>
  <c r="D385" i="15" s="1"/>
  <c r="F384" i="9"/>
  <c r="E385" i="15" s="1"/>
  <c r="G384" i="9"/>
  <c r="F385" i="15" s="1"/>
  <c r="H384" i="9"/>
  <c r="C385" i="9"/>
  <c r="D385" i="9"/>
  <c r="C386" i="15" s="1"/>
  <c r="E385" i="9"/>
  <c r="D386" i="15" s="1"/>
  <c r="F385" i="9"/>
  <c r="E386" i="15" s="1"/>
  <c r="G385" i="9"/>
  <c r="F386" i="15" s="1"/>
  <c r="H385" i="9"/>
  <c r="C386" i="9"/>
  <c r="D386" i="9"/>
  <c r="C387" i="15" s="1"/>
  <c r="E386" i="9"/>
  <c r="D387" i="15" s="1"/>
  <c r="F386" i="9"/>
  <c r="E387" i="15" s="1"/>
  <c r="G386" i="9"/>
  <c r="F387" i="15" s="1"/>
  <c r="H386" i="9"/>
  <c r="C387" i="9"/>
  <c r="D387" i="9"/>
  <c r="C388" i="15" s="1"/>
  <c r="E387" i="9"/>
  <c r="D388" i="15" s="1"/>
  <c r="F387" i="9"/>
  <c r="E388" i="15" s="1"/>
  <c r="G387" i="9"/>
  <c r="F388" i="15" s="1"/>
  <c r="H387" i="9"/>
  <c r="C388" i="9"/>
  <c r="D388" i="9"/>
  <c r="C389" i="15" s="1"/>
  <c r="E388" i="9"/>
  <c r="D389" i="15" s="1"/>
  <c r="F388" i="9"/>
  <c r="E389" i="15" s="1"/>
  <c r="G388" i="9"/>
  <c r="F389" i="15" s="1"/>
  <c r="H388" i="9"/>
  <c r="C389" i="9"/>
  <c r="D389" i="9"/>
  <c r="C390" i="15" s="1"/>
  <c r="E389" i="9"/>
  <c r="D390" i="15" s="1"/>
  <c r="F389" i="9"/>
  <c r="E390" i="15" s="1"/>
  <c r="G389" i="9"/>
  <c r="F390" i="15" s="1"/>
  <c r="H389" i="9"/>
  <c r="C390" i="9"/>
  <c r="D390" i="9"/>
  <c r="C391" i="15" s="1"/>
  <c r="E390" i="9"/>
  <c r="D391" i="15" s="1"/>
  <c r="F390" i="9"/>
  <c r="E391" i="15" s="1"/>
  <c r="G390" i="9"/>
  <c r="F391" i="15" s="1"/>
  <c r="H390" i="9"/>
  <c r="C391" i="9"/>
  <c r="D391" i="9"/>
  <c r="C392" i="15" s="1"/>
  <c r="E391" i="9"/>
  <c r="D392" i="15" s="1"/>
  <c r="F391" i="9"/>
  <c r="E392" i="15" s="1"/>
  <c r="G391" i="9"/>
  <c r="F392" i="15" s="1"/>
  <c r="H391" i="9"/>
  <c r="C392" i="9"/>
  <c r="D392" i="9"/>
  <c r="C393" i="15" s="1"/>
  <c r="E392" i="9"/>
  <c r="D393" i="15" s="1"/>
  <c r="F392" i="9"/>
  <c r="E393" i="15" s="1"/>
  <c r="G392" i="9"/>
  <c r="F393" i="15" s="1"/>
  <c r="H392" i="9"/>
  <c r="C393" i="9"/>
  <c r="D393" i="9"/>
  <c r="C394" i="15" s="1"/>
  <c r="E393" i="9"/>
  <c r="D394" i="15" s="1"/>
  <c r="F393" i="9"/>
  <c r="E394" i="15" s="1"/>
  <c r="G393" i="9"/>
  <c r="F394" i="15" s="1"/>
  <c r="H393" i="9"/>
  <c r="C394" i="9"/>
  <c r="D394" i="9"/>
  <c r="C395" i="15" s="1"/>
  <c r="E394" i="9"/>
  <c r="D395" i="15" s="1"/>
  <c r="F394" i="9"/>
  <c r="E395" i="15" s="1"/>
  <c r="G394" i="9"/>
  <c r="F395" i="15" s="1"/>
  <c r="H394" i="9"/>
  <c r="C395" i="9"/>
  <c r="D395" i="9"/>
  <c r="C396" i="15" s="1"/>
  <c r="E395" i="9"/>
  <c r="D396" i="15" s="1"/>
  <c r="F395" i="9"/>
  <c r="E396" i="15" s="1"/>
  <c r="G395" i="9"/>
  <c r="F396" i="15" s="1"/>
  <c r="H395" i="9"/>
  <c r="G396" i="15" s="1"/>
  <c r="C396" i="9"/>
  <c r="D396" i="9"/>
  <c r="C397" i="15" s="1"/>
  <c r="E396" i="9"/>
  <c r="D397" i="15" s="1"/>
  <c r="F396" i="9"/>
  <c r="E397" i="15" s="1"/>
  <c r="G396" i="9"/>
  <c r="F397" i="15" s="1"/>
  <c r="H396" i="9"/>
  <c r="C397" i="9"/>
  <c r="D397" i="9"/>
  <c r="C398" i="15" s="1"/>
  <c r="E397" i="9"/>
  <c r="D398" i="15" s="1"/>
  <c r="F397" i="9"/>
  <c r="E398" i="15" s="1"/>
  <c r="G397" i="9"/>
  <c r="F398" i="15" s="1"/>
  <c r="H397" i="9"/>
  <c r="C398" i="9"/>
  <c r="B399" i="15" s="1"/>
  <c r="D398" i="9"/>
  <c r="C399" i="15" s="1"/>
  <c r="E398" i="9"/>
  <c r="D399" i="15" s="1"/>
  <c r="F398" i="9"/>
  <c r="E399" i="15" s="1"/>
  <c r="G398" i="9"/>
  <c r="F399" i="15" s="1"/>
  <c r="H398" i="9"/>
  <c r="G399" i="15" s="1"/>
  <c r="C399" i="9"/>
  <c r="B400" i="15" s="1"/>
  <c r="D399" i="9"/>
  <c r="C400" i="15" s="1"/>
  <c r="E399" i="9"/>
  <c r="D400" i="15" s="1"/>
  <c r="F399" i="9"/>
  <c r="E400" i="15" s="1"/>
  <c r="G399" i="9"/>
  <c r="F400" i="15" s="1"/>
  <c r="H399" i="9"/>
  <c r="C400" i="9"/>
  <c r="B401" i="15" s="1"/>
  <c r="D400" i="9"/>
  <c r="C401" i="15" s="1"/>
  <c r="E400" i="9"/>
  <c r="D401" i="15" s="1"/>
  <c r="F400" i="9"/>
  <c r="E401" i="15" s="1"/>
  <c r="G400" i="9"/>
  <c r="F401" i="15" s="1"/>
  <c r="H400" i="9"/>
  <c r="C401" i="9"/>
  <c r="D401" i="9"/>
  <c r="C402" i="15" s="1"/>
  <c r="E401" i="9"/>
  <c r="D402" i="15" s="1"/>
  <c r="F401" i="9"/>
  <c r="E402" i="15" s="1"/>
  <c r="G401" i="9"/>
  <c r="F402" i="15" s="1"/>
  <c r="H401" i="9"/>
  <c r="C402" i="9"/>
  <c r="D402" i="9"/>
  <c r="C403" i="15" s="1"/>
  <c r="E402" i="9"/>
  <c r="D403" i="15" s="1"/>
  <c r="F402" i="9"/>
  <c r="E403" i="15" s="1"/>
  <c r="G402" i="9"/>
  <c r="F403" i="15" s="1"/>
  <c r="H402" i="9"/>
  <c r="C403" i="9"/>
  <c r="D403" i="9"/>
  <c r="C404" i="15" s="1"/>
  <c r="E403" i="9"/>
  <c r="D404" i="15" s="1"/>
  <c r="F403" i="9"/>
  <c r="E404" i="15" s="1"/>
  <c r="G403" i="9"/>
  <c r="F404" i="15" s="1"/>
  <c r="H403" i="9"/>
  <c r="C404" i="9"/>
  <c r="D404" i="9"/>
  <c r="C405" i="15" s="1"/>
  <c r="E404" i="9"/>
  <c r="D405" i="15" s="1"/>
  <c r="F404" i="9"/>
  <c r="E405" i="15" s="1"/>
  <c r="G404" i="9"/>
  <c r="F405" i="15" s="1"/>
  <c r="H404" i="9"/>
  <c r="C405" i="9"/>
  <c r="D405" i="9"/>
  <c r="C406" i="15" s="1"/>
  <c r="E405" i="9"/>
  <c r="D406" i="15" s="1"/>
  <c r="F405" i="9"/>
  <c r="E406" i="15" s="1"/>
  <c r="G405" i="9"/>
  <c r="F406" i="15" s="1"/>
  <c r="H405" i="9"/>
  <c r="C406" i="9"/>
  <c r="B407" i="15" s="1"/>
  <c r="D406" i="9"/>
  <c r="C407" i="15" s="1"/>
  <c r="E406" i="9"/>
  <c r="D407" i="15" s="1"/>
  <c r="F406" i="9"/>
  <c r="E407" i="15" s="1"/>
  <c r="G406" i="9"/>
  <c r="F407" i="15" s="1"/>
  <c r="H406" i="9"/>
  <c r="C407" i="9"/>
  <c r="D407" i="9"/>
  <c r="C408" i="15" s="1"/>
  <c r="E407" i="9"/>
  <c r="D408" i="15" s="1"/>
  <c r="F407" i="9"/>
  <c r="E408" i="15" s="1"/>
  <c r="G407" i="9"/>
  <c r="F408" i="15" s="1"/>
  <c r="H407" i="9"/>
  <c r="C408" i="9"/>
  <c r="B409" i="15" s="1"/>
  <c r="D408" i="9"/>
  <c r="C409" i="15" s="1"/>
  <c r="E408" i="9"/>
  <c r="D409" i="15" s="1"/>
  <c r="F408" i="9"/>
  <c r="E409" i="15" s="1"/>
  <c r="G408" i="9"/>
  <c r="F409" i="15" s="1"/>
  <c r="H408" i="9"/>
  <c r="C409" i="9"/>
  <c r="D409" i="9"/>
  <c r="C410" i="15" s="1"/>
  <c r="E409" i="9"/>
  <c r="D410" i="15" s="1"/>
  <c r="F409" i="9"/>
  <c r="E410" i="15" s="1"/>
  <c r="G409" i="9"/>
  <c r="F410" i="15" s="1"/>
  <c r="H409" i="9"/>
  <c r="C410" i="9"/>
  <c r="B411" i="15" s="1"/>
  <c r="D410" i="9"/>
  <c r="C411" i="15" s="1"/>
  <c r="E410" i="9"/>
  <c r="D411" i="15" s="1"/>
  <c r="F410" i="9"/>
  <c r="E411" i="15" s="1"/>
  <c r="G410" i="9"/>
  <c r="F411" i="15" s="1"/>
  <c r="H410" i="9"/>
  <c r="C411" i="9"/>
  <c r="B412" i="15" s="1"/>
  <c r="D411" i="9"/>
  <c r="C412" i="15" s="1"/>
  <c r="E411" i="9"/>
  <c r="D412" i="15" s="1"/>
  <c r="F411" i="9"/>
  <c r="E412" i="15" s="1"/>
  <c r="G411" i="9"/>
  <c r="F412" i="15" s="1"/>
  <c r="H411" i="9"/>
  <c r="C412" i="9"/>
  <c r="B413" i="15" s="1"/>
  <c r="D412" i="9"/>
  <c r="C413" i="15" s="1"/>
  <c r="E412" i="9"/>
  <c r="D413" i="15" s="1"/>
  <c r="F412" i="9"/>
  <c r="E413" i="15" s="1"/>
  <c r="G412" i="9"/>
  <c r="F413" i="15" s="1"/>
  <c r="H412" i="9"/>
  <c r="C413" i="9"/>
  <c r="B414" i="15" s="1"/>
  <c r="D413" i="9"/>
  <c r="C414" i="15" s="1"/>
  <c r="E413" i="9"/>
  <c r="D414" i="15" s="1"/>
  <c r="F413" i="9"/>
  <c r="E414" i="15" s="1"/>
  <c r="G413" i="9"/>
  <c r="F414" i="15" s="1"/>
  <c r="H413" i="9"/>
  <c r="C414" i="9"/>
  <c r="B415" i="15" s="1"/>
  <c r="D414" i="9"/>
  <c r="C415" i="15" s="1"/>
  <c r="E414" i="9"/>
  <c r="D415" i="15" s="1"/>
  <c r="F414" i="9"/>
  <c r="E415" i="15" s="1"/>
  <c r="G414" i="9"/>
  <c r="F415" i="15" s="1"/>
  <c r="H414" i="9"/>
  <c r="C415" i="9"/>
  <c r="D415" i="9"/>
  <c r="C416" i="15" s="1"/>
  <c r="E415" i="9"/>
  <c r="D416" i="15" s="1"/>
  <c r="F415" i="9"/>
  <c r="E416" i="15" s="1"/>
  <c r="G415" i="9"/>
  <c r="F416" i="15" s="1"/>
  <c r="H415" i="9"/>
  <c r="C416" i="9"/>
  <c r="D416" i="9"/>
  <c r="C417" i="15" s="1"/>
  <c r="E416" i="9"/>
  <c r="D417" i="15" s="1"/>
  <c r="F416" i="9"/>
  <c r="E417" i="15" s="1"/>
  <c r="G416" i="9"/>
  <c r="F417" i="15" s="1"/>
  <c r="H416" i="9"/>
  <c r="C417" i="9"/>
  <c r="D417" i="9"/>
  <c r="C418" i="15" s="1"/>
  <c r="E417" i="9"/>
  <c r="D418" i="15" s="1"/>
  <c r="F417" i="9"/>
  <c r="E418" i="15" s="1"/>
  <c r="G417" i="9"/>
  <c r="F418" i="15" s="1"/>
  <c r="H417" i="9"/>
  <c r="C418" i="9"/>
  <c r="B419" i="15" s="1"/>
  <c r="D418" i="9"/>
  <c r="C419" i="15" s="1"/>
  <c r="E418" i="9"/>
  <c r="D419" i="15" s="1"/>
  <c r="F418" i="9"/>
  <c r="E419" i="15" s="1"/>
  <c r="G418" i="9"/>
  <c r="F419" i="15" s="1"/>
  <c r="H418" i="9"/>
  <c r="J135" i="20"/>
  <c r="I136" i="14" s="1"/>
  <c r="J136" i="20"/>
  <c r="I137" i="14" s="1"/>
  <c r="AI135" i="20"/>
  <c r="AI136" i="20"/>
  <c r="AS51" i="14"/>
  <c r="AF51" i="14"/>
  <c r="AR51" i="14" s="1"/>
  <c r="L4" i="14"/>
  <c r="M4" i="14"/>
  <c r="N4" i="14"/>
  <c r="K4" i="14"/>
  <c r="J4" i="14"/>
  <c r="I4" i="14"/>
  <c r="H4" i="14"/>
  <c r="F4" i="14"/>
  <c r="E4" i="14"/>
  <c r="B4" i="14"/>
  <c r="C4" i="14"/>
  <c r="D4" i="14"/>
  <c r="G4" i="14" s="1"/>
  <c r="U338" i="20"/>
  <c r="U339" i="20"/>
  <c r="L339" i="20"/>
  <c r="L338" i="20"/>
  <c r="B339" i="20"/>
  <c r="A340" i="14" s="1"/>
  <c r="Q340" i="14" s="1"/>
  <c r="Q339" i="20"/>
  <c r="AD339" i="20"/>
  <c r="B338" i="20"/>
  <c r="A339" i="14" s="1"/>
  <c r="Q339" i="14" s="1"/>
  <c r="Q338" i="20"/>
  <c r="AD338" i="20"/>
  <c r="U336" i="20"/>
  <c r="U337" i="20"/>
  <c r="L337" i="20"/>
  <c r="L336" i="20"/>
  <c r="B337" i="20"/>
  <c r="A338" i="14" s="1"/>
  <c r="Q338" i="14" s="1"/>
  <c r="Q337" i="20"/>
  <c r="AD337" i="20"/>
  <c r="B336" i="20"/>
  <c r="Q336" i="20"/>
  <c r="AD336" i="20"/>
  <c r="U357" i="20"/>
  <c r="AG357" i="20"/>
  <c r="AI357" i="20"/>
  <c r="B357" i="20"/>
  <c r="A358" i="14" s="1"/>
  <c r="Q358" i="14" s="1"/>
  <c r="L357" i="20"/>
  <c r="Q357" i="20"/>
  <c r="L354" i="20"/>
  <c r="L355" i="20"/>
  <c r="L356" i="20"/>
  <c r="L353" i="20"/>
  <c r="U356" i="20"/>
  <c r="AG356" i="20"/>
  <c r="AI356" i="20"/>
  <c r="Q355" i="20"/>
  <c r="Q356" i="20"/>
  <c r="B356" i="20"/>
  <c r="U353" i="20"/>
  <c r="U354" i="20"/>
  <c r="U355" i="20"/>
  <c r="AG355" i="20"/>
  <c r="AI355" i="20"/>
  <c r="AG354" i="20"/>
  <c r="AI354" i="20"/>
  <c r="AG353" i="20"/>
  <c r="AI353" i="20"/>
  <c r="B355" i="20"/>
  <c r="B354" i="20"/>
  <c r="Q354" i="20"/>
  <c r="B353" i="20"/>
  <c r="A354" i="14" s="1"/>
  <c r="Q354" i="14" s="1"/>
  <c r="Q353" i="20"/>
  <c r="B352" i="20"/>
  <c r="A353" i="14" s="1"/>
  <c r="Q353" i="14" s="1"/>
  <c r="U351" i="20"/>
  <c r="U352" i="20"/>
  <c r="AG352" i="20"/>
  <c r="AI352" i="20"/>
  <c r="AG351" i="20"/>
  <c r="AI351" i="20"/>
  <c r="Q352" i="20"/>
  <c r="L352" i="20"/>
  <c r="L351" i="20"/>
  <c r="B351" i="20"/>
  <c r="Q351" i="20"/>
  <c r="J297" i="20"/>
  <c r="I298" i="14" s="1"/>
  <c r="U135" i="20"/>
  <c r="U136" i="20"/>
  <c r="AD272" i="20"/>
  <c r="AD273" i="20"/>
  <c r="AD274" i="20"/>
  <c r="AD291" i="20"/>
  <c r="AD290" i="20"/>
  <c r="AD289" i="20"/>
  <c r="AD288" i="20"/>
  <c r="AD278" i="20"/>
  <c r="AG360" i="20"/>
  <c r="AI360" i="20"/>
  <c r="L291" i="20"/>
  <c r="L290" i="20"/>
  <c r="Q291" i="20"/>
  <c r="Q290" i="20"/>
  <c r="U289" i="20"/>
  <c r="U290" i="20"/>
  <c r="U291" i="20"/>
  <c r="AG291" i="20"/>
  <c r="AG290" i="20"/>
  <c r="AG289" i="20"/>
  <c r="L289" i="20"/>
  <c r="B290" i="20"/>
  <c r="A291" i="14" s="1"/>
  <c r="Q291" i="14" s="1"/>
  <c r="B291" i="20"/>
  <c r="B289" i="20"/>
  <c r="A290" i="14" s="1"/>
  <c r="Q290" i="14" s="1"/>
  <c r="Q289" i="20"/>
  <c r="U287" i="20"/>
  <c r="U288" i="20"/>
  <c r="AG288" i="20"/>
  <c r="AI288" i="20"/>
  <c r="Q288" i="20"/>
  <c r="L288" i="20"/>
  <c r="B288" i="20"/>
  <c r="A289" i="14" s="1"/>
  <c r="Q289" i="14" s="1"/>
  <c r="L287" i="20"/>
  <c r="AG287" i="20"/>
  <c r="AI287" i="20"/>
  <c r="B287" i="20"/>
  <c r="Q287" i="20"/>
  <c r="AD287" i="20"/>
  <c r="AI416" i="20"/>
  <c r="AD418" i="20"/>
  <c r="AD419" i="20"/>
  <c r="U360" i="20"/>
  <c r="U280" i="20"/>
  <c r="U278" i="20"/>
  <c r="U271" i="20"/>
  <c r="U272" i="20"/>
  <c r="U273" i="20"/>
  <c r="U274" i="20"/>
  <c r="AG280" i="20"/>
  <c r="AI280" i="20"/>
  <c r="L280" i="20"/>
  <c r="B280" i="20"/>
  <c r="A281" i="14" s="1"/>
  <c r="Q281" i="14" s="1"/>
  <c r="Q280" i="20"/>
  <c r="AD280" i="20"/>
  <c r="AG278" i="20"/>
  <c r="AI278" i="20"/>
  <c r="AG274" i="20"/>
  <c r="AI274" i="20"/>
  <c r="AG273" i="20"/>
  <c r="AI273" i="20"/>
  <c r="Q278" i="20"/>
  <c r="Q274" i="20"/>
  <c r="L278" i="20"/>
  <c r="B278" i="20"/>
  <c r="L360" i="20"/>
  <c r="K361" i="14" s="1"/>
  <c r="B360" i="20"/>
  <c r="A361" i="14" s="1"/>
  <c r="Q361" i="14" s="1"/>
  <c r="Q360" i="20"/>
  <c r="L274" i="20"/>
  <c r="B272" i="20"/>
  <c r="B273" i="20"/>
  <c r="B274" i="20"/>
  <c r="Q272" i="20"/>
  <c r="Q273" i="20"/>
  <c r="L273" i="20"/>
  <c r="AG272" i="20"/>
  <c r="AI272" i="20"/>
  <c r="AG271" i="20"/>
  <c r="AI271" i="20"/>
  <c r="L272" i="20"/>
  <c r="L271" i="20"/>
  <c r="B271" i="20"/>
  <c r="A272" i="14" s="1"/>
  <c r="Q272" i="14" s="1"/>
  <c r="Q271" i="20"/>
  <c r="AD271" i="20"/>
  <c r="L136" i="20"/>
  <c r="L135" i="20"/>
  <c r="B136" i="20"/>
  <c r="AD136" i="20"/>
  <c r="B135" i="20"/>
  <c r="AD135" i="20"/>
  <c r="AJ215" i="20" l="1"/>
  <c r="AJ214" i="9" s="1"/>
  <c r="R358" i="15"/>
  <c r="AG279" i="9"/>
  <c r="R359" i="15"/>
  <c r="B134" i="9"/>
  <c r="A136" i="14"/>
  <c r="Q136" i="14" s="1"/>
  <c r="AK280" i="20"/>
  <c r="K281" i="14"/>
  <c r="AK135" i="20"/>
  <c r="AJ135" i="20" s="1"/>
  <c r="K136" i="14"/>
  <c r="B271" i="9"/>
  <c r="A273" i="14"/>
  <c r="Q273" i="14" s="1"/>
  <c r="AK287" i="20"/>
  <c r="AK286" i="9" s="1"/>
  <c r="K288" i="14"/>
  <c r="AK289" i="20"/>
  <c r="K290" i="14"/>
  <c r="B354" i="9"/>
  <c r="A356" i="14"/>
  <c r="Q356" i="14" s="1"/>
  <c r="AK353" i="20"/>
  <c r="K354" i="14"/>
  <c r="B335" i="9"/>
  <c r="A337" i="14"/>
  <c r="Q337" i="14" s="1"/>
  <c r="AK336" i="20"/>
  <c r="K337" i="14"/>
  <c r="E366" i="15"/>
  <c r="E367" i="17"/>
  <c r="C365" i="15"/>
  <c r="C366" i="17"/>
  <c r="E364" i="15"/>
  <c r="E365" i="17"/>
  <c r="C363" i="15"/>
  <c r="C364" i="17"/>
  <c r="E362" i="15"/>
  <c r="E363" i="17"/>
  <c r="C361" i="15"/>
  <c r="C362" i="17"/>
  <c r="E360" i="15"/>
  <c r="E361" i="17"/>
  <c r="C357" i="15"/>
  <c r="C358" i="17"/>
  <c r="E356" i="15"/>
  <c r="E357" i="17"/>
  <c r="C355" i="15"/>
  <c r="C356" i="17"/>
  <c r="E354" i="15"/>
  <c r="E355" i="17"/>
  <c r="C353" i="15"/>
  <c r="C354" i="17"/>
  <c r="E352" i="15"/>
  <c r="E353" i="17"/>
  <c r="C351" i="15"/>
  <c r="C352" i="17"/>
  <c r="E350" i="15"/>
  <c r="E351" i="17"/>
  <c r="C349" i="15"/>
  <c r="C350" i="17"/>
  <c r="E348" i="15"/>
  <c r="E349" i="17"/>
  <c r="C347" i="15"/>
  <c r="C348" i="17"/>
  <c r="E346" i="15"/>
  <c r="E347" i="17"/>
  <c r="C345" i="15"/>
  <c r="C346" i="17"/>
  <c r="E344" i="15"/>
  <c r="E345" i="17"/>
  <c r="C343" i="15"/>
  <c r="C344" i="17"/>
  <c r="E342" i="15"/>
  <c r="E343" i="17"/>
  <c r="C341" i="15"/>
  <c r="C342" i="17"/>
  <c r="E340" i="15"/>
  <c r="E341" i="17"/>
  <c r="C339" i="15"/>
  <c r="C340" i="17"/>
  <c r="E338" i="15"/>
  <c r="E339" i="17"/>
  <c r="C337" i="15"/>
  <c r="C338" i="17"/>
  <c r="E336" i="15"/>
  <c r="E337" i="17"/>
  <c r="C335" i="15"/>
  <c r="C336" i="17"/>
  <c r="E334" i="15"/>
  <c r="E335" i="17"/>
  <c r="C333" i="15"/>
  <c r="C334" i="17"/>
  <c r="E332" i="15"/>
  <c r="E333" i="17"/>
  <c r="C331" i="15"/>
  <c r="C332" i="17"/>
  <c r="E330" i="15"/>
  <c r="E331" i="17"/>
  <c r="C329" i="15"/>
  <c r="C330" i="17"/>
  <c r="E328" i="15"/>
  <c r="E329" i="17"/>
  <c r="C327" i="15"/>
  <c r="C328" i="17"/>
  <c r="E326" i="15"/>
  <c r="E327" i="17"/>
  <c r="C325" i="15"/>
  <c r="C326" i="17"/>
  <c r="E324" i="15"/>
  <c r="E325" i="17"/>
  <c r="C323" i="15"/>
  <c r="C324" i="17"/>
  <c r="E322" i="15"/>
  <c r="E323" i="17"/>
  <c r="C321" i="15"/>
  <c r="C322" i="17"/>
  <c r="E320" i="15"/>
  <c r="E321" i="17"/>
  <c r="C319" i="15"/>
  <c r="C320" i="17"/>
  <c r="E318" i="15"/>
  <c r="E319" i="17"/>
  <c r="C317" i="15"/>
  <c r="C318" i="17"/>
  <c r="E316" i="15"/>
  <c r="E317" i="17"/>
  <c r="G315" i="15"/>
  <c r="G316" i="17"/>
  <c r="C315" i="15"/>
  <c r="C316" i="17"/>
  <c r="E314" i="15"/>
  <c r="E315" i="17"/>
  <c r="C313" i="15"/>
  <c r="C314" i="17"/>
  <c r="E312" i="15"/>
  <c r="E313" i="17"/>
  <c r="C311" i="15"/>
  <c r="C312" i="17"/>
  <c r="E310" i="15"/>
  <c r="E311" i="17"/>
  <c r="C309" i="15"/>
  <c r="C310" i="17"/>
  <c r="E308" i="15"/>
  <c r="E309" i="17"/>
  <c r="C307" i="15"/>
  <c r="C308" i="17"/>
  <c r="E306" i="15"/>
  <c r="E307" i="17"/>
  <c r="C305" i="15"/>
  <c r="C306" i="17"/>
  <c r="E304" i="15"/>
  <c r="E305" i="17"/>
  <c r="G303" i="15"/>
  <c r="G304" i="17"/>
  <c r="C303" i="15"/>
  <c r="C304" i="17"/>
  <c r="E302" i="15"/>
  <c r="E303" i="17"/>
  <c r="C301" i="15"/>
  <c r="C302" i="17"/>
  <c r="E300" i="15"/>
  <c r="E301" i="17"/>
  <c r="C299" i="15"/>
  <c r="C300" i="17"/>
  <c r="E298" i="15"/>
  <c r="E299" i="17"/>
  <c r="C297" i="15"/>
  <c r="C298" i="17"/>
  <c r="E296" i="15"/>
  <c r="E297" i="17"/>
  <c r="C295" i="15"/>
  <c r="C296" i="17"/>
  <c r="E294" i="15"/>
  <c r="E295" i="17"/>
  <c r="C293" i="15"/>
  <c r="C294" i="17"/>
  <c r="E292" i="15"/>
  <c r="E293" i="17"/>
  <c r="C291" i="15"/>
  <c r="C292" i="17"/>
  <c r="E290" i="15"/>
  <c r="E291" i="17"/>
  <c r="C289" i="15"/>
  <c r="C290" i="17"/>
  <c r="E288" i="15"/>
  <c r="E289" i="17"/>
  <c r="G287" i="15"/>
  <c r="G288" i="17"/>
  <c r="C287" i="15"/>
  <c r="C288" i="17"/>
  <c r="E286" i="15"/>
  <c r="E287" i="17"/>
  <c r="C285" i="15"/>
  <c r="C286" i="17"/>
  <c r="E284" i="15"/>
  <c r="E285" i="17"/>
  <c r="C283" i="15"/>
  <c r="C284" i="17"/>
  <c r="E282" i="15"/>
  <c r="E283" i="17"/>
  <c r="C281" i="15"/>
  <c r="C282" i="17"/>
  <c r="E280" i="15"/>
  <c r="E281" i="17"/>
  <c r="C279" i="15"/>
  <c r="C280" i="17"/>
  <c r="E278" i="15"/>
  <c r="E279" i="17"/>
  <c r="C277" i="15"/>
  <c r="C278" i="17"/>
  <c r="E276" i="15"/>
  <c r="E277" i="17"/>
  <c r="C275" i="15"/>
  <c r="C276" i="17"/>
  <c r="E274" i="15"/>
  <c r="E275" i="17"/>
  <c r="C273" i="15"/>
  <c r="C274" i="17"/>
  <c r="E272" i="15"/>
  <c r="E273" i="17"/>
  <c r="C271" i="15"/>
  <c r="C272" i="17"/>
  <c r="E270" i="15"/>
  <c r="E271" i="17"/>
  <c r="C269" i="15"/>
  <c r="C270" i="17"/>
  <c r="E268" i="15"/>
  <c r="E269" i="17"/>
  <c r="C267" i="15"/>
  <c r="C268" i="17"/>
  <c r="E266" i="15"/>
  <c r="E267" i="17"/>
  <c r="C265" i="15"/>
  <c r="C266" i="17"/>
  <c r="E264" i="15"/>
  <c r="E265" i="17"/>
  <c r="C263" i="15"/>
  <c r="C264" i="17"/>
  <c r="E262" i="15"/>
  <c r="E263" i="17"/>
  <c r="C261" i="15"/>
  <c r="C262" i="17"/>
  <c r="E260" i="15"/>
  <c r="E261" i="17"/>
  <c r="C259" i="15"/>
  <c r="C260" i="17"/>
  <c r="E258" i="15"/>
  <c r="E259" i="17"/>
  <c r="C257" i="15"/>
  <c r="C258" i="17"/>
  <c r="E256" i="15"/>
  <c r="E257" i="17"/>
  <c r="C255" i="15"/>
  <c r="C256" i="17"/>
  <c r="E254" i="15"/>
  <c r="E255" i="17"/>
  <c r="C253" i="15"/>
  <c r="C254" i="17"/>
  <c r="E252" i="15"/>
  <c r="E253" i="17"/>
  <c r="C251" i="15"/>
  <c r="C252" i="17"/>
  <c r="E250" i="15"/>
  <c r="E251" i="17"/>
  <c r="G249" i="15"/>
  <c r="G250" i="17"/>
  <c r="C249" i="15"/>
  <c r="C250" i="17"/>
  <c r="E248" i="15"/>
  <c r="E249" i="17"/>
  <c r="G247" i="15"/>
  <c r="G248" i="17"/>
  <c r="C247" i="15"/>
  <c r="C248" i="17"/>
  <c r="E246" i="15"/>
  <c r="E247" i="17"/>
  <c r="C245" i="15"/>
  <c r="C246" i="17"/>
  <c r="E244" i="15"/>
  <c r="E245" i="17"/>
  <c r="C243" i="15"/>
  <c r="C244" i="17"/>
  <c r="E242" i="15"/>
  <c r="E243" i="17"/>
  <c r="C241" i="15"/>
  <c r="C242" i="17"/>
  <c r="E240" i="15"/>
  <c r="E241" i="17"/>
  <c r="C239" i="15"/>
  <c r="C240" i="17"/>
  <c r="E238" i="15"/>
  <c r="E239" i="17"/>
  <c r="C237" i="15"/>
  <c r="C238" i="17"/>
  <c r="E236" i="15"/>
  <c r="E237" i="17"/>
  <c r="C235" i="15"/>
  <c r="C236" i="17"/>
  <c r="E234" i="15"/>
  <c r="E235" i="17"/>
  <c r="C232" i="15"/>
  <c r="C233" i="17"/>
  <c r="E231" i="15"/>
  <c r="E232" i="17"/>
  <c r="C230" i="15"/>
  <c r="C231" i="17"/>
  <c r="E229" i="15"/>
  <c r="E230" i="17"/>
  <c r="C228" i="15"/>
  <c r="C229" i="17"/>
  <c r="E227" i="15"/>
  <c r="E228" i="17"/>
  <c r="C226" i="15"/>
  <c r="C227" i="17"/>
  <c r="E225" i="15"/>
  <c r="E226" i="17"/>
  <c r="C224" i="15"/>
  <c r="C225" i="17"/>
  <c r="E223" i="15"/>
  <c r="E224" i="17"/>
  <c r="C222" i="15"/>
  <c r="C223" i="17"/>
  <c r="E221" i="15"/>
  <c r="E222" i="17"/>
  <c r="C220" i="15"/>
  <c r="C221" i="17"/>
  <c r="E219" i="15"/>
  <c r="E220" i="17"/>
  <c r="C218" i="15"/>
  <c r="C219" i="17"/>
  <c r="E217" i="15"/>
  <c r="E218" i="17"/>
  <c r="C216" i="15"/>
  <c r="C217" i="17"/>
  <c r="E214" i="15"/>
  <c r="E215" i="17"/>
  <c r="C213" i="15"/>
  <c r="C214" i="17"/>
  <c r="E212" i="15"/>
  <c r="E213" i="17"/>
  <c r="C211" i="15"/>
  <c r="C212" i="17"/>
  <c r="E210" i="15"/>
  <c r="E211" i="17"/>
  <c r="C209" i="15"/>
  <c r="C210" i="17"/>
  <c r="E208" i="15"/>
  <c r="E209" i="17"/>
  <c r="C207" i="15"/>
  <c r="C208" i="17"/>
  <c r="E206" i="15"/>
  <c r="E207" i="17"/>
  <c r="C205" i="15"/>
  <c r="C206" i="17"/>
  <c r="E204" i="15"/>
  <c r="E205" i="17"/>
  <c r="G203" i="15"/>
  <c r="G204" i="17"/>
  <c r="C203" i="15"/>
  <c r="C204" i="17"/>
  <c r="E202" i="15"/>
  <c r="E203" i="17"/>
  <c r="C201" i="15"/>
  <c r="C202" i="17"/>
  <c r="E200" i="15"/>
  <c r="E201" i="17"/>
  <c r="C199" i="15"/>
  <c r="C200" i="17"/>
  <c r="E198" i="15"/>
  <c r="E199" i="17"/>
  <c r="C197" i="15"/>
  <c r="C198" i="17"/>
  <c r="E196" i="15"/>
  <c r="E197" i="17"/>
  <c r="C195" i="15"/>
  <c r="C196" i="17"/>
  <c r="E194" i="15"/>
  <c r="E195" i="17"/>
  <c r="C193" i="15"/>
  <c r="C194" i="17"/>
  <c r="E192" i="15"/>
  <c r="E193" i="17"/>
  <c r="C191" i="15"/>
  <c r="C192" i="17"/>
  <c r="E190" i="15"/>
  <c r="E191" i="17"/>
  <c r="C189" i="15"/>
  <c r="C190" i="17"/>
  <c r="E188" i="15"/>
  <c r="E189" i="17"/>
  <c r="C187" i="15"/>
  <c r="C188" i="17"/>
  <c r="E186" i="15"/>
  <c r="E187" i="17"/>
  <c r="C185" i="15"/>
  <c r="C186" i="17"/>
  <c r="E184" i="15"/>
  <c r="E185" i="17"/>
  <c r="C183" i="15"/>
  <c r="C184" i="17"/>
  <c r="E182" i="15"/>
  <c r="E183" i="17"/>
  <c r="C181" i="15"/>
  <c r="C182" i="17"/>
  <c r="E180" i="15"/>
  <c r="E181" i="17"/>
  <c r="C179" i="15"/>
  <c r="C180" i="17"/>
  <c r="E178" i="15"/>
  <c r="E179" i="17"/>
  <c r="C177" i="15"/>
  <c r="C178" i="17"/>
  <c r="E176" i="15"/>
  <c r="E177" i="17"/>
  <c r="C175" i="15"/>
  <c r="C176" i="17"/>
  <c r="E174" i="15"/>
  <c r="E175" i="17"/>
  <c r="G173" i="15"/>
  <c r="G174" i="17"/>
  <c r="C173" i="15"/>
  <c r="C174" i="17"/>
  <c r="E172" i="15"/>
  <c r="E173" i="17"/>
  <c r="C171" i="15"/>
  <c r="C172" i="17"/>
  <c r="E170" i="15"/>
  <c r="E171" i="17"/>
  <c r="C169" i="15"/>
  <c r="C170" i="17"/>
  <c r="E168" i="15"/>
  <c r="E169" i="17"/>
  <c r="G167" i="15"/>
  <c r="G168" i="17"/>
  <c r="C167" i="15"/>
  <c r="C168" i="17"/>
  <c r="E166" i="15"/>
  <c r="E167" i="17"/>
  <c r="G165" i="15"/>
  <c r="G166" i="17"/>
  <c r="C165" i="15"/>
  <c r="C166" i="17"/>
  <c r="E164" i="15"/>
  <c r="E165" i="17"/>
  <c r="C163" i="15"/>
  <c r="C164" i="17"/>
  <c r="E162" i="15"/>
  <c r="E163" i="17"/>
  <c r="C161" i="15"/>
  <c r="C162" i="17"/>
  <c r="E160" i="15"/>
  <c r="E161" i="17"/>
  <c r="C159" i="15"/>
  <c r="C160" i="17"/>
  <c r="E158" i="15"/>
  <c r="E159" i="17"/>
  <c r="C157" i="15"/>
  <c r="C158" i="17"/>
  <c r="E156" i="15"/>
  <c r="E157" i="17"/>
  <c r="C155" i="15"/>
  <c r="C156" i="17"/>
  <c r="E154" i="15"/>
  <c r="E155" i="17"/>
  <c r="G153" i="15"/>
  <c r="G154" i="17"/>
  <c r="C153" i="15"/>
  <c r="C154" i="17"/>
  <c r="E152" i="15"/>
  <c r="E153" i="17"/>
  <c r="C151" i="15"/>
  <c r="C152" i="17"/>
  <c r="E150" i="15"/>
  <c r="E151" i="17"/>
  <c r="C149" i="15"/>
  <c r="C150" i="17"/>
  <c r="E148" i="15"/>
  <c r="E149" i="17"/>
  <c r="C147" i="15"/>
  <c r="C148" i="17"/>
  <c r="E146" i="15"/>
  <c r="E147" i="17"/>
  <c r="C145" i="15"/>
  <c r="C146" i="17"/>
  <c r="E144" i="15"/>
  <c r="E145" i="17"/>
  <c r="AE358" i="20"/>
  <c r="AE357" i="9" s="1"/>
  <c r="H359" i="14"/>
  <c r="S359" i="14" s="1"/>
  <c r="AE359" i="20"/>
  <c r="AE358" i="9" s="1"/>
  <c r="H360" i="14"/>
  <c r="S360" i="14" s="1"/>
  <c r="R359" i="17"/>
  <c r="R360" i="17"/>
  <c r="AK136" i="20"/>
  <c r="AK135" i="9" s="1"/>
  <c r="K137" i="14"/>
  <c r="AK271" i="20"/>
  <c r="K272" i="14"/>
  <c r="AK274" i="20"/>
  <c r="AK273" i="9" s="1"/>
  <c r="K275" i="14"/>
  <c r="B277" i="9"/>
  <c r="A279" i="14"/>
  <c r="Q279" i="14" s="1"/>
  <c r="B286" i="9"/>
  <c r="A288" i="14"/>
  <c r="Q288" i="14" s="1"/>
  <c r="AK290" i="20"/>
  <c r="K291" i="14"/>
  <c r="B350" i="9"/>
  <c r="A352" i="14"/>
  <c r="Q352" i="14" s="1"/>
  <c r="AK356" i="20"/>
  <c r="K357" i="14"/>
  <c r="AK357" i="20"/>
  <c r="AJ357" i="20" s="1"/>
  <c r="AJ356" i="9" s="1"/>
  <c r="K358" i="14"/>
  <c r="AK337" i="20"/>
  <c r="K338" i="14"/>
  <c r="D366" i="15"/>
  <c r="G366" i="15" s="1"/>
  <c r="D367" i="17"/>
  <c r="G367" i="17" s="1"/>
  <c r="F365" i="15"/>
  <c r="F366" i="17"/>
  <c r="B365" i="15"/>
  <c r="P365" i="15" s="1"/>
  <c r="B366" i="17"/>
  <c r="D364" i="15"/>
  <c r="D365" i="17"/>
  <c r="G365" i="17" s="1"/>
  <c r="F363" i="15"/>
  <c r="F364" i="17"/>
  <c r="P364" i="17"/>
  <c r="D362" i="15"/>
  <c r="G362" i="15" s="1"/>
  <c r="D363" i="17"/>
  <c r="G363" i="17" s="1"/>
  <c r="F361" i="15"/>
  <c r="F362" i="17"/>
  <c r="P362" i="17"/>
  <c r="D360" i="15"/>
  <c r="G360" i="15" s="1"/>
  <c r="D361" i="17"/>
  <c r="F357" i="15"/>
  <c r="F358" i="17"/>
  <c r="P358" i="17"/>
  <c r="D356" i="15"/>
  <c r="D357" i="17"/>
  <c r="G357" i="17" s="1"/>
  <c r="F355" i="15"/>
  <c r="F356" i="17"/>
  <c r="B355" i="15"/>
  <c r="B356" i="17"/>
  <c r="D354" i="15"/>
  <c r="G354" i="15" s="1"/>
  <c r="D355" i="17"/>
  <c r="G355" i="17" s="1"/>
  <c r="F353" i="15"/>
  <c r="F354" i="17"/>
  <c r="P354" i="17"/>
  <c r="D352" i="15"/>
  <c r="G352" i="15" s="1"/>
  <c r="D353" i="17"/>
  <c r="G353" i="17" s="1"/>
  <c r="F351" i="15"/>
  <c r="F352" i="17"/>
  <c r="B351" i="15"/>
  <c r="P351" i="15" s="1"/>
  <c r="B352" i="17"/>
  <c r="D350" i="15"/>
  <c r="G350" i="15" s="1"/>
  <c r="D351" i="17"/>
  <c r="G351" i="17" s="1"/>
  <c r="F349" i="15"/>
  <c r="F350" i="17"/>
  <c r="P350" i="17"/>
  <c r="D348" i="15"/>
  <c r="G348" i="15" s="1"/>
  <c r="D349" i="17"/>
  <c r="G349" i="17" s="1"/>
  <c r="F347" i="15"/>
  <c r="F348" i="17"/>
  <c r="P348" i="17"/>
  <c r="D346" i="15"/>
  <c r="G346" i="15" s="1"/>
  <c r="D347" i="17"/>
  <c r="G347" i="17" s="1"/>
  <c r="F345" i="15"/>
  <c r="F346" i="17"/>
  <c r="P346" i="17"/>
  <c r="D344" i="15"/>
  <c r="D345" i="17"/>
  <c r="G345" i="17" s="1"/>
  <c r="F343" i="15"/>
  <c r="F344" i="17"/>
  <c r="B343" i="15"/>
  <c r="B344" i="17"/>
  <c r="D342" i="15"/>
  <c r="D343" i="17"/>
  <c r="G343" i="17" s="1"/>
  <c r="F341" i="15"/>
  <c r="F342" i="17"/>
  <c r="B341" i="15"/>
  <c r="P341" i="15" s="1"/>
  <c r="B342" i="17"/>
  <c r="D340" i="15"/>
  <c r="D341" i="17"/>
  <c r="G341" i="17" s="1"/>
  <c r="F339" i="15"/>
  <c r="F340" i="17"/>
  <c r="P340" i="17"/>
  <c r="D338" i="15"/>
  <c r="G338" i="15" s="1"/>
  <c r="D339" i="17"/>
  <c r="G339" i="17" s="1"/>
  <c r="F337" i="15"/>
  <c r="F338" i="17"/>
  <c r="P338" i="17"/>
  <c r="D336" i="15"/>
  <c r="G336" i="15" s="1"/>
  <c r="D337" i="17"/>
  <c r="G337" i="17" s="1"/>
  <c r="F335" i="15"/>
  <c r="F336" i="17"/>
  <c r="P336" i="17"/>
  <c r="D334" i="15"/>
  <c r="G334" i="15" s="1"/>
  <c r="D335" i="17"/>
  <c r="G335" i="17" s="1"/>
  <c r="F333" i="15"/>
  <c r="F334" i="17"/>
  <c r="P334" i="17"/>
  <c r="D332" i="15"/>
  <c r="D333" i="17"/>
  <c r="G333" i="17" s="1"/>
  <c r="F331" i="15"/>
  <c r="F332" i="17"/>
  <c r="P332" i="17"/>
  <c r="D330" i="15"/>
  <c r="D331" i="17"/>
  <c r="G331" i="17" s="1"/>
  <c r="F329" i="15"/>
  <c r="F330" i="17"/>
  <c r="P330" i="17"/>
  <c r="D328" i="15"/>
  <c r="G328" i="15" s="1"/>
  <c r="D329" i="17"/>
  <c r="G329" i="17" s="1"/>
  <c r="F327" i="15"/>
  <c r="F328" i="17"/>
  <c r="B327" i="15"/>
  <c r="P327" i="15" s="1"/>
  <c r="B328" i="17"/>
  <c r="D326" i="15"/>
  <c r="D327" i="17"/>
  <c r="G327" i="17" s="1"/>
  <c r="F325" i="15"/>
  <c r="F326" i="17"/>
  <c r="B325" i="15"/>
  <c r="B326" i="17"/>
  <c r="D324" i="15"/>
  <c r="G324" i="15" s="1"/>
  <c r="D325" i="17"/>
  <c r="G325" i="17" s="1"/>
  <c r="F323" i="15"/>
  <c r="F324" i="17"/>
  <c r="P324" i="17"/>
  <c r="D322" i="15"/>
  <c r="G322" i="15" s="1"/>
  <c r="D323" i="17"/>
  <c r="F321" i="15"/>
  <c r="F322" i="17"/>
  <c r="P322" i="17"/>
  <c r="D320" i="15"/>
  <c r="D321" i="17"/>
  <c r="G321" i="17" s="1"/>
  <c r="F319" i="15"/>
  <c r="F320" i="17"/>
  <c r="B319" i="15"/>
  <c r="B320" i="17"/>
  <c r="D318" i="15"/>
  <c r="G318" i="15" s="1"/>
  <c r="D319" i="17"/>
  <c r="G319" i="17" s="1"/>
  <c r="F317" i="15"/>
  <c r="F318" i="17"/>
  <c r="P318" i="17"/>
  <c r="D316" i="15"/>
  <c r="G316" i="15" s="1"/>
  <c r="D317" i="17"/>
  <c r="G317" i="17" s="1"/>
  <c r="F315" i="15"/>
  <c r="F316" i="17"/>
  <c r="P316" i="17"/>
  <c r="D314" i="15"/>
  <c r="D315" i="17"/>
  <c r="G315" i="17" s="1"/>
  <c r="F313" i="15"/>
  <c r="F314" i="17"/>
  <c r="B313" i="15"/>
  <c r="B314" i="17"/>
  <c r="D312" i="15"/>
  <c r="G312" i="15" s="1"/>
  <c r="D313" i="17"/>
  <c r="G313" i="17" s="1"/>
  <c r="F311" i="15"/>
  <c r="F312" i="17"/>
  <c r="P312" i="17"/>
  <c r="D310" i="15"/>
  <c r="G310" i="15" s="1"/>
  <c r="D311" i="17"/>
  <c r="G311" i="17" s="1"/>
  <c r="F309" i="15"/>
  <c r="F310" i="17"/>
  <c r="B309" i="15"/>
  <c r="P309" i="15" s="1"/>
  <c r="B310" i="17"/>
  <c r="D308" i="15"/>
  <c r="G308" i="15" s="1"/>
  <c r="D309" i="17"/>
  <c r="G309" i="17" s="1"/>
  <c r="F307" i="15"/>
  <c r="F308" i="17"/>
  <c r="B307" i="15"/>
  <c r="B308" i="17"/>
  <c r="D306" i="15"/>
  <c r="D307" i="17"/>
  <c r="G307" i="17" s="1"/>
  <c r="F305" i="15"/>
  <c r="F306" i="17"/>
  <c r="P306" i="17"/>
  <c r="D304" i="15"/>
  <c r="D305" i="17"/>
  <c r="F303" i="15"/>
  <c r="F304" i="17"/>
  <c r="B303" i="15"/>
  <c r="B304" i="17"/>
  <c r="D302" i="15"/>
  <c r="G302" i="15" s="1"/>
  <c r="D303" i="17"/>
  <c r="G303" i="17" s="1"/>
  <c r="F301" i="15"/>
  <c r="F302" i="17"/>
  <c r="P302" i="17"/>
  <c r="D300" i="15"/>
  <c r="D301" i="17"/>
  <c r="F299" i="15"/>
  <c r="F300" i="17"/>
  <c r="B299" i="15"/>
  <c r="P299" i="15" s="1"/>
  <c r="B300" i="17"/>
  <c r="D298" i="15"/>
  <c r="G298" i="15" s="1"/>
  <c r="D299" i="17"/>
  <c r="G299" i="17" s="1"/>
  <c r="F297" i="15"/>
  <c r="F298" i="17"/>
  <c r="P298" i="17"/>
  <c r="D296" i="15"/>
  <c r="G296" i="15" s="1"/>
  <c r="D297" i="17"/>
  <c r="G297" i="17" s="1"/>
  <c r="F295" i="15"/>
  <c r="F296" i="17"/>
  <c r="P296" i="17"/>
  <c r="D294" i="15"/>
  <c r="G294" i="15" s="1"/>
  <c r="D295" i="17"/>
  <c r="G295" i="17" s="1"/>
  <c r="F293" i="15"/>
  <c r="F294" i="17"/>
  <c r="P294" i="17"/>
  <c r="D292" i="15"/>
  <c r="D293" i="17"/>
  <c r="G293" i="17" s="1"/>
  <c r="F291" i="15"/>
  <c r="F292" i="17"/>
  <c r="P292" i="17"/>
  <c r="D290" i="15"/>
  <c r="G290" i="15" s="1"/>
  <c r="D291" i="17"/>
  <c r="G291" i="17" s="1"/>
  <c r="F289" i="15"/>
  <c r="F290" i="17"/>
  <c r="P290" i="17"/>
  <c r="D288" i="15"/>
  <c r="G288" i="15" s="1"/>
  <c r="D289" i="17"/>
  <c r="G289" i="17" s="1"/>
  <c r="F287" i="15"/>
  <c r="F288" i="17"/>
  <c r="P288" i="17"/>
  <c r="D286" i="15"/>
  <c r="G286" i="15" s="1"/>
  <c r="D287" i="17"/>
  <c r="G287" i="17" s="1"/>
  <c r="F285" i="15"/>
  <c r="F286" i="17"/>
  <c r="B285" i="15"/>
  <c r="P285" i="15" s="1"/>
  <c r="B286" i="17"/>
  <c r="D284" i="15"/>
  <c r="D285" i="17"/>
  <c r="G285" i="17" s="1"/>
  <c r="F283" i="15"/>
  <c r="F284" i="17"/>
  <c r="P284" i="17"/>
  <c r="D282" i="15"/>
  <c r="G282" i="15" s="1"/>
  <c r="D283" i="17"/>
  <c r="G283" i="17" s="1"/>
  <c r="F281" i="15"/>
  <c r="F282" i="17"/>
  <c r="P282" i="17"/>
  <c r="D280" i="15"/>
  <c r="G280" i="15" s="1"/>
  <c r="D281" i="17"/>
  <c r="F279" i="15"/>
  <c r="F280" i="17"/>
  <c r="P280" i="17"/>
  <c r="D278" i="15"/>
  <c r="D279" i="17"/>
  <c r="F277" i="15"/>
  <c r="F278" i="17"/>
  <c r="B277" i="15"/>
  <c r="B278" i="17"/>
  <c r="D276" i="15"/>
  <c r="G276" i="15" s="1"/>
  <c r="D277" i="17"/>
  <c r="G277" i="17" s="1"/>
  <c r="F275" i="15"/>
  <c r="F276" i="17"/>
  <c r="P276" i="17"/>
  <c r="D274" i="15"/>
  <c r="G274" i="15" s="1"/>
  <c r="D275" i="17"/>
  <c r="G275" i="17" s="1"/>
  <c r="F273" i="15"/>
  <c r="F274" i="17"/>
  <c r="P274" i="17"/>
  <c r="D272" i="15"/>
  <c r="D273" i="17"/>
  <c r="G273" i="17" s="1"/>
  <c r="F271" i="15"/>
  <c r="F272" i="17"/>
  <c r="B271" i="15"/>
  <c r="B272" i="17"/>
  <c r="D270" i="15"/>
  <c r="G270" i="15" s="1"/>
  <c r="D271" i="17"/>
  <c r="G271" i="17" s="1"/>
  <c r="F269" i="15"/>
  <c r="F270" i="17"/>
  <c r="B269" i="15"/>
  <c r="P269" i="15" s="1"/>
  <c r="B270" i="17"/>
  <c r="D268" i="15"/>
  <c r="D269" i="17"/>
  <c r="G269" i="17" s="1"/>
  <c r="F267" i="15"/>
  <c r="F268" i="17"/>
  <c r="B267" i="15"/>
  <c r="B268" i="17"/>
  <c r="D266" i="15"/>
  <c r="G266" i="15" s="1"/>
  <c r="D267" i="17"/>
  <c r="G267" i="17" s="1"/>
  <c r="F265" i="15"/>
  <c r="F266" i="17"/>
  <c r="P266" i="17"/>
  <c r="D264" i="15"/>
  <c r="D265" i="17"/>
  <c r="G265" i="17" s="1"/>
  <c r="F263" i="15"/>
  <c r="F264" i="17"/>
  <c r="P264" i="17"/>
  <c r="D262" i="15"/>
  <c r="D263" i="17"/>
  <c r="G263" i="17" s="1"/>
  <c r="F261" i="15"/>
  <c r="F262" i="17"/>
  <c r="B261" i="15"/>
  <c r="B262" i="17"/>
  <c r="D260" i="15"/>
  <c r="D261" i="17"/>
  <c r="F259" i="15"/>
  <c r="F260" i="17"/>
  <c r="P260" i="17"/>
  <c r="D258" i="15"/>
  <c r="G258" i="15" s="1"/>
  <c r="D259" i="17"/>
  <c r="F257" i="15"/>
  <c r="F258" i="17"/>
  <c r="D256" i="15"/>
  <c r="D257" i="17"/>
  <c r="G257" i="17" s="1"/>
  <c r="F255" i="15"/>
  <c r="F256" i="17"/>
  <c r="P256" i="17"/>
  <c r="D254" i="15"/>
  <c r="D255" i="17"/>
  <c r="G255" i="17" s="1"/>
  <c r="F253" i="15"/>
  <c r="F254" i="17"/>
  <c r="P254" i="17"/>
  <c r="D252" i="15"/>
  <c r="D253" i="17"/>
  <c r="G253" i="17" s="1"/>
  <c r="F251" i="15"/>
  <c r="F252" i="17"/>
  <c r="P252" i="17"/>
  <c r="D250" i="15"/>
  <c r="G250" i="15" s="1"/>
  <c r="D251" i="17"/>
  <c r="G251" i="17" s="1"/>
  <c r="F249" i="15"/>
  <c r="F250" i="17"/>
  <c r="P250" i="17"/>
  <c r="D248" i="15"/>
  <c r="D249" i="17"/>
  <c r="F247" i="15"/>
  <c r="F248" i="17"/>
  <c r="P248" i="17"/>
  <c r="D246" i="15"/>
  <c r="D247" i="17"/>
  <c r="G247" i="17" s="1"/>
  <c r="F245" i="15"/>
  <c r="F246" i="17"/>
  <c r="B245" i="15"/>
  <c r="B246" i="17"/>
  <c r="D244" i="15"/>
  <c r="G244" i="15" s="1"/>
  <c r="D245" i="17"/>
  <c r="G245" i="17" s="1"/>
  <c r="F243" i="15"/>
  <c r="F244" i="17"/>
  <c r="P244" i="17"/>
  <c r="D242" i="15"/>
  <c r="G242" i="15" s="1"/>
  <c r="D243" i="17"/>
  <c r="F241" i="15"/>
  <c r="F242" i="17"/>
  <c r="P242" i="17"/>
  <c r="D240" i="15"/>
  <c r="D241" i="17"/>
  <c r="G241" i="17" s="1"/>
  <c r="F239" i="15"/>
  <c r="F240" i="17"/>
  <c r="B239" i="15"/>
  <c r="B240" i="17"/>
  <c r="D238" i="15"/>
  <c r="D239" i="17"/>
  <c r="F237" i="15"/>
  <c r="F238" i="17"/>
  <c r="P238" i="17"/>
  <c r="D236" i="15"/>
  <c r="G236" i="15" s="1"/>
  <c r="D237" i="17"/>
  <c r="G237" i="17" s="1"/>
  <c r="F235" i="15"/>
  <c r="F236" i="17"/>
  <c r="P236" i="17"/>
  <c r="D234" i="15"/>
  <c r="D235" i="17"/>
  <c r="G235" i="17" s="1"/>
  <c r="F232" i="15"/>
  <c r="F233" i="17"/>
  <c r="B232" i="15"/>
  <c r="B233" i="17"/>
  <c r="D231" i="15"/>
  <c r="G231" i="15" s="1"/>
  <c r="D232" i="17"/>
  <c r="G232" i="17" s="1"/>
  <c r="F230" i="15"/>
  <c r="F231" i="17"/>
  <c r="P231" i="17"/>
  <c r="D229" i="15"/>
  <c r="G229" i="15" s="1"/>
  <c r="D230" i="17"/>
  <c r="G230" i="17" s="1"/>
  <c r="F228" i="15"/>
  <c r="F229" i="17"/>
  <c r="B228" i="15"/>
  <c r="P228" i="15" s="1"/>
  <c r="B229" i="17"/>
  <c r="D227" i="15"/>
  <c r="G227" i="15" s="1"/>
  <c r="D228" i="17"/>
  <c r="G228" i="17" s="1"/>
  <c r="F226" i="15"/>
  <c r="F227" i="17"/>
  <c r="B226" i="15"/>
  <c r="P226" i="15" s="1"/>
  <c r="B227" i="17"/>
  <c r="D225" i="15"/>
  <c r="D226" i="17"/>
  <c r="F224" i="15"/>
  <c r="F225" i="17"/>
  <c r="B224" i="15"/>
  <c r="P224" i="15" s="1"/>
  <c r="B225" i="17"/>
  <c r="D223" i="15"/>
  <c r="G223" i="15" s="1"/>
  <c r="D224" i="17"/>
  <c r="G224" i="17" s="1"/>
  <c r="F222" i="15"/>
  <c r="F223" i="17"/>
  <c r="B222" i="15"/>
  <c r="B223" i="17"/>
  <c r="D221" i="15"/>
  <c r="G221" i="15" s="1"/>
  <c r="D222" i="17"/>
  <c r="G222" i="17" s="1"/>
  <c r="F220" i="15"/>
  <c r="F221" i="17"/>
  <c r="B220" i="15"/>
  <c r="P220" i="15" s="1"/>
  <c r="B221" i="17"/>
  <c r="D219" i="15"/>
  <c r="G219" i="15" s="1"/>
  <c r="D220" i="17"/>
  <c r="G220" i="17" s="1"/>
  <c r="F218" i="15"/>
  <c r="F219" i="17"/>
  <c r="B218" i="15"/>
  <c r="P218" i="15" s="1"/>
  <c r="B219" i="17"/>
  <c r="D217" i="15"/>
  <c r="G217" i="15" s="1"/>
  <c r="D218" i="17"/>
  <c r="G218" i="17" s="1"/>
  <c r="F216" i="15"/>
  <c r="F217" i="17"/>
  <c r="B216" i="15"/>
  <c r="P216" i="15" s="1"/>
  <c r="B217" i="17"/>
  <c r="D214" i="15"/>
  <c r="D215" i="17"/>
  <c r="G215" i="17" s="1"/>
  <c r="F213" i="15"/>
  <c r="F214" i="17"/>
  <c r="D212" i="15"/>
  <c r="D213" i="17"/>
  <c r="G213" i="17" s="1"/>
  <c r="F211" i="15"/>
  <c r="F212" i="17"/>
  <c r="B211" i="15"/>
  <c r="B212" i="17"/>
  <c r="P212" i="17" s="1"/>
  <c r="D210" i="15"/>
  <c r="D211" i="17"/>
  <c r="G211" i="17" s="1"/>
  <c r="F209" i="15"/>
  <c r="F210" i="17"/>
  <c r="U208" i="9"/>
  <c r="B210" i="17"/>
  <c r="P210" i="17" s="1"/>
  <c r="D208" i="15"/>
  <c r="D209" i="17"/>
  <c r="G209" i="17" s="1"/>
  <c r="F207" i="15"/>
  <c r="F208" i="17"/>
  <c r="Q206" i="9"/>
  <c r="B208" i="17"/>
  <c r="D206" i="15"/>
  <c r="D207" i="17"/>
  <c r="F205" i="15"/>
  <c r="F206" i="17"/>
  <c r="B205" i="15"/>
  <c r="P205" i="15" s="1"/>
  <c r="B206" i="17"/>
  <c r="D204" i="15"/>
  <c r="D205" i="17"/>
  <c r="G205" i="17" s="1"/>
  <c r="F203" i="15"/>
  <c r="F204" i="17"/>
  <c r="Q202" i="9"/>
  <c r="B204" i="17"/>
  <c r="D202" i="15"/>
  <c r="D203" i="17"/>
  <c r="G203" i="17" s="1"/>
  <c r="F201" i="15"/>
  <c r="F202" i="17"/>
  <c r="U200" i="9"/>
  <c r="B202" i="17"/>
  <c r="D200" i="15"/>
  <c r="D201" i="17"/>
  <c r="G201" i="17" s="1"/>
  <c r="F199" i="15"/>
  <c r="F200" i="17"/>
  <c r="X198" i="9"/>
  <c r="B200" i="17"/>
  <c r="D198" i="15"/>
  <c r="G198" i="15" s="1"/>
  <c r="D199" i="17"/>
  <c r="G199" i="17" s="1"/>
  <c r="F197" i="15"/>
  <c r="F198" i="17"/>
  <c r="P198" i="17"/>
  <c r="D196" i="15"/>
  <c r="D197" i="17"/>
  <c r="G197" i="17" s="1"/>
  <c r="F195" i="15"/>
  <c r="F196" i="17"/>
  <c r="B195" i="15"/>
  <c r="B196" i="17"/>
  <c r="D194" i="15"/>
  <c r="G194" i="15" s="1"/>
  <c r="D195" i="17"/>
  <c r="G195" i="17" s="1"/>
  <c r="F193" i="15"/>
  <c r="F194" i="17"/>
  <c r="Q192" i="9"/>
  <c r="B194" i="17"/>
  <c r="D192" i="15"/>
  <c r="D193" i="17"/>
  <c r="G193" i="17" s="1"/>
  <c r="F191" i="15"/>
  <c r="F192" i="17"/>
  <c r="O190" i="9"/>
  <c r="M192" i="17" s="1"/>
  <c r="B192" i="17"/>
  <c r="D190" i="15"/>
  <c r="G190" i="15" s="1"/>
  <c r="D191" i="17"/>
  <c r="G191" i="17" s="1"/>
  <c r="F189" i="15"/>
  <c r="F190" i="17"/>
  <c r="P190" i="17"/>
  <c r="D188" i="15"/>
  <c r="D189" i="17"/>
  <c r="G189" i="17" s="1"/>
  <c r="F187" i="15"/>
  <c r="F188" i="17"/>
  <c r="Q186" i="9"/>
  <c r="B188" i="17"/>
  <c r="D186" i="15"/>
  <c r="D187" i="17"/>
  <c r="G187" i="17" s="1"/>
  <c r="F185" i="15"/>
  <c r="F186" i="17"/>
  <c r="U184" i="9"/>
  <c r="B186" i="17"/>
  <c r="D184" i="15"/>
  <c r="D185" i="17"/>
  <c r="G185" i="17" s="1"/>
  <c r="F183" i="15"/>
  <c r="F184" i="17"/>
  <c r="P184" i="17"/>
  <c r="D182" i="15"/>
  <c r="D183" i="17"/>
  <c r="G183" i="17" s="1"/>
  <c r="F181" i="15"/>
  <c r="F182" i="17"/>
  <c r="S180" i="9"/>
  <c r="B182" i="17"/>
  <c r="D180" i="15"/>
  <c r="G180" i="15" s="1"/>
  <c r="D181" i="17"/>
  <c r="G181" i="17" s="1"/>
  <c r="F179" i="15"/>
  <c r="F180" i="17"/>
  <c r="P180" i="17"/>
  <c r="D178" i="15"/>
  <c r="D179" i="17"/>
  <c r="G179" i="17" s="1"/>
  <c r="F177" i="15"/>
  <c r="F178" i="17"/>
  <c r="P178" i="17"/>
  <c r="D176" i="15"/>
  <c r="D177" i="17"/>
  <c r="G177" i="17" s="1"/>
  <c r="F175" i="15"/>
  <c r="F176" i="17"/>
  <c r="B175" i="15"/>
  <c r="B176" i="17"/>
  <c r="D174" i="15"/>
  <c r="D175" i="17"/>
  <c r="G175" i="17" s="1"/>
  <c r="F173" i="15"/>
  <c r="F174" i="17"/>
  <c r="B173" i="15"/>
  <c r="P173" i="15" s="1"/>
  <c r="B174" i="17"/>
  <c r="D172" i="15"/>
  <c r="D173" i="17"/>
  <c r="G173" i="17" s="1"/>
  <c r="F171" i="15"/>
  <c r="F172" i="17"/>
  <c r="B171" i="15"/>
  <c r="P171" i="15" s="1"/>
  <c r="B172" i="17"/>
  <c r="D170" i="15"/>
  <c r="G170" i="15" s="1"/>
  <c r="D171" i="17"/>
  <c r="G171" i="17" s="1"/>
  <c r="F169" i="15"/>
  <c r="F170" i="17"/>
  <c r="AA168" i="9"/>
  <c r="B170" i="17"/>
  <c r="D168" i="15"/>
  <c r="D169" i="17"/>
  <c r="F167" i="15"/>
  <c r="F168" i="17"/>
  <c r="X166" i="9"/>
  <c r="B168" i="17"/>
  <c r="D166" i="15"/>
  <c r="G166" i="15" s="1"/>
  <c r="D167" i="17"/>
  <c r="G167" i="17" s="1"/>
  <c r="F165" i="15"/>
  <c r="F166" i="17"/>
  <c r="M164" i="9"/>
  <c r="K166" i="17" s="1"/>
  <c r="B166" i="17"/>
  <c r="D164" i="15"/>
  <c r="D165" i="17"/>
  <c r="G165" i="17" s="1"/>
  <c r="F163" i="15"/>
  <c r="F164" i="17"/>
  <c r="B163" i="15"/>
  <c r="P163" i="15" s="1"/>
  <c r="B164" i="17"/>
  <c r="D162" i="15"/>
  <c r="G162" i="15" s="1"/>
  <c r="D163" i="17"/>
  <c r="G163" i="17" s="1"/>
  <c r="F161" i="15"/>
  <c r="F162" i="17"/>
  <c r="N160" i="9"/>
  <c r="L161" i="15" s="1"/>
  <c r="B162" i="17"/>
  <c r="D160" i="15"/>
  <c r="D161" i="17"/>
  <c r="G161" i="17" s="1"/>
  <c r="F159" i="15"/>
  <c r="F160" i="17"/>
  <c r="B159" i="15"/>
  <c r="P159" i="15" s="1"/>
  <c r="B160" i="17"/>
  <c r="D158" i="15"/>
  <c r="D159" i="17"/>
  <c r="G159" i="17" s="1"/>
  <c r="F157" i="15"/>
  <c r="F158" i="17"/>
  <c r="M156" i="9"/>
  <c r="K158" i="17" s="1"/>
  <c r="B158" i="17"/>
  <c r="D156" i="15"/>
  <c r="D157" i="17"/>
  <c r="F155" i="15"/>
  <c r="F156" i="17"/>
  <c r="U154" i="9"/>
  <c r="B156" i="17"/>
  <c r="D154" i="15"/>
  <c r="D155" i="17"/>
  <c r="G155" i="17" s="1"/>
  <c r="F153" i="15"/>
  <c r="F154" i="17"/>
  <c r="P154" i="17"/>
  <c r="D152" i="15"/>
  <c r="D153" i="17"/>
  <c r="F151" i="15"/>
  <c r="F152" i="17"/>
  <c r="M150" i="9"/>
  <c r="K152" i="17" s="1"/>
  <c r="B152" i="17"/>
  <c r="D150" i="15"/>
  <c r="D151" i="17"/>
  <c r="G151" i="17" s="1"/>
  <c r="F149" i="15"/>
  <c r="F150" i="17"/>
  <c r="AA148" i="9"/>
  <c r="B150" i="17"/>
  <c r="D148" i="15"/>
  <c r="D149" i="17"/>
  <c r="G149" i="17" s="1"/>
  <c r="F147" i="15"/>
  <c r="F148" i="17"/>
  <c r="B147" i="15"/>
  <c r="P147" i="15" s="1"/>
  <c r="B148" i="17"/>
  <c r="D146" i="15"/>
  <c r="D147" i="17"/>
  <c r="G147" i="17" s="1"/>
  <c r="F145" i="15"/>
  <c r="F146" i="17"/>
  <c r="P146" i="17"/>
  <c r="D144" i="15"/>
  <c r="G144" i="15" s="1"/>
  <c r="D145" i="17"/>
  <c r="G145" i="17" s="1"/>
  <c r="A359" i="15"/>
  <c r="A360" i="17"/>
  <c r="Q360" i="17" s="1"/>
  <c r="R233" i="15"/>
  <c r="AK278" i="20"/>
  <c r="AJ278" i="20" s="1"/>
  <c r="K279" i="14"/>
  <c r="AK291" i="20"/>
  <c r="K292" i="14"/>
  <c r="AK351" i="20"/>
  <c r="AJ351" i="20" s="1"/>
  <c r="AJ350" i="9" s="1"/>
  <c r="K352" i="14"/>
  <c r="B355" i="9"/>
  <c r="A357" i="14"/>
  <c r="Q357" i="14" s="1"/>
  <c r="AK355" i="20"/>
  <c r="AJ355" i="20" s="1"/>
  <c r="AJ354" i="9" s="1"/>
  <c r="K356" i="14"/>
  <c r="AK338" i="20"/>
  <c r="K339" i="14"/>
  <c r="C366" i="15"/>
  <c r="C367" i="17"/>
  <c r="E365" i="15"/>
  <c r="E366" i="17"/>
  <c r="C364" i="15"/>
  <c r="C365" i="17"/>
  <c r="E363" i="15"/>
  <c r="E364" i="17"/>
  <c r="C362" i="15"/>
  <c r="C363" i="17"/>
  <c r="E361" i="15"/>
  <c r="E362" i="17"/>
  <c r="G361" i="17"/>
  <c r="C360" i="15"/>
  <c r="C361" i="17"/>
  <c r="E357" i="15"/>
  <c r="E358" i="17"/>
  <c r="C356" i="15"/>
  <c r="C357" i="17"/>
  <c r="E355" i="15"/>
  <c r="E356" i="17"/>
  <c r="C354" i="15"/>
  <c r="C355" i="17"/>
  <c r="E353" i="15"/>
  <c r="E354" i="17"/>
  <c r="C352" i="15"/>
  <c r="C353" i="17"/>
  <c r="E351" i="15"/>
  <c r="E352" i="17"/>
  <c r="C350" i="15"/>
  <c r="C351" i="17"/>
  <c r="E349" i="15"/>
  <c r="E350" i="17"/>
  <c r="C348" i="15"/>
  <c r="C349" i="17"/>
  <c r="E347" i="15"/>
  <c r="E348" i="17"/>
  <c r="C346" i="15"/>
  <c r="C347" i="17"/>
  <c r="E345" i="15"/>
  <c r="E346" i="17"/>
  <c r="C344" i="15"/>
  <c r="C345" i="17"/>
  <c r="E343" i="15"/>
  <c r="E344" i="17"/>
  <c r="C342" i="15"/>
  <c r="C343" i="17"/>
  <c r="E341" i="15"/>
  <c r="E342" i="17"/>
  <c r="C340" i="15"/>
  <c r="C341" i="17"/>
  <c r="E339" i="15"/>
  <c r="E340" i="17"/>
  <c r="C338" i="15"/>
  <c r="C339" i="17"/>
  <c r="E337" i="15"/>
  <c r="E338" i="17"/>
  <c r="C336" i="15"/>
  <c r="C337" i="17"/>
  <c r="E335" i="15"/>
  <c r="E336" i="17"/>
  <c r="C334" i="15"/>
  <c r="C335" i="17"/>
  <c r="E333" i="15"/>
  <c r="E334" i="17"/>
  <c r="C332" i="15"/>
  <c r="C333" i="17"/>
  <c r="E331" i="15"/>
  <c r="E332" i="17"/>
  <c r="C330" i="15"/>
  <c r="C331" i="17"/>
  <c r="E329" i="15"/>
  <c r="E330" i="17"/>
  <c r="C328" i="15"/>
  <c r="C329" i="17"/>
  <c r="E327" i="15"/>
  <c r="E328" i="17"/>
  <c r="C326" i="15"/>
  <c r="C327" i="17"/>
  <c r="E325" i="15"/>
  <c r="E326" i="17"/>
  <c r="C324" i="15"/>
  <c r="C325" i="17"/>
  <c r="E323" i="15"/>
  <c r="E324" i="17"/>
  <c r="G323" i="17"/>
  <c r="C322" i="15"/>
  <c r="C323" i="17"/>
  <c r="E321" i="15"/>
  <c r="E322" i="17"/>
  <c r="C320" i="15"/>
  <c r="C321" i="17"/>
  <c r="E319" i="15"/>
  <c r="E320" i="17"/>
  <c r="C318" i="15"/>
  <c r="C319" i="17"/>
  <c r="E317" i="15"/>
  <c r="E318" i="17"/>
  <c r="C316" i="15"/>
  <c r="C317" i="17"/>
  <c r="E315" i="15"/>
  <c r="E316" i="17"/>
  <c r="C314" i="15"/>
  <c r="C315" i="17"/>
  <c r="E313" i="15"/>
  <c r="E314" i="17"/>
  <c r="C312" i="15"/>
  <c r="C313" i="17"/>
  <c r="E311" i="15"/>
  <c r="E312" i="17"/>
  <c r="C310" i="15"/>
  <c r="C311" i="17"/>
  <c r="E309" i="15"/>
  <c r="E310" i="17"/>
  <c r="C308" i="15"/>
  <c r="C309" i="17"/>
  <c r="E307" i="15"/>
  <c r="E308" i="17"/>
  <c r="C306" i="15"/>
  <c r="C307" i="17"/>
  <c r="E305" i="15"/>
  <c r="E306" i="17"/>
  <c r="G304" i="15"/>
  <c r="G305" i="17"/>
  <c r="C304" i="15"/>
  <c r="C305" i="17"/>
  <c r="E303" i="15"/>
  <c r="E304" i="17"/>
  <c r="C302" i="15"/>
  <c r="C303" i="17"/>
  <c r="E301" i="15"/>
  <c r="E302" i="17"/>
  <c r="G300" i="15"/>
  <c r="G301" i="17"/>
  <c r="C300" i="15"/>
  <c r="C301" i="17"/>
  <c r="E299" i="15"/>
  <c r="E300" i="17"/>
  <c r="C298" i="15"/>
  <c r="C299" i="17"/>
  <c r="E297" i="15"/>
  <c r="E298" i="17"/>
  <c r="C296" i="15"/>
  <c r="C297" i="17"/>
  <c r="E295" i="15"/>
  <c r="E296" i="17"/>
  <c r="C294" i="15"/>
  <c r="C295" i="17"/>
  <c r="E293" i="15"/>
  <c r="E294" i="17"/>
  <c r="C292" i="15"/>
  <c r="C293" i="17"/>
  <c r="E291" i="15"/>
  <c r="E292" i="17"/>
  <c r="C290" i="15"/>
  <c r="C291" i="17"/>
  <c r="E289" i="15"/>
  <c r="E290" i="17"/>
  <c r="C288" i="15"/>
  <c r="C289" i="17"/>
  <c r="E287" i="15"/>
  <c r="E288" i="17"/>
  <c r="C286" i="15"/>
  <c r="C287" i="17"/>
  <c r="E285" i="15"/>
  <c r="E286" i="17"/>
  <c r="C284" i="15"/>
  <c r="C285" i="17"/>
  <c r="E283" i="15"/>
  <c r="E284" i="17"/>
  <c r="C282" i="15"/>
  <c r="C283" i="17"/>
  <c r="E281" i="15"/>
  <c r="E282" i="17"/>
  <c r="G281" i="17"/>
  <c r="C280" i="15"/>
  <c r="C281" i="17"/>
  <c r="E279" i="15"/>
  <c r="E280" i="17"/>
  <c r="G279" i="17"/>
  <c r="C278" i="15"/>
  <c r="C279" i="17"/>
  <c r="E277" i="15"/>
  <c r="E278" i="17"/>
  <c r="C276" i="15"/>
  <c r="C277" i="17"/>
  <c r="E275" i="15"/>
  <c r="E276" i="17"/>
  <c r="C274" i="15"/>
  <c r="C275" i="17"/>
  <c r="E273" i="15"/>
  <c r="E274" i="17"/>
  <c r="C272" i="15"/>
  <c r="C273" i="17"/>
  <c r="E271" i="15"/>
  <c r="E272" i="17"/>
  <c r="C270" i="15"/>
  <c r="C271" i="17"/>
  <c r="E269" i="15"/>
  <c r="E270" i="17"/>
  <c r="C268" i="15"/>
  <c r="C269" i="17"/>
  <c r="E267" i="15"/>
  <c r="E268" i="17"/>
  <c r="C266" i="15"/>
  <c r="C267" i="17"/>
  <c r="E265" i="15"/>
  <c r="E266" i="17"/>
  <c r="C264" i="15"/>
  <c r="C265" i="17"/>
  <c r="E263" i="15"/>
  <c r="E264" i="17"/>
  <c r="C262" i="15"/>
  <c r="C263" i="17"/>
  <c r="E261" i="15"/>
  <c r="E262" i="17"/>
  <c r="G261" i="17"/>
  <c r="C260" i="15"/>
  <c r="C261" i="17"/>
  <c r="E259" i="15"/>
  <c r="E260" i="17"/>
  <c r="G259" i="17"/>
  <c r="C258" i="15"/>
  <c r="C259" i="17"/>
  <c r="E257" i="15"/>
  <c r="E258" i="17"/>
  <c r="C256" i="15"/>
  <c r="C257" i="17"/>
  <c r="E255" i="15"/>
  <c r="E256" i="17"/>
  <c r="C254" i="15"/>
  <c r="C255" i="17"/>
  <c r="E253" i="15"/>
  <c r="E254" i="17"/>
  <c r="C252" i="15"/>
  <c r="C253" i="17"/>
  <c r="E251" i="15"/>
  <c r="E252" i="17"/>
  <c r="C250" i="15"/>
  <c r="C251" i="17"/>
  <c r="E249" i="15"/>
  <c r="E250" i="17"/>
  <c r="G248" i="15"/>
  <c r="G249" i="17"/>
  <c r="C248" i="15"/>
  <c r="C249" i="17"/>
  <c r="E247" i="15"/>
  <c r="E248" i="17"/>
  <c r="C246" i="15"/>
  <c r="C247" i="17"/>
  <c r="E245" i="15"/>
  <c r="E246" i="17"/>
  <c r="C244" i="15"/>
  <c r="C245" i="17"/>
  <c r="E243" i="15"/>
  <c r="E244" i="17"/>
  <c r="G243" i="17"/>
  <c r="C242" i="15"/>
  <c r="C243" i="17"/>
  <c r="E241" i="15"/>
  <c r="E242" i="17"/>
  <c r="C240" i="15"/>
  <c r="C241" i="17"/>
  <c r="E239" i="15"/>
  <c r="E240" i="17"/>
  <c r="G238" i="15"/>
  <c r="G239" i="17"/>
  <c r="C238" i="15"/>
  <c r="C239" i="17"/>
  <c r="E237" i="15"/>
  <c r="E238" i="17"/>
  <c r="C236" i="15"/>
  <c r="C237" i="17"/>
  <c r="E235" i="15"/>
  <c r="E236" i="17"/>
  <c r="C234" i="15"/>
  <c r="C235" i="17"/>
  <c r="E232" i="15"/>
  <c r="E233" i="17"/>
  <c r="C231" i="15"/>
  <c r="C232" i="17"/>
  <c r="E230" i="15"/>
  <c r="E231" i="17"/>
  <c r="C229" i="15"/>
  <c r="C230" i="17"/>
  <c r="E228" i="15"/>
  <c r="E229" i="17"/>
  <c r="C227" i="15"/>
  <c r="C228" i="17"/>
  <c r="E226" i="15"/>
  <c r="E227" i="17"/>
  <c r="G226" i="17"/>
  <c r="C225" i="15"/>
  <c r="C226" i="17"/>
  <c r="E224" i="15"/>
  <c r="E225" i="17"/>
  <c r="C223" i="15"/>
  <c r="C224" i="17"/>
  <c r="E222" i="15"/>
  <c r="E223" i="17"/>
  <c r="C221" i="15"/>
  <c r="C222" i="17"/>
  <c r="E220" i="15"/>
  <c r="E221" i="17"/>
  <c r="C219" i="15"/>
  <c r="C220" i="17"/>
  <c r="E218" i="15"/>
  <c r="E219" i="17"/>
  <c r="C217" i="15"/>
  <c r="C218" i="17"/>
  <c r="E216" i="15"/>
  <c r="E217" i="17"/>
  <c r="C214" i="15"/>
  <c r="C215" i="17"/>
  <c r="E213" i="15"/>
  <c r="E214" i="17"/>
  <c r="C212" i="15"/>
  <c r="C213" i="17"/>
  <c r="E211" i="15"/>
  <c r="E212" i="17"/>
  <c r="C210" i="15"/>
  <c r="C211" i="17"/>
  <c r="E209" i="15"/>
  <c r="E210" i="17"/>
  <c r="C208" i="15"/>
  <c r="C209" i="17"/>
  <c r="E207" i="15"/>
  <c r="E208" i="17"/>
  <c r="G207" i="17"/>
  <c r="C206" i="15"/>
  <c r="C207" i="17"/>
  <c r="E205" i="15"/>
  <c r="E206" i="17"/>
  <c r="C204" i="15"/>
  <c r="C205" i="17"/>
  <c r="E203" i="15"/>
  <c r="E204" i="17"/>
  <c r="C202" i="15"/>
  <c r="C203" i="17"/>
  <c r="E201" i="15"/>
  <c r="E202" i="17"/>
  <c r="C200" i="15"/>
  <c r="C201" i="17"/>
  <c r="E199" i="15"/>
  <c r="E200" i="17"/>
  <c r="C198" i="15"/>
  <c r="C199" i="17"/>
  <c r="E197" i="15"/>
  <c r="E198" i="17"/>
  <c r="C196" i="15"/>
  <c r="C197" i="17"/>
  <c r="E195" i="15"/>
  <c r="E196" i="17"/>
  <c r="C194" i="15"/>
  <c r="C195" i="17"/>
  <c r="E193" i="15"/>
  <c r="E194" i="17"/>
  <c r="C192" i="15"/>
  <c r="C193" i="17"/>
  <c r="E191" i="15"/>
  <c r="E192" i="17"/>
  <c r="C190" i="15"/>
  <c r="C191" i="17"/>
  <c r="E189" i="15"/>
  <c r="E190" i="17"/>
  <c r="C188" i="15"/>
  <c r="C189" i="17"/>
  <c r="E187" i="15"/>
  <c r="E188" i="17"/>
  <c r="C186" i="15"/>
  <c r="C187" i="17"/>
  <c r="E185" i="15"/>
  <c r="E186" i="17"/>
  <c r="C184" i="15"/>
  <c r="C185" i="17"/>
  <c r="E183" i="15"/>
  <c r="E184" i="17"/>
  <c r="C182" i="15"/>
  <c r="C183" i="17"/>
  <c r="E181" i="15"/>
  <c r="E182" i="17"/>
  <c r="C180" i="15"/>
  <c r="C181" i="17"/>
  <c r="E179" i="15"/>
  <c r="E180" i="17"/>
  <c r="C178" i="15"/>
  <c r="C179" i="17"/>
  <c r="E177" i="15"/>
  <c r="E178" i="17"/>
  <c r="C176" i="15"/>
  <c r="C177" i="17"/>
  <c r="E175" i="15"/>
  <c r="E176" i="17"/>
  <c r="C174" i="15"/>
  <c r="C175" i="17"/>
  <c r="E173" i="15"/>
  <c r="E174" i="17"/>
  <c r="C172" i="15"/>
  <c r="C173" i="17"/>
  <c r="E171" i="15"/>
  <c r="E172" i="17"/>
  <c r="C170" i="15"/>
  <c r="C171" i="17"/>
  <c r="E169" i="15"/>
  <c r="E170" i="17"/>
  <c r="G168" i="15"/>
  <c r="G169" i="17"/>
  <c r="C168" i="15"/>
  <c r="C169" i="17"/>
  <c r="E167" i="15"/>
  <c r="E168" i="17"/>
  <c r="C166" i="15"/>
  <c r="C167" i="17"/>
  <c r="E165" i="15"/>
  <c r="E166" i="17"/>
  <c r="C164" i="15"/>
  <c r="C165" i="17"/>
  <c r="E163" i="15"/>
  <c r="E164" i="17"/>
  <c r="C162" i="15"/>
  <c r="C163" i="17"/>
  <c r="E161" i="15"/>
  <c r="E162" i="17"/>
  <c r="C160" i="15"/>
  <c r="C161" i="17"/>
  <c r="E159" i="15"/>
  <c r="E160" i="17"/>
  <c r="C158" i="15"/>
  <c r="C159" i="17"/>
  <c r="E157" i="15"/>
  <c r="E158" i="17"/>
  <c r="G156" i="15"/>
  <c r="G157" i="17"/>
  <c r="C156" i="15"/>
  <c r="C157" i="17"/>
  <c r="E155" i="15"/>
  <c r="E156" i="17"/>
  <c r="C154" i="15"/>
  <c r="C155" i="17"/>
  <c r="E153" i="15"/>
  <c r="E154" i="17"/>
  <c r="G152" i="15"/>
  <c r="G153" i="17"/>
  <c r="C152" i="15"/>
  <c r="C153" i="17"/>
  <c r="E151" i="15"/>
  <c r="E152" i="17"/>
  <c r="C150" i="15"/>
  <c r="C151" i="17"/>
  <c r="E149" i="15"/>
  <c r="E150" i="17"/>
  <c r="C148" i="15"/>
  <c r="C149" i="17"/>
  <c r="E147" i="15"/>
  <c r="E148" i="17"/>
  <c r="C146" i="15"/>
  <c r="C147" i="17"/>
  <c r="E145" i="15"/>
  <c r="E146" i="17"/>
  <c r="C144" i="15"/>
  <c r="C145" i="17"/>
  <c r="O233" i="15"/>
  <c r="O234" i="17"/>
  <c r="AE233" i="20"/>
  <c r="H234" i="14"/>
  <c r="S234" i="14" s="1"/>
  <c r="A358" i="15"/>
  <c r="A359" i="17"/>
  <c r="Q359" i="17" s="1"/>
  <c r="I214" i="9"/>
  <c r="H216" i="14"/>
  <c r="S216" i="14" s="1"/>
  <c r="G234" i="17"/>
  <c r="R234" i="17"/>
  <c r="P360" i="17"/>
  <c r="AK272" i="20"/>
  <c r="K273" i="14"/>
  <c r="B273" i="9"/>
  <c r="A275" i="14"/>
  <c r="Q275" i="14" s="1"/>
  <c r="AK288" i="20"/>
  <c r="K289" i="14"/>
  <c r="B290" i="9"/>
  <c r="A292" i="14"/>
  <c r="Q292" i="14" s="1"/>
  <c r="B135" i="9"/>
  <c r="A137" i="14"/>
  <c r="Q137" i="14" s="1"/>
  <c r="AK273" i="20"/>
  <c r="AK272" i="9" s="1"/>
  <c r="K274" i="14"/>
  <c r="B272" i="9"/>
  <c r="A274" i="14"/>
  <c r="Q274" i="14" s="1"/>
  <c r="AK352" i="20"/>
  <c r="K353" i="14"/>
  <c r="B353" i="9"/>
  <c r="A355" i="14"/>
  <c r="Q355" i="14" s="1"/>
  <c r="AK354" i="20"/>
  <c r="K355" i="14"/>
  <c r="AK339" i="20"/>
  <c r="K340" i="14"/>
  <c r="F366" i="15"/>
  <c r="F367" i="17"/>
  <c r="P367" i="17"/>
  <c r="D365" i="15"/>
  <c r="D366" i="17"/>
  <c r="G366" i="17" s="1"/>
  <c r="F364" i="15"/>
  <c r="F365" i="17"/>
  <c r="P365" i="17"/>
  <c r="D363" i="15"/>
  <c r="G363" i="15" s="1"/>
  <c r="D364" i="17"/>
  <c r="G364" i="17" s="1"/>
  <c r="F362" i="15"/>
  <c r="F363" i="17"/>
  <c r="P363" i="17"/>
  <c r="D361" i="15"/>
  <c r="D362" i="17"/>
  <c r="G362" i="17" s="1"/>
  <c r="F360" i="15"/>
  <c r="F361" i="17"/>
  <c r="B360" i="15"/>
  <c r="P360" i="15" s="1"/>
  <c r="B361" i="17"/>
  <c r="D357" i="15"/>
  <c r="G357" i="15" s="1"/>
  <c r="D358" i="17"/>
  <c r="G358" i="17" s="1"/>
  <c r="F356" i="15"/>
  <c r="F357" i="17"/>
  <c r="P357" i="17"/>
  <c r="D355" i="15"/>
  <c r="G355" i="15" s="1"/>
  <c r="D356" i="17"/>
  <c r="G356" i="17" s="1"/>
  <c r="F354" i="15"/>
  <c r="F355" i="17"/>
  <c r="B354" i="15"/>
  <c r="B355" i="17"/>
  <c r="D353" i="15"/>
  <c r="G353" i="15" s="1"/>
  <c r="D354" i="17"/>
  <c r="G354" i="17" s="1"/>
  <c r="F352" i="15"/>
  <c r="F353" i="17"/>
  <c r="P353" i="17"/>
  <c r="D351" i="15"/>
  <c r="D352" i="17"/>
  <c r="G352" i="17" s="1"/>
  <c r="F350" i="15"/>
  <c r="F351" i="17"/>
  <c r="B350" i="15"/>
  <c r="P350" i="15" s="1"/>
  <c r="B351" i="17"/>
  <c r="D349" i="15"/>
  <c r="G349" i="15" s="1"/>
  <c r="D350" i="17"/>
  <c r="G350" i="17" s="1"/>
  <c r="F348" i="15"/>
  <c r="F349" i="17"/>
  <c r="B348" i="15"/>
  <c r="P348" i="15" s="1"/>
  <c r="B349" i="17"/>
  <c r="D347" i="15"/>
  <c r="G347" i="15" s="1"/>
  <c r="D348" i="17"/>
  <c r="G348" i="17" s="1"/>
  <c r="F346" i="15"/>
  <c r="F347" i="17"/>
  <c r="P347" i="17"/>
  <c r="D345" i="15"/>
  <c r="G345" i="15" s="1"/>
  <c r="D346" i="17"/>
  <c r="G346" i="17" s="1"/>
  <c r="F344" i="15"/>
  <c r="F345" i="17"/>
  <c r="P345" i="17"/>
  <c r="D343" i="15"/>
  <c r="G343" i="15" s="1"/>
  <c r="D344" i="17"/>
  <c r="G344" i="17" s="1"/>
  <c r="F342" i="15"/>
  <c r="F343" i="17"/>
  <c r="B342" i="15"/>
  <c r="P342" i="15" s="1"/>
  <c r="B343" i="17"/>
  <c r="D341" i="15"/>
  <c r="G341" i="15" s="1"/>
  <c r="D342" i="17"/>
  <c r="G342" i="17" s="1"/>
  <c r="F340" i="15"/>
  <c r="F341" i="17"/>
  <c r="B340" i="15"/>
  <c r="P340" i="15" s="1"/>
  <c r="B341" i="17"/>
  <c r="D339" i="15"/>
  <c r="G339" i="15" s="1"/>
  <c r="D340" i="17"/>
  <c r="G340" i="17" s="1"/>
  <c r="F338" i="15"/>
  <c r="F339" i="17"/>
  <c r="P339" i="17"/>
  <c r="D337" i="15"/>
  <c r="G337" i="15" s="1"/>
  <c r="D338" i="17"/>
  <c r="G338" i="17" s="1"/>
  <c r="F336" i="15"/>
  <c r="F337" i="17"/>
  <c r="B336" i="15"/>
  <c r="B337" i="17"/>
  <c r="D335" i="15"/>
  <c r="G335" i="15" s="1"/>
  <c r="D336" i="17"/>
  <c r="G336" i="17" s="1"/>
  <c r="F334" i="15"/>
  <c r="F335" i="17"/>
  <c r="P335" i="17"/>
  <c r="D333" i="15"/>
  <c r="G333" i="15" s="1"/>
  <c r="D334" i="17"/>
  <c r="G334" i="17" s="1"/>
  <c r="F332" i="15"/>
  <c r="F333" i="17"/>
  <c r="P333" i="17"/>
  <c r="D331" i="15"/>
  <c r="D332" i="17"/>
  <c r="G332" i="17" s="1"/>
  <c r="F330" i="15"/>
  <c r="F331" i="17"/>
  <c r="B330" i="15"/>
  <c r="P330" i="15" s="1"/>
  <c r="B331" i="17"/>
  <c r="D329" i="15"/>
  <c r="D330" i="17"/>
  <c r="G330" i="17" s="1"/>
  <c r="F328" i="15"/>
  <c r="F329" i="17"/>
  <c r="P329" i="17"/>
  <c r="D327" i="15"/>
  <c r="D328" i="17"/>
  <c r="G328" i="17" s="1"/>
  <c r="F326" i="15"/>
  <c r="R326" i="15" s="1"/>
  <c r="F327" i="17"/>
  <c r="P327" i="17"/>
  <c r="D325" i="15"/>
  <c r="G325" i="15" s="1"/>
  <c r="D326" i="17"/>
  <c r="G326" i="17" s="1"/>
  <c r="F324" i="15"/>
  <c r="F325" i="17"/>
  <c r="B324" i="15"/>
  <c r="P324" i="15" s="1"/>
  <c r="B325" i="17"/>
  <c r="D323" i="15"/>
  <c r="D324" i="17"/>
  <c r="G324" i="17" s="1"/>
  <c r="F322" i="15"/>
  <c r="F323" i="17"/>
  <c r="B322" i="15"/>
  <c r="P322" i="15" s="1"/>
  <c r="B323" i="17"/>
  <c r="D321" i="15"/>
  <c r="G321" i="15" s="1"/>
  <c r="D322" i="17"/>
  <c r="G322" i="17" s="1"/>
  <c r="F320" i="15"/>
  <c r="F321" i="17"/>
  <c r="P321" i="17"/>
  <c r="D319" i="15"/>
  <c r="G319" i="15" s="1"/>
  <c r="D320" i="17"/>
  <c r="G320" i="17" s="1"/>
  <c r="F318" i="15"/>
  <c r="F319" i="17"/>
  <c r="B318" i="15"/>
  <c r="B319" i="17"/>
  <c r="D317" i="15"/>
  <c r="G317" i="15" s="1"/>
  <c r="D318" i="17"/>
  <c r="G318" i="17" s="1"/>
  <c r="F316" i="15"/>
  <c r="F317" i="17"/>
  <c r="B316" i="15"/>
  <c r="P316" i="15" s="1"/>
  <c r="B317" i="17"/>
  <c r="D315" i="15"/>
  <c r="D316" i="17"/>
  <c r="F314" i="15"/>
  <c r="F315" i="17"/>
  <c r="B314" i="15"/>
  <c r="P314" i="15" s="1"/>
  <c r="B315" i="17"/>
  <c r="D313" i="15"/>
  <c r="G313" i="15" s="1"/>
  <c r="D314" i="17"/>
  <c r="G314" i="17" s="1"/>
  <c r="F312" i="15"/>
  <c r="F313" i="17"/>
  <c r="P313" i="17"/>
  <c r="D311" i="15"/>
  <c r="G311" i="15" s="1"/>
  <c r="D312" i="17"/>
  <c r="F310" i="15"/>
  <c r="F311" i="17"/>
  <c r="P311" i="17"/>
  <c r="D309" i="15"/>
  <c r="G309" i="15" s="1"/>
  <c r="D310" i="17"/>
  <c r="F308" i="15"/>
  <c r="F309" i="17"/>
  <c r="P309" i="17"/>
  <c r="D307" i="15"/>
  <c r="G307" i="15" s="1"/>
  <c r="D308" i="17"/>
  <c r="F306" i="15"/>
  <c r="F307" i="17"/>
  <c r="P307" i="17"/>
  <c r="D305" i="15"/>
  <c r="D306" i="17"/>
  <c r="F304" i="15"/>
  <c r="F305" i="17"/>
  <c r="B304" i="15"/>
  <c r="P304" i="15" s="1"/>
  <c r="B305" i="17"/>
  <c r="D303" i="15"/>
  <c r="D304" i="17"/>
  <c r="F302" i="15"/>
  <c r="F303" i="17"/>
  <c r="P303" i="17"/>
  <c r="D301" i="15"/>
  <c r="G301" i="15" s="1"/>
  <c r="D302" i="17"/>
  <c r="F300" i="15"/>
  <c r="F301" i="17"/>
  <c r="B300" i="15"/>
  <c r="B301" i="17"/>
  <c r="D299" i="15"/>
  <c r="G299" i="15" s="1"/>
  <c r="D300" i="17"/>
  <c r="F298" i="15"/>
  <c r="F299" i="17"/>
  <c r="B298" i="15"/>
  <c r="B299" i="17"/>
  <c r="D297" i="15"/>
  <c r="D298" i="17"/>
  <c r="F296" i="15"/>
  <c r="F297" i="17"/>
  <c r="B296" i="15"/>
  <c r="P296" i="15" s="1"/>
  <c r="B297" i="17"/>
  <c r="D295" i="15"/>
  <c r="D296" i="17"/>
  <c r="F294" i="15"/>
  <c r="F295" i="17"/>
  <c r="P295" i="17"/>
  <c r="D293" i="15"/>
  <c r="D294" i="17"/>
  <c r="F292" i="15"/>
  <c r="F293" i="17"/>
  <c r="P293" i="17"/>
  <c r="D291" i="15"/>
  <c r="G291" i="15" s="1"/>
  <c r="D292" i="17"/>
  <c r="F290" i="15"/>
  <c r="F291" i="17"/>
  <c r="P291" i="17"/>
  <c r="D289" i="15"/>
  <c r="D290" i="17"/>
  <c r="F288" i="15"/>
  <c r="F289" i="17"/>
  <c r="P289" i="17"/>
  <c r="D287" i="15"/>
  <c r="D288" i="17"/>
  <c r="F286" i="15"/>
  <c r="F287" i="17"/>
  <c r="P287" i="17"/>
  <c r="D285" i="15"/>
  <c r="G285" i="15" s="1"/>
  <c r="D286" i="17"/>
  <c r="F284" i="15"/>
  <c r="F285" i="17"/>
  <c r="P285" i="17"/>
  <c r="D283" i="15"/>
  <c r="G283" i="15" s="1"/>
  <c r="D284" i="17"/>
  <c r="F282" i="15"/>
  <c r="F283" i="17"/>
  <c r="P283" i="17"/>
  <c r="D281" i="15"/>
  <c r="G281" i="15" s="1"/>
  <c r="D282" i="17"/>
  <c r="F280" i="15"/>
  <c r="F281" i="17"/>
  <c r="P281" i="17"/>
  <c r="D279" i="15"/>
  <c r="G279" i="15" s="1"/>
  <c r="D280" i="17"/>
  <c r="F278" i="15"/>
  <c r="F279" i="17"/>
  <c r="B278" i="15"/>
  <c r="P278" i="15" s="1"/>
  <c r="B279" i="17"/>
  <c r="D277" i="15"/>
  <c r="D278" i="17"/>
  <c r="F276" i="15"/>
  <c r="F277" i="17"/>
  <c r="B276" i="15"/>
  <c r="P276" i="15" s="1"/>
  <c r="B277" i="17"/>
  <c r="D275" i="15"/>
  <c r="D276" i="17"/>
  <c r="F274" i="15"/>
  <c r="F275" i="17"/>
  <c r="P275" i="17"/>
  <c r="D273" i="15"/>
  <c r="G273" i="15" s="1"/>
  <c r="D274" i="17"/>
  <c r="F272" i="15"/>
  <c r="F273" i="17"/>
  <c r="B272" i="15"/>
  <c r="B273" i="17"/>
  <c r="D271" i="15"/>
  <c r="G271" i="15" s="1"/>
  <c r="D272" i="17"/>
  <c r="F270" i="15"/>
  <c r="F271" i="17"/>
  <c r="B270" i="15"/>
  <c r="P270" i="15" s="1"/>
  <c r="B271" i="17"/>
  <c r="D269" i="15"/>
  <c r="G269" i="15" s="1"/>
  <c r="D270" i="17"/>
  <c r="F268" i="15"/>
  <c r="F269" i="17"/>
  <c r="P269" i="17"/>
  <c r="D267" i="15"/>
  <c r="G267" i="15" s="1"/>
  <c r="D268" i="17"/>
  <c r="F266" i="15"/>
  <c r="F267" i="17"/>
  <c r="B266" i="15"/>
  <c r="P266" i="15" s="1"/>
  <c r="B267" i="17"/>
  <c r="D265" i="15"/>
  <c r="G265" i="15" s="1"/>
  <c r="D266" i="17"/>
  <c r="F264" i="15"/>
  <c r="F265" i="17"/>
  <c r="P265" i="17"/>
  <c r="D263" i="15"/>
  <c r="G263" i="15" s="1"/>
  <c r="D264" i="17"/>
  <c r="G264" i="17" s="1"/>
  <c r="F262" i="15"/>
  <c r="F263" i="17"/>
  <c r="B262" i="15"/>
  <c r="B263" i="17"/>
  <c r="D261" i="15"/>
  <c r="G261" i="15" s="1"/>
  <c r="D262" i="17"/>
  <c r="F260" i="15"/>
  <c r="F261" i="17"/>
  <c r="B260" i="15"/>
  <c r="P260" i="15" s="1"/>
  <c r="B261" i="17"/>
  <c r="D259" i="15"/>
  <c r="G259" i="15" s="1"/>
  <c r="D260" i="17"/>
  <c r="F258" i="15"/>
  <c r="F259" i="17"/>
  <c r="B258" i="15"/>
  <c r="P258" i="15" s="1"/>
  <c r="B259" i="17"/>
  <c r="D257" i="15"/>
  <c r="G257" i="15" s="1"/>
  <c r="D258" i="17"/>
  <c r="F256" i="15"/>
  <c r="F257" i="17"/>
  <c r="B256" i="15"/>
  <c r="P256" i="15" s="1"/>
  <c r="B257" i="17"/>
  <c r="D255" i="15"/>
  <c r="G255" i="15" s="1"/>
  <c r="D256" i="17"/>
  <c r="G256" i="17" s="1"/>
  <c r="F254" i="15"/>
  <c r="F255" i="17"/>
  <c r="B254" i="15"/>
  <c r="B255" i="17"/>
  <c r="D253" i="15"/>
  <c r="G253" i="15" s="1"/>
  <c r="D254" i="17"/>
  <c r="F252" i="15"/>
  <c r="F253" i="17"/>
  <c r="B252" i="15"/>
  <c r="P252" i="15" s="1"/>
  <c r="B253" i="17"/>
  <c r="D251" i="15"/>
  <c r="G251" i="15" s="1"/>
  <c r="D252" i="17"/>
  <c r="F250" i="15"/>
  <c r="F251" i="17"/>
  <c r="B250" i="15"/>
  <c r="P250" i="15" s="1"/>
  <c r="B251" i="17"/>
  <c r="D249" i="15"/>
  <c r="D250" i="17"/>
  <c r="F248" i="15"/>
  <c r="F249" i="17"/>
  <c r="P249" i="17"/>
  <c r="D247" i="15"/>
  <c r="D248" i="17"/>
  <c r="F246" i="15"/>
  <c r="F247" i="17"/>
  <c r="B246" i="15"/>
  <c r="P246" i="15" s="1"/>
  <c r="B247" i="17"/>
  <c r="D245" i="15"/>
  <c r="G245" i="15" s="1"/>
  <c r="D246" i="17"/>
  <c r="F244" i="15"/>
  <c r="F245" i="17"/>
  <c r="P245" i="17"/>
  <c r="D243" i="15"/>
  <c r="R243" i="15" s="1"/>
  <c r="D244" i="17"/>
  <c r="F242" i="15"/>
  <c r="F243" i="17"/>
  <c r="P243" i="17"/>
  <c r="D241" i="15"/>
  <c r="D242" i="17"/>
  <c r="F240" i="15"/>
  <c r="F241" i="17"/>
  <c r="P241" i="17"/>
  <c r="D239" i="15"/>
  <c r="D240" i="17"/>
  <c r="F238" i="15"/>
  <c r="F239" i="17"/>
  <c r="B238" i="15"/>
  <c r="P238" i="15" s="1"/>
  <c r="B239" i="17"/>
  <c r="D237" i="15"/>
  <c r="D238" i="17"/>
  <c r="F236" i="15"/>
  <c r="F237" i="17"/>
  <c r="B236" i="15"/>
  <c r="P236" i="15" s="1"/>
  <c r="B237" i="17"/>
  <c r="D235" i="15"/>
  <c r="D236" i="17"/>
  <c r="F234" i="15"/>
  <c r="F235" i="17"/>
  <c r="P235" i="17"/>
  <c r="D232" i="15"/>
  <c r="D233" i="17"/>
  <c r="F231" i="15"/>
  <c r="F232" i="17"/>
  <c r="B231" i="15"/>
  <c r="P231" i="15" s="1"/>
  <c r="B232" i="17"/>
  <c r="D230" i="15"/>
  <c r="G230" i="15" s="1"/>
  <c r="D231" i="17"/>
  <c r="F229" i="15"/>
  <c r="F230" i="17"/>
  <c r="P230" i="17"/>
  <c r="D228" i="15"/>
  <c r="G228" i="15" s="1"/>
  <c r="D229" i="17"/>
  <c r="F227" i="15"/>
  <c r="F228" i="17"/>
  <c r="B227" i="15"/>
  <c r="P227" i="15" s="1"/>
  <c r="B228" i="17"/>
  <c r="P228" i="17" s="1"/>
  <c r="D226" i="15"/>
  <c r="D227" i="17"/>
  <c r="G227" i="17" s="1"/>
  <c r="F225" i="15"/>
  <c r="F226" i="17"/>
  <c r="D224" i="15"/>
  <c r="G224" i="15" s="1"/>
  <c r="D225" i="17"/>
  <c r="F223" i="15"/>
  <c r="F224" i="17"/>
  <c r="B223" i="15"/>
  <c r="P223" i="15" s="1"/>
  <c r="B224" i="17"/>
  <c r="P224" i="17" s="1"/>
  <c r="D222" i="15"/>
  <c r="G222" i="15" s="1"/>
  <c r="D223" i="17"/>
  <c r="F221" i="15"/>
  <c r="F222" i="17"/>
  <c r="D220" i="15"/>
  <c r="G220" i="15" s="1"/>
  <c r="D221" i="17"/>
  <c r="G221" i="17" s="1"/>
  <c r="F219" i="15"/>
  <c r="F220" i="17"/>
  <c r="B219" i="15"/>
  <c r="P219" i="15" s="1"/>
  <c r="B220" i="17"/>
  <c r="P220" i="17" s="1"/>
  <c r="D218" i="15"/>
  <c r="G218" i="15" s="1"/>
  <c r="D219" i="17"/>
  <c r="G219" i="17" s="1"/>
  <c r="F217" i="15"/>
  <c r="F218" i="17"/>
  <c r="D216" i="15"/>
  <c r="G216" i="15" s="1"/>
  <c r="D217" i="17"/>
  <c r="F214" i="15"/>
  <c r="F215" i="17"/>
  <c r="Y213" i="9"/>
  <c r="B215" i="17"/>
  <c r="D213" i="15"/>
  <c r="D214" i="17"/>
  <c r="G214" i="17" s="1"/>
  <c r="F212" i="15"/>
  <c r="F213" i="17"/>
  <c r="X211" i="9"/>
  <c r="B213" i="17"/>
  <c r="D211" i="15"/>
  <c r="G211" i="15" s="1"/>
  <c r="D212" i="17"/>
  <c r="G212" i="17" s="1"/>
  <c r="F210" i="15"/>
  <c r="F211" i="17"/>
  <c r="P211" i="17"/>
  <c r="D209" i="15"/>
  <c r="D210" i="17"/>
  <c r="G210" i="17" s="1"/>
  <c r="F208" i="15"/>
  <c r="F209" i="17"/>
  <c r="P209" i="17"/>
  <c r="D207" i="15"/>
  <c r="D208" i="17"/>
  <c r="F206" i="15"/>
  <c r="R206" i="15" s="1"/>
  <c r="F207" i="17"/>
  <c r="B206" i="15"/>
  <c r="P206" i="15" s="1"/>
  <c r="B207" i="17"/>
  <c r="D205" i="15"/>
  <c r="G205" i="15" s="1"/>
  <c r="D206" i="17"/>
  <c r="F204" i="15"/>
  <c r="F205" i="17"/>
  <c r="P205" i="17"/>
  <c r="D203" i="15"/>
  <c r="D204" i="17"/>
  <c r="F202" i="15"/>
  <c r="F203" i="17"/>
  <c r="R203" i="17" s="1"/>
  <c r="U201" i="9"/>
  <c r="B203" i="17"/>
  <c r="D201" i="15"/>
  <c r="D202" i="17"/>
  <c r="F200" i="15"/>
  <c r="F201" i="17"/>
  <c r="N199" i="9"/>
  <c r="L200" i="15" s="1"/>
  <c r="B201" i="17"/>
  <c r="D199" i="15"/>
  <c r="D200" i="17"/>
  <c r="F198" i="15"/>
  <c r="F199" i="17"/>
  <c r="M197" i="9"/>
  <c r="K199" i="17" s="1"/>
  <c r="B199" i="17"/>
  <c r="D197" i="15"/>
  <c r="D198" i="17"/>
  <c r="F196" i="15"/>
  <c r="F197" i="17"/>
  <c r="P197" i="17"/>
  <c r="D195" i="15"/>
  <c r="R195" i="15" s="1"/>
  <c r="D196" i="17"/>
  <c r="F194" i="15"/>
  <c r="F195" i="17"/>
  <c r="P195" i="17"/>
  <c r="D193" i="15"/>
  <c r="D194" i="17"/>
  <c r="F192" i="15"/>
  <c r="F193" i="17"/>
  <c r="S191" i="9"/>
  <c r="B193" i="17"/>
  <c r="D191" i="15"/>
  <c r="D192" i="17"/>
  <c r="F190" i="15"/>
  <c r="F191" i="17"/>
  <c r="N189" i="9"/>
  <c r="L190" i="15" s="1"/>
  <c r="B191" i="17"/>
  <c r="D189" i="15"/>
  <c r="D190" i="17"/>
  <c r="F188" i="15"/>
  <c r="F189" i="17"/>
  <c r="B188" i="15"/>
  <c r="P188" i="15" s="1"/>
  <c r="B189" i="17"/>
  <c r="D187" i="15"/>
  <c r="D188" i="17"/>
  <c r="F186" i="15"/>
  <c r="F187" i="17"/>
  <c r="P187" i="17"/>
  <c r="D185" i="15"/>
  <c r="G185" i="15" s="1"/>
  <c r="D186" i="17"/>
  <c r="F184" i="15"/>
  <c r="F185" i="17"/>
  <c r="P185" i="17"/>
  <c r="D183" i="15"/>
  <c r="D184" i="17"/>
  <c r="F182" i="15"/>
  <c r="F183" i="17"/>
  <c r="B182" i="15"/>
  <c r="P182" i="15" s="1"/>
  <c r="B183" i="17"/>
  <c r="D181" i="15"/>
  <c r="D182" i="17"/>
  <c r="F180" i="15"/>
  <c r="F181" i="17"/>
  <c r="B180" i="15"/>
  <c r="P180" i="15" s="1"/>
  <c r="B181" i="17"/>
  <c r="D179" i="15"/>
  <c r="G179" i="15" s="1"/>
  <c r="D180" i="17"/>
  <c r="F178" i="15"/>
  <c r="F179" i="17"/>
  <c r="P179" i="17"/>
  <c r="D177" i="15"/>
  <c r="D178" i="17"/>
  <c r="F176" i="15"/>
  <c r="F177" i="17"/>
  <c r="P177" i="17"/>
  <c r="D175" i="15"/>
  <c r="D176" i="17"/>
  <c r="F174" i="15"/>
  <c r="F175" i="17"/>
  <c r="P175" i="17"/>
  <c r="D173" i="15"/>
  <c r="R173" i="15" s="1"/>
  <c r="D174" i="17"/>
  <c r="F172" i="15"/>
  <c r="F173" i="17"/>
  <c r="B172" i="15"/>
  <c r="P172" i="15" s="1"/>
  <c r="B173" i="17"/>
  <c r="D171" i="15"/>
  <c r="D172" i="17"/>
  <c r="F170" i="15"/>
  <c r="F171" i="17"/>
  <c r="B170" i="15"/>
  <c r="P170" i="15" s="1"/>
  <c r="B171" i="17"/>
  <c r="D169" i="15"/>
  <c r="R169" i="15" s="1"/>
  <c r="D170" i="17"/>
  <c r="F168" i="15"/>
  <c r="F169" i="17"/>
  <c r="P169" i="17"/>
  <c r="D167" i="15"/>
  <c r="D168" i="17"/>
  <c r="F166" i="15"/>
  <c r="F167" i="17"/>
  <c r="Z165" i="9"/>
  <c r="B167" i="17"/>
  <c r="D165" i="15"/>
  <c r="D166" i="17"/>
  <c r="F164" i="15"/>
  <c r="F165" i="17"/>
  <c r="Y163" i="9"/>
  <c r="B165" i="17"/>
  <c r="D163" i="15"/>
  <c r="D164" i="17"/>
  <c r="F162" i="15"/>
  <c r="F163" i="17"/>
  <c r="Y161" i="9"/>
  <c r="B163" i="17"/>
  <c r="D161" i="15"/>
  <c r="D162" i="17"/>
  <c r="F160" i="15"/>
  <c r="F161" i="17"/>
  <c r="B160" i="15"/>
  <c r="B161" i="17"/>
  <c r="D159" i="15"/>
  <c r="D160" i="17"/>
  <c r="F158" i="15"/>
  <c r="F159" i="17"/>
  <c r="S157" i="9"/>
  <c r="B159" i="17"/>
  <c r="D157" i="15"/>
  <c r="D158" i="17"/>
  <c r="F156" i="15"/>
  <c r="F157" i="17"/>
  <c r="B156" i="15"/>
  <c r="B157" i="17"/>
  <c r="D155" i="15"/>
  <c r="D156" i="17"/>
  <c r="F154" i="15"/>
  <c r="F155" i="17"/>
  <c r="B154" i="15"/>
  <c r="B155" i="17"/>
  <c r="D153" i="15"/>
  <c r="D154" i="17"/>
  <c r="F152" i="15"/>
  <c r="F153" i="17"/>
  <c r="P153" i="17"/>
  <c r="D151" i="15"/>
  <c r="G151" i="15" s="1"/>
  <c r="D152" i="17"/>
  <c r="F150" i="15"/>
  <c r="F151" i="17"/>
  <c r="P151" i="17"/>
  <c r="D149" i="15"/>
  <c r="D150" i="17"/>
  <c r="F148" i="15"/>
  <c r="F149" i="17"/>
  <c r="S147" i="9"/>
  <c r="B149" i="17"/>
  <c r="D147" i="15"/>
  <c r="D148" i="17"/>
  <c r="F146" i="15"/>
  <c r="F147" i="17"/>
  <c r="B146" i="15"/>
  <c r="P146" i="15" s="1"/>
  <c r="B147" i="17"/>
  <c r="D145" i="15"/>
  <c r="D146" i="17"/>
  <c r="F144" i="15"/>
  <c r="F145" i="17"/>
  <c r="P145" i="17"/>
  <c r="O359" i="15"/>
  <c r="O360" i="17"/>
  <c r="A233" i="15"/>
  <c r="Q233" i="15" s="1"/>
  <c r="A234" i="17"/>
  <c r="Q234" i="17" s="1"/>
  <c r="O358" i="15"/>
  <c r="O359" i="17"/>
  <c r="P359" i="17"/>
  <c r="H359" i="15"/>
  <c r="H360" i="17"/>
  <c r="L191" i="17"/>
  <c r="H233" i="15"/>
  <c r="S233" i="15" s="1"/>
  <c r="H234" i="17"/>
  <c r="L359" i="15"/>
  <c r="L360" i="17"/>
  <c r="H358" i="15"/>
  <c r="H359" i="17"/>
  <c r="I359" i="15"/>
  <c r="I360" i="17"/>
  <c r="L358" i="15"/>
  <c r="L359" i="17"/>
  <c r="L233" i="15"/>
  <c r="L234" i="17"/>
  <c r="I358" i="15"/>
  <c r="I359" i="17"/>
  <c r="L357" i="9"/>
  <c r="K359" i="17"/>
  <c r="K358" i="15"/>
  <c r="W232" i="9"/>
  <c r="AG355" i="9"/>
  <c r="R417" i="15"/>
  <c r="R415" i="15"/>
  <c r="R413" i="15"/>
  <c r="R411" i="15"/>
  <c r="R409" i="15"/>
  <c r="R407" i="15"/>
  <c r="R405" i="15"/>
  <c r="R401" i="15"/>
  <c r="R399" i="15"/>
  <c r="R397" i="15"/>
  <c r="R393" i="15"/>
  <c r="R385" i="15"/>
  <c r="R377" i="15"/>
  <c r="R369" i="15"/>
  <c r="G416" i="15"/>
  <c r="G410" i="15"/>
  <c r="G406" i="15"/>
  <c r="G394" i="15"/>
  <c r="G390" i="15"/>
  <c r="G386" i="15"/>
  <c r="G382" i="15"/>
  <c r="G378" i="15"/>
  <c r="G374" i="15"/>
  <c r="G370" i="15"/>
  <c r="G368" i="15"/>
  <c r="G326" i="15"/>
  <c r="G314" i="15"/>
  <c r="P419" i="15"/>
  <c r="G418" i="15"/>
  <c r="R418" i="15"/>
  <c r="X416" i="9"/>
  <c r="B417" i="15"/>
  <c r="R416" i="15"/>
  <c r="P415" i="15"/>
  <c r="G414" i="15"/>
  <c r="R414" i="15"/>
  <c r="P413" i="15"/>
  <c r="G412" i="15"/>
  <c r="R412" i="15"/>
  <c r="P411" i="15"/>
  <c r="R410" i="15"/>
  <c r="P409" i="15"/>
  <c r="G408" i="15"/>
  <c r="R408" i="15"/>
  <c r="P407" i="15"/>
  <c r="R406" i="15"/>
  <c r="Q404" i="9"/>
  <c r="O405" i="15" s="1"/>
  <c r="B405" i="15"/>
  <c r="G404" i="15"/>
  <c r="R404" i="15"/>
  <c r="X402" i="9"/>
  <c r="B403" i="15"/>
  <c r="R402" i="15"/>
  <c r="P401" i="15"/>
  <c r="R400" i="15"/>
  <c r="P399" i="15"/>
  <c r="R398" i="15"/>
  <c r="Z396" i="9"/>
  <c r="B397" i="15"/>
  <c r="R396" i="15"/>
  <c r="X394" i="9"/>
  <c r="B395" i="15"/>
  <c r="R394" i="15"/>
  <c r="M392" i="9"/>
  <c r="K393" i="15" s="1"/>
  <c r="B393" i="15"/>
  <c r="G392" i="15"/>
  <c r="R392" i="15"/>
  <c r="S390" i="9"/>
  <c r="B391" i="15"/>
  <c r="R390" i="15"/>
  <c r="Y388" i="9"/>
  <c r="B389" i="15"/>
  <c r="G388" i="15"/>
  <c r="R388" i="15"/>
  <c r="AB386" i="9"/>
  <c r="B387" i="15"/>
  <c r="R386" i="15"/>
  <c r="P385" i="15"/>
  <c r="G384" i="15"/>
  <c r="R384" i="15"/>
  <c r="S382" i="9"/>
  <c r="B383" i="15"/>
  <c r="R382" i="15"/>
  <c r="P381" i="15"/>
  <c r="G380" i="15"/>
  <c r="R380" i="15"/>
  <c r="Y378" i="9"/>
  <c r="B379" i="15"/>
  <c r="R378" i="15"/>
  <c r="AA376" i="9"/>
  <c r="B377" i="15"/>
  <c r="R376" i="15"/>
  <c r="Y374" i="9"/>
  <c r="B375" i="15"/>
  <c r="R374" i="15"/>
  <c r="P373" i="15"/>
  <c r="G372" i="15"/>
  <c r="R372" i="15"/>
  <c r="P371" i="15"/>
  <c r="R370" i="15"/>
  <c r="AA368" i="9"/>
  <c r="B369" i="15"/>
  <c r="R368" i="15"/>
  <c r="U366" i="9"/>
  <c r="B367" i="15"/>
  <c r="G364" i="15"/>
  <c r="Y362" i="9"/>
  <c r="B363" i="15"/>
  <c r="Y360" i="9"/>
  <c r="B361" i="15"/>
  <c r="N356" i="9"/>
  <c r="B357" i="15"/>
  <c r="G356" i="15"/>
  <c r="P355" i="15"/>
  <c r="S352" i="9"/>
  <c r="B353" i="15"/>
  <c r="S348" i="9"/>
  <c r="B349" i="15"/>
  <c r="Q346" i="9"/>
  <c r="B347" i="15"/>
  <c r="AA344" i="9"/>
  <c r="B345" i="15"/>
  <c r="G344" i="15"/>
  <c r="P343" i="15"/>
  <c r="G340" i="15"/>
  <c r="U338" i="9"/>
  <c r="B339" i="15"/>
  <c r="Y336" i="9"/>
  <c r="B337" i="15"/>
  <c r="S334" i="9"/>
  <c r="B335" i="15"/>
  <c r="Z332" i="9"/>
  <c r="B333" i="15"/>
  <c r="G332" i="15"/>
  <c r="Y330" i="9"/>
  <c r="B331" i="15"/>
  <c r="G330" i="15"/>
  <c r="S328" i="9"/>
  <c r="B329" i="15"/>
  <c r="P325" i="15"/>
  <c r="O322" i="9"/>
  <c r="B323" i="15"/>
  <c r="M320" i="9"/>
  <c r="L320" i="9" s="1"/>
  <c r="B321" i="15"/>
  <c r="G320" i="15"/>
  <c r="P319" i="15"/>
  <c r="Y316" i="9"/>
  <c r="B317" i="15"/>
  <c r="S314" i="9"/>
  <c r="B315" i="15"/>
  <c r="P313" i="15"/>
  <c r="AA310" i="9"/>
  <c r="B311" i="15"/>
  <c r="P307" i="15"/>
  <c r="Y304" i="9"/>
  <c r="B305" i="15"/>
  <c r="P303" i="15"/>
  <c r="Y300" i="9"/>
  <c r="B301" i="15"/>
  <c r="S296" i="9"/>
  <c r="B297" i="15"/>
  <c r="Y294" i="9"/>
  <c r="B295" i="15"/>
  <c r="AA292" i="9"/>
  <c r="B293" i="15"/>
  <c r="G292" i="15"/>
  <c r="X290" i="9"/>
  <c r="B291" i="15"/>
  <c r="N288" i="9"/>
  <c r="B289" i="15"/>
  <c r="X286" i="9"/>
  <c r="B287" i="15"/>
  <c r="G284" i="15"/>
  <c r="S282" i="9"/>
  <c r="B283" i="15"/>
  <c r="U280" i="9"/>
  <c r="B281" i="15"/>
  <c r="U278" i="9"/>
  <c r="B279" i="15"/>
  <c r="G278" i="15"/>
  <c r="P277" i="15"/>
  <c r="Q274" i="9"/>
  <c r="B275" i="15"/>
  <c r="X272" i="9"/>
  <c r="B273" i="15"/>
  <c r="P271" i="15"/>
  <c r="G268" i="15"/>
  <c r="P267" i="15"/>
  <c r="Q264" i="9"/>
  <c r="B265" i="15"/>
  <c r="N262" i="9"/>
  <c r="B263" i="15"/>
  <c r="G262" i="15"/>
  <c r="P261" i="15"/>
  <c r="Q258" i="9"/>
  <c r="B259" i="15"/>
  <c r="Q256" i="9"/>
  <c r="B257" i="15"/>
  <c r="G256" i="15"/>
  <c r="N254" i="9"/>
  <c r="B255" i="15"/>
  <c r="G254" i="15"/>
  <c r="Y252" i="9"/>
  <c r="B253" i="15"/>
  <c r="G252" i="15"/>
  <c r="Q250" i="9"/>
  <c r="B251" i="15"/>
  <c r="Q248" i="9"/>
  <c r="B249" i="15"/>
  <c r="N246" i="9"/>
  <c r="B247" i="15"/>
  <c r="G246" i="15"/>
  <c r="P245" i="15"/>
  <c r="AA242" i="9"/>
  <c r="B243" i="15"/>
  <c r="X240" i="9"/>
  <c r="B241" i="15"/>
  <c r="G240" i="15"/>
  <c r="P239" i="15"/>
  <c r="U236" i="9"/>
  <c r="B237" i="15"/>
  <c r="O234" i="9"/>
  <c r="P234" i="9" s="1"/>
  <c r="B235" i="15"/>
  <c r="G234" i="15"/>
  <c r="P232" i="15"/>
  <c r="Q229" i="9"/>
  <c r="B230" i="15"/>
  <c r="P222" i="15"/>
  <c r="P358" i="15"/>
  <c r="Q358" i="15"/>
  <c r="G402" i="15"/>
  <c r="G400" i="15"/>
  <c r="G398" i="15"/>
  <c r="G306" i="15"/>
  <c r="G272" i="15"/>
  <c r="G264" i="15"/>
  <c r="A215" i="15"/>
  <c r="Q215" i="15" s="1"/>
  <c r="W214" i="9"/>
  <c r="P359" i="15"/>
  <c r="Q359" i="15"/>
  <c r="G419" i="15"/>
  <c r="R419" i="15"/>
  <c r="X417" i="9"/>
  <c r="B418" i="15"/>
  <c r="Y415" i="9"/>
  <c r="B416" i="15"/>
  <c r="P414" i="15"/>
  <c r="P412" i="15"/>
  <c r="X409" i="9"/>
  <c r="B410" i="15"/>
  <c r="Z407" i="9"/>
  <c r="B408" i="15"/>
  <c r="O405" i="9"/>
  <c r="M406" i="15" s="1"/>
  <c r="B406" i="15"/>
  <c r="Q403" i="9"/>
  <c r="O404" i="15" s="1"/>
  <c r="B404" i="15"/>
  <c r="G403" i="15"/>
  <c r="R403" i="15"/>
  <c r="X401" i="9"/>
  <c r="B402" i="15"/>
  <c r="P400" i="15"/>
  <c r="S397" i="9"/>
  <c r="B398" i="15"/>
  <c r="U395" i="9"/>
  <c r="B396" i="15"/>
  <c r="G395" i="15"/>
  <c r="R395" i="15"/>
  <c r="X393" i="9"/>
  <c r="B394" i="15"/>
  <c r="M391" i="9"/>
  <c r="K392" i="15" s="1"/>
  <c r="B392" i="15"/>
  <c r="G391" i="15"/>
  <c r="R391" i="15"/>
  <c r="S389" i="9"/>
  <c r="B390" i="15"/>
  <c r="G389" i="15"/>
  <c r="R389" i="15"/>
  <c r="X387" i="9"/>
  <c r="B388" i="15"/>
  <c r="G387" i="15"/>
  <c r="R387" i="15"/>
  <c r="O385" i="9"/>
  <c r="M386" i="15" s="1"/>
  <c r="B386" i="15"/>
  <c r="M383" i="9"/>
  <c r="K384" i="15" s="1"/>
  <c r="B384" i="15"/>
  <c r="G383" i="15"/>
  <c r="R383" i="15"/>
  <c r="U381" i="9"/>
  <c r="B382" i="15"/>
  <c r="G381" i="15"/>
  <c r="R381" i="15"/>
  <c r="O379" i="9"/>
  <c r="M380" i="15" s="1"/>
  <c r="B380" i="15"/>
  <c r="G379" i="15"/>
  <c r="R379" i="15"/>
  <c r="M377" i="9"/>
  <c r="K378" i="15" s="1"/>
  <c r="B378" i="15"/>
  <c r="Y375" i="9"/>
  <c r="B376" i="15"/>
  <c r="G375" i="15"/>
  <c r="R375" i="15"/>
  <c r="S373" i="9"/>
  <c r="B374" i="15"/>
  <c r="G373" i="15"/>
  <c r="R373" i="15"/>
  <c r="P372" i="15"/>
  <c r="G371" i="15"/>
  <c r="R371" i="15"/>
  <c r="S369" i="9"/>
  <c r="B370" i="15"/>
  <c r="P368" i="15"/>
  <c r="G367" i="15"/>
  <c r="R367" i="15"/>
  <c r="U365" i="9"/>
  <c r="B366" i="15"/>
  <c r="G365" i="15"/>
  <c r="O363" i="9"/>
  <c r="P363" i="9" s="1"/>
  <c r="B364" i="15"/>
  <c r="N361" i="9"/>
  <c r="B362" i="15"/>
  <c r="O355" i="9"/>
  <c r="P355" i="9" s="1"/>
  <c r="B356" i="15"/>
  <c r="P354" i="15"/>
  <c r="Q351" i="9"/>
  <c r="B352" i="15"/>
  <c r="G351" i="15"/>
  <c r="U345" i="9"/>
  <c r="B346" i="15"/>
  <c r="S343" i="9"/>
  <c r="B344" i="15"/>
  <c r="Z337" i="9"/>
  <c r="B338" i="15"/>
  <c r="P336" i="15"/>
  <c r="U333" i="9"/>
  <c r="B334" i="15"/>
  <c r="M331" i="9"/>
  <c r="B332" i="15"/>
  <c r="G331" i="15"/>
  <c r="G329" i="15"/>
  <c r="Q327" i="9"/>
  <c r="B328" i="15"/>
  <c r="N325" i="9"/>
  <c r="B326" i="15"/>
  <c r="G323" i="15"/>
  <c r="M319" i="9"/>
  <c r="B320" i="15"/>
  <c r="P318" i="15"/>
  <c r="O311" i="9"/>
  <c r="P311" i="9" s="1"/>
  <c r="B312" i="15"/>
  <c r="O309" i="9"/>
  <c r="B310" i="15"/>
  <c r="Z307" i="9"/>
  <c r="B308" i="15"/>
  <c r="S305" i="9"/>
  <c r="B306" i="15"/>
  <c r="AA301" i="9"/>
  <c r="B302" i="15"/>
  <c r="P300" i="15"/>
  <c r="P298" i="15"/>
  <c r="G295" i="15"/>
  <c r="S293" i="9"/>
  <c r="B294" i="15"/>
  <c r="Z291" i="9"/>
  <c r="B292" i="15"/>
  <c r="Q289" i="9"/>
  <c r="B290" i="15"/>
  <c r="Z287" i="9"/>
  <c r="B288" i="15"/>
  <c r="O285" i="9"/>
  <c r="B286" i="15"/>
  <c r="Q283" i="9"/>
  <c r="B284" i="15"/>
  <c r="Q281" i="9"/>
  <c r="B282" i="15"/>
  <c r="N279" i="9"/>
  <c r="B280" i="15"/>
  <c r="G277" i="15"/>
  <c r="G275" i="15"/>
  <c r="N273" i="9"/>
  <c r="B274" i="15"/>
  <c r="P272" i="15"/>
  <c r="O267" i="9"/>
  <c r="P267" i="9" s="1"/>
  <c r="B268" i="15"/>
  <c r="N263" i="9"/>
  <c r="B264" i="15"/>
  <c r="P262" i="15"/>
  <c r="P254" i="15"/>
  <c r="AA247" i="9"/>
  <c r="B248" i="15"/>
  <c r="U243" i="9"/>
  <c r="B244" i="15"/>
  <c r="S241" i="9"/>
  <c r="B242" i="15"/>
  <c r="G241" i="15"/>
  <c r="U239" i="9"/>
  <c r="B240" i="15"/>
  <c r="Y233" i="9"/>
  <c r="B234" i="15"/>
  <c r="G232" i="15"/>
  <c r="M228" i="9"/>
  <c r="L228" i="9" s="1"/>
  <c r="B229" i="15"/>
  <c r="Q224" i="9"/>
  <c r="B225" i="15"/>
  <c r="U220" i="9"/>
  <c r="B221" i="15"/>
  <c r="N216" i="9"/>
  <c r="B217" i="15"/>
  <c r="P233" i="15"/>
  <c r="G417" i="15"/>
  <c r="G415" i="15"/>
  <c r="G413" i="15"/>
  <c r="G411" i="15"/>
  <c r="G409" i="15"/>
  <c r="G407" i="15"/>
  <c r="G405" i="15"/>
  <c r="G401" i="15"/>
  <c r="G397" i="15"/>
  <c r="G393" i="15"/>
  <c r="G385" i="15"/>
  <c r="G377" i="15"/>
  <c r="G369" i="15"/>
  <c r="G297" i="15"/>
  <c r="G293" i="15"/>
  <c r="G239" i="15"/>
  <c r="G235" i="15"/>
  <c r="K109" i="8"/>
  <c r="M108" i="8"/>
  <c r="K66" i="8"/>
  <c r="M65" i="8"/>
  <c r="K81" i="8"/>
  <c r="M80" i="8"/>
  <c r="L232" i="9"/>
  <c r="K233" i="15"/>
  <c r="P357" i="9"/>
  <c r="M358" i="15"/>
  <c r="P358" i="9"/>
  <c r="M359" i="15"/>
  <c r="L358" i="9"/>
  <c r="K359" i="15"/>
  <c r="AJ357" i="9"/>
  <c r="AK357" i="9"/>
  <c r="W358" i="9"/>
  <c r="AK358" i="9"/>
  <c r="AD272" i="9"/>
  <c r="AJ280" i="20"/>
  <c r="C4" i="8"/>
  <c r="A5" i="8"/>
  <c r="M253" i="9"/>
  <c r="K255" i="17" s="1"/>
  <c r="AK289" i="9"/>
  <c r="S229" i="9"/>
  <c r="AI351" i="9"/>
  <c r="G136" i="15"/>
  <c r="AA369" i="9"/>
  <c r="Z234" i="9"/>
  <c r="Y202" i="9"/>
  <c r="S202" i="9"/>
  <c r="AA404" i="9"/>
  <c r="N202" i="9"/>
  <c r="AA279" i="9"/>
  <c r="Y278" i="9"/>
  <c r="U217" i="9"/>
  <c r="U192" i="9"/>
  <c r="O279" i="9"/>
  <c r="M281" i="17" s="1"/>
  <c r="X266" i="9"/>
  <c r="Y253" i="9"/>
  <c r="S250" i="9"/>
  <c r="O148" i="9"/>
  <c r="Z405" i="9"/>
  <c r="Y404" i="9"/>
  <c r="AA385" i="9"/>
  <c r="AA370" i="9"/>
  <c r="Y369" i="9"/>
  <c r="AA316" i="9"/>
  <c r="X309" i="9"/>
  <c r="Q234" i="9"/>
  <c r="Y186" i="9"/>
  <c r="X386" i="9"/>
  <c r="Q385" i="9"/>
  <c r="O386" i="15" s="1"/>
  <c r="U316" i="9"/>
  <c r="S285" i="9"/>
  <c r="U274" i="9"/>
  <c r="Q168" i="9"/>
  <c r="U396" i="9"/>
  <c r="AA377" i="9"/>
  <c r="X344" i="9"/>
  <c r="N316" i="9"/>
  <c r="Z315" i="9"/>
  <c r="Y314" i="9"/>
  <c r="O287" i="9"/>
  <c r="J274" i="9"/>
  <c r="O266" i="9"/>
  <c r="Y263" i="9"/>
  <c r="O256" i="9"/>
  <c r="Z229" i="9"/>
  <c r="N229" i="9"/>
  <c r="AA190" i="9"/>
  <c r="Z174" i="9"/>
  <c r="O154" i="9"/>
  <c r="P154" i="9" s="1"/>
  <c r="Y140" i="9"/>
  <c r="AA388" i="9"/>
  <c r="S355" i="9"/>
  <c r="S336" i="9"/>
  <c r="M316" i="9"/>
  <c r="M315" i="9"/>
  <c r="Y266" i="9"/>
  <c r="U253" i="9"/>
  <c r="Y250" i="9"/>
  <c r="Y229" i="9"/>
  <c r="AA286" i="9"/>
  <c r="O274" i="9"/>
  <c r="Q266" i="9"/>
  <c r="U256" i="9"/>
  <c r="AA253" i="9"/>
  <c r="AA229" i="9"/>
  <c r="O192" i="9"/>
  <c r="N186" i="9"/>
  <c r="G172" i="15"/>
  <c r="Z169" i="9"/>
  <c r="Z154" i="9"/>
  <c r="Q408" i="9"/>
  <c r="O409" i="15" s="1"/>
  <c r="S404" i="9"/>
  <c r="AA390" i="9"/>
  <c r="Q377" i="9"/>
  <c r="O378" i="15" s="1"/>
  <c r="U351" i="9"/>
  <c r="O337" i="9"/>
  <c r="M339" i="17" s="1"/>
  <c r="O333" i="9"/>
  <c r="M335" i="17" s="1"/>
  <c r="M309" i="9"/>
  <c r="O290" i="9"/>
  <c r="J286" i="9"/>
  <c r="Z285" i="9"/>
  <c r="M285" i="9"/>
  <c r="Y274" i="9"/>
  <c r="AA266" i="9"/>
  <c r="U266" i="9"/>
  <c r="N266" i="9"/>
  <c r="Z265" i="9"/>
  <c r="Y254" i="9"/>
  <c r="M246" i="9"/>
  <c r="K248" i="17" s="1"/>
  <c r="O211" i="9"/>
  <c r="M206" i="9"/>
  <c r="Y200" i="9"/>
  <c r="U161" i="9"/>
  <c r="S160" i="9"/>
  <c r="S146" i="9"/>
  <c r="AA138" i="9"/>
  <c r="AJ290" i="20"/>
  <c r="AJ289" i="9" s="1"/>
  <c r="M404" i="9"/>
  <c r="K405" i="15" s="1"/>
  <c r="O391" i="9"/>
  <c r="M392" i="15" s="1"/>
  <c r="Y390" i="9"/>
  <c r="AA381" i="9"/>
  <c r="Y361" i="9"/>
  <c r="O344" i="9"/>
  <c r="Y325" i="9"/>
  <c r="U313" i="9"/>
  <c r="O291" i="9"/>
  <c r="M293" i="17" s="1"/>
  <c r="U285" i="9"/>
  <c r="Z266" i="9"/>
  <c r="S266" i="9"/>
  <c r="M266" i="9"/>
  <c r="K268" i="17" s="1"/>
  <c r="S262" i="9"/>
  <c r="G188" i="15"/>
  <c r="S377" i="9"/>
  <c r="Y351" i="9"/>
  <c r="AA333" i="9"/>
  <c r="S286" i="9"/>
  <c r="AA285" i="9"/>
  <c r="N285" i="9"/>
  <c r="U211" i="9"/>
  <c r="Y206" i="9"/>
  <c r="AA160" i="9"/>
  <c r="N405" i="9"/>
  <c r="L406" i="15" s="1"/>
  <c r="AJ271" i="20"/>
  <c r="AJ270" i="9" s="1"/>
  <c r="AJ274" i="20"/>
  <c r="S412" i="9"/>
  <c r="M405" i="9"/>
  <c r="X390" i="9"/>
  <c r="Y389" i="9"/>
  <c r="S388" i="9"/>
  <c r="Q387" i="9"/>
  <c r="O388" i="15" s="1"/>
  <c r="X385" i="9"/>
  <c r="M385" i="9"/>
  <c r="M381" i="9"/>
  <c r="K382" i="15" s="1"/>
  <c r="Q369" i="9"/>
  <c r="O370" i="15" s="1"/>
  <c r="U368" i="9"/>
  <c r="Q365" i="9"/>
  <c r="AA355" i="9"/>
  <c r="J355" i="9"/>
  <c r="N351" i="9"/>
  <c r="X338" i="9"/>
  <c r="Y331" i="9"/>
  <c r="AA317" i="9"/>
  <c r="M313" i="9"/>
  <c r="K315" i="17" s="1"/>
  <c r="X301" i="9"/>
  <c r="N300" i="9"/>
  <c r="S292" i="9"/>
  <c r="M265" i="9"/>
  <c r="J263" i="9"/>
  <c r="Z262" i="9"/>
  <c r="M262" i="9"/>
  <c r="AA217" i="9"/>
  <c r="O217" i="9"/>
  <c r="M219" i="17" s="1"/>
  <c r="O213" i="9"/>
  <c r="Q198" i="9"/>
  <c r="S179" i="9"/>
  <c r="N169" i="9"/>
  <c r="O165" i="9"/>
  <c r="S164" i="9"/>
  <c r="Q160" i="9"/>
  <c r="O150" i="9"/>
  <c r="S138" i="9"/>
  <c r="AA137" i="9"/>
  <c r="AA405" i="9"/>
  <c r="N390" i="9"/>
  <c r="L391" i="15" s="1"/>
  <c r="M388" i="9"/>
  <c r="K389" i="15" s="1"/>
  <c r="S385" i="9"/>
  <c r="N369" i="9"/>
  <c r="L370" i="15" s="1"/>
  <c r="AA356" i="9"/>
  <c r="X355" i="9"/>
  <c r="AD351" i="9"/>
  <c r="M351" i="9"/>
  <c r="K353" i="17" s="1"/>
  <c r="U331" i="9"/>
  <c r="Y320" i="9"/>
  <c r="Y313" i="9"/>
  <c r="S273" i="9"/>
  <c r="AA265" i="9"/>
  <c r="U262" i="9"/>
  <c r="N253" i="9"/>
  <c r="Z246" i="9"/>
  <c r="S228" i="9"/>
  <c r="X217" i="9"/>
  <c r="Y181" i="9"/>
  <c r="U158" i="9"/>
  <c r="Y148" i="9"/>
  <c r="N138" i="9"/>
  <c r="L140" i="15" s="1"/>
  <c r="S137" i="9"/>
  <c r="Z385" i="9"/>
  <c r="Q355" i="9"/>
  <c r="S313" i="9"/>
  <c r="U265" i="9"/>
  <c r="U263" i="9"/>
  <c r="AA262" i="9"/>
  <c r="S217" i="9"/>
  <c r="AA179" i="9"/>
  <c r="Y169" i="9"/>
  <c r="AA164" i="9"/>
  <c r="U275" i="9"/>
  <c r="J271" i="9"/>
  <c r="S271" i="9"/>
  <c r="M231" i="9"/>
  <c r="K233" i="17" s="1"/>
  <c r="O231" i="9"/>
  <c r="M233" i="17" s="1"/>
  <c r="N212" i="9"/>
  <c r="S212" i="9"/>
  <c r="Q296" i="9"/>
  <c r="U296" i="9"/>
  <c r="AJ291" i="20"/>
  <c r="AJ290" i="9" s="1"/>
  <c r="AA392" i="9"/>
  <c r="O389" i="9"/>
  <c r="U361" i="9"/>
  <c r="Z346" i="9"/>
  <c r="O338" i="9"/>
  <c r="P338" i="9" s="1"/>
  <c r="Y333" i="9"/>
  <c r="N333" i="9"/>
  <c r="S317" i="9"/>
  <c r="Y311" i="9"/>
  <c r="N296" i="9"/>
  <c r="M278" i="9"/>
  <c r="K280" i="17" s="1"/>
  <c r="AA274" i="9"/>
  <c r="Y272" i="9"/>
  <c r="M272" i="9"/>
  <c r="K274" i="17" s="1"/>
  <c r="Q257" i="9"/>
  <c r="Z257" i="9"/>
  <c r="M252" i="9"/>
  <c r="K254" i="17" s="1"/>
  <c r="Q252" i="9"/>
  <c r="AA212" i="9"/>
  <c r="X363" i="9"/>
  <c r="AA406" i="9"/>
  <c r="N389" i="9"/>
  <c r="L390" i="15" s="1"/>
  <c r="X356" i="9"/>
  <c r="AI338" i="9"/>
  <c r="J338" i="9"/>
  <c r="O331" i="9"/>
  <c r="M333" i="17" s="1"/>
  <c r="M317" i="9"/>
  <c r="K319" i="17" s="1"/>
  <c r="AA305" i="9"/>
  <c r="Q304" i="9"/>
  <c r="AA296" i="9"/>
  <c r="M296" i="9"/>
  <c r="AI288" i="9"/>
  <c r="Q277" i="9"/>
  <c r="M274" i="9"/>
  <c r="K276" i="17" s="1"/>
  <c r="S274" i="9"/>
  <c r="Z274" i="9"/>
  <c r="Y271" i="9"/>
  <c r="M270" i="9"/>
  <c r="Y270" i="9"/>
  <c r="M264" i="9"/>
  <c r="K266" i="17" s="1"/>
  <c r="Z264" i="9"/>
  <c r="O264" i="9"/>
  <c r="N247" i="9"/>
  <c r="S247" i="9"/>
  <c r="N233" i="9"/>
  <c r="S233" i="9"/>
  <c r="Y212" i="9"/>
  <c r="S396" i="9"/>
  <c r="N392" i="9"/>
  <c r="L393" i="15" s="1"/>
  <c r="Y379" i="9"/>
  <c r="Y377" i="9"/>
  <c r="O377" i="9"/>
  <c r="M378" i="15" s="1"/>
  <c r="N376" i="9"/>
  <c r="L377" i="15" s="1"/>
  <c r="U370" i="9"/>
  <c r="X333" i="9"/>
  <c r="M333" i="9"/>
  <c r="K335" i="17" s="1"/>
  <c r="AI271" i="9"/>
  <c r="AI277" i="9"/>
  <c r="B279" i="9"/>
  <c r="W279" i="9" s="1"/>
  <c r="AJ288" i="20"/>
  <c r="AJ287" i="9" s="1"/>
  <c r="AJ289" i="20"/>
  <c r="AD277" i="9"/>
  <c r="AI352" i="9"/>
  <c r="AJ356" i="20"/>
  <c r="AJ355" i="9" s="1"/>
  <c r="AD336" i="9"/>
  <c r="Y408" i="9"/>
  <c r="O407" i="9"/>
  <c r="M408" i="15" s="1"/>
  <c r="N406" i="9"/>
  <c r="L407" i="15" s="1"/>
  <c r="N396" i="9"/>
  <c r="L397" i="15" s="1"/>
  <c r="O390" i="9"/>
  <c r="M391" i="15" s="1"/>
  <c r="Z389" i="9"/>
  <c r="Q388" i="9"/>
  <c r="O389" i="15" s="1"/>
  <c r="X377" i="9"/>
  <c r="O370" i="9"/>
  <c r="M371" i="15" s="1"/>
  <c r="Z355" i="9"/>
  <c r="M355" i="9"/>
  <c r="AA338" i="9"/>
  <c r="Z331" i="9"/>
  <c r="Z313" i="9"/>
  <c r="N313" i="9"/>
  <c r="Q305" i="9"/>
  <c r="S300" i="9"/>
  <c r="Q300" i="9"/>
  <c r="Y296" i="9"/>
  <c r="U292" i="9"/>
  <c r="I292" i="9"/>
  <c r="AK290" i="9"/>
  <c r="S278" i="9"/>
  <c r="X274" i="9"/>
  <c r="N274" i="9"/>
  <c r="O272" i="9"/>
  <c r="X264" i="9"/>
  <c r="O262" i="9"/>
  <c r="M264" i="17" s="1"/>
  <c r="X262" i="9"/>
  <c r="AH262" i="9"/>
  <c r="J262" i="9"/>
  <c r="Q262" i="9"/>
  <c r="Y262" i="9"/>
  <c r="X252" i="9"/>
  <c r="X234" i="9"/>
  <c r="M234" i="9"/>
  <c r="Y234" i="9"/>
  <c r="S227" i="9"/>
  <c r="Z211" i="9"/>
  <c r="N211" i="9"/>
  <c r="O200" i="9"/>
  <c r="P200" i="9" s="1"/>
  <c r="Y199" i="9"/>
  <c r="Z198" i="9"/>
  <c r="O198" i="9"/>
  <c r="AA197" i="9"/>
  <c r="S190" i="9"/>
  <c r="Z184" i="9"/>
  <c r="O181" i="9"/>
  <c r="O179" i="9"/>
  <c r="N174" i="9"/>
  <c r="N161" i="9"/>
  <c r="Z160" i="9"/>
  <c r="M160" i="9"/>
  <c r="S158" i="9"/>
  <c r="Y157" i="9"/>
  <c r="N148" i="9"/>
  <c r="Q140" i="9"/>
  <c r="O142" i="15" s="1"/>
  <c r="R136" i="15"/>
  <c r="Y273" i="9"/>
  <c r="N265" i="9"/>
  <c r="S263" i="9"/>
  <c r="O206" i="9"/>
  <c r="M200" i="9"/>
  <c r="Y198" i="9"/>
  <c r="M198" i="9"/>
  <c r="S169" i="9"/>
  <c r="U160" i="9"/>
  <c r="AA158" i="9"/>
  <c r="O158" i="9"/>
  <c r="G149" i="15"/>
  <c r="Y146" i="9"/>
  <c r="M145" i="9"/>
  <c r="Y158" i="9"/>
  <c r="Z134" i="9"/>
  <c r="B351" i="9"/>
  <c r="A353" i="17" s="1"/>
  <c r="Q353" i="17" s="1"/>
  <c r="B336" i="9"/>
  <c r="B270" i="9"/>
  <c r="AK360" i="20"/>
  <c r="AJ360" i="20" s="1"/>
  <c r="AJ359" i="9" s="1"/>
  <c r="AJ352" i="20"/>
  <c r="AJ351" i="9" s="1"/>
  <c r="AJ354" i="20"/>
  <c r="Z415" i="9"/>
  <c r="M415" i="9"/>
  <c r="U415" i="9"/>
  <c r="B359" i="9"/>
  <c r="AJ287" i="20"/>
  <c r="AJ286" i="9" s="1"/>
  <c r="AG286" i="9"/>
  <c r="B289" i="9"/>
  <c r="AA413" i="9"/>
  <c r="M413" i="9"/>
  <c r="S413" i="9"/>
  <c r="Z412" i="9"/>
  <c r="N412" i="9"/>
  <c r="L413" i="15" s="1"/>
  <c r="S409" i="9"/>
  <c r="N408" i="9"/>
  <c r="L409" i="15" s="1"/>
  <c r="AJ272" i="20"/>
  <c r="AJ271" i="9" s="1"/>
  <c r="AJ273" i="20"/>
  <c r="AJ353" i="20"/>
  <c r="B337" i="9"/>
  <c r="Y412" i="9"/>
  <c r="M412" i="9"/>
  <c r="M409" i="9"/>
  <c r="Z408" i="9"/>
  <c r="U406" i="9"/>
  <c r="S405" i="9"/>
  <c r="X391" i="9"/>
  <c r="M387" i="9"/>
  <c r="K388" i="15" s="1"/>
  <c r="Y383" i="9"/>
  <c r="U379" i="9"/>
  <c r="N377" i="9"/>
  <c r="L378" i="15" s="1"/>
  <c r="U377" i="9"/>
  <c r="Z377" i="9"/>
  <c r="X369" i="9"/>
  <c r="Q368" i="9"/>
  <c r="O369" i="15" s="1"/>
  <c r="O366" i="9"/>
  <c r="S362" i="9"/>
  <c r="AA351" i="9"/>
  <c r="S351" i="9"/>
  <c r="J351" i="9"/>
  <c r="U311" i="9"/>
  <c r="M311" i="9"/>
  <c r="X311" i="9"/>
  <c r="Q311" i="9"/>
  <c r="Z311" i="9"/>
  <c r="U412" i="9"/>
  <c r="S406" i="9"/>
  <c r="U391" i="9"/>
  <c r="Y387" i="9"/>
  <c r="U380" i="9"/>
  <c r="Q372" i="9"/>
  <c r="O373" i="15" s="1"/>
  <c r="O362" i="9"/>
  <c r="M364" i="17" s="1"/>
  <c r="J361" i="9"/>
  <c r="AG356" i="9"/>
  <c r="B352" i="9"/>
  <c r="Z351" i="9"/>
  <c r="Y348" i="9"/>
  <c r="S344" i="9"/>
  <c r="N344" i="9"/>
  <c r="Y344" i="9"/>
  <c r="M340" i="9"/>
  <c r="K342" i="17" s="1"/>
  <c r="U332" i="9"/>
  <c r="N374" i="9"/>
  <c r="L375" i="15" s="1"/>
  <c r="M369" i="9"/>
  <c r="K370" i="15" s="1"/>
  <c r="U369" i="9"/>
  <c r="S366" i="9"/>
  <c r="B356" i="9"/>
  <c r="O351" i="9"/>
  <c r="M353" i="17" s="1"/>
  <c r="X351" i="9"/>
  <c r="AG351" i="9"/>
  <c r="AK351" i="9"/>
  <c r="U343" i="9"/>
  <c r="B338" i="9"/>
  <c r="B287" i="9"/>
  <c r="B288" i="9"/>
  <c r="X406" i="9"/>
  <c r="U405" i="9"/>
  <c r="Z391" i="9"/>
  <c r="U362" i="9"/>
  <c r="AK355" i="9"/>
  <c r="Y340" i="9"/>
  <c r="Q340" i="9"/>
  <c r="AA322" i="9"/>
  <c r="S322" i="9"/>
  <c r="AA308" i="9"/>
  <c r="X317" i="9"/>
  <c r="N317" i="9"/>
  <c r="Y315" i="9"/>
  <c r="M305" i="9"/>
  <c r="U294" i="9"/>
  <c r="N292" i="9"/>
  <c r="U291" i="9"/>
  <c r="N286" i="9"/>
  <c r="U279" i="9"/>
  <c r="X279" i="9"/>
  <c r="AI279" i="9"/>
  <c r="S304" i="9"/>
  <c r="S301" i="9"/>
  <c r="M301" i="9"/>
  <c r="K303" i="17" s="1"/>
  <c r="O298" i="9"/>
  <c r="M300" i="17" s="1"/>
  <c r="X305" i="9"/>
  <c r="N304" i="9"/>
  <c r="Q301" i="9"/>
  <c r="Y298" i="9"/>
  <c r="J289" i="9"/>
  <c r="S289" i="9"/>
  <c r="AI286" i="9"/>
  <c r="AA281" i="9"/>
  <c r="X298" i="9"/>
  <c r="X294" i="9"/>
  <c r="O294" i="9"/>
  <c r="M296" i="17" s="1"/>
  <c r="Q292" i="9"/>
  <c r="M292" i="9"/>
  <c r="Y292" i="9"/>
  <c r="Y291" i="9"/>
  <c r="U286" i="9"/>
  <c r="AI273" i="9"/>
  <c r="Q273" i="9"/>
  <c r="M254" i="9"/>
  <c r="K256" i="17" s="1"/>
  <c r="X278" i="9"/>
  <c r="N278" i="9"/>
  <c r="N271" i="9"/>
  <c r="S270" i="9"/>
  <c r="Y264" i="9"/>
  <c r="AA263" i="9"/>
  <c r="Y256" i="9"/>
  <c r="Z256" i="9"/>
  <c r="X254" i="9"/>
  <c r="O246" i="9"/>
  <c r="M248" i="17" s="1"/>
  <c r="U246" i="9"/>
  <c r="S246" i="9"/>
  <c r="AA246" i="9"/>
  <c r="O242" i="9"/>
  <c r="M244" i="17" s="1"/>
  <c r="Q242" i="9"/>
  <c r="Y236" i="9"/>
  <c r="Q236" i="9"/>
  <c r="Z236" i="9"/>
  <c r="U215" i="9"/>
  <c r="AD273" i="9"/>
  <c r="Y244" i="9"/>
  <c r="N238" i="9"/>
  <c r="S234" i="9"/>
  <c r="M229" i="9"/>
  <c r="K231" i="17" s="1"/>
  <c r="U229" i="9"/>
  <c r="Y226" i="9"/>
  <c r="U224" i="9"/>
  <c r="U222" i="9"/>
  <c r="Q222" i="9"/>
  <c r="U212" i="9"/>
  <c r="M211" i="9"/>
  <c r="AA206" i="9"/>
  <c r="M204" i="9"/>
  <c r="G204" i="15"/>
  <c r="R204" i="15"/>
  <c r="B203" i="15"/>
  <c r="P203" i="15" s="1"/>
  <c r="X202" i="9"/>
  <c r="S198" i="9"/>
  <c r="O195" i="9"/>
  <c r="Z192" i="9"/>
  <c r="AA186" i="9"/>
  <c r="S186" i="9"/>
  <c r="B176" i="15"/>
  <c r="P176" i="15" s="1"/>
  <c r="B168" i="15"/>
  <c r="P168" i="15" s="1"/>
  <c r="X167" i="9"/>
  <c r="B167" i="15"/>
  <c r="P167" i="15" s="1"/>
  <c r="N166" i="9"/>
  <c r="S216" i="9"/>
  <c r="Z216" i="9"/>
  <c r="B207" i="15"/>
  <c r="P207" i="15" s="1"/>
  <c r="S206" i="9"/>
  <c r="Z206" i="9"/>
  <c r="B201" i="15"/>
  <c r="P201" i="15" s="1"/>
  <c r="Q200" i="9"/>
  <c r="Z200" i="9"/>
  <c r="G192" i="15"/>
  <c r="G191" i="15"/>
  <c r="Z186" i="9"/>
  <c r="S185" i="9"/>
  <c r="B174" i="15"/>
  <c r="P174" i="15" s="1"/>
  <c r="U173" i="9"/>
  <c r="B169" i="15"/>
  <c r="P169" i="15" s="1"/>
  <c r="U168" i="9"/>
  <c r="M168" i="9"/>
  <c r="Y168" i="9"/>
  <c r="B162" i="15"/>
  <c r="P162" i="15" s="1"/>
  <c r="Q161" i="9"/>
  <c r="Z161" i="9"/>
  <c r="S161" i="9"/>
  <c r="AA161" i="9"/>
  <c r="M201" i="9"/>
  <c r="B187" i="15"/>
  <c r="P187" i="15" s="1"/>
  <c r="O186" i="9"/>
  <c r="X186" i="9"/>
  <c r="N241" i="9"/>
  <c r="Y240" i="9"/>
  <c r="M216" i="9"/>
  <c r="X209" i="9"/>
  <c r="U206" i="9"/>
  <c r="Y204" i="9"/>
  <c r="X200" i="9"/>
  <c r="B199" i="15"/>
  <c r="P199" i="15" s="1"/>
  <c r="N198" i="9"/>
  <c r="U198" i="9"/>
  <c r="AA198" i="9"/>
  <c r="X196" i="9"/>
  <c r="M190" i="9"/>
  <c r="Y190" i="9"/>
  <c r="U186" i="9"/>
  <c r="M186" i="9"/>
  <c r="B185" i="15"/>
  <c r="P185" i="15" s="1"/>
  <c r="O184" i="9"/>
  <c r="N168" i="9"/>
  <c r="M161" i="9"/>
  <c r="G160" i="15"/>
  <c r="R156" i="15"/>
  <c r="S150" i="9"/>
  <c r="B149" i="15"/>
  <c r="P149" i="15" s="1"/>
  <c r="U148" i="9"/>
  <c r="Q152" i="9"/>
  <c r="B152" i="15"/>
  <c r="P152" i="15" s="1"/>
  <c r="U149" i="9"/>
  <c r="M157" i="9"/>
  <c r="Y156" i="9"/>
  <c r="AA153" i="9"/>
  <c r="Z152" i="9"/>
  <c r="Z150" i="9"/>
  <c r="X148" i="9"/>
  <c r="G196" i="15"/>
  <c r="G183" i="15"/>
  <c r="X181" i="9"/>
  <c r="Y179" i="9"/>
  <c r="M179" i="9"/>
  <c r="Q174" i="9"/>
  <c r="AA172" i="9"/>
  <c r="Q169" i="9"/>
  <c r="Y160" i="9"/>
  <c r="M158" i="9"/>
  <c r="AA157" i="9"/>
  <c r="N153" i="9"/>
  <c r="U152" i="9"/>
  <c r="Y151" i="9"/>
  <c r="X150" i="9"/>
  <c r="Q149" i="9"/>
  <c r="S148" i="9"/>
  <c r="X147" i="9"/>
  <c r="U141" i="9"/>
  <c r="AJ336" i="20"/>
  <c r="AJ335" i="9" s="1"/>
  <c r="U138" i="9"/>
  <c r="AD134" i="9"/>
  <c r="AJ338" i="20"/>
  <c r="AJ337" i="9" s="1"/>
  <c r="AJ337" i="20"/>
  <c r="AJ336" i="9" s="1"/>
  <c r="S134" i="9"/>
  <c r="Y138" i="9"/>
  <c r="M134" i="9"/>
  <c r="K136" i="15" s="1"/>
  <c r="AJ339" i="20"/>
  <c r="N416" i="9"/>
  <c r="L417" i="15" s="1"/>
  <c r="N401" i="9"/>
  <c r="L402" i="15" s="1"/>
  <c r="N381" i="9"/>
  <c r="L382" i="15" s="1"/>
  <c r="Y381" i="9"/>
  <c r="Q376" i="9"/>
  <c r="O377" i="15" s="1"/>
  <c r="Z376" i="9"/>
  <c r="Q375" i="9"/>
  <c r="O376" i="15" s="1"/>
  <c r="N373" i="9"/>
  <c r="L374" i="15" s="1"/>
  <c r="Y373" i="9"/>
  <c r="Y364" i="9"/>
  <c r="Z360" i="9"/>
  <c r="Z342" i="9"/>
  <c r="J337" i="9"/>
  <c r="S337" i="9"/>
  <c r="Y337" i="9"/>
  <c r="O335" i="9"/>
  <c r="M335" i="9"/>
  <c r="U329" i="9"/>
  <c r="S329" i="9"/>
  <c r="M327" i="9"/>
  <c r="X327" i="9"/>
  <c r="O325" i="9"/>
  <c r="X325" i="9"/>
  <c r="O310" i="9"/>
  <c r="N310" i="9"/>
  <c r="U307" i="9"/>
  <c r="Q307" i="9"/>
  <c r="Q303" i="9"/>
  <c r="Y299" i="9"/>
  <c r="N297" i="9"/>
  <c r="M297" i="9"/>
  <c r="K299" i="17" s="1"/>
  <c r="Y295" i="9"/>
  <c r="M417" i="9"/>
  <c r="K418" i="15" s="1"/>
  <c r="M411" i="9"/>
  <c r="K412" i="15" s="1"/>
  <c r="Q407" i="9"/>
  <c r="O408" i="15" s="1"/>
  <c r="O403" i="9"/>
  <c r="O417" i="9"/>
  <c r="S416" i="9"/>
  <c r="Y410" i="9"/>
  <c r="M403" i="9"/>
  <c r="K404" i="15" s="1"/>
  <c r="S401" i="9"/>
  <c r="M400" i="9"/>
  <c r="N393" i="9"/>
  <c r="L394" i="15" s="1"/>
  <c r="M393" i="9"/>
  <c r="K394" i="15" s="1"/>
  <c r="Y392" i="9"/>
  <c r="N386" i="9"/>
  <c r="L387" i="15" s="1"/>
  <c r="O386" i="9"/>
  <c r="M387" i="15" s="1"/>
  <c r="Z381" i="9"/>
  <c r="S381" i="9"/>
  <c r="S378" i="9"/>
  <c r="M376" i="9"/>
  <c r="Q373" i="9"/>
  <c r="O374" i="15" s="1"/>
  <c r="X371" i="9"/>
  <c r="S368" i="9"/>
  <c r="Z368" i="9"/>
  <c r="J365" i="9"/>
  <c r="S365" i="9"/>
  <c r="AA365" i="9"/>
  <c r="Y354" i="9"/>
  <c r="AK354" i="9"/>
  <c r="X348" i="9"/>
  <c r="AK337" i="9"/>
  <c r="X337" i="9"/>
  <c r="N337" i="9"/>
  <c r="AD335" i="9"/>
  <c r="X330" i="9"/>
  <c r="Z329" i="9"/>
  <c r="Z327" i="9"/>
  <c r="O327" i="9"/>
  <c r="AA326" i="9"/>
  <c r="U325" i="9"/>
  <c r="M325" i="9"/>
  <c r="K327" i="17" s="1"/>
  <c r="U321" i="9"/>
  <c r="S321" i="9"/>
  <c r="N314" i="9"/>
  <c r="X314" i="9"/>
  <c r="U312" i="9"/>
  <c r="U310" i="9"/>
  <c r="N309" i="9"/>
  <c r="U309" i="9"/>
  <c r="Z309" i="9"/>
  <c r="Y307" i="9"/>
  <c r="X297" i="9"/>
  <c r="M288" i="9"/>
  <c r="U288" i="9"/>
  <c r="AA288" i="9"/>
  <c r="Q288" i="9"/>
  <c r="Y288" i="9"/>
  <c r="AD288" i="9"/>
  <c r="AK288" i="9"/>
  <c r="S288" i="9"/>
  <c r="Z288" i="9"/>
  <c r="AG288" i="9"/>
  <c r="N281" i="9"/>
  <c r="M281" i="9"/>
  <c r="K283" i="17" s="1"/>
  <c r="Z281" i="9"/>
  <c r="S281" i="9"/>
  <c r="N402" i="9"/>
  <c r="L403" i="15" s="1"/>
  <c r="N397" i="9"/>
  <c r="L398" i="15" s="1"/>
  <c r="Q392" i="9"/>
  <c r="O393" i="15" s="1"/>
  <c r="Z392" i="9"/>
  <c r="M414" i="9"/>
  <c r="K415" i="15" s="1"/>
  <c r="X407" i="9"/>
  <c r="M407" i="9"/>
  <c r="M418" i="9"/>
  <c r="N417" i="9"/>
  <c r="L418" i="15" s="1"/>
  <c r="M416" i="9"/>
  <c r="Q415" i="9"/>
  <c r="O416" i="15" s="1"/>
  <c r="N413" i="9"/>
  <c r="L414" i="15" s="1"/>
  <c r="U411" i="9"/>
  <c r="N409" i="9"/>
  <c r="L410" i="15" s="1"/>
  <c r="U408" i="9"/>
  <c r="M408" i="9"/>
  <c r="K409" i="15" s="1"/>
  <c r="Y406" i="9"/>
  <c r="O406" i="9"/>
  <c r="Y405" i="9"/>
  <c r="N404" i="9"/>
  <c r="L405" i="15" s="1"/>
  <c r="Y403" i="9"/>
  <c r="O402" i="9"/>
  <c r="M403" i="15" s="1"/>
  <c r="M401" i="9"/>
  <c r="Y400" i="9"/>
  <c r="M399" i="9"/>
  <c r="AA397" i="9"/>
  <c r="M397" i="9"/>
  <c r="Y394" i="9"/>
  <c r="U392" i="9"/>
  <c r="U390" i="9"/>
  <c r="M389" i="9"/>
  <c r="K390" i="15" s="1"/>
  <c r="U389" i="9"/>
  <c r="AA389" i="9"/>
  <c r="N388" i="9"/>
  <c r="L389" i="15" s="1"/>
  <c r="U386" i="9"/>
  <c r="N385" i="9"/>
  <c r="L386" i="15" s="1"/>
  <c r="U385" i="9"/>
  <c r="Y385" i="9"/>
  <c r="Y384" i="9"/>
  <c r="X381" i="9"/>
  <c r="Q381" i="9"/>
  <c r="O382" i="15" s="1"/>
  <c r="X378" i="9"/>
  <c r="M375" i="9"/>
  <c r="Z373" i="9"/>
  <c r="M372" i="9"/>
  <c r="K373" i="15" s="1"/>
  <c r="Y372" i="9"/>
  <c r="O369" i="9"/>
  <c r="Z369" i="9"/>
  <c r="Y368" i="9"/>
  <c r="N368" i="9"/>
  <c r="L369" i="15" s="1"/>
  <c r="Y365" i="9"/>
  <c r="N365" i="9"/>
  <c r="Q360" i="9"/>
  <c r="O359" i="9"/>
  <c r="AI355" i="9"/>
  <c r="W355" i="9"/>
  <c r="AG354" i="9"/>
  <c r="U354" i="9"/>
  <c r="N352" i="9"/>
  <c r="AA352" i="9"/>
  <c r="O348" i="9"/>
  <c r="M350" i="17" s="1"/>
  <c r="Q342" i="9"/>
  <c r="AK338" i="9"/>
  <c r="AG337" i="9"/>
  <c r="M337" i="9"/>
  <c r="K339" i="17" s="1"/>
  <c r="N336" i="9"/>
  <c r="M336" i="9"/>
  <c r="K338" i="17" s="1"/>
  <c r="AI336" i="9"/>
  <c r="Y335" i="9"/>
  <c r="N330" i="9"/>
  <c r="N329" i="9"/>
  <c r="Y327" i="9"/>
  <c r="U326" i="9"/>
  <c r="AA325" i="9"/>
  <c r="S325" i="9"/>
  <c r="Y323" i="9"/>
  <c r="O314" i="9"/>
  <c r="AA309" i="9"/>
  <c r="S309" i="9"/>
  <c r="S297" i="9"/>
  <c r="N293" i="9"/>
  <c r="M293" i="9"/>
  <c r="K295" i="17" s="1"/>
  <c r="O280" i="9"/>
  <c r="M282" i="17" s="1"/>
  <c r="Q280" i="9"/>
  <c r="Z280" i="9"/>
  <c r="M280" i="9"/>
  <c r="AA280" i="9"/>
  <c r="Y417" i="9"/>
  <c r="AB416" i="9"/>
  <c r="X410" i="9"/>
  <c r="AA408" i="9"/>
  <c r="S408" i="9"/>
  <c r="U407" i="9"/>
  <c r="X403" i="9"/>
  <c r="M396" i="9"/>
  <c r="Y396" i="9"/>
  <c r="S393" i="9"/>
  <c r="S392" i="9"/>
  <c r="X382" i="9"/>
  <c r="O381" i="9"/>
  <c r="M382" i="15" s="1"/>
  <c r="S380" i="9"/>
  <c r="N378" i="9"/>
  <c r="L379" i="15" s="1"/>
  <c r="U376" i="9"/>
  <c r="X374" i="9"/>
  <c r="S374" i="9"/>
  <c r="X373" i="9"/>
  <c r="Q371" i="9"/>
  <c r="O372" i="15" s="1"/>
  <c r="M368" i="9"/>
  <c r="X365" i="9"/>
  <c r="M365" i="9"/>
  <c r="N362" i="9"/>
  <c r="X362" i="9"/>
  <c r="N355" i="9"/>
  <c r="U355" i="9"/>
  <c r="Y355" i="9"/>
  <c r="AD355" i="9"/>
  <c r="AD354" i="9"/>
  <c r="M354" i="9"/>
  <c r="U349" i="9"/>
  <c r="AA348" i="9"/>
  <c r="N348" i="9"/>
  <c r="Y345" i="9"/>
  <c r="S338" i="9"/>
  <c r="AG338" i="9"/>
  <c r="AD337" i="9"/>
  <c r="U337" i="9"/>
  <c r="J333" i="9"/>
  <c r="S333" i="9"/>
  <c r="U327" i="9"/>
  <c r="Z325" i="9"/>
  <c r="Q325" i="9"/>
  <c r="M323" i="9"/>
  <c r="K325" i="17" s="1"/>
  <c r="X322" i="9"/>
  <c r="Y321" i="9"/>
  <c r="N320" i="9"/>
  <c r="S316" i="9"/>
  <c r="Z316" i="9"/>
  <c r="AA314" i="9"/>
  <c r="S312" i="9"/>
  <c r="Y309" i="9"/>
  <c r="Q309" i="9"/>
  <c r="X302" i="9"/>
  <c r="Y293" i="9"/>
  <c r="Q287" i="9"/>
  <c r="M287" i="9"/>
  <c r="X287" i="9"/>
  <c r="AG287" i="9"/>
  <c r="U287" i="9"/>
  <c r="AK287" i="9"/>
  <c r="J287" i="9"/>
  <c r="S284" i="9"/>
  <c r="Q284" i="9"/>
  <c r="Y284" i="9"/>
  <c r="M284" i="9"/>
  <c r="K286" i="17" s="1"/>
  <c r="M395" i="9"/>
  <c r="Q391" i="9"/>
  <c r="O392" i="15" s="1"/>
  <c r="O387" i="9"/>
  <c r="S361" i="9"/>
  <c r="J356" i="9"/>
  <c r="M344" i="9"/>
  <c r="K346" i="17" s="1"/>
  <c r="N334" i="9"/>
  <c r="O319" i="9"/>
  <c r="M321" i="17" s="1"/>
  <c r="AA304" i="9"/>
  <c r="AA300" i="9"/>
  <c r="Z296" i="9"/>
  <c r="Z292" i="9"/>
  <c r="X291" i="9"/>
  <c r="M291" i="9"/>
  <c r="Y289" i="9"/>
  <c r="M289" i="9"/>
  <c r="Y286" i="9"/>
  <c r="O286" i="9"/>
  <c r="Y285" i="9"/>
  <c r="X282" i="9"/>
  <c r="AK279" i="9"/>
  <c r="AA278" i="9"/>
  <c r="Q278" i="9"/>
  <c r="J275" i="9"/>
  <c r="AG271" i="9"/>
  <c r="X271" i="9"/>
  <c r="AA270" i="9"/>
  <c r="O270" i="9"/>
  <c r="M272" i="17" s="1"/>
  <c r="U264" i="9"/>
  <c r="O263" i="9"/>
  <c r="M265" i="17" s="1"/>
  <c r="X258" i="9"/>
  <c r="O252" i="9"/>
  <c r="M254" i="17" s="1"/>
  <c r="N249" i="9"/>
  <c r="Y246" i="9"/>
  <c r="Y242" i="9"/>
  <c r="M242" i="9"/>
  <c r="K244" i="17" s="1"/>
  <c r="Y241" i="9"/>
  <c r="M240" i="9"/>
  <c r="K242" i="17" s="1"/>
  <c r="Y239" i="9"/>
  <c r="Y238" i="9"/>
  <c r="O236" i="9"/>
  <c r="M238" i="17" s="1"/>
  <c r="X236" i="9"/>
  <c r="O229" i="9"/>
  <c r="X229" i="9"/>
  <c r="Y228" i="9"/>
  <c r="N228" i="9"/>
  <c r="X224" i="9"/>
  <c r="Y222" i="9"/>
  <c r="AA221" i="9"/>
  <c r="N221" i="9"/>
  <c r="S219" i="9"/>
  <c r="U216" i="9"/>
  <c r="B213" i="15"/>
  <c r="O212" i="9"/>
  <c r="X212" i="9"/>
  <c r="B212" i="15"/>
  <c r="P212" i="15" s="1"/>
  <c r="S211" i="9"/>
  <c r="Y211" i="9"/>
  <c r="O208" i="9"/>
  <c r="Q201" i="9"/>
  <c r="B202" i="15"/>
  <c r="P202" i="15" s="1"/>
  <c r="AA195" i="9"/>
  <c r="B190" i="15"/>
  <c r="P190" i="15" s="1"/>
  <c r="U189" i="9"/>
  <c r="N305" i="9"/>
  <c r="N301" i="9"/>
  <c r="J296" i="9"/>
  <c r="M294" i="9"/>
  <c r="S290" i="9"/>
  <c r="AG289" i="9"/>
  <c r="X289" i="9"/>
  <c r="J279" i="9"/>
  <c r="Z278" i="9"/>
  <c r="O278" i="9"/>
  <c r="M280" i="17" s="1"/>
  <c r="AA275" i="9"/>
  <c r="M273" i="9"/>
  <c r="AI270" i="9"/>
  <c r="AD270" i="9"/>
  <c r="Z270" i="9"/>
  <c r="U270" i="9"/>
  <c r="N270" i="9"/>
  <c r="Y260" i="9"/>
  <c r="U257" i="9"/>
  <c r="N257" i="9"/>
  <c r="M256" i="9"/>
  <c r="X256" i="9"/>
  <c r="X255" i="9"/>
  <c r="O254" i="9"/>
  <c r="M256" i="17" s="1"/>
  <c r="U254" i="9"/>
  <c r="N250" i="9"/>
  <c r="X250" i="9"/>
  <c r="Q246" i="9"/>
  <c r="X246" i="9"/>
  <c r="X242" i="9"/>
  <c r="X231" i="9"/>
  <c r="Y230" i="9"/>
  <c r="X228" i="9"/>
  <c r="AA216" i="9"/>
  <c r="M215" i="9"/>
  <c r="AA208" i="9"/>
  <c r="G208" i="15"/>
  <c r="B198" i="15"/>
  <c r="P198" i="15" s="1"/>
  <c r="B197" i="15"/>
  <c r="P197" i="15" s="1"/>
  <c r="M196" i="9"/>
  <c r="Y196" i="9"/>
  <c r="B194" i="15"/>
  <c r="P194" i="15" s="1"/>
  <c r="Y193" i="9"/>
  <c r="B191" i="15"/>
  <c r="P191" i="15" s="1"/>
  <c r="Q190" i="9"/>
  <c r="X190" i="9"/>
  <c r="N190" i="9"/>
  <c r="U190" i="9"/>
  <c r="Z190" i="9"/>
  <c r="AA189" i="9"/>
  <c r="B181" i="15"/>
  <c r="P181" i="15" s="1"/>
  <c r="N180" i="9"/>
  <c r="AA180" i="9"/>
  <c r="X180" i="9"/>
  <c r="Y180" i="9"/>
  <c r="B179" i="15"/>
  <c r="P179" i="15" s="1"/>
  <c r="Y178" i="9"/>
  <c r="W271" i="9"/>
  <c r="S267" i="9"/>
  <c r="X259" i="9"/>
  <c r="N258" i="9"/>
  <c r="S258" i="9"/>
  <c r="Y249" i="9"/>
  <c r="O240" i="9"/>
  <c r="O224" i="9"/>
  <c r="S224" i="9"/>
  <c r="AA224" i="9"/>
  <c r="M222" i="9"/>
  <c r="X222" i="9"/>
  <c r="Y221" i="9"/>
  <c r="U221" i="9"/>
  <c r="O216" i="9"/>
  <c r="M218" i="17" s="1"/>
  <c r="Y216" i="9"/>
  <c r="B210" i="15"/>
  <c r="O209" i="9"/>
  <c r="G207" i="15"/>
  <c r="AA191" i="9"/>
  <c r="B192" i="15"/>
  <c r="P192" i="15" s="1"/>
  <c r="B186" i="15"/>
  <c r="N185" i="9"/>
  <c r="Y185" i="9"/>
  <c r="U185" i="9"/>
  <c r="B177" i="15"/>
  <c r="X176" i="9"/>
  <c r="N289" i="9"/>
  <c r="X283" i="9"/>
  <c r="S275" i="9"/>
  <c r="W273" i="9"/>
  <c r="AK270" i="9"/>
  <c r="AG270" i="9"/>
  <c r="X270" i="9"/>
  <c r="Q270" i="9"/>
  <c r="J270" i="9"/>
  <c r="AA267" i="9"/>
  <c r="AA258" i="9"/>
  <c r="M258" i="9"/>
  <c r="K260" i="17" s="1"/>
  <c r="U249" i="9"/>
  <c r="X248" i="9"/>
  <c r="Q244" i="9"/>
  <c r="Y243" i="9"/>
  <c r="S242" i="9"/>
  <c r="Q240" i="9"/>
  <c r="Q238" i="9"/>
  <c r="U237" i="9"/>
  <c r="O228" i="9"/>
  <c r="M230" i="17" s="1"/>
  <c r="U228" i="9"/>
  <c r="Z228" i="9"/>
  <c r="Z224" i="9"/>
  <c r="M224" i="9"/>
  <c r="K226" i="17" s="1"/>
  <c r="Z222" i="9"/>
  <c r="O222" i="9"/>
  <c r="O221" i="9"/>
  <c r="Y219" i="9"/>
  <c r="B209" i="15"/>
  <c r="N208" i="9"/>
  <c r="Y208" i="9"/>
  <c r="S207" i="9"/>
  <c r="B208" i="15"/>
  <c r="P208" i="15" s="1"/>
  <c r="S195" i="9"/>
  <c r="B196" i="15"/>
  <c r="P196" i="15" s="1"/>
  <c r="X195" i="9"/>
  <c r="B189" i="15"/>
  <c r="P189" i="15" s="1"/>
  <c r="O188" i="9"/>
  <c r="X188" i="9"/>
  <c r="AA185" i="9"/>
  <c r="Z182" i="9"/>
  <c r="B183" i="15"/>
  <c r="P183" i="15" s="1"/>
  <c r="X182" i="9"/>
  <c r="N182" i="9"/>
  <c r="O177" i="9"/>
  <c r="B178" i="15"/>
  <c r="O167" i="9"/>
  <c r="AA166" i="9"/>
  <c r="S166" i="9"/>
  <c r="B166" i="15"/>
  <c r="O163" i="9"/>
  <c r="B164" i="15"/>
  <c r="P164" i="15" s="1"/>
  <c r="B155" i="15"/>
  <c r="P155" i="15" s="1"/>
  <c r="P154" i="15"/>
  <c r="X149" i="9"/>
  <c r="M149" i="9"/>
  <c r="B145" i="15"/>
  <c r="P145" i="15" s="1"/>
  <c r="AA143" i="9"/>
  <c r="M143" i="9"/>
  <c r="Z141" i="9"/>
  <c r="M141" i="9"/>
  <c r="K143" i="15" s="1"/>
  <c r="B142" i="15"/>
  <c r="P142" i="15" s="1"/>
  <c r="N139" i="9"/>
  <c r="L141" i="15" s="1"/>
  <c r="B140" i="15"/>
  <c r="P140" i="15" s="1"/>
  <c r="X136" i="9"/>
  <c r="J135" i="9"/>
  <c r="I137" i="15" s="1"/>
  <c r="B137" i="15"/>
  <c r="P137" i="15" s="1"/>
  <c r="AJ134" i="9"/>
  <c r="X134" i="9"/>
  <c r="O134" i="9"/>
  <c r="P134" i="9" s="1"/>
  <c r="N136" i="15" s="1"/>
  <c r="S199" i="9"/>
  <c r="B200" i="15"/>
  <c r="P200" i="15" s="1"/>
  <c r="G199" i="15"/>
  <c r="G187" i="15"/>
  <c r="G184" i="15"/>
  <c r="X179" i="9"/>
  <c r="Q179" i="9"/>
  <c r="Y177" i="9"/>
  <c r="G175" i="15"/>
  <c r="S172" i="9"/>
  <c r="Z167" i="9"/>
  <c r="Y166" i="9"/>
  <c r="O166" i="9"/>
  <c r="M168" i="17" s="1"/>
  <c r="N164" i="9"/>
  <c r="B165" i="15"/>
  <c r="P165" i="15" s="1"/>
  <c r="M163" i="9"/>
  <c r="G161" i="15"/>
  <c r="O156" i="9"/>
  <c r="B157" i="15"/>
  <c r="P157" i="15" s="1"/>
  <c r="X155" i="9"/>
  <c r="X154" i="9"/>
  <c r="M154" i="9"/>
  <c r="N147" i="9"/>
  <c r="B148" i="15"/>
  <c r="P148" i="15" s="1"/>
  <c r="Y145" i="9"/>
  <c r="Z140" i="9"/>
  <c r="O140" i="9"/>
  <c r="P140" i="9" s="1"/>
  <c r="N142" i="15" s="1"/>
  <c r="G141" i="15"/>
  <c r="R140" i="15"/>
  <c r="A137" i="15"/>
  <c r="AI134" i="9"/>
  <c r="AA134" i="9"/>
  <c r="U134" i="9"/>
  <c r="N134" i="9"/>
  <c r="L136" i="15" s="1"/>
  <c r="B150" i="15"/>
  <c r="P150" i="15" s="1"/>
  <c r="N143" i="9"/>
  <c r="B144" i="15"/>
  <c r="P144" i="15" s="1"/>
  <c r="S141" i="9"/>
  <c r="B143" i="15"/>
  <c r="P143" i="15" s="1"/>
  <c r="M137" i="9"/>
  <c r="L137" i="9" s="1"/>
  <c r="B139" i="15"/>
  <c r="P139" i="15" s="1"/>
  <c r="B138" i="15"/>
  <c r="P138" i="15" s="1"/>
  <c r="Y247" i="9"/>
  <c r="M233" i="9"/>
  <c r="K235" i="17" s="1"/>
  <c r="B214" i="15"/>
  <c r="G212" i="15"/>
  <c r="S203" i="9"/>
  <c r="B204" i="15"/>
  <c r="P204" i="15" s="1"/>
  <c r="G200" i="15"/>
  <c r="N194" i="9"/>
  <c r="X192" i="9"/>
  <c r="B193" i="15"/>
  <c r="B184" i="15"/>
  <c r="P184" i="15" s="1"/>
  <c r="M181" i="9"/>
  <c r="Z179" i="9"/>
  <c r="U179" i="9"/>
  <c r="N179" i="9"/>
  <c r="M175" i="9"/>
  <c r="G176" i="15"/>
  <c r="Q173" i="9"/>
  <c r="AA171" i="9"/>
  <c r="X169" i="9"/>
  <c r="Z168" i="9"/>
  <c r="S168" i="9"/>
  <c r="U167" i="9"/>
  <c r="U166" i="9"/>
  <c r="Y164" i="9"/>
  <c r="G164" i="15"/>
  <c r="X161" i="9"/>
  <c r="O161" i="9"/>
  <c r="B161" i="15"/>
  <c r="P161" i="15" s="1"/>
  <c r="X159" i="9"/>
  <c r="N157" i="9"/>
  <c r="B158" i="15"/>
  <c r="G157" i="15"/>
  <c r="S154" i="9"/>
  <c r="B153" i="15"/>
  <c r="P153" i="15" s="1"/>
  <c r="U151" i="9"/>
  <c r="B151" i="15"/>
  <c r="P151" i="15" s="1"/>
  <c r="Z149" i="9"/>
  <c r="O149" i="9"/>
  <c r="M147" i="9"/>
  <c r="G148" i="15"/>
  <c r="M146" i="9"/>
  <c r="G145" i="15"/>
  <c r="S143" i="9"/>
  <c r="N141" i="9"/>
  <c r="L143" i="15" s="1"/>
  <c r="X140" i="9"/>
  <c r="Z138" i="9"/>
  <c r="Q138" i="9"/>
  <c r="O140" i="15" s="1"/>
  <c r="G140" i="15"/>
  <c r="Y137" i="9"/>
  <c r="N137" i="9"/>
  <c r="L139" i="15" s="1"/>
  <c r="Z136" i="9"/>
  <c r="O136" i="9"/>
  <c r="M138" i="15" s="1"/>
  <c r="G137" i="15"/>
  <c r="AK134" i="9"/>
  <c r="AG134" i="9"/>
  <c r="Y134" i="9"/>
  <c r="Q134" i="9"/>
  <c r="O136" i="15" s="1"/>
  <c r="J134" i="9"/>
  <c r="I136" i="15" s="1"/>
  <c r="A136" i="15"/>
  <c r="Q136" i="15" s="1"/>
  <c r="L392" i="9"/>
  <c r="K151" i="15"/>
  <c r="P322" i="9"/>
  <c r="L319" i="9"/>
  <c r="L197" i="9"/>
  <c r="K198" i="15"/>
  <c r="L140" i="9"/>
  <c r="K142" i="15"/>
  <c r="L138" i="9"/>
  <c r="K140" i="15"/>
  <c r="L331" i="9"/>
  <c r="P285" i="9"/>
  <c r="M191" i="15"/>
  <c r="P148" i="9"/>
  <c r="R137" i="15"/>
  <c r="R200" i="15"/>
  <c r="R196" i="15"/>
  <c r="R188" i="15"/>
  <c r="R184" i="15"/>
  <c r="R157" i="15"/>
  <c r="R207" i="15"/>
  <c r="R198" i="15"/>
  <c r="R182" i="15"/>
  <c r="R178" i="15"/>
  <c r="R161" i="15"/>
  <c r="R143" i="15"/>
  <c r="R142" i="15"/>
  <c r="R139" i="15"/>
  <c r="R208" i="15"/>
  <c r="R172" i="15"/>
  <c r="R165" i="15"/>
  <c r="R149" i="15"/>
  <c r="R145" i="15"/>
  <c r="R141" i="15"/>
  <c r="R138" i="15"/>
  <c r="R209" i="15"/>
  <c r="G209" i="15"/>
  <c r="P195" i="15"/>
  <c r="G171" i="15"/>
  <c r="R210" i="15"/>
  <c r="G201" i="15"/>
  <c r="G193" i="15"/>
  <c r="G177" i="15"/>
  <c r="R214" i="15"/>
  <c r="G214" i="15"/>
  <c r="R213" i="15"/>
  <c r="G213" i="15"/>
  <c r="P175" i="15"/>
  <c r="P211" i="15"/>
  <c r="G197" i="15"/>
  <c r="G189" i="15"/>
  <c r="G181" i="15"/>
  <c r="G150" i="15"/>
  <c r="G210" i="15"/>
  <c r="G206" i="15"/>
  <c r="G202" i="15"/>
  <c r="G186" i="15"/>
  <c r="G182" i="15"/>
  <c r="G178" i="15"/>
  <c r="P160" i="15"/>
  <c r="P156" i="15"/>
  <c r="G146" i="15"/>
  <c r="G142" i="15"/>
  <c r="G163" i="15"/>
  <c r="G159" i="15"/>
  <c r="G155" i="15"/>
  <c r="G147" i="15"/>
  <c r="G143" i="15"/>
  <c r="G139" i="15"/>
  <c r="O347" i="9"/>
  <c r="Z347" i="9"/>
  <c r="AD347" i="9"/>
  <c r="Q347" i="9"/>
  <c r="X347" i="9"/>
  <c r="J347" i="9"/>
  <c r="S347" i="9"/>
  <c r="Y347" i="9"/>
  <c r="M347" i="9"/>
  <c r="U347" i="9"/>
  <c r="AA347" i="9"/>
  <c r="AA401" i="9"/>
  <c r="Q401" i="9"/>
  <c r="O402" i="15" s="1"/>
  <c r="S394" i="9"/>
  <c r="AA393" i="9"/>
  <c r="Q393" i="9"/>
  <c r="O394" i="15" s="1"/>
  <c r="S384" i="9"/>
  <c r="N380" i="9"/>
  <c r="L381" i="15" s="1"/>
  <c r="Y380" i="9"/>
  <c r="O371" i="9"/>
  <c r="M372" i="15" s="1"/>
  <c r="Y371" i="9"/>
  <c r="N370" i="9"/>
  <c r="L371" i="15" s="1"/>
  <c r="X370" i="9"/>
  <c r="S370" i="9"/>
  <c r="Y366" i="9"/>
  <c r="AA361" i="9"/>
  <c r="AG352" i="9"/>
  <c r="AA416" i="9"/>
  <c r="Q416" i="9"/>
  <c r="O417" i="15" s="1"/>
  <c r="J416" i="9"/>
  <c r="I417" i="15" s="1"/>
  <c r="Y414" i="9"/>
  <c r="Z413" i="9"/>
  <c r="Q413" i="9"/>
  <c r="O414" i="15" s="1"/>
  <c r="J413" i="9"/>
  <c r="I414" i="15" s="1"/>
  <c r="S410" i="9"/>
  <c r="AA409" i="9"/>
  <c r="Q409" i="9"/>
  <c r="O410" i="15" s="1"/>
  <c r="X398" i="9"/>
  <c r="Z397" i="9"/>
  <c r="Q397" i="9"/>
  <c r="O398" i="15" s="1"/>
  <c r="Y418" i="9"/>
  <c r="AB417" i="9"/>
  <c r="U417" i="9"/>
  <c r="J417" i="9"/>
  <c r="I418" i="15" s="1"/>
  <c r="Z416" i="9"/>
  <c r="O416" i="9"/>
  <c r="M417" i="15" s="1"/>
  <c r="Z411" i="9"/>
  <c r="O411" i="9"/>
  <c r="M412" i="15" s="1"/>
  <c r="N410" i="9"/>
  <c r="L411" i="15" s="1"/>
  <c r="Z409" i="9"/>
  <c r="U409" i="9"/>
  <c r="O409" i="9"/>
  <c r="M410" i="15" s="1"/>
  <c r="X375" i="9"/>
  <c r="U375" i="9"/>
  <c r="U374" i="9"/>
  <c r="AA374" i="9"/>
  <c r="O367" i="9"/>
  <c r="M368" i="15" s="1"/>
  <c r="X367" i="9"/>
  <c r="O361" i="9"/>
  <c r="Z361" i="9"/>
  <c r="Q361" i="9"/>
  <c r="X361" i="9"/>
  <c r="Y359" i="9"/>
  <c r="X359" i="9"/>
  <c r="J359" i="9"/>
  <c r="Y353" i="9"/>
  <c r="U353" i="9"/>
  <c r="AK353" i="9"/>
  <c r="J350" i="9"/>
  <c r="Q350" i="9"/>
  <c r="Z350" i="9"/>
  <c r="Y350" i="9"/>
  <c r="AK350" i="9"/>
  <c r="M350" i="9"/>
  <c r="U350" i="9"/>
  <c r="AD350" i="9"/>
  <c r="N347" i="9"/>
  <c r="U414" i="9"/>
  <c r="Y413" i="9"/>
  <c r="U413" i="9"/>
  <c r="O413" i="9"/>
  <c r="M414" i="15" s="1"/>
  <c r="U402" i="9"/>
  <c r="Z401" i="9"/>
  <c r="O401" i="9"/>
  <c r="M402" i="15" s="1"/>
  <c r="S400" i="9"/>
  <c r="Y399" i="9"/>
  <c r="S398" i="9"/>
  <c r="Y397" i="9"/>
  <c r="U397" i="9"/>
  <c r="O397" i="9"/>
  <c r="M398" i="15" s="1"/>
  <c r="Z395" i="9"/>
  <c r="O395" i="9"/>
  <c r="M396" i="15" s="1"/>
  <c r="N394" i="9"/>
  <c r="L395" i="15" s="1"/>
  <c r="Z393" i="9"/>
  <c r="U393" i="9"/>
  <c r="O393" i="9"/>
  <c r="M394" i="15" s="1"/>
  <c r="M384" i="9"/>
  <c r="K385" i="15" s="1"/>
  <c r="U418" i="9"/>
  <c r="AA417" i="9"/>
  <c r="S417" i="9"/>
  <c r="Y416" i="9"/>
  <c r="U416" i="9"/>
  <c r="X413" i="9"/>
  <c r="Y411" i="9"/>
  <c r="Y409" i="9"/>
  <c r="Y407" i="9"/>
  <c r="X405" i="9"/>
  <c r="Q405" i="9"/>
  <c r="O406" i="15" s="1"/>
  <c r="AA402" i="9"/>
  <c r="S402" i="9"/>
  <c r="Y401" i="9"/>
  <c r="U401" i="9"/>
  <c r="X397" i="9"/>
  <c r="Y395" i="9"/>
  <c r="Y393" i="9"/>
  <c r="Y391" i="9"/>
  <c r="X389" i="9"/>
  <c r="Q389" i="9"/>
  <c r="O390" i="15" s="1"/>
  <c r="AA386" i="9"/>
  <c r="S386" i="9"/>
  <c r="Z380" i="9"/>
  <c r="M380" i="9"/>
  <c r="K381" i="15" s="1"/>
  <c r="Z379" i="9"/>
  <c r="M379" i="9"/>
  <c r="K380" i="15" s="1"/>
  <c r="Z375" i="9"/>
  <c r="O375" i="9"/>
  <c r="M376" i="15" s="1"/>
  <c r="O374" i="9"/>
  <c r="M375" i="15" s="1"/>
  <c r="O373" i="9"/>
  <c r="M374" i="15" s="1"/>
  <c r="AA373" i="9"/>
  <c r="M373" i="9"/>
  <c r="K374" i="15" s="1"/>
  <c r="U373" i="9"/>
  <c r="N372" i="9"/>
  <c r="L373" i="15" s="1"/>
  <c r="S372" i="9"/>
  <c r="AA372" i="9"/>
  <c r="M371" i="9"/>
  <c r="K372" i="15" s="1"/>
  <c r="Y367" i="9"/>
  <c r="M366" i="9"/>
  <c r="K367" i="15" s="1"/>
  <c r="AA366" i="9"/>
  <c r="N366" i="9"/>
  <c r="L367" i="15" s="1"/>
  <c r="X366" i="9"/>
  <c r="M361" i="9"/>
  <c r="U359" i="9"/>
  <c r="M356" i="9"/>
  <c r="O356" i="9"/>
  <c r="Y356" i="9"/>
  <c r="S356" i="9"/>
  <c r="AI356" i="9"/>
  <c r="U356" i="9"/>
  <c r="AK356" i="9"/>
  <c r="M352" i="9"/>
  <c r="O352" i="9"/>
  <c r="Y352" i="9"/>
  <c r="AJ352" i="9"/>
  <c r="U352" i="9"/>
  <c r="AK352" i="9"/>
  <c r="J352" i="9"/>
  <c r="X352" i="9"/>
  <c r="AG350" i="9"/>
  <c r="O343" i="9"/>
  <c r="Z343" i="9"/>
  <c r="AD343" i="9"/>
  <c r="J343" i="9"/>
  <c r="Q343" i="9"/>
  <c r="AA343" i="9"/>
  <c r="Q339" i="9"/>
  <c r="N328" i="9"/>
  <c r="AA328" i="9"/>
  <c r="Q328" i="9"/>
  <c r="N321" i="9"/>
  <c r="Z312" i="9"/>
  <c r="M312" i="9"/>
  <c r="J346" i="9"/>
  <c r="AD346" i="9"/>
  <c r="M346" i="9"/>
  <c r="Y346" i="9"/>
  <c r="Y343" i="9"/>
  <c r="N343" i="9"/>
  <c r="J342" i="9"/>
  <c r="AD342" i="9"/>
  <c r="M342" i="9"/>
  <c r="Y342" i="9"/>
  <c r="M339" i="9"/>
  <c r="W338" i="9"/>
  <c r="S332" i="9"/>
  <c r="Y329" i="9"/>
  <c r="M329" i="9"/>
  <c r="Z328" i="9"/>
  <c r="M328" i="9"/>
  <c r="O326" i="9"/>
  <c r="X326" i="9"/>
  <c r="S326" i="9"/>
  <c r="Y326" i="9"/>
  <c r="Q324" i="9"/>
  <c r="Y324" i="9"/>
  <c r="S324" i="9"/>
  <c r="AA324" i="9"/>
  <c r="X321" i="9"/>
  <c r="M321" i="9"/>
  <c r="U315" i="9"/>
  <c r="Y312" i="9"/>
  <c r="Q308" i="9"/>
  <c r="S308" i="9"/>
  <c r="Y308" i="9"/>
  <c r="M308" i="9"/>
  <c r="U308" i="9"/>
  <c r="Z308" i="9"/>
  <c r="U306" i="9"/>
  <c r="X306" i="9"/>
  <c r="O306" i="9"/>
  <c r="Y306" i="9"/>
  <c r="S376" i="9"/>
  <c r="Y376" i="9"/>
  <c r="O365" i="9"/>
  <c r="Z365" i="9"/>
  <c r="J363" i="9"/>
  <c r="Y363" i="9"/>
  <c r="M362" i="9"/>
  <c r="J362" i="9"/>
  <c r="AA362" i="9"/>
  <c r="J354" i="9"/>
  <c r="Q354" i="9"/>
  <c r="Z354" i="9"/>
  <c r="Y349" i="9"/>
  <c r="M348" i="9"/>
  <c r="J348" i="9"/>
  <c r="U348" i="9"/>
  <c r="U346" i="9"/>
  <c r="X343" i="9"/>
  <c r="M343" i="9"/>
  <c r="U342" i="9"/>
  <c r="U341" i="9"/>
  <c r="Y341" i="9"/>
  <c r="S340" i="9"/>
  <c r="AA340" i="9"/>
  <c r="Y328" i="9"/>
  <c r="N326" i="9"/>
  <c r="M324" i="9"/>
  <c r="Q323" i="9"/>
  <c r="X323" i="9"/>
  <c r="N318" i="9"/>
  <c r="S318" i="9"/>
  <c r="X318" i="9"/>
  <c r="O317" i="9"/>
  <c r="U317" i="9"/>
  <c r="Y317" i="9"/>
  <c r="Q317" i="9"/>
  <c r="Z317" i="9"/>
  <c r="O315" i="9"/>
  <c r="O313" i="9"/>
  <c r="AA313" i="9"/>
  <c r="Q313" i="9"/>
  <c r="X313" i="9"/>
  <c r="J339" i="9"/>
  <c r="X339" i="9"/>
  <c r="Y339" i="9"/>
  <c r="M332" i="9"/>
  <c r="N332" i="9"/>
  <c r="Y332" i="9"/>
  <c r="O329" i="9"/>
  <c r="AA329" i="9"/>
  <c r="Q329" i="9"/>
  <c r="X329" i="9"/>
  <c r="U328" i="9"/>
  <c r="O321" i="9"/>
  <c r="Z321" i="9"/>
  <c r="Q321" i="9"/>
  <c r="AA321" i="9"/>
  <c r="N312" i="9"/>
  <c r="AA312" i="9"/>
  <c r="Q312" i="9"/>
  <c r="N308" i="9"/>
  <c r="Y310" i="9"/>
  <c r="S310" i="9"/>
  <c r="Z305" i="9"/>
  <c r="U305" i="9"/>
  <c r="O305" i="9"/>
  <c r="Y303" i="9"/>
  <c r="O302" i="9"/>
  <c r="Z301" i="9"/>
  <c r="U301" i="9"/>
  <c r="O301" i="9"/>
  <c r="AA297" i="9"/>
  <c r="Q297" i="9"/>
  <c r="X293" i="9"/>
  <c r="Q293" i="9"/>
  <c r="U290" i="9"/>
  <c r="N290" i="9"/>
  <c r="AI289" i="9"/>
  <c r="AA289" i="9"/>
  <c r="O289" i="9"/>
  <c r="M283" i="9"/>
  <c r="Y281" i="9"/>
  <c r="U281" i="9"/>
  <c r="O281" i="9"/>
  <c r="Y280" i="9"/>
  <c r="M268" i="9"/>
  <c r="U344" i="9"/>
  <c r="J344" i="9"/>
  <c r="AI337" i="9"/>
  <c r="AA337" i="9"/>
  <c r="Q337" i="9"/>
  <c r="X334" i="9"/>
  <c r="Z333" i="9"/>
  <c r="Q333" i="9"/>
  <c r="S330" i="9"/>
  <c r="U322" i="9"/>
  <c r="S320" i="9"/>
  <c r="Y319" i="9"/>
  <c r="U314" i="9"/>
  <c r="X310" i="9"/>
  <c r="Y305" i="9"/>
  <c r="Z304" i="9"/>
  <c r="U304" i="9"/>
  <c r="M304" i="9"/>
  <c r="Y302" i="9"/>
  <c r="Y301" i="9"/>
  <c r="Z300" i="9"/>
  <c r="U300" i="9"/>
  <c r="M300" i="9"/>
  <c r="Z297" i="9"/>
  <c r="U297" i="9"/>
  <c r="O297" i="9"/>
  <c r="U295" i="9"/>
  <c r="AA293" i="9"/>
  <c r="O293" i="9"/>
  <c r="AI290" i="9"/>
  <c r="AA290" i="9"/>
  <c r="AD289" i="9"/>
  <c r="Z289" i="9"/>
  <c r="U289" i="9"/>
  <c r="AD287" i="9"/>
  <c r="Y287" i="9"/>
  <c r="W286" i="9"/>
  <c r="X285" i="9"/>
  <c r="Q285" i="9"/>
  <c r="Y283" i="9"/>
  <c r="X281" i="9"/>
  <c r="X280" i="9"/>
  <c r="AJ279" i="9"/>
  <c r="Y279" i="9"/>
  <c r="S279" i="9"/>
  <c r="W277" i="9"/>
  <c r="AG277" i="9"/>
  <c r="M277" i="9"/>
  <c r="Y277" i="9"/>
  <c r="Q272" i="9"/>
  <c r="Z272" i="9"/>
  <c r="U272" i="9"/>
  <c r="AJ272" i="9"/>
  <c r="S269" i="9"/>
  <c r="AA269" i="9"/>
  <c r="Y268" i="9"/>
  <c r="Q265" i="9"/>
  <c r="S265" i="9"/>
  <c r="Y265" i="9"/>
  <c r="Y297" i="9"/>
  <c r="Z293" i="9"/>
  <c r="U293" i="9"/>
  <c r="Y290" i="9"/>
  <c r="W270" i="9"/>
  <c r="Y261" i="9"/>
  <c r="M261" i="9"/>
  <c r="S261" i="9"/>
  <c r="X276" i="9"/>
  <c r="M276" i="9"/>
  <c r="X263" i="9"/>
  <c r="Z258" i="9"/>
  <c r="U258" i="9"/>
  <c r="O258" i="9"/>
  <c r="M257" i="9"/>
  <c r="S255" i="9"/>
  <c r="S254" i="9"/>
  <c r="Y251" i="9"/>
  <c r="O250" i="9"/>
  <c r="U250" i="9"/>
  <c r="Z250" i="9"/>
  <c r="Z248" i="9"/>
  <c r="O248" i="9"/>
  <c r="X244" i="9"/>
  <c r="O244" i="9"/>
  <c r="S243" i="9"/>
  <c r="N242" i="9"/>
  <c r="U242" i="9"/>
  <c r="Z242" i="9"/>
  <c r="U238" i="9"/>
  <c r="M238" i="9"/>
  <c r="AA237" i="9"/>
  <c r="S237" i="9"/>
  <c r="M236" i="9"/>
  <c r="N234" i="9"/>
  <c r="U234" i="9"/>
  <c r="AA234" i="9"/>
  <c r="N223" i="9"/>
  <c r="N220" i="9"/>
  <c r="M218" i="9"/>
  <c r="M213" i="9"/>
  <c r="K215" i="17" s="1"/>
  <c r="Z273" i="9"/>
  <c r="U273" i="9"/>
  <c r="Y258" i="9"/>
  <c r="AA254" i="9"/>
  <c r="S253" i="9"/>
  <c r="Z253" i="9"/>
  <c r="U252" i="9"/>
  <c r="Z252" i="9"/>
  <c r="AA250" i="9"/>
  <c r="M250" i="9"/>
  <c r="AA249" i="9"/>
  <c r="S249" i="9"/>
  <c r="Y248" i="9"/>
  <c r="M248" i="9"/>
  <c r="AA243" i="9"/>
  <c r="N243" i="9"/>
  <c r="M241" i="9"/>
  <c r="U241" i="9"/>
  <c r="AA241" i="9"/>
  <c r="U240" i="9"/>
  <c r="Z240" i="9"/>
  <c r="AA238" i="9"/>
  <c r="S238" i="9"/>
  <c r="Y237" i="9"/>
  <c r="N237" i="9"/>
  <c r="U235" i="9"/>
  <c r="Q231" i="9"/>
  <c r="Y231" i="9"/>
  <c r="U231" i="9"/>
  <c r="Z231" i="9"/>
  <c r="N227" i="9"/>
  <c r="Y227" i="9"/>
  <c r="M227" i="9"/>
  <c r="M223" i="9"/>
  <c r="AA220" i="9"/>
  <c r="M220" i="9"/>
  <c r="Y218" i="9"/>
  <c r="N215" i="9"/>
  <c r="AA215" i="9"/>
  <c r="Q215" i="9"/>
  <c r="Y215" i="9"/>
  <c r="S215" i="9"/>
  <c r="Z215" i="9"/>
  <c r="Q210" i="9"/>
  <c r="Y210" i="9"/>
  <c r="S257" i="9"/>
  <c r="Y257" i="9"/>
  <c r="Q254" i="9"/>
  <c r="Z254" i="9"/>
  <c r="Z238" i="9"/>
  <c r="U230" i="9"/>
  <c r="Q213" i="9"/>
  <c r="Z213" i="9"/>
  <c r="U213" i="9"/>
  <c r="X213" i="9"/>
  <c r="N255" i="9"/>
  <c r="Y255" i="9"/>
  <c r="N251" i="9"/>
  <c r="U248" i="9"/>
  <c r="M244" i="9"/>
  <c r="U244" i="9"/>
  <c r="Z244" i="9"/>
  <c r="O238" i="9"/>
  <c r="X238" i="9"/>
  <c r="M237" i="9"/>
  <c r="Y235" i="9"/>
  <c r="N225" i="9"/>
  <c r="S225" i="9"/>
  <c r="X225" i="9"/>
  <c r="S223" i="9"/>
  <c r="Y223" i="9"/>
  <c r="Q223" i="9"/>
  <c r="Z223" i="9"/>
  <c r="U223" i="9"/>
  <c r="AA223" i="9"/>
  <c r="O220" i="9"/>
  <c r="Z220" i="9"/>
  <c r="Q220" i="9"/>
  <c r="X220" i="9"/>
  <c r="S220" i="9"/>
  <c r="Y220" i="9"/>
  <c r="N197" i="9"/>
  <c r="Q197" i="9"/>
  <c r="Y197" i="9"/>
  <c r="O194" i="9"/>
  <c r="M196" i="17" s="1"/>
  <c r="Z194" i="9"/>
  <c r="N171" i="9"/>
  <c r="Y171" i="9"/>
  <c r="O171" i="9"/>
  <c r="M173" i="17" s="1"/>
  <c r="Q171" i="9"/>
  <c r="X171" i="9"/>
  <c r="S171" i="9"/>
  <c r="Z171" i="9"/>
  <c r="AA233" i="9"/>
  <c r="U233" i="9"/>
  <c r="AA228" i="9"/>
  <c r="M219" i="9"/>
  <c r="AA219" i="9"/>
  <c r="Q216" i="9"/>
  <c r="X216" i="9"/>
  <c r="Z207" i="9"/>
  <c r="O202" i="9"/>
  <c r="M204" i="17" s="1"/>
  <c r="U202" i="9"/>
  <c r="Z202" i="9"/>
  <c r="Z201" i="9"/>
  <c r="S201" i="9"/>
  <c r="U199" i="9"/>
  <c r="O196" i="9"/>
  <c r="M198" i="17" s="1"/>
  <c r="Q196" i="9"/>
  <c r="AA194" i="9"/>
  <c r="U194" i="9"/>
  <c r="M194" i="9"/>
  <c r="K196" i="17" s="1"/>
  <c r="M193" i="9"/>
  <c r="K195" i="17" s="1"/>
  <c r="N191" i="9"/>
  <c r="Q188" i="9"/>
  <c r="Y188" i="9"/>
  <c r="U188" i="9"/>
  <c r="Y187" i="9"/>
  <c r="U187" i="9"/>
  <c r="U181" i="9"/>
  <c r="Z181" i="9"/>
  <c r="Q181" i="9"/>
  <c r="AA181" i="9"/>
  <c r="N175" i="9"/>
  <c r="U175" i="9"/>
  <c r="Z175" i="9"/>
  <c r="O175" i="9"/>
  <c r="M177" i="17" s="1"/>
  <c r="X175" i="9"/>
  <c r="Q175" i="9"/>
  <c r="Y175" i="9"/>
  <c r="S175" i="9"/>
  <c r="AA175" i="9"/>
  <c r="U171" i="9"/>
  <c r="Q228" i="9"/>
  <c r="O226" i="9"/>
  <c r="M226" i="9"/>
  <c r="N224" i="9"/>
  <c r="Y224" i="9"/>
  <c r="S221" i="9"/>
  <c r="X221" i="9"/>
  <c r="Q211" i="9"/>
  <c r="AA211" i="9"/>
  <c r="M208" i="9"/>
  <c r="K210" i="17" s="1"/>
  <c r="S208" i="9"/>
  <c r="X208" i="9"/>
  <c r="N206" i="9"/>
  <c r="X206" i="9"/>
  <c r="X203" i="9"/>
  <c r="AA202" i="9"/>
  <c r="M202" i="9"/>
  <c r="K204" i="17" s="1"/>
  <c r="Y201" i="9"/>
  <c r="AA199" i="9"/>
  <c r="Y194" i="9"/>
  <c r="S194" i="9"/>
  <c r="Y192" i="9"/>
  <c r="M192" i="9"/>
  <c r="K194" i="17" s="1"/>
  <c r="Z188" i="9"/>
  <c r="M188" i="9"/>
  <c r="K190" i="17" s="1"/>
  <c r="Q182" i="9"/>
  <c r="Y182" i="9"/>
  <c r="S182" i="9"/>
  <c r="AA182" i="9"/>
  <c r="M182" i="9"/>
  <c r="K184" i="17" s="1"/>
  <c r="U182" i="9"/>
  <c r="M171" i="9"/>
  <c r="K173" i="17" s="1"/>
  <c r="Q165" i="9"/>
  <c r="AA165" i="9"/>
  <c r="S165" i="9"/>
  <c r="Y165" i="9"/>
  <c r="U165" i="9"/>
  <c r="M165" i="9"/>
  <c r="K167" i="17" s="1"/>
  <c r="N165" i="9"/>
  <c r="X165" i="9"/>
  <c r="N201" i="9"/>
  <c r="AA201" i="9"/>
  <c r="O199" i="9"/>
  <c r="M201" i="17" s="1"/>
  <c r="X199" i="9"/>
  <c r="S197" i="9"/>
  <c r="N195" i="9"/>
  <c r="U195" i="9"/>
  <c r="X194" i="9"/>
  <c r="Q194" i="9"/>
  <c r="N193" i="9"/>
  <c r="S193" i="9"/>
  <c r="U191" i="9"/>
  <c r="Y191" i="9"/>
  <c r="M183" i="9"/>
  <c r="K185" i="17" s="1"/>
  <c r="U183" i="9"/>
  <c r="Y183" i="9"/>
  <c r="O182" i="9"/>
  <c r="M184" i="17" s="1"/>
  <c r="N178" i="9"/>
  <c r="M178" i="9"/>
  <c r="K180" i="17" s="1"/>
  <c r="S174" i="9"/>
  <c r="Y174" i="9"/>
  <c r="M173" i="9"/>
  <c r="K175" i="17" s="1"/>
  <c r="X173" i="9"/>
  <c r="S170" i="9"/>
  <c r="AA170" i="9"/>
  <c r="N162" i="9"/>
  <c r="U162" i="9"/>
  <c r="X162" i="9"/>
  <c r="AA162" i="9"/>
  <c r="O162" i="9"/>
  <c r="M164" i="17" s="1"/>
  <c r="Q184" i="9"/>
  <c r="Y184" i="9"/>
  <c r="O180" i="9"/>
  <c r="M182" i="17" s="1"/>
  <c r="M174" i="9"/>
  <c r="K176" i="17" s="1"/>
  <c r="Z173" i="9"/>
  <c r="O173" i="9"/>
  <c r="M175" i="17" s="1"/>
  <c r="Y172" i="9"/>
  <c r="O169" i="9"/>
  <c r="M171" i="17" s="1"/>
  <c r="AA169" i="9"/>
  <c r="X184" i="9"/>
  <c r="M184" i="9"/>
  <c r="K186" i="17" s="1"/>
  <c r="U180" i="9"/>
  <c r="S178" i="9"/>
  <c r="M177" i="9"/>
  <c r="K179" i="17" s="1"/>
  <c r="N176" i="9"/>
  <c r="S176" i="9"/>
  <c r="AA174" i="9"/>
  <c r="U174" i="9"/>
  <c r="Y173" i="9"/>
  <c r="N172" i="9"/>
  <c r="O170" i="9"/>
  <c r="M172" i="17" s="1"/>
  <c r="U169" i="9"/>
  <c r="M169" i="9"/>
  <c r="K171" i="17" s="1"/>
  <c r="Q167" i="9"/>
  <c r="M167" i="9"/>
  <c r="K169" i="17" s="1"/>
  <c r="Y167" i="9"/>
  <c r="S162" i="9"/>
  <c r="N159" i="9"/>
  <c r="Y159" i="9"/>
  <c r="N155" i="9"/>
  <c r="O155" i="9"/>
  <c r="M157" i="17" s="1"/>
  <c r="AA155" i="9"/>
  <c r="U155" i="9"/>
  <c r="Q153" i="9"/>
  <c r="S153" i="9"/>
  <c r="Y153" i="9"/>
  <c r="M153" i="9"/>
  <c r="K155" i="17" s="1"/>
  <c r="U153" i="9"/>
  <c r="Z153" i="9"/>
  <c r="S159" i="9"/>
  <c r="N158" i="9"/>
  <c r="X158" i="9"/>
  <c r="Q158" i="9"/>
  <c r="Z158" i="9"/>
  <c r="S155" i="9"/>
  <c r="Y154" i="9"/>
  <c r="N154" i="9"/>
  <c r="Y152" i="9"/>
  <c r="M152" i="9"/>
  <c r="K154" i="17" s="1"/>
  <c r="AA150" i="9"/>
  <c r="U150" i="9"/>
  <c r="N150" i="9"/>
  <c r="Y149" i="9"/>
  <c r="AA147" i="9"/>
  <c r="Q147" i="9"/>
  <c r="X144" i="9"/>
  <c r="Z143" i="9"/>
  <c r="Q143" i="9"/>
  <c r="Y141" i="9"/>
  <c r="U140" i="9"/>
  <c r="X138" i="9"/>
  <c r="O138" i="9"/>
  <c r="M136" i="9"/>
  <c r="Y135" i="9"/>
  <c r="Z147" i="9"/>
  <c r="O147" i="9"/>
  <c r="M149" i="17" s="1"/>
  <c r="S144" i="9"/>
  <c r="Y143" i="9"/>
  <c r="U143" i="9"/>
  <c r="O143" i="9"/>
  <c r="M145" i="17" s="1"/>
  <c r="AA154" i="9"/>
  <c r="Q154" i="9"/>
  <c r="Y150" i="9"/>
  <c r="Q150" i="9"/>
  <c r="Y147" i="9"/>
  <c r="U147" i="9"/>
  <c r="X143" i="9"/>
  <c r="Y136" i="9"/>
  <c r="Q136" i="9"/>
  <c r="O138" i="15" s="1"/>
  <c r="AG135" i="9"/>
  <c r="O400" i="9"/>
  <c r="M401" i="15" s="1"/>
  <c r="X400" i="9"/>
  <c r="N399" i="9"/>
  <c r="L400" i="15" s="1"/>
  <c r="S399" i="9"/>
  <c r="AA399" i="9"/>
  <c r="M398" i="9"/>
  <c r="K399" i="15" s="1"/>
  <c r="Q398" i="9"/>
  <c r="O399" i="15" s="1"/>
  <c r="Z398" i="9"/>
  <c r="O384" i="9"/>
  <c r="M385" i="15" s="1"/>
  <c r="X384" i="9"/>
  <c r="N383" i="9"/>
  <c r="L384" i="15" s="1"/>
  <c r="S383" i="9"/>
  <c r="AA383" i="9"/>
  <c r="M382" i="9"/>
  <c r="K383" i="15" s="1"/>
  <c r="Q382" i="9"/>
  <c r="O383" i="15" s="1"/>
  <c r="Z382" i="9"/>
  <c r="J364" i="9"/>
  <c r="O364" i="9"/>
  <c r="X364" i="9"/>
  <c r="N364" i="9"/>
  <c r="S364" i="9"/>
  <c r="AA364" i="9"/>
  <c r="J412" i="9"/>
  <c r="I413" i="15" s="1"/>
  <c r="O412" i="9"/>
  <c r="M413" i="15" s="1"/>
  <c r="X412" i="9"/>
  <c r="AB412" i="9"/>
  <c r="N411" i="9"/>
  <c r="L412" i="15" s="1"/>
  <c r="S411" i="9"/>
  <c r="AA411" i="9"/>
  <c r="M410" i="9"/>
  <c r="K411" i="15" s="1"/>
  <c r="Q410" i="9"/>
  <c r="O411" i="15" s="1"/>
  <c r="Z410" i="9"/>
  <c r="O396" i="9"/>
  <c r="M397" i="15" s="1"/>
  <c r="X396" i="9"/>
  <c r="Q384" i="9"/>
  <c r="O385" i="15" s="1"/>
  <c r="X383" i="9"/>
  <c r="Q383" i="9"/>
  <c r="O384" i="15" s="1"/>
  <c r="O380" i="9"/>
  <c r="M381" i="15" s="1"/>
  <c r="X380" i="9"/>
  <c r="N379" i="9"/>
  <c r="L380" i="15" s="1"/>
  <c r="S379" i="9"/>
  <c r="AA379" i="9"/>
  <c r="M378" i="9"/>
  <c r="K379" i="15" s="1"/>
  <c r="Q378" i="9"/>
  <c r="O379" i="15" s="1"/>
  <c r="Z378" i="9"/>
  <c r="N367" i="9"/>
  <c r="L368" i="15" s="1"/>
  <c r="S367" i="9"/>
  <c r="AA367" i="9"/>
  <c r="M367" i="9"/>
  <c r="K368" i="15" s="1"/>
  <c r="Q367" i="9"/>
  <c r="O368" i="15" s="1"/>
  <c r="Z367" i="9"/>
  <c r="M364" i="9"/>
  <c r="O360" i="9"/>
  <c r="X360" i="9"/>
  <c r="AB360" i="9"/>
  <c r="N360" i="9"/>
  <c r="S360" i="9"/>
  <c r="AA360" i="9"/>
  <c r="W356" i="9"/>
  <c r="N353" i="9"/>
  <c r="S353" i="9"/>
  <c r="W353" i="9"/>
  <c r="AA353" i="9"/>
  <c r="AI353" i="9"/>
  <c r="J353" i="9"/>
  <c r="O353" i="9"/>
  <c r="X353" i="9"/>
  <c r="AJ353" i="9"/>
  <c r="M353" i="9"/>
  <c r="Q353" i="9"/>
  <c r="Z353" i="9"/>
  <c r="AD353" i="9"/>
  <c r="N345" i="9"/>
  <c r="S345" i="9"/>
  <c r="AA345" i="9"/>
  <c r="J345" i="9"/>
  <c r="O345" i="9"/>
  <c r="X345" i="9"/>
  <c r="M345" i="9"/>
  <c r="Q345" i="9"/>
  <c r="Z345" i="9"/>
  <c r="AD345" i="9"/>
  <c r="Q400" i="9"/>
  <c r="O401" i="15" s="1"/>
  <c r="X399" i="9"/>
  <c r="Q399" i="9"/>
  <c r="O400" i="15" s="1"/>
  <c r="N395" i="9"/>
  <c r="L396" i="15" s="1"/>
  <c r="S395" i="9"/>
  <c r="AA395" i="9"/>
  <c r="M394" i="9"/>
  <c r="K395" i="15" s="1"/>
  <c r="Q394" i="9"/>
  <c r="O395" i="15" s="1"/>
  <c r="Z394" i="9"/>
  <c r="AA418" i="9"/>
  <c r="S418" i="9"/>
  <c r="N418" i="9"/>
  <c r="L419" i="15" s="1"/>
  <c r="AD417" i="9"/>
  <c r="Z417" i="9"/>
  <c r="Q417" i="9"/>
  <c r="O418" i="15" s="1"/>
  <c r="X415" i="9"/>
  <c r="O415" i="9"/>
  <c r="M416" i="15" s="1"/>
  <c r="J415" i="9"/>
  <c r="I416" i="15" s="1"/>
  <c r="AA414" i="9"/>
  <c r="S414" i="9"/>
  <c r="N414" i="9"/>
  <c r="L415" i="15" s="1"/>
  <c r="Q412" i="9"/>
  <c r="O413" i="15" s="1"/>
  <c r="X411" i="9"/>
  <c r="Q411" i="9"/>
  <c r="O412" i="15" s="1"/>
  <c r="J410" i="9"/>
  <c r="I411" i="15" s="1"/>
  <c r="O408" i="9"/>
  <c r="M409" i="15" s="1"/>
  <c r="X408" i="9"/>
  <c r="N407" i="9"/>
  <c r="L408" i="15" s="1"/>
  <c r="S407" i="9"/>
  <c r="AA407" i="9"/>
  <c r="M406" i="9"/>
  <c r="K407" i="15" s="1"/>
  <c r="Q406" i="9"/>
  <c r="O407" i="15" s="1"/>
  <c r="Z406" i="9"/>
  <c r="Z404" i="9"/>
  <c r="U404" i="9"/>
  <c r="Z403" i="9"/>
  <c r="U403" i="9"/>
  <c r="Y402" i="9"/>
  <c r="AA400" i="9"/>
  <c r="AA398" i="9"/>
  <c r="U398" i="9"/>
  <c r="O398" i="9"/>
  <c r="M399" i="15" s="1"/>
  <c r="Q396" i="9"/>
  <c r="O397" i="15" s="1"/>
  <c r="X395" i="9"/>
  <c r="Q395" i="9"/>
  <c r="O396" i="15" s="1"/>
  <c r="O392" i="9"/>
  <c r="M393" i="15" s="1"/>
  <c r="X392" i="9"/>
  <c r="N391" i="9"/>
  <c r="L392" i="15" s="1"/>
  <c r="S391" i="9"/>
  <c r="AA391" i="9"/>
  <c r="M390" i="9"/>
  <c r="K391" i="15" s="1"/>
  <c r="Q390" i="9"/>
  <c r="O391" i="15" s="1"/>
  <c r="Z390" i="9"/>
  <c r="Z388" i="9"/>
  <c r="U388" i="9"/>
  <c r="Z387" i="9"/>
  <c r="U387" i="9"/>
  <c r="Y386" i="9"/>
  <c r="AA384" i="9"/>
  <c r="AA382" i="9"/>
  <c r="U382" i="9"/>
  <c r="O382" i="9"/>
  <c r="M383" i="15" s="1"/>
  <c r="Q380" i="9"/>
  <c r="O381" i="15" s="1"/>
  <c r="X379" i="9"/>
  <c r="Q379" i="9"/>
  <c r="O380" i="15" s="1"/>
  <c r="O376" i="9"/>
  <c r="M377" i="15" s="1"/>
  <c r="X376" i="9"/>
  <c r="N375" i="9"/>
  <c r="L376" i="15" s="1"/>
  <c r="S375" i="9"/>
  <c r="AA375" i="9"/>
  <c r="M374" i="9"/>
  <c r="K375" i="15" s="1"/>
  <c r="Q374" i="9"/>
  <c r="O375" i="15" s="1"/>
  <c r="Z374" i="9"/>
  <c r="Z372" i="9"/>
  <c r="U372" i="9"/>
  <c r="Z371" i="9"/>
  <c r="U371" i="9"/>
  <c r="Y370" i="9"/>
  <c r="U367" i="9"/>
  <c r="U364" i="9"/>
  <c r="N363" i="9"/>
  <c r="S363" i="9"/>
  <c r="AA363" i="9"/>
  <c r="M363" i="9"/>
  <c r="Q363" i="9"/>
  <c r="Z363" i="9"/>
  <c r="M360" i="9"/>
  <c r="AG359" i="9"/>
  <c r="AG353" i="9"/>
  <c r="AB418" i="9"/>
  <c r="X418" i="9"/>
  <c r="O418" i="9"/>
  <c r="M419" i="15" s="1"/>
  <c r="J418" i="9"/>
  <c r="I419" i="15" s="1"/>
  <c r="X414" i="9"/>
  <c r="O414" i="9"/>
  <c r="M415" i="15" s="1"/>
  <c r="J414" i="9"/>
  <c r="I415" i="15" s="1"/>
  <c r="AD418" i="9"/>
  <c r="Z418" i="9"/>
  <c r="Q418" i="9"/>
  <c r="O419" i="15" s="1"/>
  <c r="AI415" i="9"/>
  <c r="AA415" i="9"/>
  <c r="S415" i="9"/>
  <c r="N415" i="9"/>
  <c r="L416" i="15" s="1"/>
  <c r="Z414" i="9"/>
  <c r="Q414" i="9"/>
  <c r="O415" i="15" s="1"/>
  <c r="AA412" i="9"/>
  <c r="J411" i="9"/>
  <c r="I412" i="15" s="1"/>
  <c r="AA410" i="9"/>
  <c r="U410" i="9"/>
  <c r="O410" i="9"/>
  <c r="M411" i="15" s="1"/>
  <c r="O404" i="9"/>
  <c r="M405" i="15" s="1"/>
  <c r="X404" i="9"/>
  <c r="N403" i="9"/>
  <c r="L404" i="15" s="1"/>
  <c r="S403" i="9"/>
  <c r="AA403" i="9"/>
  <c r="M402" i="9"/>
  <c r="K403" i="15" s="1"/>
  <c r="Q402" i="9"/>
  <c r="O403" i="15" s="1"/>
  <c r="Z402" i="9"/>
  <c r="Z400" i="9"/>
  <c r="U400" i="9"/>
  <c r="N400" i="9"/>
  <c r="L401" i="15" s="1"/>
  <c r="Z399" i="9"/>
  <c r="U399" i="9"/>
  <c r="O399" i="9"/>
  <c r="M400" i="15" s="1"/>
  <c r="Y398" i="9"/>
  <c r="N398" i="9"/>
  <c r="L399" i="15" s="1"/>
  <c r="AA396" i="9"/>
  <c r="AA394" i="9"/>
  <c r="U394" i="9"/>
  <c r="O394" i="9"/>
  <c r="M395" i="15" s="1"/>
  <c r="O388" i="9"/>
  <c r="M389" i="15" s="1"/>
  <c r="X388" i="9"/>
  <c r="N387" i="9"/>
  <c r="L388" i="15" s="1"/>
  <c r="S387" i="9"/>
  <c r="AA387" i="9"/>
  <c r="M386" i="9"/>
  <c r="K387" i="15" s="1"/>
  <c r="Q386" i="9"/>
  <c r="O387" i="15" s="1"/>
  <c r="Z386" i="9"/>
  <c r="Z384" i="9"/>
  <c r="U384" i="9"/>
  <c r="N384" i="9"/>
  <c r="L385" i="15" s="1"/>
  <c r="Z383" i="9"/>
  <c r="U383" i="9"/>
  <c r="O383" i="9"/>
  <c r="M384" i="15" s="1"/>
  <c r="Y382" i="9"/>
  <c r="N382" i="9"/>
  <c r="L383" i="15" s="1"/>
  <c r="AA380" i="9"/>
  <c r="AA378" i="9"/>
  <c r="U378" i="9"/>
  <c r="O378" i="9"/>
  <c r="M379" i="15" s="1"/>
  <c r="O372" i="9"/>
  <c r="M373" i="15" s="1"/>
  <c r="X372" i="9"/>
  <c r="N371" i="9"/>
  <c r="L372" i="15" s="1"/>
  <c r="S371" i="9"/>
  <c r="AA371" i="9"/>
  <c r="M370" i="9"/>
  <c r="K371" i="15" s="1"/>
  <c r="Q370" i="9"/>
  <c r="O371" i="15" s="1"/>
  <c r="Z370" i="9"/>
  <c r="O368" i="9"/>
  <c r="M369" i="15" s="1"/>
  <c r="X368" i="9"/>
  <c r="Z364" i="9"/>
  <c r="Q364" i="9"/>
  <c r="U363" i="9"/>
  <c r="U360" i="9"/>
  <c r="N359" i="9"/>
  <c r="S359" i="9"/>
  <c r="W359" i="9"/>
  <c r="AA359" i="9"/>
  <c r="AI359" i="9"/>
  <c r="M359" i="9"/>
  <c r="Q359" i="9"/>
  <c r="Z359" i="9"/>
  <c r="AD359" i="9"/>
  <c r="W352" i="9"/>
  <c r="N349" i="9"/>
  <c r="S349" i="9"/>
  <c r="AA349" i="9"/>
  <c r="J349" i="9"/>
  <c r="O349" i="9"/>
  <c r="X349" i="9"/>
  <c r="M349" i="9"/>
  <c r="Q349" i="9"/>
  <c r="Z349" i="9"/>
  <c r="AD349" i="9"/>
  <c r="AI354" i="9"/>
  <c r="AA354" i="9"/>
  <c r="W354" i="9"/>
  <c r="S354" i="9"/>
  <c r="N354" i="9"/>
  <c r="AI350" i="9"/>
  <c r="AA350" i="9"/>
  <c r="W350" i="9"/>
  <c r="S350" i="9"/>
  <c r="N350" i="9"/>
  <c r="AA346" i="9"/>
  <c r="S346" i="9"/>
  <c r="N346" i="9"/>
  <c r="AA342" i="9"/>
  <c r="S342" i="9"/>
  <c r="N342" i="9"/>
  <c r="Z341" i="9"/>
  <c r="Q341" i="9"/>
  <c r="M341" i="9"/>
  <c r="J340" i="9"/>
  <c r="O340" i="9"/>
  <c r="X340" i="9"/>
  <c r="N339" i="9"/>
  <c r="S339" i="9"/>
  <c r="AA339" i="9"/>
  <c r="M338" i="9"/>
  <c r="Q338" i="9"/>
  <c r="Z338" i="9"/>
  <c r="AD338" i="9"/>
  <c r="AK336" i="9"/>
  <c r="Z336" i="9"/>
  <c r="U336" i="9"/>
  <c r="AK335" i="9"/>
  <c r="Z335" i="9"/>
  <c r="U335" i="9"/>
  <c r="Y334" i="9"/>
  <c r="AA332" i="9"/>
  <c r="AA330" i="9"/>
  <c r="U330" i="9"/>
  <c r="O330" i="9"/>
  <c r="O324" i="9"/>
  <c r="X324" i="9"/>
  <c r="N323" i="9"/>
  <c r="S323" i="9"/>
  <c r="AA323" i="9"/>
  <c r="M322" i="9"/>
  <c r="Q322" i="9"/>
  <c r="Z322" i="9"/>
  <c r="Z320" i="9"/>
  <c r="U320" i="9"/>
  <c r="Z319" i="9"/>
  <c r="U319" i="9"/>
  <c r="Y318" i="9"/>
  <c r="Z303" i="9"/>
  <c r="N299" i="9"/>
  <c r="S299" i="9"/>
  <c r="AA299" i="9"/>
  <c r="O299" i="9"/>
  <c r="X299" i="9"/>
  <c r="J336" i="9"/>
  <c r="O336" i="9"/>
  <c r="X336" i="9"/>
  <c r="N335" i="9"/>
  <c r="S335" i="9"/>
  <c r="W335" i="9"/>
  <c r="AA335" i="9"/>
  <c r="AI335" i="9"/>
  <c r="M334" i="9"/>
  <c r="Q334" i="9"/>
  <c r="Z334" i="9"/>
  <c r="O320" i="9"/>
  <c r="X320" i="9"/>
  <c r="N319" i="9"/>
  <c r="S319" i="9"/>
  <c r="AA319" i="9"/>
  <c r="M318" i="9"/>
  <c r="Q318" i="9"/>
  <c r="Z318" i="9"/>
  <c r="N303" i="9"/>
  <c r="S303" i="9"/>
  <c r="AA303" i="9"/>
  <c r="O303" i="9"/>
  <c r="X303" i="9"/>
  <c r="M299" i="9"/>
  <c r="M298" i="9"/>
  <c r="Q298" i="9"/>
  <c r="Z298" i="9"/>
  <c r="N298" i="9"/>
  <c r="S298" i="9"/>
  <c r="AA298" i="9"/>
  <c r="X341" i="9"/>
  <c r="O341" i="9"/>
  <c r="J341" i="9"/>
  <c r="W336" i="9"/>
  <c r="Q336" i="9"/>
  <c r="X335" i="9"/>
  <c r="Q335" i="9"/>
  <c r="J334" i="9"/>
  <c r="O332" i="9"/>
  <c r="X332" i="9"/>
  <c r="N331" i="9"/>
  <c r="S331" i="9"/>
  <c r="AA331" i="9"/>
  <c r="M330" i="9"/>
  <c r="Q330" i="9"/>
  <c r="Z330" i="9"/>
  <c r="Q320" i="9"/>
  <c r="X319" i="9"/>
  <c r="Q319" i="9"/>
  <c r="O316" i="9"/>
  <c r="X316" i="9"/>
  <c r="N315" i="9"/>
  <c r="S315" i="9"/>
  <c r="AA315" i="9"/>
  <c r="M314" i="9"/>
  <c r="Q314" i="9"/>
  <c r="Z314" i="9"/>
  <c r="N307" i="9"/>
  <c r="S307" i="9"/>
  <c r="AA307" i="9"/>
  <c r="O307" i="9"/>
  <c r="X307" i="9"/>
  <c r="M303" i="9"/>
  <c r="M302" i="9"/>
  <c r="Q302" i="9"/>
  <c r="Z302" i="9"/>
  <c r="N302" i="9"/>
  <c r="S302" i="9"/>
  <c r="AA302" i="9"/>
  <c r="U299" i="9"/>
  <c r="U298" i="9"/>
  <c r="Z366" i="9"/>
  <c r="Q366" i="9"/>
  <c r="O367" i="15" s="1"/>
  <c r="Z362" i="9"/>
  <c r="Q362" i="9"/>
  <c r="AD356" i="9"/>
  <c r="Z356" i="9"/>
  <c r="Q356" i="9"/>
  <c r="X354" i="9"/>
  <c r="O354" i="9"/>
  <c r="AD352" i="9"/>
  <c r="Z352" i="9"/>
  <c r="Q352" i="9"/>
  <c r="X350" i="9"/>
  <c r="O350" i="9"/>
  <c r="AD348" i="9"/>
  <c r="Z348" i="9"/>
  <c r="Q348" i="9"/>
  <c r="X346" i="9"/>
  <c r="O346" i="9"/>
  <c r="AD344" i="9"/>
  <c r="Z344" i="9"/>
  <c r="Q344" i="9"/>
  <c r="X342" i="9"/>
  <c r="O342" i="9"/>
  <c r="AA341" i="9"/>
  <c r="S341" i="9"/>
  <c r="N341" i="9"/>
  <c r="Z340" i="9"/>
  <c r="U340" i="9"/>
  <c r="N340" i="9"/>
  <c r="Z339" i="9"/>
  <c r="U339" i="9"/>
  <c r="O339" i="9"/>
  <c r="AJ338" i="9"/>
  <c r="Y338" i="9"/>
  <c r="N338" i="9"/>
  <c r="AG336" i="9"/>
  <c r="AA336" i="9"/>
  <c r="AG335" i="9"/>
  <c r="J335" i="9"/>
  <c r="AA334" i="9"/>
  <c r="U334" i="9"/>
  <c r="O334" i="9"/>
  <c r="Q332" i="9"/>
  <c r="X331" i="9"/>
  <c r="Q331" i="9"/>
  <c r="O328" i="9"/>
  <c r="X328" i="9"/>
  <c r="N327" i="9"/>
  <c r="S327" i="9"/>
  <c r="AA327" i="9"/>
  <c r="M326" i="9"/>
  <c r="Q326" i="9"/>
  <c r="Z326" i="9"/>
  <c r="Z324" i="9"/>
  <c r="U324" i="9"/>
  <c r="N324" i="9"/>
  <c r="Z323" i="9"/>
  <c r="U323" i="9"/>
  <c r="O323" i="9"/>
  <c r="Y322" i="9"/>
  <c r="N322" i="9"/>
  <c r="AA320" i="9"/>
  <c r="AA318" i="9"/>
  <c r="U318" i="9"/>
  <c r="O318" i="9"/>
  <c r="Q316" i="9"/>
  <c r="X315" i="9"/>
  <c r="Q315" i="9"/>
  <c r="O312" i="9"/>
  <c r="X312" i="9"/>
  <c r="N311" i="9"/>
  <c r="S311" i="9"/>
  <c r="AA311" i="9"/>
  <c r="M310" i="9"/>
  <c r="Q310" i="9"/>
  <c r="Z310" i="9"/>
  <c r="M307" i="9"/>
  <c r="M306" i="9"/>
  <c r="Q306" i="9"/>
  <c r="Z306" i="9"/>
  <c r="N306" i="9"/>
  <c r="S306" i="9"/>
  <c r="AA306" i="9"/>
  <c r="U303" i="9"/>
  <c r="U302" i="9"/>
  <c r="Z299" i="9"/>
  <c r="Q299" i="9"/>
  <c r="Z295" i="9"/>
  <c r="Q295" i="9"/>
  <c r="M295" i="9"/>
  <c r="O284" i="9"/>
  <c r="X284" i="9"/>
  <c r="N283" i="9"/>
  <c r="S283" i="9"/>
  <c r="AA283" i="9"/>
  <c r="M282" i="9"/>
  <c r="Q282" i="9"/>
  <c r="Z282" i="9"/>
  <c r="M275" i="9"/>
  <c r="Q275" i="9"/>
  <c r="Z275" i="9"/>
  <c r="N275" i="9"/>
  <c r="Y275" i="9"/>
  <c r="N276" i="9"/>
  <c r="S276" i="9"/>
  <c r="AA276" i="9"/>
  <c r="O276" i="9"/>
  <c r="U276" i="9"/>
  <c r="Z276" i="9"/>
  <c r="O269" i="9"/>
  <c r="X269" i="9"/>
  <c r="Q269" i="9"/>
  <c r="N269" i="9"/>
  <c r="U269" i="9"/>
  <c r="Z269" i="9"/>
  <c r="M267" i="9"/>
  <c r="Q267" i="9"/>
  <c r="Z267" i="9"/>
  <c r="N267" i="9"/>
  <c r="Y267" i="9"/>
  <c r="N260" i="9"/>
  <c r="S260" i="9"/>
  <c r="AA260" i="9"/>
  <c r="O260" i="9"/>
  <c r="U260" i="9"/>
  <c r="Z260" i="9"/>
  <c r="Q260" i="9"/>
  <c r="X260" i="9"/>
  <c r="M259" i="9"/>
  <c r="Q259" i="9"/>
  <c r="Z259" i="9"/>
  <c r="N259" i="9"/>
  <c r="Y259" i="9"/>
  <c r="O259" i="9"/>
  <c r="U259" i="9"/>
  <c r="AA259" i="9"/>
  <c r="M245" i="9"/>
  <c r="Q245" i="9"/>
  <c r="Z245" i="9"/>
  <c r="O245" i="9"/>
  <c r="X245" i="9"/>
  <c r="S245" i="9"/>
  <c r="Y245" i="9"/>
  <c r="U245" i="9"/>
  <c r="AA245" i="9"/>
  <c r="X295" i="9"/>
  <c r="O295" i="9"/>
  <c r="AA294" i="9"/>
  <c r="S294" i="9"/>
  <c r="N294" i="9"/>
  <c r="N291" i="9"/>
  <c r="S291" i="9"/>
  <c r="M290" i="9"/>
  <c r="Q290" i="9"/>
  <c r="Z290" i="9"/>
  <c r="AD290" i="9"/>
  <c r="AA284" i="9"/>
  <c r="AA282" i="9"/>
  <c r="U282" i="9"/>
  <c r="O282" i="9"/>
  <c r="J277" i="9"/>
  <c r="O277" i="9"/>
  <c r="X277" i="9"/>
  <c r="AJ277" i="9"/>
  <c r="N277" i="9"/>
  <c r="U277" i="9"/>
  <c r="Z277" i="9"/>
  <c r="AK277" i="9"/>
  <c r="X275" i="9"/>
  <c r="Y269" i="9"/>
  <c r="M269" i="9"/>
  <c r="X267" i="9"/>
  <c r="S259" i="9"/>
  <c r="X308" i="9"/>
  <c r="O308" i="9"/>
  <c r="X304" i="9"/>
  <c r="O304" i="9"/>
  <c r="X300" i="9"/>
  <c r="O300" i="9"/>
  <c r="X296" i="9"/>
  <c r="O296" i="9"/>
  <c r="AA295" i="9"/>
  <c r="S295" i="9"/>
  <c r="N295" i="9"/>
  <c r="Z294" i="9"/>
  <c r="Q294" i="9"/>
  <c r="AB292" i="9"/>
  <c r="X292" i="9"/>
  <c r="O292" i="9"/>
  <c r="AA291" i="9"/>
  <c r="Q291" i="9"/>
  <c r="AG290" i="9"/>
  <c r="W290" i="9"/>
  <c r="J290" i="9"/>
  <c r="J288" i="9"/>
  <c r="O288" i="9"/>
  <c r="X288" i="9"/>
  <c r="AJ288" i="9"/>
  <c r="N287" i="9"/>
  <c r="S287" i="9"/>
  <c r="W287" i="9"/>
  <c r="AA287" i="9"/>
  <c r="AI287" i="9"/>
  <c r="M286" i="9"/>
  <c r="Q286" i="9"/>
  <c r="Z286" i="9"/>
  <c r="AD286" i="9"/>
  <c r="Z284" i="9"/>
  <c r="U284" i="9"/>
  <c r="N284" i="9"/>
  <c r="Z283" i="9"/>
  <c r="U283" i="9"/>
  <c r="O283" i="9"/>
  <c r="Y282" i="9"/>
  <c r="N282" i="9"/>
  <c r="AA277" i="9"/>
  <c r="S277" i="9"/>
  <c r="Y276" i="9"/>
  <c r="Q276" i="9"/>
  <c r="O275" i="9"/>
  <c r="N268" i="9"/>
  <c r="S268" i="9"/>
  <c r="AA268" i="9"/>
  <c r="Q268" i="9"/>
  <c r="X268" i="9"/>
  <c r="O268" i="9"/>
  <c r="U268" i="9"/>
  <c r="Z268" i="9"/>
  <c r="U267" i="9"/>
  <c r="O261" i="9"/>
  <c r="X261" i="9"/>
  <c r="N261" i="9"/>
  <c r="U261" i="9"/>
  <c r="Z261" i="9"/>
  <c r="AA261" i="9"/>
  <c r="Q261" i="9"/>
  <c r="M260" i="9"/>
  <c r="N245" i="9"/>
  <c r="J273" i="9"/>
  <c r="O273" i="9"/>
  <c r="X273" i="9"/>
  <c r="AJ273" i="9"/>
  <c r="N272" i="9"/>
  <c r="S272" i="9"/>
  <c r="W272" i="9"/>
  <c r="AA272" i="9"/>
  <c r="AI272" i="9"/>
  <c r="M271" i="9"/>
  <c r="Q271" i="9"/>
  <c r="Z271" i="9"/>
  <c r="AD271" i="9"/>
  <c r="O257" i="9"/>
  <c r="X257" i="9"/>
  <c r="N256" i="9"/>
  <c r="S256" i="9"/>
  <c r="AA256" i="9"/>
  <c r="M255" i="9"/>
  <c r="Q255" i="9"/>
  <c r="Z255" i="9"/>
  <c r="O251" i="9"/>
  <c r="X251" i="9"/>
  <c r="M251" i="9"/>
  <c r="Q251" i="9"/>
  <c r="Z251" i="9"/>
  <c r="O253" i="9"/>
  <c r="X253" i="9"/>
  <c r="U251" i="9"/>
  <c r="O247" i="9"/>
  <c r="X247" i="9"/>
  <c r="M247" i="9"/>
  <c r="Q247" i="9"/>
  <c r="Z247" i="9"/>
  <c r="O239" i="9"/>
  <c r="X239" i="9"/>
  <c r="M239" i="9"/>
  <c r="Q239" i="9"/>
  <c r="Z239" i="9"/>
  <c r="N239" i="9"/>
  <c r="S239" i="9"/>
  <c r="AA239" i="9"/>
  <c r="N280" i="9"/>
  <c r="S280" i="9"/>
  <c r="M279" i="9"/>
  <c r="Q279" i="9"/>
  <c r="Z279" i="9"/>
  <c r="AD279" i="9"/>
  <c r="AG273" i="9"/>
  <c r="AA273" i="9"/>
  <c r="AG272" i="9"/>
  <c r="J272" i="9"/>
  <c r="AK271" i="9"/>
  <c r="AA271" i="9"/>
  <c r="U271" i="9"/>
  <c r="O271" i="9"/>
  <c r="O265" i="9"/>
  <c r="X265" i="9"/>
  <c r="N264" i="9"/>
  <c r="S264" i="9"/>
  <c r="AA264" i="9"/>
  <c r="M263" i="9"/>
  <c r="Q263" i="9"/>
  <c r="Z263" i="9"/>
  <c r="AA257" i="9"/>
  <c r="AA255" i="9"/>
  <c r="U255" i="9"/>
  <c r="O255" i="9"/>
  <c r="Q253" i="9"/>
  <c r="AA251" i="9"/>
  <c r="S251" i="9"/>
  <c r="M249" i="9"/>
  <c r="Q249" i="9"/>
  <c r="Z249" i="9"/>
  <c r="O249" i="9"/>
  <c r="X249" i="9"/>
  <c r="U247" i="9"/>
  <c r="O243" i="9"/>
  <c r="X243" i="9"/>
  <c r="M243" i="9"/>
  <c r="Q243" i="9"/>
  <c r="Z243" i="9"/>
  <c r="AA235" i="9"/>
  <c r="S235" i="9"/>
  <c r="N235" i="9"/>
  <c r="AA230" i="9"/>
  <c r="S230" i="9"/>
  <c r="N230" i="9"/>
  <c r="AA227" i="9"/>
  <c r="AA225" i="9"/>
  <c r="U225" i="9"/>
  <c r="O225" i="9"/>
  <c r="O219" i="9"/>
  <c r="X219" i="9"/>
  <c r="N218" i="9"/>
  <c r="S218" i="9"/>
  <c r="AA218" i="9"/>
  <c r="M217" i="9"/>
  <c r="Q217" i="9"/>
  <c r="Z217" i="9"/>
  <c r="U210" i="9"/>
  <c r="M209" i="9"/>
  <c r="K211" i="17" s="1"/>
  <c r="Q209" i="9"/>
  <c r="Z209" i="9"/>
  <c r="N209" i="9"/>
  <c r="S209" i="9"/>
  <c r="AA209" i="9"/>
  <c r="O205" i="9"/>
  <c r="M207" i="17" s="1"/>
  <c r="X205" i="9"/>
  <c r="N205" i="9"/>
  <c r="U205" i="9"/>
  <c r="Z205" i="9"/>
  <c r="AA205" i="9"/>
  <c r="Q205" i="9"/>
  <c r="AA252" i="9"/>
  <c r="S252" i="9"/>
  <c r="N252" i="9"/>
  <c r="AA248" i="9"/>
  <c r="S248" i="9"/>
  <c r="N248" i="9"/>
  <c r="AA244" i="9"/>
  <c r="S244" i="9"/>
  <c r="N244" i="9"/>
  <c r="X241" i="9"/>
  <c r="O241" i="9"/>
  <c r="AA240" i="9"/>
  <c r="S240" i="9"/>
  <c r="N240" i="9"/>
  <c r="X237" i="9"/>
  <c r="O237" i="9"/>
  <c r="AA236" i="9"/>
  <c r="S236" i="9"/>
  <c r="N236" i="9"/>
  <c r="Z235" i="9"/>
  <c r="Q235" i="9"/>
  <c r="M235" i="9"/>
  <c r="X233" i="9"/>
  <c r="O233" i="9"/>
  <c r="AA231" i="9"/>
  <c r="S231" i="9"/>
  <c r="N231" i="9"/>
  <c r="Z230" i="9"/>
  <c r="Q230" i="9"/>
  <c r="M230" i="9"/>
  <c r="Z227" i="9"/>
  <c r="U227" i="9"/>
  <c r="Z226" i="9"/>
  <c r="U226" i="9"/>
  <c r="Y225" i="9"/>
  <c r="Q219" i="9"/>
  <c r="X218" i="9"/>
  <c r="Q218" i="9"/>
  <c r="O215" i="9"/>
  <c r="X215" i="9"/>
  <c r="N213" i="9"/>
  <c r="S213" i="9"/>
  <c r="AA213" i="9"/>
  <c r="M212" i="9"/>
  <c r="K214" i="17" s="1"/>
  <c r="Q212" i="9"/>
  <c r="Z212" i="9"/>
  <c r="Z210" i="9"/>
  <c r="U209" i="9"/>
  <c r="AA207" i="9"/>
  <c r="S205" i="9"/>
  <c r="O227" i="9"/>
  <c r="X227" i="9"/>
  <c r="N226" i="9"/>
  <c r="S226" i="9"/>
  <c r="AA226" i="9"/>
  <c r="M225" i="9"/>
  <c r="Q225" i="9"/>
  <c r="Z225" i="9"/>
  <c r="N210" i="9"/>
  <c r="S210" i="9"/>
  <c r="AA210" i="9"/>
  <c r="O210" i="9"/>
  <c r="M212" i="17" s="1"/>
  <c r="X210" i="9"/>
  <c r="M207" i="9"/>
  <c r="K209" i="17" s="1"/>
  <c r="Q207" i="9"/>
  <c r="N207" i="9"/>
  <c r="X207" i="9"/>
  <c r="O207" i="9"/>
  <c r="M209" i="17" s="1"/>
  <c r="U207" i="9"/>
  <c r="Y207" i="9"/>
  <c r="M205" i="9"/>
  <c r="K207" i="17" s="1"/>
  <c r="Z241" i="9"/>
  <c r="Q241" i="9"/>
  <c r="Z237" i="9"/>
  <c r="Q237" i="9"/>
  <c r="X235" i="9"/>
  <c r="O235" i="9"/>
  <c r="Z233" i="9"/>
  <c r="Q233" i="9"/>
  <c r="X230" i="9"/>
  <c r="O230" i="9"/>
  <c r="Q227" i="9"/>
  <c r="X226" i="9"/>
  <c r="Q226" i="9"/>
  <c r="O223" i="9"/>
  <c r="X223" i="9"/>
  <c r="N222" i="9"/>
  <c r="S222" i="9"/>
  <c r="AA222" i="9"/>
  <c r="M221" i="9"/>
  <c r="Q221" i="9"/>
  <c r="Z221" i="9"/>
  <c r="Z219" i="9"/>
  <c r="U219" i="9"/>
  <c r="N219" i="9"/>
  <c r="Z218" i="9"/>
  <c r="U218" i="9"/>
  <c r="O218" i="9"/>
  <c r="Y217" i="9"/>
  <c r="N217" i="9"/>
  <c r="M210" i="9"/>
  <c r="K212" i="17" s="1"/>
  <c r="Y209" i="9"/>
  <c r="Y205" i="9"/>
  <c r="N204" i="9"/>
  <c r="S204" i="9"/>
  <c r="AA204" i="9"/>
  <c r="M203" i="9"/>
  <c r="K205" i="17" s="1"/>
  <c r="Q203" i="9"/>
  <c r="Z203" i="9"/>
  <c r="Q193" i="9"/>
  <c r="O189" i="9"/>
  <c r="M191" i="17" s="1"/>
  <c r="X189" i="9"/>
  <c r="M189" i="9"/>
  <c r="K191" i="17" s="1"/>
  <c r="Q189" i="9"/>
  <c r="Z189" i="9"/>
  <c r="Z208" i="9"/>
  <c r="Q208" i="9"/>
  <c r="X204" i="9"/>
  <c r="Q204" i="9"/>
  <c r="O201" i="9"/>
  <c r="M203" i="17" s="1"/>
  <c r="X201" i="9"/>
  <c r="N200" i="9"/>
  <c r="S200" i="9"/>
  <c r="AA200" i="9"/>
  <c r="M199" i="9"/>
  <c r="K201" i="17" s="1"/>
  <c r="Q199" i="9"/>
  <c r="Z199" i="9"/>
  <c r="Z197" i="9"/>
  <c r="U197" i="9"/>
  <c r="Z196" i="9"/>
  <c r="U196" i="9"/>
  <c r="Y195" i="9"/>
  <c r="AA193" i="9"/>
  <c r="AA203" i="9"/>
  <c r="U203" i="9"/>
  <c r="O203" i="9"/>
  <c r="M205" i="17" s="1"/>
  <c r="O197" i="9"/>
  <c r="M199" i="17" s="1"/>
  <c r="X197" i="9"/>
  <c r="N196" i="9"/>
  <c r="S196" i="9"/>
  <c r="AA196" i="9"/>
  <c r="M195" i="9"/>
  <c r="K197" i="17" s="1"/>
  <c r="Q195" i="9"/>
  <c r="Z195" i="9"/>
  <c r="Z193" i="9"/>
  <c r="U193" i="9"/>
  <c r="M191" i="9"/>
  <c r="K193" i="17" s="1"/>
  <c r="Q191" i="9"/>
  <c r="Z191" i="9"/>
  <c r="O191" i="9"/>
  <c r="M193" i="17" s="1"/>
  <c r="X191" i="9"/>
  <c r="Y189" i="9"/>
  <c r="S189" i="9"/>
  <c r="Z204" i="9"/>
  <c r="U204" i="9"/>
  <c r="O204" i="9"/>
  <c r="M206" i="17" s="1"/>
  <c r="Y203" i="9"/>
  <c r="N203" i="9"/>
  <c r="O193" i="9"/>
  <c r="M195" i="17" s="1"/>
  <c r="X193" i="9"/>
  <c r="M187" i="9"/>
  <c r="K189" i="17" s="1"/>
  <c r="Q187" i="9"/>
  <c r="Z187" i="9"/>
  <c r="N187" i="9"/>
  <c r="S187" i="9"/>
  <c r="AA187" i="9"/>
  <c r="O187" i="9"/>
  <c r="M189" i="17" s="1"/>
  <c r="X187" i="9"/>
  <c r="Z185" i="9"/>
  <c r="Q185" i="9"/>
  <c r="M185" i="9"/>
  <c r="K187" i="17" s="1"/>
  <c r="X183" i="9"/>
  <c r="O183" i="9"/>
  <c r="M185" i="17" s="1"/>
  <c r="Q178" i="9"/>
  <c r="X177" i="9"/>
  <c r="Q177" i="9"/>
  <c r="O174" i="9"/>
  <c r="M176" i="17" s="1"/>
  <c r="X174" i="9"/>
  <c r="U172" i="9"/>
  <c r="AA183" i="9"/>
  <c r="S183" i="9"/>
  <c r="N183" i="9"/>
  <c r="AA178" i="9"/>
  <c r="AA176" i="9"/>
  <c r="U176" i="9"/>
  <c r="O176" i="9"/>
  <c r="M178" i="17" s="1"/>
  <c r="M170" i="9"/>
  <c r="K172" i="17" s="1"/>
  <c r="Q170" i="9"/>
  <c r="Z170" i="9"/>
  <c r="N170" i="9"/>
  <c r="Y170" i="9"/>
  <c r="AA192" i="9"/>
  <c r="S192" i="9"/>
  <c r="N192" i="9"/>
  <c r="AA188" i="9"/>
  <c r="S188" i="9"/>
  <c r="N188" i="9"/>
  <c r="X185" i="9"/>
  <c r="O185" i="9"/>
  <c r="M187" i="17" s="1"/>
  <c r="AA184" i="9"/>
  <c r="S184" i="9"/>
  <c r="N184" i="9"/>
  <c r="Z183" i="9"/>
  <c r="Q183" i="9"/>
  <c r="N181" i="9"/>
  <c r="S181" i="9"/>
  <c r="M180" i="9"/>
  <c r="K182" i="17" s="1"/>
  <c r="Q180" i="9"/>
  <c r="Z180" i="9"/>
  <c r="Z178" i="9"/>
  <c r="U178" i="9"/>
  <c r="Z177" i="9"/>
  <c r="U177" i="9"/>
  <c r="Y176" i="9"/>
  <c r="X170" i="9"/>
  <c r="O178" i="9"/>
  <c r="M180" i="17" s="1"/>
  <c r="X178" i="9"/>
  <c r="N177" i="9"/>
  <c r="S177" i="9"/>
  <c r="AA177" i="9"/>
  <c r="M176" i="9"/>
  <c r="K178" i="17" s="1"/>
  <c r="Q176" i="9"/>
  <c r="Z176" i="9"/>
  <c r="O172" i="9"/>
  <c r="M174" i="17" s="1"/>
  <c r="X172" i="9"/>
  <c r="M172" i="9"/>
  <c r="K174" i="17" s="1"/>
  <c r="Q172" i="9"/>
  <c r="Z172" i="9"/>
  <c r="U170" i="9"/>
  <c r="AA173" i="9"/>
  <c r="S173" i="9"/>
  <c r="N173" i="9"/>
  <c r="Q164" i="9"/>
  <c r="X163" i="9"/>
  <c r="Q163" i="9"/>
  <c r="O168" i="9"/>
  <c r="M170" i="17" s="1"/>
  <c r="X168" i="9"/>
  <c r="N167" i="9"/>
  <c r="S167" i="9"/>
  <c r="AA167" i="9"/>
  <c r="M166" i="9"/>
  <c r="K168" i="17" s="1"/>
  <c r="Q166" i="9"/>
  <c r="Z166" i="9"/>
  <c r="Z164" i="9"/>
  <c r="U164" i="9"/>
  <c r="Z163" i="9"/>
  <c r="U163" i="9"/>
  <c r="Y162" i="9"/>
  <c r="O164" i="9"/>
  <c r="M166" i="17" s="1"/>
  <c r="X164" i="9"/>
  <c r="N163" i="9"/>
  <c r="S163" i="9"/>
  <c r="AA163" i="9"/>
  <c r="M162" i="9"/>
  <c r="K164" i="17" s="1"/>
  <c r="Q162" i="9"/>
  <c r="Z162" i="9"/>
  <c r="M159" i="9"/>
  <c r="K161" i="17" s="1"/>
  <c r="Q159" i="9"/>
  <c r="Z159" i="9"/>
  <c r="Z157" i="9"/>
  <c r="U157" i="9"/>
  <c r="Z156" i="9"/>
  <c r="U156" i="9"/>
  <c r="Y155" i="9"/>
  <c r="M151" i="9"/>
  <c r="K153" i="17" s="1"/>
  <c r="Q151" i="9"/>
  <c r="Z151" i="9"/>
  <c r="N151" i="9"/>
  <c r="S151" i="9"/>
  <c r="AA151" i="9"/>
  <c r="O151" i="9"/>
  <c r="M153" i="17" s="1"/>
  <c r="X151" i="9"/>
  <c r="O157" i="9"/>
  <c r="M159" i="17" s="1"/>
  <c r="X157" i="9"/>
  <c r="N156" i="9"/>
  <c r="S156" i="9"/>
  <c r="AA156" i="9"/>
  <c r="M155" i="9"/>
  <c r="K157" i="17" s="1"/>
  <c r="Q155" i="9"/>
  <c r="Z155" i="9"/>
  <c r="X160" i="9"/>
  <c r="O160" i="9"/>
  <c r="M162" i="17" s="1"/>
  <c r="AA159" i="9"/>
  <c r="U159" i="9"/>
  <c r="O159" i="9"/>
  <c r="M161" i="17" s="1"/>
  <c r="Q157" i="9"/>
  <c r="X156" i="9"/>
  <c r="Q156" i="9"/>
  <c r="O146" i="9"/>
  <c r="M148" i="17" s="1"/>
  <c r="X146" i="9"/>
  <c r="N145" i="9"/>
  <c r="S145" i="9"/>
  <c r="AA145" i="9"/>
  <c r="Q144" i="9"/>
  <c r="Z144" i="9"/>
  <c r="O139" i="9"/>
  <c r="X139" i="9"/>
  <c r="M139" i="9"/>
  <c r="Q139" i="9"/>
  <c r="O141" i="15" s="1"/>
  <c r="Z139" i="9"/>
  <c r="Q146" i="9"/>
  <c r="X145" i="9"/>
  <c r="Q145" i="9"/>
  <c r="AB144" i="9"/>
  <c r="O141" i="9"/>
  <c r="X141" i="9"/>
  <c r="U139" i="9"/>
  <c r="X152" i="9"/>
  <c r="O152" i="9"/>
  <c r="M154" i="17" s="1"/>
  <c r="AA146" i="9"/>
  <c r="J145" i="9"/>
  <c r="AK144" i="9"/>
  <c r="AA144" i="9"/>
  <c r="U144" i="9"/>
  <c r="O144" i="9"/>
  <c r="M146" i="17" s="1"/>
  <c r="I144" i="9"/>
  <c r="AA139" i="9"/>
  <c r="S139" i="9"/>
  <c r="X153" i="9"/>
  <c r="O153" i="9"/>
  <c r="M155" i="17" s="1"/>
  <c r="AA152" i="9"/>
  <c r="S152" i="9"/>
  <c r="N152" i="9"/>
  <c r="N149" i="9"/>
  <c r="S149" i="9"/>
  <c r="AA149" i="9"/>
  <c r="M148" i="9"/>
  <c r="K150" i="17" s="1"/>
  <c r="Q148" i="9"/>
  <c r="Z148" i="9"/>
  <c r="Z146" i="9"/>
  <c r="U146" i="9"/>
  <c r="N146" i="9"/>
  <c r="Z145" i="9"/>
  <c r="U145" i="9"/>
  <c r="O145" i="9"/>
  <c r="M147" i="17" s="1"/>
  <c r="Y144" i="9"/>
  <c r="N144" i="9"/>
  <c r="AA141" i="9"/>
  <c r="Y139" i="9"/>
  <c r="AI135" i="9"/>
  <c r="AA135" i="9"/>
  <c r="W135" i="9"/>
  <c r="S135" i="9"/>
  <c r="N135" i="9"/>
  <c r="L137" i="15" s="1"/>
  <c r="AA140" i="9"/>
  <c r="S140" i="9"/>
  <c r="N140" i="9"/>
  <c r="L142" i="15" s="1"/>
  <c r="X137" i="9"/>
  <c r="O137" i="9"/>
  <c r="AA136" i="9"/>
  <c r="S136" i="9"/>
  <c r="N136" i="9"/>
  <c r="L138" i="15" s="1"/>
  <c r="AD135" i="9"/>
  <c r="Z135" i="9"/>
  <c r="Q135" i="9"/>
  <c r="O137" i="15" s="1"/>
  <c r="M135" i="9"/>
  <c r="Z137" i="9"/>
  <c r="Q137" i="9"/>
  <c r="O139" i="15" s="1"/>
  <c r="X135" i="9"/>
  <c r="O135" i="9"/>
  <c r="W134" i="9"/>
  <c r="W338" i="20"/>
  <c r="W142" i="14"/>
  <c r="X142" i="14"/>
  <c r="I273" i="20"/>
  <c r="I352" i="20"/>
  <c r="H353" i="14" s="1"/>
  <c r="S353" i="14" s="1"/>
  <c r="I354" i="20"/>
  <c r="H355" i="14" s="1"/>
  <c r="S355" i="14" s="1"/>
  <c r="I336" i="20"/>
  <c r="H337" i="14" s="1"/>
  <c r="S337" i="14" s="1"/>
  <c r="Q136" i="20"/>
  <c r="I360" i="20"/>
  <c r="H361" i="14" s="1"/>
  <c r="S361" i="14" s="1"/>
  <c r="I287" i="20"/>
  <c r="I289" i="20"/>
  <c r="W355" i="20"/>
  <c r="I353" i="20"/>
  <c r="H354" i="14" s="1"/>
  <c r="S354" i="14" s="1"/>
  <c r="I337" i="20"/>
  <c r="H338" i="14" s="1"/>
  <c r="S338" i="14" s="1"/>
  <c r="I338" i="20"/>
  <c r="H339" i="14" s="1"/>
  <c r="S339" i="14" s="1"/>
  <c r="I136" i="20"/>
  <c r="I271" i="20"/>
  <c r="I274" i="20"/>
  <c r="W280" i="20"/>
  <c r="I290" i="20"/>
  <c r="W351" i="20"/>
  <c r="I356" i="20"/>
  <c r="H357" i="14" s="1"/>
  <c r="S357" i="14" s="1"/>
  <c r="I357" i="20"/>
  <c r="H358" i="14" s="1"/>
  <c r="S358" i="14" s="1"/>
  <c r="I339" i="20"/>
  <c r="H340" i="14" s="1"/>
  <c r="S340" i="14" s="1"/>
  <c r="I135" i="20"/>
  <c r="Q135" i="20"/>
  <c r="I272" i="20"/>
  <c r="I278" i="20"/>
  <c r="I280" i="20"/>
  <c r="I288" i="20"/>
  <c r="W291" i="20"/>
  <c r="I291" i="20"/>
  <c r="I351" i="20"/>
  <c r="H352" i="14" s="1"/>
  <c r="S352" i="14" s="1"/>
  <c r="I355" i="20"/>
  <c r="H356" i="14" s="1"/>
  <c r="S356" i="14" s="1"/>
  <c r="W336" i="20"/>
  <c r="W339" i="20"/>
  <c r="X143" i="14"/>
  <c r="W337" i="20"/>
  <c r="W357" i="20"/>
  <c r="W356" i="20"/>
  <c r="W353" i="20"/>
  <c r="W354" i="20"/>
  <c r="W352" i="20"/>
  <c r="W289" i="20"/>
  <c r="W136" i="20"/>
  <c r="W290" i="20"/>
  <c r="W135" i="20"/>
  <c r="W288" i="20"/>
  <c r="W287" i="20"/>
  <c r="W274" i="20"/>
  <c r="W278" i="20"/>
  <c r="W271" i="20"/>
  <c r="W272" i="20"/>
  <c r="W360" i="20"/>
  <c r="W273" i="20"/>
  <c r="R255" i="15" l="1"/>
  <c r="P385" i="9"/>
  <c r="N386" i="15" s="1"/>
  <c r="R150" i="15"/>
  <c r="R155" i="15"/>
  <c r="R171" i="15"/>
  <c r="R177" i="15"/>
  <c r="R199" i="15"/>
  <c r="K165" i="15"/>
  <c r="L377" i="9"/>
  <c r="R281" i="15"/>
  <c r="R162" i="15"/>
  <c r="P379" i="9"/>
  <c r="N380" i="15" s="1"/>
  <c r="L383" i="9"/>
  <c r="R188" i="17"/>
  <c r="R212" i="15"/>
  <c r="R146" i="15"/>
  <c r="R152" i="15"/>
  <c r="R153" i="15"/>
  <c r="R160" i="15"/>
  <c r="R164" i="15"/>
  <c r="R175" i="15"/>
  <c r="R179" i="15"/>
  <c r="R181" i="15"/>
  <c r="R187" i="15"/>
  <c r="R189" i="15"/>
  <c r="R191" i="15"/>
  <c r="R193" i="15"/>
  <c r="R197" i="15"/>
  <c r="R201" i="15"/>
  <c r="R203" i="15"/>
  <c r="R353" i="15"/>
  <c r="R154" i="15"/>
  <c r="R158" i="15"/>
  <c r="R163" i="15"/>
  <c r="R166" i="15"/>
  <c r="R167" i="15"/>
  <c r="R174" i="15"/>
  <c r="R304" i="15"/>
  <c r="R170" i="15"/>
  <c r="R151" i="15"/>
  <c r="G158" i="15"/>
  <c r="R185" i="15"/>
  <c r="R190" i="15"/>
  <c r="R211" i="15"/>
  <c r="L164" i="9"/>
  <c r="G174" i="15"/>
  <c r="G154" i="15"/>
  <c r="R205" i="15"/>
  <c r="R194" i="15"/>
  <c r="K157" i="15"/>
  <c r="R144" i="15"/>
  <c r="G195" i="15"/>
  <c r="G169" i="15"/>
  <c r="R180" i="15"/>
  <c r="L156" i="9"/>
  <c r="P405" i="9"/>
  <c r="N406" i="15" s="1"/>
  <c r="P190" i="9"/>
  <c r="N191" i="15" s="1"/>
  <c r="R241" i="15"/>
  <c r="R323" i="15"/>
  <c r="S234" i="17"/>
  <c r="R244" i="15"/>
  <c r="R282" i="15"/>
  <c r="R295" i="15"/>
  <c r="R317" i="15"/>
  <c r="R217" i="15"/>
  <c r="R189" i="17"/>
  <c r="R202" i="17"/>
  <c r="R265" i="17"/>
  <c r="R275" i="17"/>
  <c r="R321" i="15"/>
  <c r="R246" i="15"/>
  <c r="R329" i="15"/>
  <c r="R341" i="15"/>
  <c r="R228" i="15"/>
  <c r="R252" i="15"/>
  <c r="R284" i="15"/>
  <c r="R315" i="15"/>
  <c r="R145" i="17"/>
  <c r="R149" i="17"/>
  <c r="R154" i="17"/>
  <c r="R159" i="17"/>
  <c r="R163" i="17"/>
  <c r="R167" i="17"/>
  <c r="R176" i="17"/>
  <c r="R182" i="17"/>
  <c r="R193" i="17"/>
  <c r="R199" i="17"/>
  <c r="R219" i="15"/>
  <c r="R221" i="15"/>
  <c r="R224" i="15"/>
  <c r="R226" i="15"/>
  <c r="R227" i="15"/>
  <c r="R233" i="17"/>
  <c r="R234" i="15"/>
  <c r="R246" i="17"/>
  <c r="R249" i="15"/>
  <c r="R364" i="15"/>
  <c r="R223" i="15"/>
  <c r="R248" i="15"/>
  <c r="R301" i="17"/>
  <c r="R351" i="15"/>
  <c r="R289" i="15"/>
  <c r="R298" i="17"/>
  <c r="R308" i="17"/>
  <c r="R148" i="17"/>
  <c r="R155" i="17"/>
  <c r="R158" i="17"/>
  <c r="R162" i="17"/>
  <c r="R166" i="17"/>
  <c r="R179" i="17"/>
  <c r="R183" i="17"/>
  <c r="R192" i="17"/>
  <c r="R198" i="17"/>
  <c r="L391" i="9"/>
  <c r="L150" i="9"/>
  <c r="R235" i="15"/>
  <c r="R357" i="15"/>
  <c r="R237" i="15"/>
  <c r="R258" i="15"/>
  <c r="R278" i="17"/>
  <c r="R287" i="17"/>
  <c r="R292" i="17"/>
  <c r="R340" i="15"/>
  <c r="R245" i="15"/>
  <c r="R185" i="17"/>
  <c r="R270" i="17"/>
  <c r="R278" i="15"/>
  <c r="R301" i="15"/>
  <c r="R168" i="15"/>
  <c r="R254" i="15"/>
  <c r="R268" i="17"/>
  <c r="R292" i="15"/>
  <c r="R299" i="17"/>
  <c r="R302" i="17"/>
  <c r="R311" i="17"/>
  <c r="R339" i="15"/>
  <c r="R350" i="15"/>
  <c r="R361" i="15"/>
  <c r="R147" i="15"/>
  <c r="R299" i="15"/>
  <c r="R148" i="15"/>
  <c r="R202" i="15"/>
  <c r="R222" i="15"/>
  <c r="R225" i="15"/>
  <c r="R300" i="15"/>
  <c r="R307" i="15"/>
  <c r="R316" i="15"/>
  <c r="R337" i="15"/>
  <c r="R159" i="15"/>
  <c r="R176" i="15"/>
  <c r="R186" i="15"/>
  <c r="R192" i="15"/>
  <c r="R220" i="15"/>
  <c r="R265" i="15"/>
  <c r="R269" i="15"/>
  <c r="R273" i="15"/>
  <c r="R287" i="15"/>
  <c r="R290" i="15"/>
  <c r="R296" i="15"/>
  <c r="R311" i="15"/>
  <c r="R318" i="15"/>
  <c r="R320" i="15"/>
  <c r="R338" i="15"/>
  <c r="R344" i="15"/>
  <c r="R348" i="15"/>
  <c r="R262" i="15"/>
  <c r="R268" i="15"/>
  <c r="R272" i="15"/>
  <c r="R279" i="17"/>
  <c r="R284" i="17"/>
  <c r="R295" i="17"/>
  <c r="R305" i="15"/>
  <c r="R308" i="15"/>
  <c r="R313" i="15"/>
  <c r="R314" i="15"/>
  <c r="R327" i="15"/>
  <c r="R346" i="15"/>
  <c r="R356" i="15"/>
  <c r="R283" i="15"/>
  <c r="R285" i="15"/>
  <c r="R183" i="15"/>
  <c r="R309" i="15"/>
  <c r="R231" i="15"/>
  <c r="R275" i="15"/>
  <c r="R347" i="15"/>
  <c r="AJ136" i="20"/>
  <c r="AJ135" i="9" s="1"/>
  <c r="G327" i="15"/>
  <c r="R334" i="15"/>
  <c r="R352" i="15"/>
  <c r="R360" i="15"/>
  <c r="R366" i="15"/>
  <c r="R172" i="17"/>
  <c r="R240" i="15"/>
  <c r="R264" i="15"/>
  <c r="R274" i="15"/>
  <c r="R298" i="15"/>
  <c r="R229" i="15"/>
  <c r="R242" i="15"/>
  <c r="R280" i="15"/>
  <c r="G225" i="15"/>
  <c r="R156" i="17"/>
  <c r="R181" i="17"/>
  <c r="R191" i="17"/>
  <c r="L201" i="17"/>
  <c r="S358" i="15"/>
  <c r="R263" i="15"/>
  <c r="R322" i="15"/>
  <c r="R325" i="15"/>
  <c r="R362" i="15"/>
  <c r="R293" i="15"/>
  <c r="R303" i="15"/>
  <c r="R306" i="15"/>
  <c r="R310" i="15"/>
  <c r="R345" i="15"/>
  <c r="R247" i="15"/>
  <c r="R335" i="15"/>
  <c r="S359" i="15"/>
  <c r="R330" i="15"/>
  <c r="R332" i="15"/>
  <c r="R294" i="15"/>
  <c r="R297" i="15"/>
  <c r="R197" i="17"/>
  <c r="R266" i="17"/>
  <c r="R276" i="17"/>
  <c r="R288" i="17"/>
  <c r="R312" i="17"/>
  <c r="R256" i="15"/>
  <c r="R259" i="15"/>
  <c r="R279" i="15"/>
  <c r="R286" i="15"/>
  <c r="G226" i="15"/>
  <c r="R257" i="15"/>
  <c r="R177" i="17"/>
  <c r="R238" i="17"/>
  <c r="R244" i="17"/>
  <c r="R293" i="17"/>
  <c r="R230" i="15"/>
  <c r="R236" i="15"/>
  <c r="R251" i="15"/>
  <c r="R363" i="15"/>
  <c r="R365" i="15"/>
  <c r="R232" i="15"/>
  <c r="R238" i="15"/>
  <c r="R239" i="15"/>
  <c r="R260" i="15"/>
  <c r="R266" i="15"/>
  <c r="R267" i="15"/>
  <c r="R276" i="15"/>
  <c r="R277" i="15"/>
  <c r="R291" i="15"/>
  <c r="R319" i="15"/>
  <c r="R331" i="15"/>
  <c r="R342" i="15"/>
  <c r="R354" i="15"/>
  <c r="R355" i="15"/>
  <c r="G243" i="15"/>
  <c r="G361" i="15"/>
  <c r="R216" i="15"/>
  <c r="R218" i="15"/>
  <c r="R271" i="15"/>
  <c r="R343" i="15"/>
  <c r="G260" i="15"/>
  <c r="R270" i="15"/>
  <c r="R302" i="15"/>
  <c r="R324" i="15"/>
  <c r="R336" i="15"/>
  <c r="G342" i="15"/>
  <c r="L162" i="17"/>
  <c r="R151" i="17"/>
  <c r="R169" i="17"/>
  <c r="R173" i="17"/>
  <c r="R178" i="17"/>
  <c r="R205" i="17"/>
  <c r="R208" i="17"/>
  <c r="R215" i="17"/>
  <c r="R229" i="17"/>
  <c r="R236" i="17"/>
  <c r="R240" i="17"/>
  <c r="R271" i="17"/>
  <c r="R274" i="17"/>
  <c r="R281" i="17"/>
  <c r="R286" i="17"/>
  <c r="R289" i="17"/>
  <c r="R294" i="17"/>
  <c r="R305" i="17"/>
  <c r="R310" i="17"/>
  <c r="G289" i="15"/>
  <c r="G305" i="15"/>
  <c r="R253" i="15"/>
  <c r="R261" i="15"/>
  <c r="R333" i="15"/>
  <c r="R349" i="15"/>
  <c r="R250" i="15"/>
  <c r="R288" i="15"/>
  <c r="R312" i="15"/>
  <c r="R328" i="15"/>
  <c r="R146" i="17"/>
  <c r="R147" i="17"/>
  <c r="R150" i="17"/>
  <c r="R157" i="17"/>
  <c r="R161" i="17"/>
  <c r="R164" i="17"/>
  <c r="R175" i="17"/>
  <c r="R180" i="17"/>
  <c r="R184" i="17"/>
  <c r="R194" i="17"/>
  <c r="R200" i="17"/>
  <c r="R201" i="17"/>
  <c r="R204" i="17"/>
  <c r="R242" i="17"/>
  <c r="R248" i="17"/>
  <c r="R283" i="17"/>
  <c r="R291" i="17"/>
  <c r="R296" i="17"/>
  <c r="R297" i="17"/>
  <c r="R300" i="17"/>
  <c r="G237" i="15"/>
  <c r="R152" i="17"/>
  <c r="R170" i="17"/>
  <c r="R186" i="17"/>
  <c r="R196" i="17"/>
  <c r="R207" i="17"/>
  <c r="R217" i="17"/>
  <c r="R225" i="17"/>
  <c r="R273" i="17"/>
  <c r="R282" i="17"/>
  <c r="R303" i="17"/>
  <c r="R306" i="17"/>
  <c r="R195" i="17"/>
  <c r="R211" i="17"/>
  <c r="R223" i="17"/>
  <c r="R304" i="17"/>
  <c r="R153" i="17"/>
  <c r="R160" i="17"/>
  <c r="R165" i="17"/>
  <c r="R168" i="17"/>
  <c r="R187" i="17"/>
  <c r="R190" i="17"/>
  <c r="R231" i="17"/>
  <c r="R267" i="17"/>
  <c r="R277" i="17"/>
  <c r="R280" i="17"/>
  <c r="R307" i="17"/>
  <c r="S359" i="17"/>
  <c r="S360" i="17"/>
  <c r="R171" i="17"/>
  <c r="R174" i="17"/>
  <c r="R206" i="17"/>
  <c r="R269" i="17"/>
  <c r="R272" i="17"/>
  <c r="R285" i="17"/>
  <c r="R290" i="17"/>
  <c r="R309" i="17"/>
  <c r="I287" i="9"/>
  <c r="H289" i="17" s="1"/>
  <c r="H289" i="14"/>
  <c r="S289" i="14" s="1"/>
  <c r="O157" i="15"/>
  <c r="O158" i="17"/>
  <c r="I290" i="9"/>
  <c r="H291" i="15" s="1"/>
  <c r="H292" i="14"/>
  <c r="S292" i="14" s="1"/>
  <c r="I277" i="9"/>
  <c r="H279" i="17" s="1"/>
  <c r="H279" i="14"/>
  <c r="S279" i="14" s="1"/>
  <c r="I289" i="9"/>
  <c r="H291" i="17" s="1"/>
  <c r="H291" i="14"/>
  <c r="S291" i="14" s="1"/>
  <c r="I135" i="9"/>
  <c r="H137" i="15" s="1"/>
  <c r="S137" i="15" s="1"/>
  <c r="H137" i="14"/>
  <c r="S137" i="14" s="1"/>
  <c r="I272" i="9"/>
  <c r="H274" i="17" s="1"/>
  <c r="H274" i="14"/>
  <c r="S274" i="14" s="1"/>
  <c r="O145" i="15"/>
  <c r="O146" i="17"/>
  <c r="O158" i="15"/>
  <c r="O159" i="17"/>
  <c r="O152" i="15"/>
  <c r="O153" i="17"/>
  <c r="O160" i="15"/>
  <c r="O161" i="17"/>
  <c r="O167" i="15"/>
  <c r="O168" i="17"/>
  <c r="O177" i="15"/>
  <c r="O178" i="17"/>
  <c r="O179" i="15"/>
  <c r="O180" i="17"/>
  <c r="O186" i="15"/>
  <c r="O187" i="17"/>
  <c r="O188" i="15"/>
  <c r="O189" i="17"/>
  <c r="O200" i="15"/>
  <c r="O201" i="17"/>
  <c r="O190" i="15"/>
  <c r="O191" i="17"/>
  <c r="O194" i="15"/>
  <c r="O195" i="17"/>
  <c r="O228" i="15"/>
  <c r="O229" i="17"/>
  <c r="O219" i="15"/>
  <c r="O220" i="17"/>
  <c r="O256" i="15"/>
  <c r="O257" i="17"/>
  <c r="O295" i="15"/>
  <c r="O296" i="17"/>
  <c r="O291" i="15"/>
  <c r="O292" i="17"/>
  <c r="O246" i="15"/>
  <c r="O247" i="17"/>
  <c r="O260" i="15"/>
  <c r="O261" i="17"/>
  <c r="O317" i="15"/>
  <c r="O318" i="17"/>
  <c r="O353" i="15"/>
  <c r="O354" i="17"/>
  <c r="O315" i="15"/>
  <c r="O316" i="17"/>
  <c r="I271" i="9"/>
  <c r="H273" i="17" s="1"/>
  <c r="H273" i="14"/>
  <c r="S273" i="14" s="1"/>
  <c r="I288" i="9"/>
  <c r="H289" i="15" s="1"/>
  <c r="H290" i="14"/>
  <c r="S290" i="14" s="1"/>
  <c r="O147" i="15"/>
  <c r="O148" i="17"/>
  <c r="O165" i="15"/>
  <c r="O166" i="17"/>
  <c r="O209" i="15"/>
  <c r="O210" i="17"/>
  <c r="O242" i="15"/>
  <c r="O243" i="17"/>
  <c r="O208" i="15"/>
  <c r="O209" i="17"/>
  <c r="O226" i="15"/>
  <c r="O227" i="17"/>
  <c r="O213" i="15"/>
  <c r="O214" i="17"/>
  <c r="O231" i="15"/>
  <c r="O232" i="17"/>
  <c r="O236" i="15"/>
  <c r="O237" i="17"/>
  <c r="O210" i="15"/>
  <c r="O211" i="17"/>
  <c r="O218" i="15"/>
  <c r="O219" i="17"/>
  <c r="O264" i="15"/>
  <c r="O265" i="17"/>
  <c r="O272" i="15"/>
  <c r="O273" i="17"/>
  <c r="O287" i="15"/>
  <c r="O288" i="17"/>
  <c r="O268" i="15"/>
  <c r="O269" i="17"/>
  <c r="O283" i="15"/>
  <c r="O284" i="17"/>
  <c r="O296" i="15"/>
  <c r="O297" i="17"/>
  <c r="O332" i="15"/>
  <c r="O333" i="17"/>
  <c r="O345" i="15"/>
  <c r="O346" i="17"/>
  <c r="O363" i="15"/>
  <c r="O364" i="17"/>
  <c r="O321" i="15"/>
  <c r="O322" i="17"/>
  <c r="O337" i="15"/>
  <c r="O338" i="17"/>
  <c r="O354" i="15"/>
  <c r="O355" i="17"/>
  <c r="O151" i="15"/>
  <c r="O152" i="17"/>
  <c r="O144" i="15"/>
  <c r="O145" i="17"/>
  <c r="O154" i="15"/>
  <c r="O155" i="17"/>
  <c r="O212" i="15"/>
  <c r="O213" i="17"/>
  <c r="O176" i="15"/>
  <c r="O177" i="17"/>
  <c r="O197" i="15"/>
  <c r="O198" i="17"/>
  <c r="O266" i="15"/>
  <c r="O267" i="17"/>
  <c r="O338" i="15"/>
  <c r="O339" i="17"/>
  <c r="O313" i="15"/>
  <c r="O314" i="17"/>
  <c r="O322" i="15"/>
  <c r="O323" i="17"/>
  <c r="O318" i="15"/>
  <c r="O319" i="17"/>
  <c r="O324" i="15"/>
  <c r="O325" i="17"/>
  <c r="O241" i="15"/>
  <c r="O242" i="17"/>
  <c r="O326" i="15"/>
  <c r="O327" i="17"/>
  <c r="O281" i="15"/>
  <c r="O282" i="17"/>
  <c r="O175" i="15"/>
  <c r="O176" i="17"/>
  <c r="O153" i="15"/>
  <c r="O154" i="17"/>
  <c r="A339" i="15"/>
  <c r="A340" i="17"/>
  <c r="Q340" i="17" s="1"/>
  <c r="O161" i="15"/>
  <c r="O162" i="17"/>
  <c r="O366" i="15"/>
  <c r="O367" i="17"/>
  <c r="O169" i="15"/>
  <c r="O170" i="17"/>
  <c r="O225" i="15"/>
  <c r="O226" i="17"/>
  <c r="O265" i="15"/>
  <c r="O266" i="17"/>
  <c r="O275" i="15"/>
  <c r="O276" i="17"/>
  <c r="A291" i="15"/>
  <c r="Q291" i="15" s="1"/>
  <c r="A292" i="17"/>
  <c r="Q292" i="17" s="1"/>
  <c r="A274" i="15"/>
  <c r="A275" i="17"/>
  <c r="Q275" i="17" s="1"/>
  <c r="H215" i="15"/>
  <c r="S215" i="15" s="1"/>
  <c r="H216" i="17"/>
  <c r="S216" i="17" s="1"/>
  <c r="R222" i="17"/>
  <c r="A356" i="15"/>
  <c r="Q356" i="15" s="1"/>
  <c r="A357" i="17"/>
  <c r="Q357" i="17" s="1"/>
  <c r="P150" i="17"/>
  <c r="P158" i="17"/>
  <c r="P162" i="17"/>
  <c r="P166" i="17"/>
  <c r="P170" i="17"/>
  <c r="P174" i="17"/>
  <c r="P182" i="17"/>
  <c r="P186" i="17"/>
  <c r="P194" i="17"/>
  <c r="P202" i="17"/>
  <c r="P206" i="17"/>
  <c r="P217" i="17"/>
  <c r="R219" i="17"/>
  <c r="P221" i="17"/>
  <c r="P225" i="17"/>
  <c r="R227" i="17"/>
  <c r="P229" i="17"/>
  <c r="R230" i="17"/>
  <c r="P233" i="17"/>
  <c r="R235" i="17"/>
  <c r="R239" i="17"/>
  <c r="R243" i="17"/>
  <c r="P246" i="17"/>
  <c r="R247" i="17"/>
  <c r="R251" i="17"/>
  <c r="R255" i="17"/>
  <c r="R261" i="17"/>
  <c r="P268" i="17"/>
  <c r="P272" i="17"/>
  <c r="P300" i="17"/>
  <c r="P304" i="17"/>
  <c r="P308" i="17"/>
  <c r="R314" i="17"/>
  <c r="R317" i="17"/>
  <c r="R318" i="17"/>
  <c r="P320" i="17"/>
  <c r="R321" i="17"/>
  <c r="R322" i="17"/>
  <c r="R325" i="17"/>
  <c r="R326" i="17"/>
  <c r="P328" i="17"/>
  <c r="R329" i="17"/>
  <c r="R330" i="17"/>
  <c r="R333" i="17"/>
  <c r="R334" i="17"/>
  <c r="R337" i="17"/>
  <c r="R338" i="17"/>
  <c r="R341" i="17"/>
  <c r="R342" i="17"/>
  <c r="P344" i="17"/>
  <c r="R345" i="17"/>
  <c r="R346" i="17"/>
  <c r="R349" i="17"/>
  <c r="R350" i="17"/>
  <c r="P352" i="17"/>
  <c r="R353" i="17"/>
  <c r="R354" i="17"/>
  <c r="P356" i="17"/>
  <c r="R357" i="17"/>
  <c r="R358" i="17"/>
  <c r="R363" i="17"/>
  <c r="R364" i="17"/>
  <c r="P366" i="17"/>
  <c r="R367" i="17"/>
  <c r="G146" i="17"/>
  <c r="G160" i="17"/>
  <c r="G172" i="17"/>
  <c r="G178" i="17"/>
  <c r="G186" i="17"/>
  <c r="G194" i="17"/>
  <c r="G202" i="17"/>
  <c r="G208" i="17"/>
  <c r="G217" i="17"/>
  <c r="G225" i="17"/>
  <c r="G233" i="17"/>
  <c r="G242" i="17"/>
  <c r="G268" i="17"/>
  <c r="G276" i="17"/>
  <c r="G284" i="17"/>
  <c r="G290" i="17"/>
  <c r="G298" i="17"/>
  <c r="G312" i="17"/>
  <c r="O181" i="15"/>
  <c r="O182" i="17"/>
  <c r="O184" i="15"/>
  <c r="O185" i="17"/>
  <c r="O171" i="15"/>
  <c r="O172" i="17"/>
  <c r="O178" i="15"/>
  <c r="O179" i="17"/>
  <c r="O192" i="15"/>
  <c r="O193" i="17"/>
  <c r="O204" i="15"/>
  <c r="O205" i="17"/>
  <c r="O227" i="15"/>
  <c r="O228" i="17"/>
  <c r="O220" i="15"/>
  <c r="O221" i="17"/>
  <c r="O206" i="15"/>
  <c r="O207" i="17"/>
  <c r="O280" i="15"/>
  <c r="O281" i="17"/>
  <c r="O240" i="15"/>
  <c r="O241" i="17"/>
  <c r="O262" i="15"/>
  <c r="O263" i="17"/>
  <c r="O269" i="15"/>
  <c r="O270" i="17"/>
  <c r="O270" i="15"/>
  <c r="O271" i="17"/>
  <c r="O276" i="15"/>
  <c r="O277" i="17"/>
  <c r="O316" i="15"/>
  <c r="O317" i="17"/>
  <c r="O327" i="15"/>
  <c r="O328" i="17"/>
  <c r="O349" i="15"/>
  <c r="O350" i="17"/>
  <c r="O357" i="15"/>
  <c r="O358" i="17"/>
  <c r="O299" i="15"/>
  <c r="O300" i="17"/>
  <c r="O323" i="15"/>
  <c r="O324" i="17"/>
  <c r="O339" i="15"/>
  <c r="O340" i="17"/>
  <c r="O360" i="15"/>
  <c r="O361" i="17"/>
  <c r="O185" i="15"/>
  <c r="O186" i="17"/>
  <c r="O224" i="15"/>
  <c r="O225" i="17"/>
  <c r="O214" i="15"/>
  <c r="O215" i="17"/>
  <c r="O255" i="15"/>
  <c r="O256" i="17"/>
  <c r="O211" i="15"/>
  <c r="O212" i="17"/>
  <c r="O216" i="15"/>
  <c r="O217" i="17"/>
  <c r="O334" i="15"/>
  <c r="O335" i="17"/>
  <c r="O294" i="15"/>
  <c r="O295" i="17"/>
  <c r="O330" i="15"/>
  <c r="O331" i="17"/>
  <c r="O355" i="15"/>
  <c r="O356" i="17"/>
  <c r="O309" i="15"/>
  <c r="O310" i="17"/>
  <c r="O325" i="15"/>
  <c r="O326" i="17"/>
  <c r="O340" i="15"/>
  <c r="O341" i="17"/>
  <c r="O351" i="15"/>
  <c r="O352" i="17"/>
  <c r="O174" i="15"/>
  <c r="O175" i="17"/>
  <c r="O191" i="15"/>
  <c r="O192" i="17"/>
  <c r="O279" i="15"/>
  <c r="O280" i="17"/>
  <c r="O304" i="15"/>
  <c r="O305" i="17"/>
  <c r="O223" i="15"/>
  <c r="O224" i="17"/>
  <c r="O237" i="15"/>
  <c r="O238" i="17"/>
  <c r="O293" i="15"/>
  <c r="O294" i="17"/>
  <c r="O312" i="15"/>
  <c r="O313" i="17"/>
  <c r="A338" i="15"/>
  <c r="Q338" i="15" s="1"/>
  <c r="A339" i="17"/>
  <c r="Q339" i="17" s="1"/>
  <c r="A271" i="15"/>
  <c r="Q271" i="15" s="1"/>
  <c r="A272" i="17"/>
  <c r="Q272" i="17" s="1"/>
  <c r="O301" i="15"/>
  <c r="O302" i="17"/>
  <c r="A280" i="15"/>
  <c r="Q280" i="15" s="1"/>
  <c r="A281" i="17"/>
  <c r="Q281" i="17" s="1"/>
  <c r="O258" i="15"/>
  <c r="O259" i="17"/>
  <c r="O290" i="15"/>
  <c r="O291" i="17"/>
  <c r="O352" i="15"/>
  <c r="O353" i="17"/>
  <c r="O230" i="15"/>
  <c r="O231" i="17"/>
  <c r="O347" i="15"/>
  <c r="O348" i="17"/>
  <c r="P149" i="17"/>
  <c r="P157" i="17"/>
  <c r="P161" i="17"/>
  <c r="P165" i="17"/>
  <c r="P173" i="17"/>
  <c r="P181" i="17"/>
  <c r="P189" i="17"/>
  <c r="P193" i="17"/>
  <c r="P201" i="17"/>
  <c r="P213" i="17"/>
  <c r="P232" i="17"/>
  <c r="P237" i="17"/>
  <c r="P253" i="17"/>
  <c r="G254" i="17"/>
  <c r="R254" i="17"/>
  <c r="P257" i="17"/>
  <c r="G258" i="17"/>
  <c r="R258" i="17"/>
  <c r="P261" i="17"/>
  <c r="G262" i="17"/>
  <c r="R262" i="17"/>
  <c r="P273" i="17"/>
  <c r="P277" i="17"/>
  <c r="P297" i="17"/>
  <c r="P301" i="17"/>
  <c r="P305" i="17"/>
  <c r="P317" i="17"/>
  <c r="P325" i="17"/>
  <c r="P337" i="17"/>
  <c r="P341" i="17"/>
  <c r="P349" i="17"/>
  <c r="R256" i="17"/>
  <c r="R264" i="17"/>
  <c r="O193" i="15"/>
  <c r="O194" i="17"/>
  <c r="A351" i="15"/>
  <c r="Q351" i="15" s="1"/>
  <c r="A352" i="17"/>
  <c r="Q352" i="17" s="1"/>
  <c r="A287" i="15"/>
  <c r="Q287" i="15" s="1"/>
  <c r="A288" i="17"/>
  <c r="Q288" i="17" s="1"/>
  <c r="G148" i="17"/>
  <c r="G162" i="17"/>
  <c r="G180" i="17"/>
  <c r="G188" i="17"/>
  <c r="G196" i="17"/>
  <c r="R214" i="17"/>
  <c r="R226" i="17"/>
  <c r="G236" i="17"/>
  <c r="G244" i="17"/>
  <c r="G270" i="17"/>
  <c r="G278" i="17"/>
  <c r="G286" i="17"/>
  <c r="G292" i="17"/>
  <c r="G300" i="17"/>
  <c r="G306" i="17"/>
  <c r="R313" i="17"/>
  <c r="A272" i="15"/>
  <c r="Q272" i="15" s="1"/>
  <c r="A273" i="17"/>
  <c r="Q273" i="17" s="1"/>
  <c r="I273" i="9"/>
  <c r="H274" i="15" s="1"/>
  <c r="H275" i="14"/>
  <c r="S275" i="14" s="1"/>
  <c r="I286" i="9"/>
  <c r="H288" i="17" s="1"/>
  <c r="H288" i="14"/>
  <c r="S288" i="14" s="1"/>
  <c r="O149" i="15"/>
  <c r="O150" i="17"/>
  <c r="I279" i="9"/>
  <c r="H280" i="15" s="1"/>
  <c r="H281" i="14"/>
  <c r="S281" i="14" s="1"/>
  <c r="I134" i="9"/>
  <c r="H136" i="15" s="1"/>
  <c r="S136" i="15" s="1"/>
  <c r="H136" i="14"/>
  <c r="S136" i="14" s="1"/>
  <c r="I270" i="9"/>
  <c r="H272" i="17" s="1"/>
  <c r="H272" i="14"/>
  <c r="S272" i="14" s="1"/>
  <c r="O146" i="15"/>
  <c r="O147" i="17"/>
  <c r="O156" i="15"/>
  <c r="O157" i="17"/>
  <c r="O163" i="15"/>
  <c r="O164" i="17"/>
  <c r="O164" i="15"/>
  <c r="O165" i="17"/>
  <c r="O173" i="15"/>
  <c r="O174" i="17"/>
  <c r="O196" i="15"/>
  <c r="O197" i="17"/>
  <c r="O205" i="15"/>
  <c r="O206" i="17"/>
  <c r="O222" i="15"/>
  <c r="O223" i="17"/>
  <c r="O234" i="15"/>
  <c r="O235" i="17"/>
  <c r="O238" i="15"/>
  <c r="O239" i="17"/>
  <c r="O244" i="15"/>
  <c r="O245" i="17"/>
  <c r="O250" i="15"/>
  <c r="O251" i="17"/>
  <c r="O254" i="15"/>
  <c r="O255" i="17"/>
  <c r="O248" i="15"/>
  <c r="O249" i="17"/>
  <c r="O252" i="15"/>
  <c r="O253" i="17"/>
  <c r="O277" i="15"/>
  <c r="O278" i="17"/>
  <c r="O292" i="15"/>
  <c r="O293" i="17"/>
  <c r="O261" i="15"/>
  <c r="O262" i="17"/>
  <c r="O300" i="15"/>
  <c r="O301" i="17"/>
  <c r="O307" i="15"/>
  <c r="O308" i="17"/>
  <c r="O311" i="15"/>
  <c r="O312" i="17"/>
  <c r="O333" i="15"/>
  <c r="O334" i="17"/>
  <c r="O303" i="15"/>
  <c r="O304" i="17"/>
  <c r="O320" i="15"/>
  <c r="O321" i="17"/>
  <c r="O331" i="15"/>
  <c r="O332" i="17"/>
  <c r="O336" i="15"/>
  <c r="O337" i="17"/>
  <c r="O319" i="15"/>
  <c r="O320" i="17"/>
  <c r="O335" i="15"/>
  <c r="O336" i="17"/>
  <c r="O342" i="15"/>
  <c r="O343" i="17"/>
  <c r="O350" i="15"/>
  <c r="O351" i="17"/>
  <c r="O365" i="15"/>
  <c r="O366" i="17"/>
  <c r="O346" i="15"/>
  <c r="O347" i="17"/>
  <c r="O155" i="15"/>
  <c r="O156" i="17"/>
  <c r="O168" i="15"/>
  <c r="O169" i="17"/>
  <c r="O183" i="15"/>
  <c r="O184" i="17"/>
  <c r="O189" i="15"/>
  <c r="O190" i="17"/>
  <c r="O217" i="15"/>
  <c r="O218" i="17"/>
  <c r="O198" i="15"/>
  <c r="O199" i="17"/>
  <c r="O232" i="15"/>
  <c r="O233" i="17"/>
  <c r="O286" i="15"/>
  <c r="O287" i="17"/>
  <c r="O329" i="15"/>
  <c r="O330" i="17"/>
  <c r="O362" i="15"/>
  <c r="O363" i="17"/>
  <c r="O271" i="15"/>
  <c r="O272" i="17"/>
  <c r="O310" i="15"/>
  <c r="O311" i="17"/>
  <c r="O343" i="15"/>
  <c r="O344" i="17"/>
  <c r="O289" i="15"/>
  <c r="O290" i="17"/>
  <c r="O308" i="15"/>
  <c r="O309" i="17"/>
  <c r="O150" i="15"/>
  <c r="O151" i="17"/>
  <c r="O170" i="15"/>
  <c r="O171" i="17"/>
  <c r="O162" i="15"/>
  <c r="O163" i="17"/>
  <c r="O302" i="15"/>
  <c r="O303" i="17"/>
  <c r="A289" i="15"/>
  <c r="A290" i="17"/>
  <c r="Q290" i="17" s="1"/>
  <c r="A357" i="15"/>
  <c r="Q357" i="15" s="1"/>
  <c r="A358" i="17"/>
  <c r="Q358" i="17" s="1"/>
  <c r="A353" i="15"/>
  <c r="A354" i="17"/>
  <c r="Q354" i="17" s="1"/>
  <c r="A360" i="15"/>
  <c r="Q360" i="15" s="1"/>
  <c r="A361" i="17"/>
  <c r="Q361" i="17" s="1"/>
  <c r="A337" i="15"/>
  <c r="A338" i="17"/>
  <c r="Q338" i="17" s="1"/>
  <c r="O253" i="15"/>
  <c r="O254" i="17"/>
  <c r="O297" i="15"/>
  <c r="O298" i="17"/>
  <c r="O199" i="15"/>
  <c r="O200" i="17"/>
  <c r="O328" i="15"/>
  <c r="O329" i="17"/>
  <c r="A354" i="15"/>
  <c r="Q354" i="15" s="1"/>
  <c r="A355" i="17"/>
  <c r="Q355" i="17" s="1"/>
  <c r="A273" i="15"/>
  <c r="A274" i="17"/>
  <c r="Q274" i="17" s="1"/>
  <c r="R212" i="17"/>
  <c r="R218" i="17"/>
  <c r="R250" i="17"/>
  <c r="P148" i="17"/>
  <c r="P152" i="17"/>
  <c r="P156" i="17"/>
  <c r="P160" i="17"/>
  <c r="P164" i="17"/>
  <c r="P168" i="17"/>
  <c r="P172" i="17"/>
  <c r="P176" i="17"/>
  <c r="P188" i="17"/>
  <c r="P192" i="17"/>
  <c r="P196" i="17"/>
  <c r="P200" i="17"/>
  <c r="P204" i="17"/>
  <c r="P208" i="17"/>
  <c r="R209" i="17"/>
  <c r="R213" i="17"/>
  <c r="P219" i="17"/>
  <c r="R221" i="17"/>
  <c r="P223" i="17"/>
  <c r="R224" i="17"/>
  <c r="P227" i="17"/>
  <c r="R232" i="17"/>
  <c r="R237" i="17"/>
  <c r="P240" i="17"/>
  <c r="R241" i="17"/>
  <c r="R245" i="17"/>
  <c r="R249" i="17"/>
  <c r="R253" i="17"/>
  <c r="R257" i="17"/>
  <c r="R259" i="17"/>
  <c r="P262" i="17"/>
  <c r="R263" i="17"/>
  <c r="P270" i="17"/>
  <c r="P278" i="17"/>
  <c r="P286" i="17"/>
  <c r="P310" i="17"/>
  <c r="P314" i="17"/>
  <c r="R315" i="17"/>
  <c r="R316" i="17"/>
  <c r="R319" i="17"/>
  <c r="R320" i="17"/>
  <c r="R323" i="17"/>
  <c r="R324" i="17"/>
  <c r="P326" i="17"/>
  <c r="R327" i="17"/>
  <c r="R328" i="17"/>
  <c r="R331" i="17"/>
  <c r="R332" i="17"/>
  <c r="R335" i="17"/>
  <c r="R336" i="17"/>
  <c r="R339" i="17"/>
  <c r="R340" i="17"/>
  <c r="P342" i="17"/>
  <c r="R343" i="17"/>
  <c r="R344" i="17"/>
  <c r="R347" i="17"/>
  <c r="R348" i="17"/>
  <c r="R351" i="17"/>
  <c r="R352" i="17"/>
  <c r="R355" i="17"/>
  <c r="R356" i="17"/>
  <c r="R361" i="17"/>
  <c r="R362" i="17"/>
  <c r="R365" i="17"/>
  <c r="R366" i="17"/>
  <c r="G150" i="17"/>
  <c r="G156" i="17"/>
  <c r="G164" i="17"/>
  <c r="G182" i="17"/>
  <c r="G190" i="17"/>
  <c r="G198" i="17"/>
  <c r="R220" i="17"/>
  <c r="R228" i="17"/>
  <c r="G229" i="17"/>
  <c r="G238" i="17"/>
  <c r="G246" i="17"/>
  <c r="G272" i="17"/>
  <c r="G280" i="17"/>
  <c r="G294" i="17"/>
  <c r="G302" i="17"/>
  <c r="G308" i="17"/>
  <c r="O364" i="15"/>
  <c r="O365" i="17"/>
  <c r="O148" i="15"/>
  <c r="O149" i="17"/>
  <c r="O159" i="15"/>
  <c r="O160" i="17"/>
  <c r="O195" i="15"/>
  <c r="O196" i="17"/>
  <c r="O166" i="15"/>
  <c r="O167" i="17"/>
  <c r="O229" i="15"/>
  <c r="O230" i="17"/>
  <c r="O182" i="15"/>
  <c r="O183" i="17"/>
  <c r="O172" i="15"/>
  <c r="O173" i="17"/>
  <c r="O221" i="15"/>
  <c r="O222" i="17"/>
  <c r="O273" i="15"/>
  <c r="O274" i="17"/>
  <c r="O298" i="15"/>
  <c r="O299" i="17"/>
  <c r="O314" i="15"/>
  <c r="O315" i="17"/>
  <c r="O344" i="15"/>
  <c r="O345" i="17"/>
  <c r="O348" i="15"/>
  <c r="O349" i="17"/>
  <c r="O180" i="15"/>
  <c r="O181" i="17"/>
  <c r="O239" i="15"/>
  <c r="O240" i="17"/>
  <c r="O245" i="15"/>
  <c r="O246" i="17"/>
  <c r="O247" i="15"/>
  <c r="O248" i="17"/>
  <c r="O202" i="15"/>
  <c r="O203" i="17"/>
  <c r="O285" i="15"/>
  <c r="O286" i="17"/>
  <c r="O288" i="15"/>
  <c r="O289" i="17"/>
  <c r="O361" i="15"/>
  <c r="O362" i="17"/>
  <c r="O201" i="15"/>
  <c r="O202" i="17"/>
  <c r="O243" i="15"/>
  <c r="O244" i="17"/>
  <c r="O274" i="15"/>
  <c r="O275" i="17"/>
  <c r="O341" i="15"/>
  <c r="O342" i="17"/>
  <c r="A288" i="15"/>
  <c r="Q288" i="15" s="1"/>
  <c r="A289" i="17"/>
  <c r="Q289" i="17" s="1"/>
  <c r="A290" i="15"/>
  <c r="A291" i="17"/>
  <c r="Q291" i="17" s="1"/>
  <c r="O263" i="15"/>
  <c r="O264" i="17"/>
  <c r="O306" i="15"/>
  <c r="O307" i="17"/>
  <c r="O278" i="15"/>
  <c r="O279" i="17"/>
  <c r="O305" i="15"/>
  <c r="O306" i="17"/>
  <c r="O356" i="15"/>
  <c r="O357" i="17"/>
  <c r="O267" i="15"/>
  <c r="O268" i="17"/>
  <c r="O235" i="15"/>
  <c r="O236" i="17"/>
  <c r="O282" i="15"/>
  <c r="O283" i="17"/>
  <c r="O284" i="15"/>
  <c r="O285" i="17"/>
  <c r="O249" i="15"/>
  <c r="O250" i="17"/>
  <c r="O251" i="15"/>
  <c r="O252" i="17"/>
  <c r="O257" i="15"/>
  <c r="O258" i="17"/>
  <c r="O259" i="15"/>
  <c r="O260" i="17"/>
  <c r="P147" i="17"/>
  <c r="P155" i="17"/>
  <c r="P159" i="17"/>
  <c r="P163" i="17"/>
  <c r="P167" i="17"/>
  <c r="P171" i="17"/>
  <c r="P183" i="17"/>
  <c r="P191" i="17"/>
  <c r="P199" i="17"/>
  <c r="P203" i="17"/>
  <c r="P207" i="17"/>
  <c r="P215" i="17"/>
  <c r="P239" i="17"/>
  <c r="P247" i="17"/>
  <c r="P251" i="17"/>
  <c r="G252" i="17"/>
  <c r="R252" i="17"/>
  <c r="P255" i="17"/>
  <c r="P259" i="17"/>
  <c r="G260" i="17"/>
  <c r="R260" i="17"/>
  <c r="P263" i="17"/>
  <c r="P267" i="17"/>
  <c r="P271" i="17"/>
  <c r="P279" i="17"/>
  <c r="P299" i="17"/>
  <c r="P315" i="17"/>
  <c r="P319" i="17"/>
  <c r="P323" i="17"/>
  <c r="P331" i="17"/>
  <c r="P343" i="17"/>
  <c r="P351" i="17"/>
  <c r="P355" i="17"/>
  <c r="P361" i="17"/>
  <c r="O187" i="15"/>
  <c r="O188" i="17"/>
  <c r="O203" i="15"/>
  <c r="O204" i="17"/>
  <c r="O207" i="15"/>
  <c r="O208" i="17"/>
  <c r="A278" i="15"/>
  <c r="Q278" i="15" s="1"/>
  <c r="A279" i="17"/>
  <c r="Q279" i="17" s="1"/>
  <c r="G152" i="17"/>
  <c r="G158" i="17"/>
  <c r="G170" i="17"/>
  <c r="G176" i="17"/>
  <c r="G184" i="17"/>
  <c r="G192" i="17"/>
  <c r="G200" i="17"/>
  <c r="G206" i="17"/>
  <c r="R210" i="17"/>
  <c r="G223" i="17"/>
  <c r="G231" i="17"/>
  <c r="G240" i="17"/>
  <c r="G266" i="17"/>
  <c r="G274" i="17"/>
  <c r="G282" i="17"/>
  <c r="G296" i="17"/>
  <c r="G310" i="17"/>
  <c r="A336" i="15"/>
  <c r="Q336" i="15" s="1"/>
  <c r="A337" i="17"/>
  <c r="Q337" i="17" s="1"/>
  <c r="A355" i="15"/>
  <c r="Q355" i="15" s="1"/>
  <c r="A356" i="17"/>
  <c r="Q356" i="17" s="1"/>
  <c r="L145" i="15"/>
  <c r="L146" i="17"/>
  <c r="L147" i="15"/>
  <c r="L148" i="17"/>
  <c r="L150" i="15"/>
  <c r="L151" i="17"/>
  <c r="H145" i="15"/>
  <c r="H146" i="17"/>
  <c r="L152" i="15"/>
  <c r="L153" i="17"/>
  <c r="L174" i="15"/>
  <c r="L175" i="17"/>
  <c r="L188" i="15"/>
  <c r="L189" i="17"/>
  <c r="L205" i="15"/>
  <c r="L206" i="17"/>
  <c r="L218" i="15"/>
  <c r="L219" i="17"/>
  <c r="K226" i="15"/>
  <c r="K227" i="17"/>
  <c r="M234" i="15"/>
  <c r="M235" i="17"/>
  <c r="M238" i="15"/>
  <c r="M239" i="17"/>
  <c r="L206" i="15"/>
  <c r="L207" i="17"/>
  <c r="K218" i="15"/>
  <c r="K219" i="17"/>
  <c r="M244" i="15"/>
  <c r="M245" i="17"/>
  <c r="K264" i="15"/>
  <c r="K265" i="17"/>
  <c r="M248" i="15"/>
  <c r="M249" i="17"/>
  <c r="M252" i="15"/>
  <c r="M253" i="17"/>
  <c r="M258" i="15"/>
  <c r="M259" i="17"/>
  <c r="K272" i="15"/>
  <c r="K273" i="17"/>
  <c r="M274" i="15"/>
  <c r="M275" i="17"/>
  <c r="L262" i="15"/>
  <c r="L263" i="17"/>
  <c r="M276" i="15"/>
  <c r="M277" i="17"/>
  <c r="K287" i="15"/>
  <c r="K288" i="17"/>
  <c r="M289" i="15"/>
  <c r="M290" i="17"/>
  <c r="L296" i="15"/>
  <c r="L297" i="17"/>
  <c r="M283" i="15"/>
  <c r="M284" i="17"/>
  <c r="M246" i="15"/>
  <c r="M247" i="17"/>
  <c r="L260" i="15"/>
  <c r="L261" i="17"/>
  <c r="M261" i="15"/>
  <c r="M262" i="17"/>
  <c r="K268" i="15"/>
  <c r="K269" i="17"/>
  <c r="L277" i="15"/>
  <c r="L278" i="17"/>
  <c r="K283" i="15"/>
  <c r="K284" i="17"/>
  <c r="L325" i="15"/>
  <c r="L326" i="17"/>
  <c r="L328" i="15"/>
  <c r="L329" i="17"/>
  <c r="M340" i="15"/>
  <c r="M341" i="17"/>
  <c r="L308" i="15"/>
  <c r="L309" i="17"/>
  <c r="M317" i="15"/>
  <c r="M318" i="17"/>
  <c r="I335" i="15"/>
  <c r="I336" i="17"/>
  <c r="M304" i="15"/>
  <c r="M305" i="17"/>
  <c r="L300" i="15"/>
  <c r="L301" i="17"/>
  <c r="L324" i="15"/>
  <c r="L325" i="17"/>
  <c r="L340" i="15"/>
  <c r="L341" i="17"/>
  <c r="K342" i="15"/>
  <c r="K343" i="17"/>
  <c r="M350" i="15"/>
  <c r="M351" i="17"/>
  <c r="L350" i="15"/>
  <c r="L351" i="17"/>
  <c r="K361" i="15"/>
  <c r="K362" i="17"/>
  <c r="M346" i="15"/>
  <c r="M347" i="17"/>
  <c r="L346" i="15"/>
  <c r="L347" i="17"/>
  <c r="K354" i="15"/>
  <c r="K355" i="17"/>
  <c r="I354" i="15"/>
  <c r="I355" i="17"/>
  <c r="M361" i="15"/>
  <c r="M362" i="17"/>
  <c r="I365" i="15"/>
  <c r="I366" i="17"/>
  <c r="L159" i="15"/>
  <c r="L160" i="17"/>
  <c r="L166" i="15"/>
  <c r="L167" i="17"/>
  <c r="K227" i="15"/>
  <c r="K228" i="17"/>
  <c r="L176" i="15"/>
  <c r="L177" i="17"/>
  <c r="M221" i="15"/>
  <c r="M222" i="17"/>
  <c r="K245" i="15"/>
  <c r="K246" i="17"/>
  <c r="L256" i="15"/>
  <c r="L257" i="17"/>
  <c r="K221" i="15"/>
  <c r="K222" i="17"/>
  <c r="L244" i="15"/>
  <c r="L245" i="17"/>
  <c r="M245" i="15"/>
  <c r="M246" i="17"/>
  <c r="K278" i="15"/>
  <c r="K279" i="17"/>
  <c r="K269" i="15"/>
  <c r="K270" i="17"/>
  <c r="M302" i="15"/>
  <c r="M303" i="17"/>
  <c r="L333" i="15"/>
  <c r="L334" i="17"/>
  <c r="I340" i="15"/>
  <c r="I341" i="17"/>
  <c r="M314" i="15"/>
  <c r="M315" i="17"/>
  <c r="K325" i="15"/>
  <c r="K326" i="17"/>
  <c r="K344" i="15"/>
  <c r="K345" i="17"/>
  <c r="I349" i="15"/>
  <c r="I350" i="17"/>
  <c r="K363" i="15"/>
  <c r="K364" i="17"/>
  <c r="M366" i="15"/>
  <c r="M367" i="17"/>
  <c r="M307" i="15"/>
  <c r="M308" i="17"/>
  <c r="M327" i="15"/>
  <c r="M328" i="17"/>
  <c r="L344" i="15"/>
  <c r="L345" i="17"/>
  <c r="L322" i="15"/>
  <c r="L323" i="17"/>
  <c r="K351" i="15"/>
  <c r="K352" i="17"/>
  <c r="I348" i="15"/>
  <c r="I349" i="17"/>
  <c r="N149" i="15"/>
  <c r="N150" i="17"/>
  <c r="N312" i="15"/>
  <c r="N313" i="17"/>
  <c r="L180" i="15"/>
  <c r="L181" i="17"/>
  <c r="L148" i="15"/>
  <c r="L149" i="17"/>
  <c r="K150" i="15"/>
  <c r="K151" i="17"/>
  <c r="L183" i="15"/>
  <c r="L184" i="17"/>
  <c r="I271" i="15"/>
  <c r="I272" i="17"/>
  <c r="L290" i="15"/>
  <c r="L291" i="17"/>
  <c r="M225" i="15"/>
  <c r="M226" i="17"/>
  <c r="L259" i="15"/>
  <c r="L260" i="17"/>
  <c r="L251" i="15"/>
  <c r="L252" i="17"/>
  <c r="L302" i="15"/>
  <c r="L303" i="17"/>
  <c r="M213" i="15"/>
  <c r="M214" i="17"/>
  <c r="L222" i="15"/>
  <c r="L223" i="17"/>
  <c r="L229" i="15"/>
  <c r="L230" i="17"/>
  <c r="K290" i="15"/>
  <c r="K291" i="17"/>
  <c r="I288" i="15"/>
  <c r="I289" i="17"/>
  <c r="K355" i="15"/>
  <c r="K356" i="17"/>
  <c r="K366" i="15"/>
  <c r="K367" i="17"/>
  <c r="L330" i="15"/>
  <c r="L331" i="17"/>
  <c r="L353" i="15"/>
  <c r="L354" i="17"/>
  <c r="K289" i="15"/>
  <c r="K290" i="17"/>
  <c r="L338" i="15"/>
  <c r="L339" i="17"/>
  <c r="I366" i="15"/>
  <c r="I367" i="17"/>
  <c r="M311" i="15"/>
  <c r="M312" i="17"/>
  <c r="K328" i="15"/>
  <c r="K329" i="17"/>
  <c r="M336" i="15"/>
  <c r="M337" i="17"/>
  <c r="K158" i="15"/>
  <c r="K159" i="17"/>
  <c r="M185" i="15"/>
  <c r="M186" i="17"/>
  <c r="K169" i="15"/>
  <c r="K170" i="17"/>
  <c r="L204" i="9"/>
  <c r="K206" i="17"/>
  <c r="I352" i="15"/>
  <c r="I353" i="17"/>
  <c r="P206" i="9"/>
  <c r="M208" i="17"/>
  <c r="L175" i="15"/>
  <c r="L176" i="17"/>
  <c r="M273" i="15"/>
  <c r="M274" i="17"/>
  <c r="L248" i="15"/>
  <c r="L249" i="17"/>
  <c r="K297" i="15"/>
  <c r="K298" i="17"/>
  <c r="L334" i="15"/>
  <c r="L335" i="17"/>
  <c r="L213" i="15"/>
  <c r="L214" i="17"/>
  <c r="I272" i="15"/>
  <c r="I273" i="17"/>
  <c r="L254" i="15"/>
  <c r="L255" i="17"/>
  <c r="K266" i="15"/>
  <c r="K267" i="17"/>
  <c r="L352" i="15"/>
  <c r="L353" i="17"/>
  <c r="I287" i="15"/>
  <c r="I288" i="17"/>
  <c r="M257" i="15"/>
  <c r="M258" i="17"/>
  <c r="M288" i="15"/>
  <c r="M289" i="17"/>
  <c r="M286" i="15"/>
  <c r="M287" i="17"/>
  <c r="M310" i="15"/>
  <c r="M311" i="17"/>
  <c r="M312" i="15"/>
  <c r="M313" i="17"/>
  <c r="K332" i="15"/>
  <c r="K333" i="17"/>
  <c r="L263" i="15"/>
  <c r="L264" i="17"/>
  <c r="L232" i="15"/>
  <c r="L233" i="17"/>
  <c r="L237" i="15"/>
  <c r="L238" i="17"/>
  <c r="L253" i="15"/>
  <c r="L254" i="17"/>
  <c r="M220" i="15"/>
  <c r="M221" i="17"/>
  <c r="L236" i="15"/>
  <c r="L237" i="17"/>
  <c r="K280" i="15"/>
  <c r="K281" i="17"/>
  <c r="L273" i="15"/>
  <c r="L274" i="17"/>
  <c r="I274" i="15"/>
  <c r="I275" i="17"/>
  <c r="M301" i="15"/>
  <c r="M302" i="17"/>
  <c r="K270" i="15"/>
  <c r="K271" i="17"/>
  <c r="L292" i="15"/>
  <c r="L293" i="17"/>
  <c r="M277" i="15"/>
  <c r="M278" i="17"/>
  <c r="K276" i="15"/>
  <c r="K277" i="17"/>
  <c r="M285" i="15"/>
  <c r="M286" i="17"/>
  <c r="L312" i="15"/>
  <c r="L313" i="17"/>
  <c r="M324" i="15"/>
  <c r="M325" i="17"/>
  <c r="K327" i="15"/>
  <c r="K328" i="17"/>
  <c r="I336" i="15"/>
  <c r="I337" i="17"/>
  <c r="L339" i="15"/>
  <c r="L340" i="17"/>
  <c r="M343" i="15"/>
  <c r="M344" i="17"/>
  <c r="M355" i="15"/>
  <c r="M356" i="17"/>
  <c r="M308" i="15"/>
  <c r="M309" i="17"/>
  <c r="L332" i="15"/>
  <c r="L333" i="17"/>
  <c r="I342" i="15"/>
  <c r="I343" i="17"/>
  <c r="K299" i="15"/>
  <c r="K300" i="17"/>
  <c r="L320" i="15"/>
  <c r="L321" i="17"/>
  <c r="M300" i="15"/>
  <c r="M301" i="17"/>
  <c r="K323" i="15"/>
  <c r="K324" i="17"/>
  <c r="K339" i="15"/>
  <c r="K340" i="17"/>
  <c r="L351" i="15"/>
  <c r="L352" i="17"/>
  <c r="I350" i="15"/>
  <c r="I351" i="17"/>
  <c r="K360" i="15"/>
  <c r="K361" i="17"/>
  <c r="I346" i="15"/>
  <c r="I347" i="17"/>
  <c r="L354" i="15"/>
  <c r="L355" i="17"/>
  <c r="L361" i="15"/>
  <c r="L362" i="17"/>
  <c r="K365" i="15"/>
  <c r="K366" i="17"/>
  <c r="L365" i="15"/>
  <c r="L366" i="17"/>
  <c r="L151" i="15"/>
  <c r="L152" i="17"/>
  <c r="L160" i="15"/>
  <c r="L161" i="17"/>
  <c r="L173" i="15"/>
  <c r="L174" i="17"/>
  <c r="L163" i="15"/>
  <c r="L164" i="17"/>
  <c r="L179" i="15"/>
  <c r="L180" i="17"/>
  <c r="L194" i="15"/>
  <c r="L195" i="17"/>
  <c r="L196" i="15"/>
  <c r="L197" i="17"/>
  <c r="M227" i="15"/>
  <c r="M228" i="17"/>
  <c r="L172" i="15"/>
  <c r="L173" i="17"/>
  <c r="L226" i="15"/>
  <c r="L227" i="17"/>
  <c r="M239" i="15"/>
  <c r="M240" i="17"/>
  <c r="L228" i="15"/>
  <c r="L229" i="17"/>
  <c r="K219" i="15"/>
  <c r="K220" i="17"/>
  <c r="K301" i="15"/>
  <c r="K302" i="17"/>
  <c r="K284" i="15"/>
  <c r="K285" i="17"/>
  <c r="L291" i="15"/>
  <c r="L292" i="17"/>
  <c r="M306" i="15"/>
  <c r="M307" i="17"/>
  <c r="L313" i="15"/>
  <c r="L314" i="17"/>
  <c r="M322" i="15"/>
  <c r="M323" i="17"/>
  <c r="K333" i="15"/>
  <c r="K334" i="17"/>
  <c r="M316" i="15"/>
  <c r="M317" i="17"/>
  <c r="L319" i="15"/>
  <c r="L320" i="17"/>
  <c r="L327" i="15"/>
  <c r="L328" i="17"/>
  <c r="K349" i="15"/>
  <c r="K350" i="17"/>
  <c r="I355" i="15"/>
  <c r="I356" i="17"/>
  <c r="K309" i="15"/>
  <c r="K310" i="17"/>
  <c r="K329" i="15"/>
  <c r="K330" i="17"/>
  <c r="K343" i="15"/>
  <c r="K344" i="17"/>
  <c r="I347" i="15"/>
  <c r="I348" i="17"/>
  <c r="I353" i="15"/>
  <c r="I354" i="17"/>
  <c r="K362" i="15"/>
  <c r="K363" i="17"/>
  <c r="L348" i="15"/>
  <c r="L349" i="17"/>
  <c r="I351" i="15"/>
  <c r="I352" i="17"/>
  <c r="I360" i="15"/>
  <c r="I361" i="17"/>
  <c r="K348" i="15"/>
  <c r="K349" i="17"/>
  <c r="M348" i="15"/>
  <c r="M349" i="17"/>
  <c r="N268" i="15"/>
  <c r="N269" i="17"/>
  <c r="N235" i="15"/>
  <c r="N236" i="17"/>
  <c r="N201" i="15"/>
  <c r="N202" i="17"/>
  <c r="K148" i="15"/>
  <c r="K149" i="17"/>
  <c r="L195" i="15"/>
  <c r="L196" i="17"/>
  <c r="L163" i="9"/>
  <c r="K165" i="17"/>
  <c r="L143" i="9"/>
  <c r="K145" i="17"/>
  <c r="M164" i="15"/>
  <c r="M165" i="17"/>
  <c r="P167" i="9"/>
  <c r="M169" i="17"/>
  <c r="M222" i="15"/>
  <c r="M223" i="17"/>
  <c r="L186" i="15"/>
  <c r="L187" i="17"/>
  <c r="K223" i="15"/>
  <c r="K224" i="17"/>
  <c r="M241" i="15"/>
  <c r="M242" i="17"/>
  <c r="L181" i="15"/>
  <c r="L182" i="17"/>
  <c r="K257" i="15"/>
  <c r="K258" i="17"/>
  <c r="L271" i="15"/>
  <c r="L272" i="17"/>
  <c r="L306" i="15"/>
  <c r="L307" i="17"/>
  <c r="L250" i="15"/>
  <c r="L251" i="17"/>
  <c r="M287" i="15"/>
  <c r="M288" i="17"/>
  <c r="L335" i="15"/>
  <c r="L336" i="17"/>
  <c r="K288" i="15"/>
  <c r="K289" i="17"/>
  <c r="L349" i="15"/>
  <c r="L350" i="17"/>
  <c r="L356" i="15"/>
  <c r="L357" i="17"/>
  <c r="K281" i="15"/>
  <c r="K282" i="17"/>
  <c r="L331" i="15"/>
  <c r="L332" i="17"/>
  <c r="L337" i="15"/>
  <c r="L338" i="17"/>
  <c r="M360" i="15"/>
  <c r="M361" i="17"/>
  <c r="L310" i="15"/>
  <c r="L311" i="17"/>
  <c r="L315" i="15"/>
  <c r="L316" i="17"/>
  <c r="L154" i="15"/>
  <c r="L155" i="17"/>
  <c r="L179" i="9"/>
  <c r="K181" i="17"/>
  <c r="L190" i="9"/>
  <c r="K192" i="17"/>
  <c r="L199" i="15"/>
  <c r="L200" i="17"/>
  <c r="L242" i="15"/>
  <c r="L243" i="17"/>
  <c r="K202" i="15"/>
  <c r="K203" i="17"/>
  <c r="L167" i="15"/>
  <c r="L168" i="17"/>
  <c r="L293" i="15"/>
  <c r="L294" i="17"/>
  <c r="L318" i="15"/>
  <c r="L319" i="17"/>
  <c r="L345" i="15"/>
  <c r="L346" i="17"/>
  <c r="P158" i="9"/>
  <c r="M160" i="17"/>
  <c r="K199" i="15"/>
  <c r="K200" i="17"/>
  <c r="K161" i="15"/>
  <c r="K162" i="17"/>
  <c r="P179" i="9"/>
  <c r="M181" i="17"/>
  <c r="M201" i="15"/>
  <c r="M202" i="17"/>
  <c r="L275" i="15"/>
  <c r="L276" i="17"/>
  <c r="H293" i="15"/>
  <c r="H294" i="17"/>
  <c r="M265" i="15"/>
  <c r="M266" i="17"/>
  <c r="K271" i="15"/>
  <c r="K272" i="17"/>
  <c r="L297" i="15"/>
  <c r="L298" i="17"/>
  <c r="P165" i="9"/>
  <c r="M167" i="17"/>
  <c r="K263" i="15"/>
  <c r="K264" i="17"/>
  <c r="I356" i="15"/>
  <c r="I357" i="17"/>
  <c r="M345" i="15"/>
  <c r="M346" i="17"/>
  <c r="L206" i="9"/>
  <c r="K208" i="17"/>
  <c r="M291" i="15"/>
  <c r="M292" i="17"/>
  <c r="L187" i="15"/>
  <c r="L188" i="17"/>
  <c r="K316" i="15"/>
  <c r="K317" i="17"/>
  <c r="N358" i="15"/>
  <c r="N359" i="17"/>
  <c r="L217" i="15"/>
  <c r="L218" i="17"/>
  <c r="L274" i="15"/>
  <c r="L275" i="17"/>
  <c r="L326" i="15"/>
  <c r="L327" i="17"/>
  <c r="M323" i="15"/>
  <c r="M324" i="17"/>
  <c r="L146" i="15"/>
  <c r="L147" i="17"/>
  <c r="L197" i="15"/>
  <c r="L198" i="17"/>
  <c r="L220" i="15"/>
  <c r="L221" i="17"/>
  <c r="L223" i="15"/>
  <c r="L224" i="17"/>
  <c r="L211" i="15"/>
  <c r="L212" i="17"/>
  <c r="M228" i="15"/>
  <c r="M229" i="17"/>
  <c r="M216" i="15"/>
  <c r="M217" i="17"/>
  <c r="M242" i="15"/>
  <c r="M243" i="17"/>
  <c r="L210" i="15"/>
  <c r="L211" i="17"/>
  <c r="M266" i="15"/>
  <c r="M267" i="17"/>
  <c r="K240" i="15"/>
  <c r="K241" i="17"/>
  <c r="L283" i="15"/>
  <c r="L284" i="17"/>
  <c r="L288" i="15"/>
  <c r="L289" i="17"/>
  <c r="I289" i="15"/>
  <c r="I290" i="17"/>
  <c r="M309" i="15"/>
  <c r="M310" i="17"/>
  <c r="M296" i="15"/>
  <c r="M297" i="17"/>
  <c r="L268" i="15"/>
  <c r="L269" i="17"/>
  <c r="L168" i="15"/>
  <c r="L169" i="17"/>
  <c r="L178" i="15"/>
  <c r="L179" i="17"/>
  <c r="L185" i="15"/>
  <c r="L186" i="17"/>
  <c r="L193" i="15"/>
  <c r="L194" i="17"/>
  <c r="L171" i="15"/>
  <c r="L172" i="17"/>
  <c r="L184" i="15"/>
  <c r="L185" i="17"/>
  <c r="L204" i="15"/>
  <c r="L205" i="17"/>
  <c r="L201" i="15"/>
  <c r="L202" i="17"/>
  <c r="M219" i="15"/>
  <c r="M220" i="17"/>
  <c r="K222" i="15"/>
  <c r="K223" i="17"/>
  <c r="L208" i="15"/>
  <c r="L209" i="17"/>
  <c r="K231" i="15"/>
  <c r="K232" i="17"/>
  <c r="K236" i="15"/>
  <c r="K237" i="17"/>
  <c r="L241" i="15"/>
  <c r="L242" i="17"/>
  <c r="L249" i="15"/>
  <c r="L250" i="17"/>
  <c r="M226" i="15"/>
  <c r="M227" i="17"/>
  <c r="L231" i="15"/>
  <c r="L232" i="17"/>
  <c r="K244" i="15"/>
  <c r="K245" i="17"/>
  <c r="K250" i="15"/>
  <c r="K251" i="17"/>
  <c r="M256" i="15"/>
  <c r="M257" i="17"/>
  <c r="M272" i="15"/>
  <c r="M273" i="17"/>
  <c r="I273" i="15"/>
  <c r="I274" i="17"/>
  <c r="L240" i="15"/>
  <c r="L241" i="17"/>
  <c r="K248" i="15"/>
  <c r="K249" i="17"/>
  <c r="K252" i="15"/>
  <c r="K253" i="17"/>
  <c r="L257" i="15"/>
  <c r="L258" i="17"/>
  <c r="L246" i="15"/>
  <c r="L247" i="17"/>
  <c r="M262" i="15"/>
  <c r="M263" i="17"/>
  <c r="M269" i="15"/>
  <c r="M270" i="17"/>
  <c r="L285" i="15"/>
  <c r="L286" i="17"/>
  <c r="I291" i="15"/>
  <c r="I292" i="17"/>
  <c r="M278" i="15"/>
  <c r="M279" i="17"/>
  <c r="L295" i="15"/>
  <c r="L296" i="17"/>
  <c r="M260" i="15"/>
  <c r="M261" i="17"/>
  <c r="M270" i="15"/>
  <c r="M271" i="17"/>
  <c r="L276" i="15"/>
  <c r="L277" i="17"/>
  <c r="K296" i="15"/>
  <c r="K297" i="17"/>
  <c r="K307" i="15"/>
  <c r="K308" i="17"/>
  <c r="K311" i="15"/>
  <c r="K312" i="17"/>
  <c r="M329" i="15"/>
  <c r="M330" i="17"/>
  <c r="M335" i="15"/>
  <c r="M336" i="17"/>
  <c r="L342" i="15"/>
  <c r="L343" i="17"/>
  <c r="M347" i="15"/>
  <c r="M348" i="17"/>
  <c r="K303" i="15"/>
  <c r="K304" i="17"/>
  <c r="L316" i="15"/>
  <c r="L317" i="17"/>
  <c r="K331" i="15"/>
  <c r="K332" i="17"/>
  <c r="M342" i="15"/>
  <c r="M343" i="17"/>
  <c r="L299" i="15"/>
  <c r="L300" i="17"/>
  <c r="K300" i="15"/>
  <c r="K301" i="17"/>
  <c r="K319" i="15"/>
  <c r="K320" i="17"/>
  <c r="K335" i="15"/>
  <c r="K336" i="17"/>
  <c r="M337" i="15"/>
  <c r="M338" i="17"/>
  <c r="M325" i="15"/>
  <c r="M326" i="17"/>
  <c r="M341" i="15"/>
  <c r="M342" i="17"/>
  <c r="L347" i="15"/>
  <c r="L348" i="17"/>
  <c r="L355" i="15"/>
  <c r="L356" i="17"/>
  <c r="K350" i="15"/>
  <c r="K351" i="17"/>
  <c r="L360" i="15"/>
  <c r="L361" i="17"/>
  <c r="L364" i="15"/>
  <c r="L365" i="17"/>
  <c r="K346" i="15"/>
  <c r="K347" i="17"/>
  <c r="L155" i="15"/>
  <c r="L156" i="17"/>
  <c r="L177" i="15"/>
  <c r="L178" i="17"/>
  <c r="L202" i="15"/>
  <c r="L203" i="17"/>
  <c r="L207" i="15"/>
  <c r="L208" i="17"/>
  <c r="L192" i="15"/>
  <c r="L193" i="17"/>
  <c r="L198" i="15"/>
  <c r="L199" i="17"/>
  <c r="L252" i="15"/>
  <c r="L253" i="17"/>
  <c r="L216" i="15"/>
  <c r="L217" i="17"/>
  <c r="K224" i="15"/>
  <c r="K225" i="17"/>
  <c r="K249" i="15"/>
  <c r="K250" i="17"/>
  <c r="K251" i="15"/>
  <c r="K252" i="17"/>
  <c r="L221" i="15"/>
  <c r="L222" i="17"/>
  <c r="L235" i="15"/>
  <c r="L236" i="17"/>
  <c r="K239" i="15"/>
  <c r="K240" i="17"/>
  <c r="L243" i="15"/>
  <c r="L244" i="17"/>
  <c r="M249" i="15"/>
  <c r="M250" i="17"/>
  <c r="M251" i="15"/>
  <c r="M252" i="17"/>
  <c r="K258" i="15"/>
  <c r="K259" i="17"/>
  <c r="K262" i="15"/>
  <c r="K263" i="17"/>
  <c r="M298" i="15"/>
  <c r="M299" i="17"/>
  <c r="K305" i="15"/>
  <c r="K306" i="17"/>
  <c r="I345" i="15"/>
  <c r="I346" i="17"/>
  <c r="M282" i="15"/>
  <c r="M283" i="17"/>
  <c r="M290" i="15"/>
  <c r="M291" i="17"/>
  <c r="L309" i="15"/>
  <c r="L310" i="17"/>
  <c r="M330" i="15"/>
  <c r="M331" i="17"/>
  <c r="M318" i="15"/>
  <c r="M319" i="17"/>
  <c r="I364" i="15"/>
  <c r="I365" i="17"/>
  <c r="K313" i="15"/>
  <c r="K314" i="17"/>
  <c r="M344" i="15"/>
  <c r="M345" i="17"/>
  <c r="M353" i="15"/>
  <c r="M354" i="17"/>
  <c r="M357" i="15"/>
  <c r="M358" i="17"/>
  <c r="N286" i="15"/>
  <c r="N287" i="17"/>
  <c r="N323" i="15"/>
  <c r="N324" i="17"/>
  <c r="N155" i="15"/>
  <c r="N156" i="17"/>
  <c r="P149" i="9"/>
  <c r="M151" i="17"/>
  <c r="L158" i="15"/>
  <c r="L159" i="17"/>
  <c r="M162" i="15"/>
  <c r="M163" i="17"/>
  <c r="L154" i="9"/>
  <c r="K156" i="17"/>
  <c r="P156" i="9"/>
  <c r="M158" i="17"/>
  <c r="P188" i="9"/>
  <c r="M190" i="17"/>
  <c r="L209" i="15"/>
  <c r="L210" i="17"/>
  <c r="M223" i="15"/>
  <c r="M224" i="17"/>
  <c r="P209" i="9"/>
  <c r="M211" i="17"/>
  <c r="L191" i="15"/>
  <c r="L192" i="17"/>
  <c r="K197" i="15"/>
  <c r="K198" i="17"/>
  <c r="L258" i="15"/>
  <c r="L259" i="17"/>
  <c r="K274" i="15"/>
  <c r="K275" i="17"/>
  <c r="I280" i="15"/>
  <c r="I281" i="17"/>
  <c r="K295" i="15"/>
  <c r="K296" i="17"/>
  <c r="K292" i="15"/>
  <c r="K293" i="17"/>
  <c r="L294" i="15"/>
  <c r="L295" i="17"/>
  <c r="M315" i="15"/>
  <c r="M316" i="17"/>
  <c r="L282" i="15"/>
  <c r="L283" i="17"/>
  <c r="L298" i="15"/>
  <c r="L299" i="17"/>
  <c r="M326" i="15"/>
  <c r="M327" i="17"/>
  <c r="L161" i="9"/>
  <c r="K163" i="17"/>
  <c r="K187" i="15"/>
  <c r="K188" i="17"/>
  <c r="P195" i="9"/>
  <c r="M197" i="17"/>
  <c r="L211" i="9"/>
  <c r="K213" i="17"/>
  <c r="L272" i="15"/>
  <c r="L273" i="17"/>
  <c r="L305" i="15"/>
  <c r="L306" i="17"/>
  <c r="K312" i="15"/>
  <c r="K313" i="17"/>
  <c r="L145" i="9"/>
  <c r="K147" i="17"/>
  <c r="L266" i="15"/>
  <c r="L267" i="17"/>
  <c r="L149" i="15"/>
  <c r="L150" i="17"/>
  <c r="M182" i="15"/>
  <c r="M183" i="17"/>
  <c r="P198" i="9"/>
  <c r="M200" i="17"/>
  <c r="L212" i="15"/>
  <c r="L213" i="17"/>
  <c r="K235" i="15"/>
  <c r="K236" i="17"/>
  <c r="L234" i="15"/>
  <c r="L235" i="17"/>
  <c r="I339" i="15"/>
  <c r="I340" i="17"/>
  <c r="M339" i="15"/>
  <c r="M340" i="17"/>
  <c r="P150" i="9"/>
  <c r="M152" i="17"/>
  <c r="L170" i="15"/>
  <c r="L171" i="17"/>
  <c r="P213" i="9"/>
  <c r="M215" i="17"/>
  <c r="L301" i="15"/>
  <c r="L302" i="17"/>
  <c r="L286" i="15"/>
  <c r="L287" i="17"/>
  <c r="M212" i="15"/>
  <c r="M213" i="17"/>
  <c r="L267" i="15"/>
  <c r="L268" i="17"/>
  <c r="K286" i="15"/>
  <c r="K287" i="17"/>
  <c r="K310" i="15"/>
  <c r="K311" i="17"/>
  <c r="M193" i="15"/>
  <c r="M194" i="17"/>
  <c r="K317" i="15"/>
  <c r="K318" i="17"/>
  <c r="L230" i="15"/>
  <c r="L231" i="17"/>
  <c r="M267" i="15"/>
  <c r="M268" i="17"/>
  <c r="M149" i="15"/>
  <c r="M150" i="17"/>
  <c r="K229" i="15"/>
  <c r="K230" i="17"/>
  <c r="M268" i="15"/>
  <c r="M269" i="17"/>
  <c r="L280" i="15"/>
  <c r="L281" i="17"/>
  <c r="M356" i="15"/>
  <c r="M357" i="17"/>
  <c r="M235" i="15"/>
  <c r="M236" i="17"/>
  <c r="L255" i="15"/>
  <c r="L256" i="17"/>
  <c r="L289" i="15"/>
  <c r="L290" i="17"/>
  <c r="K321" i="15"/>
  <c r="K322" i="17"/>
  <c r="L357" i="15"/>
  <c r="L358" i="17"/>
  <c r="H271" i="15"/>
  <c r="L153" i="15"/>
  <c r="L154" i="17"/>
  <c r="I146" i="15"/>
  <c r="I147" i="17"/>
  <c r="L157" i="15"/>
  <c r="L158" i="17"/>
  <c r="L164" i="15"/>
  <c r="L165" i="17"/>
  <c r="L182" i="15"/>
  <c r="L183" i="17"/>
  <c r="L189" i="15"/>
  <c r="L190" i="17"/>
  <c r="M224" i="15"/>
  <c r="M225" i="17"/>
  <c r="M231" i="15"/>
  <c r="M232" i="17"/>
  <c r="M236" i="15"/>
  <c r="M237" i="17"/>
  <c r="L227" i="15"/>
  <c r="L228" i="17"/>
  <c r="L214" i="15"/>
  <c r="L215" i="17"/>
  <c r="L245" i="15"/>
  <c r="L246" i="17"/>
  <c r="L219" i="15"/>
  <c r="L220" i="17"/>
  <c r="M250" i="15"/>
  <c r="M251" i="17"/>
  <c r="L265" i="15"/>
  <c r="L266" i="17"/>
  <c r="L281" i="15"/>
  <c r="L282" i="17"/>
  <c r="M240" i="15"/>
  <c r="M241" i="17"/>
  <c r="M254" i="15"/>
  <c r="M255" i="17"/>
  <c r="K256" i="15"/>
  <c r="K257" i="17"/>
  <c r="K261" i="15"/>
  <c r="K262" i="17"/>
  <c r="L269" i="15"/>
  <c r="L270" i="17"/>
  <c r="M284" i="15"/>
  <c r="M285" i="17"/>
  <c r="M293" i="15"/>
  <c r="M294" i="17"/>
  <c r="M297" i="15"/>
  <c r="M298" i="17"/>
  <c r="M305" i="15"/>
  <c r="M306" i="17"/>
  <c r="L278" i="15"/>
  <c r="L279" i="17"/>
  <c r="I278" i="15"/>
  <c r="I279" i="17"/>
  <c r="K291" i="15"/>
  <c r="K292" i="17"/>
  <c r="K246" i="15"/>
  <c r="K247" i="17"/>
  <c r="K260" i="15"/>
  <c r="K261" i="17"/>
  <c r="L261" i="15"/>
  <c r="L262" i="17"/>
  <c r="L270" i="15"/>
  <c r="L271" i="17"/>
  <c r="L284" i="15"/>
  <c r="L285" i="17"/>
  <c r="L307" i="15"/>
  <c r="L308" i="17"/>
  <c r="K308" i="15"/>
  <c r="K309" i="17"/>
  <c r="M313" i="15"/>
  <c r="M314" i="17"/>
  <c r="M319" i="15"/>
  <c r="M320" i="17"/>
  <c r="L323" i="15"/>
  <c r="L324" i="17"/>
  <c r="L341" i="15"/>
  <c r="L342" i="17"/>
  <c r="M351" i="15"/>
  <c r="M352" i="17"/>
  <c r="L303" i="15"/>
  <c r="L304" i="17"/>
  <c r="K304" i="15"/>
  <c r="K305" i="17"/>
  <c r="K315" i="15"/>
  <c r="K316" i="17"/>
  <c r="M333" i="15"/>
  <c r="M334" i="17"/>
  <c r="L304" i="15"/>
  <c r="L305" i="17"/>
  <c r="M321" i="15"/>
  <c r="M322" i="17"/>
  <c r="L336" i="15"/>
  <c r="L337" i="17"/>
  <c r="I337" i="15"/>
  <c r="I338" i="17"/>
  <c r="M331" i="15"/>
  <c r="M332" i="17"/>
  <c r="I341" i="15"/>
  <c r="I342" i="17"/>
  <c r="L343" i="15"/>
  <c r="L344" i="17"/>
  <c r="K364" i="15"/>
  <c r="K365" i="17"/>
  <c r="M354" i="15"/>
  <c r="M355" i="17"/>
  <c r="M365" i="15"/>
  <c r="M366" i="17"/>
  <c r="L156" i="15"/>
  <c r="L157" i="17"/>
  <c r="L225" i="15"/>
  <c r="L226" i="17"/>
  <c r="K220" i="15"/>
  <c r="K221" i="17"/>
  <c r="K238" i="15"/>
  <c r="K239" i="17"/>
  <c r="K228" i="15"/>
  <c r="K229" i="17"/>
  <c r="L238" i="15"/>
  <c r="L239" i="17"/>
  <c r="K242" i="15"/>
  <c r="K243" i="17"/>
  <c r="L224" i="15"/>
  <c r="L225" i="17"/>
  <c r="K237" i="15"/>
  <c r="K238" i="17"/>
  <c r="M259" i="15"/>
  <c r="M260" i="17"/>
  <c r="K277" i="15"/>
  <c r="K278" i="17"/>
  <c r="M294" i="15"/>
  <c r="M295" i="17"/>
  <c r="M303" i="15"/>
  <c r="M304" i="17"/>
  <c r="I363" i="15"/>
  <c r="I364" i="17"/>
  <c r="K322" i="15"/>
  <c r="K323" i="17"/>
  <c r="K330" i="15"/>
  <c r="K331" i="17"/>
  <c r="K340" i="15"/>
  <c r="K341" i="17"/>
  <c r="I343" i="15"/>
  <c r="I344" i="17"/>
  <c r="K347" i="15"/>
  <c r="K348" i="17"/>
  <c r="L329" i="15"/>
  <c r="L330" i="17"/>
  <c r="I344" i="15"/>
  <c r="I345" i="17"/>
  <c r="K353" i="15"/>
  <c r="K354" i="17"/>
  <c r="K357" i="15"/>
  <c r="K358" i="17"/>
  <c r="M362" i="15"/>
  <c r="M363" i="17"/>
  <c r="N364" i="15"/>
  <c r="N365" i="17"/>
  <c r="N356" i="15"/>
  <c r="N357" i="17"/>
  <c r="N339" i="15"/>
  <c r="N340" i="17"/>
  <c r="L146" i="9"/>
  <c r="K148" i="17"/>
  <c r="L175" i="9"/>
  <c r="K177" i="17"/>
  <c r="L181" i="9"/>
  <c r="K183" i="17"/>
  <c r="L144" i="15"/>
  <c r="L145" i="17"/>
  <c r="L165" i="15"/>
  <c r="L166" i="17"/>
  <c r="M178" i="15"/>
  <c r="M179" i="17"/>
  <c r="K216" i="15"/>
  <c r="K217" i="17"/>
  <c r="I297" i="15"/>
  <c r="I298" i="17"/>
  <c r="M209" i="15"/>
  <c r="M210" i="17"/>
  <c r="M230" i="15"/>
  <c r="M231" i="17"/>
  <c r="I276" i="15"/>
  <c r="I277" i="17"/>
  <c r="I357" i="15"/>
  <c r="I358" i="17"/>
  <c r="L321" i="15"/>
  <c r="L322" i="17"/>
  <c r="I334" i="15"/>
  <c r="I335" i="17"/>
  <c r="L363" i="15"/>
  <c r="L364" i="17"/>
  <c r="L366" i="15"/>
  <c r="L367" i="17"/>
  <c r="M328" i="15"/>
  <c r="M329" i="17"/>
  <c r="L311" i="15"/>
  <c r="L312" i="17"/>
  <c r="K336" i="15"/>
  <c r="K337" i="17"/>
  <c r="I338" i="15"/>
  <c r="I339" i="17"/>
  <c r="K159" i="15"/>
  <c r="K160" i="17"/>
  <c r="L169" i="15"/>
  <c r="L170" i="17"/>
  <c r="K217" i="15"/>
  <c r="K218" i="17"/>
  <c r="P186" i="9"/>
  <c r="M188" i="17"/>
  <c r="L239" i="15"/>
  <c r="L240" i="17"/>
  <c r="L279" i="15"/>
  <c r="L280" i="17"/>
  <c r="K293" i="15"/>
  <c r="K294" i="17"/>
  <c r="I290" i="15"/>
  <c r="I291" i="17"/>
  <c r="L287" i="15"/>
  <c r="L288" i="17"/>
  <c r="K306" i="15"/>
  <c r="K307" i="17"/>
  <c r="I362" i="15"/>
  <c r="I363" i="17"/>
  <c r="K201" i="15"/>
  <c r="K202" i="17"/>
  <c r="L162" i="15"/>
  <c r="L163" i="17"/>
  <c r="I263" i="15"/>
  <c r="I264" i="17"/>
  <c r="L314" i="15"/>
  <c r="L315" i="17"/>
  <c r="K356" i="15"/>
  <c r="K357" i="17"/>
  <c r="I264" i="15"/>
  <c r="I265" i="17"/>
  <c r="M275" i="15"/>
  <c r="M276" i="17"/>
  <c r="M155" i="15"/>
  <c r="M156" i="17"/>
  <c r="I275" i="15"/>
  <c r="I276" i="17"/>
  <c r="L317" i="15"/>
  <c r="L318" i="17"/>
  <c r="L203" i="15"/>
  <c r="L204" i="17"/>
  <c r="N359" i="15"/>
  <c r="N360" i="17"/>
  <c r="L264" i="15"/>
  <c r="L265" i="17"/>
  <c r="K320" i="15"/>
  <c r="K321" i="17"/>
  <c r="L362" i="15"/>
  <c r="L363" i="17"/>
  <c r="M364" i="15"/>
  <c r="M365" i="17"/>
  <c r="L247" i="15"/>
  <c r="L248" i="17"/>
  <c r="P309" i="9"/>
  <c r="W289" i="9"/>
  <c r="P217" i="15"/>
  <c r="P221" i="15"/>
  <c r="P225" i="15"/>
  <c r="P229" i="15"/>
  <c r="P234" i="15"/>
  <c r="P244" i="15"/>
  <c r="P248" i="15"/>
  <c r="P264" i="15"/>
  <c r="P268" i="15"/>
  <c r="P274" i="15"/>
  <c r="Q274" i="15"/>
  <c r="P286" i="15"/>
  <c r="P290" i="15"/>
  <c r="Q290" i="15"/>
  <c r="P292" i="15"/>
  <c r="P310" i="15"/>
  <c r="P312" i="15"/>
  <c r="P338" i="15"/>
  <c r="P344" i="15"/>
  <c r="P356" i="15"/>
  <c r="P370" i="15"/>
  <c r="P374" i="15"/>
  <c r="P376" i="15"/>
  <c r="P386" i="15"/>
  <c r="P388" i="15"/>
  <c r="P390" i="15"/>
  <c r="P392" i="15"/>
  <c r="P398" i="15"/>
  <c r="P402" i="15"/>
  <c r="P404" i="15"/>
  <c r="P408" i="15"/>
  <c r="P416" i="15"/>
  <c r="P249" i="15"/>
  <c r="P251" i="15"/>
  <c r="P253" i="15"/>
  <c r="P255" i="15"/>
  <c r="P257" i="15"/>
  <c r="P259" i="15"/>
  <c r="P279" i="15"/>
  <c r="P295" i="15"/>
  <c r="P297" i="15"/>
  <c r="P305" i="15"/>
  <c r="P321" i="15"/>
  <c r="P339" i="15"/>
  <c r="Q339" i="15"/>
  <c r="P357" i="15"/>
  <c r="P361" i="15"/>
  <c r="P383" i="15"/>
  <c r="P397" i="15"/>
  <c r="P241" i="15"/>
  <c r="P243" i="15"/>
  <c r="P247" i="15"/>
  <c r="P273" i="15"/>
  <c r="Q273" i="15"/>
  <c r="P275" i="15"/>
  <c r="P291" i="15"/>
  <c r="P293" i="15"/>
  <c r="P315" i="15"/>
  <c r="P317" i="15"/>
  <c r="P335" i="15"/>
  <c r="P337" i="15"/>
  <c r="Q337" i="15"/>
  <c r="P353" i="15"/>
  <c r="Q353" i="15"/>
  <c r="P369" i="15"/>
  <c r="P379" i="15"/>
  <c r="P395" i="15"/>
  <c r="P403" i="15"/>
  <c r="P405" i="15"/>
  <c r="W351" i="9"/>
  <c r="A352" i="15"/>
  <c r="Q352" i="15" s="1"/>
  <c r="P240" i="15"/>
  <c r="P242" i="15"/>
  <c r="P280" i="15"/>
  <c r="P282" i="15"/>
  <c r="P284" i="15"/>
  <c r="P288" i="15"/>
  <c r="P294" i="15"/>
  <c r="P302" i="15"/>
  <c r="P306" i="15"/>
  <c r="P308" i="15"/>
  <c r="P320" i="15"/>
  <c r="P326" i="15"/>
  <c r="P328" i="15"/>
  <c r="P332" i="15"/>
  <c r="P334" i="15"/>
  <c r="P346" i="15"/>
  <c r="P352" i="15"/>
  <c r="P362" i="15"/>
  <c r="P364" i="15"/>
  <c r="P366" i="15"/>
  <c r="P378" i="15"/>
  <c r="P380" i="15"/>
  <c r="P382" i="15"/>
  <c r="P384" i="15"/>
  <c r="P394" i="15"/>
  <c r="P396" i="15"/>
  <c r="P406" i="15"/>
  <c r="P410" i="15"/>
  <c r="P418" i="15"/>
  <c r="P235" i="15"/>
  <c r="P237" i="15"/>
  <c r="P265" i="15"/>
  <c r="P287" i="15"/>
  <c r="P289" i="15"/>
  <c r="Q289" i="15"/>
  <c r="P301" i="15"/>
  <c r="P311" i="15"/>
  <c r="P329" i="15"/>
  <c r="P331" i="15"/>
  <c r="P333" i="15"/>
  <c r="P347" i="15"/>
  <c r="P349" i="15"/>
  <c r="P367" i="15"/>
  <c r="P377" i="15"/>
  <c r="P391" i="15"/>
  <c r="P393" i="15"/>
  <c r="P417" i="15"/>
  <c r="P230" i="15"/>
  <c r="P263" i="15"/>
  <c r="P281" i="15"/>
  <c r="P283" i="15"/>
  <c r="P323" i="15"/>
  <c r="P345" i="15"/>
  <c r="P363" i="15"/>
  <c r="P375" i="15"/>
  <c r="P387" i="15"/>
  <c r="P389" i="15"/>
  <c r="P272" i="9"/>
  <c r="K67" i="8"/>
  <c r="M66" i="8"/>
  <c r="K82" i="8"/>
  <c r="M81" i="8"/>
  <c r="K110" i="8"/>
  <c r="M109" i="8"/>
  <c r="P192" i="9"/>
  <c r="P264" i="9"/>
  <c r="P211" i="9"/>
  <c r="L381" i="9"/>
  <c r="K180" i="15"/>
  <c r="P287" i="9"/>
  <c r="L265" i="9"/>
  <c r="L311" i="9"/>
  <c r="P256" i="9"/>
  <c r="L355" i="9"/>
  <c r="L270" i="9"/>
  <c r="L305" i="9"/>
  <c r="L309" i="9"/>
  <c r="L369" i="9"/>
  <c r="L316" i="9"/>
  <c r="L404" i="9"/>
  <c r="L285" i="9"/>
  <c r="K146" i="15"/>
  <c r="L234" i="9"/>
  <c r="L315" i="9"/>
  <c r="L262" i="9"/>
  <c r="M166" i="15"/>
  <c r="P344" i="9"/>
  <c r="K207" i="15"/>
  <c r="P391" i="9"/>
  <c r="N392" i="15" s="1"/>
  <c r="L258" i="9"/>
  <c r="K259" i="15"/>
  <c r="P216" i="9"/>
  <c r="M217" i="15"/>
  <c r="P236" i="9"/>
  <c r="M237" i="15"/>
  <c r="P319" i="9"/>
  <c r="M320" i="15"/>
  <c r="L284" i="9"/>
  <c r="K285" i="15"/>
  <c r="L418" i="9"/>
  <c r="K419" i="15"/>
  <c r="L407" i="9"/>
  <c r="K408" i="15"/>
  <c r="L325" i="9"/>
  <c r="K326" i="15"/>
  <c r="L340" i="9"/>
  <c r="K341" i="15"/>
  <c r="P262" i="9"/>
  <c r="M263" i="15"/>
  <c r="L317" i="9"/>
  <c r="K318" i="15"/>
  <c r="L278" i="9"/>
  <c r="K279" i="15"/>
  <c r="L351" i="9"/>
  <c r="K352" i="15"/>
  <c r="L405" i="9"/>
  <c r="K406" i="15"/>
  <c r="P254" i="9"/>
  <c r="M255" i="15"/>
  <c r="L242" i="9"/>
  <c r="K243" i="15"/>
  <c r="P252" i="9"/>
  <c r="M253" i="15"/>
  <c r="P270" i="9"/>
  <c r="M271" i="15"/>
  <c r="P387" i="9"/>
  <c r="N388" i="15" s="1"/>
  <c r="M388" i="15"/>
  <c r="P280" i="9"/>
  <c r="M281" i="15"/>
  <c r="L336" i="9"/>
  <c r="K337" i="15"/>
  <c r="P369" i="9"/>
  <c r="N370" i="15" s="1"/>
  <c r="M370" i="15"/>
  <c r="L375" i="9"/>
  <c r="K376" i="15"/>
  <c r="L397" i="9"/>
  <c r="K398" i="15"/>
  <c r="L401" i="9"/>
  <c r="K402" i="15"/>
  <c r="L281" i="9"/>
  <c r="K282" i="15"/>
  <c r="L376" i="9"/>
  <c r="K377" i="15"/>
  <c r="P242" i="9"/>
  <c r="M243" i="15"/>
  <c r="P246" i="9"/>
  <c r="M247" i="15"/>
  <c r="P351" i="9"/>
  <c r="M352" i="15"/>
  <c r="P362" i="9"/>
  <c r="M363" i="15"/>
  <c r="P366" i="9"/>
  <c r="N367" i="15" s="1"/>
  <c r="M367" i="15"/>
  <c r="L274" i="9"/>
  <c r="K275" i="15"/>
  <c r="P331" i="9"/>
  <c r="M332" i="15"/>
  <c r="L272" i="9"/>
  <c r="K273" i="15"/>
  <c r="P389" i="9"/>
  <c r="N390" i="15" s="1"/>
  <c r="M390" i="15"/>
  <c r="P231" i="9"/>
  <c r="M232" i="15"/>
  <c r="L266" i="9"/>
  <c r="K267" i="15"/>
  <c r="P291" i="9"/>
  <c r="M292" i="15"/>
  <c r="L233" i="9"/>
  <c r="K234" i="15"/>
  <c r="L344" i="9"/>
  <c r="K345" i="15"/>
  <c r="L323" i="9"/>
  <c r="K324" i="15"/>
  <c r="L368" i="9"/>
  <c r="K369" i="15"/>
  <c r="L293" i="9"/>
  <c r="K294" i="15"/>
  <c r="P406" i="9"/>
  <c r="N407" i="15" s="1"/>
  <c r="M407" i="15"/>
  <c r="L416" i="9"/>
  <c r="K417" i="15"/>
  <c r="L400" i="9"/>
  <c r="K401" i="15"/>
  <c r="P403" i="9"/>
  <c r="N404" i="15" s="1"/>
  <c r="M404" i="15"/>
  <c r="P298" i="9"/>
  <c r="M299" i="15"/>
  <c r="L409" i="9"/>
  <c r="K410" i="15"/>
  <c r="L413" i="9"/>
  <c r="K414" i="15"/>
  <c r="L252" i="9"/>
  <c r="K253" i="15"/>
  <c r="L231" i="9"/>
  <c r="K232" i="15"/>
  <c r="P217" i="9"/>
  <c r="M218" i="15"/>
  <c r="L385" i="9"/>
  <c r="K386" i="15"/>
  <c r="L246" i="9"/>
  <c r="K247" i="15"/>
  <c r="P333" i="9"/>
  <c r="M334" i="15"/>
  <c r="P279" i="9"/>
  <c r="M280" i="15"/>
  <c r="L253" i="9"/>
  <c r="K254" i="15"/>
  <c r="L224" i="9"/>
  <c r="K225" i="15"/>
  <c r="P228" i="9"/>
  <c r="M229" i="15"/>
  <c r="P278" i="9"/>
  <c r="M279" i="15"/>
  <c r="L240" i="9"/>
  <c r="K241" i="15"/>
  <c r="P263" i="9"/>
  <c r="M264" i="15"/>
  <c r="L395" i="9"/>
  <c r="K396" i="15"/>
  <c r="L396" i="9"/>
  <c r="K397" i="15"/>
  <c r="L337" i="9"/>
  <c r="K338" i="15"/>
  <c r="P348" i="9"/>
  <c r="M349" i="15"/>
  <c r="L399" i="9"/>
  <c r="K400" i="15"/>
  <c r="P417" i="9"/>
  <c r="N418" i="15" s="1"/>
  <c r="M418" i="15"/>
  <c r="L297" i="9"/>
  <c r="K298" i="15"/>
  <c r="L229" i="9"/>
  <c r="K230" i="15"/>
  <c r="L254" i="9"/>
  <c r="K255" i="15"/>
  <c r="P294" i="9"/>
  <c r="M295" i="15"/>
  <c r="L301" i="9"/>
  <c r="K302" i="15"/>
  <c r="L412" i="9"/>
  <c r="K413" i="15"/>
  <c r="L415" i="9"/>
  <c r="K416" i="15"/>
  <c r="L333" i="9"/>
  <c r="K334" i="15"/>
  <c r="L264" i="9"/>
  <c r="K265" i="15"/>
  <c r="L313" i="9"/>
  <c r="K314" i="15"/>
  <c r="P337" i="9"/>
  <c r="M338" i="15"/>
  <c r="P266" i="9"/>
  <c r="L296" i="9"/>
  <c r="L134" i="9"/>
  <c r="L216" i="9"/>
  <c r="L160" i="9"/>
  <c r="P390" i="9"/>
  <c r="N391" i="15" s="1"/>
  <c r="L393" i="9"/>
  <c r="L200" i="9"/>
  <c r="M214" i="15"/>
  <c r="M180" i="15"/>
  <c r="P407" i="9"/>
  <c r="N408" i="15" s="1"/>
  <c r="P274" i="9"/>
  <c r="P290" i="9"/>
  <c r="K191" i="15"/>
  <c r="P370" i="9"/>
  <c r="N371" i="15" s="1"/>
  <c r="L198" i="9"/>
  <c r="M159" i="15"/>
  <c r="P381" i="9"/>
  <c r="N382" i="15" s="1"/>
  <c r="P386" i="9"/>
  <c r="N387" i="15" s="1"/>
  <c r="L158" i="9"/>
  <c r="P310" i="9"/>
  <c r="L186" i="9"/>
  <c r="L411" i="9"/>
  <c r="P325" i="9"/>
  <c r="L403" i="9"/>
  <c r="M187" i="15"/>
  <c r="L288" i="9"/>
  <c r="L408" i="9"/>
  <c r="L292" i="9"/>
  <c r="P208" i="9"/>
  <c r="L335" i="9"/>
  <c r="A6" i="8"/>
  <c r="C5" i="8"/>
  <c r="L372" i="9"/>
  <c r="K205" i="15"/>
  <c r="P184" i="9"/>
  <c r="P377" i="9"/>
  <c r="N378" i="15" s="1"/>
  <c r="L201" i="9"/>
  <c r="P335" i="9"/>
  <c r="L389" i="9"/>
  <c r="L157" i="9"/>
  <c r="P314" i="9"/>
  <c r="L414" i="9"/>
  <c r="L168" i="9"/>
  <c r="L354" i="9"/>
  <c r="P229" i="9"/>
  <c r="L291" i="9"/>
  <c r="M196" i="15"/>
  <c r="P181" i="9"/>
  <c r="L287" i="9"/>
  <c r="L294" i="9"/>
  <c r="L417" i="9"/>
  <c r="P402" i="9"/>
  <c r="N403" i="15" s="1"/>
  <c r="P359" i="9"/>
  <c r="L365" i="9"/>
  <c r="L215" i="9"/>
  <c r="P222" i="9"/>
  <c r="P286" i="9"/>
  <c r="P224" i="9"/>
  <c r="L256" i="9"/>
  <c r="P212" i="9"/>
  <c r="L289" i="9"/>
  <c r="P240" i="9"/>
  <c r="M150" i="15"/>
  <c r="P163" i="9"/>
  <c r="P221" i="9"/>
  <c r="L141" i="9"/>
  <c r="M142" i="15"/>
  <c r="M151" i="15"/>
  <c r="M168" i="15"/>
  <c r="L388" i="9"/>
  <c r="K162" i="15"/>
  <c r="M210" i="15"/>
  <c r="M207" i="15"/>
  <c r="K212" i="15"/>
  <c r="L327" i="9"/>
  <c r="M136" i="15"/>
  <c r="M199" i="15"/>
  <c r="L196" i="9"/>
  <c r="P327" i="9"/>
  <c r="AK359" i="9"/>
  <c r="W337" i="9"/>
  <c r="L280" i="9"/>
  <c r="L387" i="9"/>
  <c r="Q137" i="15"/>
  <c r="M189" i="15"/>
  <c r="M157" i="15"/>
  <c r="K176" i="15"/>
  <c r="L149" i="9"/>
  <c r="P136" i="9"/>
  <c r="N138" i="15" s="1"/>
  <c r="L222" i="9"/>
  <c r="K144" i="15"/>
  <c r="P161" i="9"/>
  <c r="P177" i="9"/>
  <c r="K182" i="15"/>
  <c r="K147" i="15"/>
  <c r="K139" i="15"/>
  <c r="K155" i="15"/>
  <c r="K164" i="15"/>
  <c r="L147" i="9"/>
  <c r="AE339" i="20"/>
  <c r="AE338" i="9" s="1"/>
  <c r="I338" i="9"/>
  <c r="AE356" i="20"/>
  <c r="AE355" i="9" s="1"/>
  <c r="I355" i="9"/>
  <c r="AE337" i="20"/>
  <c r="AE336" i="9" s="1"/>
  <c r="I336" i="9"/>
  <c r="AE355" i="20"/>
  <c r="AE354" i="9" s="1"/>
  <c r="I354" i="9"/>
  <c r="AE351" i="20"/>
  <c r="AE350" i="9" s="1"/>
  <c r="I350" i="9"/>
  <c r="AE360" i="20"/>
  <c r="AE359" i="9" s="1"/>
  <c r="I359" i="9"/>
  <c r="AE336" i="20"/>
  <c r="AE335" i="9" s="1"/>
  <c r="I335" i="9"/>
  <c r="AE354" i="20"/>
  <c r="AE353" i="9" s="1"/>
  <c r="I353" i="9"/>
  <c r="AE352" i="20"/>
  <c r="AE351" i="9" s="1"/>
  <c r="I351" i="9"/>
  <c r="AE357" i="20"/>
  <c r="AE356" i="9" s="1"/>
  <c r="I356" i="9"/>
  <c r="AE338" i="20"/>
  <c r="AE337" i="9" s="1"/>
  <c r="I337" i="9"/>
  <c r="AE353" i="20"/>
  <c r="AE352" i="9" s="1"/>
  <c r="I352" i="9"/>
  <c r="M167" i="15"/>
  <c r="P166" i="9"/>
  <c r="P209" i="15"/>
  <c r="P177" i="15"/>
  <c r="P186" i="15"/>
  <c r="P210" i="15"/>
  <c r="P193" i="15"/>
  <c r="L273" i="9"/>
  <c r="P166" i="15"/>
  <c r="P178" i="15"/>
  <c r="W288" i="9"/>
  <c r="P214" i="15"/>
  <c r="P213" i="15"/>
  <c r="P158" i="15"/>
  <c r="P144" i="9"/>
  <c r="M145" i="15"/>
  <c r="P168" i="9"/>
  <c r="M169" i="15"/>
  <c r="L135" i="9"/>
  <c r="K137" i="15"/>
  <c r="P137" i="9"/>
  <c r="N139" i="15" s="1"/>
  <c r="M139" i="15"/>
  <c r="P159" i="9"/>
  <c r="M160" i="15"/>
  <c r="L180" i="9"/>
  <c r="K181" i="15"/>
  <c r="L170" i="9"/>
  <c r="K171" i="15"/>
  <c r="P174" i="9"/>
  <c r="M175" i="15"/>
  <c r="P183" i="9"/>
  <c r="M184" i="15"/>
  <c r="P204" i="9"/>
  <c r="M205" i="15"/>
  <c r="L195" i="9"/>
  <c r="K196" i="15"/>
  <c r="P197" i="9"/>
  <c r="M198" i="15"/>
  <c r="L210" i="9"/>
  <c r="K211" i="15"/>
  <c r="L205" i="9"/>
  <c r="K206" i="15"/>
  <c r="P210" i="9"/>
  <c r="M211" i="15"/>
  <c r="L230" i="9"/>
  <c r="P233" i="9"/>
  <c r="P205" i="9"/>
  <c r="M206" i="15"/>
  <c r="P225" i="9"/>
  <c r="L249" i="9"/>
  <c r="P255" i="9"/>
  <c r="P271" i="9"/>
  <c r="L279" i="9"/>
  <c r="L251" i="9"/>
  <c r="P261" i="9"/>
  <c r="P275" i="9"/>
  <c r="P288" i="9"/>
  <c r="P304" i="9"/>
  <c r="P282" i="9"/>
  <c r="P295" i="9"/>
  <c r="L245" i="9"/>
  <c r="P269" i="9"/>
  <c r="L275" i="9"/>
  <c r="P323" i="9"/>
  <c r="P354" i="9"/>
  <c r="L302" i="9"/>
  <c r="L298" i="9"/>
  <c r="L318" i="9"/>
  <c r="P320" i="9"/>
  <c r="P299" i="9"/>
  <c r="P340" i="9"/>
  <c r="L349" i="9"/>
  <c r="L386" i="9"/>
  <c r="P394" i="9"/>
  <c r="N395" i="15" s="1"/>
  <c r="P404" i="9"/>
  <c r="N405" i="15" s="1"/>
  <c r="P418" i="9"/>
  <c r="N419" i="15" s="1"/>
  <c r="L360" i="9"/>
  <c r="L406" i="9"/>
  <c r="P415" i="9"/>
  <c r="N416" i="15" s="1"/>
  <c r="P345" i="9"/>
  <c r="L353" i="9"/>
  <c r="L382" i="9"/>
  <c r="P384" i="9"/>
  <c r="N385" i="15" s="1"/>
  <c r="P155" i="9"/>
  <c r="M156" i="15"/>
  <c r="L177" i="9"/>
  <c r="K178" i="15"/>
  <c r="P169" i="9"/>
  <c r="M170" i="15"/>
  <c r="L174" i="9"/>
  <c r="K175" i="15"/>
  <c r="L178" i="9"/>
  <c r="K179" i="15"/>
  <c r="L171" i="9"/>
  <c r="K172" i="15"/>
  <c r="L192" i="9"/>
  <c r="K193" i="15"/>
  <c r="L226" i="9"/>
  <c r="L193" i="9"/>
  <c r="K194" i="15"/>
  <c r="P194" i="9"/>
  <c r="M195" i="15"/>
  <c r="P238" i="9"/>
  <c r="L250" i="9"/>
  <c r="L218" i="9"/>
  <c r="P293" i="9"/>
  <c r="P313" i="9"/>
  <c r="P315" i="9"/>
  <c r="P317" i="9"/>
  <c r="P306" i="9"/>
  <c r="L328" i="9"/>
  <c r="L352" i="9"/>
  <c r="L356" i="9"/>
  <c r="L361" i="9"/>
  <c r="L371" i="9"/>
  <c r="P374" i="9"/>
  <c r="N375" i="15" s="1"/>
  <c r="P397" i="9"/>
  <c r="N398" i="15" s="1"/>
  <c r="L139" i="9"/>
  <c r="K141" i="15"/>
  <c r="P160" i="9"/>
  <c r="M161" i="15"/>
  <c r="L148" i="9"/>
  <c r="K149" i="15"/>
  <c r="P152" i="9"/>
  <c r="M153" i="15"/>
  <c r="P141" i="9"/>
  <c r="N143" i="15" s="1"/>
  <c r="M143" i="15"/>
  <c r="P146" i="9"/>
  <c r="M147" i="15"/>
  <c r="L155" i="9"/>
  <c r="K156" i="15"/>
  <c r="P157" i="9"/>
  <c r="M158" i="15"/>
  <c r="P151" i="9"/>
  <c r="M152" i="15"/>
  <c r="L176" i="9"/>
  <c r="K177" i="15"/>
  <c r="P178" i="9"/>
  <c r="M179" i="15"/>
  <c r="L185" i="9"/>
  <c r="K186" i="15"/>
  <c r="P187" i="9"/>
  <c r="M188" i="15"/>
  <c r="P191" i="9"/>
  <c r="M192" i="15"/>
  <c r="L199" i="9"/>
  <c r="K200" i="15"/>
  <c r="L221" i="9"/>
  <c r="P230" i="9"/>
  <c r="L225" i="9"/>
  <c r="P227" i="9"/>
  <c r="L235" i="9"/>
  <c r="P237" i="9"/>
  <c r="P241" i="9"/>
  <c r="L217" i="9"/>
  <c r="P219" i="9"/>
  <c r="L243" i="9"/>
  <c r="L263" i="9"/>
  <c r="P265" i="9"/>
  <c r="L247" i="9"/>
  <c r="P251" i="9"/>
  <c r="P283" i="9"/>
  <c r="P308" i="9"/>
  <c r="L269" i="9"/>
  <c r="P259" i="9"/>
  <c r="L306" i="9"/>
  <c r="L310" i="9"/>
  <c r="P339" i="9"/>
  <c r="P342" i="9"/>
  <c r="L303" i="9"/>
  <c r="L330" i="9"/>
  <c r="P332" i="9"/>
  <c r="L299" i="9"/>
  <c r="P330" i="9"/>
  <c r="P349" i="9"/>
  <c r="L370" i="9"/>
  <c r="P378" i="9"/>
  <c r="N379" i="15" s="1"/>
  <c r="P388" i="9"/>
  <c r="N389" i="15" s="1"/>
  <c r="P399" i="9"/>
  <c r="N400" i="15" s="1"/>
  <c r="L390" i="9"/>
  <c r="P408" i="9"/>
  <c r="N409" i="15" s="1"/>
  <c r="P353" i="9"/>
  <c r="P360" i="9"/>
  <c r="L378" i="9"/>
  <c r="P380" i="9"/>
  <c r="N381" i="15" s="1"/>
  <c r="L136" i="9"/>
  <c r="K138" i="15"/>
  <c r="L153" i="9"/>
  <c r="K154" i="15"/>
  <c r="P173" i="9"/>
  <c r="M174" i="15"/>
  <c r="L173" i="9"/>
  <c r="K174" i="15"/>
  <c r="P182" i="9"/>
  <c r="M183" i="15"/>
  <c r="L165" i="9"/>
  <c r="K166" i="15"/>
  <c r="L182" i="9"/>
  <c r="K183" i="15"/>
  <c r="L208" i="9"/>
  <c r="K209" i="15"/>
  <c r="P226" i="9"/>
  <c r="P196" i="9"/>
  <c r="M197" i="15"/>
  <c r="L244" i="9"/>
  <c r="L248" i="9"/>
  <c r="L236" i="9"/>
  <c r="P250" i="9"/>
  <c r="L276" i="9"/>
  <c r="P297" i="9"/>
  <c r="L304" i="9"/>
  <c r="P281" i="9"/>
  <c r="L283" i="9"/>
  <c r="P301" i="9"/>
  <c r="L332" i="9"/>
  <c r="L324" i="9"/>
  <c r="P365" i="9"/>
  <c r="P326" i="9"/>
  <c r="L346" i="9"/>
  <c r="L379" i="9"/>
  <c r="P371" i="9"/>
  <c r="N372" i="15" s="1"/>
  <c r="L347" i="9"/>
  <c r="L166" i="9"/>
  <c r="K167" i="15"/>
  <c r="L172" i="9"/>
  <c r="K173" i="15"/>
  <c r="L187" i="9"/>
  <c r="K188" i="15"/>
  <c r="P193" i="9"/>
  <c r="M194" i="15"/>
  <c r="P201" i="9"/>
  <c r="M202" i="15"/>
  <c r="L189" i="9"/>
  <c r="K190" i="15"/>
  <c r="L203" i="9"/>
  <c r="K204" i="15"/>
  <c r="P223" i="9"/>
  <c r="L212" i="9"/>
  <c r="K213" i="15"/>
  <c r="P215" i="9"/>
  <c r="P243" i="9"/>
  <c r="P249" i="9"/>
  <c r="L239" i="9"/>
  <c r="P247" i="9"/>
  <c r="L260" i="9"/>
  <c r="P296" i="9"/>
  <c r="P245" i="9"/>
  <c r="L267" i="9"/>
  <c r="L295" i="9"/>
  <c r="L307" i="9"/>
  <c r="P312" i="9"/>
  <c r="P318" i="9"/>
  <c r="L326" i="9"/>
  <c r="P346" i="9"/>
  <c r="P341" i="9"/>
  <c r="L334" i="9"/>
  <c r="P336" i="9"/>
  <c r="L322" i="9"/>
  <c r="P324" i="9"/>
  <c r="L341" i="9"/>
  <c r="L359" i="9"/>
  <c r="P372" i="9"/>
  <c r="N373" i="15" s="1"/>
  <c r="P383" i="9"/>
  <c r="N384" i="15" s="1"/>
  <c r="P414" i="9"/>
  <c r="N415" i="15" s="1"/>
  <c r="L374" i="9"/>
  <c r="P392" i="9"/>
  <c r="N393" i="15" s="1"/>
  <c r="P398" i="9"/>
  <c r="N399" i="15" s="1"/>
  <c r="L394" i="9"/>
  <c r="L367" i="9"/>
  <c r="P396" i="9"/>
  <c r="N397" i="15" s="1"/>
  <c r="L410" i="9"/>
  <c r="P412" i="9"/>
  <c r="N413" i="15" s="1"/>
  <c r="P364" i="9"/>
  <c r="L398" i="9"/>
  <c r="P400" i="9"/>
  <c r="N401" i="15" s="1"/>
  <c r="P138" i="9"/>
  <c r="N140" i="15" s="1"/>
  <c r="M140" i="15"/>
  <c r="L167" i="9"/>
  <c r="K168" i="15"/>
  <c r="L184" i="9"/>
  <c r="K185" i="15"/>
  <c r="P162" i="9"/>
  <c r="M163" i="15"/>
  <c r="L183" i="9"/>
  <c r="K184" i="15"/>
  <c r="P199" i="9"/>
  <c r="M200" i="15"/>
  <c r="L188" i="9"/>
  <c r="K189" i="15"/>
  <c r="L202" i="9"/>
  <c r="K203" i="15"/>
  <c r="P175" i="9"/>
  <c r="M176" i="15"/>
  <c r="L194" i="9"/>
  <c r="K195" i="15"/>
  <c r="L219" i="9"/>
  <c r="L223" i="9"/>
  <c r="L227" i="9"/>
  <c r="L241" i="9"/>
  <c r="L213" i="9"/>
  <c r="K214" i="15"/>
  <c r="P244" i="9"/>
  <c r="L257" i="9"/>
  <c r="L261" i="9"/>
  <c r="L277" i="9"/>
  <c r="L268" i="9"/>
  <c r="P302" i="9"/>
  <c r="P321" i="9"/>
  <c r="L348" i="9"/>
  <c r="L362" i="9"/>
  <c r="L321" i="9"/>
  <c r="L339" i="9"/>
  <c r="L342" i="9"/>
  <c r="L312" i="9"/>
  <c r="L373" i="9"/>
  <c r="P373" i="9"/>
  <c r="N374" i="15" s="1"/>
  <c r="P375" i="9"/>
  <c r="N376" i="15" s="1"/>
  <c r="P413" i="9"/>
  <c r="N414" i="15" s="1"/>
  <c r="P361" i="9"/>
  <c r="P367" i="9"/>
  <c r="N368" i="15" s="1"/>
  <c r="P347" i="9"/>
  <c r="L151" i="9"/>
  <c r="K152" i="15"/>
  <c r="L159" i="9"/>
  <c r="K160" i="15"/>
  <c r="P176" i="9"/>
  <c r="M177" i="15"/>
  <c r="P135" i="9"/>
  <c r="N137" i="15" s="1"/>
  <c r="M137" i="15"/>
  <c r="P145" i="9"/>
  <c r="M146" i="15"/>
  <c r="P153" i="9"/>
  <c r="M154" i="15"/>
  <c r="P139" i="9"/>
  <c r="N141" i="15" s="1"/>
  <c r="M141" i="15"/>
  <c r="L162" i="9"/>
  <c r="K163" i="15"/>
  <c r="P164" i="9"/>
  <c r="M165" i="15"/>
  <c r="P172" i="9"/>
  <c r="M173" i="15"/>
  <c r="P185" i="9"/>
  <c r="M186" i="15"/>
  <c r="L191" i="9"/>
  <c r="K192" i="15"/>
  <c r="P203" i="9"/>
  <c r="M204" i="15"/>
  <c r="P189" i="9"/>
  <c r="M190" i="15"/>
  <c r="P218" i="9"/>
  <c r="P235" i="9"/>
  <c r="P207" i="9"/>
  <c r="M208" i="15"/>
  <c r="L207" i="9"/>
  <c r="K208" i="15"/>
  <c r="L209" i="9"/>
  <c r="K210" i="15"/>
  <c r="P239" i="9"/>
  <c r="P253" i="9"/>
  <c r="L255" i="9"/>
  <c r="P257" i="9"/>
  <c r="L271" i="9"/>
  <c r="P273" i="9"/>
  <c r="P268" i="9"/>
  <c r="L286" i="9"/>
  <c r="P292" i="9"/>
  <c r="P300" i="9"/>
  <c r="P277" i="9"/>
  <c r="L290" i="9"/>
  <c r="L259" i="9"/>
  <c r="P260" i="9"/>
  <c r="P276" i="9"/>
  <c r="L282" i="9"/>
  <c r="P284" i="9"/>
  <c r="P328" i="9"/>
  <c r="P334" i="9"/>
  <c r="P350" i="9"/>
  <c r="P307" i="9"/>
  <c r="L314" i="9"/>
  <c r="P316" i="9"/>
  <c r="P303" i="9"/>
  <c r="L338" i="9"/>
  <c r="P368" i="9"/>
  <c r="N369" i="15" s="1"/>
  <c r="L402" i="9"/>
  <c r="P410" i="9"/>
  <c r="N411" i="15" s="1"/>
  <c r="L363" i="9"/>
  <c r="P376" i="9"/>
  <c r="N377" i="15" s="1"/>
  <c r="P382" i="9"/>
  <c r="N383" i="15" s="1"/>
  <c r="L345" i="9"/>
  <c r="L364" i="9"/>
  <c r="P143" i="9"/>
  <c r="M144" i="15"/>
  <c r="P147" i="9"/>
  <c r="M148" i="15"/>
  <c r="L152" i="9"/>
  <c r="K153" i="15"/>
  <c r="L169" i="9"/>
  <c r="K170" i="15"/>
  <c r="P170" i="9"/>
  <c r="M171" i="15"/>
  <c r="P180" i="9"/>
  <c r="M181" i="15"/>
  <c r="P202" i="9"/>
  <c r="M203" i="15"/>
  <c r="P171" i="9"/>
  <c r="M172" i="15"/>
  <c r="P220" i="9"/>
  <c r="L237" i="9"/>
  <c r="L220" i="9"/>
  <c r="L238" i="9"/>
  <c r="P248" i="9"/>
  <c r="P258" i="9"/>
  <c r="L300" i="9"/>
  <c r="P289" i="9"/>
  <c r="P305" i="9"/>
  <c r="P329" i="9"/>
  <c r="L343" i="9"/>
  <c r="L308" i="9"/>
  <c r="L329" i="9"/>
  <c r="P343" i="9"/>
  <c r="P352" i="9"/>
  <c r="P356" i="9"/>
  <c r="L366" i="9"/>
  <c r="L380" i="9"/>
  <c r="L384" i="9"/>
  <c r="P393" i="9"/>
  <c r="N394" i="15" s="1"/>
  <c r="P395" i="9"/>
  <c r="N396" i="15" s="1"/>
  <c r="P401" i="9"/>
  <c r="N402" i="15" s="1"/>
  <c r="L350" i="9"/>
  <c r="P409" i="9"/>
  <c r="N410" i="15" s="1"/>
  <c r="P411" i="9"/>
  <c r="N412" i="15" s="1"/>
  <c r="P416" i="9"/>
  <c r="N417" i="15" s="1"/>
  <c r="U142" i="14"/>
  <c r="W144" i="14"/>
  <c r="X144" i="14"/>
  <c r="W143" i="14"/>
  <c r="U143" i="14" s="1"/>
  <c r="AE291" i="20"/>
  <c r="AE290" i="9" s="1"/>
  <c r="AE288" i="20"/>
  <c r="AE287" i="9" s="1"/>
  <c r="AE278" i="20"/>
  <c r="AE277" i="9" s="1"/>
  <c r="AE272" i="20"/>
  <c r="AE271" i="9" s="1"/>
  <c r="AE289" i="20"/>
  <c r="AE288" i="9" s="1"/>
  <c r="AE271" i="20"/>
  <c r="AE270" i="9" s="1"/>
  <c r="AE280" i="20"/>
  <c r="AE279" i="9" s="1"/>
  <c r="AE135" i="20"/>
  <c r="AE134" i="9" s="1"/>
  <c r="AE287" i="20"/>
  <c r="AE286" i="9" s="1"/>
  <c r="AE273" i="20"/>
  <c r="AE272" i="9" s="1"/>
  <c r="AE290" i="20"/>
  <c r="AE289" i="9" s="1"/>
  <c r="AE274" i="20"/>
  <c r="AE273" i="9" s="1"/>
  <c r="AE136" i="20"/>
  <c r="AE135" i="9" s="1"/>
  <c r="AG350" i="20"/>
  <c r="AI350" i="20"/>
  <c r="AI349" i="9" s="1"/>
  <c r="L350" i="20"/>
  <c r="AG349" i="20"/>
  <c r="AI349" i="20"/>
  <c r="AI348" i="9" s="1"/>
  <c r="L349" i="20"/>
  <c r="AG348" i="20"/>
  <c r="AI348" i="20"/>
  <c r="AI347" i="9" s="1"/>
  <c r="L348" i="20"/>
  <c r="B350" i="20"/>
  <c r="A351" i="14" s="1"/>
  <c r="Q351" i="14" s="1"/>
  <c r="Q350" i="20"/>
  <c r="U350" i="20"/>
  <c r="B349" i="20"/>
  <c r="Q349" i="20"/>
  <c r="U349" i="20"/>
  <c r="B348" i="20"/>
  <c r="A349" i="14" s="1"/>
  <c r="Q349" i="14" s="1"/>
  <c r="Q348" i="20"/>
  <c r="U348" i="20"/>
  <c r="U347" i="20"/>
  <c r="AG347" i="20"/>
  <c r="AI347" i="20"/>
  <c r="AI346" i="9" s="1"/>
  <c r="L347" i="20"/>
  <c r="U346" i="20"/>
  <c r="AG346" i="20"/>
  <c r="AI346" i="20"/>
  <c r="AI345" i="9" s="1"/>
  <c r="Q347" i="20"/>
  <c r="Q346" i="20"/>
  <c r="L346" i="20"/>
  <c r="AG345" i="20"/>
  <c r="AI345" i="20"/>
  <c r="AI344" i="9" s="1"/>
  <c r="L345" i="20"/>
  <c r="B346" i="20"/>
  <c r="A347" i="14" s="1"/>
  <c r="Q347" i="14" s="1"/>
  <c r="B347" i="20"/>
  <c r="A348" i="14" s="1"/>
  <c r="Q348" i="14" s="1"/>
  <c r="B345" i="20"/>
  <c r="A346" i="14" s="1"/>
  <c r="Q346" i="14" s="1"/>
  <c r="Q345" i="20"/>
  <c r="U345" i="20"/>
  <c r="U344" i="20"/>
  <c r="AG344" i="20"/>
  <c r="AI344" i="20"/>
  <c r="AI343" i="9" s="1"/>
  <c r="L344" i="20"/>
  <c r="U343" i="20"/>
  <c r="AG343" i="20"/>
  <c r="AI343" i="20"/>
  <c r="AI342" i="9" s="1"/>
  <c r="Q343" i="20"/>
  <c r="Q344" i="20"/>
  <c r="L343" i="20"/>
  <c r="AG342" i="20"/>
  <c r="AI342" i="20"/>
  <c r="AI341" i="9" s="1"/>
  <c r="L342" i="20"/>
  <c r="B343" i="20"/>
  <c r="A344" i="14" s="1"/>
  <c r="Q344" i="14" s="1"/>
  <c r="B344" i="20"/>
  <c r="A345" i="14" s="1"/>
  <c r="Q345" i="14" s="1"/>
  <c r="B342" i="20"/>
  <c r="A343" i="14" s="1"/>
  <c r="Q343" i="14" s="1"/>
  <c r="Q342" i="20"/>
  <c r="U342" i="20"/>
  <c r="AD342" i="20"/>
  <c r="AD341" i="9" s="1"/>
  <c r="AG341" i="20"/>
  <c r="AI341" i="20"/>
  <c r="AI340" i="9" s="1"/>
  <c r="L341" i="20"/>
  <c r="B341" i="20"/>
  <c r="Q341" i="20"/>
  <c r="U341" i="20"/>
  <c r="AD341" i="20"/>
  <c r="AD340" i="9" s="1"/>
  <c r="U418" i="20"/>
  <c r="U419" i="20"/>
  <c r="L419" i="20"/>
  <c r="K420" i="14" s="1"/>
  <c r="L418" i="20"/>
  <c r="K419" i="14" s="1"/>
  <c r="AG419" i="20"/>
  <c r="AG418" i="9" s="1"/>
  <c r="AI419" i="20"/>
  <c r="AI418" i="9" s="1"/>
  <c r="AG418" i="20"/>
  <c r="AG417" i="9" s="1"/>
  <c r="AI418" i="20"/>
  <c r="AI417" i="9" s="1"/>
  <c r="Q418" i="20"/>
  <c r="Q419" i="20"/>
  <c r="B418" i="20"/>
  <c r="A419" i="14" s="1"/>
  <c r="Q419" i="14" s="1"/>
  <c r="B419" i="20"/>
  <c r="A420" i="14" s="1"/>
  <c r="Q420" i="14" s="1"/>
  <c r="AG417" i="20"/>
  <c r="AG416" i="9" s="1"/>
  <c r="AI417" i="20"/>
  <c r="AI416" i="9" s="1"/>
  <c r="L417" i="20"/>
  <c r="K418" i="14" s="1"/>
  <c r="B417" i="20"/>
  <c r="A418" i="14" s="1"/>
  <c r="Q418" i="14" s="1"/>
  <c r="Q417" i="20"/>
  <c r="U417" i="20"/>
  <c r="AD417" i="20"/>
  <c r="AD416" i="9" s="1"/>
  <c r="AD414" i="20"/>
  <c r="AD413" i="9" s="1"/>
  <c r="AD415" i="20"/>
  <c r="AD414" i="9" s="1"/>
  <c r="AD416" i="20"/>
  <c r="AD415" i="9" s="1"/>
  <c r="AG416" i="20"/>
  <c r="AG415" i="9" s="1"/>
  <c r="L416" i="20"/>
  <c r="K417" i="14" s="1"/>
  <c r="B416" i="20"/>
  <c r="A417" i="14" s="1"/>
  <c r="Q417" i="14" s="1"/>
  <c r="Q416" i="20"/>
  <c r="U416" i="20"/>
  <c r="U415" i="20"/>
  <c r="AG415" i="20"/>
  <c r="AG414" i="9" s="1"/>
  <c r="AI415" i="20"/>
  <c r="AI414" i="9" s="1"/>
  <c r="Q415" i="20"/>
  <c r="L415" i="20"/>
  <c r="K416" i="14" s="1"/>
  <c r="B415" i="20"/>
  <c r="A416" i="14" s="1"/>
  <c r="Q416" i="14" s="1"/>
  <c r="U414" i="20"/>
  <c r="AG414" i="20"/>
  <c r="AG413" i="9" s="1"/>
  <c r="AI414" i="20"/>
  <c r="AI413" i="9" s="1"/>
  <c r="Q414" i="20"/>
  <c r="L414" i="20"/>
  <c r="K415" i="14" s="1"/>
  <c r="B414" i="20"/>
  <c r="A415" i="14" s="1"/>
  <c r="Q415" i="14" s="1"/>
  <c r="L413" i="20"/>
  <c r="K414" i="14" s="1"/>
  <c r="AG413" i="20"/>
  <c r="AG412" i="9" s="1"/>
  <c r="AI413" i="20"/>
  <c r="AI412" i="9" s="1"/>
  <c r="B413" i="20"/>
  <c r="A414" i="14" s="1"/>
  <c r="Q414" i="14" s="1"/>
  <c r="Q413" i="20"/>
  <c r="U413" i="20"/>
  <c r="AD413" i="20"/>
  <c r="AD412" i="9" s="1"/>
  <c r="AX32" i="14"/>
  <c r="R10" i="20"/>
  <c r="P2" i="20"/>
  <c r="R18" i="20"/>
  <c r="R6" i="20"/>
  <c r="AB388" i="20"/>
  <c r="AB362" i="20"/>
  <c r="AB294" i="20"/>
  <c r="AB4" i="20"/>
  <c r="AB5" i="20" s="1"/>
  <c r="AY26" i="15"/>
  <c r="X70" i="15"/>
  <c r="X71" i="15"/>
  <c r="W73" i="15"/>
  <c r="P3" i="20"/>
  <c r="O4" i="14" s="1"/>
  <c r="R293" i="20"/>
  <c r="P293" i="20" s="1"/>
  <c r="O294" i="14" s="1"/>
  <c r="R361" i="20"/>
  <c r="P361" i="20" s="1"/>
  <c r="O362" i="14" s="1"/>
  <c r="R5" i="20"/>
  <c r="R146" i="20"/>
  <c r="P146" i="20" s="1"/>
  <c r="O147" i="14" s="1"/>
  <c r="R294" i="20"/>
  <c r="P294" i="20" s="1"/>
  <c r="O295" i="14" s="1"/>
  <c r="R295" i="20"/>
  <c r="P295" i="20" s="1"/>
  <c r="O296" i="14" s="1"/>
  <c r="R362" i="20"/>
  <c r="P362" i="20" s="1"/>
  <c r="O363" i="14" s="1"/>
  <c r="R387" i="20"/>
  <c r="P387" i="20" s="1"/>
  <c r="O388" i="14" s="1"/>
  <c r="R388" i="20"/>
  <c r="P388" i="20" s="1"/>
  <c r="O389" i="14" s="1"/>
  <c r="R363" i="20"/>
  <c r="P363" i="20" s="1"/>
  <c r="O364" i="14" s="1"/>
  <c r="R389" i="20"/>
  <c r="P389" i="20" s="1"/>
  <c r="O390" i="14" s="1"/>
  <c r="R364" i="20"/>
  <c r="P364" i="20" s="1"/>
  <c r="O365" i="14" s="1"/>
  <c r="R365" i="20"/>
  <c r="P365" i="20" s="1"/>
  <c r="O366" i="14" s="1"/>
  <c r="R366" i="20"/>
  <c r="P366" i="20" s="1"/>
  <c r="O367" i="14" s="1"/>
  <c r="R7" i="20"/>
  <c r="P7" i="20" s="1"/>
  <c r="O8" i="14" s="1"/>
  <c r="R8" i="20"/>
  <c r="P8" i="20" s="1"/>
  <c r="O9" i="14" s="1"/>
  <c r="R9" i="20"/>
  <c r="P9" i="20" s="1"/>
  <c r="O10" i="14" s="1"/>
  <c r="R11" i="20"/>
  <c r="P11" i="20" s="1"/>
  <c r="O12" i="14" s="1"/>
  <c r="R12" i="20"/>
  <c r="R147" i="20"/>
  <c r="P147" i="20" s="1"/>
  <c r="O148" i="14" s="1"/>
  <c r="R148" i="20"/>
  <c r="P148" i="20" s="1"/>
  <c r="O149" i="14" s="1"/>
  <c r="R296" i="20"/>
  <c r="P296" i="20" s="1"/>
  <c r="O297" i="14" s="1"/>
  <c r="R367" i="20"/>
  <c r="P367" i="20" s="1"/>
  <c r="O368" i="14" s="1"/>
  <c r="R390" i="20"/>
  <c r="P390" i="20" s="1"/>
  <c r="O391" i="14" s="1"/>
  <c r="R391" i="20"/>
  <c r="P391" i="20" s="1"/>
  <c r="O392" i="14" s="1"/>
  <c r="R392" i="20"/>
  <c r="P392" i="20" s="1"/>
  <c r="O393" i="14" s="1"/>
  <c r="R393" i="20"/>
  <c r="P393" i="20" s="1"/>
  <c r="O394" i="14" s="1"/>
  <c r="R368" i="20"/>
  <c r="P368" i="20" s="1"/>
  <c r="O369" i="14" s="1"/>
  <c r="R394" i="20"/>
  <c r="P394" i="20" s="1"/>
  <c r="O395" i="14" s="1"/>
  <c r="R395" i="20"/>
  <c r="P395" i="20" s="1"/>
  <c r="O396" i="14" s="1"/>
  <c r="R369" i="20"/>
  <c r="P369" i="20" s="1"/>
  <c r="O370" i="14" s="1"/>
  <c r="R370" i="20"/>
  <c r="P370" i="20" s="1"/>
  <c r="O371" i="14" s="1"/>
  <c r="R396" i="20"/>
  <c r="P396" i="20" s="1"/>
  <c r="O397" i="14" s="1"/>
  <c r="R397" i="20"/>
  <c r="P397" i="20" s="1"/>
  <c r="O398" i="14" s="1"/>
  <c r="R297" i="20"/>
  <c r="P297" i="20" s="1"/>
  <c r="O298" i="14" s="1"/>
  <c r="R371" i="20"/>
  <c r="P371" i="20" s="1"/>
  <c r="O372" i="14" s="1"/>
  <c r="R372" i="20"/>
  <c r="P372" i="20" s="1"/>
  <c r="O373" i="14" s="1"/>
  <c r="R398" i="20"/>
  <c r="P398" i="20" s="1"/>
  <c r="O399" i="14" s="1"/>
  <c r="R399" i="20"/>
  <c r="P399" i="20" s="1"/>
  <c r="O400" i="14" s="1"/>
  <c r="R400" i="20"/>
  <c r="P400" i="20" s="1"/>
  <c r="O401" i="14" s="1"/>
  <c r="R401" i="20"/>
  <c r="P401" i="20" s="1"/>
  <c r="O402" i="14" s="1"/>
  <c r="R373" i="20"/>
  <c r="P373" i="20" s="1"/>
  <c r="O374" i="14" s="1"/>
  <c r="R402" i="20"/>
  <c r="P402" i="20" s="1"/>
  <c r="O403" i="14" s="1"/>
  <c r="R403" i="20"/>
  <c r="P403" i="20" s="1"/>
  <c r="O404" i="14" s="1"/>
  <c r="R404" i="20"/>
  <c r="P404" i="20" s="1"/>
  <c r="O405" i="14" s="1"/>
  <c r="R405" i="20"/>
  <c r="P405" i="20" s="1"/>
  <c r="O406" i="14" s="1"/>
  <c r="R406" i="20"/>
  <c r="P406" i="20" s="1"/>
  <c r="O407" i="14" s="1"/>
  <c r="R407" i="20"/>
  <c r="P407" i="20" s="1"/>
  <c r="O408" i="14" s="1"/>
  <c r="R408" i="20"/>
  <c r="P408" i="20" s="1"/>
  <c r="O409" i="14" s="1"/>
  <c r="R298" i="20"/>
  <c r="P298" i="20" s="1"/>
  <c r="O299" i="14" s="1"/>
  <c r="R149" i="20"/>
  <c r="P149" i="20" s="1"/>
  <c r="O150" i="14" s="1"/>
  <c r="R150" i="20"/>
  <c r="P150" i="20" s="1"/>
  <c r="O151" i="14" s="1"/>
  <c r="R13" i="20"/>
  <c r="P13" i="20" s="1"/>
  <c r="O14" i="14" s="1"/>
  <c r="R14" i="20"/>
  <c r="P14" i="20" s="1"/>
  <c r="O15" i="14" s="1"/>
  <c r="R15" i="20"/>
  <c r="P15" i="20" s="1"/>
  <c r="O16" i="14" s="1"/>
  <c r="R151" i="20"/>
  <c r="P151" i="20" s="1"/>
  <c r="O152" i="14" s="1"/>
  <c r="R299" i="20"/>
  <c r="P299" i="20" s="1"/>
  <c r="O300" i="14" s="1"/>
  <c r="R16" i="20"/>
  <c r="P16" i="20" s="1"/>
  <c r="O17" i="14" s="1"/>
  <c r="R17" i="20"/>
  <c r="P17" i="20" s="1"/>
  <c r="O18" i="14" s="1"/>
  <c r="R19" i="20"/>
  <c r="P19" i="20" s="1"/>
  <c r="O20" i="14" s="1"/>
  <c r="R20" i="20"/>
  <c r="P20" i="20" s="1"/>
  <c r="O21" i="14" s="1"/>
  <c r="R21" i="20"/>
  <c r="P21" i="20" s="1"/>
  <c r="O22" i="14" s="1"/>
  <c r="R152" i="20"/>
  <c r="P152" i="20" s="1"/>
  <c r="O153" i="14" s="1"/>
  <c r="R153" i="20"/>
  <c r="P153" i="20" s="1"/>
  <c r="O154" i="14" s="1"/>
  <c r="R22" i="20"/>
  <c r="P22" i="20" s="1"/>
  <c r="O23" i="14" s="1"/>
  <c r="R23" i="20"/>
  <c r="P23" i="20" s="1"/>
  <c r="O24" i="14" s="1"/>
  <c r="R24" i="20"/>
  <c r="P24" i="20" s="1"/>
  <c r="O25" i="14" s="1"/>
  <c r="R154" i="20"/>
  <c r="P154" i="20" s="1"/>
  <c r="O155" i="14" s="1"/>
  <c r="R155" i="20"/>
  <c r="P155" i="20" s="1"/>
  <c r="O156" i="14" s="1"/>
  <c r="R300" i="20"/>
  <c r="P300" i="20" s="1"/>
  <c r="O301" i="14" s="1"/>
  <c r="R374" i="20"/>
  <c r="P374" i="20" s="1"/>
  <c r="O375" i="14" s="1"/>
  <c r="R409" i="20"/>
  <c r="P409" i="20" s="1"/>
  <c r="O410" i="14" s="1"/>
  <c r="R375" i="20"/>
  <c r="P375" i="20" s="1"/>
  <c r="O376" i="14" s="1"/>
  <c r="R376" i="20"/>
  <c r="P376" i="20" s="1"/>
  <c r="O377" i="14" s="1"/>
  <c r="R301" i="20"/>
  <c r="P301" i="20" s="1"/>
  <c r="O302" i="14" s="1"/>
  <c r="R377" i="20"/>
  <c r="P377" i="20" s="1"/>
  <c r="O378" i="14" s="1"/>
  <c r="R410" i="20"/>
  <c r="P410" i="20" s="1"/>
  <c r="O411" i="14" s="1"/>
  <c r="R411" i="20"/>
  <c r="P411" i="20" s="1"/>
  <c r="O412" i="14" s="1"/>
  <c r="R378" i="20"/>
  <c r="P378" i="20" s="1"/>
  <c r="O379" i="14" s="1"/>
  <c r="R412" i="20"/>
  <c r="P412" i="20" s="1"/>
  <c r="O413" i="14" s="1"/>
  <c r="R379" i="20"/>
  <c r="P379" i="20" s="1"/>
  <c r="O380" i="14" s="1"/>
  <c r="R380" i="20"/>
  <c r="P380" i="20" s="1"/>
  <c r="O381" i="14" s="1"/>
  <c r="R25" i="20"/>
  <c r="P25" i="20" s="1"/>
  <c r="O26" i="14" s="1"/>
  <c r="R26" i="20"/>
  <c r="P26" i="20" s="1"/>
  <c r="O27" i="14" s="1"/>
  <c r="R27" i="20"/>
  <c r="P27" i="20" s="1"/>
  <c r="O28" i="14" s="1"/>
  <c r="R28" i="20"/>
  <c r="P28" i="20" s="1"/>
  <c r="O29" i="14" s="1"/>
  <c r="R29" i="20"/>
  <c r="P29" i="20" s="1"/>
  <c r="O30" i="14" s="1"/>
  <c r="R30" i="20"/>
  <c r="P30" i="20" s="1"/>
  <c r="O31" i="14" s="1"/>
  <c r="R156" i="20"/>
  <c r="P156" i="20" s="1"/>
  <c r="O157" i="14" s="1"/>
  <c r="R302" i="20"/>
  <c r="P302" i="20" s="1"/>
  <c r="O303" i="14" s="1"/>
  <c r="R381" i="20"/>
  <c r="P381" i="20" s="1"/>
  <c r="O382" i="14" s="1"/>
  <c r="R382" i="20"/>
  <c r="P382" i="20" s="1"/>
  <c r="O383" i="14" s="1"/>
  <c r="R303" i="20"/>
  <c r="P303" i="20" s="1"/>
  <c r="O304" i="14" s="1"/>
  <c r="R383" i="20"/>
  <c r="P383" i="20" s="1"/>
  <c r="O384" i="14" s="1"/>
  <c r="R384" i="20"/>
  <c r="P384" i="20" s="1"/>
  <c r="O385" i="14" s="1"/>
  <c r="R385" i="20"/>
  <c r="P385" i="20" s="1"/>
  <c r="O386" i="14" s="1"/>
  <c r="R304" i="20"/>
  <c r="P304" i="20" s="1"/>
  <c r="O305" i="14" s="1"/>
  <c r="R157" i="20"/>
  <c r="P157" i="20" s="1"/>
  <c r="O158" i="14" s="1"/>
  <c r="R305" i="20"/>
  <c r="P305" i="20" s="1"/>
  <c r="O306" i="14" s="1"/>
  <c r="R306" i="20"/>
  <c r="P306" i="20" s="1"/>
  <c r="O307" i="14" s="1"/>
  <c r="R307" i="20"/>
  <c r="P307" i="20" s="1"/>
  <c r="O308" i="14" s="1"/>
  <c r="R386" i="20"/>
  <c r="P386" i="20" s="1"/>
  <c r="O387" i="14" s="1"/>
  <c r="R31" i="20"/>
  <c r="P31" i="20" s="1"/>
  <c r="O32" i="14" s="1"/>
  <c r="R32" i="20"/>
  <c r="P32" i="20" s="1"/>
  <c r="O33" i="14" s="1"/>
  <c r="R33" i="20"/>
  <c r="P33" i="20" s="1"/>
  <c r="O34" i="14" s="1"/>
  <c r="R158" i="20"/>
  <c r="P158" i="20" s="1"/>
  <c r="O159" i="14" s="1"/>
  <c r="R159" i="20"/>
  <c r="P159" i="20" s="1"/>
  <c r="O160" i="14" s="1"/>
  <c r="P308" i="20"/>
  <c r="O309" i="14" s="1"/>
  <c r="R309" i="20"/>
  <c r="P309" i="20" s="1"/>
  <c r="O310" i="14" s="1"/>
  <c r="R34" i="20"/>
  <c r="P34" i="20" s="1"/>
  <c r="O35" i="14" s="1"/>
  <c r="R35" i="20"/>
  <c r="P35" i="20" s="1"/>
  <c r="O36" i="14" s="1"/>
  <c r="R36" i="20"/>
  <c r="P36" i="20" s="1"/>
  <c r="O37" i="14" s="1"/>
  <c r="R37" i="20"/>
  <c r="P37" i="20" s="1"/>
  <c r="O38" i="14" s="1"/>
  <c r="R38" i="20"/>
  <c r="P38" i="20" s="1"/>
  <c r="O39" i="14" s="1"/>
  <c r="R160" i="20"/>
  <c r="P160" i="20" s="1"/>
  <c r="O161" i="14" s="1"/>
  <c r="R161" i="20"/>
  <c r="P161" i="20" s="1"/>
  <c r="O162" i="14" s="1"/>
  <c r="R39" i="20"/>
  <c r="P39" i="20" s="1"/>
  <c r="O40" i="14" s="1"/>
  <c r="R162" i="20"/>
  <c r="P162" i="20" s="1"/>
  <c r="O163" i="14" s="1"/>
  <c r="R310" i="20"/>
  <c r="P310" i="20" s="1"/>
  <c r="O311" i="14" s="1"/>
  <c r="R311" i="20"/>
  <c r="P311" i="20" s="1"/>
  <c r="O312" i="14" s="1"/>
  <c r="R163" i="20"/>
  <c r="P163" i="20" s="1"/>
  <c r="O164" i="14" s="1"/>
  <c r="R312" i="20"/>
  <c r="P312" i="20" s="1"/>
  <c r="O313" i="14" s="1"/>
  <c r="R313" i="20"/>
  <c r="P313" i="20" s="1"/>
  <c r="O314" i="14" s="1"/>
  <c r="R164" i="20"/>
  <c r="P164" i="20" s="1"/>
  <c r="O165" i="14" s="1"/>
  <c r="R40" i="20"/>
  <c r="P40" i="20" s="1"/>
  <c r="O41" i="14" s="1"/>
  <c r="R165" i="20"/>
  <c r="P165" i="20" s="1"/>
  <c r="O166" i="14" s="1"/>
  <c r="R314" i="20"/>
  <c r="P314" i="20" s="1"/>
  <c r="O315" i="14" s="1"/>
  <c r="R315" i="20"/>
  <c r="P315" i="20" s="1"/>
  <c r="O316" i="14" s="1"/>
  <c r="R166" i="20"/>
  <c r="P166" i="20" s="1"/>
  <c r="O167" i="14" s="1"/>
  <c r="R316" i="20"/>
  <c r="P316" i="20" s="1"/>
  <c r="O317" i="14" s="1"/>
  <c r="R317" i="20"/>
  <c r="P317" i="20" s="1"/>
  <c r="O318" i="14" s="1"/>
  <c r="R318" i="20"/>
  <c r="P318" i="20" s="1"/>
  <c r="O319" i="14" s="1"/>
  <c r="R41" i="20"/>
  <c r="P41" i="20" s="1"/>
  <c r="O42" i="14" s="1"/>
  <c r="R167" i="20"/>
  <c r="P167" i="20" s="1"/>
  <c r="O168" i="14" s="1"/>
  <c r="R168" i="20"/>
  <c r="P168" i="20" s="1"/>
  <c r="O169" i="14" s="1"/>
  <c r="R169" i="20"/>
  <c r="P169" i="20" s="1"/>
  <c r="O170" i="14" s="1"/>
  <c r="R319" i="20"/>
  <c r="P319" i="20" s="1"/>
  <c r="O320" i="14" s="1"/>
  <c r="R170" i="20"/>
  <c r="P170" i="20" s="1"/>
  <c r="O171" i="14" s="1"/>
  <c r="R42" i="20"/>
  <c r="P42" i="20" s="1"/>
  <c r="O43" i="14" s="1"/>
  <c r="R171" i="20"/>
  <c r="P171" i="20" s="1"/>
  <c r="O172" i="14" s="1"/>
  <c r="R172" i="20"/>
  <c r="P172" i="20" s="1"/>
  <c r="O173" i="14" s="1"/>
  <c r="R173" i="20"/>
  <c r="P173" i="20" s="1"/>
  <c r="O174" i="14" s="1"/>
  <c r="R320" i="20"/>
  <c r="P320" i="20" s="1"/>
  <c r="O321" i="14" s="1"/>
  <c r="R321" i="20"/>
  <c r="P321" i="20" s="1"/>
  <c r="O322" i="14" s="1"/>
  <c r="R322" i="20"/>
  <c r="P322" i="20" s="1"/>
  <c r="O323" i="14" s="1"/>
  <c r="R43" i="20"/>
  <c r="P43" i="20" s="1"/>
  <c r="O44" i="14" s="1"/>
  <c r="R44" i="20"/>
  <c r="P44" i="20" s="1"/>
  <c r="O45" i="14" s="1"/>
  <c r="R45" i="20"/>
  <c r="P45" i="20" s="1"/>
  <c r="O46" i="14" s="1"/>
  <c r="R174" i="20"/>
  <c r="P174" i="20" s="1"/>
  <c r="O175" i="14" s="1"/>
  <c r="R323" i="20"/>
  <c r="P323" i="20" s="1"/>
  <c r="O324" i="14" s="1"/>
  <c r="R324" i="20"/>
  <c r="P324" i="20" s="1"/>
  <c r="O325" i="14" s="1"/>
  <c r="R175" i="20"/>
  <c r="P175" i="20" s="1"/>
  <c r="O176" i="14" s="1"/>
  <c r="R325" i="20"/>
  <c r="P325" i="20" s="1"/>
  <c r="O326" i="14" s="1"/>
  <c r="R326" i="20"/>
  <c r="P326" i="20" s="1"/>
  <c r="O327" i="14" s="1"/>
  <c r="R176" i="20"/>
  <c r="P176" i="20" s="1"/>
  <c r="O177" i="14" s="1"/>
  <c r="R46" i="20"/>
  <c r="P46" i="20" s="1"/>
  <c r="O47" i="14" s="1"/>
  <c r="R177" i="20"/>
  <c r="P177" i="20" s="1"/>
  <c r="O178" i="14" s="1"/>
  <c r="R178" i="20"/>
  <c r="P178" i="20" s="1"/>
  <c r="O179" i="14" s="1"/>
  <c r="R179" i="20"/>
  <c r="P179" i="20" s="1"/>
  <c r="O180" i="14" s="1"/>
  <c r="R327" i="20"/>
  <c r="P327" i="20" s="1"/>
  <c r="O328" i="14" s="1"/>
  <c r="R180" i="20"/>
  <c r="P180" i="20" s="1"/>
  <c r="O181" i="14" s="1"/>
  <c r="R47" i="20"/>
  <c r="P47" i="20" s="1"/>
  <c r="O48" i="14" s="1"/>
  <c r="R181" i="20"/>
  <c r="P181" i="20" s="1"/>
  <c r="O182" i="14" s="1"/>
  <c r="R182" i="20"/>
  <c r="P182" i="20" s="1"/>
  <c r="O183" i="14" s="1"/>
  <c r="R48" i="20"/>
  <c r="P48" i="20" s="1"/>
  <c r="O49" i="14" s="1"/>
  <c r="R183" i="20"/>
  <c r="P183" i="20" s="1"/>
  <c r="O184" i="14" s="1"/>
  <c r="R184" i="20"/>
  <c r="P184" i="20" s="1"/>
  <c r="O185" i="14" s="1"/>
  <c r="R49" i="20"/>
  <c r="P49" i="20" s="1"/>
  <c r="O50" i="14" s="1"/>
  <c r="R185" i="20"/>
  <c r="P185" i="20" s="1"/>
  <c r="O186" i="14" s="1"/>
  <c r="R328" i="20"/>
  <c r="P328" i="20" s="1"/>
  <c r="O329" i="14" s="1"/>
  <c r="R329" i="20"/>
  <c r="P329" i="20" s="1"/>
  <c r="O330" i="14" s="1"/>
  <c r="R330" i="20"/>
  <c r="P330" i="20" s="1"/>
  <c r="O331" i="14" s="1"/>
  <c r="R186" i="20"/>
  <c r="P186" i="20" s="1"/>
  <c r="O187" i="14" s="1"/>
  <c r="R187" i="20"/>
  <c r="P187" i="20" s="1"/>
  <c r="O188" i="14" s="1"/>
  <c r="R331" i="20"/>
  <c r="P331" i="20" s="1"/>
  <c r="O332" i="14" s="1"/>
  <c r="R332" i="20"/>
  <c r="P332" i="20" s="1"/>
  <c r="O333" i="14" s="1"/>
  <c r="R333" i="20"/>
  <c r="P333" i="20" s="1"/>
  <c r="O334" i="14" s="1"/>
  <c r="R188" i="20"/>
  <c r="P188" i="20" s="1"/>
  <c r="O189" i="14" s="1"/>
  <c r="R334" i="20"/>
  <c r="P334" i="20" s="1"/>
  <c r="O335" i="14" s="1"/>
  <c r="R335" i="20"/>
  <c r="P335" i="20" s="1"/>
  <c r="O336" i="14" s="1"/>
  <c r="R50" i="20"/>
  <c r="P50" i="20" s="1"/>
  <c r="O51" i="14" s="1"/>
  <c r="R189" i="20"/>
  <c r="P189" i="20" s="1"/>
  <c r="O190" i="14" s="1"/>
  <c r="R190" i="20"/>
  <c r="P190" i="20" s="1"/>
  <c r="O191" i="14" s="1"/>
  <c r="R51" i="20"/>
  <c r="P51" i="20" s="1"/>
  <c r="O52" i="14" s="1"/>
  <c r="R52" i="20"/>
  <c r="P52" i="20" s="1"/>
  <c r="O53" i="14" s="1"/>
  <c r="R191" i="20"/>
  <c r="P191" i="20" s="1"/>
  <c r="O192" i="14" s="1"/>
  <c r="R192" i="20"/>
  <c r="P192" i="20" s="1"/>
  <c r="O193" i="14" s="1"/>
  <c r="R53" i="20"/>
  <c r="P53" i="20" s="1"/>
  <c r="O54" i="14" s="1"/>
  <c r="R193" i="20"/>
  <c r="P193" i="20" s="1"/>
  <c r="O194" i="14" s="1"/>
  <c r="R194" i="20"/>
  <c r="P194" i="20" s="1"/>
  <c r="O195" i="14" s="1"/>
  <c r="R54" i="20"/>
  <c r="P54" i="20" s="1"/>
  <c r="O55" i="14" s="1"/>
  <c r="R195" i="20"/>
  <c r="P195" i="20" s="1"/>
  <c r="O196" i="14" s="1"/>
  <c r="R196" i="20"/>
  <c r="P196" i="20" s="1"/>
  <c r="O197" i="14" s="1"/>
  <c r="R197" i="20"/>
  <c r="P197" i="20" s="1"/>
  <c r="O198" i="14" s="1"/>
  <c r="R55" i="20"/>
  <c r="P55" i="20" s="1"/>
  <c r="O56" i="14" s="1"/>
  <c r="R198" i="20"/>
  <c r="P198" i="20" s="1"/>
  <c r="O199" i="14" s="1"/>
  <c r="R199" i="20"/>
  <c r="P199" i="20" s="1"/>
  <c r="O200" i="14" s="1"/>
  <c r="R200" i="20"/>
  <c r="P200" i="20" s="1"/>
  <c r="O201" i="14" s="1"/>
  <c r="R201" i="20"/>
  <c r="P201" i="20" s="1"/>
  <c r="O202" i="14" s="1"/>
  <c r="R56" i="20"/>
  <c r="P56" i="20" s="1"/>
  <c r="O57" i="14" s="1"/>
  <c r="R202" i="20"/>
  <c r="P202" i="20" s="1"/>
  <c r="O203" i="14" s="1"/>
  <c r="R340" i="20"/>
  <c r="P340" i="20" s="1"/>
  <c r="O341" i="14" s="1"/>
  <c r="R203" i="20"/>
  <c r="P203" i="20" s="1"/>
  <c r="O204" i="14" s="1"/>
  <c r="R204" i="20"/>
  <c r="P204" i="20" s="1"/>
  <c r="O205" i="14" s="1"/>
  <c r="R205" i="20"/>
  <c r="P205" i="20" s="1"/>
  <c r="O206" i="14" s="1"/>
  <c r="R57" i="20"/>
  <c r="P57" i="20" s="1"/>
  <c r="O58" i="14" s="1"/>
  <c r="R58" i="20"/>
  <c r="P58" i="20" s="1"/>
  <c r="O59" i="14" s="1"/>
  <c r="R206" i="20"/>
  <c r="P206" i="20" s="1"/>
  <c r="O207" i="14" s="1"/>
  <c r="R207" i="20"/>
  <c r="P207" i="20" s="1"/>
  <c r="O208" i="14" s="1"/>
  <c r="R59" i="20"/>
  <c r="P59" i="20" s="1"/>
  <c r="O60" i="14" s="1"/>
  <c r="R60" i="20"/>
  <c r="P60" i="20" s="1"/>
  <c r="O61" i="14" s="1"/>
  <c r="R208" i="20"/>
  <c r="P208" i="20" s="1"/>
  <c r="O209" i="14" s="1"/>
  <c r="R209" i="20"/>
  <c r="P209" i="20" s="1"/>
  <c r="O210" i="14" s="1"/>
  <c r="R210" i="20"/>
  <c r="P210" i="20" s="1"/>
  <c r="O211" i="14" s="1"/>
  <c r="R61" i="20"/>
  <c r="P61" i="20" s="1"/>
  <c r="O62" i="14" s="1"/>
  <c r="R211" i="20"/>
  <c r="P211" i="20" s="1"/>
  <c r="O212" i="14" s="1"/>
  <c r="R212" i="20"/>
  <c r="P212" i="20" s="1"/>
  <c r="O213" i="14" s="1"/>
  <c r="R62" i="20"/>
  <c r="P62" i="20" s="1"/>
  <c r="O63" i="14" s="1"/>
  <c r="R63" i="20"/>
  <c r="P63" i="20" s="1"/>
  <c r="O64" i="14" s="1"/>
  <c r="R64" i="20"/>
  <c r="P64" i="20" s="1"/>
  <c r="O65" i="14" s="1"/>
  <c r="R65" i="20"/>
  <c r="P65" i="20" s="1"/>
  <c r="O66" i="14" s="1"/>
  <c r="R213" i="20"/>
  <c r="P213" i="20" s="1"/>
  <c r="O214" i="14" s="1"/>
  <c r="R214" i="20"/>
  <c r="P214" i="20" s="1"/>
  <c r="O215" i="14" s="1"/>
  <c r="R66" i="20"/>
  <c r="P66" i="20" s="1"/>
  <c r="O67" i="14" s="1"/>
  <c r="R216" i="20"/>
  <c r="P216" i="20" s="1"/>
  <c r="O217" i="14" s="1"/>
  <c r="R217" i="20"/>
  <c r="P217" i="20" s="1"/>
  <c r="O218" i="14" s="1"/>
  <c r="R67" i="20"/>
  <c r="P67" i="20" s="1"/>
  <c r="O68" i="14" s="1"/>
  <c r="R218" i="20"/>
  <c r="P218" i="20" s="1"/>
  <c r="O219" i="14" s="1"/>
  <c r="R219" i="20"/>
  <c r="P219" i="20" s="1"/>
  <c r="O220" i="14" s="1"/>
  <c r="R220" i="20"/>
  <c r="P220" i="20" s="1"/>
  <c r="O221" i="14" s="1"/>
  <c r="R68" i="20"/>
  <c r="P68" i="20" s="1"/>
  <c r="O69" i="14" s="1"/>
  <c r="R221" i="20"/>
  <c r="P221" i="20" s="1"/>
  <c r="O222" i="14" s="1"/>
  <c r="R222" i="20"/>
  <c r="P222" i="20" s="1"/>
  <c r="O223" i="14" s="1"/>
  <c r="R223" i="20"/>
  <c r="P223" i="20" s="1"/>
  <c r="O224" i="14" s="1"/>
  <c r="R69" i="20"/>
  <c r="P69" i="20" s="1"/>
  <c r="O70" i="14" s="1"/>
  <c r="R224" i="20"/>
  <c r="P224" i="20" s="1"/>
  <c r="O225" i="14" s="1"/>
  <c r="R225" i="20"/>
  <c r="P225" i="20" s="1"/>
  <c r="O226" i="14" s="1"/>
  <c r="R226" i="20"/>
  <c r="P226" i="20" s="1"/>
  <c r="O227" i="14" s="1"/>
  <c r="R70" i="20"/>
  <c r="P70" i="20" s="1"/>
  <c r="O71" i="14" s="1"/>
  <c r="R227" i="20"/>
  <c r="P227" i="20" s="1"/>
  <c r="O228" i="14" s="1"/>
  <c r="R228" i="20"/>
  <c r="P228" i="20" s="1"/>
  <c r="O229" i="14" s="1"/>
  <c r="R229" i="20"/>
  <c r="P229" i="20" s="1"/>
  <c r="O230" i="14" s="1"/>
  <c r="R71" i="20"/>
  <c r="P71" i="20" s="1"/>
  <c r="O72" i="14" s="1"/>
  <c r="R230" i="20"/>
  <c r="P230" i="20" s="1"/>
  <c r="O231" i="14" s="1"/>
  <c r="R231" i="20"/>
  <c r="P231" i="20" s="1"/>
  <c r="O232" i="14" s="1"/>
  <c r="R72" i="20"/>
  <c r="P72" i="20" s="1"/>
  <c r="O73" i="14" s="1"/>
  <c r="R73" i="20"/>
  <c r="P73" i="20" s="1"/>
  <c r="O74" i="14" s="1"/>
  <c r="R232" i="20"/>
  <c r="P232" i="20" s="1"/>
  <c r="O233" i="14" s="1"/>
  <c r="R74" i="20"/>
  <c r="P74" i="20" s="1"/>
  <c r="O75" i="14" s="1"/>
  <c r="R75" i="20"/>
  <c r="P75" i="20" s="1"/>
  <c r="O76" i="14" s="1"/>
  <c r="R234" i="20"/>
  <c r="P234" i="20" s="1"/>
  <c r="O235" i="14" s="1"/>
  <c r="R235" i="20"/>
  <c r="P235" i="20" s="1"/>
  <c r="O236" i="14" s="1"/>
  <c r="R236" i="20"/>
  <c r="P236" i="20" s="1"/>
  <c r="O237" i="14" s="1"/>
  <c r="R76" i="20"/>
  <c r="P76" i="20" s="1"/>
  <c r="O77" i="14" s="1"/>
  <c r="R237" i="20"/>
  <c r="P237" i="20" s="1"/>
  <c r="O238" i="14" s="1"/>
  <c r="R238" i="20"/>
  <c r="P238" i="20" s="1"/>
  <c r="O239" i="14" s="1"/>
  <c r="R239" i="20"/>
  <c r="P239" i="20" s="1"/>
  <c r="O240" i="14" s="1"/>
  <c r="R240" i="20"/>
  <c r="P240" i="20" s="1"/>
  <c r="O241" i="14" s="1"/>
  <c r="R77" i="20"/>
  <c r="R241" i="20"/>
  <c r="P241" i="20" s="1"/>
  <c r="O242" i="14" s="1"/>
  <c r="R242" i="20"/>
  <c r="P242" i="20" s="1"/>
  <c r="O243" i="14" s="1"/>
  <c r="R243" i="20"/>
  <c r="P243" i="20" s="1"/>
  <c r="O244" i="14" s="1"/>
  <c r="R78" i="20"/>
  <c r="P78" i="20" s="1"/>
  <c r="O79" i="14" s="1"/>
  <c r="R244" i="20"/>
  <c r="P244" i="20" s="1"/>
  <c r="O245" i="14" s="1"/>
  <c r="R245" i="20"/>
  <c r="P245" i="20" s="1"/>
  <c r="O246" i="14" s="1"/>
  <c r="R246" i="20"/>
  <c r="P246" i="20" s="1"/>
  <c r="O247" i="14" s="1"/>
  <c r="R79" i="20"/>
  <c r="P79" i="20" s="1"/>
  <c r="O80" i="14" s="1"/>
  <c r="R247" i="20"/>
  <c r="P247" i="20" s="1"/>
  <c r="O248" i="14" s="1"/>
  <c r="R248" i="20"/>
  <c r="P248" i="20" s="1"/>
  <c r="O249" i="14" s="1"/>
  <c r="R249" i="20"/>
  <c r="P249" i="20" s="1"/>
  <c r="O250" i="14" s="1"/>
  <c r="R250" i="20"/>
  <c r="P250" i="20" s="1"/>
  <c r="O251" i="14" s="1"/>
  <c r="R80" i="20"/>
  <c r="P80" i="20" s="1"/>
  <c r="O81" i="14" s="1"/>
  <c r="R251" i="20"/>
  <c r="P251" i="20" s="1"/>
  <c r="O252" i="14" s="1"/>
  <c r="R252" i="20"/>
  <c r="P252" i="20" s="1"/>
  <c r="O253" i="14" s="1"/>
  <c r="R81" i="20"/>
  <c r="P81" i="20" s="1"/>
  <c r="O82" i="14" s="1"/>
  <c r="R253" i="20"/>
  <c r="P253" i="20" s="1"/>
  <c r="O254" i="14" s="1"/>
  <c r="R254" i="20"/>
  <c r="P254" i="20" s="1"/>
  <c r="O255" i="14" s="1"/>
  <c r="R255" i="20"/>
  <c r="P255" i="20" s="1"/>
  <c r="O256" i="14" s="1"/>
  <c r="R256" i="20"/>
  <c r="P256" i="20" s="1"/>
  <c r="O257" i="14" s="1"/>
  <c r="R82" i="20"/>
  <c r="P82" i="20" s="1"/>
  <c r="O83" i="14" s="1"/>
  <c r="R257" i="20"/>
  <c r="P257" i="20" s="1"/>
  <c r="O258" i="14" s="1"/>
  <c r="R258" i="20"/>
  <c r="P258" i="20" s="1"/>
  <c r="O259" i="14" s="1"/>
  <c r="R259" i="20"/>
  <c r="P259" i="20" s="1"/>
  <c r="O260" i="14" s="1"/>
  <c r="R83" i="20"/>
  <c r="P83" i="20" s="1"/>
  <c r="O84" i="14" s="1"/>
  <c r="R260" i="20"/>
  <c r="P260" i="20" s="1"/>
  <c r="O261" i="14" s="1"/>
  <c r="R261" i="20"/>
  <c r="P261" i="20" s="1"/>
  <c r="O262" i="14" s="1"/>
  <c r="R262" i="20"/>
  <c r="P262" i="20" s="1"/>
  <c r="O263" i="14" s="1"/>
  <c r="R263" i="20"/>
  <c r="P263" i="20" s="1"/>
  <c r="O264" i="14" s="1"/>
  <c r="R84" i="20"/>
  <c r="P84" i="20" s="1"/>
  <c r="O85" i="14" s="1"/>
  <c r="R264" i="20"/>
  <c r="P264" i="20" s="1"/>
  <c r="O265" i="14" s="1"/>
  <c r="R265" i="20"/>
  <c r="P265" i="20" s="1"/>
  <c r="O266" i="14" s="1"/>
  <c r="R85" i="20"/>
  <c r="P85" i="20" s="1"/>
  <c r="O86" i="14" s="1"/>
  <c r="R86" i="20"/>
  <c r="P86" i="20" s="1"/>
  <c r="O87" i="14" s="1"/>
  <c r="R266" i="20"/>
  <c r="P266" i="20" s="1"/>
  <c r="O267" i="14" s="1"/>
  <c r="R267" i="20"/>
  <c r="P267" i="20" s="1"/>
  <c r="O268" i="14" s="1"/>
  <c r="R87" i="20"/>
  <c r="P87" i="20" s="1"/>
  <c r="O88" i="14" s="1"/>
  <c r="R268" i="20"/>
  <c r="P268" i="20" s="1"/>
  <c r="O269" i="14" s="1"/>
  <c r="R269" i="20"/>
  <c r="P269" i="20" s="1"/>
  <c r="O270" i="14" s="1"/>
  <c r="R88" i="20"/>
  <c r="P88" i="20" s="1"/>
  <c r="O89" i="14" s="1"/>
  <c r="R270" i="20"/>
  <c r="P270" i="20" s="1"/>
  <c r="O271" i="14" s="1"/>
  <c r="R89" i="20"/>
  <c r="P89" i="20" s="1"/>
  <c r="O90" i="14" s="1"/>
  <c r="R90" i="20"/>
  <c r="P90" i="20" s="1"/>
  <c r="O91" i="14" s="1"/>
  <c r="R91" i="20"/>
  <c r="P91" i="20" s="1"/>
  <c r="O92" i="14" s="1"/>
  <c r="R92" i="20"/>
  <c r="P92" i="20" s="1"/>
  <c r="O93" i="14" s="1"/>
  <c r="R275" i="20"/>
  <c r="P275" i="20" s="1"/>
  <c r="O276" i="14" s="1"/>
  <c r="R276" i="20"/>
  <c r="P276" i="20" s="1"/>
  <c r="O277" i="14" s="1"/>
  <c r="R277" i="20"/>
  <c r="P277" i="20" s="1"/>
  <c r="O278" i="14" s="1"/>
  <c r="R93" i="20"/>
  <c r="P93" i="20" s="1"/>
  <c r="O94" i="14" s="1"/>
  <c r="R94" i="20"/>
  <c r="P94" i="20" s="1"/>
  <c r="O95" i="14" s="1"/>
  <c r="R95" i="20"/>
  <c r="P95" i="20" s="1"/>
  <c r="O96" i="14" s="1"/>
  <c r="R279" i="20"/>
  <c r="P279" i="20" s="1"/>
  <c r="O280" i="14" s="1"/>
  <c r="R96" i="20"/>
  <c r="P96" i="20" s="1"/>
  <c r="O97" i="14" s="1"/>
  <c r="R97" i="20"/>
  <c r="P97" i="20" s="1"/>
  <c r="O98" i="14" s="1"/>
  <c r="R98" i="20"/>
  <c r="P98" i="20" s="1"/>
  <c r="O99" i="14" s="1"/>
  <c r="R99" i="20"/>
  <c r="P99" i="20" s="1"/>
  <c r="O100" i="14" s="1"/>
  <c r="R100" i="20"/>
  <c r="P100" i="20" s="1"/>
  <c r="O101" i="14" s="1"/>
  <c r="R281" i="20"/>
  <c r="P281" i="20" s="1"/>
  <c r="O282" i="14" s="1"/>
  <c r="R282" i="20"/>
  <c r="P282" i="20" s="1"/>
  <c r="O283" i="14" s="1"/>
  <c r="R283" i="20"/>
  <c r="P283" i="20" s="1"/>
  <c r="O284" i="14" s="1"/>
  <c r="R101" i="20"/>
  <c r="P101" i="20" s="1"/>
  <c r="O102" i="14" s="1"/>
  <c r="R284" i="20"/>
  <c r="P284" i="20" s="1"/>
  <c r="O285" i="14" s="1"/>
  <c r="R285" i="20"/>
  <c r="P285" i="20" s="1"/>
  <c r="O286" i="14" s="1"/>
  <c r="R286" i="20"/>
  <c r="P286" i="20" s="1"/>
  <c r="O287" i="14" s="1"/>
  <c r="R102" i="20"/>
  <c r="P102" i="20" s="1"/>
  <c r="O103" i="14" s="1"/>
  <c r="R103" i="20"/>
  <c r="P103" i="20" s="1"/>
  <c r="O104" i="14" s="1"/>
  <c r="R104" i="20"/>
  <c r="P104" i="20" s="1"/>
  <c r="O105" i="14" s="1"/>
  <c r="R105" i="20"/>
  <c r="P105" i="20" s="1"/>
  <c r="O106" i="14" s="1"/>
  <c r="R106" i="20"/>
  <c r="P106" i="20" s="1"/>
  <c r="O107" i="14" s="1"/>
  <c r="R107" i="20"/>
  <c r="P107" i="20" s="1"/>
  <c r="O108" i="14" s="1"/>
  <c r="R108" i="20"/>
  <c r="P108" i="20" s="1"/>
  <c r="O109" i="14" s="1"/>
  <c r="R109" i="20"/>
  <c r="P109" i="20" s="1"/>
  <c r="O110" i="14" s="1"/>
  <c r="R110" i="20"/>
  <c r="P110" i="20" s="1"/>
  <c r="O111" i="14" s="1"/>
  <c r="R111" i="20"/>
  <c r="P111" i="20" s="1"/>
  <c r="O112" i="14" s="1"/>
  <c r="R112" i="20"/>
  <c r="P112" i="20" s="1"/>
  <c r="O113" i="14" s="1"/>
  <c r="R113" i="20"/>
  <c r="P113" i="20" s="1"/>
  <c r="O114" i="14" s="1"/>
  <c r="R114" i="20"/>
  <c r="P114" i="20" s="1"/>
  <c r="O115" i="14" s="1"/>
  <c r="R115" i="20"/>
  <c r="P115" i="20" s="1"/>
  <c r="O116" i="14" s="1"/>
  <c r="R116" i="20"/>
  <c r="P116" i="20" s="1"/>
  <c r="O117" i="14" s="1"/>
  <c r="R117" i="20"/>
  <c r="P117" i="20" s="1"/>
  <c r="O118" i="14" s="1"/>
  <c r="R118" i="20"/>
  <c r="P118" i="20" s="1"/>
  <c r="O119" i="14" s="1"/>
  <c r="R119" i="20"/>
  <c r="P119" i="20" s="1"/>
  <c r="O120" i="14" s="1"/>
  <c r="R120" i="20"/>
  <c r="P120" i="20" s="1"/>
  <c r="O121" i="14" s="1"/>
  <c r="R121" i="20"/>
  <c r="P121" i="20" s="1"/>
  <c r="O122" i="14" s="1"/>
  <c r="R292" i="20"/>
  <c r="P292" i="20" s="1"/>
  <c r="O293" i="14" s="1"/>
  <c r="R122" i="20"/>
  <c r="P122" i="20" s="1"/>
  <c r="O123" i="14" s="1"/>
  <c r="R123" i="20"/>
  <c r="P123" i="20" s="1"/>
  <c r="O124" i="14" s="1"/>
  <c r="R124" i="20"/>
  <c r="P124" i="20" s="1"/>
  <c r="O125" i="14" s="1"/>
  <c r="R125" i="20"/>
  <c r="P125" i="20" s="1"/>
  <c r="O126" i="14" s="1"/>
  <c r="R126" i="20"/>
  <c r="P126" i="20" s="1"/>
  <c r="O127" i="14" s="1"/>
  <c r="R127" i="20"/>
  <c r="P127" i="20" s="1"/>
  <c r="O128" i="14" s="1"/>
  <c r="R128" i="20"/>
  <c r="P128" i="20" s="1"/>
  <c r="O129" i="14" s="1"/>
  <c r="R129" i="20"/>
  <c r="P129" i="20" s="1"/>
  <c r="O130" i="14" s="1"/>
  <c r="R130" i="20"/>
  <c r="P130" i="20" s="1"/>
  <c r="O131" i="14" s="1"/>
  <c r="R131" i="20"/>
  <c r="P131" i="20" s="1"/>
  <c r="O132" i="14" s="1"/>
  <c r="R132" i="20"/>
  <c r="P132" i="20" s="1"/>
  <c r="O133" i="14" s="1"/>
  <c r="R133" i="20"/>
  <c r="P133" i="20" s="1"/>
  <c r="O134" i="14" s="1"/>
  <c r="R134" i="20"/>
  <c r="P134" i="20" s="1"/>
  <c r="O135" i="14" s="1"/>
  <c r="R137" i="20"/>
  <c r="P137" i="20" s="1"/>
  <c r="O138" i="14" s="1"/>
  <c r="R138" i="20"/>
  <c r="P138" i="20" s="1"/>
  <c r="O139" i="14" s="1"/>
  <c r="R139" i="20"/>
  <c r="P139" i="20" s="1"/>
  <c r="O140" i="14" s="1"/>
  <c r="R140" i="20"/>
  <c r="P140" i="20" s="1"/>
  <c r="O141" i="14" s="1"/>
  <c r="R141" i="20"/>
  <c r="P141" i="20" s="1"/>
  <c r="O142" i="14" s="1"/>
  <c r="R142" i="20"/>
  <c r="P142" i="20" s="1"/>
  <c r="O143" i="14" s="1"/>
  <c r="R144" i="20"/>
  <c r="P144" i="20" s="1"/>
  <c r="O145" i="14" s="1"/>
  <c r="R145" i="20"/>
  <c r="P145" i="20" s="1"/>
  <c r="O146" i="14" s="1"/>
  <c r="P4" i="20"/>
  <c r="O5" i="14" s="1"/>
  <c r="P5" i="20"/>
  <c r="O6" i="14" s="1"/>
  <c r="P1" i="9"/>
  <c r="AK1" i="9"/>
  <c r="AJ1" i="9"/>
  <c r="AI1" i="9"/>
  <c r="AE1" i="9"/>
  <c r="AF1" i="9"/>
  <c r="AC1" i="9"/>
  <c r="AB1" i="9"/>
  <c r="Y1" i="9"/>
  <c r="Z1" i="9"/>
  <c r="AA1" i="9"/>
  <c r="X1" i="9"/>
  <c r="U1" i="9"/>
  <c r="T1" i="9"/>
  <c r="S1" i="9"/>
  <c r="R1" i="9"/>
  <c r="Q1" i="9"/>
  <c r="O1" i="9"/>
  <c r="N1" i="9"/>
  <c r="L3" i="14" s="1"/>
  <c r="M1" i="9"/>
  <c r="L1" i="9"/>
  <c r="K1" i="9"/>
  <c r="H133" i="9"/>
  <c r="H132" i="9"/>
  <c r="H131" i="9"/>
  <c r="H130" i="9"/>
  <c r="H129" i="9"/>
  <c r="H128" i="9"/>
  <c r="H127" i="9"/>
  <c r="H126" i="9"/>
  <c r="H125" i="9"/>
  <c r="G127" i="15" s="1"/>
  <c r="H124" i="9"/>
  <c r="H123" i="9"/>
  <c r="G125" i="15" s="1"/>
  <c r="H122" i="9"/>
  <c r="G124" i="15" s="1"/>
  <c r="H121" i="9"/>
  <c r="H120" i="9"/>
  <c r="H119" i="9"/>
  <c r="H118" i="9"/>
  <c r="H117" i="9"/>
  <c r="G119" i="15" s="1"/>
  <c r="H116" i="9"/>
  <c r="G118" i="15" s="1"/>
  <c r="H115" i="9"/>
  <c r="H114" i="9"/>
  <c r="H113" i="9"/>
  <c r="H112" i="9"/>
  <c r="H111" i="9"/>
  <c r="H110" i="9"/>
  <c r="H109" i="9"/>
  <c r="H108" i="9"/>
  <c r="H107" i="9"/>
  <c r="H106" i="9"/>
  <c r="H105" i="9"/>
  <c r="H104" i="9"/>
  <c r="H103" i="9"/>
  <c r="H102" i="9"/>
  <c r="H101" i="9"/>
  <c r="H100" i="9"/>
  <c r="H99" i="9"/>
  <c r="H98" i="9"/>
  <c r="H97" i="9"/>
  <c r="H96" i="9"/>
  <c r="H95" i="9"/>
  <c r="H94" i="9"/>
  <c r="H93" i="9"/>
  <c r="H92" i="9"/>
  <c r="H91" i="9"/>
  <c r="H90" i="9"/>
  <c r="H89" i="9"/>
  <c r="H88" i="9"/>
  <c r="H87" i="9"/>
  <c r="H86" i="9"/>
  <c r="H85" i="9"/>
  <c r="H84" i="9"/>
  <c r="H83" i="9"/>
  <c r="G85" i="15" s="1"/>
  <c r="H82" i="9"/>
  <c r="H81" i="9"/>
  <c r="H80" i="9"/>
  <c r="H79" i="9"/>
  <c r="H78" i="9"/>
  <c r="H77" i="9"/>
  <c r="H76" i="9"/>
  <c r="H75" i="9"/>
  <c r="H74" i="9"/>
  <c r="H73" i="9"/>
  <c r="H72" i="9"/>
  <c r="H71" i="9"/>
  <c r="G73" i="15" s="1"/>
  <c r="H70" i="9"/>
  <c r="H69" i="9"/>
  <c r="H68" i="9"/>
  <c r="H67" i="9"/>
  <c r="H66" i="9"/>
  <c r="H65" i="9"/>
  <c r="H64" i="9"/>
  <c r="H63" i="9"/>
  <c r="G65" i="15" s="1"/>
  <c r="H62" i="9"/>
  <c r="H61" i="9"/>
  <c r="H60" i="9"/>
  <c r="H59" i="9"/>
  <c r="G61" i="15" s="1"/>
  <c r="H58" i="9"/>
  <c r="H57" i="9"/>
  <c r="G59" i="15" s="1"/>
  <c r="H56" i="9"/>
  <c r="H55" i="9"/>
  <c r="H54" i="9"/>
  <c r="G56" i="15" s="1"/>
  <c r="H53" i="9"/>
  <c r="H52" i="9"/>
  <c r="G54" i="15" s="1"/>
  <c r="H51" i="9"/>
  <c r="H50" i="9"/>
  <c r="H49" i="9"/>
  <c r="H48" i="9"/>
  <c r="H47" i="9"/>
  <c r="H46" i="9"/>
  <c r="H45" i="9"/>
  <c r="H44" i="9"/>
  <c r="H43" i="9"/>
  <c r="H42" i="9"/>
  <c r="H41" i="9"/>
  <c r="G43" i="15" s="1"/>
  <c r="H40" i="9"/>
  <c r="H39" i="9"/>
  <c r="H38" i="9"/>
  <c r="H37" i="9"/>
  <c r="H36" i="9"/>
  <c r="H35" i="9"/>
  <c r="H34" i="9"/>
  <c r="H33" i="9"/>
  <c r="G35" i="15" s="1"/>
  <c r="H32" i="9"/>
  <c r="G34" i="15" s="1"/>
  <c r="H31" i="9"/>
  <c r="G33" i="15" s="1"/>
  <c r="H30" i="9"/>
  <c r="H29" i="9"/>
  <c r="G31" i="15" s="1"/>
  <c r="H28" i="9"/>
  <c r="H27" i="9"/>
  <c r="H26" i="9"/>
  <c r="H25" i="9"/>
  <c r="H24" i="9"/>
  <c r="H23" i="9"/>
  <c r="H22" i="9"/>
  <c r="H21" i="9"/>
  <c r="H20" i="9"/>
  <c r="H19" i="9"/>
  <c r="H18" i="9"/>
  <c r="H17" i="9"/>
  <c r="H16" i="9"/>
  <c r="H15" i="9"/>
  <c r="H14" i="9"/>
  <c r="H13" i="9"/>
  <c r="H12" i="9"/>
  <c r="H11" i="9"/>
  <c r="H10" i="9"/>
  <c r="H9" i="9"/>
  <c r="H8" i="9"/>
  <c r="H7" i="9"/>
  <c r="H6" i="9"/>
  <c r="H5" i="9"/>
  <c r="H4" i="9"/>
  <c r="H3" i="9"/>
  <c r="H2" i="9"/>
  <c r="G15" i="9"/>
  <c r="F17" i="15" s="1"/>
  <c r="G16" i="9"/>
  <c r="F18" i="15" s="1"/>
  <c r="G17" i="9"/>
  <c r="F19" i="15" s="1"/>
  <c r="G18" i="9"/>
  <c r="F20" i="15" s="1"/>
  <c r="G19" i="9"/>
  <c r="F21" i="15" s="1"/>
  <c r="G20" i="9"/>
  <c r="F22" i="15" s="1"/>
  <c r="G21" i="9"/>
  <c r="F23" i="15" s="1"/>
  <c r="G22" i="9"/>
  <c r="F24" i="15" s="1"/>
  <c r="G23" i="9"/>
  <c r="F25" i="15" s="1"/>
  <c r="G24" i="9"/>
  <c r="F26" i="15" s="1"/>
  <c r="G25" i="9"/>
  <c r="F27" i="15" s="1"/>
  <c r="G26" i="9"/>
  <c r="F28" i="15" s="1"/>
  <c r="G27" i="9"/>
  <c r="F29" i="15" s="1"/>
  <c r="G28" i="9"/>
  <c r="F30" i="15" s="1"/>
  <c r="G29" i="9"/>
  <c r="F31" i="15" s="1"/>
  <c r="G30" i="9"/>
  <c r="F32" i="15" s="1"/>
  <c r="G31" i="9"/>
  <c r="F33" i="15" s="1"/>
  <c r="G32" i="9"/>
  <c r="F34" i="15" s="1"/>
  <c r="G33" i="9"/>
  <c r="F35" i="15" s="1"/>
  <c r="G34" i="9"/>
  <c r="F36" i="15" s="1"/>
  <c r="G35" i="9"/>
  <c r="F37" i="15" s="1"/>
  <c r="G36" i="9"/>
  <c r="F38" i="15" s="1"/>
  <c r="G37" i="9"/>
  <c r="F39" i="15" s="1"/>
  <c r="G38" i="9"/>
  <c r="F40" i="15" s="1"/>
  <c r="G39" i="9"/>
  <c r="F41" i="15" s="1"/>
  <c r="G40" i="9"/>
  <c r="F42" i="15" s="1"/>
  <c r="G41" i="9"/>
  <c r="F43" i="15" s="1"/>
  <c r="G42" i="9"/>
  <c r="F44" i="15" s="1"/>
  <c r="G43" i="9"/>
  <c r="F45" i="15" s="1"/>
  <c r="G44" i="9"/>
  <c r="F46" i="15" s="1"/>
  <c r="G45" i="9"/>
  <c r="F47" i="15" s="1"/>
  <c r="G46" i="9"/>
  <c r="F48" i="15" s="1"/>
  <c r="G47" i="9"/>
  <c r="F49" i="15" s="1"/>
  <c r="G48" i="9"/>
  <c r="F50" i="15" s="1"/>
  <c r="G49" i="9"/>
  <c r="F51" i="15" s="1"/>
  <c r="G50" i="9"/>
  <c r="F52" i="15" s="1"/>
  <c r="G51" i="9"/>
  <c r="F53" i="15" s="1"/>
  <c r="G52" i="9"/>
  <c r="F54" i="15" s="1"/>
  <c r="G53" i="9"/>
  <c r="F55" i="15" s="1"/>
  <c r="G54" i="9"/>
  <c r="F56" i="15" s="1"/>
  <c r="G55" i="9"/>
  <c r="F57" i="15" s="1"/>
  <c r="G56" i="9"/>
  <c r="F58" i="15" s="1"/>
  <c r="G57" i="9"/>
  <c r="F59" i="15" s="1"/>
  <c r="G58" i="9"/>
  <c r="F60" i="15" s="1"/>
  <c r="G59" i="9"/>
  <c r="F61" i="15" s="1"/>
  <c r="G60" i="9"/>
  <c r="F62" i="15" s="1"/>
  <c r="G61" i="9"/>
  <c r="F63" i="15" s="1"/>
  <c r="G62" i="9"/>
  <c r="F64" i="15" s="1"/>
  <c r="G63" i="9"/>
  <c r="F65" i="15" s="1"/>
  <c r="G64" i="9"/>
  <c r="F66" i="15" s="1"/>
  <c r="G65" i="9"/>
  <c r="F67" i="15" s="1"/>
  <c r="G66" i="9"/>
  <c r="F68" i="15" s="1"/>
  <c r="G67" i="9"/>
  <c r="F69" i="15" s="1"/>
  <c r="G68" i="9"/>
  <c r="F70" i="15" s="1"/>
  <c r="G69" i="9"/>
  <c r="F71" i="15" s="1"/>
  <c r="G70" i="9"/>
  <c r="F72" i="15" s="1"/>
  <c r="G71" i="9"/>
  <c r="F73" i="15" s="1"/>
  <c r="G72" i="9"/>
  <c r="F74" i="15" s="1"/>
  <c r="G73" i="9"/>
  <c r="F75" i="15" s="1"/>
  <c r="G74" i="9"/>
  <c r="F76" i="15" s="1"/>
  <c r="G75" i="9"/>
  <c r="F77" i="15" s="1"/>
  <c r="G76" i="9"/>
  <c r="F78" i="15" s="1"/>
  <c r="G77" i="9"/>
  <c r="F79" i="15" s="1"/>
  <c r="G78" i="9"/>
  <c r="F80" i="15" s="1"/>
  <c r="G79" i="9"/>
  <c r="F81" i="15" s="1"/>
  <c r="G80" i="9"/>
  <c r="F82" i="15" s="1"/>
  <c r="G81" i="9"/>
  <c r="F83" i="15" s="1"/>
  <c r="G82" i="9"/>
  <c r="F84" i="15" s="1"/>
  <c r="G83" i="9"/>
  <c r="F85" i="15" s="1"/>
  <c r="G84" i="9"/>
  <c r="F86" i="15" s="1"/>
  <c r="G85" i="9"/>
  <c r="F87" i="15" s="1"/>
  <c r="G86" i="9"/>
  <c r="F88" i="15" s="1"/>
  <c r="G87" i="9"/>
  <c r="F89" i="15" s="1"/>
  <c r="G88" i="9"/>
  <c r="F90" i="15" s="1"/>
  <c r="G89" i="9"/>
  <c r="F91" i="15" s="1"/>
  <c r="G90" i="9"/>
  <c r="F92" i="15" s="1"/>
  <c r="G91" i="9"/>
  <c r="F93" i="15" s="1"/>
  <c r="G92" i="9"/>
  <c r="F94" i="15" s="1"/>
  <c r="G93" i="9"/>
  <c r="F95" i="15" s="1"/>
  <c r="G94" i="9"/>
  <c r="F96" i="15" s="1"/>
  <c r="G95" i="9"/>
  <c r="F97" i="15" s="1"/>
  <c r="G96" i="9"/>
  <c r="F98" i="15" s="1"/>
  <c r="G97" i="9"/>
  <c r="F99" i="15" s="1"/>
  <c r="G98" i="9"/>
  <c r="F100" i="15" s="1"/>
  <c r="G99" i="9"/>
  <c r="F101" i="15" s="1"/>
  <c r="G100" i="9"/>
  <c r="F102" i="15" s="1"/>
  <c r="G101" i="9"/>
  <c r="F103" i="15" s="1"/>
  <c r="G102" i="9"/>
  <c r="F104" i="15" s="1"/>
  <c r="G103" i="9"/>
  <c r="F105" i="15" s="1"/>
  <c r="G104" i="9"/>
  <c r="F106" i="15" s="1"/>
  <c r="G105" i="9"/>
  <c r="F107" i="15" s="1"/>
  <c r="G106" i="9"/>
  <c r="F108" i="15" s="1"/>
  <c r="G107" i="9"/>
  <c r="F109" i="15" s="1"/>
  <c r="G108" i="9"/>
  <c r="F110" i="15" s="1"/>
  <c r="G109" i="9"/>
  <c r="F111" i="15" s="1"/>
  <c r="G110" i="9"/>
  <c r="F112" i="15" s="1"/>
  <c r="G111" i="9"/>
  <c r="F113" i="15" s="1"/>
  <c r="G112" i="9"/>
  <c r="F114" i="15" s="1"/>
  <c r="G113" i="9"/>
  <c r="F115" i="15" s="1"/>
  <c r="G114" i="9"/>
  <c r="F116" i="15" s="1"/>
  <c r="G115" i="9"/>
  <c r="F117" i="15" s="1"/>
  <c r="G116" i="9"/>
  <c r="F118" i="15" s="1"/>
  <c r="G117" i="9"/>
  <c r="F119" i="15" s="1"/>
  <c r="G118" i="9"/>
  <c r="F120" i="15" s="1"/>
  <c r="G119" i="9"/>
  <c r="F121" i="15" s="1"/>
  <c r="G120" i="9"/>
  <c r="F122" i="15" s="1"/>
  <c r="G121" i="9"/>
  <c r="F123" i="15" s="1"/>
  <c r="G122" i="9"/>
  <c r="F124" i="15" s="1"/>
  <c r="G123" i="9"/>
  <c r="F125" i="15" s="1"/>
  <c r="G124" i="9"/>
  <c r="F126" i="15" s="1"/>
  <c r="G125" i="9"/>
  <c r="F127" i="15" s="1"/>
  <c r="G126" i="9"/>
  <c r="F128" i="15" s="1"/>
  <c r="G127" i="9"/>
  <c r="F129" i="15" s="1"/>
  <c r="G128" i="9"/>
  <c r="F130" i="15" s="1"/>
  <c r="G129" i="9"/>
  <c r="F131" i="15" s="1"/>
  <c r="G130" i="9"/>
  <c r="F132" i="15" s="1"/>
  <c r="G131" i="9"/>
  <c r="F133" i="15" s="1"/>
  <c r="G132" i="9"/>
  <c r="F134" i="15" s="1"/>
  <c r="G133" i="9"/>
  <c r="F135" i="15" s="1"/>
  <c r="G13" i="9"/>
  <c r="F15" i="15" s="1"/>
  <c r="G14" i="9"/>
  <c r="F16" i="15" s="1"/>
  <c r="G12" i="9"/>
  <c r="F14" i="15" s="1"/>
  <c r="G3" i="9"/>
  <c r="F5" i="15" s="1"/>
  <c r="G4" i="9"/>
  <c r="F6" i="15" s="1"/>
  <c r="G5" i="9"/>
  <c r="F7" i="15" s="1"/>
  <c r="G6" i="9"/>
  <c r="F8" i="15" s="1"/>
  <c r="G7" i="9"/>
  <c r="F9" i="15" s="1"/>
  <c r="G8" i="9"/>
  <c r="F10" i="15" s="1"/>
  <c r="G9" i="9"/>
  <c r="F11" i="15" s="1"/>
  <c r="G10" i="9"/>
  <c r="F12" i="15" s="1"/>
  <c r="G11" i="9"/>
  <c r="F13" i="15" s="1"/>
  <c r="G2" i="9"/>
  <c r="F63" i="9"/>
  <c r="E65" i="15" s="1"/>
  <c r="F64" i="9"/>
  <c r="E66" i="15" s="1"/>
  <c r="F65" i="9"/>
  <c r="E67" i="15" s="1"/>
  <c r="F66" i="9"/>
  <c r="E68" i="15" s="1"/>
  <c r="F67" i="9"/>
  <c r="E69" i="15" s="1"/>
  <c r="F68" i="9"/>
  <c r="E70" i="15" s="1"/>
  <c r="F69" i="9"/>
  <c r="E71" i="15" s="1"/>
  <c r="F70" i="9"/>
  <c r="E72" i="15" s="1"/>
  <c r="F71" i="9"/>
  <c r="E73" i="15" s="1"/>
  <c r="F72" i="9"/>
  <c r="E74" i="15" s="1"/>
  <c r="F73" i="9"/>
  <c r="E75" i="15" s="1"/>
  <c r="F74" i="9"/>
  <c r="E76" i="15" s="1"/>
  <c r="F75" i="9"/>
  <c r="E77" i="15" s="1"/>
  <c r="F76" i="9"/>
  <c r="E78" i="15" s="1"/>
  <c r="F77" i="9"/>
  <c r="E79" i="15" s="1"/>
  <c r="F78" i="9"/>
  <c r="E80" i="15" s="1"/>
  <c r="F79" i="9"/>
  <c r="E81" i="15" s="1"/>
  <c r="F80" i="9"/>
  <c r="E82" i="15" s="1"/>
  <c r="F81" i="9"/>
  <c r="E83" i="15" s="1"/>
  <c r="F82" i="9"/>
  <c r="E84" i="15" s="1"/>
  <c r="F83" i="9"/>
  <c r="E85" i="15" s="1"/>
  <c r="F84" i="9"/>
  <c r="E86" i="15" s="1"/>
  <c r="F85" i="9"/>
  <c r="E87" i="15" s="1"/>
  <c r="F86" i="9"/>
  <c r="E88" i="15" s="1"/>
  <c r="F87" i="9"/>
  <c r="E89" i="15" s="1"/>
  <c r="F88" i="9"/>
  <c r="E90" i="15" s="1"/>
  <c r="F89" i="9"/>
  <c r="E91" i="15" s="1"/>
  <c r="F90" i="9"/>
  <c r="E92" i="15" s="1"/>
  <c r="F91" i="9"/>
  <c r="E93" i="15" s="1"/>
  <c r="F92" i="9"/>
  <c r="E94" i="15" s="1"/>
  <c r="F93" i="9"/>
  <c r="E95" i="15" s="1"/>
  <c r="F94" i="9"/>
  <c r="E96" i="15" s="1"/>
  <c r="F95" i="9"/>
  <c r="E97" i="15" s="1"/>
  <c r="F96" i="9"/>
  <c r="E98" i="15" s="1"/>
  <c r="F97" i="9"/>
  <c r="E99" i="15" s="1"/>
  <c r="F98" i="9"/>
  <c r="E100" i="15" s="1"/>
  <c r="F99" i="9"/>
  <c r="E101" i="15" s="1"/>
  <c r="F100" i="9"/>
  <c r="E102" i="15" s="1"/>
  <c r="F101" i="9"/>
  <c r="E103" i="15" s="1"/>
  <c r="F102" i="9"/>
  <c r="E104" i="15" s="1"/>
  <c r="F103" i="9"/>
  <c r="E105" i="15" s="1"/>
  <c r="F104" i="9"/>
  <c r="E106" i="15" s="1"/>
  <c r="F105" i="9"/>
  <c r="E107" i="15" s="1"/>
  <c r="F106" i="9"/>
  <c r="E108" i="15" s="1"/>
  <c r="F107" i="9"/>
  <c r="E109" i="15" s="1"/>
  <c r="F108" i="9"/>
  <c r="E110" i="15" s="1"/>
  <c r="F109" i="9"/>
  <c r="E111" i="15" s="1"/>
  <c r="F110" i="9"/>
  <c r="E112" i="15" s="1"/>
  <c r="F111" i="9"/>
  <c r="E113" i="15" s="1"/>
  <c r="F112" i="9"/>
  <c r="E114" i="15" s="1"/>
  <c r="F113" i="9"/>
  <c r="E115" i="15" s="1"/>
  <c r="F114" i="9"/>
  <c r="E116" i="15" s="1"/>
  <c r="F115" i="9"/>
  <c r="E117" i="15" s="1"/>
  <c r="F116" i="9"/>
  <c r="E118" i="15" s="1"/>
  <c r="F117" i="9"/>
  <c r="E119" i="15" s="1"/>
  <c r="F118" i="9"/>
  <c r="E120" i="15" s="1"/>
  <c r="F119" i="9"/>
  <c r="E121" i="15" s="1"/>
  <c r="F120" i="9"/>
  <c r="E122" i="15" s="1"/>
  <c r="F121" i="9"/>
  <c r="E123" i="15" s="1"/>
  <c r="F122" i="9"/>
  <c r="E124" i="15" s="1"/>
  <c r="F123" i="9"/>
  <c r="E125" i="15" s="1"/>
  <c r="F124" i="9"/>
  <c r="E126" i="15" s="1"/>
  <c r="F125" i="9"/>
  <c r="E127" i="15" s="1"/>
  <c r="F126" i="9"/>
  <c r="E128" i="15" s="1"/>
  <c r="F127" i="9"/>
  <c r="E129" i="15" s="1"/>
  <c r="F128" i="9"/>
  <c r="E130" i="15" s="1"/>
  <c r="F129" i="9"/>
  <c r="E131" i="15" s="1"/>
  <c r="F130" i="9"/>
  <c r="E132" i="15" s="1"/>
  <c r="F131" i="9"/>
  <c r="E133" i="15" s="1"/>
  <c r="F132" i="9"/>
  <c r="E134" i="15" s="1"/>
  <c r="F133" i="9"/>
  <c r="E135" i="15" s="1"/>
  <c r="F43" i="9"/>
  <c r="E45" i="15" s="1"/>
  <c r="F44" i="9"/>
  <c r="E46" i="15" s="1"/>
  <c r="F45" i="9"/>
  <c r="E47" i="15" s="1"/>
  <c r="F46" i="9"/>
  <c r="E48" i="15" s="1"/>
  <c r="F47" i="9"/>
  <c r="E49" i="15" s="1"/>
  <c r="F48" i="9"/>
  <c r="E50" i="15" s="1"/>
  <c r="F49" i="9"/>
  <c r="E51" i="15" s="1"/>
  <c r="F50" i="9"/>
  <c r="E52" i="15" s="1"/>
  <c r="F51" i="9"/>
  <c r="E53" i="15" s="1"/>
  <c r="F52" i="9"/>
  <c r="E54" i="15" s="1"/>
  <c r="F53" i="9"/>
  <c r="E55" i="15" s="1"/>
  <c r="F54" i="9"/>
  <c r="E56" i="15" s="1"/>
  <c r="F55" i="9"/>
  <c r="E57" i="15" s="1"/>
  <c r="F56" i="9"/>
  <c r="E58" i="15" s="1"/>
  <c r="F57" i="9"/>
  <c r="E59" i="15" s="1"/>
  <c r="F58" i="9"/>
  <c r="E60" i="15" s="1"/>
  <c r="F59" i="9"/>
  <c r="E61" i="15" s="1"/>
  <c r="F60" i="9"/>
  <c r="E62" i="15" s="1"/>
  <c r="F61" i="9"/>
  <c r="E63" i="15" s="1"/>
  <c r="F62" i="9"/>
  <c r="E64" i="15" s="1"/>
  <c r="F33" i="9"/>
  <c r="E35" i="15" s="1"/>
  <c r="F34" i="9"/>
  <c r="E36" i="15" s="1"/>
  <c r="F35" i="9"/>
  <c r="E37" i="15" s="1"/>
  <c r="F36" i="9"/>
  <c r="E38" i="15" s="1"/>
  <c r="F37" i="9"/>
  <c r="E39" i="15" s="1"/>
  <c r="F38" i="9"/>
  <c r="E40" i="15" s="1"/>
  <c r="F39" i="9"/>
  <c r="E41" i="15" s="1"/>
  <c r="F40" i="9"/>
  <c r="E42" i="15" s="1"/>
  <c r="F41" i="9"/>
  <c r="E43" i="15" s="1"/>
  <c r="F42" i="9"/>
  <c r="E44" i="15" s="1"/>
  <c r="F7" i="9"/>
  <c r="E9" i="15" s="1"/>
  <c r="F8" i="9"/>
  <c r="E10" i="15" s="1"/>
  <c r="F9" i="9"/>
  <c r="E11" i="15" s="1"/>
  <c r="F10" i="9"/>
  <c r="E12" i="15" s="1"/>
  <c r="F11" i="9"/>
  <c r="E13" i="15" s="1"/>
  <c r="F12" i="9"/>
  <c r="E14" i="15" s="1"/>
  <c r="F13" i="9"/>
  <c r="E15" i="15" s="1"/>
  <c r="F14" i="9"/>
  <c r="E16" i="15" s="1"/>
  <c r="F15" i="9"/>
  <c r="E17" i="15" s="1"/>
  <c r="F16" i="9"/>
  <c r="E18" i="15" s="1"/>
  <c r="F17" i="9"/>
  <c r="E19" i="15" s="1"/>
  <c r="F18" i="9"/>
  <c r="E20" i="15" s="1"/>
  <c r="F19" i="9"/>
  <c r="E21" i="15" s="1"/>
  <c r="F20" i="9"/>
  <c r="E22" i="15" s="1"/>
  <c r="F21" i="9"/>
  <c r="E23" i="15" s="1"/>
  <c r="F22" i="9"/>
  <c r="E24" i="15" s="1"/>
  <c r="F23" i="9"/>
  <c r="E25" i="15" s="1"/>
  <c r="F24" i="9"/>
  <c r="E26" i="15" s="1"/>
  <c r="F25" i="9"/>
  <c r="E27" i="15" s="1"/>
  <c r="F26" i="9"/>
  <c r="E28" i="15" s="1"/>
  <c r="F27" i="9"/>
  <c r="E29" i="15" s="1"/>
  <c r="F28" i="9"/>
  <c r="E30" i="15" s="1"/>
  <c r="F29" i="9"/>
  <c r="E31" i="15" s="1"/>
  <c r="F30" i="9"/>
  <c r="E32" i="15" s="1"/>
  <c r="F31" i="9"/>
  <c r="E33" i="15" s="1"/>
  <c r="F32" i="9"/>
  <c r="E34" i="15" s="1"/>
  <c r="F6" i="9"/>
  <c r="E8" i="15" s="1"/>
  <c r="F3" i="9"/>
  <c r="E5" i="15" s="1"/>
  <c r="F4" i="9"/>
  <c r="E6" i="15" s="1"/>
  <c r="F5" i="9"/>
  <c r="E7" i="15" s="1"/>
  <c r="F2" i="9"/>
  <c r="E3" i="9"/>
  <c r="D5" i="15" s="1"/>
  <c r="E4" i="9"/>
  <c r="D6" i="15" s="1"/>
  <c r="E5" i="9"/>
  <c r="D7" i="15" s="1"/>
  <c r="E6" i="9"/>
  <c r="D8" i="15" s="1"/>
  <c r="E7" i="9"/>
  <c r="D9" i="15" s="1"/>
  <c r="E8" i="9"/>
  <c r="D10" i="15" s="1"/>
  <c r="E9" i="9"/>
  <c r="D11" i="15" s="1"/>
  <c r="E10" i="9"/>
  <c r="D12" i="15" s="1"/>
  <c r="G12" i="15" s="1"/>
  <c r="E11" i="9"/>
  <c r="D13" i="15" s="1"/>
  <c r="E12" i="9"/>
  <c r="D14" i="15" s="1"/>
  <c r="E13" i="9"/>
  <c r="D15" i="15" s="1"/>
  <c r="E14" i="9"/>
  <c r="D16" i="15" s="1"/>
  <c r="E15" i="9"/>
  <c r="D17" i="15" s="1"/>
  <c r="E16" i="9"/>
  <c r="D18" i="15" s="1"/>
  <c r="E17" i="9"/>
  <c r="D19" i="15" s="1"/>
  <c r="E18" i="9"/>
  <c r="D20" i="15" s="1"/>
  <c r="E19" i="9"/>
  <c r="D21" i="15" s="1"/>
  <c r="E20" i="9"/>
  <c r="D22" i="15" s="1"/>
  <c r="E21" i="9"/>
  <c r="D23" i="15" s="1"/>
  <c r="E22" i="9"/>
  <c r="D24" i="15" s="1"/>
  <c r="E23" i="9"/>
  <c r="D25" i="15" s="1"/>
  <c r="E24" i="9"/>
  <c r="D26" i="15" s="1"/>
  <c r="E25" i="9"/>
  <c r="D27" i="15" s="1"/>
  <c r="E26" i="9"/>
  <c r="D28" i="15" s="1"/>
  <c r="E27" i="9"/>
  <c r="D29" i="15" s="1"/>
  <c r="E28" i="9"/>
  <c r="D30" i="15" s="1"/>
  <c r="E29" i="9"/>
  <c r="D31" i="15" s="1"/>
  <c r="E30" i="9"/>
  <c r="D32" i="15" s="1"/>
  <c r="E31" i="9"/>
  <c r="D33" i="15" s="1"/>
  <c r="E32" i="9"/>
  <c r="D34" i="15" s="1"/>
  <c r="E33" i="9"/>
  <c r="D35" i="15" s="1"/>
  <c r="E34" i="9"/>
  <c r="D36" i="15" s="1"/>
  <c r="E35" i="9"/>
  <c r="D37" i="15" s="1"/>
  <c r="E36" i="9"/>
  <c r="D38" i="15" s="1"/>
  <c r="E37" i="9"/>
  <c r="D39" i="15" s="1"/>
  <c r="E38" i="9"/>
  <c r="D40" i="15" s="1"/>
  <c r="E39" i="9"/>
  <c r="D41" i="15" s="1"/>
  <c r="E40" i="9"/>
  <c r="D42" i="15" s="1"/>
  <c r="E41" i="9"/>
  <c r="D43" i="15" s="1"/>
  <c r="E42" i="9"/>
  <c r="D44" i="15" s="1"/>
  <c r="E43" i="9"/>
  <c r="D45" i="15" s="1"/>
  <c r="E44" i="9"/>
  <c r="D46" i="15" s="1"/>
  <c r="E45" i="9"/>
  <c r="D47" i="15" s="1"/>
  <c r="E46" i="9"/>
  <c r="D48" i="15" s="1"/>
  <c r="E47" i="9"/>
  <c r="D49" i="15" s="1"/>
  <c r="E48" i="9"/>
  <c r="D50" i="15" s="1"/>
  <c r="E49" i="9"/>
  <c r="D51" i="15" s="1"/>
  <c r="E50" i="9"/>
  <c r="D52" i="15" s="1"/>
  <c r="E51" i="9"/>
  <c r="D53" i="15" s="1"/>
  <c r="E52" i="9"/>
  <c r="D54" i="15" s="1"/>
  <c r="E53" i="9"/>
  <c r="D55" i="15" s="1"/>
  <c r="E54" i="9"/>
  <c r="D56" i="15" s="1"/>
  <c r="E55" i="9"/>
  <c r="D57" i="15" s="1"/>
  <c r="E56" i="9"/>
  <c r="D58" i="15" s="1"/>
  <c r="E57" i="9"/>
  <c r="D59" i="15" s="1"/>
  <c r="E58" i="9"/>
  <c r="D60" i="15" s="1"/>
  <c r="E59" i="9"/>
  <c r="D61" i="15" s="1"/>
  <c r="E60" i="9"/>
  <c r="D62" i="15" s="1"/>
  <c r="E61" i="9"/>
  <c r="D63" i="15" s="1"/>
  <c r="E62" i="9"/>
  <c r="D64" i="15" s="1"/>
  <c r="E63" i="9"/>
  <c r="D65" i="15" s="1"/>
  <c r="E64" i="9"/>
  <c r="D66" i="15" s="1"/>
  <c r="E65" i="9"/>
  <c r="D67" i="15" s="1"/>
  <c r="E66" i="9"/>
  <c r="D68" i="15" s="1"/>
  <c r="E67" i="9"/>
  <c r="D69" i="15" s="1"/>
  <c r="E68" i="9"/>
  <c r="D70" i="15" s="1"/>
  <c r="E69" i="9"/>
  <c r="D71" i="15" s="1"/>
  <c r="E70" i="9"/>
  <c r="D72" i="15" s="1"/>
  <c r="E71" i="9"/>
  <c r="D73" i="15" s="1"/>
  <c r="E72" i="9"/>
  <c r="D74" i="15" s="1"/>
  <c r="E73" i="9"/>
  <c r="D75" i="15" s="1"/>
  <c r="E74" i="9"/>
  <c r="D76" i="15" s="1"/>
  <c r="E75" i="9"/>
  <c r="D77" i="15" s="1"/>
  <c r="E76" i="9"/>
  <c r="D78" i="15" s="1"/>
  <c r="E77" i="9"/>
  <c r="D79" i="15" s="1"/>
  <c r="E78" i="9"/>
  <c r="D80" i="15" s="1"/>
  <c r="G80" i="15" s="1"/>
  <c r="E79" i="9"/>
  <c r="D81" i="15" s="1"/>
  <c r="E80" i="9"/>
  <c r="D82" i="15" s="1"/>
  <c r="E81" i="9"/>
  <c r="D83" i="15" s="1"/>
  <c r="E82" i="9"/>
  <c r="D84" i="15" s="1"/>
  <c r="E83" i="9"/>
  <c r="D85" i="15" s="1"/>
  <c r="E84" i="9"/>
  <c r="D86" i="15" s="1"/>
  <c r="E85" i="9"/>
  <c r="D87" i="15" s="1"/>
  <c r="E86" i="9"/>
  <c r="D88" i="15" s="1"/>
  <c r="E87" i="9"/>
  <c r="D89" i="15" s="1"/>
  <c r="E88" i="9"/>
  <c r="D90" i="15" s="1"/>
  <c r="E89" i="9"/>
  <c r="D91" i="15" s="1"/>
  <c r="E90" i="9"/>
  <c r="D92" i="15" s="1"/>
  <c r="E91" i="9"/>
  <c r="D93" i="15" s="1"/>
  <c r="E92" i="9"/>
  <c r="D94" i="15" s="1"/>
  <c r="E93" i="9"/>
  <c r="D95" i="15" s="1"/>
  <c r="E94" i="9"/>
  <c r="D96" i="15" s="1"/>
  <c r="E95" i="9"/>
  <c r="D97" i="15" s="1"/>
  <c r="E96" i="9"/>
  <c r="D98" i="15" s="1"/>
  <c r="E97" i="9"/>
  <c r="D99" i="15" s="1"/>
  <c r="E98" i="9"/>
  <c r="D100" i="15" s="1"/>
  <c r="E99" i="9"/>
  <c r="D101" i="15" s="1"/>
  <c r="E100" i="9"/>
  <c r="D102" i="15" s="1"/>
  <c r="E101" i="9"/>
  <c r="D103" i="15" s="1"/>
  <c r="E102" i="9"/>
  <c r="D104" i="15" s="1"/>
  <c r="E103" i="9"/>
  <c r="D105" i="15" s="1"/>
  <c r="E104" i="9"/>
  <c r="D106" i="15" s="1"/>
  <c r="E105" i="9"/>
  <c r="D107" i="15" s="1"/>
  <c r="E106" i="9"/>
  <c r="D108" i="15" s="1"/>
  <c r="E107" i="9"/>
  <c r="D109" i="15" s="1"/>
  <c r="E108" i="9"/>
  <c r="D110" i="15" s="1"/>
  <c r="E109" i="9"/>
  <c r="D111" i="15" s="1"/>
  <c r="E110" i="9"/>
  <c r="D112" i="15" s="1"/>
  <c r="E111" i="9"/>
  <c r="D113" i="15" s="1"/>
  <c r="E112" i="9"/>
  <c r="D114" i="15" s="1"/>
  <c r="E113" i="9"/>
  <c r="D115" i="15" s="1"/>
  <c r="E114" i="9"/>
  <c r="D116" i="15" s="1"/>
  <c r="E115" i="9"/>
  <c r="D117" i="15" s="1"/>
  <c r="E116" i="9"/>
  <c r="D118" i="15" s="1"/>
  <c r="E117" i="9"/>
  <c r="D119" i="15" s="1"/>
  <c r="E118" i="9"/>
  <c r="D120" i="15" s="1"/>
  <c r="E119" i="9"/>
  <c r="D121" i="15" s="1"/>
  <c r="E120" i="9"/>
  <c r="D122" i="15" s="1"/>
  <c r="E121" i="9"/>
  <c r="D123" i="15" s="1"/>
  <c r="E122" i="9"/>
  <c r="D124" i="15" s="1"/>
  <c r="E123" i="9"/>
  <c r="D125" i="15" s="1"/>
  <c r="E124" i="9"/>
  <c r="D126" i="15" s="1"/>
  <c r="E125" i="9"/>
  <c r="D127" i="15" s="1"/>
  <c r="E126" i="9"/>
  <c r="D128" i="15" s="1"/>
  <c r="E127" i="9"/>
  <c r="D129" i="15" s="1"/>
  <c r="E128" i="9"/>
  <c r="D130" i="15" s="1"/>
  <c r="E129" i="9"/>
  <c r="D131" i="15" s="1"/>
  <c r="E130" i="9"/>
  <c r="D132" i="15" s="1"/>
  <c r="E131" i="9"/>
  <c r="D133" i="15" s="1"/>
  <c r="E132" i="9"/>
  <c r="D134" i="15" s="1"/>
  <c r="E133" i="9"/>
  <c r="D135" i="15" s="1"/>
  <c r="E2" i="9"/>
  <c r="D3" i="9"/>
  <c r="C5" i="15" s="1"/>
  <c r="D4" i="9"/>
  <c r="C6" i="15" s="1"/>
  <c r="D5" i="9"/>
  <c r="C7" i="15" s="1"/>
  <c r="D6" i="9"/>
  <c r="C8" i="15" s="1"/>
  <c r="D7" i="9"/>
  <c r="C9" i="15" s="1"/>
  <c r="D8" i="9"/>
  <c r="C10" i="15" s="1"/>
  <c r="D9" i="9"/>
  <c r="C11" i="15" s="1"/>
  <c r="D10" i="9"/>
  <c r="C12" i="15" s="1"/>
  <c r="D11" i="9"/>
  <c r="C13" i="15" s="1"/>
  <c r="D12" i="9"/>
  <c r="C14" i="15" s="1"/>
  <c r="D13" i="9"/>
  <c r="C15" i="15" s="1"/>
  <c r="D14" i="9"/>
  <c r="C16" i="15" s="1"/>
  <c r="D15" i="9"/>
  <c r="C17" i="15" s="1"/>
  <c r="D16" i="9"/>
  <c r="C18" i="15" s="1"/>
  <c r="D17" i="9"/>
  <c r="C19" i="15" s="1"/>
  <c r="D18" i="9"/>
  <c r="C20" i="15" s="1"/>
  <c r="D19" i="9"/>
  <c r="C21" i="15" s="1"/>
  <c r="D20" i="9"/>
  <c r="C22" i="15" s="1"/>
  <c r="D21" i="9"/>
  <c r="C23" i="15" s="1"/>
  <c r="D22" i="9"/>
  <c r="C24" i="15" s="1"/>
  <c r="D23" i="9"/>
  <c r="C25" i="15" s="1"/>
  <c r="D24" i="9"/>
  <c r="C26" i="15" s="1"/>
  <c r="D25" i="9"/>
  <c r="C27" i="15" s="1"/>
  <c r="D26" i="9"/>
  <c r="C28" i="15" s="1"/>
  <c r="D27" i="9"/>
  <c r="C29" i="15" s="1"/>
  <c r="D28" i="9"/>
  <c r="C30" i="15" s="1"/>
  <c r="D29" i="9"/>
  <c r="C31" i="15" s="1"/>
  <c r="D30" i="9"/>
  <c r="C32" i="15" s="1"/>
  <c r="D31" i="9"/>
  <c r="C33" i="15" s="1"/>
  <c r="D32" i="9"/>
  <c r="C34" i="15" s="1"/>
  <c r="D33" i="9"/>
  <c r="C35" i="15" s="1"/>
  <c r="D34" i="9"/>
  <c r="C36" i="15" s="1"/>
  <c r="D35" i="9"/>
  <c r="C37" i="15" s="1"/>
  <c r="D36" i="9"/>
  <c r="C38" i="15" s="1"/>
  <c r="D37" i="9"/>
  <c r="C39" i="15" s="1"/>
  <c r="D38" i="9"/>
  <c r="C40" i="15" s="1"/>
  <c r="D39" i="9"/>
  <c r="C41" i="15" s="1"/>
  <c r="D40" i="9"/>
  <c r="C42" i="15" s="1"/>
  <c r="D41" i="9"/>
  <c r="C43" i="15" s="1"/>
  <c r="D42" i="9"/>
  <c r="C44" i="15" s="1"/>
  <c r="D43" i="9"/>
  <c r="C45" i="15" s="1"/>
  <c r="D44" i="9"/>
  <c r="C46" i="15" s="1"/>
  <c r="D45" i="9"/>
  <c r="C47" i="15" s="1"/>
  <c r="D46" i="9"/>
  <c r="C48" i="15" s="1"/>
  <c r="D47" i="9"/>
  <c r="C49" i="15" s="1"/>
  <c r="D48" i="9"/>
  <c r="C50" i="15" s="1"/>
  <c r="D49" i="9"/>
  <c r="C51" i="15" s="1"/>
  <c r="D50" i="9"/>
  <c r="C52" i="15" s="1"/>
  <c r="D51" i="9"/>
  <c r="C53" i="15" s="1"/>
  <c r="D52" i="9"/>
  <c r="C54" i="15" s="1"/>
  <c r="D53" i="9"/>
  <c r="C55" i="15" s="1"/>
  <c r="D54" i="9"/>
  <c r="C56" i="15" s="1"/>
  <c r="D55" i="9"/>
  <c r="C57" i="15" s="1"/>
  <c r="D56" i="9"/>
  <c r="C58" i="15" s="1"/>
  <c r="D57" i="9"/>
  <c r="C59" i="15" s="1"/>
  <c r="D58" i="9"/>
  <c r="C60" i="15" s="1"/>
  <c r="D59" i="9"/>
  <c r="C61" i="15" s="1"/>
  <c r="D60" i="9"/>
  <c r="C62" i="15" s="1"/>
  <c r="D61" i="9"/>
  <c r="C63" i="15" s="1"/>
  <c r="D62" i="9"/>
  <c r="C64" i="15" s="1"/>
  <c r="D63" i="9"/>
  <c r="C65" i="15" s="1"/>
  <c r="D64" i="9"/>
  <c r="C66" i="15" s="1"/>
  <c r="D65" i="9"/>
  <c r="C67" i="15" s="1"/>
  <c r="D66" i="9"/>
  <c r="C68" i="15" s="1"/>
  <c r="R68" i="15" s="1"/>
  <c r="D67" i="9"/>
  <c r="C69" i="15" s="1"/>
  <c r="D68" i="9"/>
  <c r="C70" i="15" s="1"/>
  <c r="D69" i="9"/>
  <c r="C71" i="15" s="1"/>
  <c r="D70" i="9"/>
  <c r="C72" i="15" s="1"/>
  <c r="D71" i="9"/>
  <c r="C73" i="15" s="1"/>
  <c r="D72" i="9"/>
  <c r="C74" i="15" s="1"/>
  <c r="D73" i="9"/>
  <c r="C75" i="15" s="1"/>
  <c r="D74" i="9"/>
  <c r="C76" i="15" s="1"/>
  <c r="D75" i="9"/>
  <c r="C77" i="15" s="1"/>
  <c r="D76" i="9"/>
  <c r="C78" i="15" s="1"/>
  <c r="D77" i="9"/>
  <c r="C79" i="15" s="1"/>
  <c r="D78" i="9"/>
  <c r="C80" i="15" s="1"/>
  <c r="D79" i="9"/>
  <c r="C81" i="15" s="1"/>
  <c r="D80" i="9"/>
  <c r="C82" i="15" s="1"/>
  <c r="D81" i="9"/>
  <c r="C83" i="15" s="1"/>
  <c r="D82" i="9"/>
  <c r="C84" i="15" s="1"/>
  <c r="D83" i="9"/>
  <c r="C85" i="15" s="1"/>
  <c r="D84" i="9"/>
  <c r="C86" i="15" s="1"/>
  <c r="D85" i="9"/>
  <c r="C87" i="15" s="1"/>
  <c r="D86" i="9"/>
  <c r="C88" i="15" s="1"/>
  <c r="D87" i="9"/>
  <c r="C89" i="15" s="1"/>
  <c r="D88" i="9"/>
  <c r="C90" i="15" s="1"/>
  <c r="D89" i="9"/>
  <c r="C91" i="15" s="1"/>
  <c r="D90" i="9"/>
  <c r="C92" i="15" s="1"/>
  <c r="D91" i="9"/>
  <c r="C93" i="15" s="1"/>
  <c r="R93" i="15" s="1"/>
  <c r="D92" i="9"/>
  <c r="C94" i="15" s="1"/>
  <c r="D93" i="9"/>
  <c r="C95" i="15" s="1"/>
  <c r="D94" i="9"/>
  <c r="C96" i="15" s="1"/>
  <c r="D95" i="9"/>
  <c r="C97" i="15" s="1"/>
  <c r="R97" i="15" s="1"/>
  <c r="D96" i="9"/>
  <c r="C98" i="15" s="1"/>
  <c r="D97" i="9"/>
  <c r="C99" i="15" s="1"/>
  <c r="D98" i="9"/>
  <c r="C100" i="15" s="1"/>
  <c r="D99" i="9"/>
  <c r="C101" i="15" s="1"/>
  <c r="R101" i="15" s="1"/>
  <c r="D100" i="9"/>
  <c r="C102" i="15" s="1"/>
  <c r="D101" i="9"/>
  <c r="C103" i="15" s="1"/>
  <c r="D102" i="9"/>
  <c r="C104" i="15" s="1"/>
  <c r="D103" i="9"/>
  <c r="C105" i="15" s="1"/>
  <c r="R105" i="15" s="1"/>
  <c r="D104" i="9"/>
  <c r="C106" i="15" s="1"/>
  <c r="D105" i="9"/>
  <c r="C107" i="15" s="1"/>
  <c r="D106" i="9"/>
  <c r="C108" i="15" s="1"/>
  <c r="R108" i="15" s="1"/>
  <c r="D107" i="9"/>
  <c r="C109" i="15" s="1"/>
  <c r="R109" i="15" s="1"/>
  <c r="D108" i="9"/>
  <c r="C110" i="15" s="1"/>
  <c r="D109" i="9"/>
  <c r="C111" i="15" s="1"/>
  <c r="D110" i="9"/>
  <c r="C112" i="15" s="1"/>
  <c r="R112" i="15" s="1"/>
  <c r="D111" i="9"/>
  <c r="C113" i="15" s="1"/>
  <c r="R113" i="15" s="1"/>
  <c r="D112" i="9"/>
  <c r="C114" i="15" s="1"/>
  <c r="D113" i="9"/>
  <c r="C115" i="15" s="1"/>
  <c r="D114" i="9"/>
  <c r="C116" i="15" s="1"/>
  <c r="R116" i="15" s="1"/>
  <c r="D115" i="9"/>
  <c r="C117" i="15" s="1"/>
  <c r="D116" i="9"/>
  <c r="C118" i="15" s="1"/>
  <c r="D117" i="9"/>
  <c r="C119" i="15" s="1"/>
  <c r="D118" i="9"/>
  <c r="C120" i="15" s="1"/>
  <c r="R120" i="15" s="1"/>
  <c r="D119" i="9"/>
  <c r="C121" i="15" s="1"/>
  <c r="R121" i="15" s="1"/>
  <c r="D120" i="9"/>
  <c r="C122" i="15" s="1"/>
  <c r="D121" i="9"/>
  <c r="C123" i="15" s="1"/>
  <c r="D122" i="9"/>
  <c r="C124" i="15" s="1"/>
  <c r="R124" i="15" s="1"/>
  <c r="D123" i="9"/>
  <c r="C125" i="15" s="1"/>
  <c r="R125" i="15" s="1"/>
  <c r="D124" i="9"/>
  <c r="C126" i="15" s="1"/>
  <c r="D125" i="9"/>
  <c r="C127" i="15" s="1"/>
  <c r="D126" i="9"/>
  <c r="C128" i="15" s="1"/>
  <c r="D127" i="9"/>
  <c r="C129" i="15" s="1"/>
  <c r="D128" i="9"/>
  <c r="C130" i="15" s="1"/>
  <c r="D129" i="9"/>
  <c r="C131" i="15" s="1"/>
  <c r="D130" i="9"/>
  <c r="C132" i="15" s="1"/>
  <c r="D131" i="9"/>
  <c r="C133" i="15" s="1"/>
  <c r="D132" i="9"/>
  <c r="C134" i="15" s="1"/>
  <c r="D133" i="9"/>
  <c r="C135" i="15" s="1"/>
  <c r="D2" i="9"/>
  <c r="C3" i="9"/>
  <c r="B5" i="15" s="1"/>
  <c r="C4" i="9"/>
  <c r="C5" i="9"/>
  <c r="B7" i="15" s="1"/>
  <c r="C6" i="9"/>
  <c r="B8" i="15" s="1"/>
  <c r="C7" i="9"/>
  <c r="B9" i="15" s="1"/>
  <c r="C8" i="9"/>
  <c r="B10" i="15" s="1"/>
  <c r="C9" i="9"/>
  <c r="B11" i="15" s="1"/>
  <c r="C10" i="9"/>
  <c r="B12" i="15" s="1"/>
  <c r="C11" i="9"/>
  <c r="B13" i="15" s="1"/>
  <c r="C12" i="9"/>
  <c r="B14" i="15" s="1"/>
  <c r="C13" i="9"/>
  <c r="B15" i="15" s="1"/>
  <c r="C14" i="9"/>
  <c r="B16" i="15" s="1"/>
  <c r="C15" i="9"/>
  <c r="B17" i="15" s="1"/>
  <c r="C16" i="9"/>
  <c r="B18" i="15" s="1"/>
  <c r="C17" i="9"/>
  <c r="B19" i="15" s="1"/>
  <c r="C18" i="9"/>
  <c r="B20" i="15" s="1"/>
  <c r="C19" i="9"/>
  <c r="B21" i="15" s="1"/>
  <c r="C20" i="9"/>
  <c r="B22" i="15" s="1"/>
  <c r="C21" i="9"/>
  <c r="B23" i="15" s="1"/>
  <c r="C22" i="9"/>
  <c r="B24" i="15" s="1"/>
  <c r="C23" i="9"/>
  <c r="B25" i="15" s="1"/>
  <c r="C24" i="9"/>
  <c r="B26" i="15" s="1"/>
  <c r="C25" i="9"/>
  <c r="B27" i="15" s="1"/>
  <c r="C26" i="9"/>
  <c r="B28" i="15" s="1"/>
  <c r="C27" i="9"/>
  <c r="B29" i="15" s="1"/>
  <c r="C28" i="9"/>
  <c r="B30" i="15" s="1"/>
  <c r="C29" i="9"/>
  <c r="B31" i="15" s="1"/>
  <c r="C30" i="9"/>
  <c r="B32" i="15" s="1"/>
  <c r="C31" i="9"/>
  <c r="B33" i="15" s="1"/>
  <c r="C32" i="9"/>
  <c r="B34" i="15" s="1"/>
  <c r="C33" i="9"/>
  <c r="B35" i="15" s="1"/>
  <c r="C34" i="9"/>
  <c r="B36" i="15" s="1"/>
  <c r="C35" i="9"/>
  <c r="B37" i="15" s="1"/>
  <c r="C36" i="9"/>
  <c r="B38" i="15" s="1"/>
  <c r="C37" i="9"/>
  <c r="B39" i="15" s="1"/>
  <c r="C38" i="9"/>
  <c r="B40" i="15" s="1"/>
  <c r="C39" i="9"/>
  <c r="B41" i="15" s="1"/>
  <c r="C40" i="9"/>
  <c r="B42" i="15" s="1"/>
  <c r="C41" i="9"/>
  <c r="B43" i="15" s="1"/>
  <c r="C42" i="9"/>
  <c r="B44" i="15" s="1"/>
  <c r="C43" i="9"/>
  <c r="B45" i="15" s="1"/>
  <c r="C44" i="9"/>
  <c r="B46" i="15" s="1"/>
  <c r="C45" i="9"/>
  <c r="B47" i="15" s="1"/>
  <c r="C46" i="9"/>
  <c r="B48" i="15" s="1"/>
  <c r="C47" i="9"/>
  <c r="B49" i="15" s="1"/>
  <c r="C48" i="9"/>
  <c r="B50" i="15" s="1"/>
  <c r="C49" i="9"/>
  <c r="B51" i="15" s="1"/>
  <c r="C50" i="9"/>
  <c r="B52" i="15" s="1"/>
  <c r="C51" i="9"/>
  <c r="B53" i="15" s="1"/>
  <c r="C52" i="9"/>
  <c r="B54" i="15" s="1"/>
  <c r="C53" i="9"/>
  <c r="B55" i="15" s="1"/>
  <c r="C54" i="9"/>
  <c r="B56" i="15" s="1"/>
  <c r="C55" i="9"/>
  <c r="B57" i="15" s="1"/>
  <c r="P57" i="15" s="1"/>
  <c r="C56" i="9"/>
  <c r="B58" i="15" s="1"/>
  <c r="P58" i="15" s="1"/>
  <c r="C57" i="9"/>
  <c r="B59" i="15" s="1"/>
  <c r="C58" i="9"/>
  <c r="B60" i="15" s="1"/>
  <c r="C59" i="9"/>
  <c r="B61" i="15" s="1"/>
  <c r="C60" i="9"/>
  <c r="B62" i="15" s="1"/>
  <c r="C61" i="9"/>
  <c r="B63" i="15" s="1"/>
  <c r="C62" i="9"/>
  <c r="B64" i="15" s="1"/>
  <c r="C63" i="9"/>
  <c r="B65" i="15" s="1"/>
  <c r="C64" i="9"/>
  <c r="B66" i="15" s="1"/>
  <c r="C65" i="9"/>
  <c r="B67" i="15" s="1"/>
  <c r="C66" i="9"/>
  <c r="B68" i="15" s="1"/>
  <c r="C67" i="9"/>
  <c r="B69" i="15" s="1"/>
  <c r="C68" i="9"/>
  <c r="B70" i="15" s="1"/>
  <c r="C69" i="9"/>
  <c r="B71" i="15" s="1"/>
  <c r="C70" i="9"/>
  <c r="B72" i="15" s="1"/>
  <c r="C71" i="9"/>
  <c r="B73" i="15" s="1"/>
  <c r="C72" i="9"/>
  <c r="B74" i="15" s="1"/>
  <c r="C73" i="9"/>
  <c r="B75" i="15" s="1"/>
  <c r="C74" i="9"/>
  <c r="B76" i="15" s="1"/>
  <c r="C75" i="9"/>
  <c r="B77" i="15" s="1"/>
  <c r="C76" i="9"/>
  <c r="B78" i="15" s="1"/>
  <c r="C77" i="9"/>
  <c r="B79" i="15" s="1"/>
  <c r="C78" i="9"/>
  <c r="B80" i="15" s="1"/>
  <c r="C79" i="9"/>
  <c r="B81" i="15" s="1"/>
  <c r="C80" i="9"/>
  <c r="B82" i="15" s="1"/>
  <c r="C81" i="9"/>
  <c r="B83" i="15" s="1"/>
  <c r="C82" i="9"/>
  <c r="B84" i="15" s="1"/>
  <c r="C83" i="9"/>
  <c r="B85" i="15" s="1"/>
  <c r="C84" i="9"/>
  <c r="B86" i="15" s="1"/>
  <c r="C85" i="9"/>
  <c r="B87" i="15" s="1"/>
  <c r="C86" i="9"/>
  <c r="B88" i="15" s="1"/>
  <c r="C87" i="9"/>
  <c r="B89" i="15" s="1"/>
  <c r="C88" i="9"/>
  <c r="B90" i="15" s="1"/>
  <c r="C89" i="9"/>
  <c r="B91" i="15" s="1"/>
  <c r="C90" i="9"/>
  <c r="B92" i="15" s="1"/>
  <c r="C91" i="9"/>
  <c r="B93" i="15" s="1"/>
  <c r="C92" i="9"/>
  <c r="B94" i="15" s="1"/>
  <c r="C93" i="9"/>
  <c r="B95" i="15" s="1"/>
  <c r="C94" i="9"/>
  <c r="B96" i="15" s="1"/>
  <c r="C95" i="9"/>
  <c r="B97" i="15" s="1"/>
  <c r="C96" i="9"/>
  <c r="B98" i="15" s="1"/>
  <c r="C97" i="9"/>
  <c r="B99" i="15" s="1"/>
  <c r="C98" i="9"/>
  <c r="B100" i="15" s="1"/>
  <c r="C99" i="9"/>
  <c r="B101" i="15" s="1"/>
  <c r="C100" i="9"/>
  <c r="B102" i="15" s="1"/>
  <c r="C101" i="9"/>
  <c r="B103" i="15" s="1"/>
  <c r="C102" i="9"/>
  <c r="B104" i="15" s="1"/>
  <c r="C103" i="9"/>
  <c r="B105" i="15" s="1"/>
  <c r="C104" i="9"/>
  <c r="B106" i="15" s="1"/>
  <c r="C105" i="9"/>
  <c r="B107" i="15" s="1"/>
  <c r="C106" i="9"/>
  <c r="B108" i="15" s="1"/>
  <c r="C107" i="9"/>
  <c r="B109" i="15" s="1"/>
  <c r="C108" i="9"/>
  <c r="B110" i="15" s="1"/>
  <c r="C109" i="9"/>
  <c r="B111" i="15" s="1"/>
  <c r="C110" i="9"/>
  <c r="B112" i="15" s="1"/>
  <c r="C111" i="9"/>
  <c r="B113" i="15" s="1"/>
  <c r="C112" i="9"/>
  <c r="B114" i="15" s="1"/>
  <c r="C113" i="9"/>
  <c r="B115" i="15" s="1"/>
  <c r="C114" i="9"/>
  <c r="B116" i="15" s="1"/>
  <c r="C115" i="9"/>
  <c r="B117" i="15" s="1"/>
  <c r="C116" i="9"/>
  <c r="B118" i="15" s="1"/>
  <c r="C117" i="9"/>
  <c r="B119" i="15" s="1"/>
  <c r="C118" i="9"/>
  <c r="B120" i="15" s="1"/>
  <c r="C119" i="9"/>
  <c r="B121" i="15" s="1"/>
  <c r="C120" i="9"/>
  <c r="B122" i="15" s="1"/>
  <c r="C121" i="9"/>
  <c r="B123" i="15" s="1"/>
  <c r="C122" i="9"/>
  <c r="B124" i="15" s="1"/>
  <c r="C123" i="9"/>
  <c r="B125" i="15" s="1"/>
  <c r="C124" i="9"/>
  <c r="B126" i="15" s="1"/>
  <c r="C125" i="9"/>
  <c r="B127" i="15" s="1"/>
  <c r="C126" i="9"/>
  <c r="B128" i="15" s="1"/>
  <c r="C127" i="9"/>
  <c r="B129" i="15" s="1"/>
  <c r="C128" i="9"/>
  <c r="B130" i="15" s="1"/>
  <c r="C129" i="9"/>
  <c r="B131" i="15" s="1"/>
  <c r="C130" i="9"/>
  <c r="B132" i="15" s="1"/>
  <c r="C131" i="9"/>
  <c r="B133" i="15" s="1"/>
  <c r="C132" i="9"/>
  <c r="B134" i="15" s="1"/>
  <c r="C133" i="9"/>
  <c r="B135" i="15" s="1"/>
  <c r="C2" i="9"/>
  <c r="J1" i="9"/>
  <c r="I1" i="9"/>
  <c r="H1" i="9"/>
  <c r="E1" i="9"/>
  <c r="F1" i="9"/>
  <c r="G1" i="9"/>
  <c r="B1" i="9"/>
  <c r="D1" i="9"/>
  <c r="A1" i="9"/>
  <c r="N192" i="17" l="1"/>
  <c r="H273" i="15"/>
  <c r="H290" i="15"/>
  <c r="S290" i="15" s="1"/>
  <c r="H292" i="17"/>
  <c r="S292" i="17" s="1"/>
  <c r="H288" i="15"/>
  <c r="S288" i="15" s="1"/>
  <c r="H272" i="15"/>
  <c r="S272" i="15" s="1"/>
  <c r="H281" i="17"/>
  <c r="S281" i="17" s="1"/>
  <c r="H278" i="15"/>
  <c r="S278" i="15" s="1"/>
  <c r="S271" i="15"/>
  <c r="H290" i="17"/>
  <c r="S290" i="17" s="1"/>
  <c r="S289" i="15"/>
  <c r="H275" i="17"/>
  <c r="S275" i="17" s="1"/>
  <c r="S280" i="15"/>
  <c r="S273" i="15"/>
  <c r="H287" i="15"/>
  <c r="S287" i="15" s="1"/>
  <c r="S272" i="17"/>
  <c r="S274" i="15"/>
  <c r="B340" i="9"/>
  <c r="W340" i="9" s="1"/>
  <c r="A342" i="14"/>
  <c r="Q342" i="14" s="1"/>
  <c r="AK345" i="20"/>
  <c r="AK344" i="9" s="1"/>
  <c r="K346" i="14"/>
  <c r="AK350" i="20"/>
  <c r="AK349" i="9" s="1"/>
  <c r="K351" i="14"/>
  <c r="AK341" i="20"/>
  <c r="AK340" i="9" s="1"/>
  <c r="K342" i="14"/>
  <c r="AK343" i="20"/>
  <c r="AK342" i="9" s="1"/>
  <c r="K344" i="14"/>
  <c r="AK347" i="20"/>
  <c r="AK346" i="9" s="1"/>
  <c r="K348" i="14"/>
  <c r="AK349" i="20"/>
  <c r="AK348" i="9" s="1"/>
  <c r="K350" i="14"/>
  <c r="AK342" i="20"/>
  <c r="AK341" i="9" s="1"/>
  <c r="K343" i="14"/>
  <c r="B348" i="9"/>
  <c r="A350" i="14"/>
  <c r="Q350" i="14" s="1"/>
  <c r="AK348" i="20"/>
  <c r="AK347" i="9" s="1"/>
  <c r="K349" i="14"/>
  <c r="S279" i="17"/>
  <c r="S288" i="17"/>
  <c r="AK344" i="20"/>
  <c r="AK343" i="9" s="1"/>
  <c r="K345" i="14"/>
  <c r="AK346" i="20"/>
  <c r="AK345" i="9" s="1"/>
  <c r="K347" i="14"/>
  <c r="N353" i="15"/>
  <c r="N354" i="17"/>
  <c r="N258" i="15"/>
  <c r="N259" i="17"/>
  <c r="N365" i="15"/>
  <c r="N366" i="17"/>
  <c r="N244" i="15"/>
  <c r="N245" i="17"/>
  <c r="N224" i="15"/>
  <c r="N225" i="17"/>
  <c r="N366" i="15"/>
  <c r="N367" i="17"/>
  <c r="N343" i="15"/>
  <c r="N344" i="17"/>
  <c r="N260" i="15"/>
  <c r="N261" i="17"/>
  <c r="N252" i="15"/>
  <c r="N253" i="17"/>
  <c r="N318" i="15"/>
  <c r="N319" i="17"/>
  <c r="N355" i="15"/>
  <c r="N356" i="17"/>
  <c r="N226" i="15"/>
  <c r="N227" i="17"/>
  <c r="N198" i="15"/>
  <c r="N199" i="17"/>
  <c r="N205" i="15"/>
  <c r="N206" i="17"/>
  <c r="N175" i="15"/>
  <c r="N176" i="17"/>
  <c r="N344" i="15"/>
  <c r="N345" i="17"/>
  <c r="N330" i="15"/>
  <c r="N331" i="17"/>
  <c r="N259" i="15"/>
  <c r="N260" i="17"/>
  <c r="N317" i="15"/>
  <c r="N318" i="17"/>
  <c r="N335" i="15"/>
  <c r="N336" i="17"/>
  <c r="N277" i="15"/>
  <c r="N278" i="17"/>
  <c r="N278" i="15"/>
  <c r="N279" i="17"/>
  <c r="N269" i="15"/>
  <c r="N270" i="17"/>
  <c r="N208" i="15"/>
  <c r="N209" i="17"/>
  <c r="N190" i="15"/>
  <c r="N191" i="17"/>
  <c r="N173" i="15"/>
  <c r="N174" i="17"/>
  <c r="N154" i="15"/>
  <c r="N155" i="17"/>
  <c r="N322" i="15"/>
  <c r="N323" i="17"/>
  <c r="N176" i="15"/>
  <c r="N177" i="17"/>
  <c r="N319" i="15"/>
  <c r="N320" i="17"/>
  <c r="N248" i="15"/>
  <c r="N249" i="17"/>
  <c r="N216" i="15"/>
  <c r="N217" i="17"/>
  <c r="N282" i="15"/>
  <c r="N283" i="17"/>
  <c r="N251" i="15"/>
  <c r="N252" i="17"/>
  <c r="N333" i="15"/>
  <c r="N334" i="17"/>
  <c r="N340" i="15"/>
  <c r="N341" i="17"/>
  <c r="N220" i="15"/>
  <c r="N221" i="17"/>
  <c r="N192" i="15"/>
  <c r="N193" i="17"/>
  <c r="N158" i="15"/>
  <c r="N159" i="17"/>
  <c r="N147" i="15"/>
  <c r="N148" i="17"/>
  <c r="N153" i="15"/>
  <c r="N154" i="17"/>
  <c r="N161" i="15"/>
  <c r="N162" i="17"/>
  <c r="N316" i="15"/>
  <c r="N317" i="17"/>
  <c r="N170" i="15"/>
  <c r="N171" i="17"/>
  <c r="N156" i="15"/>
  <c r="N157" i="17"/>
  <c r="N346" i="15"/>
  <c r="N347" i="17"/>
  <c r="N324" i="15"/>
  <c r="N325" i="17"/>
  <c r="N296" i="15"/>
  <c r="N297" i="17"/>
  <c r="N276" i="15"/>
  <c r="N277" i="17"/>
  <c r="N272" i="15"/>
  <c r="N273" i="17"/>
  <c r="H353" i="15"/>
  <c r="S353" i="15" s="1"/>
  <c r="H354" i="17"/>
  <c r="S354" i="17" s="1"/>
  <c r="H357" i="15"/>
  <c r="S357" i="15" s="1"/>
  <c r="H358" i="17"/>
  <c r="S358" i="17" s="1"/>
  <c r="H354" i="15"/>
  <c r="S354" i="15" s="1"/>
  <c r="H355" i="17"/>
  <c r="S355" i="17" s="1"/>
  <c r="H360" i="15"/>
  <c r="S360" i="15" s="1"/>
  <c r="H361" i="17"/>
  <c r="S361" i="17" s="1"/>
  <c r="H355" i="15"/>
  <c r="S355" i="15" s="1"/>
  <c r="H356" i="17"/>
  <c r="S356" i="17" s="1"/>
  <c r="H356" i="15"/>
  <c r="S356" i="15" s="1"/>
  <c r="H357" i="17"/>
  <c r="S357" i="17" s="1"/>
  <c r="N328" i="15"/>
  <c r="N329" i="17"/>
  <c r="N185" i="15"/>
  <c r="N186" i="17"/>
  <c r="N326" i="15"/>
  <c r="N327" i="17"/>
  <c r="N275" i="15"/>
  <c r="N276" i="17"/>
  <c r="N212" i="15"/>
  <c r="N213" i="17"/>
  <c r="S274" i="17"/>
  <c r="S289" i="17"/>
  <c r="N148" i="15"/>
  <c r="N149" i="17"/>
  <c r="N348" i="15"/>
  <c r="N349" i="17"/>
  <c r="N306" i="15"/>
  <c r="N307" i="17"/>
  <c r="N249" i="15"/>
  <c r="N250" i="17"/>
  <c r="N221" i="15"/>
  <c r="N222" i="17"/>
  <c r="N203" i="15"/>
  <c r="N204" i="17"/>
  <c r="N144" i="15"/>
  <c r="N145" i="17"/>
  <c r="N329" i="15"/>
  <c r="N330" i="17"/>
  <c r="N261" i="15"/>
  <c r="N262" i="17"/>
  <c r="N301" i="15"/>
  <c r="N302" i="17"/>
  <c r="N274" i="15"/>
  <c r="N275" i="17"/>
  <c r="N254" i="15"/>
  <c r="N255" i="17"/>
  <c r="N236" i="15"/>
  <c r="N237" i="17"/>
  <c r="N362" i="15"/>
  <c r="N363" i="17"/>
  <c r="N303" i="15"/>
  <c r="N304" i="17"/>
  <c r="N325" i="15"/>
  <c r="N326" i="17"/>
  <c r="N342" i="15"/>
  <c r="N343" i="17"/>
  <c r="N313" i="15"/>
  <c r="N314" i="17"/>
  <c r="N246" i="15"/>
  <c r="N247" i="17"/>
  <c r="N202" i="15"/>
  <c r="N203" i="17"/>
  <c r="N197" i="15"/>
  <c r="N198" i="17"/>
  <c r="N361" i="15"/>
  <c r="N362" i="17"/>
  <c r="N350" i="15"/>
  <c r="N351" i="17"/>
  <c r="N309" i="15"/>
  <c r="N310" i="17"/>
  <c r="N266" i="15"/>
  <c r="N267" i="17"/>
  <c r="N228" i="15"/>
  <c r="N229" i="17"/>
  <c r="N314" i="15"/>
  <c r="N315" i="17"/>
  <c r="N239" i="15"/>
  <c r="N240" i="17"/>
  <c r="N341" i="15"/>
  <c r="N342" i="17"/>
  <c r="N283" i="15"/>
  <c r="N284" i="17"/>
  <c r="N262" i="15"/>
  <c r="N263" i="17"/>
  <c r="N256" i="15"/>
  <c r="N257" i="17"/>
  <c r="N206" i="15"/>
  <c r="N207" i="17"/>
  <c r="N211" i="15"/>
  <c r="N212" i="17"/>
  <c r="N184" i="15"/>
  <c r="N185" i="17"/>
  <c r="N160" i="15"/>
  <c r="N161" i="17"/>
  <c r="N145" i="15"/>
  <c r="N146" i="17"/>
  <c r="N241" i="15"/>
  <c r="N242" i="17"/>
  <c r="N225" i="15"/>
  <c r="N226" i="17"/>
  <c r="N336" i="15"/>
  <c r="N337" i="17"/>
  <c r="N338" i="15"/>
  <c r="N339" i="17"/>
  <c r="N229" i="15"/>
  <c r="N230" i="17"/>
  <c r="N334" i="15"/>
  <c r="N335" i="17"/>
  <c r="N299" i="15"/>
  <c r="N300" i="17"/>
  <c r="N292" i="15"/>
  <c r="N293" i="17"/>
  <c r="N232" i="15"/>
  <c r="N233" i="17"/>
  <c r="N363" i="15"/>
  <c r="N364" i="17"/>
  <c r="N247" i="15"/>
  <c r="N248" i="17"/>
  <c r="N253" i="15"/>
  <c r="N254" i="17"/>
  <c r="N255" i="15"/>
  <c r="N256" i="17"/>
  <c r="N237" i="15"/>
  <c r="N238" i="17"/>
  <c r="N345" i="15"/>
  <c r="N346" i="17"/>
  <c r="N257" i="15"/>
  <c r="N258" i="17"/>
  <c r="N288" i="15"/>
  <c r="N289" i="17"/>
  <c r="N265" i="15"/>
  <c r="N266" i="17"/>
  <c r="N273" i="15"/>
  <c r="N274" i="17"/>
  <c r="N187" i="15"/>
  <c r="N188" i="17"/>
  <c r="N214" i="15"/>
  <c r="N215" i="17"/>
  <c r="N151" i="15"/>
  <c r="N152" i="17"/>
  <c r="N199" i="15"/>
  <c r="N200" i="17"/>
  <c r="N210" i="15"/>
  <c r="N211" i="17"/>
  <c r="N157" i="15"/>
  <c r="N158" i="17"/>
  <c r="N150" i="15"/>
  <c r="N151" i="17"/>
  <c r="N180" i="15"/>
  <c r="N181" i="17"/>
  <c r="N168" i="15"/>
  <c r="N169" i="17"/>
  <c r="N207" i="15"/>
  <c r="N208" i="17"/>
  <c r="N304" i="15"/>
  <c r="N305" i="17"/>
  <c r="N351" i="15"/>
  <c r="N352" i="17"/>
  <c r="N171" i="15"/>
  <c r="N172" i="17"/>
  <c r="N357" i="15"/>
  <c r="N358" i="17"/>
  <c r="N290" i="15"/>
  <c r="N291" i="17"/>
  <c r="N308" i="15"/>
  <c r="N309" i="17"/>
  <c r="N285" i="15"/>
  <c r="N286" i="17"/>
  <c r="N293" i="15"/>
  <c r="N294" i="17"/>
  <c r="N240" i="15"/>
  <c r="N241" i="17"/>
  <c r="N219" i="15"/>
  <c r="N220" i="17"/>
  <c r="N204" i="15"/>
  <c r="N205" i="17"/>
  <c r="N186" i="15"/>
  <c r="N187" i="17"/>
  <c r="N165" i="15"/>
  <c r="N166" i="17"/>
  <c r="N146" i="15"/>
  <c r="N147" i="17"/>
  <c r="N177" i="15"/>
  <c r="N178" i="17"/>
  <c r="N245" i="15"/>
  <c r="N246" i="17"/>
  <c r="N200" i="15"/>
  <c r="N201" i="17"/>
  <c r="N163" i="15"/>
  <c r="N164" i="17"/>
  <c r="N347" i="15"/>
  <c r="N348" i="17"/>
  <c r="N297" i="15"/>
  <c r="N298" i="17"/>
  <c r="N250" i="15"/>
  <c r="N251" i="17"/>
  <c r="N327" i="15"/>
  <c r="N328" i="17"/>
  <c r="N302" i="15"/>
  <c r="N303" i="17"/>
  <c r="N298" i="15"/>
  <c r="N299" i="17"/>
  <c r="N227" i="15"/>
  <c r="N228" i="17"/>
  <c r="N183" i="15"/>
  <c r="N184" i="17"/>
  <c r="N174" i="15"/>
  <c r="N175" i="17"/>
  <c r="N354" i="15"/>
  <c r="N355" i="17"/>
  <c r="N331" i="15"/>
  <c r="N332" i="17"/>
  <c r="N284" i="15"/>
  <c r="N285" i="17"/>
  <c r="N242" i="15"/>
  <c r="N243" i="17"/>
  <c r="N188" i="15"/>
  <c r="N189" i="17"/>
  <c r="N179" i="15"/>
  <c r="N180" i="17"/>
  <c r="N152" i="15"/>
  <c r="N153" i="17"/>
  <c r="N307" i="15"/>
  <c r="N308" i="17"/>
  <c r="N294" i="15"/>
  <c r="N295" i="17"/>
  <c r="N300" i="15"/>
  <c r="N301" i="17"/>
  <c r="N270" i="15"/>
  <c r="N271" i="17"/>
  <c r="N305" i="15"/>
  <c r="N306" i="17"/>
  <c r="N234" i="15"/>
  <c r="N235" i="17"/>
  <c r="N167" i="15"/>
  <c r="N168" i="17"/>
  <c r="H338" i="15"/>
  <c r="S338" i="15" s="1"/>
  <c r="H339" i="17"/>
  <c r="S339" i="17" s="1"/>
  <c r="H352" i="15"/>
  <c r="S352" i="15" s="1"/>
  <c r="H353" i="17"/>
  <c r="S353" i="17" s="1"/>
  <c r="H336" i="15"/>
  <c r="S336" i="15" s="1"/>
  <c r="H337" i="17"/>
  <c r="S337" i="17" s="1"/>
  <c r="H351" i="15"/>
  <c r="S351" i="15" s="1"/>
  <c r="H352" i="17"/>
  <c r="S352" i="17" s="1"/>
  <c r="H337" i="15"/>
  <c r="S337" i="15" s="1"/>
  <c r="H338" i="17"/>
  <c r="S338" i="17" s="1"/>
  <c r="H339" i="15"/>
  <c r="S339" i="15" s="1"/>
  <c r="H340" i="17"/>
  <c r="S340" i="17" s="1"/>
  <c r="N178" i="15"/>
  <c r="N179" i="17"/>
  <c r="N222" i="15"/>
  <c r="N223" i="17"/>
  <c r="N287" i="15"/>
  <c r="N288" i="17"/>
  <c r="N360" i="15"/>
  <c r="N361" i="17"/>
  <c r="N230" i="15"/>
  <c r="N231" i="17"/>
  <c r="N315" i="15"/>
  <c r="N316" i="17"/>
  <c r="N209" i="15"/>
  <c r="N210" i="17"/>
  <c r="N193" i="15"/>
  <c r="N194" i="17"/>
  <c r="N310" i="15"/>
  <c r="N311" i="17"/>
  <c r="S291" i="17"/>
  <c r="S273" i="17"/>
  <c r="N172" i="15"/>
  <c r="N173" i="17"/>
  <c r="N181" i="15"/>
  <c r="N182" i="17"/>
  <c r="N337" i="15"/>
  <c r="N338" i="17"/>
  <c r="N194" i="15"/>
  <c r="N195" i="17"/>
  <c r="N238" i="15"/>
  <c r="N239" i="17"/>
  <c r="N231" i="15"/>
  <c r="N232" i="17"/>
  <c r="N195" i="15"/>
  <c r="N196" i="17"/>
  <c r="N321" i="15"/>
  <c r="N322" i="17"/>
  <c r="N289" i="15"/>
  <c r="N290" i="17"/>
  <c r="N169" i="15"/>
  <c r="N170" i="17"/>
  <c r="N162" i="15"/>
  <c r="N163" i="17"/>
  <c r="N164" i="15"/>
  <c r="N165" i="17"/>
  <c r="N213" i="15"/>
  <c r="N214" i="17"/>
  <c r="N223" i="15"/>
  <c r="N224" i="17"/>
  <c r="N182" i="15"/>
  <c r="N183" i="17"/>
  <c r="N311" i="15"/>
  <c r="N312" i="17"/>
  <c r="N291" i="15"/>
  <c r="N292" i="17"/>
  <c r="N267" i="15"/>
  <c r="N268" i="17"/>
  <c r="N295" i="15"/>
  <c r="N296" i="17"/>
  <c r="N349" i="15"/>
  <c r="N350" i="17"/>
  <c r="N264" i="15"/>
  <c r="N265" i="17"/>
  <c r="N279" i="15"/>
  <c r="N280" i="17"/>
  <c r="N280" i="15"/>
  <c r="N281" i="17"/>
  <c r="N218" i="15"/>
  <c r="N219" i="17"/>
  <c r="N332" i="15"/>
  <c r="N333" i="17"/>
  <c r="N352" i="15"/>
  <c r="N353" i="17"/>
  <c r="N243" i="15"/>
  <c r="N244" i="17"/>
  <c r="N281" i="15"/>
  <c r="N282" i="17"/>
  <c r="N271" i="15"/>
  <c r="N272" i="17"/>
  <c r="N263" i="15"/>
  <c r="N264" i="17"/>
  <c r="N320" i="15"/>
  <c r="N321" i="17"/>
  <c r="N217" i="15"/>
  <c r="N218" i="17"/>
  <c r="N196" i="15"/>
  <c r="N197" i="17"/>
  <c r="N189" i="15"/>
  <c r="N190" i="17"/>
  <c r="S291" i="15"/>
  <c r="N166" i="15"/>
  <c r="N167" i="17"/>
  <c r="N159" i="15"/>
  <c r="N160" i="17"/>
  <c r="K83" i="8"/>
  <c r="M82" i="8"/>
  <c r="K111" i="8"/>
  <c r="M110" i="8"/>
  <c r="K68" i="8"/>
  <c r="M67" i="8"/>
  <c r="B6" i="15"/>
  <c r="P6" i="15" s="1"/>
  <c r="A7" i="8"/>
  <c r="C6" i="8"/>
  <c r="G81" i="15"/>
  <c r="R12" i="15"/>
  <c r="R11" i="15"/>
  <c r="G39" i="15"/>
  <c r="G47" i="15"/>
  <c r="G67" i="15"/>
  <c r="G75" i="15"/>
  <c r="G79" i="15"/>
  <c r="G83" i="15"/>
  <c r="G87" i="15"/>
  <c r="G91" i="15"/>
  <c r="G95" i="15"/>
  <c r="G99" i="15"/>
  <c r="G103" i="15"/>
  <c r="G107" i="15"/>
  <c r="G111" i="15"/>
  <c r="G115" i="15"/>
  <c r="G123" i="15"/>
  <c r="G131" i="15"/>
  <c r="G135" i="15"/>
  <c r="AB295" i="20"/>
  <c r="AB293" i="9"/>
  <c r="B412" i="9"/>
  <c r="A413" i="15" s="1"/>
  <c r="Q413" i="15" s="1"/>
  <c r="B413" i="9"/>
  <c r="A414" i="15" s="1"/>
  <c r="Q414" i="15" s="1"/>
  <c r="B343" i="9"/>
  <c r="AG341" i="9"/>
  <c r="AG347" i="9"/>
  <c r="AB363" i="20"/>
  <c r="AB361" i="9"/>
  <c r="B416" i="9"/>
  <c r="A417" i="15" s="1"/>
  <c r="Q417" i="15" s="1"/>
  <c r="B418" i="9"/>
  <c r="A419" i="15" s="1"/>
  <c r="Q419" i="15" s="1"/>
  <c r="B342" i="9"/>
  <c r="AJ343" i="20"/>
  <c r="AJ342" i="9" s="1"/>
  <c r="AG342" i="9"/>
  <c r="AG343" i="9"/>
  <c r="B344" i="9"/>
  <c r="B349" i="9"/>
  <c r="AB389" i="20"/>
  <c r="AB387" i="9"/>
  <c r="B414" i="9"/>
  <c r="A415" i="15" s="1"/>
  <c r="Q415" i="15" s="1"/>
  <c r="B415" i="9"/>
  <c r="A416" i="15" s="1"/>
  <c r="Q416" i="15" s="1"/>
  <c r="B417" i="9"/>
  <c r="A418" i="15" s="1"/>
  <c r="Q418" i="15" s="1"/>
  <c r="B346" i="9"/>
  <c r="AG344" i="9"/>
  <c r="W348" i="9"/>
  <c r="AG349" i="9"/>
  <c r="AG340" i="9"/>
  <c r="B341" i="9"/>
  <c r="B345" i="9"/>
  <c r="AG345" i="9"/>
  <c r="AG346" i="9"/>
  <c r="B347" i="9"/>
  <c r="AG348" i="9"/>
  <c r="P133" i="15"/>
  <c r="P117" i="15"/>
  <c r="P101" i="15"/>
  <c r="P81" i="15"/>
  <c r="P41" i="15"/>
  <c r="P25" i="15"/>
  <c r="P9" i="15"/>
  <c r="G117" i="15"/>
  <c r="R117" i="15"/>
  <c r="G89" i="15"/>
  <c r="R89" i="15"/>
  <c r="R73" i="15"/>
  <c r="R57" i="15"/>
  <c r="R41" i="15"/>
  <c r="R25" i="15"/>
  <c r="R13" i="15"/>
  <c r="R81" i="15"/>
  <c r="P129" i="15"/>
  <c r="P109" i="15"/>
  <c r="P93" i="15"/>
  <c r="P73" i="15"/>
  <c r="P65" i="15"/>
  <c r="P53" i="15"/>
  <c r="P37" i="15"/>
  <c r="P21" i="15"/>
  <c r="P5" i="15"/>
  <c r="R85" i="15"/>
  <c r="R61" i="15"/>
  <c r="R45" i="15"/>
  <c r="R29" i="15"/>
  <c r="R9" i="15"/>
  <c r="P132" i="15"/>
  <c r="P128" i="15"/>
  <c r="P124" i="15"/>
  <c r="P120" i="15"/>
  <c r="P116" i="15"/>
  <c r="P112" i="15"/>
  <c r="P108" i="15"/>
  <c r="P104" i="15"/>
  <c r="P100" i="15"/>
  <c r="P96" i="15"/>
  <c r="P92" i="15"/>
  <c r="P88" i="15"/>
  <c r="P84" i="15"/>
  <c r="P80" i="15"/>
  <c r="P76" i="15"/>
  <c r="P72" i="15"/>
  <c r="P68" i="15"/>
  <c r="P64" i="15"/>
  <c r="P60" i="15"/>
  <c r="P56" i="15"/>
  <c r="P52" i="15"/>
  <c r="P48" i="15"/>
  <c r="P44" i="15"/>
  <c r="P40" i="15"/>
  <c r="P36" i="15"/>
  <c r="P32" i="15"/>
  <c r="P28" i="15"/>
  <c r="P24" i="15"/>
  <c r="P20" i="15"/>
  <c r="P16" i="15"/>
  <c r="P12" i="15"/>
  <c r="P8" i="15"/>
  <c r="G92" i="15"/>
  <c r="R92" i="15"/>
  <c r="G88" i="15"/>
  <c r="R88" i="15"/>
  <c r="G84" i="15"/>
  <c r="R84" i="15"/>
  <c r="G76" i="15"/>
  <c r="R76" i="15"/>
  <c r="G72" i="15"/>
  <c r="R72" i="15"/>
  <c r="R64" i="15"/>
  <c r="G60" i="15"/>
  <c r="R60" i="15"/>
  <c r="R56" i="15"/>
  <c r="R52" i="15"/>
  <c r="R48" i="15"/>
  <c r="R44" i="15"/>
  <c r="R40" i="15"/>
  <c r="R36" i="15"/>
  <c r="G32" i="15"/>
  <c r="R32" i="15"/>
  <c r="G28" i="15"/>
  <c r="R28" i="15"/>
  <c r="G24" i="15"/>
  <c r="R24" i="15"/>
  <c r="G20" i="15"/>
  <c r="R20" i="15"/>
  <c r="G16" i="15"/>
  <c r="R16" i="15"/>
  <c r="R43" i="15"/>
  <c r="R39" i="15"/>
  <c r="R35" i="15"/>
  <c r="R100" i="15"/>
  <c r="R96" i="15"/>
  <c r="R80" i="15"/>
  <c r="R132" i="15"/>
  <c r="R128" i="15"/>
  <c r="R104" i="15"/>
  <c r="G8" i="15"/>
  <c r="G36" i="15"/>
  <c r="G40" i="15"/>
  <c r="G44" i="15"/>
  <c r="G48" i="15"/>
  <c r="G52" i="15"/>
  <c r="G64" i="15"/>
  <c r="G68" i="15"/>
  <c r="G96" i="15"/>
  <c r="G100" i="15"/>
  <c r="G104" i="15"/>
  <c r="G108" i="15"/>
  <c r="G112" i="15"/>
  <c r="G116" i="15"/>
  <c r="G120" i="15"/>
  <c r="G128" i="15"/>
  <c r="G132" i="15"/>
  <c r="P121" i="15"/>
  <c r="P105" i="15"/>
  <c r="P89" i="15"/>
  <c r="P77" i="15"/>
  <c r="P61" i="15"/>
  <c r="P45" i="15"/>
  <c r="P29" i="15"/>
  <c r="P13" i="15"/>
  <c r="R133" i="15"/>
  <c r="R69" i="15"/>
  <c r="R53" i="15"/>
  <c r="R37" i="15"/>
  <c r="R21" i="15"/>
  <c r="R5" i="15"/>
  <c r="P131" i="15"/>
  <c r="P119" i="15"/>
  <c r="P111" i="15"/>
  <c r="P103" i="15"/>
  <c r="P95" i="15"/>
  <c r="P87" i="15"/>
  <c r="P79" i="15"/>
  <c r="P71" i="15"/>
  <c r="P63" i="15"/>
  <c r="P55" i="15"/>
  <c r="P47" i="15"/>
  <c r="P39" i="15"/>
  <c r="P35" i="15"/>
  <c r="P23" i="15"/>
  <c r="P19" i="15"/>
  <c r="P7" i="15"/>
  <c r="R135" i="15"/>
  <c r="R127" i="15"/>
  <c r="R119" i="15"/>
  <c r="R111" i="15"/>
  <c r="R103" i="15"/>
  <c r="R95" i="15"/>
  <c r="R87" i="15"/>
  <c r="R79" i="15"/>
  <c r="G71" i="15"/>
  <c r="R71" i="15"/>
  <c r="G63" i="15"/>
  <c r="R63" i="15"/>
  <c r="G55" i="15"/>
  <c r="G27" i="15"/>
  <c r="R27" i="15"/>
  <c r="G23" i="15"/>
  <c r="R23" i="15"/>
  <c r="G15" i="15"/>
  <c r="R15" i="15"/>
  <c r="G11" i="15"/>
  <c r="G7" i="15"/>
  <c r="R7" i="15"/>
  <c r="R67" i="15"/>
  <c r="G5" i="15"/>
  <c r="G9" i="15"/>
  <c r="G13" i="15"/>
  <c r="G17" i="15"/>
  <c r="G21" i="15"/>
  <c r="G25" i="15"/>
  <c r="G29" i="15"/>
  <c r="G37" i="15"/>
  <c r="G41" i="15"/>
  <c r="G45" i="15"/>
  <c r="G49" i="15"/>
  <c r="G53" i="15"/>
  <c r="G57" i="15"/>
  <c r="G69" i="15"/>
  <c r="G93" i="15"/>
  <c r="G97" i="15"/>
  <c r="G101" i="15"/>
  <c r="G105" i="15"/>
  <c r="G109" i="15"/>
  <c r="G113" i="15"/>
  <c r="G121" i="15"/>
  <c r="G129" i="15"/>
  <c r="G133" i="15"/>
  <c r="P125" i="15"/>
  <c r="P113" i="15"/>
  <c r="P97" i="15"/>
  <c r="P85" i="15"/>
  <c r="P69" i="15"/>
  <c r="P49" i="15"/>
  <c r="P33" i="15"/>
  <c r="P17" i="15"/>
  <c r="R129" i="15"/>
  <c r="G77" i="15"/>
  <c r="R77" i="15"/>
  <c r="R65" i="15"/>
  <c r="R49" i="15"/>
  <c r="R33" i="15"/>
  <c r="R17" i="15"/>
  <c r="P135" i="15"/>
  <c r="P127" i="15"/>
  <c r="P123" i="15"/>
  <c r="P115" i="15"/>
  <c r="P107" i="15"/>
  <c r="P99" i="15"/>
  <c r="P91" i="15"/>
  <c r="P83" i="15"/>
  <c r="P75" i="15"/>
  <c r="P67" i="15"/>
  <c r="P59" i="15"/>
  <c r="P51" i="15"/>
  <c r="P43" i="15"/>
  <c r="P31" i="15"/>
  <c r="P27" i="15"/>
  <c r="P15" i="15"/>
  <c r="P11" i="15"/>
  <c r="R131" i="15"/>
  <c r="R123" i="15"/>
  <c r="R115" i="15"/>
  <c r="R107" i="15"/>
  <c r="R99" i="15"/>
  <c r="R91" i="15"/>
  <c r="R83" i="15"/>
  <c r="R75" i="15"/>
  <c r="G51" i="15"/>
  <c r="R31" i="15"/>
  <c r="G19" i="15"/>
  <c r="R19" i="15"/>
  <c r="P134" i="15"/>
  <c r="P130" i="15"/>
  <c r="P126" i="15"/>
  <c r="P122" i="15"/>
  <c r="P118" i="15"/>
  <c r="P114" i="15"/>
  <c r="P110" i="15"/>
  <c r="P106" i="15"/>
  <c r="P102" i="15"/>
  <c r="P98" i="15"/>
  <c r="P94" i="15"/>
  <c r="P90" i="15"/>
  <c r="P86" i="15"/>
  <c r="P82" i="15"/>
  <c r="P78" i="15"/>
  <c r="P74" i="15"/>
  <c r="P70" i="15"/>
  <c r="P66" i="15"/>
  <c r="P62" i="15"/>
  <c r="P54" i="15"/>
  <c r="P50" i="15"/>
  <c r="P46" i="15"/>
  <c r="P42" i="15"/>
  <c r="P38" i="15"/>
  <c r="P34" i="15"/>
  <c r="P30" i="15"/>
  <c r="P26" i="15"/>
  <c r="P22" i="15"/>
  <c r="P18" i="15"/>
  <c r="P14" i="15"/>
  <c r="P10" i="15"/>
  <c r="R134" i="15"/>
  <c r="R130" i="15"/>
  <c r="R126" i="15"/>
  <c r="R122" i="15"/>
  <c r="R118" i="15"/>
  <c r="R114" i="15"/>
  <c r="R110" i="15"/>
  <c r="R106" i="15"/>
  <c r="R102" i="15"/>
  <c r="R98" i="15"/>
  <c r="R94" i="15"/>
  <c r="R90" i="15"/>
  <c r="R86" i="15"/>
  <c r="G82" i="15"/>
  <c r="R82" i="15"/>
  <c r="R78" i="15"/>
  <c r="G74" i="15"/>
  <c r="R74" i="15"/>
  <c r="R70" i="15"/>
  <c r="R66" i="15"/>
  <c r="R62" i="15"/>
  <c r="R58" i="15"/>
  <c r="R54" i="15"/>
  <c r="R50" i="15"/>
  <c r="R46" i="15"/>
  <c r="R42" i="15"/>
  <c r="R38" i="15"/>
  <c r="R34" i="15"/>
  <c r="R30" i="15"/>
  <c r="R26" i="15"/>
  <c r="R22" i="15"/>
  <c r="R18" i="15"/>
  <c r="R14" i="15"/>
  <c r="R10" i="15"/>
  <c r="R6" i="15"/>
  <c r="R59" i="15"/>
  <c r="R55" i="15"/>
  <c r="R51" i="15"/>
  <c r="R47" i="15"/>
  <c r="R8" i="15"/>
  <c r="G6" i="15"/>
  <c r="G10" i="15"/>
  <c r="G14" i="15"/>
  <c r="G18" i="15"/>
  <c r="G22" i="15"/>
  <c r="G26" i="15"/>
  <c r="G30" i="15"/>
  <c r="G38" i="15"/>
  <c r="G42" i="15"/>
  <c r="G46" i="15"/>
  <c r="G50" i="15"/>
  <c r="G58" i="15"/>
  <c r="G62" i="15"/>
  <c r="G66" i="15"/>
  <c r="G70" i="15"/>
  <c r="G78" i="15"/>
  <c r="G86" i="15"/>
  <c r="G90" i="15"/>
  <c r="G94" i="15"/>
  <c r="G98" i="15"/>
  <c r="G102" i="15"/>
  <c r="G106" i="15"/>
  <c r="G110" i="15"/>
  <c r="G114" i="15"/>
  <c r="G122" i="15"/>
  <c r="G126" i="15"/>
  <c r="G130" i="15"/>
  <c r="G134" i="15"/>
  <c r="U144" i="14"/>
  <c r="I414" i="20"/>
  <c r="H415" i="14" s="1"/>
  <c r="S415" i="14" s="1"/>
  <c r="W419" i="20"/>
  <c r="AC419" i="20" s="1"/>
  <c r="AC418" i="9" s="1"/>
  <c r="I418" i="20"/>
  <c r="H419" i="14" s="1"/>
  <c r="S419" i="14" s="1"/>
  <c r="I341" i="20"/>
  <c r="H342" i="14" s="1"/>
  <c r="S342" i="14" s="1"/>
  <c r="I343" i="20"/>
  <c r="H344" i="14" s="1"/>
  <c r="S344" i="14" s="1"/>
  <c r="I347" i="20"/>
  <c r="H348" i="14" s="1"/>
  <c r="S348" i="14" s="1"/>
  <c r="I349" i="20"/>
  <c r="H350" i="14" s="1"/>
  <c r="S350" i="14" s="1"/>
  <c r="W416" i="20"/>
  <c r="I417" i="20"/>
  <c r="H418" i="14" s="1"/>
  <c r="S418" i="14" s="1"/>
  <c r="W418" i="20"/>
  <c r="AC418" i="20" s="1"/>
  <c r="AC417" i="9" s="1"/>
  <c r="AK419" i="20"/>
  <c r="AK418" i="9" s="1"/>
  <c r="I342" i="20"/>
  <c r="H343" i="14" s="1"/>
  <c r="S343" i="14" s="1"/>
  <c r="I348" i="20"/>
  <c r="H349" i="14" s="1"/>
  <c r="S349" i="14" s="1"/>
  <c r="I413" i="20"/>
  <c r="H414" i="14" s="1"/>
  <c r="S414" i="14" s="1"/>
  <c r="I415" i="20"/>
  <c r="H416" i="14" s="1"/>
  <c r="S416" i="14" s="1"/>
  <c r="I416" i="20"/>
  <c r="H417" i="14" s="1"/>
  <c r="S417" i="14" s="1"/>
  <c r="I344" i="20"/>
  <c r="H345" i="14" s="1"/>
  <c r="S345" i="14" s="1"/>
  <c r="I346" i="20"/>
  <c r="H347" i="14" s="1"/>
  <c r="S347" i="14" s="1"/>
  <c r="W414" i="20"/>
  <c r="I345" i="20"/>
  <c r="H346" i="14" s="1"/>
  <c r="S346" i="14" s="1"/>
  <c r="I350" i="20"/>
  <c r="H351" i="14" s="1"/>
  <c r="S351" i="14" s="1"/>
  <c r="W342" i="20"/>
  <c r="AJ419" i="20"/>
  <c r="AJ418" i="9" s="1"/>
  <c r="W348" i="20"/>
  <c r="W349" i="20"/>
  <c r="W350" i="20"/>
  <c r="W345" i="20"/>
  <c r="W347" i="20"/>
  <c r="W346" i="20"/>
  <c r="W343" i="20"/>
  <c r="W344" i="20"/>
  <c r="AK413" i="20"/>
  <c r="AK414" i="20"/>
  <c r="AK415" i="20"/>
  <c r="AK416" i="20"/>
  <c r="W417" i="20"/>
  <c r="AC417" i="20" s="1"/>
  <c r="AC416" i="9" s="1"/>
  <c r="AK418" i="20"/>
  <c r="W341" i="20"/>
  <c r="AK417" i="20"/>
  <c r="I419" i="20"/>
  <c r="H420" i="14" s="1"/>
  <c r="S420" i="14" s="1"/>
  <c r="W415" i="20"/>
  <c r="W413" i="20"/>
  <c r="AC413" i="20" s="1"/>
  <c r="AC412" i="9" s="1"/>
  <c r="AB146" i="20"/>
  <c r="AB145" i="9" s="1"/>
  <c r="B135" i="17"/>
  <c r="P135" i="17" s="1"/>
  <c r="O133" i="9"/>
  <c r="P133" i="9" s="1"/>
  <c r="Q133" i="9"/>
  <c r="O135" i="15" s="1"/>
  <c r="AA133" i="9"/>
  <c r="Y133" i="9"/>
  <c r="Z133" i="9"/>
  <c r="X133" i="9"/>
  <c r="S133" i="9"/>
  <c r="M133" i="9"/>
  <c r="N133" i="9"/>
  <c r="B115" i="17"/>
  <c r="P115" i="17" s="1"/>
  <c r="O113" i="9"/>
  <c r="P113" i="9" s="1"/>
  <c r="Q113" i="9"/>
  <c r="O115" i="15" s="1"/>
  <c r="AA113" i="9"/>
  <c r="Y113" i="9"/>
  <c r="Z113" i="9"/>
  <c r="X113" i="9"/>
  <c r="S113" i="9"/>
  <c r="M113" i="9"/>
  <c r="N113" i="9"/>
  <c r="B95" i="17"/>
  <c r="P95" i="17" s="1"/>
  <c r="O93" i="9"/>
  <c r="P93" i="9" s="1"/>
  <c r="Q93" i="9"/>
  <c r="O95" i="15" s="1"/>
  <c r="AA93" i="9"/>
  <c r="Y93" i="9"/>
  <c r="Z93" i="9"/>
  <c r="X93" i="9"/>
  <c r="S93" i="9"/>
  <c r="M93" i="9"/>
  <c r="K95" i="15" s="1"/>
  <c r="N93" i="9"/>
  <c r="L95" i="15" s="1"/>
  <c r="B83" i="17"/>
  <c r="P83" i="17" s="1"/>
  <c r="O81" i="9"/>
  <c r="P81" i="9" s="1"/>
  <c r="Q81" i="9"/>
  <c r="O83" i="15" s="1"/>
  <c r="AA81" i="9"/>
  <c r="Y81" i="9"/>
  <c r="Z81" i="9"/>
  <c r="X81" i="9"/>
  <c r="S81" i="9"/>
  <c r="M81" i="9"/>
  <c r="K83" i="15" s="1"/>
  <c r="N81" i="9"/>
  <c r="L83" i="15" s="1"/>
  <c r="B71" i="17"/>
  <c r="P71" i="17" s="1"/>
  <c r="O69" i="9"/>
  <c r="M71" i="15" s="1"/>
  <c r="Q69" i="9"/>
  <c r="O71" i="15" s="1"/>
  <c r="Z69" i="9"/>
  <c r="AA69" i="9"/>
  <c r="Y69" i="9"/>
  <c r="X69" i="9"/>
  <c r="S69" i="9"/>
  <c r="M69" i="9"/>
  <c r="K71" i="15" s="1"/>
  <c r="N69" i="9"/>
  <c r="L71" i="15" s="1"/>
  <c r="B67" i="17"/>
  <c r="P67" i="17" s="1"/>
  <c r="O65" i="9"/>
  <c r="M67" i="15" s="1"/>
  <c r="Q65" i="9"/>
  <c r="O67" i="15" s="1"/>
  <c r="Z65" i="9"/>
  <c r="AA65" i="9"/>
  <c r="Y65" i="9"/>
  <c r="X65" i="9"/>
  <c r="S65" i="9"/>
  <c r="M65" i="9"/>
  <c r="K67" i="15" s="1"/>
  <c r="N65" i="9"/>
  <c r="L67" i="15" s="1"/>
  <c r="B63" i="17"/>
  <c r="P63" i="17" s="1"/>
  <c r="O61" i="9"/>
  <c r="M63" i="15" s="1"/>
  <c r="Q61" i="9"/>
  <c r="O63" i="15" s="1"/>
  <c r="Z61" i="9"/>
  <c r="AA61" i="9"/>
  <c r="Y61" i="9"/>
  <c r="X61" i="9"/>
  <c r="S61" i="9"/>
  <c r="M61" i="9"/>
  <c r="K63" i="15" s="1"/>
  <c r="N61" i="9"/>
  <c r="L63" i="15" s="1"/>
  <c r="B59" i="17"/>
  <c r="P59" i="17" s="1"/>
  <c r="O57" i="9"/>
  <c r="M59" i="15" s="1"/>
  <c r="Q57" i="9"/>
  <c r="O59" i="15" s="1"/>
  <c r="Z57" i="9"/>
  <c r="AA57" i="9"/>
  <c r="Y57" i="9"/>
  <c r="X57" i="9"/>
  <c r="S57" i="9"/>
  <c r="M57" i="9"/>
  <c r="K59" i="15" s="1"/>
  <c r="N57" i="9"/>
  <c r="L59" i="15" s="1"/>
  <c r="B55" i="17"/>
  <c r="P55" i="17" s="1"/>
  <c r="O53" i="9"/>
  <c r="M55" i="15" s="1"/>
  <c r="Q53" i="9"/>
  <c r="O55" i="15" s="1"/>
  <c r="Z53" i="9"/>
  <c r="AA53" i="9"/>
  <c r="Y53" i="9"/>
  <c r="X53" i="9"/>
  <c r="S53" i="9"/>
  <c r="M53" i="9"/>
  <c r="K55" i="15" s="1"/>
  <c r="N53" i="9"/>
  <c r="L55" i="15" s="1"/>
  <c r="B43" i="17"/>
  <c r="P43" i="17" s="1"/>
  <c r="O41" i="9"/>
  <c r="P41" i="9" s="1"/>
  <c r="Q41" i="9"/>
  <c r="O43" i="15" s="1"/>
  <c r="Z41" i="9"/>
  <c r="AA41" i="9"/>
  <c r="Y41" i="9"/>
  <c r="X41" i="9"/>
  <c r="S41" i="9"/>
  <c r="M41" i="9"/>
  <c r="K43" i="15" s="1"/>
  <c r="N41" i="9"/>
  <c r="L43" i="15" s="1"/>
  <c r="B39" i="17"/>
  <c r="P39" i="17" s="1"/>
  <c r="O37" i="9"/>
  <c r="P37" i="9" s="1"/>
  <c r="Q37" i="9"/>
  <c r="O39" i="15" s="1"/>
  <c r="Z37" i="9"/>
  <c r="AA37" i="9"/>
  <c r="Y37" i="9"/>
  <c r="X37" i="9"/>
  <c r="S37" i="9"/>
  <c r="M37" i="9"/>
  <c r="K39" i="15" s="1"/>
  <c r="N37" i="9"/>
  <c r="L39" i="15" s="1"/>
  <c r="B35" i="17"/>
  <c r="P35" i="17" s="1"/>
  <c r="O33" i="9"/>
  <c r="P33" i="9" s="1"/>
  <c r="Q33" i="9"/>
  <c r="O35" i="15" s="1"/>
  <c r="Z33" i="9"/>
  <c r="AA33" i="9"/>
  <c r="Y33" i="9"/>
  <c r="X33" i="9"/>
  <c r="S33" i="9"/>
  <c r="M33" i="9"/>
  <c r="K35" i="15" s="1"/>
  <c r="N33" i="9"/>
  <c r="L35" i="15" s="1"/>
  <c r="B31" i="17"/>
  <c r="P31" i="17" s="1"/>
  <c r="O29" i="9"/>
  <c r="P29" i="9" s="1"/>
  <c r="Q29" i="9"/>
  <c r="O31" i="15" s="1"/>
  <c r="Z29" i="9"/>
  <c r="AA29" i="9"/>
  <c r="Y29" i="9"/>
  <c r="X29" i="9"/>
  <c r="S29" i="9"/>
  <c r="M29" i="9"/>
  <c r="K31" i="15" s="1"/>
  <c r="N29" i="9"/>
  <c r="L31" i="15" s="1"/>
  <c r="O25" i="9"/>
  <c r="M27" i="15" s="1"/>
  <c r="Q25" i="9"/>
  <c r="O27" i="15" s="1"/>
  <c r="Z25" i="9"/>
  <c r="AA25" i="9"/>
  <c r="Y25" i="9"/>
  <c r="X25" i="9"/>
  <c r="S25" i="9"/>
  <c r="N25" i="9"/>
  <c r="L27" i="15" s="1"/>
  <c r="M25" i="9"/>
  <c r="K27" i="15" s="1"/>
  <c r="O21" i="9"/>
  <c r="M23" i="15" s="1"/>
  <c r="Q21" i="9"/>
  <c r="O23" i="15" s="1"/>
  <c r="Z21" i="9"/>
  <c r="AA21" i="9"/>
  <c r="X21" i="9"/>
  <c r="S21" i="9"/>
  <c r="Y21" i="9"/>
  <c r="N21" i="9"/>
  <c r="L23" i="15" s="1"/>
  <c r="M21" i="9"/>
  <c r="K23" i="15" s="1"/>
  <c r="O17" i="9"/>
  <c r="M19" i="15" s="1"/>
  <c r="Q17" i="9"/>
  <c r="O19" i="15" s="1"/>
  <c r="Z17" i="9"/>
  <c r="AA17" i="9"/>
  <c r="X17" i="9"/>
  <c r="S17" i="9"/>
  <c r="Y17" i="9"/>
  <c r="N17" i="9"/>
  <c r="L19" i="15" s="1"/>
  <c r="M17" i="9"/>
  <c r="K19" i="15" s="1"/>
  <c r="O13" i="9"/>
  <c r="M15" i="15" s="1"/>
  <c r="Q13" i="9"/>
  <c r="O15" i="15" s="1"/>
  <c r="Z13" i="9"/>
  <c r="AA13" i="9"/>
  <c r="X13" i="9"/>
  <c r="S13" i="9"/>
  <c r="Y13" i="9"/>
  <c r="N13" i="9"/>
  <c r="L15" i="15" s="1"/>
  <c r="M13" i="9"/>
  <c r="K15" i="15" s="1"/>
  <c r="O9" i="9"/>
  <c r="Q9" i="9"/>
  <c r="O11" i="15" s="1"/>
  <c r="Z9" i="9"/>
  <c r="AA9" i="9"/>
  <c r="S9" i="9"/>
  <c r="Y9" i="9"/>
  <c r="X9" i="9"/>
  <c r="N9" i="9"/>
  <c r="L11" i="15" s="1"/>
  <c r="M9" i="9"/>
  <c r="K11" i="15" s="1"/>
  <c r="O5" i="9"/>
  <c r="M7" i="15" s="1"/>
  <c r="Q5" i="9"/>
  <c r="O7" i="15" s="1"/>
  <c r="Z5" i="9"/>
  <c r="AA5" i="9"/>
  <c r="S5" i="9"/>
  <c r="Y5" i="9"/>
  <c r="X5" i="9"/>
  <c r="N5" i="9"/>
  <c r="L7" i="15" s="1"/>
  <c r="M5" i="9"/>
  <c r="K7" i="15" s="1"/>
  <c r="C141" i="17"/>
  <c r="C137" i="17"/>
  <c r="C133" i="17"/>
  <c r="C129" i="17"/>
  <c r="C125" i="17"/>
  <c r="C121" i="17"/>
  <c r="C117" i="17"/>
  <c r="C113" i="17"/>
  <c r="C109" i="17"/>
  <c r="C105" i="17"/>
  <c r="C101" i="17"/>
  <c r="C97" i="17"/>
  <c r="C93" i="17"/>
  <c r="C89" i="17"/>
  <c r="C85" i="17"/>
  <c r="C81" i="17"/>
  <c r="C77" i="17"/>
  <c r="C73" i="17"/>
  <c r="C69" i="17"/>
  <c r="C65" i="17"/>
  <c r="C61" i="17"/>
  <c r="C57" i="17"/>
  <c r="C53" i="17"/>
  <c r="C49" i="17"/>
  <c r="C45" i="17"/>
  <c r="C41" i="17"/>
  <c r="C37" i="17"/>
  <c r="C33" i="17"/>
  <c r="D143" i="17"/>
  <c r="G143" i="17" s="1"/>
  <c r="D139" i="17"/>
  <c r="G139" i="17" s="1"/>
  <c r="D135" i="17"/>
  <c r="G135" i="17" s="1"/>
  <c r="D131" i="17"/>
  <c r="G131" i="17" s="1"/>
  <c r="D127" i="17"/>
  <c r="G127" i="17" s="1"/>
  <c r="D123" i="17"/>
  <c r="G123" i="17" s="1"/>
  <c r="D119" i="17"/>
  <c r="D115" i="17"/>
  <c r="G115" i="17" s="1"/>
  <c r="D111" i="17"/>
  <c r="G111" i="17" s="1"/>
  <c r="D107" i="17"/>
  <c r="G107" i="17" s="1"/>
  <c r="D103" i="17"/>
  <c r="G103" i="17" s="1"/>
  <c r="D99" i="17"/>
  <c r="G99" i="17" s="1"/>
  <c r="D95" i="17"/>
  <c r="G95" i="17" s="1"/>
  <c r="D91" i="17"/>
  <c r="G91" i="17" s="1"/>
  <c r="D87" i="17"/>
  <c r="G87" i="17" s="1"/>
  <c r="D83" i="17"/>
  <c r="G83" i="17" s="1"/>
  <c r="D79" i="17"/>
  <c r="G79" i="17" s="1"/>
  <c r="D75" i="17"/>
  <c r="G75" i="17" s="1"/>
  <c r="D71" i="17"/>
  <c r="G71" i="17" s="1"/>
  <c r="D67" i="17"/>
  <c r="G67" i="17" s="1"/>
  <c r="D63" i="17"/>
  <c r="G63" i="17" s="1"/>
  <c r="D59" i="17"/>
  <c r="D55" i="17"/>
  <c r="G55" i="17" s="1"/>
  <c r="D51" i="17"/>
  <c r="G51" i="17" s="1"/>
  <c r="D47" i="17"/>
  <c r="G47" i="17" s="1"/>
  <c r="D43" i="17"/>
  <c r="D39" i="17"/>
  <c r="G39" i="17" s="1"/>
  <c r="D35" i="17"/>
  <c r="G35" i="17" s="1"/>
  <c r="D31" i="17"/>
  <c r="G31" i="17" s="1"/>
  <c r="E34" i="17"/>
  <c r="E42" i="17"/>
  <c r="E38" i="17"/>
  <c r="E64" i="17"/>
  <c r="E60" i="17"/>
  <c r="E56" i="17"/>
  <c r="E52" i="17"/>
  <c r="E48" i="17"/>
  <c r="E141" i="17"/>
  <c r="E137" i="17"/>
  <c r="E133" i="17"/>
  <c r="E129" i="17"/>
  <c r="E125" i="17"/>
  <c r="E121" i="17"/>
  <c r="E117" i="17"/>
  <c r="E113" i="17"/>
  <c r="E109" i="17"/>
  <c r="E105" i="17"/>
  <c r="E101" i="17"/>
  <c r="E97" i="17"/>
  <c r="E93" i="17"/>
  <c r="E89" i="17"/>
  <c r="E85" i="17"/>
  <c r="E81" i="17"/>
  <c r="E77" i="17"/>
  <c r="E73" i="17"/>
  <c r="E69" i="17"/>
  <c r="E65" i="17"/>
  <c r="B143" i="17"/>
  <c r="P143" i="17" s="1"/>
  <c r="L143" i="17"/>
  <c r="B131" i="17"/>
  <c r="P131" i="17" s="1"/>
  <c r="O129" i="9"/>
  <c r="P129" i="9" s="1"/>
  <c r="Q129" i="9"/>
  <c r="O131" i="15" s="1"/>
  <c r="AA129" i="9"/>
  <c r="Y129" i="9"/>
  <c r="Z129" i="9"/>
  <c r="X129" i="9"/>
  <c r="S129" i="9"/>
  <c r="M129" i="9"/>
  <c r="N129" i="9"/>
  <c r="B123" i="17"/>
  <c r="P123" i="17" s="1"/>
  <c r="O121" i="9"/>
  <c r="P121" i="9" s="1"/>
  <c r="Q121" i="9"/>
  <c r="O123" i="15" s="1"/>
  <c r="AA121" i="9"/>
  <c r="Y121" i="9"/>
  <c r="Z121" i="9"/>
  <c r="X121" i="9"/>
  <c r="S121" i="9"/>
  <c r="M121" i="9"/>
  <c r="N121" i="9"/>
  <c r="B107" i="17"/>
  <c r="P107" i="17" s="1"/>
  <c r="O105" i="9"/>
  <c r="P105" i="9" s="1"/>
  <c r="Q105" i="9"/>
  <c r="O107" i="15" s="1"/>
  <c r="AA105" i="9"/>
  <c r="Y105" i="9"/>
  <c r="Z105" i="9"/>
  <c r="X105" i="9"/>
  <c r="S105" i="9"/>
  <c r="M105" i="9"/>
  <c r="N105" i="9"/>
  <c r="B99" i="17"/>
  <c r="P99" i="17" s="1"/>
  <c r="O97" i="9"/>
  <c r="M99" i="15" s="1"/>
  <c r="Q97" i="9"/>
  <c r="O99" i="15" s="1"/>
  <c r="AA97" i="9"/>
  <c r="Y97" i="9"/>
  <c r="Z97" i="9"/>
  <c r="X97" i="9"/>
  <c r="S97" i="9"/>
  <c r="M97" i="9"/>
  <c r="K99" i="15" s="1"/>
  <c r="N97" i="9"/>
  <c r="L99" i="15" s="1"/>
  <c r="B87" i="17"/>
  <c r="P87" i="17" s="1"/>
  <c r="O85" i="9"/>
  <c r="P85" i="9" s="1"/>
  <c r="Q85" i="9"/>
  <c r="O87" i="15" s="1"/>
  <c r="AA85" i="9"/>
  <c r="Y85" i="9"/>
  <c r="Z85" i="9"/>
  <c r="X85" i="9"/>
  <c r="S85" i="9"/>
  <c r="M85" i="9"/>
  <c r="K87" i="15" s="1"/>
  <c r="N85" i="9"/>
  <c r="L87" i="15" s="1"/>
  <c r="B75" i="17"/>
  <c r="P75" i="17" s="1"/>
  <c r="O73" i="9"/>
  <c r="P73" i="9" s="1"/>
  <c r="Q73" i="9"/>
  <c r="O75" i="15" s="1"/>
  <c r="AA73" i="9"/>
  <c r="Y73" i="9"/>
  <c r="Z73" i="9"/>
  <c r="X73" i="9"/>
  <c r="S73" i="9"/>
  <c r="M73" i="9"/>
  <c r="K75" i="15" s="1"/>
  <c r="N73" i="9"/>
  <c r="L75" i="15" s="1"/>
  <c r="B51" i="17"/>
  <c r="P51" i="17" s="1"/>
  <c r="O49" i="9"/>
  <c r="M51" i="15" s="1"/>
  <c r="Q49" i="9"/>
  <c r="O51" i="15" s="1"/>
  <c r="Z49" i="9"/>
  <c r="AA49" i="9"/>
  <c r="Y49" i="9"/>
  <c r="X49" i="9"/>
  <c r="S49" i="9"/>
  <c r="M49" i="9"/>
  <c r="K51" i="15" s="1"/>
  <c r="N49" i="9"/>
  <c r="L51" i="15" s="1"/>
  <c r="O2" i="9"/>
  <c r="P2" i="9" s="1"/>
  <c r="Z2" i="9"/>
  <c r="AA2" i="9"/>
  <c r="M2" i="9"/>
  <c r="Y2" i="9"/>
  <c r="S2" i="9"/>
  <c r="N2" i="9"/>
  <c r="X2" i="9"/>
  <c r="B142" i="17"/>
  <c r="P142" i="17" s="1"/>
  <c r="M142" i="17"/>
  <c r="K142" i="17"/>
  <c r="L142" i="17"/>
  <c r="B138" i="17"/>
  <c r="P138" i="17" s="1"/>
  <c r="M138" i="17"/>
  <c r="K138" i="17"/>
  <c r="L138" i="17"/>
  <c r="B134" i="17"/>
  <c r="P134" i="17" s="1"/>
  <c r="O132" i="9"/>
  <c r="Q132" i="9"/>
  <c r="O134" i="15" s="1"/>
  <c r="Z132" i="9"/>
  <c r="Y132" i="9"/>
  <c r="AA132" i="9"/>
  <c r="S132" i="9"/>
  <c r="M132" i="9"/>
  <c r="N132" i="9"/>
  <c r="X132" i="9"/>
  <c r="B130" i="17"/>
  <c r="P130" i="17" s="1"/>
  <c r="O128" i="9"/>
  <c r="Q128" i="9"/>
  <c r="O130" i="15" s="1"/>
  <c r="Z128" i="9"/>
  <c r="Y128" i="9"/>
  <c r="AA128" i="9"/>
  <c r="S128" i="9"/>
  <c r="M128" i="9"/>
  <c r="N128" i="9"/>
  <c r="X128" i="9"/>
  <c r="B126" i="17"/>
  <c r="P126" i="17" s="1"/>
  <c r="O124" i="9"/>
  <c r="Q124" i="9"/>
  <c r="O126" i="15" s="1"/>
  <c r="Z124" i="9"/>
  <c r="Y124" i="9"/>
  <c r="AA124" i="9"/>
  <c r="S124" i="9"/>
  <c r="M124" i="9"/>
  <c r="N124" i="9"/>
  <c r="X124" i="9"/>
  <c r="B122" i="17"/>
  <c r="P122" i="17" s="1"/>
  <c r="O120" i="9"/>
  <c r="Q120" i="9"/>
  <c r="O122" i="15" s="1"/>
  <c r="Z120" i="9"/>
  <c r="Y120" i="9"/>
  <c r="AA120" i="9"/>
  <c r="S120" i="9"/>
  <c r="M120" i="9"/>
  <c r="N120" i="9"/>
  <c r="X120" i="9"/>
  <c r="B118" i="17"/>
  <c r="P118" i="17" s="1"/>
  <c r="O116" i="9"/>
  <c r="Q116" i="9"/>
  <c r="O118" i="15" s="1"/>
  <c r="Z116" i="9"/>
  <c r="Y116" i="9"/>
  <c r="AA116" i="9"/>
  <c r="S116" i="9"/>
  <c r="M116" i="9"/>
  <c r="N116" i="9"/>
  <c r="X116" i="9"/>
  <c r="B114" i="17"/>
  <c r="P114" i="17" s="1"/>
  <c r="O112" i="9"/>
  <c r="P112" i="9" s="1"/>
  <c r="Q112" i="9"/>
  <c r="O114" i="15" s="1"/>
  <c r="Z112" i="9"/>
  <c r="Y112" i="9"/>
  <c r="AA112" i="9"/>
  <c r="S112" i="9"/>
  <c r="M112" i="9"/>
  <c r="N112" i="9"/>
  <c r="X112" i="9"/>
  <c r="B110" i="17"/>
  <c r="P110" i="17" s="1"/>
  <c r="O108" i="9"/>
  <c r="Q108" i="9"/>
  <c r="O110" i="15" s="1"/>
  <c r="Z108" i="9"/>
  <c r="Y108" i="9"/>
  <c r="AA108" i="9"/>
  <c r="S108" i="9"/>
  <c r="M108" i="9"/>
  <c r="N108" i="9"/>
  <c r="X108" i="9"/>
  <c r="B106" i="17"/>
  <c r="P106" i="17" s="1"/>
  <c r="O104" i="9"/>
  <c r="Q104" i="9"/>
  <c r="O106" i="15" s="1"/>
  <c r="Z104" i="9"/>
  <c r="Y104" i="9"/>
  <c r="AA104" i="9"/>
  <c r="S104" i="9"/>
  <c r="M104" i="9"/>
  <c r="K106" i="15" s="1"/>
  <c r="N104" i="9"/>
  <c r="X104" i="9"/>
  <c r="B102" i="17"/>
  <c r="P102" i="17" s="1"/>
  <c r="O100" i="9"/>
  <c r="Q100" i="9"/>
  <c r="O102" i="15" s="1"/>
  <c r="Z100" i="9"/>
  <c r="Y100" i="9"/>
  <c r="AA100" i="9"/>
  <c r="S100" i="9"/>
  <c r="M100" i="9"/>
  <c r="K102" i="15" s="1"/>
  <c r="N100" i="9"/>
  <c r="L102" i="15" s="1"/>
  <c r="X100" i="9"/>
  <c r="B98" i="17"/>
  <c r="P98" i="17" s="1"/>
  <c r="O96" i="9"/>
  <c r="Q96" i="9"/>
  <c r="O98" i="15" s="1"/>
  <c r="Z96" i="9"/>
  <c r="Y96" i="9"/>
  <c r="AA96" i="9"/>
  <c r="S96" i="9"/>
  <c r="M96" i="9"/>
  <c r="K98" i="15" s="1"/>
  <c r="N96" i="9"/>
  <c r="L98" i="15" s="1"/>
  <c r="X96" i="9"/>
  <c r="B94" i="17"/>
  <c r="P94" i="17" s="1"/>
  <c r="O92" i="9"/>
  <c r="Q92" i="9"/>
  <c r="O94" i="15" s="1"/>
  <c r="Z92" i="9"/>
  <c r="Y92" i="9"/>
  <c r="AA92" i="9"/>
  <c r="S92" i="9"/>
  <c r="M92" i="9"/>
  <c r="K94" i="15" s="1"/>
  <c r="N92" i="9"/>
  <c r="L94" i="15" s="1"/>
  <c r="X92" i="9"/>
  <c r="B90" i="17"/>
  <c r="P90" i="17" s="1"/>
  <c r="O88" i="9"/>
  <c r="Q88" i="9"/>
  <c r="O90" i="15" s="1"/>
  <c r="Z88" i="9"/>
  <c r="Y88" i="9"/>
  <c r="AA88" i="9"/>
  <c r="S88" i="9"/>
  <c r="M88" i="9"/>
  <c r="K90" i="15" s="1"/>
  <c r="N88" i="9"/>
  <c r="L90" i="15" s="1"/>
  <c r="X88" i="9"/>
  <c r="B86" i="17"/>
  <c r="P86" i="17" s="1"/>
  <c r="O84" i="9"/>
  <c r="M86" i="15" s="1"/>
  <c r="Q84" i="9"/>
  <c r="O86" i="15" s="1"/>
  <c r="Z84" i="9"/>
  <c r="Y84" i="9"/>
  <c r="AA84" i="9"/>
  <c r="S84" i="9"/>
  <c r="M84" i="9"/>
  <c r="K86" i="15" s="1"/>
  <c r="N84" i="9"/>
  <c r="L86" i="15" s="1"/>
  <c r="X84" i="9"/>
  <c r="B82" i="17"/>
  <c r="P82" i="17" s="1"/>
  <c r="O80" i="9"/>
  <c r="Q80" i="9"/>
  <c r="O82" i="15" s="1"/>
  <c r="Z80" i="9"/>
  <c r="Y80" i="9"/>
  <c r="AA80" i="9"/>
  <c r="S80" i="9"/>
  <c r="M80" i="9"/>
  <c r="K82" i="15" s="1"/>
  <c r="N80" i="9"/>
  <c r="L82" i="15" s="1"/>
  <c r="X80" i="9"/>
  <c r="B78" i="17"/>
  <c r="P78" i="17" s="1"/>
  <c r="O76" i="9"/>
  <c r="M78" i="15" s="1"/>
  <c r="Q76" i="9"/>
  <c r="O78" i="15" s="1"/>
  <c r="Z76" i="9"/>
  <c r="Y76" i="9"/>
  <c r="AA76" i="9"/>
  <c r="S76" i="9"/>
  <c r="M76" i="9"/>
  <c r="K78" i="15" s="1"/>
  <c r="N76" i="9"/>
  <c r="L78" i="15" s="1"/>
  <c r="X76" i="9"/>
  <c r="B74" i="17"/>
  <c r="P74" i="17" s="1"/>
  <c r="O72" i="9"/>
  <c r="Q72" i="9"/>
  <c r="O74" i="15" s="1"/>
  <c r="Z72" i="9"/>
  <c r="Y72" i="9"/>
  <c r="AA72" i="9"/>
  <c r="S72" i="9"/>
  <c r="M72" i="9"/>
  <c r="K74" i="15" s="1"/>
  <c r="N72" i="9"/>
  <c r="L74" i="15" s="1"/>
  <c r="X72" i="9"/>
  <c r="B70" i="17"/>
  <c r="P70" i="17" s="1"/>
  <c r="O68" i="9"/>
  <c r="Q68" i="9"/>
  <c r="O70" i="15" s="1"/>
  <c r="Y68" i="9"/>
  <c r="Z68" i="9"/>
  <c r="AA68" i="9"/>
  <c r="S68" i="9"/>
  <c r="M68" i="9"/>
  <c r="K70" i="15" s="1"/>
  <c r="N68" i="9"/>
  <c r="L70" i="15" s="1"/>
  <c r="X68" i="9"/>
  <c r="B66" i="17"/>
  <c r="P66" i="17" s="1"/>
  <c r="O64" i="9"/>
  <c r="Q64" i="9"/>
  <c r="O66" i="15" s="1"/>
  <c r="Y64" i="9"/>
  <c r="Z64" i="9"/>
  <c r="AA64" i="9"/>
  <c r="S64" i="9"/>
  <c r="M64" i="9"/>
  <c r="K66" i="15" s="1"/>
  <c r="N64" i="9"/>
  <c r="L66" i="15" s="1"/>
  <c r="X64" i="9"/>
  <c r="B62" i="17"/>
  <c r="P62" i="17" s="1"/>
  <c r="O60" i="9"/>
  <c r="Q60" i="9"/>
  <c r="O62" i="15" s="1"/>
  <c r="Y60" i="9"/>
  <c r="Z60" i="9"/>
  <c r="AA60" i="9"/>
  <c r="S60" i="9"/>
  <c r="M60" i="9"/>
  <c r="K62" i="15" s="1"/>
  <c r="N60" i="9"/>
  <c r="L62" i="15" s="1"/>
  <c r="X60" i="9"/>
  <c r="B58" i="17"/>
  <c r="P58" i="17" s="1"/>
  <c r="O56" i="9"/>
  <c r="Q56" i="9"/>
  <c r="O58" i="15" s="1"/>
  <c r="Y56" i="9"/>
  <c r="Z56" i="9"/>
  <c r="AA56" i="9"/>
  <c r="S56" i="9"/>
  <c r="M56" i="9"/>
  <c r="K58" i="15" s="1"/>
  <c r="N56" i="9"/>
  <c r="L58" i="15" s="1"/>
  <c r="X56" i="9"/>
  <c r="B54" i="17"/>
  <c r="P54" i="17" s="1"/>
  <c r="O52" i="9"/>
  <c r="Q52" i="9"/>
  <c r="O54" i="15" s="1"/>
  <c r="Y52" i="9"/>
  <c r="Z52" i="9"/>
  <c r="AA52" i="9"/>
  <c r="S52" i="9"/>
  <c r="M52" i="9"/>
  <c r="K54" i="15" s="1"/>
  <c r="N52" i="9"/>
  <c r="L54" i="15" s="1"/>
  <c r="X52" i="9"/>
  <c r="B50" i="17"/>
  <c r="P50" i="17" s="1"/>
  <c r="O48" i="9"/>
  <c r="Q48" i="9"/>
  <c r="O50" i="15" s="1"/>
  <c r="Y48" i="9"/>
  <c r="Z48" i="9"/>
  <c r="AA48" i="9"/>
  <c r="S48" i="9"/>
  <c r="M48" i="9"/>
  <c r="K50" i="15" s="1"/>
  <c r="N48" i="9"/>
  <c r="L50" i="15" s="1"/>
  <c r="X48" i="9"/>
  <c r="B46" i="17"/>
  <c r="P46" i="17" s="1"/>
  <c r="O44" i="9"/>
  <c r="M46" i="15" s="1"/>
  <c r="Q44" i="9"/>
  <c r="O46" i="15" s="1"/>
  <c r="Y44" i="9"/>
  <c r="Z44" i="9"/>
  <c r="AA44" i="9"/>
  <c r="S44" i="9"/>
  <c r="M44" i="9"/>
  <c r="K46" i="15" s="1"/>
  <c r="N44" i="9"/>
  <c r="L46" i="15" s="1"/>
  <c r="X44" i="9"/>
  <c r="B42" i="17"/>
  <c r="P42" i="17" s="1"/>
  <c r="O40" i="9"/>
  <c r="M42" i="15" s="1"/>
  <c r="Q40" i="9"/>
  <c r="O42" i="15" s="1"/>
  <c r="Y40" i="9"/>
  <c r="Z40" i="9"/>
  <c r="AA40" i="9"/>
  <c r="S40" i="9"/>
  <c r="M40" i="9"/>
  <c r="K42" i="15" s="1"/>
  <c r="N40" i="9"/>
  <c r="L42" i="15" s="1"/>
  <c r="X40" i="9"/>
  <c r="B38" i="17"/>
  <c r="P38" i="17" s="1"/>
  <c r="O36" i="9"/>
  <c r="M38" i="15" s="1"/>
  <c r="Q36" i="9"/>
  <c r="O38" i="15" s="1"/>
  <c r="Y36" i="9"/>
  <c r="Z36" i="9"/>
  <c r="AA36" i="9"/>
  <c r="X36" i="9"/>
  <c r="S36" i="9"/>
  <c r="M36" i="9"/>
  <c r="K38" i="15" s="1"/>
  <c r="N36" i="9"/>
  <c r="L38" i="15" s="1"/>
  <c r="B34" i="17"/>
  <c r="P34" i="17" s="1"/>
  <c r="O32" i="9"/>
  <c r="M34" i="15" s="1"/>
  <c r="Q32" i="9"/>
  <c r="O34" i="15" s="1"/>
  <c r="Y32" i="9"/>
  <c r="Z32" i="9"/>
  <c r="AA32" i="9"/>
  <c r="X32" i="9"/>
  <c r="S32" i="9"/>
  <c r="M32" i="9"/>
  <c r="K34" i="15" s="1"/>
  <c r="N32" i="9"/>
  <c r="L34" i="15" s="1"/>
  <c r="O28" i="9"/>
  <c r="M30" i="15" s="1"/>
  <c r="Q28" i="9"/>
  <c r="O30" i="15" s="1"/>
  <c r="Y28" i="9"/>
  <c r="Z28" i="9"/>
  <c r="AA28" i="9"/>
  <c r="X28" i="9"/>
  <c r="S28" i="9"/>
  <c r="M28" i="9"/>
  <c r="K30" i="15" s="1"/>
  <c r="N28" i="9"/>
  <c r="L30" i="15" s="1"/>
  <c r="O24" i="9"/>
  <c r="M26" i="15" s="1"/>
  <c r="Q24" i="9"/>
  <c r="O26" i="15" s="1"/>
  <c r="AA24" i="9"/>
  <c r="Y24" i="9"/>
  <c r="Z24" i="9"/>
  <c r="X24" i="9"/>
  <c r="S24" i="9"/>
  <c r="N24" i="9"/>
  <c r="L26" i="15" s="1"/>
  <c r="M24" i="9"/>
  <c r="K26" i="15" s="1"/>
  <c r="O20" i="9"/>
  <c r="M22" i="15" s="1"/>
  <c r="Q20" i="9"/>
  <c r="O22" i="15" s="1"/>
  <c r="AA20" i="9"/>
  <c r="Z20" i="9"/>
  <c r="X20" i="9"/>
  <c r="S20" i="9"/>
  <c r="Y20" i="9"/>
  <c r="N20" i="9"/>
  <c r="L22" i="15" s="1"/>
  <c r="M20" i="9"/>
  <c r="K22" i="15" s="1"/>
  <c r="O16" i="9"/>
  <c r="M18" i="15" s="1"/>
  <c r="Q16" i="9"/>
  <c r="O18" i="15" s="1"/>
  <c r="AA16" i="9"/>
  <c r="Z16" i="9"/>
  <c r="X16" i="9"/>
  <c r="S16" i="9"/>
  <c r="Y16" i="9"/>
  <c r="N16" i="9"/>
  <c r="L18" i="15" s="1"/>
  <c r="M16" i="9"/>
  <c r="K18" i="15" s="1"/>
  <c r="O12" i="9"/>
  <c r="M14" i="15" s="1"/>
  <c r="Q12" i="9"/>
  <c r="O14" i="15" s="1"/>
  <c r="AA12" i="9"/>
  <c r="Z12" i="9"/>
  <c r="X12" i="9"/>
  <c r="S12" i="9"/>
  <c r="Y12" i="9"/>
  <c r="N12" i="9"/>
  <c r="L14" i="15" s="1"/>
  <c r="M12" i="9"/>
  <c r="K14" i="15" s="1"/>
  <c r="O8" i="9"/>
  <c r="M10" i="15" s="1"/>
  <c r="Q8" i="9"/>
  <c r="O10" i="15" s="1"/>
  <c r="AA8" i="9"/>
  <c r="Z8" i="9"/>
  <c r="S8" i="9"/>
  <c r="Y8" i="9"/>
  <c r="X8" i="9"/>
  <c r="N8" i="9"/>
  <c r="L10" i="15" s="1"/>
  <c r="M8" i="9"/>
  <c r="K10" i="15" s="1"/>
  <c r="O4" i="9"/>
  <c r="M6" i="15" s="1"/>
  <c r="Q4" i="9"/>
  <c r="O6" i="15" s="1"/>
  <c r="AA4" i="9"/>
  <c r="Z4" i="9"/>
  <c r="X4" i="9"/>
  <c r="S4" i="9"/>
  <c r="Y4" i="9"/>
  <c r="N4" i="9"/>
  <c r="L6" i="15" s="1"/>
  <c r="M4" i="9"/>
  <c r="C140" i="17"/>
  <c r="C136" i="17"/>
  <c r="C132" i="17"/>
  <c r="C128" i="17"/>
  <c r="C124" i="17"/>
  <c r="C120" i="17"/>
  <c r="C116" i="17"/>
  <c r="C112" i="17"/>
  <c r="C108" i="17"/>
  <c r="C104" i="17"/>
  <c r="C100" i="17"/>
  <c r="C96" i="17"/>
  <c r="C92" i="17"/>
  <c r="C88" i="17"/>
  <c r="C84" i="17"/>
  <c r="C80" i="17"/>
  <c r="C76" i="17"/>
  <c r="C72" i="17"/>
  <c r="C68" i="17"/>
  <c r="C64" i="17"/>
  <c r="C60" i="17"/>
  <c r="C56" i="17"/>
  <c r="C52" i="17"/>
  <c r="C48" i="17"/>
  <c r="C44" i="17"/>
  <c r="C40" i="17"/>
  <c r="C36" i="17"/>
  <c r="C32" i="17"/>
  <c r="D142" i="17"/>
  <c r="G142" i="17" s="1"/>
  <c r="D138" i="17"/>
  <c r="D134" i="17"/>
  <c r="G134" i="17" s="1"/>
  <c r="D130" i="17"/>
  <c r="G130" i="17" s="1"/>
  <c r="D126" i="17"/>
  <c r="G126" i="17" s="1"/>
  <c r="D122" i="17"/>
  <c r="G122" i="17" s="1"/>
  <c r="D118" i="17"/>
  <c r="D114" i="17"/>
  <c r="G114" i="17" s="1"/>
  <c r="D110" i="17"/>
  <c r="G110" i="17" s="1"/>
  <c r="D106" i="17"/>
  <c r="G106" i="17" s="1"/>
  <c r="D102" i="17"/>
  <c r="G102" i="17" s="1"/>
  <c r="D98" i="17"/>
  <c r="G98" i="17" s="1"/>
  <c r="D94" i="17"/>
  <c r="G94" i="17" s="1"/>
  <c r="D90" i="17"/>
  <c r="G90" i="17" s="1"/>
  <c r="D86" i="17"/>
  <c r="G86" i="17" s="1"/>
  <c r="D82" i="17"/>
  <c r="G82" i="17" s="1"/>
  <c r="D78" i="17"/>
  <c r="G78" i="17" s="1"/>
  <c r="D74" i="17"/>
  <c r="D70" i="17"/>
  <c r="G70" i="17" s="1"/>
  <c r="D66" i="17"/>
  <c r="G66" i="17" s="1"/>
  <c r="D62" i="17"/>
  <c r="G62" i="17" s="1"/>
  <c r="D58" i="17"/>
  <c r="G58" i="17" s="1"/>
  <c r="D54" i="17"/>
  <c r="D50" i="17"/>
  <c r="G50" i="17" s="1"/>
  <c r="D46" i="17"/>
  <c r="G46" i="17" s="1"/>
  <c r="D42" i="17"/>
  <c r="G42" i="17" s="1"/>
  <c r="D38" i="17"/>
  <c r="G38" i="17" s="1"/>
  <c r="D34" i="17"/>
  <c r="E33" i="17"/>
  <c r="E41" i="17"/>
  <c r="E37" i="17"/>
  <c r="E63" i="17"/>
  <c r="E59" i="17"/>
  <c r="E55" i="17"/>
  <c r="E51" i="17"/>
  <c r="E47" i="17"/>
  <c r="E140" i="17"/>
  <c r="E136" i="17"/>
  <c r="E132" i="17"/>
  <c r="E128" i="17"/>
  <c r="E124" i="17"/>
  <c r="E120" i="17"/>
  <c r="E116" i="17"/>
  <c r="E112" i="17"/>
  <c r="E108" i="17"/>
  <c r="E104" i="17"/>
  <c r="E100" i="17"/>
  <c r="B139" i="17"/>
  <c r="P139" i="17" s="1"/>
  <c r="M139" i="17"/>
  <c r="K139" i="17"/>
  <c r="L139" i="17"/>
  <c r="B127" i="17"/>
  <c r="P127" i="17" s="1"/>
  <c r="O125" i="9"/>
  <c r="Q125" i="9"/>
  <c r="O127" i="15" s="1"/>
  <c r="AA125" i="9"/>
  <c r="Y125" i="9"/>
  <c r="Z125" i="9"/>
  <c r="X125" i="9"/>
  <c r="S125" i="9"/>
  <c r="M125" i="9"/>
  <c r="N125" i="9"/>
  <c r="L127" i="15" s="1"/>
  <c r="B119" i="17"/>
  <c r="P119" i="17" s="1"/>
  <c r="O117" i="9"/>
  <c r="Q117" i="9"/>
  <c r="O119" i="15" s="1"/>
  <c r="AA117" i="9"/>
  <c r="Y117" i="9"/>
  <c r="Z117" i="9"/>
  <c r="X117" i="9"/>
  <c r="S117" i="9"/>
  <c r="M117" i="9"/>
  <c r="N117" i="9"/>
  <c r="B111" i="17"/>
  <c r="P111" i="17" s="1"/>
  <c r="O109" i="9"/>
  <c r="Q109" i="9"/>
  <c r="O111" i="15" s="1"/>
  <c r="AA109" i="9"/>
  <c r="Y109" i="9"/>
  <c r="Z109" i="9"/>
  <c r="X109" i="9"/>
  <c r="S109" i="9"/>
  <c r="M109" i="9"/>
  <c r="N109" i="9"/>
  <c r="B103" i="17"/>
  <c r="P103" i="17" s="1"/>
  <c r="O101" i="9"/>
  <c r="Q101" i="9"/>
  <c r="O103" i="15" s="1"/>
  <c r="AA101" i="9"/>
  <c r="Y101" i="9"/>
  <c r="Z101" i="9"/>
  <c r="X101" i="9"/>
  <c r="S101" i="9"/>
  <c r="M101" i="9"/>
  <c r="K103" i="15" s="1"/>
  <c r="N101" i="9"/>
  <c r="L103" i="15" s="1"/>
  <c r="B91" i="17"/>
  <c r="P91" i="17" s="1"/>
  <c r="O89" i="9"/>
  <c r="Q89" i="9"/>
  <c r="O91" i="15" s="1"/>
  <c r="AA89" i="9"/>
  <c r="Y89" i="9"/>
  <c r="Z89" i="9"/>
  <c r="X89" i="9"/>
  <c r="S89" i="9"/>
  <c r="M89" i="9"/>
  <c r="K91" i="15" s="1"/>
  <c r="N89" i="9"/>
  <c r="L91" i="15" s="1"/>
  <c r="B79" i="17"/>
  <c r="P79" i="17" s="1"/>
  <c r="O77" i="9"/>
  <c r="Q77" i="9"/>
  <c r="O79" i="15" s="1"/>
  <c r="AA77" i="9"/>
  <c r="Y77" i="9"/>
  <c r="Z77" i="9"/>
  <c r="X77" i="9"/>
  <c r="S77" i="9"/>
  <c r="M77" i="9"/>
  <c r="K79" i="15" s="1"/>
  <c r="N77" i="9"/>
  <c r="L79" i="15" s="1"/>
  <c r="B47" i="17"/>
  <c r="P47" i="17" s="1"/>
  <c r="O45" i="9"/>
  <c r="Q45" i="9"/>
  <c r="O47" i="15" s="1"/>
  <c r="Z45" i="9"/>
  <c r="AA45" i="9"/>
  <c r="Y45" i="9"/>
  <c r="X45" i="9"/>
  <c r="S45" i="9"/>
  <c r="M45" i="9"/>
  <c r="K47" i="15" s="1"/>
  <c r="N45" i="9"/>
  <c r="L47" i="15" s="1"/>
  <c r="B141" i="17"/>
  <c r="P141" i="17" s="1"/>
  <c r="M141" i="17"/>
  <c r="K141" i="17"/>
  <c r="L141" i="17"/>
  <c r="B137" i="17"/>
  <c r="P137" i="17" s="1"/>
  <c r="M137" i="17"/>
  <c r="K137" i="17"/>
  <c r="L137" i="17"/>
  <c r="B133" i="17"/>
  <c r="P133" i="17" s="1"/>
  <c r="Q131" i="9"/>
  <c r="O133" i="15" s="1"/>
  <c r="O131" i="9"/>
  <c r="M133" i="15" s="1"/>
  <c r="AA131" i="9"/>
  <c r="Y131" i="9"/>
  <c r="Z131" i="9"/>
  <c r="S131" i="9"/>
  <c r="M131" i="9"/>
  <c r="N131" i="9"/>
  <c r="X131" i="9"/>
  <c r="B129" i="17"/>
  <c r="P129" i="17" s="1"/>
  <c r="Q127" i="9"/>
  <c r="O129" i="15" s="1"/>
  <c r="O127" i="9"/>
  <c r="M129" i="15" s="1"/>
  <c r="AA127" i="9"/>
  <c r="Y127" i="9"/>
  <c r="Z127" i="9"/>
  <c r="S127" i="9"/>
  <c r="M127" i="9"/>
  <c r="N127" i="9"/>
  <c r="X127" i="9"/>
  <c r="B125" i="17"/>
  <c r="P125" i="17" s="1"/>
  <c r="Q123" i="9"/>
  <c r="O125" i="15" s="1"/>
  <c r="O123" i="9"/>
  <c r="M125" i="15" s="1"/>
  <c r="AA123" i="9"/>
  <c r="Y123" i="9"/>
  <c r="Z123" i="9"/>
  <c r="S123" i="9"/>
  <c r="M123" i="9"/>
  <c r="N123" i="9"/>
  <c r="X123" i="9"/>
  <c r="B121" i="17"/>
  <c r="P121" i="17" s="1"/>
  <c r="Q119" i="9"/>
  <c r="O121" i="15" s="1"/>
  <c r="O119" i="9"/>
  <c r="AA119" i="9"/>
  <c r="Y119" i="9"/>
  <c r="Z119" i="9"/>
  <c r="S119" i="9"/>
  <c r="M119" i="9"/>
  <c r="N119" i="9"/>
  <c r="X119" i="9"/>
  <c r="B117" i="17"/>
  <c r="P117" i="17" s="1"/>
  <c r="Q115" i="9"/>
  <c r="O117" i="15" s="1"/>
  <c r="O115" i="9"/>
  <c r="M117" i="15" s="1"/>
  <c r="AA115" i="9"/>
  <c r="Y115" i="9"/>
  <c r="Z115" i="9"/>
  <c r="S115" i="9"/>
  <c r="M115" i="9"/>
  <c r="N115" i="9"/>
  <c r="X115" i="9"/>
  <c r="B113" i="17"/>
  <c r="P113" i="17" s="1"/>
  <c r="Q111" i="9"/>
  <c r="O113" i="15" s="1"/>
  <c r="O111" i="9"/>
  <c r="M113" i="15" s="1"/>
  <c r="AA111" i="9"/>
  <c r="Y111" i="9"/>
  <c r="Z111" i="9"/>
  <c r="S111" i="9"/>
  <c r="M111" i="9"/>
  <c r="N111" i="9"/>
  <c r="X111" i="9"/>
  <c r="B109" i="17"/>
  <c r="P109" i="17" s="1"/>
  <c r="Q107" i="9"/>
  <c r="O109" i="15" s="1"/>
  <c r="O107" i="9"/>
  <c r="M109" i="15" s="1"/>
  <c r="AA107" i="9"/>
  <c r="Y107" i="9"/>
  <c r="Z107" i="9"/>
  <c r="S107" i="9"/>
  <c r="M107" i="9"/>
  <c r="N107" i="9"/>
  <c r="X107" i="9"/>
  <c r="B105" i="17"/>
  <c r="P105" i="17" s="1"/>
  <c r="Q103" i="9"/>
  <c r="O105" i="15" s="1"/>
  <c r="O103" i="9"/>
  <c r="M105" i="15" s="1"/>
  <c r="AA103" i="9"/>
  <c r="Y103" i="9"/>
  <c r="Z103" i="9"/>
  <c r="S103" i="9"/>
  <c r="M103" i="9"/>
  <c r="K105" i="15" s="1"/>
  <c r="N103" i="9"/>
  <c r="L105" i="15" s="1"/>
  <c r="X103" i="9"/>
  <c r="B101" i="17"/>
  <c r="P101" i="17" s="1"/>
  <c r="Q99" i="9"/>
  <c r="O101" i="15" s="1"/>
  <c r="O99" i="9"/>
  <c r="AA99" i="9"/>
  <c r="Y99" i="9"/>
  <c r="Z99" i="9"/>
  <c r="S99" i="9"/>
  <c r="M99" i="9"/>
  <c r="K101" i="15" s="1"/>
  <c r="N99" i="9"/>
  <c r="L101" i="15" s="1"/>
  <c r="X99" i="9"/>
  <c r="B97" i="17"/>
  <c r="P97" i="17" s="1"/>
  <c r="Q95" i="9"/>
  <c r="O97" i="15" s="1"/>
  <c r="O95" i="9"/>
  <c r="M97" i="15" s="1"/>
  <c r="AA95" i="9"/>
  <c r="Y95" i="9"/>
  <c r="Z95" i="9"/>
  <c r="S95" i="9"/>
  <c r="M95" i="9"/>
  <c r="K97" i="15" s="1"/>
  <c r="N95" i="9"/>
  <c r="L97" i="15" s="1"/>
  <c r="X95" i="9"/>
  <c r="B93" i="17"/>
  <c r="P93" i="17" s="1"/>
  <c r="Q91" i="9"/>
  <c r="O93" i="15" s="1"/>
  <c r="O91" i="9"/>
  <c r="AA91" i="9"/>
  <c r="Y91" i="9"/>
  <c r="Z91" i="9"/>
  <c r="S91" i="9"/>
  <c r="M91" i="9"/>
  <c r="K93" i="15" s="1"/>
  <c r="N91" i="9"/>
  <c r="L93" i="15" s="1"/>
  <c r="X91" i="9"/>
  <c r="B89" i="17"/>
  <c r="P89" i="17" s="1"/>
  <c r="Q87" i="9"/>
  <c r="O89" i="15" s="1"/>
  <c r="O87" i="9"/>
  <c r="M89" i="15" s="1"/>
  <c r="AA87" i="9"/>
  <c r="Y87" i="9"/>
  <c r="Z87" i="9"/>
  <c r="S87" i="9"/>
  <c r="M87" i="9"/>
  <c r="K89" i="15" s="1"/>
  <c r="N87" i="9"/>
  <c r="L89" i="15" s="1"/>
  <c r="X87" i="9"/>
  <c r="B85" i="17"/>
  <c r="P85" i="17" s="1"/>
  <c r="Q83" i="9"/>
  <c r="O85" i="15" s="1"/>
  <c r="O83" i="9"/>
  <c r="AA83" i="9"/>
  <c r="Y83" i="9"/>
  <c r="Z83" i="9"/>
  <c r="S83" i="9"/>
  <c r="M83" i="9"/>
  <c r="K85" i="15" s="1"/>
  <c r="N83" i="9"/>
  <c r="L85" i="15" s="1"/>
  <c r="X83" i="9"/>
  <c r="B81" i="17"/>
  <c r="P81" i="17" s="1"/>
  <c r="Q79" i="9"/>
  <c r="O81" i="15" s="1"/>
  <c r="O79" i="9"/>
  <c r="M81" i="15" s="1"/>
  <c r="AA79" i="9"/>
  <c r="Y79" i="9"/>
  <c r="Z79" i="9"/>
  <c r="S79" i="9"/>
  <c r="M79" i="9"/>
  <c r="K81" i="15" s="1"/>
  <c r="N79" i="9"/>
  <c r="L81" i="15" s="1"/>
  <c r="X79" i="9"/>
  <c r="B77" i="17"/>
  <c r="P77" i="17" s="1"/>
  <c r="Q75" i="9"/>
  <c r="O77" i="15" s="1"/>
  <c r="O75" i="9"/>
  <c r="M77" i="15" s="1"/>
  <c r="AA75" i="9"/>
  <c r="Y75" i="9"/>
  <c r="Z75" i="9"/>
  <c r="S75" i="9"/>
  <c r="M75" i="9"/>
  <c r="K77" i="15" s="1"/>
  <c r="N75" i="9"/>
  <c r="L77" i="15" s="1"/>
  <c r="X75" i="9"/>
  <c r="B73" i="17"/>
  <c r="P73" i="17" s="1"/>
  <c r="Q71" i="9"/>
  <c r="O73" i="15" s="1"/>
  <c r="O71" i="9"/>
  <c r="AA71" i="9"/>
  <c r="Y71" i="9"/>
  <c r="Z71" i="9"/>
  <c r="S71" i="9"/>
  <c r="M71" i="9"/>
  <c r="K73" i="15" s="1"/>
  <c r="N71" i="9"/>
  <c r="L73" i="15" s="1"/>
  <c r="X71" i="9"/>
  <c r="B69" i="17"/>
  <c r="P69" i="17" s="1"/>
  <c r="Q67" i="9"/>
  <c r="O69" i="15" s="1"/>
  <c r="O67" i="9"/>
  <c r="M69" i="15" s="1"/>
  <c r="Z67" i="9"/>
  <c r="Y67" i="9"/>
  <c r="AA67" i="9"/>
  <c r="S67" i="9"/>
  <c r="M67" i="9"/>
  <c r="K69" i="15" s="1"/>
  <c r="N67" i="9"/>
  <c r="L69" i="15" s="1"/>
  <c r="X67" i="9"/>
  <c r="B65" i="17"/>
  <c r="P65" i="17" s="1"/>
  <c r="Q63" i="9"/>
  <c r="O65" i="15" s="1"/>
  <c r="O63" i="9"/>
  <c r="M65" i="15" s="1"/>
  <c r="Z63" i="9"/>
  <c r="Y63" i="9"/>
  <c r="AA63" i="9"/>
  <c r="S63" i="9"/>
  <c r="M63" i="9"/>
  <c r="K65" i="15" s="1"/>
  <c r="N63" i="9"/>
  <c r="L65" i="15" s="1"/>
  <c r="X63" i="9"/>
  <c r="B61" i="17"/>
  <c r="P61" i="17" s="1"/>
  <c r="Q59" i="9"/>
  <c r="O61" i="15" s="1"/>
  <c r="O59" i="9"/>
  <c r="M61" i="15" s="1"/>
  <c r="Z59" i="9"/>
  <c r="Y59" i="9"/>
  <c r="AA59" i="9"/>
  <c r="S59" i="9"/>
  <c r="M59" i="9"/>
  <c r="K61" i="15" s="1"/>
  <c r="N59" i="9"/>
  <c r="L61" i="15" s="1"/>
  <c r="X59" i="9"/>
  <c r="B57" i="17"/>
  <c r="P57" i="17" s="1"/>
  <c r="Q55" i="9"/>
  <c r="O57" i="15" s="1"/>
  <c r="O55" i="9"/>
  <c r="Z55" i="9"/>
  <c r="Y55" i="9"/>
  <c r="AA55" i="9"/>
  <c r="S55" i="9"/>
  <c r="M55" i="9"/>
  <c r="K57" i="15" s="1"/>
  <c r="N55" i="9"/>
  <c r="L57" i="15" s="1"/>
  <c r="X55" i="9"/>
  <c r="B53" i="17"/>
  <c r="P53" i="17" s="1"/>
  <c r="Q51" i="9"/>
  <c r="O53" i="15" s="1"/>
  <c r="O51" i="9"/>
  <c r="M53" i="15" s="1"/>
  <c r="Z51" i="9"/>
  <c r="Y51" i="9"/>
  <c r="AA51" i="9"/>
  <c r="S51" i="9"/>
  <c r="M51" i="9"/>
  <c r="K53" i="15" s="1"/>
  <c r="N51" i="9"/>
  <c r="L53" i="15" s="1"/>
  <c r="X51" i="9"/>
  <c r="B49" i="17"/>
  <c r="P49" i="17" s="1"/>
  <c r="Q47" i="9"/>
  <c r="O49" i="15" s="1"/>
  <c r="O47" i="9"/>
  <c r="M49" i="15" s="1"/>
  <c r="Z47" i="9"/>
  <c r="Y47" i="9"/>
  <c r="AA47" i="9"/>
  <c r="S47" i="9"/>
  <c r="M47" i="9"/>
  <c r="K49" i="15" s="1"/>
  <c r="N47" i="9"/>
  <c r="L49" i="15" s="1"/>
  <c r="X47" i="9"/>
  <c r="B45" i="17"/>
  <c r="P45" i="17" s="1"/>
  <c r="Q43" i="9"/>
  <c r="O45" i="15" s="1"/>
  <c r="O43" i="9"/>
  <c r="M45" i="15" s="1"/>
  <c r="Z43" i="9"/>
  <c r="Y43" i="9"/>
  <c r="AA43" i="9"/>
  <c r="S43" i="9"/>
  <c r="M43" i="9"/>
  <c r="K45" i="15" s="1"/>
  <c r="N43" i="9"/>
  <c r="L45" i="15" s="1"/>
  <c r="X43" i="9"/>
  <c r="B41" i="17"/>
  <c r="P41" i="17" s="1"/>
  <c r="Q39" i="9"/>
  <c r="O41" i="15" s="1"/>
  <c r="O39" i="9"/>
  <c r="Z39" i="9"/>
  <c r="Y39" i="9"/>
  <c r="AA39" i="9"/>
  <c r="S39" i="9"/>
  <c r="M39" i="9"/>
  <c r="K41" i="15" s="1"/>
  <c r="N39" i="9"/>
  <c r="L41" i="15" s="1"/>
  <c r="X39" i="9"/>
  <c r="B37" i="17"/>
  <c r="P37" i="17" s="1"/>
  <c r="Q35" i="9"/>
  <c r="O37" i="15" s="1"/>
  <c r="O35" i="9"/>
  <c r="Z35" i="9"/>
  <c r="Y35" i="9"/>
  <c r="AA35" i="9"/>
  <c r="S35" i="9"/>
  <c r="M35" i="9"/>
  <c r="K37" i="15" s="1"/>
  <c r="N35" i="9"/>
  <c r="L37" i="15" s="1"/>
  <c r="X35" i="9"/>
  <c r="B33" i="17"/>
  <c r="P33" i="17" s="1"/>
  <c r="Q31" i="9"/>
  <c r="O33" i="15" s="1"/>
  <c r="O31" i="9"/>
  <c r="M33" i="15" s="1"/>
  <c r="Z31" i="9"/>
  <c r="Y31" i="9"/>
  <c r="AA31" i="9"/>
  <c r="S31" i="9"/>
  <c r="M31" i="9"/>
  <c r="K33" i="15" s="1"/>
  <c r="N31" i="9"/>
  <c r="L33" i="15" s="1"/>
  <c r="X31" i="9"/>
  <c r="Q27" i="9"/>
  <c r="O29" i="15" s="1"/>
  <c r="O27" i="9"/>
  <c r="M29" i="15" s="1"/>
  <c r="Y27" i="9"/>
  <c r="Z27" i="9"/>
  <c r="AA27" i="9"/>
  <c r="S27" i="9"/>
  <c r="M27" i="9"/>
  <c r="K29" i="15" s="1"/>
  <c r="N27" i="9"/>
  <c r="L29" i="15" s="1"/>
  <c r="X27" i="9"/>
  <c r="Q23" i="9"/>
  <c r="O25" i="15" s="1"/>
  <c r="O23" i="9"/>
  <c r="M25" i="15" s="1"/>
  <c r="Z23" i="9"/>
  <c r="AA23" i="9"/>
  <c r="S23" i="9"/>
  <c r="Y23" i="9"/>
  <c r="N23" i="9"/>
  <c r="L25" i="15" s="1"/>
  <c r="M23" i="9"/>
  <c r="K25" i="15" s="1"/>
  <c r="X23" i="9"/>
  <c r="Q19" i="9"/>
  <c r="O21" i="15" s="1"/>
  <c r="O19" i="9"/>
  <c r="Z19" i="9"/>
  <c r="AA19" i="9"/>
  <c r="S19" i="9"/>
  <c r="Y19" i="9"/>
  <c r="N19" i="9"/>
  <c r="L21" i="15" s="1"/>
  <c r="M19" i="9"/>
  <c r="K21" i="15" s="1"/>
  <c r="X19" i="9"/>
  <c r="Q15" i="9"/>
  <c r="O17" i="15" s="1"/>
  <c r="O15" i="9"/>
  <c r="M17" i="15" s="1"/>
  <c r="Z15" i="9"/>
  <c r="AA15" i="9"/>
  <c r="S15" i="9"/>
  <c r="Y15" i="9"/>
  <c r="N15" i="9"/>
  <c r="L17" i="15" s="1"/>
  <c r="M15" i="9"/>
  <c r="K17" i="15" s="1"/>
  <c r="X15" i="9"/>
  <c r="Q11" i="9"/>
  <c r="O13" i="15" s="1"/>
  <c r="O11" i="9"/>
  <c r="Z11" i="9"/>
  <c r="AA11" i="9"/>
  <c r="S11" i="9"/>
  <c r="Y11" i="9"/>
  <c r="N11" i="9"/>
  <c r="L13" i="15" s="1"/>
  <c r="M11" i="9"/>
  <c r="K13" i="15" s="1"/>
  <c r="X11" i="9"/>
  <c r="Q7" i="9"/>
  <c r="O9" i="15" s="1"/>
  <c r="O7" i="9"/>
  <c r="M9" i="15" s="1"/>
  <c r="Z7" i="9"/>
  <c r="AA7" i="9"/>
  <c r="S7" i="9"/>
  <c r="Y7" i="9"/>
  <c r="X7" i="9"/>
  <c r="N7" i="9"/>
  <c r="L9" i="15" s="1"/>
  <c r="M7" i="9"/>
  <c r="K9" i="15" s="1"/>
  <c r="O3" i="9"/>
  <c r="M5" i="15" s="1"/>
  <c r="Z3" i="9"/>
  <c r="AA3" i="9"/>
  <c r="Y3" i="9"/>
  <c r="S3" i="9"/>
  <c r="N3" i="9"/>
  <c r="L5" i="15" s="1"/>
  <c r="X3" i="9"/>
  <c r="C143" i="17"/>
  <c r="C139" i="17"/>
  <c r="C135" i="17"/>
  <c r="C131" i="17"/>
  <c r="C127" i="17"/>
  <c r="C123" i="17"/>
  <c r="C119" i="17"/>
  <c r="C115" i="17"/>
  <c r="C111" i="17"/>
  <c r="C107" i="17"/>
  <c r="C103" i="17"/>
  <c r="C99" i="17"/>
  <c r="C95" i="17"/>
  <c r="C91" i="17"/>
  <c r="C87" i="17"/>
  <c r="C83" i="17"/>
  <c r="C79" i="17"/>
  <c r="C75" i="17"/>
  <c r="C71" i="17"/>
  <c r="C67" i="17"/>
  <c r="C63" i="17"/>
  <c r="C59" i="17"/>
  <c r="C55" i="17"/>
  <c r="C51" i="17"/>
  <c r="C47" i="17"/>
  <c r="C43" i="17"/>
  <c r="C39" i="17"/>
  <c r="C35" i="17"/>
  <c r="C31" i="17"/>
  <c r="D141" i="17"/>
  <c r="G141" i="17" s="1"/>
  <c r="D137" i="17"/>
  <c r="G137" i="17" s="1"/>
  <c r="D133" i="17"/>
  <c r="G133" i="17" s="1"/>
  <c r="D129" i="17"/>
  <c r="G129" i="17" s="1"/>
  <c r="D125" i="17"/>
  <c r="G125" i="17" s="1"/>
  <c r="D121" i="17"/>
  <c r="G121" i="17" s="1"/>
  <c r="D117" i="17"/>
  <c r="G117" i="17" s="1"/>
  <c r="D113" i="17"/>
  <c r="G113" i="17" s="1"/>
  <c r="D109" i="17"/>
  <c r="G109" i="17" s="1"/>
  <c r="D105" i="17"/>
  <c r="G105" i="17" s="1"/>
  <c r="D101" i="17"/>
  <c r="G101" i="17" s="1"/>
  <c r="D97" i="17"/>
  <c r="G97" i="17" s="1"/>
  <c r="D93" i="17"/>
  <c r="G93" i="17" s="1"/>
  <c r="D89" i="17"/>
  <c r="G89" i="17" s="1"/>
  <c r="D85" i="17"/>
  <c r="G85" i="17" s="1"/>
  <c r="D81" i="17"/>
  <c r="G81" i="17" s="1"/>
  <c r="D77" i="17"/>
  <c r="G77" i="17" s="1"/>
  <c r="D73" i="17"/>
  <c r="D69" i="17"/>
  <c r="G69" i="17" s="1"/>
  <c r="D65" i="17"/>
  <c r="G65" i="17" s="1"/>
  <c r="D61" i="17"/>
  <c r="G61" i="17" s="1"/>
  <c r="D57" i="17"/>
  <c r="G57" i="17" s="1"/>
  <c r="D53" i="17"/>
  <c r="G53" i="17" s="1"/>
  <c r="D49" i="17"/>
  <c r="G49" i="17" s="1"/>
  <c r="D45" i="17"/>
  <c r="G45" i="17" s="1"/>
  <c r="D41" i="17"/>
  <c r="G41" i="17" s="1"/>
  <c r="D37" i="17"/>
  <c r="G37" i="17" s="1"/>
  <c r="D33" i="17"/>
  <c r="G33" i="17" s="1"/>
  <c r="E32" i="17"/>
  <c r="E44" i="17"/>
  <c r="E40" i="17"/>
  <c r="E36" i="17"/>
  <c r="E62" i="17"/>
  <c r="E58" i="17"/>
  <c r="E54" i="17"/>
  <c r="E50" i="17"/>
  <c r="E46" i="17"/>
  <c r="E143" i="17"/>
  <c r="E139" i="17"/>
  <c r="E135" i="17"/>
  <c r="E131" i="17"/>
  <c r="E127" i="17"/>
  <c r="E123" i="17"/>
  <c r="E119" i="17"/>
  <c r="E115" i="17"/>
  <c r="E111" i="17"/>
  <c r="E107" i="17"/>
  <c r="E103" i="17"/>
  <c r="E99" i="17"/>
  <c r="E95" i="17"/>
  <c r="E91" i="17"/>
  <c r="E87" i="17"/>
  <c r="E83" i="17"/>
  <c r="E79" i="17"/>
  <c r="E75" i="17"/>
  <c r="E71" i="17"/>
  <c r="E67" i="17"/>
  <c r="B140" i="17"/>
  <c r="P140" i="17" s="1"/>
  <c r="M140" i="17"/>
  <c r="L140" i="17"/>
  <c r="K140" i="17"/>
  <c r="B136" i="17"/>
  <c r="P136" i="17" s="1"/>
  <c r="M136" i="17"/>
  <c r="L136" i="17"/>
  <c r="K136" i="17"/>
  <c r="B132" i="17"/>
  <c r="P132" i="17" s="1"/>
  <c r="O130" i="9"/>
  <c r="Q130" i="9"/>
  <c r="O132" i="15" s="1"/>
  <c r="Z130" i="9"/>
  <c r="AA130" i="9"/>
  <c r="Y130" i="9"/>
  <c r="N130" i="9"/>
  <c r="X130" i="9"/>
  <c r="S130" i="9"/>
  <c r="M130" i="9"/>
  <c r="B128" i="17"/>
  <c r="P128" i="17" s="1"/>
  <c r="O126" i="9"/>
  <c r="Q126" i="9"/>
  <c r="O128" i="15" s="1"/>
  <c r="Z126" i="9"/>
  <c r="AA126" i="9"/>
  <c r="Y126" i="9"/>
  <c r="N126" i="9"/>
  <c r="X126" i="9"/>
  <c r="S126" i="9"/>
  <c r="M126" i="9"/>
  <c r="B124" i="17"/>
  <c r="P124" i="17" s="1"/>
  <c r="O122" i="9"/>
  <c r="Q122" i="9"/>
  <c r="O124" i="15" s="1"/>
  <c r="Z122" i="9"/>
  <c r="AA122" i="9"/>
  <c r="Y122" i="9"/>
  <c r="N122" i="9"/>
  <c r="X122" i="9"/>
  <c r="S122" i="9"/>
  <c r="M122" i="9"/>
  <c r="B120" i="17"/>
  <c r="P120" i="17" s="1"/>
  <c r="O118" i="9"/>
  <c r="Q118" i="9"/>
  <c r="O120" i="15" s="1"/>
  <c r="Z118" i="9"/>
  <c r="AA118" i="9"/>
  <c r="Y118" i="9"/>
  <c r="N118" i="9"/>
  <c r="X118" i="9"/>
  <c r="S118" i="9"/>
  <c r="M118" i="9"/>
  <c r="B116" i="17"/>
  <c r="P116" i="17" s="1"/>
  <c r="O114" i="9"/>
  <c r="Q114" i="9"/>
  <c r="O116" i="15" s="1"/>
  <c r="Z114" i="9"/>
  <c r="AA114" i="9"/>
  <c r="Y114" i="9"/>
  <c r="N114" i="9"/>
  <c r="X114" i="9"/>
  <c r="S114" i="9"/>
  <c r="M114" i="9"/>
  <c r="B112" i="17"/>
  <c r="P112" i="17" s="1"/>
  <c r="O110" i="9"/>
  <c r="Q110" i="9"/>
  <c r="O112" i="15" s="1"/>
  <c r="Z110" i="9"/>
  <c r="AA110" i="9"/>
  <c r="Y110" i="9"/>
  <c r="N110" i="9"/>
  <c r="X110" i="9"/>
  <c r="S110" i="9"/>
  <c r="M110" i="9"/>
  <c r="B108" i="17"/>
  <c r="P108" i="17" s="1"/>
  <c r="O106" i="9"/>
  <c r="Q106" i="9"/>
  <c r="O108" i="15" s="1"/>
  <c r="Z106" i="9"/>
  <c r="AA106" i="9"/>
  <c r="Y106" i="9"/>
  <c r="N106" i="9"/>
  <c r="X106" i="9"/>
  <c r="S106" i="9"/>
  <c r="M106" i="9"/>
  <c r="B104" i="17"/>
  <c r="P104" i="17" s="1"/>
  <c r="O102" i="9"/>
  <c r="Q102" i="9"/>
  <c r="O104" i="15" s="1"/>
  <c r="Z102" i="9"/>
  <c r="AA102" i="9"/>
  <c r="Y102" i="9"/>
  <c r="N102" i="9"/>
  <c r="L104" i="15" s="1"/>
  <c r="X102" i="9"/>
  <c r="S102" i="9"/>
  <c r="M102" i="9"/>
  <c r="K104" i="15" s="1"/>
  <c r="B100" i="17"/>
  <c r="P100" i="17" s="1"/>
  <c r="O98" i="9"/>
  <c r="Q98" i="9"/>
  <c r="O100" i="15" s="1"/>
  <c r="Z98" i="9"/>
  <c r="AA98" i="9"/>
  <c r="Y98" i="9"/>
  <c r="N98" i="9"/>
  <c r="L100" i="15" s="1"/>
  <c r="X98" i="9"/>
  <c r="S98" i="9"/>
  <c r="M98" i="9"/>
  <c r="K100" i="15" s="1"/>
  <c r="B96" i="17"/>
  <c r="P96" i="17" s="1"/>
  <c r="O94" i="9"/>
  <c r="Q94" i="9"/>
  <c r="O96" i="15" s="1"/>
  <c r="Z94" i="9"/>
  <c r="AA94" i="9"/>
  <c r="Y94" i="9"/>
  <c r="N94" i="9"/>
  <c r="L96" i="15" s="1"/>
  <c r="X94" i="9"/>
  <c r="S94" i="9"/>
  <c r="M94" i="9"/>
  <c r="K96" i="15" s="1"/>
  <c r="B92" i="17"/>
  <c r="P92" i="17" s="1"/>
  <c r="O90" i="9"/>
  <c r="Q90" i="9"/>
  <c r="O92" i="15" s="1"/>
  <c r="Z90" i="9"/>
  <c r="AA90" i="9"/>
  <c r="Y90" i="9"/>
  <c r="N90" i="9"/>
  <c r="L92" i="15" s="1"/>
  <c r="X90" i="9"/>
  <c r="S90" i="9"/>
  <c r="M90" i="9"/>
  <c r="K92" i="15" s="1"/>
  <c r="B88" i="17"/>
  <c r="P88" i="17" s="1"/>
  <c r="O86" i="9"/>
  <c r="Q86" i="9"/>
  <c r="O88" i="15" s="1"/>
  <c r="Z86" i="9"/>
  <c r="AA86" i="9"/>
  <c r="Y86" i="9"/>
  <c r="N86" i="9"/>
  <c r="L88" i="15" s="1"/>
  <c r="X86" i="9"/>
  <c r="S86" i="9"/>
  <c r="M86" i="9"/>
  <c r="K88" i="15" s="1"/>
  <c r="B84" i="17"/>
  <c r="P84" i="17" s="1"/>
  <c r="O82" i="9"/>
  <c r="Q82" i="9"/>
  <c r="O84" i="15" s="1"/>
  <c r="Z82" i="9"/>
  <c r="AA82" i="9"/>
  <c r="Y82" i="9"/>
  <c r="N82" i="9"/>
  <c r="L84" i="15" s="1"/>
  <c r="X82" i="9"/>
  <c r="S82" i="9"/>
  <c r="M82" i="9"/>
  <c r="K84" i="15" s="1"/>
  <c r="B80" i="17"/>
  <c r="P80" i="17" s="1"/>
  <c r="O78" i="9"/>
  <c r="Q78" i="9"/>
  <c r="O80" i="15" s="1"/>
  <c r="Z78" i="9"/>
  <c r="AA78" i="9"/>
  <c r="Y78" i="9"/>
  <c r="N78" i="9"/>
  <c r="L80" i="15" s="1"/>
  <c r="X78" i="9"/>
  <c r="S78" i="9"/>
  <c r="M78" i="9"/>
  <c r="K80" i="15" s="1"/>
  <c r="B76" i="17"/>
  <c r="P76" i="17" s="1"/>
  <c r="O74" i="9"/>
  <c r="Q74" i="9"/>
  <c r="O76" i="15" s="1"/>
  <c r="Z74" i="9"/>
  <c r="AA74" i="9"/>
  <c r="Y74" i="9"/>
  <c r="N74" i="9"/>
  <c r="L76" i="15" s="1"/>
  <c r="X74" i="9"/>
  <c r="S74" i="9"/>
  <c r="M74" i="9"/>
  <c r="K76" i="15" s="1"/>
  <c r="B72" i="17"/>
  <c r="P72" i="17" s="1"/>
  <c r="O70" i="9"/>
  <c r="Q70" i="9"/>
  <c r="O72" i="15" s="1"/>
  <c r="Z70" i="9"/>
  <c r="AA70" i="9"/>
  <c r="Y70" i="9"/>
  <c r="N70" i="9"/>
  <c r="L72" i="15" s="1"/>
  <c r="X70" i="9"/>
  <c r="S70" i="9"/>
  <c r="M70" i="9"/>
  <c r="K72" i="15" s="1"/>
  <c r="B68" i="17"/>
  <c r="P68" i="17" s="1"/>
  <c r="O66" i="9"/>
  <c r="Q66" i="9"/>
  <c r="O68" i="15" s="1"/>
  <c r="Z66" i="9"/>
  <c r="AA66" i="9"/>
  <c r="Y66" i="9"/>
  <c r="N66" i="9"/>
  <c r="L68" i="15" s="1"/>
  <c r="X66" i="9"/>
  <c r="S66" i="9"/>
  <c r="M66" i="9"/>
  <c r="K68" i="15" s="1"/>
  <c r="B64" i="17"/>
  <c r="P64" i="17" s="1"/>
  <c r="O62" i="9"/>
  <c r="Q62" i="9"/>
  <c r="O64" i="15" s="1"/>
  <c r="Z62" i="9"/>
  <c r="AA62" i="9"/>
  <c r="Y62" i="9"/>
  <c r="N62" i="9"/>
  <c r="L64" i="15" s="1"/>
  <c r="X62" i="9"/>
  <c r="S62" i="9"/>
  <c r="M62" i="9"/>
  <c r="K64" i="15" s="1"/>
  <c r="B60" i="17"/>
  <c r="P60" i="17" s="1"/>
  <c r="O58" i="9"/>
  <c r="Q58" i="9"/>
  <c r="O60" i="15" s="1"/>
  <c r="Z58" i="9"/>
  <c r="AA58" i="9"/>
  <c r="Y58" i="9"/>
  <c r="N58" i="9"/>
  <c r="L60" i="15" s="1"/>
  <c r="X58" i="9"/>
  <c r="S58" i="9"/>
  <c r="M58" i="9"/>
  <c r="K60" i="15" s="1"/>
  <c r="B56" i="17"/>
  <c r="P56" i="17" s="1"/>
  <c r="O54" i="9"/>
  <c r="Q54" i="9"/>
  <c r="O56" i="15" s="1"/>
  <c r="Z54" i="9"/>
  <c r="AA54" i="9"/>
  <c r="Y54" i="9"/>
  <c r="N54" i="9"/>
  <c r="L56" i="15" s="1"/>
  <c r="X54" i="9"/>
  <c r="S54" i="9"/>
  <c r="M54" i="9"/>
  <c r="K56" i="15" s="1"/>
  <c r="B52" i="17"/>
  <c r="P52" i="17" s="1"/>
  <c r="O50" i="9"/>
  <c r="Q50" i="9"/>
  <c r="O52" i="15" s="1"/>
  <c r="Z50" i="9"/>
  <c r="AA50" i="9"/>
  <c r="Y50" i="9"/>
  <c r="N50" i="9"/>
  <c r="L52" i="15" s="1"/>
  <c r="X50" i="9"/>
  <c r="S50" i="9"/>
  <c r="M50" i="9"/>
  <c r="K52" i="15" s="1"/>
  <c r="B48" i="17"/>
  <c r="P48" i="17" s="1"/>
  <c r="O46" i="9"/>
  <c r="Q46" i="9"/>
  <c r="O48" i="15" s="1"/>
  <c r="Z46" i="9"/>
  <c r="AA46" i="9"/>
  <c r="Y46" i="9"/>
  <c r="N46" i="9"/>
  <c r="L48" i="15" s="1"/>
  <c r="X46" i="9"/>
  <c r="S46" i="9"/>
  <c r="M46" i="9"/>
  <c r="K48" i="15" s="1"/>
  <c r="B44" i="17"/>
  <c r="P44" i="17" s="1"/>
  <c r="O42" i="9"/>
  <c r="Q42" i="9"/>
  <c r="O44" i="15" s="1"/>
  <c r="Z42" i="9"/>
  <c r="AA42" i="9"/>
  <c r="Y42" i="9"/>
  <c r="N42" i="9"/>
  <c r="L44" i="15" s="1"/>
  <c r="X42" i="9"/>
  <c r="S42" i="9"/>
  <c r="M42" i="9"/>
  <c r="K44" i="15" s="1"/>
  <c r="B40" i="17"/>
  <c r="P40" i="17" s="1"/>
  <c r="O38" i="9"/>
  <c r="Q38" i="9"/>
  <c r="O40" i="15" s="1"/>
  <c r="Z38" i="9"/>
  <c r="AA38" i="9"/>
  <c r="Y38" i="9"/>
  <c r="N38" i="9"/>
  <c r="L40" i="15" s="1"/>
  <c r="X38" i="9"/>
  <c r="S38" i="9"/>
  <c r="M38" i="9"/>
  <c r="K40" i="15" s="1"/>
  <c r="B36" i="17"/>
  <c r="P36" i="17" s="1"/>
  <c r="O34" i="9"/>
  <c r="Q34" i="9"/>
  <c r="O36" i="15" s="1"/>
  <c r="Z34" i="9"/>
  <c r="AA34" i="9"/>
  <c r="Y34" i="9"/>
  <c r="N34" i="9"/>
  <c r="L36" i="15" s="1"/>
  <c r="X34" i="9"/>
  <c r="S34" i="9"/>
  <c r="M34" i="9"/>
  <c r="K36" i="15" s="1"/>
  <c r="B32" i="17"/>
  <c r="P32" i="17" s="1"/>
  <c r="O30" i="9"/>
  <c r="Q30" i="9"/>
  <c r="O32" i="15" s="1"/>
  <c r="Z30" i="9"/>
  <c r="AA30" i="9"/>
  <c r="Y30" i="9"/>
  <c r="N30" i="9"/>
  <c r="L32" i="15" s="1"/>
  <c r="X30" i="9"/>
  <c r="S30" i="9"/>
  <c r="M30" i="9"/>
  <c r="K32" i="15" s="1"/>
  <c r="O26" i="9"/>
  <c r="M28" i="15" s="1"/>
  <c r="Q26" i="9"/>
  <c r="O28" i="15" s="1"/>
  <c r="AA26" i="9"/>
  <c r="Z26" i="9"/>
  <c r="Y26" i="9"/>
  <c r="N26" i="9"/>
  <c r="L28" i="15" s="1"/>
  <c r="X26" i="9"/>
  <c r="S26" i="9"/>
  <c r="M26" i="9"/>
  <c r="K28" i="15" s="1"/>
  <c r="O22" i="9"/>
  <c r="M24" i="15" s="1"/>
  <c r="Q22" i="9"/>
  <c r="O24" i="15" s="1"/>
  <c r="AA22" i="9"/>
  <c r="Z22" i="9"/>
  <c r="Y22" i="9"/>
  <c r="N22" i="9"/>
  <c r="L24" i="15" s="1"/>
  <c r="M22" i="9"/>
  <c r="K24" i="15" s="1"/>
  <c r="X22" i="9"/>
  <c r="S22" i="9"/>
  <c r="O18" i="9"/>
  <c r="M20" i="15" s="1"/>
  <c r="Q18" i="9"/>
  <c r="O20" i="15" s="1"/>
  <c r="AA18" i="9"/>
  <c r="Z18" i="9"/>
  <c r="Y18" i="9"/>
  <c r="N18" i="9"/>
  <c r="L20" i="15" s="1"/>
  <c r="M18" i="9"/>
  <c r="K20" i="15" s="1"/>
  <c r="X18" i="9"/>
  <c r="S18" i="9"/>
  <c r="O14" i="9"/>
  <c r="Q14" i="9"/>
  <c r="O16" i="15" s="1"/>
  <c r="AA14" i="9"/>
  <c r="Z14" i="9"/>
  <c r="Y14" i="9"/>
  <c r="N14" i="9"/>
  <c r="L16" i="15" s="1"/>
  <c r="M14" i="9"/>
  <c r="K16" i="15" s="1"/>
  <c r="X14" i="9"/>
  <c r="S14" i="9"/>
  <c r="O10" i="9"/>
  <c r="M12" i="15" s="1"/>
  <c r="Q10" i="9"/>
  <c r="O12" i="15" s="1"/>
  <c r="AA10" i="9"/>
  <c r="Z10" i="9"/>
  <c r="Y10" i="9"/>
  <c r="X10" i="9"/>
  <c r="N10" i="9"/>
  <c r="L12" i="15" s="1"/>
  <c r="M10" i="9"/>
  <c r="K12" i="15" s="1"/>
  <c r="S10" i="9"/>
  <c r="O6" i="9"/>
  <c r="M8" i="15" s="1"/>
  <c r="Q6" i="9"/>
  <c r="O8" i="15" s="1"/>
  <c r="AA6" i="9"/>
  <c r="Z6" i="9"/>
  <c r="Y6" i="9"/>
  <c r="X6" i="9"/>
  <c r="N6" i="9"/>
  <c r="L8" i="15" s="1"/>
  <c r="M6" i="9"/>
  <c r="K8" i="15" s="1"/>
  <c r="S6" i="9"/>
  <c r="C142" i="17"/>
  <c r="C138" i="17"/>
  <c r="C134" i="17"/>
  <c r="C130" i="17"/>
  <c r="C126" i="17"/>
  <c r="C122" i="17"/>
  <c r="C118" i="17"/>
  <c r="C114" i="17"/>
  <c r="C110" i="17"/>
  <c r="C106" i="17"/>
  <c r="C102" i="17"/>
  <c r="C98" i="17"/>
  <c r="C94" i="17"/>
  <c r="C90" i="17"/>
  <c r="C86" i="17"/>
  <c r="C82" i="17"/>
  <c r="C78" i="17"/>
  <c r="C74" i="17"/>
  <c r="C70" i="17"/>
  <c r="C66" i="17"/>
  <c r="C62" i="17"/>
  <c r="C58" i="17"/>
  <c r="C54" i="17"/>
  <c r="C50" i="17"/>
  <c r="C46" i="17"/>
  <c r="C42" i="17"/>
  <c r="C38" i="17"/>
  <c r="C34" i="17"/>
  <c r="D140" i="17"/>
  <c r="G140" i="17" s="1"/>
  <c r="D136" i="17"/>
  <c r="G136" i="17" s="1"/>
  <c r="D132" i="17"/>
  <c r="G132" i="17" s="1"/>
  <c r="D128" i="17"/>
  <c r="G128" i="17" s="1"/>
  <c r="D124" i="17"/>
  <c r="G124" i="17" s="1"/>
  <c r="D120" i="17"/>
  <c r="G120" i="17" s="1"/>
  <c r="D116" i="17"/>
  <c r="G116" i="17" s="1"/>
  <c r="D112" i="17"/>
  <c r="G112" i="17" s="1"/>
  <c r="D108" i="17"/>
  <c r="G108" i="17" s="1"/>
  <c r="D104" i="17"/>
  <c r="G104" i="17" s="1"/>
  <c r="D100" i="17"/>
  <c r="G100" i="17" s="1"/>
  <c r="D96" i="17"/>
  <c r="G96" i="17" s="1"/>
  <c r="D92" i="17"/>
  <c r="G92" i="17" s="1"/>
  <c r="D88" i="17"/>
  <c r="G88" i="17" s="1"/>
  <c r="D84" i="17"/>
  <c r="G84" i="17" s="1"/>
  <c r="D80" i="17"/>
  <c r="G80" i="17" s="1"/>
  <c r="D76" i="17"/>
  <c r="G76" i="17" s="1"/>
  <c r="D72" i="17"/>
  <c r="G72" i="17" s="1"/>
  <c r="D68" i="17"/>
  <c r="G68" i="17" s="1"/>
  <c r="D64" i="17"/>
  <c r="G64" i="17" s="1"/>
  <c r="D60" i="17"/>
  <c r="G60" i="17" s="1"/>
  <c r="D56" i="17"/>
  <c r="G56" i="17" s="1"/>
  <c r="D52" i="17"/>
  <c r="G52" i="17" s="1"/>
  <c r="D48" i="17"/>
  <c r="G48" i="17" s="1"/>
  <c r="D44" i="17"/>
  <c r="G44" i="17" s="1"/>
  <c r="D40" i="17"/>
  <c r="G40" i="17" s="1"/>
  <c r="D36" i="17"/>
  <c r="G36" i="17" s="1"/>
  <c r="D32" i="17"/>
  <c r="G32" i="17" s="1"/>
  <c r="E31" i="17"/>
  <c r="E43" i="17"/>
  <c r="E39" i="17"/>
  <c r="E35" i="17"/>
  <c r="E61" i="17"/>
  <c r="E57" i="17"/>
  <c r="E53" i="17"/>
  <c r="E49" i="17"/>
  <c r="E45" i="17"/>
  <c r="E142" i="17"/>
  <c r="E138" i="17"/>
  <c r="E134" i="17"/>
  <c r="E130" i="17"/>
  <c r="E126" i="17"/>
  <c r="E122" i="17"/>
  <c r="E118" i="17"/>
  <c r="E114" i="17"/>
  <c r="E110" i="17"/>
  <c r="E106" i="17"/>
  <c r="E102" i="17"/>
  <c r="E98" i="17"/>
  <c r="E94" i="17"/>
  <c r="E90" i="17"/>
  <c r="E86" i="17"/>
  <c r="E82" i="17"/>
  <c r="E78" i="17"/>
  <c r="E74" i="17"/>
  <c r="E70" i="17"/>
  <c r="E66" i="17"/>
  <c r="F140" i="17"/>
  <c r="F136" i="17"/>
  <c r="F132" i="17"/>
  <c r="F128" i="17"/>
  <c r="F124" i="17"/>
  <c r="F120" i="17"/>
  <c r="F116" i="17"/>
  <c r="F112" i="17"/>
  <c r="F108" i="17"/>
  <c r="F104" i="17"/>
  <c r="F100" i="17"/>
  <c r="F96" i="17"/>
  <c r="F92" i="17"/>
  <c r="F88" i="17"/>
  <c r="F84" i="17"/>
  <c r="F80" i="17"/>
  <c r="F76" i="17"/>
  <c r="F72" i="17"/>
  <c r="F68" i="17"/>
  <c r="F64" i="17"/>
  <c r="F60" i="17"/>
  <c r="F56" i="17"/>
  <c r="F52" i="17"/>
  <c r="F48" i="17"/>
  <c r="F44" i="17"/>
  <c r="F40" i="17"/>
  <c r="F36" i="17"/>
  <c r="F32" i="17"/>
  <c r="F143" i="17"/>
  <c r="F139" i="17"/>
  <c r="F135" i="17"/>
  <c r="F131" i="17"/>
  <c r="F127" i="17"/>
  <c r="F123" i="17"/>
  <c r="F119" i="17"/>
  <c r="F115" i="17"/>
  <c r="F111" i="17"/>
  <c r="F107" i="17"/>
  <c r="F103" i="17"/>
  <c r="F99" i="17"/>
  <c r="F95" i="17"/>
  <c r="F91" i="17"/>
  <c r="F87" i="17"/>
  <c r="F83" i="17"/>
  <c r="F79" i="17"/>
  <c r="F75" i="17"/>
  <c r="F71" i="17"/>
  <c r="F67" i="17"/>
  <c r="F63" i="17"/>
  <c r="F59" i="17"/>
  <c r="F55" i="17"/>
  <c r="F51" i="17"/>
  <c r="F47" i="17"/>
  <c r="F43" i="17"/>
  <c r="F39" i="17"/>
  <c r="F35" i="17"/>
  <c r="F31" i="17"/>
  <c r="G73" i="17"/>
  <c r="E96" i="17"/>
  <c r="E92" i="17"/>
  <c r="E88" i="17"/>
  <c r="E84" i="17"/>
  <c r="E80" i="17"/>
  <c r="E76" i="17"/>
  <c r="E72" i="17"/>
  <c r="E68" i="17"/>
  <c r="F142" i="17"/>
  <c r="F138" i="17"/>
  <c r="F134" i="17"/>
  <c r="F130" i="17"/>
  <c r="F126" i="17"/>
  <c r="F122" i="17"/>
  <c r="F118" i="17"/>
  <c r="F114" i="17"/>
  <c r="F110" i="17"/>
  <c r="F106" i="17"/>
  <c r="F102" i="17"/>
  <c r="F98" i="17"/>
  <c r="F94" i="17"/>
  <c r="F90" i="17"/>
  <c r="F86" i="17"/>
  <c r="F82" i="17"/>
  <c r="F78" i="17"/>
  <c r="F74" i="17"/>
  <c r="F70" i="17"/>
  <c r="F66" i="17"/>
  <c r="F62" i="17"/>
  <c r="F58" i="17"/>
  <c r="F54" i="17"/>
  <c r="F50" i="17"/>
  <c r="F46" i="17"/>
  <c r="F42" i="17"/>
  <c r="F38" i="17"/>
  <c r="F34" i="17"/>
  <c r="G34" i="17"/>
  <c r="G54" i="17"/>
  <c r="G74" i="17"/>
  <c r="G118" i="17"/>
  <c r="G138" i="17"/>
  <c r="F141" i="17"/>
  <c r="F137" i="17"/>
  <c r="F133" i="17"/>
  <c r="F129" i="17"/>
  <c r="F125" i="17"/>
  <c r="F121" i="17"/>
  <c r="F117" i="17"/>
  <c r="F113" i="17"/>
  <c r="F109" i="17"/>
  <c r="F105" i="17"/>
  <c r="F101" i="17"/>
  <c r="F97" i="17"/>
  <c r="F93" i="17"/>
  <c r="F89" i="17"/>
  <c r="F85" i="17"/>
  <c r="F81" i="17"/>
  <c r="F77" i="17"/>
  <c r="F73" i="17"/>
  <c r="F69" i="17"/>
  <c r="F65" i="17"/>
  <c r="F61" i="17"/>
  <c r="F57" i="17"/>
  <c r="F53" i="17"/>
  <c r="F49" i="17"/>
  <c r="F45" i="17"/>
  <c r="F41" i="17"/>
  <c r="F37" i="17"/>
  <c r="F33" i="17"/>
  <c r="G43" i="17"/>
  <c r="G59" i="17"/>
  <c r="G119" i="17"/>
  <c r="AI263" i="20"/>
  <c r="AI262" i="9" s="1"/>
  <c r="AG263" i="20"/>
  <c r="AG262" i="9" s="1"/>
  <c r="L263" i="20"/>
  <c r="K264" i="14" s="1"/>
  <c r="B263" i="20"/>
  <c r="A264" i="14" s="1"/>
  <c r="Q264" i="14" s="1"/>
  <c r="Q263" i="20"/>
  <c r="U263" i="20"/>
  <c r="AD263" i="20"/>
  <c r="AD262" i="9" s="1"/>
  <c r="L366" i="20"/>
  <c r="K367" i="14" s="1"/>
  <c r="L365" i="20"/>
  <c r="K366" i="14" s="1"/>
  <c r="L364" i="20"/>
  <c r="K365" i="14" s="1"/>
  <c r="L363" i="20"/>
  <c r="K364" i="14" s="1"/>
  <c r="L388" i="20"/>
  <c r="K389" i="14" s="1"/>
  <c r="L387" i="20"/>
  <c r="K388" i="14" s="1"/>
  <c r="L362" i="20"/>
  <c r="K363" i="14" s="1"/>
  <c r="AI293" i="20"/>
  <c r="AI292" i="9" s="1"/>
  <c r="J295" i="20"/>
  <c r="I296" i="14" s="1"/>
  <c r="AK294" i="20"/>
  <c r="AK293" i="9" s="1"/>
  <c r="M145" i="20"/>
  <c r="L146" i="14" s="1"/>
  <c r="AJ349" i="20" l="1"/>
  <c r="AJ348" i="9" s="1"/>
  <c r="AJ346" i="20"/>
  <c r="AJ345" i="9" s="1"/>
  <c r="AJ350" i="20"/>
  <c r="AJ349" i="9" s="1"/>
  <c r="AJ341" i="20"/>
  <c r="AJ340" i="9" s="1"/>
  <c r="AJ345" i="20"/>
  <c r="AJ344" i="9" s="1"/>
  <c r="AJ347" i="20"/>
  <c r="AJ346" i="9" s="1"/>
  <c r="AJ348" i="20"/>
  <c r="AJ347" i="9" s="1"/>
  <c r="AJ342" i="20"/>
  <c r="AJ341" i="9" s="1"/>
  <c r="AJ344" i="20"/>
  <c r="AJ343" i="9" s="1"/>
  <c r="A344" i="15"/>
  <c r="Q344" i="15" s="1"/>
  <c r="A345" i="17"/>
  <c r="Q345" i="17" s="1"/>
  <c r="A348" i="15"/>
  <c r="Q348" i="15" s="1"/>
  <c r="A349" i="17"/>
  <c r="Q349" i="17" s="1"/>
  <c r="A350" i="15"/>
  <c r="Q350" i="15" s="1"/>
  <c r="A351" i="17"/>
  <c r="Q351" i="17" s="1"/>
  <c r="A346" i="15"/>
  <c r="Q346" i="15" s="1"/>
  <c r="A347" i="17"/>
  <c r="Q347" i="17" s="1"/>
  <c r="A345" i="15"/>
  <c r="Q345" i="15" s="1"/>
  <c r="A346" i="17"/>
  <c r="Q346" i="17" s="1"/>
  <c r="A349" i="15"/>
  <c r="Q349" i="15" s="1"/>
  <c r="A350" i="17"/>
  <c r="Q350" i="17" s="1"/>
  <c r="A342" i="15"/>
  <c r="Q342" i="15" s="1"/>
  <c r="A343" i="17"/>
  <c r="Q343" i="17" s="1"/>
  <c r="A347" i="15"/>
  <c r="Q347" i="15" s="1"/>
  <c r="A348" i="17"/>
  <c r="Q348" i="17" s="1"/>
  <c r="A343" i="15"/>
  <c r="Q343" i="15" s="1"/>
  <c r="A344" i="17"/>
  <c r="Q344" i="17" s="1"/>
  <c r="A341" i="15"/>
  <c r="Q341" i="15" s="1"/>
  <c r="A342" i="17"/>
  <c r="Q342" i="17" s="1"/>
  <c r="K112" i="8"/>
  <c r="M111" i="8"/>
  <c r="K69" i="8"/>
  <c r="M68" i="8"/>
  <c r="K84" i="8"/>
  <c r="M83" i="8"/>
  <c r="A8" i="8"/>
  <c r="C7" i="8"/>
  <c r="K6" i="15"/>
  <c r="L4" i="9"/>
  <c r="P69" i="9"/>
  <c r="N71" i="15" s="1"/>
  <c r="P49" i="9"/>
  <c r="N51" i="17" s="1"/>
  <c r="I418" i="9"/>
  <c r="H419" i="15" s="1"/>
  <c r="S419" i="15" s="1"/>
  <c r="AJ418" i="20"/>
  <c r="AJ417" i="9" s="1"/>
  <c r="AK417" i="9"/>
  <c r="AE345" i="20"/>
  <c r="AE344" i="9" s="1"/>
  <c r="I344" i="9"/>
  <c r="AE344" i="20"/>
  <c r="AE343" i="9" s="1"/>
  <c r="I343" i="9"/>
  <c r="I416" i="9"/>
  <c r="H417" i="15" s="1"/>
  <c r="S417" i="15" s="1"/>
  <c r="AE349" i="20"/>
  <c r="AE348" i="9" s="1"/>
  <c r="I348" i="9"/>
  <c r="AE343" i="20"/>
  <c r="AE342" i="9" s="1"/>
  <c r="I342" i="9"/>
  <c r="W346" i="9"/>
  <c r="W415" i="9"/>
  <c r="W344" i="9"/>
  <c r="W418" i="9"/>
  <c r="W413" i="9"/>
  <c r="M144" i="9"/>
  <c r="K146" i="17" s="1"/>
  <c r="B262" i="9"/>
  <c r="AJ417" i="20"/>
  <c r="AJ416" i="9" s="1"/>
  <c r="AK416" i="9"/>
  <c r="AJ415" i="20"/>
  <c r="AJ414" i="9" s="1"/>
  <c r="AK414" i="9"/>
  <c r="I415" i="9"/>
  <c r="H416" i="15" s="1"/>
  <c r="S416" i="15" s="1"/>
  <c r="AE348" i="20"/>
  <c r="AE347" i="9" s="1"/>
  <c r="I347" i="9"/>
  <c r="AE342" i="20"/>
  <c r="AE341" i="9" s="1"/>
  <c r="I341" i="9"/>
  <c r="I413" i="9"/>
  <c r="H414" i="15" s="1"/>
  <c r="S414" i="15" s="1"/>
  <c r="W345" i="9"/>
  <c r="AB390" i="20"/>
  <c r="AB388" i="9"/>
  <c r="AB364" i="20"/>
  <c r="AB362" i="9"/>
  <c r="AB296" i="20"/>
  <c r="AB294" i="9"/>
  <c r="AJ414" i="20"/>
  <c r="AJ413" i="9" s="1"/>
  <c r="AK413" i="9"/>
  <c r="AE350" i="20"/>
  <c r="AE349" i="9" s="1"/>
  <c r="I349" i="9"/>
  <c r="AE346" i="20"/>
  <c r="AE345" i="9" s="1"/>
  <c r="I345" i="9"/>
  <c r="I414" i="9"/>
  <c r="H415" i="15" s="1"/>
  <c r="S415" i="15" s="1"/>
  <c r="AE347" i="20"/>
  <c r="AE346" i="9" s="1"/>
  <c r="I346" i="9"/>
  <c r="AE341" i="20"/>
  <c r="AE340" i="9" s="1"/>
  <c r="I340" i="9"/>
  <c r="W417" i="9"/>
  <c r="W414" i="9"/>
  <c r="W349" i="9"/>
  <c r="W342" i="9"/>
  <c r="W416" i="9"/>
  <c r="W343" i="9"/>
  <c r="W412" i="9"/>
  <c r="J294" i="9"/>
  <c r="AJ416" i="20"/>
  <c r="AJ415" i="9" s="1"/>
  <c r="AK415" i="9"/>
  <c r="AJ413" i="20"/>
  <c r="AJ412" i="9" s="1"/>
  <c r="AK412" i="9"/>
  <c r="I412" i="9"/>
  <c r="H413" i="15" s="1"/>
  <c r="S413" i="15" s="1"/>
  <c r="I417" i="9"/>
  <c r="H418" i="15" s="1"/>
  <c r="S418" i="15" s="1"/>
  <c r="W347" i="9"/>
  <c r="W341" i="9"/>
  <c r="P5" i="9"/>
  <c r="N7" i="15" s="1"/>
  <c r="P65" i="9"/>
  <c r="N67" i="17" s="1"/>
  <c r="P13" i="9"/>
  <c r="N15" i="15" s="1"/>
  <c r="P61" i="9"/>
  <c r="N63" i="17" s="1"/>
  <c r="P53" i="9"/>
  <c r="N55" i="17" s="1"/>
  <c r="P25" i="9"/>
  <c r="N27" i="15" s="1"/>
  <c r="P28" i="9"/>
  <c r="N30" i="15" s="1"/>
  <c r="P97" i="9"/>
  <c r="N99" i="15" s="1"/>
  <c r="P21" i="9"/>
  <c r="N23" i="15" s="1"/>
  <c r="P57" i="9"/>
  <c r="N59" i="17" s="1"/>
  <c r="M60" i="17"/>
  <c r="M60" i="15"/>
  <c r="M68" i="17"/>
  <c r="M68" i="15"/>
  <c r="M76" i="17"/>
  <c r="M76" i="15"/>
  <c r="K108" i="17"/>
  <c r="K108" i="15"/>
  <c r="M108" i="17"/>
  <c r="M108" i="15"/>
  <c r="K116" i="17"/>
  <c r="K116" i="15"/>
  <c r="M124" i="17"/>
  <c r="M124" i="15"/>
  <c r="K132" i="17"/>
  <c r="K132" i="15"/>
  <c r="P11" i="9"/>
  <c r="N13" i="15" s="1"/>
  <c r="M13" i="15"/>
  <c r="N31" i="17"/>
  <c r="N31" i="15"/>
  <c r="N87" i="17"/>
  <c r="N87" i="15"/>
  <c r="N115" i="17"/>
  <c r="N115" i="15"/>
  <c r="L112" i="17"/>
  <c r="L112" i="15"/>
  <c r="L120" i="17"/>
  <c r="L120" i="15"/>
  <c r="L128" i="17"/>
  <c r="L128" i="15"/>
  <c r="M41" i="17"/>
  <c r="M41" i="15"/>
  <c r="P55" i="9"/>
  <c r="M57" i="15"/>
  <c r="P71" i="9"/>
  <c r="M73" i="15"/>
  <c r="L109" i="17"/>
  <c r="L109" i="15"/>
  <c r="L117" i="17"/>
  <c r="L117" i="15"/>
  <c r="P119" i="9"/>
  <c r="M121" i="15"/>
  <c r="L125" i="17"/>
  <c r="L125" i="15"/>
  <c r="L133" i="17"/>
  <c r="L133" i="15"/>
  <c r="K119" i="17"/>
  <c r="K119" i="15"/>
  <c r="L110" i="17"/>
  <c r="L110" i="15"/>
  <c r="L118" i="17"/>
  <c r="L118" i="15"/>
  <c r="L126" i="17"/>
  <c r="L126" i="15"/>
  <c r="L134" i="17"/>
  <c r="L134" i="15"/>
  <c r="K123" i="17"/>
  <c r="K123" i="15"/>
  <c r="M35" i="17"/>
  <c r="M35" i="15"/>
  <c r="M43" i="17"/>
  <c r="M43" i="15"/>
  <c r="M83" i="17"/>
  <c r="M83" i="15"/>
  <c r="L115" i="17"/>
  <c r="L115" i="15"/>
  <c r="M115" i="17"/>
  <c r="M115" i="15"/>
  <c r="N43" i="17"/>
  <c r="N43" i="15"/>
  <c r="N135" i="17"/>
  <c r="N135" i="15"/>
  <c r="N95" i="17"/>
  <c r="N95" i="15"/>
  <c r="M32" i="17"/>
  <c r="M32" i="15"/>
  <c r="M72" i="17"/>
  <c r="M72" i="15"/>
  <c r="M80" i="17"/>
  <c r="M80" i="15"/>
  <c r="M104" i="17"/>
  <c r="M104" i="15"/>
  <c r="K112" i="17"/>
  <c r="K112" i="15"/>
  <c r="M112" i="17"/>
  <c r="M112" i="15"/>
  <c r="K120" i="17"/>
  <c r="K120" i="15"/>
  <c r="M120" i="17"/>
  <c r="M120" i="15"/>
  <c r="P19" i="9"/>
  <c r="N21" i="15" s="1"/>
  <c r="M21" i="15"/>
  <c r="K109" i="17"/>
  <c r="K109" i="15"/>
  <c r="K117" i="17"/>
  <c r="K117" i="15"/>
  <c r="K125" i="17"/>
  <c r="K125" i="15"/>
  <c r="K133" i="17"/>
  <c r="K133" i="15"/>
  <c r="P45" i="9"/>
  <c r="M47" i="15"/>
  <c r="M91" i="17"/>
  <c r="M91" i="15"/>
  <c r="L111" i="17"/>
  <c r="L111" i="15"/>
  <c r="M111" i="17"/>
  <c r="M111" i="15"/>
  <c r="M127" i="17"/>
  <c r="M127" i="15"/>
  <c r="M50" i="17"/>
  <c r="M50" i="15"/>
  <c r="M58" i="17"/>
  <c r="M58" i="15"/>
  <c r="M66" i="17"/>
  <c r="M66" i="15"/>
  <c r="P72" i="9"/>
  <c r="M74" i="15"/>
  <c r="M82" i="17"/>
  <c r="M82" i="15"/>
  <c r="P88" i="9"/>
  <c r="M90" i="15"/>
  <c r="M98" i="17"/>
  <c r="M98" i="15"/>
  <c r="M106" i="17"/>
  <c r="M106" i="15"/>
  <c r="K110" i="17"/>
  <c r="K110" i="15"/>
  <c r="M114" i="17"/>
  <c r="M114" i="15"/>
  <c r="K118" i="17"/>
  <c r="K118" i="15"/>
  <c r="M122" i="17"/>
  <c r="M122" i="15"/>
  <c r="K126" i="17"/>
  <c r="K126" i="15"/>
  <c r="M130" i="17"/>
  <c r="M130" i="15"/>
  <c r="K134" i="17"/>
  <c r="K134" i="15"/>
  <c r="M87" i="17"/>
  <c r="M87" i="15"/>
  <c r="L107" i="17"/>
  <c r="L107" i="15"/>
  <c r="M107" i="17"/>
  <c r="M107" i="15"/>
  <c r="L131" i="17"/>
  <c r="L131" i="15"/>
  <c r="M131" i="17"/>
  <c r="M131" i="15"/>
  <c r="P9" i="9"/>
  <c r="N11" i="15" s="1"/>
  <c r="M11" i="15"/>
  <c r="K115" i="17"/>
  <c r="K115" i="15"/>
  <c r="N107" i="17"/>
  <c r="N107" i="15"/>
  <c r="M36" i="17"/>
  <c r="M36" i="15"/>
  <c r="N114" i="17"/>
  <c r="N114" i="15"/>
  <c r="N35" i="17"/>
  <c r="N35" i="15"/>
  <c r="N123" i="17"/>
  <c r="N123" i="15"/>
  <c r="P14" i="9"/>
  <c r="N16" i="15" s="1"/>
  <c r="M16" i="15"/>
  <c r="M40" i="17"/>
  <c r="M40" i="15"/>
  <c r="M48" i="17"/>
  <c r="M48" i="15"/>
  <c r="M56" i="17"/>
  <c r="M56" i="15"/>
  <c r="M64" i="17"/>
  <c r="M64" i="15"/>
  <c r="M88" i="17"/>
  <c r="M88" i="15"/>
  <c r="M96" i="17"/>
  <c r="M96" i="15"/>
  <c r="K128" i="17"/>
  <c r="K128" i="15"/>
  <c r="M128" i="17"/>
  <c r="M128" i="15"/>
  <c r="N39" i="17"/>
  <c r="N39" i="15"/>
  <c r="N75" i="17"/>
  <c r="N75" i="15"/>
  <c r="N131" i="17"/>
  <c r="N131" i="15"/>
  <c r="L108" i="17"/>
  <c r="L108" i="15"/>
  <c r="L116" i="17"/>
  <c r="L116" i="15"/>
  <c r="L124" i="17"/>
  <c r="L124" i="15"/>
  <c r="L132" i="17"/>
  <c r="L132" i="15"/>
  <c r="M37" i="17"/>
  <c r="M37" i="15"/>
  <c r="P83" i="9"/>
  <c r="M85" i="15"/>
  <c r="P91" i="9"/>
  <c r="M93" i="15"/>
  <c r="P99" i="9"/>
  <c r="M101" i="15"/>
  <c r="L113" i="17"/>
  <c r="L113" i="15"/>
  <c r="L121" i="17"/>
  <c r="L121" i="15"/>
  <c r="L129" i="17"/>
  <c r="L129" i="15"/>
  <c r="K111" i="17"/>
  <c r="K111" i="15"/>
  <c r="K127" i="17"/>
  <c r="K127" i="15"/>
  <c r="L106" i="17"/>
  <c r="L106" i="15"/>
  <c r="L114" i="17"/>
  <c r="L114" i="15"/>
  <c r="L122" i="17"/>
  <c r="L122" i="15"/>
  <c r="L130" i="17"/>
  <c r="L130" i="15"/>
  <c r="K107" i="17"/>
  <c r="K107" i="15"/>
  <c r="K131" i="17"/>
  <c r="K131" i="15"/>
  <c r="M31" i="17"/>
  <c r="M31" i="15"/>
  <c r="M39" i="17"/>
  <c r="M39" i="15"/>
  <c r="M95" i="17"/>
  <c r="M95" i="15"/>
  <c r="L135" i="17"/>
  <c r="L135" i="15"/>
  <c r="M135" i="17"/>
  <c r="M135" i="15"/>
  <c r="N83" i="17"/>
  <c r="N83" i="15"/>
  <c r="M44" i="17"/>
  <c r="M44" i="15"/>
  <c r="M52" i="17"/>
  <c r="M52" i="15"/>
  <c r="M84" i="17"/>
  <c r="M84" i="15"/>
  <c r="M92" i="17"/>
  <c r="M92" i="15"/>
  <c r="M100" i="17"/>
  <c r="M100" i="15"/>
  <c r="M116" i="17"/>
  <c r="M116" i="15"/>
  <c r="K124" i="17"/>
  <c r="K124" i="15"/>
  <c r="M132" i="17"/>
  <c r="M132" i="15"/>
  <c r="K113" i="17"/>
  <c r="K113" i="15"/>
  <c r="K121" i="17"/>
  <c r="K121" i="15"/>
  <c r="K129" i="17"/>
  <c r="K129" i="15"/>
  <c r="P77" i="9"/>
  <c r="M79" i="15"/>
  <c r="M103" i="17"/>
  <c r="M103" i="15"/>
  <c r="L119" i="17"/>
  <c r="L119" i="15"/>
  <c r="M119" i="17"/>
  <c r="M119" i="15"/>
  <c r="M54" i="17"/>
  <c r="M54" i="15"/>
  <c r="M62" i="17"/>
  <c r="M62" i="15"/>
  <c r="M70" i="17"/>
  <c r="M70" i="15"/>
  <c r="P92" i="9"/>
  <c r="M94" i="15"/>
  <c r="M102" i="17"/>
  <c r="M102" i="15"/>
  <c r="M110" i="17"/>
  <c r="M110" i="15"/>
  <c r="K114" i="17"/>
  <c r="K114" i="15"/>
  <c r="M118" i="17"/>
  <c r="M118" i="15"/>
  <c r="K122" i="17"/>
  <c r="K122" i="15"/>
  <c r="M126" i="17"/>
  <c r="M126" i="15"/>
  <c r="K130" i="17"/>
  <c r="K130" i="15"/>
  <c r="M134" i="17"/>
  <c r="M134" i="15"/>
  <c r="M75" i="17"/>
  <c r="M75" i="15"/>
  <c r="L123" i="17"/>
  <c r="L123" i="15"/>
  <c r="M123" i="17"/>
  <c r="M123" i="15"/>
  <c r="K135" i="17"/>
  <c r="K135" i="15"/>
  <c r="I263" i="20"/>
  <c r="AE416" i="20"/>
  <c r="AE415" i="9" s="1"/>
  <c r="AE413" i="20"/>
  <c r="AE412" i="9" s="1"/>
  <c r="AE417" i="20"/>
  <c r="AE416" i="9" s="1"/>
  <c r="AE419" i="20"/>
  <c r="AE418" i="9" s="1"/>
  <c r="AE415" i="20"/>
  <c r="AE414" i="9" s="1"/>
  <c r="AE418" i="20"/>
  <c r="AE417" i="9" s="1"/>
  <c r="AE414" i="20"/>
  <c r="AE413" i="9" s="1"/>
  <c r="P104" i="9"/>
  <c r="P17" i="9"/>
  <c r="N19" i="15" s="1"/>
  <c r="P44" i="9"/>
  <c r="P68" i="9"/>
  <c r="P100" i="9"/>
  <c r="P32" i="9"/>
  <c r="P128" i="9"/>
  <c r="N143" i="17"/>
  <c r="P76" i="9"/>
  <c r="P84" i="9"/>
  <c r="P39" i="9"/>
  <c r="N142" i="17"/>
  <c r="P63" i="9"/>
  <c r="P131" i="9"/>
  <c r="P12" i="9"/>
  <c r="N14" i="15" s="1"/>
  <c r="M97" i="17"/>
  <c r="P79" i="9"/>
  <c r="P95" i="9"/>
  <c r="M77" i="17"/>
  <c r="M109" i="17"/>
  <c r="P107" i="9"/>
  <c r="M117" i="17"/>
  <c r="M125" i="17"/>
  <c r="P123" i="9"/>
  <c r="M33" i="17"/>
  <c r="P31" i="9"/>
  <c r="P59" i="9"/>
  <c r="P67" i="9"/>
  <c r="M113" i="17"/>
  <c r="P111" i="9"/>
  <c r="M121" i="17"/>
  <c r="M133" i="17"/>
  <c r="P51" i="9"/>
  <c r="P87" i="9"/>
  <c r="P103" i="9"/>
  <c r="P15" i="9"/>
  <c r="N17" i="15" s="1"/>
  <c r="M45" i="17"/>
  <c r="M129" i="17"/>
  <c r="P127" i="9"/>
  <c r="P3" i="9"/>
  <c r="N5" i="15" s="1"/>
  <c r="P115" i="9"/>
  <c r="P47" i="9"/>
  <c r="P35" i="9"/>
  <c r="L127" i="17"/>
  <c r="P8" i="9"/>
  <c r="N10" i="15" s="1"/>
  <c r="P24" i="9"/>
  <c r="N26" i="15" s="1"/>
  <c r="P109" i="9"/>
  <c r="N139" i="17"/>
  <c r="M143" i="17"/>
  <c r="P40" i="9"/>
  <c r="P116" i="9"/>
  <c r="P16" i="9"/>
  <c r="N18" i="15" s="1"/>
  <c r="P36" i="9"/>
  <c r="P89" i="9"/>
  <c r="P125" i="9"/>
  <c r="P52" i="9"/>
  <c r="P4" i="9"/>
  <c r="N6" i="15" s="1"/>
  <c r="P20" i="9"/>
  <c r="N22" i="15" s="1"/>
  <c r="P60" i="9"/>
  <c r="P120" i="9"/>
  <c r="P132" i="9"/>
  <c r="P80" i="9"/>
  <c r="N138" i="17"/>
  <c r="P101" i="9"/>
  <c r="P117" i="9"/>
  <c r="P48" i="9"/>
  <c r="P56" i="9"/>
  <c r="P64" i="9"/>
  <c r="P96" i="9"/>
  <c r="P108" i="9"/>
  <c r="P124" i="9"/>
  <c r="N137" i="17"/>
  <c r="N141" i="17"/>
  <c r="P27" i="9"/>
  <c r="N29" i="15" s="1"/>
  <c r="P7" i="9"/>
  <c r="N9" i="15" s="1"/>
  <c r="P23" i="9"/>
  <c r="P34" i="9"/>
  <c r="P46" i="9"/>
  <c r="P110" i="9"/>
  <c r="M3" i="9"/>
  <c r="K5" i="15" s="1"/>
  <c r="P74" i="9"/>
  <c r="P62" i="9"/>
  <c r="P30" i="9"/>
  <c r="P58" i="9"/>
  <c r="P122" i="9"/>
  <c r="N140" i="17"/>
  <c r="P42" i="9"/>
  <c r="P50" i="9"/>
  <c r="P130" i="9"/>
  <c r="P10" i="9"/>
  <c r="N12" i="15" s="1"/>
  <c r="P38" i="9"/>
  <c r="P54" i="9"/>
  <c r="P118" i="9"/>
  <c r="P70" i="9"/>
  <c r="P86" i="9"/>
  <c r="P102" i="9"/>
  <c r="N136" i="17"/>
  <c r="P6" i="9"/>
  <c r="N8" i="15" s="1"/>
  <c r="P18" i="9"/>
  <c r="N20" i="15" s="1"/>
  <c r="P78" i="9"/>
  <c r="P94" i="9"/>
  <c r="P43" i="9"/>
  <c r="P75" i="9"/>
  <c r="P22" i="9"/>
  <c r="N24" i="15" s="1"/>
  <c r="P26" i="9"/>
  <c r="N28" i="15" s="1"/>
  <c r="P90" i="9"/>
  <c r="P126" i="9"/>
  <c r="P66" i="9"/>
  <c r="P82" i="9"/>
  <c r="P98" i="9"/>
  <c r="O32" i="17"/>
  <c r="K76" i="17"/>
  <c r="K84" i="17"/>
  <c r="K92" i="17"/>
  <c r="K100" i="17"/>
  <c r="O136" i="17"/>
  <c r="L33" i="17"/>
  <c r="K37" i="17"/>
  <c r="L41" i="17"/>
  <c r="K45" i="17"/>
  <c r="L49" i="17"/>
  <c r="O49" i="17"/>
  <c r="K53" i="17"/>
  <c r="L57" i="17"/>
  <c r="O57" i="17"/>
  <c r="K61" i="17"/>
  <c r="L65" i="17"/>
  <c r="O65" i="17"/>
  <c r="K69" i="17"/>
  <c r="M73" i="17"/>
  <c r="K77" i="17"/>
  <c r="M81" i="17"/>
  <c r="O81" i="17"/>
  <c r="K85" i="17"/>
  <c r="O89" i="17"/>
  <c r="K93" i="17"/>
  <c r="O97" i="17"/>
  <c r="K101" i="17"/>
  <c r="O105" i="17"/>
  <c r="O113" i="17"/>
  <c r="O121" i="17"/>
  <c r="O129" i="17"/>
  <c r="K47" i="17"/>
  <c r="O47" i="17"/>
  <c r="M79" i="17"/>
  <c r="K91" i="17"/>
  <c r="O91" i="17"/>
  <c r="O111" i="17"/>
  <c r="O127" i="17"/>
  <c r="L42" i="17"/>
  <c r="K46" i="17"/>
  <c r="L50" i="17"/>
  <c r="K54" i="17"/>
  <c r="L58" i="17"/>
  <c r="K62" i="17"/>
  <c r="L66" i="17"/>
  <c r="K70" i="17"/>
  <c r="O70" i="17"/>
  <c r="K78" i="17"/>
  <c r="O78" i="17"/>
  <c r="K86" i="17"/>
  <c r="M90" i="17"/>
  <c r="K94" i="17"/>
  <c r="K102" i="17"/>
  <c r="O106" i="17"/>
  <c r="O110" i="17"/>
  <c r="O126" i="17"/>
  <c r="O138" i="17"/>
  <c r="K51" i="17"/>
  <c r="O51" i="17"/>
  <c r="K87" i="17"/>
  <c r="O87" i="17"/>
  <c r="M99" i="17"/>
  <c r="O107" i="17"/>
  <c r="O131" i="17"/>
  <c r="L71" i="17"/>
  <c r="L83" i="17"/>
  <c r="O115" i="17"/>
  <c r="P106" i="9"/>
  <c r="K32" i="17"/>
  <c r="L32" i="17"/>
  <c r="K40" i="17"/>
  <c r="L40" i="17"/>
  <c r="O44" i="17"/>
  <c r="K48" i="17"/>
  <c r="L48" i="17"/>
  <c r="O52" i="17"/>
  <c r="K56" i="17"/>
  <c r="L56" i="17"/>
  <c r="O60" i="17"/>
  <c r="K64" i="17"/>
  <c r="L64" i="17"/>
  <c r="O68" i="17"/>
  <c r="L72" i="17"/>
  <c r="O76" i="17"/>
  <c r="L80" i="17"/>
  <c r="O84" i="17"/>
  <c r="L88" i="17"/>
  <c r="O92" i="17"/>
  <c r="L96" i="17"/>
  <c r="O100" i="17"/>
  <c r="L104" i="17"/>
  <c r="O108" i="17"/>
  <c r="O116" i="17"/>
  <c r="O124" i="17"/>
  <c r="O132" i="17"/>
  <c r="O33" i="17"/>
  <c r="O41" i="17"/>
  <c r="M49" i="17"/>
  <c r="M57" i="17"/>
  <c r="O73" i="17"/>
  <c r="L77" i="17"/>
  <c r="L85" i="17"/>
  <c r="M89" i="17"/>
  <c r="L93" i="17"/>
  <c r="L101" i="17"/>
  <c r="M105" i="17"/>
  <c r="O137" i="17"/>
  <c r="L91" i="17"/>
  <c r="K34" i="17"/>
  <c r="M34" i="17"/>
  <c r="L38" i="17"/>
  <c r="O38" i="17"/>
  <c r="M42" i="17"/>
  <c r="O46" i="17"/>
  <c r="O54" i="17"/>
  <c r="O62" i="17"/>
  <c r="M74" i="17"/>
  <c r="L78" i="17"/>
  <c r="L86" i="17"/>
  <c r="O86" i="17"/>
  <c r="L94" i="17"/>
  <c r="O94" i="17"/>
  <c r="L102" i="17"/>
  <c r="O102" i="17"/>
  <c r="O118" i="17"/>
  <c r="O134" i="17"/>
  <c r="L87" i="17"/>
  <c r="L31" i="17"/>
  <c r="K35" i="17"/>
  <c r="O35" i="17"/>
  <c r="L39" i="17"/>
  <c r="K43" i="17"/>
  <c r="O43" i="17"/>
  <c r="L55" i="17"/>
  <c r="M55" i="17"/>
  <c r="K59" i="17"/>
  <c r="O59" i="17"/>
  <c r="L63" i="17"/>
  <c r="M63" i="17"/>
  <c r="K67" i="17"/>
  <c r="O83" i="17"/>
  <c r="K95" i="17"/>
  <c r="O95" i="17"/>
  <c r="O36" i="17"/>
  <c r="K72" i="17"/>
  <c r="K80" i="17"/>
  <c r="K88" i="17"/>
  <c r="K96" i="17"/>
  <c r="K104" i="17"/>
  <c r="O140" i="17"/>
  <c r="K33" i="17"/>
  <c r="L37" i="17"/>
  <c r="K41" i="17"/>
  <c r="L45" i="17"/>
  <c r="K49" i="17"/>
  <c r="L53" i="17"/>
  <c r="O53" i="17"/>
  <c r="K57" i="17"/>
  <c r="L61" i="17"/>
  <c r="O61" i="17"/>
  <c r="K65" i="17"/>
  <c r="M65" i="17"/>
  <c r="L69" i="17"/>
  <c r="M69" i="17"/>
  <c r="O69" i="17"/>
  <c r="K73" i="17"/>
  <c r="K81" i="17"/>
  <c r="M85" i="17"/>
  <c r="K89" i="17"/>
  <c r="O93" i="17"/>
  <c r="K97" i="17"/>
  <c r="O101" i="17"/>
  <c r="K105" i="17"/>
  <c r="O109" i="17"/>
  <c r="O125" i="17"/>
  <c r="O133" i="17"/>
  <c r="L47" i="17"/>
  <c r="M47" i="17"/>
  <c r="K79" i="17"/>
  <c r="K103" i="17"/>
  <c r="O103" i="17"/>
  <c r="O34" i="17"/>
  <c r="K42" i="17"/>
  <c r="L46" i="17"/>
  <c r="K50" i="17"/>
  <c r="L54" i="17"/>
  <c r="K58" i="17"/>
  <c r="L62" i="17"/>
  <c r="K66" i="17"/>
  <c r="L70" i="17"/>
  <c r="K74" i="17"/>
  <c r="K82" i="17"/>
  <c r="K90" i="17"/>
  <c r="M94" i="17"/>
  <c r="K98" i="17"/>
  <c r="K106" i="17"/>
  <c r="O114" i="17"/>
  <c r="O122" i="17"/>
  <c r="O130" i="17"/>
  <c r="O142" i="17"/>
  <c r="L51" i="17"/>
  <c r="M51" i="17"/>
  <c r="K75" i="17"/>
  <c r="K99" i="17"/>
  <c r="O99" i="17"/>
  <c r="O123" i="17"/>
  <c r="O67" i="17"/>
  <c r="K71" i="17"/>
  <c r="O71" i="17"/>
  <c r="L95" i="17"/>
  <c r="O135" i="17"/>
  <c r="P114" i="9"/>
  <c r="K36" i="17"/>
  <c r="L36" i="17"/>
  <c r="O40" i="17"/>
  <c r="K44" i="17"/>
  <c r="L44" i="17"/>
  <c r="O48" i="17"/>
  <c r="K52" i="17"/>
  <c r="L52" i="17"/>
  <c r="O56" i="17"/>
  <c r="K60" i="17"/>
  <c r="L60" i="17"/>
  <c r="O64" i="17"/>
  <c r="K68" i="17"/>
  <c r="L68" i="17"/>
  <c r="O72" i="17"/>
  <c r="L76" i="17"/>
  <c r="O80" i="17"/>
  <c r="L84" i="17"/>
  <c r="O88" i="17"/>
  <c r="L92" i="17"/>
  <c r="O96" i="17"/>
  <c r="L100" i="17"/>
  <c r="O104" i="17"/>
  <c r="O112" i="17"/>
  <c r="O120" i="17"/>
  <c r="O128" i="17"/>
  <c r="O37" i="17"/>
  <c r="O45" i="17"/>
  <c r="M53" i="17"/>
  <c r="M61" i="17"/>
  <c r="L73" i="17"/>
  <c r="O77" i="17"/>
  <c r="L81" i="17"/>
  <c r="O85" i="17"/>
  <c r="L89" i="17"/>
  <c r="M93" i="17"/>
  <c r="L97" i="17"/>
  <c r="M101" i="17"/>
  <c r="L105" i="17"/>
  <c r="O117" i="17"/>
  <c r="O141" i="17"/>
  <c r="L79" i="17"/>
  <c r="O79" i="17"/>
  <c r="L103" i="17"/>
  <c r="O119" i="17"/>
  <c r="O139" i="17"/>
  <c r="L34" i="17"/>
  <c r="K38" i="17"/>
  <c r="M38" i="17"/>
  <c r="O42" i="17"/>
  <c r="M46" i="17"/>
  <c r="O50" i="17"/>
  <c r="O58" i="17"/>
  <c r="O66" i="17"/>
  <c r="L74" i="17"/>
  <c r="O74" i="17"/>
  <c r="M78" i="17"/>
  <c r="L82" i="17"/>
  <c r="O82" i="17"/>
  <c r="M86" i="17"/>
  <c r="L90" i="17"/>
  <c r="O90" i="17"/>
  <c r="L98" i="17"/>
  <c r="O98" i="17"/>
  <c r="L75" i="17"/>
  <c r="O75" i="17"/>
  <c r="L99" i="17"/>
  <c r="O143" i="17"/>
  <c r="K31" i="17"/>
  <c r="O31" i="17"/>
  <c r="L35" i="17"/>
  <c r="K39" i="17"/>
  <c r="O39" i="17"/>
  <c r="L43" i="17"/>
  <c r="K55" i="17"/>
  <c r="O55" i="17"/>
  <c r="L59" i="17"/>
  <c r="M59" i="17"/>
  <c r="K63" i="17"/>
  <c r="O63" i="17"/>
  <c r="L67" i="17"/>
  <c r="M67" i="17"/>
  <c r="M71" i="17"/>
  <c r="K83" i="17"/>
  <c r="AF263" i="20"/>
  <c r="AF262" i="9" s="1"/>
  <c r="W263" i="20"/>
  <c r="AK263" i="20"/>
  <c r="AE3" i="20"/>
  <c r="C1" i="21"/>
  <c r="D1" i="21"/>
  <c r="E1" i="21"/>
  <c r="F1" i="21"/>
  <c r="A3" i="21"/>
  <c r="A4" i="21" s="1"/>
  <c r="A5" i="21" s="1"/>
  <c r="A6" i="21" s="1"/>
  <c r="A7" i="21" s="1"/>
  <c r="A8" i="21" s="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A65" i="21" s="1"/>
  <c r="A66" i="21" s="1"/>
  <c r="A67" i="21" s="1"/>
  <c r="A68" i="21" s="1"/>
  <c r="A69" i="21" s="1"/>
  <c r="A70" i="21" s="1"/>
  <c r="A71" i="21" s="1"/>
  <c r="A72" i="21" s="1"/>
  <c r="A73" i="21" s="1"/>
  <c r="A74" i="21" s="1"/>
  <c r="A75" i="21" s="1"/>
  <c r="A76" i="21" s="1"/>
  <c r="A77" i="21" s="1"/>
  <c r="A78" i="21" s="1"/>
  <c r="A79" i="21" s="1"/>
  <c r="A80" i="21" s="1"/>
  <c r="A81" i="21" s="1"/>
  <c r="A82" i="21" s="1"/>
  <c r="A83" i="21" s="1"/>
  <c r="A84" i="21" s="1"/>
  <c r="A85" i="21" s="1"/>
  <c r="A86" i="21" s="1"/>
  <c r="A87" i="21" s="1"/>
  <c r="A88" i="21" s="1"/>
  <c r="A89" i="21" s="1"/>
  <c r="A90" i="21" s="1"/>
  <c r="A91" i="21" s="1"/>
  <c r="A92" i="21" s="1"/>
  <c r="A93" i="21" s="1"/>
  <c r="A94" i="21" s="1"/>
  <c r="A95" i="21" s="1"/>
  <c r="A96" i="21" s="1"/>
  <c r="A97" i="21" s="1"/>
  <c r="A98" i="21" s="1"/>
  <c r="A99" i="21" s="1"/>
  <c r="A100" i="21" s="1"/>
  <c r="A101" i="21" s="1"/>
  <c r="A102" i="21" s="1"/>
  <c r="A103" i="21" s="1"/>
  <c r="A104" i="21" s="1"/>
  <c r="A105" i="21" s="1"/>
  <c r="A106" i="21" s="1"/>
  <c r="A107" i="21" s="1"/>
  <c r="A108" i="21" s="1"/>
  <c r="A109" i="21" s="1"/>
  <c r="A110" i="21" s="1"/>
  <c r="A111" i="21" s="1"/>
  <c r="A112" i="21" s="1"/>
  <c r="A113" i="21" s="1"/>
  <c r="A114" i="21" s="1"/>
  <c r="A115" i="21" s="1"/>
  <c r="A116" i="21" s="1"/>
  <c r="A117" i="21" s="1"/>
  <c r="A118" i="21" s="1"/>
  <c r="A119" i="21" s="1"/>
  <c r="A120" i="21" s="1"/>
  <c r="A121" i="21" s="1"/>
  <c r="A122" i="21" s="1"/>
  <c r="A123" i="21" s="1"/>
  <c r="A124" i="21" s="1"/>
  <c r="A125" i="21" s="1"/>
  <c r="A126" i="21" s="1"/>
  <c r="A127" i="21" s="1"/>
  <c r="A128" i="21" s="1"/>
  <c r="A129" i="21" s="1"/>
  <c r="A130" i="21" s="1"/>
  <c r="A131" i="21" s="1"/>
  <c r="A132" i="21" s="1"/>
  <c r="A133" i="21" s="1"/>
  <c r="A134" i="21" s="1"/>
  <c r="A135" i="21" s="1"/>
  <c r="A136" i="21" s="1"/>
  <c r="A137" i="21" s="1"/>
  <c r="A138" i="21" s="1"/>
  <c r="A139" i="21" s="1"/>
  <c r="A140" i="21" s="1"/>
  <c r="A141" i="21" s="1"/>
  <c r="A142" i="21" s="1"/>
  <c r="A143" i="21" s="1"/>
  <c r="AS6" i="14"/>
  <c r="AS9" i="14"/>
  <c r="AS10" i="14"/>
  <c r="AS13" i="14"/>
  <c r="AS14" i="14"/>
  <c r="AS18" i="14"/>
  <c r="AS21" i="14"/>
  <c r="AS22" i="14"/>
  <c r="AS25" i="14"/>
  <c r="AS26" i="14"/>
  <c r="AS29" i="14"/>
  <c r="AS30" i="14"/>
  <c r="AS34" i="14"/>
  <c r="AS37" i="14"/>
  <c r="AS38" i="14"/>
  <c r="AS41" i="14"/>
  <c r="AS45" i="14"/>
  <c r="AS46" i="14"/>
  <c r="AS49" i="14"/>
  <c r="AS50" i="14"/>
  <c r="AF50" i="14"/>
  <c r="AR50" i="14" s="1"/>
  <c r="X141" i="14"/>
  <c r="W141" i="14"/>
  <c r="AI361" i="20"/>
  <c r="AI360" i="9" s="1"/>
  <c r="AI4" i="20"/>
  <c r="AI294" i="20"/>
  <c r="AI293" i="9" s="1"/>
  <c r="AI366" i="20"/>
  <c r="AI365" i="9" s="1"/>
  <c r="AI6" i="20"/>
  <c r="AI7" i="20"/>
  <c r="AI8" i="20"/>
  <c r="AI9" i="20"/>
  <c r="AI11" i="20"/>
  <c r="AI147" i="20"/>
  <c r="AI146" i="9" s="1"/>
  <c r="AI390" i="20"/>
  <c r="AI389" i="9" s="1"/>
  <c r="AI391" i="20"/>
  <c r="AI390" i="9" s="1"/>
  <c r="AI392" i="20"/>
  <c r="AI391" i="9" s="1"/>
  <c r="AI393" i="20"/>
  <c r="AI392" i="9" s="1"/>
  <c r="AI397" i="20"/>
  <c r="AI396" i="9" s="1"/>
  <c r="AI398" i="20"/>
  <c r="AI397" i="9" s="1"/>
  <c r="AI399" i="20"/>
  <c r="AI398" i="9" s="1"/>
  <c r="AI400" i="20"/>
  <c r="AI399" i="9" s="1"/>
  <c r="AI401" i="20"/>
  <c r="AI400" i="9" s="1"/>
  <c r="AI402" i="20"/>
  <c r="AI401" i="9" s="1"/>
  <c r="AI403" i="20"/>
  <c r="AI402" i="9" s="1"/>
  <c r="AI404" i="20"/>
  <c r="AI403" i="9" s="1"/>
  <c r="AI405" i="20"/>
  <c r="AI404" i="9" s="1"/>
  <c r="AI406" i="20"/>
  <c r="AI405" i="9" s="1"/>
  <c r="AI407" i="20"/>
  <c r="AI406" i="9" s="1"/>
  <c r="AI408" i="20"/>
  <c r="AI407" i="9" s="1"/>
  <c r="AI298" i="20"/>
  <c r="AI297" i="9" s="1"/>
  <c r="AI149" i="20"/>
  <c r="AI148" i="9" s="1"/>
  <c r="AI150" i="20"/>
  <c r="AI149" i="9" s="1"/>
  <c r="AI14" i="20"/>
  <c r="AI299" i="20"/>
  <c r="AI298" i="9" s="1"/>
  <c r="AI16" i="20"/>
  <c r="AI17" i="20"/>
  <c r="AI18" i="20"/>
  <c r="AI19" i="20"/>
  <c r="AI152" i="20"/>
  <c r="AI151" i="9" s="1"/>
  <c r="AI153" i="20"/>
  <c r="AI152" i="9" s="1"/>
  <c r="AI22" i="20"/>
  <c r="AI23" i="20"/>
  <c r="AI154" i="20"/>
  <c r="AI153" i="9" s="1"/>
  <c r="AI409" i="20"/>
  <c r="AI408" i="9" s="1"/>
  <c r="AI375" i="20"/>
  <c r="AI374" i="9" s="1"/>
  <c r="AI376" i="20"/>
  <c r="AI375" i="9" s="1"/>
  <c r="AI410" i="20"/>
  <c r="AI409" i="9" s="1"/>
  <c r="AI411" i="20"/>
  <c r="AI410" i="9" s="1"/>
  <c r="AI412" i="20"/>
  <c r="AI411" i="9" s="1"/>
  <c r="AI379" i="20"/>
  <c r="AI378" i="9" s="1"/>
  <c r="AI380" i="20"/>
  <c r="AI379" i="9" s="1"/>
  <c r="AI25" i="20"/>
  <c r="AI26" i="20"/>
  <c r="AI27" i="20"/>
  <c r="AI28" i="20"/>
  <c r="AI381" i="20"/>
  <c r="AI380" i="9" s="1"/>
  <c r="AI382" i="20"/>
  <c r="AI381" i="9" s="1"/>
  <c r="AI384" i="20"/>
  <c r="AI383" i="9" s="1"/>
  <c r="AI385" i="20"/>
  <c r="AI384" i="9" s="1"/>
  <c r="AI386" i="20"/>
  <c r="AI385" i="9" s="1"/>
  <c r="AI32" i="20"/>
  <c r="AI158" i="20"/>
  <c r="AI157" i="9" s="1"/>
  <c r="AI308" i="20"/>
  <c r="AI307" i="9" s="1"/>
  <c r="AI309" i="20"/>
  <c r="AI308" i="9" s="1"/>
  <c r="AI34" i="20"/>
  <c r="AI35" i="20"/>
  <c r="AI36" i="20"/>
  <c r="AI37" i="20"/>
  <c r="AI160" i="20"/>
  <c r="AI159" i="9" s="1"/>
  <c r="AI161" i="20"/>
  <c r="AI160" i="9" s="1"/>
  <c r="AI310" i="20"/>
  <c r="AI309" i="9" s="1"/>
  <c r="AI311" i="20"/>
  <c r="AI310" i="9" s="1"/>
  <c r="AI312" i="20"/>
  <c r="AI311" i="9" s="1"/>
  <c r="AI313" i="20"/>
  <c r="AI312" i="9" s="1"/>
  <c r="AI164" i="20"/>
  <c r="AI163" i="9" s="1"/>
  <c r="AI314" i="20"/>
  <c r="AI313" i="9" s="1"/>
  <c r="AI315" i="20"/>
  <c r="AI314" i="9" s="1"/>
  <c r="AI316" i="20"/>
  <c r="AI315" i="9" s="1"/>
  <c r="AI317" i="20"/>
  <c r="AI316" i="9" s="1"/>
  <c r="AI318" i="20"/>
  <c r="AI317" i="9" s="1"/>
  <c r="AI319" i="20"/>
  <c r="AI318" i="9" s="1"/>
  <c r="AI172" i="20"/>
  <c r="AI171" i="9" s="1"/>
  <c r="AI320" i="20"/>
  <c r="AI319" i="9" s="1"/>
  <c r="AI321" i="20"/>
  <c r="AI320" i="9" s="1"/>
  <c r="AI322" i="20"/>
  <c r="AI321" i="9" s="1"/>
  <c r="AI44" i="20"/>
  <c r="AI323" i="20"/>
  <c r="AI322" i="9" s="1"/>
  <c r="AI324" i="20"/>
  <c r="AI323" i="9" s="1"/>
  <c r="AI325" i="20"/>
  <c r="AI324" i="9" s="1"/>
  <c r="AI326" i="20"/>
  <c r="AI325" i="9" s="1"/>
  <c r="AI176" i="20"/>
  <c r="AI175" i="9" s="1"/>
  <c r="AI327" i="20"/>
  <c r="AI326" i="9" s="1"/>
  <c r="AI180" i="20"/>
  <c r="AI179" i="9" s="1"/>
  <c r="AI181" i="20"/>
  <c r="AI180" i="9" s="1"/>
  <c r="AI182" i="20"/>
  <c r="AI181" i="9" s="1"/>
  <c r="AI183" i="20"/>
  <c r="AI182" i="9" s="1"/>
  <c r="AI184" i="20"/>
  <c r="AI183" i="9" s="1"/>
  <c r="AI329" i="20"/>
  <c r="AI328" i="9" s="1"/>
  <c r="AI330" i="20"/>
  <c r="AI329" i="9" s="1"/>
  <c r="AI186" i="20"/>
  <c r="AI185" i="9" s="1"/>
  <c r="AI331" i="20"/>
  <c r="AI330" i="9" s="1"/>
  <c r="AI332" i="20"/>
  <c r="AI331" i="9" s="1"/>
  <c r="AI333" i="20"/>
  <c r="AI332" i="9" s="1"/>
  <c r="AI334" i="20"/>
  <c r="AI333" i="9" s="1"/>
  <c r="AI335" i="20"/>
  <c r="AI334" i="9" s="1"/>
  <c r="AI51" i="20"/>
  <c r="AI191" i="20"/>
  <c r="AI190" i="9" s="1"/>
  <c r="AI192" i="20"/>
  <c r="AI191" i="9" s="1"/>
  <c r="AI193" i="20"/>
  <c r="AI192" i="9" s="1"/>
  <c r="AI194" i="20"/>
  <c r="AI193" i="9" s="1"/>
  <c r="AI195" i="20"/>
  <c r="AI194" i="9" s="1"/>
  <c r="AI196" i="20"/>
  <c r="AI195" i="9" s="1"/>
  <c r="AI197" i="20"/>
  <c r="AI196" i="9" s="1"/>
  <c r="AI199" i="20"/>
  <c r="AI198" i="9" s="1"/>
  <c r="AI201" i="20"/>
  <c r="AI200" i="9" s="1"/>
  <c r="AI340" i="20"/>
  <c r="AI339" i="9" s="1"/>
  <c r="AI57" i="20"/>
  <c r="AI206" i="20"/>
  <c r="AI205" i="9" s="1"/>
  <c r="AI207" i="20"/>
  <c r="AI206" i="9" s="1"/>
  <c r="AI211" i="20"/>
  <c r="AI210" i="9" s="1"/>
  <c r="AI212" i="20"/>
  <c r="AI211" i="9" s="1"/>
  <c r="AI62" i="20"/>
  <c r="AI63" i="20"/>
  <c r="AI64" i="20"/>
  <c r="AI65" i="20"/>
  <c r="AI213" i="20"/>
  <c r="AI212" i="9" s="1"/>
  <c r="AI214" i="20"/>
  <c r="AI213" i="9" s="1"/>
  <c r="AI216" i="20"/>
  <c r="AI215" i="9" s="1"/>
  <c r="AI217" i="20"/>
  <c r="AI216" i="9" s="1"/>
  <c r="AI218" i="20"/>
  <c r="AI217" i="9" s="1"/>
  <c r="AI219" i="20"/>
  <c r="AI218" i="9" s="1"/>
  <c r="AI220" i="20"/>
  <c r="AI219" i="9" s="1"/>
  <c r="AI221" i="20"/>
  <c r="AI220" i="9" s="1"/>
  <c r="AI222" i="20"/>
  <c r="AI221" i="9" s="1"/>
  <c r="AI223" i="20"/>
  <c r="AI222" i="9" s="1"/>
  <c r="AI224" i="20"/>
  <c r="AI223" i="9" s="1"/>
  <c r="AI225" i="20"/>
  <c r="AI224" i="9" s="1"/>
  <c r="AI226" i="20"/>
  <c r="AI225" i="9" s="1"/>
  <c r="AI227" i="20"/>
  <c r="AI226" i="9" s="1"/>
  <c r="AI228" i="20"/>
  <c r="AI227" i="9" s="1"/>
  <c r="AI229" i="20"/>
  <c r="AI228" i="9" s="1"/>
  <c r="AI230" i="20"/>
  <c r="AI229" i="9" s="1"/>
  <c r="AI231" i="20"/>
  <c r="AI230" i="9" s="1"/>
  <c r="AI72" i="20"/>
  <c r="AI232" i="20"/>
  <c r="AI231" i="9" s="1"/>
  <c r="AI74" i="20"/>
  <c r="AI234" i="20"/>
  <c r="AI233" i="9" s="1"/>
  <c r="AI235" i="20"/>
  <c r="AI234" i="9" s="1"/>
  <c r="AI236" i="20"/>
  <c r="AI235" i="9" s="1"/>
  <c r="AI237" i="20"/>
  <c r="AI236" i="9" s="1"/>
  <c r="AI238" i="20"/>
  <c r="AI237" i="9" s="1"/>
  <c r="AI239" i="20"/>
  <c r="AI238" i="9" s="1"/>
  <c r="AI240" i="20"/>
  <c r="AI239" i="9" s="1"/>
  <c r="AI241" i="20"/>
  <c r="AI240" i="9" s="1"/>
  <c r="AI242" i="20"/>
  <c r="AI241" i="9" s="1"/>
  <c r="AI243" i="20"/>
  <c r="AI242" i="9" s="1"/>
  <c r="AI244" i="20"/>
  <c r="AI243" i="9" s="1"/>
  <c r="AI245" i="20"/>
  <c r="AI244" i="9" s="1"/>
  <c r="AI246" i="20"/>
  <c r="AI245" i="9" s="1"/>
  <c r="AI250" i="20"/>
  <c r="AI249" i="9" s="1"/>
  <c r="AI251" i="20"/>
  <c r="AI250" i="9" s="1"/>
  <c r="AI252" i="20"/>
  <c r="AI251" i="9" s="1"/>
  <c r="AI253" i="20"/>
  <c r="AI252" i="9" s="1"/>
  <c r="AI254" i="20"/>
  <c r="AI253" i="9" s="1"/>
  <c r="AI255" i="20"/>
  <c r="AI254" i="9" s="1"/>
  <c r="AI256" i="20"/>
  <c r="AI255" i="9" s="1"/>
  <c r="AI257" i="20"/>
  <c r="AI256" i="9" s="1"/>
  <c r="AI258" i="20"/>
  <c r="AI257" i="9" s="1"/>
  <c r="AI259" i="20"/>
  <c r="AI258" i="9" s="1"/>
  <c r="AI260" i="20"/>
  <c r="AI259" i="9" s="1"/>
  <c r="AI261" i="20"/>
  <c r="AI260" i="9" s="1"/>
  <c r="AI262" i="20"/>
  <c r="AI261" i="9" s="1"/>
  <c r="AI264" i="20"/>
  <c r="AI263" i="9" s="1"/>
  <c r="AI265" i="20"/>
  <c r="AI264" i="9" s="1"/>
  <c r="AI266" i="20"/>
  <c r="AI265" i="9" s="1"/>
  <c r="AI267" i="20"/>
  <c r="AI266" i="9" s="1"/>
  <c r="AI268" i="20"/>
  <c r="AI267" i="9" s="1"/>
  <c r="AI269" i="20"/>
  <c r="AI268" i="9" s="1"/>
  <c r="AI270" i="20"/>
  <c r="AI269" i="9" s="1"/>
  <c r="AI90" i="20"/>
  <c r="AI276" i="20"/>
  <c r="AI275" i="9" s="1"/>
  <c r="AI277" i="20"/>
  <c r="AI276" i="9" s="1"/>
  <c r="AI93" i="20"/>
  <c r="AI279" i="20"/>
  <c r="AI278" i="9" s="1"/>
  <c r="AI96" i="20"/>
  <c r="AI97" i="20"/>
  <c r="AI98" i="20"/>
  <c r="AI99" i="20"/>
  <c r="AI281" i="20"/>
  <c r="AI280" i="9" s="1"/>
  <c r="AI282" i="20"/>
  <c r="AI281" i="9" s="1"/>
  <c r="AI283" i="20"/>
  <c r="AI282" i="9" s="1"/>
  <c r="AI284" i="20"/>
  <c r="AI283" i="9" s="1"/>
  <c r="AI285" i="20"/>
  <c r="AI284" i="9" s="1"/>
  <c r="AI286" i="20"/>
  <c r="AI285" i="9" s="1"/>
  <c r="AI104" i="20"/>
  <c r="AI105" i="20"/>
  <c r="AI106" i="20"/>
  <c r="AI107" i="20"/>
  <c r="AI110" i="20"/>
  <c r="AI111" i="20"/>
  <c r="AI112" i="20"/>
  <c r="AI113" i="20"/>
  <c r="AI114" i="20"/>
  <c r="AI115" i="20"/>
  <c r="AI116" i="20"/>
  <c r="AI117" i="20"/>
  <c r="AI118" i="20"/>
  <c r="AI120" i="20"/>
  <c r="AI121" i="20"/>
  <c r="AI292" i="20"/>
  <c r="AI291" i="9" s="1"/>
  <c r="AI122" i="20"/>
  <c r="AI123" i="20"/>
  <c r="AI124" i="20"/>
  <c r="AI125" i="20"/>
  <c r="AI126" i="20"/>
  <c r="AI127" i="20"/>
  <c r="AI128" i="20"/>
  <c r="AI129" i="20"/>
  <c r="AI130" i="20"/>
  <c r="AI131" i="20"/>
  <c r="AI132" i="20"/>
  <c r="AI133" i="20"/>
  <c r="AI134" i="20"/>
  <c r="AI137" i="20"/>
  <c r="AI136" i="9" s="1"/>
  <c r="AI138" i="20"/>
  <c r="AI137" i="9" s="1"/>
  <c r="AI139" i="20"/>
  <c r="AI138" i="9" s="1"/>
  <c r="AI140" i="20"/>
  <c r="AI139" i="9" s="1"/>
  <c r="AI141" i="20"/>
  <c r="AI140" i="9" s="1"/>
  <c r="AI142" i="20"/>
  <c r="AI141" i="9" s="1"/>
  <c r="AI144" i="20"/>
  <c r="AI143" i="9" s="1"/>
  <c r="AI3" i="20"/>
  <c r="AH2" i="20"/>
  <c r="AH1" i="9" s="1"/>
  <c r="AG3" i="20"/>
  <c r="AG2" i="9" s="1"/>
  <c r="AG145" i="20"/>
  <c r="AG144" i="9" s="1"/>
  <c r="AG293" i="20"/>
  <c r="AG292" i="9" s="1"/>
  <c r="AG361" i="20"/>
  <c r="AG360" i="9" s="1"/>
  <c r="AG4" i="20"/>
  <c r="AG5" i="20"/>
  <c r="AG146" i="20"/>
  <c r="AG145" i="9" s="1"/>
  <c r="AG294" i="20"/>
  <c r="AG295" i="20"/>
  <c r="AG294" i="9" s="1"/>
  <c r="AG362" i="20"/>
  <c r="AG361" i="9" s="1"/>
  <c r="AG387" i="20"/>
  <c r="AG388" i="20"/>
  <c r="AG387" i="9" s="1"/>
  <c r="AG363" i="20"/>
  <c r="AG362" i="9" s="1"/>
  <c r="AG389" i="20"/>
  <c r="AG388" i="9" s="1"/>
  <c r="AG364" i="20"/>
  <c r="AG363" i="9" s="1"/>
  <c r="AG365" i="20"/>
  <c r="AG364" i="9" s="1"/>
  <c r="AG366" i="20"/>
  <c r="AG365" i="9" s="1"/>
  <c r="AG6" i="20"/>
  <c r="AG7" i="20"/>
  <c r="AG8" i="20"/>
  <c r="AG9" i="20"/>
  <c r="AG10" i="20"/>
  <c r="AG11" i="20"/>
  <c r="AG12" i="20"/>
  <c r="AG147" i="20"/>
  <c r="AG146" i="9" s="1"/>
  <c r="AG148" i="20"/>
  <c r="AG147" i="9" s="1"/>
  <c r="AG296" i="20"/>
  <c r="AG295" i="9" s="1"/>
  <c r="AG367" i="20"/>
  <c r="AG366" i="9" s="1"/>
  <c r="AG390" i="20"/>
  <c r="AG389" i="9" s="1"/>
  <c r="AG391" i="20"/>
  <c r="AG390" i="9" s="1"/>
  <c r="AG392" i="20"/>
  <c r="AG391" i="9" s="1"/>
  <c r="AG393" i="20"/>
  <c r="AG392" i="9" s="1"/>
  <c r="AG368" i="20"/>
  <c r="AG367" i="9" s="1"/>
  <c r="AG394" i="20"/>
  <c r="AG395" i="20"/>
  <c r="AG369" i="20"/>
  <c r="AG368" i="9" s="1"/>
  <c r="AG370" i="20"/>
  <c r="AG369" i="9" s="1"/>
  <c r="AG396" i="20"/>
  <c r="AG397" i="20"/>
  <c r="AG396" i="9" s="1"/>
  <c r="AG297" i="20"/>
  <c r="AG296" i="9" s="1"/>
  <c r="AG371" i="20"/>
  <c r="AG370" i="9" s="1"/>
  <c r="AG372" i="20"/>
  <c r="AG371" i="9" s="1"/>
  <c r="AG398" i="20"/>
  <c r="AG397" i="9" s="1"/>
  <c r="AG399" i="20"/>
  <c r="AG398" i="9" s="1"/>
  <c r="AG400" i="20"/>
  <c r="AG399" i="9" s="1"/>
  <c r="AG401" i="20"/>
  <c r="AG400" i="9" s="1"/>
  <c r="AG373" i="20"/>
  <c r="AG372" i="9" s="1"/>
  <c r="AG402" i="20"/>
  <c r="AG401" i="9" s="1"/>
  <c r="AG403" i="20"/>
  <c r="AG402" i="9" s="1"/>
  <c r="AG404" i="20"/>
  <c r="AG403" i="9" s="1"/>
  <c r="AG405" i="20"/>
  <c r="AG404" i="9" s="1"/>
  <c r="AG406" i="20"/>
  <c r="AG405" i="9" s="1"/>
  <c r="AG407" i="20"/>
  <c r="AG406" i="9" s="1"/>
  <c r="AG408" i="20"/>
  <c r="AG407" i="9" s="1"/>
  <c r="AG298" i="20"/>
  <c r="AG297" i="9" s="1"/>
  <c r="AG149" i="20"/>
  <c r="AG148" i="9" s="1"/>
  <c r="AG150" i="20"/>
  <c r="AG149" i="9" s="1"/>
  <c r="AG13" i="20"/>
  <c r="AG14" i="20"/>
  <c r="AG15" i="20"/>
  <c r="AG151" i="20"/>
  <c r="AG150" i="9" s="1"/>
  <c r="AG299" i="20"/>
  <c r="AG298" i="9" s="1"/>
  <c r="AG16" i="20"/>
  <c r="AG17" i="20"/>
  <c r="AG18" i="20"/>
  <c r="AG19" i="20"/>
  <c r="AG20" i="20"/>
  <c r="AG21" i="20"/>
  <c r="AG152" i="20"/>
  <c r="AG151" i="9" s="1"/>
  <c r="AG153" i="20"/>
  <c r="AG152" i="9" s="1"/>
  <c r="AG22" i="20"/>
  <c r="AG23" i="20"/>
  <c r="AG24" i="20"/>
  <c r="AG154" i="20"/>
  <c r="AG153" i="9" s="1"/>
  <c r="AG155" i="20"/>
  <c r="AG154" i="9" s="1"/>
  <c r="AG300" i="20"/>
  <c r="AG299" i="9" s="1"/>
  <c r="AG374" i="20"/>
  <c r="AG373" i="9" s="1"/>
  <c r="AG409" i="20"/>
  <c r="AG408" i="9" s="1"/>
  <c r="AG375" i="20"/>
  <c r="AG374" i="9" s="1"/>
  <c r="AG376" i="20"/>
  <c r="AG375" i="9" s="1"/>
  <c r="AG301" i="20"/>
  <c r="AG300" i="9" s="1"/>
  <c r="AG377" i="20"/>
  <c r="AG376" i="9" s="1"/>
  <c r="AG410" i="20"/>
  <c r="AG409" i="9" s="1"/>
  <c r="AG411" i="20"/>
  <c r="AG410" i="9" s="1"/>
  <c r="AG378" i="20"/>
  <c r="AG377" i="9" s="1"/>
  <c r="AG412" i="20"/>
  <c r="AG411" i="9" s="1"/>
  <c r="AG379" i="20"/>
  <c r="AG378" i="9" s="1"/>
  <c r="AG380" i="20"/>
  <c r="AG379" i="9" s="1"/>
  <c r="AG25" i="20"/>
  <c r="AG26" i="20"/>
  <c r="AG27" i="20"/>
  <c r="AG28" i="20"/>
  <c r="AG29" i="20"/>
  <c r="AG30" i="20"/>
  <c r="AG156" i="20"/>
  <c r="AG155" i="9" s="1"/>
  <c r="AG302" i="20"/>
  <c r="AG301" i="9" s="1"/>
  <c r="AG381" i="20"/>
  <c r="AG380" i="9" s="1"/>
  <c r="AG382" i="20"/>
  <c r="AG381" i="9" s="1"/>
  <c r="AG303" i="20"/>
  <c r="AG302" i="9" s="1"/>
  <c r="AG383" i="20"/>
  <c r="AG382" i="9" s="1"/>
  <c r="AG384" i="20"/>
  <c r="AG383" i="9" s="1"/>
  <c r="AG385" i="20"/>
  <c r="AG384" i="9" s="1"/>
  <c r="AG304" i="20"/>
  <c r="AG303" i="9" s="1"/>
  <c r="AG157" i="20"/>
  <c r="AG156" i="9" s="1"/>
  <c r="AG305" i="20"/>
  <c r="AG304" i="9" s="1"/>
  <c r="AG306" i="20"/>
  <c r="AG305" i="9" s="1"/>
  <c r="AG307" i="20"/>
  <c r="AG306" i="9" s="1"/>
  <c r="AG386" i="20"/>
  <c r="AG385" i="9" s="1"/>
  <c r="AG31" i="20"/>
  <c r="AG32" i="20"/>
  <c r="AG33" i="20"/>
  <c r="AG158" i="20"/>
  <c r="AG157" i="9" s="1"/>
  <c r="AG159" i="20"/>
  <c r="AG158" i="9" s="1"/>
  <c r="AG308" i="20"/>
  <c r="AG307" i="9" s="1"/>
  <c r="AG309" i="20"/>
  <c r="AG308" i="9" s="1"/>
  <c r="AG34" i="20"/>
  <c r="AG35" i="20"/>
  <c r="AG36" i="20"/>
  <c r="AG37" i="20"/>
  <c r="AG38" i="20"/>
  <c r="AG160" i="20"/>
  <c r="AG159" i="9" s="1"/>
  <c r="AG161" i="20"/>
  <c r="AG160" i="9" s="1"/>
  <c r="AG39" i="20"/>
  <c r="AG162" i="20"/>
  <c r="AG161" i="9" s="1"/>
  <c r="AG310" i="20"/>
  <c r="AG309" i="9" s="1"/>
  <c r="AG311" i="20"/>
  <c r="AG310" i="9" s="1"/>
  <c r="AG163" i="20"/>
  <c r="AG162" i="9" s="1"/>
  <c r="AG312" i="20"/>
  <c r="AG311" i="9" s="1"/>
  <c r="AG313" i="20"/>
  <c r="AG312" i="9" s="1"/>
  <c r="AG164" i="20"/>
  <c r="AG163" i="9" s="1"/>
  <c r="AG40" i="20"/>
  <c r="AG165" i="20"/>
  <c r="AG164" i="9" s="1"/>
  <c r="AG314" i="20"/>
  <c r="AG313" i="9" s="1"/>
  <c r="AG315" i="20"/>
  <c r="AG314" i="9" s="1"/>
  <c r="AG166" i="20"/>
  <c r="AG165" i="9" s="1"/>
  <c r="AG316" i="20"/>
  <c r="AG315" i="9" s="1"/>
  <c r="AG317" i="20"/>
  <c r="AG316" i="9" s="1"/>
  <c r="AG318" i="20"/>
  <c r="AG317" i="9" s="1"/>
  <c r="AG41" i="20"/>
  <c r="AG167" i="20"/>
  <c r="AG166" i="9" s="1"/>
  <c r="AG168" i="20"/>
  <c r="AG167" i="9" s="1"/>
  <c r="AG169" i="20"/>
  <c r="AG168" i="9" s="1"/>
  <c r="AG319" i="20"/>
  <c r="AG318" i="9" s="1"/>
  <c r="AG170" i="20"/>
  <c r="AG169" i="9" s="1"/>
  <c r="AG42" i="20"/>
  <c r="AG171" i="20"/>
  <c r="AG170" i="9" s="1"/>
  <c r="AG172" i="20"/>
  <c r="AG171" i="9" s="1"/>
  <c r="AG173" i="20"/>
  <c r="AG172" i="9" s="1"/>
  <c r="AG320" i="20"/>
  <c r="AG319" i="9" s="1"/>
  <c r="AG321" i="20"/>
  <c r="AG320" i="9" s="1"/>
  <c r="AG322" i="20"/>
  <c r="AG321" i="9" s="1"/>
  <c r="AG43" i="20"/>
  <c r="AG44" i="20"/>
  <c r="AG45" i="20"/>
  <c r="AG174" i="20"/>
  <c r="AG173" i="9" s="1"/>
  <c r="AG323" i="20"/>
  <c r="AG322" i="9" s="1"/>
  <c r="AG324" i="20"/>
  <c r="AG323" i="9" s="1"/>
  <c r="AG175" i="20"/>
  <c r="AG174" i="9" s="1"/>
  <c r="AG325" i="20"/>
  <c r="AG324" i="9" s="1"/>
  <c r="AG326" i="20"/>
  <c r="AG325" i="9" s="1"/>
  <c r="AG176" i="20"/>
  <c r="AG175" i="9" s="1"/>
  <c r="AG46" i="20"/>
  <c r="AG177" i="20"/>
  <c r="AG176" i="9" s="1"/>
  <c r="AG178" i="20"/>
  <c r="AG177" i="9" s="1"/>
  <c r="AG179" i="20"/>
  <c r="AG178" i="9" s="1"/>
  <c r="AG327" i="20"/>
  <c r="AG326" i="9" s="1"/>
  <c r="AG180" i="20"/>
  <c r="AG179" i="9" s="1"/>
  <c r="AG47" i="20"/>
  <c r="AG181" i="20"/>
  <c r="AG180" i="9" s="1"/>
  <c r="AG182" i="20"/>
  <c r="AG181" i="9" s="1"/>
  <c r="AG48" i="20"/>
  <c r="AG183" i="20"/>
  <c r="AG182" i="9" s="1"/>
  <c r="AG184" i="20"/>
  <c r="AG183" i="9" s="1"/>
  <c r="AG49" i="20"/>
  <c r="AG185" i="20"/>
  <c r="AG184" i="9" s="1"/>
  <c r="AG328" i="20"/>
  <c r="AG327" i="9" s="1"/>
  <c r="AG329" i="20"/>
  <c r="AG328" i="9" s="1"/>
  <c r="AG330" i="20"/>
  <c r="AG329" i="9" s="1"/>
  <c r="AG186" i="20"/>
  <c r="AG185" i="9" s="1"/>
  <c r="AG187" i="20"/>
  <c r="AG186" i="9" s="1"/>
  <c r="AG331" i="20"/>
  <c r="AG330" i="9" s="1"/>
  <c r="AG332" i="20"/>
  <c r="AG331" i="9" s="1"/>
  <c r="AG333" i="20"/>
  <c r="AG332" i="9" s="1"/>
  <c r="AG188" i="20"/>
  <c r="AG187" i="9" s="1"/>
  <c r="AG334" i="20"/>
  <c r="AG333" i="9" s="1"/>
  <c r="AG335" i="20"/>
  <c r="AG334" i="9" s="1"/>
  <c r="AG50" i="20"/>
  <c r="AG189" i="20"/>
  <c r="AG188" i="9" s="1"/>
  <c r="AG190" i="20"/>
  <c r="AG189" i="9" s="1"/>
  <c r="AG51" i="20"/>
  <c r="AG52" i="20"/>
  <c r="AG191" i="20"/>
  <c r="AG190" i="9" s="1"/>
  <c r="AG192" i="20"/>
  <c r="AG191" i="9" s="1"/>
  <c r="AG53" i="20"/>
  <c r="AG193" i="20"/>
  <c r="AG192" i="9" s="1"/>
  <c r="AG194" i="20"/>
  <c r="AG193" i="9" s="1"/>
  <c r="AG54" i="20"/>
  <c r="AG195" i="20"/>
  <c r="AG194" i="9" s="1"/>
  <c r="AG196" i="20"/>
  <c r="AG195" i="9" s="1"/>
  <c r="AG197" i="20"/>
  <c r="AG196" i="9" s="1"/>
  <c r="AG55" i="20"/>
  <c r="AG198" i="20"/>
  <c r="AG199" i="20"/>
  <c r="AG198" i="9" s="1"/>
  <c r="AG200" i="20"/>
  <c r="AG201" i="20"/>
  <c r="AG200" i="9" s="1"/>
  <c r="AG56" i="20"/>
  <c r="AG202" i="20"/>
  <c r="AG201" i="9" s="1"/>
  <c r="AG340" i="20"/>
  <c r="AG339" i="9" s="1"/>
  <c r="AG203" i="20"/>
  <c r="AG204" i="20"/>
  <c r="AG205" i="20"/>
  <c r="AG57" i="20"/>
  <c r="AG58" i="20"/>
  <c r="AG206" i="20"/>
  <c r="AG205" i="9" s="1"/>
  <c r="AG207" i="20"/>
  <c r="AG206" i="9" s="1"/>
  <c r="AG59" i="20"/>
  <c r="AG60" i="20"/>
  <c r="AG208" i="20"/>
  <c r="AG207" i="9" s="1"/>
  <c r="AG209" i="20"/>
  <c r="AG210" i="20"/>
  <c r="AG209" i="9" s="1"/>
  <c r="AG61" i="20"/>
  <c r="AG211" i="20"/>
  <c r="AG210" i="9" s="1"/>
  <c r="AG212" i="20"/>
  <c r="AG211" i="9" s="1"/>
  <c r="AG62" i="20"/>
  <c r="AG63" i="20"/>
  <c r="AG64" i="20"/>
  <c r="AG65" i="20"/>
  <c r="AG213" i="20"/>
  <c r="AG212" i="9" s="1"/>
  <c r="AG214" i="20"/>
  <c r="AG213" i="9" s="1"/>
  <c r="AG66" i="20"/>
  <c r="AG216" i="20"/>
  <c r="AG215" i="9" s="1"/>
  <c r="AG217" i="20"/>
  <c r="AG216" i="9" s="1"/>
  <c r="AG67" i="20"/>
  <c r="AG218" i="20"/>
  <c r="AG217" i="9" s="1"/>
  <c r="AG219" i="20"/>
  <c r="AG218" i="9" s="1"/>
  <c r="AG220" i="20"/>
  <c r="AG219" i="9" s="1"/>
  <c r="AG68" i="20"/>
  <c r="AG221" i="20"/>
  <c r="AG220" i="9" s="1"/>
  <c r="AG222" i="20"/>
  <c r="AG221" i="9" s="1"/>
  <c r="AG223" i="20"/>
  <c r="AG222" i="9" s="1"/>
  <c r="AG69" i="20"/>
  <c r="AG224" i="20"/>
  <c r="AG223" i="9" s="1"/>
  <c r="AG225" i="20"/>
  <c r="AG224" i="9" s="1"/>
  <c r="AG226" i="20"/>
  <c r="AG225" i="9" s="1"/>
  <c r="AG70" i="20"/>
  <c r="AG227" i="20"/>
  <c r="AG226" i="9" s="1"/>
  <c r="AG228" i="20"/>
  <c r="AG227" i="9" s="1"/>
  <c r="AG229" i="20"/>
  <c r="AG228" i="9" s="1"/>
  <c r="AG71" i="20"/>
  <c r="AG230" i="20"/>
  <c r="AG229" i="9" s="1"/>
  <c r="AG231" i="20"/>
  <c r="AG230" i="9" s="1"/>
  <c r="AG72" i="20"/>
  <c r="AG73" i="20"/>
  <c r="AG232" i="20"/>
  <c r="AG231" i="9" s="1"/>
  <c r="AG74" i="20"/>
  <c r="AG75" i="20"/>
  <c r="AG234" i="20"/>
  <c r="AG233" i="9" s="1"/>
  <c r="AG235" i="20"/>
  <c r="AG234" i="9" s="1"/>
  <c r="AG236" i="20"/>
  <c r="AG235" i="9" s="1"/>
  <c r="AG76" i="20"/>
  <c r="AG237" i="20"/>
  <c r="AG236" i="9" s="1"/>
  <c r="AG238" i="20"/>
  <c r="AG237" i="9" s="1"/>
  <c r="AG239" i="20"/>
  <c r="AG238" i="9" s="1"/>
  <c r="AG240" i="20"/>
  <c r="AG239" i="9" s="1"/>
  <c r="AG77" i="20"/>
  <c r="AG241" i="20"/>
  <c r="AG240" i="9" s="1"/>
  <c r="AG242" i="20"/>
  <c r="AG241" i="9" s="1"/>
  <c r="AG243" i="20"/>
  <c r="AG242" i="9" s="1"/>
  <c r="AG78" i="20"/>
  <c r="AG244" i="20"/>
  <c r="AG243" i="9" s="1"/>
  <c r="AG245" i="20"/>
  <c r="AG244" i="9" s="1"/>
  <c r="AG246" i="20"/>
  <c r="AG245" i="9" s="1"/>
  <c r="AG79" i="20"/>
  <c r="AG247" i="20"/>
  <c r="AG248" i="20"/>
  <c r="AG249" i="20"/>
  <c r="AG250" i="20"/>
  <c r="AG249" i="9" s="1"/>
  <c r="AG80" i="20"/>
  <c r="AG251" i="20"/>
  <c r="AG250" i="9" s="1"/>
  <c r="AG252" i="20"/>
  <c r="AG251" i="9" s="1"/>
  <c r="AG81" i="20"/>
  <c r="AG253" i="20"/>
  <c r="AG252" i="9" s="1"/>
  <c r="AG254" i="20"/>
  <c r="AG253" i="9" s="1"/>
  <c r="AG255" i="20"/>
  <c r="AG254" i="9" s="1"/>
  <c r="AG256" i="20"/>
  <c r="AG255" i="9" s="1"/>
  <c r="AG82" i="20"/>
  <c r="AG257" i="20"/>
  <c r="AG256" i="9" s="1"/>
  <c r="AG258" i="20"/>
  <c r="AG257" i="9" s="1"/>
  <c r="AG259" i="20"/>
  <c r="AG258" i="9" s="1"/>
  <c r="AG83" i="20"/>
  <c r="AG260" i="20"/>
  <c r="AG259" i="9" s="1"/>
  <c r="AG261" i="20"/>
  <c r="AG260" i="9" s="1"/>
  <c r="AG262" i="20"/>
  <c r="AG261" i="9" s="1"/>
  <c r="AG84" i="20"/>
  <c r="AG264" i="20"/>
  <c r="AG263" i="9" s="1"/>
  <c r="AG265" i="20"/>
  <c r="AG264" i="9" s="1"/>
  <c r="AG85" i="20"/>
  <c r="AG86" i="20"/>
  <c r="AG266" i="20"/>
  <c r="AG265" i="9" s="1"/>
  <c r="AG267" i="20"/>
  <c r="AG266" i="9" s="1"/>
  <c r="AG87" i="20"/>
  <c r="AG268" i="20"/>
  <c r="AG267" i="9" s="1"/>
  <c r="AG269" i="20"/>
  <c r="AG268" i="9" s="1"/>
  <c r="AG88" i="20"/>
  <c r="AG270" i="20"/>
  <c r="AG269" i="9" s="1"/>
  <c r="AG89" i="20"/>
  <c r="AG90" i="20"/>
  <c r="AG91" i="20"/>
  <c r="AG92" i="20"/>
  <c r="AG275" i="20"/>
  <c r="AG276" i="20"/>
  <c r="AG275" i="9" s="1"/>
  <c r="AG277" i="20"/>
  <c r="AG276" i="9" s="1"/>
  <c r="AG93" i="20"/>
  <c r="AG94" i="20"/>
  <c r="AI94" i="20" s="1"/>
  <c r="AG95" i="20"/>
  <c r="AG279" i="20"/>
  <c r="AG278" i="9" s="1"/>
  <c r="AG96" i="20"/>
  <c r="AG97" i="20"/>
  <c r="AG98" i="20"/>
  <c r="AG99" i="20"/>
  <c r="AG100" i="20"/>
  <c r="AG281" i="20"/>
  <c r="AG280" i="9" s="1"/>
  <c r="AG282" i="20"/>
  <c r="AG281" i="9" s="1"/>
  <c r="AG283" i="20"/>
  <c r="AG282" i="9" s="1"/>
  <c r="AG101" i="20"/>
  <c r="AG284" i="20"/>
  <c r="AG283" i="9" s="1"/>
  <c r="AG285" i="20"/>
  <c r="AG284" i="9" s="1"/>
  <c r="AG286" i="20"/>
  <c r="AG285" i="9" s="1"/>
  <c r="AG102" i="20"/>
  <c r="AG103" i="20"/>
  <c r="AG104" i="20"/>
  <c r="AG105" i="20"/>
  <c r="AG106" i="20"/>
  <c r="AG107" i="20"/>
  <c r="AG108" i="20"/>
  <c r="AI108" i="20" s="1"/>
  <c r="AG109" i="20"/>
  <c r="AI109" i="20" s="1"/>
  <c r="AG110" i="20"/>
  <c r="AG111" i="20"/>
  <c r="AG112" i="20"/>
  <c r="AG113" i="20"/>
  <c r="AG114" i="20"/>
  <c r="AG115" i="20"/>
  <c r="AG116" i="20"/>
  <c r="AG117" i="20"/>
  <c r="AG118" i="20"/>
  <c r="AG119" i="20"/>
  <c r="AG120" i="20"/>
  <c r="AG121" i="20"/>
  <c r="AG292" i="20"/>
  <c r="AG291" i="9" s="1"/>
  <c r="AG122" i="20"/>
  <c r="AG123" i="20"/>
  <c r="AG124" i="20"/>
  <c r="AG125" i="20"/>
  <c r="AG126" i="20"/>
  <c r="AG127" i="20"/>
  <c r="AG128" i="20"/>
  <c r="AG129" i="20"/>
  <c r="AG130" i="20"/>
  <c r="AG131" i="20"/>
  <c r="AG132" i="20"/>
  <c r="AG133" i="20"/>
  <c r="AG134" i="20"/>
  <c r="AG137" i="20"/>
  <c r="AG136" i="9" s="1"/>
  <c r="AG138" i="20"/>
  <c r="AG137" i="9" s="1"/>
  <c r="AG139" i="20"/>
  <c r="AG138" i="9" s="1"/>
  <c r="AG140" i="20"/>
  <c r="AG139" i="9" s="1"/>
  <c r="AG141" i="20"/>
  <c r="AG140" i="9" s="1"/>
  <c r="AG142" i="20"/>
  <c r="AG141" i="9" s="1"/>
  <c r="AG144" i="20"/>
  <c r="AG143" i="9" s="1"/>
  <c r="AG2" i="20"/>
  <c r="AG1" i="9" s="1"/>
  <c r="AD3" i="20"/>
  <c r="AD145" i="20"/>
  <c r="AD144" i="9" s="1"/>
  <c r="AD293" i="20"/>
  <c r="AD292" i="9" s="1"/>
  <c r="AD361" i="20"/>
  <c r="AD360" i="9" s="1"/>
  <c r="AD4" i="20"/>
  <c r="AD5" i="20"/>
  <c r="AD146" i="20"/>
  <c r="AD145" i="9" s="1"/>
  <c r="AD294" i="20"/>
  <c r="AD293" i="9" s="1"/>
  <c r="AD295" i="20"/>
  <c r="AD294" i="9" s="1"/>
  <c r="AD362" i="20"/>
  <c r="AD361" i="9" s="1"/>
  <c r="AD387" i="20"/>
  <c r="AD386" i="9" s="1"/>
  <c r="AD388" i="20"/>
  <c r="AD387" i="9" s="1"/>
  <c r="AD363" i="20"/>
  <c r="AD362" i="9" s="1"/>
  <c r="AD389" i="20"/>
  <c r="AD388" i="9" s="1"/>
  <c r="AD364" i="20"/>
  <c r="AD363" i="9" s="1"/>
  <c r="AD365" i="20"/>
  <c r="AD364" i="9" s="1"/>
  <c r="AD366" i="20"/>
  <c r="AD365" i="9" s="1"/>
  <c r="AD6" i="20"/>
  <c r="AD7" i="20"/>
  <c r="AD8" i="20"/>
  <c r="AD9" i="20"/>
  <c r="AD10" i="20"/>
  <c r="AD11" i="20"/>
  <c r="AD12" i="20"/>
  <c r="AD147" i="20"/>
  <c r="AD146" i="9" s="1"/>
  <c r="AD148" i="20"/>
  <c r="AD147" i="9" s="1"/>
  <c r="AD296" i="20"/>
  <c r="AD295" i="9" s="1"/>
  <c r="AD367" i="20"/>
  <c r="AD366" i="9" s="1"/>
  <c r="AD390" i="20"/>
  <c r="AD389" i="9" s="1"/>
  <c r="AD391" i="20"/>
  <c r="AD390" i="9" s="1"/>
  <c r="AD392" i="20"/>
  <c r="AD391" i="9" s="1"/>
  <c r="AD393" i="20"/>
  <c r="AD392" i="9" s="1"/>
  <c r="AD368" i="20"/>
  <c r="AD367" i="9" s="1"/>
  <c r="AD394" i="20"/>
  <c r="AD393" i="9" s="1"/>
  <c r="AD395" i="20"/>
  <c r="AD394" i="9" s="1"/>
  <c r="AD369" i="20"/>
  <c r="AD368" i="9" s="1"/>
  <c r="AD370" i="20"/>
  <c r="AD369" i="9" s="1"/>
  <c r="AD396" i="20"/>
  <c r="AD395" i="9" s="1"/>
  <c r="AD397" i="20"/>
  <c r="AD396" i="9" s="1"/>
  <c r="AD297" i="20"/>
  <c r="AD296" i="9" s="1"/>
  <c r="AD371" i="20"/>
  <c r="AD370" i="9" s="1"/>
  <c r="AD372" i="20"/>
  <c r="AD371" i="9" s="1"/>
  <c r="AD398" i="20"/>
  <c r="AD397" i="9" s="1"/>
  <c r="AD399" i="20"/>
  <c r="AD398" i="9" s="1"/>
  <c r="AD400" i="20"/>
  <c r="AD399" i="9" s="1"/>
  <c r="AD401" i="20"/>
  <c r="AD400" i="9" s="1"/>
  <c r="AD373" i="20"/>
  <c r="AD372" i="9" s="1"/>
  <c r="AD402" i="20"/>
  <c r="AD401" i="9" s="1"/>
  <c r="AD403" i="20"/>
  <c r="AD402" i="9" s="1"/>
  <c r="AD404" i="20"/>
  <c r="AD403" i="9" s="1"/>
  <c r="AD405" i="20"/>
  <c r="AD404" i="9" s="1"/>
  <c r="AD406" i="20"/>
  <c r="AD405" i="9" s="1"/>
  <c r="AD407" i="20"/>
  <c r="AD406" i="9" s="1"/>
  <c r="AD408" i="20"/>
  <c r="AD407" i="9" s="1"/>
  <c r="AD298" i="20"/>
  <c r="AD297" i="9" s="1"/>
  <c r="AD149" i="20"/>
  <c r="AD148" i="9" s="1"/>
  <c r="AD150" i="20"/>
  <c r="AD149" i="9" s="1"/>
  <c r="AD13" i="20"/>
  <c r="AD14" i="20"/>
  <c r="AD15" i="20"/>
  <c r="AD151" i="20"/>
  <c r="AD150" i="9" s="1"/>
  <c r="AD299" i="20"/>
  <c r="AD298" i="9" s="1"/>
  <c r="AD16" i="20"/>
  <c r="AD17" i="20"/>
  <c r="AD18" i="20"/>
  <c r="AD19" i="20"/>
  <c r="AD20" i="20"/>
  <c r="AD21" i="20"/>
  <c r="AD152" i="20"/>
  <c r="AD151" i="9" s="1"/>
  <c r="AD153" i="20"/>
  <c r="AD152" i="9" s="1"/>
  <c r="AD22" i="20"/>
  <c r="AD23" i="20"/>
  <c r="AD24" i="20"/>
  <c r="AD154" i="20"/>
  <c r="AD153" i="9" s="1"/>
  <c r="AD155" i="20"/>
  <c r="AD154" i="9" s="1"/>
  <c r="AD300" i="20"/>
  <c r="AD299" i="9" s="1"/>
  <c r="AD374" i="20"/>
  <c r="AD373" i="9" s="1"/>
  <c r="AD409" i="20"/>
  <c r="AD408" i="9" s="1"/>
  <c r="AD375" i="20"/>
  <c r="AD374" i="9" s="1"/>
  <c r="AD376" i="20"/>
  <c r="AD375" i="9" s="1"/>
  <c r="AD301" i="20"/>
  <c r="AD300" i="9" s="1"/>
  <c r="AD377" i="20"/>
  <c r="AD376" i="9" s="1"/>
  <c r="AD410" i="20"/>
  <c r="AD409" i="9" s="1"/>
  <c r="AD411" i="20"/>
  <c r="AD410" i="9" s="1"/>
  <c r="AD378" i="20"/>
  <c r="AD377" i="9" s="1"/>
  <c r="AD412" i="20"/>
  <c r="AD411" i="9" s="1"/>
  <c r="AD379" i="20"/>
  <c r="AD378" i="9" s="1"/>
  <c r="AD380" i="20"/>
  <c r="AD379" i="9" s="1"/>
  <c r="AD25" i="20"/>
  <c r="AD26" i="20"/>
  <c r="AD27" i="20"/>
  <c r="AD28" i="20"/>
  <c r="AD29" i="20"/>
  <c r="AD30" i="20"/>
  <c r="AD156" i="20"/>
  <c r="AD155" i="9" s="1"/>
  <c r="AD302" i="20"/>
  <c r="AD301" i="9" s="1"/>
  <c r="AD381" i="20"/>
  <c r="AD380" i="9" s="1"/>
  <c r="AD382" i="20"/>
  <c r="AD381" i="9" s="1"/>
  <c r="AD303" i="20"/>
  <c r="AD302" i="9" s="1"/>
  <c r="AD383" i="20"/>
  <c r="AD382" i="9" s="1"/>
  <c r="AD384" i="20"/>
  <c r="AD383" i="9" s="1"/>
  <c r="AD385" i="20"/>
  <c r="AD384" i="9" s="1"/>
  <c r="AD304" i="20"/>
  <c r="AD303" i="9" s="1"/>
  <c r="AD157" i="20"/>
  <c r="AD156" i="9" s="1"/>
  <c r="AD305" i="20"/>
  <c r="AD304" i="9" s="1"/>
  <c r="AD306" i="20"/>
  <c r="AD305" i="9" s="1"/>
  <c r="AD307" i="20"/>
  <c r="AD306" i="9" s="1"/>
  <c r="AD386" i="20"/>
  <c r="AD385" i="9" s="1"/>
  <c r="AD31" i="20"/>
  <c r="AD32" i="20"/>
  <c r="AD33" i="20"/>
  <c r="AD158" i="20"/>
  <c r="AD157" i="9" s="1"/>
  <c r="AD159" i="20"/>
  <c r="AD158" i="9" s="1"/>
  <c r="AD308" i="20"/>
  <c r="AD307" i="9" s="1"/>
  <c r="AD309" i="20"/>
  <c r="AD308" i="9" s="1"/>
  <c r="AD34" i="20"/>
  <c r="AD35" i="20"/>
  <c r="AD36" i="20"/>
  <c r="AD37" i="20"/>
  <c r="AD38" i="20"/>
  <c r="AD160" i="20"/>
  <c r="AD159" i="9" s="1"/>
  <c r="AD161" i="20"/>
  <c r="AD160" i="9" s="1"/>
  <c r="AD39" i="20"/>
  <c r="AD162" i="20"/>
  <c r="AD161" i="9" s="1"/>
  <c r="AD310" i="20"/>
  <c r="AD309" i="9" s="1"/>
  <c r="AD311" i="20"/>
  <c r="AD310" i="9" s="1"/>
  <c r="AD163" i="20"/>
  <c r="AD162" i="9" s="1"/>
  <c r="AD312" i="20"/>
  <c r="AD311" i="9" s="1"/>
  <c r="AD313" i="20"/>
  <c r="AD312" i="9" s="1"/>
  <c r="AD164" i="20"/>
  <c r="AD163" i="9" s="1"/>
  <c r="AD40" i="20"/>
  <c r="AD165" i="20"/>
  <c r="AD164" i="9" s="1"/>
  <c r="AD314" i="20"/>
  <c r="AD313" i="9" s="1"/>
  <c r="AD315" i="20"/>
  <c r="AD314" i="9" s="1"/>
  <c r="AD166" i="20"/>
  <c r="AD165" i="9" s="1"/>
  <c r="AD316" i="20"/>
  <c r="AD315" i="9" s="1"/>
  <c r="AD317" i="20"/>
  <c r="AD316" i="9" s="1"/>
  <c r="AD318" i="20"/>
  <c r="AD317" i="9" s="1"/>
  <c r="AD41" i="20"/>
  <c r="AD167" i="20"/>
  <c r="AD166" i="9" s="1"/>
  <c r="AD168" i="20"/>
  <c r="AD167" i="9" s="1"/>
  <c r="AD169" i="20"/>
  <c r="AD168" i="9" s="1"/>
  <c r="AD319" i="20"/>
  <c r="AD318" i="9" s="1"/>
  <c r="AD170" i="20"/>
  <c r="AD169" i="9" s="1"/>
  <c r="AD42" i="20"/>
  <c r="AD171" i="20"/>
  <c r="AD170" i="9" s="1"/>
  <c r="AD172" i="20"/>
  <c r="AD171" i="9" s="1"/>
  <c r="AD173" i="20"/>
  <c r="AD172" i="9" s="1"/>
  <c r="AD320" i="20"/>
  <c r="AD319" i="9" s="1"/>
  <c r="AD321" i="20"/>
  <c r="AD320" i="9" s="1"/>
  <c r="AD322" i="20"/>
  <c r="AD321" i="9" s="1"/>
  <c r="AD43" i="20"/>
  <c r="AD44" i="20"/>
  <c r="AD45" i="20"/>
  <c r="AD174" i="20"/>
  <c r="AD173" i="9" s="1"/>
  <c r="AD323" i="20"/>
  <c r="AD322" i="9" s="1"/>
  <c r="AD324" i="20"/>
  <c r="AD323" i="9" s="1"/>
  <c r="AD175" i="20"/>
  <c r="AD174" i="9" s="1"/>
  <c r="AD325" i="20"/>
  <c r="AD324" i="9" s="1"/>
  <c r="AD326" i="20"/>
  <c r="AD325" i="9" s="1"/>
  <c r="AD176" i="20"/>
  <c r="AD175" i="9" s="1"/>
  <c r="AD46" i="20"/>
  <c r="AD177" i="20"/>
  <c r="AD176" i="9" s="1"/>
  <c r="AD178" i="20"/>
  <c r="AD177" i="9" s="1"/>
  <c r="AD179" i="20"/>
  <c r="AD178" i="9" s="1"/>
  <c r="AD327" i="20"/>
  <c r="AD326" i="9" s="1"/>
  <c r="AD180" i="20"/>
  <c r="AD179" i="9" s="1"/>
  <c r="AD47" i="20"/>
  <c r="AD181" i="20"/>
  <c r="AD180" i="9" s="1"/>
  <c r="AD182" i="20"/>
  <c r="AD181" i="9" s="1"/>
  <c r="AD48" i="20"/>
  <c r="AD183" i="20"/>
  <c r="AD182" i="9" s="1"/>
  <c r="AD184" i="20"/>
  <c r="AD183" i="9" s="1"/>
  <c r="AD49" i="20"/>
  <c r="AD185" i="20"/>
  <c r="AD184" i="9" s="1"/>
  <c r="AD328" i="20"/>
  <c r="AD327" i="9" s="1"/>
  <c r="AD329" i="20"/>
  <c r="AD328" i="9" s="1"/>
  <c r="AD330" i="20"/>
  <c r="AD329" i="9" s="1"/>
  <c r="AD186" i="20"/>
  <c r="AD185" i="9" s="1"/>
  <c r="AD187" i="20"/>
  <c r="AD186" i="9" s="1"/>
  <c r="AD331" i="20"/>
  <c r="AD330" i="9" s="1"/>
  <c r="AD332" i="20"/>
  <c r="AD331" i="9" s="1"/>
  <c r="AD333" i="20"/>
  <c r="AD332" i="9" s="1"/>
  <c r="AD188" i="20"/>
  <c r="AD187" i="9" s="1"/>
  <c r="AD334" i="20"/>
  <c r="AD333" i="9" s="1"/>
  <c r="AD335" i="20"/>
  <c r="AD334" i="9" s="1"/>
  <c r="AD50" i="20"/>
  <c r="AD189" i="20"/>
  <c r="AD188" i="9" s="1"/>
  <c r="AD190" i="20"/>
  <c r="AD189" i="9" s="1"/>
  <c r="AD51" i="20"/>
  <c r="AD52" i="20"/>
  <c r="AD191" i="20"/>
  <c r="AD190" i="9" s="1"/>
  <c r="AD192" i="20"/>
  <c r="AD191" i="9" s="1"/>
  <c r="AD53" i="20"/>
  <c r="AD193" i="20"/>
  <c r="AD192" i="9" s="1"/>
  <c r="AD194" i="20"/>
  <c r="AD193" i="9" s="1"/>
  <c r="AD54" i="20"/>
  <c r="AD195" i="20"/>
  <c r="AD194" i="9" s="1"/>
  <c r="AD196" i="20"/>
  <c r="AD195" i="9" s="1"/>
  <c r="AD197" i="20"/>
  <c r="AD196" i="9" s="1"/>
  <c r="AD55" i="20"/>
  <c r="AD198" i="20"/>
  <c r="AD197" i="9" s="1"/>
  <c r="AD199" i="20"/>
  <c r="AD198" i="9" s="1"/>
  <c r="AD200" i="20"/>
  <c r="AD199" i="9" s="1"/>
  <c r="AD201" i="20"/>
  <c r="AD200" i="9" s="1"/>
  <c r="AD56" i="20"/>
  <c r="AD202" i="20"/>
  <c r="AD201" i="9" s="1"/>
  <c r="AD340" i="20"/>
  <c r="AD339" i="9" s="1"/>
  <c r="AD203" i="20"/>
  <c r="AD202" i="9" s="1"/>
  <c r="AD204" i="20"/>
  <c r="AD203" i="9" s="1"/>
  <c r="AD205" i="20"/>
  <c r="AD204" i="9" s="1"/>
  <c r="AD57" i="20"/>
  <c r="AD58" i="20"/>
  <c r="AD206" i="20"/>
  <c r="AD205" i="9" s="1"/>
  <c r="AD207" i="20"/>
  <c r="AD206" i="9" s="1"/>
  <c r="AD59" i="20"/>
  <c r="AD60" i="20"/>
  <c r="AD208" i="20"/>
  <c r="AD207" i="9" s="1"/>
  <c r="AD209" i="20"/>
  <c r="AD208" i="9" s="1"/>
  <c r="AD210" i="20"/>
  <c r="AD209" i="9" s="1"/>
  <c r="AD61" i="20"/>
  <c r="AD211" i="20"/>
  <c r="AD210" i="9" s="1"/>
  <c r="AD212" i="20"/>
  <c r="AD211" i="9" s="1"/>
  <c r="AD62" i="20"/>
  <c r="AD63" i="20"/>
  <c r="AD64" i="20"/>
  <c r="AD65" i="20"/>
  <c r="AD213" i="20"/>
  <c r="AD212" i="9" s="1"/>
  <c r="AD214" i="20"/>
  <c r="AD213" i="9" s="1"/>
  <c r="AD66" i="20"/>
  <c r="AD216" i="20"/>
  <c r="AD215" i="9" s="1"/>
  <c r="AD217" i="20"/>
  <c r="AD216" i="9" s="1"/>
  <c r="AD67" i="20"/>
  <c r="AD218" i="20"/>
  <c r="AD217" i="9" s="1"/>
  <c r="AD219" i="20"/>
  <c r="AD218" i="9" s="1"/>
  <c r="AD220" i="20"/>
  <c r="AD219" i="9" s="1"/>
  <c r="AD68" i="20"/>
  <c r="AD221" i="20"/>
  <c r="AD220" i="9" s="1"/>
  <c r="AD222" i="20"/>
  <c r="AD221" i="9" s="1"/>
  <c r="AD223" i="20"/>
  <c r="AD222" i="9" s="1"/>
  <c r="AD69" i="20"/>
  <c r="AD224" i="20"/>
  <c r="AD223" i="9" s="1"/>
  <c r="AD225" i="20"/>
  <c r="AD224" i="9" s="1"/>
  <c r="AD226" i="20"/>
  <c r="AD225" i="9" s="1"/>
  <c r="AD70" i="20"/>
  <c r="AD227" i="20"/>
  <c r="AD226" i="9" s="1"/>
  <c r="AD228" i="20"/>
  <c r="AD227" i="9" s="1"/>
  <c r="AD229" i="20"/>
  <c r="AD228" i="9" s="1"/>
  <c r="AD71" i="20"/>
  <c r="AD230" i="20"/>
  <c r="AD229" i="9" s="1"/>
  <c r="AD231" i="20"/>
  <c r="AD230" i="9" s="1"/>
  <c r="AD72" i="20"/>
  <c r="AD73" i="20"/>
  <c r="AD232" i="20"/>
  <c r="AD231" i="9" s="1"/>
  <c r="AD74" i="20"/>
  <c r="AD75" i="20"/>
  <c r="AD234" i="20"/>
  <c r="AD233" i="9" s="1"/>
  <c r="AD235" i="20"/>
  <c r="AD234" i="9" s="1"/>
  <c r="AD236" i="20"/>
  <c r="AD235" i="9" s="1"/>
  <c r="AD76" i="20"/>
  <c r="AD237" i="20"/>
  <c r="AD236" i="9" s="1"/>
  <c r="AD238" i="20"/>
  <c r="AD237" i="9" s="1"/>
  <c r="AD239" i="20"/>
  <c r="AD238" i="9" s="1"/>
  <c r="AD240" i="20"/>
  <c r="AD239" i="9" s="1"/>
  <c r="AD77" i="20"/>
  <c r="AD241" i="20"/>
  <c r="AD240" i="9" s="1"/>
  <c r="AD242" i="20"/>
  <c r="AD241" i="9" s="1"/>
  <c r="AD243" i="20"/>
  <c r="AD242" i="9" s="1"/>
  <c r="AD78" i="20"/>
  <c r="AD244" i="20"/>
  <c r="AD243" i="9" s="1"/>
  <c r="AD245" i="20"/>
  <c r="AD244" i="9" s="1"/>
  <c r="AD246" i="20"/>
  <c r="AD245" i="9" s="1"/>
  <c r="AD79" i="20"/>
  <c r="AD247" i="20"/>
  <c r="AD246" i="9" s="1"/>
  <c r="AD248" i="20"/>
  <c r="AD247" i="9" s="1"/>
  <c r="AD249" i="20"/>
  <c r="AD248" i="9" s="1"/>
  <c r="AD250" i="20"/>
  <c r="AD249" i="9" s="1"/>
  <c r="AD80" i="20"/>
  <c r="AD251" i="20"/>
  <c r="AD250" i="9" s="1"/>
  <c r="AD252" i="20"/>
  <c r="AD251" i="9" s="1"/>
  <c r="AD81" i="20"/>
  <c r="AD253" i="20"/>
  <c r="AD252" i="9" s="1"/>
  <c r="AD254" i="20"/>
  <c r="AD253" i="9" s="1"/>
  <c r="AD255" i="20"/>
  <c r="AD254" i="9" s="1"/>
  <c r="AD256" i="20"/>
  <c r="AD255" i="9" s="1"/>
  <c r="AD82" i="20"/>
  <c r="AD257" i="20"/>
  <c r="AD256" i="9" s="1"/>
  <c r="AD258" i="20"/>
  <c r="AD257" i="9" s="1"/>
  <c r="AD259" i="20"/>
  <c r="AD258" i="9" s="1"/>
  <c r="AD83" i="20"/>
  <c r="AD260" i="20"/>
  <c r="AD259" i="9" s="1"/>
  <c r="AD261" i="20"/>
  <c r="AD260" i="9" s="1"/>
  <c r="AD262" i="20"/>
  <c r="AD261" i="9" s="1"/>
  <c r="AD84" i="20"/>
  <c r="AD264" i="20"/>
  <c r="AD263" i="9" s="1"/>
  <c r="AD265" i="20"/>
  <c r="AD264" i="9" s="1"/>
  <c r="AD85" i="20"/>
  <c r="AD86" i="20"/>
  <c r="AD266" i="20"/>
  <c r="AD265" i="9" s="1"/>
  <c r="AD267" i="20"/>
  <c r="AD266" i="9" s="1"/>
  <c r="AD87" i="20"/>
  <c r="AD268" i="20"/>
  <c r="AD267" i="9" s="1"/>
  <c r="AD269" i="20"/>
  <c r="AD268" i="9" s="1"/>
  <c r="AD88" i="20"/>
  <c r="AD270" i="20"/>
  <c r="AD269" i="9" s="1"/>
  <c r="AD89" i="20"/>
  <c r="AD90" i="20"/>
  <c r="AD91" i="20"/>
  <c r="AD92" i="20"/>
  <c r="AD275" i="20"/>
  <c r="AD274" i="9" s="1"/>
  <c r="AD276" i="20"/>
  <c r="AD275" i="9" s="1"/>
  <c r="AD277" i="20"/>
  <c r="AD276" i="9" s="1"/>
  <c r="AD93" i="20"/>
  <c r="AD94" i="20"/>
  <c r="AD95" i="20"/>
  <c r="AD279" i="20"/>
  <c r="AD278" i="9" s="1"/>
  <c r="AD96" i="20"/>
  <c r="AD97" i="20"/>
  <c r="AD98" i="20"/>
  <c r="AD99" i="20"/>
  <c r="AD100" i="20"/>
  <c r="AD281" i="20"/>
  <c r="AD280" i="9" s="1"/>
  <c r="AD282" i="20"/>
  <c r="AD281" i="9" s="1"/>
  <c r="AD283" i="20"/>
  <c r="AD282" i="9" s="1"/>
  <c r="AD101" i="20"/>
  <c r="AD284" i="20"/>
  <c r="AD283" i="9" s="1"/>
  <c r="AD285" i="20"/>
  <c r="AD284" i="9" s="1"/>
  <c r="AD286" i="20"/>
  <c r="AD285" i="9" s="1"/>
  <c r="AD102" i="20"/>
  <c r="AD103" i="20"/>
  <c r="AD104" i="20"/>
  <c r="AD105" i="20"/>
  <c r="AD106" i="20"/>
  <c r="AD107" i="20"/>
  <c r="AD108" i="20"/>
  <c r="AD109" i="20"/>
  <c r="AD110" i="20"/>
  <c r="AD111" i="20"/>
  <c r="AD112" i="20"/>
  <c r="AD113" i="20"/>
  <c r="AD114" i="20"/>
  <c r="AD115" i="20"/>
  <c r="AD116" i="20"/>
  <c r="AD117" i="20"/>
  <c r="AD118" i="20"/>
  <c r="AD119" i="20"/>
  <c r="AD120" i="20"/>
  <c r="AD121" i="20"/>
  <c r="AD292" i="20"/>
  <c r="AD291" i="9" s="1"/>
  <c r="AD122" i="20"/>
  <c r="AD123" i="20"/>
  <c r="AD124" i="20"/>
  <c r="AD125" i="20"/>
  <c r="AD126" i="20"/>
  <c r="AD127" i="20"/>
  <c r="AD128" i="20"/>
  <c r="AD129" i="20"/>
  <c r="AD130" i="20"/>
  <c r="AD131" i="20"/>
  <c r="AD132" i="20"/>
  <c r="AD133" i="20"/>
  <c r="AD134" i="20"/>
  <c r="AD137" i="20"/>
  <c r="AD136" i="9" s="1"/>
  <c r="AD138" i="20"/>
  <c r="AD137" i="9" s="1"/>
  <c r="AD139" i="20"/>
  <c r="AD138" i="9" s="1"/>
  <c r="AD140" i="20"/>
  <c r="AD139" i="9" s="1"/>
  <c r="AD141" i="20"/>
  <c r="AD140" i="9" s="1"/>
  <c r="AD142" i="20"/>
  <c r="AD141" i="9" s="1"/>
  <c r="AD144" i="20"/>
  <c r="AD143" i="9" s="1"/>
  <c r="AD2" i="20"/>
  <c r="AD1" i="9" s="1"/>
  <c r="U292" i="20"/>
  <c r="U122" i="20"/>
  <c r="U123" i="20"/>
  <c r="U124" i="20"/>
  <c r="U125" i="20"/>
  <c r="U126" i="20"/>
  <c r="U127" i="20"/>
  <c r="U128" i="20"/>
  <c r="U129" i="20"/>
  <c r="U130" i="20"/>
  <c r="U131" i="20"/>
  <c r="U132" i="20"/>
  <c r="U133" i="20"/>
  <c r="U134" i="20"/>
  <c r="U137" i="20"/>
  <c r="U138" i="20"/>
  <c r="U139" i="20"/>
  <c r="U140" i="20"/>
  <c r="U141" i="20"/>
  <c r="U142" i="20"/>
  <c r="U144" i="20"/>
  <c r="B216" i="20"/>
  <c r="A217" i="14" s="1"/>
  <c r="Q217" i="14" s="1"/>
  <c r="B217" i="20"/>
  <c r="A218" i="14" s="1"/>
  <c r="Q218" i="14" s="1"/>
  <c r="B67" i="20"/>
  <c r="A68" i="14" s="1"/>
  <c r="Q68" i="14" s="1"/>
  <c r="B218" i="20"/>
  <c r="A219" i="14" s="1"/>
  <c r="Q219" i="14" s="1"/>
  <c r="B219" i="20"/>
  <c r="A220" i="14" s="1"/>
  <c r="Q220" i="14" s="1"/>
  <c r="B220" i="20"/>
  <c r="A221" i="14" s="1"/>
  <c r="Q221" i="14" s="1"/>
  <c r="B68" i="20"/>
  <c r="A69" i="14" s="1"/>
  <c r="Q69" i="14" s="1"/>
  <c r="B221" i="20"/>
  <c r="A222" i="14" s="1"/>
  <c r="Q222" i="14" s="1"/>
  <c r="B222" i="20"/>
  <c r="A223" i="14" s="1"/>
  <c r="Q223" i="14" s="1"/>
  <c r="B223" i="20"/>
  <c r="A224" i="14" s="1"/>
  <c r="Q224" i="14" s="1"/>
  <c r="B69" i="20"/>
  <c r="A70" i="14" s="1"/>
  <c r="Q70" i="14" s="1"/>
  <c r="B224" i="20"/>
  <c r="A225" i="14" s="1"/>
  <c r="Q225" i="14" s="1"/>
  <c r="B225" i="20"/>
  <c r="A226" i="14" s="1"/>
  <c r="Q226" i="14" s="1"/>
  <c r="B226" i="20"/>
  <c r="A227" i="14" s="1"/>
  <c r="Q227" i="14" s="1"/>
  <c r="B70" i="20"/>
  <c r="A71" i="14" s="1"/>
  <c r="Q71" i="14" s="1"/>
  <c r="B227" i="20"/>
  <c r="A228" i="14" s="1"/>
  <c r="Q228" i="14" s="1"/>
  <c r="B228" i="20"/>
  <c r="A229" i="14" s="1"/>
  <c r="Q229" i="14" s="1"/>
  <c r="B229" i="20"/>
  <c r="A230" i="14" s="1"/>
  <c r="Q230" i="14" s="1"/>
  <c r="B71" i="20"/>
  <c r="A72" i="14" s="1"/>
  <c r="Q72" i="14" s="1"/>
  <c r="B230" i="20"/>
  <c r="A231" i="14" s="1"/>
  <c r="Q231" i="14" s="1"/>
  <c r="B231" i="20"/>
  <c r="A232" i="14" s="1"/>
  <c r="Q232" i="14" s="1"/>
  <c r="B72" i="20"/>
  <c r="A73" i="14" s="1"/>
  <c r="Q73" i="14" s="1"/>
  <c r="B73" i="20"/>
  <c r="A74" i="14" s="1"/>
  <c r="Q74" i="14" s="1"/>
  <c r="B232" i="20"/>
  <c r="A233" i="14" s="1"/>
  <c r="Q233" i="14" s="1"/>
  <c r="B74" i="20"/>
  <c r="A75" i="14" s="1"/>
  <c r="Q75" i="14" s="1"/>
  <c r="B75" i="20"/>
  <c r="A76" i="14" s="1"/>
  <c r="Q76" i="14" s="1"/>
  <c r="B234" i="20"/>
  <c r="A235" i="14" s="1"/>
  <c r="Q235" i="14" s="1"/>
  <c r="B235" i="20"/>
  <c r="A236" i="14" s="1"/>
  <c r="Q236" i="14" s="1"/>
  <c r="B236" i="20"/>
  <c r="A237" i="14" s="1"/>
  <c r="Q237" i="14" s="1"/>
  <c r="B76" i="20"/>
  <c r="A77" i="14" s="1"/>
  <c r="Q77" i="14" s="1"/>
  <c r="B237" i="20"/>
  <c r="A238" i="14" s="1"/>
  <c r="Q238" i="14" s="1"/>
  <c r="B238" i="20"/>
  <c r="A239" i="14" s="1"/>
  <c r="Q239" i="14" s="1"/>
  <c r="B239" i="20"/>
  <c r="A240" i="14" s="1"/>
  <c r="Q240" i="14" s="1"/>
  <c r="B240" i="20"/>
  <c r="A241" i="14" s="1"/>
  <c r="Q241" i="14" s="1"/>
  <c r="B77" i="20"/>
  <c r="A78" i="14" s="1"/>
  <c r="Q78" i="14" s="1"/>
  <c r="B241" i="20"/>
  <c r="A242" i="14" s="1"/>
  <c r="Q242" i="14" s="1"/>
  <c r="B242" i="20"/>
  <c r="A243" i="14" s="1"/>
  <c r="Q243" i="14" s="1"/>
  <c r="B243" i="20"/>
  <c r="A244" i="14" s="1"/>
  <c r="Q244" i="14" s="1"/>
  <c r="B78" i="20"/>
  <c r="A79" i="14" s="1"/>
  <c r="Q79" i="14" s="1"/>
  <c r="B244" i="20"/>
  <c r="A245" i="14" s="1"/>
  <c r="Q245" i="14" s="1"/>
  <c r="B245" i="20"/>
  <c r="A246" i="14" s="1"/>
  <c r="Q246" i="14" s="1"/>
  <c r="B246" i="20"/>
  <c r="A247" i="14" s="1"/>
  <c r="Q247" i="14" s="1"/>
  <c r="B79" i="20"/>
  <c r="A80" i="14" s="1"/>
  <c r="Q80" i="14" s="1"/>
  <c r="B247" i="20"/>
  <c r="A248" i="14" s="1"/>
  <c r="Q248" i="14" s="1"/>
  <c r="B248" i="20"/>
  <c r="A249" i="14" s="1"/>
  <c r="Q249" i="14" s="1"/>
  <c r="B249" i="20"/>
  <c r="A250" i="14" s="1"/>
  <c r="Q250" i="14" s="1"/>
  <c r="B250" i="20"/>
  <c r="A251" i="14" s="1"/>
  <c r="Q251" i="14" s="1"/>
  <c r="B80" i="20"/>
  <c r="A81" i="14" s="1"/>
  <c r="Q81" i="14" s="1"/>
  <c r="B251" i="20"/>
  <c r="A252" i="14" s="1"/>
  <c r="Q252" i="14" s="1"/>
  <c r="B252" i="20"/>
  <c r="A253" i="14" s="1"/>
  <c r="Q253" i="14" s="1"/>
  <c r="B81" i="20"/>
  <c r="A82" i="14" s="1"/>
  <c r="Q82" i="14" s="1"/>
  <c r="B253" i="20"/>
  <c r="A254" i="14" s="1"/>
  <c r="Q254" i="14" s="1"/>
  <c r="B254" i="20"/>
  <c r="A255" i="14" s="1"/>
  <c r="Q255" i="14" s="1"/>
  <c r="B255" i="20"/>
  <c r="A256" i="14" s="1"/>
  <c r="Q256" i="14" s="1"/>
  <c r="B256" i="20"/>
  <c r="A257" i="14" s="1"/>
  <c r="Q257" i="14" s="1"/>
  <c r="B82" i="20"/>
  <c r="A83" i="14" s="1"/>
  <c r="Q83" i="14" s="1"/>
  <c r="B257" i="20"/>
  <c r="A258" i="14" s="1"/>
  <c r="Q258" i="14" s="1"/>
  <c r="B258" i="20"/>
  <c r="A259" i="14" s="1"/>
  <c r="Q259" i="14" s="1"/>
  <c r="B259" i="20"/>
  <c r="A260" i="14" s="1"/>
  <c r="Q260" i="14" s="1"/>
  <c r="B83" i="20"/>
  <c r="A84" i="14" s="1"/>
  <c r="Q84" i="14" s="1"/>
  <c r="B260" i="20"/>
  <c r="A261" i="14" s="1"/>
  <c r="Q261" i="14" s="1"/>
  <c r="B261" i="20"/>
  <c r="A262" i="14" s="1"/>
  <c r="Q262" i="14" s="1"/>
  <c r="B262" i="20"/>
  <c r="A263" i="14" s="1"/>
  <c r="Q263" i="14" s="1"/>
  <c r="B84" i="20"/>
  <c r="A85" i="14" s="1"/>
  <c r="Q85" i="14" s="1"/>
  <c r="B264" i="20"/>
  <c r="A265" i="14" s="1"/>
  <c r="Q265" i="14" s="1"/>
  <c r="B265" i="20"/>
  <c r="A266" i="14" s="1"/>
  <c r="Q266" i="14" s="1"/>
  <c r="B85" i="20"/>
  <c r="A86" i="14" s="1"/>
  <c r="Q86" i="14" s="1"/>
  <c r="B86" i="20"/>
  <c r="A87" i="14" s="1"/>
  <c r="Q87" i="14" s="1"/>
  <c r="B266" i="20"/>
  <c r="A267" i="14" s="1"/>
  <c r="Q267" i="14" s="1"/>
  <c r="B267" i="20"/>
  <c r="A268" i="14" s="1"/>
  <c r="Q268" i="14" s="1"/>
  <c r="B87" i="20"/>
  <c r="A88" i="14" s="1"/>
  <c r="Q88" i="14" s="1"/>
  <c r="B268" i="20"/>
  <c r="A269" i="14" s="1"/>
  <c r="Q269" i="14" s="1"/>
  <c r="B269" i="20"/>
  <c r="A270" i="14" s="1"/>
  <c r="Q270" i="14" s="1"/>
  <c r="B88" i="20"/>
  <c r="A89" i="14" s="1"/>
  <c r="Q89" i="14" s="1"/>
  <c r="B270" i="20"/>
  <c r="A271" i="14" s="1"/>
  <c r="Q271" i="14" s="1"/>
  <c r="B89" i="20"/>
  <c r="A90" i="14" s="1"/>
  <c r="Q90" i="14" s="1"/>
  <c r="B90" i="20"/>
  <c r="A91" i="14" s="1"/>
  <c r="Q91" i="14" s="1"/>
  <c r="B91" i="20"/>
  <c r="A92" i="14" s="1"/>
  <c r="Q92" i="14" s="1"/>
  <c r="B92" i="20"/>
  <c r="A93" i="14" s="1"/>
  <c r="Q93" i="14" s="1"/>
  <c r="B275" i="20"/>
  <c r="A276" i="14" s="1"/>
  <c r="Q276" i="14" s="1"/>
  <c r="B276" i="20"/>
  <c r="A277" i="14" s="1"/>
  <c r="Q277" i="14" s="1"/>
  <c r="B277" i="20"/>
  <c r="A278" i="14" s="1"/>
  <c r="Q278" i="14" s="1"/>
  <c r="B93" i="20"/>
  <c r="A94" i="14" s="1"/>
  <c r="Q94" i="14" s="1"/>
  <c r="B94" i="20"/>
  <c r="A95" i="14" s="1"/>
  <c r="Q95" i="14" s="1"/>
  <c r="B95" i="20"/>
  <c r="A96" i="14" s="1"/>
  <c r="Q96" i="14" s="1"/>
  <c r="B279" i="20"/>
  <c r="A280" i="14" s="1"/>
  <c r="Q280" i="14" s="1"/>
  <c r="B96" i="20"/>
  <c r="A97" i="14" s="1"/>
  <c r="Q97" i="14" s="1"/>
  <c r="B97" i="20"/>
  <c r="A98" i="14" s="1"/>
  <c r="Q98" i="14" s="1"/>
  <c r="B98" i="20"/>
  <c r="A99" i="14" s="1"/>
  <c r="Q99" i="14" s="1"/>
  <c r="B99" i="20"/>
  <c r="A100" i="14" s="1"/>
  <c r="Q100" i="14" s="1"/>
  <c r="B100" i="20"/>
  <c r="A101" i="14" s="1"/>
  <c r="Q101" i="14" s="1"/>
  <c r="B281" i="20"/>
  <c r="A282" i="14" s="1"/>
  <c r="Q282" i="14" s="1"/>
  <c r="B282" i="20"/>
  <c r="A283" i="14" s="1"/>
  <c r="Q283" i="14" s="1"/>
  <c r="B283" i="20"/>
  <c r="A284" i="14" s="1"/>
  <c r="Q284" i="14" s="1"/>
  <c r="B101" i="20"/>
  <c r="A102" i="14" s="1"/>
  <c r="Q102" i="14" s="1"/>
  <c r="B284" i="20"/>
  <c r="A285" i="14" s="1"/>
  <c r="Q285" i="14" s="1"/>
  <c r="B285" i="20"/>
  <c r="A286" i="14" s="1"/>
  <c r="Q286" i="14" s="1"/>
  <c r="B286" i="20"/>
  <c r="A287" i="14" s="1"/>
  <c r="Q287" i="14" s="1"/>
  <c r="B102" i="20"/>
  <c r="A103" i="14" s="1"/>
  <c r="Q103" i="14" s="1"/>
  <c r="B103" i="20"/>
  <c r="A104" i="14" s="1"/>
  <c r="Q104" i="14" s="1"/>
  <c r="B104" i="20"/>
  <c r="A105" i="14" s="1"/>
  <c r="Q105" i="14" s="1"/>
  <c r="B105" i="20"/>
  <c r="A106" i="14" s="1"/>
  <c r="Q106" i="14" s="1"/>
  <c r="B106" i="20"/>
  <c r="A107" i="14" s="1"/>
  <c r="Q107" i="14" s="1"/>
  <c r="B107" i="20"/>
  <c r="A108" i="14" s="1"/>
  <c r="Q108" i="14" s="1"/>
  <c r="B108" i="20"/>
  <c r="A109" i="14" s="1"/>
  <c r="Q109" i="14" s="1"/>
  <c r="B109" i="20"/>
  <c r="A110" i="14" s="1"/>
  <c r="Q110" i="14" s="1"/>
  <c r="B110" i="20"/>
  <c r="A111" i="14" s="1"/>
  <c r="Q111" i="14" s="1"/>
  <c r="B111" i="20"/>
  <c r="A112" i="14" s="1"/>
  <c r="Q112" i="14" s="1"/>
  <c r="B112" i="20"/>
  <c r="A113" i="14" s="1"/>
  <c r="Q113" i="14" s="1"/>
  <c r="B113" i="20"/>
  <c r="A114" i="14" s="1"/>
  <c r="Q114" i="14" s="1"/>
  <c r="B114" i="20"/>
  <c r="A115" i="14" s="1"/>
  <c r="Q115" i="14" s="1"/>
  <c r="B115" i="20"/>
  <c r="A116" i="14" s="1"/>
  <c r="Q116" i="14" s="1"/>
  <c r="B116" i="20"/>
  <c r="A117" i="14" s="1"/>
  <c r="Q117" i="14" s="1"/>
  <c r="B117" i="20"/>
  <c r="A118" i="14" s="1"/>
  <c r="Q118" i="14" s="1"/>
  <c r="B118" i="20"/>
  <c r="A119" i="14" s="1"/>
  <c r="Q119" i="14" s="1"/>
  <c r="B119" i="20"/>
  <c r="A120" i="14" s="1"/>
  <c r="Q120" i="14" s="1"/>
  <c r="B120" i="20"/>
  <c r="A121" i="14" s="1"/>
  <c r="Q121" i="14" s="1"/>
  <c r="B121" i="20"/>
  <c r="A122" i="14" s="1"/>
  <c r="Q122" i="14" s="1"/>
  <c r="B292" i="20"/>
  <c r="A293" i="14" s="1"/>
  <c r="Q293" i="14" s="1"/>
  <c r="B122" i="20"/>
  <c r="A123" i="14" s="1"/>
  <c r="Q123" i="14" s="1"/>
  <c r="B123" i="20"/>
  <c r="A124" i="14" s="1"/>
  <c r="Q124" i="14" s="1"/>
  <c r="B124" i="20"/>
  <c r="A125" i="14" s="1"/>
  <c r="Q125" i="14" s="1"/>
  <c r="B125" i="20"/>
  <c r="A126" i="14" s="1"/>
  <c r="Q126" i="14" s="1"/>
  <c r="B126" i="20"/>
  <c r="A127" i="14" s="1"/>
  <c r="Q127" i="14" s="1"/>
  <c r="B127" i="20"/>
  <c r="A128" i="14" s="1"/>
  <c r="Q128" i="14" s="1"/>
  <c r="B128" i="20"/>
  <c r="A129" i="14" s="1"/>
  <c r="Q129" i="14" s="1"/>
  <c r="B129" i="20"/>
  <c r="A130" i="14" s="1"/>
  <c r="Q130" i="14" s="1"/>
  <c r="B130" i="20"/>
  <c r="A131" i="14" s="1"/>
  <c r="Q131" i="14" s="1"/>
  <c r="B131" i="20"/>
  <c r="A132" i="14" s="1"/>
  <c r="Q132" i="14" s="1"/>
  <c r="B132" i="20"/>
  <c r="A133" i="14" s="1"/>
  <c r="Q133" i="14" s="1"/>
  <c r="B133" i="20"/>
  <c r="A134" i="14" s="1"/>
  <c r="Q134" i="14" s="1"/>
  <c r="B134" i="20"/>
  <c r="A135" i="14" s="1"/>
  <c r="Q135" i="14" s="1"/>
  <c r="B137" i="20"/>
  <c r="B138" i="20"/>
  <c r="B139" i="20"/>
  <c r="B140" i="20"/>
  <c r="B141" i="20"/>
  <c r="B142" i="20"/>
  <c r="B144" i="20"/>
  <c r="B66" i="20"/>
  <c r="A67" i="14" s="1"/>
  <c r="Q67" i="14" s="1"/>
  <c r="B6" i="20"/>
  <c r="A7" i="14" s="1"/>
  <c r="Q7" i="14" s="1"/>
  <c r="B7" i="20"/>
  <c r="A8" i="14" s="1"/>
  <c r="Q8" i="14" s="1"/>
  <c r="B8" i="20"/>
  <c r="A9" i="14" s="1"/>
  <c r="Q9" i="14" s="1"/>
  <c r="B9" i="20"/>
  <c r="A10" i="14" s="1"/>
  <c r="Q10" i="14" s="1"/>
  <c r="B10" i="20"/>
  <c r="A11" i="14" s="1"/>
  <c r="Q11" i="14" s="1"/>
  <c r="B11" i="20"/>
  <c r="A12" i="14" s="1"/>
  <c r="Q12" i="14" s="1"/>
  <c r="B12" i="20"/>
  <c r="A13" i="14" s="1"/>
  <c r="Q13" i="14" s="1"/>
  <c r="B147" i="20"/>
  <c r="A148" i="14" s="1"/>
  <c r="Q148" i="14" s="1"/>
  <c r="B148" i="20"/>
  <c r="A149" i="14" s="1"/>
  <c r="Q149" i="14" s="1"/>
  <c r="B296" i="20"/>
  <c r="A297" i="14" s="1"/>
  <c r="Q297" i="14" s="1"/>
  <c r="B367" i="20"/>
  <c r="A368" i="14" s="1"/>
  <c r="Q368" i="14" s="1"/>
  <c r="B390" i="20"/>
  <c r="A391" i="14" s="1"/>
  <c r="Q391" i="14" s="1"/>
  <c r="B391" i="20"/>
  <c r="A392" i="14" s="1"/>
  <c r="Q392" i="14" s="1"/>
  <c r="B392" i="20"/>
  <c r="A393" i="14" s="1"/>
  <c r="Q393" i="14" s="1"/>
  <c r="B393" i="20"/>
  <c r="A394" i="14" s="1"/>
  <c r="Q394" i="14" s="1"/>
  <c r="B368" i="20"/>
  <c r="A369" i="14" s="1"/>
  <c r="Q369" i="14" s="1"/>
  <c r="B394" i="20"/>
  <c r="A395" i="14" s="1"/>
  <c r="Q395" i="14" s="1"/>
  <c r="B395" i="20"/>
  <c r="A396" i="14" s="1"/>
  <c r="Q396" i="14" s="1"/>
  <c r="B369" i="20"/>
  <c r="A370" i="14" s="1"/>
  <c r="Q370" i="14" s="1"/>
  <c r="B370" i="20"/>
  <c r="A371" i="14" s="1"/>
  <c r="Q371" i="14" s="1"/>
  <c r="B396" i="20"/>
  <c r="A397" i="14" s="1"/>
  <c r="Q397" i="14" s="1"/>
  <c r="B397" i="20"/>
  <c r="A398" i="14" s="1"/>
  <c r="Q398" i="14" s="1"/>
  <c r="B297" i="20"/>
  <c r="A298" i="14" s="1"/>
  <c r="Q298" i="14" s="1"/>
  <c r="B371" i="20"/>
  <c r="A372" i="14" s="1"/>
  <c r="Q372" i="14" s="1"/>
  <c r="B372" i="20"/>
  <c r="A373" i="14" s="1"/>
  <c r="Q373" i="14" s="1"/>
  <c r="B398" i="20"/>
  <c r="A399" i="14" s="1"/>
  <c r="Q399" i="14" s="1"/>
  <c r="B399" i="20"/>
  <c r="A400" i="14" s="1"/>
  <c r="Q400" i="14" s="1"/>
  <c r="B400" i="20"/>
  <c r="A401" i="14" s="1"/>
  <c r="Q401" i="14" s="1"/>
  <c r="B401" i="20"/>
  <c r="A402" i="14" s="1"/>
  <c r="Q402" i="14" s="1"/>
  <c r="B373" i="20"/>
  <c r="A374" i="14" s="1"/>
  <c r="Q374" i="14" s="1"/>
  <c r="B402" i="20"/>
  <c r="A403" i="14" s="1"/>
  <c r="Q403" i="14" s="1"/>
  <c r="B403" i="20"/>
  <c r="A404" i="14" s="1"/>
  <c r="Q404" i="14" s="1"/>
  <c r="B404" i="20"/>
  <c r="A405" i="14" s="1"/>
  <c r="Q405" i="14" s="1"/>
  <c r="B405" i="20"/>
  <c r="A406" i="14" s="1"/>
  <c r="Q406" i="14" s="1"/>
  <c r="B406" i="20"/>
  <c r="A407" i="14" s="1"/>
  <c r="Q407" i="14" s="1"/>
  <c r="B407" i="20"/>
  <c r="A408" i="14" s="1"/>
  <c r="Q408" i="14" s="1"/>
  <c r="B408" i="20"/>
  <c r="A409" i="14" s="1"/>
  <c r="Q409" i="14" s="1"/>
  <c r="B298" i="20"/>
  <c r="A299" i="14" s="1"/>
  <c r="Q299" i="14" s="1"/>
  <c r="B149" i="20"/>
  <c r="A150" i="14" s="1"/>
  <c r="Q150" i="14" s="1"/>
  <c r="B150" i="20"/>
  <c r="A151" i="14" s="1"/>
  <c r="Q151" i="14" s="1"/>
  <c r="B13" i="20"/>
  <c r="A14" i="14" s="1"/>
  <c r="Q14" i="14" s="1"/>
  <c r="B14" i="20"/>
  <c r="A15" i="14" s="1"/>
  <c r="Q15" i="14" s="1"/>
  <c r="B15" i="20"/>
  <c r="A16" i="14" s="1"/>
  <c r="Q16" i="14" s="1"/>
  <c r="B151" i="20"/>
  <c r="A152" i="14" s="1"/>
  <c r="Q152" i="14" s="1"/>
  <c r="B299" i="20"/>
  <c r="A300" i="14" s="1"/>
  <c r="Q300" i="14" s="1"/>
  <c r="B16" i="20"/>
  <c r="A17" i="14" s="1"/>
  <c r="Q17" i="14" s="1"/>
  <c r="B17" i="20"/>
  <c r="A18" i="14" s="1"/>
  <c r="Q18" i="14" s="1"/>
  <c r="B18" i="20"/>
  <c r="A19" i="14" s="1"/>
  <c r="Q19" i="14" s="1"/>
  <c r="B19" i="20"/>
  <c r="A20" i="14" s="1"/>
  <c r="Q20" i="14" s="1"/>
  <c r="B20" i="20"/>
  <c r="A21" i="14" s="1"/>
  <c r="Q21" i="14" s="1"/>
  <c r="B21" i="20"/>
  <c r="A22" i="14" s="1"/>
  <c r="Q22" i="14" s="1"/>
  <c r="B152" i="20"/>
  <c r="A153" i="14" s="1"/>
  <c r="Q153" i="14" s="1"/>
  <c r="B153" i="20"/>
  <c r="A154" i="14" s="1"/>
  <c r="Q154" i="14" s="1"/>
  <c r="B22" i="20"/>
  <c r="A23" i="14" s="1"/>
  <c r="Q23" i="14" s="1"/>
  <c r="B23" i="20"/>
  <c r="A24" i="14" s="1"/>
  <c r="Q24" i="14" s="1"/>
  <c r="B24" i="20"/>
  <c r="A25" i="14" s="1"/>
  <c r="Q25" i="14" s="1"/>
  <c r="B154" i="20"/>
  <c r="A155" i="14" s="1"/>
  <c r="Q155" i="14" s="1"/>
  <c r="B155" i="20"/>
  <c r="A156" i="14" s="1"/>
  <c r="Q156" i="14" s="1"/>
  <c r="B300" i="20"/>
  <c r="A301" i="14" s="1"/>
  <c r="Q301" i="14" s="1"/>
  <c r="B374" i="20"/>
  <c r="A375" i="14" s="1"/>
  <c r="Q375" i="14" s="1"/>
  <c r="B409" i="20"/>
  <c r="A410" i="14" s="1"/>
  <c r="Q410" i="14" s="1"/>
  <c r="B375" i="20"/>
  <c r="A376" i="14" s="1"/>
  <c r="Q376" i="14" s="1"/>
  <c r="B376" i="20"/>
  <c r="A377" i="14" s="1"/>
  <c r="Q377" i="14" s="1"/>
  <c r="B301" i="20"/>
  <c r="A302" i="14" s="1"/>
  <c r="Q302" i="14" s="1"/>
  <c r="B377" i="20"/>
  <c r="A378" i="14" s="1"/>
  <c r="Q378" i="14" s="1"/>
  <c r="B410" i="20"/>
  <c r="A411" i="14" s="1"/>
  <c r="Q411" i="14" s="1"/>
  <c r="B411" i="20"/>
  <c r="A412" i="14" s="1"/>
  <c r="Q412" i="14" s="1"/>
  <c r="B378" i="20"/>
  <c r="A379" i="14" s="1"/>
  <c r="Q379" i="14" s="1"/>
  <c r="B412" i="20"/>
  <c r="A413" i="14" s="1"/>
  <c r="Q413" i="14" s="1"/>
  <c r="B379" i="20"/>
  <c r="A380" i="14" s="1"/>
  <c r="Q380" i="14" s="1"/>
  <c r="B380" i="20"/>
  <c r="A381" i="14" s="1"/>
  <c r="Q381" i="14" s="1"/>
  <c r="B25" i="20"/>
  <c r="A26" i="14" s="1"/>
  <c r="Q26" i="14" s="1"/>
  <c r="B26" i="20"/>
  <c r="A27" i="14" s="1"/>
  <c r="Q27" i="14" s="1"/>
  <c r="B27" i="20"/>
  <c r="A28" i="14" s="1"/>
  <c r="Q28" i="14" s="1"/>
  <c r="B28" i="20"/>
  <c r="A29" i="14" s="1"/>
  <c r="Q29" i="14" s="1"/>
  <c r="B29" i="20"/>
  <c r="A30" i="14" s="1"/>
  <c r="Q30" i="14" s="1"/>
  <c r="B30" i="20"/>
  <c r="A31" i="14" s="1"/>
  <c r="Q31" i="14" s="1"/>
  <c r="B156" i="20"/>
  <c r="A157" i="14" s="1"/>
  <c r="Q157" i="14" s="1"/>
  <c r="B302" i="20"/>
  <c r="A303" i="14" s="1"/>
  <c r="Q303" i="14" s="1"/>
  <c r="B381" i="20"/>
  <c r="A382" i="14" s="1"/>
  <c r="Q382" i="14" s="1"/>
  <c r="B382" i="20"/>
  <c r="A383" i="14" s="1"/>
  <c r="Q383" i="14" s="1"/>
  <c r="B303" i="20"/>
  <c r="A304" i="14" s="1"/>
  <c r="Q304" i="14" s="1"/>
  <c r="B383" i="20"/>
  <c r="A384" i="14" s="1"/>
  <c r="Q384" i="14" s="1"/>
  <c r="B384" i="20"/>
  <c r="A385" i="14" s="1"/>
  <c r="Q385" i="14" s="1"/>
  <c r="B385" i="20"/>
  <c r="A386" i="14" s="1"/>
  <c r="Q386" i="14" s="1"/>
  <c r="B304" i="20"/>
  <c r="B157" i="20"/>
  <c r="A158" i="14" s="1"/>
  <c r="Q158" i="14" s="1"/>
  <c r="B305" i="20"/>
  <c r="A306" i="14" s="1"/>
  <c r="Q306" i="14" s="1"/>
  <c r="B306" i="20"/>
  <c r="A307" i="14" s="1"/>
  <c r="Q307" i="14" s="1"/>
  <c r="B307" i="20"/>
  <c r="B386" i="20"/>
  <c r="A387" i="14" s="1"/>
  <c r="Q387" i="14" s="1"/>
  <c r="B31" i="20"/>
  <c r="A32" i="14" s="1"/>
  <c r="Q32" i="14" s="1"/>
  <c r="B32" i="20"/>
  <c r="A33" i="14" s="1"/>
  <c r="Q33" i="14" s="1"/>
  <c r="B33" i="20"/>
  <c r="A34" i="14" s="1"/>
  <c r="Q34" i="14" s="1"/>
  <c r="B158" i="20"/>
  <c r="B159" i="20"/>
  <c r="A160" i="14" s="1"/>
  <c r="Q160" i="14" s="1"/>
  <c r="B308" i="20"/>
  <c r="A309" i="14" s="1"/>
  <c r="Q309" i="14" s="1"/>
  <c r="B309" i="20"/>
  <c r="B34" i="20"/>
  <c r="A35" i="14" s="1"/>
  <c r="Q35" i="14" s="1"/>
  <c r="B35" i="20"/>
  <c r="A36" i="14" s="1"/>
  <c r="Q36" i="14" s="1"/>
  <c r="B36" i="20"/>
  <c r="A37" i="14" s="1"/>
  <c r="Q37" i="14" s="1"/>
  <c r="B37" i="20"/>
  <c r="A38" i="14" s="1"/>
  <c r="Q38" i="14" s="1"/>
  <c r="B38" i="20"/>
  <c r="A39" i="14" s="1"/>
  <c r="Q39" i="14" s="1"/>
  <c r="B160" i="20"/>
  <c r="A161" i="14" s="1"/>
  <c r="Q161" i="14" s="1"/>
  <c r="B161" i="20"/>
  <c r="A162" i="14" s="1"/>
  <c r="Q162" i="14" s="1"/>
  <c r="B39" i="20"/>
  <c r="A40" i="14" s="1"/>
  <c r="Q40" i="14" s="1"/>
  <c r="B162" i="20"/>
  <c r="A163" i="14" s="1"/>
  <c r="Q163" i="14" s="1"/>
  <c r="B310" i="20"/>
  <c r="A311" i="14" s="1"/>
  <c r="Q311" i="14" s="1"/>
  <c r="B311" i="20"/>
  <c r="A312" i="14" s="1"/>
  <c r="Q312" i="14" s="1"/>
  <c r="B163" i="20"/>
  <c r="A164" i="14" s="1"/>
  <c r="Q164" i="14" s="1"/>
  <c r="B312" i="20"/>
  <c r="A313" i="14" s="1"/>
  <c r="Q313" i="14" s="1"/>
  <c r="B313" i="20"/>
  <c r="A314" i="14" s="1"/>
  <c r="Q314" i="14" s="1"/>
  <c r="B164" i="20"/>
  <c r="A165" i="14" s="1"/>
  <c r="Q165" i="14" s="1"/>
  <c r="B40" i="20"/>
  <c r="A41" i="14" s="1"/>
  <c r="Q41" i="14" s="1"/>
  <c r="B165" i="20"/>
  <c r="A166" i="14" s="1"/>
  <c r="Q166" i="14" s="1"/>
  <c r="B314" i="20"/>
  <c r="A315" i="14" s="1"/>
  <c r="Q315" i="14" s="1"/>
  <c r="B315" i="20"/>
  <c r="A316" i="14" s="1"/>
  <c r="Q316" i="14" s="1"/>
  <c r="B166" i="20"/>
  <c r="A167" i="14" s="1"/>
  <c r="Q167" i="14" s="1"/>
  <c r="B316" i="20"/>
  <c r="A317" i="14" s="1"/>
  <c r="Q317" i="14" s="1"/>
  <c r="B317" i="20"/>
  <c r="A318" i="14" s="1"/>
  <c r="Q318" i="14" s="1"/>
  <c r="B318" i="20"/>
  <c r="A319" i="14" s="1"/>
  <c r="Q319" i="14" s="1"/>
  <c r="B41" i="20"/>
  <c r="A42" i="14" s="1"/>
  <c r="Q42" i="14" s="1"/>
  <c r="B167" i="20"/>
  <c r="A168" i="14" s="1"/>
  <c r="Q168" i="14" s="1"/>
  <c r="B168" i="20"/>
  <c r="A169" i="14" s="1"/>
  <c r="Q169" i="14" s="1"/>
  <c r="B169" i="20"/>
  <c r="A170" i="14" s="1"/>
  <c r="Q170" i="14" s="1"/>
  <c r="B319" i="20"/>
  <c r="A320" i="14" s="1"/>
  <c r="Q320" i="14" s="1"/>
  <c r="B170" i="20"/>
  <c r="B42" i="20"/>
  <c r="A43" i="14" s="1"/>
  <c r="Q43" i="14" s="1"/>
  <c r="B171" i="20"/>
  <c r="A172" i="14" s="1"/>
  <c r="Q172" i="14" s="1"/>
  <c r="B172" i="20"/>
  <c r="A173" i="14" s="1"/>
  <c r="Q173" i="14" s="1"/>
  <c r="B173" i="20"/>
  <c r="A174" i="14" s="1"/>
  <c r="Q174" i="14" s="1"/>
  <c r="B320" i="20"/>
  <c r="A321" i="14" s="1"/>
  <c r="Q321" i="14" s="1"/>
  <c r="B321" i="20"/>
  <c r="A322" i="14" s="1"/>
  <c r="Q322" i="14" s="1"/>
  <c r="B322" i="20"/>
  <c r="B43" i="20"/>
  <c r="A44" i="14" s="1"/>
  <c r="Q44" i="14" s="1"/>
  <c r="B44" i="20"/>
  <c r="A45" i="14" s="1"/>
  <c r="Q45" i="14" s="1"/>
  <c r="B45" i="20"/>
  <c r="A46" i="14" s="1"/>
  <c r="Q46" i="14" s="1"/>
  <c r="B174" i="20"/>
  <c r="A175" i="14" s="1"/>
  <c r="Q175" i="14" s="1"/>
  <c r="B323" i="20"/>
  <c r="A324" i="14" s="1"/>
  <c r="Q324" i="14" s="1"/>
  <c r="B324" i="20"/>
  <c r="A325" i="14" s="1"/>
  <c r="Q325" i="14" s="1"/>
  <c r="B175" i="20"/>
  <c r="A176" i="14" s="1"/>
  <c r="Q176" i="14" s="1"/>
  <c r="B325" i="20"/>
  <c r="A326" i="14" s="1"/>
  <c r="Q326" i="14" s="1"/>
  <c r="B326" i="20"/>
  <c r="B176" i="20"/>
  <c r="A177" i="14" s="1"/>
  <c r="Q177" i="14" s="1"/>
  <c r="B46" i="20"/>
  <c r="A47" i="14" s="1"/>
  <c r="Q47" i="14" s="1"/>
  <c r="B177" i="20"/>
  <c r="A178" i="14" s="1"/>
  <c r="Q178" i="14" s="1"/>
  <c r="B178" i="20"/>
  <c r="A179" i="14" s="1"/>
  <c r="Q179" i="14" s="1"/>
  <c r="B179" i="20"/>
  <c r="A180" i="14" s="1"/>
  <c r="Q180" i="14" s="1"/>
  <c r="B327" i="20"/>
  <c r="B180" i="20"/>
  <c r="B47" i="20"/>
  <c r="A48" i="14" s="1"/>
  <c r="Q48" i="14" s="1"/>
  <c r="B181" i="20"/>
  <c r="A182" i="14" s="1"/>
  <c r="Q182" i="14" s="1"/>
  <c r="B182" i="20"/>
  <c r="B48" i="20"/>
  <c r="A49" i="14" s="1"/>
  <c r="Q49" i="14" s="1"/>
  <c r="B183" i="20"/>
  <c r="A184" i="14" s="1"/>
  <c r="Q184" i="14" s="1"/>
  <c r="B184" i="20"/>
  <c r="A185" i="14" s="1"/>
  <c r="Q185" i="14" s="1"/>
  <c r="B49" i="20"/>
  <c r="A50" i="14" s="1"/>
  <c r="Q50" i="14" s="1"/>
  <c r="B185" i="20"/>
  <c r="B328" i="20"/>
  <c r="A329" i="14" s="1"/>
  <c r="Q329" i="14" s="1"/>
  <c r="B329" i="20"/>
  <c r="A330" i="14" s="1"/>
  <c r="Q330" i="14" s="1"/>
  <c r="B330" i="20"/>
  <c r="A331" i="14" s="1"/>
  <c r="Q331" i="14" s="1"/>
  <c r="B186" i="20"/>
  <c r="A187" i="14" s="1"/>
  <c r="Q187" i="14" s="1"/>
  <c r="B187" i="20"/>
  <c r="A188" i="14" s="1"/>
  <c r="Q188" i="14" s="1"/>
  <c r="B331" i="20"/>
  <c r="A332" i="14" s="1"/>
  <c r="Q332" i="14" s="1"/>
  <c r="B332" i="20"/>
  <c r="A333" i="14" s="1"/>
  <c r="Q333" i="14" s="1"/>
  <c r="B333" i="20"/>
  <c r="A334" i="14" s="1"/>
  <c r="Q334" i="14" s="1"/>
  <c r="B188" i="20"/>
  <c r="A189" i="14" s="1"/>
  <c r="Q189" i="14" s="1"/>
  <c r="B334" i="20"/>
  <c r="A335" i="14" s="1"/>
  <c r="Q335" i="14" s="1"/>
  <c r="B335" i="20"/>
  <c r="A336" i="14" s="1"/>
  <c r="Q336" i="14" s="1"/>
  <c r="B50" i="20"/>
  <c r="A51" i="14" s="1"/>
  <c r="Q51" i="14" s="1"/>
  <c r="B189" i="20"/>
  <c r="A190" i="14" s="1"/>
  <c r="Q190" i="14" s="1"/>
  <c r="B190" i="20"/>
  <c r="A191" i="14" s="1"/>
  <c r="Q191" i="14" s="1"/>
  <c r="B51" i="20"/>
  <c r="A52" i="14" s="1"/>
  <c r="Q52" i="14" s="1"/>
  <c r="B52" i="20"/>
  <c r="A53" i="14" s="1"/>
  <c r="Q53" i="14" s="1"/>
  <c r="B191" i="20"/>
  <c r="A192" i="14" s="1"/>
  <c r="Q192" i="14" s="1"/>
  <c r="B192" i="20"/>
  <c r="A193" i="14" s="1"/>
  <c r="Q193" i="14" s="1"/>
  <c r="B53" i="20"/>
  <c r="A54" i="14" s="1"/>
  <c r="Q54" i="14" s="1"/>
  <c r="B193" i="20"/>
  <c r="A194" i="14" s="1"/>
  <c r="Q194" i="14" s="1"/>
  <c r="B194" i="20"/>
  <c r="A195" i="14" s="1"/>
  <c r="Q195" i="14" s="1"/>
  <c r="B54" i="20"/>
  <c r="A55" i="14" s="1"/>
  <c r="Q55" i="14" s="1"/>
  <c r="B195" i="20"/>
  <c r="A196" i="14" s="1"/>
  <c r="Q196" i="14" s="1"/>
  <c r="B196" i="20"/>
  <c r="A197" i="14" s="1"/>
  <c r="Q197" i="14" s="1"/>
  <c r="B197" i="20"/>
  <c r="A198" i="14" s="1"/>
  <c r="Q198" i="14" s="1"/>
  <c r="B55" i="20"/>
  <c r="A56" i="14" s="1"/>
  <c r="Q56" i="14" s="1"/>
  <c r="B198" i="20"/>
  <c r="A199" i="14" s="1"/>
  <c r="Q199" i="14" s="1"/>
  <c r="B199" i="20"/>
  <c r="A200" i="14" s="1"/>
  <c r="Q200" i="14" s="1"/>
  <c r="B200" i="20"/>
  <c r="A201" i="14" s="1"/>
  <c r="Q201" i="14" s="1"/>
  <c r="B201" i="20"/>
  <c r="A202" i="14" s="1"/>
  <c r="Q202" i="14" s="1"/>
  <c r="B56" i="20"/>
  <c r="A57" i="14" s="1"/>
  <c r="Q57" i="14" s="1"/>
  <c r="B202" i="20"/>
  <c r="A203" i="14" s="1"/>
  <c r="Q203" i="14" s="1"/>
  <c r="B340" i="20"/>
  <c r="A341" i="14" s="1"/>
  <c r="Q341" i="14" s="1"/>
  <c r="B203" i="20"/>
  <c r="A204" i="14" s="1"/>
  <c r="Q204" i="14" s="1"/>
  <c r="B204" i="20"/>
  <c r="A205" i="14" s="1"/>
  <c r="Q205" i="14" s="1"/>
  <c r="B205" i="20"/>
  <c r="B57" i="20"/>
  <c r="A58" i="14" s="1"/>
  <c r="Q58" i="14" s="1"/>
  <c r="B58" i="20"/>
  <c r="A59" i="14" s="1"/>
  <c r="Q59" i="14" s="1"/>
  <c r="B206" i="20"/>
  <c r="A207" i="14" s="1"/>
  <c r="Q207" i="14" s="1"/>
  <c r="B207" i="20"/>
  <c r="A208" i="14" s="1"/>
  <c r="Q208" i="14" s="1"/>
  <c r="B59" i="20"/>
  <c r="A60" i="14" s="1"/>
  <c r="Q60" i="14" s="1"/>
  <c r="B60" i="20"/>
  <c r="A61" i="14" s="1"/>
  <c r="Q61" i="14" s="1"/>
  <c r="B208" i="20"/>
  <c r="A209" i="14" s="1"/>
  <c r="Q209" i="14" s="1"/>
  <c r="B209" i="20"/>
  <c r="A210" i="14" s="1"/>
  <c r="Q210" i="14" s="1"/>
  <c r="B210" i="20"/>
  <c r="A211" i="14" s="1"/>
  <c r="Q211" i="14" s="1"/>
  <c r="B61" i="20"/>
  <c r="A62" i="14" s="1"/>
  <c r="Q62" i="14" s="1"/>
  <c r="B211" i="20"/>
  <c r="A212" i="14" s="1"/>
  <c r="Q212" i="14" s="1"/>
  <c r="B212" i="20"/>
  <c r="B62" i="20"/>
  <c r="A63" i="14" s="1"/>
  <c r="Q63" i="14" s="1"/>
  <c r="B63" i="20"/>
  <c r="A64" i="14" s="1"/>
  <c r="Q64" i="14" s="1"/>
  <c r="B64" i="20"/>
  <c r="A65" i="14" s="1"/>
  <c r="Q65" i="14" s="1"/>
  <c r="B65" i="20"/>
  <c r="A66" i="14" s="1"/>
  <c r="Q66" i="14" s="1"/>
  <c r="B213" i="20"/>
  <c r="A214" i="14" s="1"/>
  <c r="Q214" i="14" s="1"/>
  <c r="B214" i="20"/>
  <c r="A215" i="14" s="1"/>
  <c r="Q215" i="14" s="1"/>
  <c r="B364" i="20"/>
  <c r="A365" i="14" s="1"/>
  <c r="Q365" i="14" s="1"/>
  <c r="B365" i="20"/>
  <c r="A366" i="14" s="1"/>
  <c r="Q366" i="14" s="1"/>
  <c r="B366" i="20"/>
  <c r="A367" i="14" s="1"/>
  <c r="Q367" i="14" s="1"/>
  <c r="B3" i="20"/>
  <c r="B145" i="20"/>
  <c r="A146" i="14" s="1"/>
  <c r="Q146" i="14" s="1"/>
  <c r="B293" i="20"/>
  <c r="A294" i="14" s="1"/>
  <c r="Q294" i="14" s="1"/>
  <c r="B361" i="20"/>
  <c r="A362" i="14" s="1"/>
  <c r="Q362" i="14" s="1"/>
  <c r="B4" i="20"/>
  <c r="A5" i="14" s="1"/>
  <c r="Q5" i="14" s="1"/>
  <c r="B5" i="20"/>
  <c r="A6" i="14" s="1"/>
  <c r="Q6" i="14" s="1"/>
  <c r="B146" i="20"/>
  <c r="A147" i="14" s="1"/>
  <c r="Q147" i="14" s="1"/>
  <c r="B294" i="20"/>
  <c r="A295" i="14" s="1"/>
  <c r="Q295" i="14" s="1"/>
  <c r="B295" i="20"/>
  <c r="A296" i="14" s="1"/>
  <c r="Q296" i="14" s="1"/>
  <c r="B362" i="20"/>
  <c r="A363" i="14" s="1"/>
  <c r="Q363" i="14" s="1"/>
  <c r="B387" i="20"/>
  <c r="A388" i="14" s="1"/>
  <c r="Q388" i="14" s="1"/>
  <c r="B388" i="20"/>
  <c r="A389" i="14" s="1"/>
  <c r="Q389" i="14" s="1"/>
  <c r="B363" i="20"/>
  <c r="A364" i="14" s="1"/>
  <c r="Q364" i="14" s="1"/>
  <c r="B389" i="20"/>
  <c r="A390" i="14" s="1"/>
  <c r="Q390" i="14" s="1"/>
  <c r="L144" i="20"/>
  <c r="K145" i="14" s="1"/>
  <c r="J144" i="20"/>
  <c r="I145" i="14" s="1"/>
  <c r="L142" i="20"/>
  <c r="K143" i="14" s="1"/>
  <c r="J142" i="20"/>
  <c r="I143" i="14" s="1"/>
  <c r="L141" i="20"/>
  <c r="K142" i="14" s="1"/>
  <c r="J141" i="20"/>
  <c r="I142" i="14" s="1"/>
  <c r="L140" i="20"/>
  <c r="K141" i="14" s="1"/>
  <c r="J140" i="20"/>
  <c r="I141" i="14" s="1"/>
  <c r="L139" i="20"/>
  <c r="K140" i="14" s="1"/>
  <c r="J139" i="20"/>
  <c r="I140" i="14" s="1"/>
  <c r="L138" i="20"/>
  <c r="K139" i="14" s="1"/>
  <c r="J138" i="20"/>
  <c r="I139" i="14" s="1"/>
  <c r="L137" i="20"/>
  <c r="K138" i="14" s="1"/>
  <c r="J137" i="20"/>
  <c r="I138" i="14" s="1"/>
  <c r="L134" i="20"/>
  <c r="K135" i="14" s="1"/>
  <c r="J134" i="20"/>
  <c r="I135" i="14" s="1"/>
  <c r="L133" i="20"/>
  <c r="K134" i="14" s="1"/>
  <c r="J133" i="20"/>
  <c r="I134" i="14" s="1"/>
  <c r="L132" i="20"/>
  <c r="K133" i="14" s="1"/>
  <c r="J132" i="20"/>
  <c r="I133" i="14" s="1"/>
  <c r="L131" i="20"/>
  <c r="K132" i="14" s="1"/>
  <c r="J131" i="20"/>
  <c r="I132" i="14" s="1"/>
  <c r="L130" i="20"/>
  <c r="K131" i="14" s="1"/>
  <c r="J130" i="20"/>
  <c r="I131" i="14" s="1"/>
  <c r="L129" i="20"/>
  <c r="K130" i="14" s="1"/>
  <c r="J129" i="20"/>
  <c r="I130" i="14" s="1"/>
  <c r="L128" i="20"/>
  <c r="K129" i="14" s="1"/>
  <c r="J128" i="20"/>
  <c r="I129" i="14" s="1"/>
  <c r="L127" i="20"/>
  <c r="K128" i="14" s="1"/>
  <c r="J127" i="20"/>
  <c r="I128" i="14" s="1"/>
  <c r="L126" i="20"/>
  <c r="K127" i="14" s="1"/>
  <c r="J126" i="20"/>
  <c r="I127" i="14" s="1"/>
  <c r="L125" i="20"/>
  <c r="K126" i="14" s="1"/>
  <c r="J125" i="20"/>
  <c r="I126" i="14" s="1"/>
  <c r="L124" i="20"/>
  <c r="K125" i="14" s="1"/>
  <c r="J124" i="20"/>
  <c r="I125" i="14" s="1"/>
  <c r="L123" i="20"/>
  <c r="K124" i="14" s="1"/>
  <c r="J123" i="20"/>
  <c r="I124" i="14" s="1"/>
  <c r="L122" i="20"/>
  <c r="K123" i="14" s="1"/>
  <c r="J122" i="20"/>
  <c r="I123" i="14" s="1"/>
  <c r="L292" i="20"/>
  <c r="K293" i="14" s="1"/>
  <c r="J292" i="20"/>
  <c r="I293" i="14" s="1"/>
  <c r="U121" i="20"/>
  <c r="Q121" i="20"/>
  <c r="L121" i="20"/>
  <c r="K122" i="14" s="1"/>
  <c r="J121" i="20"/>
  <c r="I122" i="14" s="1"/>
  <c r="U120" i="20"/>
  <c r="Q120" i="20"/>
  <c r="L120" i="20"/>
  <c r="K121" i="14" s="1"/>
  <c r="J120" i="20"/>
  <c r="I121" i="14" s="1"/>
  <c r="U119" i="20"/>
  <c r="Q119" i="20"/>
  <c r="L119" i="20"/>
  <c r="K120" i="14" s="1"/>
  <c r="J119" i="20"/>
  <c r="I120" i="14" s="1"/>
  <c r="U118" i="20"/>
  <c r="Q118" i="20"/>
  <c r="L118" i="20"/>
  <c r="K119" i="14" s="1"/>
  <c r="J118" i="20"/>
  <c r="I119" i="14" s="1"/>
  <c r="U117" i="20"/>
  <c r="Q117" i="20"/>
  <c r="L117" i="20"/>
  <c r="K118" i="14" s="1"/>
  <c r="J117" i="20"/>
  <c r="I118" i="14" s="1"/>
  <c r="U116" i="20"/>
  <c r="Q116" i="20"/>
  <c r="L116" i="20"/>
  <c r="K117" i="14" s="1"/>
  <c r="J116" i="20"/>
  <c r="I117" i="14" s="1"/>
  <c r="U115" i="20"/>
  <c r="Q115" i="20"/>
  <c r="L115" i="20"/>
  <c r="K116" i="14" s="1"/>
  <c r="J115" i="20"/>
  <c r="I116" i="14" s="1"/>
  <c r="U114" i="20"/>
  <c r="Q114" i="20"/>
  <c r="L114" i="20"/>
  <c r="K115" i="14" s="1"/>
  <c r="J114" i="20"/>
  <c r="I115" i="14" s="1"/>
  <c r="U113" i="20"/>
  <c r="Q113" i="20"/>
  <c r="L113" i="20"/>
  <c r="K114" i="14" s="1"/>
  <c r="J113" i="20"/>
  <c r="I114" i="14" s="1"/>
  <c r="U112" i="20"/>
  <c r="Q112" i="20"/>
  <c r="L112" i="20"/>
  <c r="K113" i="14" s="1"/>
  <c r="J112" i="20"/>
  <c r="I113" i="14" s="1"/>
  <c r="U111" i="20"/>
  <c r="Q111" i="20"/>
  <c r="L111" i="20"/>
  <c r="K112" i="14" s="1"/>
  <c r="J111" i="20"/>
  <c r="I112" i="14" s="1"/>
  <c r="U110" i="20"/>
  <c r="Q110" i="20"/>
  <c r="L110" i="20"/>
  <c r="K111" i="14" s="1"/>
  <c r="J110" i="20"/>
  <c r="I111" i="14" s="1"/>
  <c r="U109" i="20"/>
  <c r="Q109" i="20"/>
  <c r="L109" i="20"/>
  <c r="K110" i="14" s="1"/>
  <c r="J109" i="20"/>
  <c r="I110" i="14" s="1"/>
  <c r="U108" i="20"/>
  <c r="Q108" i="20"/>
  <c r="L108" i="20"/>
  <c r="K109" i="14" s="1"/>
  <c r="J108" i="20"/>
  <c r="I109" i="14" s="1"/>
  <c r="U107" i="20"/>
  <c r="Q107" i="20"/>
  <c r="L107" i="20"/>
  <c r="K108" i="14" s="1"/>
  <c r="J107" i="20"/>
  <c r="I108" i="14" s="1"/>
  <c r="U106" i="20"/>
  <c r="Q106" i="20"/>
  <c r="L106" i="20"/>
  <c r="K107" i="14" s="1"/>
  <c r="J106" i="20"/>
  <c r="I107" i="14" s="1"/>
  <c r="U105" i="20"/>
  <c r="Q105" i="20"/>
  <c r="L105" i="20"/>
  <c r="K106" i="14" s="1"/>
  <c r="J105" i="20"/>
  <c r="I106" i="14" s="1"/>
  <c r="U104" i="20"/>
  <c r="Q104" i="20"/>
  <c r="L104" i="20"/>
  <c r="K105" i="14" s="1"/>
  <c r="J104" i="20"/>
  <c r="I105" i="14" s="1"/>
  <c r="U103" i="20"/>
  <c r="Q103" i="20"/>
  <c r="L103" i="20"/>
  <c r="K104" i="14" s="1"/>
  <c r="J103" i="20"/>
  <c r="I104" i="14" s="1"/>
  <c r="U102" i="20"/>
  <c r="Q102" i="20"/>
  <c r="L102" i="20"/>
  <c r="K103" i="14" s="1"/>
  <c r="J102" i="20"/>
  <c r="I103" i="14" s="1"/>
  <c r="U286" i="20"/>
  <c r="Q286" i="20"/>
  <c r="L286" i="20"/>
  <c r="J286" i="20"/>
  <c r="I287" i="14" s="1"/>
  <c r="U285" i="20"/>
  <c r="Q285" i="20"/>
  <c r="L285" i="20"/>
  <c r="K286" i="14" s="1"/>
  <c r="J285" i="20"/>
  <c r="I286" i="14" s="1"/>
  <c r="U284" i="20"/>
  <c r="Q284" i="20"/>
  <c r="L284" i="20"/>
  <c r="K285" i="14" s="1"/>
  <c r="J284" i="20"/>
  <c r="I285" i="14" s="1"/>
  <c r="U101" i="20"/>
  <c r="Q101" i="20"/>
  <c r="L101" i="20"/>
  <c r="K102" i="14" s="1"/>
  <c r="J101" i="20"/>
  <c r="I102" i="14" s="1"/>
  <c r="U283" i="20"/>
  <c r="Q283" i="20"/>
  <c r="L283" i="20"/>
  <c r="K284" i="14" s="1"/>
  <c r="J283" i="20"/>
  <c r="I284" i="14" s="1"/>
  <c r="U282" i="20"/>
  <c r="Q282" i="20"/>
  <c r="L282" i="20"/>
  <c r="K283" i="14" s="1"/>
  <c r="J282" i="20"/>
  <c r="I283" i="14" s="1"/>
  <c r="U281" i="20"/>
  <c r="Q281" i="20"/>
  <c r="L281" i="20"/>
  <c r="K282" i="14" s="1"/>
  <c r="J281" i="20"/>
  <c r="I282" i="14" s="1"/>
  <c r="U100" i="20"/>
  <c r="Q100" i="20"/>
  <c r="L100" i="20"/>
  <c r="K101" i="14" s="1"/>
  <c r="J100" i="20"/>
  <c r="I101" i="14" s="1"/>
  <c r="U99" i="20"/>
  <c r="Q99" i="20"/>
  <c r="L99" i="20"/>
  <c r="K100" i="14" s="1"/>
  <c r="J99" i="20"/>
  <c r="I100" i="14" s="1"/>
  <c r="U98" i="20"/>
  <c r="Q98" i="20"/>
  <c r="L98" i="20"/>
  <c r="K99" i="14" s="1"/>
  <c r="J98" i="20"/>
  <c r="I99" i="14" s="1"/>
  <c r="U97" i="20"/>
  <c r="Q97" i="20"/>
  <c r="L97" i="20"/>
  <c r="K98" i="14" s="1"/>
  <c r="J97" i="20"/>
  <c r="I98" i="14" s="1"/>
  <c r="U96" i="20"/>
  <c r="Q96" i="20"/>
  <c r="L96" i="20"/>
  <c r="K97" i="14" s="1"/>
  <c r="J96" i="20"/>
  <c r="I97" i="14" s="1"/>
  <c r="U279" i="20"/>
  <c r="Q279" i="20"/>
  <c r="L279" i="20"/>
  <c r="K280" i="14" s="1"/>
  <c r="J279" i="20"/>
  <c r="I280" i="14" s="1"/>
  <c r="U95" i="20"/>
  <c r="Q95" i="20"/>
  <c r="L95" i="20"/>
  <c r="K96" i="14" s="1"/>
  <c r="J95" i="20"/>
  <c r="I96" i="14" s="1"/>
  <c r="U94" i="20"/>
  <c r="Q94" i="20"/>
  <c r="L94" i="20"/>
  <c r="K95" i="14" s="1"/>
  <c r="J94" i="20"/>
  <c r="I95" i="14" s="1"/>
  <c r="U93" i="20"/>
  <c r="Q93" i="20"/>
  <c r="L93" i="20"/>
  <c r="K94" i="14" s="1"/>
  <c r="J93" i="20"/>
  <c r="I94" i="14" s="1"/>
  <c r="U277" i="20"/>
  <c r="Q277" i="20"/>
  <c r="L277" i="20"/>
  <c r="K278" i="14" s="1"/>
  <c r="J277" i="20"/>
  <c r="I278" i="14" s="1"/>
  <c r="U276" i="20"/>
  <c r="Q276" i="20"/>
  <c r="L276" i="20"/>
  <c r="K277" i="14" s="1"/>
  <c r="U275" i="20"/>
  <c r="Q275" i="20"/>
  <c r="L275" i="20"/>
  <c r="K276" i="14" s="1"/>
  <c r="U92" i="20"/>
  <c r="Q92" i="20"/>
  <c r="L92" i="20"/>
  <c r="K93" i="14" s="1"/>
  <c r="J92" i="20"/>
  <c r="I93" i="14" s="1"/>
  <c r="U91" i="20"/>
  <c r="Q91" i="20"/>
  <c r="L91" i="20"/>
  <c r="K92" i="14" s="1"/>
  <c r="J91" i="20"/>
  <c r="I92" i="14" s="1"/>
  <c r="U90" i="20"/>
  <c r="Q90" i="20"/>
  <c r="L90" i="20"/>
  <c r="K91" i="14" s="1"/>
  <c r="J90" i="20"/>
  <c r="I91" i="14" s="1"/>
  <c r="U89" i="20"/>
  <c r="Q89" i="20"/>
  <c r="L89" i="20"/>
  <c r="K90" i="14" s="1"/>
  <c r="J89" i="20"/>
  <c r="I90" i="14" s="1"/>
  <c r="U270" i="20"/>
  <c r="Q270" i="20"/>
  <c r="L270" i="20"/>
  <c r="K271" i="14" s="1"/>
  <c r="J270" i="20"/>
  <c r="I271" i="14" s="1"/>
  <c r="U88" i="20"/>
  <c r="Q88" i="20"/>
  <c r="L88" i="20"/>
  <c r="K89" i="14" s="1"/>
  <c r="J88" i="20"/>
  <c r="I89" i="14" s="1"/>
  <c r="U269" i="20"/>
  <c r="Q269" i="20"/>
  <c r="L269" i="20"/>
  <c r="K270" i="14" s="1"/>
  <c r="J269" i="20"/>
  <c r="I270" i="14" s="1"/>
  <c r="U268" i="20"/>
  <c r="Q268" i="20"/>
  <c r="L268" i="20"/>
  <c r="K269" i="14" s="1"/>
  <c r="J268" i="20"/>
  <c r="I269" i="14" s="1"/>
  <c r="U87" i="20"/>
  <c r="Q87" i="20"/>
  <c r="L87" i="20"/>
  <c r="K88" i="14" s="1"/>
  <c r="J87" i="20"/>
  <c r="I88" i="14" s="1"/>
  <c r="U267" i="20"/>
  <c r="Q267" i="20"/>
  <c r="L267" i="20"/>
  <c r="K268" i="14" s="1"/>
  <c r="J267" i="20"/>
  <c r="I268" i="14" s="1"/>
  <c r="U266" i="20"/>
  <c r="Q266" i="20"/>
  <c r="L266" i="20"/>
  <c r="K267" i="14" s="1"/>
  <c r="J266" i="20"/>
  <c r="I267" i="14" s="1"/>
  <c r="U86" i="20"/>
  <c r="Q86" i="20"/>
  <c r="L86" i="20"/>
  <c r="K87" i="14" s="1"/>
  <c r="J86" i="20"/>
  <c r="I87" i="14" s="1"/>
  <c r="U85" i="20"/>
  <c r="Q85" i="20"/>
  <c r="L85" i="20"/>
  <c r="K86" i="14" s="1"/>
  <c r="J85" i="20"/>
  <c r="I86" i="14" s="1"/>
  <c r="U265" i="20"/>
  <c r="Q265" i="20"/>
  <c r="L265" i="20"/>
  <c r="K266" i="14" s="1"/>
  <c r="J265" i="20"/>
  <c r="I266" i="14" s="1"/>
  <c r="U264" i="20"/>
  <c r="Q264" i="20"/>
  <c r="L264" i="20"/>
  <c r="K265" i="14" s="1"/>
  <c r="U84" i="20"/>
  <c r="Q84" i="20"/>
  <c r="L84" i="20"/>
  <c r="K85" i="14" s="1"/>
  <c r="J84" i="20"/>
  <c r="I85" i="14" s="1"/>
  <c r="U262" i="20"/>
  <c r="Q262" i="20"/>
  <c r="L262" i="20"/>
  <c r="K263" i="14" s="1"/>
  <c r="J262" i="20"/>
  <c r="I263" i="14" s="1"/>
  <c r="U261" i="20"/>
  <c r="Q261" i="20"/>
  <c r="L261" i="20"/>
  <c r="K262" i="14" s="1"/>
  <c r="J261" i="20"/>
  <c r="I262" i="14" s="1"/>
  <c r="U260" i="20"/>
  <c r="Q260" i="20"/>
  <c r="L260" i="20"/>
  <c r="K261" i="14" s="1"/>
  <c r="J260" i="20"/>
  <c r="I261" i="14" s="1"/>
  <c r="U83" i="20"/>
  <c r="Q83" i="20"/>
  <c r="L83" i="20"/>
  <c r="K84" i="14" s="1"/>
  <c r="J83" i="20"/>
  <c r="I84" i="14" s="1"/>
  <c r="U259" i="20"/>
  <c r="Q259" i="20"/>
  <c r="L259" i="20"/>
  <c r="K260" i="14" s="1"/>
  <c r="J259" i="20"/>
  <c r="I260" i="14" s="1"/>
  <c r="U258" i="20"/>
  <c r="Q258" i="20"/>
  <c r="L258" i="20"/>
  <c r="K259" i="14" s="1"/>
  <c r="J258" i="20"/>
  <c r="I259" i="14" s="1"/>
  <c r="U257" i="20"/>
  <c r="Q257" i="20"/>
  <c r="L257" i="20"/>
  <c r="K258" i="14" s="1"/>
  <c r="J257" i="20"/>
  <c r="I258" i="14" s="1"/>
  <c r="U82" i="20"/>
  <c r="Q82" i="20"/>
  <c r="L82" i="20"/>
  <c r="K83" i="14" s="1"/>
  <c r="J82" i="20"/>
  <c r="I83" i="14" s="1"/>
  <c r="U256" i="20"/>
  <c r="Q256" i="20"/>
  <c r="L256" i="20"/>
  <c r="K257" i="14" s="1"/>
  <c r="J256" i="20"/>
  <c r="I257" i="14" s="1"/>
  <c r="U255" i="20"/>
  <c r="Q255" i="20"/>
  <c r="L255" i="20"/>
  <c r="K256" i="14" s="1"/>
  <c r="J255" i="20"/>
  <c r="I256" i="14" s="1"/>
  <c r="U254" i="20"/>
  <c r="Q254" i="20"/>
  <c r="L254" i="20"/>
  <c r="K255" i="14" s="1"/>
  <c r="J254" i="20"/>
  <c r="I255" i="14" s="1"/>
  <c r="U253" i="20"/>
  <c r="Q253" i="20"/>
  <c r="L253" i="20"/>
  <c r="K254" i="14" s="1"/>
  <c r="J253" i="20"/>
  <c r="I254" i="14" s="1"/>
  <c r="U81" i="20"/>
  <c r="Q81" i="20"/>
  <c r="L81" i="20"/>
  <c r="K82" i="14" s="1"/>
  <c r="J81" i="20"/>
  <c r="I82" i="14" s="1"/>
  <c r="U252" i="20"/>
  <c r="Q252" i="20"/>
  <c r="L252" i="20"/>
  <c r="K253" i="14" s="1"/>
  <c r="J252" i="20"/>
  <c r="I253" i="14" s="1"/>
  <c r="U251" i="20"/>
  <c r="Q251" i="20"/>
  <c r="L251" i="20"/>
  <c r="K252" i="14" s="1"/>
  <c r="J251" i="20"/>
  <c r="I252" i="14" s="1"/>
  <c r="U80" i="20"/>
  <c r="Q80" i="20"/>
  <c r="L80" i="20"/>
  <c r="K81" i="14" s="1"/>
  <c r="J80" i="20"/>
  <c r="I81" i="14" s="1"/>
  <c r="U250" i="20"/>
  <c r="Q250" i="20"/>
  <c r="L250" i="20"/>
  <c r="K251" i="14" s="1"/>
  <c r="J250" i="20"/>
  <c r="I251" i="14" s="1"/>
  <c r="U249" i="20"/>
  <c r="Q249" i="20"/>
  <c r="L249" i="20"/>
  <c r="K250" i="14" s="1"/>
  <c r="J249" i="20"/>
  <c r="I250" i="14" s="1"/>
  <c r="U248" i="20"/>
  <c r="Q248" i="20"/>
  <c r="L248" i="20"/>
  <c r="K249" i="14" s="1"/>
  <c r="J248" i="20"/>
  <c r="I249" i="14" s="1"/>
  <c r="U247" i="20"/>
  <c r="Q247" i="20"/>
  <c r="L247" i="20"/>
  <c r="K248" i="14" s="1"/>
  <c r="J247" i="20"/>
  <c r="I248" i="14" s="1"/>
  <c r="U79" i="20"/>
  <c r="Q79" i="20"/>
  <c r="L79" i="20"/>
  <c r="K80" i="14" s="1"/>
  <c r="J79" i="20"/>
  <c r="I80" i="14" s="1"/>
  <c r="U246" i="20"/>
  <c r="Q246" i="20"/>
  <c r="L246" i="20"/>
  <c r="K247" i="14" s="1"/>
  <c r="J246" i="20"/>
  <c r="I247" i="14" s="1"/>
  <c r="U245" i="20"/>
  <c r="Q245" i="20"/>
  <c r="L245" i="20"/>
  <c r="K246" i="14" s="1"/>
  <c r="J245" i="20"/>
  <c r="I246" i="14" s="1"/>
  <c r="U244" i="20"/>
  <c r="Q244" i="20"/>
  <c r="L244" i="20"/>
  <c r="K245" i="14" s="1"/>
  <c r="J244" i="20"/>
  <c r="I245" i="14" s="1"/>
  <c r="U78" i="20"/>
  <c r="Q78" i="20"/>
  <c r="L78" i="20"/>
  <c r="K79" i="14" s="1"/>
  <c r="J78" i="20"/>
  <c r="I79" i="14" s="1"/>
  <c r="U243" i="20"/>
  <c r="Q243" i="20"/>
  <c r="L243" i="20"/>
  <c r="K244" i="14" s="1"/>
  <c r="J243" i="20"/>
  <c r="I244" i="14" s="1"/>
  <c r="U242" i="20"/>
  <c r="Q242" i="20"/>
  <c r="L242" i="20"/>
  <c r="K243" i="14" s="1"/>
  <c r="J242" i="20"/>
  <c r="I243" i="14" s="1"/>
  <c r="U241" i="20"/>
  <c r="Q241" i="20"/>
  <c r="L241" i="20"/>
  <c r="K242" i="14" s="1"/>
  <c r="J241" i="20"/>
  <c r="I242" i="14" s="1"/>
  <c r="U77" i="20"/>
  <c r="Q77" i="20"/>
  <c r="L77" i="20"/>
  <c r="K78" i="14" s="1"/>
  <c r="J77" i="20"/>
  <c r="I78" i="14" s="1"/>
  <c r="U240" i="20"/>
  <c r="Q240" i="20"/>
  <c r="L240" i="20"/>
  <c r="K241" i="14" s="1"/>
  <c r="J240" i="20"/>
  <c r="I241" i="14" s="1"/>
  <c r="U239" i="20"/>
  <c r="Q239" i="20"/>
  <c r="L239" i="20"/>
  <c r="K240" i="14" s="1"/>
  <c r="J239" i="20"/>
  <c r="I240" i="14" s="1"/>
  <c r="U238" i="20"/>
  <c r="Q238" i="20"/>
  <c r="L238" i="20"/>
  <c r="K239" i="14" s="1"/>
  <c r="J238" i="20"/>
  <c r="I239" i="14" s="1"/>
  <c r="U237" i="20"/>
  <c r="Q237" i="20"/>
  <c r="L237" i="20"/>
  <c r="K238" i="14" s="1"/>
  <c r="J237" i="20"/>
  <c r="I238" i="14" s="1"/>
  <c r="U76" i="20"/>
  <c r="Q76" i="20"/>
  <c r="L76" i="20"/>
  <c r="K77" i="14" s="1"/>
  <c r="J76" i="20"/>
  <c r="I77" i="14" s="1"/>
  <c r="U236" i="20"/>
  <c r="Q236" i="20"/>
  <c r="L236" i="20"/>
  <c r="K237" i="14" s="1"/>
  <c r="J236" i="20"/>
  <c r="I237" i="14" s="1"/>
  <c r="U235" i="20"/>
  <c r="Q235" i="20"/>
  <c r="L235" i="20"/>
  <c r="K236" i="14" s="1"/>
  <c r="J235" i="20"/>
  <c r="I236" i="14" s="1"/>
  <c r="U234" i="20"/>
  <c r="Q234" i="20"/>
  <c r="L234" i="20"/>
  <c r="K235" i="14" s="1"/>
  <c r="J234" i="20"/>
  <c r="I235" i="14" s="1"/>
  <c r="U75" i="20"/>
  <c r="Q75" i="20"/>
  <c r="L75" i="20"/>
  <c r="K76" i="14" s="1"/>
  <c r="J75" i="20"/>
  <c r="I76" i="14" s="1"/>
  <c r="U74" i="20"/>
  <c r="Q74" i="20"/>
  <c r="L74" i="20"/>
  <c r="K75" i="14" s="1"/>
  <c r="J74" i="20"/>
  <c r="I75" i="14" s="1"/>
  <c r="U232" i="20"/>
  <c r="Q232" i="20"/>
  <c r="L232" i="20"/>
  <c r="K233" i="14" s="1"/>
  <c r="J232" i="20"/>
  <c r="I233" i="14" s="1"/>
  <c r="U73" i="20"/>
  <c r="Q73" i="20"/>
  <c r="L73" i="20"/>
  <c r="K74" i="14" s="1"/>
  <c r="J73" i="20"/>
  <c r="I74" i="14" s="1"/>
  <c r="U72" i="20"/>
  <c r="Q72" i="20"/>
  <c r="L72" i="20"/>
  <c r="K73" i="14" s="1"/>
  <c r="J72" i="20"/>
  <c r="I73" i="14" s="1"/>
  <c r="U231" i="20"/>
  <c r="Q231" i="20"/>
  <c r="L231" i="20"/>
  <c r="K232" i="14" s="1"/>
  <c r="J231" i="20"/>
  <c r="U230" i="20"/>
  <c r="Q230" i="20"/>
  <c r="L230" i="20"/>
  <c r="K231" i="14" s="1"/>
  <c r="J230" i="20"/>
  <c r="U71" i="20"/>
  <c r="Q71" i="20"/>
  <c r="L71" i="20"/>
  <c r="K72" i="14" s="1"/>
  <c r="J71" i="20"/>
  <c r="I72" i="14" s="1"/>
  <c r="U229" i="20"/>
  <c r="Q229" i="20"/>
  <c r="L229" i="20"/>
  <c r="K230" i="14" s="1"/>
  <c r="J229" i="20"/>
  <c r="U228" i="20"/>
  <c r="Q228" i="20"/>
  <c r="L228" i="20"/>
  <c r="K229" i="14" s="1"/>
  <c r="J228" i="20"/>
  <c r="U227" i="20"/>
  <c r="Q227" i="20"/>
  <c r="L227" i="20"/>
  <c r="K228" i="14" s="1"/>
  <c r="J227" i="20"/>
  <c r="U70" i="20"/>
  <c r="Q70" i="20"/>
  <c r="L70" i="20"/>
  <c r="K71" i="14" s="1"/>
  <c r="J70" i="20"/>
  <c r="I71" i="14" s="1"/>
  <c r="U226" i="20"/>
  <c r="Q226" i="20"/>
  <c r="L226" i="20"/>
  <c r="K227" i="14" s="1"/>
  <c r="J226" i="20"/>
  <c r="U225" i="20"/>
  <c r="Q225" i="20"/>
  <c r="L225" i="20"/>
  <c r="K226" i="14" s="1"/>
  <c r="J225" i="20"/>
  <c r="U224" i="20"/>
  <c r="Q224" i="20"/>
  <c r="L224" i="20"/>
  <c r="K225" i="14" s="1"/>
  <c r="J224" i="20"/>
  <c r="U69" i="20"/>
  <c r="Q69" i="20"/>
  <c r="L69" i="20"/>
  <c r="K70" i="14" s="1"/>
  <c r="J69" i="20"/>
  <c r="I70" i="14" s="1"/>
  <c r="U223" i="20"/>
  <c r="Q223" i="20"/>
  <c r="L223" i="20"/>
  <c r="K224" i="14" s="1"/>
  <c r="J223" i="20"/>
  <c r="U222" i="20"/>
  <c r="Q222" i="20"/>
  <c r="L222" i="20"/>
  <c r="K223" i="14" s="1"/>
  <c r="J222" i="20"/>
  <c r="U221" i="20"/>
  <c r="Q221" i="20"/>
  <c r="L221" i="20"/>
  <c r="K222" i="14" s="1"/>
  <c r="J221" i="20"/>
  <c r="U68" i="20"/>
  <c r="Q68" i="20"/>
  <c r="L68" i="20"/>
  <c r="K69" i="14" s="1"/>
  <c r="J68" i="20"/>
  <c r="I69" i="14" s="1"/>
  <c r="U220" i="20"/>
  <c r="Q220" i="20"/>
  <c r="L220" i="20"/>
  <c r="K221" i="14" s="1"/>
  <c r="J220" i="20"/>
  <c r="U219" i="20"/>
  <c r="Q219" i="20"/>
  <c r="L219" i="20"/>
  <c r="K220" i="14" s="1"/>
  <c r="J219" i="20"/>
  <c r="U218" i="20"/>
  <c r="Q218" i="20"/>
  <c r="L218" i="20"/>
  <c r="K219" i="14" s="1"/>
  <c r="J218" i="20"/>
  <c r="U67" i="20"/>
  <c r="Q67" i="20"/>
  <c r="L67" i="20"/>
  <c r="K68" i="14" s="1"/>
  <c r="J67" i="20"/>
  <c r="I68" i="14" s="1"/>
  <c r="U217" i="20"/>
  <c r="Q217" i="20"/>
  <c r="L217" i="20"/>
  <c r="K218" i="14" s="1"/>
  <c r="J217" i="20"/>
  <c r="U216" i="20"/>
  <c r="Q216" i="20"/>
  <c r="L216" i="20"/>
  <c r="K217" i="14" s="1"/>
  <c r="J216" i="20"/>
  <c r="U66" i="20"/>
  <c r="Q66" i="20"/>
  <c r="L66" i="20"/>
  <c r="K67" i="14" s="1"/>
  <c r="J66" i="20"/>
  <c r="I67" i="14" s="1"/>
  <c r="U214" i="20"/>
  <c r="Q214" i="20"/>
  <c r="L214" i="20"/>
  <c r="K215" i="14" s="1"/>
  <c r="J214" i="20"/>
  <c r="U213" i="20"/>
  <c r="Q213" i="20"/>
  <c r="L213" i="20"/>
  <c r="K214" i="14" s="1"/>
  <c r="J213" i="20"/>
  <c r="U65" i="20"/>
  <c r="Q65" i="20"/>
  <c r="L65" i="20"/>
  <c r="K66" i="14" s="1"/>
  <c r="J65" i="20"/>
  <c r="I66" i="14" s="1"/>
  <c r="U64" i="20"/>
  <c r="Q64" i="20"/>
  <c r="L64" i="20"/>
  <c r="K65" i="14" s="1"/>
  <c r="J64" i="20"/>
  <c r="I65" i="14" s="1"/>
  <c r="U63" i="20"/>
  <c r="Q63" i="20"/>
  <c r="L63" i="20"/>
  <c r="K64" i="14" s="1"/>
  <c r="J63" i="20"/>
  <c r="I64" i="14" s="1"/>
  <c r="U62" i="20"/>
  <c r="Q62" i="20"/>
  <c r="L62" i="20"/>
  <c r="K63" i="14" s="1"/>
  <c r="J62" i="20"/>
  <c r="I63" i="14" s="1"/>
  <c r="U212" i="20"/>
  <c r="Q212" i="20"/>
  <c r="L212" i="20"/>
  <c r="K213" i="14" s="1"/>
  <c r="J212" i="20"/>
  <c r="U211" i="20"/>
  <c r="Q211" i="20"/>
  <c r="L211" i="20"/>
  <c r="K212" i="14" s="1"/>
  <c r="J211" i="20"/>
  <c r="U61" i="20"/>
  <c r="Q61" i="20"/>
  <c r="L61" i="20"/>
  <c r="K62" i="14" s="1"/>
  <c r="J61" i="20"/>
  <c r="I62" i="14" s="1"/>
  <c r="U210" i="20"/>
  <c r="Q210" i="20"/>
  <c r="L210" i="20"/>
  <c r="K211" i="14" s="1"/>
  <c r="J210" i="20"/>
  <c r="U209" i="20"/>
  <c r="Q209" i="20"/>
  <c r="L209" i="20"/>
  <c r="K210" i="14" s="1"/>
  <c r="J209" i="20"/>
  <c r="U208" i="20"/>
  <c r="Q208" i="20"/>
  <c r="L208" i="20"/>
  <c r="K209" i="14" s="1"/>
  <c r="J208" i="20"/>
  <c r="U60" i="20"/>
  <c r="Q60" i="20"/>
  <c r="L60" i="20"/>
  <c r="K61" i="14" s="1"/>
  <c r="J60" i="20"/>
  <c r="I61" i="14" s="1"/>
  <c r="U59" i="20"/>
  <c r="Q59" i="20"/>
  <c r="L59" i="20"/>
  <c r="K60" i="14" s="1"/>
  <c r="J59" i="20"/>
  <c r="I60" i="14" s="1"/>
  <c r="U207" i="20"/>
  <c r="Q207" i="20"/>
  <c r="L207" i="20"/>
  <c r="K208" i="14" s="1"/>
  <c r="J207" i="20"/>
  <c r="U206" i="20"/>
  <c r="Q206" i="20"/>
  <c r="L206" i="20"/>
  <c r="K207" i="14" s="1"/>
  <c r="J206" i="20"/>
  <c r="U58" i="20"/>
  <c r="Q58" i="20"/>
  <c r="L58" i="20"/>
  <c r="K59" i="14" s="1"/>
  <c r="J58" i="20"/>
  <c r="I59" i="14" s="1"/>
  <c r="U57" i="20"/>
  <c r="Q57" i="20"/>
  <c r="L57" i="20"/>
  <c r="K58" i="14" s="1"/>
  <c r="J57" i="20"/>
  <c r="I58" i="14" s="1"/>
  <c r="U205" i="20"/>
  <c r="Q205" i="20"/>
  <c r="L205" i="20"/>
  <c r="K206" i="14" s="1"/>
  <c r="J205" i="20"/>
  <c r="U204" i="20"/>
  <c r="Q204" i="20"/>
  <c r="L204" i="20"/>
  <c r="K205" i="14" s="1"/>
  <c r="J204" i="20"/>
  <c r="U203" i="20"/>
  <c r="Q203" i="20"/>
  <c r="L203" i="20"/>
  <c r="K204" i="14" s="1"/>
  <c r="J203" i="20"/>
  <c r="U340" i="20"/>
  <c r="Q340" i="20"/>
  <c r="L340" i="20"/>
  <c r="K341" i="14" s="1"/>
  <c r="U202" i="20"/>
  <c r="Q202" i="20"/>
  <c r="L202" i="20"/>
  <c r="K203" i="14" s="1"/>
  <c r="J202" i="20"/>
  <c r="U56" i="20"/>
  <c r="Q56" i="20"/>
  <c r="L56" i="20"/>
  <c r="K57" i="14" s="1"/>
  <c r="J56" i="20"/>
  <c r="I57" i="14" s="1"/>
  <c r="U201" i="20"/>
  <c r="Q201" i="20"/>
  <c r="L201" i="20"/>
  <c r="K202" i="14" s="1"/>
  <c r="J201" i="20"/>
  <c r="U200" i="20"/>
  <c r="Q200" i="20"/>
  <c r="L200" i="20"/>
  <c r="K201" i="14" s="1"/>
  <c r="J200" i="20"/>
  <c r="I201" i="14" s="1"/>
  <c r="U199" i="20"/>
  <c r="Q199" i="20"/>
  <c r="L199" i="20"/>
  <c r="K200" i="14" s="1"/>
  <c r="J199" i="20"/>
  <c r="I200" i="14" s="1"/>
  <c r="U198" i="20"/>
  <c r="Q198" i="20"/>
  <c r="L198" i="20"/>
  <c r="K199" i="14" s="1"/>
  <c r="J198" i="20"/>
  <c r="U55" i="20"/>
  <c r="Q55" i="20"/>
  <c r="L55" i="20"/>
  <c r="K56" i="14" s="1"/>
  <c r="J55" i="20"/>
  <c r="I56" i="14" s="1"/>
  <c r="U197" i="20"/>
  <c r="Q197" i="20"/>
  <c r="L197" i="20"/>
  <c r="K198" i="14" s="1"/>
  <c r="J197" i="20"/>
  <c r="U196" i="20"/>
  <c r="Q196" i="20"/>
  <c r="L196" i="20"/>
  <c r="K197" i="14" s="1"/>
  <c r="J196" i="20"/>
  <c r="I197" i="14" s="1"/>
  <c r="U195" i="20"/>
  <c r="Q195" i="20"/>
  <c r="L195" i="20"/>
  <c r="K196" i="14" s="1"/>
  <c r="J195" i="20"/>
  <c r="U54" i="20"/>
  <c r="Q54" i="20"/>
  <c r="L54" i="20"/>
  <c r="K55" i="14" s="1"/>
  <c r="J54" i="20"/>
  <c r="I55" i="14" s="1"/>
  <c r="U194" i="20"/>
  <c r="Q194" i="20"/>
  <c r="L194" i="20"/>
  <c r="K195" i="14" s="1"/>
  <c r="J194" i="20"/>
  <c r="I195" i="14" s="1"/>
  <c r="U193" i="20"/>
  <c r="Q193" i="20"/>
  <c r="L193" i="20"/>
  <c r="K194" i="14" s="1"/>
  <c r="J193" i="20"/>
  <c r="I194" i="14" s="1"/>
  <c r="U53" i="20"/>
  <c r="Q53" i="20"/>
  <c r="L53" i="20"/>
  <c r="K54" i="14" s="1"/>
  <c r="J53" i="20"/>
  <c r="I54" i="14" s="1"/>
  <c r="U192" i="20"/>
  <c r="Q192" i="20"/>
  <c r="L192" i="20"/>
  <c r="K193" i="14" s="1"/>
  <c r="J192" i="20"/>
  <c r="U191" i="20"/>
  <c r="Q191" i="20"/>
  <c r="L191" i="20"/>
  <c r="K192" i="14" s="1"/>
  <c r="J191" i="20"/>
  <c r="U52" i="20"/>
  <c r="Q52" i="20"/>
  <c r="L52" i="20"/>
  <c r="K53" i="14" s="1"/>
  <c r="J52" i="20"/>
  <c r="I53" i="14" s="1"/>
  <c r="U51" i="20"/>
  <c r="Q51" i="20"/>
  <c r="L51" i="20"/>
  <c r="K52" i="14" s="1"/>
  <c r="J51" i="20"/>
  <c r="I52" i="14" s="1"/>
  <c r="U190" i="20"/>
  <c r="Q190" i="20"/>
  <c r="L190" i="20"/>
  <c r="K191" i="14" s="1"/>
  <c r="J190" i="20"/>
  <c r="U189" i="20"/>
  <c r="Q189" i="20"/>
  <c r="L189" i="20"/>
  <c r="K190" i="14" s="1"/>
  <c r="J189" i="20"/>
  <c r="U50" i="20"/>
  <c r="Q50" i="20"/>
  <c r="L50" i="20"/>
  <c r="K51" i="14" s="1"/>
  <c r="U335" i="20"/>
  <c r="Q335" i="20"/>
  <c r="L335" i="20"/>
  <c r="K336" i="14" s="1"/>
  <c r="U334" i="20"/>
  <c r="Q334" i="20"/>
  <c r="L334" i="20"/>
  <c r="K335" i="14" s="1"/>
  <c r="U188" i="20"/>
  <c r="Q188" i="20"/>
  <c r="L188" i="20"/>
  <c r="K189" i="14" s="1"/>
  <c r="J188" i="20"/>
  <c r="I189" i="14" s="1"/>
  <c r="U333" i="20"/>
  <c r="Q333" i="20"/>
  <c r="L333" i="20"/>
  <c r="K334" i="14" s="1"/>
  <c r="J333" i="20"/>
  <c r="U332" i="20"/>
  <c r="Q332" i="20"/>
  <c r="L332" i="20"/>
  <c r="K333" i="14" s="1"/>
  <c r="J332" i="20"/>
  <c r="I333" i="14" s="1"/>
  <c r="U331" i="20"/>
  <c r="Q331" i="20"/>
  <c r="L331" i="20"/>
  <c r="K332" i="14" s="1"/>
  <c r="J331" i="20"/>
  <c r="I332" i="14" s="1"/>
  <c r="U187" i="20"/>
  <c r="Q187" i="20"/>
  <c r="L187" i="20"/>
  <c r="K188" i="14" s="1"/>
  <c r="J187" i="20"/>
  <c r="I188" i="14" s="1"/>
  <c r="U186" i="20"/>
  <c r="Q186" i="20"/>
  <c r="L186" i="20"/>
  <c r="K187" i="14" s="1"/>
  <c r="J186" i="20"/>
  <c r="I187" i="14" s="1"/>
  <c r="U330" i="20"/>
  <c r="Q330" i="20"/>
  <c r="L330" i="20"/>
  <c r="K331" i="14" s="1"/>
  <c r="J330" i="20"/>
  <c r="I331" i="14" s="1"/>
  <c r="U329" i="20"/>
  <c r="Q329" i="20"/>
  <c r="L329" i="20"/>
  <c r="K330" i="14" s="1"/>
  <c r="J329" i="20"/>
  <c r="I330" i="14" s="1"/>
  <c r="U328" i="20"/>
  <c r="Q328" i="20"/>
  <c r="L328" i="20"/>
  <c r="K329" i="14" s="1"/>
  <c r="J328" i="20"/>
  <c r="I329" i="14" s="1"/>
  <c r="U185" i="20"/>
  <c r="Q185" i="20"/>
  <c r="L185" i="20"/>
  <c r="K186" i="14" s="1"/>
  <c r="J185" i="20"/>
  <c r="I186" i="14" s="1"/>
  <c r="U49" i="20"/>
  <c r="Q49" i="20"/>
  <c r="L49" i="20"/>
  <c r="K50" i="14" s="1"/>
  <c r="J49" i="20"/>
  <c r="I50" i="14" s="1"/>
  <c r="U184" i="20"/>
  <c r="Q184" i="20"/>
  <c r="L184" i="20"/>
  <c r="K185" i="14" s="1"/>
  <c r="J184" i="20"/>
  <c r="I185" i="14" s="1"/>
  <c r="U183" i="20"/>
  <c r="Q183" i="20"/>
  <c r="L183" i="20"/>
  <c r="K184" i="14" s="1"/>
  <c r="J183" i="20"/>
  <c r="I184" i="14" s="1"/>
  <c r="U48" i="20"/>
  <c r="Q48" i="20"/>
  <c r="L48" i="20"/>
  <c r="K49" i="14" s="1"/>
  <c r="J48" i="20"/>
  <c r="I49" i="14" s="1"/>
  <c r="U182" i="20"/>
  <c r="Q182" i="20"/>
  <c r="L182" i="20"/>
  <c r="K183" i="14" s="1"/>
  <c r="J182" i="20"/>
  <c r="I183" i="14" s="1"/>
  <c r="U181" i="20"/>
  <c r="Q181" i="20"/>
  <c r="L181" i="20"/>
  <c r="K182" i="14" s="1"/>
  <c r="J181" i="20"/>
  <c r="I182" i="14" s="1"/>
  <c r="U47" i="20"/>
  <c r="Q47" i="20"/>
  <c r="L47" i="20"/>
  <c r="K48" i="14" s="1"/>
  <c r="J47" i="20"/>
  <c r="I48" i="14" s="1"/>
  <c r="U180" i="20"/>
  <c r="Q180" i="20"/>
  <c r="L180" i="20"/>
  <c r="K181" i="14" s="1"/>
  <c r="J180" i="20"/>
  <c r="I181" i="14" s="1"/>
  <c r="U327" i="20"/>
  <c r="Q327" i="20"/>
  <c r="L327" i="20"/>
  <c r="K328" i="14" s="1"/>
  <c r="J327" i="20"/>
  <c r="I328" i="14" s="1"/>
  <c r="U179" i="20"/>
  <c r="Q179" i="20"/>
  <c r="L179" i="20"/>
  <c r="K180" i="14" s="1"/>
  <c r="J179" i="20"/>
  <c r="I180" i="14" s="1"/>
  <c r="U178" i="20"/>
  <c r="Q178" i="20"/>
  <c r="L178" i="20"/>
  <c r="K179" i="14" s="1"/>
  <c r="J178" i="20"/>
  <c r="I179" i="14" s="1"/>
  <c r="U177" i="20"/>
  <c r="Q177" i="20"/>
  <c r="L177" i="20"/>
  <c r="K178" i="14" s="1"/>
  <c r="J177" i="20"/>
  <c r="I178" i="14" s="1"/>
  <c r="U46" i="20"/>
  <c r="Q46" i="20"/>
  <c r="L46" i="20"/>
  <c r="K47" i="14" s="1"/>
  <c r="J46" i="20"/>
  <c r="I47" i="14" s="1"/>
  <c r="U176" i="20"/>
  <c r="Q176" i="20"/>
  <c r="L176" i="20"/>
  <c r="K177" i="14" s="1"/>
  <c r="J176" i="20"/>
  <c r="I177" i="14" s="1"/>
  <c r="U326" i="20"/>
  <c r="Q326" i="20"/>
  <c r="L326" i="20"/>
  <c r="K327" i="14" s="1"/>
  <c r="J326" i="20"/>
  <c r="I327" i="14" s="1"/>
  <c r="U325" i="20"/>
  <c r="Q325" i="20"/>
  <c r="L325" i="20"/>
  <c r="K326" i="14" s="1"/>
  <c r="J325" i="20"/>
  <c r="I326" i="14" s="1"/>
  <c r="U175" i="20"/>
  <c r="Q175" i="20"/>
  <c r="L175" i="20"/>
  <c r="K176" i="14" s="1"/>
  <c r="J175" i="20"/>
  <c r="I176" i="14" s="1"/>
  <c r="U324" i="20"/>
  <c r="Q324" i="20"/>
  <c r="L324" i="20"/>
  <c r="K325" i="14" s="1"/>
  <c r="J324" i="20"/>
  <c r="I325" i="14" s="1"/>
  <c r="U323" i="20"/>
  <c r="Q323" i="20"/>
  <c r="L323" i="20"/>
  <c r="K324" i="14" s="1"/>
  <c r="J323" i="20"/>
  <c r="I324" i="14" s="1"/>
  <c r="U174" i="20"/>
  <c r="Q174" i="20"/>
  <c r="L174" i="20"/>
  <c r="K175" i="14" s="1"/>
  <c r="J174" i="20"/>
  <c r="I175" i="14" s="1"/>
  <c r="U45" i="20"/>
  <c r="L45" i="20"/>
  <c r="K46" i="14" s="1"/>
  <c r="J45" i="20"/>
  <c r="I46" i="14" s="1"/>
  <c r="U44" i="20"/>
  <c r="Q44" i="20"/>
  <c r="L44" i="20"/>
  <c r="K45" i="14" s="1"/>
  <c r="J44" i="20"/>
  <c r="I45" i="14" s="1"/>
  <c r="U43" i="20"/>
  <c r="Q43" i="20"/>
  <c r="L43" i="20"/>
  <c r="K44" i="14" s="1"/>
  <c r="J43" i="20"/>
  <c r="I44" i="14" s="1"/>
  <c r="U322" i="20"/>
  <c r="Q322" i="20"/>
  <c r="L322" i="20"/>
  <c r="K323" i="14" s="1"/>
  <c r="J322" i="20"/>
  <c r="U321" i="20"/>
  <c r="Q321" i="20"/>
  <c r="L321" i="20"/>
  <c r="K322" i="14" s="1"/>
  <c r="J321" i="20"/>
  <c r="I322" i="14" s="1"/>
  <c r="U320" i="20"/>
  <c r="Q320" i="20"/>
  <c r="L320" i="20"/>
  <c r="K321" i="14" s="1"/>
  <c r="J320" i="20"/>
  <c r="I321" i="14" s="1"/>
  <c r="U173" i="20"/>
  <c r="Q173" i="20"/>
  <c r="L173" i="20"/>
  <c r="K174" i="14" s="1"/>
  <c r="J173" i="20"/>
  <c r="I174" i="14" s="1"/>
  <c r="U172" i="20"/>
  <c r="Q172" i="20"/>
  <c r="L172" i="20"/>
  <c r="K173" i="14" s="1"/>
  <c r="J172" i="20"/>
  <c r="I173" i="14" s="1"/>
  <c r="U171" i="20"/>
  <c r="Q171" i="20"/>
  <c r="L171" i="20"/>
  <c r="K172" i="14" s="1"/>
  <c r="J171" i="20"/>
  <c r="I172" i="14" s="1"/>
  <c r="U42" i="20"/>
  <c r="Q42" i="20"/>
  <c r="L42" i="20"/>
  <c r="K43" i="14" s="1"/>
  <c r="J42" i="20"/>
  <c r="I43" i="14" s="1"/>
  <c r="U170" i="20"/>
  <c r="Q170" i="20"/>
  <c r="L170" i="20"/>
  <c r="K171" i="14" s="1"/>
  <c r="J170" i="20"/>
  <c r="I171" i="14" s="1"/>
  <c r="U319" i="20"/>
  <c r="Q319" i="20"/>
  <c r="L319" i="20"/>
  <c r="K320" i="14" s="1"/>
  <c r="J319" i="20"/>
  <c r="I320" i="14" s="1"/>
  <c r="U169" i="20"/>
  <c r="Q169" i="20"/>
  <c r="L169" i="20"/>
  <c r="K170" i="14" s="1"/>
  <c r="J169" i="20"/>
  <c r="I170" i="14" s="1"/>
  <c r="U168" i="20"/>
  <c r="Q168" i="20"/>
  <c r="L168" i="20"/>
  <c r="K169" i="14" s="1"/>
  <c r="J168" i="20"/>
  <c r="U167" i="20"/>
  <c r="Q167" i="20"/>
  <c r="L167" i="20"/>
  <c r="K168" i="14" s="1"/>
  <c r="J167" i="20"/>
  <c r="I168" i="14" s="1"/>
  <c r="U41" i="20"/>
  <c r="Q41" i="20"/>
  <c r="L41" i="20"/>
  <c r="K42" i="14" s="1"/>
  <c r="J41" i="20"/>
  <c r="I42" i="14" s="1"/>
  <c r="U318" i="20"/>
  <c r="Q318" i="20"/>
  <c r="L318" i="20"/>
  <c r="K319" i="14" s="1"/>
  <c r="J318" i="20"/>
  <c r="U317" i="20"/>
  <c r="Q317" i="20"/>
  <c r="L317" i="20"/>
  <c r="K318" i="14" s="1"/>
  <c r="J317" i="20"/>
  <c r="U316" i="20"/>
  <c r="Q316" i="20"/>
  <c r="L316" i="20"/>
  <c r="K317" i="14" s="1"/>
  <c r="J316" i="20"/>
  <c r="U166" i="20"/>
  <c r="Q166" i="20"/>
  <c r="L166" i="20"/>
  <c r="K167" i="14" s="1"/>
  <c r="J166" i="20"/>
  <c r="U315" i="20"/>
  <c r="Q315" i="20"/>
  <c r="L315" i="20"/>
  <c r="K316" i="14" s="1"/>
  <c r="J315" i="20"/>
  <c r="U314" i="20"/>
  <c r="Q314" i="20"/>
  <c r="L314" i="20"/>
  <c r="K315" i="14" s="1"/>
  <c r="J314" i="20"/>
  <c r="U165" i="20"/>
  <c r="Q165" i="20"/>
  <c r="L165" i="20"/>
  <c r="K166" i="14" s="1"/>
  <c r="J165" i="20"/>
  <c r="U40" i="20"/>
  <c r="Q40" i="20"/>
  <c r="L40" i="20"/>
  <c r="K41" i="14" s="1"/>
  <c r="J40" i="20"/>
  <c r="I41" i="14" s="1"/>
  <c r="U164" i="20"/>
  <c r="Q164" i="20"/>
  <c r="L164" i="20"/>
  <c r="K165" i="14" s="1"/>
  <c r="J164" i="20"/>
  <c r="U313" i="20"/>
  <c r="Q313" i="20"/>
  <c r="L313" i="20"/>
  <c r="K314" i="14" s="1"/>
  <c r="J313" i="20"/>
  <c r="U312" i="20"/>
  <c r="Q312" i="20"/>
  <c r="L312" i="20"/>
  <c r="K313" i="14" s="1"/>
  <c r="J312" i="20"/>
  <c r="U163" i="20"/>
  <c r="Q163" i="20"/>
  <c r="L163" i="20"/>
  <c r="K164" i="14" s="1"/>
  <c r="J163" i="20"/>
  <c r="U311" i="20"/>
  <c r="Q311" i="20"/>
  <c r="L311" i="20"/>
  <c r="K312" i="14" s="1"/>
  <c r="J311" i="20"/>
  <c r="U310" i="20"/>
  <c r="Q310" i="20"/>
  <c r="L310" i="20"/>
  <c r="K311" i="14" s="1"/>
  <c r="J310" i="20"/>
  <c r="U162" i="20"/>
  <c r="Q162" i="20"/>
  <c r="L162" i="20"/>
  <c r="K163" i="14" s="1"/>
  <c r="J162" i="20"/>
  <c r="U39" i="20"/>
  <c r="Q39" i="20"/>
  <c r="L39" i="20"/>
  <c r="K40" i="14" s="1"/>
  <c r="J39" i="20"/>
  <c r="I40" i="14" s="1"/>
  <c r="U161" i="20"/>
  <c r="Q161" i="20"/>
  <c r="L161" i="20"/>
  <c r="K162" i="14" s="1"/>
  <c r="J161" i="20"/>
  <c r="U160" i="20"/>
  <c r="Q160" i="20"/>
  <c r="L160" i="20"/>
  <c r="K161" i="14" s="1"/>
  <c r="J160" i="20"/>
  <c r="U38" i="20"/>
  <c r="Q38" i="20"/>
  <c r="L38" i="20"/>
  <c r="K39" i="14" s="1"/>
  <c r="J38" i="20"/>
  <c r="I39" i="14" s="1"/>
  <c r="U37" i="20"/>
  <c r="Q37" i="20"/>
  <c r="L37" i="20"/>
  <c r="K38" i="14" s="1"/>
  <c r="J37" i="20"/>
  <c r="I38" i="14" s="1"/>
  <c r="U36" i="20"/>
  <c r="Q36" i="20"/>
  <c r="L36" i="20"/>
  <c r="K37" i="14" s="1"/>
  <c r="J36" i="20"/>
  <c r="I37" i="14" s="1"/>
  <c r="U35" i="20"/>
  <c r="Q35" i="20"/>
  <c r="L35" i="20"/>
  <c r="K36" i="14" s="1"/>
  <c r="J35" i="20"/>
  <c r="I36" i="14" s="1"/>
  <c r="U34" i="20"/>
  <c r="Q34" i="20"/>
  <c r="L34" i="20"/>
  <c r="K35" i="14" s="1"/>
  <c r="I35" i="14"/>
  <c r="U309" i="20"/>
  <c r="Q309" i="20"/>
  <c r="L309" i="20"/>
  <c r="K310" i="14" s="1"/>
  <c r="J309" i="20"/>
  <c r="U308" i="20"/>
  <c r="Q308" i="20"/>
  <c r="L308" i="20"/>
  <c r="K309" i="14" s="1"/>
  <c r="J308" i="20"/>
  <c r="U159" i="20"/>
  <c r="Q159" i="20"/>
  <c r="L159" i="20"/>
  <c r="K160" i="14" s="1"/>
  <c r="J159" i="20"/>
  <c r="U158" i="20"/>
  <c r="Q158" i="20"/>
  <c r="L158" i="20"/>
  <c r="K159" i="14" s="1"/>
  <c r="J158" i="20"/>
  <c r="U33" i="20"/>
  <c r="Q33" i="20"/>
  <c r="L33" i="20"/>
  <c r="K34" i="14" s="1"/>
  <c r="J33" i="20"/>
  <c r="I34" i="14" s="1"/>
  <c r="U32" i="20"/>
  <c r="L32" i="20"/>
  <c r="K33" i="14" s="1"/>
  <c r="J32" i="20"/>
  <c r="I33" i="14" s="1"/>
  <c r="U31" i="20"/>
  <c r="Q31" i="20"/>
  <c r="L31" i="20"/>
  <c r="K32" i="14" s="1"/>
  <c r="J31" i="20"/>
  <c r="I32" i="14" s="1"/>
  <c r="U386" i="20"/>
  <c r="Q386" i="20"/>
  <c r="L386" i="20"/>
  <c r="K387" i="14" s="1"/>
  <c r="J386" i="20"/>
  <c r="I387" i="14" s="1"/>
  <c r="U307" i="20"/>
  <c r="Q307" i="20"/>
  <c r="L307" i="20"/>
  <c r="K308" i="14" s="1"/>
  <c r="J307" i="20"/>
  <c r="I308" i="14" s="1"/>
  <c r="U306" i="20"/>
  <c r="Q306" i="20"/>
  <c r="L306" i="20"/>
  <c r="K307" i="14" s="1"/>
  <c r="J306" i="20"/>
  <c r="I307" i="14" s="1"/>
  <c r="U305" i="20"/>
  <c r="Q305" i="20"/>
  <c r="L305" i="20"/>
  <c r="K306" i="14" s="1"/>
  <c r="J305" i="20"/>
  <c r="I306" i="14" s="1"/>
  <c r="U157" i="20"/>
  <c r="Q157" i="20"/>
  <c r="L157" i="20"/>
  <c r="K158" i="14" s="1"/>
  <c r="J157" i="20"/>
  <c r="I158" i="14" s="1"/>
  <c r="U304" i="20"/>
  <c r="Q304" i="20"/>
  <c r="L304" i="20"/>
  <c r="K305" i="14" s="1"/>
  <c r="J304" i="20"/>
  <c r="I305" i="14" s="1"/>
  <c r="U385" i="20"/>
  <c r="Q385" i="20"/>
  <c r="L385" i="20"/>
  <c r="K386" i="14" s="1"/>
  <c r="J385" i="20"/>
  <c r="I386" i="14" s="1"/>
  <c r="U384" i="20"/>
  <c r="Q384" i="20"/>
  <c r="L384" i="20"/>
  <c r="K385" i="14" s="1"/>
  <c r="J384" i="20"/>
  <c r="I385" i="14" s="1"/>
  <c r="U383" i="20"/>
  <c r="Q383" i="20"/>
  <c r="L383" i="20"/>
  <c r="K384" i="14" s="1"/>
  <c r="J383" i="20"/>
  <c r="I384" i="14" s="1"/>
  <c r="U303" i="20"/>
  <c r="Q303" i="20"/>
  <c r="L303" i="20"/>
  <c r="K304" i="14" s="1"/>
  <c r="J303" i="20"/>
  <c r="I304" i="14" s="1"/>
  <c r="U382" i="20"/>
  <c r="Q382" i="20"/>
  <c r="L382" i="20"/>
  <c r="K383" i="14" s="1"/>
  <c r="J382" i="20"/>
  <c r="I383" i="14" s="1"/>
  <c r="U381" i="20"/>
  <c r="Q381" i="20"/>
  <c r="L381" i="20"/>
  <c r="K382" i="14" s="1"/>
  <c r="J381" i="20"/>
  <c r="I382" i="14" s="1"/>
  <c r="U302" i="20"/>
  <c r="Q302" i="20"/>
  <c r="L302" i="20"/>
  <c r="K303" i="14" s="1"/>
  <c r="J302" i="20"/>
  <c r="I303" i="14" s="1"/>
  <c r="U156" i="20"/>
  <c r="Q156" i="20"/>
  <c r="L156" i="20"/>
  <c r="K157" i="14" s="1"/>
  <c r="J156" i="20"/>
  <c r="I157" i="14" s="1"/>
  <c r="U30" i="20"/>
  <c r="Q30" i="20"/>
  <c r="L30" i="20"/>
  <c r="K31" i="14" s="1"/>
  <c r="J30" i="20"/>
  <c r="I31" i="14" s="1"/>
  <c r="U29" i="20"/>
  <c r="L29" i="20"/>
  <c r="K30" i="14" s="1"/>
  <c r="J29" i="20"/>
  <c r="I30" i="14" s="1"/>
  <c r="U28" i="20"/>
  <c r="Q28" i="20"/>
  <c r="L28" i="20"/>
  <c r="K29" i="14" s="1"/>
  <c r="J28" i="20"/>
  <c r="I29" i="14" s="1"/>
  <c r="U27" i="20"/>
  <c r="Q27" i="20"/>
  <c r="L27" i="20"/>
  <c r="K28" i="14" s="1"/>
  <c r="J27" i="20"/>
  <c r="I28" i="14" s="1"/>
  <c r="U26" i="20"/>
  <c r="Q26" i="20"/>
  <c r="L26" i="20"/>
  <c r="K27" i="14" s="1"/>
  <c r="J26" i="20"/>
  <c r="I27" i="14" s="1"/>
  <c r="U25" i="20"/>
  <c r="Q25" i="20"/>
  <c r="L25" i="20"/>
  <c r="K26" i="14" s="1"/>
  <c r="J25" i="20"/>
  <c r="I26" i="14" s="1"/>
  <c r="U380" i="20"/>
  <c r="Q380" i="20"/>
  <c r="L380" i="20"/>
  <c r="K381" i="14" s="1"/>
  <c r="J380" i="20"/>
  <c r="I381" i="14" s="1"/>
  <c r="U379" i="20"/>
  <c r="Q379" i="20"/>
  <c r="L379" i="20"/>
  <c r="K380" i="14" s="1"/>
  <c r="J379" i="20"/>
  <c r="I380" i="14" s="1"/>
  <c r="U412" i="20"/>
  <c r="Q412" i="20"/>
  <c r="L412" i="20"/>
  <c r="K413" i="14" s="1"/>
  <c r="U378" i="20"/>
  <c r="Q378" i="20"/>
  <c r="L378" i="20"/>
  <c r="K379" i="14" s="1"/>
  <c r="J378" i="20"/>
  <c r="I379" i="14" s="1"/>
  <c r="U411" i="20"/>
  <c r="Q411" i="20"/>
  <c r="L411" i="20"/>
  <c r="K412" i="14" s="1"/>
  <c r="U410" i="20"/>
  <c r="Q410" i="20"/>
  <c r="L410" i="20"/>
  <c r="K411" i="14" s="1"/>
  <c r="J410" i="20"/>
  <c r="I411" i="14" s="1"/>
  <c r="U377" i="20"/>
  <c r="Q377" i="20"/>
  <c r="L377" i="20"/>
  <c r="K378" i="14" s="1"/>
  <c r="J377" i="20"/>
  <c r="I378" i="14" s="1"/>
  <c r="U301" i="20"/>
  <c r="Q301" i="20"/>
  <c r="L301" i="20"/>
  <c r="K302" i="14" s="1"/>
  <c r="J301" i="20"/>
  <c r="I302" i="14" s="1"/>
  <c r="U376" i="20"/>
  <c r="Q376" i="20"/>
  <c r="L376" i="20"/>
  <c r="K377" i="14" s="1"/>
  <c r="J376" i="20"/>
  <c r="I377" i="14" s="1"/>
  <c r="U375" i="20"/>
  <c r="Q375" i="20"/>
  <c r="L375" i="20"/>
  <c r="K376" i="14" s="1"/>
  <c r="J375" i="20"/>
  <c r="I376" i="14" s="1"/>
  <c r="U409" i="20"/>
  <c r="Q409" i="20"/>
  <c r="L409" i="20"/>
  <c r="K410" i="14" s="1"/>
  <c r="J409" i="20"/>
  <c r="I410" i="14" s="1"/>
  <c r="U374" i="20"/>
  <c r="Q374" i="20"/>
  <c r="L374" i="20"/>
  <c r="K375" i="14" s="1"/>
  <c r="J374" i="20"/>
  <c r="I375" i="14" s="1"/>
  <c r="U300" i="20"/>
  <c r="Q300" i="20"/>
  <c r="L300" i="20"/>
  <c r="K301" i="14" s="1"/>
  <c r="J300" i="20"/>
  <c r="I301" i="14" s="1"/>
  <c r="U155" i="20"/>
  <c r="Q155" i="20"/>
  <c r="L155" i="20"/>
  <c r="K156" i="14" s="1"/>
  <c r="J155" i="20"/>
  <c r="I156" i="14" s="1"/>
  <c r="U154" i="20"/>
  <c r="Q154" i="20"/>
  <c r="L154" i="20"/>
  <c r="K155" i="14" s="1"/>
  <c r="J154" i="20"/>
  <c r="I155" i="14" s="1"/>
  <c r="U24" i="20"/>
  <c r="Q24" i="20"/>
  <c r="L24" i="20"/>
  <c r="K25" i="14" s="1"/>
  <c r="J24" i="20"/>
  <c r="I25" i="14" s="1"/>
  <c r="U23" i="20"/>
  <c r="Q23" i="20"/>
  <c r="L23" i="20"/>
  <c r="K24" i="14" s="1"/>
  <c r="J23" i="20"/>
  <c r="I24" i="14" s="1"/>
  <c r="U22" i="20"/>
  <c r="Q22" i="20"/>
  <c r="L22" i="20"/>
  <c r="K23" i="14" s="1"/>
  <c r="J22" i="20"/>
  <c r="I23" i="14" s="1"/>
  <c r="U153" i="20"/>
  <c r="Q153" i="20"/>
  <c r="L153" i="20"/>
  <c r="K154" i="14" s="1"/>
  <c r="J153" i="20"/>
  <c r="I154" i="14" s="1"/>
  <c r="U152" i="20"/>
  <c r="Q152" i="20"/>
  <c r="L152" i="20"/>
  <c r="K153" i="14" s="1"/>
  <c r="J152" i="20"/>
  <c r="I153" i="14" s="1"/>
  <c r="U21" i="20"/>
  <c r="Q21" i="20"/>
  <c r="L21" i="20"/>
  <c r="K22" i="14" s="1"/>
  <c r="J21" i="20"/>
  <c r="I22" i="14" s="1"/>
  <c r="U20" i="20"/>
  <c r="Q20" i="20"/>
  <c r="L20" i="20"/>
  <c r="K21" i="14" s="1"/>
  <c r="J20" i="20"/>
  <c r="I21" i="14" s="1"/>
  <c r="U19" i="20"/>
  <c r="Q19" i="20"/>
  <c r="L19" i="20"/>
  <c r="K20" i="14" s="1"/>
  <c r="J19" i="20"/>
  <c r="I20" i="14" s="1"/>
  <c r="U18" i="20"/>
  <c r="Q18" i="20"/>
  <c r="L18" i="20"/>
  <c r="K19" i="14" s="1"/>
  <c r="J18" i="20"/>
  <c r="I19" i="14" s="1"/>
  <c r="U17" i="20"/>
  <c r="Q17" i="20"/>
  <c r="L17" i="20"/>
  <c r="K18" i="14" s="1"/>
  <c r="J17" i="20"/>
  <c r="I18" i="14" s="1"/>
  <c r="U16" i="20"/>
  <c r="Q16" i="20"/>
  <c r="L16" i="20"/>
  <c r="K17" i="14" s="1"/>
  <c r="J16" i="20"/>
  <c r="I17" i="14" s="1"/>
  <c r="U299" i="20"/>
  <c r="Q299" i="20"/>
  <c r="L299" i="20"/>
  <c r="K300" i="14" s="1"/>
  <c r="J299" i="20"/>
  <c r="I300" i="14" s="1"/>
  <c r="U151" i="20"/>
  <c r="Q151" i="20"/>
  <c r="L151" i="20"/>
  <c r="K152" i="14" s="1"/>
  <c r="J151" i="20"/>
  <c r="I152" i="14" s="1"/>
  <c r="U15" i="20"/>
  <c r="Q15" i="20"/>
  <c r="L15" i="20"/>
  <c r="K16" i="14" s="1"/>
  <c r="J15" i="20"/>
  <c r="I16" i="14" s="1"/>
  <c r="U14" i="20"/>
  <c r="Q14" i="20"/>
  <c r="L14" i="20"/>
  <c r="K15" i="14" s="1"/>
  <c r="J14" i="20"/>
  <c r="I15" i="14" s="1"/>
  <c r="U13" i="20"/>
  <c r="Q13" i="20"/>
  <c r="L13" i="20"/>
  <c r="K14" i="14" s="1"/>
  <c r="J13" i="20"/>
  <c r="I14" i="14" s="1"/>
  <c r="U150" i="20"/>
  <c r="Q150" i="20"/>
  <c r="L150" i="20"/>
  <c r="K151" i="14" s="1"/>
  <c r="J150" i="20"/>
  <c r="I151" i="14" s="1"/>
  <c r="U149" i="20"/>
  <c r="Q149" i="20"/>
  <c r="L149" i="20"/>
  <c r="K150" i="14" s="1"/>
  <c r="J149" i="20"/>
  <c r="I150" i="14" s="1"/>
  <c r="U298" i="20"/>
  <c r="Q298" i="20"/>
  <c r="L298" i="20"/>
  <c r="K299" i="14" s="1"/>
  <c r="J298" i="20"/>
  <c r="I299" i="14" s="1"/>
  <c r="U408" i="20"/>
  <c r="Q408" i="20"/>
  <c r="L408" i="20"/>
  <c r="K409" i="14" s="1"/>
  <c r="J408" i="20"/>
  <c r="I409" i="14" s="1"/>
  <c r="U407" i="20"/>
  <c r="Q407" i="20"/>
  <c r="L407" i="20"/>
  <c r="K408" i="14" s="1"/>
  <c r="J407" i="20"/>
  <c r="I408" i="14" s="1"/>
  <c r="U406" i="20"/>
  <c r="Q406" i="20"/>
  <c r="L406" i="20"/>
  <c r="K407" i="14" s="1"/>
  <c r="J406" i="20"/>
  <c r="I407" i="14" s="1"/>
  <c r="U405" i="20"/>
  <c r="Q405" i="20"/>
  <c r="L405" i="20"/>
  <c r="K406" i="14" s="1"/>
  <c r="J405" i="20"/>
  <c r="I406" i="14" s="1"/>
  <c r="U404" i="20"/>
  <c r="Q404" i="20"/>
  <c r="L404" i="20"/>
  <c r="K405" i="14" s="1"/>
  <c r="J404" i="20"/>
  <c r="I405" i="14" s="1"/>
  <c r="U403" i="20"/>
  <c r="Q403" i="20"/>
  <c r="L403" i="20"/>
  <c r="K404" i="14" s="1"/>
  <c r="J403" i="20"/>
  <c r="I404" i="14" s="1"/>
  <c r="U402" i="20"/>
  <c r="Q402" i="20"/>
  <c r="L402" i="20"/>
  <c r="K403" i="14" s="1"/>
  <c r="J402" i="20"/>
  <c r="I403" i="14" s="1"/>
  <c r="U373" i="20"/>
  <c r="Q373" i="20"/>
  <c r="L373" i="20"/>
  <c r="K374" i="14" s="1"/>
  <c r="J373" i="20"/>
  <c r="I374" i="14" s="1"/>
  <c r="U401" i="20"/>
  <c r="Q401" i="20"/>
  <c r="L401" i="20"/>
  <c r="K402" i="14" s="1"/>
  <c r="J401" i="20"/>
  <c r="I402" i="14" s="1"/>
  <c r="U400" i="20"/>
  <c r="Q400" i="20"/>
  <c r="L400" i="20"/>
  <c r="K401" i="14" s="1"/>
  <c r="J400" i="20"/>
  <c r="I401" i="14" s="1"/>
  <c r="U399" i="20"/>
  <c r="Q399" i="20"/>
  <c r="L399" i="20"/>
  <c r="K400" i="14" s="1"/>
  <c r="J399" i="20"/>
  <c r="I400" i="14" s="1"/>
  <c r="U398" i="20"/>
  <c r="Q398" i="20"/>
  <c r="L398" i="20"/>
  <c r="K399" i="14" s="1"/>
  <c r="J398" i="20"/>
  <c r="I399" i="14" s="1"/>
  <c r="U372" i="20"/>
  <c r="Q372" i="20"/>
  <c r="L372" i="20"/>
  <c r="K373" i="14" s="1"/>
  <c r="J372" i="20"/>
  <c r="I373" i="14" s="1"/>
  <c r="U371" i="20"/>
  <c r="Q371" i="20"/>
  <c r="L371" i="20"/>
  <c r="K372" i="14" s="1"/>
  <c r="J371" i="20"/>
  <c r="I372" i="14" s="1"/>
  <c r="U297" i="20"/>
  <c r="Q297" i="20"/>
  <c r="L297" i="20"/>
  <c r="K298" i="14" s="1"/>
  <c r="U397" i="20"/>
  <c r="Q397" i="20"/>
  <c r="L397" i="20"/>
  <c r="K398" i="14" s="1"/>
  <c r="J397" i="20"/>
  <c r="I398" i="14" s="1"/>
  <c r="U396" i="20"/>
  <c r="Q396" i="20"/>
  <c r="L396" i="20"/>
  <c r="K397" i="14" s="1"/>
  <c r="J396" i="20"/>
  <c r="I397" i="14" s="1"/>
  <c r="U370" i="20"/>
  <c r="Q370" i="20"/>
  <c r="L370" i="20"/>
  <c r="K371" i="14" s="1"/>
  <c r="J370" i="20"/>
  <c r="I371" i="14" s="1"/>
  <c r="U369" i="20"/>
  <c r="Q369" i="20"/>
  <c r="L369" i="20"/>
  <c r="K370" i="14" s="1"/>
  <c r="J369" i="20"/>
  <c r="I370" i="14" s="1"/>
  <c r="U395" i="20"/>
  <c r="Q395" i="20"/>
  <c r="L395" i="20"/>
  <c r="K396" i="14" s="1"/>
  <c r="J395" i="20"/>
  <c r="I396" i="14" s="1"/>
  <c r="U394" i="20"/>
  <c r="Q394" i="20"/>
  <c r="L394" i="20"/>
  <c r="K395" i="14" s="1"/>
  <c r="J394" i="20"/>
  <c r="I395" i="14" s="1"/>
  <c r="U368" i="20"/>
  <c r="Q368" i="20"/>
  <c r="L368" i="20"/>
  <c r="K369" i="14" s="1"/>
  <c r="J368" i="20"/>
  <c r="I369" i="14" s="1"/>
  <c r="U393" i="20"/>
  <c r="Q393" i="20"/>
  <c r="L393" i="20"/>
  <c r="K394" i="14" s="1"/>
  <c r="J393" i="20"/>
  <c r="I394" i="14" s="1"/>
  <c r="U392" i="20"/>
  <c r="Q392" i="20"/>
  <c r="L392" i="20"/>
  <c r="K393" i="14" s="1"/>
  <c r="J392" i="20"/>
  <c r="I393" i="14" s="1"/>
  <c r="U391" i="20"/>
  <c r="Q391" i="20"/>
  <c r="L391" i="20"/>
  <c r="K392" i="14" s="1"/>
  <c r="J391" i="20"/>
  <c r="I392" i="14" s="1"/>
  <c r="U390" i="20"/>
  <c r="Q390" i="20"/>
  <c r="L390" i="20"/>
  <c r="K391" i="14" s="1"/>
  <c r="J390" i="20"/>
  <c r="I391" i="14" s="1"/>
  <c r="U367" i="20"/>
  <c r="Q367" i="20"/>
  <c r="L367" i="20"/>
  <c r="K368" i="14" s="1"/>
  <c r="J367" i="20"/>
  <c r="I368" i="14" s="1"/>
  <c r="U296" i="20"/>
  <c r="Q296" i="20"/>
  <c r="L296" i="20"/>
  <c r="K297" i="14" s="1"/>
  <c r="J296" i="20"/>
  <c r="I297" i="14" s="1"/>
  <c r="U148" i="20"/>
  <c r="Q148" i="20"/>
  <c r="L148" i="20"/>
  <c r="K149" i="14" s="1"/>
  <c r="J148" i="20"/>
  <c r="I149" i="14" s="1"/>
  <c r="U147" i="20"/>
  <c r="Q147" i="20"/>
  <c r="L147" i="20"/>
  <c r="K148" i="14" s="1"/>
  <c r="J147" i="20"/>
  <c r="I148" i="14" s="1"/>
  <c r="U12" i="20"/>
  <c r="Q12" i="20"/>
  <c r="L12" i="20"/>
  <c r="K13" i="14" s="1"/>
  <c r="J12" i="20"/>
  <c r="I13" i="14" s="1"/>
  <c r="U11" i="20"/>
  <c r="Q11" i="20"/>
  <c r="L11" i="20"/>
  <c r="K12" i="14" s="1"/>
  <c r="J11" i="20"/>
  <c r="I12" i="14" s="1"/>
  <c r="U10" i="20"/>
  <c r="Q10" i="20"/>
  <c r="L10" i="20"/>
  <c r="K11" i="14" s="1"/>
  <c r="J10" i="20"/>
  <c r="I11" i="14" s="1"/>
  <c r="U9" i="20"/>
  <c r="Q9" i="20"/>
  <c r="L9" i="20"/>
  <c r="K10" i="14" s="1"/>
  <c r="J9" i="20"/>
  <c r="I10" i="14" s="1"/>
  <c r="U8" i="20"/>
  <c r="Q8" i="20"/>
  <c r="L8" i="20"/>
  <c r="K9" i="14" s="1"/>
  <c r="J8" i="20"/>
  <c r="I9" i="14" s="1"/>
  <c r="U7" i="20"/>
  <c r="Q7" i="20"/>
  <c r="L7" i="20"/>
  <c r="K8" i="14" s="1"/>
  <c r="J7" i="20"/>
  <c r="I8" i="14" s="1"/>
  <c r="U6" i="20"/>
  <c r="Q6" i="20"/>
  <c r="L6" i="20"/>
  <c r="K7" i="14" s="1"/>
  <c r="J6" i="20"/>
  <c r="I7" i="14" s="1"/>
  <c r="U366" i="20"/>
  <c r="Q366" i="20"/>
  <c r="I366" i="20"/>
  <c r="H367" i="14" s="1"/>
  <c r="S367" i="14" s="1"/>
  <c r="U365" i="20"/>
  <c r="Q365" i="20"/>
  <c r="I365" i="20"/>
  <c r="H366" i="14" s="1"/>
  <c r="S366" i="14" s="1"/>
  <c r="U364" i="20"/>
  <c r="Q364" i="20"/>
  <c r="I364" i="20"/>
  <c r="H365" i="14" s="1"/>
  <c r="S365" i="14" s="1"/>
  <c r="U389" i="20"/>
  <c r="Q389" i="20"/>
  <c r="L389" i="20"/>
  <c r="K390" i="14" s="1"/>
  <c r="J389" i="20"/>
  <c r="I390" i="14" s="1"/>
  <c r="U363" i="20"/>
  <c r="Q363" i="20"/>
  <c r="U388" i="20"/>
  <c r="Q388" i="20"/>
  <c r="J388" i="20"/>
  <c r="I389" i="14" s="1"/>
  <c r="U387" i="20"/>
  <c r="Q387" i="20"/>
  <c r="J387" i="20"/>
  <c r="I388" i="14" s="1"/>
  <c r="U362" i="20"/>
  <c r="Q362" i="20"/>
  <c r="U295" i="20"/>
  <c r="Q295" i="20"/>
  <c r="L295" i="20"/>
  <c r="K296" i="14" s="1"/>
  <c r="U294" i="20"/>
  <c r="Q294" i="20"/>
  <c r="I294" i="20"/>
  <c r="J294" i="20"/>
  <c r="U146" i="20"/>
  <c r="Q146" i="20"/>
  <c r="L146" i="20"/>
  <c r="K147" i="14" s="1"/>
  <c r="U5" i="20"/>
  <c r="Q5" i="20"/>
  <c r="L5" i="20"/>
  <c r="K6" i="14" s="1"/>
  <c r="J5" i="20"/>
  <c r="I6" i="14" s="1"/>
  <c r="U4" i="20"/>
  <c r="Q4" i="20"/>
  <c r="U361" i="20"/>
  <c r="Q361" i="20"/>
  <c r="L361" i="20"/>
  <c r="K362" i="14" s="1"/>
  <c r="J361" i="20"/>
  <c r="I362" i="14" s="1"/>
  <c r="U293" i="20"/>
  <c r="Q293" i="20"/>
  <c r="L293" i="20"/>
  <c r="K294" i="14" s="1"/>
  <c r="J293" i="20"/>
  <c r="I294" i="14" s="1"/>
  <c r="S294" i="14" s="1"/>
  <c r="U145" i="20"/>
  <c r="Q145" i="20"/>
  <c r="J145" i="20"/>
  <c r="U3" i="20"/>
  <c r="Q3" i="20"/>
  <c r="T2" i="18"/>
  <c r="L86" i="2"/>
  <c r="AL86" i="2" s="1"/>
  <c r="J100" i="2"/>
  <c r="R2" i="18"/>
  <c r="S2" i="18"/>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AY7" i="15"/>
  <c r="AY8" i="15"/>
  <c r="AY10" i="15"/>
  <c r="AY11" i="15"/>
  <c r="AY14" i="15"/>
  <c r="AY15" i="15"/>
  <c r="AY16" i="15"/>
  <c r="AY19" i="15"/>
  <c r="AY20" i="15"/>
  <c r="AY23" i="15"/>
  <c r="AY24" i="15"/>
  <c r="AY27" i="15"/>
  <c r="AY5" i="15"/>
  <c r="AX27" i="15"/>
  <c r="E448" i="15"/>
  <c r="F448" i="15"/>
  <c r="AA40" i="13"/>
  <c r="AA41" i="13"/>
  <c r="AA42" i="13"/>
  <c r="AA43" i="13"/>
  <c r="AA44" i="13"/>
  <c r="AA45" i="13"/>
  <c r="AA46" i="13"/>
  <c r="AA47" i="13"/>
  <c r="AA48" i="13"/>
  <c r="AA49" i="13"/>
  <c r="AA50" i="13"/>
  <c r="AA51" i="13"/>
  <c r="AA52" i="13"/>
  <c r="AA53" i="13"/>
  <c r="AA54" i="13"/>
  <c r="AA55" i="13"/>
  <c r="AA56" i="13"/>
  <c r="AA57" i="13"/>
  <c r="H37" i="13"/>
  <c r="H38" i="13"/>
  <c r="H39" i="13"/>
  <c r="I39" i="13" s="1"/>
  <c r="H4" i="13"/>
  <c r="H5" i="13"/>
  <c r="H6" i="13"/>
  <c r="H7" i="13"/>
  <c r="I7" i="13" s="1"/>
  <c r="H8" i="13"/>
  <c r="H9" i="13"/>
  <c r="H10" i="13"/>
  <c r="H11" i="13"/>
  <c r="I11" i="13" s="1"/>
  <c r="H12" i="13"/>
  <c r="H13" i="13"/>
  <c r="H14" i="13"/>
  <c r="H15" i="13"/>
  <c r="O15" i="13" s="1"/>
  <c r="AG15" i="13" s="1"/>
  <c r="H16" i="13"/>
  <c r="Q16" i="13" s="1"/>
  <c r="AI16" i="13" s="1"/>
  <c r="H17" i="13"/>
  <c r="M17" i="13" s="1"/>
  <c r="H18" i="13"/>
  <c r="H19" i="13"/>
  <c r="K19" i="13" s="1"/>
  <c r="H20" i="13"/>
  <c r="M20" i="13" s="1"/>
  <c r="AE20" i="13" s="1"/>
  <c r="H21" i="13"/>
  <c r="Q21" i="13" s="1"/>
  <c r="AI21" i="13" s="1"/>
  <c r="H22" i="13"/>
  <c r="H23" i="13"/>
  <c r="O23" i="13" s="1"/>
  <c r="AG23" i="13" s="1"/>
  <c r="H24" i="13"/>
  <c r="M24" i="13" s="1"/>
  <c r="AE24" i="13" s="1"/>
  <c r="H25" i="13"/>
  <c r="J25" i="13" s="1"/>
  <c r="H26" i="13"/>
  <c r="K26" i="13" s="1"/>
  <c r="H27" i="13"/>
  <c r="L27" i="13" s="1"/>
  <c r="AD27" i="13" s="1"/>
  <c r="H28" i="13"/>
  <c r="M28" i="13" s="1"/>
  <c r="AE28" i="13" s="1"/>
  <c r="H29" i="13"/>
  <c r="J29" i="13" s="1"/>
  <c r="H30" i="13"/>
  <c r="K30" i="13" s="1"/>
  <c r="AC30" i="13" s="1"/>
  <c r="H31" i="13"/>
  <c r="I31" i="13" s="1"/>
  <c r="H32" i="13"/>
  <c r="H33" i="13"/>
  <c r="H34" i="13"/>
  <c r="H35" i="13"/>
  <c r="I35" i="13" s="1"/>
  <c r="H36" i="13"/>
  <c r="H3" i="13"/>
  <c r="V3" i="13" s="1"/>
  <c r="AN3" i="13" s="1"/>
  <c r="G37" i="13"/>
  <c r="G38" i="13"/>
  <c r="AQ38" i="13" s="1"/>
  <c r="G39" i="13"/>
  <c r="AQ39" i="13" s="1"/>
  <c r="AQ37" i="13"/>
  <c r="AU36" i="13"/>
  <c r="AU39" i="13"/>
  <c r="AR39" i="13" s="1"/>
  <c r="AU38" i="13"/>
  <c r="AR38" i="13" s="1"/>
  <c r="AU37" i="13"/>
  <c r="AR37" i="13" s="1"/>
  <c r="AU4" i="13"/>
  <c r="AU5" i="13"/>
  <c r="AU6" i="13"/>
  <c r="AU7" i="13"/>
  <c r="AU8" i="13"/>
  <c r="AU9" i="13"/>
  <c r="AU10" i="13"/>
  <c r="AU11" i="13"/>
  <c r="AU12" i="13"/>
  <c r="AU13" i="13"/>
  <c r="AU14" i="13"/>
  <c r="AU15" i="13"/>
  <c r="AU16" i="13"/>
  <c r="AU17" i="13"/>
  <c r="AU18" i="13"/>
  <c r="AU19" i="13"/>
  <c r="AU20" i="13"/>
  <c r="AU21" i="13"/>
  <c r="AU22" i="13"/>
  <c r="AU23" i="13"/>
  <c r="AU24" i="13"/>
  <c r="AU25" i="13"/>
  <c r="AU26" i="13"/>
  <c r="AU27" i="13"/>
  <c r="AU28" i="13"/>
  <c r="AU29" i="13"/>
  <c r="AU30" i="13"/>
  <c r="AU31" i="13"/>
  <c r="AU32" i="13"/>
  <c r="AU33" i="13"/>
  <c r="AU34" i="13"/>
  <c r="AU35" i="13"/>
  <c r="AU3" i="13"/>
  <c r="BA5" i="14"/>
  <c r="BB5" i="14"/>
  <c r="BA6" i="14"/>
  <c r="BB6" i="14"/>
  <c r="BA7" i="14"/>
  <c r="BB7" i="14"/>
  <c r="BA8" i="14"/>
  <c r="BB8" i="14"/>
  <c r="BA10" i="14"/>
  <c r="BB10" i="14"/>
  <c r="BA11" i="14"/>
  <c r="BB11" i="14"/>
  <c r="BA12" i="14"/>
  <c r="BB12" i="14"/>
  <c r="BA13" i="14"/>
  <c r="BB13" i="14"/>
  <c r="BA14" i="14"/>
  <c r="BB14" i="14"/>
  <c r="BA15" i="14"/>
  <c r="BB15" i="14"/>
  <c r="BA16" i="14"/>
  <c r="BB16" i="14"/>
  <c r="BA17" i="14"/>
  <c r="BB17" i="14"/>
  <c r="BA18" i="14"/>
  <c r="BB18" i="14"/>
  <c r="BA19" i="14"/>
  <c r="BB19" i="14"/>
  <c r="BA20" i="14"/>
  <c r="BB20" i="14"/>
  <c r="BA21" i="14"/>
  <c r="BB21" i="14"/>
  <c r="BA22" i="14"/>
  <c r="BB22" i="14"/>
  <c r="BA23" i="14"/>
  <c r="BB23" i="14"/>
  <c r="BA24" i="14"/>
  <c r="BB24" i="14"/>
  <c r="BA25" i="14"/>
  <c r="BB25" i="14"/>
  <c r="BA26" i="14"/>
  <c r="BB26" i="14"/>
  <c r="BA27" i="14"/>
  <c r="BB27" i="14"/>
  <c r="BA28" i="14"/>
  <c r="BB28" i="14"/>
  <c r="BA29" i="14"/>
  <c r="BB29" i="14"/>
  <c r="BA30" i="14"/>
  <c r="BB30" i="14"/>
  <c r="BA31" i="14"/>
  <c r="BB31" i="14"/>
  <c r="BA32" i="14"/>
  <c r="BB32" i="14"/>
  <c r="BA33" i="14"/>
  <c r="BB33" i="14"/>
  <c r="BA34" i="14"/>
  <c r="BB34" i="14"/>
  <c r="BA35" i="14"/>
  <c r="BB35" i="14"/>
  <c r="BA36" i="14"/>
  <c r="BB36" i="14"/>
  <c r="BA37" i="14"/>
  <c r="BB37" i="14"/>
  <c r="BA38" i="14"/>
  <c r="BB38" i="14"/>
  <c r="BA39" i="14"/>
  <c r="BB39" i="14"/>
  <c r="BA40" i="14"/>
  <c r="BB40" i="14"/>
  <c r="BA41" i="14"/>
  <c r="BB41" i="14"/>
  <c r="BA42" i="14"/>
  <c r="BB42" i="14"/>
  <c r="BA43" i="14"/>
  <c r="BB43" i="14"/>
  <c r="BA44" i="14"/>
  <c r="BB44" i="14"/>
  <c r="BA45" i="14"/>
  <c r="BB45" i="14"/>
  <c r="BA46" i="14"/>
  <c r="BB46" i="14"/>
  <c r="BA47" i="14"/>
  <c r="BB47" i="14"/>
  <c r="BA48" i="14"/>
  <c r="BB48" i="14"/>
  <c r="BA49" i="14"/>
  <c r="BB49" i="14"/>
  <c r="AX5" i="14"/>
  <c r="AY5" i="14"/>
  <c r="AZ5" i="14"/>
  <c r="AZ6" i="14"/>
  <c r="AZ7" i="14"/>
  <c r="AZ8" i="14"/>
  <c r="AW10" i="14"/>
  <c r="AX10" i="14"/>
  <c r="AY10" i="14"/>
  <c r="AZ10" i="14"/>
  <c r="AW11" i="14"/>
  <c r="AX11" i="14"/>
  <c r="AY11" i="14"/>
  <c r="AZ11" i="14"/>
  <c r="AW12" i="14"/>
  <c r="AX12" i="14"/>
  <c r="AY12" i="14"/>
  <c r="AZ12" i="14"/>
  <c r="AX13" i="14"/>
  <c r="AY13" i="14"/>
  <c r="AZ13" i="14"/>
  <c r="AX14" i="14"/>
  <c r="AY14" i="14"/>
  <c r="AZ14" i="14"/>
  <c r="AY16" i="14"/>
  <c r="AZ16" i="14"/>
  <c r="AX17" i="14"/>
  <c r="AY17" i="14"/>
  <c r="AZ17" i="14"/>
  <c r="AX18" i="14"/>
  <c r="AY18" i="14"/>
  <c r="AZ18" i="14"/>
  <c r="AY19" i="14"/>
  <c r="AZ19" i="14"/>
  <c r="AW20" i="14"/>
  <c r="AX20" i="14"/>
  <c r="AY20" i="14"/>
  <c r="AZ20" i="14"/>
  <c r="AZ21" i="14"/>
  <c r="AX23" i="14"/>
  <c r="AY23" i="14"/>
  <c r="AZ23" i="14"/>
  <c r="AY24" i="14"/>
  <c r="AZ24" i="14"/>
  <c r="AW25" i="14"/>
  <c r="AX25" i="14"/>
  <c r="AY25" i="14"/>
  <c r="AZ25" i="14"/>
  <c r="AZ26" i="14"/>
  <c r="AY27" i="14"/>
  <c r="AZ27" i="14"/>
  <c r="AY28" i="14"/>
  <c r="AZ28" i="14"/>
  <c r="AY29" i="14"/>
  <c r="AZ29" i="14"/>
  <c r="AY30" i="14"/>
  <c r="AZ30" i="14"/>
  <c r="AZ31" i="14"/>
  <c r="AY32" i="14"/>
  <c r="AZ32" i="14"/>
  <c r="AW33" i="14"/>
  <c r="AX33" i="14"/>
  <c r="AY33" i="14"/>
  <c r="AZ33" i="14"/>
  <c r="AW34" i="14"/>
  <c r="AX34" i="14"/>
  <c r="AY34" i="14"/>
  <c r="AZ34" i="14"/>
  <c r="AZ35" i="14"/>
  <c r="AW36" i="14"/>
  <c r="AX36" i="14"/>
  <c r="AY36" i="14"/>
  <c r="AZ36" i="14"/>
  <c r="AW37" i="14"/>
  <c r="AX37" i="14"/>
  <c r="AY37" i="14"/>
  <c r="AZ37" i="14"/>
  <c r="AW38" i="14"/>
  <c r="AX38" i="14"/>
  <c r="AY38" i="14"/>
  <c r="AZ38" i="14"/>
  <c r="AW39" i="14"/>
  <c r="AX39" i="14"/>
  <c r="AY39" i="14"/>
  <c r="AZ39" i="14"/>
  <c r="AX40" i="14"/>
  <c r="AY40" i="14"/>
  <c r="AZ40" i="14"/>
  <c r="AX41" i="14"/>
  <c r="AY41" i="14"/>
  <c r="AZ41" i="14"/>
  <c r="AW42" i="14"/>
  <c r="AX42" i="14"/>
  <c r="AY42" i="14"/>
  <c r="AZ42" i="14"/>
  <c r="AW43" i="14"/>
  <c r="AX43" i="14"/>
  <c r="AY43" i="14"/>
  <c r="AZ43" i="14"/>
  <c r="AW44" i="14"/>
  <c r="AX44" i="14"/>
  <c r="AY44" i="14"/>
  <c r="AZ44" i="14"/>
  <c r="AW45" i="14"/>
  <c r="AX45" i="14"/>
  <c r="AY45" i="14"/>
  <c r="AZ45" i="14"/>
  <c r="AX46" i="14"/>
  <c r="AY46" i="14"/>
  <c r="AZ46" i="14"/>
  <c r="AX47" i="14"/>
  <c r="AY47" i="14"/>
  <c r="AZ47" i="14"/>
  <c r="AX48" i="14"/>
  <c r="AY48" i="14"/>
  <c r="AZ48" i="14"/>
  <c r="AW49" i="14"/>
  <c r="AX49" i="14"/>
  <c r="AY49" i="14"/>
  <c r="AZ49" i="14"/>
  <c r="AV10" i="14"/>
  <c r="AV12" i="14"/>
  <c r="AS40" i="14"/>
  <c r="AS42" i="14"/>
  <c r="AS43" i="14"/>
  <c r="AS44" i="14"/>
  <c r="AS47" i="14"/>
  <c r="AS48" i="14"/>
  <c r="AS7" i="14"/>
  <c r="AS8" i="14"/>
  <c r="AS11" i="14"/>
  <c r="AS12" i="14"/>
  <c r="AS15" i="14"/>
  <c r="AS16" i="14"/>
  <c r="AS17" i="14"/>
  <c r="AS19" i="14"/>
  <c r="AS20" i="14"/>
  <c r="AS23" i="14"/>
  <c r="AS24" i="14"/>
  <c r="AS27" i="14"/>
  <c r="AS28" i="14"/>
  <c r="AS31" i="14"/>
  <c r="AS32" i="14"/>
  <c r="AS33" i="14"/>
  <c r="AS35" i="14"/>
  <c r="AS36" i="14"/>
  <c r="AS39" i="14"/>
  <c r="AF49" i="14"/>
  <c r="AR49" i="14" s="1"/>
  <c r="AF48" i="14"/>
  <c r="AR48" i="14" s="1"/>
  <c r="AF47" i="14"/>
  <c r="AR47" i="14" s="1"/>
  <c r="AF46" i="14"/>
  <c r="AR46" i="14" s="1"/>
  <c r="AF45" i="14"/>
  <c r="AR45" i="14" s="1"/>
  <c r="AF44" i="14"/>
  <c r="AR44" i="14" s="1"/>
  <c r="AF43" i="14"/>
  <c r="AR43" i="14" s="1"/>
  <c r="AF42" i="14"/>
  <c r="AR42" i="14" s="1"/>
  <c r="AF41" i="14"/>
  <c r="AR41" i="14" s="1"/>
  <c r="AF40" i="14"/>
  <c r="AR40" i="14" s="1"/>
  <c r="AF39" i="14"/>
  <c r="AR39" i="14" s="1"/>
  <c r="BI28" i="17"/>
  <c r="BI27" i="17"/>
  <c r="BI8" i="17"/>
  <c r="BI21" i="17"/>
  <c r="BI24" i="17"/>
  <c r="BI25" i="17"/>
  <c r="BI34" i="17"/>
  <c r="BI35" i="17"/>
  <c r="BI36" i="17"/>
  <c r="BI37" i="17"/>
  <c r="BI38" i="17"/>
  <c r="BI39" i="17"/>
  <c r="BH27" i="17"/>
  <c r="BH34" i="17"/>
  <c r="BH35" i="17"/>
  <c r="BH36" i="17"/>
  <c r="BH37" i="17"/>
  <c r="BH38" i="17"/>
  <c r="BH39" i="17"/>
  <c r="BE8" i="17"/>
  <c r="BE10" i="17"/>
  <c r="BE12" i="17"/>
  <c r="BE14" i="17"/>
  <c r="BE16" i="17"/>
  <c r="BE18" i="17"/>
  <c r="BE20" i="17"/>
  <c r="BE24" i="17"/>
  <c r="BE26" i="17"/>
  <c r="BE28" i="17"/>
  <c r="BE30" i="17"/>
  <c r="BE31" i="17"/>
  <c r="BE32" i="17"/>
  <c r="BE33" i="17"/>
  <c r="BE5" i="17"/>
  <c r="AE30" i="17"/>
  <c r="AE31" i="17"/>
  <c r="BD31" i="17" s="1"/>
  <c r="AE32" i="17"/>
  <c r="BD32" i="17" s="1"/>
  <c r="AE33" i="17"/>
  <c r="BD33" i="17" s="1"/>
  <c r="BD30" i="17"/>
  <c r="X121" i="17"/>
  <c r="X122" i="17"/>
  <c r="X123" i="17"/>
  <c r="X124" i="17"/>
  <c r="X125" i="17"/>
  <c r="X126" i="17"/>
  <c r="X127" i="17"/>
  <c r="X128" i="17"/>
  <c r="X129" i="17"/>
  <c r="X130" i="17"/>
  <c r="X131" i="17"/>
  <c r="X132" i="17"/>
  <c r="X133" i="17"/>
  <c r="X134" i="17"/>
  <c r="X135" i="17"/>
  <c r="X136" i="17"/>
  <c r="X137" i="17"/>
  <c r="W121" i="17"/>
  <c r="W122" i="17"/>
  <c r="W123" i="17"/>
  <c r="W124" i="17"/>
  <c r="U124" i="17" s="1"/>
  <c r="W125" i="17"/>
  <c r="U125" i="17" s="1"/>
  <c r="W126" i="17"/>
  <c r="W127" i="17"/>
  <c r="W128" i="17"/>
  <c r="U128" i="17" s="1"/>
  <c r="W129" i="17"/>
  <c r="W130" i="17"/>
  <c r="W131" i="17"/>
  <c r="W132" i="17"/>
  <c r="U132" i="17" s="1"/>
  <c r="W133" i="17"/>
  <c r="U133" i="17" s="1"/>
  <c r="W134" i="17"/>
  <c r="W135" i="17"/>
  <c r="W136" i="17"/>
  <c r="U136" i="17" s="1"/>
  <c r="W137" i="17"/>
  <c r="U137" i="17" s="1"/>
  <c r="U121" i="17"/>
  <c r="U122" i="17"/>
  <c r="U126" i="17"/>
  <c r="U129" i="17"/>
  <c r="U130" i="17"/>
  <c r="U134" i="17"/>
  <c r="X121" i="14"/>
  <c r="X122" i="14"/>
  <c r="X123" i="14"/>
  <c r="X124" i="14"/>
  <c r="X125" i="14"/>
  <c r="X126" i="14"/>
  <c r="X127" i="14"/>
  <c r="X128" i="14"/>
  <c r="X129" i="14"/>
  <c r="X130" i="14"/>
  <c r="X131" i="14"/>
  <c r="X132" i="14"/>
  <c r="X133" i="14"/>
  <c r="X134" i="14"/>
  <c r="X135" i="14"/>
  <c r="X136" i="14"/>
  <c r="X137" i="14"/>
  <c r="X138" i="14"/>
  <c r="X139" i="14"/>
  <c r="X140" i="14"/>
  <c r="W121" i="14"/>
  <c r="W122" i="14"/>
  <c r="W123" i="14"/>
  <c r="W124" i="14"/>
  <c r="W125" i="14"/>
  <c r="U125" i="14" s="1"/>
  <c r="W126" i="14"/>
  <c r="U126" i="14" s="1"/>
  <c r="W127" i="14"/>
  <c r="U127" i="14" s="1"/>
  <c r="W128" i="14"/>
  <c r="W129" i="14"/>
  <c r="U129" i="14" s="1"/>
  <c r="W130" i="14"/>
  <c r="U130" i="14" s="1"/>
  <c r="W131" i="14"/>
  <c r="U131" i="14" s="1"/>
  <c r="W132" i="14"/>
  <c r="W133" i="14"/>
  <c r="U133" i="14" s="1"/>
  <c r="W134" i="14"/>
  <c r="U134" i="14" s="1"/>
  <c r="W135" i="14"/>
  <c r="W136" i="14"/>
  <c r="U136" i="14" s="1"/>
  <c r="W137" i="14"/>
  <c r="U137" i="14" s="1"/>
  <c r="W138" i="14"/>
  <c r="W139" i="14"/>
  <c r="W140" i="14"/>
  <c r="U140" i="14" s="1"/>
  <c r="U121" i="14"/>
  <c r="U122" i="14"/>
  <c r="U123" i="14"/>
  <c r="AG62" i="10"/>
  <c r="AG63" i="10"/>
  <c r="AG64" i="10"/>
  <c r="AG65" i="10"/>
  <c r="AG66" i="10"/>
  <c r="AG67" i="10"/>
  <c r="T4"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Z49" i="10" s="1"/>
  <c r="AL49" i="10" s="1"/>
  <c r="T50" i="10"/>
  <c r="AB50" i="10" s="1"/>
  <c r="AN50" i="10" s="1"/>
  <c r="T51" i="10"/>
  <c r="AA51" i="10" s="1"/>
  <c r="AM51" i="10" s="1"/>
  <c r="T52" i="10"/>
  <c r="T53" i="10"/>
  <c r="X53" i="10" s="1"/>
  <c r="AJ53" i="10" s="1"/>
  <c r="T54" i="10"/>
  <c r="W54" i="10" s="1"/>
  <c r="T55" i="10"/>
  <c r="V55" i="10" s="1"/>
  <c r="T56" i="10"/>
  <c r="U56" i="10" s="1"/>
  <c r="T57" i="10"/>
  <c r="X57" i="10" s="1"/>
  <c r="AJ57" i="10" s="1"/>
  <c r="T58" i="10"/>
  <c r="T59" i="10"/>
  <c r="T60" i="10"/>
  <c r="T61" i="10"/>
  <c r="T3" i="10"/>
  <c r="X3" i="10" s="1"/>
  <c r="AJ3" i="10" s="1"/>
  <c r="S58" i="10"/>
  <c r="S59" i="10"/>
  <c r="S60" i="10"/>
  <c r="AP60" i="10" s="1"/>
  <c r="S61" i="10"/>
  <c r="AP61" i="10" s="1"/>
  <c r="AH63" i="10"/>
  <c r="AH65" i="10"/>
  <c r="AH67" i="10"/>
  <c r="AH62" i="10"/>
  <c r="AH64" i="10"/>
  <c r="AH66" i="10"/>
  <c r="AP58" i="10"/>
  <c r="AP59" i="10"/>
  <c r="A192" i="12"/>
  <c r="A185" i="12"/>
  <c r="A186" i="12"/>
  <c r="A187" i="12"/>
  <c r="A188" i="12"/>
  <c r="A189" i="12"/>
  <c r="A190" i="12"/>
  <c r="A191" i="12"/>
  <c r="A188" i="2"/>
  <c r="A189" i="2"/>
  <c r="A190" i="2"/>
  <c r="A191" i="2"/>
  <c r="A192" i="2"/>
  <c r="T192" i="2"/>
  <c r="P189" i="2"/>
  <c r="I192" i="2"/>
  <c r="K192" i="2" s="1"/>
  <c r="P192" i="2"/>
  <c r="AQ192" i="2"/>
  <c r="T189" i="2"/>
  <c r="I189" i="2"/>
  <c r="K189" i="2" s="1"/>
  <c r="AQ189" i="2"/>
  <c r="T191" i="2"/>
  <c r="I191" i="2"/>
  <c r="K191" i="2" s="1"/>
  <c r="AQ188" i="2"/>
  <c r="AQ190" i="2"/>
  <c r="AQ191" i="2"/>
  <c r="P191" i="2"/>
  <c r="T190" i="2"/>
  <c r="I190" i="2"/>
  <c r="K190" i="2" s="1"/>
  <c r="P190" i="2"/>
  <c r="I188" i="2"/>
  <c r="K188" i="2" s="1"/>
  <c r="T188" i="2"/>
  <c r="P188" i="2"/>
  <c r="T187" i="2"/>
  <c r="I187" i="2"/>
  <c r="K187" i="2" s="1"/>
  <c r="A187" i="2"/>
  <c r="AQ187" i="2"/>
  <c r="T185" i="2"/>
  <c r="P187" i="2"/>
  <c r="I185" i="2"/>
  <c r="K185" i="2" s="1"/>
  <c r="A185" i="2"/>
  <c r="P185" i="2"/>
  <c r="AQ185" i="2"/>
  <c r="T186" i="2"/>
  <c r="I186" i="2"/>
  <c r="K186" i="2" s="1"/>
  <c r="A186" i="2"/>
  <c r="P186" i="2"/>
  <c r="AQ186" i="2"/>
  <c r="M3" i="18"/>
  <c r="P2" i="18"/>
  <c r="O2" i="18"/>
  <c r="N2" i="18"/>
  <c r="M2" i="18"/>
  <c r="I2" i="18"/>
  <c r="H2" i="18"/>
  <c r="G2" i="18"/>
  <c r="F2" i="18"/>
  <c r="C2" i="18"/>
  <c r="B2" i="18"/>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Q141" i="2"/>
  <c r="AQ142" i="2"/>
  <c r="AQ143" i="2"/>
  <c r="AQ144" i="2"/>
  <c r="AQ145" i="2"/>
  <c r="AQ146" i="2"/>
  <c r="AQ147" i="2"/>
  <c r="AQ148" i="2"/>
  <c r="AQ149" i="2"/>
  <c r="AQ150" i="2"/>
  <c r="AQ151" i="2"/>
  <c r="AQ152" i="2"/>
  <c r="AQ153" i="2"/>
  <c r="AQ154" i="2"/>
  <c r="AQ155" i="2"/>
  <c r="AQ156" i="2"/>
  <c r="AQ157" i="2"/>
  <c r="AQ158" i="2"/>
  <c r="AQ159" i="2"/>
  <c r="AQ160" i="2"/>
  <c r="AQ161" i="2"/>
  <c r="AQ162" i="2"/>
  <c r="AQ163" i="2"/>
  <c r="AQ164" i="2"/>
  <c r="AQ165" i="2"/>
  <c r="AQ166" i="2"/>
  <c r="AQ167" i="2"/>
  <c r="AQ168" i="2"/>
  <c r="AQ169" i="2"/>
  <c r="AQ170" i="2"/>
  <c r="AQ171" i="2"/>
  <c r="AQ172" i="2"/>
  <c r="AQ173" i="2"/>
  <c r="AQ174" i="2"/>
  <c r="AQ175" i="2"/>
  <c r="AQ176" i="2"/>
  <c r="AQ177" i="2"/>
  <c r="AQ178" i="2"/>
  <c r="AQ179" i="2"/>
  <c r="AQ180" i="2"/>
  <c r="AQ181" i="2"/>
  <c r="AQ182" i="2"/>
  <c r="AQ183" i="2"/>
  <c r="AQ184" i="2"/>
  <c r="AQ3" i="2"/>
  <c r="AQ4" i="2"/>
  <c r="AQ5" i="2"/>
  <c r="AQ6" i="2"/>
  <c r="AQ7" i="2"/>
  <c r="AQ8" i="2"/>
  <c r="AQ9" i="2"/>
  <c r="AQ10" i="2"/>
  <c r="AQ11" i="2"/>
  <c r="AQ12" i="2"/>
  <c r="AQ13" i="2"/>
  <c r="AQ14" i="2"/>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2" i="2"/>
  <c r="BU29" i="17"/>
  <c r="BT29" i="17"/>
  <c r="BS29" i="17"/>
  <c r="BR29" i="17"/>
  <c r="BQ29" i="17"/>
  <c r="BP29" i="17"/>
  <c r="BO29" i="17"/>
  <c r="BN29" i="17"/>
  <c r="BM29" i="17"/>
  <c r="BL29" i="17"/>
  <c r="BK29" i="17"/>
  <c r="BU28" i="17"/>
  <c r="BT28" i="17"/>
  <c r="BS28" i="17"/>
  <c r="BR28" i="17"/>
  <c r="BQ28" i="17"/>
  <c r="BP28" i="17"/>
  <c r="BO28" i="17"/>
  <c r="BN28" i="17"/>
  <c r="BM28" i="17"/>
  <c r="BL28" i="17"/>
  <c r="BK28" i="17"/>
  <c r="BJ28" i="17"/>
  <c r="BU27" i="17"/>
  <c r="BT27" i="17"/>
  <c r="BS27" i="17"/>
  <c r="BR27" i="17"/>
  <c r="BQ27" i="17"/>
  <c r="BP27" i="17"/>
  <c r="BO27" i="17"/>
  <c r="BN27" i="17"/>
  <c r="BM27" i="17"/>
  <c r="BL27" i="17"/>
  <c r="BK27" i="17"/>
  <c r="BJ27" i="17"/>
  <c r="BU26" i="17"/>
  <c r="BT26" i="17"/>
  <c r="BS26" i="17"/>
  <c r="BR26" i="17"/>
  <c r="BQ26" i="17"/>
  <c r="BP26" i="17"/>
  <c r="BO26" i="17"/>
  <c r="BN26" i="17"/>
  <c r="BM26" i="17"/>
  <c r="BL26" i="17"/>
  <c r="BU25" i="17"/>
  <c r="BT25" i="17"/>
  <c r="BS25" i="17"/>
  <c r="BR25" i="17"/>
  <c r="BQ25" i="17"/>
  <c r="BP25" i="17"/>
  <c r="BO25" i="17"/>
  <c r="BN25" i="17"/>
  <c r="BM25" i="17"/>
  <c r="BL25" i="17"/>
  <c r="BK25" i="17"/>
  <c r="BJ25" i="17"/>
  <c r="BU24" i="17"/>
  <c r="BT24" i="17"/>
  <c r="BS24" i="17"/>
  <c r="BR24" i="17"/>
  <c r="BQ24" i="17"/>
  <c r="BP24" i="17"/>
  <c r="BO24" i="17"/>
  <c r="BN24" i="17"/>
  <c r="BM24" i="17"/>
  <c r="BL24" i="17"/>
  <c r="BK24" i="17"/>
  <c r="BJ24" i="17"/>
  <c r="BU23" i="17"/>
  <c r="BT23" i="17"/>
  <c r="BS23" i="17"/>
  <c r="BR23" i="17"/>
  <c r="BQ23" i="17"/>
  <c r="BP23" i="17"/>
  <c r="BO23" i="17"/>
  <c r="BN23" i="17"/>
  <c r="BM23" i="17"/>
  <c r="BU22" i="17"/>
  <c r="BT22" i="17"/>
  <c r="BS22" i="17"/>
  <c r="BR22" i="17"/>
  <c r="BQ22" i="17"/>
  <c r="BP22" i="17"/>
  <c r="BO22" i="17"/>
  <c r="BN22" i="17"/>
  <c r="BU21" i="17"/>
  <c r="BT21" i="17"/>
  <c r="BS21" i="17"/>
  <c r="BR21" i="17"/>
  <c r="BQ21" i="17"/>
  <c r="BP21" i="17"/>
  <c r="BO21" i="17"/>
  <c r="BN21" i="17"/>
  <c r="BM21" i="17"/>
  <c r="BL21" i="17"/>
  <c r="BK21" i="17"/>
  <c r="BJ21" i="17"/>
  <c r="BU20" i="17"/>
  <c r="BT20" i="17"/>
  <c r="BS20" i="17"/>
  <c r="BR20" i="17"/>
  <c r="BQ20" i="17"/>
  <c r="BP20" i="17"/>
  <c r="BO20" i="17"/>
  <c r="BN20" i="17"/>
  <c r="BM20" i="17"/>
  <c r="BL20" i="17"/>
  <c r="BU19" i="17"/>
  <c r="BT19" i="17"/>
  <c r="BS19" i="17"/>
  <c r="BR19" i="17"/>
  <c r="BQ19" i="17"/>
  <c r="BP19" i="17"/>
  <c r="BO19" i="17"/>
  <c r="BN19" i="17"/>
  <c r="BM19" i="17"/>
  <c r="BL19" i="17"/>
  <c r="BK19" i="17"/>
  <c r="BU18" i="17"/>
  <c r="BT18" i="17"/>
  <c r="BS18" i="17"/>
  <c r="BR18" i="17"/>
  <c r="BQ18" i="17"/>
  <c r="BP18" i="17"/>
  <c r="BO18" i="17"/>
  <c r="BN18" i="17"/>
  <c r="BM18" i="17"/>
  <c r="BL18" i="17"/>
  <c r="BK18" i="17"/>
  <c r="BJ18" i="17"/>
  <c r="BU17" i="17"/>
  <c r="BT17" i="17"/>
  <c r="BS17" i="17"/>
  <c r="BR17" i="17"/>
  <c r="BQ17" i="17"/>
  <c r="BP17" i="17"/>
  <c r="BO17" i="17"/>
  <c r="BN17" i="17"/>
  <c r="BM17" i="17"/>
  <c r="BL17" i="17"/>
  <c r="BK17" i="17"/>
  <c r="BJ17" i="17"/>
  <c r="BU16" i="17"/>
  <c r="BT16" i="17"/>
  <c r="BS16" i="17"/>
  <c r="BU15" i="17"/>
  <c r="BT15" i="17"/>
  <c r="BS15" i="17"/>
  <c r="BR15" i="17"/>
  <c r="BU14" i="17"/>
  <c r="BT14" i="17"/>
  <c r="BS14" i="17"/>
  <c r="BR14" i="17"/>
  <c r="BQ14" i="17"/>
  <c r="BP14" i="17"/>
  <c r="BO14" i="17"/>
  <c r="BN14" i="17"/>
  <c r="BM14" i="17"/>
  <c r="BL14" i="17"/>
  <c r="BK14" i="17"/>
  <c r="BU13" i="17"/>
  <c r="BT13" i="17"/>
  <c r="BS13" i="17"/>
  <c r="BR13" i="17"/>
  <c r="BQ13" i="17"/>
  <c r="BP13" i="17"/>
  <c r="BO13" i="17"/>
  <c r="BN13" i="17"/>
  <c r="BM13" i="17"/>
  <c r="BL13" i="17"/>
  <c r="BU12" i="17"/>
  <c r="BT12" i="17"/>
  <c r="BS12" i="17"/>
  <c r="BR12" i="17"/>
  <c r="BQ12" i="17"/>
  <c r="BP12" i="17"/>
  <c r="BO12" i="17"/>
  <c r="BN12" i="17"/>
  <c r="BM12" i="17"/>
  <c r="BL12" i="17"/>
  <c r="BK12" i="17"/>
  <c r="BJ12" i="17"/>
  <c r="BU11" i="17"/>
  <c r="BT11" i="17"/>
  <c r="BS11" i="17"/>
  <c r="BR11" i="17"/>
  <c r="BQ11" i="17"/>
  <c r="BP11" i="17"/>
  <c r="BO11" i="17"/>
  <c r="BN11" i="17"/>
  <c r="BM11" i="17"/>
  <c r="BU10" i="17"/>
  <c r="BT10" i="17"/>
  <c r="BS10" i="17"/>
  <c r="BR10" i="17"/>
  <c r="BQ10" i="17"/>
  <c r="BP10" i="17"/>
  <c r="BO10" i="17"/>
  <c r="BN10" i="17"/>
  <c r="BM10" i="17"/>
  <c r="BL10" i="17"/>
  <c r="BK10" i="17"/>
  <c r="BJ10" i="17"/>
  <c r="BU9" i="17"/>
  <c r="BT9" i="17"/>
  <c r="BS9" i="17"/>
  <c r="BR9" i="17"/>
  <c r="BQ9" i="17"/>
  <c r="BP9" i="17"/>
  <c r="BO9" i="17"/>
  <c r="BN9" i="17"/>
  <c r="BM9" i="17"/>
  <c r="BL9" i="17"/>
  <c r="BK9" i="17"/>
  <c r="BJ9" i="17"/>
  <c r="BU8" i="17"/>
  <c r="BT8" i="17"/>
  <c r="BS8" i="17"/>
  <c r="BR8" i="17"/>
  <c r="BQ8" i="17"/>
  <c r="BP8" i="17"/>
  <c r="BO8" i="17"/>
  <c r="BN8" i="17"/>
  <c r="BM8" i="17"/>
  <c r="BL8" i="17"/>
  <c r="BK8" i="17"/>
  <c r="BJ8" i="17"/>
  <c r="BU7" i="17"/>
  <c r="BT7" i="17"/>
  <c r="BS7" i="17"/>
  <c r="BR7" i="17"/>
  <c r="BQ7" i="17"/>
  <c r="BU5" i="17"/>
  <c r="BT5" i="17"/>
  <c r="BS5" i="17"/>
  <c r="BR5" i="17"/>
  <c r="BQ5" i="17"/>
  <c r="BP5" i="17"/>
  <c r="BO5" i="17"/>
  <c r="BN5" i="17"/>
  <c r="BM5" i="17"/>
  <c r="BL5" i="17"/>
  <c r="BK5" i="17"/>
  <c r="BJ5" i="17"/>
  <c r="BT3" i="17"/>
  <c r="BU3" i="17"/>
  <c r="BQ3" i="17"/>
  <c r="BR3" i="17"/>
  <c r="BS3" i="17"/>
  <c r="BO3" i="17"/>
  <c r="BP3" i="17"/>
  <c r="X120" i="17"/>
  <c r="W120" i="17"/>
  <c r="X119" i="17"/>
  <c r="W119" i="17"/>
  <c r="X118" i="17"/>
  <c r="W118" i="17"/>
  <c r="X117" i="17"/>
  <c r="W117" i="17"/>
  <c r="X116" i="17"/>
  <c r="W116" i="17"/>
  <c r="X115" i="17"/>
  <c r="W115" i="17"/>
  <c r="X114" i="17"/>
  <c r="W114" i="17"/>
  <c r="X113" i="17"/>
  <c r="W113" i="17"/>
  <c r="X112" i="17"/>
  <c r="W112" i="17"/>
  <c r="X111" i="17"/>
  <c r="W111" i="17"/>
  <c r="X110" i="17"/>
  <c r="W110" i="17"/>
  <c r="X109" i="17"/>
  <c r="W109" i="17"/>
  <c r="X108" i="17"/>
  <c r="W108" i="17"/>
  <c r="X107" i="17"/>
  <c r="W107" i="17"/>
  <c r="X106" i="17"/>
  <c r="W106" i="17"/>
  <c r="X105" i="17"/>
  <c r="W105" i="17"/>
  <c r="X104" i="17"/>
  <c r="W104" i="17"/>
  <c r="X103" i="17"/>
  <c r="W103" i="17"/>
  <c r="X102" i="17"/>
  <c r="W102" i="17"/>
  <c r="X101" i="17"/>
  <c r="W101" i="17"/>
  <c r="X100" i="17"/>
  <c r="W100" i="17"/>
  <c r="X99" i="17"/>
  <c r="W99" i="17"/>
  <c r="X98" i="17"/>
  <c r="W98" i="17"/>
  <c r="X97" i="17"/>
  <c r="W97" i="17"/>
  <c r="X96" i="17"/>
  <c r="W96" i="17"/>
  <c r="X95" i="17"/>
  <c r="W95" i="17"/>
  <c r="X94" i="17"/>
  <c r="W94" i="17"/>
  <c r="X93" i="17"/>
  <c r="W93" i="17"/>
  <c r="X92" i="17"/>
  <c r="W92" i="17"/>
  <c r="X91" i="17"/>
  <c r="W91" i="17"/>
  <c r="X90" i="17"/>
  <c r="W90" i="17"/>
  <c r="X89" i="17"/>
  <c r="W89" i="17"/>
  <c r="X88" i="17"/>
  <c r="W88" i="17"/>
  <c r="X87" i="17"/>
  <c r="W87" i="17"/>
  <c r="X86" i="17"/>
  <c r="W86" i="17"/>
  <c r="X85" i="17"/>
  <c r="W85" i="17"/>
  <c r="X84" i="17"/>
  <c r="W84" i="17"/>
  <c r="X83" i="17"/>
  <c r="W83" i="17"/>
  <c r="X82" i="17"/>
  <c r="W82" i="17"/>
  <c r="X81" i="17"/>
  <c r="W81" i="17"/>
  <c r="X80" i="17"/>
  <c r="W80" i="17"/>
  <c r="X79" i="17"/>
  <c r="W79" i="17"/>
  <c r="X78" i="17"/>
  <c r="W78" i="17"/>
  <c r="X77" i="17"/>
  <c r="W77" i="17"/>
  <c r="X76" i="17"/>
  <c r="W76" i="17"/>
  <c r="X75" i="17"/>
  <c r="W75" i="17"/>
  <c r="X74" i="17"/>
  <c r="W74" i="17"/>
  <c r="X73" i="17"/>
  <c r="W73" i="17"/>
  <c r="X72" i="17"/>
  <c r="W72" i="17"/>
  <c r="X71" i="17"/>
  <c r="W71" i="17"/>
  <c r="X70" i="17"/>
  <c r="W70" i="17"/>
  <c r="X69" i="17"/>
  <c r="W69" i="17"/>
  <c r="X68" i="17"/>
  <c r="W68" i="17"/>
  <c r="X67" i="17"/>
  <c r="W67" i="17"/>
  <c r="X66" i="17"/>
  <c r="W66" i="17"/>
  <c r="X65" i="17"/>
  <c r="W65" i="17"/>
  <c r="X64" i="17"/>
  <c r="W64" i="17"/>
  <c r="X63" i="17"/>
  <c r="W63" i="17"/>
  <c r="X62" i="17"/>
  <c r="W62" i="17"/>
  <c r="X61" i="17"/>
  <c r="W61" i="17"/>
  <c r="X60" i="17"/>
  <c r="W60" i="17"/>
  <c r="X59" i="17"/>
  <c r="W59" i="17"/>
  <c r="X58" i="17"/>
  <c r="W58" i="17"/>
  <c r="X57" i="17"/>
  <c r="W57" i="17"/>
  <c r="X56" i="17"/>
  <c r="W56" i="17"/>
  <c r="X55" i="17"/>
  <c r="W55" i="17"/>
  <c r="X54" i="17"/>
  <c r="W54" i="17"/>
  <c r="X53" i="17"/>
  <c r="W53" i="17"/>
  <c r="X52" i="17"/>
  <c r="W52" i="17"/>
  <c r="X51" i="17"/>
  <c r="W51" i="17"/>
  <c r="X50" i="17"/>
  <c r="W50" i="17"/>
  <c r="X49" i="17"/>
  <c r="W49" i="17"/>
  <c r="X48" i="17"/>
  <c r="W48" i="17"/>
  <c r="X47" i="17"/>
  <c r="W47" i="17"/>
  <c r="X46" i="17"/>
  <c r="W46" i="17"/>
  <c r="X45" i="17"/>
  <c r="W45" i="17"/>
  <c r="X44" i="17"/>
  <c r="W44" i="17"/>
  <c r="X43" i="17"/>
  <c r="W43" i="17"/>
  <c r="X42" i="17"/>
  <c r="W42" i="17"/>
  <c r="X41" i="17"/>
  <c r="W41" i="17"/>
  <c r="X40" i="17"/>
  <c r="W40" i="17"/>
  <c r="BN39" i="17"/>
  <c r="BM39" i="17"/>
  <c r="BL39" i="17"/>
  <c r="BK39" i="17"/>
  <c r="BJ39" i="17"/>
  <c r="X39" i="17"/>
  <c r="W39" i="17"/>
  <c r="BN38" i="17"/>
  <c r="BM38" i="17"/>
  <c r="BL38" i="17"/>
  <c r="BK38" i="17"/>
  <c r="BJ38" i="17"/>
  <c r="X38" i="17"/>
  <c r="W38" i="17"/>
  <c r="BN37" i="17"/>
  <c r="BM37" i="17"/>
  <c r="BL37" i="17"/>
  <c r="BK37" i="17"/>
  <c r="BJ37" i="17"/>
  <c r="X37" i="17"/>
  <c r="W37" i="17"/>
  <c r="BN36" i="17"/>
  <c r="BM36" i="17"/>
  <c r="BL36" i="17"/>
  <c r="BK36" i="17"/>
  <c r="BJ36" i="17"/>
  <c r="X36" i="17"/>
  <c r="W36" i="17"/>
  <c r="BN35" i="17"/>
  <c r="BM35" i="17"/>
  <c r="BL35" i="17"/>
  <c r="BK35" i="17"/>
  <c r="BJ35" i="17"/>
  <c r="X35" i="17"/>
  <c r="W35" i="17"/>
  <c r="BN34" i="17"/>
  <c r="BM34" i="17"/>
  <c r="BL34" i="17"/>
  <c r="BK34" i="17"/>
  <c r="BJ34" i="17"/>
  <c r="X34" i="17"/>
  <c r="W34" i="17"/>
  <c r="BN33" i="17"/>
  <c r="BM33" i="17"/>
  <c r="BL33" i="17"/>
  <c r="BK33" i="17"/>
  <c r="BJ33" i="17"/>
  <c r="X33" i="17"/>
  <c r="W33" i="17"/>
  <c r="BN32" i="17"/>
  <c r="BM32" i="17"/>
  <c r="BL32" i="17"/>
  <c r="X32" i="17"/>
  <c r="W32" i="17"/>
  <c r="BN31" i="17"/>
  <c r="BM31" i="17"/>
  <c r="X31" i="17"/>
  <c r="W31" i="17"/>
  <c r="BN30" i="17"/>
  <c r="BM30" i="17"/>
  <c r="BL30" i="17"/>
  <c r="X30" i="17"/>
  <c r="W30" i="17"/>
  <c r="O30" i="17"/>
  <c r="M30" i="17"/>
  <c r="L30" i="17"/>
  <c r="K30" i="17"/>
  <c r="F30" i="17"/>
  <c r="E30" i="17"/>
  <c r="D30" i="17"/>
  <c r="G30" i="17" s="1"/>
  <c r="C30" i="17"/>
  <c r="B30" i="17"/>
  <c r="BE29" i="17"/>
  <c r="AE29" i="17"/>
  <c r="BD29" i="17" s="1"/>
  <c r="X29" i="17"/>
  <c r="W29" i="17"/>
  <c r="M29" i="17"/>
  <c r="L29" i="17"/>
  <c r="K29" i="17"/>
  <c r="F29" i="17"/>
  <c r="E29" i="17"/>
  <c r="D29" i="17"/>
  <c r="G29" i="17" s="1"/>
  <c r="C29" i="17"/>
  <c r="B29" i="17"/>
  <c r="AE28" i="17"/>
  <c r="BD28" i="17" s="1"/>
  <c r="X28" i="17"/>
  <c r="W28" i="17"/>
  <c r="M28" i="17"/>
  <c r="L28" i="17"/>
  <c r="K28" i="17"/>
  <c r="F28" i="17"/>
  <c r="E28" i="17"/>
  <c r="D28" i="17"/>
  <c r="G28" i="17" s="1"/>
  <c r="C28" i="17"/>
  <c r="B28" i="17"/>
  <c r="BE27" i="17"/>
  <c r="AE27" i="17"/>
  <c r="BD27" i="17" s="1"/>
  <c r="X27" i="17"/>
  <c r="W27" i="17"/>
  <c r="M27" i="17"/>
  <c r="L27" i="17"/>
  <c r="K27" i="17"/>
  <c r="F27" i="17"/>
  <c r="E27" i="17"/>
  <c r="D27" i="17"/>
  <c r="C27" i="17"/>
  <c r="B27" i="17"/>
  <c r="AE26" i="17"/>
  <c r="BD26" i="17" s="1"/>
  <c r="X26" i="17"/>
  <c r="W26" i="17"/>
  <c r="M26" i="17"/>
  <c r="L26" i="17"/>
  <c r="K26" i="17"/>
  <c r="F26" i="17"/>
  <c r="E26" i="17"/>
  <c r="D26" i="17"/>
  <c r="C26" i="17"/>
  <c r="B26" i="17"/>
  <c r="P26" i="17" s="1"/>
  <c r="BE25" i="17"/>
  <c r="AE25" i="17"/>
  <c r="BD25" i="17" s="1"/>
  <c r="X25" i="17"/>
  <c r="W25" i="17"/>
  <c r="M25" i="17"/>
  <c r="L25" i="17"/>
  <c r="K25" i="17"/>
  <c r="F25" i="17"/>
  <c r="E25" i="17"/>
  <c r="D25" i="17"/>
  <c r="G25" i="17" s="1"/>
  <c r="C25" i="17"/>
  <c r="B25" i="17"/>
  <c r="P25" i="17" s="1"/>
  <c r="AE24" i="17"/>
  <c r="BD24" i="17" s="1"/>
  <c r="X24" i="17"/>
  <c r="W24" i="17"/>
  <c r="O24" i="17"/>
  <c r="M24" i="17"/>
  <c r="L24" i="17"/>
  <c r="K24" i="17"/>
  <c r="F24" i="17"/>
  <c r="E24" i="17"/>
  <c r="D24" i="17"/>
  <c r="C24" i="17"/>
  <c r="B24" i="17"/>
  <c r="P24" i="17" s="1"/>
  <c r="BE23" i="17"/>
  <c r="AE23" i="17"/>
  <c r="BD23" i="17" s="1"/>
  <c r="X23" i="17"/>
  <c r="W23" i="17"/>
  <c r="O23" i="17"/>
  <c r="M23" i="17"/>
  <c r="L23" i="17"/>
  <c r="K23" i="17"/>
  <c r="F23" i="17"/>
  <c r="E23" i="17"/>
  <c r="D23" i="17"/>
  <c r="G23" i="17" s="1"/>
  <c r="C23" i="17"/>
  <c r="B23" i="17"/>
  <c r="BE22" i="17"/>
  <c r="AE22" i="17"/>
  <c r="BD22" i="17" s="1"/>
  <c r="X22" i="17"/>
  <c r="W22" i="17"/>
  <c r="O22" i="17"/>
  <c r="M22" i="17"/>
  <c r="L22" i="17"/>
  <c r="K22" i="17"/>
  <c r="F22" i="17"/>
  <c r="E22" i="17"/>
  <c r="D22" i="17"/>
  <c r="C22" i="17"/>
  <c r="B22" i="17"/>
  <c r="P22" i="17" s="1"/>
  <c r="BE21" i="17"/>
  <c r="AE21" i="17"/>
  <c r="BD21" i="17" s="1"/>
  <c r="X21" i="17"/>
  <c r="W21" i="17"/>
  <c r="M21" i="17"/>
  <c r="L21" i="17"/>
  <c r="K21" i="17"/>
  <c r="F21" i="17"/>
  <c r="E21" i="17"/>
  <c r="D21" i="17"/>
  <c r="C21" i="17"/>
  <c r="B21" i="17"/>
  <c r="P21" i="17" s="1"/>
  <c r="AE20" i="17"/>
  <c r="BD20" i="17" s="1"/>
  <c r="X20" i="17"/>
  <c r="W20" i="17"/>
  <c r="M20" i="17"/>
  <c r="L20" i="17"/>
  <c r="K20" i="17"/>
  <c r="F20" i="17"/>
  <c r="E20" i="17"/>
  <c r="D20" i="17"/>
  <c r="C20" i="17"/>
  <c r="B20" i="17"/>
  <c r="P20" i="17" s="1"/>
  <c r="BE19" i="17"/>
  <c r="AE19" i="17"/>
  <c r="BD19" i="17" s="1"/>
  <c r="X19" i="17"/>
  <c r="W19" i="17"/>
  <c r="M19" i="17"/>
  <c r="L19" i="17"/>
  <c r="K19" i="17"/>
  <c r="F19" i="17"/>
  <c r="E19" i="17"/>
  <c r="D19" i="17"/>
  <c r="G19" i="17" s="1"/>
  <c r="C19" i="17"/>
  <c r="B19" i="17"/>
  <c r="AE18" i="17"/>
  <c r="BD18" i="17" s="1"/>
  <c r="X18" i="17"/>
  <c r="W18" i="17"/>
  <c r="M18" i="17"/>
  <c r="L18" i="17"/>
  <c r="K18" i="17"/>
  <c r="F18" i="17"/>
  <c r="E18" i="17"/>
  <c r="D18" i="17"/>
  <c r="G18" i="17" s="1"/>
  <c r="C18" i="17"/>
  <c r="B18" i="17"/>
  <c r="P18" i="17" s="1"/>
  <c r="BE17" i="17"/>
  <c r="AE17" i="17"/>
  <c r="BD17" i="17" s="1"/>
  <c r="X17" i="17"/>
  <c r="W17" i="17"/>
  <c r="M17" i="17"/>
  <c r="L17" i="17"/>
  <c r="K17" i="17"/>
  <c r="F17" i="17"/>
  <c r="E17" i="17"/>
  <c r="D17" i="17"/>
  <c r="G17" i="17" s="1"/>
  <c r="C17" i="17"/>
  <c r="B17" i="17"/>
  <c r="AE16" i="17"/>
  <c r="BD16" i="17" s="1"/>
  <c r="X16" i="17"/>
  <c r="W16" i="17"/>
  <c r="M16" i="17"/>
  <c r="L16" i="17"/>
  <c r="K16" i="17"/>
  <c r="F16" i="17"/>
  <c r="E16" i="17"/>
  <c r="D16" i="17"/>
  <c r="G16" i="17" s="1"/>
  <c r="C16" i="17"/>
  <c r="B16" i="17"/>
  <c r="BE15" i="17"/>
  <c r="AE15" i="17"/>
  <c r="BD15" i="17" s="1"/>
  <c r="X15" i="17"/>
  <c r="W15" i="17"/>
  <c r="M15" i="17"/>
  <c r="L15" i="17"/>
  <c r="K15" i="17"/>
  <c r="F15" i="17"/>
  <c r="E15" i="17"/>
  <c r="D15" i="17"/>
  <c r="C15" i="17"/>
  <c r="B15" i="17"/>
  <c r="P15" i="17" s="1"/>
  <c r="AE14" i="17"/>
  <c r="BD14" i="17" s="1"/>
  <c r="X14" i="17"/>
  <c r="W14" i="17"/>
  <c r="M14" i="17"/>
  <c r="L14" i="17"/>
  <c r="K14" i="17"/>
  <c r="F14" i="17"/>
  <c r="E14" i="17"/>
  <c r="D14" i="17"/>
  <c r="G14" i="17" s="1"/>
  <c r="C14" i="17"/>
  <c r="B14" i="17"/>
  <c r="P14" i="17" s="1"/>
  <c r="BE13" i="17"/>
  <c r="AE13" i="17"/>
  <c r="BD13" i="17" s="1"/>
  <c r="X13" i="17"/>
  <c r="W13" i="17"/>
  <c r="M13" i="17"/>
  <c r="L13" i="17"/>
  <c r="K13" i="17"/>
  <c r="F13" i="17"/>
  <c r="E13" i="17"/>
  <c r="D13" i="17"/>
  <c r="C13" i="17"/>
  <c r="B13" i="17"/>
  <c r="P13" i="17" s="1"/>
  <c r="AE12" i="17"/>
  <c r="BD12" i="17" s="1"/>
  <c r="X12" i="17"/>
  <c r="W12" i="17"/>
  <c r="M12" i="17"/>
  <c r="L12" i="17"/>
  <c r="K12" i="17"/>
  <c r="F12" i="17"/>
  <c r="E12" i="17"/>
  <c r="D12" i="17"/>
  <c r="C12" i="17"/>
  <c r="B12" i="17"/>
  <c r="P12" i="17" s="1"/>
  <c r="BE11" i="17"/>
  <c r="AE11" i="17"/>
  <c r="BD11" i="17" s="1"/>
  <c r="X11" i="17"/>
  <c r="W11" i="17"/>
  <c r="N11" i="17"/>
  <c r="M11" i="17"/>
  <c r="L11" i="17"/>
  <c r="K11" i="17"/>
  <c r="F11" i="17"/>
  <c r="E11" i="17"/>
  <c r="D11" i="17"/>
  <c r="C11" i="17"/>
  <c r="B11" i="17"/>
  <c r="P11" i="17" s="1"/>
  <c r="AE10" i="17"/>
  <c r="BD10" i="17" s="1"/>
  <c r="X10" i="17"/>
  <c r="W10" i="17"/>
  <c r="M10" i="17"/>
  <c r="L10" i="17"/>
  <c r="K10" i="17"/>
  <c r="F10" i="17"/>
  <c r="E10" i="17"/>
  <c r="D10" i="17"/>
  <c r="C10" i="17"/>
  <c r="B10" i="17"/>
  <c r="P10" i="17" s="1"/>
  <c r="BE9" i="17"/>
  <c r="AE9" i="17"/>
  <c r="BD9" i="17" s="1"/>
  <c r="X9" i="17"/>
  <c r="W9" i="17"/>
  <c r="M9" i="17"/>
  <c r="L9" i="17"/>
  <c r="K9" i="17"/>
  <c r="F9" i="17"/>
  <c r="E9" i="17"/>
  <c r="D9" i="17"/>
  <c r="C9" i="17"/>
  <c r="B9" i="17"/>
  <c r="P9" i="17" s="1"/>
  <c r="AE8" i="17"/>
  <c r="BD8" i="17" s="1"/>
  <c r="X8" i="17"/>
  <c r="W8" i="17"/>
  <c r="M8" i="17"/>
  <c r="L8" i="17"/>
  <c r="K8" i="17"/>
  <c r="F8" i="17"/>
  <c r="E8" i="17"/>
  <c r="D8" i="17"/>
  <c r="C8" i="17"/>
  <c r="B8" i="17"/>
  <c r="P8" i="17" s="1"/>
  <c r="BE7" i="17"/>
  <c r="AE7" i="17"/>
  <c r="BD7" i="17" s="1"/>
  <c r="X7" i="17"/>
  <c r="W7" i="17"/>
  <c r="M7" i="17"/>
  <c r="L7" i="17"/>
  <c r="K7" i="17"/>
  <c r="F7" i="17"/>
  <c r="E7" i="17"/>
  <c r="D7" i="17"/>
  <c r="C7" i="17"/>
  <c r="B7" i="17"/>
  <c r="P7" i="17" s="1"/>
  <c r="AE6" i="17"/>
  <c r="BD6" i="17" s="1"/>
  <c r="X6" i="17"/>
  <c r="W6" i="17"/>
  <c r="M6" i="17"/>
  <c r="L6" i="17"/>
  <c r="K6" i="17"/>
  <c r="F6" i="17"/>
  <c r="E6" i="17"/>
  <c r="D6" i="17"/>
  <c r="C6" i="17"/>
  <c r="B6" i="17"/>
  <c r="P6" i="17" s="1"/>
  <c r="AE5" i="17"/>
  <c r="BD5" i="17" s="1"/>
  <c r="X5" i="17"/>
  <c r="W5" i="17"/>
  <c r="M5" i="17"/>
  <c r="L5" i="17"/>
  <c r="F5" i="17"/>
  <c r="E5" i="17"/>
  <c r="D5" i="17"/>
  <c r="G5" i="17" s="1"/>
  <c r="C5" i="17"/>
  <c r="B5" i="17"/>
  <c r="P5" i="17" s="1"/>
  <c r="BD4" i="17"/>
  <c r="X4" i="17"/>
  <c r="W4" i="17"/>
  <c r="O4" i="17"/>
  <c r="M4" i="17"/>
  <c r="L4" i="17"/>
  <c r="K4" i="17"/>
  <c r="J4" i="17"/>
  <c r="F4" i="17"/>
  <c r="E4" i="17"/>
  <c r="D4" i="17"/>
  <c r="C4" i="17"/>
  <c r="B4" i="17"/>
  <c r="P4" i="17" s="1"/>
  <c r="BN3" i="17"/>
  <c r="BM3" i="17"/>
  <c r="BL3" i="17"/>
  <c r="BK3" i="17"/>
  <c r="BJ3" i="17"/>
  <c r="BI3" i="17"/>
  <c r="BH3" i="17"/>
  <c r="BG3" i="17"/>
  <c r="O3" i="17"/>
  <c r="N3" i="17"/>
  <c r="M3" i="17"/>
  <c r="L3" i="17"/>
  <c r="K3" i="17"/>
  <c r="J3" i="17"/>
  <c r="I3" i="17"/>
  <c r="H3" i="17"/>
  <c r="G3" i="17"/>
  <c r="F3" i="17"/>
  <c r="E3" i="17"/>
  <c r="D3" i="17"/>
  <c r="C3" i="17"/>
  <c r="B3" i="17"/>
  <c r="P3" i="17" s="1"/>
  <c r="A3" i="17"/>
  <c r="AR4" i="14"/>
  <c r="AP2" i="10"/>
  <c r="BI6" i="15"/>
  <c r="BJ6" i="15"/>
  <c r="BK6" i="15"/>
  <c r="BL6" i="15"/>
  <c r="BM6" i="15"/>
  <c r="BN6" i="15"/>
  <c r="BO6" i="15"/>
  <c r="BP6" i="15"/>
  <c r="BI7" i="15"/>
  <c r="BJ7" i="15"/>
  <c r="BK7" i="15"/>
  <c r="BL7" i="15"/>
  <c r="BM7" i="15"/>
  <c r="BN7" i="15"/>
  <c r="BO7" i="15"/>
  <c r="BP7" i="15"/>
  <c r="BI8" i="15"/>
  <c r="BJ8" i="15"/>
  <c r="BK8" i="15"/>
  <c r="BL8" i="15"/>
  <c r="BM8" i="15"/>
  <c r="BN8" i="15"/>
  <c r="BO8" i="15"/>
  <c r="BP8" i="15"/>
  <c r="BI9" i="15"/>
  <c r="BJ9" i="15"/>
  <c r="BK9" i="15"/>
  <c r="BL9" i="15"/>
  <c r="BM9" i="15"/>
  <c r="BN9" i="15"/>
  <c r="BO9" i="15"/>
  <c r="BP9" i="15"/>
  <c r="BI10" i="15"/>
  <c r="BJ10" i="15"/>
  <c r="BK10" i="15"/>
  <c r="BL10" i="15"/>
  <c r="BM10" i="15"/>
  <c r="BN10" i="15"/>
  <c r="BO10" i="15"/>
  <c r="BP10" i="15"/>
  <c r="BM11" i="15"/>
  <c r="BN11" i="15"/>
  <c r="BO11" i="15"/>
  <c r="BP11" i="15"/>
  <c r="BL12" i="15"/>
  <c r="BM12" i="15"/>
  <c r="BN12" i="15"/>
  <c r="BO12" i="15"/>
  <c r="BP12" i="15"/>
  <c r="BI13" i="15"/>
  <c r="BJ13" i="15"/>
  <c r="BK13" i="15"/>
  <c r="BL13" i="15"/>
  <c r="BM13" i="15"/>
  <c r="BN13" i="15"/>
  <c r="BO13" i="15"/>
  <c r="BP13" i="15"/>
  <c r="BI14" i="15"/>
  <c r="BJ14" i="15"/>
  <c r="BK14" i="15"/>
  <c r="BL14" i="15"/>
  <c r="BM14" i="15"/>
  <c r="BN14" i="15"/>
  <c r="BO14" i="15"/>
  <c r="BP14" i="15"/>
  <c r="BK15" i="15"/>
  <c r="BL15" i="15"/>
  <c r="BM15" i="15"/>
  <c r="BN15" i="15"/>
  <c r="BO15" i="15"/>
  <c r="BP15" i="15"/>
  <c r="BI16" i="15"/>
  <c r="BJ16" i="15"/>
  <c r="BK16" i="15"/>
  <c r="BL16" i="15"/>
  <c r="BM16" i="15"/>
  <c r="BN16" i="15"/>
  <c r="BO16" i="15"/>
  <c r="BP16" i="15"/>
  <c r="BI17" i="15"/>
  <c r="BJ17" i="15"/>
  <c r="BK17" i="15"/>
  <c r="BL17" i="15"/>
  <c r="BM17" i="15"/>
  <c r="BN17" i="15"/>
  <c r="BO17" i="15"/>
  <c r="BP17" i="15"/>
  <c r="BI19" i="15"/>
  <c r="BJ19" i="15"/>
  <c r="BK19" i="15"/>
  <c r="BL19" i="15"/>
  <c r="BM19" i="15"/>
  <c r="BN19" i="15"/>
  <c r="BO19" i="15"/>
  <c r="BP19" i="15"/>
  <c r="BN20" i="15"/>
  <c r="BO20" i="15"/>
  <c r="BP20" i="15"/>
  <c r="BI21" i="15"/>
  <c r="BJ21" i="15"/>
  <c r="BK21" i="15"/>
  <c r="BL21" i="15"/>
  <c r="BM21" i="15"/>
  <c r="BN21" i="15"/>
  <c r="BO21" i="15"/>
  <c r="BP21" i="15"/>
  <c r="BN22" i="15"/>
  <c r="BO22" i="15"/>
  <c r="BP22" i="15"/>
  <c r="BI23" i="15"/>
  <c r="BJ23" i="15"/>
  <c r="BK23" i="15"/>
  <c r="BL23" i="15"/>
  <c r="BM23" i="15"/>
  <c r="BN23" i="15"/>
  <c r="BO23" i="15"/>
  <c r="BP23" i="15"/>
  <c r="BI24" i="15"/>
  <c r="BJ24" i="15"/>
  <c r="BK24" i="15"/>
  <c r="BL24" i="15"/>
  <c r="BM24" i="15"/>
  <c r="BN24" i="15"/>
  <c r="BO24" i="15"/>
  <c r="BP24" i="15"/>
  <c r="BI25" i="15"/>
  <c r="BJ25" i="15"/>
  <c r="BK25" i="15"/>
  <c r="BL25" i="15"/>
  <c r="BM25" i="15"/>
  <c r="BN25" i="15"/>
  <c r="BO25" i="15"/>
  <c r="BP25" i="15"/>
  <c r="BP3" i="15"/>
  <c r="BL3" i="15"/>
  <c r="BM3" i="15"/>
  <c r="BN3" i="15"/>
  <c r="BO3" i="15"/>
  <c r="BI3" i="15"/>
  <c r="BJ3" i="15"/>
  <c r="BK3" i="15"/>
  <c r="BG13" i="15"/>
  <c r="AY6" i="15"/>
  <c r="AY9" i="15"/>
  <c r="AY12" i="15"/>
  <c r="AY13" i="15"/>
  <c r="AY17" i="15"/>
  <c r="AY18" i="15"/>
  <c r="AY21" i="15"/>
  <c r="AY22" i="15"/>
  <c r="AY25" i="15"/>
  <c r="W6" i="15"/>
  <c r="Y5" i="15"/>
  <c r="Y6" i="15"/>
  <c r="Y7" i="15"/>
  <c r="Y8" i="15"/>
  <c r="Y9" i="15"/>
  <c r="Y10" i="15"/>
  <c r="Y11" i="15"/>
  <c r="Y12" i="15"/>
  <c r="Y13" i="15"/>
  <c r="Y14" i="15"/>
  <c r="Y15" i="15"/>
  <c r="Y16" i="15"/>
  <c r="Y17" i="15"/>
  <c r="Y18" i="15"/>
  <c r="Y19" i="15"/>
  <c r="Y20" i="15"/>
  <c r="Y21" i="15"/>
  <c r="Y22" i="15"/>
  <c r="Y23" i="15"/>
  <c r="Y24" i="15"/>
  <c r="Y25" i="15"/>
  <c r="Y26" i="15"/>
  <c r="Y27" i="15"/>
  <c r="Y28" i="15"/>
  <c r="Y29" i="15"/>
  <c r="Y30" i="15"/>
  <c r="Y31" i="15"/>
  <c r="Y32" i="15"/>
  <c r="Y33" i="15"/>
  <c r="Y34" i="15"/>
  <c r="Y35" i="15"/>
  <c r="Y36" i="15"/>
  <c r="Y37" i="15"/>
  <c r="Y38" i="15"/>
  <c r="Y39" i="15"/>
  <c r="Y40" i="15"/>
  <c r="Y41" i="15"/>
  <c r="Y42" i="15"/>
  <c r="Y43" i="15"/>
  <c r="Y44" i="15"/>
  <c r="Y45" i="15"/>
  <c r="Y46" i="15"/>
  <c r="Y47" i="15"/>
  <c r="Y48" i="15"/>
  <c r="Y49" i="15"/>
  <c r="Y50" i="15"/>
  <c r="Y51" i="15"/>
  <c r="Y52" i="15"/>
  <c r="Y53" i="15"/>
  <c r="Y54" i="15"/>
  <c r="Y55" i="15"/>
  <c r="Y56" i="15"/>
  <c r="Y57" i="15"/>
  <c r="Y58" i="15"/>
  <c r="Y59" i="15"/>
  <c r="Y60" i="15"/>
  <c r="Y61" i="15"/>
  <c r="Y62" i="15"/>
  <c r="Y63" i="15"/>
  <c r="Y64" i="15"/>
  <c r="Y65" i="15"/>
  <c r="Y66" i="15"/>
  <c r="Y67" i="15"/>
  <c r="Y68" i="15"/>
  <c r="Y69" i="15"/>
  <c r="Y70" i="15"/>
  <c r="Y71" i="15"/>
  <c r="Y73" i="15"/>
  <c r="Y4" i="15"/>
  <c r="W67" i="15"/>
  <c r="W68" i="15"/>
  <c r="W69" i="15"/>
  <c r="W70" i="15"/>
  <c r="W71" i="15"/>
  <c r="U71" i="15" s="1"/>
  <c r="X65" i="15"/>
  <c r="X66" i="15"/>
  <c r="X67" i="15"/>
  <c r="X68" i="15"/>
  <c r="X69"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7" i="15"/>
  <c r="X8" i="15"/>
  <c r="X9" i="15"/>
  <c r="X10" i="15"/>
  <c r="X11" i="15"/>
  <c r="X12" i="15"/>
  <c r="X13" i="15"/>
  <c r="X14" i="15"/>
  <c r="X15" i="15"/>
  <c r="X16" i="15"/>
  <c r="X17" i="15"/>
  <c r="X18" i="15"/>
  <c r="X19" i="15"/>
  <c r="X20" i="15"/>
  <c r="X21" i="15"/>
  <c r="X22" i="15"/>
  <c r="X23" i="15"/>
  <c r="X24" i="15"/>
  <c r="X25" i="15"/>
  <c r="X26" i="15"/>
  <c r="X27" i="15"/>
  <c r="X28" i="15"/>
  <c r="X29" i="15"/>
  <c r="X30" i="15"/>
  <c r="X31" i="15"/>
  <c r="X32" i="15"/>
  <c r="X33" i="15"/>
  <c r="X34" i="15"/>
  <c r="X6" i="15"/>
  <c r="X5" i="15"/>
  <c r="X4" i="15"/>
  <c r="W66" i="15"/>
  <c r="W65" i="15"/>
  <c r="U65" i="15" s="1"/>
  <c r="W64" i="15"/>
  <c r="W63" i="15"/>
  <c r="U63" i="15" s="1"/>
  <c r="W62" i="15"/>
  <c r="W61" i="15"/>
  <c r="W60" i="15"/>
  <c r="W59" i="15"/>
  <c r="U59" i="15" s="1"/>
  <c r="W58" i="15"/>
  <c r="W57" i="15"/>
  <c r="W56" i="15"/>
  <c r="W55" i="15"/>
  <c r="U55" i="15" s="1"/>
  <c r="W54" i="15"/>
  <c r="W53" i="15"/>
  <c r="W52" i="15"/>
  <c r="W51" i="15"/>
  <c r="U51" i="15" s="1"/>
  <c r="W50" i="15"/>
  <c r="W49" i="15"/>
  <c r="W48" i="15"/>
  <c r="W47" i="15"/>
  <c r="U47" i="15" s="1"/>
  <c r="W46" i="15"/>
  <c r="W45" i="15"/>
  <c r="W44" i="15"/>
  <c r="W43" i="15"/>
  <c r="U43" i="15" s="1"/>
  <c r="W42" i="15"/>
  <c r="W41" i="15"/>
  <c r="W40" i="15"/>
  <c r="BH39" i="15"/>
  <c r="BG39" i="15"/>
  <c r="BF39" i="15"/>
  <c r="BE39" i="15"/>
  <c r="BD39" i="15"/>
  <c r="BC39" i="15"/>
  <c r="BB39" i="15"/>
  <c r="W39" i="15"/>
  <c r="U39" i="15" s="1"/>
  <c r="BH38" i="15"/>
  <c r="BG38" i="15"/>
  <c r="BF38" i="15"/>
  <c r="BE38" i="15"/>
  <c r="BD38" i="15"/>
  <c r="BC38" i="15"/>
  <c r="W38" i="15"/>
  <c r="BH37" i="15"/>
  <c r="BG37" i="15"/>
  <c r="BF37" i="15"/>
  <c r="BE37" i="15"/>
  <c r="BD37" i="15"/>
  <c r="BC37" i="15"/>
  <c r="W37" i="15"/>
  <c r="BH36" i="15"/>
  <c r="BG36" i="15"/>
  <c r="BF36" i="15"/>
  <c r="BE36" i="15"/>
  <c r="BD36" i="15"/>
  <c r="BC36" i="15"/>
  <c r="BB36" i="15"/>
  <c r="W36" i="15"/>
  <c r="U36" i="15" s="1"/>
  <c r="BH35" i="15"/>
  <c r="BG35" i="15"/>
  <c r="BF35" i="15"/>
  <c r="BE35" i="15"/>
  <c r="BD35" i="15"/>
  <c r="BC35" i="15"/>
  <c r="W35" i="15"/>
  <c r="U35" i="15" s="1"/>
  <c r="BH34" i="15"/>
  <c r="BG34" i="15"/>
  <c r="BF34" i="15"/>
  <c r="BE34" i="15"/>
  <c r="BD34" i="15"/>
  <c r="BC34" i="15"/>
  <c r="W34" i="15"/>
  <c r="U34" i="15" s="1"/>
  <c r="BH33" i="15"/>
  <c r="BG33" i="15"/>
  <c r="BF33" i="15"/>
  <c r="BE33" i="15"/>
  <c r="BD33" i="15"/>
  <c r="BC33" i="15"/>
  <c r="W33" i="15"/>
  <c r="U33" i="15" s="1"/>
  <c r="BH32" i="15"/>
  <c r="BG32" i="15"/>
  <c r="BF32" i="15"/>
  <c r="BE32" i="15"/>
  <c r="BD32" i="15"/>
  <c r="W32" i="15"/>
  <c r="U32" i="15" s="1"/>
  <c r="BH31" i="15"/>
  <c r="BG31" i="15"/>
  <c r="BF31" i="15"/>
  <c r="W31" i="15"/>
  <c r="BH30" i="15"/>
  <c r="BG30" i="15"/>
  <c r="BF30" i="15"/>
  <c r="BE30" i="15"/>
  <c r="W30" i="15"/>
  <c r="BH29" i="15"/>
  <c r="BG29" i="15"/>
  <c r="BF29" i="15"/>
  <c r="BE29" i="15"/>
  <c r="W29" i="15"/>
  <c r="U29" i="15" s="1"/>
  <c r="BH28" i="15"/>
  <c r="BG28" i="15"/>
  <c r="BF28" i="15"/>
  <c r="BD28" i="15"/>
  <c r="BC28" i="15"/>
  <c r="W28" i="15"/>
  <c r="BH27" i="15"/>
  <c r="BG27" i="15"/>
  <c r="BF27" i="15"/>
  <c r="W27" i="15"/>
  <c r="BH26" i="15"/>
  <c r="BG26" i="15"/>
  <c r="AX26" i="15"/>
  <c r="W26" i="15"/>
  <c r="U26" i="15" s="1"/>
  <c r="BH25" i="15"/>
  <c r="BG25" i="15"/>
  <c r="AE25" i="15"/>
  <c r="AX25" i="15" s="1"/>
  <c r="W25" i="15"/>
  <c r="U25" i="15" s="1"/>
  <c r="BH24" i="15"/>
  <c r="BG24" i="15"/>
  <c r="BF24" i="15"/>
  <c r="BE24" i="15"/>
  <c r="AE24" i="15"/>
  <c r="AX24" i="15" s="1"/>
  <c r="W24" i="15"/>
  <c r="BH23" i="15"/>
  <c r="BG23" i="15"/>
  <c r="BF23" i="15"/>
  <c r="AE23" i="15"/>
  <c r="AX23" i="15" s="1"/>
  <c r="W23" i="15"/>
  <c r="AE22" i="15"/>
  <c r="AX22" i="15" s="1"/>
  <c r="W22" i="15"/>
  <c r="BH21" i="15"/>
  <c r="BG21" i="15"/>
  <c r="AE21" i="15"/>
  <c r="AX21" i="15" s="1"/>
  <c r="W21" i="15"/>
  <c r="U21" i="15" s="1"/>
  <c r="AE20" i="15"/>
  <c r="AX20" i="15" s="1"/>
  <c r="W20" i="15"/>
  <c r="BH19" i="15"/>
  <c r="BG19" i="15"/>
  <c r="BF19" i="15"/>
  <c r="BE19" i="15"/>
  <c r="AE19" i="15"/>
  <c r="AX19" i="15" s="1"/>
  <c r="W19" i="15"/>
  <c r="AE18" i="15"/>
  <c r="AX18" i="15" s="1"/>
  <c r="W18" i="15"/>
  <c r="BH17" i="15"/>
  <c r="BG17" i="15"/>
  <c r="BF17" i="15"/>
  <c r="AE17" i="15"/>
  <c r="AX17" i="15" s="1"/>
  <c r="W17" i="15"/>
  <c r="U17" i="15" s="1"/>
  <c r="BH16" i="15"/>
  <c r="BG16" i="15"/>
  <c r="BF16" i="15"/>
  <c r="BE16" i="15"/>
  <c r="AE16" i="15"/>
  <c r="AX16" i="15" s="1"/>
  <c r="W16" i="15"/>
  <c r="AE15" i="15"/>
  <c r="AX15" i="15" s="1"/>
  <c r="W15" i="15"/>
  <c r="BH14" i="15"/>
  <c r="AE14" i="15"/>
  <c r="AX14" i="15" s="1"/>
  <c r="W14" i="15"/>
  <c r="U14" i="15" s="1"/>
  <c r="BH13" i="15"/>
  <c r="AE13" i="15"/>
  <c r="AX13" i="15" s="1"/>
  <c r="W13" i="15"/>
  <c r="U13" i="15" s="1"/>
  <c r="AE12" i="15"/>
  <c r="AX12" i="15" s="1"/>
  <c r="W12" i="15"/>
  <c r="AE11" i="15"/>
  <c r="AX11" i="15" s="1"/>
  <c r="W11" i="15"/>
  <c r="BH10" i="15"/>
  <c r="BG10" i="15"/>
  <c r="BF10" i="15"/>
  <c r="BE10" i="15"/>
  <c r="BD10" i="15"/>
  <c r="BC10" i="15"/>
  <c r="AE10" i="15"/>
  <c r="AX10" i="15" s="1"/>
  <c r="W10" i="15"/>
  <c r="AE9" i="15"/>
  <c r="AX9" i="15" s="1"/>
  <c r="W9" i="15"/>
  <c r="U9" i="15" s="1"/>
  <c r="BH8" i="15"/>
  <c r="BG8" i="15"/>
  <c r="BF8" i="15"/>
  <c r="AE8" i="15"/>
  <c r="AX8" i="15" s="1"/>
  <c r="W8" i="15"/>
  <c r="U8" i="15" s="1"/>
  <c r="BH7" i="15"/>
  <c r="BG7" i="15"/>
  <c r="BF7" i="15"/>
  <c r="AE7" i="15"/>
  <c r="AX7" i="15" s="1"/>
  <c r="W7" i="15"/>
  <c r="BH6" i="15"/>
  <c r="BG6" i="15"/>
  <c r="BF6" i="15"/>
  <c r="AE6" i="15"/>
  <c r="AX6" i="15" s="1"/>
  <c r="AE5" i="15"/>
  <c r="AX5" i="15" s="1"/>
  <c r="W5" i="15"/>
  <c r="W4" i="15"/>
  <c r="U4" i="15" s="1"/>
  <c r="O4" i="15"/>
  <c r="M4" i="15"/>
  <c r="L4" i="15"/>
  <c r="K4" i="15"/>
  <c r="J4" i="15"/>
  <c r="F4" i="15"/>
  <c r="E4" i="15"/>
  <c r="D4" i="15"/>
  <c r="G4" i="15" s="1"/>
  <c r="C4" i="15"/>
  <c r="B4" i="15"/>
  <c r="BH3" i="15"/>
  <c r="BG3" i="15"/>
  <c r="BF3" i="15"/>
  <c r="BE3" i="15"/>
  <c r="BD3" i="15"/>
  <c r="BC3" i="15"/>
  <c r="BB3" i="15"/>
  <c r="BA3" i="15"/>
  <c r="O3" i="15"/>
  <c r="N3" i="15"/>
  <c r="M3" i="15"/>
  <c r="L3" i="15"/>
  <c r="K3" i="15"/>
  <c r="J3" i="15"/>
  <c r="I3" i="15"/>
  <c r="H3" i="15"/>
  <c r="G3" i="15"/>
  <c r="F3" i="15"/>
  <c r="E3" i="15"/>
  <c r="D3" i="15"/>
  <c r="C3" i="15"/>
  <c r="B3" i="15"/>
  <c r="P3" i="15" s="1"/>
  <c r="A3" i="15"/>
  <c r="BB3" i="14"/>
  <c r="AZ3" i="14"/>
  <c r="BA3" i="14"/>
  <c r="AV3" i="14"/>
  <c r="AW3" i="14"/>
  <c r="AX3" i="14"/>
  <c r="AY3" i="14"/>
  <c r="AU3" i="14"/>
  <c r="AF37" i="14"/>
  <c r="AR37" i="14" s="1"/>
  <c r="AF38" i="14"/>
  <c r="AR38" i="14" s="1"/>
  <c r="AF27" i="14"/>
  <c r="AR27" i="14" s="1"/>
  <c r="AF28" i="14"/>
  <c r="AR28" i="14" s="1"/>
  <c r="AF29" i="14"/>
  <c r="AR29" i="14" s="1"/>
  <c r="AF30" i="14"/>
  <c r="AR30" i="14" s="1"/>
  <c r="AF31" i="14"/>
  <c r="AR31" i="14" s="1"/>
  <c r="AF32" i="14"/>
  <c r="AR32" i="14" s="1"/>
  <c r="AF33" i="14"/>
  <c r="AR33" i="14" s="1"/>
  <c r="AF34" i="14"/>
  <c r="AR34" i="14" s="1"/>
  <c r="AF35" i="14"/>
  <c r="AR35" i="14" s="1"/>
  <c r="AF36" i="14"/>
  <c r="AR36" i="14" s="1"/>
  <c r="AF6" i="14"/>
  <c r="AR6" i="14" s="1"/>
  <c r="AF7" i="14"/>
  <c r="AR7" i="14" s="1"/>
  <c r="AF8" i="14"/>
  <c r="AR8" i="14" s="1"/>
  <c r="AF9" i="14"/>
  <c r="AR9" i="14" s="1"/>
  <c r="AF10" i="14"/>
  <c r="AR10" i="14" s="1"/>
  <c r="AF11" i="14"/>
  <c r="AR11" i="14" s="1"/>
  <c r="AF12" i="14"/>
  <c r="AR12" i="14" s="1"/>
  <c r="AF13" i="14"/>
  <c r="AR13" i="14" s="1"/>
  <c r="AF14" i="14"/>
  <c r="AR14" i="14" s="1"/>
  <c r="AF15" i="14"/>
  <c r="AR15" i="14" s="1"/>
  <c r="AF16" i="14"/>
  <c r="AR16" i="14" s="1"/>
  <c r="AF17" i="14"/>
  <c r="AR17" i="14" s="1"/>
  <c r="AF18" i="14"/>
  <c r="AR18" i="14" s="1"/>
  <c r="AF19" i="14"/>
  <c r="AR19" i="14" s="1"/>
  <c r="AF20" i="14"/>
  <c r="AR20" i="14" s="1"/>
  <c r="AF21" i="14"/>
  <c r="AR21" i="14" s="1"/>
  <c r="AF22" i="14"/>
  <c r="AR22" i="14" s="1"/>
  <c r="AF23" i="14"/>
  <c r="AR23" i="14" s="1"/>
  <c r="AF24" i="14"/>
  <c r="AR24" i="14" s="1"/>
  <c r="AF25" i="14"/>
  <c r="AR25" i="14" s="1"/>
  <c r="AF26" i="14"/>
  <c r="AR26" i="14" s="1"/>
  <c r="AF5" i="14"/>
  <c r="AR5" i="14" s="1"/>
  <c r="X5" i="14"/>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61" i="14"/>
  <c r="X62" i="14"/>
  <c r="X63" i="14"/>
  <c r="X64" i="14"/>
  <c r="X65" i="14"/>
  <c r="X66" i="14"/>
  <c r="X67" i="14"/>
  <c r="X68" i="14"/>
  <c r="X69" i="14"/>
  <c r="X70" i="14"/>
  <c r="X71" i="14"/>
  <c r="X72" i="14"/>
  <c r="X73" i="14"/>
  <c r="X74" i="14"/>
  <c r="X75" i="14"/>
  <c r="X76" i="14"/>
  <c r="X77" i="14"/>
  <c r="X78" i="14"/>
  <c r="X79" i="14"/>
  <c r="X80" i="14"/>
  <c r="X81" i="14"/>
  <c r="X82" i="14"/>
  <c r="X83" i="14"/>
  <c r="X84" i="14"/>
  <c r="X85" i="14"/>
  <c r="X86" i="14"/>
  <c r="X87" i="14"/>
  <c r="X88" i="14"/>
  <c r="X89" i="14"/>
  <c r="X90" i="14"/>
  <c r="X91" i="14"/>
  <c r="X92" i="14"/>
  <c r="X93" i="14"/>
  <c r="X94" i="14"/>
  <c r="X95" i="14"/>
  <c r="X96" i="14"/>
  <c r="X97" i="14"/>
  <c r="X98" i="14"/>
  <c r="X99" i="14"/>
  <c r="X100" i="14"/>
  <c r="X101" i="14"/>
  <c r="X102" i="14"/>
  <c r="X103" i="14"/>
  <c r="X104" i="14"/>
  <c r="X105" i="14"/>
  <c r="X106" i="14"/>
  <c r="X107" i="14"/>
  <c r="X108" i="14"/>
  <c r="X109" i="14"/>
  <c r="X110" i="14"/>
  <c r="X111" i="14"/>
  <c r="X112" i="14"/>
  <c r="X113" i="14"/>
  <c r="X114" i="14"/>
  <c r="X115" i="14"/>
  <c r="X116" i="14"/>
  <c r="X117" i="14"/>
  <c r="X118" i="14"/>
  <c r="X119" i="14"/>
  <c r="X120" i="14"/>
  <c r="W68" i="14"/>
  <c r="W69" i="14"/>
  <c r="W70" i="14"/>
  <c r="W71" i="14"/>
  <c r="W72" i="14"/>
  <c r="W73" i="14"/>
  <c r="W74" i="14"/>
  <c r="W75" i="14"/>
  <c r="W76" i="14"/>
  <c r="W77" i="14"/>
  <c r="W78" i="14"/>
  <c r="W79" i="14"/>
  <c r="W80" i="14"/>
  <c r="W81" i="14"/>
  <c r="W82" i="14"/>
  <c r="W83" i="14"/>
  <c r="W84" i="14"/>
  <c r="W85" i="14"/>
  <c r="W86" i="14"/>
  <c r="W87" i="14"/>
  <c r="W88" i="14"/>
  <c r="W89" i="14"/>
  <c r="W90" i="14"/>
  <c r="W91" i="14"/>
  <c r="W92" i="14"/>
  <c r="W93" i="14"/>
  <c r="W94" i="14"/>
  <c r="W95" i="14"/>
  <c r="W96" i="14"/>
  <c r="W97" i="14"/>
  <c r="W98" i="14"/>
  <c r="W99" i="14"/>
  <c r="W100" i="14"/>
  <c r="W101" i="14"/>
  <c r="W102" i="14"/>
  <c r="W103" i="14"/>
  <c r="W104" i="14"/>
  <c r="W105" i="14"/>
  <c r="W106" i="14"/>
  <c r="W107" i="14"/>
  <c r="W108" i="14"/>
  <c r="W109" i="14"/>
  <c r="W110" i="14"/>
  <c r="W111" i="14"/>
  <c r="W112" i="14"/>
  <c r="W113" i="14"/>
  <c r="W114" i="14"/>
  <c r="W115" i="14"/>
  <c r="W116" i="14"/>
  <c r="W117" i="14"/>
  <c r="W118" i="14"/>
  <c r="W119" i="14"/>
  <c r="W120" i="14"/>
  <c r="W67" i="14"/>
  <c r="W42" i="14"/>
  <c r="W43" i="14"/>
  <c r="W44" i="14"/>
  <c r="W45" i="14"/>
  <c r="W46" i="14"/>
  <c r="W47" i="14"/>
  <c r="W48" i="14"/>
  <c r="W49" i="14"/>
  <c r="W50" i="14"/>
  <c r="W51" i="14"/>
  <c r="W52" i="14"/>
  <c r="W53" i="14"/>
  <c r="W54" i="14"/>
  <c r="W55" i="14"/>
  <c r="W56" i="14"/>
  <c r="W57" i="14"/>
  <c r="W58" i="14"/>
  <c r="W59" i="14"/>
  <c r="W60" i="14"/>
  <c r="W61" i="14"/>
  <c r="W62" i="14"/>
  <c r="W63" i="14"/>
  <c r="W64" i="14"/>
  <c r="W65" i="14"/>
  <c r="W66"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7" i="14"/>
  <c r="W5" i="14"/>
  <c r="W6" i="14"/>
  <c r="L115" i="9"/>
  <c r="L116" i="9"/>
  <c r="L117" i="9"/>
  <c r="L118" i="9"/>
  <c r="L119" i="9"/>
  <c r="L120" i="9"/>
  <c r="L121" i="9"/>
  <c r="L122" i="9"/>
  <c r="L123" i="9"/>
  <c r="L124" i="9"/>
  <c r="L125" i="9"/>
  <c r="L126" i="9"/>
  <c r="L127" i="9"/>
  <c r="L128" i="9"/>
  <c r="L129" i="9"/>
  <c r="L130" i="9"/>
  <c r="L131" i="9"/>
  <c r="L132" i="9"/>
  <c r="L133" i="9"/>
  <c r="L113" i="9"/>
  <c r="L114" i="9"/>
  <c r="L112" i="9"/>
  <c r="L107" i="9"/>
  <c r="L108" i="9"/>
  <c r="L109" i="9"/>
  <c r="L110" i="9"/>
  <c r="L111" i="9"/>
  <c r="L82" i="9"/>
  <c r="L83" i="9"/>
  <c r="L84" i="9"/>
  <c r="L85" i="9"/>
  <c r="L86" i="9"/>
  <c r="L87" i="9"/>
  <c r="L88" i="9"/>
  <c r="L89" i="9"/>
  <c r="L90" i="9"/>
  <c r="L91" i="9"/>
  <c r="L92" i="9"/>
  <c r="L93" i="9"/>
  <c r="L94" i="9"/>
  <c r="L95" i="9"/>
  <c r="L96" i="9"/>
  <c r="L97" i="9"/>
  <c r="L98" i="9"/>
  <c r="L99" i="9"/>
  <c r="L100" i="9"/>
  <c r="L101" i="9"/>
  <c r="L102" i="9"/>
  <c r="L103" i="9"/>
  <c r="L104" i="9"/>
  <c r="L105" i="9"/>
  <c r="L106" i="9"/>
  <c r="L78" i="9"/>
  <c r="L79" i="9"/>
  <c r="L80" i="9"/>
  <c r="L81" i="9"/>
  <c r="L73" i="9"/>
  <c r="L74" i="9"/>
  <c r="L75" i="9"/>
  <c r="L76" i="9"/>
  <c r="L77" i="9"/>
  <c r="L72" i="9"/>
  <c r="L68" i="9"/>
  <c r="L69" i="9"/>
  <c r="L70" i="9"/>
  <c r="L71" i="9"/>
  <c r="L59" i="9"/>
  <c r="L60" i="9"/>
  <c r="L61" i="9"/>
  <c r="L62" i="9"/>
  <c r="L63" i="9"/>
  <c r="L64" i="9"/>
  <c r="L57" i="9"/>
  <c r="L58" i="9"/>
  <c r="L54" i="9"/>
  <c r="L55" i="9"/>
  <c r="L56" i="9"/>
  <c r="L36" i="9"/>
  <c r="L37" i="9"/>
  <c r="L38" i="9"/>
  <c r="L39" i="9"/>
  <c r="L40" i="9"/>
  <c r="L41" i="9"/>
  <c r="L42" i="9"/>
  <c r="L43" i="9"/>
  <c r="L44" i="9"/>
  <c r="L45" i="9"/>
  <c r="L46" i="9"/>
  <c r="L47" i="9"/>
  <c r="L48" i="9"/>
  <c r="L49" i="9"/>
  <c r="L50" i="9"/>
  <c r="L51" i="9"/>
  <c r="L24" i="9"/>
  <c r="L25" i="9"/>
  <c r="L26" i="9"/>
  <c r="L27" i="9"/>
  <c r="L28" i="9"/>
  <c r="L29" i="9"/>
  <c r="L30" i="9"/>
  <c r="L31" i="9"/>
  <c r="L32" i="9"/>
  <c r="L33" i="9"/>
  <c r="L34" i="9"/>
  <c r="L35" i="9"/>
  <c r="L23" i="9"/>
  <c r="L6" i="9"/>
  <c r="L7" i="9"/>
  <c r="L8" i="9"/>
  <c r="L9" i="9"/>
  <c r="L10" i="9"/>
  <c r="L11" i="9"/>
  <c r="L12" i="9"/>
  <c r="L13" i="9"/>
  <c r="L14" i="9"/>
  <c r="L15" i="9"/>
  <c r="L16" i="9"/>
  <c r="L17" i="9"/>
  <c r="L18" i="9"/>
  <c r="L19" i="9"/>
  <c r="L20" i="9"/>
  <c r="L21" i="9"/>
  <c r="L22" i="9"/>
  <c r="L67" i="9"/>
  <c r="L66" i="9"/>
  <c r="L65" i="9"/>
  <c r="L53" i="9"/>
  <c r="L52" i="9"/>
  <c r="L5" i="9"/>
  <c r="L2" i="9"/>
  <c r="H4" i="17" s="1"/>
  <c r="AG386" i="9" l="1"/>
  <c r="AI328" i="20"/>
  <c r="AI327" i="9" s="1"/>
  <c r="AI190" i="20"/>
  <c r="AI189" i="9" s="1"/>
  <c r="AI189" i="20"/>
  <c r="AI188" i="9" s="1"/>
  <c r="E144" i="21"/>
  <c r="E293" i="21"/>
  <c r="D144" i="21"/>
  <c r="D293" i="21"/>
  <c r="C144" i="21"/>
  <c r="C293" i="21"/>
  <c r="F144" i="21"/>
  <c r="F293" i="21"/>
  <c r="AK191" i="12"/>
  <c r="AI191" i="12"/>
  <c r="AI187" i="12"/>
  <c r="AK187" i="12"/>
  <c r="AK190" i="12"/>
  <c r="AI190" i="12"/>
  <c r="AI186" i="12"/>
  <c r="AK186" i="12"/>
  <c r="AI189" i="12"/>
  <c r="AK189" i="12"/>
  <c r="AI185" i="12"/>
  <c r="AK185" i="12"/>
  <c r="AI188" i="12"/>
  <c r="AK188" i="12"/>
  <c r="AI192" i="12"/>
  <c r="AK192" i="12"/>
  <c r="AK187" i="2"/>
  <c r="AP187" i="2" s="1"/>
  <c r="AO187" i="2" s="1"/>
  <c r="AK191" i="2"/>
  <c r="AP191" i="2" s="1"/>
  <c r="AO191" i="2" s="1"/>
  <c r="AK190" i="2"/>
  <c r="AP190" i="2" s="1"/>
  <c r="AO190" i="2" s="1"/>
  <c r="AK188" i="2"/>
  <c r="AP188" i="2" s="1"/>
  <c r="AO188" i="2" s="1"/>
  <c r="AK186" i="2"/>
  <c r="AP186" i="2" s="1"/>
  <c r="AO186" i="2" s="1"/>
  <c r="AK189" i="2"/>
  <c r="AP189" i="2" s="1"/>
  <c r="AO189" i="2" s="1"/>
  <c r="AK192" i="2"/>
  <c r="AP192" i="2" s="1"/>
  <c r="AO192" i="2" s="1"/>
  <c r="N21" i="17"/>
  <c r="N71" i="17"/>
  <c r="U138" i="14"/>
  <c r="AK286" i="20"/>
  <c r="K287" i="14"/>
  <c r="B211" i="9"/>
  <c r="A213" i="17" s="1"/>
  <c r="Q213" i="17" s="1"/>
  <c r="A213" i="14"/>
  <c r="Q213" i="14" s="1"/>
  <c r="B204" i="9"/>
  <c r="A206" i="17" s="1"/>
  <c r="Q206" i="17" s="1"/>
  <c r="A206" i="14"/>
  <c r="Q206" i="14" s="1"/>
  <c r="B184" i="9"/>
  <c r="A186" i="17" s="1"/>
  <c r="Q186" i="17" s="1"/>
  <c r="A186" i="14"/>
  <c r="Q186" i="14" s="1"/>
  <c r="B179" i="9"/>
  <c r="A181" i="17" s="1"/>
  <c r="Q181" i="17" s="1"/>
  <c r="A181" i="14"/>
  <c r="Q181" i="14" s="1"/>
  <c r="B321" i="9"/>
  <c r="W321" i="9" s="1"/>
  <c r="A323" i="14"/>
  <c r="Q323" i="14" s="1"/>
  <c r="B308" i="9"/>
  <c r="W308" i="9" s="1"/>
  <c r="A310" i="14"/>
  <c r="Q310" i="14" s="1"/>
  <c r="B306" i="9"/>
  <c r="W306" i="9" s="1"/>
  <c r="A308" i="14"/>
  <c r="Q308" i="14" s="1"/>
  <c r="B303" i="9"/>
  <c r="A305" i="14"/>
  <c r="Q305" i="14" s="1"/>
  <c r="B141" i="9"/>
  <c r="A143" i="15" s="1"/>
  <c r="Q143" i="15" s="1"/>
  <c r="A143" i="14"/>
  <c r="Q143" i="14" s="1"/>
  <c r="B137" i="9"/>
  <c r="A139" i="15" s="1"/>
  <c r="Q139" i="15" s="1"/>
  <c r="A139" i="14"/>
  <c r="Q139" i="14" s="1"/>
  <c r="B181" i="9"/>
  <c r="A183" i="17" s="1"/>
  <c r="Q183" i="17" s="1"/>
  <c r="A183" i="14"/>
  <c r="Q183" i="14" s="1"/>
  <c r="B326" i="9"/>
  <c r="A328" i="14"/>
  <c r="Q328" i="14" s="1"/>
  <c r="B140" i="9"/>
  <c r="A142" i="15" s="1"/>
  <c r="Q142" i="15" s="1"/>
  <c r="A142" i="14"/>
  <c r="Q142" i="14" s="1"/>
  <c r="B136" i="9"/>
  <c r="W136" i="9" s="1"/>
  <c r="A138" i="14"/>
  <c r="Q138" i="14" s="1"/>
  <c r="I262" i="9"/>
  <c r="H264" i="17" s="1"/>
  <c r="S264" i="17" s="1"/>
  <c r="H264" i="14"/>
  <c r="S264" i="14" s="1"/>
  <c r="A263" i="15"/>
  <c r="Q263" i="15" s="1"/>
  <c r="A264" i="17"/>
  <c r="Q264" i="17" s="1"/>
  <c r="J144" i="9"/>
  <c r="I146" i="17" s="1"/>
  <c r="S146" i="17" s="1"/>
  <c r="I146" i="14"/>
  <c r="S146" i="14" s="1"/>
  <c r="J293" i="9"/>
  <c r="I294" i="15" s="1"/>
  <c r="I295" i="14"/>
  <c r="J332" i="9"/>
  <c r="I334" i="17" s="1"/>
  <c r="I334" i="14"/>
  <c r="J202" i="9"/>
  <c r="I203" i="15" s="1"/>
  <c r="I204" i="14"/>
  <c r="J203" i="9"/>
  <c r="I205" i="17" s="1"/>
  <c r="I205" i="14"/>
  <c r="J204" i="9"/>
  <c r="I205" i="15" s="1"/>
  <c r="I206" i="14"/>
  <c r="J205" i="9"/>
  <c r="I207" i="17" s="1"/>
  <c r="I207" i="14"/>
  <c r="J206" i="9"/>
  <c r="I207" i="15" s="1"/>
  <c r="I208" i="14"/>
  <c r="J207" i="9"/>
  <c r="I209" i="17" s="1"/>
  <c r="I209" i="14"/>
  <c r="J208" i="9"/>
  <c r="I210" i="17" s="1"/>
  <c r="I210" i="14"/>
  <c r="J209" i="9"/>
  <c r="I211" i="17" s="1"/>
  <c r="I211" i="14"/>
  <c r="J210" i="9"/>
  <c r="I212" i="17" s="1"/>
  <c r="I212" i="14"/>
  <c r="J211" i="9"/>
  <c r="I213" i="17" s="1"/>
  <c r="I213" i="14"/>
  <c r="J212" i="9"/>
  <c r="I214" i="17" s="1"/>
  <c r="I214" i="14"/>
  <c r="J213" i="9"/>
  <c r="I215" i="17" s="1"/>
  <c r="I215" i="14"/>
  <c r="J215" i="9"/>
  <c r="I217" i="17" s="1"/>
  <c r="I217" i="14"/>
  <c r="J216" i="9"/>
  <c r="I218" i="17" s="1"/>
  <c r="I218" i="14"/>
  <c r="J217" i="9"/>
  <c r="I219" i="17" s="1"/>
  <c r="I219" i="14"/>
  <c r="J218" i="9"/>
  <c r="I220" i="17" s="1"/>
  <c r="I220" i="14"/>
  <c r="J219" i="9"/>
  <c r="I221" i="17" s="1"/>
  <c r="I221" i="14"/>
  <c r="J220" i="9"/>
  <c r="I222" i="17" s="1"/>
  <c r="I222" i="14"/>
  <c r="J221" i="9"/>
  <c r="I223" i="17" s="1"/>
  <c r="I223" i="14"/>
  <c r="J222" i="9"/>
  <c r="I224" i="17" s="1"/>
  <c r="I224" i="14"/>
  <c r="J223" i="9"/>
  <c r="I225" i="17" s="1"/>
  <c r="I225" i="14"/>
  <c r="J224" i="9"/>
  <c r="I226" i="17" s="1"/>
  <c r="I226" i="14"/>
  <c r="J225" i="9"/>
  <c r="I227" i="17" s="1"/>
  <c r="I227" i="14"/>
  <c r="J226" i="9"/>
  <c r="I228" i="17" s="1"/>
  <c r="I228" i="14"/>
  <c r="J227" i="9"/>
  <c r="I229" i="17" s="1"/>
  <c r="I229" i="14"/>
  <c r="J228" i="9"/>
  <c r="I230" i="17" s="1"/>
  <c r="I230" i="14"/>
  <c r="J229" i="9"/>
  <c r="I230" i="15" s="1"/>
  <c r="I231" i="14"/>
  <c r="J230" i="9"/>
  <c r="I232" i="17" s="1"/>
  <c r="I232" i="14"/>
  <c r="B139" i="9"/>
  <c r="W139" i="9" s="1"/>
  <c r="A141" i="14"/>
  <c r="Q141" i="14" s="1"/>
  <c r="I293" i="9"/>
  <c r="H295" i="17" s="1"/>
  <c r="H295" i="14"/>
  <c r="J157" i="9"/>
  <c r="I158" i="15" s="1"/>
  <c r="I159" i="14"/>
  <c r="J158" i="9"/>
  <c r="I160" i="17" s="1"/>
  <c r="I160" i="14"/>
  <c r="J307" i="9"/>
  <c r="I308" i="15" s="1"/>
  <c r="I309" i="14"/>
  <c r="J308" i="9"/>
  <c r="I310" i="17" s="1"/>
  <c r="I310" i="14"/>
  <c r="J159" i="9"/>
  <c r="I160" i="15" s="1"/>
  <c r="I161" i="14"/>
  <c r="J160" i="9"/>
  <c r="I162" i="17" s="1"/>
  <c r="I162" i="14"/>
  <c r="J161" i="9"/>
  <c r="I162" i="15" s="1"/>
  <c r="I163" i="14"/>
  <c r="J309" i="9"/>
  <c r="I311" i="17" s="1"/>
  <c r="I311" i="14"/>
  <c r="J310" i="9"/>
  <c r="I311" i="15" s="1"/>
  <c r="I312" i="14"/>
  <c r="J162" i="9"/>
  <c r="I164" i="17" s="1"/>
  <c r="I164" i="14"/>
  <c r="J311" i="9"/>
  <c r="I312" i="15" s="1"/>
  <c r="I313" i="14"/>
  <c r="J312" i="9"/>
  <c r="I314" i="17" s="1"/>
  <c r="I314" i="14"/>
  <c r="J163" i="9"/>
  <c r="I164" i="15" s="1"/>
  <c r="I165" i="14"/>
  <c r="J164" i="9"/>
  <c r="I166" i="17" s="1"/>
  <c r="I166" i="14"/>
  <c r="J313" i="9"/>
  <c r="I314" i="15" s="1"/>
  <c r="I315" i="14"/>
  <c r="J314" i="9"/>
  <c r="I316" i="17" s="1"/>
  <c r="I316" i="14"/>
  <c r="J165" i="9"/>
  <c r="I166" i="15" s="1"/>
  <c r="I167" i="14"/>
  <c r="J315" i="9"/>
  <c r="I317" i="17" s="1"/>
  <c r="I317" i="14"/>
  <c r="J316" i="9"/>
  <c r="I317" i="15" s="1"/>
  <c r="I318" i="14"/>
  <c r="J317" i="9"/>
  <c r="I319" i="17" s="1"/>
  <c r="I319" i="14"/>
  <c r="J167" i="9"/>
  <c r="I168" i="15" s="1"/>
  <c r="I169" i="14"/>
  <c r="J321" i="9"/>
  <c r="I323" i="17" s="1"/>
  <c r="I323" i="14"/>
  <c r="J188" i="9"/>
  <c r="I189" i="15" s="1"/>
  <c r="I190" i="14"/>
  <c r="J189" i="9"/>
  <c r="I191" i="17" s="1"/>
  <c r="I191" i="14"/>
  <c r="J190" i="9"/>
  <c r="I191" i="15" s="1"/>
  <c r="I192" i="14"/>
  <c r="J191" i="9"/>
  <c r="I193" i="17" s="1"/>
  <c r="I193" i="14"/>
  <c r="J194" i="9"/>
  <c r="I195" i="15" s="1"/>
  <c r="I196" i="14"/>
  <c r="J196" i="9"/>
  <c r="I198" i="17" s="1"/>
  <c r="I198" i="14"/>
  <c r="J197" i="9"/>
  <c r="I198" i="15" s="1"/>
  <c r="I199" i="14"/>
  <c r="J200" i="9"/>
  <c r="I202" i="17" s="1"/>
  <c r="I202" i="14"/>
  <c r="J201" i="9"/>
  <c r="I202" i="15" s="1"/>
  <c r="I203" i="14"/>
  <c r="B325" i="9"/>
  <c r="A327" i="14"/>
  <c r="Q327" i="14" s="1"/>
  <c r="B169" i="9"/>
  <c r="A171" i="17" s="1"/>
  <c r="Q171" i="17" s="1"/>
  <c r="A171" i="14"/>
  <c r="Q171" i="14" s="1"/>
  <c r="B157" i="9"/>
  <c r="A159" i="17" s="1"/>
  <c r="Q159" i="17" s="1"/>
  <c r="A159" i="14"/>
  <c r="Q159" i="14" s="1"/>
  <c r="B143" i="9"/>
  <c r="A145" i="17" s="1"/>
  <c r="Q145" i="17" s="1"/>
  <c r="A145" i="14"/>
  <c r="Q145" i="14" s="1"/>
  <c r="B138" i="9"/>
  <c r="A140" i="15" s="1"/>
  <c r="Q140" i="15" s="1"/>
  <c r="A140" i="14"/>
  <c r="Q140" i="14" s="1"/>
  <c r="H350" i="15"/>
  <c r="S350" i="15" s="1"/>
  <c r="H351" i="17"/>
  <c r="S351" i="17" s="1"/>
  <c r="H342" i="15"/>
  <c r="S342" i="15" s="1"/>
  <c r="H343" i="17"/>
  <c r="S343" i="17" s="1"/>
  <c r="H343" i="15"/>
  <c r="S343" i="15" s="1"/>
  <c r="H344" i="17"/>
  <c r="S344" i="17" s="1"/>
  <c r="H263" i="15"/>
  <c r="S263" i="15" s="1"/>
  <c r="I295" i="15"/>
  <c r="I296" i="17"/>
  <c r="H341" i="15"/>
  <c r="S341" i="15" s="1"/>
  <c r="H342" i="17"/>
  <c r="S342" i="17" s="1"/>
  <c r="H344" i="15"/>
  <c r="S344" i="15" s="1"/>
  <c r="H345" i="17"/>
  <c r="S345" i="17" s="1"/>
  <c r="H346" i="15"/>
  <c r="S346" i="15" s="1"/>
  <c r="H347" i="17"/>
  <c r="S347" i="17" s="1"/>
  <c r="H348" i="15"/>
  <c r="S348" i="15" s="1"/>
  <c r="H349" i="17"/>
  <c r="S349" i="17" s="1"/>
  <c r="H349" i="15"/>
  <c r="S349" i="15" s="1"/>
  <c r="H350" i="17"/>
  <c r="S350" i="17" s="1"/>
  <c r="H347" i="15"/>
  <c r="S347" i="15" s="1"/>
  <c r="H348" i="17"/>
  <c r="S348" i="17" s="1"/>
  <c r="H345" i="15"/>
  <c r="S345" i="15" s="1"/>
  <c r="H346" i="17"/>
  <c r="S346" i="17" s="1"/>
  <c r="AW191" i="12"/>
  <c r="T191" i="18" s="1"/>
  <c r="AL191" i="12"/>
  <c r="L191" i="18" s="1"/>
  <c r="J191" i="12"/>
  <c r="AW187" i="12"/>
  <c r="T187" i="18" s="1"/>
  <c r="AL187" i="12"/>
  <c r="L187" i="18" s="1"/>
  <c r="J187" i="12"/>
  <c r="AW186" i="12"/>
  <c r="T186" i="18" s="1"/>
  <c r="AL186" i="12"/>
  <c r="L186" i="18" s="1"/>
  <c r="J186" i="12"/>
  <c r="AW189" i="12"/>
  <c r="T189" i="18" s="1"/>
  <c r="AL189" i="12"/>
  <c r="L189" i="18" s="1"/>
  <c r="J189" i="12"/>
  <c r="AW185" i="12"/>
  <c r="T185" i="18" s="1"/>
  <c r="AL185" i="12"/>
  <c r="L185" i="18" s="1"/>
  <c r="J185" i="12"/>
  <c r="AW190" i="12"/>
  <c r="T190" i="18" s="1"/>
  <c r="AL190" i="12"/>
  <c r="L190" i="18" s="1"/>
  <c r="J190" i="12"/>
  <c r="AW188" i="12"/>
  <c r="T188" i="18" s="1"/>
  <c r="AL188" i="12"/>
  <c r="L188" i="18" s="1"/>
  <c r="J188" i="12"/>
  <c r="AW192" i="12"/>
  <c r="T192" i="18" s="1"/>
  <c r="AL192" i="12"/>
  <c r="L192" i="18" s="1"/>
  <c r="J192" i="12"/>
  <c r="K70" i="8"/>
  <c r="M69" i="8"/>
  <c r="K85" i="8"/>
  <c r="M84" i="8"/>
  <c r="K113" i="8"/>
  <c r="M112" i="8"/>
  <c r="AK185" i="2"/>
  <c r="AP185" i="2" s="1"/>
  <c r="AO185" i="2" s="1"/>
  <c r="N13" i="17"/>
  <c r="N16" i="17"/>
  <c r="AI369" i="20"/>
  <c r="AI368" i="9" s="1"/>
  <c r="V189" i="2"/>
  <c r="V185" i="2"/>
  <c r="X185" i="2" s="1"/>
  <c r="D186" i="13"/>
  <c r="D190" i="13"/>
  <c r="V192" i="2"/>
  <c r="V186" i="2"/>
  <c r="D187" i="13"/>
  <c r="D189" i="13"/>
  <c r="A9" i="8"/>
  <c r="C8" i="8"/>
  <c r="U135" i="17"/>
  <c r="U131" i="17"/>
  <c r="U127" i="17"/>
  <c r="U123" i="17"/>
  <c r="N51" i="15"/>
  <c r="N67" i="15"/>
  <c r="U135" i="14"/>
  <c r="U139" i="14"/>
  <c r="J387" i="9"/>
  <c r="I388" i="15" s="1"/>
  <c r="I365" i="9"/>
  <c r="J166" i="9"/>
  <c r="J241" i="9"/>
  <c r="J243" i="9"/>
  <c r="J246" i="9"/>
  <c r="J248" i="9"/>
  <c r="J253" i="9"/>
  <c r="J255" i="9"/>
  <c r="J257" i="9"/>
  <c r="J259" i="9"/>
  <c r="J261" i="9"/>
  <c r="J266" i="9"/>
  <c r="J269" i="9"/>
  <c r="J278" i="9"/>
  <c r="J136" i="9"/>
  <c r="I138" i="15" s="1"/>
  <c r="B387" i="9"/>
  <c r="A388" i="15" s="1"/>
  <c r="Q388" i="15" s="1"/>
  <c r="B365" i="9"/>
  <c r="A367" i="17" s="1"/>
  <c r="Q367" i="17" s="1"/>
  <c r="B212" i="9"/>
  <c r="A214" i="17" s="1"/>
  <c r="Q214" i="17" s="1"/>
  <c r="B209" i="9"/>
  <c r="A211" i="17" s="1"/>
  <c r="Q211" i="17" s="1"/>
  <c r="B199" i="9"/>
  <c r="A201" i="17" s="1"/>
  <c r="Q201" i="17" s="1"/>
  <c r="B187" i="9"/>
  <c r="A189" i="17" s="1"/>
  <c r="Q189" i="17" s="1"/>
  <c r="B156" i="9"/>
  <c r="A158" i="17" s="1"/>
  <c r="Q158" i="17" s="1"/>
  <c r="B379" i="9"/>
  <c r="B392" i="9"/>
  <c r="A393" i="15" s="1"/>
  <c r="Q393" i="15" s="1"/>
  <c r="AI249" i="20"/>
  <c r="AI248" i="9" s="1"/>
  <c r="AG248" i="9"/>
  <c r="AI200" i="20"/>
  <c r="AI199" i="9" s="1"/>
  <c r="AG199" i="9"/>
  <c r="AJ294" i="20"/>
  <c r="AJ293" i="9" s="1"/>
  <c r="AG293" i="9"/>
  <c r="AJ263" i="20"/>
  <c r="AJ262" i="9" s="1"/>
  <c r="AK262" i="9"/>
  <c r="J236" i="9"/>
  <c r="J239" i="9"/>
  <c r="J244" i="9"/>
  <c r="J276" i="9"/>
  <c r="J280" i="9"/>
  <c r="J143" i="9"/>
  <c r="B339" i="9"/>
  <c r="A341" i="17" s="1"/>
  <c r="Q341" i="17" s="1"/>
  <c r="B190" i="9"/>
  <c r="A192" i="17" s="1"/>
  <c r="Q192" i="17" s="1"/>
  <c r="B327" i="9"/>
  <c r="A329" i="17" s="1"/>
  <c r="Q329" i="17" s="1"/>
  <c r="B177" i="9"/>
  <c r="A179" i="17" s="1"/>
  <c r="Q179" i="17" s="1"/>
  <c r="B311" i="9"/>
  <c r="A313" i="17" s="1"/>
  <c r="Q313" i="17" s="1"/>
  <c r="B299" i="9"/>
  <c r="B401" i="9"/>
  <c r="A402" i="15" s="1"/>
  <c r="Q402" i="15" s="1"/>
  <c r="B296" i="9"/>
  <c r="A298" i="17" s="1"/>
  <c r="Q298" i="17" s="1"/>
  <c r="B291" i="9"/>
  <c r="J386" i="9"/>
  <c r="I387" i="15" s="1"/>
  <c r="I364" i="9"/>
  <c r="J155" i="9"/>
  <c r="J301" i="9"/>
  <c r="J380" i="9"/>
  <c r="I381" i="15" s="1"/>
  <c r="J381" i="9"/>
  <c r="I382" i="15" s="1"/>
  <c r="J302" i="9"/>
  <c r="J382" i="9"/>
  <c r="I383" i="15" s="1"/>
  <c r="J383" i="9"/>
  <c r="I384" i="15" s="1"/>
  <c r="J384" i="9"/>
  <c r="I385" i="15" s="1"/>
  <c r="J303" i="9"/>
  <c r="J156" i="9"/>
  <c r="J304" i="9"/>
  <c r="J305" i="9"/>
  <c r="J306" i="9"/>
  <c r="J385" i="9"/>
  <c r="I386" i="15" s="1"/>
  <c r="J192" i="9"/>
  <c r="I194" i="17" s="1"/>
  <c r="J193" i="9"/>
  <c r="J195" i="9"/>
  <c r="I197" i="17" s="1"/>
  <c r="J198" i="9"/>
  <c r="J199" i="9"/>
  <c r="B386" i="9"/>
  <c r="A387" i="15" s="1"/>
  <c r="Q387" i="15" s="1"/>
  <c r="B145" i="9"/>
  <c r="A147" i="17" s="1"/>
  <c r="Q147" i="17" s="1"/>
  <c r="B292" i="9"/>
  <c r="B364" i="9"/>
  <c r="B208" i="9"/>
  <c r="A210" i="17" s="1"/>
  <c r="Q210" i="17" s="1"/>
  <c r="B206" i="9"/>
  <c r="A208" i="17" s="1"/>
  <c r="Q208" i="17" s="1"/>
  <c r="A205" i="15"/>
  <c r="Q205" i="15" s="1"/>
  <c r="B201" i="9"/>
  <c r="A203" i="17" s="1"/>
  <c r="Q203" i="17" s="1"/>
  <c r="B198" i="9"/>
  <c r="A200" i="17" s="1"/>
  <c r="Q200" i="17" s="1"/>
  <c r="B195" i="9"/>
  <c r="A197" i="17" s="1"/>
  <c r="Q197" i="17" s="1"/>
  <c r="B192" i="9"/>
  <c r="A194" i="17" s="1"/>
  <c r="Q194" i="17" s="1"/>
  <c r="B332" i="9"/>
  <c r="B185" i="9"/>
  <c r="A187" i="17" s="1"/>
  <c r="Q187" i="17" s="1"/>
  <c r="A180" i="15"/>
  <c r="Q180" i="15" s="1"/>
  <c r="B176" i="9"/>
  <c r="A178" i="17" s="1"/>
  <c r="Q178" i="17" s="1"/>
  <c r="B324" i="9"/>
  <c r="B173" i="9"/>
  <c r="A175" i="17" s="1"/>
  <c r="Q175" i="17" s="1"/>
  <c r="B171" i="9"/>
  <c r="A173" i="17" s="1"/>
  <c r="Q173" i="17" s="1"/>
  <c r="B318" i="9"/>
  <c r="B165" i="9"/>
  <c r="A167" i="17" s="1"/>
  <c r="Q167" i="17" s="1"/>
  <c r="B162" i="9"/>
  <c r="A164" i="17" s="1"/>
  <c r="Q164" i="17" s="1"/>
  <c r="W303" i="9"/>
  <c r="B302" i="9"/>
  <c r="B155" i="9"/>
  <c r="A157" i="17" s="1"/>
  <c r="Q157" i="17" s="1"/>
  <c r="B378" i="9"/>
  <c r="A379" i="15" s="1"/>
  <c r="Q379" i="15" s="1"/>
  <c r="B409" i="9"/>
  <c r="A410" i="15" s="1"/>
  <c r="Q410" i="15" s="1"/>
  <c r="B374" i="9"/>
  <c r="A375" i="15" s="1"/>
  <c r="Q375" i="15" s="1"/>
  <c r="B154" i="9"/>
  <c r="A156" i="17" s="1"/>
  <c r="Q156" i="17" s="1"/>
  <c r="B297" i="9"/>
  <c r="B404" i="9"/>
  <c r="A405" i="15" s="1"/>
  <c r="Q405" i="15" s="1"/>
  <c r="B372" i="9"/>
  <c r="A373" i="15" s="1"/>
  <c r="Q373" i="15" s="1"/>
  <c r="B397" i="9"/>
  <c r="A398" i="15" s="1"/>
  <c r="Q398" i="15" s="1"/>
  <c r="B396" i="9"/>
  <c r="A397" i="15" s="1"/>
  <c r="Q397" i="15" s="1"/>
  <c r="B394" i="9"/>
  <c r="A395" i="15" s="1"/>
  <c r="Q395" i="15" s="1"/>
  <c r="B391" i="9"/>
  <c r="A392" i="15" s="1"/>
  <c r="Q392" i="15" s="1"/>
  <c r="B295" i="9"/>
  <c r="A297" i="17" s="1"/>
  <c r="Q297" i="17" s="1"/>
  <c r="W137" i="9"/>
  <c r="B285" i="9"/>
  <c r="B282" i="9"/>
  <c r="B278" i="9"/>
  <c r="B276" i="9"/>
  <c r="B266" i="9"/>
  <c r="B264" i="9"/>
  <c r="A266" i="17" s="1"/>
  <c r="Q266" i="17" s="1"/>
  <c r="B260" i="9"/>
  <c r="B257" i="9"/>
  <c r="B254" i="9"/>
  <c r="B251" i="9"/>
  <c r="A253" i="17" s="1"/>
  <c r="Q253" i="17" s="1"/>
  <c r="B248" i="9"/>
  <c r="B245" i="9"/>
  <c r="B242" i="9"/>
  <c r="B239" i="9"/>
  <c r="A241" i="17" s="1"/>
  <c r="Q241" i="17" s="1"/>
  <c r="B228" i="9"/>
  <c r="B225" i="9"/>
  <c r="A227" i="17" s="1"/>
  <c r="Q227" i="17" s="1"/>
  <c r="B222" i="9"/>
  <c r="B219" i="9"/>
  <c r="B216" i="9"/>
  <c r="AI248" i="20"/>
  <c r="AI247" i="9" s="1"/>
  <c r="AG247" i="9"/>
  <c r="AI209" i="20"/>
  <c r="AI208" i="9" s="1"/>
  <c r="AG208" i="9"/>
  <c r="AI205" i="20"/>
  <c r="AI204" i="9" s="1"/>
  <c r="AG204" i="9"/>
  <c r="AI395" i="20"/>
  <c r="AI394" i="9" s="1"/>
  <c r="AG394" i="9"/>
  <c r="AB297" i="20"/>
  <c r="AB295" i="9"/>
  <c r="AB391" i="20"/>
  <c r="AB389" i="9"/>
  <c r="L144" i="9"/>
  <c r="K145" i="15"/>
  <c r="J360" i="9"/>
  <c r="J237" i="9"/>
  <c r="J240" i="9"/>
  <c r="J242" i="9"/>
  <c r="J245" i="9"/>
  <c r="J251" i="9"/>
  <c r="J258" i="9"/>
  <c r="J265" i="9"/>
  <c r="J268" i="9"/>
  <c r="J281" i="9"/>
  <c r="J282" i="9"/>
  <c r="J283" i="9"/>
  <c r="J284" i="9"/>
  <c r="J285" i="9"/>
  <c r="J140" i="9"/>
  <c r="I142" i="15" s="1"/>
  <c r="B360" i="9"/>
  <c r="B193" i="9"/>
  <c r="A195" i="17" s="1"/>
  <c r="Q195" i="17" s="1"/>
  <c r="B186" i="9"/>
  <c r="A188" i="17" s="1"/>
  <c r="Q188" i="17" s="1"/>
  <c r="B172" i="9"/>
  <c r="A174" i="17" s="1"/>
  <c r="Q174" i="17" s="1"/>
  <c r="B315" i="9"/>
  <c r="B382" i="9"/>
  <c r="A383" i="15" s="1"/>
  <c r="Q383" i="15" s="1"/>
  <c r="B410" i="9"/>
  <c r="A411" i="15" s="1"/>
  <c r="Q411" i="15" s="1"/>
  <c r="B405" i="9"/>
  <c r="A406" i="15" s="1"/>
  <c r="Q406" i="15" s="1"/>
  <c r="B366" i="9"/>
  <c r="A367" i="15" s="1"/>
  <c r="Q367" i="15" s="1"/>
  <c r="J388" i="9"/>
  <c r="I389" i="15" s="1"/>
  <c r="I363" i="9"/>
  <c r="J370" i="9"/>
  <c r="I371" i="15" s="1"/>
  <c r="J371" i="9"/>
  <c r="I372" i="15" s="1"/>
  <c r="J397" i="9"/>
  <c r="I398" i="15" s="1"/>
  <c r="J398" i="9"/>
  <c r="I399" i="15" s="1"/>
  <c r="J399" i="9"/>
  <c r="I400" i="15" s="1"/>
  <c r="J400" i="9"/>
  <c r="I401" i="15" s="1"/>
  <c r="J372" i="9"/>
  <c r="I373" i="15" s="1"/>
  <c r="J401" i="9"/>
  <c r="I402" i="15" s="1"/>
  <c r="J402" i="9"/>
  <c r="I403" i="15" s="1"/>
  <c r="J403" i="9"/>
  <c r="I404" i="15" s="1"/>
  <c r="J404" i="9"/>
  <c r="I405" i="15" s="1"/>
  <c r="J405" i="9"/>
  <c r="I406" i="15" s="1"/>
  <c r="J406" i="9"/>
  <c r="I407" i="15" s="1"/>
  <c r="J407" i="9"/>
  <c r="I408" i="15" s="1"/>
  <c r="J297" i="9"/>
  <c r="J148" i="9"/>
  <c r="J149" i="9"/>
  <c r="J150" i="9"/>
  <c r="J298" i="9"/>
  <c r="J151" i="9"/>
  <c r="J152" i="9"/>
  <c r="J153" i="9"/>
  <c r="J154" i="9"/>
  <c r="J299" i="9"/>
  <c r="J373" i="9"/>
  <c r="I374" i="15" s="1"/>
  <c r="J408" i="9"/>
  <c r="I409" i="15" s="1"/>
  <c r="J374" i="9"/>
  <c r="I375" i="15" s="1"/>
  <c r="J375" i="9"/>
  <c r="I376" i="15" s="1"/>
  <c r="J300" i="9"/>
  <c r="J376" i="9"/>
  <c r="I377" i="15" s="1"/>
  <c r="J409" i="9"/>
  <c r="I410" i="15" s="1"/>
  <c r="J377" i="9"/>
  <c r="I378" i="15" s="1"/>
  <c r="J378" i="9"/>
  <c r="I379" i="15" s="1"/>
  <c r="J379" i="9"/>
  <c r="I380" i="15" s="1"/>
  <c r="J137" i="9"/>
  <c r="I139" i="15" s="1"/>
  <c r="J139" i="9"/>
  <c r="I141" i="15" s="1"/>
  <c r="J141" i="9"/>
  <c r="I143" i="15" s="1"/>
  <c r="B388" i="9"/>
  <c r="A389" i="15" s="1"/>
  <c r="Q389" i="15" s="1"/>
  <c r="B361" i="9"/>
  <c r="A363" i="17" s="1"/>
  <c r="Q363" i="17" s="1"/>
  <c r="B144" i="9"/>
  <c r="A146" i="17" s="1"/>
  <c r="Q146" i="17" s="1"/>
  <c r="B363" i="9"/>
  <c r="B210" i="9"/>
  <c r="A212" i="17" s="1"/>
  <c r="Q212" i="17" s="1"/>
  <c r="B207" i="9"/>
  <c r="A209" i="17" s="1"/>
  <c r="Q209" i="17" s="1"/>
  <c r="B205" i="9"/>
  <c r="A207" i="17" s="1"/>
  <c r="Q207" i="17" s="1"/>
  <c r="B203" i="9"/>
  <c r="A205" i="17" s="1"/>
  <c r="Q205" i="17" s="1"/>
  <c r="B197" i="9"/>
  <c r="A199" i="17" s="1"/>
  <c r="Q199" i="17" s="1"/>
  <c r="B194" i="9"/>
  <c r="A196" i="17" s="1"/>
  <c r="Q196" i="17" s="1"/>
  <c r="B334" i="9"/>
  <c r="B331" i="9"/>
  <c r="B329" i="9"/>
  <c r="W326" i="9"/>
  <c r="B174" i="9"/>
  <c r="A176" i="17" s="1"/>
  <c r="Q176" i="17" s="1"/>
  <c r="B320" i="9"/>
  <c r="B170" i="9"/>
  <c r="A172" i="17" s="1"/>
  <c r="Q172" i="17" s="1"/>
  <c r="B168" i="9"/>
  <c r="A170" i="17" s="1"/>
  <c r="Q170" i="17" s="1"/>
  <c r="B317" i="9"/>
  <c r="B314" i="9"/>
  <c r="B163" i="9"/>
  <c r="A165" i="17" s="1"/>
  <c r="Q165" i="17" s="1"/>
  <c r="B310" i="9"/>
  <c r="B160" i="9"/>
  <c r="A162" i="17" s="1"/>
  <c r="Q162" i="17" s="1"/>
  <c r="B307" i="9"/>
  <c r="B305" i="9"/>
  <c r="B384" i="9"/>
  <c r="A385" i="15" s="1"/>
  <c r="Q385" i="15" s="1"/>
  <c r="B381" i="9"/>
  <c r="A382" i="15" s="1"/>
  <c r="Q382" i="15" s="1"/>
  <c r="B411" i="9"/>
  <c r="A412" i="15" s="1"/>
  <c r="Q412" i="15" s="1"/>
  <c r="B376" i="9"/>
  <c r="A377" i="15" s="1"/>
  <c r="Q377" i="15" s="1"/>
  <c r="B408" i="9"/>
  <c r="A409" i="15" s="1"/>
  <c r="Q409" i="15" s="1"/>
  <c r="B153" i="9"/>
  <c r="A155" i="17" s="1"/>
  <c r="Q155" i="17" s="1"/>
  <c r="B152" i="9"/>
  <c r="A154" i="17" s="1"/>
  <c r="Q154" i="17" s="1"/>
  <c r="B298" i="9"/>
  <c r="A300" i="17" s="1"/>
  <c r="Q300" i="17" s="1"/>
  <c r="B407" i="9"/>
  <c r="A408" i="15" s="1"/>
  <c r="Q408" i="15" s="1"/>
  <c r="B403" i="9"/>
  <c r="A404" i="15" s="1"/>
  <c r="Q404" i="15" s="1"/>
  <c r="B400" i="9"/>
  <c r="A401" i="15" s="1"/>
  <c r="Q401" i="15" s="1"/>
  <c r="B371" i="9"/>
  <c r="A372" i="15" s="1"/>
  <c r="Q372" i="15" s="1"/>
  <c r="B395" i="9"/>
  <c r="A396" i="15" s="1"/>
  <c r="Q396" i="15" s="1"/>
  <c r="B393" i="9"/>
  <c r="A394" i="15" s="1"/>
  <c r="Q394" i="15" s="1"/>
  <c r="B390" i="9"/>
  <c r="A391" i="15" s="1"/>
  <c r="Q391" i="15" s="1"/>
  <c r="B147" i="9"/>
  <c r="A149" i="17" s="1"/>
  <c r="Q149" i="17" s="1"/>
  <c r="A138" i="15"/>
  <c r="Q138" i="15" s="1"/>
  <c r="B284" i="9"/>
  <c r="A286" i="17" s="1"/>
  <c r="Q286" i="17" s="1"/>
  <c r="B281" i="9"/>
  <c r="B275" i="9"/>
  <c r="B268" i="9"/>
  <c r="A270" i="17" s="1"/>
  <c r="Q270" i="17" s="1"/>
  <c r="B265" i="9"/>
  <c r="B263" i="9"/>
  <c r="A265" i="17" s="1"/>
  <c r="Q265" i="17" s="1"/>
  <c r="B259" i="9"/>
  <c r="B256" i="9"/>
  <c r="B253" i="9"/>
  <c r="B250" i="9"/>
  <c r="B247" i="9"/>
  <c r="A249" i="17" s="1"/>
  <c r="Q249" i="17" s="1"/>
  <c r="B244" i="9"/>
  <c r="B241" i="9"/>
  <c r="B238" i="9"/>
  <c r="A240" i="17" s="1"/>
  <c r="Q240" i="17" s="1"/>
  <c r="B235" i="9"/>
  <c r="B230" i="9"/>
  <c r="A232" i="17" s="1"/>
  <c r="Q232" i="17" s="1"/>
  <c r="B227" i="9"/>
  <c r="B224" i="9"/>
  <c r="B221" i="9"/>
  <c r="B218" i="9"/>
  <c r="A220" i="17" s="1"/>
  <c r="Q220" i="17" s="1"/>
  <c r="B215" i="9"/>
  <c r="A217" i="17" s="1"/>
  <c r="Q217" i="17" s="1"/>
  <c r="AI275" i="20"/>
  <c r="AI274" i="9" s="1"/>
  <c r="AG274" i="9"/>
  <c r="AI247" i="20"/>
  <c r="AI246" i="9" s="1"/>
  <c r="AG246" i="9"/>
  <c r="AI204" i="20"/>
  <c r="AI203" i="9" s="1"/>
  <c r="AG203" i="9"/>
  <c r="AI198" i="20"/>
  <c r="AI197" i="9" s="1"/>
  <c r="AG197" i="9"/>
  <c r="AI396" i="20"/>
  <c r="AI395" i="9" s="1"/>
  <c r="AG395" i="9"/>
  <c r="AI394" i="20"/>
  <c r="AI393" i="9" s="1"/>
  <c r="AG393" i="9"/>
  <c r="J292" i="9"/>
  <c r="J168" i="9"/>
  <c r="J318" i="9"/>
  <c r="J169" i="9"/>
  <c r="J170" i="9"/>
  <c r="J171" i="9"/>
  <c r="J172" i="9"/>
  <c r="J319" i="9"/>
  <c r="J320" i="9"/>
  <c r="J231" i="9"/>
  <c r="J233" i="9"/>
  <c r="J234" i="9"/>
  <c r="J235" i="9"/>
  <c r="J238" i="9"/>
  <c r="J247" i="9"/>
  <c r="J249" i="9"/>
  <c r="J250" i="9"/>
  <c r="J252" i="9"/>
  <c r="J254" i="9"/>
  <c r="J256" i="9"/>
  <c r="J260" i="9"/>
  <c r="J264" i="9"/>
  <c r="J267" i="9"/>
  <c r="J291" i="9"/>
  <c r="J138" i="9"/>
  <c r="I140" i="15" s="1"/>
  <c r="B293" i="9"/>
  <c r="B196" i="9"/>
  <c r="A198" i="17" s="1"/>
  <c r="Q198" i="17" s="1"/>
  <c r="B188" i="9"/>
  <c r="A190" i="17" s="1"/>
  <c r="Q190" i="17" s="1"/>
  <c r="B182" i="9"/>
  <c r="A184" i="17" s="1"/>
  <c r="Q184" i="17" s="1"/>
  <c r="B322" i="9"/>
  <c r="B166" i="9"/>
  <c r="A168" i="17" s="1"/>
  <c r="Q168" i="17" s="1"/>
  <c r="B164" i="9"/>
  <c r="A166" i="17" s="1"/>
  <c r="Q166" i="17" s="1"/>
  <c r="B161" i="9"/>
  <c r="A163" i="17" s="1"/>
  <c r="Q163" i="17" s="1"/>
  <c r="B385" i="9"/>
  <c r="A386" i="15" s="1"/>
  <c r="Q386" i="15" s="1"/>
  <c r="B301" i="9"/>
  <c r="A303" i="17" s="1"/>
  <c r="Q303" i="17" s="1"/>
  <c r="B375" i="9"/>
  <c r="B148" i="9"/>
  <c r="A150" i="17" s="1"/>
  <c r="Q150" i="17" s="1"/>
  <c r="B398" i="9"/>
  <c r="A399" i="15" s="1"/>
  <c r="Q399" i="15" s="1"/>
  <c r="B368" i="9"/>
  <c r="B269" i="9"/>
  <c r="B261" i="9"/>
  <c r="A263" i="17" s="1"/>
  <c r="Q263" i="17" s="1"/>
  <c r="B258" i="9"/>
  <c r="B255" i="9"/>
  <c r="A257" i="17" s="1"/>
  <c r="Q257" i="17" s="1"/>
  <c r="B249" i="9"/>
  <c r="B236" i="9"/>
  <c r="B233" i="9"/>
  <c r="J146" i="9"/>
  <c r="I148" i="17" s="1"/>
  <c r="J147" i="9"/>
  <c r="J295" i="9"/>
  <c r="J366" i="9"/>
  <c r="I367" i="15" s="1"/>
  <c r="J389" i="9"/>
  <c r="I390" i="15" s="1"/>
  <c r="J390" i="9"/>
  <c r="I391" i="15" s="1"/>
  <c r="J391" i="9"/>
  <c r="I392" i="15" s="1"/>
  <c r="J392" i="9"/>
  <c r="I393" i="15" s="1"/>
  <c r="J367" i="9"/>
  <c r="I368" i="15" s="1"/>
  <c r="J393" i="9"/>
  <c r="I394" i="15" s="1"/>
  <c r="J394" i="9"/>
  <c r="I395" i="15" s="1"/>
  <c r="J368" i="9"/>
  <c r="I369" i="15" s="1"/>
  <c r="J369" i="9"/>
  <c r="I370" i="15" s="1"/>
  <c r="J395" i="9"/>
  <c r="I396" i="15" s="1"/>
  <c r="J396" i="9"/>
  <c r="I397" i="15" s="1"/>
  <c r="J173" i="9"/>
  <c r="J322" i="9"/>
  <c r="J323" i="9"/>
  <c r="J174" i="9"/>
  <c r="I176" i="17" s="1"/>
  <c r="J324" i="9"/>
  <c r="J325" i="9"/>
  <c r="J175" i="9"/>
  <c r="J176" i="9"/>
  <c r="J177" i="9"/>
  <c r="J178" i="9"/>
  <c r="J326" i="9"/>
  <c r="J179" i="9"/>
  <c r="J180" i="9"/>
  <c r="J181" i="9"/>
  <c r="J182" i="9"/>
  <c r="J183" i="9"/>
  <c r="I185" i="17" s="1"/>
  <c r="J184" i="9"/>
  <c r="J327" i="9"/>
  <c r="J328" i="9"/>
  <c r="J329" i="9"/>
  <c r="J185" i="9"/>
  <c r="J186" i="9"/>
  <c r="J330" i="9"/>
  <c r="J331" i="9"/>
  <c r="J187" i="9"/>
  <c r="B362" i="9"/>
  <c r="B294" i="9"/>
  <c r="B213" i="9"/>
  <c r="A215" i="17" s="1"/>
  <c r="Q215" i="17" s="1"/>
  <c r="B202" i="9"/>
  <c r="A204" i="17" s="1"/>
  <c r="Q204" i="17" s="1"/>
  <c r="B200" i="9"/>
  <c r="A202" i="17" s="1"/>
  <c r="Q202" i="17" s="1"/>
  <c r="B191" i="9"/>
  <c r="A193" i="17" s="1"/>
  <c r="Q193" i="17" s="1"/>
  <c r="B189" i="9"/>
  <c r="A191" i="17" s="1"/>
  <c r="Q191" i="17" s="1"/>
  <c r="B333" i="9"/>
  <c r="B330" i="9"/>
  <c r="A332" i="17" s="1"/>
  <c r="Q332" i="17" s="1"/>
  <c r="B328" i="9"/>
  <c r="B183" i="9"/>
  <c r="A185" i="17" s="1"/>
  <c r="Q185" i="17" s="1"/>
  <c r="B180" i="9"/>
  <c r="A182" i="17" s="1"/>
  <c r="Q182" i="17" s="1"/>
  <c r="B178" i="9"/>
  <c r="A180" i="17" s="1"/>
  <c r="Q180" i="17" s="1"/>
  <c r="B175" i="9"/>
  <c r="A177" i="17" s="1"/>
  <c r="Q177" i="17" s="1"/>
  <c r="B323" i="9"/>
  <c r="B319" i="9"/>
  <c r="B167" i="9"/>
  <c r="A169" i="17" s="1"/>
  <c r="Q169" i="17" s="1"/>
  <c r="B316" i="9"/>
  <c r="B313" i="9"/>
  <c r="B312" i="9"/>
  <c r="B309" i="9"/>
  <c r="B159" i="9"/>
  <c r="A161" i="17" s="1"/>
  <c r="Q161" i="17" s="1"/>
  <c r="B158" i="9"/>
  <c r="A160" i="17" s="1"/>
  <c r="Q160" i="17" s="1"/>
  <c r="B304" i="9"/>
  <c r="B383" i="9"/>
  <c r="A384" i="15" s="1"/>
  <c r="Q384" i="15" s="1"/>
  <c r="B380" i="9"/>
  <c r="A381" i="15" s="1"/>
  <c r="Q381" i="15" s="1"/>
  <c r="B377" i="9"/>
  <c r="A378" i="15" s="1"/>
  <c r="Q378" i="15" s="1"/>
  <c r="B300" i="9"/>
  <c r="B373" i="9"/>
  <c r="A374" i="15" s="1"/>
  <c r="Q374" i="15" s="1"/>
  <c r="B151" i="9"/>
  <c r="A153" i="17" s="1"/>
  <c r="Q153" i="17" s="1"/>
  <c r="B150" i="9"/>
  <c r="A152" i="17" s="1"/>
  <c r="Q152" i="17" s="1"/>
  <c r="B149" i="9"/>
  <c r="A151" i="17" s="1"/>
  <c r="Q151" i="17" s="1"/>
  <c r="B406" i="9"/>
  <c r="A407" i="15" s="1"/>
  <c r="Q407" i="15" s="1"/>
  <c r="B402" i="9"/>
  <c r="A403" i="15" s="1"/>
  <c r="Q403" i="15" s="1"/>
  <c r="B399" i="9"/>
  <c r="A400" i="15" s="1"/>
  <c r="Q400" i="15" s="1"/>
  <c r="B370" i="9"/>
  <c r="A371" i="15" s="1"/>
  <c r="Q371" i="15" s="1"/>
  <c r="B369" i="9"/>
  <c r="B367" i="9"/>
  <c r="A368" i="15" s="1"/>
  <c r="Q368" i="15" s="1"/>
  <c r="B389" i="9"/>
  <c r="A390" i="15" s="1"/>
  <c r="Q390" i="15" s="1"/>
  <c r="B146" i="9"/>
  <c r="A148" i="17" s="1"/>
  <c r="Q148" i="17" s="1"/>
  <c r="A141" i="15"/>
  <c r="Q141" i="15" s="1"/>
  <c r="B283" i="9"/>
  <c r="B280" i="9"/>
  <c r="B274" i="9"/>
  <c r="B267" i="9"/>
  <c r="A269" i="17" s="1"/>
  <c r="Q269" i="17" s="1"/>
  <c r="B252" i="9"/>
  <c r="A254" i="17" s="1"/>
  <c r="Q254" i="17" s="1"/>
  <c r="B246" i="9"/>
  <c r="B243" i="9"/>
  <c r="A245" i="17" s="1"/>
  <c r="Q245" i="17" s="1"/>
  <c r="B240" i="9"/>
  <c r="A242" i="17" s="1"/>
  <c r="Q242" i="17" s="1"/>
  <c r="B237" i="9"/>
  <c r="B234" i="9"/>
  <c r="B231" i="9"/>
  <c r="A233" i="17" s="1"/>
  <c r="Q233" i="17" s="1"/>
  <c r="B229" i="9"/>
  <c r="B226" i="9"/>
  <c r="A228" i="17" s="1"/>
  <c r="Q228" i="17" s="1"/>
  <c r="B223" i="9"/>
  <c r="A225" i="17" s="1"/>
  <c r="Q225" i="17" s="1"/>
  <c r="B220" i="9"/>
  <c r="A222" i="17" s="1"/>
  <c r="Q222" i="17" s="1"/>
  <c r="B217" i="9"/>
  <c r="AI203" i="20"/>
  <c r="AI202" i="9" s="1"/>
  <c r="AG202" i="9"/>
  <c r="AB365" i="20"/>
  <c r="AB363" i="9"/>
  <c r="W262" i="9"/>
  <c r="U7" i="14"/>
  <c r="U67" i="14"/>
  <c r="N23" i="17"/>
  <c r="N63" i="15"/>
  <c r="N30" i="17"/>
  <c r="N55" i="15"/>
  <c r="N27" i="17"/>
  <c r="N99" i="17"/>
  <c r="N59" i="15"/>
  <c r="N19" i="17"/>
  <c r="N68" i="17"/>
  <c r="N68" i="15"/>
  <c r="N45" i="17"/>
  <c r="N45" i="15"/>
  <c r="N72" i="17"/>
  <c r="N72" i="15"/>
  <c r="N32" i="17"/>
  <c r="N32" i="15"/>
  <c r="N76" i="17"/>
  <c r="N76" i="15"/>
  <c r="N48" i="17"/>
  <c r="N48" i="15"/>
  <c r="N25" i="17"/>
  <c r="N25" i="15"/>
  <c r="N66" i="17"/>
  <c r="N66" i="15"/>
  <c r="N103" i="17"/>
  <c r="N103" i="15"/>
  <c r="N62" i="17"/>
  <c r="N62" i="15"/>
  <c r="N127" i="17"/>
  <c r="N127" i="15"/>
  <c r="N89" i="17"/>
  <c r="N89" i="15"/>
  <c r="N61" i="17"/>
  <c r="N61" i="15"/>
  <c r="N102" i="17"/>
  <c r="N102" i="15"/>
  <c r="N106" i="17"/>
  <c r="N106" i="15"/>
  <c r="N108" i="17"/>
  <c r="N108" i="15"/>
  <c r="N96" i="17"/>
  <c r="N96" i="15"/>
  <c r="N120" i="17"/>
  <c r="N120" i="15"/>
  <c r="N132" i="17"/>
  <c r="N132" i="15"/>
  <c r="N44" i="17"/>
  <c r="N44" i="15"/>
  <c r="N64" i="17"/>
  <c r="N64" i="15"/>
  <c r="N126" i="17"/>
  <c r="N126" i="15"/>
  <c r="N58" i="17"/>
  <c r="N58" i="15"/>
  <c r="N91" i="17"/>
  <c r="N91" i="15"/>
  <c r="N118" i="17"/>
  <c r="N118" i="15"/>
  <c r="N111" i="17"/>
  <c r="N111" i="15"/>
  <c r="N117" i="17"/>
  <c r="N117" i="15"/>
  <c r="N53" i="17"/>
  <c r="N53" i="15"/>
  <c r="N113" i="17"/>
  <c r="N113" i="15"/>
  <c r="N33" i="17"/>
  <c r="N33" i="15"/>
  <c r="N97" i="17"/>
  <c r="N97" i="15"/>
  <c r="N133" i="17"/>
  <c r="N133" i="15"/>
  <c r="N41" i="17"/>
  <c r="N41" i="15"/>
  <c r="N70" i="17"/>
  <c r="N70" i="15"/>
  <c r="N79" i="17"/>
  <c r="N79" i="15"/>
  <c r="N93" i="17"/>
  <c r="N93" i="15"/>
  <c r="N121" i="17"/>
  <c r="N121" i="15"/>
  <c r="N57" i="17"/>
  <c r="N57" i="15"/>
  <c r="N116" i="17"/>
  <c r="N116" i="15"/>
  <c r="N100" i="17"/>
  <c r="N100" i="15"/>
  <c r="N128" i="17"/>
  <c r="N128" i="15"/>
  <c r="N80" i="17"/>
  <c r="N80" i="15"/>
  <c r="N104" i="17"/>
  <c r="N104" i="15"/>
  <c r="N56" i="17"/>
  <c r="N56" i="15"/>
  <c r="N52" i="17"/>
  <c r="N52" i="15"/>
  <c r="N124" i="17"/>
  <c r="N124" i="15"/>
  <c r="N36" i="17"/>
  <c r="N36" i="15"/>
  <c r="N110" i="17"/>
  <c r="N110" i="15"/>
  <c r="N50" i="17"/>
  <c r="N50" i="15"/>
  <c r="N82" i="17"/>
  <c r="N82" i="15"/>
  <c r="N134" i="17"/>
  <c r="N134" i="15"/>
  <c r="N42" i="17"/>
  <c r="N42" i="15"/>
  <c r="N37" i="17"/>
  <c r="N37" i="15"/>
  <c r="N109" i="17"/>
  <c r="N109" i="15"/>
  <c r="N81" i="17"/>
  <c r="N81" i="15"/>
  <c r="N65" i="17"/>
  <c r="N65" i="15"/>
  <c r="N86" i="17"/>
  <c r="N86" i="15"/>
  <c r="N130" i="17"/>
  <c r="N130" i="15"/>
  <c r="N46" i="17"/>
  <c r="N46" i="15"/>
  <c r="N84" i="17"/>
  <c r="N84" i="15"/>
  <c r="N92" i="17"/>
  <c r="N92" i="15"/>
  <c r="N77" i="17"/>
  <c r="N77" i="15"/>
  <c r="N88" i="17"/>
  <c r="N88" i="15"/>
  <c r="N40" i="17"/>
  <c r="N40" i="15"/>
  <c r="N60" i="17"/>
  <c r="N60" i="15"/>
  <c r="N112" i="17"/>
  <c r="N112" i="15"/>
  <c r="N98" i="17"/>
  <c r="N98" i="15"/>
  <c r="N119" i="17"/>
  <c r="N119" i="15"/>
  <c r="N122" i="17"/>
  <c r="N122" i="15"/>
  <c r="N54" i="17"/>
  <c r="N54" i="15"/>
  <c r="N38" i="17"/>
  <c r="N38" i="15"/>
  <c r="N49" i="17"/>
  <c r="N49" i="15"/>
  <c r="N129" i="17"/>
  <c r="N129" i="15"/>
  <c r="N105" i="17"/>
  <c r="N105" i="15"/>
  <c r="N69" i="17"/>
  <c r="N69" i="15"/>
  <c r="N125" i="17"/>
  <c r="N125" i="15"/>
  <c r="N78" i="17"/>
  <c r="N78" i="15"/>
  <c r="N34" i="17"/>
  <c r="N34" i="15"/>
  <c r="N94" i="17"/>
  <c r="N94" i="15"/>
  <c r="N101" i="17"/>
  <c r="N101" i="15"/>
  <c r="N85" i="17"/>
  <c r="N85" i="15"/>
  <c r="N90" i="17"/>
  <c r="N90" i="15"/>
  <c r="N74" i="17"/>
  <c r="N74" i="15"/>
  <c r="N47" i="17"/>
  <c r="N47" i="15"/>
  <c r="N73" i="17"/>
  <c r="N73" i="15"/>
  <c r="I9" i="20"/>
  <c r="I12" i="20"/>
  <c r="I296" i="20"/>
  <c r="I391" i="20"/>
  <c r="H392" i="14" s="1"/>
  <c r="S392" i="14" s="1"/>
  <c r="I394" i="20"/>
  <c r="I370" i="20"/>
  <c r="H371" i="14" s="1"/>
  <c r="S371" i="14" s="1"/>
  <c r="J117" i="9"/>
  <c r="I119" i="15" s="1"/>
  <c r="I30" i="20"/>
  <c r="I156" i="20"/>
  <c r="H157" i="14" s="1"/>
  <c r="S157" i="14" s="1"/>
  <c r="I302" i="20"/>
  <c r="H303" i="14" s="1"/>
  <c r="S303" i="14" s="1"/>
  <c r="I381" i="20"/>
  <c r="H382" i="14" s="1"/>
  <c r="S382" i="14" s="1"/>
  <c r="I382" i="20"/>
  <c r="H383" i="14" s="1"/>
  <c r="S383" i="14" s="1"/>
  <c r="I303" i="20"/>
  <c r="H304" i="14" s="1"/>
  <c r="S304" i="14" s="1"/>
  <c r="I383" i="20"/>
  <c r="H384" i="14" s="1"/>
  <c r="S384" i="14" s="1"/>
  <c r="I384" i="20"/>
  <c r="H385" i="14" s="1"/>
  <c r="S385" i="14" s="1"/>
  <c r="I385" i="20"/>
  <c r="H386" i="14" s="1"/>
  <c r="S386" i="14" s="1"/>
  <c r="I304" i="20"/>
  <c r="I157" i="20"/>
  <c r="I305" i="20"/>
  <c r="I306" i="20"/>
  <c r="H307" i="14" s="1"/>
  <c r="S307" i="14" s="1"/>
  <c r="I307" i="20"/>
  <c r="I386" i="20"/>
  <c r="I31" i="20"/>
  <c r="I32" i="20"/>
  <c r="I122" i="20"/>
  <c r="I124" i="20"/>
  <c r="I126" i="20"/>
  <c r="I128" i="20"/>
  <c r="I130" i="20"/>
  <c r="I132" i="20"/>
  <c r="I134" i="20"/>
  <c r="I138" i="20"/>
  <c r="I140" i="20"/>
  <c r="I142" i="20"/>
  <c r="B2" i="9"/>
  <c r="A4" i="17" s="1"/>
  <c r="Q4" i="17" s="1"/>
  <c r="A4" i="14"/>
  <c r="J9" i="9"/>
  <c r="I11" i="15" s="1"/>
  <c r="I389" i="20"/>
  <c r="I297" i="20"/>
  <c r="H298" i="14" s="1"/>
  <c r="S298" i="14" s="1"/>
  <c r="I371" i="20"/>
  <c r="H372" i="14" s="1"/>
  <c r="S372" i="14" s="1"/>
  <c r="I372" i="20"/>
  <c r="I398" i="20"/>
  <c r="H399" i="14" s="1"/>
  <c r="S399" i="14" s="1"/>
  <c r="I399" i="20"/>
  <c r="I400" i="20"/>
  <c r="H401" i="14" s="1"/>
  <c r="S401" i="14" s="1"/>
  <c r="I401" i="20"/>
  <c r="I373" i="20"/>
  <c r="H374" i="14" s="1"/>
  <c r="S374" i="14" s="1"/>
  <c r="I402" i="20"/>
  <c r="I403" i="20"/>
  <c r="H404" i="14" s="1"/>
  <c r="S404" i="14" s="1"/>
  <c r="I404" i="20"/>
  <c r="I405" i="20"/>
  <c r="H406" i="14" s="1"/>
  <c r="S406" i="14" s="1"/>
  <c r="I406" i="20"/>
  <c r="I407" i="20"/>
  <c r="H408" i="14" s="1"/>
  <c r="S408" i="14" s="1"/>
  <c r="I408" i="20"/>
  <c r="H409" i="14" s="1"/>
  <c r="S409" i="14" s="1"/>
  <c r="I298" i="20"/>
  <c r="H299" i="14" s="1"/>
  <c r="S299" i="14" s="1"/>
  <c r="I149" i="20"/>
  <c r="H150" i="14" s="1"/>
  <c r="S150" i="14" s="1"/>
  <c r="I150" i="20"/>
  <c r="H151" i="14" s="1"/>
  <c r="S151" i="14" s="1"/>
  <c r="I13" i="20"/>
  <c r="I14" i="20"/>
  <c r="I15" i="20"/>
  <c r="AE15" i="20" s="1"/>
  <c r="I151" i="20"/>
  <c r="H152" i="14" s="1"/>
  <c r="S152" i="14" s="1"/>
  <c r="I299" i="20"/>
  <c r="H300" i="14" s="1"/>
  <c r="S300" i="14" s="1"/>
  <c r="I16" i="20"/>
  <c r="I17" i="20"/>
  <c r="AE17" i="20" s="1"/>
  <c r="I18" i="20"/>
  <c r="I19" i="20"/>
  <c r="I20" i="20"/>
  <c r="I21" i="20"/>
  <c r="AE21" i="20" s="1"/>
  <c r="I152" i="20"/>
  <c r="H153" i="14" s="1"/>
  <c r="S153" i="14" s="1"/>
  <c r="I153" i="20"/>
  <c r="H154" i="14" s="1"/>
  <c r="S154" i="14" s="1"/>
  <c r="I22" i="20"/>
  <c r="I23" i="20"/>
  <c r="AE23" i="20" s="1"/>
  <c r="I24" i="20"/>
  <c r="I154" i="20"/>
  <c r="H155" i="14" s="1"/>
  <c r="S155" i="14" s="1"/>
  <c r="I155" i="20"/>
  <c r="H156" i="14" s="1"/>
  <c r="S156" i="14" s="1"/>
  <c r="I300" i="20"/>
  <c r="H301" i="14" s="1"/>
  <c r="S301" i="14" s="1"/>
  <c r="I374" i="20"/>
  <c r="H375" i="14" s="1"/>
  <c r="S375" i="14" s="1"/>
  <c r="I409" i="20"/>
  <c r="I375" i="20"/>
  <c r="H376" i="14" s="1"/>
  <c r="S376" i="14" s="1"/>
  <c r="I376" i="20"/>
  <c r="I301" i="20"/>
  <c r="H302" i="14" s="1"/>
  <c r="S302" i="14" s="1"/>
  <c r="I377" i="20"/>
  <c r="H378" i="14" s="1"/>
  <c r="S378" i="14" s="1"/>
  <c r="I410" i="20"/>
  <c r="I411" i="20"/>
  <c r="H412" i="14" s="1"/>
  <c r="S412" i="14" s="1"/>
  <c r="I378" i="20"/>
  <c r="H379" i="14" s="1"/>
  <c r="S379" i="14" s="1"/>
  <c r="I412" i="20"/>
  <c r="H413" i="14" s="1"/>
  <c r="S413" i="14" s="1"/>
  <c r="I379" i="20"/>
  <c r="I380" i="20"/>
  <c r="H381" i="14" s="1"/>
  <c r="S381" i="14" s="1"/>
  <c r="I25" i="20"/>
  <c r="I26" i="20"/>
  <c r="I27" i="20"/>
  <c r="I28" i="20"/>
  <c r="AE28" i="20" s="1"/>
  <c r="I29" i="20"/>
  <c r="B117" i="9"/>
  <c r="A119" i="15" s="1"/>
  <c r="Q119" i="15" s="1"/>
  <c r="B113" i="9"/>
  <c r="A115" i="15" s="1"/>
  <c r="Q115" i="15" s="1"/>
  <c r="W369" i="20"/>
  <c r="I7" i="20"/>
  <c r="I10" i="20"/>
  <c r="I147" i="20"/>
  <c r="AE147" i="20" s="1"/>
  <c r="AE146" i="9" s="1"/>
  <c r="I367" i="20"/>
  <c r="H368" i="14" s="1"/>
  <c r="S368" i="14" s="1"/>
  <c r="I392" i="20"/>
  <c r="H393" i="14" s="1"/>
  <c r="S393" i="14" s="1"/>
  <c r="I368" i="20"/>
  <c r="I369" i="20"/>
  <c r="H370" i="14" s="1"/>
  <c r="S370" i="14" s="1"/>
  <c r="I397" i="20"/>
  <c r="H398" i="14" s="1"/>
  <c r="S398" i="14" s="1"/>
  <c r="J113" i="9"/>
  <c r="I115" i="15" s="1"/>
  <c r="J114" i="9"/>
  <c r="I116" i="15" s="1"/>
  <c r="J115" i="9"/>
  <c r="I117" i="15" s="1"/>
  <c r="J116" i="9"/>
  <c r="I118" i="15" s="1"/>
  <c r="J118" i="9"/>
  <c r="I120" i="15" s="1"/>
  <c r="J119" i="9"/>
  <c r="I121" i="15" s="1"/>
  <c r="J120" i="9"/>
  <c r="I122" i="15" s="1"/>
  <c r="J121" i="9"/>
  <c r="I123" i="15" s="1"/>
  <c r="J122" i="9"/>
  <c r="J123" i="9"/>
  <c r="I125" i="15" s="1"/>
  <c r="J124" i="9"/>
  <c r="I126" i="15" s="1"/>
  <c r="J125" i="9"/>
  <c r="I127" i="15" s="1"/>
  <c r="J126" i="9"/>
  <c r="J127" i="9"/>
  <c r="I129" i="15" s="1"/>
  <c r="J128" i="9"/>
  <c r="I130" i="15" s="1"/>
  <c r="J129" i="9"/>
  <c r="I131" i="15" s="1"/>
  <c r="J130" i="9"/>
  <c r="I132" i="15" s="1"/>
  <c r="J131" i="9"/>
  <c r="I133" i="15" s="1"/>
  <c r="J132" i="9"/>
  <c r="J133" i="9"/>
  <c r="I135" i="15" s="1"/>
  <c r="I174" i="20"/>
  <c r="I323" i="20"/>
  <c r="H324" i="14" s="1"/>
  <c r="S324" i="14" s="1"/>
  <c r="I324" i="20"/>
  <c r="H325" i="14" s="1"/>
  <c r="S325" i="14" s="1"/>
  <c r="I175" i="20"/>
  <c r="I325" i="20"/>
  <c r="I326" i="20"/>
  <c r="H327" i="14" s="1"/>
  <c r="S327" i="14" s="1"/>
  <c r="I176" i="20"/>
  <c r="AE176" i="20" s="1"/>
  <c r="AE175" i="9" s="1"/>
  <c r="I46" i="20"/>
  <c r="I177" i="20"/>
  <c r="I178" i="20"/>
  <c r="I179" i="20"/>
  <c r="AE179" i="20" s="1"/>
  <c r="AE178" i="9" s="1"/>
  <c r="I327" i="20"/>
  <c r="AE327" i="20" s="1"/>
  <c r="AE326" i="9" s="1"/>
  <c r="I180" i="20"/>
  <c r="I47" i="20"/>
  <c r="I181" i="20"/>
  <c r="H182" i="14" s="1"/>
  <c r="S182" i="14" s="1"/>
  <c r="I182" i="20"/>
  <c r="H183" i="14" s="1"/>
  <c r="S183" i="14" s="1"/>
  <c r="I48" i="20"/>
  <c r="I183" i="20"/>
  <c r="H184" i="14" s="1"/>
  <c r="S184" i="14" s="1"/>
  <c r="I184" i="20"/>
  <c r="H185" i="14" s="1"/>
  <c r="S185" i="14" s="1"/>
  <c r="I49" i="20"/>
  <c r="I185" i="20"/>
  <c r="I328" i="20"/>
  <c r="H329" i="14" s="1"/>
  <c r="S329" i="14" s="1"/>
  <c r="I329" i="20"/>
  <c r="H330" i="14" s="1"/>
  <c r="S330" i="14" s="1"/>
  <c r="I330" i="20"/>
  <c r="H331" i="14" s="1"/>
  <c r="S331" i="14" s="1"/>
  <c r="I186" i="20"/>
  <c r="I187" i="20"/>
  <c r="I331" i="20"/>
  <c r="H332" i="14" s="1"/>
  <c r="S332" i="14" s="1"/>
  <c r="I332" i="20"/>
  <c r="H333" i="14" s="1"/>
  <c r="S333" i="14" s="1"/>
  <c r="I333" i="20"/>
  <c r="I188" i="20"/>
  <c r="I334" i="20"/>
  <c r="AE334" i="20" s="1"/>
  <c r="AE333" i="9" s="1"/>
  <c r="I335" i="20"/>
  <c r="AE335" i="20" s="1"/>
  <c r="AE334" i="9" s="1"/>
  <c r="I50" i="20"/>
  <c r="I189" i="20"/>
  <c r="AE189" i="20" s="1"/>
  <c r="AE188" i="9" s="1"/>
  <c r="I190" i="20"/>
  <c r="AE190" i="20" s="1"/>
  <c r="AE189" i="9" s="1"/>
  <c r="I51" i="20"/>
  <c r="I52" i="20"/>
  <c r="I191" i="20"/>
  <c r="H192" i="14" s="1"/>
  <c r="S192" i="14" s="1"/>
  <c r="I192" i="20"/>
  <c r="I53" i="20"/>
  <c r="I193" i="20"/>
  <c r="I194" i="20"/>
  <c r="I54" i="20"/>
  <c r="I195" i="20"/>
  <c r="H196" i="14" s="1"/>
  <c r="I196" i="20"/>
  <c r="I197" i="20"/>
  <c r="I55" i="20"/>
  <c r="I198" i="20"/>
  <c r="I199" i="20"/>
  <c r="I200" i="20"/>
  <c r="I201" i="20"/>
  <c r="I56" i="20"/>
  <c r="I202" i="20"/>
  <c r="I340" i="20"/>
  <c r="I203" i="20"/>
  <c r="I204" i="20"/>
  <c r="H205" i="14" s="1"/>
  <c r="I205" i="20"/>
  <c r="I57" i="20"/>
  <c r="I58" i="20"/>
  <c r="I206" i="20"/>
  <c r="I207" i="20"/>
  <c r="I59" i="20"/>
  <c r="I60" i="20"/>
  <c r="I208" i="20"/>
  <c r="H209" i="14" s="1"/>
  <c r="I209" i="20"/>
  <c r="I210" i="20"/>
  <c r="I61" i="20"/>
  <c r="I211" i="20"/>
  <c r="H212" i="14" s="1"/>
  <c r="I212" i="20"/>
  <c r="I62" i="20"/>
  <c r="I63" i="20"/>
  <c r="I64" i="20"/>
  <c r="I65" i="20"/>
  <c r="I213" i="20"/>
  <c r="I214" i="20"/>
  <c r="I66" i="20"/>
  <c r="I216" i="20"/>
  <c r="I217" i="20"/>
  <c r="I67" i="20"/>
  <c r="I218" i="20"/>
  <c r="H219" i="14" s="1"/>
  <c r="I219" i="20"/>
  <c r="I220" i="20"/>
  <c r="I68" i="20"/>
  <c r="I221" i="20"/>
  <c r="H222" i="14" s="1"/>
  <c r="I222" i="20"/>
  <c r="I223" i="20"/>
  <c r="I69" i="20"/>
  <c r="I224" i="20"/>
  <c r="H225" i="14" s="1"/>
  <c r="I225" i="20"/>
  <c r="I226" i="20"/>
  <c r="I70" i="20"/>
  <c r="I227" i="20"/>
  <c r="H228" i="14" s="1"/>
  <c r="I228" i="20"/>
  <c r="I229" i="20"/>
  <c r="I71" i="20"/>
  <c r="I230" i="20"/>
  <c r="H231" i="14" s="1"/>
  <c r="I231" i="20"/>
  <c r="I72" i="20"/>
  <c r="I73" i="20"/>
  <c r="I232" i="20"/>
  <c r="H233" i="14" s="1"/>
  <c r="S233" i="14" s="1"/>
  <c r="I74" i="20"/>
  <c r="I75" i="20"/>
  <c r="I234" i="20"/>
  <c r="I235" i="20"/>
  <c r="H236" i="14" s="1"/>
  <c r="S236" i="14" s="1"/>
  <c r="I236" i="20"/>
  <c r="I76" i="20"/>
  <c r="I237" i="20"/>
  <c r="I238" i="20"/>
  <c r="H239" i="14" s="1"/>
  <c r="S239" i="14" s="1"/>
  <c r="I239" i="20"/>
  <c r="I240" i="20"/>
  <c r="I77" i="20"/>
  <c r="I241" i="20"/>
  <c r="H242" i="14" s="1"/>
  <c r="S242" i="14" s="1"/>
  <c r="I242" i="20"/>
  <c r="I243" i="20"/>
  <c r="I78" i="20"/>
  <c r="I244" i="20"/>
  <c r="H245" i="14" s="1"/>
  <c r="S245" i="14" s="1"/>
  <c r="I245" i="20"/>
  <c r="I246" i="20"/>
  <c r="I79" i="20"/>
  <c r="I247" i="20"/>
  <c r="H248" i="14" s="1"/>
  <c r="S248" i="14" s="1"/>
  <c r="I248" i="20"/>
  <c r="I249" i="20"/>
  <c r="I250" i="20"/>
  <c r="I80" i="20"/>
  <c r="I251" i="20"/>
  <c r="I252" i="20"/>
  <c r="I81" i="20"/>
  <c r="I253" i="20"/>
  <c r="I254" i="20"/>
  <c r="I255" i="20"/>
  <c r="I256" i="20"/>
  <c r="I82" i="20"/>
  <c r="I257" i="20"/>
  <c r="I258" i="20"/>
  <c r="I259" i="20"/>
  <c r="I83" i="20"/>
  <c r="I260" i="20"/>
  <c r="I261" i="20"/>
  <c r="I262" i="20"/>
  <c r="I84" i="20"/>
  <c r="I264" i="20"/>
  <c r="I265" i="20"/>
  <c r="I85" i="20"/>
  <c r="I86" i="20"/>
  <c r="I266" i="20"/>
  <c r="I267" i="20"/>
  <c r="I87" i="20"/>
  <c r="I268" i="20"/>
  <c r="I269" i="20"/>
  <c r="I88" i="20"/>
  <c r="I270" i="20"/>
  <c r="I89" i="20"/>
  <c r="I90" i="20"/>
  <c r="I91" i="20"/>
  <c r="I92" i="20"/>
  <c r="I275" i="20"/>
  <c r="I276" i="20"/>
  <c r="I277" i="20"/>
  <c r="I93" i="20"/>
  <c r="I94" i="20"/>
  <c r="I95" i="20"/>
  <c r="I279" i="20"/>
  <c r="H280" i="14" s="1"/>
  <c r="S280" i="14" s="1"/>
  <c r="I96" i="20"/>
  <c r="I97" i="20"/>
  <c r="I98" i="20"/>
  <c r="I99" i="20"/>
  <c r="I100" i="20"/>
  <c r="I281" i="20"/>
  <c r="I282" i="20"/>
  <c r="H283" i="14" s="1"/>
  <c r="S283" i="14" s="1"/>
  <c r="I283" i="20"/>
  <c r="H284" i="14" s="1"/>
  <c r="S284" i="14" s="1"/>
  <c r="I101" i="20"/>
  <c r="I284" i="20"/>
  <c r="H285" i="14" s="1"/>
  <c r="S285" i="14" s="1"/>
  <c r="I285" i="20"/>
  <c r="I286" i="20"/>
  <c r="H287" i="14" s="1"/>
  <c r="S287" i="14" s="1"/>
  <c r="I102" i="20"/>
  <c r="I103" i="20"/>
  <c r="I104" i="20"/>
  <c r="I105" i="20"/>
  <c r="I106" i="20"/>
  <c r="I107" i="20"/>
  <c r="I108" i="20"/>
  <c r="I109" i="20"/>
  <c r="I110" i="20"/>
  <c r="I111" i="20"/>
  <c r="I112" i="20"/>
  <c r="I113" i="20"/>
  <c r="I114" i="20"/>
  <c r="I115" i="20"/>
  <c r="I116" i="20"/>
  <c r="I117" i="20"/>
  <c r="I118" i="20"/>
  <c r="I119" i="20"/>
  <c r="I120" i="20"/>
  <c r="I121" i="20"/>
  <c r="I292" i="20"/>
  <c r="I123" i="20"/>
  <c r="I125" i="20"/>
  <c r="I127" i="20"/>
  <c r="I129" i="20"/>
  <c r="I131" i="20"/>
  <c r="I133" i="20"/>
  <c r="I137" i="20"/>
  <c r="I139" i="20"/>
  <c r="I141" i="20"/>
  <c r="I144" i="20"/>
  <c r="B120" i="9"/>
  <c r="A122" i="15" s="1"/>
  <c r="Q122" i="15" s="1"/>
  <c r="B116" i="9"/>
  <c r="A118" i="15" s="1"/>
  <c r="Q118" i="15" s="1"/>
  <c r="B108" i="9"/>
  <c r="A110" i="15" s="1"/>
  <c r="Q110" i="15" s="1"/>
  <c r="B104" i="9"/>
  <c r="A106" i="15" s="1"/>
  <c r="Q106" i="15" s="1"/>
  <c r="W397" i="20"/>
  <c r="I8" i="20"/>
  <c r="I11" i="20"/>
  <c r="I148" i="20"/>
  <c r="I390" i="20"/>
  <c r="H391" i="14" s="1"/>
  <c r="S391" i="14" s="1"/>
  <c r="I393" i="20"/>
  <c r="I395" i="20"/>
  <c r="I396" i="20"/>
  <c r="J112" i="9"/>
  <c r="I114" i="15" s="1"/>
  <c r="AE145" i="20"/>
  <c r="AE144" i="9" s="1"/>
  <c r="I361" i="20"/>
  <c r="I5" i="20"/>
  <c r="I33" i="20"/>
  <c r="AE33" i="20" s="1"/>
  <c r="I158" i="20"/>
  <c r="I159" i="20"/>
  <c r="I308" i="20"/>
  <c r="I309" i="20"/>
  <c r="H310" i="14" s="1"/>
  <c r="I34" i="20"/>
  <c r="I35" i="20"/>
  <c r="I36" i="20"/>
  <c r="I37" i="20"/>
  <c r="I38" i="20"/>
  <c r="I160" i="20"/>
  <c r="I161" i="20"/>
  <c r="I39" i="20"/>
  <c r="AE39" i="20" s="1"/>
  <c r="I162" i="20"/>
  <c r="I310" i="20"/>
  <c r="I311" i="20"/>
  <c r="I163" i="20"/>
  <c r="H164" i="14" s="1"/>
  <c r="I312" i="20"/>
  <c r="I313" i="20"/>
  <c r="I164" i="20"/>
  <c r="I40" i="20"/>
  <c r="I165" i="20"/>
  <c r="I314" i="20"/>
  <c r="I315" i="20"/>
  <c r="I166" i="20"/>
  <c r="H167" i="14" s="1"/>
  <c r="S167" i="14" s="1"/>
  <c r="I316" i="20"/>
  <c r="I317" i="20"/>
  <c r="I318" i="20"/>
  <c r="I41" i="20"/>
  <c r="I167" i="20"/>
  <c r="H168" i="14" s="1"/>
  <c r="S168" i="14" s="1"/>
  <c r="I168" i="20"/>
  <c r="I169" i="20"/>
  <c r="I319" i="20"/>
  <c r="H320" i="14" s="1"/>
  <c r="S320" i="14" s="1"/>
  <c r="I170" i="20"/>
  <c r="I42" i="20"/>
  <c r="I171" i="20"/>
  <c r="I172" i="20"/>
  <c r="H173" i="14" s="1"/>
  <c r="S173" i="14" s="1"/>
  <c r="I173" i="20"/>
  <c r="I320" i="20"/>
  <c r="I321" i="20"/>
  <c r="I322" i="20"/>
  <c r="I43" i="20"/>
  <c r="I44" i="20"/>
  <c r="AE44" i="20" s="1"/>
  <c r="I45" i="20"/>
  <c r="AE263" i="20"/>
  <c r="AE262" i="9" s="1"/>
  <c r="J4" i="9"/>
  <c r="I6" i="15" s="1"/>
  <c r="J14" i="9"/>
  <c r="I16" i="15" s="1"/>
  <c r="J19" i="9"/>
  <c r="I21" i="15" s="1"/>
  <c r="J20" i="9"/>
  <c r="I22" i="15" s="1"/>
  <c r="J21" i="9"/>
  <c r="I23" i="15" s="1"/>
  <c r="J23" i="9"/>
  <c r="I25" i="15" s="1"/>
  <c r="J25" i="9"/>
  <c r="I27" i="15" s="1"/>
  <c r="J26" i="9"/>
  <c r="I28" i="15" s="1"/>
  <c r="J27" i="9"/>
  <c r="I29" i="15" s="1"/>
  <c r="J28" i="9"/>
  <c r="I30" i="15" s="1"/>
  <c r="N14" i="17"/>
  <c r="N10" i="17"/>
  <c r="N6" i="17"/>
  <c r="N12" i="17"/>
  <c r="N26" i="17"/>
  <c r="B12" i="9"/>
  <c r="A14" i="15" s="1"/>
  <c r="Q14" i="15" s="1"/>
  <c r="J81" i="9"/>
  <c r="I83" i="15" s="1"/>
  <c r="J82" i="9"/>
  <c r="J83" i="9"/>
  <c r="I85" i="15" s="1"/>
  <c r="J84" i="9"/>
  <c r="I86" i="15" s="1"/>
  <c r="J85" i="9"/>
  <c r="I87" i="15" s="1"/>
  <c r="J86" i="9"/>
  <c r="I88" i="15" s="1"/>
  <c r="J87" i="9"/>
  <c r="I89" i="15" s="1"/>
  <c r="J88" i="9"/>
  <c r="I90" i="15" s="1"/>
  <c r="J89" i="9"/>
  <c r="I91" i="15" s="1"/>
  <c r="J90" i="9"/>
  <c r="I92" i="15" s="1"/>
  <c r="J91" i="9"/>
  <c r="I93" i="15" s="1"/>
  <c r="J92" i="9"/>
  <c r="I94" i="15" s="1"/>
  <c r="J93" i="9"/>
  <c r="I95" i="15" s="1"/>
  <c r="J94" i="9"/>
  <c r="I96" i="15" s="1"/>
  <c r="K5" i="17"/>
  <c r="J5" i="9"/>
  <c r="J6" i="9"/>
  <c r="J7" i="9"/>
  <c r="I9" i="15" s="1"/>
  <c r="J13" i="9"/>
  <c r="N17" i="17"/>
  <c r="B133" i="9"/>
  <c r="A135" i="15" s="1"/>
  <c r="Q135" i="15" s="1"/>
  <c r="B129" i="9"/>
  <c r="A131" i="15" s="1"/>
  <c r="Q131" i="15" s="1"/>
  <c r="B125" i="9"/>
  <c r="B121" i="9"/>
  <c r="A123" i="15" s="1"/>
  <c r="Q123" i="15" s="1"/>
  <c r="B65" i="9"/>
  <c r="A67" i="15" s="1"/>
  <c r="Q67" i="15" s="1"/>
  <c r="B41" i="9"/>
  <c r="A43" i="15" s="1"/>
  <c r="Q43" i="15" s="1"/>
  <c r="B4" i="9"/>
  <c r="A6" i="15" s="1"/>
  <c r="Q6" i="15" s="1"/>
  <c r="B52" i="9"/>
  <c r="A54" i="15" s="1"/>
  <c r="Q54" i="15" s="1"/>
  <c r="B48" i="9"/>
  <c r="A50" i="15" s="1"/>
  <c r="Q50" i="15" s="1"/>
  <c r="B44" i="9"/>
  <c r="A46" i="15" s="1"/>
  <c r="Q46" i="15" s="1"/>
  <c r="L3" i="9"/>
  <c r="N18" i="17"/>
  <c r="N20" i="17"/>
  <c r="N22" i="17"/>
  <c r="N29" i="17"/>
  <c r="B57" i="9"/>
  <c r="A59" i="15" s="1"/>
  <c r="Q59" i="15" s="1"/>
  <c r="B53" i="9"/>
  <c r="A55" i="15" s="1"/>
  <c r="Q55" i="15" s="1"/>
  <c r="B8" i="9"/>
  <c r="A10" i="15" s="1"/>
  <c r="Q10" i="15" s="1"/>
  <c r="B17" i="9"/>
  <c r="A19" i="15" s="1"/>
  <c r="Q19" i="15" s="1"/>
  <c r="B88" i="9"/>
  <c r="A90" i="15" s="1"/>
  <c r="Q90" i="15" s="1"/>
  <c r="B60" i="9"/>
  <c r="A62" i="15" s="1"/>
  <c r="Q62" i="15" s="1"/>
  <c r="B28" i="9"/>
  <c r="B132" i="9"/>
  <c r="A134" i="15" s="1"/>
  <c r="Q134" i="15" s="1"/>
  <c r="B128" i="9"/>
  <c r="A130" i="15" s="1"/>
  <c r="Q130" i="15" s="1"/>
  <c r="B124" i="9"/>
  <c r="A126" i="15" s="1"/>
  <c r="Q126" i="15" s="1"/>
  <c r="B100" i="9"/>
  <c r="A102" i="15" s="1"/>
  <c r="Q102" i="15" s="1"/>
  <c r="B92" i="9"/>
  <c r="A94" i="15" s="1"/>
  <c r="Q94" i="15" s="1"/>
  <c r="B84" i="9"/>
  <c r="A86" i="15" s="1"/>
  <c r="Q86" i="15" s="1"/>
  <c r="B80" i="9"/>
  <c r="A82" i="15" s="1"/>
  <c r="Q82" i="15" s="1"/>
  <c r="B76" i="9"/>
  <c r="A78" i="15" s="1"/>
  <c r="Q78" i="15" s="1"/>
  <c r="B72" i="9"/>
  <c r="A74" i="15" s="1"/>
  <c r="Q74" i="15" s="1"/>
  <c r="B68" i="9"/>
  <c r="A70" i="15" s="1"/>
  <c r="Q70" i="15" s="1"/>
  <c r="B20" i="9"/>
  <c r="W20" i="9" s="1"/>
  <c r="J29" i="9"/>
  <c r="J30" i="9"/>
  <c r="I32" i="15" s="1"/>
  <c r="J31" i="9"/>
  <c r="I33" i="15" s="1"/>
  <c r="AG10" i="9"/>
  <c r="AG6" i="9"/>
  <c r="I6" i="20"/>
  <c r="AK6" i="20"/>
  <c r="AJ6" i="20" s="1"/>
  <c r="B9" i="9"/>
  <c r="A11" i="15" s="1"/>
  <c r="Q11" i="15" s="1"/>
  <c r="B5" i="9"/>
  <c r="A7" i="15" s="1"/>
  <c r="Q7" i="15" s="1"/>
  <c r="B18" i="9"/>
  <c r="A20" i="15" s="1"/>
  <c r="Q20" i="15" s="1"/>
  <c r="AI210" i="20"/>
  <c r="AI209" i="9" s="1"/>
  <c r="AI103" i="20"/>
  <c r="AI208" i="20"/>
  <c r="AI207" i="9" s="1"/>
  <c r="L34" i="13"/>
  <c r="AD34" i="13" s="1"/>
  <c r="P34" i="13"/>
  <c r="AH34" i="13" s="1"/>
  <c r="T34" i="13"/>
  <c r="AL34" i="13" s="1"/>
  <c r="X34" i="13"/>
  <c r="AP34" i="13" s="1"/>
  <c r="M34" i="13"/>
  <c r="AE34" i="13" s="1"/>
  <c r="Q34" i="13"/>
  <c r="AI34" i="13" s="1"/>
  <c r="U34" i="13"/>
  <c r="AM34" i="13" s="1"/>
  <c r="J34" i="13"/>
  <c r="R34" i="13"/>
  <c r="AJ34" i="13" s="1"/>
  <c r="K34" i="13"/>
  <c r="S34" i="13"/>
  <c r="AK34" i="13" s="1"/>
  <c r="N34" i="13"/>
  <c r="AF34" i="13" s="1"/>
  <c r="V34" i="13"/>
  <c r="AN34" i="13" s="1"/>
  <c r="O34" i="13"/>
  <c r="AG34" i="13" s="1"/>
  <c r="W34" i="13"/>
  <c r="AO34" i="13" s="1"/>
  <c r="M22" i="13"/>
  <c r="AE22" i="13" s="1"/>
  <c r="Q22" i="13"/>
  <c r="AI22" i="13" s="1"/>
  <c r="U22" i="13"/>
  <c r="AM22" i="13" s="1"/>
  <c r="L22" i="13"/>
  <c r="AD22" i="13" s="1"/>
  <c r="P22" i="13"/>
  <c r="AH22" i="13" s="1"/>
  <c r="T22" i="13"/>
  <c r="AL22" i="13" s="1"/>
  <c r="X22" i="13"/>
  <c r="AP22" i="13" s="1"/>
  <c r="M18" i="13"/>
  <c r="AE18" i="13" s="1"/>
  <c r="Q18" i="13"/>
  <c r="AI18" i="13" s="1"/>
  <c r="U18" i="13"/>
  <c r="AM18" i="13" s="1"/>
  <c r="L18" i="13"/>
  <c r="AD18" i="13" s="1"/>
  <c r="P18" i="13"/>
  <c r="AH18" i="13" s="1"/>
  <c r="T18" i="13"/>
  <c r="AL18" i="13" s="1"/>
  <c r="X18" i="13"/>
  <c r="AP18" i="13" s="1"/>
  <c r="M14" i="13"/>
  <c r="Q14" i="13"/>
  <c r="AI14" i="13" s="1"/>
  <c r="U14" i="13"/>
  <c r="AM14" i="13" s="1"/>
  <c r="L14" i="13"/>
  <c r="P14" i="13"/>
  <c r="AH14" i="13" s="1"/>
  <c r="T14" i="13"/>
  <c r="AL14" i="13" s="1"/>
  <c r="X14" i="13"/>
  <c r="AP14" i="13" s="1"/>
  <c r="M10" i="13"/>
  <c r="Q10" i="13"/>
  <c r="U10" i="13"/>
  <c r="AM10" i="13" s="1"/>
  <c r="J10" i="13"/>
  <c r="N10" i="13"/>
  <c r="R10" i="13"/>
  <c r="AJ10" i="13" s="1"/>
  <c r="V10" i="13"/>
  <c r="AN10" i="13" s="1"/>
  <c r="K10" i="13"/>
  <c r="O10" i="13"/>
  <c r="S10" i="13"/>
  <c r="AK10" i="13" s="1"/>
  <c r="W10" i="13"/>
  <c r="AO10" i="13" s="1"/>
  <c r="L10" i="13"/>
  <c r="P10" i="13"/>
  <c r="T10" i="13"/>
  <c r="AL10" i="13" s="1"/>
  <c r="X10" i="13"/>
  <c r="AP10" i="13" s="1"/>
  <c r="L6" i="13"/>
  <c r="AD6" i="13" s="1"/>
  <c r="P6" i="13"/>
  <c r="AH6" i="13" s="1"/>
  <c r="T6" i="13"/>
  <c r="AL6" i="13" s="1"/>
  <c r="X6" i="13"/>
  <c r="AP6" i="13" s="1"/>
  <c r="M6" i="13"/>
  <c r="AE6" i="13" s="1"/>
  <c r="Q6" i="13"/>
  <c r="AI6" i="13" s="1"/>
  <c r="U6" i="13"/>
  <c r="AM6" i="13" s="1"/>
  <c r="J6" i="13"/>
  <c r="R6" i="13"/>
  <c r="AJ6" i="13" s="1"/>
  <c r="K6" i="13"/>
  <c r="AC6" i="13" s="1"/>
  <c r="S6" i="13"/>
  <c r="AK6" i="13" s="1"/>
  <c r="N6" i="13"/>
  <c r="AF6" i="13" s="1"/>
  <c r="V6" i="13"/>
  <c r="AN6" i="13" s="1"/>
  <c r="O6" i="13"/>
  <c r="AG6" i="13" s="1"/>
  <c r="W6" i="13"/>
  <c r="AO6" i="13" s="1"/>
  <c r="L38" i="13"/>
  <c r="AD38" i="13" s="1"/>
  <c r="P38" i="13"/>
  <c r="AH38" i="13" s="1"/>
  <c r="T38" i="13"/>
  <c r="AL38" i="13" s="1"/>
  <c r="X38" i="13"/>
  <c r="AP38" i="13" s="1"/>
  <c r="M38" i="13"/>
  <c r="AE38" i="13" s="1"/>
  <c r="Q38" i="13"/>
  <c r="AI38" i="13" s="1"/>
  <c r="U38" i="13"/>
  <c r="AM38" i="13" s="1"/>
  <c r="N38" i="13"/>
  <c r="AF38" i="13" s="1"/>
  <c r="V38" i="13"/>
  <c r="AN38" i="13" s="1"/>
  <c r="O38" i="13"/>
  <c r="AG38" i="13" s="1"/>
  <c r="W38" i="13"/>
  <c r="AO38" i="13" s="1"/>
  <c r="J38" i="13"/>
  <c r="R38" i="13"/>
  <c r="AJ38" i="13" s="1"/>
  <c r="K38" i="13"/>
  <c r="S38" i="13"/>
  <c r="AK38" i="13" s="1"/>
  <c r="I27" i="13"/>
  <c r="I23" i="13"/>
  <c r="I19" i="13"/>
  <c r="I15" i="13"/>
  <c r="K3" i="13"/>
  <c r="AC3" i="13" s="1"/>
  <c r="O3" i="13"/>
  <c r="AG3" i="13" s="1"/>
  <c r="S3" i="13"/>
  <c r="AK3" i="13" s="1"/>
  <c r="W3" i="13"/>
  <c r="AO3" i="13" s="1"/>
  <c r="V30" i="13"/>
  <c r="AN30" i="13" s="1"/>
  <c r="R30" i="13"/>
  <c r="AJ30" i="13" s="1"/>
  <c r="N30" i="13"/>
  <c r="AF30" i="13" s="1"/>
  <c r="J30" i="13"/>
  <c r="AB30" i="13" s="1"/>
  <c r="U29" i="13"/>
  <c r="AM29" i="13" s="1"/>
  <c r="Q29" i="13"/>
  <c r="AI29" i="13" s="1"/>
  <c r="M29" i="13"/>
  <c r="X28" i="13"/>
  <c r="AP28" i="13" s="1"/>
  <c r="T28" i="13"/>
  <c r="AL28" i="13" s="1"/>
  <c r="P28" i="13"/>
  <c r="AH28" i="13" s="1"/>
  <c r="L28" i="13"/>
  <c r="W27" i="13"/>
  <c r="AO27" i="13" s="1"/>
  <c r="S27" i="13"/>
  <c r="AK27" i="13" s="1"/>
  <c r="O27" i="13"/>
  <c r="AG27" i="13" s="1"/>
  <c r="K27" i="13"/>
  <c r="V26" i="13"/>
  <c r="AN26" i="13" s="1"/>
  <c r="R26" i="13"/>
  <c r="AJ26" i="13" s="1"/>
  <c r="N26" i="13"/>
  <c r="J26" i="13"/>
  <c r="U25" i="13"/>
  <c r="AM25" i="13" s="1"/>
  <c r="Q25" i="13"/>
  <c r="AI25" i="13" s="1"/>
  <c r="M25" i="13"/>
  <c r="AE25" i="13" s="1"/>
  <c r="X24" i="13"/>
  <c r="AP24" i="13" s="1"/>
  <c r="T24" i="13"/>
  <c r="AL24" i="13" s="1"/>
  <c r="P24" i="13"/>
  <c r="AH24" i="13" s="1"/>
  <c r="L24" i="13"/>
  <c r="AD24" i="13" s="1"/>
  <c r="W23" i="13"/>
  <c r="AO23" i="13" s="1"/>
  <c r="S23" i="13"/>
  <c r="AK23" i="13" s="1"/>
  <c r="K23" i="13"/>
  <c r="R22" i="13"/>
  <c r="AJ22" i="13" s="1"/>
  <c r="J22" i="13"/>
  <c r="X20" i="13"/>
  <c r="AP20" i="13" s="1"/>
  <c r="P20" i="13"/>
  <c r="AH20" i="13" s="1"/>
  <c r="W19" i="13"/>
  <c r="AO19" i="13" s="1"/>
  <c r="O19" i="13"/>
  <c r="AG19" i="13" s="1"/>
  <c r="V18" i="13"/>
  <c r="AN18" i="13" s="1"/>
  <c r="N18" i="13"/>
  <c r="AF18" i="13" s="1"/>
  <c r="U17" i="13"/>
  <c r="AM17" i="13" s="1"/>
  <c r="T16" i="13"/>
  <c r="AL16" i="13" s="1"/>
  <c r="L16" i="13"/>
  <c r="AD16" i="13" s="1"/>
  <c r="S15" i="13"/>
  <c r="AK15" i="13" s="1"/>
  <c r="K15" i="13"/>
  <c r="AC15" i="13" s="1"/>
  <c r="R14" i="13"/>
  <c r="AJ14" i="13" s="1"/>
  <c r="J14" i="13"/>
  <c r="K33" i="13"/>
  <c r="O33" i="13"/>
  <c r="S33" i="13"/>
  <c r="AK33" i="13" s="1"/>
  <c r="W33" i="13"/>
  <c r="AO33" i="13" s="1"/>
  <c r="L33" i="13"/>
  <c r="P33" i="13"/>
  <c r="T33" i="13"/>
  <c r="AL33" i="13" s="1"/>
  <c r="X33" i="13"/>
  <c r="AP33" i="13" s="1"/>
  <c r="Q33" i="13"/>
  <c r="AI33" i="13" s="1"/>
  <c r="J33" i="13"/>
  <c r="R33" i="13"/>
  <c r="AJ33" i="13" s="1"/>
  <c r="M33" i="13"/>
  <c r="U33" i="13"/>
  <c r="AM33" i="13" s="1"/>
  <c r="N33" i="13"/>
  <c r="V33" i="13"/>
  <c r="AN33" i="13" s="1"/>
  <c r="L21" i="13"/>
  <c r="P21" i="13"/>
  <c r="AH21" i="13" s="1"/>
  <c r="T21" i="13"/>
  <c r="AL21" i="13" s="1"/>
  <c r="X21" i="13"/>
  <c r="AP21" i="13" s="1"/>
  <c r="K21" i="13"/>
  <c r="O21" i="13"/>
  <c r="AG21" i="13" s="1"/>
  <c r="S21" i="13"/>
  <c r="AK21" i="13" s="1"/>
  <c r="W21" i="13"/>
  <c r="AO21" i="13" s="1"/>
  <c r="L17" i="13"/>
  <c r="P17" i="13"/>
  <c r="AH17" i="13" s="1"/>
  <c r="T17" i="13"/>
  <c r="AL17" i="13" s="1"/>
  <c r="X17" i="13"/>
  <c r="AP17" i="13" s="1"/>
  <c r="K17" i="13"/>
  <c r="O17" i="13"/>
  <c r="AG17" i="13" s="1"/>
  <c r="S17" i="13"/>
  <c r="AK17" i="13" s="1"/>
  <c r="W17" i="13"/>
  <c r="AO17" i="13" s="1"/>
  <c r="L13" i="13"/>
  <c r="P13" i="13"/>
  <c r="AH13" i="13" s="1"/>
  <c r="T13" i="13"/>
  <c r="AL13" i="13" s="1"/>
  <c r="X13" i="13"/>
  <c r="AP13" i="13" s="1"/>
  <c r="M13" i="13"/>
  <c r="AE13" i="13" s="1"/>
  <c r="Q13" i="13"/>
  <c r="AI13" i="13" s="1"/>
  <c r="J13" i="13"/>
  <c r="N13" i="13"/>
  <c r="AF13" i="13" s="1"/>
  <c r="R13" i="13"/>
  <c r="AJ13" i="13" s="1"/>
  <c r="K13" i="13"/>
  <c r="O13" i="13"/>
  <c r="AG13" i="13" s="1"/>
  <c r="S13" i="13"/>
  <c r="AK13" i="13" s="1"/>
  <c r="W13" i="13"/>
  <c r="AO13" i="13" s="1"/>
  <c r="L9" i="13"/>
  <c r="P9" i="13"/>
  <c r="T9" i="13"/>
  <c r="X9" i="13"/>
  <c r="AP9" i="13" s="1"/>
  <c r="M9" i="13"/>
  <c r="Q9" i="13"/>
  <c r="U9" i="13"/>
  <c r="J9" i="13"/>
  <c r="N9" i="13"/>
  <c r="R9" i="13"/>
  <c r="V9" i="13"/>
  <c r="K9" i="13"/>
  <c r="O9" i="13"/>
  <c r="S9" i="13"/>
  <c r="W9" i="13"/>
  <c r="AO9" i="13" s="1"/>
  <c r="K5" i="13"/>
  <c r="O5" i="13"/>
  <c r="S5" i="13"/>
  <c r="W5" i="13"/>
  <c r="L5" i="13"/>
  <c r="P5" i="13"/>
  <c r="T5" i="13"/>
  <c r="X5" i="13"/>
  <c r="Q5" i="13"/>
  <c r="J5" i="13"/>
  <c r="R5" i="13"/>
  <c r="M5" i="13"/>
  <c r="U5" i="13"/>
  <c r="N5" i="13"/>
  <c r="V5" i="13"/>
  <c r="K37" i="13"/>
  <c r="AC37" i="13" s="1"/>
  <c r="O37" i="13"/>
  <c r="AG37" i="13" s="1"/>
  <c r="S37" i="13"/>
  <c r="AK37" i="13" s="1"/>
  <c r="W37" i="13"/>
  <c r="AO37" i="13" s="1"/>
  <c r="L37" i="13"/>
  <c r="AD37" i="13" s="1"/>
  <c r="P37" i="13"/>
  <c r="AH37" i="13" s="1"/>
  <c r="T37" i="13"/>
  <c r="AL37" i="13" s="1"/>
  <c r="X37" i="13"/>
  <c r="AP37" i="13" s="1"/>
  <c r="M37" i="13"/>
  <c r="AE37" i="13" s="1"/>
  <c r="U37" i="13"/>
  <c r="AM37" i="13" s="1"/>
  <c r="N37" i="13"/>
  <c r="AF37" i="13" s="1"/>
  <c r="V37" i="13"/>
  <c r="AN37" i="13" s="1"/>
  <c r="Q37" i="13"/>
  <c r="AI37" i="13" s="1"/>
  <c r="J37" i="13"/>
  <c r="AB37" i="13" s="1"/>
  <c r="R37" i="13"/>
  <c r="AJ37" i="13" s="1"/>
  <c r="I34" i="13"/>
  <c r="I30" i="13"/>
  <c r="I26" i="13"/>
  <c r="I22" i="13"/>
  <c r="I18" i="13"/>
  <c r="I14" i="13"/>
  <c r="I10" i="13"/>
  <c r="I6" i="13"/>
  <c r="I38" i="13"/>
  <c r="L3" i="13"/>
  <c r="AD3" i="13" s="1"/>
  <c r="P3" i="13"/>
  <c r="AH3" i="13" s="1"/>
  <c r="T3" i="13"/>
  <c r="AL3" i="13" s="1"/>
  <c r="X3" i="13"/>
  <c r="AP3" i="13" s="1"/>
  <c r="U30" i="13"/>
  <c r="AM30" i="13" s="1"/>
  <c r="Q30" i="13"/>
  <c r="AI30" i="13" s="1"/>
  <c r="M30" i="13"/>
  <c r="AE30" i="13" s="1"/>
  <c r="X29" i="13"/>
  <c r="AP29" i="13" s="1"/>
  <c r="T29" i="13"/>
  <c r="AL29" i="13" s="1"/>
  <c r="P29" i="13"/>
  <c r="AH29" i="13" s="1"/>
  <c r="L29" i="13"/>
  <c r="W28" i="13"/>
  <c r="AO28" i="13" s="1"/>
  <c r="S28" i="13"/>
  <c r="AK28" i="13" s="1"/>
  <c r="O28" i="13"/>
  <c r="AG28" i="13" s="1"/>
  <c r="K28" i="13"/>
  <c r="V27" i="13"/>
  <c r="AN27" i="13" s="1"/>
  <c r="R27" i="13"/>
  <c r="AJ27" i="13" s="1"/>
  <c r="N27" i="13"/>
  <c r="AF27" i="13" s="1"/>
  <c r="J27" i="13"/>
  <c r="U26" i="13"/>
  <c r="AM26" i="13" s="1"/>
  <c r="Q26" i="13"/>
  <c r="AI26" i="13" s="1"/>
  <c r="M26" i="13"/>
  <c r="X25" i="13"/>
  <c r="AP25" i="13" s="1"/>
  <c r="T25" i="13"/>
  <c r="AL25" i="13" s="1"/>
  <c r="P25" i="13"/>
  <c r="AH25" i="13" s="1"/>
  <c r="L25" i="13"/>
  <c r="W24" i="13"/>
  <c r="AO24" i="13" s="1"/>
  <c r="S24" i="13"/>
  <c r="AK24" i="13" s="1"/>
  <c r="O24" i="13"/>
  <c r="AG24" i="13" s="1"/>
  <c r="K24" i="13"/>
  <c r="V23" i="13"/>
  <c r="AN23" i="13" s="1"/>
  <c r="P23" i="13"/>
  <c r="AH23" i="13" s="1"/>
  <c r="W22" i="13"/>
  <c r="AO22" i="13" s="1"/>
  <c r="O22" i="13"/>
  <c r="AG22" i="13" s="1"/>
  <c r="V21" i="13"/>
  <c r="AN21" i="13" s="1"/>
  <c r="N21" i="13"/>
  <c r="AF21" i="13" s="1"/>
  <c r="U20" i="13"/>
  <c r="AM20" i="13" s="1"/>
  <c r="T19" i="13"/>
  <c r="AL19" i="13" s="1"/>
  <c r="L19" i="13"/>
  <c r="S18" i="13"/>
  <c r="AK18" i="13" s="1"/>
  <c r="K18" i="13"/>
  <c r="AC18" i="13" s="1"/>
  <c r="R17" i="13"/>
  <c r="AJ17" i="13" s="1"/>
  <c r="J17" i="13"/>
  <c r="X15" i="13"/>
  <c r="AP15" i="13" s="1"/>
  <c r="P15" i="13"/>
  <c r="AH15" i="13" s="1"/>
  <c r="W14" i="13"/>
  <c r="AO14" i="13" s="1"/>
  <c r="O14" i="13"/>
  <c r="AG14" i="13" s="1"/>
  <c r="V13" i="13"/>
  <c r="AN13" i="13" s="1"/>
  <c r="J36" i="13"/>
  <c r="N36" i="13"/>
  <c r="AF36" i="13" s="1"/>
  <c r="R36" i="13"/>
  <c r="AJ36" i="13" s="1"/>
  <c r="V36" i="13"/>
  <c r="AN36" i="13" s="1"/>
  <c r="K36" i="13"/>
  <c r="AC36" i="13" s="1"/>
  <c r="O36" i="13"/>
  <c r="AG36" i="13" s="1"/>
  <c r="S36" i="13"/>
  <c r="AK36" i="13" s="1"/>
  <c r="W36" i="13"/>
  <c r="AO36" i="13" s="1"/>
  <c r="L36" i="13"/>
  <c r="AD36" i="13" s="1"/>
  <c r="T36" i="13"/>
  <c r="AL36" i="13" s="1"/>
  <c r="M36" i="13"/>
  <c r="AE36" i="13" s="1"/>
  <c r="U36" i="13"/>
  <c r="AM36" i="13" s="1"/>
  <c r="P36" i="13"/>
  <c r="AH36" i="13" s="1"/>
  <c r="X36" i="13"/>
  <c r="AP36" i="13" s="1"/>
  <c r="Q36" i="13"/>
  <c r="AI36" i="13" s="1"/>
  <c r="J32" i="13"/>
  <c r="N32" i="13"/>
  <c r="AF32" i="13" s="1"/>
  <c r="R32" i="13"/>
  <c r="AJ32" i="13" s="1"/>
  <c r="V32" i="13"/>
  <c r="AN32" i="13" s="1"/>
  <c r="K32" i="13"/>
  <c r="O32" i="13"/>
  <c r="AG32" i="13" s="1"/>
  <c r="S32" i="13"/>
  <c r="AK32" i="13" s="1"/>
  <c r="W32" i="13"/>
  <c r="AO32" i="13" s="1"/>
  <c r="P32" i="13"/>
  <c r="AH32" i="13" s="1"/>
  <c r="X32" i="13"/>
  <c r="AP32" i="13" s="1"/>
  <c r="Q32" i="13"/>
  <c r="AI32" i="13" s="1"/>
  <c r="L32" i="13"/>
  <c r="AD32" i="13" s="1"/>
  <c r="T32" i="13"/>
  <c r="AL32" i="13" s="1"/>
  <c r="M32" i="13"/>
  <c r="AE32" i="13" s="1"/>
  <c r="U32" i="13"/>
  <c r="AM32" i="13" s="1"/>
  <c r="K20" i="13"/>
  <c r="AC20" i="13" s="1"/>
  <c r="O20" i="13"/>
  <c r="AG20" i="13" s="1"/>
  <c r="S20" i="13"/>
  <c r="AK20" i="13" s="1"/>
  <c r="W20" i="13"/>
  <c r="AO20" i="13" s="1"/>
  <c r="J20" i="13"/>
  <c r="N20" i="13"/>
  <c r="AF20" i="13" s="1"/>
  <c r="R20" i="13"/>
  <c r="AJ20" i="13" s="1"/>
  <c r="V20" i="13"/>
  <c r="AN20" i="13" s="1"/>
  <c r="K16" i="13"/>
  <c r="AC16" i="13" s="1"/>
  <c r="O16" i="13"/>
  <c r="AG16" i="13" s="1"/>
  <c r="S16" i="13"/>
  <c r="AK16" i="13" s="1"/>
  <c r="W16" i="13"/>
  <c r="AO16" i="13" s="1"/>
  <c r="J16" i="13"/>
  <c r="N16" i="13"/>
  <c r="AF16" i="13" s="1"/>
  <c r="R16" i="13"/>
  <c r="AJ16" i="13" s="1"/>
  <c r="V16" i="13"/>
  <c r="AN16" i="13" s="1"/>
  <c r="K12" i="13"/>
  <c r="O12" i="13"/>
  <c r="S12" i="13"/>
  <c r="AK12" i="13" s="1"/>
  <c r="W12" i="13"/>
  <c r="AO12" i="13" s="1"/>
  <c r="L12" i="13"/>
  <c r="P12" i="13"/>
  <c r="T12" i="13"/>
  <c r="AL12" i="13" s="1"/>
  <c r="X12" i="13"/>
  <c r="AP12" i="13" s="1"/>
  <c r="M12" i="13"/>
  <c r="Q12" i="13"/>
  <c r="AI12" i="13" s="1"/>
  <c r="U12" i="13"/>
  <c r="AM12" i="13" s="1"/>
  <c r="J12" i="13"/>
  <c r="N12" i="13"/>
  <c r="R12" i="13"/>
  <c r="AJ12" i="13" s="1"/>
  <c r="V12" i="13"/>
  <c r="AN12" i="13" s="1"/>
  <c r="J8" i="13"/>
  <c r="N8" i="13"/>
  <c r="R8" i="13"/>
  <c r="K8" i="13"/>
  <c r="O8" i="13"/>
  <c r="L8" i="13"/>
  <c r="S8" i="13"/>
  <c r="W8" i="13"/>
  <c r="M8" i="13"/>
  <c r="T8" i="13"/>
  <c r="X8" i="13"/>
  <c r="P8" i="13"/>
  <c r="U8" i="13"/>
  <c r="Q8" i="13"/>
  <c r="V8" i="13"/>
  <c r="J4" i="13"/>
  <c r="N4" i="13"/>
  <c r="R4" i="13"/>
  <c r="AJ4" i="13" s="1"/>
  <c r="V4" i="13"/>
  <c r="AN4" i="13" s="1"/>
  <c r="K4" i="13"/>
  <c r="O4" i="13"/>
  <c r="S4" i="13"/>
  <c r="AK4" i="13" s="1"/>
  <c r="W4" i="13"/>
  <c r="AO4" i="13" s="1"/>
  <c r="P4" i="13"/>
  <c r="AH4" i="13" s="1"/>
  <c r="X4" i="13"/>
  <c r="AP4" i="13" s="1"/>
  <c r="Q4" i="13"/>
  <c r="AI4" i="13" s="1"/>
  <c r="L4" i="13"/>
  <c r="T4" i="13"/>
  <c r="AL4" i="13" s="1"/>
  <c r="M4" i="13"/>
  <c r="U4" i="13"/>
  <c r="AM4" i="13" s="1"/>
  <c r="I3" i="13"/>
  <c r="I33" i="13"/>
  <c r="I29" i="13"/>
  <c r="I25" i="13"/>
  <c r="I21" i="13"/>
  <c r="I17" i="13"/>
  <c r="I13" i="13"/>
  <c r="I9" i="13"/>
  <c r="I5" i="13"/>
  <c r="I37" i="13"/>
  <c r="M3" i="13"/>
  <c r="AE3" i="13" s="1"/>
  <c r="Q3" i="13"/>
  <c r="AI3" i="13" s="1"/>
  <c r="U3" i="13"/>
  <c r="AM3" i="13" s="1"/>
  <c r="X30" i="13"/>
  <c r="AP30" i="13" s="1"/>
  <c r="T30" i="13"/>
  <c r="AL30" i="13" s="1"/>
  <c r="P30" i="13"/>
  <c r="AH30" i="13" s="1"/>
  <c r="L30" i="13"/>
  <c r="AD30" i="13" s="1"/>
  <c r="W29" i="13"/>
  <c r="AO29" i="13" s="1"/>
  <c r="S29" i="13"/>
  <c r="AK29" i="13" s="1"/>
  <c r="O29" i="13"/>
  <c r="K29" i="13"/>
  <c r="V28" i="13"/>
  <c r="AN28" i="13" s="1"/>
  <c r="R28" i="13"/>
  <c r="AJ28" i="13" s="1"/>
  <c r="N28" i="13"/>
  <c r="AF28" i="13" s="1"/>
  <c r="J28" i="13"/>
  <c r="U27" i="13"/>
  <c r="AM27" i="13" s="1"/>
  <c r="Q27" i="13"/>
  <c r="AI27" i="13" s="1"/>
  <c r="M27" i="13"/>
  <c r="AE27" i="13" s="1"/>
  <c r="X26" i="13"/>
  <c r="AP26" i="13" s="1"/>
  <c r="T26" i="13"/>
  <c r="AL26" i="13" s="1"/>
  <c r="P26" i="13"/>
  <c r="AH26" i="13" s="1"/>
  <c r="L26" i="13"/>
  <c r="W25" i="13"/>
  <c r="AO25" i="13" s="1"/>
  <c r="S25" i="13"/>
  <c r="AK25" i="13" s="1"/>
  <c r="O25" i="13"/>
  <c r="AG25" i="13" s="1"/>
  <c r="K25" i="13"/>
  <c r="V24" i="13"/>
  <c r="AN24" i="13" s="1"/>
  <c r="R24" i="13"/>
  <c r="AJ24" i="13" s="1"/>
  <c r="N24" i="13"/>
  <c r="AF24" i="13" s="1"/>
  <c r="J24" i="13"/>
  <c r="U23" i="13"/>
  <c r="AM23" i="13" s="1"/>
  <c r="V22" i="13"/>
  <c r="AN22" i="13" s="1"/>
  <c r="N22" i="13"/>
  <c r="AF22" i="13" s="1"/>
  <c r="U21" i="13"/>
  <c r="AM21" i="13" s="1"/>
  <c r="M21" i="13"/>
  <c r="AE21" i="13" s="1"/>
  <c r="T20" i="13"/>
  <c r="AL20" i="13" s="1"/>
  <c r="L20" i="13"/>
  <c r="AD20" i="13" s="1"/>
  <c r="S19" i="13"/>
  <c r="AK19" i="13" s="1"/>
  <c r="R18" i="13"/>
  <c r="AJ18" i="13" s="1"/>
  <c r="J18" i="13"/>
  <c r="Q17" i="13"/>
  <c r="AI17" i="13" s="1"/>
  <c r="X16" i="13"/>
  <c r="AP16" i="13" s="1"/>
  <c r="P16" i="13"/>
  <c r="AH16" i="13" s="1"/>
  <c r="W15" i="13"/>
  <c r="AO15" i="13" s="1"/>
  <c r="V14" i="13"/>
  <c r="AN14" i="13" s="1"/>
  <c r="N14" i="13"/>
  <c r="AF14" i="13" s="1"/>
  <c r="U13" i="13"/>
  <c r="AM13" i="13" s="1"/>
  <c r="M35" i="13"/>
  <c r="Q35" i="13"/>
  <c r="AI35" i="13" s="1"/>
  <c r="U35" i="13"/>
  <c r="AM35" i="13" s="1"/>
  <c r="J35" i="13"/>
  <c r="N35" i="13"/>
  <c r="AF35" i="13" s="1"/>
  <c r="R35" i="13"/>
  <c r="AJ35" i="13" s="1"/>
  <c r="V35" i="13"/>
  <c r="AN35" i="13" s="1"/>
  <c r="K35" i="13"/>
  <c r="S35" i="13"/>
  <c r="AK35" i="13" s="1"/>
  <c r="L35" i="13"/>
  <c r="T35" i="13"/>
  <c r="AL35" i="13" s="1"/>
  <c r="O35" i="13"/>
  <c r="AG35" i="13" s="1"/>
  <c r="W35" i="13"/>
  <c r="AO35" i="13" s="1"/>
  <c r="P35" i="13"/>
  <c r="AH35" i="13" s="1"/>
  <c r="X35" i="13"/>
  <c r="AP35" i="13" s="1"/>
  <c r="M31" i="13"/>
  <c r="Q31" i="13"/>
  <c r="AI31" i="13" s="1"/>
  <c r="U31" i="13"/>
  <c r="AM31" i="13" s="1"/>
  <c r="J31" i="13"/>
  <c r="N31" i="13"/>
  <c r="R31" i="13"/>
  <c r="AJ31" i="13" s="1"/>
  <c r="V31" i="13"/>
  <c r="AN31" i="13" s="1"/>
  <c r="O31" i="13"/>
  <c r="W31" i="13"/>
  <c r="AO31" i="13" s="1"/>
  <c r="P31" i="13"/>
  <c r="AH31" i="13" s="1"/>
  <c r="X31" i="13"/>
  <c r="AP31" i="13" s="1"/>
  <c r="K31" i="13"/>
  <c r="S31" i="13"/>
  <c r="AK31" i="13" s="1"/>
  <c r="L31" i="13"/>
  <c r="T31" i="13"/>
  <c r="AL31" i="13" s="1"/>
  <c r="J23" i="13"/>
  <c r="N23" i="13"/>
  <c r="AF23" i="13" s="1"/>
  <c r="R23" i="13"/>
  <c r="AJ23" i="13" s="1"/>
  <c r="M23" i="13"/>
  <c r="AE23" i="13" s="1"/>
  <c r="Q23" i="13"/>
  <c r="AI23" i="13" s="1"/>
  <c r="J19" i="13"/>
  <c r="N19" i="13"/>
  <c r="AF19" i="13" s="1"/>
  <c r="R19" i="13"/>
  <c r="AJ19" i="13" s="1"/>
  <c r="V19" i="13"/>
  <c r="AN19" i="13" s="1"/>
  <c r="M19" i="13"/>
  <c r="Q19" i="13"/>
  <c r="AI19" i="13" s="1"/>
  <c r="U19" i="13"/>
  <c r="AM19" i="13" s="1"/>
  <c r="J15" i="13"/>
  <c r="N15" i="13"/>
  <c r="AF15" i="13" s="1"/>
  <c r="R15" i="13"/>
  <c r="AJ15" i="13" s="1"/>
  <c r="V15" i="13"/>
  <c r="AN15" i="13" s="1"/>
  <c r="M15" i="13"/>
  <c r="AE15" i="13" s="1"/>
  <c r="Q15" i="13"/>
  <c r="AI15" i="13" s="1"/>
  <c r="U15" i="13"/>
  <c r="AM15" i="13" s="1"/>
  <c r="J11" i="13"/>
  <c r="N11" i="13"/>
  <c r="R11" i="13"/>
  <c r="V11" i="13"/>
  <c r="AN11" i="13" s="1"/>
  <c r="K11" i="13"/>
  <c r="O11" i="13"/>
  <c r="S11" i="13"/>
  <c r="W11" i="13"/>
  <c r="AO11" i="13" s="1"/>
  <c r="L11" i="13"/>
  <c r="P11" i="13"/>
  <c r="T11" i="13"/>
  <c r="AL11" i="13" s="1"/>
  <c r="X11" i="13"/>
  <c r="AP11" i="13" s="1"/>
  <c r="M11" i="13"/>
  <c r="Q11" i="13"/>
  <c r="U11" i="13"/>
  <c r="AM11" i="13" s="1"/>
  <c r="M7" i="13"/>
  <c r="Q7" i="13"/>
  <c r="AI7" i="13" s="1"/>
  <c r="U7" i="13"/>
  <c r="AM7" i="13" s="1"/>
  <c r="J7" i="13"/>
  <c r="N7" i="13"/>
  <c r="R7" i="13"/>
  <c r="AJ7" i="13" s="1"/>
  <c r="V7" i="13"/>
  <c r="AN7" i="13" s="1"/>
  <c r="K7" i="13"/>
  <c r="S7" i="13"/>
  <c r="AK7" i="13" s="1"/>
  <c r="L7" i="13"/>
  <c r="T7" i="13"/>
  <c r="AL7" i="13" s="1"/>
  <c r="O7" i="13"/>
  <c r="W7" i="13"/>
  <c r="AO7" i="13" s="1"/>
  <c r="P7" i="13"/>
  <c r="X7" i="13"/>
  <c r="AP7" i="13" s="1"/>
  <c r="M39" i="13"/>
  <c r="AE39" i="13" s="1"/>
  <c r="Q39" i="13"/>
  <c r="AI39" i="13" s="1"/>
  <c r="U39" i="13"/>
  <c r="AM39" i="13" s="1"/>
  <c r="J39" i="13"/>
  <c r="N39" i="13"/>
  <c r="AF39" i="13" s="1"/>
  <c r="R39" i="13"/>
  <c r="AJ39" i="13" s="1"/>
  <c r="V39" i="13"/>
  <c r="AN39" i="13" s="1"/>
  <c r="O39" i="13"/>
  <c r="AG39" i="13" s="1"/>
  <c r="W39" i="13"/>
  <c r="AO39" i="13" s="1"/>
  <c r="P39" i="13"/>
  <c r="AH39" i="13" s="1"/>
  <c r="X39" i="13"/>
  <c r="AP39" i="13" s="1"/>
  <c r="K39" i="13"/>
  <c r="S39" i="13"/>
  <c r="AK39" i="13" s="1"/>
  <c r="L39" i="13"/>
  <c r="T39" i="13"/>
  <c r="AL39" i="13" s="1"/>
  <c r="I36" i="13"/>
  <c r="I32" i="13"/>
  <c r="I28" i="13"/>
  <c r="I24" i="13"/>
  <c r="I20" i="13"/>
  <c r="I16" i="13"/>
  <c r="I12" i="13"/>
  <c r="I8" i="13"/>
  <c r="I4" i="13"/>
  <c r="J3" i="13"/>
  <c r="AB3" i="13" s="1"/>
  <c r="N3" i="13"/>
  <c r="AF3" i="13" s="1"/>
  <c r="R3" i="13"/>
  <c r="AJ3" i="13" s="1"/>
  <c r="W30" i="13"/>
  <c r="AO30" i="13" s="1"/>
  <c r="S30" i="13"/>
  <c r="AK30" i="13" s="1"/>
  <c r="O30" i="13"/>
  <c r="AG30" i="13" s="1"/>
  <c r="V29" i="13"/>
  <c r="AN29" i="13" s="1"/>
  <c r="R29" i="13"/>
  <c r="AJ29" i="13" s="1"/>
  <c r="N29" i="13"/>
  <c r="U28" i="13"/>
  <c r="AM28" i="13" s="1"/>
  <c r="Q28" i="13"/>
  <c r="AI28" i="13" s="1"/>
  <c r="X27" i="13"/>
  <c r="AP27" i="13" s="1"/>
  <c r="T27" i="13"/>
  <c r="AL27" i="13" s="1"/>
  <c r="P27" i="13"/>
  <c r="AH27" i="13" s="1"/>
  <c r="W26" i="13"/>
  <c r="AO26" i="13" s="1"/>
  <c r="S26" i="13"/>
  <c r="AK26" i="13" s="1"/>
  <c r="O26" i="13"/>
  <c r="AG26" i="13" s="1"/>
  <c r="V25" i="13"/>
  <c r="AN25" i="13" s="1"/>
  <c r="R25" i="13"/>
  <c r="AJ25" i="13" s="1"/>
  <c r="N25" i="13"/>
  <c r="AF25" i="13" s="1"/>
  <c r="U24" i="13"/>
  <c r="AM24" i="13" s="1"/>
  <c r="Q24" i="13"/>
  <c r="AI24" i="13" s="1"/>
  <c r="X23" i="13"/>
  <c r="AP23" i="13" s="1"/>
  <c r="T23" i="13"/>
  <c r="AL23" i="13" s="1"/>
  <c r="L23" i="13"/>
  <c r="AD23" i="13" s="1"/>
  <c r="S22" i="13"/>
  <c r="AK22" i="13" s="1"/>
  <c r="K22" i="13"/>
  <c r="AC22" i="13" s="1"/>
  <c r="R21" i="13"/>
  <c r="AJ21" i="13" s="1"/>
  <c r="J21" i="13"/>
  <c r="Q20" i="13"/>
  <c r="AI20" i="13" s="1"/>
  <c r="X19" i="13"/>
  <c r="AP19" i="13" s="1"/>
  <c r="P19" i="13"/>
  <c r="AH19" i="13" s="1"/>
  <c r="W18" i="13"/>
  <c r="AO18" i="13" s="1"/>
  <c r="O18" i="13"/>
  <c r="AG18" i="13" s="1"/>
  <c r="V17" i="13"/>
  <c r="AN17" i="13" s="1"/>
  <c r="N17" i="13"/>
  <c r="AF17" i="13" s="1"/>
  <c r="U16" i="13"/>
  <c r="AM16" i="13" s="1"/>
  <c r="M16" i="13"/>
  <c r="AE16" i="13" s="1"/>
  <c r="T15" i="13"/>
  <c r="AL15" i="13" s="1"/>
  <c r="L15" i="13"/>
  <c r="AD15" i="13" s="1"/>
  <c r="S14" i="13"/>
  <c r="AK14" i="13" s="1"/>
  <c r="K14" i="13"/>
  <c r="AY191" i="12"/>
  <c r="S191" i="18" s="1"/>
  <c r="AY187" i="12"/>
  <c r="S187" i="18" s="1"/>
  <c r="N8" i="17"/>
  <c r="J38" i="9"/>
  <c r="I40" i="15" s="1"/>
  <c r="J39" i="9"/>
  <c r="I41" i="15" s="1"/>
  <c r="J40" i="9"/>
  <c r="I42" i="15" s="1"/>
  <c r="B56" i="9"/>
  <c r="A58" i="15" s="1"/>
  <c r="Q58" i="15" s="1"/>
  <c r="W297" i="20"/>
  <c r="J12" i="9"/>
  <c r="J95" i="9"/>
  <c r="J96" i="9"/>
  <c r="I98" i="15" s="1"/>
  <c r="J97" i="9"/>
  <c r="I99" i="15" s="1"/>
  <c r="J98" i="9"/>
  <c r="I100" i="15" s="1"/>
  <c r="J99" i="9"/>
  <c r="I101" i="15" s="1"/>
  <c r="J100" i="9"/>
  <c r="I102" i="15" s="1"/>
  <c r="J101" i="9"/>
  <c r="I103" i="15" s="1"/>
  <c r="J102" i="9"/>
  <c r="I104" i="15" s="1"/>
  <c r="J103" i="9"/>
  <c r="I105" i="15" s="1"/>
  <c r="J104" i="9"/>
  <c r="J105" i="9"/>
  <c r="I107" i="15" s="1"/>
  <c r="J106" i="9"/>
  <c r="I108" i="15" s="1"/>
  <c r="J107" i="9"/>
  <c r="I109" i="15" s="1"/>
  <c r="B11" i="9"/>
  <c r="A13" i="15" s="1"/>
  <c r="Q13" i="15" s="1"/>
  <c r="B7" i="9"/>
  <c r="A9" i="15" s="1"/>
  <c r="Q9" i="15" s="1"/>
  <c r="B3" i="9"/>
  <c r="A5" i="15" s="1"/>
  <c r="Q5" i="15" s="1"/>
  <c r="B59" i="9"/>
  <c r="A61" i="15" s="1"/>
  <c r="Q61" i="15" s="1"/>
  <c r="B23" i="9"/>
  <c r="A25" i="15" s="1"/>
  <c r="Q25" i="15" s="1"/>
  <c r="AG22" i="9"/>
  <c r="J15" i="9"/>
  <c r="I17" i="15" s="1"/>
  <c r="B118" i="9"/>
  <c r="B114" i="9"/>
  <c r="A116" i="15" s="1"/>
  <c r="Q116" i="15" s="1"/>
  <c r="B110" i="9"/>
  <c r="A112" i="15" s="1"/>
  <c r="Q112" i="15" s="1"/>
  <c r="B106" i="9"/>
  <c r="B102" i="9"/>
  <c r="B82" i="9"/>
  <c r="A84" i="15" s="1"/>
  <c r="Q84" i="15" s="1"/>
  <c r="I4" i="17"/>
  <c r="B109" i="9"/>
  <c r="A111" i="15" s="1"/>
  <c r="Q111" i="15" s="1"/>
  <c r="B105" i="9"/>
  <c r="A107" i="15" s="1"/>
  <c r="Q107" i="15" s="1"/>
  <c r="B101" i="9"/>
  <c r="A103" i="15" s="1"/>
  <c r="Q103" i="15" s="1"/>
  <c r="B97" i="9"/>
  <c r="A99" i="15" s="1"/>
  <c r="Q99" i="15" s="1"/>
  <c r="B93" i="9"/>
  <c r="A95" i="15" s="1"/>
  <c r="Q95" i="15" s="1"/>
  <c r="B89" i="9"/>
  <c r="A91" i="15" s="1"/>
  <c r="Q91" i="15" s="1"/>
  <c r="B85" i="9"/>
  <c r="A87" i="15" s="1"/>
  <c r="Q87" i="15" s="1"/>
  <c r="B81" i="9"/>
  <c r="A83" i="15" s="1"/>
  <c r="Q83" i="15" s="1"/>
  <c r="B77" i="9"/>
  <c r="B73" i="9"/>
  <c r="A75" i="15" s="1"/>
  <c r="Q75" i="15" s="1"/>
  <c r="B69" i="9"/>
  <c r="A71" i="15" s="1"/>
  <c r="Q71" i="15" s="1"/>
  <c r="AD19" i="9"/>
  <c r="AD15" i="9"/>
  <c r="AD38" i="9"/>
  <c r="AD26" i="9"/>
  <c r="AD22" i="9"/>
  <c r="AD18" i="9"/>
  <c r="AD14" i="9"/>
  <c r="AD10" i="9"/>
  <c r="AD6" i="9"/>
  <c r="AD2" i="9"/>
  <c r="J108" i="9"/>
  <c r="I110" i="15" s="1"/>
  <c r="J109" i="9"/>
  <c r="J110" i="9"/>
  <c r="I112" i="15" s="1"/>
  <c r="J111" i="9"/>
  <c r="I113" i="15" s="1"/>
  <c r="B16" i="9"/>
  <c r="A18" i="15" s="1"/>
  <c r="Q18" i="15" s="1"/>
  <c r="B119" i="9"/>
  <c r="A121" i="15" s="1"/>
  <c r="Q121" i="15" s="1"/>
  <c r="B115" i="9"/>
  <c r="A117" i="15" s="1"/>
  <c r="Q117" i="15" s="1"/>
  <c r="B111" i="9"/>
  <c r="A113" i="15" s="1"/>
  <c r="Q113" i="15" s="1"/>
  <c r="B107" i="9"/>
  <c r="A109" i="15" s="1"/>
  <c r="Q109" i="15" s="1"/>
  <c r="B103" i="9"/>
  <c r="B99" i="9"/>
  <c r="A101" i="15" s="1"/>
  <c r="Q101" i="15" s="1"/>
  <c r="B91" i="9"/>
  <c r="A93" i="15" s="1"/>
  <c r="Q93" i="15" s="1"/>
  <c r="B83" i="9"/>
  <c r="B79" i="9"/>
  <c r="A81" i="15" s="1"/>
  <c r="Q81" i="15" s="1"/>
  <c r="B67" i="9"/>
  <c r="A69" i="15" s="1"/>
  <c r="Q69" i="15" s="1"/>
  <c r="AD21" i="9"/>
  <c r="AD13" i="9"/>
  <c r="J3" i="9"/>
  <c r="J41" i="9"/>
  <c r="I43" i="15" s="1"/>
  <c r="J11" i="9"/>
  <c r="I13" i="15" s="1"/>
  <c r="J42" i="9"/>
  <c r="I44" i="15" s="1"/>
  <c r="J43" i="9"/>
  <c r="I45" i="15" s="1"/>
  <c r="J44" i="9"/>
  <c r="I46" i="15" s="1"/>
  <c r="J45" i="9"/>
  <c r="J46" i="9"/>
  <c r="I48" i="15" s="1"/>
  <c r="J47" i="9"/>
  <c r="I49" i="15" s="1"/>
  <c r="J48" i="9"/>
  <c r="I50" i="15" s="1"/>
  <c r="J49" i="9"/>
  <c r="J50" i="9"/>
  <c r="I52" i="15" s="1"/>
  <c r="J51" i="9"/>
  <c r="I53" i="15" s="1"/>
  <c r="J52" i="9"/>
  <c r="J53" i="9"/>
  <c r="J54" i="9"/>
  <c r="I56" i="15" s="1"/>
  <c r="J55" i="9"/>
  <c r="I57" i="15" s="1"/>
  <c r="J56" i="9"/>
  <c r="I58" i="15" s="1"/>
  <c r="J57" i="9"/>
  <c r="J58" i="9"/>
  <c r="I60" i="15" s="1"/>
  <c r="J59" i="9"/>
  <c r="I61" i="15" s="1"/>
  <c r="J60" i="9"/>
  <c r="I62" i="15" s="1"/>
  <c r="J61" i="9"/>
  <c r="I63" i="15" s="1"/>
  <c r="J62" i="9"/>
  <c r="I64" i="15" s="1"/>
  <c r="J63" i="9"/>
  <c r="J64" i="9"/>
  <c r="I66" i="15" s="1"/>
  <c r="J65" i="9"/>
  <c r="I67" i="15" s="1"/>
  <c r="J16" i="9"/>
  <c r="J66" i="9"/>
  <c r="J17" i="9"/>
  <c r="J67" i="9"/>
  <c r="I69" i="15" s="1"/>
  <c r="J18" i="9"/>
  <c r="J68" i="9"/>
  <c r="I70" i="15" s="1"/>
  <c r="J69" i="9"/>
  <c r="J70" i="9"/>
  <c r="I72" i="15" s="1"/>
  <c r="J71" i="9"/>
  <c r="I73" i="15" s="1"/>
  <c r="J72" i="9"/>
  <c r="I74" i="15" s="1"/>
  <c r="J73" i="9"/>
  <c r="J74" i="9"/>
  <c r="I76" i="15" s="1"/>
  <c r="J75" i="9"/>
  <c r="I77" i="15" s="1"/>
  <c r="J76" i="9"/>
  <c r="I78" i="15" s="1"/>
  <c r="J77" i="9"/>
  <c r="I79" i="15" s="1"/>
  <c r="J78" i="9"/>
  <c r="I80" i="15" s="1"/>
  <c r="J79" i="9"/>
  <c r="J80" i="9"/>
  <c r="I82" i="15" s="1"/>
  <c r="J22" i="9"/>
  <c r="I24" i="15" s="1"/>
  <c r="J8" i="9"/>
  <c r="I10" i="15" s="1"/>
  <c r="J24" i="9"/>
  <c r="I26" i="15" s="1"/>
  <c r="J10" i="9"/>
  <c r="I12" i="15" s="1"/>
  <c r="J32" i="9"/>
  <c r="I34" i="15" s="1"/>
  <c r="J33" i="9"/>
  <c r="J34" i="9"/>
  <c r="I36" i="15" s="1"/>
  <c r="J35" i="9"/>
  <c r="I37" i="15" s="1"/>
  <c r="J36" i="9"/>
  <c r="I38" i="15" s="1"/>
  <c r="J37" i="9"/>
  <c r="B64" i="9"/>
  <c r="A66" i="15" s="1"/>
  <c r="Q66" i="15" s="1"/>
  <c r="B40" i="9"/>
  <c r="B36" i="9"/>
  <c r="A38" i="15" s="1"/>
  <c r="Q38" i="15" s="1"/>
  <c r="B32" i="9"/>
  <c r="A34" i="15" s="1"/>
  <c r="Q34" i="15" s="1"/>
  <c r="B15" i="9"/>
  <c r="A17" i="15" s="1"/>
  <c r="Q17" i="15" s="1"/>
  <c r="B131" i="9"/>
  <c r="A133" i="15" s="1"/>
  <c r="Q133" i="15" s="1"/>
  <c r="B127" i="9"/>
  <c r="B123" i="9"/>
  <c r="A125" i="15" s="1"/>
  <c r="Q125" i="15" s="1"/>
  <c r="B87" i="9"/>
  <c r="B75" i="9"/>
  <c r="A77" i="15" s="1"/>
  <c r="Q77" i="15" s="1"/>
  <c r="B71" i="9"/>
  <c r="A73" i="15" s="1"/>
  <c r="Q73" i="15" s="1"/>
  <c r="B63" i="9"/>
  <c r="A65" i="15" s="1"/>
  <c r="Q65" i="15" s="1"/>
  <c r="B55" i="9"/>
  <c r="B51" i="9"/>
  <c r="W51" i="9" s="1"/>
  <c r="B47" i="9"/>
  <c r="A49" i="15" s="1"/>
  <c r="Q49" i="15" s="1"/>
  <c r="B35" i="9"/>
  <c r="A37" i="15" s="1"/>
  <c r="Q37" i="15" s="1"/>
  <c r="B31" i="9"/>
  <c r="A33" i="15" s="1"/>
  <c r="Q33" i="15" s="1"/>
  <c r="B27" i="9"/>
  <c r="A29" i="15" s="1"/>
  <c r="Q29" i="15" s="1"/>
  <c r="B19" i="9"/>
  <c r="A21" i="15" s="1"/>
  <c r="Q21" i="15" s="1"/>
  <c r="B14" i="9"/>
  <c r="A16" i="15" s="1"/>
  <c r="Q16" i="15" s="1"/>
  <c r="B10" i="9"/>
  <c r="A12" i="15" s="1"/>
  <c r="Q12" i="15" s="1"/>
  <c r="B6" i="9"/>
  <c r="A8" i="15" s="1"/>
  <c r="Q8" i="15" s="1"/>
  <c r="B130" i="9"/>
  <c r="A132" i="15" s="1"/>
  <c r="Q132" i="15" s="1"/>
  <c r="B126" i="9"/>
  <c r="A128" i="15" s="1"/>
  <c r="Q128" i="15" s="1"/>
  <c r="B122" i="9"/>
  <c r="A124" i="15" s="1"/>
  <c r="Q124" i="15" s="1"/>
  <c r="B98" i="9"/>
  <c r="A100" i="15" s="1"/>
  <c r="Q100" i="15" s="1"/>
  <c r="B94" i="9"/>
  <c r="B90" i="9"/>
  <c r="A92" i="15" s="1"/>
  <c r="Q92" i="15" s="1"/>
  <c r="B86" i="9"/>
  <c r="A88" i="15" s="1"/>
  <c r="Q88" i="15" s="1"/>
  <c r="B78" i="9"/>
  <c r="A80" i="15" s="1"/>
  <c r="Q80" i="15" s="1"/>
  <c r="B74" i="9"/>
  <c r="A76" i="15" s="1"/>
  <c r="Q76" i="15" s="1"/>
  <c r="B70" i="9"/>
  <c r="A72" i="15" s="1"/>
  <c r="Q72" i="15" s="1"/>
  <c r="B66" i="9"/>
  <c r="B62" i="9"/>
  <c r="A64" i="15" s="1"/>
  <c r="Q64" i="15" s="1"/>
  <c r="B58" i="9"/>
  <c r="B54" i="9"/>
  <c r="B50" i="9"/>
  <c r="A52" i="15" s="1"/>
  <c r="Q52" i="15" s="1"/>
  <c r="B46" i="9"/>
  <c r="A48" i="17" s="1"/>
  <c r="Q48" i="17" s="1"/>
  <c r="B38" i="9"/>
  <c r="B34" i="9"/>
  <c r="A36" i="15" s="1"/>
  <c r="Q36" i="15" s="1"/>
  <c r="B30" i="9"/>
  <c r="A32" i="15" s="1"/>
  <c r="Q32" i="15" s="1"/>
  <c r="B26" i="9"/>
  <c r="A28" i="15" s="1"/>
  <c r="Q28" i="15" s="1"/>
  <c r="B22" i="9"/>
  <c r="B13" i="9"/>
  <c r="A15" i="15" s="1"/>
  <c r="Q15" i="15" s="1"/>
  <c r="B61" i="9"/>
  <c r="B49" i="9"/>
  <c r="A51" i="15" s="1"/>
  <c r="Q51" i="15" s="1"/>
  <c r="B45" i="9"/>
  <c r="A47" i="15" s="1"/>
  <c r="Q47" i="15" s="1"/>
  <c r="B37" i="9"/>
  <c r="A39" i="15" s="1"/>
  <c r="Q39" i="15" s="1"/>
  <c r="B33" i="9"/>
  <c r="A35" i="15" s="1"/>
  <c r="Q35" i="15" s="1"/>
  <c r="B29" i="9"/>
  <c r="W29" i="9" s="1"/>
  <c r="B25" i="9"/>
  <c r="A27" i="15" s="1"/>
  <c r="Q27" i="15" s="1"/>
  <c r="B21" i="9"/>
  <c r="A23" i="15" s="1"/>
  <c r="Q23" i="15" s="1"/>
  <c r="AD130" i="9"/>
  <c r="AD126" i="9"/>
  <c r="AD122" i="9"/>
  <c r="AD118" i="9"/>
  <c r="AD114" i="9"/>
  <c r="AD110" i="9"/>
  <c r="AD106" i="9"/>
  <c r="AD102" i="9"/>
  <c r="AD98" i="9"/>
  <c r="AD94" i="9"/>
  <c r="AD90" i="9"/>
  <c r="AD86" i="9"/>
  <c r="AD82" i="9"/>
  <c r="AD78" i="9"/>
  <c r="AD74" i="9"/>
  <c r="AD70" i="9"/>
  <c r="AD66" i="9"/>
  <c r="AD62" i="9"/>
  <c r="AD58" i="9"/>
  <c r="AD54" i="9"/>
  <c r="AD50" i="9"/>
  <c r="AD46" i="9"/>
  <c r="AD42" i="9"/>
  <c r="AD34" i="9"/>
  <c r="AD30" i="9"/>
  <c r="AD133" i="9"/>
  <c r="AD129" i="9"/>
  <c r="AD125" i="9"/>
  <c r="AD121" i="9"/>
  <c r="AD117" i="9"/>
  <c r="AD113" i="9"/>
  <c r="AD109" i="9"/>
  <c r="AD105" i="9"/>
  <c r="AD101" i="9"/>
  <c r="AD97" i="9"/>
  <c r="AD93" i="9"/>
  <c r="AD89" i="9"/>
  <c r="AD85" i="9"/>
  <c r="AD81" i="9"/>
  <c r="AD77" i="9"/>
  <c r="AD73" i="9"/>
  <c r="AD69" i="9"/>
  <c r="AD65" i="9"/>
  <c r="AD61" i="9"/>
  <c r="AD57" i="9"/>
  <c r="AD53" i="9"/>
  <c r="AD49" i="9"/>
  <c r="AD45" i="9"/>
  <c r="AD41" i="9"/>
  <c r="AD37" i="9"/>
  <c r="AD33" i="9"/>
  <c r="AD29" i="9"/>
  <c r="AD25" i="9"/>
  <c r="AD17" i="9"/>
  <c r="AD9" i="9"/>
  <c r="AD5" i="9"/>
  <c r="AD132" i="9"/>
  <c r="AD128" i="9"/>
  <c r="AD124" i="9"/>
  <c r="AD120" i="9"/>
  <c r="AD116" i="9"/>
  <c r="AD112" i="9"/>
  <c r="AD108" i="9"/>
  <c r="AD104" i="9"/>
  <c r="AD100" i="9"/>
  <c r="AD96" i="9"/>
  <c r="AD92" i="9"/>
  <c r="AD88" i="9"/>
  <c r="AD84" i="9"/>
  <c r="AD80" i="9"/>
  <c r="AD76" i="9"/>
  <c r="AD72" i="9"/>
  <c r="AD68" i="9"/>
  <c r="AD64" i="9"/>
  <c r="AD60" i="9"/>
  <c r="AD56" i="9"/>
  <c r="AD52" i="9"/>
  <c r="AD48" i="9"/>
  <c r="AD44" i="9"/>
  <c r="AD40" i="9"/>
  <c r="AD36" i="9"/>
  <c r="AD32" i="9"/>
  <c r="AD28" i="9"/>
  <c r="AD24" i="9"/>
  <c r="AD20" i="9"/>
  <c r="AD16" i="9"/>
  <c r="AD12" i="9"/>
  <c r="AD8" i="9"/>
  <c r="AD4" i="9"/>
  <c r="AD131" i="9"/>
  <c r="AD127" i="9"/>
  <c r="AD123" i="9"/>
  <c r="AD119" i="9"/>
  <c r="AD115" i="9"/>
  <c r="AD111" i="9"/>
  <c r="AD107" i="9"/>
  <c r="AD103" i="9"/>
  <c r="AD99" i="9"/>
  <c r="AD95" i="9"/>
  <c r="AD91" i="9"/>
  <c r="AD87" i="9"/>
  <c r="AD83" i="9"/>
  <c r="AD79" i="9"/>
  <c r="AD75" i="9"/>
  <c r="AD71" i="9"/>
  <c r="AD67" i="9"/>
  <c r="AD63" i="9"/>
  <c r="AD59" i="9"/>
  <c r="AD55" i="9"/>
  <c r="AD51" i="9"/>
  <c r="AD47" i="9"/>
  <c r="AD43" i="9"/>
  <c r="AD39" i="9"/>
  <c r="AD35" i="9"/>
  <c r="AD31" i="9"/>
  <c r="AD27" i="9"/>
  <c r="AD23" i="9"/>
  <c r="AD11" i="9"/>
  <c r="AD7" i="9"/>
  <c r="AD3" i="9"/>
  <c r="AG129" i="9"/>
  <c r="AG117" i="9"/>
  <c r="AG113" i="9"/>
  <c r="AG109" i="9"/>
  <c r="AG93" i="9"/>
  <c r="AG89" i="9"/>
  <c r="AG85" i="9"/>
  <c r="AG81" i="9"/>
  <c r="AG73" i="9"/>
  <c r="AG65" i="9"/>
  <c r="AG57" i="9"/>
  <c r="AG53" i="9"/>
  <c r="AG49" i="9"/>
  <c r="AG45" i="9"/>
  <c r="AG37" i="9"/>
  <c r="AG33" i="9"/>
  <c r="AG21" i="9"/>
  <c r="AG5" i="9"/>
  <c r="AI127" i="9"/>
  <c r="AI120" i="9"/>
  <c r="AI116" i="9"/>
  <c r="AI109" i="9"/>
  <c r="AI90" i="9"/>
  <c r="AI24" i="9"/>
  <c r="AG120" i="9"/>
  <c r="AG116" i="9"/>
  <c r="AG92" i="9"/>
  <c r="AG88" i="9"/>
  <c r="AG84" i="9"/>
  <c r="AG80" i="9"/>
  <c r="AG72" i="9"/>
  <c r="AG64" i="9"/>
  <c r="AG60" i="9"/>
  <c r="AG56" i="9"/>
  <c r="AG52" i="9"/>
  <c r="AG44" i="9"/>
  <c r="AG40" i="9"/>
  <c r="AG36" i="9"/>
  <c r="AG32" i="9"/>
  <c r="AG24" i="9"/>
  <c r="AG20" i="9"/>
  <c r="AG4" i="9"/>
  <c r="AI131" i="9"/>
  <c r="AI126" i="9"/>
  <c r="AI119" i="9"/>
  <c r="AI115" i="9"/>
  <c r="AI103" i="9"/>
  <c r="AI93" i="9"/>
  <c r="AI89" i="9"/>
  <c r="AI64" i="9"/>
  <c r="AI36" i="9"/>
  <c r="AI31" i="9"/>
  <c r="AI22" i="9"/>
  <c r="AI18" i="9"/>
  <c r="K143" i="17"/>
  <c r="AG131" i="9"/>
  <c r="AG127" i="9"/>
  <c r="AG123" i="9"/>
  <c r="AG119" i="9"/>
  <c r="AG115" i="9"/>
  <c r="AG111" i="9"/>
  <c r="AG103" i="9"/>
  <c r="AG99" i="9"/>
  <c r="AG91" i="9"/>
  <c r="AG87" i="9"/>
  <c r="AG79" i="9"/>
  <c r="AG75" i="9"/>
  <c r="AG71" i="9"/>
  <c r="AG67" i="9"/>
  <c r="AG63" i="9"/>
  <c r="AG55" i="9"/>
  <c r="AG51" i="9"/>
  <c r="AG47" i="9"/>
  <c r="AG39" i="9"/>
  <c r="AG35" i="9"/>
  <c r="AG31" i="9"/>
  <c r="AG19" i="9"/>
  <c r="AI130" i="9"/>
  <c r="AI123" i="9"/>
  <c r="AI113" i="9"/>
  <c r="AI92" i="9"/>
  <c r="AI73" i="9"/>
  <c r="AI63" i="9"/>
  <c r="AI56" i="9"/>
  <c r="AI35" i="9"/>
  <c r="AG130" i="9"/>
  <c r="AG126" i="9"/>
  <c r="AG122" i="9"/>
  <c r="AG118" i="9"/>
  <c r="AG102" i="9"/>
  <c r="AG98" i="9"/>
  <c r="AG90" i="9"/>
  <c r="AG70" i="9"/>
  <c r="AG66" i="9"/>
  <c r="AG58" i="9"/>
  <c r="AG54" i="9"/>
  <c r="AG50" i="9"/>
  <c r="AG46" i="9"/>
  <c r="AG30" i="9"/>
  <c r="AG26" i="9"/>
  <c r="AG18" i="9"/>
  <c r="AI129" i="9"/>
  <c r="AI122" i="9"/>
  <c r="AI117" i="9"/>
  <c r="AI111" i="9"/>
  <c r="AI33" i="9"/>
  <c r="AI26" i="9"/>
  <c r="AI6" i="9"/>
  <c r="A139" i="17"/>
  <c r="AI88" i="20"/>
  <c r="AI76" i="20"/>
  <c r="AI75" i="20"/>
  <c r="AI59" i="20"/>
  <c r="AI188" i="20"/>
  <c r="AI187" i="9" s="1"/>
  <c r="AI187" i="20"/>
  <c r="AI186" i="9" s="1"/>
  <c r="AI47" i="20"/>
  <c r="AI178" i="20"/>
  <c r="AI177" i="9" s="1"/>
  <c r="AI43" i="20"/>
  <c r="AI173" i="20"/>
  <c r="AI172" i="9" s="1"/>
  <c r="AI170" i="20"/>
  <c r="AI169" i="9" s="1"/>
  <c r="AI167" i="20"/>
  <c r="AI166" i="9" s="1"/>
  <c r="AI165" i="20"/>
  <c r="AI164" i="9" s="1"/>
  <c r="AG133" i="9"/>
  <c r="AI162" i="20"/>
  <c r="AG125" i="9"/>
  <c r="AI38" i="20"/>
  <c r="AG121" i="9"/>
  <c r="AI157" i="20"/>
  <c r="AG105" i="9"/>
  <c r="AI383" i="20"/>
  <c r="AI382" i="9" s="1"/>
  <c r="AG101" i="9"/>
  <c r="AI302" i="20"/>
  <c r="AG97" i="9"/>
  <c r="AI300" i="20"/>
  <c r="AI299" i="9" s="1"/>
  <c r="AG77" i="9"/>
  <c r="AI21" i="20"/>
  <c r="AG69" i="9"/>
  <c r="AI15" i="20"/>
  <c r="AI61" i="9" s="1"/>
  <c r="AG61" i="9"/>
  <c r="AI297" i="20"/>
  <c r="AI296" i="9" s="1"/>
  <c r="AG41" i="9"/>
  <c r="AI367" i="20"/>
  <c r="AI366" i="9" s="1"/>
  <c r="AG29" i="9"/>
  <c r="AI12" i="20"/>
  <c r="AG25" i="9"/>
  <c r="AI365" i="20"/>
  <c r="AI364" i="9" s="1"/>
  <c r="AG17" i="9"/>
  <c r="AI388" i="20"/>
  <c r="AI387" i="9" s="1"/>
  <c r="AG13" i="9"/>
  <c r="AG9" i="9"/>
  <c r="I137" i="17"/>
  <c r="A138" i="17"/>
  <c r="Q138" i="17" s="1"/>
  <c r="AI95" i="20"/>
  <c r="AI202" i="20"/>
  <c r="AI201" i="9" s="1"/>
  <c r="AI52" i="20"/>
  <c r="AI50" i="20"/>
  <c r="AI185" i="20"/>
  <c r="AI184" i="9" s="1"/>
  <c r="AI48" i="20"/>
  <c r="AI177" i="20"/>
  <c r="AI176" i="9" s="1"/>
  <c r="AI174" i="20"/>
  <c r="AI173" i="9" s="1"/>
  <c r="AI41" i="20"/>
  <c r="AI166" i="20"/>
  <c r="AI165" i="9" s="1"/>
  <c r="AI40" i="20"/>
  <c r="AG132" i="9"/>
  <c r="AI163" i="20"/>
  <c r="AG128" i="9"/>
  <c r="AI39" i="20"/>
  <c r="AG124" i="9"/>
  <c r="AI33" i="20"/>
  <c r="AG112" i="9"/>
  <c r="AI307" i="20"/>
  <c r="AI306" i="9" s="1"/>
  <c r="AG108" i="9"/>
  <c r="AI304" i="20"/>
  <c r="AG104" i="9"/>
  <c r="AI303" i="20"/>
  <c r="AI302" i="9" s="1"/>
  <c r="AG100" i="9"/>
  <c r="AI156" i="20"/>
  <c r="AG96" i="9"/>
  <c r="AI155" i="20"/>
  <c r="AI154" i="9" s="1"/>
  <c r="AG76" i="9"/>
  <c r="AI20" i="20"/>
  <c r="AI19" i="9" s="1"/>
  <c r="AG68" i="9"/>
  <c r="AI373" i="20"/>
  <c r="AI372" i="9" s="1"/>
  <c r="AG48" i="9"/>
  <c r="AI296" i="20"/>
  <c r="AI295" i="9" s="1"/>
  <c r="AG28" i="9"/>
  <c r="AI364" i="20"/>
  <c r="AI363" i="9" s="1"/>
  <c r="AG16" i="9"/>
  <c r="AI387" i="20"/>
  <c r="AI386" i="9" s="1"/>
  <c r="AG12" i="9"/>
  <c r="AI146" i="20"/>
  <c r="AG8" i="9"/>
  <c r="AI119" i="20"/>
  <c r="AI118" i="9" s="1"/>
  <c r="AI89" i="20"/>
  <c r="AI86" i="20"/>
  <c r="AI84" i="20"/>
  <c r="AI83" i="20"/>
  <c r="AI82" i="20"/>
  <c r="AI80" i="20"/>
  <c r="AI66" i="20"/>
  <c r="AI2" i="9" s="1"/>
  <c r="AI56" i="20"/>
  <c r="AI53" i="20"/>
  <c r="AI49" i="20"/>
  <c r="AI46" i="20"/>
  <c r="AI175" i="20"/>
  <c r="AI174" i="9" s="1"/>
  <c r="AI45" i="20"/>
  <c r="AI171" i="20"/>
  <c r="AI170" i="9" s="1"/>
  <c r="AI169" i="20"/>
  <c r="AI168" i="9" s="1"/>
  <c r="AI306" i="20"/>
  <c r="AG107" i="9"/>
  <c r="AI30" i="20"/>
  <c r="AI95" i="9" s="1"/>
  <c r="AG95" i="9"/>
  <c r="AI377" i="20"/>
  <c r="AI376" i="9" s="1"/>
  <c r="AG83" i="9"/>
  <c r="AI13" i="20"/>
  <c r="AG59" i="9"/>
  <c r="AI372" i="20"/>
  <c r="AG43" i="9"/>
  <c r="AI148" i="20"/>
  <c r="AI147" i="9" s="1"/>
  <c r="AG27" i="9"/>
  <c r="AI10" i="20"/>
  <c r="AG23" i="9"/>
  <c r="AI389" i="20"/>
  <c r="AG15" i="9"/>
  <c r="AI362" i="20"/>
  <c r="AI361" i="9" s="1"/>
  <c r="AG11" i="9"/>
  <c r="AI5" i="20"/>
  <c r="AG7" i="9"/>
  <c r="AI145" i="20"/>
  <c r="AG3" i="9"/>
  <c r="I136" i="17"/>
  <c r="A136" i="17"/>
  <c r="Q136" i="17" s="1"/>
  <c r="AI102" i="20"/>
  <c r="AI101" i="20"/>
  <c r="AI98" i="9" s="1"/>
  <c r="AI100" i="20"/>
  <c r="AI92" i="20"/>
  <c r="AI87" i="20"/>
  <c r="AI85" i="20"/>
  <c r="AI81" i="20"/>
  <c r="AI79" i="20"/>
  <c r="AI78" i="20"/>
  <c r="AI77" i="20"/>
  <c r="AI73" i="20"/>
  <c r="AI71" i="20"/>
  <c r="AI70" i="20"/>
  <c r="AI69" i="20"/>
  <c r="AI68" i="20"/>
  <c r="AI67" i="20"/>
  <c r="AI61" i="20"/>
  <c r="AI60" i="20"/>
  <c r="AI58" i="20"/>
  <c r="AI55" i="20"/>
  <c r="AI54" i="20"/>
  <c r="AI179" i="20"/>
  <c r="AI178" i="9" s="1"/>
  <c r="AI42" i="20"/>
  <c r="AI168" i="20"/>
  <c r="AI167" i="9" s="1"/>
  <c r="AI159" i="20"/>
  <c r="AG114" i="9"/>
  <c r="AI31" i="20"/>
  <c r="AI110" i="9" s="1"/>
  <c r="AG110" i="9"/>
  <c r="AI305" i="20"/>
  <c r="AG106" i="9"/>
  <c r="AI29" i="20"/>
  <c r="AG94" i="9"/>
  <c r="AI378" i="20"/>
  <c r="AG86" i="9"/>
  <c r="AI301" i="20"/>
  <c r="AI300" i="9" s="1"/>
  <c r="AG82" i="9"/>
  <c r="AI374" i="20"/>
  <c r="AI373" i="9" s="1"/>
  <c r="AG78" i="9"/>
  <c r="AI24" i="20"/>
  <c r="AG74" i="9"/>
  <c r="AI151" i="20"/>
  <c r="AG62" i="9"/>
  <c r="AI371" i="20"/>
  <c r="AI370" i="9" s="1"/>
  <c r="AG42" i="9"/>
  <c r="AI370" i="20"/>
  <c r="AI369" i="9" s="1"/>
  <c r="AG38" i="9"/>
  <c r="AI368" i="20"/>
  <c r="AG34" i="9"/>
  <c r="AI363" i="20"/>
  <c r="AI362" i="9" s="1"/>
  <c r="AG14" i="9"/>
  <c r="U141" i="14"/>
  <c r="U10" i="15"/>
  <c r="U18" i="15"/>
  <c r="U27" i="15"/>
  <c r="U41" i="15"/>
  <c r="U45" i="15"/>
  <c r="U49" i="15"/>
  <c r="U53" i="15"/>
  <c r="U57" i="15"/>
  <c r="U61" i="15"/>
  <c r="U70" i="15"/>
  <c r="U30" i="15"/>
  <c r="U37" i="15"/>
  <c r="U15" i="15"/>
  <c r="U19" i="15"/>
  <c r="U22" i="15"/>
  <c r="N9" i="17"/>
  <c r="N15" i="17"/>
  <c r="N24" i="17"/>
  <c r="N28" i="17"/>
  <c r="N7" i="17"/>
  <c r="AJ145" i="20"/>
  <c r="AJ144" i="9" s="1"/>
  <c r="W332" i="20"/>
  <c r="W30" i="20"/>
  <c r="B95" i="9"/>
  <c r="A97" i="15" s="1"/>
  <c r="Q97" i="15" s="1"/>
  <c r="W372" i="20"/>
  <c r="B43" i="9"/>
  <c r="A45" i="15" s="1"/>
  <c r="Q45" i="15" s="1"/>
  <c r="W396" i="20"/>
  <c r="B39" i="9"/>
  <c r="A41" i="15" s="1"/>
  <c r="Q41" i="15" s="1"/>
  <c r="W90" i="20"/>
  <c r="W61" i="20"/>
  <c r="W190" i="20"/>
  <c r="W331" i="20"/>
  <c r="W371" i="20"/>
  <c r="B42" i="9"/>
  <c r="A44" i="15" s="1"/>
  <c r="Q44" i="15" s="1"/>
  <c r="W115" i="20"/>
  <c r="W92" i="20"/>
  <c r="B1" i="21"/>
  <c r="W52" i="20"/>
  <c r="W333" i="20"/>
  <c r="W186" i="20"/>
  <c r="W33" i="20"/>
  <c r="B112" i="9"/>
  <c r="A114" i="15" s="1"/>
  <c r="Q114" i="15" s="1"/>
  <c r="W156" i="20"/>
  <c r="B96" i="9"/>
  <c r="A98" i="15" s="1"/>
  <c r="Q98" i="15" s="1"/>
  <c r="W11" i="20"/>
  <c r="B24" i="9"/>
  <c r="A26" i="15" s="1"/>
  <c r="Q26" i="15" s="1"/>
  <c r="AE400" i="20"/>
  <c r="AE399" i="9" s="1"/>
  <c r="AE151" i="20"/>
  <c r="AE19" i="20"/>
  <c r="AE24" i="20"/>
  <c r="AE300" i="20"/>
  <c r="AE299" i="9" s="1"/>
  <c r="AE25" i="20"/>
  <c r="AE29" i="20"/>
  <c r="AE182" i="20"/>
  <c r="AE181" i="9" s="1"/>
  <c r="I146" i="20"/>
  <c r="AK146" i="20"/>
  <c r="AE4" i="20"/>
  <c r="AE382" i="20"/>
  <c r="AE381" i="9" s="1"/>
  <c r="AE32" i="20"/>
  <c r="I295" i="20"/>
  <c r="AK295" i="20"/>
  <c r="AE391" i="20"/>
  <c r="AE390" i="9" s="1"/>
  <c r="AE371" i="20"/>
  <c r="AE370" i="9" s="1"/>
  <c r="AK321" i="20"/>
  <c r="AK171" i="20"/>
  <c r="AK169" i="20"/>
  <c r="AK318" i="20"/>
  <c r="AK315" i="20"/>
  <c r="AK164" i="20"/>
  <c r="AK311" i="20"/>
  <c r="AK37" i="20"/>
  <c r="AJ37" i="20" s="1"/>
  <c r="AK35" i="20"/>
  <c r="AJ35" i="20" s="1"/>
  <c r="AK159" i="20"/>
  <c r="AK306" i="20"/>
  <c r="AK385" i="20"/>
  <c r="AK382" i="20"/>
  <c r="AK30" i="20"/>
  <c r="AJ30" i="20" s="1"/>
  <c r="AK25" i="20"/>
  <c r="AJ25" i="20" s="1"/>
  <c r="AK378" i="20"/>
  <c r="AK301" i="20"/>
  <c r="AK374" i="20"/>
  <c r="AK24" i="20"/>
  <c r="AJ24" i="20" s="1"/>
  <c r="AK152" i="20"/>
  <c r="AK18" i="20"/>
  <c r="AJ18" i="20" s="1"/>
  <c r="AK299" i="20"/>
  <c r="AK13" i="20"/>
  <c r="AJ13" i="20" s="1"/>
  <c r="AK408" i="20"/>
  <c r="AK404" i="20"/>
  <c r="AK401" i="20"/>
  <c r="AK372" i="20"/>
  <c r="AK396" i="20"/>
  <c r="AK394" i="20"/>
  <c r="AK391" i="20"/>
  <c r="AK148" i="20"/>
  <c r="AK10" i="20"/>
  <c r="AJ10" i="20" s="1"/>
  <c r="AK4" i="20"/>
  <c r="AJ4" i="20" s="1"/>
  <c r="AE319" i="20"/>
  <c r="AE318" i="9" s="1"/>
  <c r="AK44" i="20"/>
  <c r="AJ44" i="20" s="1"/>
  <c r="AK320" i="20"/>
  <c r="AK42" i="20"/>
  <c r="AJ42" i="20" s="1"/>
  <c r="AK168" i="20"/>
  <c r="AK317" i="20"/>
  <c r="AK314" i="20"/>
  <c r="AK313" i="20"/>
  <c r="AK310" i="20"/>
  <c r="AK161" i="20"/>
  <c r="AK36" i="20"/>
  <c r="AJ36" i="20" s="1"/>
  <c r="AK34" i="20"/>
  <c r="AJ34" i="20" s="1"/>
  <c r="AK158" i="20"/>
  <c r="AK31" i="20"/>
  <c r="AJ31" i="20" s="1"/>
  <c r="AK305" i="20"/>
  <c r="AK384" i="20"/>
  <c r="AK381" i="20"/>
  <c r="AK28" i="20"/>
  <c r="AJ28" i="20" s="1"/>
  <c r="AK380" i="20"/>
  <c r="AK411" i="20"/>
  <c r="AK376" i="20"/>
  <c r="AK300" i="20"/>
  <c r="AK23" i="20"/>
  <c r="AJ23" i="20" s="1"/>
  <c r="AK21" i="20"/>
  <c r="AJ21" i="20" s="1"/>
  <c r="AK17" i="20"/>
  <c r="AJ17" i="20" s="1"/>
  <c r="AK151" i="20"/>
  <c r="AK150" i="20"/>
  <c r="AK407" i="20"/>
  <c r="AK403" i="20"/>
  <c r="AK400" i="20"/>
  <c r="AK371" i="20"/>
  <c r="AK370" i="20"/>
  <c r="AK368" i="20"/>
  <c r="AK390" i="20"/>
  <c r="AK147" i="20"/>
  <c r="AK9" i="20"/>
  <c r="AJ9" i="20" s="1"/>
  <c r="AK361" i="20"/>
  <c r="AI295" i="20"/>
  <c r="AK43" i="20"/>
  <c r="AJ43" i="20" s="1"/>
  <c r="AK173" i="20"/>
  <c r="AK170" i="20"/>
  <c r="AK167" i="20"/>
  <c r="AK316" i="20"/>
  <c r="AK165" i="20"/>
  <c r="AK312" i="20"/>
  <c r="AK162" i="20"/>
  <c r="AK160" i="20"/>
  <c r="AK309" i="20"/>
  <c r="AK33" i="20"/>
  <c r="AJ33" i="20" s="1"/>
  <c r="AK386" i="20"/>
  <c r="AK157" i="20"/>
  <c r="AK383" i="20"/>
  <c r="AK302" i="20"/>
  <c r="AK27" i="20"/>
  <c r="AJ27" i="20" s="1"/>
  <c r="AK379" i="20"/>
  <c r="AK410" i="20"/>
  <c r="AK375" i="20"/>
  <c r="AK155" i="20"/>
  <c r="AK22" i="20"/>
  <c r="AJ22" i="20" s="1"/>
  <c r="AK20" i="20"/>
  <c r="AJ20" i="20" s="1"/>
  <c r="AK16" i="20"/>
  <c r="AJ16" i="20" s="1"/>
  <c r="AK15" i="20"/>
  <c r="AJ15" i="20" s="1"/>
  <c r="AK149" i="20"/>
  <c r="AK406" i="20"/>
  <c r="AK402" i="20"/>
  <c r="AK399" i="20"/>
  <c r="AK297" i="20"/>
  <c r="AK369" i="20"/>
  <c r="AK393" i="20"/>
  <c r="AK367" i="20"/>
  <c r="AK12" i="20"/>
  <c r="AJ12" i="20" s="1"/>
  <c r="AK8" i="20"/>
  <c r="AJ8" i="20" s="1"/>
  <c r="AK322" i="20"/>
  <c r="AK172" i="20"/>
  <c r="AK319" i="20"/>
  <c r="AK41" i="20"/>
  <c r="AJ41" i="20" s="1"/>
  <c r="AK166" i="20"/>
  <c r="AK40" i="20"/>
  <c r="AJ40" i="20" s="1"/>
  <c r="AK163" i="20"/>
  <c r="AK39" i="20"/>
  <c r="AJ39" i="20" s="1"/>
  <c r="AK38" i="20"/>
  <c r="AJ38" i="20" s="1"/>
  <c r="AK308" i="20"/>
  <c r="AK32" i="20"/>
  <c r="AJ32" i="20" s="1"/>
  <c r="AK307" i="20"/>
  <c r="AK304" i="20"/>
  <c r="AK303" i="20"/>
  <c r="AK156" i="20"/>
  <c r="AK29" i="20"/>
  <c r="AJ29" i="20" s="1"/>
  <c r="AK26" i="20"/>
  <c r="AJ26" i="20" s="1"/>
  <c r="AK412" i="20"/>
  <c r="AK377" i="20"/>
  <c r="AK409" i="20"/>
  <c r="AK154" i="20"/>
  <c r="AK153" i="20"/>
  <c r="AK19" i="20"/>
  <c r="AJ19" i="20" s="1"/>
  <c r="AK14" i="20"/>
  <c r="AJ14" i="20" s="1"/>
  <c r="AK298" i="20"/>
  <c r="AK405" i="20"/>
  <c r="AK373" i="20"/>
  <c r="AK398" i="20"/>
  <c r="AK397" i="20"/>
  <c r="AK395" i="20"/>
  <c r="AK392" i="20"/>
  <c r="AK296" i="20"/>
  <c r="AK11" i="20"/>
  <c r="AJ11" i="20" s="1"/>
  <c r="AK7" i="20"/>
  <c r="AJ7" i="20" s="1"/>
  <c r="AK389" i="20"/>
  <c r="AK5" i="20"/>
  <c r="AJ5" i="20" s="1"/>
  <c r="H5" i="17"/>
  <c r="AE366" i="20"/>
  <c r="AE365" i="9" s="1"/>
  <c r="AK366" i="20"/>
  <c r="AE365" i="20"/>
  <c r="AE364" i="9" s="1"/>
  <c r="AK365" i="20"/>
  <c r="AE364" i="20"/>
  <c r="AE363" i="9" s="1"/>
  <c r="AK364" i="20"/>
  <c r="I363" i="20"/>
  <c r="H364" i="14" s="1"/>
  <c r="S364" i="14" s="1"/>
  <c r="AK363" i="20"/>
  <c r="I388" i="20"/>
  <c r="H389" i="14" s="1"/>
  <c r="S389" i="14" s="1"/>
  <c r="AK388" i="20"/>
  <c r="I387" i="20"/>
  <c r="H388" i="14" s="1"/>
  <c r="S388" i="14" s="1"/>
  <c r="AK387" i="20"/>
  <c r="AJ387" i="20" s="1"/>
  <c r="I362" i="20"/>
  <c r="H363" i="14" s="1"/>
  <c r="S363" i="14" s="1"/>
  <c r="AK362" i="20"/>
  <c r="AK293" i="20"/>
  <c r="AE294" i="20"/>
  <c r="AE293" i="9" s="1"/>
  <c r="W3" i="20"/>
  <c r="AC3" i="20" s="1"/>
  <c r="W29" i="20"/>
  <c r="Q140" i="20"/>
  <c r="Q134" i="20"/>
  <c r="Q130" i="20"/>
  <c r="W126" i="20"/>
  <c r="W111" i="20"/>
  <c r="W59" i="20"/>
  <c r="W191" i="20"/>
  <c r="W21" i="20"/>
  <c r="W144" i="20"/>
  <c r="W139" i="20"/>
  <c r="W133" i="20"/>
  <c r="W129" i="20"/>
  <c r="W125" i="20"/>
  <c r="W292" i="20"/>
  <c r="W118" i="20"/>
  <c r="W114" i="20"/>
  <c r="W106" i="20"/>
  <c r="W100" i="20"/>
  <c r="W234" i="20"/>
  <c r="Q142" i="20"/>
  <c r="Q138" i="20"/>
  <c r="Q132" i="20"/>
  <c r="Q128" i="20"/>
  <c r="W113" i="20"/>
  <c r="W198" i="20"/>
  <c r="W51" i="20"/>
  <c r="W45" i="20"/>
  <c r="W36" i="20"/>
  <c r="Q141" i="20"/>
  <c r="Q137" i="20"/>
  <c r="Q131" i="20"/>
  <c r="W112" i="20"/>
  <c r="U132" i="14"/>
  <c r="U128" i="14"/>
  <c r="U124" i="14"/>
  <c r="W110" i="20"/>
  <c r="Q139" i="20"/>
  <c r="W187" i="20"/>
  <c r="W79" i="20"/>
  <c r="W96" i="20"/>
  <c r="Q129" i="20"/>
  <c r="Q144" i="20"/>
  <c r="Q133" i="20"/>
  <c r="W142" i="20"/>
  <c r="W138" i="20"/>
  <c r="W132" i="20"/>
  <c r="W128" i="20"/>
  <c r="W124" i="20"/>
  <c r="W141" i="20"/>
  <c r="W137" i="20"/>
  <c r="W131" i="20"/>
  <c r="W127" i="20"/>
  <c r="W123" i="20"/>
  <c r="W140" i="20"/>
  <c r="W134" i="20"/>
  <c r="W130" i="20"/>
  <c r="W122" i="20"/>
  <c r="W370" i="20"/>
  <c r="W188" i="20"/>
  <c r="W107" i="20"/>
  <c r="W200" i="20"/>
  <c r="W189" i="20"/>
  <c r="W86" i="20"/>
  <c r="W75" i="20"/>
  <c r="W105" i="20"/>
  <c r="W119" i="20"/>
  <c r="W7" i="20"/>
  <c r="W399" i="20"/>
  <c r="W398" i="20"/>
  <c r="W6" i="20"/>
  <c r="W16" i="20"/>
  <c r="W162" i="20"/>
  <c r="W32" i="20"/>
  <c r="W211" i="20"/>
  <c r="W39" i="20"/>
  <c r="W49" i="20"/>
  <c r="W248" i="20"/>
  <c r="W55" i="20"/>
  <c r="W216" i="20"/>
  <c r="W73" i="20"/>
  <c r="W60" i="20"/>
  <c r="W199" i="20"/>
  <c r="W253" i="20"/>
  <c r="W66" i="20"/>
  <c r="W72" i="20"/>
  <c r="W247" i="20"/>
  <c r="W81" i="20"/>
  <c r="W267" i="20"/>
  <c r="W276" i="20"/>
  <c r="W98" i="20"/>
  <c r="W266" i="20"/>
  <c r="W97" i="20"/>
  <c r="W91" i="20"/>
  <c r="W275" i="20"/>
  <c r="W108" i="20"/>
  <c r="W117" i="20"/>
  <c r="W120" i="20"/>
  <c r="W121" i="20"/>
  <c r="I86" i="2"/>
  <c r="K86" i="2" s="1"/>
  <c r="AY185" i="12"/>
  <c r="S185" i="18" s="1"/>
  <c r="AY190" i="12"/>
  <c r="S190" i="18" s="1"/>
  <c r="AY186" i="12"/>
  <c r="S186" i="18" s="1"/>
  <c r="AY188" i="12"/>
  <c r="S188" i="18" s="1"/>
  <c r="AY192" i="12"/>
  <c r="S192" i="18" s="1"/>
  <c r="AY189" i="12"/>
  <c r="S189" i="18" s="1"/>
  <c r="G189" i="12"/>
  <c r="AF189" i="12"/>
  <c r="AJ189" i="12"/>
  <c r="J189" i="18" s="1"/>
  <c r="AF185" i="12"/>
  <c r="AJ185" i="12"/>
  <c r="J185" i="18" s="1"/>
  <c r="AF188" i="12"/>
  <c r="AJ188" i="12"/>
  <c r="J188" i="18" s="1"/>
  <c r="AF192" i="12"/>
  <c r="AJ192" i="12"/>
  <c r="J192" i="18" s="1"/>
  <c r="AF191" i="12"/>
  <c r="AJ191" i="12"/>
  <c r="J191" i="18" s="1"/>
  <c r="AF187" i="12"/>
  <c r="AJ187" i="12"/>
  <c r="J187" i="18" s="1"/>
  <c r="AJ190" i="12"/>
  <c r="J190" i="18" s="1"/>
  <c r="AF190" i="12"/>
  <c r="AJ186" i="12"/>
  <c r="J186" i="18" s="1"/>
  <c r="AF186" i="12"/>
  <c r="U192" i="12"/>
  <c r="I185" i="18"/>
  <c r="D189" i="10"/>
  <c r="D185" i="10"/>
  <c r="D185" i="13"/>
  <c r="U185" i="12"/>
  <c r="D188" i="10"/>
  <c r="D184" i="10"/>
  <c r="D188" i="13"/>
  <c r="D184" i="13"/>
  <c r="D191" i="10"/>
  <c r="D187" i="10"/>
  <c r="D191" i="13"/>
  <c r="D190" i="10"/>
  <c r="D186" i="10"/>
  <c r="K186" i="12"/>
  <c r="A191" i="13"/>
  <c r="A189" i="13"/>
  <c r="A187" i="13"/>
  <c r="A185" i="13"/>
  <c r="A189" i="18"/>
  <c r="K185" i="18"/>
  <c r="K187" i="18"/>
  <c r="K189" i="18"/>
  <c r="K191" i="18"/>
  <c r="I192" i="18"/>
  <c r="I188" i="18"/>
  <c r="U189" i="12"/>
  <c r="A187" i="18"/>
  <c r="A191" i="18"/>
  <c r="I191" i="18"/>
  <c r="I187" i="18"/>
  <c r="U188" i="12"/>
  <c r="A190" i="13"/>
  <c r="A188" i="13"/>
  <c r="A186" i="13"/>
  <c r="A184" i="13"/>
  <c r="A185" i="18"/>
  <c r="K186" i="18"/>
  <c r="K188" i="18"/>
  <c r="K190" i="18"/>
  <c r="K192" i="18"/>
  <c r="I190" i="18"/>
  <c r="I186" i="18"/>
  <c r="A186" i="18"/>
  <c r="A188" i="18"/>
  <c r="A190" i="18"/>
  <c r="A192" i="18"/>
  <c r="I189" i="18"/>
  <c r="U12" i="15"/>
  <c r="U38" i="15"/>
  <c r="U7" i="15"/>
  <c r="U11" i="15"/>
  <c r="U24" i="15"/>
  <c r="U28" i="15"/>
  <c r="U40" i="15"/>
  <c r="U42" i="15"/>
  <c r="U44" i="15"/>
  <c r="U46" i="15"/>
  <c r="U48" i="15"/>
  <c r="U50" i="15"/>
  <c r="U52" i="15"/>
  <c r="U54" i="15"/>
  <c r="U56" i="15"/>
  <c r="U58" i="15"/>
  <c r="U60" i="15"/>
  <c r="U62" i="15"/>
  <c r="U64" i="15"/>
  <c r="U66" i="15"/>
  <c r="U5" i="15"/>
  <c r="U16" i="15"/>
  <c r="U20" i="15"/>
  <c r="U23" i="15"/>
  <c r="U31" i="15"/>
  <c r="U60" i="10"/>
  <c r="Y60" i="10"/>
  <c r="AK60" i="10" s="1"/>
  <c r="AC60" i="10"/>
  <c r="AO60" i="10" s="1"/>
  <c r="V60" i="10"/>
  <c r="Z60" i="10"/>
  <c r="AL60" i="10" s="1"/>
  <c r="X60" i="10"/>
  <c r="AJ60" i="10" s="1"/>
  <c r="AA60" i="10"/>
  <c r="AM60" i="10" s="1"/>
  <c r="AB60" i="10"/>
  <c r="AN60" i="10" s="1"/>
  <c r="W60" i="10"/>
  <c r="AI60" i="10" s="1"/>
  <c r="U52" i="10"/>
  <c r="Y52" i="10"/>
  <c r="AK52" i="10" s="1"/>
  <c r="U48" i="10"/>
  <c r="Y48" i="10"/>
  <c r="AK48" i="10" s="1"/>
  <c r="AC48" i="10"/>
  <c r="AO48" i="10" s="1"/>
  <c r="V48" i="10"/>
  <c r="Z48" i="10"/>
  <c r="AL48" i="10" s="1"/>
  <c r="W48" i="10"/>
  <c r="AA48" i="10"/>
  <c r="AM48" i="10" s="1"/>
  <c r="X48" i="10"/>
  <c r="AB48" i="10"/>
  <c r="AN48" i="10" s="1"/>
  <c r="U44" i="10"/>
  <c r="Y44" i="10"/>
  <c r="AK44" i="10" s="1"/>
  <c r="AC44" i="10"/>
  <c r="AO44" i="10" s="1"/>
  <c r="V44" i="10"/>
  <c r="Z44" i="10"/>
  <c r="AL44" i="10" s="1"/>
  <c r="W44" i="10"/>
  <c r="AI44" i="10" s="1"/>
  <c r="AA44" i="10"/>
  <c r="AM44" i="10" s="1"/>
  <c r="X44" i="10"/>
  <c r="AJ44" i="10" s="1"/>
  <c r="AB44" i="10"/>
  <c r="AN44" i="10" s="1"/>
  <c r="U40" i="10"/>
  <c r="Y40" i="10"/>
  <c r="AC40" i="10"/>
  <c r="AO40" i="10" s="1"/>
  <c r="V40" i="10"/>
  <c r="Z40" i="10"/>
  <c r="AL40" i="10" s="1"/>
  <c r="W40" i="10"/>
  <c r="AA40" i="10"/>
  <c r="AM40" i="10" s="1"/>
  <c r="X40" i="10"/>
  <c r="AB40" i="10"/>
  <c r="AN40" i="10" s="1"/>
  <c r="U36" i="10"/>
  <c r="Y36" i="10"/>
  <c r="AK36" i="10" s="1"/>
  <c r="AC36" i="10"/>
  <c r="AO36" i="10" s="1"/>
  <c r="V36" i="10"/>
  <c r="Z36" i="10"/>
  <c r="AL36" i="10" s="1"/>
  <c r="W36" i="10"/>
  <c r="AA36" i="10"/>
  <c r="AM36" i="10" s="1"/>
  <c r="X36" i="10"/>
  <c r="AJ36" i="10" s="1"/>
  <c r="AB36" i="10"/>
  <c r="AN36" i="10" s="1"/>
  <c r="U32" i="10"/>
  <c r="Y32" i="10"/>
  <c r="AK32" i="10" s="1"/>
  <c r="AC32" i="10"/>
  <c r="AO32" i="10" s="1"/>
  <c r="V32" i="10"/>
  <c r="AH32" i="10" s="1"/>
  <c r="Z32" i="10"/>
  <c r="AL32" i="10" s="1"/>
  <c r="W32" i="10"/>
  <c r="AI32" i="10" s="1"/>
  <c r="AA32" i="10"/>
  <c r="AM32" i="10" s="1"/>
  <c r="X32" i="10"/>
  <c r="AJ32" i="10" s="1"/>
  <c r="AB32" i="10"/>
  <c r="AN32" i="10" s="1"/>
  <c r="U28" i="10"/>
  <c r="Y28" i="10"/>
  <c r="AK28" i="10" s="1"/>
  <c r="AC28" i="10"/>
  <c r="AO28" i="10" s="1"/>
  <c r="V28" i="10"/>
  <c r="Z28" i="10"/>
  <c r="AL28" i="10" s="1"/>
  <c r="W28" i="10"/>
  <c r="AA28" i="10"/>
  <c r="AM28" i="10" s="1"/>
  <c r="X28" i="10"/>
  <c r="AJ28" i="10" s="1"/>
  <c r="AB28" i="10"/>
  <c r="AN28" i="10" s="1"/>
  <c r="W24" i="10"/>
  <c r="AI24" i="10" s="1"/>
  <c r="AA24" i="10"/>
  <c r="AM24" i="10" s="1"/>
  <c r="X24" i="10"/>
  <c r="AJ24" i="10" s="1"/>
  <c r="AB24" i="10"/>
  <c r="AN24" i="10" s="1"/>
  <c r="Z24" i="10"/>
  <c r="AL24" i="10" s="1"/>
  <c r="U24" i="10"/>
  <c r="AC24" i="10"/>
  <c r="AO24" i="10" s="1"/>
  <c r="V24" i="10"/>
  <c r="Y24" i="10"/>
  <c r="AK24" i="10" s="1"/>
  <c r="W20" i="10"/>
  <c r="AA20" i="10"/>
  <c r="AM20" i="10" s="1"/>
  <c r="X20" i="10"/>
  <c r="AB20" i="10"/>
  <c r="AN20" i="10" s="1"/>
  <c r="V20" i="10"/>
  <c r="Y20" i="10"/>
  <c r="AK20" i="10" s="1"/>
  <c r="Z20" i="10"/>
  <c r="AL20" i="10" s="1"/>
  <c r="U20" i="10"/>
  <c r="AC20" i="10"/>
  <c r="AO20" i="10" s="1"/>
  <c r="W16" i="10"/>
  <c r="AA16" i="10"/>
  <c r="AM16" i="10" s="1"/>
  <c r="X16" i="10"/>
  <c r="AJ16" i="10" s="1"/>
  <c r="AB16" i="10"/>
  <c r="AN16" i="10" s="1"/>
  <c r="Z16" i="10"/>
  <c r="AL16" i="10" s="1"/>
  <c r="U16" i="10"/>
  <c r="AC16" i="10"/>
  <c r="AO16" i="10" s="1"/>
  <c r="V16" i="10"/>
  <c r="Y16" i="10"/>
  <c r="AK16" i="10" s="1"/>
  <c r="W12" i="10"/>
  <c r="AA12" i="10"/>
  <c r="AM12" i="10" s="1"/>
  <c r="X12" i="10"/>
  <c r="AB12" i="10"/>
  <c r="AN12" i="10" s="1"/>
  <c r="V12" i="10"/>
  <c r="Y12" i="10"/>
  <c r="AK12" i="10" s="1"/>
  <c r="Z12" i="10"/>
  <c r="AL12" i="10" s="1"/>
  <c r="U12" i="10"/>
  <c r="AC12" i="10"/>
  <c r="AO12" i="10" s="1"/>
  <c r="W8" i="10"/>
  <c r="AI8" i="10" s="1"/>
  <c r="AA8" i="10"/>
  <c r="AM8" i="10" s="1"/>
  <c r="X8" i="10"/>
  <c r="AJ8" i="10" s="1"/>
  <c r="AB8" i="10"/>
  <c r="AN8" i="10" s="1"/>
  <c r="Z8" i="10"/>
  <c r="AL8" i="10" s="1"/>
  <c r="U8" i="10"/>
  <c r="AC8" i="10"/>
  <c r="AO8" i="10" s="1"/>
  <c r="V8" i="10"/>
  <c r="Y8" i="10"/>
  <c r="AK8" i="10" s="1"/>
  <c r="W4" i="10"/>
  <c r="AA4" i="10"/>
  <c r="X4" i="10"/>
  <c r="AB4" i="10"/>
  <c r="AN4" i="10" s="1"/>
  <c r="V4" i="10"/>
  <c r="Y4" i="10"/>
  <c r="Z4" i="10"/>
  <c r="U4" i="10"/>
  <c r="AC4" i="10"/>
  <c r="AO4" i="10" s="1"/>
  <c r="AA3" i="10"/>
  <c r="AM3" i="10" s="1"/>
  <c r="W3" i="10"/>
  <c r="AI3" i="10" s="1"/>
  <c r="AA57" i="10"/>
  <c r="AM57" i="10" s="1"/>
  <c r="W57" i="10"/>
  <c r="AI57" i="10" s="1"/>
  <c r="AB56" i="10"/>
  <c r="AN56" i="10" s="1"/>
  <c r="X56" i="10"/>
  <c r="AJ56" i="10" s="1"/>
  <c r="AC55" i="10"/>
  <c r="AO55" i="10" s="1"/>
  <c r="Y55" i="10"/>
  <c r="AK55" i="10" s="1"/>
  <c r="U55" i="10"/>
  <c r="Z54" i="10"/>
  <c r="AL54" i="10" s="1"/>
  <c r="V54" i="10"/>
  <c r="AA53" i="10"/>
  <c r="AM53" i="10" s="1"/>
  <c r="W53" i="10"/>
  <c r="AB52" i="10"/>
  <c r="AN52" i="10" s="1"/>
  <c r="W52" i="10"/>
  <c r="AI52" i="10" s="1"/>
  <c r="AC50" i="10"/>
  <c r="AO50" i="10" s="1"/>
  <c r="U50" i="10"/>
  <c r="V59" i="10"/>
  <c r="Z59" i="10"/>
  <c r="AL59" i="10" s="1"/>
  <c r="W59" i="10"/>
  <c r="AA59" i="10"/>
  <c r="AM59" i="10" s="1"/>
  <c r="Y59" i="10"/>
  <c r="AK59" i="10" s="1"/>
  <c r="AB59" i="10"/>
  <c r="AN59" i="10" s="1"/>
  <c r="U59" i="10"/>
  <c r="AC59" i="10"/>
  <c r="AO59" i="10" s="1"/>
  <c r="X59" i="10"/>
  <c r="AJ59" i="10" s="1"/>
  <c r="V51" i="10"/>
  <c r="Z51" i="10"/>
  <c r="AL51" i="10" s="1"/>
  <c r="U51" i="10"/>
  <c r="V47" i="10"/>
  <c r="Z47" i="10"/>
  <c r="AL47" i="10" s="1"/>
  <c r="W47" i="10"/>
  <c r="AA47" i="10"/>
  <c r="AM47" i="10" s="1"/>
  <c r="X47" i="10"/>
  <c r="AJ47" i="10" s="1"/>
  <c r="AB47" i="10"/>
  <c r="AN47" i="10" s="1"/>
  <c r="U47" i="10"/>
  <c r="Y47" i="10"/>
  <c r="AK47" i="10" s="1"/>
  <c r="AC47" i="10"/>
  <c r="AO47" i="10" s="1"/>
  <c r="V43" i="10"/>
  <c r="Z43" i="10"/>
  <c r="AL43" i="10" s="1"/>
  <c r="W43" i="10"/>
  <c r="AA43" i="10"/>
  <c r="AM43" i="10" s="1"/>
  <c r="X43" i="10"/>
  <c r="AB43" i="10"/>
  <c r="AN43" i="10" s="1"/>
  <c r="U43" i="10"/>
  <c r="Y43" i="10"/>
  <c r="AK43" i="10" s="1"/>
  <c r="AC43" i="10"/>
  <c r="AO43" i="10" s="1"/>
  <c r="V39" i="10"/>
  <c r="Z39" i="10"/>
  <c r="AL39" i="10" s="1"/>
  <c r="W39" i="10"/>
  <c r="AI39" i="10" s="1"/>
  <c r="AA39" i="10"/>
  <c r="AM39" i="10" s="1"/>
  <c r="X39" i="10"/>
  <c r="AJ39" i="10" s="1"/>
  <c r="AB39" i="10"/>
  <c r="AN39" i="10" s="1"/>
  <c r="U39" i="10"/>
  <c r="Y39" i="10"/>
  <c r="AK39" i="10" s="1"/>
  <c r="AC39" i="10"/>
  <c r="AO39" i="10" s="1"/>
  <c r="V35" i="10"/>
  <c r="Z35" i="10"/>
  <c r="AL35" i="10" s="1"/>
  <c r="W35" i="10"/>
  <c r="AA35" i="10"/>
  <c r="AM35" i="10" s="1"/>
  <c r="X35" i="10"/>
  <c r="AB35" i="10"/>
  <c r="AN35" i="10" s="1"/>
  <c r="U35" i="10"/>
  <c r="Y35" i="10"/>
  <c r="AK35" i="10" s="1"/>
  <c r="AC35" i="10"/>
  <c r="AO35" i="10" s="1"/>
  <c r="V31" i="10"/>
  <c r="Z31" i="10"/>
  <c r="AL31" i="10" s="1"/>
  <c r="W31" i="10"/>
  <c r="AI31" i="10" s="1"/>
  <c r="AA31" i="10"/>
  <c r="AM31" i="10" s="1"/>
  <c r="X31" i="10"/>
  <c r="AJ31" i="10" s="1"/>
  <c r="AB31" i="10"/>
  <c r="AN31" i="10" s="1"/>
  <c r="U31" i="10"/>
  <c r="Y31" i="10"/>
  <c r="AK31" i="10" s="1"/>
  <c r="AC31" i="10"/>
  <c r="AO31" i="10" s="1"/>
  <c r="V27" i="10"/>
  <c r="AH27" i="10" s="1"/>
  <c r="Z27" i="10"/>
  <c r="AL27" i="10" s="1"/>
  <c r="W27" i="10"/>
  <c r="AI27" i="10" s="1"/>
  <c r="AA27" i="10"/>
  <c r="AM27" i="10" s="1"/>
  <c r="X27" i="10"/>
  <c r="AJ27" i="10" s="1"/>
  <c r="AB27" i="10"/>
  <c r="AN27" i="10" s="1"/>
  <c r="U27" i="10"/>
  <c r="Y27" i="10"/>
  <c r="AK27" i="10" s="1"/>
  <c r="AC27" i="10"/>
  <c r="AO27" i="10" s="1"/>
  <c r="X23" i="10"/>
  <c r="AJ23" i="10" s="1"/>
  <c r="AB23" i="10"/>
  <c r="AN23" i="10" s="1"/>
  <c r="U23" i="10"/>
  <c r="Y23" i="10"/>
  <c r="AK23" i="10" s="1"/>
  <c r="AC23" i="10"/>
  <c r="AO23" i="10" s="1"/>
  <c r="AA23" i="10"/>
  <c r="AM23" i="10" s="1"/>
  <c r="V23" i="10"/>
  <c r="AH23" i="10" s="1"/>
  <c r="W23" i="10"/>
  <c r="AI23" i="10" s="1"/>
  <c r="Z23" i="10"/>
  <c r="AL23" i="10" s="1"/>
  <c r="X19" i="10"/>
  <c r="AJ19" i="10" s="1"/>
  <c r="AB19" i="10"/>
  <c r="AN19" i="10" s="1"/>
  <c r="U19" i="10"/>
  <c r="Y19" i="10"/>
  <c r="AK19" i="10" s="1"/>
  <c r="AC19" i="10"/>
  <c r="AO19" i="10" s="1"/>
  <c r="W19" i="10"/>
  <c r="Z19" i="10"/>
  <c r="AL19" i="10" s="1"/>
  <c r="AA19" i="10"/>
  <c r="AM19" i="10" s="1"/>
  <c r="V19" i="10"/>
  <c r="X15" i="10"/>
  <c r="AJ15" i="10" s="1"/>
  <c r="AB15" i="10"/>
  <c r="AN15" i="10" s="1"/>
  <c r="U15" i="10"/>
  <c r="Y15" i="10"/>
  <c r="AK15" i="10" s="1"/>
  <c r="AC15" i="10"/>
  <c r="AO15" i="10" s="1"/>
  <c r="AA15" i="10"/>
  <c r="AM15" i="10" s="1"/>
  <c r="V15" i="10"/>
  <c r="W15" i="10"/>
  <c r="AI15" i="10" s="1"/>
  <c r="Z15" i="10"/>
  <c r="AL15" i="10" s="1"/>
  <c r="X11" i="10"/>
  <c r="AB11" i="10"/>
  <c r="U11" i="10"/>
  <c r="Y11" i="10"/>
  <c r="AC11" i="10"/>
  <c r="W11" i="10"/>
  <c r="Z11" i="10"/>
  <c r="AA11" i="10"/>
  <c r="V11" i="10"/>
  <c r="X7" i="10"/>
  <c r="AB7" i="10"/>
  <c r="U7" i="10"/>
  <c r="Y7" i="10"/>
  <c r="AC7" i="10"/>
  <c r="AO7" i="10" s="1"/>
  <c r="AA7" i="10"/>
  <c r="V7" i="10"/>
  <c r="W7" i="10"/>
  <c r="Z7" i="10"/>
  <c r="U3" i="10"/>
  <c r="Z3" i="10"/>
  <c r="AL3" i="10" s="1"/>
  <c r="V3" i="10"/>
  <c r="AH3" i="10" s="1"/>
  <c r="Z57" i="10"/>
  <c r="AL57" i="10" s="1"/>
  <c r="V57" i="10"/>
  <c r="AH57" i="10" s="1"/>
  <c r="AA56" i="10"/>
  <c r="AM56" i="10" s="1"/>
  <c r="W56" i="10"/>
  <c r="AI56" i="10" s="1"/>
  <c r="AB55" i="10"/>
  <c r="AN55" i="10" s="1"/>
  <c r="X55" i="10"/>
  <c r="AJ55" i="10" s="1"/>
  <c r="AC54" i="10"/>
  <c r="AO54" i="10" s="1"/>
  <c r="Y54" i="10"/>
  <c r="AK54" i="10" s="1"/>
  <c r="U54" i="10"/>
  <c r="Z53" i="10"/>
  <c r="AL53" i="10" s="1"/>
  <c r="V53" i="10"/>
  <c r="AA52" i="10"/>
  <c r="AM52" i="10" s="1"/>
  <c r="V52" i="10"/>
  <c r="Y51" i="10"/>
  <c r="AK51" i="10" s="1"/>
  <c r="AC49" i="10"/>
  <c r="AO49" i="10" s="1"/>
  <c r="W58" i="10"/>
  <c r="AI58" i="10" s="1"/>
  <c r="AA58" i="10"/>
  <c r="AM58" i="10" s="1"/>
  <c r="X58" i="10"/>
  <c r="AJ58" i="10" s="1"/>
  <c r="AB58" i="10"/>
  <c r="AN58" i="10" s="1"/>
  <c r="U58" i="10"/>
  <c r="Y58" i="10"/>
  <c r="AK58" i="10" s="1"/>
  <c r="V58" i="10"/>
  <c r="Z58" i="10"/>
  <c r="AL58" i="10" s="1"/>
  <c r="AC58" i="10"/>
  <c r="AO58" i="10" s="1"/>
  <c r="W50" i="10"/>
  <c r="AI50" i="10" s="1"/>
  <c r="AA50" i="10"/>
  <c r="AM50" i="10" s="1"/>
  <c r="V50" i="10"/>
  <c r="AH50" i="10" s="1"/>
  <c r="Z50" i="10"/>
  <c r="AL50" i="10" s="1"/>
  <c r="W46" i="10"/>
  <c r="AA46" i="10"/>
  <c r="AM46" i="10" s="1"/>
  <c r="X46" i="10"/>
  <c r="AJ46" i="10" s="1"/>
  <c r="AB46" i="10"/>
  <c r="AN46" i="10" s="1"/>
  <c r="U46" i="10"/>
  <c r="Y46" i="10"/>
  <c r="AK46" i="10" s="1"/>
  <c r="AC46" i="10"/>
  <c r="AO46" i="10" s="1"/>
  <c r="V46" i="10"/>
  <c r="Z46" i="10"/>
  <c r="AL46" i="10" s="1"/>
  <c r="W42" i="10"/>
  <c r="AA42" i="10"/>
  <c r="AM42" i="10" s="1"/>
  <c r="X42" i="10"/>
  <c r="AJ42" i="10" s="1"/>
  <c r="AB42" i="10"/>
  <c r="AN42" i="10" s="1"/>
  <c r="U42" i="10"/>
  <c r="Y42" i="10"/>
  <c r="AK42" i="10" s="1"/>
  <c r="AC42" i="10"/>
  <c r="AO42" i="10" s="1"/>
  <c r="V42" i="10"/>
  <c r="Z42" i="10"/>
  <c r="AL42" i="10" s="1"/>
  <c r="W38" i="10"/>
  <c r="AA38" i="10"/>
  <c r="AM38" i="10" s="1"/>
  <c r="X38" i="10"/>
  <c r="AB38" i="10"/>
  <c r="AN38" i="10" s="1"/>
  <c r="U38" i="10"/>
  <c r="Y38" i="10"/>
  <c r="AC38" i="10"/>
  <c r="AO38" i="10" s="1"/>
  <c r="V38" i="10"/>
  <c r="Z38" i="10"/>
  <c r="W34" i="10"/>
  <c r="AA34" i="10"/>
  <c r="AM34" i="10" s="1"/>
  <c r="X34" i="10"/>
  <c r="AB34" i="10"/>
  <c r="AN34" i="10" s="1"/>
  <c r="U34" i="10"/>
  <c r="Y34" i="10"/>
  <c r="AK34" i="10" s="1"/>
  <c r="AC34" i="10"/>
  <c r="AO34" i="10" s="1"/>
  <c r="V34" i="10"/>
  <c r="Z34" i="10"/>
  <c r="AL34" i="10" s="1"/>
  <c r="W30" i="10"/>
  <c r="AI30" i="10" s="1"/>
  <c r="AA30" i="10"/>
  <c r="AM30" i="10" s="1"/>
  <c r="X30" i="10"/>
  <c r="AJ30" i="10" s="1"/>
  <c r="AB30" i="10"/>
  <c r="AN30" i="10" s="1"/>
  <c r="U30" i="10"/>
  <c r="Y30" i="10"/>
  <c r="AK30" i="10" s="1"/>
  <c r="AC30" i="10"/>
  <c r="AO30" i="10" s="1"/>
  <c r="V30" i="10"/>
  <c r="AH30" i="10" s="1"/>
  <c r="Z30" i="10"/>
  <c r="AL30" i="10" s="1"/>
  <c r="U26" i="10"/>
  <c r="W26" i="10"/>
  <c r="AA26" i="10"/>
  <c r="AM26" i="10" s="1"/>
  <c r="X26" i="10"/>
  <c r="AB26" i="10"/>
  <c r="AN26" i="10" s="1"/>
  <c r="Y26" i="10"/>
  <c r="AC26" i="10"/>
  <c r="AO26" i="10" s="1"/>
  <c r="V26" i="10"/>
  <c r="Z26" i="10"/>
  <c r="U22" i="10"/>
  <c r="Y22" i="10"/>
  <c r="AK22" i="10" s="1"/>
  <c r="AC22" i="10"/>
  <c r="AO22" i="10" s="1"/>
  <c r="V22" i="10"/>
  <c r="AH22" i="10" s="1"/>
  <c r="Z22" i="10"/>
  <c r="AL22" i="10" s="1"/>
  <c r="AB22" i="10"/>
  <c r="AN22" i="10" s="1"/>
  <c r="W22" i="10"/>
  <c r="AI22" i="10" s="1"/>
  <c r="X22" i="10"/>
  <c r="AJ22" i="10" s="1"/>
  <c r="AA22" i="10"/>
  <c r="AM22" i="10" s="1"/>
  <c r="U18" i="10"/>
  <c r="Y18" i="10"/>
  <c r="AC18" i="10"/>
  <c r="AO18" i="10" s="1"/>
  <c r="V18" i="10"/>
  <c r="Z18" i="10"/>
  <c r="AL18" i="10" s="1"/>
  <c r="X18" i="10"/>
  <c r="AA18" i="10"/>
  <c r="AM18" i="10" s="1"/>
  <c r="AB18" i="10"/>
  <c r="AN18" i="10" s="1"/>
  <c r="W18" i="10"/>
  <c r="U14" i="10"/>
  <c r="Y14" i="10"/>
  <c r="AK14" i="10" s="1"/>
  <c r="AC14" i="10"/>
  <c r="AO14" i="10" s="1"/>
  <c r="V14" i="10"/>
  <c r="Z14" i="10"/>
  <c r="AL14" i="10" s="1"/>
  <c r="AB14" i="10"/>
  <c r="AN14" i="10" s="1"/>
  <c r="W14" i="10"/>
  <c r="X14" i="10"/>
  <c r="AA14" i="10"/>
  <c r="AM14" i="10" s="1"/>
  <c r="U10" i="10"/>
  <c r="Y10" i="10"/>
  <c r="AC10" i="10"/>
  <c r="AO10" i="10" s="1"/>
  <c r="V10" i="10"/>
  <c r="Z10" i="10"/>
  <c r="X10" i="10"/>
  <c r="AA10" i="10"/>
  <c r="AB10" i="10"/>
  <c r="AN10" i="10" s="1"/>
  <c r="W10" i="10"/>
  <c r="U6" i="10"/>
  <c r="Y6" i="10"/>
  <c r="AC6" i="10"/>
  <c r="AO6" i="10" s="1"/>
  <c r="V6" i="10"/>
  <c r="Z6" i="10"/>
  <c r="AB6" i="10"/>
  <c r="AN6" i="10" s="1"/>
  <c r="W6" i="10"/>
  <c r="X6" i="10"/>
  <c r="AA6" i="10"/>
  <c r="AC3" i="10"/>
  <c r="AO3" i="10" s="1"/>
  <c r="Y3" i="10"/>
  <c r="AK3" i="10" s="1"/>
  <c r="AC57" i="10"/>
  <c r="AO57" i="10" s="1"/>
  <c r="Y57" i="10"/>
  <c r="AK57" i="10" s="1"/>
  <c r="U57" i="10"/>
  <c r="Z56" i="10"/>
  <c r="AL56" i="10" s="1"/>
  <c r="V56" i="10"/>
  <c r="AA55" i="10"/>
  <c r="AM55" i="10" s="1"/>
  <c r="W55" i="10"/>
  <c r="AI55" i="10" s="1"/>
  <c r="AB54" i="10"/>
  <c r="AN54" i="10" s="1"/>
  <c r="X54" i="10"/>
  <c r="AJ54" i="10" s="1"/>
  <c r="AC53" i="10"/>
  <c r="AO53" i="10" s="1"/>
  <c r="Y53" i="10"/>
  <c r="AK53" i="10" s="1"/>
  <c r="U53" i="10"/>
  <c r="Z52" i="10"/>
  <c r="AL52" i="10" s="1"/>
  <c r="AC51" i="10"/>
  <c r="AO51" i="10" s="1"/>
  <c r="X51" i="10"/>
  <c r="AJ51" i="10" s="1"/>
  <c r="Y50" i="10"/>
  <c r="AK50" i="10" s="1"/>
  <c r="X61" i="10"/>
  <c r="AJ61" i="10" s="1"/>
  <c r="AB61" i="10"/>
  <c r="AN61" i="10" s="1"/>
  <c r="U61" i="10"/>
  <c r="Y61" i="10"/>
  <c r="AK61" i="10" s="1"/>
  <c r="AC61" i="10"/>
  <c r="AO61" i="10" s="1"/>
  <c r="W61" i="10"/>
  <c r="AI61" i="10" s="1"/>
  <c r="Z61" i="10"/>
  <c r="AL61" i="10" s="1"/>
  <c r="AA61" i="10"/>
  <c r="AM61" i="10" s="1"/>
  <c r="V61" i="10"/>
  <c r="X49" i="10"/>
  <c r="AJ49" i="10" s="1"/>
  <c r="AB49" i="10"/>
  <c r="AN49" i="10" s="1"/>
  <c r="U49" i="10"/>
  <c r="Y49" i="10"/>
  <c r="AK49" i="10" s="1"/>
  <c r="V49" i="10"/>
  <c r="W49" i="10"/>
  <c r="AA49" i="10"/>
  <c r="AM49" i="10" s="1"/>
  <c r="X45" i="10"/>
  <c r="AJ45" i="10" s="1"/>
  <c r="AB45" i="10"/>
  <c r="AN45" i="10" s="1"/>
  <c r="U45" i="10"/>
  <c r="Y45" i="10"/>
  <c r="AK45" i="10" s="1"/>
  <c r="AC45" i="10"/>
  <c r="AO45" i="10" s="1"/>
  <c r="V45" i="10"/>
  <c r="AH45" i="10" s="1"/>
  <c r="Z45" i="10"/>
  <c r="AL45" i="10" s="1"/>
  <c r="W45" i="10"/>
  <c r="AI45" i="10" s="1"/>
  <c r="AA45" i="10"/>
  <c r="AM45" i="10" s="1"/>
  <c r="X41" i="10"/>
  <c r="AJ41" i="10" s="1"/>
  <c r="AB41" i="10"/>
  <c r="AN41" i="10" s="1"/>
  <c r="U41" i="10"/>
  <c r="Y41" i="10"/>
  <c r="AK41" i="10" s="1"/>
  <c r="AC41" i="10"/>
  <c r="AO41" i="10" s="1"/>
  <c r="V41" i="10"/>
  <c r="Z41" i="10"/>
  <c r="AL41" i="10" s="1"/>
  <c r="W41" i="10"/>
  <c r="AI41" i="10" s="1"/>
  <c r="AA41" i="10"/>
  <c r="AM41" i="10" s="1"/>
  <c r="X37" i="10"/>
  <c r="AJ37" i="10" s="1"/>
  <c r="AB37" i="10"/>
  <c r="AN37" i="10" s="1"/>
  <c r="U37" i="10"/>
  <c r="Y37" i="10"/>
  <c r="AK37" i="10" s="1"/>
  <c r="AC37" i="10"/>
  <c r="AO37" i="10" s="1"/>
  <c r="V37" i="10"/>
  <c r="Z37" i="10"/>
  <c r="AL37" i="10" s="1"/>
  <c r="W37" i="10"/>
  <c r="AI37" i="10" s="1"/>
  <c r="AA37" i="10"/>
  <c r="AM37" i="10" s="1"/>
  <c r="X33" i="10"/>
  <c r="AB33" i="10"/>
  <c r="AN33" i="10" s="1"/>
  <c r="U33" i="10"/>
  <c r="Y33" i="10"/>
  <c r="AK33" i="10" s="1"/>
  <c r="AC33" i="10"/>
  <c r="AO33" i="10" s="1"/>
  <c r="V33" i="10"/>
  <c r="Z33" i="10"/>
  <c r="AL33" i="10" s="1"/>
  <c r="W33" i="10"/>
  <c r="AA33" i="10"/>
  <c r="AM33" i="10" s="1"/>
  <c r="X29" i="10"/>
  <c r="AJ29" i="10" s="1"/>
  <c r="AB29" i="10"/>
  <c r="AN29" i="10" s="1"/>
  <c r="U29" i="10"/>
  <c r="Y29" i="10"/>
  <c r="AK29" i="10" s="1"/>
  <c r="AC29" i="10"/>
  <c r="AO29" i="10" s="1"/>
  <c r="V29" i="10"/>
  <c r="Z29" i="10"/>
  <c r="AL29" i="10" s="1"/>
  <c r="W29" i="10"/>
  <c r="AI29" i="10" s="1"/>
  <c r="AA29" i="10"/>
  <c r="AM29" i="10" s="1"/>
  <c r="V25" i="10"/>
  <c r="Z25" i="10"/>
  <c r="AL25" i="10" s="1"/>
  <c r="W25" i="10"/>
  <c r="AA25" i="10"/>
  <c r="AM25" i="10" s="1"/>
  <c r="Y25" i="10"/>
  <c r="AB25" i="10"/>
  <c r="AN25" i="10" s="1"/>
  <c r="U25" i="10"/>
  <c r="AC25" i="10"/>
  <c r="AO25" i="10" s="1"/>
  <c r="X25" i="10"/>
  <c r="V21" i="10"/>
  <c r="Z21" i="10"/>
  <c r="AL21" i="10" s="1"/>
  <c r="W21" i="10"/>
  <c r="AA21" i="10"/>
  <c r="AM21" i="10" s="1"/>
  <c r="U21" i="10"/>
  <c r="AC21" i="10"/>
  <c r="AO21" i="10" s="1"/>
  <c r="X21" i="10"/>
  <c r="Y21" i="10"/>
  <c r="AB21" i="10"/>
  <c r="AN21" i="10" s="1"/>
  <c r="V17" i="10"/>
  <c r="Z17" i="10"/>
  <c r="AL17" i="10" s="1"/>
  <c r="W17" i="10"/>
  <c r="AA17" i="10"/>
  <c r="AM17" i="10" s="1"/>
  <c r="Y17" i="10"/>
  <c r="AK17" i="10" s="1"/>
  <c r="AB17" i="10"/>
  <c r="AN17" i="10" s="1"/>
  <c r="U17" i="10"/>
  <c r="AC17" i="10"/>
  <c r="AO17" i="10" s="1"/>
  <c r="X17" i="10"/>
  <c r="AJ17" i="10" s="1"/>
  <c r="V13" i="10"/>
  <c r="AH13" i="10" s="1"/>
  <c r="Z13" i="10"/>
  <c r="AL13" i="10" s="1"/>
  <c r="W13" i="10"/>
  <c r="AI13" i="10" s="1"/>
  <c r="AA13" i="10"/>
  <c r="AM13" i="10" s="1"/>
  <c r="U13" i="10"/>
  <c r="AC13" i="10"/>
  <c r="AO13" i="10" s="1"/>
  <c r="X13" i="10"/>
  <c r="AJ13" i="10" s="1"/>
  <c r="Y13" i="10"/>
  <c r="AK13" i="10" s="1"/>
  <c r="AB13" i="10"/>
  <c r="AN13" i="10" s="1"/>
  <c r="V9" i="10"/>
  <c r="Z9" i="10"/>
  <c r="W9" i="10"/>
  <c r="AA9" i="10"/>
  <c r="Y9" i="10"/>
  <c r="AB9" i="10"/>
  <c r="U9" i="10"/>
  <c r="AC9" i="10"/>
  <c r="AO9" i="10" s="1"/>
  <c r="X9" i="10"/>
  <c r="V5" i="10"/>
  <c r="AH5" i="10" s="1"/>
  <c r="Z5" i="10"/>
  <c r="AL5" i="10" s="1"/>
  <c r="W5" i="10"/>
  <c r="AI5" i="10" s="1"/>
  <c r="AA5" i="10"/>
  <c r="AM5" i="10" s="1"/>
  <c r="U5" i="10"/>
  <c r="AC5" i="10"/>
  <c r="AO5" i="10" s="1"/>
  <c r="X5" i="10"/>
  <c r="AJ5" i="10" s="1"/>
  <c r="Y5" i="10"/>
  <c r="AK5" i="10" s="1"/>
  <c r="AB5" i="10"/>
  <c r="AN5" i="10" s="1"/>
  <c r="AB3" i="10"/>
  <c r="AN3" i="10" s="1"/>
  <c r="AB57" i="10"/>
  <c r="AN57" i="10" s="1"/>
  <c r="AC56" i="10"/>
  <c r="AO56" i="10" s="1"/>
  <c r="Y56" i="10"/>
  <c r="AK56" i="10" s="1"/>
  <c r="Z55" i="10"/>
  <c r="AL55" i="10" s="1"/>
  <c r="AA54" i="10"/>
  <c r="AM54" i="10" s="1"/>
  <c r="AB53" i="10"/>
  <c r="AN53" i="10" s="1"/>
  <c r="AC52" i="10"/>
  <c r="AO52" i="10" s="1"/>
  <c r="X52" i="10"/>
  <c r="AJ52" i="10" s="1"/>
  <c r="AB51" i="10"/>
  <c r="AN51" i="10" s="1"/>
  <c r="W51" i="10"/>
  <c r="X50" i="10"/>
  <c r="AJ50" i="10" s="1"/>
  <c r="U38" i="14"/>
  <c r="U34" i="14"/>
  <c r="U30" i="14"/>
  <c r="U26" i="14"/>
  <c r="U22" i="14"/>
  <c r="U18" i="14"/>
  <c r="U14" i="14"/>
  <c r="U10" i="14"/>
  <c r="U6" i="14"/>
  <c r="U66" i="14"/>
  <c r="U62" i="14"/>
  <c r="U58" i="14"/>
  <c r="U54" i="14"/>
  <c r="U50" i="14"/>
  <c r="U46" i="14"/>
  <c r="U42" i="14"/>
  <c r="A190" i="10"/>
  <c r="B191" i="12"/>
  <c r="F191" i="12" s="1"/>
  <c r="G191" i="12"/>
  <c r="C191" i="12"/>
  <c r="E191" i="12"/>
  <c r="H191" i="12"/>
  <c r="L191" i="12"/>
  <c r="D191" i="12"/>
  <c r="U191" i="12"/>
  <c r="I191" i="12"/>
  <c r="D191" i="18" s="1"/>
  <c r="K191" i="12"/>
  <c r="A186" i="10"/>
  <c r="B187" i="12"/>
  <c r="F187" i="12" s="1"/>
  <c r="L187" i="12"/>
  <c r="G187" i="12"/>
  <c r="E187" i="12"/>
  <c r="H187" i="12"/>
  <c r="C187" i="12"/>
  <c r="D187" i="12"/>
  <c r="U187" i="12"/>
  <c r="I187" i="12"/>
  <c r="D187" i="18" s="1"/>
  <c r="K187" i="12"/>
  <c r="A189" i="10"/>
  <c r="B190" i="12"/>
  <c r="C190" i="12"/>
  <c r="E190" i="12"/>
  <c r="H190" i="12"/>
  <c r="L190" i="12"/>
  <c r="D190" i="12"/>
  <c r="F190" i="12"/>
  <c r="U190" i="12"/>
  <c r="I190" i="12"/>
  <c r="D190" i="18" s="1"/>
  <c r="G190" i="12"/>
  <c r="A185" i="10"/>
  <c r="B186" i="12"/>
  <c r="F186" i="12" s="1"/>
  <c r="E186" i="12"/>
  <c r="H186" i="12"/>
  <c r="C186" i="12"/>
  <c r="D186" i="12"/>
  <c r="L186" i="12"/>
  <c r="U186" i="12"/>
  <c r="G186" i="12"/>
  <c r="I186" i="12"/>
  <c r="D186" i="18" s="1"/>
  <c r="K190" i="12"/>
  <c r="I192" i="12"/>
  <c r="D192" i="18" s="1"/>
  <c r="I188" i="12"/>
  <c r="D188" i="18" s="1"/>
  <c r="H189" i="12"/>
  <c r="H188" i="12"/>
  <c r="A188" i="10"/>
  <c r="L189" i="12"/>
  <c r="B189" i="12"/>
  <c r="F189" i="12" s="1"/>
  <c r="D189" i="12"/>
  <c r="C189" i="12"/>
  <c r="E189" i="12"/>
  <c r="A184" i="10"/>
  <c r="L185" i="12"/>
  <c r="C185" i="12"/>
  <c r="D185" i="12"/>
  <c r="B185" i="12"/>
  <c r="F185" i="12" s="1"/>
  <c r="E185" i="12"/>
  <c r="K189" i="12"/>
  <c r="K185" i="12"/>
  <c r="H185" i="12"/>
  <c r="A187" i="10"/>
  <c r="L188" i="12"/>
  <c r="C188" i="12"/>
  <c r="D188" i="12"/>
  <c r="G188" i="12"/>
  <c r="E188" i="12"/>
  <c r="B188" i="12"/>
  <c r="F188" i="12" s="1"/>
  <c r="A191" i="10"/>
  <c r="L192" i="12"/>
  <c r="D192" i="12"/>
  <c r="B192" i="12"/>
  <c r="F192" i="12" s="1"/>
  <c r="G192" i="12"/>
  <c r="C192" i="12"/>
  <c r="E192" i="12"/>
  <c r="K192" i="12"/>
  <c r="K188" i="12"/>
  <c r="I189" i="12"/>
  <c r="D189" i="18" s="1"/>
  <c r="I185" i="12"/>
  <c r="D185" i="18" s="1"/>
  <c r="H192" i="12"/>
  <c r="G185" i="12"/>
  <c r="X192" i="2"/>
  <c r="X189" i="2"/>
  <c r="V191" i="2"/>
  <c r="V190" i="2"/>
  <c r="X190" i="2" s="1"/>
  <c r="V187" i="2"/>
  <c r="V188" i="2"/>
  <c r="X186" i="2"/>
  <c r="U72" i="17"/>
  <c r="U41" i="17"/>
  <c r="U49" i="17"/>
  <c r="U80" i="17"/>
  <c r="R111" i="17"/>
  <c r="U64" i="17"/>
  <c r="U23" i="17"/>
  <c r="R8" i="17"/>
  <c r="R13" i="17"/>
  <c r="R48" i="17"/>
  <c r="U56" i="17"/>
  <c r="R58" i="17"/>
  <c r="U68" i="17"/>
  <c r="U76" i="17"/>
  <c r="U84" i="17"/>
  <c r="U85" i="17"/>
  <c r="U31" i="17"/>
  <c r="R32" i="17"/>
  <c r="U52" i="17"/>
  <c r="R54" i="17"/>
  <c r="R22" i="17"/>
  <c r="U118" i="17"/>
  <c r="R9" i="17"/>
  <c r="R15" i="17"/>
  <c r="U16" i="17"/>
  <c r="R23" i="17"/>
  <c r="R39" i="17"/>
  <c r="R97" i="17"/>
  <c r="R98" i="17"/>
  <c r="R6" i="17"/>
  <c r="R16" i="17"/>
  <c r="R25" i="17"/>
  <c r="R30" i="17"/>
  <c r="R7" i="17"/>
  <c r="R12" i="17"/>
  <c r="R21" i="17"/>
  <c r="U32" i="17"/>
  <c r="R37" i="17"/>
  <c r="U44" i="17"/>
  <c r="R45" i="17"/>
  <c r="U61" i="17"/>
  <c r="R89" i="17"/>
  <c r="R90" i="17"/>
  <c r="R105" i="17"/>
  <c r="R106" i="17"/>
  <c r="R112" i="17"/>
  <c r="R119" i="17"/>
  <c r="R130" i="17"/>
  <c r="R142" i="17"/>
  <c r="R137" i="17"/>
  <c r="U115" i="17"/>
  <c r="U119" i="17"/>
  <c r="U5" i="17"/>
  <c r="U14" i="17"/>
  <c r="P27" i="17"/>
  <c r="U42" i="17"/>
  <c r="U43" i="17"/>
  <c r="U62" i="17"/>
  <c r="U63" i="17"/>
  <c r="U67" i="17"/>
  <c r="U71" i="17"/>
  <c r="U75" i="17"/>
  <c r="U79" i="17"/>
  <c r="U83" i="17"/>
  <c r="U87" i="17"/>
  <c r="U95" i="17"/>
  <c r="U103" i="17"/>
  <c r="U112" i="17"/>
  <c r="U6" i="17"/>
  <c r="U7" i="17"/>
  <c r="U8" i="17"/>
  <c r="U9" i="17"/>
  <c r="R10" i="17"/>
  <c r="U10" i="17"/>
  <c r="U12" i="17"/>
  <c r="U13" i="17"/>
  <c r="U15" i="17"/>
  <c r="P17" i="17"/>
  <c r="R18" i="17"/>
  <c r="P19" i="17"/>
  <c r="U21" i="17"/>
  <c r="U22" i="17"/>
  <c r="U25" i="17"/>
  <c r="U30" i="17"/>
  <c r="R33" i="17"/>
  <c r="U35" i="17"/>
  <c r="U38" i="17"/>
  <c r="U39" i="17"/>
  <c r="R41" i="17"/>
  <c r="R44" i="17"/>
  <c r="U48" i="17"/>
  <c r="R50" i="17"/>
  <c r="U53" i="17"/>
  <c r="U54" i="17"/>
  <c r="U57" i="17"/>
  <c r="U58" i="17"/>
  <c r="U59" i="17"/>
  <c r="R61" i="17"/>
  <c r="R64" i="17"/>
  <c r="R65" i="17"/>
  <c r="R68" i="17"/>
  <c r="R69" i="17"/>
  <c r="R72" i="17"/>
  <c r="R73" i="17"/>
  <c r="R76" i="17"/>
  <c r="R77" i="17"/>
  <c r="R80" i="17"/>
  <c r="R81" i="17"/>
  <c r="R84" i="17"/>
  <c r="R85" i="17"/>
  <c r="R86" i="17"/>
  <c r="R88" i="17"/>
  <c r="U88" i="17"/>
  <c r="U90" i="17"/>
  <c r="U93" i="17"/>
  <c r="R96" i="17"/>
  <c r="U96" i="17"/>
  <c r="U98" i="17"/>
  <c r="U101" i="17"/>
  <c r="R104" i="17"/>
  <c r="U104" i="17"/>
  <c r="U106" i="17"/>
  <c r="U109" i="17"/>
  <c r="U111" i="17"/>
  <c r="R114" i="17"/>
  <c r="U114" i="17"/>
  <c r="R116" i="17"/>
  <c r="R120" i="17"/>
  <c r="R17" i="17"/>
  <c r="U18" i="17"/>
  <c r="R19" i="17"/>
  <c r="R27" i="17"/>
  <c r="U27" i="17"/>
  <c r="R28" i="17"/>
  <c r="P29" i="17"/>
  <c r="U34" i="17"/>
  <c r="R35" i="17"/>
  <c r="R36" i="17"/>
  <c r="R40" i="17"/>
  <c r="R46" i="17"/>
  <c r="U50" i="17"/>
  <c r="U51" i="17"/>
  <c r="R53" i="17"/>
  <c r="R55" i="17"/>
  <c r="U55" i="17"/>
  <c r="R57" i="17"/>
  <c r="R60" i="17"/>
  <c r="R66" i="17"/>
  <c r="R70" i="17"/>
  <c r="R74" i="17"/>
  <c r="R78" i="17"/>
  <c r="R82" i="17"/>
  <c r="U91" i="17"/>
  <c r="R93" i="17"/>
  <c r="R94" i="17"/>
  <c r="U99" i="17"/>
  <c r="R101" i="17"/>
  <c r="R102" i="17"/>
  <c r="U107" i="17"/>
  <c r="R109" i="17"/>
  <c r="R110" i="17"/>
  <c r="R113" i="17"/>
  <c r="R124" i="17"/>
  <c r="R4" i="17"/>
  <c r="U4" i="17"/>
  <c r="R5" i="17"/>
  <c r="G6" i="17"/>
  <c r="G7" i="17"/>
  <c r="G8" i="17"/>
  <c r="G9" i="17"/>
  <c r="R11" i="17"/>
  <c r="U11" i="17"/>
  <c r="G12" i="17"/>
  <c r="G13" i="17"/>
  <c r="R14" i="17"/>
  <c r="G15" i="17"/>
  <c r="U17" i="17"/>
  <c r="U19" i="17"/>
  <c r="R20" i="17"/>
  <c r="U20" i="17"/>
  <c r="G21" i="17"/>
  <c r="G22" i="17"/>
  <c r="R24" i="17"/>
  <c r="U24" i="17"/>
  <c r="R26" i="17"/>
  <c r="U26" i="17"/>
  <c r="U28" i="17"/>
  <c r="U40" i="17"/>
  <c r="R42" i="17"/>
  <c r="U45" i="17"/>
  <c r="U46" i="17"/>
  <c r="U47" i="17"/>
  <c r="R49" i="17"/>
  <c r="R52" i="17"/>
  <c r="R56" i="17"/>
  <c r="U60" i="17"/>
  <c r="R62" i="17"/>
  <c r="U65" i="17"/>
  <c r="U66" i="17"/>
  <c r="U69" i="17"/>
  <c r="U70" i="17"/>
  <c r="U73" i="17"/>
  <c r="U74" i="17"/>
  <c r="U77" i="17"/>
  <c r="U78" i="17"/>
  <c r="U81" i="17"/>
  <c r="U82" i="17"/>
  <c r="U86" i="17"/>
  <c r="U89" i="17"/>
  <c r="R92" i="17"/>
  <c r="U92" i="17"/>
  <c r="U94" i="17"/>
  <c r="U97" i="17"/>
  <c r="R100" i="17"/>
  <c r="U100" i="17"/>
  <c r="U102" i="17"/>
  <c r="U105" i="17"/>
  <c r="R108" i="17"/>
  <c r="U108" i="17"/>
  <c r="U110" i="17"/>
  <c r="R117" i="17"/>
  <c r="U117" i="17"/>
  <c r="R132" i="17"/>
  <c r="R138" i="17"/>
  <c r="R126" i="17"/>
  <c r="R134" i="17"/>
  <c r="R139" i="17"/>
  <c r="U120" i="17"/>
  <c r="R128" i="17"/>
  <c r="R136" i="17"/>
  <c r="R140" i="17"/>
  <c r="G4" i="17"/>
  <c r="G10" i="17"/>
  <c r="G11" i="17"/>
  <c r="G20" i="17"/>
  <c r="G24" i="17"/>
  <c r="G26" i="17"/>
  <c r="G27" i="17"/>
  <c r="U29" i="17"/>
  <c r="U33" i="17"/>
  <c r="U36" i="17"/>
  <c r="P16" i="17"/>
  <c r="P23" i="17"/>
  <c r="R34" i="17"/>
  <c r="P28" i="17"/>
  <c r="R29" i="17"/>
  <c r="P30" i="17"/>
  <c r="R31" i="17"/>
  <c r="U37" i="17"/>
  <c r="R38" i="17"/>
  <c r="R43" i="17"/>
  <c r="R47" i="17"/>
  <c r="R51" i="17"/>
  <c r="R59" i="17"/>
  <c r="R63" i="17"/>
  <c r="R67" i="17"/>
  <c r="R71" i="17"/>
  <c r="R75" i="17"/>
  <c r="R79" i="17"/>
  <c r="R83" i="17"/>
  <c r="R87" i="17"/>
  <c r="R91" i="17"/>
  <c r="R95" i="17"/>
  <c r="R99" i="17"/>
  <c r="R103" i="17"/>
  <c r="R107" i="17"/>
  <c r="R118" i="17"/>
  <c r="U113" i="17"/>
  <c r="R115" i="17"/>
  <c r="R121" i="17"/>
  <c r="R122" i="17"/>
  <c r="U116" i="17"/>
  <c r="R123" i="17"/>
  <c r="R125" i="17"/>
  <c r="R127" i="17"/>
  <c r="R129" i="17"/>
  <c r="R131" i="17"/>
  <c r="R133" i="17"/>
  <c r="R135" i="17"/>
  <c r="R141" i="17"/>
  <c r="R143" i="17"/>
  <c r="AS5" i="14"/>
  <c r="U68" i="15"/>
  <c r="U69" i="15"/>
  <c r="U67" i="15"/>
  <c r="R4" i="15"/>
  <c r="U6" i="15"/>
  <c r="P4" i="15"/>
  <c r="BE28" i="15" s="1"/>
  <c r="U5" i="14"/>
  <c r="U118" i="14"/>
  <c r="U114" i="14"/>
  <c r="U110" i="14"/>
  <c r="U106" i="14"/>
  <c r="U102" i="14"/>
  <c r="U98" i="14"/>
  <c r="U94" i="14"/>
  <c r="U90" i="14"/>
  <c r="U86" i="14"/>
  <c r="U82" i="14"/>
  <c r="U78" i="14"/>
  <c r="U74" i="14"/>
  <c r="U70" i="14"/>
  <c r="U65" i="14"/>
  <c r="U61" i="14"/>
  <c r="U57" i="14"/>
  <c r="U53" i="14"/>
  <c r="U49" i="14"/>
  <c r="U45" i="14"/>
  <c r="U117" i="14"/>
  <c r="U113" i="14"/>
  <c r="U109" i="14"/>
  <c r="U105" i="14"/>
  <c r="U41" i="14"/>
  <c r="U37" i="14"/>
  <c r="U33" i="14"/>
  <c r="U29" i="14"/>
  <c r="U25" i="14"/>
  <c r="U21" i="14"/>
  <c r="U17" i="14"/>
  <c r="U13" i="14"/>
  <c r="U9" i="14"/>
  <c r="U101" i="14"/>
  <c r="U97" i="14"/>
  <c r="U93" i="14"/>
  <c r="U89" i="14"/>
  <c r="U85" i="14"/>
  <c r="U81" i="14"/>
  <c r="U77" i="14"/>
  <c r="U73" i="14"/>
  <c r="U69" i="14"/>
  <c r="U64" i="14"/>
  <c r="U60" i="14"/>
  <c r="U52" i="14"/>
  <c r="U48" i="14"/>
  <c r="U44" i="14"/>
  <c r="U116" i="14"/>
  <c r="U112" i="14"/>
  <c r="U108" i="14"/>
  <c r="U100" i="14"/>
  <c r="U96" i="14"/>
  <c r="U92" i="14"/>
  <c r="U84" i="14"/>
  <c r="U80" i="14"/>
  <c r="U76" i="14"/>
  <c r="U68" i="14"/>
  <c r="U40" i="14"/>
  <c r="U36" i="14"/>
  <c r="U32" i="14"/>
  <c r="U28" i="14"/>
  <c r="U20" i="14"/>
  <c r="U16" i="14"/>
  <c r="U12" i="14"/>
  <c r="U120" i="14"/>
  <c r="U104" i="14"/>
  <c r="U88" i="14"/>
  <c r="U72" i="14"/>
  <c r="U56" i="14"/>
  <c r="U24" i="14"/>
  <c r="U8" i="14"/>
  <c r="U63" i="14"/>
  <c r="U59" i="14"/>
  <c r="U55" i="14"/>
  <c r="U51" i="14"/>
  <c r="U47" i="14"/>
  <c r="U43" i="14"/>
  <c r="U119" i="14"/>
  <c r="U115" i="14"/>
  <c r="U111" i="14"/>
  <c r="U107" i="14"/>
  <c r="U103" i="14"/>
  <c r="U99" i="14"/>
  <c r="U95" i="14"/>
  <c r="U91" i="14"/>
  <c r="U87" i="14"/>
  <c r="U83" i="14"/>
  <c r="U79" i="14"/>
  <c r="U75" i="14"/>
  <c r="U71" i="14"/>
  <c r="U39" i="14"/>
  <c r="U35" i="14"/>
  <c r="U31" i="14"/>
  <c r="U27" i="14"/>
  <c r="U23" i="14"/>
  <c r="U19" i="14"/>
  <c r="U15" i="14"/>
  <c r="U11" i="14"/>
  <c r="H3" i="14"/>
  <c r="I3" i="14"/>
  <c r="J3" i="14"/>
  <c r="K3" i="14"/>
  <c r="M3" i="14"/>
  <c r="N3" i="14"/>
  <c r="O3" i="14"/>
  <c r="G3" i="14"/>
  <c r="C3" i="14"/>
  <c r="D3" i="14"/>
  <c r="E3" i="14"/>
  <c r="F3" i="14"/>
  <c r="P4" i="14"/>
  <c r="V4" i="14" s="1"/>
  <c r="A3" i="14"/>
  <c r="B3" i="14"/>
  <c r="P3" i="14" s="1"/>
  <c r="AA1" i="13"/>
  <c r="AR36" i="13"/>
  <c r="AR35" i="13"/>
  <c r="AR34" i="13"/>
  <c r="AR33" i="13"/>
  <c r="AR32" i="13"/>
  <c r="AR31" i="13"/>
  <c r="AR30" i="13"/>
  <c r="AR29" i="13"/>
  <c r="AR28" i="13"/>
  <c r="AR27" i="13"/>
  <c r="AR26" i="13"/>
  <c r="AR25" i="13"/>
  <c r="AR24" i="13"/>
  <c r="AR23" i="13"/>
  <c r="AR22" i="13"/>
  <c r="AR21" i="13"/>
  <c r="AR20" i="13"/>
  <c r="AR19" i="13"/>
  <c r="AR18" i="13"/>
  <c r="AR17" i="13"/>
  <c r="AR16" i="13"/>
  <c r="AR15" i="13"/>
  <c r="AR14" i="13"/>
  <c r="AR13" i="13"/>
  <c r="AR12" i="13"/>
  <c r="AR11" i="13"/>
  <c r="AR10" i="13"/>
  <c r="AR9" i="13"/>
  <c r="AR8" i="13"/>
  <c r="AR7" i="13"/>
  <c r="AR6" i="13"/>
  <c r="AR5" i="13"/>
  <c r="AR4" i="13"/>
  <c r="AR3" i="13"/>
  <c r="G36" i="13"/>
  <c r="AQ36" i="13" s="1"/>
  <c r="G35" i="13"/>
  <c r="AQ35" i="13" s="1"/>
  <c r="G34" i="13"/>
  <c r="AQ34" i="13" s="1"/>
  <c r="G33" i="13"/>
  <c r="AQ33" i="13" s="1"/>
  <c r="G32" i="13"/>
  <c r="AQ32" i="13" s="1"/>
  <c r="G31" i="13"/>
  <c r="AQ31" i="13" s="1"/>
  <c r="G30" i="13"/>
  <c r="AQ30" i="13" s="1"/>
  <c r="G29" i="13"/>
  <c r="AQ29" i="13" s="1"/>
  <c r="G28" i="13"/>
  <c r="AQ28" i="13" s="1"/>
  <c r="G27" i="13"/>
  <c r="AQ27" i="13" s="1"/>
  <c r="G26" i="13"/>
  <c r="AQ26" i="13" s="1"/>
  <c r="G25" i="13"/>
  <c r="AQ25" i="13" s="1"/>
  <c r="G24" i="13"/>
  <c r="AQ24" i="13" s="1"/>
  <c r="G23" i="13"/>
  <c r="AQ23" i="13" s="1"/>
  <c r="G22" i="13"/>
  <c r="AQ22" i="13" s="1"/>
  <c r="G21" i="13"/>
  <c r="AQ21" i="13" s="1"/>
  <c r="G20" i="13"/>
  <c r="AQ20" i="13" s="1"/>
  <c r="G19" i="13"/>
  <c r="AQ19" i="13" s="1"/>
  <c r="G18" i="13"/>
  <c r="AQ18" i="13" s="1"/>
  <c r="G17" i="13"/>
  <c r="AQ17" i="13" s="1"/>
  <c r="G16" i="13"/>
  <c r="AQ16" i="13" s="1"/>
  <c r="G15" i="13"/>
  <c r="AQ15" i="13" s="1"/>
  <c r="G14" i="13"/>
  <c r="AQ14" i="13" s="1"/>
  <c r="G13" i="13"/>
  <c r="AQ13" i="13" s="1"/>
  <c r="G12" i="13"/>
  <c r="AQ12" i="13" s="1"/>
  <c r="G11" i="13"/>
  <c r="AQ11" i="13" s="1"/>
  <c r="G10" i="13"/>
  <c r="AQ10" i="13" s="1"/>
  <c r="G9" i="13"/>
  <c r="AQ9" i="13" s="1"/>
  <c r="G8" i="13"/>
  <c r="AQ8" i="13" s="1"/>
  <c r="G7" i="13"/>
  <c r="AQ7" i="13" s="1"/>
  <c r="G6" i="13"/>
  <c r="AQ6" i="13" s="1"/>
  <c r="G5" i="13"/>
  <c r="AQ5" i="13" s="1"/>
  <c r="G4" i="13"/>
  <c r="AQ4" i="13" s="1"/>
  <c r="G3" i="13"/>
  <c r="AQ3" i="13" s="1"/>
  <c r="J1" i="13"/>
  <c r="AB1" i="13" s="1"/>
  <c r="D1" i="13"/>
  <c r="C1" i="13"/>
  <c r="B1" i="13"/>
  <c r="T4" i="2"/>
  <c r="D3" i="13" s="1"/>
  <c r="T5" i="2"/>
  <c r="D4" i="10" s="1"/>
  <c r="T6" i="2"/>
  <c r="T7" i="2"/>
  <c r="D6" i="13" s="1"/>
  <c r="T8" i="2"/>
  <c r="D7" i="13" s="1"/>
  <c r="T9" i="2"/>
  <c r="V9" i="2" s="1"/>
  <c r="T10" i="2"/>
  <c r="D9" i="10" s="1"/>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D1" i="10"/>
  <c r="N1" i="12"/>
  <c r="O1" i="12" s="1"/>
  <c r="P1" i="12" s="1"/>
  <c r="Q1" i="12" s="1"/>
  <c r="R1" i="12" s="1"/>
  <c r="T2" i="2"/>
  <c r="V4" i="2"/>
  <c r="V5" i="2"/>
  <c r="V6" i="2"/>
  <c r="T3" i="2"/>
  <c r="D2" i="13" s="1"/>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2" i="12"/>
  <c r="L2" i="18" s="1"/>
  <c r="A3" i="12"/>
  <c r="W28" i="9"/>
  <c r="W45" i="9"/>
  <c r="W110" i="9"/>
  <c r="U133" i="9"/>
  <c r="U132" i="9"/>
  <c r="U131" i="9"/>
  <c r="U130" i="9"/>
  <c r="U129" i="9"/>
  <c r="U128" i="9"/>
  <c r="U127" i="9"/>
  <c r="U126" i="9"/>
  <c r="U125" i="9"/>
  <c r="U124" i="9"/>
  <c r="U123" i="9"/>
  <c r="U122" i="9"/>
  <c r="U121" i="9"/>
  <c r="U120" i="9"/>
  <c r="U119" i="9"/>
  <c r="U118" i="9"/>
  <c r="U117" i="9"/>
  <c r="U116" i="9"/>
  <c r="U115" i="9"/>
  <c r="U114" i="9"/>
  <c r="U113" i="9"/>
  <c r="U112" i="9"/>
  <c r="U111" i="9"/>
  <c r="U110" i="9"/>
  <c r="U109" i="9"/>
  <c r="U108" i="9"/>
  <c r="U107" i="9"/>
  <c r="U106" i="9"/>
  <c r="U105" i="9"/>
  <c r="U104" i="9"/>
  <c r="U103" i="9"/>
  <c r="U102" i="9"/>
  <c r="U101" i="9"/>
  <c r="U100" i="9"/>
  <c r="U99" i="9"/>
  <c r="U98" i="9"/>
  <c r="U97" i="9"/>
  <c r="U96" i="9"/>
  <c r="U95" i="9"/>
  <c r="U94" i="9"/>
  <c r="U93" i="9"/>
  <c r="U92" i="9"/>
  <c r="U91" i="9"/>
  <c r="U90" i="9"/>
  <c r="U89" i="9"/>
  <c r="U88" i="9"/>
  <c r="U87" i="9"/>
  <c r="U86" i="9"/>
  <c r="U85" i="9"/>
  <c r="U84" i="9"/>
  <c r="U83" i="9"/>
  <c r="U82" i="9"/>
  <c r="U81" i="9"/>
  <c r="U80" i="9"/>
  <c r="U79" i="9"/>
  <c r="U78" i="9"/>
  <c r="U77" i="9"/>
  <c r="U76" i="9"/>
  <c r="U75" i="9"/>
  <c r="U74" i="9"/>
  <c r="U73" i="9"/>
  <c r="U72" i="9"/>
  <c r="U71" i="9"/>
  <c r="U70" i="9"/>
  <c r="U69" i="9"/>
  <c r="U68" i="9"/>
  <c r="U67" i="9"/>
  <c r="U66" i="9"/>
  <c r="U65" i="9"/>
  <c r="U64" i="9"/>
  <c r="U63" i="9"/>
  <c r="U62" i="9"/>
  <c r="U61" i="9"/>
  <c r="U60" i="9"/>
  <c r="U59" i="9"/>
  <c r="U58" i="9"/>
  <c r="U57" i="9"/>
  <c r="U56" i="9"/>
  <c r="U55" i="9"/>
  <c r="U54" i="9"/>
  <c r="U53" i="9"/>
  <c r="U52" i="9"/>
  <c r="U51" i="9"/>
  <c r="U50" i="9"/>
  <c r="U49" i="9"/>
  <c r="U48" i="9"/>
  <c r="U47" i="9"/>
  <c r="U46" i="9"/>
  <c r="U45" i="9"/>
  <c r="U44" i="9"/>
  <c r="U43" i="9"/>
  <c r="U42" i="9"/>
  <c r="U41" i="9"/>
  <c r="U40" i="9"/>
  <c r="U39" i="9"/>
  <c r="U38" i="9"/>
  <c r="U37" i="9"/>
  <c r="U36" i="9"/>
  <c r="U35" i="9"/>
  <c r="U34" i="9"/>
  <c r="U33" i="9"/>
  <c r="U32" i="9"/>
  <c r="U31" i="9"/>
  <c r="U30" i="9"/>
  <c r="U29" i="9"/>
  <c r="U28" i="9"/>
  <c r="U27" i="9"/>
  <c r="U26" i="9"/>
  <c r="U25" i="9"/>
  <c r="U24" i="9"/>
  <c r="U23" i="9"/>
  <c r="U22" i="9"/>
  <c r="U21" i="9"/>
  <c r="U20" i="9"/>
  <c r="U19" i="9"/>
  <c r="U18" i="9"/>
  <c r="U17" i="9"/>
  <c r="U16" i="9"/>
  <c r="U15" i="9"/>
  <c r="U14" i="9"/>
  <c r="U13" i="9"/>
  <c r="U12" i="9"/>
  <c r="U11" i="9"/>
  <c r="U10" i="9"/>
  <c r="U9" i="9"/>
  <c r="U8" i="9"/>
  <c r="U7" i="9"/>
  <c r="U6" i="9"/>
  <c r="U5" i="9"/>
  <c r="U4" i="9"/>
  <c r="U3" i="9"/>
  <c r="Q3" i="9"/>
  <c r="O5" i="15" s="1"/>
  <c r="U2" i="9"/>
  <c r="V1" i="10"/>
  <c r="W1" i="10" s="1"/>
  <c r="X1" i="10" s="1"/>
  <c r="B1" i="10"/>
  <c r="C1" i="10"/>
  <c r="S4" i="10"/>
  <c r="AP4" i="10" s="1"/>
  <c r="S5" i="10"/>
  <c r="AP5" i="10" s="1"/>
  <c r="S6" i="10"/>
  <c r="AP6" i="10" s="1"/>
  <c r="S7" i="10"/>
  <c r="AP7" i="10" s="1"/>
  <c r="S8" i="10"/>
  <c r="AP8" i="10" s="1"/>
  <c r="S9" i="10"/>
  <c r="AP9" i="10" s="1"/>
  <c r="S10" i="10"/>
  <c r="AP10" i="10" s="1"/>
  <c r="S11" i="10"/>
  <c r="AP11" i="10" s="1"/>
  <c r="S12" i="10"/>
  <c r="AP12" i="10" s="1"/>
  <c r="S13" i="10"/>
  <c r="AP13" i="10" s="1"/>
  <c r="S14" i="10"/>
  <c r="AP14" i="10" s="1"/>
  <c r="S15" i="10"/>
  <c r="AP15" i="10" s="1"/>
  <c r="S16" i="10"/>
  <c r="AP16" i="10" s="1"/>
  <c r="S17" i="10"/>
  <c r="AP17" i="10" s="1"/>
  <c r="S18" i="10"/>
  <c r="AP18" i="10" s="1"/>
  <c r="S19" i="10"/>
  <c r="AP19" i="10" s="1"/>
  <c r="S20" i="10"/>
  <c r="AP20" i="10" s="1"/>
  <c r="S21" i="10"/>
  <c r="AP21" i="10" s="1"/>
  <c r="S22" i="10"/>
  <c r="AP22" i="10" s="1"/>
  <c r="S23" i="10"/>
  <c r="AP23" i="10" s="1"/>
  <c r="S24" i="10"/>
  <c r="AP24" i="10" s="1"/>
  <c r="S25" i="10"/>
  <c r="AP25" i="10" s="1"/>
  <c r="S26" i="10"/>
  <c r="AP26" i="10" s="1"/>
  <c r="S27" i="10"/>
  <c r="AP27" i="10" s="1"/>
  <c r="S28" i="10"/>
  <c r="AP28" i="10" s="1"/>
  <c r="S29" i="10"/>
  <c r="AP29" i="10" s="1"/>
  <c r="S30" i="10"/>
  <c r="AP30" i="10" s="1"/>
  <c r="S31" i="10"/>
  <c r="AP31" i="10" s="1"/>
  <c r="S32" i="10"/>
  <c r="AP32" i="10" s="1"/>
  <c r="S33" i="10"/>
  <c r="AP33" i="10" s="1"/>
  <c r="S34" i="10"/>
  <c r="AP34" i="10" s="1"/>
  <c r="S35" i="10"/>
  <c r="AP35" i="10" s="1"/>
  <c r="S36" i="10"/>
  <c r="AP36" i="10" s="1"/>
  <c r="S37" i="10"/>
  <c r="AP37" i="10" s="1"/>
  <c r="S38" i="10"/>
  <c r="AP38" i="10" s="1"/>
  <c r="S39" i="10"/>
  <c r="AP39" i="10" s="1"/>
  <c r="S40" i="10"/>
  <c r="AP40" i="10" s="1"/>
  <c r="S41" i="10"/>
  <c r="AP41" i="10" s="1"/>
  <c r="S42" i="10"/>
  <c r="AP42" i="10" s="1"/>
  <c r="S43" i="10"/>
  <c r="AP43" i="10" s="1"/>
  <c r="S44" i="10"/>
  <c r="AP44" i="10" s="1"/>
  <c r="S45" i="10"/>
  <c r="AP45" i="10" s="1"/>
  <c r="S46" i="10"/>
  <c r="AP46" i="10" s="1"/>
  <c r="S47" i="10"/>
  <c r="AP47" i="10" s="1"/>
  <c r="S48" i="10"/>
  <c r="AP48" i="10" s="1"/>
  <c r="S49" i="10"/>
  <c r="AP49" i="10" s="1"/>
  <c r="S50" i="10"/>
  <c r="AP50" i="10" s="1"/>
  <c r="S51" i="10"/>
  <c r="AP51" i="10" s="1"/>
  <c r="S52" i="10"/>
  <c r="AP52" i="10" s="1"/>
  <c r="S53" i="10"/>
  <c r="AP53" i="10" s="1"/>
  <c r="S54" i="10"/>
  <c r="AP54" i="10" s="1"/>
  <c r="S55" i="10"/>
  <c r="AP55" i="10" s="1"/>
  <c r="S56" i="10"/>
  <c r="AP56" i="10" s="1"/>
  <c r="S57" i="10"/>
  <c r="AP57" i="10" s="1"/>
  <c r="S3" i="10"/>
  <c r="R227" i="5"/>
  <c r="R223" i="5"/>
  <c r="R222" i="5"/>
  <c r="R220" i="5"/>
  <c r="R219" i="5"/>
  <c r="R217" i="5"/>
  <c r="R216" i="5"/>
  <c r="R214" i="5"/>
  <c r="R211" i="5"/>
  <c r="R210" i="5"/>
  <c r="R208" i="5"/>
  <c r="R207" i="5"/>
  <c r="R205" i="5"/>
  <c r="R204" i="5"/>
  <c r="R200" i="5"/>
  <c r="R199" i="5"/>
  <c r="R198" i="5"/>
  <c r="R196" i="5"/>
  <c r="R195" i="5"/>
  <c r="R194" i="5"/>
  <c r="R193" i="5"/>
  <c r="R192" i="5"/>
  <c r="R191" i="5"/>
  <c r="R190" i="5"/>
  <c r="R189" i="5"/>
  <c r="R188" i="5"/>
  <c r="R187" i="5"/>
  <c r="R186" i="5"/>
  <c r="R184" i="5"/>
  <c r="R183" i="5"/>
  <c r="R182" i="5"/>
  <c r="R181" i="5"/>
  <c r="R179" i="5"/>
  <c r="R178" i="5"/>
  <c r="R177" i="5"/>
  <c r="R176" i="5"/>
  <c r="R175" i="5"/>
  <c r="R174" i="5"/>
  <c r="R173" i="5"/>
  <c r="R172" i="5"/>
  <c r="R170" i="5"/>
  <c r="R169" i="5"/>
  <c r="R167" i="5"/>
  <c r="R166" i="5"/>
  <c r="R165" i="5"/>
  <c r="R164" i="5"/>
  <c r="R163" i="5"/>
  <c r="R162" i="5"/>
  <c r="R161" i="5"/>
  <c r="R160" i="5"/>
  <c r="R159" i="5"/>
  <c r="R146" i="5"/>
  <c r="R147" i="5"/>
  <c r="R148" i="5"/>
  <c r="R149" i="5"/>
  <c r="R150" i="5"/>
  <c r="R151" i="5"/>
  <c r="R152" i="5"/>
  <c r="R153" i="5"/>
  <c r="R154" i="5"/>
  <c r="R155" i="5"/>
  <c r="R156" i="5"/>
  <c r="R157" i="5"/>
  <c r="R145" i="5"/>
  <c r="R144" i="5"/>
  <c r="R143" i="5"/>
  <c r="R142" i="5"/>
  <c r="R141" i="5"/>
  <c r="R139" i="5"/>
  <c r="R138" i="5"/>
  <c r="R137" i="5"/>
  <c r="R136" i="5"/>
  <c r="R135" i="5"/>
  <c r="R134" i="5"/>
  <c r="R133" i="5"/>
  <c r="R132" i="5"/>
  <c r="R130" i="5"/>
  <c r="R129" i="5"/>
  <c r="R128" i="5"/>
  <c r="R127" i="5"/>
  <c r="R126" i="5"/>
  <c r="R125" i="5"/>
  <c r="R124" i="5"/>
  <c r="R123" i="5"/>
  <c r="R122" i="5"/>
  <c r="R121" i="5"/>
  <c r="R120" i="5"/>
  <c r="R119" i="5"/>
  <c r="R118" i="5"/>
  <c r="R117" i="5"/>
  <c r="R116" i="5"/>
  <c r="R115" i="5"/>
  <c r="R114" i="5"/>
  <c r="R112" i="5"/>
  <c r="R111" i="5"/>
  <c r="R110" i="5"/>
  <c r="R109" i="5"/>
  <c r="R107" i="5"/>
  <c r="R106" i="5"/>
  <c r="R105" i="5"/>
  <c r="R104" i="5"/>
  <c r="R103" i="5"/>
  <c r="R102" i="5"/>
  <c r="R101" i="5"/>
  <c r="R100" i="5"/>
  <c r="R99" i="5"/>
  <c r="R98" i="5"/>
  <c r="R97" i="5"/>
  <c r="R96" i="5"/>
  <c r="R95" i="5"/>
  <c r="R94" i="5"/>
  <c r="R93" i="5"/>
  <c r="R92" i="5"/>
  <c r="R91" i="5"/>
  <c r="R90" i="5"/>
  <c r="R89" i="5"/>
  <c r="R88" i="5"/>
  <c r="R87" i="5"/>
  <c r="R86" i="5"/>
  <c r="R84" i="5"/>
  <c r="R83" i="5"/>
  <c r="R82" i="5"/>
  <c r="R81" i="5"/>
  <c r="R80" i="5"/>
  <c r="R79" i="5"/>
  <c r="R78" i="5"/>
  <c r="R77" i="5"/>
  <c r="R76" i="5"/>
  <c r="R74" i="5"/>
  <c r="R73" i="5"/>
  <c r="R72" i="5"/>
  <c r="R71" i="5"/>
  <c r="R70" i="5"/>
  <c r="R67" i="5"/>
  <c r="R66" i="5"/>
  <c r="R65" i="5"/>
  <c r="R64" i="5"/>
  <c r="R63" i="5"/>
  <c r="R62" i="5"/>
  <c r="R61" i="5"/>
  <c r="R60" i="5"/>
  <c r="R59" i="5"/>
  <c r="R58" i="5"/>
  <c r="R57" i="5"/>
  <c r="R56" i="5"/>
  <c r="R55" i="5"/>
  <c r="R54" i="5"/>
  <c r="R53" i="5"/>
  <c r="R51" i="5"/>
  <c r="R50" i="5"/>
  <c r="R49" i="5"/>
  <c r="R48" i="5"/>
  <c r="R47" i="5"/>
  <c r="R46" i="5"/>
  <c r="R45" i="5"/>
  <c r="R44" i="5"/>
  <c r="R43" i="5"/>
  <c r="R42" i="5"/>
  <c r="R40" i="5"/>
  <c r="R39" i="5"/>
  <c r="R38" i="5"/>
  <c r="R37" i="5"/>
  <c r="R36" i="5"/>
  <c r="R35" i="5"/>
  <c r="R34" i="5"/>
  <c r="R33" i="5"/>
  <c r="R32" i="5"/>
  <c r="R31" i="5"/>
  <c r="R30" i="5"/>
  <c r="R29" i="5"/>
  <c r="R28" i="5"/>
  <c r="R27" i="5"/>
  <c r="R26" i="5"/>
  <c r="R25" i="5"/>
  <c r="R24" i="5"/>
  <c r="R16" i="5"/>
  <c r="R17" i="5"/>
  <c r="R18" i="5"/>
  <c r="R19" i="5"/>
  <c r="R20" i="5"/>
  <c r="R21" i="5"/>
  <c r="R22" i="5"/>
  <c r="R11" i="5"/>
  <c r="R12" i="5"/>
  <c r="R13" i="5"/>
  <c r="R14" i="5"/>
  <c r="R15" i="5"/>
  <c r="R5" i="5"/>
  <c r="R6" i="5"/>
  <c r="R7" i="5"/>
  <c r="R8" i="5"/>
  <c r="R9" i="5"/>
  <c r="R10" i="5"/>
  <c r="R4" i="5"/>
  <c r="V44" i="5"/>
  <c r="V5" i="5"/>
  <c r="V6" i="5"/>
  <c r="V7" i="5"/>
  <c r="V8" i="5"/>
  <c r="V9" i="5"/>
  <c r="V10" i="5"/>
  <c r="V11" i="5"/>
  <c r="V12" i="5"/>
  <c r="V13" i="5"/>
  <c r="V14" i="5"/>
  <c r="V15" i="5"/>
  <c r="V16" i="5"/>
  <c r="V17" i="5"/>
  <c r="V18" i="5"/>
  <c r="V19" i="5"/>
  <c r="V20" i="5"/>
  <c r="V21" i="5"/>
  <c r="V22" i="5"/>
  <c r="V24" i="5"/>
  <c r="V25" i="5"/>
  <c r="V26" i="5"/>
  <c r="V27" i="5"/>
  <c r="V28" i="5"/>
  <c r="V29" i="5"/>
  <c r="V30" i="5"/>
  <c r="V31" i="5"/>
  <c r="V32" i="5"/>
  <c r="V33" i="5"/>
  <c r="V34" i="5"/>
  <c r="V35" i="5"/>
  <c r="V36" i="5"/>
  <c r="V37" i="5"/>
  <c r="V38" i="5"/>
  <c r="V39" i="5"/>
  <c r="V40" i="5"/>
  <c r="V42" i="5"/>
  <c r="V43" i="5"/>
  <c r="V45" i="5"/>
  <c r="V46" i="5"/>
  <c r="V47" i="5"/>
  <c r="V48" i="5"/>
  <c r="V49" i="5"/>
  <c r="V50" i="5"/>
  <c r="V51" i="5"/>
  <c r="V53" i="5"/>
  <c r="V54" i="5"/>
  <c r="V55" i="5"/>
  <c r="V56" i="5"/>
  <c r="V57" i="5"/>
  <c r="V58" i="5"/>
  <c r="V59" i="5"/>
  <c r="V60" i="5"/>
  <c r="V61" i="5"/>
  <c r="V62" i="5"/>
  <c r="V63" i="5"/>
  <c r="V64" i="5"/>
  <c r="V65" i="5"/>
  <c r="V66" i="5"/>
  <c r="V67" i="5"/>
  <c r="V70" i="5"/>
  <c r="V71" i="5"/>
  <c r="V72" i="5"/>
  <c r="V73" i="5"/>
  <c r="V74" i="5"/>
  <c r="V76" i="5"/>
  <c r="V77" i="5"/>
  <c r="V78" i="5"/>
  <c r="V79" i="5"/>
  <c r="V80" i="5"/>
  <c r="V81" i="5"/>
  <c r="V82" i="5"/>
  <c r="V83" i="5"/>
  <c r="V84" i="5"/>
  <c r="V86" i="5"/>
  <c r="V87" i="5"/>
  <c r="V88" i="5"/>
  <c r="V89" i="5"/>
  <c r="V90" i="5"/>
  <c r="V91" i="5"/>
  <c r="V92" i="5"/>
  <c r="V93" i="5"/>
  <c r="V94" i="5"/>
  <c r="V95" i="5"/>
  <c r="V96" i="5"/>
  <c r="V97" i="5"/>
  <c r="V98" i="5"/>
  <c r="V99" i="5"/>
  <c r="V100" i="5"/>
  <c r="V101" i="5"/>
  <c r="V102" i="5"/>
  <c r="V103" i="5"/>
  <c r="V104" i="5"/>
  <c r="V105" i="5"/>
  <c r="V106" i="5"/>
  <c r="V107" i="5"/>
  <c r="V109" i="5"/>
  <c r="V110" i="5"/>
  <c r="V111" i="5"/>
  <c r="V112" i="5"/>
  <c r="V114" i="5"/>
  <c r="V115" i="5"/>
  <c r="V116" i="5"/>
  <c r="V117" i="5"/>
  <c r="V118" i="5"/>
  <c r="V119" i="5"/>
  <c r="V120" i="5"/>
  <c r="V121" i="5"/>
  <c r="V122" i="5"/>
  <c r="V123" i="5"/>
  <c r="V124" i="5"/>
  <c r="V125" i="5"/>
  <c r="V126" i="5"/>
  <c r="V127" i="5"/>
  <c r="V128" i="5"/>
  <c r="V129" i="5"/>
  <c r="V130" i="5"/>
  <c r="V132" i="5"/>
  <c r="V133" i="5"/>
  <c r="V134" i="5"/>
  <c r="V135" i="5"/>
  <c r="V136" i="5"/>
  <c r="V137" i="5"/>
  <c r="V138" i="5"/>
  <c r="V139" i="5"/>
  <c r="V141" i="5"/>
  <c r="V142" i="5"/>
  <c r="V143" i="5"/>
  <c r="V144" i="5"/>
  <c r="V145" i="5"/>
  <c r="V146" i="5"/>
  <c r="V147" i="5"/>
  <c r="V148" i="5"/>
  <c r="V149" i="5"/>
  <c r="V150" i="5"/>
  <c r="V151" i="5"/>
  <c r="V152" i="5"/>
  <c r="V153" i="5"/>
  <c r="V154" i="5"/>
  <c r="V155" i="5"/>
  <c r="V156" i="5"/>
  <c r="V157" i="5"/>
  <c r="V159" i="5"/>
  <c r="V160" i="5"/>
  <c r="V161" i="5"/>
  <c r="V162" i="5"/>
  <c r="V163" i="5"/>
  <c r="V164" i="5"/>
  <c r="V165" i="5"/>
  <c r="V166" i="5"/>
  <c r="V167" i="5"/>
  <c r="V169" i="5"/>
  <c r="V170" i="5"/>
  <c r="V172" i="5"/>
  <c r="V173" i="5"/>
  <c r="V174" i="5"/>
  <c r="V175" i="5"/>
  <c r="V176" i="5"/>
  <c r="V177" i="5"/>
  <c r="V178" i="5"/>
  <c r="V179" i="5"/>
  <c r="V181" i="5"/>
  <c r="V182" i="5"/>
  <c r="V183" i="5"/>
  <c r="V184" i="5"/>
  <c r="V186" i="5"/>
  <c r="V187" i="5"/>
  <c r="V188" i="5"/>
  <c r="V189" i="5"/>
  <c r="V190" i="5"/>
  <c r="V191" i="5"/>
  <c r="V192" i="5"/>
  <c r="V193" i="5"/>
  <c r="V194" i="5"/>
  <c r="V195" i="5"/>
  <c r="V196" i="5"/>
  <c r="V198" i="5"/>
  <c r="V199" i="5"/>
  <c r="V200" i="5"/>
  <c r="V204" i="5"/>
  <c r="V205" i="5"/>
  <c r="V207" i="5"/>
  <c r="V208" i="5"/>
  <c r="V210" i="5"/>
  <c r="V211" i="5"/>
  <c r="V214" i="5"/>
  <c r="V216" i="5"/>
  <c r="V217" i="5"/>
  <c r="V219" i="5"/>
  <c r="V220" i="5"/>
  <c r="V222" i="5"/>
  <c r="V223" i="5"/>
  <c r="V227" i="5"/>
  <c r="V4" i="5"/>
  <c r="V3" i="5"/>
  <c r="R130" i="6"/>
  <c r="V130" i="6"/>
  <c r="D130" i="6"/>
  <c r="R182" i="6"/>
  <c r="R181" i="6"/>
  <c r="R180" i="6"/>
  <c r="R179" i="6"/>
  <c r="R178" i="6"/>
  <c r="R177" i="6"/>
  <c r="R176" i="6"/>
  <c r="R175" i="6"/>
  <c r="R174" i="6"/>
  <c r="R173" i="6"/>
  <c r="R172" i="6"/>
  <c r="R171" i="6"/>
  <c r="R170" i="6"/>
  <c r="R169" i="6"/>
  <c r="R168" i="6"/>
  <c r="R167" i="6"/>
  <c r="R166" i="6"/>
  <c r="R165" i="6"/>
  <c r="R164" i="6"/>
  <c r="R163" i="6"/>
  <c r="R162" i="6"/>
  <c r="R161" i="6"/>
  <c r="R160" i="6"/>
  <c r="R159" i="6"/>
  <c r="R158" i="6"/>
  <c r="R157" i="6"/>
  <c r="R156" i="6"/>
  <c r="R155" i="6"/>
  <c r="R154" i="6"/>
  <c r="R153" i="6"/>
  <c r="R152" i="6"/>
  <c r="R150" i="6"/>
  <c r="R149" i="6"/>
  <c r="R148" i="6"/>
  <c r="R147" i="6"/>
  <c r="R146" i="6"/>
  <c r="R143" i="6"/>
  <c r="R142" i="6"/>
  <c r="R141" i="6"/>
  <c r="R140" i="6"/>
  <c r="R139" i="6"/>
  <c r="R138" i="6"/>
  <c r="R137" i="6"/>
  <c r="R129" i="6"/>
  <c r="R128" i="6"/>
  <c r="R127" i="6"/>
  <c r="R126" i="6"/>
  <c r="R125" i="6"/>
  <c r="R124" i="6"/>
  <c r="R123" i="6"/>
  <c r="R122" i="6"/>
  <c r="R121" i="6"/>
  <c r="R120" i="6"/>
  <c r="R119" i="6"/>
  <c r="R118" i="6"/>
  <c r="R117" i="6"/>
  <c r="R116" i="6"/>
  <c r="R115" i="6"/>
  <c r="R103" i="6"/>
  <c r="R104" i="6"/>
  <c r="R105" i="6"/>
  <c r="R106" i="6"/>
  <c r="R102" i="6"/>
  <c r="R101" i="6"/>
  <c r="R100" i="6"/>
  <c r="R99" i="6"/>
  <c r="R98" i="6"/>
  <c r="R97" i="6"/>
  <c r="R96" i="6"/>
  <c r="R95" i="6"/>
  <c r="R94" i="6"/>
  <c r="R93" i="6"/>
  <c r="R92" i="6"/>
  <c r="R91" i="6"/>
  <c r="R90" i="6"/>
  <c r="R89" i="6"/>
  <c r="R88" i="6"/>
  <c r="R87" i="6"/>
  <c r="R86" i="6"/>
  <c r="R85" i="6"/>
  <c r="R84" i="6"/>
  <c r="R83" i="6"/>
  <c r="R82" i="6"/>
  <c r="R77" i="6"/>
  <c r="R76" i="6"/>
  <c r="R75" i="6"/>
  <c r="R74" i="6"/>
  <c r="R73" i="6"/>
  <c r="R71" i="6"/>
  <c r="R70" i="6"/>
  <c r="R69" i="6"/>
  <c r="R68" i="6"/>
  <c r="R67" i="6"/>
  <c r="R66" i="6"/>
  <c r="R65" i="6"/>
  <c r="R64" i="6"/>
  <c r="R63" i="6"/>
  <c r="R62" i="6"/>
  <c r="R61" i="6"/>
  <c r="R60" i="6"/>
  <c r="R59" i="6"/>
  <c r="R58" i="6"/>
  <c r="R57" i="6"/>
  <c r="R56" i="6"/>
  <c r="R55" i="6"/>
  <c r="R54" i="6"/>
  <c r="R53" i="6"/>
  <c r="R52" i="6"/>
  <c r="R51" i="6"/>
  <c r="R50" i="6"/>
  <c r="R49" i="6"/>
  <c r="R48" i="6"/>
  <c r="R47" i="6"/>
  <c r="R46" i="6"/>
  <c r="R45" i="6"/>
  <c r="R44" i="6"/>
  <c r="R43" i="6"/>
  <c r="R42" i="6"/>
  <c r="R41" i="6"/>
  <c r="R40" i="6"/>
  <c r="R39" i="6"/>
  <c r="R38" i="6"/>
  <c r="R37" i="6"/>
  <c r="R36" i="6"/>
  <c r="R35" i="6"/>
  <c r="R34" i="6"/>
  <c r="R33" i="6"/>
  <c r="R32" i="6"/>
  <c r="R27" i="6"/>
  <c r="R26" i="6"/>
  <c r="R25" i="6"/>
  <c r="R24" i="6"/>
  <c r="R23" i="6"/>
  <c r="R19" i="6"/>
  <c r="R18" i="6"/>
  <c r="R17" i="6"/>
  <c r="R16" i="6"/>
  <c r="R15" i="6"/>
  <c r="R14" i="6"/>
  <c r="R13" i="6"/>
  <c r="R12" i="6"/>
  <c r="R11" i="6"/>
  <c r="R10" i="6"/>
  <c r="R9" i="6"/>
  <c r="R8" i="6"/>
  <c r="R7" i="6"/>
  <c r="R3" i="6"/>
  <c r="R5" i="6"/>
  <c r="R6" i="6"/>
  <c r="R4" i="6"/>
  <c r="D73" i="6"/>
  <c r="D74" i="6" s="1"/>
  <c r="D82" i="6"/>
  <c r="D83" i="6" s="1"/>
  <c r="D152" i="6"/>
  <c r="D146" i="6"/>
  <c r="D147" i="6" s="1"/>
  <c r="D137" i="6"/>
  <c r="D132" i="6"/>
  <c r="D115" i="6"/>
  <c r="V114" i="6"/>
  <c r="V115" i="6"/>
  <c r="V116" i="6"/>
  <c r="V117" i="6"/>
  <c r="V118" i="6"/>
  <c r="V119" i="6"/>
  <c r="V120" i="6"/>
  <c r="V121" i="6"/>
  <c r="V122" i="6"/>
  <c r="V123" i="6"/>
  <c r="V124" i="6"/>
  <c r="V125" i="6"/>
  <c r="V126" i="6"/>
  <c r="V127" i="6"/>
  <c r="V128" i="6"/>
  <c r="V129"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13"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2" i="6"/>
  <c r="M5" i="8"/>
  <c r="M6" i="8"/>
  <c r="M7" i="8"/>
  <c r="M8" i="8"/>
  <c r="M9" i="8"/>
  <c r="M10" i="8"/>
  <c r="M4" i="8"/>
  <c r="V190" i="12" l="1"/>
  <c r="X190" i="12"/>
  <c r="B190" i="28" s="1"/>
  <c r="V191" i="12"/>
  <c r="X191" i="12"/>
  <c r="B191" i="28" s="1"/>
  <c r="X187" i="12"/>
  <c r="B187" i="28" s="1"/>
  <c r="V187" i="12"/>
  <c r="V192" i="12"/>
  <c r="X192" i="12"/>
  <c r="B192" i="28" s="1"/>
  <c r="X188" i="12"/>
  <c r="B188" i="28" s="1"/>
  <c r="V188" i="12"/>
  <c r="V185" i="12"/>
  <c r="X185" i="12"/>
  <c r="B185" i="28" s="1"/>
  <c r="V189" i="12"/>
  <c r="X189" i="12"/>
  <c r="B189" i="28" s="1"/>
  <c r="V186" i="12"/>
  <c r="X186" i="12"/>
  <c r="B186" i="28" s="1"/>
  <c r="AS57" i="28" s="1"/>
  <c r="BC57" i="28" s="1"/>
  <c r="DH90" i="28" s="1"/>
  <c r="DE90" i="28" s="1"/>
  <c r="B144" i="21"/>
  <c r="B293" i="21"/>
  <c r="AK19" i="12"/>
  <c r="AI19" i="12"/>
  <c r="AK67" i="12"/>
  <c r="AI67" i="12"/>
  <c r="I67" i="18" s="1"/>
  <c r="AK43" i="12"/>
  <c r="AI43" i="12"/>
  <c r="AI89" i="12"/>
  <c r="AK89" i="12"/>
  <c r="AI69" i="12"/>
  <c r="AK69" i="12"/>
  <c r="AI160" i="12"/>
  <c r="AK160" i="12"/>
  <c r="AI140" i="12"/>
  <c r="AK140" i="12"/>
  <c r="AI177" i="12"/>
  <c r="AK177" i="12"/>
  <c r="K177" i="18" s="1"/>
  <c r="AK31" i="12"/>
  <c r="AI31" i="12"/>
  <c r="AK7" i="12"/>
  <c r="AI7" i="12"/>
  <c r="AK51" i="12"/>
  <c r="AI51" i="12"/>
  <c r="AI93" i="12"/>
  <c r="AK93" i="12"/>
  <c r="AI77" i="12"/>
  <c r="AK77" i="12"/>
  <c r="AI117" i="12"/>
  <c r="AK117" i="12"/>
  <c r="AI105" i="12"/>
  <c r="AK105" i="12"/>
  <c r="AI144" i="12"/>
  <c r="AK144" i="12"/>
  <c r="AI128" i="12"/>
  <c r="AK128" i="12"/>
  <c r="AI169" i="12"/>
  <c r="AK169" i="12"/>
  <c r="AI161" i="12"/>
  <c r="AK161" i="12"/>
  <c r="AK34" i="12"/>
  <c r="AI34" i="12"/>
  <c r="AK26" i="12"/>
  <c r="AI26" i="12"/>
  <c r="AK14" i="12"/>
  <c r="AI14" i="12"/>
  <c r="AK66" i="12"/>
  <c r="AI66" i="12"/>
  <c r="AK54" i="12"/>
  <c r="AI54" i="12"/>
  <c r="AK42" i="12"/>
  <c r="AI42" i="12"/>
  <c r="AI92" i="12"/>
  <c r="AK92" i="12"/>
  <c r="AI84" i="12"/>
  <c r="AK84" i="12"/>
  <c r="AI76" i="12"/>
  <c r="AK76" i="12"/>
  <c r="AI124" i="12"/>
  <c r="AK124" i="12"/>
  <c r="AI112" i="12"/>
  <c r="AK112" i="12"/>
  <c r="AI155" i="12"/>
  <c r="AK155" i="12"/>
  <c r="AI131" i="12"/>
  <c r="AK131" i="12"/>
  <c r="AK35" i="12"/>
  <c r="AI35" i="12"/>
  <c r="AK23" i="12"/>
  <c r="AI23" i="12"/>
  <c r="AK11" i="12"/>
  <c r="AI11" i="12"/>
  <c r="AK59" i="12"/>
  <c r="AI59" i="12"/>
  <c r="AK47" i="12"/>
  <c r="AI47" i="12"/>
  <c r="AI97" i="12"/>
  <c r="AK97" i="12"/>
  <c r="K97" i="18" s="1"/>
  <c r="AI81" i="12"/>
  <c r="AK81" i="12"/>
  <c r="AI125" i="12"/>
  <c r="AK125" i="12"/>
  <c r="K125" i="18" s="1"/>
  <c r="AI113" i="12"/>
  <c r="AK113" i="12"/>
  <c r="AI156" i="12"/>
  <c r="AK156" i="12"/>
  <c r="AI148" i="12"/>
  <c r="AK148" i="12"/>
  <c r="AI132" i="12"/>
  <c r="AK132" i="12"/>
  <c r="AI173" i="12"/>
  <c r="AK173" i="12"/>
  <c r="AK38" i="12"/>
  <c r="AI38" i="12"/>
  <c r="AK30" i="12"/>
  <c r="AI30" i="12"/>
  <c r="AK22" i="12"/>
  <c r="AI22" i="12"/>
  <c r="AK18" i="12"/>
  <c r="AI18" i="12"/>
  <c r="AK10" i="12"/>
  <c r="AI10" i="12"/>
  <c r="I10" i="18" s="1"/>
  <c r="AK6" i="12"/>
  <c r="AI6" i="12"/>
  <c r="AK62" i="12"/>
  <c r="AI62" i="12"/>
  <c r="AK58" i="12"/>
  <c r="AI58" i="12"/>
  <c r="AK50" i="12"/>
  <c r="AI50" i="12"/>
  <c r="AK46" i="12"/>
  <c r="AI46" i="12"/>
  <c r="AI100" i="12"/>
  <c r="AK100" i="12"/>
  <c r="AI96" i="12"/>
  <c r="AK96" i="12"/>
  <c r="AI88" i="12"/>
  <c r="AK88" i="12"/>
  <c r="K88" i="18" s="1"/>
  <c r="AI80" i="12"/>
  <c r="AK80" i="12"/>
  <c r="AI72" i="12"/>
  <c r="AK72" i="12"/>
  <c r="K72" i="18" s="1"/>
  <c r="AI68" i="12"/>
  <c r="AK68" i="12"/>
  <c r="AI120" i="12"/>
  <c r="AK120" i="12"/>
  <c r="AI116" i="12"/>
  <c r="AK116" i="12"/>
  <c r="AI108" i="12"/>
  <c r="AK108" i="12"/>
  <c r="AI104" i="12"/>
  <c r="AK104" i="12"/>
  <c r="AK159" i="12"/>
  <c r="AI159" i="12"/>
  <c r="I159" i="18" s="1"/>
  <c r="AK151" i="12"/>
  <c r="AI151" i="12"/>
  <c r="AI147" i="12"/>
  <c r="AK147" i="12"/>
  <c r="AK143" i="12"/>
  <c r="AI143" i="12"/>
  <c r="AI139" i="12"/>
  <c r="AK139" i="12"/>
  <c r="AK135" i="12"/>
  <c r="AI135" i="12"/>
  <c r="AI184" i="12"/>
  <c r="AK184" i="12"/>
  <c r="K184" i="18" s="1"/>
  <c r="AI180" i="12"/>
  <c r="AK180" i="12"/>
  <c r="AI176" i="12"/>
  <c r="AK176" i="12"/>
  <c r="AI172" i="12"/>
  <c r="AK172" i="12"/>
  <c r="AI168" i="12"/>
  <c r="AK168" i="12"/>
  <c r="K168" i="18" s="1"/>
  <c r="AI164" i="12"/>
  <c r="AK164" i="12"/>
  <c r="AI3" i="12"/>
  <c r="AK3" i="12"/>
  <c r="AI37" i="12"/>
  <c r="AK37" i="12"/>
  <c r="AI33" i="12"/>
  <c r="AK33" i="12"/>
  <c r="AI29" i="12"/>
  <c r="AK29" i="12"/>
  <c r="AI25" i="12"/>
  <c r="AK25" i="12"/>
  <c r="AI21" i="12"/>
  <c r="AK21" i="12"/>
  <c r="AI17" i="12"/>
  <c r="AK17" i="12"/>
  <c r="AI13" i="12"/>
  <c r="AK13" i="12"/>
  <c r="AI9" i="12"/>
  <c r="AK9" i="12"/>
  <c r="AI5" i="12"/>
  <c r="AK5" i="12"/>
  <c r="AI65" i="12"/>
  <c r="AK65" i="12"/>
  <c r="AI61" i="12"/>
  <c r="AK61" i="12"/>
  <c r="AI57" i="12"/>
  <c r="AK57" i="12"/>
  <c r="AI53" i="12"/>
  <c r="AK53" i="12"/>
  <c r="AI49" i="12"/>
  <c r="AK49" i="12"/>
  <c r="AI45" i="12"/>
  <c r="AK45" i="12"/>
  <c r="AI41" i="12"/>
  <c r="AK41" i="12"/>
  <c r="AI99" i="12"/>
  <c r="AK99" i="12"/>
  <c r="AK95" i="12"/>
  <c r="AI95" i="12"/>
  <c r="AI91" i="12"/>
  <c r="AK91" i="12"/>
  <c r="AK87" i="12"/>
  <c r="AI87" i="12"/>
  <c r="AI83" i="12"/>
  <c r="AK83" i="12"/>
  <c r="AK79" i="12"/>
  <c r="AI79" i="12"/>
  <c r="AI75" i="12"/>
  <c r="AK75" i="12"/>
  <c r="AK71" i="12"/>
  <c r="AI71" i="12"/>
  <c r="AK127" i="12"/>
  <c r="AI127" i="12"/>
  <c r="AI123" i="12"/>
  <c r="AK123" i="12"/>
  <c r="AK119" i="12"/>
  <c r="AI119" i="12"/>
  <c r="AI115" i="12"/>
  <c r="AK115" i="12"/>
  <c r="AK111" i="12"/>
  <c r="AI111" i="12"/>
  <c r="AI107" i="12"/>
  <c r="AK107" i="12"/>
  <c r="AK103" i="12"/>
  <c r="AI103" i="12"/>
  <c r="AK158" i="12"/>
  <c r="AI158" i="12"/>
  <c r="AI154" i="12"/>
  <c r="AK154" i="12"/>
  <c r="AK150" i="12"/>
  <c r="AI150" i="12"/>
  <c r="AK146" i="12"/>
  <c r="AI146" i="12"/>
  <c r="AK142" i="12"/>
  <c r="AI142" i="12"/>
  <c r="AK138" i="12"/>
  <c r="AI138" i="12"/>
  <c r="AK134" i="12"/>
  <c r="AI134" i="12"/>
  <c r="AK130" i="12"/>
  <c r="AI130" i="12"/>
  <c r="AK183" i="12"/>
  <c r="AI183" i="12"/>
  <c r="AI179" i="12"/>
  <c r="AK179" i="12"/>
  <c r="AK175" i="12"/>
  <c r="AI175" i="12"/>
  <c r="AI171" i="12"/>
  <c r="AK171" i="12"/>
  <c r="AK167" i="12"/>
  <c r="AI167" i="12"/>
  <c r="AI163" i="12"/>
  <c r="AK163" i="12"/>
  <c r="AK39" i="12"/>
  <c r="AI39" i="12"/>
  <c r="AK27" i="12"/>
  <c r="AI27" i="12"/>
  <c r="AK15" i="12"/>
  <c r="AI15" i="12"/>
  <c r="AK63" i="12"/>
  <c r="AI63" i="12"/>
  <c r="AK55" i="12"/>
  <c r="AI55" i="12"/>
  <c r="AI101" i="12"/>
  <c r="AK101" i="12"/>
  <c r="AI85" i="12"/>
  <c r="AK85" i="12"/>
  <c r="AI73" i="12"/>
  <c r="AK73" i="12"/>
  <c r="AI121" i="12"/>
  <c r="AK121" i="12"/>
  <c r="AI109" i="12"/>
  <c r="AK109" i="12"/>
  <c r="AI152" i="12"/>
  <c r="AK152" i="12"/>
  <c r="K152" i="18" s="1"/>
  <c r="AI136" i="12"/>
  <c r="AK136" i="12"/>
  <c r="AI181" i="12"/>
  <c r="AK181" i="12"/>
  <c r="AI165" i="12"/>
  <c r="AK165" i="12"/>
  <c r="AI36" i="12"/>
  <c r="AK36" i="12"/>
  <c r="AI32" i="12"/>
  <c r="AK32" i="12"/>
  <c r="AI28" i="12"/>
  <c r="AK28" i="12"/>
  <c r="AI24" i="12"/>
  <c r="AK24" i="12"/>
  <c r="AI20" i="12"/>
  <c r="AK20" i="12"/>
  <c r="AI16" i="12"/>
  <c r="AK16" i="12"/>
  <c r="AI12" i="12"/>
  <c r="AK12" i="12"/>
  <c r="AI8" i="12"/>
  <c r="AK8" i="12"/>
  <c r="AI4" i="12"/>
  <c r="AK4" i="12"/>
  <c r="AI64" i="12"/>
  <c r="AK64" i="12"/>
  <c r="AI60" i="12"/>
  <c r="AK60" i="12"/>
  <c r="AI56" i="12"/>
  <c r="AK56" i="12"/>
  <c r="AI52" i="12"/>
  <c r="AK52" i="12"/>
  <c r="AI48" i="12"/>
  <c r="AK48" i="12"/>
  <c r="AI44" i="12"/>
  <c r="AK44" i="12"/>
  <c r="AI40" i="12"/>
  <c r="AK40" i="12"/>
  <c r="AK98" i="12"/>
  <c r="AI98" i="12"/>
  <c r="AK94" i="12"/>
  <c r="AI94" i="12"/>
  <c r="AK90" i="12"/>
  <c r="AI90" i="12"/>
  <c r="AK86" i="12"/>
  <c r="AI86" i="12"/>
  <c r="AK82" i="12"/>
  <c r="AI82" i="12"/>
  <c r="AK78" i="12"/>
  <c r="AI78" i="12"/>
  <c r="AK74" i="12"/>
  <c r="AI74" i="12"/>
  <c r="AK70" i="12"/>
  <c r="AI70" i="12"/>
  <c r="AK126" i="12"/>
  <c r="AI126" i="12"/>
  <c r="AK122" i="12"/>
  <c r="AI122" i="12"/>
  <c r="AK118" i="12"/>
  <c r="AI118" i="12"/>
  <c r="I118" i="18" s="1"/>
  <c r="AK114" i="12"/>
  <c r="AI114" i="12"/>
  <c r="AK110" i="12"/>
  <c r="AI110" i="12"/>
  <c r="AK106" i="12"/>
  <c r="AI106" i="12"/>
  <c r="AK102" i="12"/>
  <c r="AI102" i="12"/>
  <c r="I102" i="18" s="1"/>
  <c r="AI157" i="12"/>
  <c r="AK157" i="12"/>
  <c r="AI153" i="12"/>
  <c r="AK153" i="12"/>
  <c r="AI149" i="12"/>
  <c r="AK149" i="12"/>
  <c r="AI145" i="12"/>
  <c r="AK145" i="12"/>
  <c r="K145" i="18" s="1"/>
  <c r="AI141" i="12"/>
  <c r="AK141" i="12"/>
  <c r="AI137" i="12"/>
  <c r="AK137" i="12"/>
  <c r="AI133" i="12"/>
  <c r="AK133" i="12"/>
  <c r="AI129" i="12"/>
  <c r="AK129" i="12"/>
  <c r="K129" i="18" s="1"/>
  <c r="AK182" i="12"/>
  <c r="AI182" i="12"/>
  <c r="AI178" i="12"/>
  <c r="AK178" i="12"/>
  <c r="AK174" i="12"/>
  <c r="AI174" i="12"/>
  <c r="AI170" i="12"/>
  <c r="AK170" i="12"/>
  <c r="K170" i="18" s="1"/>
  <c r="AK166" i="12"/>
  <c r="AI166" i="12"/>
  <c r="AI162" i="12"/>
  <c r="AK162" i="12"/>
  <c r="AK86" i="2"/>
  <c r="AE183" i="20"/>
  <c r="AE182" i="9" s="1"/>
  <c r="AE163" i="20"/>
  <c r="AE162" i="9" s="1"/>
  <c r="AE408" i="20"/>
  <c r="AE407" i="9" s="1"/>
  <c r="S231" i="14"/>
  <c r="S225" i="14"/>
  <c r="S219" i="14"/>
  <c r="S212" i="14"/>
  <c r="S196" i="14"/>
  <c r="W107" i="9"/>
  <c r="AE47" i="20"/>
  <c r="AE167" i="20"/>
  <c r="AE166" i="9" s="1"/>
  <c r="AE383" i="20"/>
  <c r="AE382" i="9" s="1"/>
  <c r="A142" i="17"/>
  <c r="A143" i="17"/>
  <c r="AE302" i="20"/>
  <c r="AE301" i="9" s="1"/>
  <c r="AE184" i="20"/>
  <c r="AE183" i="9" s="1"/>
  <c r="W179" i="9"/>
  <c r="W204" i="9"/>
  <c r="A212" i="15"/>
  <c r="Q212" i="15" s="1"/>
  <c r="W108" i="9"/>
  <c r="AE323" i="20"/>
  <c r="AE322" i="9" s="1"/>
  <c r="AE172" i="20"/>
  <c r="AE171" i="9" s="1"/>
  <c r="AE326" i="20"/>
  <c r="AE325" i="9" s="1"/>
  <c r="AE153" i="20"/>
  <c r="AE152" i="9" s="1"/>
  <c r="A185" i="15"/>
  <c r="Q185" i="15" s="1"/>
  <c r="I204" i="17"/>
  <c r="I295" i="17"/>
  <c r="S295" i="17" s="1"/>
  <c r="A106" i="17"/>
  <c r="AE306" i="20"/>
  <c r="AE305" i="9" s="1"/>
  <c r="AE301" i="20"/>
  <c r="AE300" i="9" s="1"/>
  <c r="AE152" i="20"/>
  <c r="AE407" i="20"/>
  <c r="AE406" i="9" s="1"/>
  <c r="S295" i="14"/>
  <c r="AE367" i="20"/>
  <c r="AE366" i="9" s="1"/>
  <c r="AE330" i="20"/>
  <c r="AE329" i="9" s="1"/>
  <c r="AE195" i="20"/>
  <c r="AE194" i="9" s="1"/>
  <c r="W2" i="9"/>
  <c r="AE51" i="20"/>
  <c r="AE381" i="20"/>
  <c r="AE380" i="9" s="1"/>
  <c r="AE380" i="20"/>
  <c r="AE379" i="9" s="1"/>
  <c r="AE149" i="20"/>
  <c r="AE148" i="9" s="1"/>
  <c r="AE397" i="20"/>
  <c r="AE396" i="9" s="1"/>
  <c r="AE384" i="20"/>
  <c r="AE383" i="9" s="1"/>
  <c r="AE46" i="20"/>
  <c r="AE45" i="9" s="1"/>
  <c r="AE332" i="20"/>
  <c r="AE331" i="9" s="1"/>
  <c r="H44" i="14"/>
  <c r="S44" i="14" s="1"/>
  <c r="H39" i="14"/>
  <c r="S39" i="14" s="1"/>
  <c r="H35" i="14"/>
  <c r="S35" i="14" s="1"/>
  <c r="H130" i="14"/>
  <c r="S130" i="14" s="1"/>
  <c r="H119" i="14"/>
  <c r="S119" i="14" s="1"/>
  <c r="H115" i="14"/>
  <c r="S115" i="14" s="1"/>
  <c r="H111" i="14"/>
  <c r="S111" i="14" s="1"/>
  <c r="H107" i="14"/>
  <c r="S107" i="14" s="1"/>
  <c r="H103" i="14"/>
  <c r="S103" i="14" s="1"/>
  <c r="H102" i="14"/>
  <c r="S102" i="14" s="1"/>
  <c r="H101" i="14"/>
  <c r="S101" i="14" s="1"/>
  <c r="H97" i="14"/>
  <c r="S97" i="14" s="1"/>
  <c r="H94" i="14"/>
  <c r="S94" i="14" s="1"/>
  <c r="H93" i="14"/>
  <c r="S93" i="14" s="1"/>
  <c r="H88" i="14"/>
  <c r="S88" i="14" s="1"/>
  <c r="H86" i="14"/>
  <c r="S86" i="14" s="1"/>
  <c r="H82" i="14"/>
  <c r="S82" i="14" s="1"/>
  <c r="H56" i="14"/>
  <c r="S56" i="14" s="1"/>
  <c r="H28" i="14"/>
  <c r="S28" i="14" s="1"/>
  <c r="H23" i="14"/>
  <c r="S23" i="14" s="1"/>
  <c r="H21" i="14"/>
  <c r="S21" i="14" s="1"/>
  <c r="H17" i="14"/>
  <c r="S17" i="14" s="1"/>
  <c r="H15" i="14"/>
  <c r="S15" i="14" s="1"/>
  <c r="H143" i="14"/>
  <c r="S143" i="14" s="1"/>
  <c r="H133" i="14"/>
  <c r="S133" i="14" s="1"/>
  <c r="H125" i="14"/>
  <c r="S125" i="14" s="1"/>
  <c r="H13" i="14"/>
  <c r="S13" i="14" s="1"/>
  <c r="H42" i="14"/>
  <c r="S42" i="14" s="1"/>
  <c r="H41" i="14"/>
  <c r="S41" i="14" s="1"/>
  <c r="H40" i="14"/>
  <c r="S40" i="14" s="1"/>
  <c r="H38" i="14"/>
  <c r="S38" i="14" s="1"/>
  <c r="H34" i="14"/>
  <c r="S34" i="14" s="1"/>
  <c r="H128" i="14"/>
  <c r="S128" i="14" s="1"/>
  <c r="H118" i="14"/>
  <c r="S118" i="14" s="1"/>
  <c r="H110" i="14"/>
  <c r="S110" i="14" s="1"/>
  <c r="H106" i="14"/>
  <c r="S106" i="14" s="1"/>
  <c r="H89" i="14"/>
  <c r="S89" i="14" s="1"/>
  <c r="H11" i="14"/>
  <c r="S11" i="14" s="1"/>
  <c r="H27" i="14"/>
  <c r="S27" i="14" s="1"/>
  <c r="H20" i="14"/>
  <c r="S20" i="14" s="1"/>
  <c r="H14" i="14"/>
  <c r="S14" i="14" s="1"/>
  <c r="H141" i="14"/>
  <c r="S141" i="14" s="1"/>
  <c r="H131" i="14"/>
  <c r="S131" i="14" s="1"/>
  <c r="H123" i="14"/>
  <c r="S123" i="14" s="1"/>
  <c r="H7" i="14"/>
  <c r="S7" i="14" s="1"/>
  <c r="H46" i="14"/>
  <c r="S46" i="14" s="1"/>
  <c r="H37" i="14"/>
  <c r="S37" i="14" s="1"/>
  <c r="H6" i="14"/>
  <c r="S6" i="14" s="1"/>
  <c r="H134" i="14"/>
  <c r="S134" i="14" s="1"/>
  <c r="H126" i="14"/>
  <c r="S126" i="14" s="1"/>
  <c r="H121" i="14"/>
  <c r="S121" i="14" s="1"/>
  <c r="H117" i="14"/>
  <c r="S117" i="14" s="1"/>
  <c r="H113" i="14"/>
  <c r="S113" i="14" s="1"/>
  <c r="H109" i="14"/>
  <c r="S109" i="14" s="1"/>
  <c r="H105" i="14"/>
  <c r="S105" i="14" s="1"/>
  <c r="H99" i="14"/>
  <c r="S99" i="14" s="1"/>
  <c r="H96" i="14"/>
  <c r="S96" i="14" s="1"/>
  <c r="H91" i="14"/>
  <c r="S91" i="14" s="1"/>
  <c r="H49" i="14"/>
  <c r="S49" i="14" s="1"/>
  <c r="H30" i="14"/>
  <c r="S30" i="14" s="1"/>
  <c r="H26" i="14"/>
  <c r="S26" i="14" s="1"/>
  <c r="H25" i="14"/>
  <c r="S25" i="14" s="1"/>
  <c r="H19" i="14"/>
  <c r="S19" i="14" s="1"/>
  <c r="H129" i="14"/>
  <c r="S129" i="14" s="1"/>
  <c r="H33" i="14"/>
  <c r="S33" i="14" s="1"/>
  <c r="H31" i="14"/>
  <c r="S31" i="14" s="1"/>
  <c r="H45" i="14"/>
  <c r="S45" i="14" s="1"/>
  <c r="H43" i="14"/>
  <c r="S43" i="14" s="1"/>
  <c r="H36" i="14"/>
  <c r="S36" i="14" s="1"/>
  <c r="H132" i="14"/>
  <c r="S132" i="14" s="1"/>
  <c r="H124" i="14"/>
  <c r="S124" i="14" s="1"/>
  <c r="H120" i="14"/>
  <c r="S120" i="14" s="1"/>
  <c r="H112" i="14"/>
  <c r="S112" i="14" s="1"/>
  <c r="H108" i="14"/>
  <c r="S108" i="14" s="1"/>
  <c r="H104" i="14"/>
  <c r="S104" i="14" s="1"/>
  <c r="H98" i="14"/>
  <c r="S98" i="14" s="1"/>
  <c r="H95" i="14"/>
  <c r="S95" i="14" s="1"/>
  <c r="H87" i="14"/>
  <c r="S87" i="14" s="1"/>
  <c r="H85" i="14"/>
  <c r="S85" i="14" s="1"/>
  <c r="H84" i="14"/>
  <c r="S84" i="14" s="1"/>
  <c r="H83" i="14"/>
  <c r="S83" i="14" s="1"/>
  <c r="H81" i="14"/>
  <c r="S81" i="14" s="1"/>
  <c r="H65" i="14"/>
  <c r="S65" i="14" s="1"/>
  <c r="H54" i="14"/>
  <c r="S54" i="14" s="1"/>
  <c r="H50" i="14"/>
  <c r="S50" i="14" s="1"/>
  <c r="H29" i="14"/>
  <c r="S29" i="14" s="1"/>
  <c r="H24" i="14"/>
  <c r="S24" i="14" s="1"/>
  <c r="H22" i="14"/>
  <c r="S22" i="14" s="1"/>
  <c r="H18" i="14"/>
  <c r="S18" i="14" s="1"/>
  <c r="H16" i="14"/>
  <c r="S16" i="14" s="1"/>
  <c r="H135" i="14"/>
  <c r="S135" i="14" s="1"/>
  <c r="H127" i="14"/>
  <c r="S127" i="14" s="1"/>
  <c r="H32" i="14"/>
  <c r="S32" i="14" s="1"/>
  <c r="I218" i="15"/>
  <c r="I206" i="17"/>
  <c r="I208" i="17"/>
  <c r="I228" i="15"/>
  <c r="I220" i="15"/>
  <c r="AE392" i="20"/>
  <c r="AE391" i="9" s="1"/>
  <c r="AE385" i="20"/>
  <c r="AE384" i="9" s="1"/>
  <c r="AE30" i="20"/>
  <c r="AE378" i="20"/>
  <c r="AE377" i="9" s="1"/>
  <c r="AE374" i="20"/>
  <c r="AE373" i="9" s="1"/>
  <c r="AE18" i="20"/>
  <c r="AE150" i="20"/>
  <c r="AE149" i="9" s="1"/>
  <c r="AE403" i="20"/>
  <c r="AE402" i="9" s="1"/>
  <c r="AE128" i="20"/>
  <c r="AE127" i="9" s="1"/>
  <c r="H294" i="15"/>
  <c r="I333" i="15"/>
  <c r="I211" i="15"/>
  <c r="I316" i="15"/>
  <c r="I231" i="17"/>
  <c r="A144" i="15"/>
  <c r="Q144" i="15" s="1"/>
  <c r="I224" i="15"/>
  <c r="I209" i="15"/>
  <c r="I192" i="15"/>
  <c r="AE303" i="20"/>
  <c r="AE302" i="9" s="1"/>
  <c r="AE156" i="20"/>
  <c r="AE155" i="9" s="1"/>
  <c r="AE412" i="20"/>
  <c r="AE411" i="9" s="1"/>
  <c r="AE377" i="20"/>
  <c r="AE154" i="20"/>
  <c r="AE153" i="9" s="1"/>
  <c r="AE13" i="20"/>
  <c r="AE132" i="20"/>
  <c r="AE131" i="9" s="1"/>
  <c r="A182" i="15"/>
  <c r="Q182" i="15" s="1"/>
  <c r="W141" i="9"/>
  <c r="I161" i="15"/>
  <c r="I226" i="15"/>
  <c r="I216" i="15"/>
  <c r="AE331" i="20"/>
  <c r="AE330" i="9" s="1"/>
  <c r="AE41" i="20"/>
  <c r="AE40" i="9" s="1"/>
  <c r="AE12" i="20"/>
  <c r="AE166" i="20"/>
  <c r="AE165" i="9" s="1"/>
  <c r="AE37" i="20"/>
  <c r="AE390" i="20"/>
  <c r="AE389" i="9" s="1"/>
  <c r="AE40" i="20"/>
  <c r="AE39" i="9" s="1"/>
  <c r="AE309" i="20"/>
  <c r="AE308" i="9" s="1"/>
  <c r="AE10" i="20"/>
  <c r="AE328" i="20"/>
  <c r="AE327" i="9" s="1"/>
  <c r="AE181" i="20"/>
  <c r="AE180" i="9" s="1"/>
  <c r="AE299" i="20"/>
  <c r="A122" i="17"/>
  <c r="W184" i="9"/>
  <c r="W211" i="9"/>
  <c r="I159" i="15"/>
  <c r="I231" i="15"/>
  <c r="I206" i="15"/>
  <c r="W78" i="9"/>
  <c r="AE155" i="20"/>
  <c r="AE154" i="9" s="1"/>
  <c r="AE22" i="20"/>
  <c r="AE20" i="20"/>
  <c r="AE19" i="9" s="1"/>
  <c r="AE16" i="20"/>
  <c r="AE15" i="9" s="1"/>
  <c r="AE14" i="20"/>
  <c r="AE405" i="20"/>
  <c r="AE404" i="9" s="1"/>
  <c r="AE398" i="20"/>
  <c r="AE397" i="9" s="1"/>
  <c r="S164" i="14"/>
  <c r="S310" i="14"/>
  <c r="AE369" i="20"/>
  <c r="AE368" i="9" s="1"/>
  <c r="AE329" i="20"/>
  <c r="AE328" i="9" s="1"/>
  <c r="AE324" i="20"/>
  <c r="AE323" i="9" s="1"/>
  <c r="AE375" i="20"/>
  <c r="AE374" i="9" s="1"/>
  <c r="AE298" i="20"/>
  <c r="AE297" i="9" s="1"/>
  <c r="A118" i="17"/>
  <c r="I163" i="15"/>
  <c r="I222" i="15"/>
  <c r="I213" i="15"/>
  <c r="BH33" i="17"/>
  <c r="AE370" i="20"/>
  <c r="AE369" i="9" s="1"/>
  <c r="AE373" i="20"/>
  <c r="AE372" i="9" s="1"/>
  <c r="AE142" i="20"/>
  <c r="AE141" i="9" s="1"/>
  <c r="AE124" i="20"/>
  <c r="AE123" i="9" s="1"/>
  <c r="AC297" i="20"/>
  <c r="AC296" i="9" s="1"/>
  <c r="S228" i="14"/>
  <c r="S222" i="14"/>
  <c r="S209" i="14"/>
  <c r="S205" i="14"/>
  <c r="I197" i="15"/>
  <c r="I318" i="15"/>
  <c r="I313" i="15"/>
  <c r="I309" i="15"/>
  <c r="I227" i="15"/>
  <c r="I223" i="15"/>
  <c r="I219" i="15"/>
  <c r="I214" i="15"/>
  <c r="I210" i="15"/>
  <c r="I204" i="15"/>
  <c r="W169" i="9"/>
  <c r="I190" i="15"/>
  <c r="I315" i="15"/>
  <c r="I310" i="15"/>
  <c r="I229" i="15"/>
  <c r="I225" i="15"/>
  <c r="I221" i="15"/>
  <c r="I217" i="15"/>
  <c r="I212" i="15"/>
  <c r="I208" i="15"/>
  <c r="I145" i="15"/>
  <c r="S145" i="15" s="1"/>
  <c r="I201" i="15"/>
  <c r="I322" i="15"/>
  <c r="I165" i="15"/>
  <c r="S294" i="15"/>
  <c r="AE320" i="20"/>
  <c r="AE319" i="9" s="1"/>
  <c r="H321" i="14"/>
  <c r="S321" i="14" s="1"/>
  <c r="AE168" i="20"/>
  <c r="AE167" i="9" s="1"/>
  <c r="H169" i="14"/>
  <c r="S169" i="14" s="1"/>
  <c r="AE317" i="20"/>
  <c r="AE316" i="9" s="1"/>
  <c r="H318" i="14"/>
  <c r="S318" i="14" s="1"/>
  <c r="AE314" i="20"/>
  <c r="AE313" i="9" s="1"/>
  <c r="H315" i="14"/>
  <c r="S315" i="14" s="1"/>
  <c r="AE313" i="20"/>
  <c r="AE312" i="9" s="1"/>
  <c r="H314" i="14"/>
  <c r="S314" i="14" s="1"/>
  <c r="AE310" i="20"/>
  <c r="AE309" i="9" s="1"/>
  <c r="H311" i="14"/>
  <c r="S311" i="14" s="1"/>
  <c r="AE160" i="20"/>
  <c r="AE159" i="9" s="1"/>
  <c r="H161" i="14"/>
  <c r="S161" i="14" s="1"/>
  <c r="AE159" i="20"/>
  <c r="AE158" i="9" s="1"/>
  <c r="H160" i="14"/>
  <c r="S160" i="14" s="1"/>
  <c r="AE361" i="20"/>
  <c r="AE360" i="9" s="1"/>
  <c r="H362" i="14"/>
  <c r="S362" i="14" s="1"/>
  <c r="AE395" i="20"/>
  <c r="AE394" i="9" s="1"/>
  <c r="H396" i="14"/>
  <c r="S396" i="14" s="1"/>
  <c r="AE11" i="20"/>
  <c r="H12" i="14"/>
  <c r="S12" i="14" s="1"/>
  <c r="AE141" i="20"/>
  <c r="AE140" i="9" s="1"/>
  <c r="H142" i="14"/>
  <c r="S142" i="14" s="1"/>
  <c r="AE115" i="20"/>
  <c r="H116" i="14"/>
  <c r="S116" i="14" s="1"/>
  <c r="AE281" i="20"/>
  <c r="AE280" i="9" s="1"/>
  <c r="H282" i="14"/>
  <c r="S282" i="14" s="1"/>
  <c r="AE275" i="20"/>
  <c r="AE274" i="9" s="1"/>
  <c r="H276" i="14"/>
  <c r="S276" i="14" s="1"/>
  <c r="AE89" i="20"/>
  <c r="H90" i="14"/>
  <c r="S90" i="14" s="1"/>
  <c r="AE268" i="20"/>
  <c r="AE267" i="9" s="1"/>
  <c r="H269" i="14"/>
  <c r="S269" i="14" s="1"/>
  <c r="AE253" i="20"/>
  <c r="AE252" i="9" s="1"/>
  <c r="H254" i="14"/>
  <c r="S254" i="14" s="1"/>
  <c r="I65" i="9"/>
  <c r="H67" i="14"/>
  <c r="S67" i="14" s="1"/>
  <c r="I205" i="9"/>
  <c r="H206" i="15" s="1"/>
  <c r="H207" i="14"/>
  <c r="S207" i="14" s="1"/>
  <c r="I55" i="9"/>
  <c r="H57" i="15" s="1"/>
  <c r="H57" i="14"/>
  <c r="S57" i="14" s="1"/>
  <c r="AE198" i="20"/>
  <c r="AE197" i="9" s="1"/>
  <c r="H199" i="14"/>
  <c r="S199" i="14" s="1"/>
  <c r="I50" i="9"/>
  <c r="H52" i="14"/>
  <c r="S52" i="14" s="1"/>
  <c r="I334" i="9"/>
  <c r="H336" i="17" s="1"/>
  <c r="S336" i="17" s="1"/>
  <c r="H336" i="14"/>
  <c r="S336" i="14" s="1"/>
  <c r="I326" i="9"/>
  <c r="H327" i="15" s="1"/>
  <c r="H328" i="14"/>
  <c r="S328" i="14" s="1"/>
  <c r="I45" i="9"/>
  <c r="H47" i="15" s="1"/>
  <c r="H47" i="14"/>
  <c r="S47" i="14" s="1"/>
  <c r="AE175" i="20"/>
  <c r="AE174" i="9" s="1"/>
  <c r="H176" i="14"/>
  <c r="S176" i="14" s="1"/>
  <c r="AE376" i="20"/>
  <c r="AE375" i="9" s="1"/>
  <c r="H377" i="14"/>
  <c r="S377" i="14" s="1"/>
  <c r="AE406" i="20"/>
  <c r="AE405" i="9" s="1"/>
  <c r="H407" i="14"/>
  <c r="S407" i="14" s="1"/>
  <c r="AE402" i="20"/>
  <c r="AE401" i="9" s="1"/>
  <c r="H403" i="14"/>
  <c r="S403" i="14" s="1"/>
  <c r="AE399" i="20"/>
  <c r="AE398" i="9" s="1"/>
  <c r="H400" i="14"/>
  <c r="S400" i="14" s="1"/>
  <c r="AE305" i="20"/>
  <c r="AE304" i="9" s="1"/>
  <c r="H306" i="14"/>
  <c r="S306" i="14" s="1"/>
  <c r="I295" i="9"/>
  <c r="H296" i="15" s="1"/>
  <c r="H297" i="14"/>
  <c r="S297" i="14" s="1"/>
  <c r="A218" i="15"/>
  <c r="Q218" i="15" s="1"/>
  <c r="A219" i="17"/>
  <c r="Q219" i="17" s="1"/>
  <c r="A230" i="15"/>
  <c r="Q230" i="15" s="1"/>
  <c r="A231" i="17"/>
  <c r="Q231" i="17" s="1"/>
  <c r="A317" i="15"/>
  <c r="Q317" i="15" s="1"/>
  <c r="A318" i="17"/>
  <c r="Q318" i="17" s="1"/>
  <c r="A329" i="15"/>
  <c r="Q329" i="15" s="1"/>
  <c r="A330" i="17"/>
  <c r="Q330" i="17" s="1"/>
  <c r="A295" i="15"/>
  <c r="Q295" i="15" s="1"/>
  <c r="A296" i="17"/>
  <c r="Q296" i="17" s="1"/>
  <c r="A250" i="15"/>
  <c r="Q250" i="15" s="1"/>
  <c r="A251" i="17"/>
  <c r="Q251" i="17" s="1"/>
  <c r="A270" i="15"/>
  <c r="Q270" i="15" s="1"/>
  <c r="A271" i="17"/>
  <c r="Q271" i="17" s="1"/>
  <c r="A323" i="15"/>
  <c r="Q323" i="15" s="1"/>
  <c r="A324" i="17"/>
  <c r="Q324" i="17" s="1"/>
  <c r="A294" i="15"/>
  <c r="Q294" i="15" s="1"/>
  <c r="A295" i="17"/>
  <c r="Q295" i="17" s="1"/>
  <c r="A222" i="15"/>
  <c r="Q222" i="15" s="1"/>
  <c r="A223" i="17"/>
  <c r="Q223" i="17" s="1"/>
  <c r="A236" i="15"/>
  <c r="Q236" i="15" s="1"/>
  <c r="A237" i="17"/>
  <c r="Q237" i="17" s="1"/>
  <c r="A260" i="15"/>
  <c r="Q260" i="15" s="1"/>
  <c r="A261" i="17"/>
  <c r="Q261" i="17" s="1"/>
  <c r="A276" i="15"/>
  <c r="Q276" i="15" s="1"/>
  <c r="A277" i="17"/>
  <c r="Q277" i="17" s="1"/>
  <c r="A308" i="15"/>
  <c r="Q308" i="15" s="1"/>
  <c r="A309" i="17"/>
  <c r="Q309" i="17" s="1"/>
  <c r="A315" i="15"/>
  <c r="Q315" i="15" s="1"/>
  <c r="A316" i="17"/>
  <c r="Q316" i="17" s="1"/>
  <c r="A321" i="15"/>
  <c r="Q321" i="15" s="1"/>
  <c r="A322" i="17"/>
  <c r="Q322" i="17" s="1"/>
  <c r="A361" i="15"/>
  <c r="Q361" i="15" s="1"/>
  <c r="A362" i="17"/>
  <c r="Q362" i="17" s="1"/>
  <c r="A223" i="15"/>
  <c r="Q223" i="15" s="1"/>
  <c r="A224" i="17"/>
  <c r="Q224" i="17" s="1"/>
  <c r="A243" i="15"/>
  <c r="Q243" i="15" s="1"/>
  <c r="A244" i="17"/>
  <c r="Q244" i="17" s="1"/>
  <c r="A255" i="15"/>
  <c r="Q255" i="15" s="1"/>
  <c r="A256" i="17"/>
  <c r="Q256" i="17" s="1"/>
  <c r="A267" i="15"/>
  <c r="Q267" i="15" s="1"/>
  <c r="A268" i="17"/>
  <c r="Q268" i="17" s="1"/>
  <c r="A286" i="15"/>
  <c r="Q286" i="15" s="1"/>
  <c r="A287" i="17"/>
  <c r="Q287" i="17" s="1"/>
  <c r="A298" i="15"/>
  <c r="Q298" i="15" s="1"/>
  <c r="A299" i="17"/>
  <c r="Q299" i="17" s="1"/>
  <c r="A319" i="15"/>
  <c r="Q319" i="15" s="1"/>
  <c r="A320" i="17"/>
  <c r="Q320" i="17" s="1"/>
  <c r="A325" i="15"/>
  <c r="Q325" i="15" s="1"/>
  <c r="A326" i="17"/>
  <c r="Q326" i="17" s="1"/>
  <c r="A300" i="15"/>
  <c r="Q300" i="15" s="1"/>
  <c r="A301" i="17"/>
  <c r="Q301" i="17" s="1"/>
  <c r="A326" i="15"/>
  <c r="Q326" i="15" s="1"/>
  <c r="A327" i="17"/>
  <c r="Q327" i="17" s="1"/>
  <c r="I294" i="9"/>
  <c r="H295" i="15" s="1"/>
  <c r="S295" i="15" s="1"/>
  <c r="H296" i="14"/>
  <c r="S296" i="14" s="1"/>
  <c r="AE173" i="20"/>
  <c r="AE172" i="9" s="1"/>
  <c r="H174" i="14"/>
  <c r="S174" i="14" s="1"/>
  <c r="AE170" i="20"/>
  <c r="AE169" i="9" s="1"/>
  <c r="H171" i="14"/>
  <c r="S171" i="14" s="1"/>
  <c r="AE316" i="20"/>
  <c r="AE315" i="9" s="1"/>
  <c r="H317" i="14"/>
  <c r="S317" i="14" s="1"/>
  <c r="AE165" i="20"/>
  <c r="H166" i="14"/>
  <c r="S166" i="14" s="1"/>
  <c r="AE312" i="20"/>
  <c r="AE311" i="9" s="1"/>
  <c r="H313" i="14"/>
  <c r="S313" i="14" s="1"/>
  <c r="AE162" i="20"/>
  <c r="AE161" i="9" s="1"/>
  <c r="H163" i="14"/>
  <c r="S163" i="14" s="1"/>
  <c r="AE158" i="20"/>
  <c r="AE157" i="9" s="1"/>
  <c r="H159" i="14"/>
  <c r="S159" i="14" s="1"/>
  <c r="AE393" i="20"/>
  <c r="AE392" i="9" s="1"/>
  <c r="H394" i="14"/>
  <c r="S394" i="14" s="1"/>
  <c r="I7" i="9"/>
  <c r="H9" i="15" s="1"/>
  <c r="H9" i="14"/>
  <c r="S9" i="14" s="1"/>
  <c r="AE139" i="20"/>
  <c r="AE138" i="9" s="1"/>
  <c r="H140" i="14"/>
  <c r="S140" i="14" s="1"/>
  <c r="AE292" i="20"/>
  <c r="AE291" i="9" s="1"/>
  <c r="H293" i="14"/>
  <c r="S293" i="14" s="1"/>
  <c r="AE270" i="20"/>
  <c r="AE269" i="9" s="1"/>
  <c r="H271" i="14"/>
  <c r="S271" i="14" s="1"/>
  <c r="AE262" i="20"/>
  <c r="AE261" i="9" s="1"/>
  <c r="H263" i="14"/>
  <c r="S263" i="14" s="1"/>
  <c r="AE259" i="20"/>
  <c r="AE258" i="9" s="1"/>
  <c r="H260" i="14"/>
  <c r="S260" i="14" s="1"/>
  <c r="AE256" i="20"/>
  <c r="AE255" i="9" s="1"/>
  <c r="H257" i="14"/>
  <c r="S257" i="14" s="1"/>
  <c r="AE250" i="20"/>
  <c r="AE249" i="9" s="1"/>
  <c r="H251" i="14"/>
  <c r="S251" i="14" s="1"/>
  <c r="I78" i="9"/>
  <c r="H80" i="17" s="1"/>
  <c r="H80" i="14"/>
  <c r="S80" i="14" s="1"/>
  <c r="I77" i="9"/>
  <c r="H79" i="15" s="1"/>
  <c r="H79" i="14"/>
  <c r="S79" i="14" s="1"/>
  <c r="I76" i="9"/>
  <c r="H78" i="15" s="1"/>
  <c r="H78" i="14"/>
  <c r="S78" i="14" s="1"/>
  <c r="I236" i="9"/>
  <c r="H238" i="17" s="1"/>
  <c r="H238" i="14"/>
  <c r="S238" i="14" s="1"/>
  <c r="I233" i="9"/>
  <c r="H234" i="15" s="1"/>
  <c r="H235" i="14"/>
  <c r="S235" i="14" s="1"/>
  <c r="I72" i="9"/>
  <c r="H74" i="15" s="1"/>
  <c r="H74" i="14"/>
  <c r="S74" i="14" s="1"/>
  <c r="I70" i="9"/>
  <c r="H72" i="15" s="1"/>
  <c r="S72" i="15" s="1"/>
  <c r="H72" i="14"/>
  <c r="S72" i="14" s="1"/>
  <c r="I69" i="9"/>
  <c r="H71" i="15" s="1"/>
  <c r="H71" i="14"/>
  <c r="S71" i="14" s="1"/>
  <c r="I68" i="9"/>
  <c r="H70" i="15" s="1"/>
  <c r="S70" i="15" s="1"/>
  <c r="H70" i="14"/>
  <c r="S70" i="14" s="1"/>
  <c r="I67" i="9"/>
  <c r="H69" i="15" s="1"/>
  <c r="H69" i="14"/>
  <c r="S69" i="14" s="1"/>
  <c r="I66" i="9"/>
  <c r="H68" i="15" s="1"/>
  <c r="H68" i="14"/>
  <c r="S68" i="14" s="1"/>
  <c r="I213" i="9"/>
  <c r="H215" i="17" s="1"/>
  <c r="S215" i="17" s="1"/>
  <c r="H215" i="14"/>
  <c r="S215" i="14" s="1"/>
  <c r="I62" i="9"/>
  <c r="H64" i="15" s="1"/>
  <c r="S64" i="15" s="1"/>
  <c r="H64" i="14"/>
  <c r="S64" i="14" s="1"/>
  <c r="I60" i="9"/>
  <c r="H62" i="15" s="1"/>
  <c r="H62" i="14"/>
  <c r="S62" i="14" s="1"/>
  <c r="I59" i="9"/>
  <c r="H61" i="17" s="1"/>
  <c r="H61" i="14"/>
  <c r="S61" i="14" s="1"/>
  <c r="I57" i="9"/>
  <c r="H59" i="14"/>
  <c r="S59" i="14" s="1"/>
  <c r="I202" i="9"/>
  <c r="H203" i="15" s="1"/>
  <c r="S203" i="15" s="1"/>
  <c r="H204" i="14"/>
  <c r="S204" i="14" s="1"/>
  <c r="I200" i="9"/>
  <c r="H202" i="17" s="1"/>
  <c r="S202" i="17" s="1"/>
  <c r="H202" i="14"/>
  <c r="S202" i="14" s="1"/>
  <c r="I53" i="9"/>
  <c r="H55" i="15" s="1"/>
  <c r="H55" i="14"/>
  <c r="S55" i="14" s="1"/>
  <c r="AE192" i="20"/>
  <c r="AE191" i="9" s="1"/>
  <c r="H193" i="14"/>
  <c r="S193" i="14" s="1"/>
  <c r="I189" i="9"/>
  <c r="H190" i="15" s="1"/>
  <c r="S190" i="15" s="1"/>
  <c r="H191" i="14"/>
  <c r="S191" i="14" s="1"/>
  <c r="I333" i="9"/>
  <c r="H335" i="17" s="1"/>
  <c r="S335" i="17" s="1"/>
  <c r="H335" i="14"/>
  <c r="S335" i="14" s="1"/>
  <c r="I178" i="9"/>
  <c r="H180" i="17" s="1"/>
  <c r="H180" i="14"/>
  <c r="S180" i="14" s="1"/>
  <c r="I175" i="9"/>
  <c r="H177" i="17" s="1"/>
  <c r="H177" i="14"/>
  <c r="S177" i="14" s="1"/>
  <c r="I146" i="9"/>
  <c r="H148" i="17" s="1"/>
  <c r="S148" i="17" s="1"/>
  <c r="H148" i="14"/>
  <c r="S148" i="14" s="1"/>
  <c r="AE379" i="20"/>
  <c r="AE378" i="9" s="1"/>
  <c r="H380" i="14"/>
  <c r="S380" i="14" s="1"/>
  <c r="AE410" i="20"/>
  <c r="AE409" i="9" s="1"/>
  <c r="H411" i="14"/>
  <c r="S411" i="14" s="1"/>
  <c r="AE389" i="20"/>
  <c r="AE388" i="9" s="1"/>
  <c r="H390" i="14"/>
  <c r="S390" i="14" s="1"/>
  <c r="AE386" i="20"/>
  <c r="AE385" i="9" s="1"/>
  <c r="H387" i="14"/>
  <c r="S387" i="14" s="1"/>
  <c r="AE157" i="20"/>
  <c r="AE156" i="9" s="1"/>
  <c r="H158" i="14"/>
  <c r="S158" i="14" s="1"/>
  <c r="A275" i="15"/>
  <c r="Q275" i="15" s="1"/>
  <c r="A276" i="17"/>
  <c r="Q276" i="17" s="1"/>
  <c r="A310" i="15"/>
  <c r="Q310" i="15" s="1"/>
  <c r="A311" i="17"/>
  <c r="Q311" i="17" s="1"/>
  <c r="A363" i="15"/>
  <c r="Q363" i="15" s="1"/>
  <c r="A364" i="17"/>
  <c r="Q364" i="17" s="1"/>
  <c r="W138" i="9"/>
  <c r="A225" i="15"/>
  <c r="Q225" i="15" s="1"/>
  <c r="A226" i="17"/>
  <c r="Q226" i="17" s="1"/>
  <c r="A251" i="15"/>
  <c r="Q251" i="15" s="1"/>
  <c r="A252" i="17"/>
  <c r="Q252" i="17" s="1"/>
  <c r="A282" i="15"/>
  <c r="Q282" i="15" s="1"/>
  <c r="A283" i="17"/>
  <c r="Q283" i="17" s="1"/>
  <c r="W140" i="9"/>
  <c r="A318" i="15"/>
  <c r="Q318" i="15" s="1"/>
  <c r="A319" i="17"/>
  <c r="Q319" i="17" s="1"/>
  <c r="A330" i="15"/>
  <c r="Q330" i="15" s="1"/>
  <c r="A331" i="17"/>
  <c r="Q331" i="17" s="1"/>
  <c r="W157" i="9"/>
  <c r="W325" i="9"/>
  <c r="A246" i="15"/>
  <c r="Q246" i="15" s="1"/>
  <c r="A247" i="17"/>
  <c r="Q247" i="17" s="1"/>
  <c r="A258" i="15"/>
  <c r="Q258" i="15" s="1"/>
  <c r="A259" i="17"/>
  <c r="Q259" i="17" s="1"/>
  <c r="A277" i="15"/>
  <c r="Q277" i="15" s="1"/>
  <c r="A278" i="17"/>
  <c r="Q278" i="17" s="1"/>
  <c r="W143" i="9"/>
  <c r="I203" i="17"/>
  <c r="I199" i="17"/>
  <c r="I196" i="17"/>
  <c r="I192" i="17"/>
  <c r="I190" i="17"/>
  <c r="I169" i="17"/>
  <c r="I318" i="17"/>
  <c r="I167" i="17"/>
  <c r="I315" i="17"/>
  <c r="I165" i="17"/>
  <c r="I313" i="17"/>
  <c r="I312" i="17"/>
  <c r="I163" i="17"/>
  <c r="I161" i="17"/>
  <c r="I309" i="17"/>
  <c r="I159" i="17"/>
  <c r="A307" i="15"/>
  <c r="Q307" i="15" s="1"/>
  <c r="A308" i="17"/>
  <c r="Q308" i="17" s="1"/>
  <c r="A322" i="15"/>
  <c r="Q322" i="15" s="1"/>
  <c r="A323" i="17"/>
  <c r="Q323" i="17" s="1"/>
  <c r="AE322" i="20"/>
  <c r="AE321" i="9" s="1"/>
  <c r="H323" i="14"/>
  <c r="S323" i="14" s="1"/>
  <c r="AE137" i="20"/>
  <c r="AE136" i="9" s="1"/>
  <c r="H138" i="14"/>
  <c r="S138" i="14" s="1"/>
  <c r="I120" i="9"/>
  <c r="H122" i="15" s="1"/>
  <c r="S122" i="15" s="1"/>
  <c r="H122" i="14"/>
  <c r="S122" i="14" s="1"/>
  <c r="I112" i="9"/>
  <c r="H114" i="15" s="1"/>
  <c r="S114" i="15" s="1"/>
  <c r="H114" i="14"/>
  <c r="S114" i="14" s="1"/>
  <c r="AE99" i="20"/>
  <c r="AE98" i="9" s="1"/>
  <c r="H100" i="14"/>
  <c r="S100" i="14" s="1"/>
  <c r="AE277" i="20"/>
  <c r="AE276" i="9" s="1"/>
  <c r="H278" i="14"/>
  <c r="S278" i="14" s="1"/>
  <c r="AE91" i="20"/>
  <c r="AE90" i="9" s="1"/>
  <c r="H92" i="14"/>
  <c r="S92" i="14" s="1"/>
  <c r="AE267" i="20"/>
  <c r="AE266" i="9" s="1"/>
  <c r="H268" i="14"/>
  <c r="S268" i="14" s="1"/>
  <c r="AE265" i="20"/>
  <c r="AE264" i="9" s="1"/>
  <c r="H266" i="14"/>
  <c r="S266" i="14" s="1"/>
  <c r="AE261" i="20"/>
  <c r="AE260" i="9" s="1"/>
  <c r="H262" i="14"/>
  <c r="S262" i="14" s="1"/>
  <c r="AE258" i="20"/>
  <c r="AE257" i="9" s="1"/>
  <c r="H259" i="14"/>
  <c r="S259" i="14" s="1"/>
  <c r="AE255" i="20"/>
  <c r="AE254" i="9" s="1"/>
  <c r="H256" i="14"/>
  <c r="S256" i="14" s="1"/>
  <c r="AE252" i="20"/>
  <c r="AE251" i="9" s="1"/>
  <c r="H253" i="14"/>
  <c r="S253" i="14" s="1"/>
  <c r="AE249" i="20"/>
  <c r="AE248" i="9" s="1"/>
  <c r="H250" i="14"/>
  <c r="S250" i="14" s="1"/>
  <c r="I245" i="9"/>
  <c r="H246" i="15" s="1"/>
  <c r="H247" i="14"/>
  <c r="S247" i="14" s="1"/>
  <c r="I242" i="9"/>
  <c r="H244" i="17" s="1"/>
  <c r="H244" i="14"/>
  <c r="S244" i="14" s="1"/>
  <c r="I239" i="9"/>
  <c r="H240" i="15" s="1"/>
  <c r="H241" i="14"/>
  <c r="S241" i="14" s="1"/>
  <c r="I75" i="9"/>
  <c r="H77" i="15" s="1"/>
  <c r="H77" i="14"/>
  <c r="S77" i="14" s="1"/>
  <c r="I74" i="9"/>
  <c r="H76" i="15" s="1"/>
  <c r="S76" i="15" s="1"/>
  <c r="H76" i="14"/>
  <c r="S76" i="14" s="1"/>
  <c r="I71" i="9"/>
  <c r="H73" i="17" s="1"/>
  <c r="H73" i="14"/>
  <c r="S73" i="14" s="1"/>
  <c r="I228" i="9"/>
  <c r="H230" i="17" s="1"/>
  <c r="S230" i="17" s="1"/>
  <c r="H230" i="14"/>
  <c r="S230" i="14" s="1"/>
  <c r="I225" i="9"/>
  <c r="H226" i="15" s="1"/>
  <c r="H227" i="14"/>
  <c r="S227" i="14" s="1"/>
  <c r="I222" i="9"/>
  <c r="H223" i="15" s="1"/>
  <c r="H224" i="14"/>
  <c r="S224" i="14" s="1"/>
  <c r="I219" i="9"/>
  <c r="H220" i="15" s="1"/>
  <c r="H221" i="14"/>
  <c r="S221" i="14" s="1"/>
  <c r="I216" i="9"/>
  <c r="H217" i="15" s="1"/>
  <c r="H218" i="14"/>
  <c r="S218" i="14" s="1"/>
  <c r="I212" i="9"/>
  <c r="H213" i="15" s="1"/>
  <c r="H214" i="14"/>
  <c r="S214" i="14" s="1"/>
  <c r="I61" i="9"/>
  <c r="H63" i="15" s="1"/>
  <c r="S63" i="15" s="1"/>
  <c r="H63" i="14"/>
  <c r="S63" i="14" s="1"/>
  <c r="I209" i="9"/>
  <c r="H211" i="17" s="1"/>
  <c r="S211" i="17" s="1"/>
  <c r="H211" i="14"/>
  <c r="S211" i="14" s="1"/>
  <c r="I58" i="9"/>
  <c r="H60" i="17" s="1"/>
  <c r="H60" i="14"/>
  <c r="S60" i="14" s="1"/>
  <c r="I56" i="9"/>
  <c r="H58" i="15" s="1"/>
  <c r="S58" i="15" s="1"/>
  <c r="H58" i="14"/>
  <c r="S58" i="14" s="1"/>
  <c r="AE340" i="20"/>
  <c r="AE339" i="9" s="1"/>
  <c r="H341" i="14"/>
  <c r="S341" i="14" s="1"/>
  <c r="AE200" i="20"/>
  <c r="AE199" i="9" s="1"/>
  <c r="H201" i="14"/>
  <c r="S201" i="14" s="1"/>
  <c r="AE197" i="20"/>
  <c r="AE196" i="9" s="1"/>
  <c r="H198" i="14"/>
  <c r="S198" i="14" s="1"/>
  <c r="I193" i="9"/>
  <c r="H194" i="15" s="1"/>
  <c r="H195" i="14"/>
  <c r="S195" i="14" s="1"/>
  <c r="I188" i="9"/>
  <c r="H189" i="15" s="1"/>
  <c r="S189" i="15" s="1"/>
  <c r="H190" i="14"/>
  <c r="S190" i="14" s="1"/>
  <c r="AE188" i="20"/>
  <c r="AE187" i="9" s="1"/>
  <c r="H189" i="14"/>
  <c r="S189" i="14" s="1"/>
  <c r="AE187" i="20"/>
  <c r="AE186" i="9" s="1"/>
  <c r="H188" i="14"/>
  <c r="S188" i="14" s="1"/>
  <c r="I46" i="9"/>
  <c r="H48" i="17" s="1"/>
  <c r="H48" i="14"/>
  <c r="S48" i="14" s="1"/>
  <c r="I177" i="9"/>
  <c r="H178" i="15" s="1"/>
  <c r="H179" i="14"/>
  <c r="S179" i="14" s="1"/>
  <c r="AE368" i="20"/>
  <c r="AE367" i="9" s="1"/>
  <c r="H369" i="14"/>
  <c r="S369" i="14" s="1"/>
  <c r="AE409" i="20"/>
  <c r="AE408" i="9" s="1"/>
  <c r="H410" i="14"/>
  <c r="S410" i="14" s="1"/>
  <c r="AE404" i="20"/>
  <c r="AE403" i="9" s="1"/>
  <c r="H405" i="14"/>
  <c r="S405" i="14" s="1"/>
  <c r="AE401" i="20"/>
  <c r="AE400" i="9" s="1"/>
  <c r="H402" i="14"/>
  <c r="S402" i="14" s="1"/>
  <c r="AE372" i="20"/>
  <c r="AE371" i="9" s="1"/>
  <c r="H373" i="14"/>
  <c r="S373" i="14" s="1"/>
  <c r="AE307" i="20"/>
  <c r="AE306" i="9" s="1"/>
  <c r="H308" i="14"/>
  <c r="S308" i="14" s="1"/>
  <c r="AE304" i="20"/>
  <c r="AE303" i="9" s="1"/>
  <c r="H305" i="14"/>
  <c r="S305" i="14" s="1"/>
  <c r="AE394" i="20"/>
  <c r="AE393" i="9" s="1"/>
  <c r="H395" i="14"/>
  <c r="S395" i="14" s="1"/>
  <c r="AE9" i="20"/>
  <c r="H10" i="14"/>
  <c r="S10" i="14" s="1"/>
  <c r="A235" i="15"/>
  <c r="Q235" i="15" s="1"/>
  <c r="A236" i="17"/>
  <c r="Q236" i="17" s="1"/>
  <c r="A247" i="15"/>
  <c r="Q247" i="15" s="1"/>
  <c r="A248" i="17"/>
  <c r="Q248" i="17" s="1"/>
  <c r="A281" i="15"/>
  <c r="Q281" i="15" s="1"/>
  <c r="A282" i="17"/>
  <c r="Q282" i="17" s="1"/>
  <c r="A301" i="15"/>
  <c r="Q301" i="15" s="1"/>
  <c r="A302" i="17"/>
  <c r="Q302" i="17" s="1"/>
  <c r="A305" i="15"/>
  <c r="Q305" i="15" s="1"/>
  <c r="A306" i="17"/>
  <c r="Q306" i="17" s="1"/>
  <c r="A313" i="15"/>
  <c r="Q313" i="15" s="1"/>
  <c r="A314" i="17"/>
  <c r="Q314" i="17" s="1"/>
  <c r="A320" i="15"/>
  <c r="Q320" i="15" s="1"/>
  <c r="A321" i="17"/>
  <c r="Q321" i="17" s="1"/>
  <c r="A334" i="15"/>
  <c r="Q334" i="15" s="1"/>
  <c r="A335" i="17"/>
  <c r="Q335" i="17" s="1"/>
  <c r="A234" i="15"/>
  <c r="Q234" i="15" s="1"/>
  <c r="A235" i="17"/>
  <c r="Q235" i="17" s="1"/>
  <c r="A259" i="15"/>
  <c r="Q259" i="15" s="1"/>
  <c r="A260" i="17"/>
  <c r="Q260" i="17" s="1"/>
  <c r="A228" i="15"/>
  <c r="Q228" i="15" s="1"/>
  <c r="A229" i="17"/>
  <c r="Q229" i="17" s="1"/>
  <c r="A242" i="15"/>
  <c r="Q242" i="15" s="1"/>
  <c r="A243" i="17"/>
  <c r="Q243" i="17" s="1"/>
  <c r="A254" i="15"/>
  <c r="Q254" i="15" s="1"/>
  <c r="A255" i="17"/>
  <c r="Q255" i="17" s="1"/>
  <c r="A266" i="15"/>
  <c r="Q266" i="15" s="1"/>
  <c r="A267" i="17"/>
  <c r="Q267" i="17" s="1"/>
  <c r="A311" i="15"/>
  <c r="Q311" i="15" s="1"/>
  <c r="A312" i="17"/>
  <c r="Q312" i="17" s="1"/>
  <c r="A332" i="15"/>
  <c r="Q332" i="15" s="1"/>
  <c r="A333" i="17"/>
  <c r="Q333" i="17" s="1"/>
  <c r="A364" i="15"/>
  <c r="Q364" i="15" s="1"/>
  <c r="A365" i="17"/>
  <c r="Q365" i="17" s="1"/>
  <c r="A158" i="15"/>
  <c r="Q158" i="15" s="1"/>
  <c r="A217" i="15"/>
  <c r="Q217" i="15" s="1"/>
  <c r="A218" i="17"/>
  <c r="Q218" i="17" s="1"/>
  <c r="A229" i="15"/>
  <c r="Q229" i="15" s="1"/>
  <c r="A230" i="17"/>
  <c r="Q230" i="17" s="1"/>
  <c r="A249" i="15"/>
  <c r="Q249" i="15" s="1"/>
  <c r="A250" i="17"/>
  <c r="Q250" i="17" s="1"/>
  <c r="A261" i="15"/>
  <c r="Q261" i="15" s="1"/>
  <c r="A262" i="17"/>
  <c r="Q262" i="17" s="1"/>
  <c r="A279" i="15"/>
  <c r="Q279" i="15" s="1"/>
  <c r="A280" i="17"/>
  <c r="Q280" i="17" s="1"/>
  <c r="A303" i="15"/>
  <c r="Q303" i="15" s="1"/>
  <c r="A304" i="17"/>
  <c r="Q304" i="17" s="1"/>
  <c r="A365" i="15"/>
  <c r="Q365" i="15" s="1"/>
  <c r="A366" i="17"/>
  <c r="Q366" i="17" s="1"/>
  <c r="A327" i="15"/>
  <c r="Q327" i="15" s="1"/>
  <c r="A328" i="17"/>
  <c r="Q328" i="17" s="1"/>
  <c r="AE297" i="20"/>
  <c r="AE296" i="9" s="1"/>
  <c r="I145" i="9"/>
  <c r="H146" i="15" s="1"/>
  <c r="S146" i="15" s="1"/>
  <c r="H147" i="14"/>
  <c r="S147" i="14" s="1"/>
  <c r="AE411" i="20"/>
  <c r="AE410" i="9" s="1"/>
  <c r="AE126" i="20"/>
  <c r="AE321" i="20"/>
  <c r="AE320" i="9" s="1"/>
  <c r="H322" i="14"/>
  <c r="S322" i="14" s="1"/>
  <c r="AE171" i="20"/>
  <c r="AE170" i="9" s="1"/>
  <c r="H172" i="14"/>
  <c r="S172" i="14" s="1"/>
  <c r="AE169" i="20"/>
  <c r="AE168" i="9" s="1"/>
  <c r="H170" i="14"/>
  <c r="S170" i="14" s="1"/>
  <c r="AE318" i="20"/>
  <c r="AE317" i="9" s="1"/>
  <c r="H319" i="14"/>
  <c r="S319" i="14" s="1"/>
  <c r="AE315" i="20"/>
  <c r="AE314" i="9" s="1"/>
  <c r="H316" i="14"/>
  <c r="S316" i="14" s="1"/>
  <c r="AE164" i="20"/>
  <c r="AE163" i="9" s="1"/>
  <c r="H165" i="14"/>
  <c r="S165" i="14" s="1"/>
  <c r="AE311" i="20"/>
  <c r="AE310" i="9" s="1"/>
  <c r="H312" i="14"/>
  <c r="S312" i="14" s="1"/>
  <c r="AE161" i="20"/>
  <c r="AE160" i="9" s="1"/>
  <c r="H162" i="14"/>
  <c r="S162" i="14" s="1"/>
  <c r="AE308" i="20"/>
  <c r="AE307" i="9" s="1"/>
  <c r="H309" i="14"/>
  <c r="S309" i="14" s="1"/>
  <c r="AE396" i="20"/>
  <c r="AE395" i="9" s="1"/>
  <c r="H397" i="14"/>
  <c r="S397" i="14" s="1"/>
  <c r="I147" i="9"/>
  <c r="H149" i="17" s="1"/>
  <c r="H149" i="14"/>
  <c r="S149" i="14" s="1"/>
  <c r="AE144" i="20"/>
  <c r="AE143" i="9" s="1"/>
  <c r="H145" i="14"/>
  <c r="S145" i="14" s="1"/>
  <c r="AE285" i="20"/>
  <c r="AE284" i="9" s="1"/>
  <c r="H286" i="14"/>
  <c r="S286" i="14" s="1"/>
  <c r="AE276" i="20"/>
  <c r="AE275" i="9" s="1"/>
  <c r="H277" i="14"/>
  <c r="S277" i="14" s="1"/>
  <c r="AE269" i="20"/>
  <c r="AE268" i="9" s="1"/>
  <c r="H270" i="14"/>
  <c r="S270" i="14" s="1"/>
  <c r="AE266" i="20"/>
  <c r="AE265" i="9" s="1"/>
  <c r="H267" i="14"/>
  <c r="S267" i="14" s="1"/>
  <c r="AE264" i="20"/>
  <c r="AE263" i="9" s="1"/>
  <c r="H265" i="14"/>
  <c r="S265" i="14" s="1"/>
  <c r="AE260" i="20"/>
  <c r="AE259" i="9" s="1"/>
  <c r="H261" i="14"/>
  <c r="S261" i="14" s="1"/>
  <c r="AE257" i="20"/>
  <c r="AE256" i="9" s="1"/>
  <c r="H258" i="14"/>
  <c r="S258" i="14" s="1"/>
  <c r="AE254" i="20"/>
  <c r="AE253" i="9" s="1"/>
  <c r="H255" i="14"/>
  <c r="S255" i="14" s="1"/>
  <c r="AE251" i="20"/>
  <c r="AE250" i="9" s="1"/>
  <c r="H252" i="14"/>
  <c r="S252" i="14" s="1"/>
  <c r="AE248" i="20"/>
  <c r="AE247" i="9" s="1"/>
  <c r="H249" i="14"/>
  <c r="S249" i="14" s="1"/>
  <c r="I244" i="9"/>
  <c r="H245" i="15" s="1"/>
  <c r="H246" i="14"/>
  <c r="S246" i="14" s="1"/>
  <c r="I241" i="9"/>
  <c r="H243" i="17" s="1"/>
  <c r="H243" i="14"/>
  <c r="S243" i="14" s="1"/>
  <c r="I238" i="9"/>
  <c r="H239" i="15" s="1"/>
  <c r="H240" i="14"/>
  <c r="S240" i="14" s="1"/>
  <c r="I235" i="9"/>
  <c r="H236" i="15" s="1"/>
  <c r="H237" i="14"/>
  <c r="S237" i="14" s="1"/>
  <c r="I73" i="9"/>
  <c r="H75" i="15" s="1"/>
  <c r="H75" i="14"/>
  <c r="S75" i="14" s="1"/>
  <c r="I230" i="9"/>
  <c r="H231" i="15" s="1"/>
  <c r="H232" i="14"/>
  <c r="S232" i="14" s="1"/>
  <c r="I227" i="9"/>
  <c r="H228" i="15" s="1"/>
  <c r="S228" i="15" s="1"/>
  <c r="H229" i="14"/>
  <c r="S229" i="14" s="1"/>
  <c r="I224" i="9"/>
  <c r="H225" i="15" s="1"/>
  <c r="H226" i="14"/>
  <c r="S226" i="14" s="1"/>
  <c r="I221" i="9"/>
  <c r="H222" i="15" s="1"/>
  <c r="H223" i="14"/>
  <c r="S223" i="14" s="1"/>
  <c r="I218" i="9"/>
  <c r="H219" i="15" s="1"/>
  <c r="H220" i="14"/>
  <c r="S220" i="14" s="1"/>
  <c r="I215" i="9"/>
  <c r="H216" i="15" s="1"/>
  <c r="H217" i="14"/>
  <c r="S217" i="14" s="1"/>
  <c r="I64" i="9"/>
  <c r="H66" i="15" s="1"/>
  <c r="S66" i="15" s="1"/>
  <c r="H66" i="14"/>
  <c r="S66" i="14" s="1"/>
  <c r="I211" i="9"/>
  <c r="H212" i="15" s="1"/>
  <c r="S212" i="15" s="1"/>
  <c r="H213" i="14"/>
  <c r="S213" i="14" s="1"/>
  <c r="I208" i="9"/>
  <c r="H210" i="17" s="1"/>
  <c r="S210" i="17" s="1"/>
  <c r="H210" i="14"/>
  <c r="S210" i="14" s="1"/>
  <c r="I206" i="9"/>
  <c r="H207" i="15" s="1"/>
  <c r="S207" i="15" s="1"/>
  <c r="H208" i="14"/>
  <c r="S208" i="14" s="1"/>
  <c r="AE205" i="20"/>
  <c r="AE204" i="9" s="1"/>
  <c r="H206" i="14"/>
  <c r="S206" i="14" s="1"/>
  <c r="I201" i="9"/>
  <c r="H202" i="15" s="1"/>
  <c r="S202" i="15" s="1"/>
  <c r="H203" i="14"/>
  <c r="S203" i="14" s="1"/>
  <c r="AE199" i="20"/>
  <c r="AE198" i="9" s="1"/>
  <c r="H200" i="14"/>
  <c r="S200" i="14" s="1"/>
  <c r="AE196" i="20"/>
  <c r="AE195" i="9" s="1"/>
  <c r="H197" i="14"/>
  <c r="S197" i="14" s="1"/>
  <c r="I192" i="9"/>
  <c r="H193" i="15" s="1"/>
  <c r="H194" i="14"/>
  <c r="S194" i="14" s="1"/>
  <c r="I51" i="9"/>
  <c r="H53" i="17" s="1"/>
  <c r="H53" i="14"/>
  <c r="S53" i="14" s="1"/>
  <c r="I49" i="9"/>
  <c r="H51" i="15" s="1"/>
  <c r="H51" i="14"/>
  <c r="S51" i="14" s="1"/>
  <c r="AE333" i="20"/>
  <c r="AE332" i="9" s="1"/>
  <c r="H334" i="14"/>
  <c r="S334" i="14" s="1"/>
  <c r="AE186" i="20"/>
  <c r="AE185" i="9" s="1"/>
  <c r="H187" i="14"/>
  <c r="S187" i="14" s="1"/>
  <c r="AE185" i="20"/>
  <c r="AE184" i="9" s="1"/>
  <c r="H186" i="14"/>
  <c r="S186" i="14" s="1"/>
  <c r="I179" i="9"/>
  <c r="H181" i="17" s="1"/>
  <c r="H181" i="14"/>
  <c r="S181" i="14" s="1"/>
  <c r="I176" i="9"/>
  <c r="H177" i="15" s="1"/>
  <c r="H178" i="14"/>
  <c r="S178" i="14" s="1"/>
  <c r="AE325" i="20"/>
  <c r="AE324" i="9" s="1"/>
  <c r="H326" i="14"/>
  <c r="S326" i="14" s="1"/>
  <c r="AE174" i="20"/>
  <c r="AE173" i="9" s="1"/>
  <c r="H175" i="14"/>
  <c r="S175" i="14" s="1"/>
  <c r="I6" i="9"/>
  <c r="H8" i="15" s="1"/>
  <c r="H8" i="14"/>
  <c r="S8" i="14" s="1"/>
  <c r="AE138" i="20"/>
  <c r="AE137" i="9" s="1"/>
  <c r="H139" i="14"/>
  <c r="S139" i="14" s="1"/>
  <c r="A238" i="15"/>
  <c r="Q238" i="15" s="1"/>
  <c r="A239" i="17"/>
  <c r="Q239" i="17" s="1"/>
  <c r="A284" i="15"/>
  <c r="Q284" i="15" s="1"/>
  <c r="A285" i="17"/>
  <c r="Q285" i="17" s="1"/>
  <c r="A314" i="15"/>
  <c r="Q314" i="15" s="1"/>
  <c r="A315" i="17"/>
  <c r="Q315" i="17" s="1"/>
  <c r="A324" i="15"/>
  <c r="Q324" i="15" s="1"/>
  <c r="A325" i="17"/>
  <c r="Q325" i="17" s="1"/>
  <c r="A237" i="15"/>
  <c r="Q237" i="15" s="1"/>
  <c r="A238" i="17"/>
  <c r="Q238" i="17" s="1"/>
  <c r="A245" i="15"/>
  <c r="Q245" i="15" s="1"/>
  <c r="A246" i="17"/>
  <c r="Q246" i="17" s="1"/>
  <c r="A257" i="15"/>
  <c r="Q257" i="15" s="1"/>
  <c r="A258" i="17"/>
  <c r="Q258" i="17" s="1"/>
  <c r="A306" i="15"/>
  <c r="Q306" i="15" s="1"/>
  <c r="A307" i="17"/>
  <c r="Q307" i="17" s="1"/>
  <c r="W181" i="9"/>
  <c r="A335" i="15"/>
  <c r="Q335" i="15" s="1"/>
  <c r="A336" i="17"/>
  <c r="Q336" i="17" s="1"/>
  <c r="A316" i="15"/>
  <c r="Q316" i="15" s="1"/>
  <c r="A317" i="17"/>
  <c r="Q317" i="17" s="1"/>
  <c r="A220" i="15"/>
  <c r="Q220" i="15" s="1"/>
  <c r="A221" i="17"/>
  <c r="Q221" i="17" s="1"/>
  <c r="A283" i="15"/>
  <c r="Q283" i="15" s="1"/>
  <c r="A284" i="17"/>
  <c r="Q284" i="17" s="1"/>
  <c r="A333" i="15"/>
  <c r="Q333" i="15" s="1"/>
  <c r="A334" i="17"/>
  <c r="Q334" i="17" s="1"/>
  <c r="A293" i="15"/>
  <c r="Q293" i="15" s="1"/>
  <c r="A294" i="17"/>
  <c r="Q294" i="17" s="1"/>
  <c r="A292" i="15"/>
  <c r="Q292" i="15" s="1"/>
  <c r="A293" i="17"/>
  <c r="Q293" i="17" s="1"/>
  <c r="A170" i="15"/>
  <c r="Q170" i="15" s="1"/>
  <c r="A304" i="15"/>
  <c r="Q304" i="15" s="1"/>
  <c r="A305" i="17"/>
  <c r="Q305" i="17" s="1"/>
  <c r="A309" i="15"/>
  <c r="Q309" i="15" s="1"/>
  <c r="A310" i="17"/>
  <c r="Q310" i="17" s="1"/>
  <c r="I332" i="15"/>
  <c r="I333" i="17"/>
  <c r="I330" i="15"/>
  <c r="I331" i="17"/>
  <c r="I180" i="15"/>
  <c r="I181" i="17"/>
  <c r="I177" i="15"/>
  <c r="I178" i="17"/>
  <c r="I296" i="15"/>
  <c r="I297" i="17"/>
  <c r="I268" i="15"/>
  <c r="I269" i="17"/>
  <c r="I255" i="15"/>
  <c r="I256" i="17"/>
  <c r="I248" i="15"/>
  <c r="I249" i="17"/>
  <c r="I234" i="15"/>
  <c r="I235" i="17"/>
  <c r="I173" i="15"/>
  <c r="I174" i="17"/>
  <c r="I319" i="15"/>
  <c r="I320" i="17"/>
  <c r="I300" i="15"/>
  <c r="I301" i="17"/>
  <c r="I152" i="15"/>
  <c r="I153" i="17"/>
  <c r="I149" i="15"/>
  <c r="I150" i="17"/>
  <c r="H364" i="15"/>
  <c r="S364" i="15" s="1"/>
  <c r="H365" i="17"/>
  <c r="S365" i="17" s="1"/>
  <c r="I285" i="15"/>
  <c r="I286" i="17"/>
  <c r="I269" i="15"/>
  <c r="I270" i="17"/>
  <c r="I246" i="15"/>
  <c r="I247" i="17"/>
  <c r="I361" i="15"/>
  <c r="I362" i="17"/>
  <c r="I199" i="15"/>
  <c r="I200" i="17"/>
  <c r="I157" i="15"/>
  <c r="I158" i="17"/>
  <c r="I302" i="15"/>
  <c r="I303" i="17"/>
  <c r="I245" i="15"/>
  <c r="I246" i="17"/>
  <c r="I262" i="15"/>
  <c r="I263" i="17"/>
  <c r="I254" i="15"/>
  <c r="I255" i="17"/>
  <c r="I242" i="15"/>
  <c r="I243" i="17"/>
  <c r="H296" i="17"/>
  <c r="S296" i="17" s="1"/>
  <c r="I331" i="15"/>
  <c r="I332" i="17"/>
  <c r="I329" i="15"/>
  <c r="I330" i="17"/>
  <c r="I183" i="15"/>
  <c r="I184" i="17"/>
  <c r="I327" i="15"/>
  <c r="I328" i="17"/>
  <c r="I176" i="15"/>
  <c r="I177" i="17"/>
  <c r="I324" i="15"/>
  <c r="I325" i="17"/>
  <c r="I148" i="15"/>
  <c r="I149" i="17"/>
  <c r="I265" i="15"/>
  <c r="I266" i="17"/>
  <c r="I253" i="15"/>
  <c r="I254" i="17"/>
  <c r="I239" i="15"/>
  <c r="I240" i="17"/>
  <c r="I232" i="15"/>
  <c r="I233" i="17"/>
  <c r="I172" i="15"/>
  <c r="I173" i="17"/>
  <c r="I169" i="15"/>
  <c r="I170" i="17"/>
  <c r="I155" i="15"/>
  <c r="I156" i="17"/>
  <c r="I299" i="15"/>
  <c r="I300" i="17"/>
  <c r="I298" i="15"/>
  <c r="I299" i="17"/>
  <c r="I284" i="15"/>
  <c r="I285" i="17"/>
  <c r="I266" i="15"/>
  <c r="I267" i="17"/>
  <c r="I243" i="15"/>
  <c r="I244" i="17"/>
  <c r="I307" i="15"/>
  <c r="I308" i="17"/>
  <c r="I304" i="15"/>
  <c r="I305" i="17"/>
  <c r="I303" i="15"/>
  <c r="I304" i="17"/>
  <c r="I156" i="15"/>
  <c r="I157" i="17"/>
  <c r="I144" i="15"/>
  <c r="I145" i="17"/>
  <c r="I240" i="15"/>
  <c r="I241" i="17"/>
  <c r="I279" i="15"/>
  <c r="I280" i="17"/>
  <c r="I260" i="15"/>
  <c r="I261" i="17"/>
  <c r="I249" i="15"/>
  <c r="I250" i="17"/>
  <c r="I167" i="15"/>
  <c r="I168" i="17"/>
  <c r="I187" i="15"/>
  <c r="I188" i="17"/>
  <c r="I328" i="15"/>
  <c r="I329" i="17"/>
  <c r="I182" i="15"/>
  <c r="I183" i="17"/>
  <c r="I179" i="15"/>
  <c r="I180" i="17"/>
  <c r="I326" i="15"/>
  <c r="I327" i="17"/>
  <c r="I323" i="15"/>
  <c r="I324" i="17"/>
  <c r="I261" i="15"/>
  <c r="I262" i="17"/>
  <c r="I251" i="15"/>
  <c r="I252" i="17"/>
  <c r="I236" i="15"/>
  <c r="I237" i="17"/>
  <c r="I321" i="15"/>
  <c r="I322" i="17"/>
  <c r="I171" i="15"/>
  <c r="I172" i="17"/>
  <c r="I293" i="15"/>
  <c r="S293" i="15" s="1"/>
  <c r="I294" i="17"/>
  <c r="S294" i="17" s="1"/>
  <c r="I154" i="15"/>
  <c r="I155" i="17"/>
  <c r="I151" i="15"/>
  <c r="I152" i="17"/>
  <c r="I283" i="15"/>
  <c r="I284" i="17"/>
  <c r="I259" i="15"/>
  <c r="I260" i="17"/>
  <c r="I241" i="15"/>
  <c r="I242" i="17"/>
  <c r="I194" i="15"/>
  <c r="I195" i="17"/>
  <c r="I306" i="15"/>
  <c r="I307" i="17"/>
  <c r="H365" i="15"/>
  <c r="S365" i="15" s="1"/>
  <c r="H366" i="17"/>
  <c r="S366" i="17" s="1"/>
  <c r="I281" i="15"/>
  <c r="I282" i="17"/>
  <c r="I237" i="15"/>
  <c r="I238" i="17"/>
  <c r="I270" i="15"/>
  <c r="I271" i="17"/>
  <c r="I258" i="15"/>
  <c r="I259" i="17"/>
  <c r="I247" i="15"/>
  <c r="I248" i="17"/>
  <c r="H366" i="15"/>
  <c r="S366" i="15" s="1"/>
  <c r="H367" i="17"/>
  <c r="S367" i="17" s="1"/>
  <c r="I188" i="15"/>
  <c r="I189" i="17"/>
  <c r="I186" i="15"/>
  <c r="I187" i="17"/>
  <c r="I185" i="15"/>
  <c r="I186" i="17"/>
  <c r="I181" i="15"/>
  <c r="I182" i="17"/>
  <c r="I178" i="15"/>
  <c r="I179" i="17"/>
  <c r="I325" i="15"/>
  <c r="I326" i="17"/>
  <c r="I174" i="15"/>
  <c r="I175" i="17"/>
  <c r="I292" i="15"/>
  <c r="I293" i="17"/>
  <c r="I257" i="15"/>
  <c r="I258" i="17"/>
  <c r="I250" i="15"/>
  <c r="I251" i="17"/>
  <c r="I235" i="15"/>
  <c r="I236" i="17"/>
  <c r="I320" i="15"/>
  <c r="I321" i="17"/>
  <c r="I170" i="15"/>
  <c r="I171" i="17"/>
  <c r="I301" i="15"/>
  <c r="I302" i="17"/>
  <c r="I153" i="15"/>
  <c r="I154" i="17"/>
  <c r="I150" i="15"/>
  <c r="I151" i="17"/>
  <c r="I286" i="15"/>
  <c r="I287" i="17"/>
  <c r="I282" i="15"/>
  <c r="I283" i="17"/>
  <c r="I252" i="15"/>
  <c r="I253" i="17"/>
  <c r="I238" i="15"/>
  <c r="I239" i="17"/>
  <c r="I200" i="15"/>
  <c r="I201" i="17"/>
  <c r="I305" i="15"/>
  <c r="I306" i="17"/>
  <c r="I277" i="15"/>
  <c r="I278" i="17"/>
  <c r="I267" i="15"/>
  <c r="I268" i="17"/>
  <c r="I256" i="15"/>
  <c r="I257" i="17"/>
  <c r="I244" i="15"/>
  <c r="I245" i="17"/>
  <c r="W113" i="9"/>
  <c r="AE296" i="20"/>
  <c r="AE295" i="9" s="1"/>
  <c r="AE7" i="20"/>
  <c r="W21" i="9"/>
  <c r="A362" i="15"/>
  <c r="Q362" i="15" s="1"/>
  <c r="A312" i="15"/>
  <c r="Q312" i="15" s="1"/>
  <c r="A221" i="15"/>
  <c r="Q221" i="15" s="1"/>
  <c r="A227" i="15"/>
  <c r="Q227" i="15" s="1"/>
  <c r="A232" i="15"/>
  <c r="Q232" i="15" s="1"/>
  <c r="A244" i="15"/>
  <c r="Q244" i="15" s="1"/>
  <c r="A253" i="15"/>
  <c r="Q253" i="15" s="1"/>
  <c r="A369" i="15"/>
  <c r="Q369" i="15" s="1"/>
  <c r="A302" i="15"/>
  <c r="Q302" i="15" s="1"/>
  <c r="A219" i="15"/>
  <c r="Q219" i="15" s="1"/>
  <c r="A231" i="15"/>
  <c r="Q231" i="15" s="1"/>
  <c r="A239" i="15"/>
  <c r="Q239" i="15" s="1"/>
  <c r="A264" i="15"/>
  <c r="Q264" i="15" s="1"/>
  <c r="A269" i="15"/>
  <c r="Q269" i="15" s="1"/>
  <c r="A299" i="15"/>
  <c r="Q299" i="15" s="1"/>
  <c r="A226" i="15"/>
  <c r="Q226" i="15" s="1"/>
  <c r="A240" i="15"/>
  <c r="Q240" i="15" s="1"/>
  <c r="A252" i="15"/>
  <c r="Q252" i="15" s="1"/>
  <c r="A265" i="15"/>
  <c r="Q265" i="15" s="1"/>
  <c r="A296" i="15"/>
  <c r="Q296" i="15" s="1"/>
  <c r="A297" i="15"/>
  <c r="Q297" i="15" s="1"/>
  <c r="A328" i="15"/>
  <c r="Q328" i="15" s="1"/>
  <c r="A340" i="15"/>
  <c r="Q340" i="15" s="1"/>
  <c r="A380" i="15"/>
  <c r="Q380" i="15" s="1"/>
  <c r="A366" i="15"/>
  <c r="Q366" i="15" s="1"/>
  <c r="A224" i="15"/>
  <c r="Q224" i="15" s="1"/>
  <c r="A241" i="15"/>
  <c r="Q241" i="15" s="1"/>
  <c r="A268" i="15"/>
  <c r="Q268" i="15" s="1"/>
  <c r="A370" i="15"/>
  <c r="Q370" i="15" s="1"/>
  <c r="A331" i="15"/>
  <c r="Q331" i="15" s="1"/>
  <c r="A256" i="15"/>
  <c r="Q256" i="15" s="1"/>
  <c r="A262" i="15"/>
  <c r="Q262" i="15" s="1"/>
  <c r="A376" i="15"/>
  <c r="Q376" i="15" s="1"/>
  <c r="A216" i="15"/>
  <c r="Q216" i="15" s="1"/>
  <c r="A248" i="15"/>
  <c r="Q248" i="15" s="1"/>
  <c r="A285" i="15"/>
  <c r="Q285" i="15" s="1"/>
  <c r="AW39" i="12"/>
  <c r="T39" i="18" s="1"/>
  <c r="AL39" i="12"/>
  <c r="J39" i="12"/>
  <c r="AW35" i="12"/>
  <c r="T35" i="18" s="1"/>
  <c r="AL35" i="12"/>
  <c r="L35" i="18" s="1"/>
  <c r="J35" i="12"/>
  <c r="AW31" i="12"/>
  <c r="T31" i="18" s="1"/>
  <c r="AL31" i="12"/>
  <c r="L31" i="18" s="1"/>
  <c r="J31" i="12"/>
  <c r="AW27" i="12"/>
  <c r="AL27" i="12"/>
  <c r="L27" i="18" s="1"/>
  <c r="J27" i="12"/>
  <c r="AW23" i="12"/>
  <c r="T23" i="18" s="1"/>
  <c r="AL23" i="12"/>
  <c r="J23" i="12"/>
  <c r="AW19" i="12"/>
  <c r="T19" i="18" s="1"/>
  <c r="AL19" i="12"/>
  <c r="L19" i="18" s="1"/>
  <c r="J19" i="12"/>
  <c r="AW15" i="12"/>
  <c r="T15" i="18" s="1"/>
  <c r="AL15" i="12"/>
  <c r="L15" i="18" s="1"/>
  <c r="J15" i="12"/>
  <c r="AW11" i="12"/>
  <c r="AL11" i="12"/>
  <c r="L11" i="18" s="1"/>
  <c r="J11" i="12"/>
  <c r="AW7" i="12"/>
  <c r="T7" i="18" s="1"/>
  <c r="AL7" i="12"/>
  <c r="J7" i="12"/>
  <c r="AW67" i="12"/>
  <c r="T67" i="18" s="1"/>
  <c r="AL67" i="12"/>
  <c r="L67" i="18" s="1"/>
  <c r="J67" i="12"/>
  <c r="AW63" i="12"/>
  <c r="T63" i="18" s="1"/>
  <c r="AL63" i="12"/>
  <c r="L63" i="18" s="1"/>
  <c r="J63" i="12"/>
  <c r="AW59" i="12"/>
  <c r="AL59" i="12"/>
  <c r="L59" i="18" s="1"/>
  <c r="J59" i="12"/>
  <c r="AW55" i="12"/>
  <c r="T55" i="18" s="1"/>
  <c r="AL55" i="12"/>
  <c r="J55" i="12"/>
  <c r="AW51" i="12"/>
  <c r="T51" i="18" s="1"/>
  <c r="AL51" i="12"/>
  <c r="L51" i="18" s="1"/>
  <c r="J51" i="12"/>
  <c r="AW47" i="12"/>
  <c r="T47" i="18" s="1"/>
  <c r="AL47" i="12"/>
  <c r="L47" i="18" s="1"/>
  <c r="J47" i="12"/>
  <c r="AW43" i="12"/>
  <c r="AL43" i="12"/>
  <c r="L43" i="18" s="1"/>
  <c r="J43" i="12"/>
  <c r="AW101" i="12"/>
  <c r="T101" i="18" s="1"/>
  <c r="AL101" i="12"/>
  <c r="J101" i="12"/>
  <c r="AL97" i="12"/>
  <c r="L97" i="18" s="1"/>
  <c r="AW97" i="12"/>
  <c r="T97" i="18" s="1"/>
  <c r="J97" i="12"/>
  <c r="AW93" i="12"/>
  <c r="T93" i="18" s="1"/>
  <c r="AL93" i="12"/>
  <c r="L93" i="18" s="1"/>
  <c r="J93" i="12"/>
  <c r="AL89" i="12"/>
  <c r="L89" i="18" s="1"/>
  <c r="AW89" i="12"/>
  <c r="T89" i="18" s="1"/>
  <c r="J89" i="12"/>
  <c r="AW85" i="12"/>
  <c r="AL85" i="12"/>
  <c r="L85" i="18" s="1"/>
  <c r="J85" i="12"/>
  <c r="AL81" i="12"/>
  <c r="L81" i="18" s="1"/>
  <c r="AW81" i="12"/>
  <c r="J81" i="12"/>
  <c r="AW77" i="12"/>
  <c r="T77" i="18" s="1"/>
  <c r="AL77" i="12"/>
  <c r="L77" i="18" s="1"/>
  <c r="J77" i="12"/>
  <c r="AL73" i="12"/>
  <c r="L73" i="18" s="1"/>
  <c r="AW73" i="12"/>
  <c r="T73" i="18" s="1"/>
  <c r="J73" i="12"/>
  <c r="AW69" i="12"/>
  <c r="AL69" i="12"/>
  <c r="L69" i="18" s="1"/>
  <c r="J69" i="12"/>
  <c r="AW125" i="12"/>
  <c r="T125" i="18" s="1"/>
  <c r="AL125" i="12"/>
  <c r="L125" i="18" s="1"/>
  <c r="J125" i="12"/>
  <c r="AL121" i="12"/>
  <c r="L121" i="18" s="1"/>
  <c r="AW121" i="12"/>
  <c r="T121" i="18" s="1"/>
  <c r="J121" i="12"/>
  <c r="AW117" i="12"/>
  <c r="T117" i="18" s="1"/>
  <c r="AL117" i="12"/>
  <c r="L117" i="18" s="1"/>
  <c r="J117" i="12"/>
  <c r="AL113" i="12"/>
  <c r="AW113" i="12"/>
  <c r="T113" i="18" s="1"/>
  <c r="J113" i="12"/>
  <c r="AW109" i="12"/>
  <c r="T109" i="18" s="1"/>
  <c r="AL109" i="12"/>
  <c r="L109" i="18" s="1"/>
  <c r="J109" i="12"/>
  <c r="AL105" i="12"/>
  <c r="L105" i="18" s="1"/>
  <c r="AW105" i="12"/>
  <c r="T105" i="18" s="1"/>
  <c r="J105" i="12"/>
  <c r="AW160" i="12"/>
  <c r="T160" i="18" s="1"/>
  <c r="AL160" i="12"/>
  <c r="L160" i="18" s="1"/>
  <c r="J160" i="12"/>
  <c r="AW156" i="12"/>
  <c r="T156" i="18" s="1"/>
  <c r="AL156" i="12"/>
  <c r="L156" i="18" s="1"/>
  <c r="J156" i="12"/>
  <c r="AW152" i="12"/>
  <c r="T152" i="18" s="1"/>
  <c r="AL152" i="12"/>
  <c r="L152" i="18" s="1"/>
  <c r="J152" i="12"/>
  <c r="AW148" i="12"/>
  <c r="T148" i="18" s="1"/>
  <c r="AL148" i="12"/>
  <c r="L148" i="18" s="1"/>
  <c r="J148" i="12"/>
  <c r="AW144" i="12"/>
  <c r="T144" i="18" s="1"/>
  <c r="AL144" i="12"/>
  <c r="L144" i="18" s="1"/>
  <c r="J144" i="12"/>
  <c r="AW140" i="12"/>
  <c r="T140" i="18" s="1"/>
  <c r="AL140" i="12"/>
  <c r="L140" i="18" s="1"/>
  <c r="J140" i="12"/>
  <c r="AW136" i="12"/>
  <c r="T136" i="18" s="1"/>
  <c r="AL136" i="12"/>
  <c r="L136" i="18" s="1"/>
  <c r="J136" i="12"/>
  <c r="AL132" i="12"/>
  <c r="L132" i="18" s="1"/>
  <c r="AW132" i="12"/>
  <c r="T132" i="18" s="1"/>
  <c r="J132" i="12"/>
  <c r="AW128" i="12"/>
  <c r="T128" i="18" s="1"/>
  <c r="AL128" i="12"/>
  <c r="L128" i="18" s="1"/>
  <c r="J128" i="12"/>
  <c r="AW181" i="12"/>
  <c r="T181" i="18" s="1"/>
  <c r="AL181" i="12"/>
  <c r="L181" i="18" s="1"/>
  <c r="J181" i="12"/>
  <c r="AW177" i="12"/>
  <c r="T177" i="18" s="1"/>
  <c r="AL177" i="12"/>
  <c r="L177" i="18" s="1"/>
  <c r="J177" i="12"/>
  <c r="AW173" i="12"/>
  <c r="T173" i="18" s="1"/>
  <c r="AL173" i="12"/>
  <c r="L173" i="18" s="1"/>
  <c r="J173" i="12"/>
  <c r="AW169" i="12"/>
  <c r="T169" i="18" s="1"/>
  <c r="AL169" i="12"/>
  <c r="L169" i="18" s="1"/>
  <c r="J169" i="12"/>
  <c r="AW165" i="12"/>
  <c r="T165" i="18" s="1"/>
  <c r="AL165" i="12"/>
  <c r="L165" i="18" s="1"/>
  <c r="J165" i="12"/>
  <c r="AW161" i="12"/>
  <c r="T161" i="18" s="1"/>
  <c r="AL161" i="12"/>
  <c r="L161" i="18" s="1"/>
  <c r="J161" i="12"/>
  <c r="X188" i="18"/>
  <c r="AZ188" i="12"/>
  <c r="X185" i="18"/>
  <c r="AZ185" i="12"/>
  <c r="AW38" i="12"/>
  <c r="T38" i="18" s="1"/>
  <c r="AL38" i="12"/>
  <c r="L38" i="18" s="1"/>
  <c r="J38" i="12"/>
  <c r="AW34" i="12"/>
  <c r="T34" i="18" s="1"/>
  <c r="AL34" i="12"/>
  <c r="L34" i="18" s="1"/>
  <c r="J34" i="12"/>
  <c r="AW30" i="12"/>
  <c r="AL30" i="12"/>
  <c r="L30" i="18" s="1"/>
  <c r="J30" i="12"/>
  <c r="AW26" i="12"/>
  <c r="T26" i="18" s="1"/>
  <c r="AL26" i="12"/>
  <c r="L26" i="18" s="1"/>
  <c r="J26" i="12"/>
  <c r="AW22" i="12"/>
  <c r="T22" i="18" s="1"/>
  <c r="AL22" i="12"/>
  <c r="L22" i="18" s="1"/>
  <c r="J22" i="12"/>
  <c r="AW18" i="12"/>
  <c r="T18" i="18" s="1"/>
  <c r="AL18" i="12"/>
  <c r="L18" i="18" s="1"/>
  <c r="J18" i="12"/>
  <c r="AW14" i="12"/>
  <c r="T14" i="18" s="1"/>
  <c r="AL14" i="12"/>
  <c r="L14" i="18" s="1"/>
  <c r="J14" i="12"/>
  <c r="AW10" i="12"/>
  <c r="T10" i="18" s="1"/>
  <c r="AL10" i="12"/>
  <c r="L10" i="18" s="1"/>
  <c r="J10" i="12"/>
  <c r="AW6" i="12"/>
  <c r="T6" i="18" s="1"/>
  <c r="AL6" i="12"/>
  <c r="L6" i="18" s="1"/>
  <c r="J6" i="12"/>
  <c r="AW66" i="12"/>
  <c r="T66" i="18" s="1"/>
  <c r="AL66" i="12"/>
  <c r="L66" i="18" s="1"/>
  <c r="J66" i="12"/>
  <c r="AW62" i="12"/>
  <c r="T62" i="18" s="1"/>
  <c r="AL62" i="12"/>
  <c r="L62" i="18" s="1"/>
  <c r="J62" i="12"/>
  <c r="AW58" i="12"/>
  <c r="T58" i="18" s="1"/>
  <c r="AL58" i="12"/>
  <c r="L58" i="18" s="1"/>
  <c r="J58" i="12"/>
  <c r="AW54" i="12"/>
  <c r="T54" i="18" s="1"/>
  <c r="AL54" i="12"/>
  <c r="J54" i="12"/>
  <c r="AW50" i="12"/>
  <c r="T50" i="18" s="1"/>
  <c r="AL50" i="12"/>
  <c r="L50" i="18" s="1"/>
  <c r="J50" i="12"/>
  <c r="AW46" i="12"/>
  <c r="T46" i="18" s="1"/>
  <c r="AL46" i="12"/>
  <c r="L46" i="18" s="1"/>
  <c r="J46" i="12"/>
  <c r="AW42" i="12"/>
  <c r="T42" i="18" s="1"/>
  <c r="AL42" i="12"/>
  <c r="L42" i="18" s="1"/>
  <c r="J42" i="12"/>
  <c r="AL100" i="12"/>
  <c r="L100" i="18" s="1"/>
  <c r="AW100" i="12"/>
  <c r="T100" i="18" s="1"/>
  <c r="J100" i="12"/>
  <c r="AW96" i="12"/>
  <c r="T96" i="18" s="1"/>
  <c r="AL96" i="12"/>
  <c r="L96" i="18" s="1"/>
  <c r="J96" i="12"/>
  <c r="AL92" i="12"/>
  <c r="L92" i="18" s="1"/>
  <c r="AW92" i="12"/>
  <c r="T92" i="18" s="1"/>
  <c r="J92" i="12"/>
  <c r="AW88" i="12"/>
  <c r="T88" i="18" s="1"/>
  <c r="AL88" i="12"/>
  <c r="L88" i="18" s="1"/>
  <c r="J88" i="12"/>
  <c r="AL84" i="12"/>
  <c r="L84" i="18" s="1"/>
  <c r="AW84" i="12"/>
  <c r="T84" i="18" s="1"/>
  <c r="J84" i="12"/>
  <c r="AW80" i="12"/>
  <c r="T80" i="18" s="1"/>
  <c r="AL80" i="12"/>
  <c r="L80" i="18" s="1"/>
  <c r="J80" i="12"/>
  <c r="AL76" i="12"/>
  <c r="L76" i="18" s="1"/>
  <c r="AW76" i="12"/>
  <c r="T76" i="18" s="1"/>
  <c r="J76" i="12"/>
  <c r="AW72" i="12"/>
  <c r="T72" i="18" s="1"/>
  <c r="AL72" i="12"/>
  <c r="L72" i="18" s="1"/>
  <c r="J72" i="12"/>
  <c r="AL68" i="12"/>
  <c r="L68" i="18" s="1"/>
  <c r="AW68" i="12"/>
  <c r="T68" i="18" s="1"/>
  <c r="J68" i="12"/>
  <c r="AL124" i="12"/>
  <c r="L124" i="18" s="1"/>
  <c r="AW124" i="12"/>
  <c r="T124" i="18" s="1"/>
  <c r="J124" i="12"/>
  <c r="AW120" i="12"/>
  <c r="T120" i="18" s="1"/>
  <c r="AL120" i="12"/>
  <c r="L120" i="18" s="1"/>
  <c r="J120" i="12"/>
  <c r="AL116" i="12"/>
  <c r="L116" i="18" s="1"/>
  <c r="AW116" i="12"/>
  <c r="T116" i="18" s="1"/>
  <c r="J116" i="12"/>
  <c r="AW112" i="12"/>
  <c r="T112" i="18" s="1"/>
  <c r="AL112" i="12"/>
  <c r="L112" i="18" s="1"/>
  <c r="J112" i="12"/>
  <c r="AL108" i="12"/>
  <c r="L108" i="18" s="1"/>
  <c r="AW108" i="12"/>
  <c r="T108" i="18" s="1"/>
  <c r="J108" i="12"/>
  <c r="AW104" i="12"/>
  <c r="T104" i="18" s="1"/>
  <c r="AL104" i="12"/>
  <c r="L104" i="18" s="1"/>
  <c r="J104" i="12"/>
  <c r="AW159" i="12"/>
  <c r="T159" i="18" s="1"/>
  <c r="AL159" i="12"/>
  <c r="L159" i="18" s="1"/>
  <c r="J159" i="12"/>
  <c r="AW155" i="12"/>
  <c r="T155" i="18" s="1"/>
  <c r="AL155" i="12"/>
  <c r="L155" i="18" s="1"/>
  <c r="J155" i="12"/>
  <c r="AW151" i="12"/>
  <c r="T151" i="18" s="1"/>
  <c r="AL151" i="12"/>
  <c r="L151" i="18" s="1"/>
  <c r="J151" i="12"/>
  <c r="AW147" i="12"/>
  <c r="T147" i="18" s="1"/>
  <c r="AL147" i="12"/>
  <c r="L147" i="18" s="1"/>
  <c r="J147" i="12"/>
  <c r="AW143" i="12"/>
  <c r="T143" i="18" s="1"/>
  <c r="AL143" i="12"/>
  <c r="L143" i="18" s="1"/>
  <c r="J143" i="12"/>
  <c r="AW139" i="12"/>
  <c r="T139" i="18" s="1"/>
  <c r="AL139" i="12"/>
  <c r="L139" i="18" s="1"/>
  <c r="J139" i="12"/>
  <c r="AW135" i="12"/>
  <c r="T135" i="18" s="1"/>
  <c r="AL135" i="12"/>
  <c r="L135" i="18" s="1"/>
  <c r="J135" i="12"/>
  <c r="AW131" i="12"/>
  <c r="T131" i="18" s="1"/>
  <c r="AL131" i="12"/>
  <c r="L131" i="18" s="1"/>
  <c r="J131" i="12"/>
  <c r="AW184" i="12"/>
  <c r="T184" i="18" s="1"/>
  <c r="AL184" i="12"/>
  <c r="L184" i="18" s="1"/>
  <c r="J184" i="12"/>
  <c r="AW180" i="12"/>
  <c r="T180" i="18" s="1"/>
  <c r="AL180" i="12"/>
  <c r="L180" i="18" s="1"/>
  <c r="J180" i="12"/>
  <c r="AW176" i="12"/>
  <c r="T176" i="18" s="1"/>
  <c r="AL176" i="12"/>
  <c r="L176" i="18" s="1"/>
  <c r="J176" i="12"/>
  <c r="AW172" i="12"/>
  <c r="T172" i="18" s="1"/>
  <c r="AL172" i="12"/>
  <c r="L172" i="18" s="1"/>
  <c r="J172" i="12"/>
  <c r="AW168" i="12"/>
  <c r="T168" i="18" s="1"/>
  <c r="AL168" i="12"/>
  <c r="L168" i="18" s="1"/>
  <c r="J168" i="12"/>
  <c r="AW164" i="12"/>
  <c r="T164" i="18" s="1"/>
  <c r="AL164" i="12"/>
  <c r="L164" i="18" s="1"/>
  <c r="J164" i="12"/>
  <c r="X192" i="18"/>
  <c r="AZ192" i="12"/>
  <c r="X191" i="18"/>
  <c r="AZ191" i="12"/>
  <c r="AW3" i="12"/>
  <c r="T3" i="18" s="1"/>
  <c r="AL3" i="12"/>
  <c r="L3" i="18" s="1"/>
  <c r="J3" i="12"/>
  <c r="AW37" i="12"/>
  <c r="T37" i="18" s="1"/>
  <c r="AL37" i="12"/>
  <c r="L37" i="18" s="1"/>
  <c r="J37" i="12"/>
  <c r="AL33" i="12"/>
  <c r="L33" i="18" s="1"/>
  <c r="AW33" i="12"/>
  <c r="T33" i="18" s="1"/>
  <c r="J33" i="12"/>
  <c r="AL29" i="12"/>
  <c r="L29" i="18" s="1"/>
  <c r="AW29" i="12"/>
  <c r="T29" i="18" s="1"/>
  <c r="J29" i="12"/>
  <c r="AL25" i="12"/>
  <c r="L25" i="18" s="1"/>
  <c r="AW25" i="12"/>
  <c r="T25" i="18" s="1"/>
  <c r="J25" i="12"/>
  <c r="AL21" i="12"/>
  <c r="L21" i="18" s="1"/>
  <c r="AW21" i="12"/>
  <c r="T21" i="18" s="1"/>
  <c r="J21" i="12"/>
  <c r="AL17" i="12"/>
  <c r="L17" i="18" s="1"/>
  <c r="AW17" i="12"/>
  <c r="T17" i="18" s="1"/>
  <c r="J17" i="12"/>
  <c r="AL13" i="12"/>
  <c r="L13" i="18" s="1"/>
  <c r="AW13" i="12"/>
  <c r="T13" i="18" s="1"/>
  <c r="J13" i="12"/>
  <c r="AL9" i="12"/>
  <c r="L9" i="18" s="1"/>
  <c r="AW9" i="12"/>
  <c r="T9" i="18" s="1"/>
  <c r="J9" i="12"/>
  <c r="AW5" i="12"/>
  <c r="T5" i="18" s="1"/>
  <c r="AL5" i="12"/>
  <c r="L5" i="18" s="1"/>
  <c r="J5" i="12"/>
  <c r="AL65" i="12"/>
  <c r="L65" i="18" s="1"/>
  <c r="AW65" i="12"/>
  <c r="T65" i="18" s="1"/>
  <c r="J65" i="12"/>
  <c r="AW61" i="12"/>
  <c r="T61" i="18" s="1"/>
  <c r="AL61" i="12"/>
  <c r="L61" i="18" s="1"/>
  <c r="J61" i="12"/>
  <c r="AL57" i="12"/>
  <c r="L57" i="18" s="1"/>
  <c r="AW57" i="12"/>
  <c r="T57" i="18" s="1"/>
  <c r="J57" i="12"/>
  <c r="AW53" i="12"/>
  <c r="T53" i="18" s="1"/>
  <c r="AL53" i="12"/>
  <c r="L53" i="18" s="1"/>
  <c r="J53" i="12"/>
  <c r="AL49" i="12"/>
  <c r="L49" i="18" s="1"/>
  <c r="AW49" i="12"/>
  <c r="T49" i="18" s="1"/>
  <c r="J49" i="12"/>
  <c r="AW45" i="12"/>
  <c r="T45" i="18" s="1"/>
  <c r="AL45" i="12"/>
  <c r="L45" i="18" s="1"/>
  <c r="J45" i="12"/>
  <c r="AL41" i="12"/>
  <c r="L41" i="18" s="1"/>
  <c r="AW41" i="12"/>
  <c r="T41" i="18" s="1"/>
  <c r="J41" i="12"/>
  <c r="AW99" i="12"/>
  <c r="T99" i="18" s="1"/>
  <c r="AL99" i="12"/>
  <c r="L99" i="18" s="1"/>
  <c r="J99" i="12"/>
  <c r="AW95" i="12"/>
  <c r="T95" i="18" s="1"/>
  <c r="AL95" i="12"/>
  <c r="L95" i="18" s="1"/>
  <c r="J95" i="12"/>
  <c r="AW91" i="12"/>
  <c r="T91" i="18" s="1"/>
  <c r="AL91" i="12"/>
  <c r="L91" i="18" s="1"/>
  <c r="J91" i="12"/>
  <c r="AW87" i="12"/>
  <c r="T87" i="18" s="1"/>
  <c r="AL87" i="12"/>
  <c r="L87" i="18" s="1"/>
  <c r="J87" i="12"/>
  <c r="AW83" i="12"/>
  <c r="T83" i="18" s="1"/>
  <c r="AL83" i="12"/>
  <c r="L83" i="18" s="1"/>
  <c r="J83" i="12"/>
  <c r="AW79" i="12"/>
  <c r="T79" i="18" s="1"/>
  <c r="AL79" i="12"/>
  <c r="L79" i="18" s="1"/>
  <c r="J79" i="12"/>
  <c r="AW75" i="12"/>
  <c r="T75" i="18" s="1"/>
  <c r="AL75" i="12"/>
  <c r="L75" i="18" s="1"/>
  <c r="J75" i="12"/>
  <c r="AW71" i="12"/>
  <c r="T71" i="18" s="1"/>
  <c r="AL71" i="12"/>
  <c r="L71" i="18" s="1"/>
  <c r="J71" i="12"/>
  <c r="AW127" i="12"/>
  <c r="T127" i="18" s="1"/>
  <c r="AL127" i="12"/>
  <c r="L127" i="18" s="1"/>
  <c r="J127" i="12"/>
  <c r="AW123" i="12"/>
  <c r="T123" i="18" s="1"/>
  <c r="AL123" i="12"/>
  <c r="L123" i="18" s="1"/>
  <c r="J123" i="12"/>
  <c r="AW119" i="12"/>
  <c r="T119" i="18" s="1"/>
  <c r="AL119" i="12"/>
  <c r="L119" i="18" s="1"/>
  <c r="J119" i="12"/>
  <c r="AW115" i="12"/>
  <c r="T115" i="18" s="1"/>
  <c r="AL115" i="12"/>
  <c r="L115" i="18" s="1"/>
  <c r="J115" i="12"/>
  <c r="AW111" i="12"/>
  <c r="T111" i="18" s="1"/>
  <c r="AL111" i="12"/>
  <c r="L111" i="18" s="1"/>
  <c r="J111" i="12"/>
  <c r="AW107" i="12"/>
  <c r="T107" i="18" s="1"/>
  <c r="AL107" i="12"/>
  <c r="L107" i="18" s="1"/>
  <c r="J107" i="12"/>
  <c r="AW103" i="12"/>
  <c r="T103" i="18" s="1"/>
  <c r="AL103" i="12"/>
  <c r="L103" i="18" s="1"/>
  <c r="J103" i="12"/>
  <c r="AW158" i="12"/>
  <c r="T158" i="18" s="1"/>
  <c r="AL158" i="12"/>
  <c r="L158" i="18" s="1"/>
  <c r="J158" i="12"/>
  <c r="AW154" i="12"/>
  <c r="T154" i="18" s="1"/>
  <c r="AL154" i="12"/>
  <c r="L154" i="18" s="1"/>
  <c r="J154" i="12"/>
  <c r="AW150" i="12"/>
  <c r="T150" i="18" s="1"/>
  <c r="AL150" i="12"/>
  <c r="L150" i="18" s="1"/>
  <c r="J150" i="12"/>
  <c r="AW146" i="12"/>
  <c r="T146" i="18" s="1"/>
  <c r="AL146" i="12"/>
  <c r="L146" i="18" s="1"/>
  <c r="J146" i="12"/>
  <c r="AW142" i="12"/>
  <c r="T142" i="18" s="1"/>
  <c r="AL142" i="12"/>
  <c r="L142" i="18" s="1"/>
  <c r="J142" i="12"/>
  <c r="AW138" i="12"/>
  <c r="T138" i="18" s="1"/>
  <c r="AL138" i="12"/>
  <c r="L138" i="18" s="1"/>
  <c r="J138" i="12"/>
  <c r="AW134" i="12"/>
  <c r="T134" i="18" s="1"/>
  <c r="AL134" i="12"/>
  <c r="L134" i="18" s="1"/>
  <c r="J134" i="12"/>
  <c r="AW130" i="12"/>
  <c r="T130" i="18" s="1"/>
  <c r="AL130" i="12"/>
  <c r="L130" i="18" s="1"/>
  <c r="J130" i="12"/>
  <c r="AW183" i="12"/>
  <c r="T183" i="18" s="1"/>
  <c r="AL183" i="12"/>
  <c r="L183" i="18" s="1"/>
  <c r="J183" i="12"/>
  <c r="AW179" i="12"/>
  <c r="T179" i="18" s="1"/>
  <c r="AL179" i="12"/>
  <c r="L179" i="18" s="1"/>
  <c r="J179" i="12"/>
  <c r="AW175" i="12"/>
  <c r="T175" i="18" s="1"/>
  <c r="AL175" i="12"/>
  <c r="L175" i="18" s="1"/>
  <c r="J175" i="12"/>
  <c r="AW171" i="12"/>
  <c r="T171" i="18" s="1"/>
  <c r="AL171" i="12"/>
  <c r="L171" i="18" s="1"/>
  <c r="J171" i="12"/>
  <c r="AW167" i="12"/>
  <c r="T167" i="18" s="1"/>
  <c r="AL167" i="12"/>
  <c r="L167" i="18" s="1"/>
  <c r="J167" i="12"/>
  <c r="AW163" i="12"/>
  <c r="T163" i="18" s="1"/>
  <c r="AL163" i="12"/>
  <c r="L163" i="18" s="1"/>
  <c r="J163" i="12"/>
  <c r="AO86" i="2"/>
  <c r="AP86" i="2"/>
  <c r="X186" i="18"/>
  <c r="AZ186" i="12"/>
  <c r="X187" i="18"/>
  <c r="AZ187" i="12"/>
  <c r="AL36" i="12"/>
  <c r="AW36" i="12"/>
  <c r="T36" i="18" s="1"/>
  <c r="J36" i="12"/>
  <c r="AL32" i="12"/>
  <c r="L32" i="18" s="1"/>
  <c r="AW32" i="12"/>
  <c r="T32" i="18" s="1"/>
  <c r="J32" i="12"/>
  <c r="AL28" i="12"/>
  <c r="L28" i="18" s="1"/>
  <c r="AW28" i="12"/>
  <c r="T28" i="18" s="1"/>
  <c r="J28" i="12"/>
  <c r="AL24" i="12"/>
  <c r="L24" i="18" s="1"/>
  <c r="AW24" i="12"/>
  <c r="T24" i="18" s="1"/>
  <c r="J24" i="12"/>
  <c r="AL20" i="12"/>
  <c r="L20" i="18" s="1"/>
  <c r="AW20" i="12"/>
  <c r="T20" i="18" s="1"/>
  <c r="J20" i="12"/>
  <c r="AL16" i="12"/>
  <c r="L16" i="18" s="1"/>
  <c r="AW16" i="12"/>
  <c r="T16" i="18" s="1"/>
  <c r="J16" i="12"/>
  <c r="AL12" i="12"/>
  <c r="L12" i="18" s="1"/>
  <c r="AW12" i="12"/>
  <c r="T12" i="18" s="1"/>
  <c r="J12" i="12"/>
  <c r="AL8" i="12"/>
  <c r="L8" i="18" s="1"/>
  <c r="AW8" i="12"/>
  <c r="T8" i="18" s="1"/>
  <c r="J8" i="12"/>
  <c r="AL4" i="12"/>
  <c r="L4" i="18" s="1"/>
  <c r="AW4" i="12"/>
  <c r="T4" i="18" s="1"/>
  <c r="J4" i="12"/>
  <c r="AW64" i="12"/>
  <c r="T64" i="18" s="1"/>
  <c r="AL64" i="12"/>
  <c r="L64" i="18" s="1"/>
  <c r="J64" i="12"/>
  <c r="AL60" i="12"/>
  <c r="L60" i="18" s="1"/>
  <c r="AW60" i="12"/>
  <c r="T60" i="18" s="1"/>
  <c r="J60" i="12"/>
  <c r="AW56" i="12"/>
  <c r="T56" i="18" s="1"/>
  <c r="AL56" i="12"/>
  <c r="L56" i="18" s="1"/>
  <c r="J56" i="12"/>
  <c r="AL52" i="12"/>
  <c r="L52" i="18" s="1"/>
  <c r="AW52" i="12"/>
  <c r="T52" i="18" s="1"/>
  <c r="J52" i="12"/>
  <c r="AL48" i="12"/>
  <c r="L48" i="18" s="1"/>
  <c r="AW48" i="12"/>
  <c r="T48" i="18" s="1"/>
  <c r="J48" i="12"/>
  <c r="AL44" i="12"/>
  <c r="L44" i="18" s="1"/>
  <c r="AW44" i="12"/>
  <c r="T44" i="18" s="1"/>
  <c r="J44" i="12"/>
  <c r="AL40" i="12"/>
  <c r="L40" i="18" s="1"/>
  <c r="AW40" i="12"/>
  <c r="T40" i="18" s="1"/>
  <c r="J40" i="12"/>
  <c r="AW98" i="12"/>
  <c r="T98" i="18" s="1"/>
  <c r="AL98" i="12"/>
  <c r="L98" i="18" s="1"/>
  <c r="J98" i="12"/>
  <c r="AW94" i="12"/>
  <c r="T94" i="18" s="1"/>
  <c r="AL94" i="12"/>
  <c r="L94" i="18" s="1"/>
  <c r="J94" i="12"/>
  <c r="AW90" i="12"/>
  <c r="T90" i="18" s="1"/>
  <c r="AL90" i="12"/>
  <c r="L90" i="18" s="1"/>
  <c r="J90" i="12"/>
  <c r="AW86" i="12"/>
  <c r="T86" i="18" s="1"/>
  <c r="AL86" i="12"/>
  <c r="L86" i="18" s="1"/>
  <c r="J86" i="12"/>
  <c r="AW82" i="12"/>
  <c r="T82" i="18" s="1"/>
  <c r="AL82" i="12"/>
  <c r="L82" i="18" s="1"/>
  <c r="J82" i="12"/>
  <c r="AW78" i="12"/>
  <c r="T78" i="18" s="1"/>
  <c r="AL78" i="12"/>
  <c r="L78" i="18" s="1"/>
  <c r="J78" i="12"/>
  <c r="AW74" i="12"/>
  <c r="T74" i="18" s="1"/>
  <c r="AL74" i="12"/>
  <c r="L74" i="18" s="1"/>
  <c r="J74" i="12"/>
  <c r="AW70" i="12"/>
  <c r="T70" i="18" s="1"/>
  <c r="AL70" i="12"/>
  <c r="L70" i="18" s="1"/>
  <c r="J70" i="12"/>
  <c r="AW126" i="12"/>
  <c r="T126" i="18" s="1"/>
  <c r="AL126" i="12"/>
  <c r="L126" i="18" s="1"/>
  <c r="J126" i="12"/>
  <c r="AW122" i="12"/>
  <c r="T122" i="18" s="1"/>
  <c r="AL122" i="12"/>
  <c r="L122" i="18" s="1"/>
  <c r="J122" i="12"/>
  <c r="AW118" i="12"/>
  <c r="T118" i="18" s="1"/>
  <c r="AL118" i="12"/>
  <c r="L118" i="18" s="1"/>
  <c r="J118" i="12"/>
  <c r="AW114" i="12"/>
  <c r="T114" i="18" s="1"/>
  <c r="AL114" i="12"/>
  <c r="L114" i="18" s="1"/>
  <c r="J114" i="12"/>
  <c r="AW110" i="12"/>
  <c r="T110" i="18" s="1"/>
  <c r="AL110" i="12"/>
  <c r="L110" i="18" s="1"/>
  <c r="J110" i="12"/>
  <c r="AW106" i="12"/>
  <c r="T106" i="18" s="1"/>
  <c r="AL106" i="12"/>
  <c r="L106" i="18" s="1"/>
  <c r="J106" i="12"/>
  <c r="AW102" i="12"/>
  <c r="T102" i="18" s="1"/>
  <c r="AL102" i="12"/>
  <c r="L102" i="18" s="1"/>
  <c r="J102" i="12"/>
  <c r="AW157" i="12"/>
  <c r="T157" i="18" s="1"/>
  <c r="AL157" i="12"/>
  <c r="L157" i="18" s="1"/>
  <c r="J157" i="12"/>
  <c r="AW153" i="12"/>
  <c r="T153" i="18" s="1"/>
  <c r="AL153" i="12"/>
  <c r="L153" i="18" s="1"/>
  <c r="J153" i="12"/>
  <c r="AW149" i="12"/>
  <c r="T149" i="18" s="1"/>
  <c r="AL149" i="12"/>
  <c r="L149" i="18" s="1"/>
  <c r="J149" i="12"/>
  <c r="AW145" i="12"/>
  <c r="T145" i="18" s="1"/>
  <c r="AL145" i="12"/>
  <c r="L145" i="18" s="1"/>
  <c r="J145" i="12"/>
  <c r="AW141" i="12"/>
  <c r="T141" i="18" s="1"/>
  <c r="AL141" i="12"/>
  <c r="L141" i="18" s="1"/>
  <c r="J141" i="12"/>
  <c r="AW137" i="12"/>
  <c r="T137" i="18" s="1"/>
  <c r="AL137" i="12"/>
  <c r="L137" i="18" s="1"/>
  <c r="J137" i="12"/>
  <c r="AW133" i="12"/>
  <c r="T133" i="18" s="1"/>
  <c r="AL133" i="12"/>
  <c r="L133" i="18" s="1"/>
  <c r="J133" i="12"/>
  <c r="AW129" i="12"/>
  <c r="T129" i="18" s="1"/>
  <c r="AL129" i="12"/>
  <c r="L129" i="18" s="1"/>
  <c r="J129" i="12"/>
  <c r="AW182" i="12"/>
  <c r="T182" i="18" s="1"/>
  <c r="AL182" i="12"/>
  <c r="L182" i="18" s="1"/>
  <c r="J182" i="12"/>
  <c r="AW178" i="12"/>
  <c r="T178" i="18" s="1"/>
  <c r="AL178" i="12"/>
  <c r="L178" i="18" s="1"/>
  <c r="J178" i="12"/>
  <c r="AW174" i="12"/>
  <c r="T174" i="18" s="1"/>
  <c r="AL174" i="12"/>
  <c r="L174" i="18" s="1"/>
  <c r="J174" i="12"/>
  <c r="AW170" i="12"/>
  <c r="T170" i="18" s="1"/>
  <c r="AL170" i="12"/>
  <c r="L170" i="18" s="1"/>
  <c r="J170" i="12"/>
  <c r="AW166" i="12"/>
  <c r="T166" i="18" s="1"/>
  <c r="AL166" i="12"/>
  <c r="L166" i="18" s="1"/>
  <c r="J166" i="12"/>
  <c r="AW162" i="12"/>
  <c r="T162" i="18" s="1"/>
  <c r="AL162" i="12"/>
  <c r="L162" i="18" s="1"/>
  <c r="J162" i="12"/>
  <c r="X190" i="18"/>
  <c r="AZ190" i="12"/>
  <c r="X189" i="18"/>
  <c r="AZ189" i="12"/>
  <c r="K86" i="8"/>
  <c r="M85" i="8"/>
  <c r="K114" i="8"/>
  <c r="M113" i="8"/>
  <c r="K71" i="8"/>
  <c r="M70" i="8"/>
  <c r="I18" i="9"/>
  <c r="H20" i="15" s="1"/>
  <c r="AE42" i="20"/>
  <c r="W109" i="9"/>
  <c r="AE35" i="20"/>
  <c r="AE34" i="9" s="1"/>
  <c r="AE49" i="20"/>
  <c r="AE48" i="9" s="1"/>
  <c r="AE178" i="20"/>
  <c r="AE177" i="9" s="1"/>
  <c r="A78" i="17"/>
  <c r="I4" i="9"/>
  <c r="I138" i="17"/>
  <c r="D182" i="13"/>
  <c r="D166" i="13"/>
  <c r="D150" i="13"/>
  <c r="D138" i="13"/>
  <c r="D122" i="13"/>
  <c r="D106" i="13"/>
  <c r="D90" i="13"/>
  <c r="D74" i="13"/>
  <c r="D58" i="13"/>
  <c r="D38" i="13"/>
  <c r="D22" i="13"/>
  <c r="B23" i="2"/>
  <c r="D18" i="13"/>
  <c r="B19" i="2"/>
  <c r="V181" i="2"/>
  <c r="D172" i="13"/>
  <c r="V165" i="2"/>
  <c r="D156" i="13"/>
  <c r="V149" i="2"/>
  <c r="D140" i="13"/>
  <c r="V133" i="2"/>
  <c r="D124" i="13"/>
  <c r="V117" i="2"/>
  <c r="D108" i="13"/>
  <c r="V105" i="2"/>
  <c r="D96" i="13"/>
  <c r="V89" i="2"/>
  <c r="X89" i="2" s="1"/>
  <c r="D80" i="13"/>
  <c r="V73" i="2"/>
  <c r="D64" i="13"/>
  <c r="V57" i="2"/>
  <c r="X57" i="2" s="1"/>
  <c r="D48" i="13"/>
  <c r="D36" i="10"/>
  <c r="D28" i="13"/>
  <c r="D20" i="10"/>
  <c r="B21" i="2"/>
  <c r="D12" i="13"/>
  <c r="B13" i="2"/>
  <c r="D183" i="13"/>
  <c r="D179" i="13"/>
  <c r="D175" i="13"/>
  <c r="D171" i="13"/>
  <c r="D167" i="13"/>
  <c r="D163" i="13"/>
  <c r="D159" i="13"/>
  <c r="D155" i="13"/>
  <c r="D151" i="13"/>
  <c r="D147" i="13"/>
  <c r="D143" i="13"/>
  <c r="D139" i="13"/>
  <c r="D135" i="13"/>
  <c r="D131" i="13"/>
  <c r="D127" i="13"/>
  <c r="D123" i="13"/>
  <c r="D119" i="13"/>
  <c r="D115" i="13"/>
  <c r="D111" i="13"/>
  <c r="D107" i="13"/>
  <c r="D103" i="13"/>
  <c r="D99" i="13"/>
  <c r="D95" i="13"/>
  <c r="D91" i="13"/>
  <c r="D87" i="13"/>
  <c r="D83" i="13"/>
  <c r="D79" i="13"/>
  <c r="D75" i="13"/>
  <c r="D71" i="13"/>
  <c r="D67" i="13"/>
  <c r="D63" i="13"/>
  <c r="D59" i="13"/>
  <c r="D55" i="13"/>
  <c r="D51" i="13"/>
  <c r="D47" i="13"/>
  <c r="D43" i="13"/>
  <c r="D39" i="13"/>
  <c r="D35" i="10"/>
  <c r="D31" i="13"/>
  <c r="D27" i="13"/>
  <c r="D23" i="13"/>
  <c r="B24" i="2"/>
  <c r="D19" i="10"/>
  <c r="B20" i="2"/>
  <c r="D15" i="13"/>
  <c r="B16" i="2"/>
  <c r="D11" i="13"/>
  <c r="B12" i="2"/>
  <c r="D170" i="13"/>
  <c r="D154" i="13"/>
  <c r="D134" i="13"/>
  <c r="D118" i="13"/>
  <c r="D102" i="13"/>
  <c r="D86" i="13"/>
  <c r="D70" i="13"/>
  <c r="D54" i="13"/>
  <c r="D42" i="13"/>
  <c r="D26" i="13"/>
  <c r="D14" i="10"/>
  <c r="B15" i="2"/>
  <c r="D178" i="13"/>
  <c r="D162" i="13"/>
  <c r="D146" i="13"/>
  <c r="D126" i="13"/>
  <c r="D110" i="13"/>
  <c r="D94" i="13"/>
  <c r="D82" i="13"/>
  <c r="D66" i="13"/>
  <c r="D50" i="13"/>
  <c r="D34" i="13"/>
  <c r="V182" i="2"/>
  <c r="V178" i="2"/>
  <c r="X178" i="2" s="1"/>
  <c r="V174" i="2"/>
  <c r="V170" i="2"/>
  <c r="X170" i="2" s="1"/>
  <c r="V166" i="2"/>
  <c r="V162" i="2"/>
  <c r="X162" i="2" s="1"/>
  <c r="V158" i="2"/>
  <c r="V154" i="2"/>
  <c r="V150" i="2"/>
  <c r="V146" i="2"/>
  <c r="X146" i="2" s="1"/>
  <c r="V142" i="2"/>
  <c r="V138" i="2"/>
  <c r="V134" i="2"/>
  <c r="V130" i="2"/>
  <c r="X130" i="2" s="1"/>
  <c r="V126" i="2"/>
  <c r="V122" i="2"/>
  <c r="X122" i="2" s="1"/>
  <c r="V118" i="2"/>
  <c r="V114" i="2"/>
  <c r="X114" i="2" s="1"/>
  <c r="V110" i="2"/>
  <c r="V106" i="2"/>
  <c r="X106" i="2" s="1"/>
  <c r="V102" i="2"/>
  <c r="V98" i="2"/>
  <c r="X98" i="2" s="1"/>
  <c r="V94" i="2"/>
  <c r="X94" i="2" s="1"/>
  <c r="V90" i="2"/>
  <c r="X90" i="2" s="1"/>
  <c r="V86" i="2"/>
  <c r="V82" i="2"/>
  <c r="X82" i="2" s="1"/>
  <c r="V78" i="2"/>
  <c r="V74" i="2"/>
  <c r="V70" i="2"/>
  <c r="V66" i="2"/>
  <c r="V62" i="2"/>
  <c r="V58" i="2"/>
  <c r="X58" i="2" s="1"/>
  <c r="V54" i="2"/>
  <c r="V50" i="2"/>
  <c r="B50" i="2" s="1"/>
  <c r="V46" i="2"/>
  <c r="B46" i="2" s="1"/>
  <c r="V42" i="2"/>
  <c r="B42" i="2" s="1"/>
  <c r="V38" i="2"/>
  <c r="B38" i="2" s="1"/>
  <c r="D33" i="10"/>
  <c r="V30" i="2"/>
  <c r="B30" i="2" s="1"/>
  <c r="D25" i="10"/>
  <c r="B26" i="2"/>
  <c r="V22" i="2"/>
  <c r="X22" i="2" s="1"/>
  <c r="B22" i="2"/>
  <c r="D17" i="10"/>
  <c r="B18" i="2"/>
  <c r="V14" i="2"/>
  <c r="B14" i="2"/>
  <c r="D174" i="13"/>
  <c r="D158" i="13"/>
  <c r="D142" i="13"/>
  <c r="D130" i="13"/>
  <c r="D114" i="13"/>
  <c r="D98" i="13"/>
  <c r="D78" i="13"/>
  <c r="D62" i="13"/>
  <c r="D46" i="13"/>
  <c r="D30" i="10"/>
  <c r="D10" i="13"/>
  <c r="B11" i="2"/>
  <c r="D176" i="13"/>
  <c r="V169" i="2"/>
  <c r="D160" i="13"/>
  <c r="V153" i="2"/>
  <c r="X153" i="2" s="1"/>
  <c r="D144" i="13"/>
  <c r="V137" i="2"/>
  <c r="D128" i="13"/>
  <c r="V121" i="2"/>
  <c r="X121" i="2" s="1"/>
  <c r="D112" i="13"/>
  <c r="V101" i="2"/>
  <c r="D92" i="13"/>
  <c r="V85" i="2"/>
  <c r="D76" i="13"/>
  <c r="V69" i="2"/>
  <c r="D60" i="13"/>
  <c r="V53" i="2"/>
  <c r="D44" i="13"/>
  <c r="V41" i="2"/>
  <c r="B41" i="2" s="1"/>
  <c r="D32" i="13"/>
  <c r="V25" i="2"/>
  <c r="B25" i="2"/>
  <c r="D16" i="13"/>
  <c r="B17" i="2"/>
  <c r="A10" i="8"/>
  <c r="C9" i="8"/>
  <c r="D9" i="8" s="1"/>
  <c r="I139" i="17"/>
  <c r="I141" i="17"/>
  <c r="C187" i="13"/>
  <c r="V188" i="18"/>
  <c r="C191" i="13"/>
  <c r="V192" i="18"/>
  <c r="C184" i="13"/>
  <c r="V185" i="18"/>
  <c r="C185" i="13"/>
  <c r="V186" i="18"/>
  <c r="C189" i="13"/>
  <c r="V190" i="18"/>
  <c r="C190" i="13"/>
  <c r="V191" i="18"/>
  <c r="C188" i="13"/>
  <c r="V189" i="18"/>
  <c r="C186" i="13"/>
  <c r="V187" i="18"/>
  <c r="W114" i="9"/>
  <c r="W48" i="9"/>
  <c r="W80" i="9"/>
  <c r="W133" i="9"/>
  <c r="W79" i="9"/>
  <c r="AE45" i="20"/>
  <c r="AE43" i="20"/>
  <c r="AE42" i="9" s="1"/>
  <c r="AE36" i="20"/>
  <c r="AE38" i="20"/>
  <c r="AE37" i="9" s="1"/>
  <c r="AE34" i="20"/>
  <c r="AE33" i="9" s="1"/>
  <c r="I16" i="9"/>
  <c r="H18" i="15" s="1"/>
  <c r="AE5" i="20"/>
  <c r="A110" i="17"/>
  <c r="Q110" i="17" s="1"/>
  <c r="A59" i="17"/>
  <c r="AE27" i="20"/>
  <c r="AE26" i="9" s="1"/>
  <c r="W50" i="9"/>
  <c r="W30" i="9"/>
  <c r="W131" i="9"/>
  <c r="W49" i="9"/>
  <c r="AE242" i="20"/>
  <c r="AE241" i="9" s="1"/>
  <c r="W31" i="9"/>
  <c r="AE220" i="20"/>
  <c r="AE219" i="9" s="1"/>
  <c r="W81" i="9"/>
  <c r="W72" i="9"/>
  <c r="AE213" i="20"/>
  <c r="AE212" i="9" s="1"/>
  <c r="AE73" i="20"/>
  <c r="AE72" i="9" s="1"/>
  <c r="AE54" i="20"/>
  <c r="AE53" i="9" s="1"/>
  <c r="AE81" i="20"/>
  <c r="AE76" i="20"/>
  <c r="AE75" i="9" s="1"/>
  <c r="AE78" i="20"/>
  <c r="AE77" i="9" s="1"/>
  <c r="AE243" i="20"/>
  <c r="AE242" i="9" s="1"/>
  <c r="AE226" i="20"/>
  <c r="AE225" i="9" s="1"/>
  <c r="AE87" i="20"/>
  <c r="AE86" i="9" s="1"/>
  <c r="AE207" i="20"/>
  <c r="AE206" i="9" s="1"/>
  <c r="AE65" i="20"/>
  <c r="AE64" i="9" s="1"/>
  <c r="W111" i="9"/>
  <c r="AE148" i="20"/>
  <c r="AE147" i="9" s="1"/>
  <c r="AE214" i="20"/>
  <c r="AE213" i="9" s="1"/>
  <c r="AE201" i="20"/>
  <c r="AE200" i="9" s="1"/>
  <c r="AE8" i="20"/>
  <c r="AE237" i="20"/>
  <c r="AE236" i="9" s="1"/>
  <c r="AE71" i="20"/>
  <c r="AE70" i="9" s="1"/>
  <c r="AE67" i="20"/>
  <c r="AE66" i="9" s="1"/>
  <c r="AE212" i="20"/>
  <c r="AE211" i="9" s="1"/>
  <c r="AE193" i="20"/>
  <c r="AE192" i="9" s="1"/>
  <c r="AE234" i="20"/>
  <c r="AE233" i="9" s="1"/>
  <c r="AE69" i="20"/>
  <c r="AE68" i="9" s="1"/>
  <c r="AE203" i="20"/>
  <c r="AE202" i="9" s="1"/>
  <c r="AE231" i="20"/>
  <c r="AE230" i="9" s="1"/>
  <c r="AE225" i="20"/>
  <c r="AE224" i="9" s="1"/>
  <c r="AE219" i="20"/>
  <c r="AE218" i="9" s="1"/>
  <c r="AE133" i="20"/>
  <c r="AE58" i="20"/>
  <c r="AE57" i="9" s="1"/>
  <c r="AE55" i="20"/>
  <c r="AE54" i="9" s="1"/>
  <c r="K292" i="20"/>
  <c r="J293" i="14" s="1"/>
  <c r="AE50" i="20"/>
  <c r="AE48" i="20"/>
  <c r="AE47" i="9" s="1"/>
  <c r="AE180" i="20"/>
  <c r="AE179" i="9" s="1"/>
  <c r="AE177" i="20"/>
  <c r="AE176" i="9" s="1"/>
  <c r="AE26" i="20"/>
  <c r="AE79" i="20"/>
  <c r="AE78" i="9" s="1"/>
  <c r="AE239" i="20"/>
  <c r="AE238" i="9" s="1"/>
  <c r="AE74" i="20"/>
  <c r="AE73" i="9" s="1"/>
  <c r="AE228" i="20"/>
  <c r="AE227" i="9" s="1"/>
  <c r="AE68" i="20"/>
  <c r="AE67" i="9" s="1"/>
  <c r="AE216" i="20"/>
  <c r="AE215" i="9" s="1"/>
  <c r="AE63" i="20"/>
  <c r="AE62" i="9" s="1"/>
  <c r="AE60" i="20"/>
  <c r="AE202" i="20"/>
  <c r="AE201" i="9" s="1"/>
  <c r="AE96" i="20"/>
  <c r="AE95" i="9" s="1"/>
  <c r="A69" i="17"/>
  <c r="A54" i="17"/>
  <c r="Q54" i="17" s="1"/>
  <c r="AE61" i="20"/>
  <c r="AE60" i="9" s="1"/>
  <c r="A112" i="17"/>
  <c r="Q112" i="17" s="1"/>
  <c r="A90" i="17"/>
  <c r="A123" i="17"/>
  <c r="AE112" i="20"/>
  <c r="AE111" i="9" s="1"/>
  <c r="I129" i="17"/>
  <c r="I120" i="17"/>
  <c r="AE120" i="20"/>
  <c r="AE90" i="20"/>
  <c r="AE89" i="9" s="1"/>
  <c r="AE104" i="20"/>
  <c r="AE103" i="9" s="1"/>
  <c r="A117" i="17"/>
  <c r="Q117" i="17" s="1"/>
  <c r="A119" i="17"/>
  <c r="AE125" i="20"/>
  <c r="AE124" i="9" s="1"/>
  <c r="AE108" i="20"/>
  <c r="AE107" i="9" s="1"/>
  <c r="A101" i="17"/>
  <c r="AE116" i="20"/>
  <c r="AE100" i="20"/>
  <c r="AE99" i="9" s="1"/>
  <c r="A65" i="17"/>
  <c r="I132" i="17"/>
  <c r="A115" i="17"/>
  <c r="Q115" i="17" s="1"/>
  <c r="I142" i="17"/>
  <c r="AE129" i="20"/>
  <c r="AE128" i="9" s="1"/>
  <c r="AE118" i="20"/>
  <c r="AE110" i="20"/>
  <c r="AE102" i="20"/>
  <c r="AE101" i="9" s="1"/>
  <c r="AE95" i="20"/>
  <c r="AE94" i="9" s="1"/>
  <c r="A116" i="17"/>
  <c r="Q116" i="17" s="1"/>
  <c r="A86" i="17"/>
  <c r="A99" i="17"/>
  <c r="I110" i="9"/>
  <c r="H112" i="15" s="1"/>
  <c r="S112" i="15" s="1"/>
  <c r="AE85" i="20"/>
  <c r="AE245" i="20"/>
  <c r="AE244" i="9" s="1"/>
  <c r="AE77" i="20"/>
  <c r="AE76" i="9" s="1"/>
  <c r="AE236" i="20"/>
  <c r="AE235" i="9" s="1"/>
  <c r="AE72" i="20"/>
  <c r="AE70" i="20"/>
  <c r="AE69" i="9" s="1"/>
  <c r="AE222" i="20"/>
  <c r="AE221" i="9" s="1"/>
  <c r="AE114" i="20"/>
  <c r="AE113" i="9" s="1"/>
  <c r="AE106" i="20"/>
  <c r="AE98" i="20"/>
  <c r="AE209" i="20"/>
  <c r="AE208" i="9" s="1"/>
  <c r="AE52" i="20"/>
  <c r="AE51" i="9" s="1"/>
  <c r="A84" i="17"/>
  <c r="Q84" i="17" s="1"/>
  <c r="A37" i="17"/>
  <c r="A70" i="17"/>
  <c r="A130" i="17"/>
  <c r="A43" i="17"/>
  <c r="I128" i="9"/>
  <c r="H130" i="15" s="1"/>
  <c r="S130" i="15" s="1"/>
  <c r="A46" i="17"/>
  <c r="I93" i="9"/>
  <c r="H95" i="15" s="1"/>
  <c r="S95" i="15" s="1"/>
  <c r="AE94" i="20"/>
  <c r="AE206" i="20"/>
  <c r="AE205" i="9" s="1"/>
  <c r="AI102" i="9"/>
  <c r="A102" i="17"/>
  <c r="A107" i="17"/>
  <c r="I17" i="9"/>
  <c r="H19" i="15" s="1"/>
  <c r="I39" i="9"/>
  <c r="H41" i="17" s="1"/>
  <c r="I41" i="9"/>
  <c r="H43" i="15" s="1"/>
  <c r="S43" i="15" s="1"/>
  <c r="I15" i="9"/>
  <c r="H17" i="15" s="1"/>
  <c r="S17" i="15" s="1"/>
  <c r="I32" i="9"/>
  <c r="H34" i="15" s="1"/>
  <c r="S34" i="15" s="1"/>
  <c r="A76" i="17"/>
  <c r="A124" i="17"/>
  <c r="I86" i="17"/>
  <c r="A109" i="17"/>
  <c r="Q109" i="17" s="1"/>
  <c r="A74" i="17"/>
  <c r="Q74" i="17" s="1"/>
  <c r="I124" i="9"/>
  <c r="H126" i="15" s="1"/>
  <c r="S126" i="15" s="1"/>
  <c r="A73" i="17"/>
  <c r="A62" i="17"/>
  <c r="A82" i="17"/>
  <c r="Q82" i="17" s="1"/>
  <c r="A111" i="17"/>
  <c r="Q111" i="17" s="1"/>
  <c r="A135" i="17"/>
  <c r="Q135" i="17" s="1"/>
  <c r="I47" i="9"/>
  <c r="H49" i="15" s="1"/>
  <c r="S49" i="15" s="1"/>
  <c r="AE246" i="20"/>
  <c r="AE245" i="9" s="1"/>
  <c r="AE75" i="20"/>
  <c r="AE74" i="9" s="1"/>
  <c r="AE223" i="20"/>
  <c r="AE222" i="9" s="1"/>
  <c r="AE62" i="20"/>
  <c r="AE61" i="9" s="1"/>
  <c r="AE140" i="20"/>
  <c r="AE139" i="9" s="1"/>
  <c r="AE131" i="20"/>
  <c r="AE130" i="9" s="1"/>
  <c r="AE111" i="20"/>
  <c r="AE59" i="20"/>
  <c r="AE58" i="9" s="1"/>
  <c r="AE56" i="20"/>
  <c r="AE55" i="9" s="1"/>
  <c r="AE53" i="20"/>
  <c r="AE52" i="9" s="1"/>
  <c r="A57" i="15"/>
  <c r="Q57" i="15" s="1"/>
  <c r="A57" i="17"/>
  <c r="A89" i="15"/>
  <c r="Q89" i="15" s="1"/>
  <c r="A89" i="17"/>
  <c r="A105" i="15"/>
  <c r="Q105" i="15" s="1"/>
  <c r="A105" i="17"/>
  <c r="I196" i="15"/>
  <c r="I193" i="15"/>
  <c r="AE127" i="20"/>
  <c r="AE126" i="9" s="1"/>
  <c r="I126" i="9"/>
  <c r="H128" i="15" s="1"/>
  <c r="I122" i="9"/>
  <c r="H124" i="15" s="1"/>
  <c r="AE121" i="20"/>
  <c r="AE120" i="9" s="1"/>
  <c r="I118" i="9"/>
  <c r="H120" i="15" s="1"/>
  <c r="S120" i="15" s="1"/>
  <c r="AE117" i="20"/>
  <c r="AE116" i="9" s="1"/>
  <c r="I116" i="9"/>
  <c r="H118" i="15" s="1"/>
  <c r="S118" i="15" s="1"/>
  <c r="I114" i="9"/>
  <c r="H116" i="15" s="1"/>
  <c r="S116" i="15" s="1"/>
  <c r="AE113" i="20"/>
  <c r="AE109" i="20"/>
  <c r="AE108" i="9" s="1"/>
  <c r="I108" i="9"/>
  <c r="H110" i="17" s="1"/>
  <c r="I106" i="9"/>
  <c r="H108" i="17" s="1"/>
  <c r="I104" i="9"/>
  <c r="H106" i="17" s="1"/>
  <c r="AE105" i="20"/>
  <c r="AE104" i="9" s="1"/>
  <c r="I98" i="9"/>
  <c r="H100" i="17" s="1"/>
  <c r="I96" i="9"/>
  <c r="H98" i="15" s="1"/>
  <c r="S98" i="15" s="1"/>
  <c r="AE97" i="20"/>
  <c r="I90" i="9"/>
  <c r="H92" i="15" s="1"/>
  <c r="S92" i="15" s="1"/>
  <c r="I88" i="9"/>
  <c r="H90" i="15" s="1"/>
  <c r="S90" i="15" s="1"/>
  <c r="AE88" i="20"/>
  <c r="AE87" i="9" s="1"/>
  <c r="AE86" i="20"/>
  <c r="I85" i="9"/>
  <c r="H87" i="17" s="1"/>
  <c r="AE84" i="20"/>
  <c r="AE83" i="9" s="1"/>
  <c r="AE83" i="20"/>
  <c r="AE82" i="9" s="1"/>
  <c r="AE82" i="20"/>
  <c r="I81" i="9"/>
  <c r="H83" i="15" s="1"/>
  <c r="S83" i="15" s="1"/>
  <c r="AE80" i="20"/>
  <c r="AE79" i="9" s="1"/>
  <c r="I246" i="9"/>
  <c r="AE247" i="20"/>
  <c r="AE246" i="9" s="1"/>
  <c r="I243" i="9"/>
  <c r="AE244" i="20"/>
  <c r="AE243" i="9" s="1"/>
  <c r="I240" i="9"/>
  <c r="AE241" i="20"/>
  <c r="AE240" i="9" s="1"/>
  <c r="I237" i="9"/>
  <c r="AE238" i="20"/>
  <c r="AE237" i="9" s="1"/>
  <c r="I234" i="9"/>
  <c r="AE235" i="20"/>
  <c r="AE234" i="9" s="1"/>
  <c r="I231" i="9"/>
  <c r="AE232" i="20"/>
  <c r="AE231" i="9" s="1"/>
  <c r="I229" i="9"/>
  <c r="AE230" i="20"/>
  <c r="AE229" i="9" s="1"/>
  <c r="I226" i="9"/>
  <c r="AE227" i="20"/>
  <c r="AE226" i="9" s="1"/>
  <c r="I223" i="9"/>
  <c r="AE224" i="20"/>
  <c r="AE223" i="9" s="1"/>
  <c r="I220" i="9"/>
  <c r="AE221" i="20"/>
  <c r="AE220" i="9" s="1"/>
  <c r="I217" i="9"/>
  <c r="AE218" i="20"/>
  <c r="AE217" i="9" s="1"/>
  <c r="AE66" i="20"/>
  <c r="AE2" i="9" s="1"/>
  <c r="AE64" i="20"/>
  <c r="AE63" i="9" s="1"/>
  <c r="I63" i="9"/>
  <c r="H65" i="17" s="1"/>
  <c r="I210" i="9"/>
  <c r="H212" i="17" s="1"/>
  <c r="S212" i="17" s="1"/>
  <c r="AE211" i="20"/>
  <c r="AE210" i="9" s="1"/>
  <c r="I207" i="9"/>
  <c r="AE208" i="20"/>
  <c r="AE207" i="9" s="1"/>
  <c r="I203" i="9"/>
  <c r="AE204" i="20"/>
  <c r="AE203" i="9" s="1"/>
  <c r="I190" i="9"/>
  <c r="AE191" i="20"/>
  <c r="AE190" i="9" s="1"/>
  <c r="I133" i="9"/>
  <c r="H135" i="15" s="1"/>
  <c r="S135" i="15" s="1"/>
  <c r="AE130" i="20"/>
  <c r="AE129" i="9" s="1"/>
  <c r="AE122" i="20"/>
  <c r="AE121" i="9" s="1"/>
  <c r="I30" i="9"/>
  <c r="H32" i="15" s="1"/>
  <c r="S32" i="15" s="1"/>
  <c r="AE31" i="20"/>
  <c r="AE30" i="9" s="1"/>
  <c r="I184" i="15"/>
  <c r="I175" i="15"/>
  <c r="I147" i="15"/>
  <c r="AE240" i="20"/>
  <c r="AE239" i="9" s="1"/>
  <c r="AE229" i="20"/>
  <c r="AE228" i="9" s="1"/>
  <c r="AE217" i="20"/>
  <c r="AE216" i="9" s="1"/>
  <c r="AE134" i="20"/>
  <c r="AE133" i="9" s="1"/>
  <c r="AE119" i="20"/>
  <c r="AE118" i="9" s="1"/>
  <c r="AE103" i="20"/>
  <c r="AE57" i="20"/>
  <c r="AE56" i="9" s="1"/>
  <c r="A48" i="15"/>
  <c r="Q48" i="15" s="1"/>
  <c r="W46" i="9"/>
  <c r="I102" i="9"/>
  <c r="H104" i="15" s="1"/>
  <c r="S104" i="15" s="1"/>
  <c r="I129" i="9"/>
  <c r="H131" i="15" s="1"/>
  <c r="S131" i="15" s="1"/>
  <c r="AE123" i="20"/>
  <c r="AE122" i="9" s="1"/>
  <c r="AE107" i="20"/>
  <c r="AE106" i="9" s="1"/>
  <c r="AE210" i="20"/>
  <c r="AE209" i="9" s="1"/>
  <c r="AE194" i="20"/>
  <c r="AE193" i="9" s="1"/>
  <c r="A108" i="15"/>
  <c r="Q108" i="15" s="1"/>
  <c r="A108" i="17"/>
  <c r="I5" i="9"/>
  <c r="H7" i="15" s="1"/>
  <c r="AE6" i="20"/>
  <c r="AE5" i="9" s="1"/>
  <c r="A127" i="15"/>
  <c r="Q127" i="15" s="1"/>
  <c r="A127" i="17"/>
  <c r="I100" i="9"/>
  <c r="H102" i="15" s="1"/>
  <c r="S102" i="15" s="1"/>
  <c r="I132" i="9"/>
  <c r="H134" i="17" s="1"/>
  <c r="AE101" i="20"/>
  <c r="AE100" i="9" s="1"/>
  <c r="AE93" i="20"/>
  <c r="AE92" i="9" s="1"/>
  <c r="AE92" i="20"/>
  <c r="A128" i="17"/>
  <c r="I95" i="17"/>
  <c r="A75" i="17"/>
  <c r="Q75" i="17" s="1"/>
  <c r="A131" i="17"/>
  <c r="I44" i="9"/>
  <c r="H46" i="17" s="1"/>
  <c r="AJ148" i="20"/>
  <c r="AJ147" i="9" s="1"/>
  <c r="AK147" i="9"/>
  <c r="AJ372" i="20"/>
  <c r="AJ371" i="9" s="1"/>
  <c r="AK371" i="9"/>
  <c r="AJ306" i="20"/>
  <c r="AJ305" i="9" s="1"/>
  <c r="AK305" i="9"/>
  <c r="AJ311" i="20"/>
  <c r="AJ310" i="9" s="1"/>
  <c r="AK310" i="9"/>
  <c r="AJ169" i="20"/>
  <c r="AJ168" i="9" s="1"/>
  <c r="AK168" i="9"/>
  <c r="AI3" i="9"/>
  <c r="AI144" i="9"/>
  <c r="AI43" i="9"/>
  <c r="AI371" i="9"/>
  <c r="AI107" i="9"/>
  <c r="AI305" i="9"/>
  <c r="I321" i="9"/>
  <c r="I319" i="9"/>
  <c r="I171" i="9"/>
  <c r="H173" i="17" s="1"/>
  <c r="I318" i="9"/>
  <c r="I167" i="9"/>
  <c r="I316" i="9"/>
  <c r="I165" i="9"/>
  <c r="I313" i="9"/>
  <c r="I312" i="9"/>
  <c r="I162" i="9"/>
  <c r="H164" i="17" s="1"/>
  <c r="S164" i="17" s="1"/>
  <c r="I309" i="9"/>
  <c r="I159" i="9"/>
  <c r="I308" i="9"/>
  <c r="I158" i="9"/>
  <c r="H160" i="17" s="1"/>
  <c r="S160" i="17" s="1"/>
  <c r="I394" i="9"/>
  <c r="H395" i="15" s="1"/>
  <c r="S395" i="15" s="1"/>
  <c r="I143" i="9"/>
  <c r="I138" i="9"/>
  <c r="I291" i="9"/>
  <c r="I284" i="9"/>
  <c r="I281" i="9"/>
  <c r="I275" i="9"/>
  <c r="I269" i="9"/>
  <c r="I268" i="9"/>
  <c r="I265" i="9"/>
  <c r="I263" i="9"/>
  <c r="I261" i="9"/>
  <c r="I259" i="9"/>
  <c r="I258" i="9"/>
  <c r="I256" i="9"/>
  <c r="I255" i="9"/>
  <c r="I253" i="9"/>
  <c r="I250" i="9"/>
  <c r="I249" i="9"/>
  <c r="I247" i="9"/>
  <c r="I204" i="9"/>
  <c r="I198" i="9"/>
  <c r="I195" i="9"/>
  <c r="I191" i="9"/>
  <c r="I332" i="9"/>
  <c r="I330" i="9"/>
  <c r="I185" i="9"/>
  <c r="I328" i="9"/>
  <c r="I184" i="9"/>
  <c r="H186" i="17" s="1"/>
  <c r="I183" i="9"/>
  <c r="I180" i="9"/>
  <c r="I324" i="9"/>
  <c r="I323" i="9"/>
  <c r="I173" i="9"/>
  <c r="I367" i="9"/>
  <c r="H368" i="15" s="1"/>
  <c r="S368" i="15" s="1"/>
  <c r="I378" i="9"/>
  <c r="H379" i="15" s="1"/>
  <c r="S379" i="15" s="1"/>
  <c r="I409" i="9"/>
  <c r="H410" i="15" s="1"/>
  <c r="S410" i="15" s="1"/>
  <c r="I375" i="9"/>
  <c r="H376" i="15" s="1"/>
  <c r="S376" i="15" s="1"/>
  <c r="I407" i="9"/>
  <c r="H408" i="15" s="1"/>
  <c r="S408" i="15" s="1"/>
  <c r="I403" i="9"/>
  <c r="H404" i="15" s="1"/>
  <c r="S404" i="15" s="1"/>
  <c r="I400" i="9"/>
  <c r="H401" i="15" s="1"/>
  <c r="S401" i="15" s="1"/>
  <c r="I371" i="9"/>
  <c r="H372" i="15" s="1"/>
  <c r="S372" i="15" s="1"/>
  <c r="I388" i="9"/>
  <c r="H389" i="15" s="1"/>
  <c r="S389" i="15" s="1"/>
  <c r="I141" i="9"/>
  <c r="I137" i="9"/>
  <c r="I382" i="9"/>
  <c r="H383" i="15" s="1"/>
  <c r="S383" i="15" s="1"/>
  <c r="I380" i="9"/>
  <c r="H381" i="15" s="1"/>
  <c r="S381" i="15" s="1"/>
  <c r="I155" i="9"/>
  <c r="AB366" i="20"/>
  <c r="AB364" i="9"/>
  <c r="A147" i="15"/>
  <c r="Q147" i="15" s="1"/>
  <c r="W146" i="9"/>
  <c r="W367" i="9"/>
  <c r="W370" i="9"/>
  <c r="W402" i="9"/>
  <c r="A150" i="15"/>
  <c r="Q150" i="15" s="1"/>
  <c r="W149" i="9"/>
  <c r="A152" i="15"/>
  <c r="Q152" i="15" s="1"/>
  <c r="W151" i="9"/>
  <c r="W300" i="9"/>
  <c r="W380" i="9"/>
  <c r="W304" i="9"/>
  <c r="A160" i="15"/>
  <c r="Q160" i="15" s="1"/>
  <c r="W159" i="9"/>
  <c r="W312" i="9"/>
  <c r="W316" i="9"/>
  <c r="W319" i="9"/>
  <c r="A176" i="15"/>
  <c r="Q176" i="15" s="1"/>
  <c r="W175" i="9"/>
  <c r="A181" i="15"/>
  <c r="Q181" i="15" s="1"/>
  <c r="W180" i="9"/>
  <c r="W328" i="9"/>
  <c r="W333" i="9"/>
  <c r="A192" i="15"/>
  <c r="Q192" i="15" s="1"/>
  <c r="W191" i="9"/>
  <c r="A203" i="15"/>
  <c r="Q203" i="15" s="1"/>
  <c r="W202" i="9"/>
  <c r="V294" i="9"/>
  <c r="T294" i="9" s="1"/>
  <c r="W294" i="9"/>
  <c r="W233" i="9"/>
  <c r="W249" i="9"/>
  <c r="W258" i="9"/>
  <c r="W269" i="9"/>
  <c r="W398" i="9"/>
  <c r="W375" i="9"/>
  <c r="W385" i="9"/>
  <c r="A165" i="15"/>
  <c r="Q165" i="15" s="1"/>
  <c r="W164" i="9"/>
  <c r="W322" i="9"/>
  <c r="A189" i="15"/>
  <c r="Q189" i="15" s="1"/>
  <c r="W188" i="9"/>
  <c r="W293" i="9"/>
  <c r="V293" i="9"/>
  <c r="T293" i="9" s="1"/>
  <c r="A148" i="15"/>
  <c r="Q148" i="15" s="1"/>
  <c r="W147" i="9"/>
  <c r="W393" i="9"/>
  <c r="W371" i="9"/>
  <c r="W403" i="9"/>
  <c r="W298" i="9"/>
  <c r="A154" i="15"/>
  <c r="Q154" i="15" s="1"/>
  <c r="W153" i="9"/>
  <c r="W376" i="9"/>
  <c r="W381" i="9"/>
  <c r="W305" i="9"/>
  <c r="W160" i="9"/>
  <c r="A161" i="15"/>
  <c r="Q161" i="15" s="1"/>
  <c r="A164" i="15"/>
  <c r="Q164" i="15" s="1"/>
  <c r="W163" i="9"/>
  <c r="W317" i="9"/>
  <c r="A171" i="15"/>
  <c r="Q171" i="15" s="1"/>
  <c r="W170" i="9"/>
  <c r="A175" i="15"/>
  <c r="Q175" i="15" s="1"/>
  <c r="W174" i="9"/>
  <c r="W329" i="9"/>
  <c r="W334" i="9"/>
  <c r="A198" i="15"/>
  <c r="Q198" i="15" s="1"/>
  <c r="W197" i="9"/>
  <c r="A206" i="15"/>
  <c r="Q206" i="15" s="1"/>
  <c r="W205" i="9"/>
  <c r="A211" i="15"/>
  <c r="Q211" i="15" s="1"/>
  <c r="W210" i="9"/>
  <c r="A145" i="15"/>
  <c r="Q145" i="15" s="1"/>
  <c r="V144" i="9"/>
  <c r="T144" i="9" s="1"/>
  <c r="W144" i="9"/>
  <c r="V388" i="9"/>
  <c r="T388" i="9" s="1"/>
  <c r="W388" i="9"/>
  <c r="W366" i="9"/>
  <c r="W410" i="9"/>
  <c r="W216" i="9"/>
  <c r="W222" i="9"/>
  <c r="W228" i="9"/>
  <c r="W242" i="9"/>
  <c r="W248" i="9"/>
  <c r="W254" i="9"/>
  <c r="W260" i="9"/>
  <c r="W266" i="9"/>
  <c r="W278" i="9"/>
  <c r="W285" i="9"/>
  <c r="W324" i="9"/>
  <c r="W332" i="9"/>
  <c r="W195" i="9"/>
  <c r="A196" i="15"/>
  <c r="Q196" i="15" s="1"/>
  <c r="A202" i="15"/>
  <c r="Q202" i="15" s="1"/>
  <c r="W201" i="9"/>
  <c r="V364" i="9"/>
  <c r="T364" i="9" s="1"/>
  <c r="W364" i="9"/>
  <c r="A146" i="15"/>
  <c r="Q146" i="15" s="1"/>
  <c r="W145" i="9"/>
  <c r="V145" i="9"/>
  <c r="T145" i="9" s="1"/>
  <c r="W327" i="9"/>
  <c r="W339" i="9"/>
  <c r="W392" i="9"/>
  <c r="A157" i="15"/>
  <c r="Q157" i="15" s="1"/>
  <c r="W156" i="9"/>
  <c r="A200" i="15"/>
  <c r="Q200" i="15" s="1"/>
  <c r="W199" i="9"/>
  <c r="W212" i="9"/>
  <c r="A213" i="15"/>
  <c r="Q213" i="15" s="1"/>
  <c r="V387" i="9"/>
  <c r="T387" i="9" s="1"/>
  <c r="W387" i="9"/>
  <c r="AJ388" i="20"/>
  <c r="AJ387" i="9" s="1"/>
  <c r="AK387" i="9"/>
  <c r="AJ366" i="20"/>
  <c r="AJ365" i="9" s="1"/>
  <c r="AK365" i="9"/>
  <c r="AJ392" i="20"/>
  <c r="AJ391" i="9" s="1"/>
  <c r="AK391" i="9"/>
  <c r="AJ406" i="20"/>
  <c r="AJ405" i="9" s="1"/>
  <c r="AK405" i="9"/>
  <c r="AJ383" i="20"/>
  <c r="AJ382" i="9" s="1"/>
  <c r="AK382" i="9"/>
  <c r="AJ165" i="20"/>
  <c r="AJ164" i="9" s="1"/>
  <c r="AK164" i="9"/>
  <c r="AJ173" i="20"/>
  <c r="AJ172" i="9" s="1"/>
  <c r="AK172" i="9"/>
  <c r="AJ384" i="20"/>
  <c r="AJ383" i="9" s="1"/>
  <c r="AK383" i="9"/>
  <c r="I361" i="9"/>
  <c r="I387" i="9"/>
  <c r="H388" i="15" s="1"/>
  <c r="S388" i="15" s="1"/>
  <c r="AJ395" i="20"/>
  <c r="AJ394" i="9" s="1"/>
  <c r="AK394" i="9"/>
  <c r="AJ405" i="20"/>
  <c r="AJ404" i="9" s="1"/>
  <c r="AK404" i="9"/>
  <c r="AJ153" i="20"/>
  <c r="AJ152" i="9" s="1"/>
  <c r="AK152" i="9"/>
  <c r="AJ412" i="20"/>
  <c r="AJ411" i="9" s="1"/>
  <c r="AK411" i="9"/>
  <c r="AJ303" i="20"/>
  <c r="AJ302" i="9" s="1"/>
  <c r="AK302" i="9"/>
  <c r="AJ308" i="20"/>
  <c r="AJ307" i="9" s="1"/>
  <c r="AK307" i="9"/>
  <c r="AJ172" i="20"/>
  <c r="AJ171" i="9" s="1"/>
  <c r="AK171" i="9"/>
  <c r="AJ297" i="20"/>
  <c r="AJ296" i="9" s="1"/>
  <c r="AK296" i="9"/>
  <c r="AJ149" i="20"/>
  <c r="AJ148" i="9" s="1"/>
  <c r="AK148" i="9"/>
  <c r="AJ379" i="20"/>
  <c r="AJ378" i="9" s="1"/>
  <c r="AK378" i="9"/>
  <c r="AJ157" i="20"/>
  <c r="AJ156" i="9" s="1"/>
  <c r="AK156" i="9"/>
  <c r="AJ160" i="20"/>
  <c r="AJ159" i="9" s="1"/>
  <c r="AK159" i="9"/>
  <c r="AJ316" i="20"/>
  <c r="AJ315" i="9" s="1"/>
  <c r="AK315" i="9"/>
  <c r="AJ147" i="20"/>
  <c r="AJ146" i="9" s="1"/>
  <c r="AK146" i="9"/>
  <c r="AJ371" i="20"/>
  <c r="AJ370" i="9" s="1"/>
  <c r="AK370" i="9"/>
  <c r="AJ150" i="20"/>
  <c r="AJ149" i="9" s="1"/>
  <c r="AK149" i="9"/>
  <c r="AJ380" i="20"/>
  <c r="AJ379" i="9" s="1"/>
  <c r="AK379" i="9"/>
  <c r="AJ305" i="20"/>
  <c r="AJ304" i="9" s="1"/>
  <c r="AK304" i="9"/>
  <c r="AJ314" i="20"/>
  <c r="AJ313" i="9" s="1"/>
  <c r="AK313" i="9"/>
  <c r="AJ320" i="20"/>
  <c r="AJ319" i="9" s="1"/>
  <c r="AK319" i="9"/>
  <c r="AJ391" i="20"/>
  <c r="AJ390" i="9" s="1"/>
  <c r="AK390" i="9"/>
  <c r="AJ401" i="20"/>
  <c r="AJ400" i="9" s="1"/>
  <c r="AK400" i="9"/>
  <c r="AJ299" i="20"/>
  <c r="AJ298" i="9" s="1"/>
  <c r="AK298" i="9"/>
  <c r="AJ374" i="20"/>
  <c r="AJ373" i="9" s="1"/>
  <c r="AK373" i="9"/>
  <c r="AJ159" i="20"/>
  <c r="AJ158" i="9" s="1"/>
  <c r="AK158" i="9"/>
  <c r="AJ164" i="20"/>
  <c r="AJ163" i="9" s="1"/>
  <c r="AK163" i="9"/>
  <c r="AJ171" i="20"/>
  <c r="AJ170" i="9" s="1"/>
  <c r="AK170" i="9"/>
  <c r="AI62" i="9"/>
  <c r="AI150" i="9"/>
  <c r="AI86" i="9"/>
  <c r="AI377" i="9"/>
  <c r="AI106" i="9"/>
  <c r="AI304" i="9"/>
  <c r="AI114" i="9"/>
  <c r="AI158" i="9"/>
  <c r="A64" i="17"/>
  <c r="A100" i="17"/>
  <c r="A49" i="17"/>
  <c r="Q49" i="17" s="1"/>
  <c r="A121" i="17"/>
  <c r="AI96" i="9"/>
  <c r="AI155" i="9"/>
  <c r="AI104" i="9"/>
  <c r="AI303" i="9"/>
  <c r="AI128" i="9"/>
  <c r="AI162" i="9"/>
  <c r="A50" i="17"/>
  <c r="Q50" i="17" s="1"/>
  <c r="A126" i="17"/>
  <c r="A55" i="17"/>
  <c r="A95" i="17"/>
  <c r="I111" i="9"/>
  <c r="H113" i="15" s="1"/>
  <c r="S113" i="15" s="1"/>
  <c r="I107" i="9"/>
  <c r="H109" i="15" s="1"/>
  <c r="S109" i="15" s="1"/>
  <c r="I103" i="9"/>
  <c r="H105" i="15" s="1"/>
  <c r="S105" i="15" s="1"/>
  <c r="I99" i="9"/>
  <c r="H101" i="15" s="1"/>
  <c r="S101" i="15" s="1"/>
  <c r="I95" i="9"/>
  <c r="H97" i="15" s="1"/>
  <c r="I52" i="9"/>
  <c r="H54" i="15" s="1"/>
  <c r="I48" i="9"/>
  <c r="H50" i="15" s="1"/>
  <c r="S50" i="15" s="1"/>
  <c r="I131" i="9"/>
  <c r="H133" i="15" s="1"/>
  <c r="S133" i="15" s="1"/>
  <c r="I125" i="9"/>
  <c r="H127" i="15" s="1"/>
  <c r="S127" i="15" s="1"/>
  <c r="I121" i="9"/>
  <c r="H123" i="15" s="1"/>
  <c r="S123" i="15" s="1"/>
  <c r="I117" i="9"/>
  <c r="H119" i="15" s="1"/>
  <c r="S119" i="15" s="1"/>
  <c r="I113" i="9"/>
  <c r="H115" i="15" s="1"/>
  <c r="S115" i="15" s="1"/>
  <c r="I38" i="9"/>
  <c r="H40" i="15" s="1"/>
  <c r="S40" i="15" s="1"/>
  <c r="I82" i="9"/>
  <c r="H84" i="15" s="1"/>
  <c r="I130" i="9"/>
  <c r="H132" i="15" s="1"/>
  <c r="S132" i="15" s="1"/>
  <c r="I86" i="9"/>
  <c r="I31" i="9"/>
  <c r="H33" i="17" s="1"/>
  <c r="I392" i="9"/>
  <c r="H393" i="15" s="1"/>
  <c r="S393" i="15" s="1"/>
  <c r="I140" i="17"/>
  <c r="I391" i="9"/>
  <c r="H392" i="15" s="1"/>
  <c r="S392" i="15" s="1"/>
  <c r="I411" i="9"/>
  <c r="H412" i="15" s="1"/>
  <c r="S412" i="15" s="1"/>
  <c r="I376" i="9"/>
  <c r="H377" i="15" s="1"/>
  <c r="S377" i="15" s="1"/>
  <c r="I374" i="9"/>
  <c r="H375" i="15" s="1"/>
  <c r="S375" i="15" s="1"/>
  <c r="I299" i="9"/>
  <c r="I153" i="9"/>
  <c r="I152" i="9"/>
  <c r="I298" i="9"/>
  <c r="I148" i="9"/>
  <c r="I406" i="9"/>
  <c r="H407" i="15" s="1"/>
  <c r="S407" i="15" s="1"/>
  <c r="I402" i="9"/>
  <c r="H403" i="15" s="1"/>
  <c r="S403" i="15" s="1"/>
  <c r="I399" i="9"/>
  <c r="H400" i="15" s="1"/>
  <c r="S400" i="15" s="1"/>
  <c r="I370" i="9"/>
  <c r="H371" i="15" s="1"/>
  <c r="S371" i="15" s="1"/>
  <c r="I306" i="9"/>
  <c r="I304" i="9"/>
  <c r="I303" i="9"/>
  <c r="I369" i="9"/>
  <c r="H370" i="15" s="1"/>
  <c r="S370" i="15" s="1"/>
  <c r="W220" i="9"/>
  <c r="W226" i="9"/>
  <c r="W231" i="9"/>
  <c r="W237" i="9"/>
  <c r="W243" i="9"/>
  <c r="W252" i="9"/>
  <c r="W274" i="9"/>
  <c r="W283" i="9"/>
  <c r="W215" i="9"/>
  <c r="W221" i="9"/>
  <c r="W227" i="9"/>
  <c r="W235" i="9"/>
  <c r="W241" i="9"/>
  <c r="W247" i="9"/>
  <c r="W253" i="9"/>
  <c r="W259" i="9"/>
  <c r="W265" i="9"/>
  <c r="W275" i="9"/>
  <c r="W284" i="9"/>
  <c r="W315" i="9"/>
  <c r="A187" i="15"/>
  <c r="Q187" i="15" s="1"/>
  <c r="W186" i="9"/>
  <c r="V360" i="9"/>
  <c r="T360" i="9" s="1"/>
  <c r="W360" i="9"/>
  <c r="AB392" i="20"/>
  <c r="AB390" i="9"/>
  <c r="W391" i="9"/>
  <c r="W396" i="9"/>
  <c r="W372" i="9"/>
  <c r="W297" i="9"/>
  <c r="W374" i="9"/>
  <c r="W378" i="9"/>
  <c r="W302" i="9"/>
  <c r="A163" i="15"/>
  <c r="Q163" i="15" s="1"/>
  <c r="W162" i="9"/>
  <c r="W318" i="9"/>
  <c r="A209" i="15"/>
  <c r="Q209" i="15" s="1"/>
  <c r="W208" i="9"/>
  <c r="W296" i="9"/>
  <c r="W299" i="9"/>
  <c r="AJ362" i="20"/>
  <c r="AJ361" i="9" s="1"/>
  <c r="AK361" i="9"/>
  <c r="AJ364" i="20"/>
  <c r="AJ363" i="9" s="1"/>
  <c r="AK363" i="9"/>
  <c r="AJ389" i="20"/>
  <c r="AJ388" i="9" s="1"/>
  <c r="AK388" i="9"/>
  <c r="AJ373" i="20"/>
  <c r="AJ372" i="9" s="1"/>
  <c r="AK372" i="9"/>
  <c r="AJ377" i="20"/>
  <c r="AJ376" i="9" s="1"/>
  <c r="AK376" i="9"/>
  <c r="AJ156" i="20"/>
  <c r="AJ155" i="9" s="1"/>
  <c r="AK155" i="9"/>
  <c r="AJ163" i="20"/>
  <c r="AJ162" i="9" s="1"/>
  <c r="AK162" i="9"/>
  <c r="AJ319" i="20"/>
  <c r="AJ318" i="9" s="1"/>
  <c r="AK318" i="9"/>
  <c r="AJ369" i="20"/>
  <c r="AJ368" i="9" s="1"/>
  <c r="AK368" i="9"/>
  <c r="AJ410" i="20"/>
  <c r="AJ409" i="9" s="1"/>
  <c r="AK409" i="9"/>
  <c r="AJ309" i="20"/>
  <c r="AJ308" i="9" s="1"/>
  <c r="AK308" i="9"/>
  <c r="AJ370" i="20"/>
  <c r="AJ369" i="9" s="1"/>
  <c r="AK369" i="9"/>
  <c r="AJ407" i="20"/>
  <c r="AJ406" i="9" s="1"/>
  <c r="AK406" i="9"/>
  <c r="AJ411" i="20"/>
  <c r="AJ410" i="9" s="1"/>
  <c r="AK410" i="9"/>
  <c r="AJ313" i="20"/>
  <c r="AJ312" i="9" s="1"/>
  <c r="AK312" i="9"/>
  <c r="AJ397" i="20"/>
  <c r="AJ396" i="9" s="1"/>
  <c r="AK396" i="9"/>
  <c r="AJ304" i="20"/>
  <c r="AJ303" i="9" s="1"/>
  <c r="AK303" i="9"/>
  <c r="AJ166" i="20"/>
  <c r="AJ165" i="9" s="1"/>
  <c r="AK165" i="9"/>
  <c r="AJ322" i="20"/>
  <c r="AJ321" i="9" s="1"/>
  <c r="AK321" i="9"/>
  <c r="AJ367" i="20"/>
  <c r="AJ366" i="9" s="1"/>
  <c r="AK366" i="9"/>
  <c r="AJ399" i="20"/>
  <c r="AJ398" i="9" s="1"/>
  <c r="AK398" i="9"/>
  <c r="AJ162" i="20"/>
  <c r="AJ161" i="9" s="1"/>
  <c r="AK161" i="9"/>
  <c r="AI10" i="9"/>
  <c r="AI294" i="9"/>
  <c r="AJ390" i="20"/>
  <c r="AJ389" i="9" s="1"/>
  <c r="AK389" i="9"/>
  <c r="AJ400" i="20"/>
  <c r="AJ399" i="9" s="1"/>
  <c r="AK399" i="9"/>
  <c r="AJ151" i="20"/>
  <c r="AJ150" i="9" s="1"/>
  <c r="AK150" i="9"/>
  <c r="AJ300" i="20"/>
  <c r="AJ299" i="9" s="1"/>
  <c r="AK299" i="9"/>
  <c r="AJ161" i="20"/>
  <c r="AJ160" i="9" s="1"/>
  <c r="AK160" i="9"/>
  <c r="AJ317" i="20"/>
  <c r="AJ316" i="9" s="1"/>
  <c r="AK316" i="9"/>
  <c r="AJ394" i="20"/>
  <c r="AJ393" i="9" s="1"/>
  <c r="AK393" i="9"/>
  <c r="AJ404" i="20"/>
  <c r="AJ403" i="9" s="1"/>
  <c r="AK403" i="9"/>
  <c r="AJ301" i="20"/>
  <c r="AJ300" i="9" s="1"/>
  <c r="AK300" i="9"/>
  <c r="AJ382" i="20"/>
  <c r="AJ381" i="9" s="1"/>
  <c r="AK381" i="9"/>
  <c r="AJ315" i="20"/>
  <c r="AJ314" i="9" s="1"/>
  <c r="AK314" i="9"/>
  <c r="AJ321" i="20"/>
  <c r="AJ320" i="9" s="1"/>
  <c r="AK320" i="9"/>
  <c r="AJ295" i="20"/>
  <c r="AJ294" i="9" s="1"/>
  <c r="AK294" i="9"/>
  <c r="AE298" i="9"/>
  <c r="AI15" i="9"/>
  <c r="AI388" i="9"/>
  <c r="I320" i="9"/>
  <c r="I172" i="9"/>
  <c r="H174" i="17" s="1"/>
  <c r="I170" i="9"/>
  <c r="I169" i="9"/>
  <c r="I168" i="9"/>
  <c r="I166" i="9"/>
  <c r="I317" i="9"/>
  <c r="I315" i="9"/>
  <c r="I314" i="9"/>
  <c r="I164" i="9"/>
  <c r="I163" i="9"/>
  <c r="I311" i="9"/>
  <c r="I310" i="9"/>
  <c r="I161" i="9"/>
  <c r="I160" i="9"/>
  <c r="H162" i="17" s="1"/>
  <c r="S162" i="17" s="1"/>
  <c r="I307" i="9"/>
  <c r="I157" i="9"/>
  <c r="I360" i="9"/>
  <c r="I389" i="9"/>
  <c r="H390" i="15" s="1"/>
  <c r="S390" i="15" s="1"/>
  <c r="I140" i="9"/>
  <c r="I136" i="9"/>
  <c r="H138" i="15" s="1"/>
  <c r="S138" i="15" s="1"/>
  <c r="I285" i="9"/>
  <c r="I283" i="9"/>
  <c r="I282" i="9"/>
  <c r="I280" i="9"/>
  <c r="I278" i="9"/>
  <c r="I276" i="9"/>
  <c r="I274" i="9"/>
  <c r="I267" i="9"/>
  <c r="I266" i="9"/>
  <c r="I264" i="9"/>
  <c r="I260" i="9"/>
  <c r="I257" i="9"/>
  <c r="I254" i="9"/>
  <c r="I252" i="9"/>
  <c r="I251" i="9"/>
  <c r="I248" i="9"/>
  <c r="I339" i="9"/>
  <c r="I199" i="9"/>
  <c r="I197" i="9"/>
  <c r="I196" i="9"/>
  <c r="I194" i="9"/>
  <c r="I187" i="9"/>
  <c r="I331" i="9"/>
  <c r="I186" i="9"/>
  <c r="I329" i="9"/>
  <c r="I327" i="9"/>
  <c r="I182" i="9"/>
  <c r="I181" i="9"/>
  <c r="I325" i="9"/>
  <c r="I174" i="9"/>
  <c r="I322" i="9"/>
  <c r="I396" i="9"/>
  <c r="H397" i="15" s="1"/>
  <c r="S397" i="15" s="1"/>
  <c r="I366" i="9"/>
  <c r="H367" i="15" s="1"/>
  <c r="S367" i="15" s="1"/>
  <c r="I377" i="9"/>
  <c r="H378" i="15" s="1"/>
  <c r="S378" i="15" s="1"/>
  <c r="I408" i="9"/>
  <c r="H409" i="15" s="1"/>
  <c r="S409" i="15" s="1"/>
  <c r="I405" i="9"/>
  <c r="H406" i="15" s="1"/>
  <c r="S406" i="15" s="1"/>
  <c r="I401" i="9"/>
  <c r="H402" i="15" s="1"/>
  <c r="S402" i="15" s="1"/>
  <c r="I398" i="9"/>
  <c r="H399" i="15" s="1"/>
  <c r="S399" i="15" s="1"/>
  <c r="I139" i="9"/>
  <c r="I384" i="9"/>
  <c r="H385" i="15" s="1"/>
  <c r="S385" i="15" s="1"/>
  <c r="I302" i="9"/>
  <c r="I301" i="9"/>
  <c r="I393" i="9"/>
  <c r="H394" i="15" s="1"/>
  <c r="S394" i="15" s="1"/>
  <c r="W389" i="9"/>
  <c r="W369" i="9"/>
  <c r="W399" i="9"/>
  <c r="W406" i="9"/>
  <c r="A151" i="15"/>
  <c r="Q151" i="15" s="1"/>
  <c r="W150" i="9"/>
  <c r="W373" i="9"/>
  <c r="W377" i="9"/>
  <c r="W383" i="9"/>
  <c r="A159" i="15"/>
  <c r="Q159" i="15" s="1"/>
  <c r="W158" i="9"/>
  <c r="W309" i="9"/>
  <c r="W313" i="9"/>
  <c r="A168" i="15"/>
  <c r="Q168" i="15" s="1"/>
  <c r="W167" i="9"/>
  <c r="W323" i="9"/>
  <c r="A179" i="15"/>
  <c r="Q179" i="15" s="1"/>
  <c r="W178" i="9"/>
  <c r="A184" i="15"/>
  <c r="Q184" i="15" s="1"/>
  <c r="W183" i="9"/>
  <c r="W330" i="9"/>
  <c r="A190" i="15"/>
  <c r="Q190" i="15" s="1"/>
  <c r="W189" i="9"/>
  <c r="A201" i="15"/>
  <c r="Q201" i="15" s="1"/>
  <c r="W200" i="9"/>
  <c r="A214" i="15"/>
  <c r="Q214" i="15" s="1"/>
  <c r="W213" i="9"/>
  <c r="V362" i="9"/>
  <c r="T362" i="9" s="1"/>
  <c r="W362" i="9"/>
  <c r="W236" i="9"/>
  <c r="W255" i="9"/>
  <c r="W261" i="9"/>
  <c r="W368" i="9"/>
  <c r="A149" i="15"/>
  <c r="Q149" i="15" s="1"/>
  <c r="W148" i="9"/>
  <c r="W301" i="9"/>
  <c r="A162" i="15"/>
  <c r="Q162" i="15" s="1"/>
  <c r="W161" i="9"/>
  <c r="A167" i="15"/>
  <c r="Q167" i="15" s="1"/>
  <c r="W166" i="9"/>
  <c r="A183" i="15"/>
  <c r="Q183" i="15" s="1"/>
  <c r="W182" i="9"/>
  <c r="A197" i="15"/>
  <c r="Q197" i="15" s="1"/>
  <c r="W196" i="9"/>
  <c r="W390" i="9"/>
  <c r="W395" i="9"/>
  <c r="W400" i="9"/>
  <c r="W407" i="9"/>
  <c r="A153" i="15"/>
  <c r="Q153" i="15" s="1"/>
  <c r="W152" i="9"/>
  <c r="W408" i="9"/>
  <c r="W411" i="9"/>
  <c r="W384" i="9"/>
  <c r="W307" i="9"/>
  <c r="W310" i="9"/>
  <c r="W314" i="9"/>
  <c r="W168" i="9"/>
  <c r="A169" i="15"/>
  <c r="Q169" i="15" s="1"/>
  <c r="W320" i="9"/>
  <c r="W331" i="9"/>
  <c r="A195" i="15"/>
  <c r="Q195" i="15" s="1"/>
  <c r="W194" i="9"/>
  <c r="A204" i="15"/>
  <c r="Q204" i="15" s="1"/>
  <c r="W203" i="9"/>
  <c r="A208" i="15"/>
  <c r="Q208" i="15" s="1"/>
  <c r="W207" i="9"/>
  <c r="W363" i="9"/>
  <c r="V363" i="9"/>
  <c r="T363" i="9" s="1"/>
  <c r="W361" i="9"/>
  <c r="V361" i="9"/>
  <c r="T361" i="9" s="1"/>
  <c r="W405" i="9"/>
  <c r="W382" i="9"/>
  <c r="W219" i="9"/>
  <c r="W225" i="9"/>
  <c r="W239" i="9"/>
  <c r="W245" i="9"/>
  <c r="W251" i="9"/>
  <c r="W257" i="9"/>
  <c r="W264" i="9"/>
  <c r="W276" i="9"/>
  <c r="W282" i="9"/>
  <c r="A174" i="15"/>
  <c r="Q174" i="15" s="1"/>
  <c r="W173" i="9"/>
  <c r="A177" i="15"/>
  <c r="Q177" i="15" s="1"/>
  <c r="W176" i="9"/>
  <c r="A186" i="15"/>
  <c r="Q186" i="15" s="1"/>
  <c r="W185" i="9"/>
  <c r="A193" i="15"/>
  <c r="Q193" i="15" s="1"/>
  <c r="W192" i="9"/>
  <c r="W198" i="9"/>
  <c r="A199" i="15"/>
  <c r="Q199" i="15" s="1"/>
  <c r="V292" i="9"/>
  <c r="T292" i="9" s="1"/>
  <c r="W292" i="9"/>
  <c r="V386" i="9"/>
  <c r="T386" i="9" s="1"/>
  <c r="W386" i="9"/>
  <c r="W291" i="9"/>
  <c r="A178" i="15"/>
  <c r="Q178" i="15" s="1"/>
  <c r="W177" i="9"/>
  <c r="A191" i="15"/>
  <c r="Q191" i="15" s="1"/>
  <c r="W190" i="9"/>
  <c r="W379" i="9"/>
  <c r="A188" i="15"/>
  <c r="Q188" i="15" s="1"/>
  <c r="W187" i="9"/>
  <c r="A210" i="15"/>
  <c r="Q210" i="15" s="1"/>
  <c r="W209" i="9"/>
  <c r="V365" i="9"/>
  <c r="T365" i="9" s="1"/>
  <c r="W365" i="9"/>
  <c r="AJ386" i="9"/>
  <c r="AK386" i="9"/>
  <c r="AJ363" i="20"/>
  <c r="AJ362" i="9" s="1"/>
  <c r="AK362" i="9"/>
  <c r="AJ365" i="20"/>
  <c r="AJ364" i="9" s="1"/>
  <c r="AK364" i="9"/>
  <c r="AJ298" i="20"/>
  <c r="AJ297" i="9" s="1"/>
  <c r="AK297" i="9"/>
  <c r="AJ154" i="20"/>
  <c r="AJ153" i="9" s="1"/>
  <c r="AK153" i="9"/>
  <c r="AJ155" i="20"/>
  <c r="AJ154" i="9" s="1"/>
  <c r="AK154" i="9"/>
  <c r="AJ386" i="20"/>
  <c r="AJ385" i="9" s="1"/>
  <c r="AK385" i="9"/>
  <c r="AJ167" i="20"/>
  <c r="AJ166" i="9" s="1"/>
  <c r="AK166" i="9"/>
  <c r="AJ146" i="20"/>
  <c r="AJ145" i="9" s="1"/>
  <c r="AK145" i="9"/>
  <c r="AE376" i="9"/>
  <c r="AJ293" i="20"/>
  <c r="AJ292" i="9" s="1"/>
  <c r="AK292" i="9"/>
  <c r="I386" i="9"/>
  <c r="H387" i="15" s="1"/>
  <c r="S387" i="15" s="1"/>
  <c r="I362" i="9"/>
  <c r="AJ296" i="20"/>
  <c r="AJ295" i="9" s="1"/>
  <c r="AK295" i="9"/>
  <c r="AJ398" i="20"/>
  <c r="AJ397" i="9" s="1"/>
  <c r="AK397" i="9"/>
  <c r="AJ409" i="20"/>
  <c r="AJ408" i="9" s="1"/>
  <c r="AK408" i="9"/>
  <c r="AJ307" i="20"/>
  <c r="AJ306" i="9" s="1"/>
  <c r="AK306" i="9"/>
  <c r="AJ393" i="20"/>
  <c r="AJ392" i="9" s="1"/>
  <c r="AK392" i="9"/>
  <c r="AJ402" i="20"/>
  <c r="AJ401" i="9" s="1"/>
  <c r="AK401" i="9"/>
  <c r="AJ375" i="20"/>
  <c r="AJ374" i="9" s="1"/>
  <c r="AK374" i="9"/>
  <c r="AJ302" i="20"/>
  <c r="AJ301" i="9" s="1"/>
  <c r="AK301" i="9"/>
  <c r="AJ312" i="20"/>
  <c r="AJ311" i="9" s="1"/>
  <c r="AK311" i="9"/>
  <c r="AJ170" i="20"/>
  <c r="AJ169" i="9" s="1"/>
  <c r="AK169" i="9"/>
  <c r="AJ361" i="20"/>
  <c r="AJ360" i="9" s="1"/>
  <c r="AK360" i="9"/>
  <c r="AJ368" i="20"/>
  <c r="AJ367" i="9" s="1"/>
  <c r="AK367" i="9"/>
  <c r="AJ403" i="20"/>
  <c r="AJ402" i="9" s="1"/>
  <c r="AK402" i="9"/>
  <c r="AJ376" i="20"/>
  <c r="AJ375" i="9" s="1"/>
  <c r="AK375" i="9"/>
  <c r="AJ381" i="20"/>
  <c r="AJ380" i="9" s="1"/>
  <c r="AK380" i="9"/>
  <c r="AJ158" i="20"/>
  <c r="AJ157" i="9" s="1"/>
  <c r="AK157" i="9"/>
  <c r="AJ310" i="20"/>
  <c r="AJ309" i="9" s="1"/>
  <c r="AK309" i="9"/>
  <c r="AJ168" i="20"/>
  <c r="AJ167" i="9" s="1"/>
  <c r="AK167" i="9"/>
  <c r="AJ396" i="20"/>
  <c r="AJ395" i="9" s="1"/>
  <c r="AK395" i="9"/>
  <c r="AJ408" i="20"/>
  <c r="AJ407" i="9" s="1"/>
  <c r="AK407" i="9"/>
  <c r="AJ152" i="20"/>
  <c r="AJ151" i="9" s="1"/>
  <c r="AK151" i="9"/>
  <c r="AJ378" i="20"/>
  <c r="AJ377" i="9" s="1"/>
  <c r="AK377" i="9"/>
  <c r="AJ385" i="20"/>
  <c r="AJ384" i="9" s="1"/>
  <c r="AK384" i="9"/>
  <c r="AJ318" i="20"/>
  <c r="AJ317" i="9" s="1"/>
  <c r="AK317" i="9"/>
  <c r="AE164" i="9"/>
  <c r="AE151" i="9"/>
  <c r="AE150" i="9"/>
  <c r="AI34" i="9"/>
  <c r="AI367" i="9"/>
  <c r="A36" i="17"/>
  <c r="A80" i="17"/>
  <c r="Q80" i="17" s="1"/>
  <c r="I92" i="17"/>
  <c r="A61" i="17"/>
  <c r="A81" i="17"/>
  <c r="Q81" i="17" s="1"/>
  <c r="AI8" i="9"/>
  <c r="AI145" i="9"/>
  <c r="A58" i="17"/>
  <c r="A94" i="17"/>
  <c r="A134" i="17"/>
  <c r="Q134" i="17" s="1"/>
  <c r="I114" i="17"/>
  <c r="AI97" i="9"/>
  <c r="AI301" i="9"/>
  <c r="AI105" i="9"/>
  <c r="AI156" i="9"/>
  <c r="AI125" i="9"/>
  <c r="AI161" i="9"/>
  <c r="A39" i="17"/>
  <c r="A67" i="17"/>
  <c r="I109" i="9"/>
  <c r="H111" i="15" s="1"/>
  <c r="I105" i="9"/>
  <c r="H107" i="15" s="1"/>
  <c r="S107" i="15" s="1"/>
  <c r="I101" i="9"/>
  <c r="H103" i="15" s="1"/>
  <c r="S103" i="15" s="1"/>
  <c r="I97" i="9"/>
  <c r="H99" i="17" s="1"/>
  <c r="I54" i="9"/>
  <c r="H56" i="17" s="1"/>
  <c r="I127" i="9"/>
  <c r="H129" i="15" s="1"/>
  <c r="S129" i="15" s="1"/>
  <c r="I123" i="9"/>
  <c r="H125" i="15" s="1"/>
  <c r="S125" i="15" s="1"/>
  <c r="I119" i="9"/>
  <c r="H121" i="15" s="1"/>
  <c r="S121" i="15" s="1"/>
  <c r="I115" i="9"/>
  <c r="H117" i="15" s="1"/>
  <c r="S117" i="15" s="1"/>
  <c r="I40" i="9"/>
  <c r="H42" i="15" s="1"/>
  <c r="S42" i="15" s="1"/>
  <c r="I79" i="9"/>
  <c r="H81" i="17" s="1"/>
  <c r="I91" i="9"/>
  <c r="H93" i="15" s="1"/>
  <c r="S93" i="15" s="1"/>
  <c r="I36" i="9"/>
  <c r="I395" i="9"/>
  <c r="H396" i="15" s="1"/>
  <c r="S396" i="15" s="1"/>
  <c r="I368" i="9"/>
  <c r="H369" i="15" s="1"/>
  <c r="S369" i="15" s="1"/>
  <c r="I379" i="9"/>
  <c r="H380" i="15" s="1"/>
  <c r="S380" i="15" s="1"/>
  <c r="I410" i="9"/>
  <c r="H411" i="15" s="1"/>
  <c r="S411" i="15" s="1"/>
  <c r="I300" i="9"/>
  <c r="I373" i="9"/>
  <c r="H374" i="15" s="1"/>
  <c r="S374" i="15" s="1"/>
  <c r="I154" i="9"/>
  <c r="H156" i="17" s="1"/>
  <c r="I151" i="9"/>
  <c r="I150" i="9"/>
  <c r="H152" i="17" s="1"/>
  <c r="I149" i="9"/>
  <c r="I297" i="9"/>
  <c r="I404" i="9"/>
  <c r="H405" i="15" s="1"/>
  <c r="S405" i="15" s="1"/>
  <c r="I372" i="9"/>
  <c r="H373" i="15" s="1"/>
  <c r="S373" i="15" s="1"/>
  <c r="I397" i="9"/>
  <c r="H398" i="15" s="1"/>
  <c r="S398" i="15" s="1"/>
  <c r="I296" i="9"/>
  <c r="I385" i="9"/>
  <c r="H386" i="15" s="1"/>
  <c r="S386" i="15" s="1"/>
  <c r="I305" i="9"/>
  <c r="I156" i="9"/>
  <c r="I383" i="9"/>
  <c r="H384" i="15" s="1"/>
  <c r="S384" i="15" s="1"/>
  <c r="I381" i="9"/>
  <c r="H382" i="15" s="1"/>
  <c r="S382" i="15" s="1"/>
  <c r="I390" i="9"/>
  <c r="H391" i="15" s="1"/>
  <c r="S391" i="15" s="1"/>
  <c r="W217" i="9"/>
  <c r="W223" i="9"/>
  <c r="W229" i="9"/>
  <c r="W234" i="9"/>
  <c r="W240" i="9"/>
  <c r="W246" i="9"/>
  <c r="W267" i="9"/>
  <c r="W280" i="9"/>
  <c r="W218" i="9"/>
  <c r="W224" i="9"/>
  <c r="W230" i="9"/>
  <c r="W238" i="9"/>
  <c r="W244" i="9"/>
  <c r="W250" i="9"/>
  <c r="W256" i="9"/>
  <c r="W263" i="9"/>
  <c r="W268" i="9"/>
  <c r="W281" i="9"/>
  <c r="A173" i="15"/>
  <c r="Q173" i="15" s="1"/>
  <c r="W172" i="9"/>
  <c r="A194" i="15"/>
  <c r="Q194" i="15" s="1"/>
  <c r="W193" i="9"/>
  <c r="AB298" i="20"/>
  <c r="AB296" i="9"/>
  <c r="W295" i="9"/>
  <c r="W394" i="9"/>
  <c r="W397" i="9"/>
  <c r="W404" i="9"/>
  <c r="A155" i="15"/>
  <c r="Q155" i="15" s="1"/>
  <c r="W154" i="9"/>
  <c r="W409" i="9"/>
  <c r="A156" i="15"/>
  <c r="Q156" i="15" s="1"/>
  <c r="W155" i="9"/>
  <c r="A166" i="15"/>
  <c r="Q166" i="15" s="1"/>
  <c r="W165" i="9"/>
  <c r="A172" i="15"/>
  <c r="Q172" i="15" s="1"/>
  <c r="W171" i="9"/>
  <c r="W206" i="9"/>
  <c r="A207" i="15"/>
  <c r="Q207" i="15" s="1"/>
  <c r="W401" i="9"/>
  <c r="W311" i="9"/>
  <c r="A68" i="17"/>
  <c r="A68" i="15"/>
  <c r="Q68" i="15" s="1"/>
  <c r="A53" i="17"/>
  <c r="Q53" i="17" s="1"/>
  <c r="A53" i="15"/>
  <c r="Q53" i="15" s="1"/>
  <c r="A42" i="17"/>
  <c r="A42" i="15"/>
  <c r="Q42" i="15" s="1"/>
  <c r="A104" i="17"/>
  <c r="A104" i="15"/>
  <c r="Q104" i="15" s="1"/>
  <c r="A120" i="17"/>
  <c r="A120" i="15"/>
  <c r="Q120" i="15" s="1"/>
  <c r="A30" i="17"/>
  <c r="Q30" i="17" s="1"/>
  <c r="A30" i="15"/>
  <c r="Q30" i="15" s="1"/>
  <c r="A31" i="17"/>
  <c r="Q31" i="17" s="1"/>
  <c r="A31" i="15"/>
  <c r="Q31" i="15" s="1"/>
  <c r="A56" i="17"/>
  <c r="A56" i="15"/>
  <c r="Q56" i="15" s="1"/>
  <c r="A79" i="17"/>
  <c r="A79" i="15"/>
  <c r="Q79" i="15" s="1"/>
  <c r="A22" i="17"/>
  <c r="Q22" i="17" s="1"/>
  <c r="A22" i="15"/>
  <c r="Q22" i="15" s="1"/>
  <c r="A63" i="17"/>
  <c r="A63" i="15"/>
  <c r="Q63" i="15" s="1"/>
  <c r="A24" i="17"/>
  <c r="Q24" i="17" s="1"/>
  <c r="A24" i="15"/>
  <c r="Q24" i="15" s="1"/>
  <c r="A40" i="17"/>
  <c r="A40" i="15"/>
  <c r="Q40" i="15" s="1"/>
  <c r="A60" i="17"/>
  <c r="A60" i="15"/>
  <c r="Q60" i="15" s="1"/>
  <c r="A96" i="17"/>
  <c r="A96" i="15"/>
  <c r="Q96" i="15" s="1"/>
  <c r="A85" i="17"/>
  <c r="A85" i="15"/>
  <c r="Q85" i="15" s="1"/>
  <c r="A72" i="17"/>
  <c r="A92" i="17"/>
  <c r="A33" i="17"/>
  <c r="Q33" i="17" s="1"/>
  <c r="A77" i="17"/>
  <c r="A133" i="17"/>
  <c r="Q133" i="17" s="1"/>
  <c r="A91" i="17"/>
  <c r="A129" i="17"/>
  <c r="A129" i="15"/>
  <c r="Q129" i="15" s="1"/>
  <c r="I25" i="17"/>
  <c r="I125" i="17"/>
  <c r="I89" i="17"/>
  <c r="I118" i="17"/>
  <c r="I22" i="17"/>
  <c r="I130" i="17"/>
  <c r="I122" i="17"/>
  <c r="I16" i="17"/>
  <c r="I93" i="17"/>
  <c r="I85" i="17"/>
  <c r="I135" i="17"/>
  <c r="I17" i="17"/>
  <c r="I121" i="17"/>
  <c r="I131" i="17"/>
  <c r="I30" i="17"/>
  <c r="I133" i="17"/>
  <c r="I116" i="17"/>
  <c r="I127" i="17"/>
  <c r="I123" i="17"/>
  <c r="I119" i="17"/>
  <c r="S9" i="15"/>
  <c r="I23" i="17"/>
  <c r="I29" i="17"/>
  <c r="I88" i="17"/>
  <c r="S77" i="15"/>
  <c r="I90" i="17"/>
  <c r="I21" i="17"/>
  <c r="I94" i="17"/>
  <c r="I27" i="17"/>
  <c r="S78" i="15"/>
  <c r="S74" i="15"/>
  <c r="S62" i="15"/>
  <c r="I126" i="17"/>
  <c r="I102" i="17"/>
  <c r="I117" i="17"/>
  <c r="I11" i="17"/>
  <c r="I28" i="17"/>
  <c r="I87" i="17"/>
  <c r="I6" i="17"/>
  <c r="I115" i="17"/>
  <c r="S79" i="15"/>
  <c r="H67" i="17"/>
  <c r="H67" i="15"/>
  <c r="S67" i="15" s="1"/>
  <c r="H59" i="17"/>
  <c r="H59" i="15"/>
  <c r="H51" i="17"/>
  <c r="I81" i="17"/>
  <c r="I81" i="15"/>
  <c r="I20" i="17"/>
  <c r="I20" i="15"/>
  <c r="I18" i="17"/>
  <c r="I18" i="15"/>
  <c r="I5" i="17"/>
  <c r="S5" i="17" s="1"/>
  <c r="I5" i="15"/>
  <c r="S5" i="15" s="1"/>
  <c r="I14" i="17"/>
  <c r="I14" i="15"/>
  <c r="I84" i="17"/>
  <c r="I84" i="15"/>
  <c r="I39" i="17"/>
  <c r="I39" i="15"/>
  <c r="I35" i="17"/>
  <c r="I35" i="15"/>
  <c r="I59" i="17"/>
  <c r="I59" i="15"/>
  <c r="I55" i="17"/>
  <c r="I55" i="15"/>
  <c r="S55" i="15" s="1"/>
  <c r="I51" i="17"/>
  <c r="I51" i="15"/>
  <c r="I47" i="17"/>
  <c r="I47" i="15"/>
  <c r="S47" i="15" s="1"/>
  <c r="I111" i="17"/>
  <c r="I111" i="15"/>
  <c r="I31" i="17"/>
  <c r="I31" i="15"/>
  <c r="I8" i="17"/>
  <c r="I8" i="15"/>
  <c r="S8" i="15" s="1"/>
  <c r="I134" i="17"/>
  <c r="I134" i="15"/>
  <c r="I128" i="17"/>
  <c r="I128" i="15"/>
  <c r="I124" i="17"/>
  <c r="I124" i="15"/>
  <c r="H73" i="15"/>
  <c r="S73" i="15" s="1"/>
  <c r="S69" i="15"/>
  <c r="H61" i="15"/>
  <c r="S61" i="15" s="1"/>
  <c r="S57" i="15"/>
  <c r="I75" i="17"/>
  <c r="I75" i="15"/>
  <c r="I71" i="17"/>
  <c r="I71" i="15"/>
  <c r="S71" i="15" s="1"/>
  <c r="I19" i="17"/>
  <c r="I19" i="15"/>
  <c r="I54" i="17"/>
  <c r="I54" i="15"/>
  <c r="I106" i="17"/>
  <c r="I106" i="15"/>
  <c r="I7" i="17"/>
  <c r="I7" i="15"/>
  <c r="H80" i="15"/>
  <c r="S80" i="15" s="1"/>
  <c r="H52" i="17"/>
  <c r="H52" i="15"/>
  <c r="S52" i="15" s="1"/>
  <c r="H48" i="15"/>
  <c r="S48" i="15" s="1"/>
  <c r="I68" i="17"/>
  <c r="I68" i="15"/>
  <c r="I65" i="17"/>
  <c r="I65" i="15"/>
  <c r="I97" i="17"/>
  <c r="I97" i="15"/>
  <c r="I15" i="17"/>
  <c r="I15" i="15"/>
  <c r="W47" i="9"/>
  <c r="A32" i="17"/>
  <c r="Q32" i="17" s="1"/>
  <c r="A132" i="17"/>
  <c r="A93" i="17"/>
  <c r="A113" i="17"/>
  <c r="Q113" i="17" s="1"/>
  <c r="A66" i="17"/>
  <c r="A103" i="17"/>
  <c r="A71" i="17"/>
  <c r="A23" i="17"/>
  <c r="Q23" i="17" s="1"/>
  <c r="A38" i="17"/>
  <c r="W22" i="9"/>
  <c r="A87" i="17"/>
  <c r="A137" i="17"/>
  <c r="Q137" i="17" s="1"/>
  <c r="A4" i="15"/>
  <c r="Q4" i="15" s="1"/>
  <c r="I112" i="17"/>
  <c r="AM192" i="12"/>
  <c r="AC192" i="12" s="1"/>
  <c r="O192" i="18" s="1"/>
  <c r="I94" i="9"/>
  <c r="H96" i="15" s="1"/>
  <c r="S96" i="15" s="1"/>
  <c r="I29" i="9"/>
  <c r="H31" i="15" s="1"/>
  <c r="AE283" i="20"/>
  <c r="AE282" i="9" s="1"/>
  <c r="I89" i="9"/>
  <c r="H91" i="15" s="1"/>
  <c r="S91" i="15" s="1"/>
  <c r="I84" i="9"/>
  <c r="I80" i="9"/>
  <c r="H82" i="15" s="1"/>
  <c r="S82" i="15" s="1"/>
  <c r="I92" i="9"/>
  <c r="H94" i="15" s="1"/>
  <c r="S94" i="15" s="1"/>
  <c r="I87" i="9"/>
  <c r="H89" i="15" s="1"/>
  <c r="S89" i="15" s="1"/>
  <c r="I83" i="9"/>
  <c r="H85" i="15" s="1"/>
  <c r="S85" i="15" s="1"/>
  <c r="I42" i="9"/>
  <c r="H44" i="15" s="1"/>
  <c r="S44" i="15" s="1"/>
  <c r="AE286" i="20"/>
  <c r="AE285" i="9" s="1"/>
  <c r="AE282" i="20"/>
  <c r="AE281" i="9" s="1"/>
  <c r="AE17" i="9"/>
  <c r="I34" i="9"/>
  <c r="H36" i="15" s="1"/>
  <c r="S36" i="15" s="1"/>
  <c r="AE284" i="20"/>
  <c r="AE283" i="9" s="1"/>
  <c r="AE279" i="20"/>
  <c r="AE278" i="9" s="1"/>
  <c r="W4" i="14"/>
  <c r="X4" i="14"/>
  <c r="I37" i="9"/>
  <c r="H39" i="15" s="1"/>
  <c r="I33" i="9"/>
  <c r="H35" i="15" s="1"/>
  <c r="I24" i="9"/>
  <c r="H26" i="15" s="1"/>
  <c r="S26" i="15" s="1"/>
  <c r="I23" i="9"/>
  <c r="H25" i="15" s="1"/>
  <c r="S25" i="15" s="1"/>
  <c r="I25" i="9"/>
  <c r="H27" i="15" s="1"/>
  <c r="S27" i="15" s="1"/>
  <c r="I43" i="9"/>
  <c r="I35" i="9"/>
  <c r="H37" i="15" s="1"/>
  <c r="S37" i="15" s="1"/>
  <c r="I27" i="9"/>
  <c r="H29" i="15" s="1"/>
  <c r="S29" i="15" s="1"/>
  <c r="I21" i="9"/>
  <c r="H23" i="15" s="1"/>
  <c r="S23" i="15" s="1"/>
  <c r="I9" i="9"/>
  <c r="H11" i="15" s="1"/>
  <c r="S11" i="15" s="1"/>
  <c r="I19" i="9"/>
  <c r="H21" i="15" s="1"/>
  <c r="S21" i="15" s="1"/>
  <c r="I26" i="9"/>
  <c r="H28" i="15" s="1"/>
  <c r="S28" i="15" s="1"/>
  <c r="I20" i="9"/>
  <c r="H22" i="15" s="1"/>
  <c r="S22" i="15" s="1"/>
  <c r="I28" i="9"/>
  <c r="H30" i="15" s="1"/>
  <c r="S30" i="15" s="1"/>
  <c r="I22" i="9"/>
  <c r="H24" i="15" s="1"/>
  <c r="S24" i="15" s="1"/>
  <c r="AE97" i="9"/>
  <c r="AE93" i="9"/>
  <c r="AE96" i="9"/>
  <c r="I96" i="17"/>
  <c r="I91" i="17"/>
  <c r="I83" i="17"/>
  <c r="I26" i="17"/>
  <c r="I107" i="17"/>
  <c r="I98" i="17"/>
  <c r="I40" i="17"/>
  <c r="I32" i="17"/>
  <c r="I62" i="17"/>
  <c r="I46" i="17"/>
  <c r="I143" i="17"/>
  <c r="I109" i="17"/>
  <c r="I24" i="17"/>
  <c r="I101" i="17"/>
  <c r="I42" i="17"/>
  <c r="I58" i="17"/>
  <c r="I9" i="17"/>
  <c r="H136" i="17"/>
  <c r="S136" i="17" s="1"/>
  <c r="BK31" i="17" s="1"/>
  <c r="I105" i="17"/>
  <c r="AE16" i="9"/>
  <c r="AI82" i="9"/>
  <c r="I13" i="17"/>
  <c r="I74" i="17"/>
  <c r="H8" i="17"/>
  <c r="C2" i="21"/>
  <c r="B2" i="21"/>
  <c r="E2" i="21"/>
  <c r="I82" i="17"/>
  <c r="I104" i="17"/>
  <c r="I108" i="17"/>
  <c r="I41" i="17"/>
  <c r="H74" i="17"/>
  <c r="I78" i="17"/>
  <c r="I61" i="17"/>
  <c r="I70" i="17"/>
  <c r="I53" i="17"/>
  <c r="I49" i="17"/>
  <c r="I110" i="17"/>
  <c r="I100" i="17"/>
  <c r="S4" i="17"/>
  <c r="I4" i="15"/>
  <c r="I57" i="17"/>
  <c r="I45" i="17"/>
  <c r="H9" i="17"/>
  <c r="I69" i="17"/>
  <c r="AE125" i="9"/>
  <c r="AE22" i="9"/>
  <c r="AI11" i="9"/>
  <c r="AE119" i="9"/>
  <c r="AE115" i="9"/>
  <c r="AI78" i="9"/>
  <c r="AE109" i="9"/>
  <c r="AE105" i="9"/>
  <c r="A141" i="17"/>
  <c r="A34" i="17"/>
  <c r="Q34" i="17" s="1"/>
  <c r="A51" i="17"/>
  <c r="Q51" i="17" s="1"/>
  <c r="AE9" i="9"/>
  <c r="AE18" i="9"/>
  <c r="AE29" i="9"/>
  <c r="AE25" i="9"/>
  <c r="AE132" i="9"/>
  <c r="AE112" i="9"/>
  <c r="AE21" i="9"/>
  <c r="I79" i="17"/>
  <c r="I66" i="17"/>
  <c r="I50" i="17"/>
  <c r="A83" i="17"/>
  <c r="Q83" i="17" s="1"/>
  <c r="I33" i="17"/>
  <c r="I43" i="17"/>
  <c r="AE91" i="9"/>
  <c r="A125" i="17"/>
  <c r="H69" i="17"/>
  <c r="H57" i="17"/>
  <c r="A35" i="17"/>
  <c r="I37" i="17"/>
  <c r="AE117" i="9"/>
  <c r="AG188" i="12"/>
  <c r="AD188" i="12" s="1"/>
  <c r="AG190" i="12"/>
  <c r="AD190" i="12" s="1"/>
  <c r="AG187" i="12"/>
  <c r="AD187" i="12" s="1"/>
  <c r="AG191" i="12"/>
  <c r="AD191" i="12" s="1"/>
  <c r="AG192" i="12"/>
  <c r="AD192" i="12" s="1"/>
  <c r="AG186" i="12"/>
  <c r="AD186" i="12" s="1"/>
  <c r="AG189" i="12"/>
  <c r="AD189" i="12" s="1"/>
  <c r="AG185" i="12"/>
  <c r="AD185" i="12" s="1"/>
  <c r="AY39" i="12"/>
  <c r="S39" i="18" s="1"/>
  <c r="L39" i="18"/>
  <c r="AY35" i="12"/>
  <c r="S35" i="18" s="1"/>
  <c r="AY31" i="12"/>
  <c r="S31" i="18" s="1"/>
  <c r="AY27" i="12"/>
  <c r="S27" i="18" s="1"/>
  <c r="T27" i="18"/>
  <c r="AY23" i="12"/>
  <c r="S23" i="18" s="1"/>
  <c r="L23" i="18"/>
  <c r="AY19" i="12"/>
  <c r="S19" i="18" s="1"/>
  <c r="AY15" i="12"/>
  <c r="S15" i="18" s="1"/>
  <c r="AY11" i="12"/>
  <c r="S11" i="18" s="1"/>
  <c r="T11" i="18"/>
  <c r="AY7" i="12"/>
  <c r="S7" i="18" s="1"/>
  <c r="L7" i="18"/>
  <c r="AY67" i="12"/>
  <c r="S67" i="18" s="1"/>
  <c r="AY63" i="12"/>
  <c r="S63" i="18" s="1"/>
  <c r="AY59" i="12"/>
  <c r="S59" i="18" s="1"/>
  <c r="T59" i="18"/>
  <c r="AY55" i="12"/>
  <c r="S55" i="18" s="1"/>
  <c r="L55" i="18"/>
  <c r="AY51" i="12"/>
  <c r="S51" i="18" s="1"/>
  <c r="AY47" i="12"/>
  <c r="S47" i="18" s="1"/>
  <c r="AY43" i="12"/>
  <c r="S43" i="18" s="1"/>
  <c r="T43" i="18"/>
  <c r="AY101" i="12"/>
  <c r="S101" i="18" s="1"/>
  <c r="L101" i="18"/>
  <c r="AY93" i="12"/>
  <c r="S93" i="18" s="1"/>
  <c r="AY89" i="12"/>
  <c r="S89" i="18" s="1"/>
  <c r="AY85" i="12"/>
  <c r="S85" i="18" s="1"/>
  <c r="T85" i="18"/>
  <c r="T81" i="18"/>
  <c r="AY77" i="12"/>
  <c r="S77" i="18" s="1"/>
  <c r="AY73" i="12"/>
  <c r="S73" i="18" s="1"/>
  <c r="AY69" i="12"/>
  <c r="S69" i="18" s="1"/>
  <c r="T69" i="18"/>
  <c r="L113" i="18"/>
  <c r="AY105" i="12"/>
  <c r="S105" i="18" s="1"/>
  <c r="AY38" i="12"/>
  <c r="S38" i="18" s="1"/>
  <c r="AY34" i="12"/>
  <c r="S34" i="18" s="1"/>
  <c r="AY30" i="12"/>
  <c r="S30" i="18" s="1"/>
  <c r="T30" i="18"/>
  <c r="AY26" i="12"/>
  <c r="S26" i="18" s="1"/>
  <c r="AY22" i="12"/>
  <c r="S22" i="18" s="1"/>
  <c r="AY18" i="12"/>
  <c r="S18" i="18" s="1"/>
  <c r="AY14" i="12"/>
  <c r="S14" i="18" s="1"/>
  <c r="AY10" i="12"/>
  <c r="S10" i="18" s="1"/>
  <c r="AY6" i="12"/>
  <c r="S6" i="18" s="1"/>
  <c r="AY66" i="12"/>
  <c r="S66" i="18" s="1"/>
  <c r="AY62" i="12"/>
  <c r="S62" i="18" s="1"/>
  <c r="AY58" i="12"/>
  <c r="S58" i="18" s="1"/>
  <c r="AY54" i="12"/>
  <c r="S54" i="18" s="1"/>
  <c r="AY50" i="12"/>
  <c r="S50" i="18" s="1"/>
  <c r="AY46" i="12"/>
  <c r="S46" i="18" s="1"/>
  <c r="AY42" i="12"/>
  <c r="S42" i="18" s="1"/>
  <c r="AY96" i="12"/>
  <c r="S96" i="18" s="1"/>
  <c r="AY92" i="12"/>
  <c r="S92" i="18" s="1"/>
  <c r="AY88" i="12"/>
  <c r="S88" i="18" s="1"/>
  <c r="AY84" i="12"/>
  <c r="S84" i="18" s="1"/>
  <c r="AY80" i="12"/>
  <c r="S80" i="18" s="1"/>
  <c r="AY76" i="12"/>
  <c r="S76" i="18" s="1"/>
  <c r="AY72" i="12"/>
  <c r="S72" i="18" s="1"/>
  <c r="AY68" i="12"/>
  <c r="S68" i="18" s="1"/>
  <c r="AY104" i="12"/>
  <c r="S104" i="18" s="1"/>
  <c r="AY3" i="12"/>
  <c r="S3" i="18" s="1"/>
  <c r="AY29" i="12"/>
  <c r="S29" i="18" s="1"/>
  <c r="AY13" i="12"/>
  <c r="S13" i="18" s="1"/>
  <c r="AY61" i="12"/>
  <c r="S61" i="18" s="1"/>
  <c r="AY45" i="12"/>
  <c r="S45" i="18" s="1"/>
  <c r="AY95" i="12"/>
  <c r="S95" i="18" s="1"/>
  <c r="AY91" i="12"/>
  <c r="S91" i="18" s="1"/>
  <c r="AY87" i="12"/>
  <c r="S87" i="18" s="1"/>
  <c r="AY83" i="12"/>
  <c r="S83" i="18" s="1"/>
  <c r="AY79" i="12"/>
  <c r="S79" i="18" s="1"/>
  <c r="AY75" i="12"/>
  <c r="S75" i="18" s="1"/>
  <c r="AY71" i="12"/>
  <c r="S71" i="18" s="1"/>
  <c r="AY103" i="12"/>
  <c r="S103" i="18" s="1"/>
  <c r="AY36" i="12"/>
  <c r="S36" i="18" s="1"/>
  <c r="AY32" i="12"/>
  <c r="S32" i="18" s="1"/>
  <c r="AY28" i="12"/>
  <c r="S28" i="18" s="1"/>
  <c r="AY24" i="12"/>
  <c r="S24" i="18" s="1"/>
  <c r="AY20" i="12"/>
  <c r="S20" i="18" s="1"/>
  <c r="AY16" i="12"/>
  <c r="S16" i="18" s="1"/>
  <c r="AY12" i="12"/>
  <c r="S12" i="18" s="1"/>
  <c r="AY8" i="12"/>
  <c r="S8" i="18" s="1"/>
  <c r="AY4" i="12"/>
  <c r="S4" i="18" s="1"/>
  <c r="AY64" i="12"/>
  <c r="S64" i="18" s="1"/>
  <c r="AY60" i="12"/>
  <c r="S60" i="18" s="1"/>
  <c r="AY56" i="12"/>
  <c r="S56" i="18" s="1"/>
  <c r="AY52" i="12"/>
  <c r="S52" i="18" s="1"/>
  <c r="AY48" i="12"/>
  <c r="S48" i="18" s="1"/>
  <c r="AY44" i="12"/>
  <c r="S44" i="18" s="1"/>
  <c r="AY40" i="12"/>
  <c r="S40" i="18" s="1"/>
  <c r="AY98" i="12"/>
  <c r="S98" i="18" s="1"/>
  <c r="AY94" i="12"/>
  <c r="S94" i="18" s="1"/>
  <c r="AY90" i="12"/>
  <c r="S90" i="18" s="1"/>
  <c r="AY82" i="12"/>
  <c r="S82" i="18" s="1"/>
  <c r="AY78" i="12"/>
  <c r="S78" i="18" s="1"/>
  <c r="AY74" i="12"/>
  <c r="S74" i="18" s="1"/>
  <c r="AY70" i="12"/>
  <c r="S70" i="18" s="1"/>
  <c r="AY114" i="12"/>
  <c r="S114" i="18" s="1"/>
  <c r="AY106" i="12"/>
  <c r="S106" i="18" s="1"/>
  <c r="AY102" i="12"/>
  <c r="S102" i="18" s="1"/>
  <c r="AM185" i="12"/>
  <c r="AC185" i="12" s="1"/>
  <c r="O185" i="18" s="1"/>
  <c r="AM189" i="12"/>
  <c r="AC189" i="12" s="1"/>
  <c r="O189" i="18" s="1"/>
  <c r="AM190" i="12"/>
  <c r="AC190" i="12" s="1"/>
  <c r="O190" i="18" s="1"/>
  <c r="AM191" i="12"/>
  <c r="AC191" i="12" s="1"/>
  <c r="O191" i="18" s="1"/>
  <c r="E186" i="18"/>
  <c r="AM186" i="12"/>
  <c r="AC186" i="12" s="1"/>
  <c r="O186" i="18" s="1"/>
  <c r="AM187" i="12"/>
  <c r="AC187" i="12" s="1"/>
  <c r="O187" i="18" s="1"/>
  <c r="AM188" i="12"/>
  <c r="AC188" i="12" s="1"/>
  <c r="O188" i="18" s="1"/>
  <c r="H77" i="17"/>
  <c r="I38" i="17"/>
  <c r="I80" i="17"/>
  <c r="I76" i="17"/>
  <c r="I72" i="17"/>
  <c r="I67" i="17"/>
  <c r="I63" i="17"/>
  <c r="H78" i="17"/>
  <c r="H70" i="17"/>
  <c r="H66" i="17"/>
  <c r="H62" i="17"/>
  <c r="I34" i="17"/>
  <c r="I77" i="17"/>
  <c r="I73" i="17"/>
  <c r="I64" i="17"/>
  <c r="I60" i="17"/>
  <c r="I56" i="17"/>
  <c r="I52" i="17"/>
  <c r="I48" i="17"/>
  <c r="I44" i="17"/>
  <c r="H137" i="17"/>
  <c r="S137" i="17" s="1"/>
  <c r="BL31" i="17" s="1"/>
  <c r="I113" i="17"/>
  <c r="I36" i="17"/>
  <c r="I99" i="17"/>
  <c r="H79" i="17"/>
  <c r="H71" i="17"/>
  <c r="H47" i="17"/>
  <c r="I103" i="17"/>
  <c r="AI100" i="9"/>
  <c r="AI55" i="9"/>
  <c r="AI84" i="9"/>
  <c r="AE85" i="9"/>
  <c r="AE81" i="9"/>
  <c r="AE43" i="9"/>
  <c r="AI59" i="9"/>
  <c r="AI29" i="9"/>
  <c r="AI80" i="9"/>
  <c r="AI47" i="9"/>
  <c r="AI57" i="9"/>
  <c r="AI124" i="9"/>
  <c r="AI67" i="9"/>
  <c r="AI5" i="9"/>
  <c r="H4" i="15"/>
  <c r="AI9" i="9"/>
  <c r="AI112" i="9"/>
  <c r="AI13" i="9"/>
  <c r="AI25" i="9"/>
  <c r="AI50" i="9"/>
  <c r="AE49" i="9"/>
  <c r="AI21" i="9"/>
  <c r="AI71" i="9"/>
  <c r="AE7" i="9"/>
  <c r="AE88" i="9"/>
  <c r="AI17" i="9"/>
  <c r="AI77" i="9"/>
  <c r="AI101" i="9"/>
  <c r="AI121" i="9"/>
  <c r="AI37" i="9"/>
  <c r="AI133" i="9"/>
  <c r="AI46" i="9"/>
  <c r="AI87" i="9"/>
  <c r="AE6" i="9"/>
  <c r="AE3" i="9"/>
  <c r="AE293" i="20"/>
  <c r="AE36" i="9"/>
  <c r="AE32" i="9"/>
  <c r="AE28" i="9"/>
  <c r="AE24" i="9"/>
  <c r="AE41" i="9"/>
  <c r="AE20" i="9"/>
  <c r="AE84" i="9"/>
  <c r="AE80" i="9"/>
  <c r="AI7" i="9"/>
  <c r="AI4" i="9"/>
  <c r="AI27" i="9"/>
  <c r="AI44" i="9"/>
  <c r="AI45" i="9"/>
  <c r="AI52" i="9"/>
  <c r="AI65" i="9"/>
  <c r="AI81" i="9"/>
  <c r="AI88" i="9"/>
  <c r="AI16" i="9"/>
  <c r="AI48" i="9"/>
  <c r="AI76" i="9"/>
  <c r="AI108" i="9"/>
  <c r="AI132" i="9"/>
  <c r="AI39" i="9"/>
  <c r="AI40" i="9"/>
  <c r="AI51" i="9"/>
  <c r="AE50" i="9"/>
  <c r="AE46" i="9"/>
  <c r="AI14" i="9"/>
  <c r="AI38" i="9"/>
  <c r="A52" i="17"/>
  <c r="Q52" i="17" s="1"/>
  <c r="A88" i="17"/>
  <c r="AI72" i="9"/>
  <c r="AI99" i="9"/>
  <c r="AI53" i="9"/>
  <c r="AI75" i="9"/>
  <c r="I12" i="17"/>
  <c r="AE44" i="9"/>
  <c r="AI42" i="9"/>
  <c r="AI74" i="9"/>
  <c r="AI94" i="9"/>
  <c r="A140" i="17"/>
  <c r="A47" i="17"/>
  <c r="Q47" i="17" s="1"/>
  <c r="AI60" i="9"/>
  <c r="AI30" i="9"/>
  <c r="AI32" i="9"/>
  <c r="AI54" i="9"/>
  <c r="AI79" i="9"/>
  <c r="AE35" i="9"/>
  <c r="AE31" i="9"/>
  <c r="AE27" i="9"/>
  <c r="AE114" i="9"/>
  <c r="AE110" i="9"/>
  <c r="AE102" i="9"/>
  <c r="AE23" i="9"/>
  <c r="AE71" i="9"/>
  <c r="AE59" i="9"/>
  <c r="AE38" i="9"/>
  <c r="AI23" i="9"/>
  <c r="AI83" i="9"/>
  <c r="AI12" i="9"/>
  <c r="AI28" i="9"/>
  <c r="AI68" i="9"/>
  <c r="AI41" i="9"/>
  <c r="AI69" i="9"/>
  <c r="AI20" i="9"/>
  <c r="AI66" i="9"/>
  <c r="AI91" i="9"/>
  <c r="AI49" i="9"/>
  <c r="AI70" i="9"/>
  <c r="AI58" i="9"/>
  <c r="AI85" i="9"/>
  <c r="I10" i="17"/>
  <c r="A44" i="17"/>
  <c r="A45" i="17"/>
  <c r="AE387" i="20"/>
  <c r="I12" i="9"/>
  <c r="H14" i="15" s="1"/>
  <c r="AE363" i="20"/>
  <c r="I14" i="9"/>
  <c r="H16" i="15" s="1"/>
  <c r="S16" i="15" s="1"/>
  <c r="AE295" i="20"/>
  <c r="I10" i="9"/>
  <c r="H12" i="15" s="1"/>
  <c r="S12" i="15" s="1"/>
  <c r="AE146" i="20"/>
  <c r="I8" i="9"/>
  <c r="H10" i="15" s="1"/>
  <c r="S10" i="15" s="1"/>
  <c r="A98" i="17"/>
  <c r="A41" i="17"/>
  <c r="A97" i="17"/>
  <c r="AE362" i="20"/>
  <c r="I11" i="9"/>
  <c r="H13" i="15" s="1"/>
  <c r="S13" i="15" s="1"/>
  <c r="AE388" i="20"/>
  <c r="I13" i="9"/>
  <c r="H15" i="15" s="1"/>
  <c r="A114" i="17"/>
  <c r="Q114" i="17" s="1"/>
  <c r="AK3" i="20"/>
  <c r="AJ3" i="20" s="1"/>
  <c r="F2" i="21" s="1"/>
  <c r="N5" i="17"/>
  <c r="N4" i="17"/>
  <c r="N4" i="15"/>
  <c r="V364" i="20"/>
  <c r="T364" i="20" s="1"/>
  <c r="AH364" i="20" s="1"/>
  <c r="AH363" i="9" s="1"/>
  <c r="V387" i="20"/>
  <c r="T387" i="20" s="1"/>
  <c r="AH387" i="20" s="1"/>
  <c r="AH386" i="9" s="1"/>
  <c r="V5" i="20"/>
  <c r="T5" i="20" s="1"/>
  <c r="V363" i="20"/>
  <c r="T363" i="20" s="1"/>
  <c r="AH363" i="20" s="1"/>
  <c r="AH362" i="9" s="1"/>
  <c r="V294" i="20"/>
  <c r="T294" i="20" s="1"/>
  <c r="AH294" i="20" s="1"/>
  <c r="AH293" i="9" s="1"/>
  <c r="V293" i="20"/>
  <c r="T293" i="20" s="1"/>
  <c r="AH293" i="20" s="1"/>
  <c r="AH292" i="9" s="1"/>
  <c r="V145" i="20"/>
  <c r="T145" i="20" s="1"/>
  <c r="AH145" i="20" s="1"/>
  <c r="AH144" i="9" s="1"/>
  <c r="V295" i="20"/>
  <c r="T295" i="20" s="1"/>
  <c r="AH295" i="20" s="1"/>
  <c r="AH294" i="9" s="1"/>
  <c r="V361" i="20"/>
  <c r="T361" i="20" s="1"/>
  <c r="AH361" i="20" s="1"/>
  <c r="AH360" i="9" s="1"/>
  <c r="V365" i="20"/>
  <c r="T365" i="20" s="1"/>
  <c r="AH365" i="20" s="1"/>
  <c r="AH364" i="9" s="1"/>
  <c r="V389" i="20"/>
  <c r="T389" i="20" s="1"/>
  <c r="AH389" i="20" s="1"/>
  <c r="AH388" i="9" s="1"/>
  <c r="V4" i="20"/>
  <c r="T4" i="20" s="1"/>
  <c r="V366" i="20"/>
  <c r="T366" i="20" s="1"/>
  <c r="AH366" i="20" s="1"/>
  <c r="AH365" i="9" s="1"/>
  <c r="V3" i="20"/>
  <c r="T3" i="20" s="1"/>
  <c r="V362" i="20"/>
  <c r="T362" i="20" s="1"/>
  <c r="AH362" i="20" s="1"/>
  <c r="AH361" i="9" s="1"/>
  <c r="V388" i="20"/>
  <c r="T388" i="20" s="1"/>
  <c r="AH388" i="20" s="1"/>
  <c r="AH387" i="9" s="1"/>
  <c r="V146" i="20"/>
  <c r="T146" i="20" s="1"/>
  <c r="AH146" i="20" s="1"/>
  <c r="AH145" i="9" s="1"/>
  <c r="O6" i="17"/>
  <c r="O10" i="17"/>
  <c r="O25" i="17"/>
  <c r="O27" i="17"/>
  <c r="O29" i="17"/>
  <c r="O5" i="17"/>
  <c r="O7" i="17"/>
  <c r="O9" i="17"/>
  <c r="O26" i="17"/>
  <c r="O28" i="17"/>
  <c r="W32" i="9"/>
  <c r="W23" i="9"/>
  <c r="A25" i="17"/>
  <c r="Q25" i="17" s="1"/>
  <c r="O8" i="17"/>
  <c r="Q139" i="17"/>
  <c r="A5" i="17"/>
  <c r="Q5" i="17" s="1"/>
  <c r="O12" i="17"/>
  <c r="O14" i="17"/>
  <c r="O16" i="17"/>
  <c r="O18" i="17"/>
  <c r="O11" i="17"/>
  <c r="O13" i="17"/>
  <c r="O15" i="17"/>
  <c r="O17" i="17"/>
  <c r="O19" i="17"/>
  <c r="O20" i="17"/>
  <c r="O21" i="17"/>
  <c r="W116" i="20"/>
  <c r="W254" i="20"/>
  <c r="W232" i="20"/>
  <c r="W217" i="20"/>
  <c r="W192" i="20"/>
  <c r="W185" i="20"/>
  <c r="W310" i="20"/>
  <c r="W8" i="20"/>
  <c r="W87" i="20"/>
  <c r="W208" i="20"/>
  <c r="W201" i="20"/>
  <c r="W37" i="20"/>
  <c r="W17" i="20"/>
  <c r="W145" i="20"/>
  <c r="AC145" i="20" s="1"/>
  <c r="AC144" i="9" s="1"/>
  <c r="W109" i="20"/>
  <c r="W99" i="20"/>
  <c r="W235" i="20"/>
  <c r="W53" i="20"/>
  <c r="W158" i="20"/>
  <c r="W152" i="20"/>
  <c r="W12" i="20"/>
  <c r="W400" i="20"/>
  <c r="W281" i="20"/>
  <c r="W277" i="20"/>
  <c r="W249" i="20"/>
  <c r="W174" i="20"/>
  <c r="W302" i="20"/>
  <c r="W212" i="20"/>
  <c r="AY37" i="12"/>
  <c r="S37" i="18" s="1"/>
  <c r="AY33" i="12"/>
  <c r="S33" i="18" s="1"/>
  <c r="AY25" i="12"/>
  <c r="S25" i="18" s="1"/>
  <c r="AY21" i="12"/>
  <c r="S21" i="18" s="1"/>
  <c r="AY17" i="12"/>
  <c r="S17" i="18" s="1"/>
  <c r="AY9" i="12"/>
  <c r="S9" i="18" s="1"/>
  <c r="AY5" i="12"/>
  <c r="S5" i="18" s="1"/>
  <c r="AY65" i="12"/>
  <c r="S65" i="18" s="1"/>
  <c r="AY57" i="12"/>
  <c r="S57" i="18" s="1"/>
  <c r="AY53" i="12"/>
  <c r="S53" i="18" s="1"/>
  <c r="AY49" i="12"/>
  <c r="S49" i="18" s="1"/>
  <c r="AY41" i="12"/>
  <c r="S41" i="18" s="1"/>
  <c r="AY99" i="12"/>
  <c r="S99" i="18" s="1"/>
  <c r="AY127" i="12"/>
  <c r="S127" i="18" s="1"/>
  <c r="AY123" i="12"/>
  <c r="S123" i="18" s="1"/>
  <c r="AY119" i="12"/>
  <c r="S119" i="18" s="1"/>
  <c r="AY115" i="12"/>
  <c r="S115" i="18" s="1"/>
  <c r="AY111" i="12"/>
  <c r="S111" i="18" s="1"/>
  <c r="AY107" i="12"/>
  <c r="S107" i="18" s="1"/>
  <c r="AY158" i="12"/>
  <c r="S158" i="18" s="1"/>
  <c r="AY154" i="12"/>
  <c r="S154" i="18" s="1"/>
  <c r="AY150" i="12"/>
  <c r="S150" i="18" s="1"/>
  <c r="AY146" i="12"/>
  <c r="S146" i="18" s="1"/>
  <c r="AY142" i="12"/>
  <c r="S142" i="18" s="1"/>
  <c r="AY138" i="12"/>
  <c r="S138" i="18" s="1"/>
  <c r="AY134" i="12"/>
  <c r="S134" i="18" s="1"/>
  <c r="AY130" i="12"/>
  <c r="S130" i="18" s="1"/>
  <c r="AY183" i="12"/>
  <c r="S183" i="18" s="1"/>
  <c r="AY179" i="12"/>
  <c r="S179" i="18" s="1"/>
  <c r="AY175" i="12"/>
  <c r="S175" i="18" s="1"/>
  <c r="AY171" i="12"/>
  <c r="S171" i="18" s="1"/>
  <c r="AY167" i="12"/>
  <c r="S167" i="18" s="1"/>
  <c r="AY163" i="12"/>
  <c r="S163" i="18" s="1"/>
  <c r="AY86" i="12"/>
  <c r="S86" i="18" s="1"/>
  <c r="AY126" i="12"/>
  <c r="S126" i="18" s="1"/>
  <c r="AY122" i="12"/>
  <c r="S122" i="18" s="1"/>
  <c r="AY118" i="12"/>
  <c r="S118" i="18" s="1"/>
  <c r="AY110" i="12"/>
  <c r="S110" i="18" s="1"/>
  <c r="AY157" i="12"/>
  <c r="S157" i="18" s="1"/>
  <c r="AY153" i="12"/>
  <c r="S153" i="18" s="1"/>
  <c r="AY149" i="12"/>
  <c r="S149" i="18" s="1"/>
  <c r="AY145" i="12"/>
  <c r="S145" i="18" s="1"/>
  <c r="AY141" i="12"/>
  <c r="S141" i="18" s="1"/>
  <c r="AY137" i="12"/>
  <c r="S137" i="18" s="1"/>
  <c r="AY133" i="12"/>
  <c r="S133" i="18" s="1"/>
  <c r="AY129" i="12"/>
  <c r="S129" i="18" s="1"/>
  <c r="AY182" i="12"/>
  <c r="S182" i="18" s="1"/>
  <c r="AY178" i="12"/>
  <c r="S178" i="18" s="1"/>
  <c r="AY174" i="12"/>
  <c r="S174" i="18" s="1"/>
  <c r="AY170" i="12"/>
  <c r="S170" i="18" s="1"/>
  <c r="AY166" i="12"/>
  <c r="S166" i="18" s="1"/>
  <c r="AY162" i="12"/>
  <c r="S162" i="18" s="1"/>
  <c r="AY97" i="12"/>
  <c r="S97" i="18" s="1"/>
  <c r="AY81" i="12"/>
  <c r="S81" i="18" s="1"/>
  <c r="AY125" i="12"/>
  <c r="S125" i="18" s="1"/>
  <c r="AY121" i="12"/>
  <c r="S121" i="18" s="1"/>
  <c r="AY117" i="12"/>
  <c r="S117" i="18" s="1"/>
  <c r="AY113" i="12"/>
  <c r="S113" i="18" s="1"/>
  <c r="AY109" i="12"/>
  <c r="S109" i="18" s="1"/>
  <c r="AY160" i="12"/>
  <c r="S160" i="18" s="1"/>
  <c r="AY156" i="12"/>
  <c r="S156" i="18" s="1"/>
  <c r="AY152" i="12"/>
  <c r="S152" i="18" s="1"/>
  <c r="AY148" i="12"/>
  <c r="S148" i="18" s="1"/>
  <c r="AY144" i="12"/>
  <c r="S144" i="18" s="1"/>
  <c r="AY140" i="12"/>
  <c r="S140" i="18" s="1"/>
  <c r="AY136" i="12"/>
  <c r="S136" i="18" s="1"/>
  <c r="AY132" i="12"/>
  <c r="S132" i="18" s="1"/>
  <c r="AY128" i="12"/>
  <c r="S128" i="18" s="1"/>
  <c r="AY181" i="12"/>
  <c r="S181" i="18" s="1"/>
  <c r="AY177" i="12"/>
  <c r="S177" i="18" s="1"/>
  <c r="AY173" i="12"/>
  <c r="S173" i="18" s="1"/>
  <c r="AY169" i="12"/>
  <c r="S169" i="18" s="1"/>
  <c r="AY165" i="12"/>
  <c r="S165" i="18" s="1"/>
  <c r="AY161" i="12"/>
  <c r="S161" i="18" s="1"/>
  <c r="AY100" i="12"/>
  <c r="S100" i="18" s="1"/>
  <c r="AY124" i="12"/>
  <c r="S124" i="18" s="1"/>
  <c r="AY120" i="12"/>
  <c r="S120" i="18" s="1"/>
  <c r="AY116" i="12"/>
  <c r="S116" i="18" s="1"/>
  <c r="AY112" i="12"/>
  <c r="S112" i="18" s="1"/>
  <c r="AY108" i="12"/>
  <c r="S108" i="18" s="1"/>
  <c r="AY159" i="12"/>
  <c r="S159" i="18" s="1"/>
  <c r="AY155" i="12"/>
  <c r="S155" i="18" s="1"/>
  <c r="AY151" i="12"/>
  <c r="S151" i="18" s="1"/>
  <c r="AY147" i="12"/>
  <c r="S147" i="18" s="1"/>
  <c r="AY143" i="12"/>
  <c r="S143" i="18" s="1"/>
  <c r="AY139" i="12"/>
  <c r="S139" i="18" s="1"/>
  <c r="AY135" i="12"/>
  <c r="S135" i="18" s="1"/>
  <c r="AY131" i="12"/>
  <c r="S131" i="18" s="1"/>
  <c r="AY184" i="12"/>
  <c r="S184" i="18" s="1"/>
  <c r="AY180" i="12"/>
  <c r="S180" i="18" s="1"/>
  <c r="AY176" i="12"/>
  <c r="S176" i="18" s="1"/>
  <c r="AY172" i="12"/>
  <c r="S172" i="18" s="1"/>
  <c r="AY168" i="12"/>
  <c r="S168" i="18" s="1"/>
  <c r="AY164" i="12"/>
  <c r="S164" i="18" s="1"/>
  <c r="V29" i="2"/>
  <c r="X29" i="2" s="1"/>
  <c r="V20" i="2"/>
  <c r="X20" i="2" s="1"/>
  <c r="V17" i="2"/>
  <c r="X17" i="2" s="1"/>
  <c r="V125" i="2"/>
  <c r="X125" i="2" s="1"/>
  <c r="V93" i="2"/>
  <c r="X93" i="2" s="1"/>
  <c r="V65" i="2"/>
  <c r="X65" i="2" s="1"/>
  <c r="V33" i="2"/>
  <c r="X33" i="2" s="1"/>
  <c r="V109" i="2"/>
  <c r="X109" i="2" s="1"/>
  <c r="V77" i="2"/>
  <c r="X77" i="2" s="1"/>
  <c r="V45" i="2"/>
  <c r="X45" i="2" s="1"/>
  <c r="AG36" i="12"/>
  <c r="AJ36" i="12"/>
  <c r="J36" i="18" s="1"/>
  <c r="AG32" i="12"/>
  <c r="AF32" i="12"/>
  <c r="AJ32" i="12"/>
  <c r="J32" i="18" s="1"/>
  <c r="AG28" i="12"/>
  <c r="AF28" i="12"/>
  <c r="AJ28" i="12"/>
  <c r="J28" i="18" s="1"/>
  <c r="AG24" i="12"/>
  <c r="AJ24" i="12"/>
  <c r="J24" i="18" s="1"/>
  <c r="AG20" i="12"/>
  <c r="AF20" i="12"/>
  <c r="AJ20" i="12"/>
  <c r="J20" i="18" s="1"/>
  <c r="AG16" i="12"/>
  <c r="AF16" i="12"/>
  <c r="AJ16" i="12"/>
  <c r="J16" i="18" s="1"/>
  <c r="AG12" i="12"/>
  <c r="AF12" i="12"/>
  <c r="AJ12" i="12"/>
  <c r="J12" i="18" s="1"/>
  <c r="AG8" i="12"/>
  <c r="AF8" i="12"/>
  <c r="AJ8" i="12"/>
  <c r="J8" i="18" s="1"/>
  <c r="AG4" i="12"/>
  <c r="AF4" i="12"/>
  <c r="AJ4" i="12"/>
  <c r="J4" i="18" s="1"/>
  <c r="AG64" i="12"/>
  <c r="AJ64" i="12"/>
  <c r="J64" i="18" s="1"/>
  <c r="AG60" i="12"/>
  <c r="AF60" i="12"/>
  <c r="AJ60" i="12"/>
  <c r="J60" i="18" s="1"/>
  <c r="AG56" i="12"/>
  <c r="AJ56" i="12"/>
  <c r="J56" i="18" s="1"/>
  <c r="AG52" i="12"/>
  <c r="AF52" i="12"/>
  <c r="AJ52" i="12"/>
  <c r="J52" i="18" s="1"/>
  <c r="AG48" i="12"/>
  <c r="AJ48" i="12"/>
  <c r="J48" i="18" s="1"/>
  <c r="AG44" i="12"/>
  <c r="AF44" i="12"/>
  <c r="AJ44" i="12"/>
  <c r="J44" i="18" s="1"/>
  <c r="AG40" i="12"/>
  <c r="AF40" i="12"/>
  <c r="AJ40" i="12"/>
  <c r="J40" i="18" s="1"/>
  <c r="AF98" i="12"/>
  <c r="AG98" i="12"/>
  <c r="AJ98" i="12"/>
  <c r="J98" i="18" s="1"/>
  <c r="AF94" i="12"/>
  <c r="AG94" i="12"/>
  <c r="AJ94" i="12"/>
  <c r="J94" i="18" s="1"/>
  <c r="AG90" i="12"/>
  <c r="AF90" i="12"/>
  <c r="AJ90" i="12"/>
  <c r="J90" i="18" s="1"/>
  <c r="AG86" i="12"/>
  <c r="AF86" i="12"/>
  <c r="AJ86" i="12"/>
  <c r="J86" i="18" s="1"/>
  <c r="AG82" i="12"/>
  <c r="AJ82" i="12"/>
  <c r="J82" i="18" s="1"/>
  <c r="AG78" i="12"/>
  <c r="AJ78" i="12"/>
  <c r="J78" i="18" s="1"/>
  <c r="AG74" i="12"/>
  <c r="AJ74" i="12"/>
  <c r="J74" i="18" s="1"/>
  <c r="AG70" i="12"/>
  <c r="AF70" i="12"/>
  <c r="AJ70" i="12"/>
  <c r="J70" i="18" s="1"/>
  <c r="AG126" i="12"/>
  <c r="AF126" i="12"/>
  <c r="AJ126" i="12"/>
  <c r="J126" i="18" s="1"/>
  <c r="AG122" i="12"/>
  <c r="AF122" i="12"/>
  <c r="AJ122" i="12"/>
  <c r="J122" i="18" s="1"/>
  <c r="AG118" i="12"/>
  <c r="AF118" i="12"/>
  <c r="AJ118" i="12"/>
  <c r="J118" i="18" s="1"/>
  <c r="AF114" i="12"/>
  <c r="AG114" i="12"/>
  <c r="AJ114" i="12"/>
  <c r="J114" i="18" s="1"/>
  <c r="AF110" i="12"/>
  <c r="AG110" i="12"/>
  <c r="AJ110" i="12"/>
  <c r="J110" i="18" s="1"/>
  <c r="AG106" i="12"/>
  <c r="AJ106" i="12"/>
  <c r="J106" i="18" s="1"/>
  <c r="AG102" i="12"/>
  <c r="AJ102" i="12"/>
  <c r="J102" i="18" s="1"/>
  <c r="AF157" i="12"/>
  <c r="AG157" i="12"/>
  <c r="AJ157" i="12"/>
  <c r="J157" i="18" s="1"/>
  <c r="AG153" i="12"/>
  <c r="AF153" i="12"/>
  <c r="AJ153" i="12"/>
  <c r="J153" i="18" s="1"/>
  <c r="AG149" i="12"/>
  <c r="AF149" i="12"/>
  <c r="AJ149" i="12"/>
  <c r="J149" i="18" s="1"/>
  <c r="AG145" i="12"/>
  <c r="AF145" i="12"/>
  <c r="AJ145" i="12"/>
  <c r="J145" i="18" s="1"/>
  <c r="AG141" i="12"/>
  <c r="AF141" i="12"/>
  <c r="AJ141" i="12"/>
  <c r="J141" i="18" s="1"/>
  <c r="AG137" i="12"/>
  <c r="AF137" i="12"/>
  <c r="AJ137" i="12"/>
  <c r="J137" i="18" s="1"/>
  <c r="AG133" i="12"/>
  <c r="AF133" i="12"/>
  <c r="AJ133" i="12"/>
  <c r="J133" i="18" s="1"/>
  <c r="AG129" i="12"/>
  <c r="AF129" i="12"/>
  <c r="AJ129" i="12"/>
  <c r="J129" i="18" s="1"/>
  <c r="AG182" i="12"/>
  <c r="AJ182" i="12"/>
  <c r="J182" i="18" s="1"/>
  <c r="AF182" i="12"/>
  <c r="AG178" i="12"/>
  <c r="AJ178" i="12"/>
  <c r="J178" i="18" s="1"/>
  <c r="AF178" i="12"/>
  <c r="AF174" i="12"/>
  <c r="AG174" i="12"/>
  <c r="AJ174" i="12"/>
  <c r="J174" i="18" s="1"/>
  <c r="AF170" i="12"/>
  <c r="AG170" i="12"/>
  <c r="AJ170" i="12"/>
  <c r="J170" i="18" s="1"/>
  <c r="AF166" i="12"/>
  <c r="AG166" i="12"/>
  <c r="AJ166" i="12"/>
  <c r="J166" i="18" s="1"/>
  <c r="AF162" i="12"/>
  <c r="AG162" i="12"/>
  <c r="AJ162" i="12"/>
  <c r="J162" i="18" s="1"/>
  <c r="AG39" i="12"/>
  <c r="AF39" i="12"/>
  <c r="AJ39" i="12"/>
  <c r="J39" i="18" s="1"/>
  <c r="AF35" i="12"/>
  <c r="AG35" i="12"/>
  <c r="AJ35" i="12"/>
  <c r="J35" i="18" s="1"/>
  <c r="AF31" i="12"/>
  <c r="AG31" i="12"/>
  <c r="AJ31" i="12"/>
  <c r="J31" i="18" s="1"/>
  <c r="AF27" i="12"/>
  <c r="AG27" i="12"/>
  <c r="AJ27" i="12"/>
  <c r="J27" i="18" s="1"/>
  <c r="AF23" i="12"/>
  <c r="AG23" i="12"/>
  <c r="AJ23" i="12"/>
  <c r="J23" i="18" s="1"/>
  <c r="AF19" i="12"/>
  <c r="AG19" i="12"/>
  <c r="AJ19" i="12"/>
  <c r="J19" i="18" s="1"/>
  <c r="AF15" i="12"/>
  <c r="AG15" i="12"/>
  <c r="AJ15" i="12"/>
  <c r="J15" i="18" s="1"/>
  <c r="AF11" i="12"/>
  <c r="AG11" i="12"/>
  <c r="AJ11" i="12"/>
  <c r="J11" i="18" s="1"/>
  <c r="AG7" i="12"/>
  <c r="AF7" i="12"/>
  <c r="AJ7" i="12"/>
  <c r="J7" i="18" s="1"/>
  <c r="AG67" i="12"/>
  <c r="AF67" i="12"/>
  <c r="AJ67" i="12"/>
  <c r="J67" i="18" s="1"/>
  <c r="AF63" i="12"/>
  <c r="AG63" i="12"/>
  <c r="AJ63" i="12"/>
  <c r="J63" i="18" s="1"/>
  <c r="AF59" i="12"/>
  <c r="AG59" i="12"/>
  <c r="AJ59" i="12"/>
  <c r="J59" i="18" s="1"/>
  <c r="AG55" i="12"/>
  <c r="AJ55" i="12"/>
  <c r="J55" i="18" s="1"/>
  <c r="AG51" i="12"/>
  <c r="AF51" i="12"/>
  <c r="AJ51" i="12"/>
  <c r="J51" i="18" s="1"/>
  <c r="AF47" i="12"/>
  <c r="AG47" i="12"/>
  <c r="AJ47" i="12"/>
  <c r="J47" i="18" s="1"/>
  <c r="AG43" i="12"/>
  <c r="AJ43" i="12"/>
  <c r="J43" i="18" s="1"/>
  <c r="AG101" i="12"/>
  <c r="AJ101" i="12"/>
  <c r="J101" i="18" s="1"/>
  <c r="AG97" i="12"/>
  <c r="AF97" i="12"/>
  <c r="AJ97" i="12"/>
  <c r="J97" i="18" s="1"/>
  <c r="AG93" i="12"/>
  <c r="AF93" i="12"/>
  <c r="AJ93" i="12"/>
  <c r="J93" i="18" s="1"/>
  <c r="AF89" i="12"/>
  <c r="AG89" i="12"/>
  <c r="AJ89" i="12"/>
  <c r="J89" i="18" s="1"/>
  <c r="AG85" i="12"/>
  <c r="AJ85" i="12"/>
  <c r="J85" i="18" s="1"/>
  <c r="AF85" i="12"/>
  <c r="AG81" i="12"/>
  <c r="AF81" i="12"/>
  <c r="AJ81" i="12"/>
  <c r="J81" i="18" s="1"/>
  <c r="AG77" i="12"/>
  <c r="AF77" i="12"/>
  <c r="AJ77" i="12"/>
  <c r="J77" i="18" s="1"/>
  <c r="AG73" i="12"/>
  <c r="AF73" i="12"/>
  <c r="AJ73" i="12"/>
  <c r="J73" i="18" s="1"/>
  <c r="AG69" i="12"/>
  <c r="AF69" i="12"/>
  <c r="AJ69" i="12"/>
  <c r="J69" i="18" s="1"/>
  <c r="AG125" i="12"/>
  <c r="AJ125" i="12"/>
  <c r="J125" i="18" s="1"/>
  <c r="AF125" i="12"/>
  <c r="AG121" i="12"/>
  <c r="AJ121" i="12"/>
  <c r="J121" i="18" s="1"/>
  <c r="AG117" i="12"/>
  <c r="AF117" i="12"/>
  <c r="AJ117" i="12"/>
  <c r="J117" i="18" s="1"/>
  <c r="AG113" i="12"/>
  <c r="AF113" i="12"/>
  <c r="AJ113" i="12"/>
  <c r="J113" i="18" s="1"/>
  <c r="AG109" i="12"/>
  <c r="AF109" i="12"/>
  <c r="AJ109" i="12"/>
  <c r="J109" i="18" s="1"/>
  <c r="AF105" i="12"/>
  <c r="AG105" i="12"/>
  <c r="AJ105" i="12"/>
  <c r="J105" i="18" s="1"/>
  <c r="AG160" i="12"/>
  <c r="AF160" i="12"/>
  <c r="AJ160" i="12"/>
  <c r="J160" i="18" s="1"/>
  <c r="AG156" i="12"/>
  <c r="AF156" i="12"/>
  <c r="AJ156" i="12"/>
  <c r="J156" i="18" s="1"/>
  <c r="AG152" i="12"/>
  <c r="AF152" i="12"/>
  <c r="AJ152" i="12"/>
  <c r="J152" i="18" s="1"/>
  <c r="AG148" i="12"/>
  <c r="AF148" i="12"/>
  <c r="AJ148" i="12"/>
  <c r="J148" i="18" s="1"/>
  <c r="AG144" i="12"/>
  <c r="AF144" i="12"/>
  <c r="AJ144" i="12"/>
  <c r="J144" i="18" s="1"/>
  <c r="AG140" i="12"/>
  <c r="AJ140" i="12"/>
  <c r="J140" i="18" s="1"/>
  <c r="AG136" i="12"/>
  <c r="AF136" i="12"/>
  <c r="AJ136" i="12"/>
  <c r="J136" i="18" s="1"/>
  <c r="AG132" i="12"/>
  <c r="AF132" i="12"/>
  <c r="AJ132" i="12"/>
  <c r="J132" i="18" s="1"/>
  <c r="AG128" i="12"/>
  <c r="AF128" i="12"/>
  <c r="AJ128" i="12"/>
  <c r="J128" i="18" s="1"/>
  <c r="AG181" i="12"/>
  <c r="AF181" i="12"/>
  <c r="AJ181" i="12"/>
  <c r="J181" i="18" s="1"/>
  <c r="AF177" i="12"/>
  <c r="AJ177" i="12"/>
  <c r="J177" i="18" s="1"/>
  <c r="AG177" i="12"/>
  <c r="AG173" i="12"/>
  <c r="AJ173" i="12"/>
  <c r="J173" i="18" s="1"/>
  <c r="AF173" i="12"/>
  <c r="AF169" i="12"/>
  <c r="AG169" i="12"/>
  <c r="AJ169" i="12"/>
  <c r="J169" i="18" s="1"/>
  <c r="AF165" i="12"/>
  <c r="AG165" i="12"/>
  <c r="AJ165" i="12"/>
  <c r="J165" i="18" s="1"/>
  <c r="AF161" i="12"/>
  <c r="AJ161" i="12"/>
  <c r="J161" i="18" s="1"/>
  <c r="AG161" i="12"/>
  <c r="AF38" i="12"/>
  <c r="AG38" i="12"/>
  <c r="AJ38" i="12"/>
  <c r="J38" i="18" s="1"/>
  <c r="AG34" i="12"/>
  <c r="AF34" i="12"/>
  <c r="AJ34" i="12"/>
  <c r="J34" i="18" s="1"/>
  <c r="AG30" i="12"/>
  <c r="AF30" i="12"/>
  <c r="AJ30" i="12"/>
  <c r="J30" i="18" s="1"/>
  <c r="AG26" i="12"/>
  <c r="AF26" i="12"/>
  <c r="AJ26" i="12"/>
  <c r="J26" i="18" s="1"/>
  <c r="AG22" i="12"/>
  <c r="AF22" i="12"/>
  <c r="AJ22" i="12"/>
  <c r="J22" i="18" s="1"/>
  <c r="AG18" i="12"/>
  <c r="AF18" i="12"/>
  <c r="AJ18" i="12"/>
  <c r="J18" i="18" s="1"/>
  <c r="AG14" i="12"/>
  <c r="AF14" i="12"/>
  <c r="AJ14" i="12"/>
  <c r="J14" i="18" s="1"/>
  <c r="AG10" i="12"/>
  <c r="AJ10" i="12"/>
  <c r="J10" i="18" s="1"/>
  <c r="AF6" i="12"/>
  <c r="AG6" i="12"/>
  <c r="AJ6" i="12"/>
  <c r="J6" i="18" s="1"/>
  <c r="AF66" i="12"/>
  <c r="AG66" i="12"/>
  <c r="AJ66" i="12"/>
  <c r="J66" i="18" s="1"/>
  <c r="AG62" i="12"/>
  <c r="AJ62" i="12"/>
  <c r="J62" i="18" s="1"/>
  <c r="AF62" i="12"/>
  <c r="AG58" i="12"/>
  <c r="AJ58" i="12"/>
  <c r="J58" i="18" s="1"/>
  <c r="AG54" i="12"/>
  <c r="AJ54" i="12"/>
  <c r="J54" i="18" s="1"/>
  <c r="AG50" i="12"/>
  <c r="AF50" i="12"/>
  <c r="AJ50" i="12"/>
  <c r="J50" i="18" s="1"/>
  <c r="AG46" i="12"/>
  <c r="AF46" i="12"/>
  <c r="AJ46" i="12"/>
  <c r="J46" i="18" s="1"/>
  <c r="AF42" i="12"/>
  <c r="AG42" i="12"/>
  <c r="AJ42" i="12"/>
  <c r="J42" i="18" s="1"/>
  <c r="AG100" i="12"/>
  <c r="AJ100" i="12"/>
  <c r="J100" i="18" s="1"/>
  <c r="AG96" i="12"/>
  <c r="AF96" i="12"/>
  <c r="AJ96" i="12"/>
  <c r="J96" i="18" s="1"/>
  <c r="AG92" i="12"/>
  <c r="AF92" i="12"/>
  <c r="AJ92" i="12"/>
  <c r="J92" i="18" s="1"/>
  <c r="AG88" i="12"/>
  <c r="AJ88" i="12"/>
  <c r="J88" i="18" s="1"/>
  <c r="AG84" i="12"/>
  <c r="AF84" i="12"/>
  <c r="AJ84" i="12"/>
  <c r="J84" i="18" s="1"/>
  <c r="AG80" i="12"/>
  <c r="AJ80" i="12"/>
  <c r="J80" i="18" s="1"/>
  <c r="AG76" i="12"/>
  <c r="AF76" i="12"/>
  <c r="AJ76" i="12"/>
  <c r="J76" i="18" s="1"/>
  <c r="AG72" i="12"/>
  <c r="AF72" i="12"/>
  <c r="AJ72" i="12"/>
  <c r="J72" i="18" s="1"/>
  <c r="AG68" i="12"/>
  <c r="AJ68" i="12"/>
  <c r="J68" i="18" s="1"/>
  <c r="AG124" i="12"/>
  <c r="AF124" i="12"/>
  <c r="AJ124" i="12"/>
  <c r="J124" i="18" s="1"/>
  <c r="AG120" i="12"/>
  <c r="AF120" i="12"/>
  <c r="AJ120" i="12"/>
  <c r="J120" i="18" s="1"/>
  <c r="AG116" i="12"/>
  <c r="AJ116" i="12"/>
  <c r="J116" i="18" s="1"/>
  <c r="AG112" i="12"/>
  <c r="AF112" i="12"/>
  <c r="AJ112" i="12"/>
  <c r="J112" i="18" s="1"/>
  <c r="AG108" i="12"/>
  <c r="AF108" i="12"/>
  <c r="AJ108" i="12"/>
  <c r="J108" i="18" s="1"/>
  <c r="AG104" i="12"/>
  <c r="AF104" i="12"/>
  <c r="AJ104" i="12"/>
  <c r="J104" i="18" s="1"/>
  <c r="AG159" i="12"/>
  <c r="AJ159" i="12"/>
  <c r="J159" i="18" s="1"/>
  <c r="AF159" i="12"/>
  <c r="AG155" i="12"/>
  <c r="AJ155" i="12"/>
  <c r="J155" i="18" s="1"/>
  <c r="AF155" i="12"/>
  <c r="AG151" i="12"/>
  <c r="AJ151" i="12"/>
  <c r="J151" i="18" s="1"/>
  <c r="AF151" i="12"/>
  <c r="AG147" i="12"/>
  <c r="AF147" i="12"/>
  <c r="AJ147" i="12"/>
  <c r="J147" i="18" s="1"/>
  <c r="AG143" i="12"/>
  <c r="AJ143" i="12"/>
  <c r="J143" i="18" s="1"/>
  <c r="AF143" i="12"/>
  <c r="AF139" i="12"/>
  <c r="AG139" i="12"/>
  <c r="AJ139" i="12"/>
  <c r="J139" i="18" s="1"/>
  <c r="AG135" i="12"/>
  <c r="AF135" i="12"/>
  <c r="AJ135" i="12"/>
  <c r="J135" i="18" s="1"/>
  <c r="AG131" i="12"/>
  <c r="AF131" i="12"/>
  <c r="AJ131" i="12"/>
  <c r="J131" i="18" s="1"/>
  <c r="AG184" i="12"/>
  <c r="AF184" i="12"/>
  <c r="AJ184" i="12"/>
  <c r="J184" i="18" s="1"/>
  <c r="AG180" i="12"/>
  <c r="AF180" i="12"/>
  <c r="AJ180" i="12"/>
  <c r="J180" i="18" s="1"/>
  <c r="AG176" i="12"/>
  <c r="AF176" i="12"/>
  <c r="AJ176" i="12"/>
  <c r="J176" i="18" s="1"/>
  <c r="AG172" i="12"/>
  <c r="AF172" i="12"/>
  <c r="AJ172" i="12"/>
  <c r="J172" i="18" s="1"/>
  <c r="AG168" i="12"/>
  <c r="AF168" i="12"/>
  <c r="AJ168" i="12"/>
  <c r="J168" i="18" s="1"/>
  <c r="AG164" i="12"/>
  <c r="AF164" i="12"/>
  <c r="AJ164" i="12"/>
  <c r="J164" i="18" s="1"/>
  <c r="AG3" i="12"/>
  <c r="AJ3" i="12"/>
  <c r="J3" i="18" s="1"/>
  <c r="AG37" i="12"/>
  <c r="AF37" i="12"/>
  <c r="AJ37" i="12"/>
  <c r="J37" i="18" s="1"/>
  <c r="AF33" i="12"/>
  <c r="AG33" i="12"/>
  <c r="AJ33" i="12"/>
  <c r="J33" i="18" s="1"/>
  <c r="AF29" i="12"/>
  <c r="AG29" i="12"/>
  <c r="AJ29" i="12"/>
  <c r="J29" i="18" s="1"/>
  <c r="AG25" i="12"/>
  <c r="AJ25" i="12"/>
  <c r="J25" i="18" s="1"/>
  <c r="AG21" i="12"/>
  <c r="AF21" i="12"/>
  <c r="AJ21" i="12"/>
  <c r="J21" i="18" s="1"/>
  <c r="AG17" i="12"/>
  <c r="AF17" i="12"/>
  <c r="AJ17" i="12"/>
  <c r="J17" i="18" s="1"/>
  <c r="AG13" i="12"/>
  <c r="AF13" i="12"/>
  <c r="AJ13" i="12"/>
  <c r="J13" i="18" s="1"/>
  <c r="AG9" i="12"/>
  <c r="AF9" i="12"/>
  <c r="AJ9" i="12"/>
  <c r="J9" i="18" s="1"/>
  <c r="AG5" i="12"/>
  <c r="AF5" i="12"/>
  <c r="AJ5" i="12"/>
  <c r="J5" i="18" s="1"/>
  <c r="AG65" i="12"/>
  <c r="AF65" i="12"/>
  <c r="AJ65" i="12"/>
  <c r="J65" i="18" s="1"/>
  <c r="AF61" i="12"/>
  <c r="AG61" i="12"/>
  <c r="AJ61" i="12"/>
  <c r="J61" i="18" s="1"/>
  <c r="AG57" i="12"/>
  <c r="AJ57" i="12"/>
  <c r="J57" i="18" s="1"/>
  <c r="AG53" i="12"/>
  <c r="AF53" i="12"/>
  <c r="AJ53" i="12"/>
  <c r="J53" i="18" s="1"/>
  <c r="AG49" i="12"/>
  <c r="AF49" i="12"/>
  <c r="AJ49" i="12"/>
  <c r="J49" i="18" s="1"/>
  <c r="AG45" i="12"/>
  <c r="AF45" i="12"/>
  <c r="AJ45" i="12"/>
  <c r="J45" i="18" s="1"/>
  <c r="AG41" i="12"/>
  <c r="AF41" i="12"/>
  <c r="AJ41" i="12"/>
  <c r="J41" i="18" s="1"/>
  <c r="AG99" i="12"/>
  <c r="AJ99" i="12"/>
  <c r="J99" i="18" s="1"/>
  <c r="AF99" i="12"/>
  <c r="AG95" i="12"/>
  <c r="AJ95" i="12"/>
  <c r="J95" i="18" s="1"/>
  <c r="AF95" i="12"/>
  <c r="AG91" i="12"/>
  <c r="AJ91" i="12"/>
  <c r="J91" i="18" s="1"/>
  <c r="AG87" i="12"/>
  <c r="AF87" i="12"/>
  <c r="AJ87" i="12"/>
  <c r="J87" i="18" s="1"/>
  <c r="AG83" i="12"/>
  <c r="AF83" i="12"/>
  <c r="AJ83" i="12"/>
  <c r="J83" i="18" s="1"/>
  <c r="AG79" i="12"/>
  <c r="AJ79" i="12"/>
  <c r="J79" i="18" s="1"/>
  <c r="AG75" i="12"/>
  <c r="AF75" i="12"/>
  <c r="AJ75" i="12"/>
  <c r="J75" i="18" s="1"/>
  <c r="AF71" i="12"/>
  <c r="AG71" i="12"/>
  <c r="AJ71" i="12"/>
  <c r="J71" i="18" s="1"/>
  <c r="AG127" i="12"/>
  <c r="AF127" i="12"/>
  <c r="AJ127" i="12"/>
  <c r="J127" i="18" s="1"/>
  <c r="AG123" i="12"/>
  <c r="AF123" i="12"/>
  <c r="AJ123" i="12"/>
  <c r="J123" i="18" s="1"/>
  <c r="AF119" i="12"/>
  <c r="AG119" i="12"/>
  <c r="AJ119" i="12"/>
  <c r="J119" i="18" s="1"/>
  <c r="AG115" i="12"/>
  <c r="AJ115" i="12"/>
  <c r="J115" i="18" s="1"/>
  <c r="AF115" i="12"/>
  <c r="AG111" i="12"/>
  <c r="AF111" i="12"/>
  <c r="AJ111" i="12"/>
  <c r="J111" i="18" s="1"/>
  <c r="AG107" i="12"/>
  <c r="AJ107" i="12"/>
  <c r="J107" i="18" s="1"/>
  <c r="AF107" i="12"/>
  <c r="AF103" i="12"/>
  <c r="AG103" i="12"/>
  <c r="AJ103" i="12"/>
  <c r="J103" i="18" s="1"/>
  <c r="AF158" i="12"/>
  <c r="AG158" i="12"/>
  <c r="AJ158" i="12"/>
  <c r="J158" i="18" s="1"/>
  <c r="AF154" i="12"/>
  <c r="AG154" i="12"/>
  <c r="AJ154" i="12"/>
  <c r="J154" i="18" s="1"/>
  <c r="AF150" i="12"/>
  <c r="AG150" i="12"/>
  <c r="AJ150" i="12"/>
  <c r="J150" i="18" s="1"/>
  <c r="AF146" i="12"/>
  <c r="AG146" i="12"/>
  <c r="AJ146" i="12"/>
  <c r="J146" i="18" s="1"/>
  <c r="AF142" i="12"/>
  <c r="AG142" i="12"/>
  <c r="AJ142" i="12"/>
  <c r="J142" i="18" s="1"/>
  <c r="AG138" i="12"/>
  <c r="AJ138" i="12"/>
  <c r="J138" i="18" s="1"/>
  <c r="AG134" i="12"/>
  <c r="AF134" i="12"/>
  <c r="AJ134" i="12"/>
  <c r="J134" i="18" s="1"/>
  <c r="AG130" i="12"/>
  <c r="AF130" i="12"/>
  <c r="AJ130" i="12"/>
  <c r="J130" i="18" s="1"/>
  <c r="AG183" i="12"/>
  <c r="AF183" i="12"/>
  <c r="AJ183" i="12"/>
  <c r="J183" i="18" s="1"/>
  <c r="AG179" i="12"/>
  <c r="AF179" i="12"/>
  <c r="AJ179" i="12"/>
  <c r="J179" i="18" s="1"/>
  <c r="AG175" i="12"/>
  <c r="AF175" i="12"/>
  <c r="AJ175" i="12"/>
  <c r="J175" i="18" s="1"/>
  <c r="AG171" i="12"/>
  <c r="AJ171" i="12"/>
  <c r="J171" i="18" s="1"/>
  <c r="AF171" i="12"/>
  <c r="AG167" i="12"/>
  <c r="AJ167" i="12"/>
  <c r="J167" i="18" s="1"/>
  <c r="AF167" i="12"/>
  <c r="AG163" i="12"/>
  <c r="AF163" i="12"/>
  <c r="AJ163" i="12"/>
  <c r="J163" i="18" s="1"/>
  <c r="A184" i="18"/>
  <c r="E192" i="18"/>
  <c r="E191" i="18"/>
  <c r="E185" i="18"/>
  <c r="E189" i="18"/>
  <c r="E188" i="18"/>
  <c r="E190" i="18"/>
  <c r="E187" i="18"/>
  <c r="BI5" i="15"/>
  <c r="BP5" i="15"/>
  <c r="BL5" i="15"/>
  <c r="BO5" i="15"/>
  <c r="BN5" i="15"/>
  <c r="BH5" i="15"/>
  <c r="BK5" i="15"/>
  <c r="BJ5" i="15"/>
  <c r="BM5" i="15"/>
  <c r="BG5" i="15"/>
  <c r="BF5" i="15"/>
  <c r="W186" i="12"/>
  <c r="C186" i="18"/>
  <c r="C189" i="18"/>
  <c r="W189" i="12"/>
  <c r="W188" i="12"/>
  <c r="C188" i="18"/>
  <c r="C185" i="18"/>
  <c r="W185" i="12"/>
  <c r="A2" i="18"/>
  <c r="U2" i="18" s="1"/>
  <c r="K2" i="12"/>
  <c r="E2" i="18" s="1"/>
  <c r="A36" i="18"/>
  <c r="C36" i="12"/>
  <c r="L36" i="12"/>
  <c r="D36" i="12"/>
  <c r="F36" i="12"/>
  <c r="E36" i="12"/>
  <c r="B36" i="12"/>
  <c r="K36" i="12"/>
  <c r="E36" i="18" s="1"/>
  <c r="I36" i="12"/>
  <c r="D36" i="18" s="1"/>
  <c r="A32" i="18"/>
  <c r="C32" i="12"/>
  <c r="L32" i="12"/>
  <c r="D32" i="12"/>
  <c r="B32" i="12"/>
  <c r="F32" i="12" s="1"/>
  <c r="E32" i="12"/>
  <c r="K32" i="12"/>
  <c r="E32" i="18" s="1"/>
  <c r="I32" i="12"/>
  <c r="D32" i="18" s="1"/>
  <c r="A28" i="18"/>
  <c r="C28" i="12"/>
  <c r="L28" i="12"/>
  <c r="D28" i="12"/>
  <c r="E28" i="12"/>
  <c r="B28" i="12"/>
  <c r="F28" i="12" s="1"/>
  <c r="K28" i="12"/>
  <c r="E28" i="18" s="1"/>
  <c r="I28" i="12"/>
  <c r="D28" i="18" s="1"/>
  <c r="A24" i="18"/>
  <c r="C24" i="12"/>
  <c r="L24" i="12"/>
  <c r="D24" i="12"/>
  <c r="B24" i="12"/>
  <c r="F24" i="12" s="1"/>
  <c r="E24" i="12"/>
  <c r="K24" i="12"/>
  <c r="E24" i="18" s="1"/>
  <c r="I24" i="12"/>
  <c r="D24" i="18" s="1"/>
  <c r="A20" i="18"/>
  <c r="C20" i="12"/>
  <c r="L20" i="12"/>
  <c r="D20" i="12"/>
  <c r="F20" i="12"/>
  <c r="E20" i="12"/>
  <c r="B20" i="12"/>
  <c r="K20" i="12"/>
  <c r="E20" i="18" s="1"/>
  <c r="I20" i="12"/>
  <c r="D20" i="18" s="1"/>
  <c r="A16" i="18"/>
  <c r="C16" i="12"/>
  <c r="L16" i="12"/>
  <c r="D16" i="12"/>
  <c r="B16" i="12"/>
  <c r="F16" i="12" s="1"/>
  <c r="E16" i="12"/>
  <c r="K16" i="12"/>
  <c r="E16" i="18" s="1"/>
  <c r="I16" i="12"/>
  <c r="D16" i="18" s="1"/>
  <c r="A12" i="18"/>
  <c r="C12" i="12"/>
  <c r="L12" i="12"/>
  <c r="D12" i="12"/>
  <c r="E12" i="12"/>
  <c r="B12" i="12"/>
  <c r="F12" i="12" s="1"/>
  <c r="K12" i="12"/>
  <c r="E12" i="18" s="1"/>
  <c r="I12" i="12"/>
  <c r="D12" i="18" s="1"/>
  <c r="A8" i="18"/>
  <c r="C8" i="12"/>
  <c r="L8" i="12"/>
  <c r="D8" i="12"/>
  <c r="B8" i="12"/>
  <c r="F8" i="12" s="1"/>
  <c r="E8" i="12"/>
  <c r="K8" i="12"/>
  <c r="E8" i="18" s="1"/>
  <c r="I8" i="12"/>
  <c r="D8" i="18" s="1"/>
  <c r="A4" i="18"/>
  <c r="C4" i="12"/>
  <c r="L4" i="12"/>
  <c r="D4" i="12"/>
  <c r="E4" i="12"/>
  <c r="B4" i="12"/>
  <c r="F4" i="12" s="1"/>
  <c r="K4" i="12"/>
  <c r="E4" i="18" s="1"/>
  <c r="I4" i="12"/>
  <c r="D4" i="18" s="1"/>
  <c r="A64" i="18"/>
  <c r="C64" i="12"/>
  <c r="L64" i="12"/>
  <c r="D64" i="12"/>
  <c r="B64" i="12"/>
  <c r="F64" i="12" s="1"/>
  <c r="E64" i="12"/>
  <c r="K64" i="12"/>
  <c r="E64" i="18" s="1"/>
  <c r="I64" i="12"/>
  <c r="D64" i="18" s="1"/>
  <c r="A60" i="18"/>
  <c r="C60" i="12"/>
  <c r="L60" i="12"/>
  <c r="D60" i="12"/>
  <c r="E60" i="12"/>
  <c r="B60" i="12"/>
  <c r="F60" i="12" s="1"/>
  <c r="K60" i="12"/>
  <c r="E60" i="18" s="1"/>
  <c r="I60" i="12"/>
  <c r="D60" i="18" s="1"/>
  <c r="A56" i="18"/>
  <c r="C56" i="12"/>
  <c r="L56" i="12"/>
  <c r="D56" i="12"/>
  <c r="B56" i="12"/>
  <c r="F56" i="12" s="1"/>
  <c r="E56" i="12"/>
  <c r="K56" i="12"/>
  <c r="E56" i="18" s="1"/>
  <c r="I56" i="12"/>
  <c r="D56" i="18" s="1"/>
  <c r="A52" i="18"/>
  <c r="C52" i="12"/>
  <c r="L52" i="12"/>
  <c r="D52" i="12"/>
  <c r="E52" i="12"/>
  <c r="B52" i="12"/>
  <c r="F52" i="12" s="1"/>
  <c r="K52" i="12"/>
  <c r="E52" i="18" s="1"/>
  <c r="I52" i="12"/>
  <c r="D52" i="18" s="1"/>
  <c r="A48" i="18"/>
  <c r="C48" i="12"/>
  <c r="L48" i="12"/>
  <c r="D48" i="12"/>
  <c r="B48" i="12"/>
  <c r="F48" i="12" s="1"/>
  <c r="E48" i="12"/>
  <c r="K48" i="12"/>
  <c r="E48" i="18" s="1"/>
  <c r="I48" i="12"/>
  <c r="D48" i="18" s="1"/>
  <c r="A44" i="18"/>
  <c r="C44" i="12"/>
  <c r="L44" i="12"/>
  <c r="D44" i="12"/>
  <c r="E44" i="12"/>
  <c r="B44" i="12"/>
  <c r="F44" i="12" s="1"/>
  <c r="K44" i="12"/>
  <c r="E44" i="18" s="1"/>
  <c r="I44" i="12"/>
  <c r="D44" i="18" s="1"/>
  <c r="A40" i="18"/>
  <c r="C40" i="12"/>
  <c r="L40" i="12"/>
  <c r="D40" i="12"/>
  <c r="B40" i="12"/>
  <c r="F40" i="12" s="1"/>
  <c r="E40" i="12"/>
  <c r="K40" i="12"/>
  <c r="E40" i="18" s="1"/>
  <c r="I40" i="12"/>
  <c r="D40" i="18" s="1"/>
  <c r="A98" i="18"/>
  <c r="L98" i="12"/>
  <c r="B98" i="12"/>
  <c r="F98" i="12" s="1"/>
  <c r="E98" i="12"/>
  <c r="C98" i="12"/>
  <c r="H98" i="12"/>
  <c r="D98" i="12"/>
  <c r="I98" i="12"/>
  <c r="D98" i="18" s="1"/>
  <c r="K98" i="12"/>
  <c r="E98" i="18" s="1"/>
  <c r="A94" i="18"/>
  <c r="L94" i="12"/>
  <c r="B94" i="12"/>
  <c r="F94" i="12" s="1"/>
  <c r="E94" i="12"/>
  <c r="H94" i="12"/>
  <c r="D94" i="12"/>
  <c r="C94" i="12"/>
  <c r="I94" i="12"/>
  <c r="D94" i="18" s="1"/>
  <c r="K94" i="12"/>
  <c r="E94" i="18" s="1"/>
  <c r="A90" i="18"/>
  <c r="L90" i="12"/>
  <c r="B90" i="12"/>
  <c r="F90" i="12" s="1"/>
  <c r="E90" i="12"/>
  <c r="C90" i="12"/>
  <c r="H90" i="12"/>
  <c r="D90" i="12"/>
  <c r="I90" i="12"/>
  <c r="D90" i="18" s="1"/>
  <c r="K90" i="12"/>
  <c r="E90" i="18" s="1"/>
  <c r="A86" i="18"/>
  <c r="L86" i="12"/>
  <c r="B86" i="12"/>
  <c r="E86" i="12"/>
  <c r="D86" i="12"/>
  <c r="C86" i="12"/>
  <c r="I86" i="12"/>
  <c r="D86" i="18" s="1"/>
  <c r="F86" i="12"/>
  <c r="K86" i="12"/>
  <c r="E86" i="18" s="1"/>
  <c r="A82" i="18"/>
  <c r="L82" i="12"/>
  <c r="B82" i="12"/>
  <c r="F82" i="12" s="1"/>
  <c r="E82" i="12"/>
  <c r="C82" i="12"/>
  <c r="D82" i="12"/>
  <c r="I82" i="12"/>
  <c r="D82" i="18" s="1"/>
  <c r="K82" i="12"/>
  <c r="E82" i="18" s="1"/>
  <c r="A78" i="18"/>
  <c r="L78" i="12"/>
  <c r="B78" i="12"/>
  <c r="F78" i="12" s="1"/>
  <c r="E78" i="12"/>
  <c r="D78" i="12"/>
  <c r="C78" i="12"/>
  <c r="I78" i="12"/>
  <c r="D78" i="18" s="1"/>
  <c r="K78" i="12"/>
  <c r="E78" i="18" s="1"/>
  <c r="L74" i="12"/>
  <c r="B74" i="12"/>
  <c r="E74" i="12"/>
  <c r="C74" i="12"/>
  <c r="D74" i="12"/>
  <c r="I74" i="12"/>
  <c r="D74" i="18" s="1"/>
  <c r="F74" i="12"/>
  <c r="K74" i="12"/>
  <c r="E74" i="18" s="1"/>
  <c r="A70" i="18"/>
  <c r="L70" i="12"/>
  <c r="B70" i="12"/>
  <c r="F70" i="12" s="1"/>
  <c r="E70" i="12"/>
  <c r="D70" i="12"/>
  <c r="C70" i="12"/>
  <c r="I70" i="12"/>
  <c r="D70" i="18" s="1"/>
  <c r="K70" i="12"/>
  <c r="E70" i="18" s="1"/>
  <c r="A126" i="18"/>
  <c r="L126" i="12"/>
  <c r="B126" i="12"/>
  <c r="E126" i="12"/>
  <c r="H126" i="12"/>
  <c r="D126" i="12"/>
  <c r="C126" i="12"/>
  <c r="F126" i="12"/>
  <c r="I126" i="12"/>
  <c r="D126" i="18" s="1"/>
  <c r="K126" i="12"/>
  <c r="E126" i="18" s="1"/>
  <c r="A122" i="18"/>
  <c r="L122" i="12"/>
  <c r="B122" i="12"/>
  <c r="F122" i="12" s="1"/>
  <c r="E122" i="12"/>
  <c r="C122" i="12"/>
  <c r="H122" i="12"/>
  <c r="D122" i="12"/>
  <c r="I122" i="12"/>
  <c r="D122" i="18" s="1"/>
  <c r="K122" i="12"/>
  <c r="E122" i="18" s="1"/>
  <c r="A118" i="18"/>
  <c r="L118" i="12"/>
  <c r="B118" i="12"/>
  <c r="E118" i="12"/>
  <c r="H118" i="12"/>
  <c r="D118" i="12"/>
  <c r="C118" i="12"/>
  <c r="F118" i="12"/>
  <c r="I118" i="12"/>
  <c r="D118" i="18" s="1"/>
  <c r="K118" i="12"/>
  <c r="E118" i="18" s="1"/>
  <c r="A114" i="18"/>
  <c r="L114" i="12"/>
  <c r="B114" i="12"/>
  <c r="E114" i="12"/>
  <c r="C114" i="12"/>
  <c r="H114" i="12"/>
  <c r="D114" i="12"/>
  <c r="I114" i="12"/>
  <c r="D114" i="18" s="1"/>
  <c r="F114" i="12"/>
  <c r="K114" i="12"/>
  <c r="E114" i="18" s="1"/>
  <c r="A110" i="18"/>
  <c r="L110" i="12"/>
  <c r="B110" i="12"/>
  <c r="E110" i="12"/>
  <c r="H110" i="12"/>
  <c r="D110" i="12"/>
  <c r="C110" i="12"/>
  <c r="F110" i="12"/>
  <c r="I110" i="12"/>
  <c r="D110" i="18" s="1"/>
  <c r="K110" i="12"/>
  <c r="E110" i="18" s="1"/>
  <c r="A106" i="18"/>
  <c r="L106" i="12"/>
  <c r="B106" i="12"/>
  <c r="E106" i="12"/>
  <c r="C106" i="12"/>
  <c r="H106" i="12"/>
  <c r="D106" i="12"/>
  <c r="I106" i="12"/>
  <c r="D106" i="18" s="1"/>
  <c r="F106" i="12"/>
  <c r="K106" i="12"/>
  <c r="E106" i="18" s="1"/>
  <c r="A102" i="18"/>
  <c r="L102" i="12"/>
  <c r="B102" i="12"/>
  <c r="F102" i="12" s="1"/>
  <c r="E102" i="12"/>
  <c r="H102" i="12"/>
  <c r="D102" i="12"/>
  <c r="C102" i="12"/>
  <c r="I102" i="12"/>
  <c r="D102" i="18" s="1"/>
  <c r="K102" i="12"/>
  <c r="E102" i="18" s="1"/>
  <c r="L157" i="12"/>
  <c r="C157" i="12"/>
  <c r="B157" i="12"/>
  <c r="F157" i="12" s="1"/>
  <c r="D157" i="12"/>
  <c r="E157" i="12"/>
  <c r="I157" i="12"/>
  <c r="D157" i="18" s="1"/>
  <c r="K157" i="12"/>
  <c r="E157" i="18" s="1"/>
  <c r="H157" i="12"/>
  <c r="A153" i="18"/>
  <c r="L153" i="12"/>
  <c r="C153" i="12"/>
  <c r="H153" i="12"/>
  <c r="D153" i="12"/>
  <c r="B153" i="12"/>
  <c r="F153" i="12" s="1"/>
  <c r="E153" i="12"/>
  <c r="I153" i="12"/>
  <c r="D153" i="18" s="1"/>
  <c r="K153" i="12"/>
  <c r="E153" i="18" s="1"/>
  <c r="A149" i="18"/>
  <c r="L149" i="12"/>
  <c r="C149" i="12"/>
  <c r="B149" i="12"/>
  <c r="F149" i="12" s="1"/>
  <c r="H149" i="12"/>
  <c r="D149" i="12"/>
  <c r="E149" i="12"/>
  <c r="I149" i="12"/>
  <c r="D149" i="18" s="1"/>
  <c r="K149" i="12"/>
  <c r="E149" i="18" s="1"/>
  <c r="A145" i="18"/>
  <c r="L145" i="12"/>
  <c r="C145" i="12"/>
  <c r="H145" i="12"/>
  <c r="D145" i="12"/>
  <c r="B145" i="12"/>
  <c r="F145" i="12" s="1"/>
  <c r="E145" i="12"/>
  <c r="I145" i="12"/>
  <c r="D145" i="18" s="1"/>
  <c r="K145" i="12"/>
  <c r="E145" i="18" s="1"/>
  <c r="A141" i="18"/>
  <c r="L141" i="12"/>
  <c r="C141" i="12"/>
  <c r="B141" i="12"/>
  <c r="H141" i="12"/>
  <c r="D141" i="12"/>
  <c r="F141" i="12"/>
  <c r="E141" i="12"/>
  <c r="I141" i="12"/>
  <c r="D141" i="18" s="1"/>
  <c r="K141" i="12"/>
  <c r="E141" i="18" s="1"/>
  <c r="A137" i="18"/>
  <c r="L137" i="12"/>
  <c r="C137" i="12"/>
  <c r="H137" i="12"/>
  <c r="D137" i="12"/>
  <c r="F137" i="12"/>
  <c r="B137" i="12"/>
  <c r="E137" i="12"/>
  <c r="I137" i="12"/>
  <c r="D137" i="18" s="1"/>
  <c r="K137" i="12"/>
  <c r="E137" i="18" s="1"/>
  <c r="A133" i="18"/>
  <c r="L133" i="12"/>
  <c r="C133" i="12"/>
  <c r="B133" i="12"/>
  <c r="F133" i="12" s="1"/>
  <c r="H133" i="12"/>
  <c r="D133" i="12"/>
  <c r="E133" i="12"/>
  <c r="I133" i="12"/>
  <c r="D133" i="18" s="1"/>
  <c r="K133" i="12"/>
  <c r="E133" i="18" s="1"/>
  <c r="A129" i="18"/>
  <c r="L129" i="12"/>
  <c r="C129" i="12"/>
  <c r="H129" i="12"/>
  <c r="D129" i="12"/>
  <c r="B129" i="12"/>
  <c r="F129" i="12" s="1"/>
  <c r="E129" i="12"/>
  <c r="I129" i="12"/>
  <c r="D129" i="18" s="1"/>
  <c r="K129" i="12"/>
  <c r="E129" i="18" s="1"/>
  <c r="B182" i="12"/>
  <c r="F182" i="12" s="1"/>
  <c r="E182" i="12"/>
  <c r="L182" i="12"/>
  <c r="D182" i="12"/>
  <c r="C182" i="12"/>
  <c r="I182" i="12"/>
  <c r="D182" i="18" s="1"/>
  <c r="H182" i="12"/>
  <c r="K182" i="12"/>
  <c r="B178" i="12"/>
  <c r="E178" i="12"/>
  <c r="C178" i="12"/>
  <c r="D178" i="12"/>
  <c r="L178" i="12"/>
  <c r="I178" i="12"/>
  <c r="D178" i="18" s="1"/>
  <c r="F178" i="12"/>
  <c r="H178" i="12"/>
  <c r="K178" i="12"/>
  <c r="B174" i="12"/>
  <c r="F174" i="12" s="1"/>
  <c r="E174" i="12"/>
  <c r="L174" i="12"/>
  <c r="D174" i="12"/>
  <c r="C174" i="12"/>
  <c r="I174" i="12"/>
  <c r="D174" i="18" s="1"/>
  <c r="H174" i="12"/>
  <c r="K174" i="12"/>
  <c r="B170" i="12"/>
  <c r="F170" i="12" s="1"/>
  <c r="E170" i="12"/>
  <c r="C170" i="12"/>
  <c r="D170" i="12"/>
  <c r="L170" i="12"/>
  <c r="I170" i="12"/>
  <c r="D170" i="18" s="1"/>
  <c r="H170" i="12"/>
  <c r="K170" i="12"/>
  <c r="E170" i="18" s="1"/>
  <c r="B166" i="12"/>
  <c r="F166" i="12" s="1"/>
  <c r="E166" i="12"/>
  <c r="L166" i="12"/>
  <c r="D166" i="12"/>
  <c r="C166" i="12"/>
  <c r="I166" i="12"/>
  <c r="D166" i="18" s="1"/>
  <c r="H166" i="12"/>
  <c r="K166" i="12"/>
  <c r="E166" i="18" s="1"/>
  <c r="B162" i="12"/>
  <c r="F162" i="12" s="1"/>
  <c r="E162" i="12"/>
  <c r="L162" i="12"/>
  <c r="C162" i="12"/>
  <c r="D162" i="12"/>
  <c r="I162" i="12"/>
  <c r="D162" i="18" s="1"/>
  <c r="H162" i="12"/>
  <c r="K162" i="12"/>
  <c r="E162" i="18" s="1"/>
  <c r="W192" i="12"/>
  <c r="C192" i="18"/>
  <c r="C187" i="10"/>
  <c r="C184" i="10"/>
  <c r="C190" i="18"/>
  <c r="W190" i="12"/>
  <c r="Y187" i="12"/>
  <c r="B187" i="18" s="1"/>
  <c r="C186" i="10"/>
  <c r="C191" i="18"/>
  <c r="W191" i="12"/>
  <c r="A39" i="18"/>
  <c r="B39" i="12"/>
  <c r="F39" i="12" s="1"/>
  <c r="L39" i="12"/>
  <c r="C39" i="12"/>
  <c r="E39" i="12"/>
  <c r="D39" i="12"/>
  <c r="I39" i="12"/>
  <c r="D39" i="18" s="1"/>
  <c r="K39" i="12"/>
  <c r="E39" i="18" s="1"/>
  <c r="A35" i="18"/>
  <c r="L35" i="12"/>
  <c r="B35" i="12"/>
  <c r="F35" i="12" s="1"/>
  <c r="E35" i="12"/>
  <c r="C35" i="12"/>
  <c r="D35" i="12"/>
  <c r="I35" i="12"/>
  <c r="D35" i="18" s="1"/>
  <c r="K35" i="12"/>
  <c r="E35" i="18" s="1"/>
  <c r="A31" i="18"/>
  <c r="B31" i="12"/>
  <c r="F31" i="12" s="1"/>
  <c r="L31" i="12"/>
  <c r="C31" i="12"/>
  <c r="E31" i="12"/>
  <c r="D31" i="12"/>
  <c r="I31" i="12"/>
  <c r="D31" i="18" s="1"/>
  <c r="K31" i="12"/>
  <c r="E31" i="18" s="1"/>
  <c r="A27" i="18"/>
  <c r="L27" i="12"/>
  <c r="B27" i="12"/>
  <c r="F27" i="12" s="1"/>
  <c r="E27" i="12"/>
  <c r="C27" i="12"/>
  <c r="D27" i="12"/>
  <c r="I27" i="12"/>
  <c r="D27" i="18" s="1"/>
  <c r="K27" i="12"/>
  <c r="E27" i="18" s="1"/>
  <c r="A23" i="18"/>
  <c r="B23" i="12"/>
  <c r="F23" i="12" s="1"/>
  <c r="L23" i="12"/>
  <c r="C23" i="12"/>
  <c r="E23" i="12"/>
  <c r="D23" i="12"/>
  <c r="I23" i="12"/>
  <c r="D23" i="18" s="1"/>
  <c r="K23" i="12"/>
  <c r="E23" i="18" s="1"/>
  <c r="A19" i="18"/>
  <c r="L19" i="12"/>
  <c r="B19" i="12"/>
  <c r="F19" i="12" s="1"/>
  <c r="E19" i="12"/>
  <c r="C19" i="12"/>
  <c r="D19" i="12"/>
  <c r="I19" i="12"/>
  <c r="D19" i="18" s="1"/>
  <c r="K19" i="12"/>
  <c r="E19" i="18" s="1"/>
  <c r="A15" i="18"/>
  <c r="B15" i="12"/>
  <c r="F15" i="12" s="1"/>
  <c r="L15" i="12"/>
  <c r="C15" i="12"/>
  <c r="E15" i="12"/>
  <c r="D15" i="12"/>
  <c r="I15" i="12"/>
  <c r="D15" i="18" s="1"/>
  <c r="K15" i="12"/>
  <c r="E15" i="18" s="1"/>
  <c r="A11" i="18"/>
  <c r="L11" i="12"/>
  <c r="B11" i="12"/>
  <c r="F11" i="12" s="1"/>
  <c r="E11" i="12"/>
  <c r="C11" i="12"/>
  <c r="D11" i="12"/>
  <c r="I11" i="12"/>
  <c r="D11" i="18" s="1"/>
  <c r="K11" i="12"/>
  <c r="E11" i="18" s="1"/>
  <c r="A7" i="18"/>
  <c r="B7" i="12"/>
  <c r="F7" i="12" s="1"/>
  <c r="L7" i="12"/>
  <c r="C7" i="12"/>
  <c r="E7" i="12"/>
  <c r="D7" i="12"/>
  <c r="I7" i="12"/>
  <c r="D7" i="18" s="1"/>
  <c r="K7" i="12"/>
  <c r="E7" i="18" s="1"/>
  <c r="A67" i="18"/>
  <c r="L67" i="12"/>
  <c r="B67" i="12"/>
  <c r="E67" i="12"/>
  <c r="C67" i="12"/>
  <c r="D67" i="12"/>
  <c r="F67" i="12"/>
  <c r="I67" i="12"/>
  <c r="D67" i="18" s="1"/>
  <c r="K67" i="12"/>
  <c r="E67" i="18" s="1"/>
  <c r="A63" i="18"/>
  <c r="B63" i="12"/>
  <c r="L63" i="12"/>
  <c r="C63" i="12"/>
  <c r="E63" i="12"/>
  <c r="D63" i="12"/>
  <c r="F63" i="12"/>
  <c r="I63" i="12"/>
  <c r="D63" i="18" s="1"/>
  <c r="K63" i="12"/>
  <c r="E63" i="18" s="1"/>
  <c r="A59" i="18"/>
  <c r="L59" i="12"/>
  <c r="B59" i="12"/>
  <c r="F59" i="12" s="1"/>
  <c r="E59" i="12"/>
  <c r="C59" i="12"/>
  <c r="D59" i="12"/>
  <c r="I59" i="12"/>
  <c r="D59" i="18" s="1"/>
  <c r="K59" i="12"/>
  <c r="E59" i="18" s="1"/>
  <c r="A55" i="18"/>
  <c r="B55" i="12"/>
  <c r="F55" i="12" s="1"/>
  <c r="L55" i="12"/>
  <c r="C55" i="12"/>
  <c r="E55" i="12"/>
  <c r="D55" i="12"/>
  <c r="I55" i="12"/>
  <c r="D55" i="18" s="1"/>
  <c r="K55" i="12"/>
  <c r="E55" i="18" s="1"/>
  <c r="A51" i="18"/>
  <c r="L51" i="12"/>
  <c r="B51" i="12"/>
  <c r="F51" i="12" s="1"/>
  <c r="E51" i="12"/>
  <c r="C51" i="12"/>
  <c r="D51" i="12"/>
  <c r="I51" i="12"/>
  <c r="D51" i="18" s="1"/>
  <c r="K51" i="12"/>
  <c r="E51" i="18" s="1"/>
  <c r="A47" i="18"/>
  <c r="B47" i="12"/>
  <c r="F47" i="12" s="1"/>
  <c r="L47" i="12"/>
  <c r="C47" i="12"/>
  <c r="E47" i="12"/>
  <c r="D47" i="12"/>
  <c r="I47" i="12"/>
  <c r="D47" i="18" s="1"/>
  <c r="K47" i="12"/>
  <c r="E47" i="18" s="1"/>
  <c r="A43" i="18"/>
  <c r="L43" i="12"/>
  <c r="B43" i="12"/>
  <c r="F43" i="12" s="1"/>
  <c r="E43" i="12"/>
  <c r="C43" i="12"/>
  <c r="D43" i="12"/>
  <c r="I43" i="12"/>
  <c r="D43" i="18" s="1"/>
  <c r="K43" i="12"/>
  <c r="E43" i="18" s="1"/>
  <c r="A101" i="18"/>
  <c r="L101" i="12"/>
  <c r="C101" i="12"/>
  <c r="B101" i="12"/>
  <c r="F101" i="12" s="1"/>
  <c r="H101" i="12"/>
  <c r="D101" i="12"/>
  <c r="E101" i="12"/>
  <c r="I101" i="12"/>
  <c r="D101" i="18" s="1"/>
  <c r="K101" i="12"/>
  <c r="E101" i="18" s="1"/>
  <c r="A97" i="18"/>
  <c r="L97" i="12"/>
  <c r="C97" i="12"/>
  <c r="H97" i="12"/>
  <c r="D97" i="12"/>
  <c r="B97" i="12"/>
  <c r="F97" i="12" s="1"/>
  <c r="E97" i="12"/>
  <c r="I97" i="12"/>
  <c r="D97" i="18" s="1"/>
  <c r="K97" i="12"/>
  <c r="E97" i="18" s="1"/>
  <c r="A93" i="18"/>
  <c r="L93" i="12"/>
  <c r="C93" i="12"/>
  <c r="B93" i="12"/>
  <c r="F93" i="12" s="1"/>
  <c r="H93" i="12"/>
  <c r="D93" i="12"/>
  <c r="E93" i="12"/>
  <c r="I93" i="12"/>
  <c r="D93" i="18" s="1"/>
  <c r="K93" i="12"/>
  <c r="E93" i="18" s="1"/>
  <c r="A89" i="18"/>
  <c r="L89" i="12"/>
  <c r="C89" i="12"/>
  <c r="H89" i="12"/>
  <c r="D89" i="12"/>
  <c r="B89" i="12"/>
  <c r="F89" i="12" s="1"/>
  <c r="E89" i="12"/>
  <c r="I89" i="12"/>
  <c r="D89" i="18" s="1"/>
  <c r="K89" i="12"/>
  <c r="E89" i="18" s="1"/>
  <c r="A85" i="18"/>
  <c r="L85" i="12"/>
  <c r="C85" i="12"/>
  <c r="B85" i="12"/>
  <c r="F85" i="12" s="1"/>
  <c r="D85" i="12"/>
  <c r="E85" i="12"/>
  <c r="I85" i="12"/>
  <c r="D85" i="18" s="1"/>
  <c r="K85" i="12"/>
  <c r="E85" i="18" s="1"/>
  <c r="A81" i="18"/>
  <c r="L81" i="12"/>
  <c r="C81" i="12"/>
  <c r="D81" i="12"/>
  <c r="B81" i="12"/>
  <c r="F81" i="12" s="1"/>
  <c r="E81" i="12"/>
  <c r="I81" i="12"/>
  <c r="D81" i="18" s="1"/>
  <c r="K81" i="12"/>
  <c r="E81" i="18" s="1"/>
  <c r="A77" i="18"/>
  <c r="L77" i="12"/>
  <c r="C77" i="12"/>
  <c r="B77" i="12"/>
  <c r="F77" i="12" s="1"/>
  <c r="D77" i="12"/>
  <c r="E77" i="12"/>
  <c r="I77" i="12"/>
  <c r="D77" i="18" s="1"/>
  <c r="K77" i="12"/>
  <c r="E77" i="18" s="1"/>
  <c r="A73" i="18"/>
  <c r="L73" i="12"/>
  <c r="C73" i="12"/>
  <c r="D73" i="12"/>
  <c r="B73" i="12"/>
  <c r="F73" i="12" s="1"/>
  <c r="E73" i="12"/>
  <c r="I73" i="12"/>
  <c r="D73" i="18" s="1"/>
  <c r="K73" i="12"/>
  <c r="E73" i="18" s="1"/>
  <c r="A69" i="18"/>
  <c r="L69" i="12"/>
  <c r="C69" i="12"/>
  <c r="B69" i="12"/>
  <c r="D69" i="12"/>
  <c r="F69" i="12"/>
  <c r="E69" i="12"/>
  <c r="I69" i="12"/>
  <c r="D69" i="18" s="1"/>
  <c r="K69" i="12"/>
  <c r="E69" i="18" s="1"/>
  <c r="A125" i="18"/>
  <c r="L125" i="12"/>
  <c r="C125" i="12"/>
  <c r="B125" i="12"/>
  <c r="F125" i="12" s="1"/>
  <c r="H125" i="12"/>
  <c r="D125" i="12"/>
  <c r="E125" i="12"/>
  <c r="I125" i="12"/>
  <c r="D125" i="18" s="1"/>
  <c r="K125" i="12"/>
  <c r="E125" i="18" s="1"/>
  <c r="A121" i="18"/>
  <c r="L121" i="12"/>
  <c r="C121" i="12"/>
  <c r="H121" i="12"/>
  <c r="D121" i="12"/>
  <c r="B121" i="12"/>
  <c r="F121" i="12" s="1"/>
  <c r="E121" i="12"/>
  <c r="I121" i="12"/>
  <c r="D121" i="18" s="1"/>
  <c r="K121" i="12"/>
  <c r="E121" i="18" s="1"/>
  <c r="A117" i="18"/>
  <c r="L117" i="12"/>
  <c r="C117" i="12"/>
  <c r="B117" i="12"/>
  <c r="F117" i="12" s="1"/>
  <c r="H117" i="12"/>
  <c r="D117" i="12"/>
  <c r="E117" i="12"/>
  <c r="I117" i="12"/>
  <c r="D117" i="18" s="1"/>
  <c r="K117" i="12"/>
  <c r="E117" i="18" s="1"/>
  <c r="A113" i="18"/>
  <c r="L113" i="12"/>
  <c r="C113" i="12"/>
  <c r="H113" i="12"/>
  <c r="D113" i="12"/>
  <c r="B113" i="12"/>
  <c r="F113" i="12" s="1"/>
  <c r="E113" i="12"/>
  <c r="I113" i="12"/>
  <c r="D113" i="18" s="1"/>
  <c r="K113" i="12"/>
  <c r="E113" i="18" s="1"/>
  <c r="A109" i="18"/>
  <c r="L109" i="12"/>
  <c r="C109" i="12"/>
  <c r="B109" i="12"/>
  <c r="H109" i="12"/>
  <c r="D109" i="12"/>
  <c r="F109" i="12"/>
  <c r="E109" i="12"/>
  <c r="I109" i="12"/>
  <c r="D109" i="18" s="1"/>
  <c r="K109" i="12"/>
  <c r="E109" i="18" s="1"/>
  <c r="A105" i="18"/>
  <c r="L105" i="12"/>
  <c r="C105" i="12"/>
  <c r="H105" i="12"/>
  <c r="D105" i="12"/>
  <c r="B105" i="12"/>
  <c r="F105" i="12" s="1"/>
  <c r="E105" i="12"/>
  <c r="I105" i="12"/>
  <c r="D105" i="18" s="1"/>
  <c r="K105" i="12"/>
  <c r="E105" i="18" s="1"/>
  <c r="L160" i="12"/>
  <c r="C160" i="12"/>
  <c r="D160" i="12"/>
  <c r="B160" i="12"/>
  <c r="F160" i="12" s="1"/>
  <c r="E160" i="12"/>
  <c r="K160" i="12"/>
  <c r="E160" i="18" s="1"/>
  <c r="H160" i="12"/>
  <c r="I160" i="12"/>
  <c r="D160" i="18" s="1"/>
  <c r="L156" i="12"/>
  <c r="C156" i="12"/>
  <c r="D156" i="12"/>
  <c r="E156" i="12"/>
  <c r="B156" i="12"/>
  <c r="F156" i="12" s="1"/>
  <c r="K156" i="12"/>
  <c r="E156" i="18" s="1"/>
  <c r="H156" i="12"/>
  <c r="I156" i="12"/>
  <c r="D156" i="18" s="1"/>
  <c r="A152" i="18"/>
  <c r="L152" i="12"/>
  <c r="C152" i="12"/>
  <c r="D152" i="12"/>
  <c r="B152" i="12"/>
  <c r="F152" i="12" s="1"/>
  <c r="E152" i="12"/>
  <c r="K152" i="12"/>
  <c r="E152" i="18" s="1"/>
  <c r="H152" i="12"/>
  <c r="I152" i="12"/>
  <c r="D152" i="18" s="1"/>
  <c r="A148" i="18"/>
  <c r="L148" i="12"/>
  <c r="C148" i="12"/>
  <c r="D148" i="12"/>
  <c r="E148" i="12"/>
  <c r="B148" i="12"/>
  <c r="F148" i="12" s="1"/>
  <c r="K148" i="12"/>
  <c r="E148" i="18" s="1"/>
  <c r="H148" i="12"/>
  <c r="I148" i="12"/>
  <c r="D148" i="18" s="1"/>
  <c r="A144" i="18"/>
  <c r="L144" i="12"/>
  <c r="C144" i="12"/>
  <c r="D144" i="12"/>
  <c r="F144" i="12"/>
  <c r="B144" i="12"/>
  <c r="E144" i="12"/>
  <c r="K144" i="12"/>
  <c r="E144" i="18" s="1"/>
  <c r="H144" i="12"/>
  <c r="I144" i="12"/>
  <c r="D144" i="18" s="1"/>
  <c r="A140" i="18"/>
  <c r="L140" i="12"/>
  <c r="C140" i="12"/>
  <c r="D140" i="12"/>
  <c r="E140" i="12"/>
  <c r="B140" i="12"/>
  <c r="F140" i="12" s="1"/>
  <c r="K140" i="12"/>
  <c r="E140" i="18" s="1"/>
  <c r="H140" i="12"/>
  <c r="I140" i="12"/>
  <c r="D140" i="18" s="1"/>
  <c r="A136" i="18"/>
  <c r="C136" i="12"/>
  <c r="L136" i="12"/>
  <c r="D136" i="12"/>
  <c r="B136" i="12"/>
  <c r="F136" i="12" s="1"/>
  <c r="E136" i="12"/>
  <c r="K136" i="12"/>
  <c r="E136" i="18" s="1"/>
  <c r="H136" i="12"/>
  <c r="I136" i="12"/>
  <c r="D136" i="18" s="1"/>
  <c r="A132" i="18"/>
  <c r="C132" i="12"/>
  <c r="L132" i="12"/>
  <c r="D132" i="12"/>
  <c r="E132" i="12"/>
  <c r="B132" i="12"/>
  <c r="F132" i="12" s="1"/>
  <c r="K132" i="12"/>
  <c r="E132" i="18" s="1"/>
  <c r="H132" i="12"/>
  <c r="I132" i="12"/>
  <c r="D132" i="18" s="1"/>
  <c r="A128" i="18"/>
  <c r="C128" i="12"/>
  <c r="L128" i="12"/>
  <c r="D128" i="12"/>
  <c r="F128" i="12"/>
  <c r="B128" i="12"/>
  <c r="E128" i="12"/>
  <c r="K128" i="12"/>
  <c r="E128" i="18" s="1"/>
  <c r="H128" i="12"/>
  <c r="I128" i="12"/>
  <c r="D128" i="18" s="1"/>
  <c r="L181" i="12"/>
  <c r="C181" i="12"/>
  <c r="B181" i="12"/>
  <c r="D181" i="12"/>
  <c r="F181" i="12"/>
  <c r="E181" i="12"/>
  <c r="I181" i="12"/>
  <c r="D181" i="18" s="1"/>
  <c r="K181" i="12"/>
  <c r="H181" i="12"/>
  <c r="L177" i="12"/>
  <c r="C177" i="12"/>
  <c r="D177" i="12"/>
  <c r="B177" i="12"/>
  <c r="F177" i="12" s="1"/>
  <c r="E177" i="12"/>
  <c r="I177" i="12"/>
  <c r="D177" i="18" s="1"/>
  <c r="K177" i="12"/>
  <c r="H177" i="12"/>
  <c r="L173" i="12"/>
  <c r="C173" i="12"/>
  <c r="B173" i="12"/>
  <c r="F173" i="12" s="1"/>
  <c r="D173" i="12"/>
  <c r="E173" i="12"/>
  <c r="I173" i="12"/>
  <c r="D173" i="18" s="1"/>
  <c r="K173" i="12"/>
  <c r="H173" i="12"/>
  <c r="L169" i="12"/>
  <c r="C169" i="12"/>
  <c r="D169" i="12"/>
  <c r="F169" i="12"/>
  <c r="B169" i="12"/>
  <c r="E169" i="12"/>
  <c r="I169" i="12"/>
  <c r="D169" i="18" s="1"/>
  <c r="K169" i="12"/>
  <c r="E169" i="18" s="1"/>
  <c r="H169" i="12"/>
  <c r="L165" i="12"/>
  <c r="C165" i="12"/>
  <c r="B165" i="12"/>
  <c r="F165" i="12" s="1"/>
  <c r="D165" i="12"/>
  <c r="E165" i="12"/>
  <c r="I165" i="12"/>
  <c r="D165" i="18" s="1"/>
  <c r="K165" i="12"/>
  <c r="E165" i="18" s="1"/>
  <c r="H165" i="12"/>
  <c r="L161" i="12"/>
  <c r="C161" i="12"/>
  <c r="D161" i="12"/>
  <c r="B161" i="12"/>
  <c r="F161" i="12" s="1"/>
  <c r="E161" i="12"/>
  <c r="I161" i="12"/>
  <c r="D161" i="18" s="1"/>
  <c r="K161" i="12"/>
  <c r="E161" i="18" s="1"/>
  <c r="H161" i="12"/>
  <c r="Y192" i="12"/>
  <c r="B192" i="18" s="1"/>
  <c r="Y189" i="12"/>
  <c r="B189" i="18" s="1"/>
  <c r="C188" i="10"/>
  <c r="Y186" i="12"/>
  <c r="B186" i="18" s="1"/>
  <c r="Y190" i="12"/>
  <c r="B190" i="18" s="1"/>
  <c r="A38" i="18"/>
  <c r="L38" i="12"/>
  <c r="B38" i="12"/>
  <c r="F38" i="12" s="1"/>
  <c r="E38" i="12"/>
  <c r="D38" i="12"/>
  <c r="C38" i="12"/>
  <c r="I38" i="12"/>
  <c r="D38" i="18" s="1"/>
  <c r="K38" i="12"/>
  <c r="E38" i="18" s="1"/>
  <c r="A34" i="18"/>
  <c r="L34" i="12"/>
  <c r="B34" i="12"/>
  <c r="F34" i="12" s="1"/>
  <c r="E34" i="12"/>
  <c r="C34" i="12"/>
  <c r="D34" i="12"/>
  <c r="I34" i="12"/>
  <c r="D34" i="18" s="1"/>
  <c r="K34" i="12"/>
  <c r="E34" i="18" s="1"/>
  <c r="A30" i="18"/>
  <c r="L30" i="12"/>
  <c r="B30" i="12"/>
  <c r="F30" i="12" s="1"/>
  <c r="E30" i="12"/>
  <c r="D30" i="12"/>
  <c r="C30" i="12"/>
  <c r="I30" i="12"/>
  <c r="D30" i="18" s="1"/>
  <c r="K30" i="12"/>
  <c r="E30" i="18" s="1"/>
  <c r="A26" i="18"/>
  <c r="L26" i="12"/>
  <c r="B26" i="12"/>
  <c r="E26" i="12"/>
  <c r="C26" i="12"/>
  <c r="D26" i="12"/>
  <c r="F26" i="12"/>
  <c r="I26" i="12"/>
  <c r="D26" i="18" s="1"/>
  <c r="K26" i="12"/>
  <c r="E26" i="18" s="1"/>
  <c r="A22" i="18"/>
  <c r="L22" i="12"/>
  <c r="B22" i="12"/>
  <c r="F22" i="12" s="1"/>
  <c r="E22" i="12"/>
  <c r="D22" i="12"/>
  <c r="C22" i="12"/>
  <c r="I22" i="12"/>
  <c r="D22" i="18" s="1"/>
  <c r="K22" i="12"/>
  <c r="E22" i="18" s="1"/>
  <c r="A18" i="18"/>
  <c r="L18" i="12"/>
  <c r="B18" i="12"/>
  <c r="F18" i="12" s="1"/>
  <c r="E18" i="12"/>
  <c r="C18" i="12"/>
  <c r="D18" i="12"/>
  <c r="I18" i="12"/>
  <c r="D18" i="18" s="1"/>
  <c r="K18" i="12"/>
  <c r="E18" i="18" s="1"/>
  <c r="A14" i="18"/>
  <c r="L14" i="12"/>
  <c r="B14" i="12"/>
  <c r="F14" i="12" s="1"/>
  <c r="E14" i="12"/>
  <c r="D14" i="12"/>
  <c r="C14" i="12"/>
  <c r="I14" i="12"/>
  <c r="D14" i="18" s="1"/>
  <c r="K14" i="12"/>
  <c r="E14" i="18" s="1"/>
  <c r="A10" i="18"/>
  <c r="L10" i="12"/>
  <c r="B10" i="12"/>
  <c r="F10" i="12" s="1"/>
  <c r="E10" i="12"/>
  <c r="C10" i="12"/>
  <c r="D10" i="12"/>
  <c r="I10" i="12"/>
  <c r="D10" i="18" s="1"/>
  <c r="K10" i="12"/>
  <c r="E10" i="18" s="1"/>
  <c r="A6" i="18"/>
  <c r="L6" i="12"/>
  <c r="B6" i="12"/>
  <c r="F6" i="12" s="1"/>
  <c r="E6" i="12"/>
  <c r="D6" i="12"/>
  <c r="C6" i="12"/>
  <c r="I6" i="12"/>
  <c r="D6" i="18" s="1"/>
  <c r="K6" i="12"/>
  <c r="E6" i="18" s="1"/>
  <c r="A66" i="18"/>
  <c r="L66" i="12"/>
  <c r="B66" i="12"/>
  <c r="F66" i="12" s="1"/>
  <c r="E66" i="12"/>
  <c r="C66" i="12"/>
  <c r="D66" i="12"/>
  <c r="I66" i="12"/>
  <c r="D66" i="18" s="1"/>
  <c r="K66" i="12"/>
  <c r="E66" i="18" s="1"/>
  <c r="A62" i="18"/>
  <c r="L62" i="12"/>
  <c r="B62" i="12"/>
  <c r="E62" i="12"/>
  <c r="D62" i="12"/>
  <c r="C62" i="12"/>
  <c r="F62" i="12"/>
  <c r="I62" i="12"/>
  <c r="D62" i="18" s="1"/>
  <c r="K62" i="12"/>
  <c r="E62" i="18" s="1"/>
  <c r="A58" i="18"/>
  <c r="L58" i="12"/>
  <c r="B58" i="12"/>
  <c r="E58" i="12"/>
  <c r="C58" i="12"/>
  <c r="D58" i="12"/>
  <c r="I58" i="12"/>
  <c r="D58" i="18" s="1"/>
  <c r="F58" i="12"/>
  <c r="K58" i="12"/>
  <c r="E58" i="18" s="1"/>
  <c r="A54" i="18"/>
  <c r="L54" i="12"/>
  <c r="B54" i="12"/>
  <c r="F54" i="12" s="1"/>
  <c r="E54" i="12"/>
  <c r="D54" i="12"/>
  <c r="C54" i="12"/>
  <c r="I54" i="12"/>
  <c r="D54" i="18" s="1"/>
  <c r="K54" i="12"/>
  <c r="E54" i="18" s="1"/>
  <c r="A50" i="18"/>
  <c r="L50" i="12"/>
  <c r="B50" i="12"/>
  <c r="F50" i="12" s="1"/>
  <c r="E50" i="12"/>
  <c r="C50" i="12"/>
  <c r="D50" i="12"/>
  <c r="I50" i="12"/>
  <c r="D50" i="18" s="1"/>
  <c r="K50" i="12"/>
  <c r="E50" i="18" s="1"/>
  <c r="A46" i="18"/>
  <c r="L46" i="12"/>
  <c r="B46" i="12"/>
  <c r="E46" i="12"/>
  <c r="D46" i="12"/>
  <c r="F46" i="12"/>
  <c r="C46" i="12"/>
  <c r="I46" i="12"/>
  <c r="D46" i="18" s="1"/>
  <c r="K46" i="12"/>
  <c r="E46" i="18" s="1"/>
  <c r="A42" i="18"/>
  <c r="L42" i="12"/>
  <c r="B42" i="12"/>
  <c r="F42" i="12" s="1"/>
  <c r="E42" i="12"/>
  <c r="C42" i="12"/>
  <c r="D42" i="12"/>
  <c r="I42" i="12"/>
  <c r="D42" i="18" s="1"/>
  <c r="K42" i="12"/>
  <c r="E42" i="18" s="1"/>
  <c r="A100" i="18"/>
  <c r="C100" i="12"/>
  <c r="L100" i="12"/>
  <c r="D100" i="12"/>
  <c r="E100" i="12"/>
  <c r="B100" i="12"/>
  <c r="F100" i="12" s="1"/>
  <c r="K100" i="12"/>
  <c r="E100" i="18" s="1"/>
  <c r="H100" i="12"/>
  <c r="I100" i="12"/>
  <c r="D100" i="18" s="1"/>
  <c r="A96" i="18"/>
  <c r="C96" i="12"/>
  <c r="L96" i="12"/>
  <c r="D96" i="12"/>
  <c r="B96" i="12"/>
  <c r="F96" i="12" s="1"/>
  <c r="E96" i="12"/>
  <c r="K96" i="12"/>
  <c r="E96" i="18" s="1"/>
  <c r="H96" i="12"/>
  <c r="I96" i="12"/>
  <c r="D96" i="18" s="1"/>
  <c r="A92" i="18"/>
  <c r="C92" i="12"/>
  <c r="L92" i="12"/>
  <c r="D92" i="12"/>
  <c r="E92" i="12"/>
  <c r="B92" i="12"/>
  <c r="F92" i="12" s="1"/>
  <c r="K92" i="12"/>
  <c r="E92" i="18" s="1"/>
  <c r="H92" i="12"/>
  <c r="I92" i="12"/>
  <c r="D92" i="18" s="1"/>
  <c r="A88" i="18"/>
  <c r="C88" i="12"/>
  <c r="L88" i="12"/>
  <c r="D88" i="12"/>
  <c r="F88" i="12"/>
  <c r="B88" i="12"/>
  <c r="E88" i="12"/>
  <c r="K88" i="12"/>
  <c r="E88" i="18" s="1"/>
  <c r="H88" i="12"/>
  <c r="I88" i="12"/>
  <c r="D88" i="18" s="1"/>
  <c r="A84" i="18"/>
  <c r="C84" i="12"/>
  <c r="L84" i="12"/>
  <c r="D84" i="12"/>
  <c r="E84" i="12"/>
  <c r="B84" i="12"/>
  <c r="F84" i="12" s="1"/>
  <c r="K84" i="12"/>
  <c r="E84" i="18" s="1"/>
  <c r="I84" i="12"/>
  <c r="D84" i="18" s="1"/>
  <c r="A80" i="18"/>
  <c r="C80" i="12"/>
  <c r="L80" i="12"/>
  <c r="D80" i="12"/>
  <c r="B80" i="12"/>
  <c r="F80" i="12" s="1"/>
  <c r="E80" i="12"/>
  <c r="K80" i="12"/>
  <c r="E80" i="18" s="1"/>
  <c r="I80" i="12"/>
  <c r="D80" i="18" s="1"/>
  <c r="A76" i="18"/>
  <c r="C76" i="12"/>
  <c r="L76" i="12"/>
  <c r="D76" i="12"/>
  <c r="E76" i="12"/>
  <c r="B76" i="12"/>
  <c r="F76" i="12" s="1"/>
  <c r="K76" i="12"/>
  <c r="E76" i="18" s="1"/>
  <c r="I76" i="12"/>
  <c r="D76" i="18" s="1"/>
  <c r="A72" i="18"/>
  <c r="C72" i="12"/>
  <c r="L72" i="12"/>
  <c r="D72" i="12"/>
  <c r="B72" i="12"/>
  <c r="F72" i="12" s="1"/>
  <c r="E72" i="12"/>
  <c r="K72" i="12"/>
  <c r="E72" i="18" s="1"/>
  <c r="I72" i="12"/>
  <c r="D72" i="18" s="1"/>
  <c r="A68" i="18"/>
  <c r="C68" i="12"/>
  <c r="L68" i="12"/>
  <c r="D68" i="12"/>
  <c r="E68" i="12"/>
  <c r="B68" i="12"/>
  <c r="F68" i="12" s="1"/>
  <c r="K68" i="12"/>
  <c r="E68" i="18" s="1"/>
  <c r="I68" i="12"/>
  <c r="D68" i="18" s="1"/>
  <c r="A124" i="18"/>
  <c r="C124" i="12"/>
  <c r="L124" i="12"/>
  <c r="D124" i="12"/>
  <c r="E124" i="12"/>
  <c r="B124" i="12"/>
  <c r="F124" i="12" s="1"/>
  <c r="K124" i="12"/>
  <c r="E124" i="18" s="1"/>
  <c r="H124" i="12"/>
  <c r="I124" i="12"/>
  <c r="D124" i="18" s="1"/>
  <c r="A120" i="18"/>
  <c r="C120" i="12"/>
  <c r="L120" i="12"/>
  <c r="D120" i="12"/>
  <c r="B120" i="12"/>
  <c r="F120" i="12" s="1"/>
  <c r="E120" i="12"/>
  <c r="K120" i="12"/>
  <c r="E120" i="18" s="1"/>
  <c r="H120" i="12"/>
  <c r="I120" i="12"/>
  <c r="D120" i="18" s="1"/>
  <c r="A116" i="18"/>
  <c r="C116" i="12"/>
  <c r="L116" i="12"/>
  <c r="D116" i="12"/>
  <c r="F116" i="12"/>
  <c r="E116" i="12"/>
  <c r="B116" i="12"/>
  <c r="K116" i="12"/>
  <c r="E116" i="18" s="1"/>
  <c r="H116" i="12"/>
  <c r="I116" i="12"/>
  <c r="D116" i="18" s="1"/>
  <c r="A112" i="18"/>
  <c r="C112" i="12"/>
  <c r="L112" i="12"/>
  <c r="D112" i="12"/>
  <c r="B112" i="12"/>
  <c r="F112" i="12" s="1"/>
  <c r="E112" i="12"/>
  <c r="K112" i="12"/>
  <c r="E112" i="18" s="1"/>
  <c r="H112" i="12"/>
  <c r="I112" i="12"/>
  <c r="D112" i="18" s="1"/>
  <c r="A108" i="18"/>
  <c r="C108" i="12"/>
  <c r="L108" i="12"/>
  <c r="D108" i="12"/>
  <c r="E108" i="12"/>
  <c r="B108" i="12"/>
  <c r="F108" i="12" s="1"/>
  <c r="K108" i="12"/>
  <c r="E108" i="18" s="1"/>
  <c r="H108" i="12"/>
  <c r="I108" i="12"/>
  <c r="D108" i="18" s="1"/>
  <c r="A104" i="18"/>
  <c r="C104" i="12"/>
  <c r="L104" i="12"/>
  <c r="D104" i="12"/>
  <c r="B104" i="12"/>
  <c r="F104" i="12" s="1"/>
  <c r="E104" i="12"/>
  <c r="K104" i="12"/>
  <c r="E104" i="18" s="1"/>
  <c r="H104" i="12"/>
  <c r="I104" i="12"/>
  <c r="D104" i="18" s="1"/>
  <c r="B159" i="12"/>
  <c r="F159" i="12" s="1"/>
  <c r="L159" i="12"/>
  <c r="C159" i="12"/>
  <c r="E159" i="12"/>
  <c r="D159" i="12"/>
  <c r="H159" i="12"/>
  <c r="I159" i="12"/>
  <c r="D159" i="18" s="1"/>
  <c r="K159" i="12"/>
  <c r="E159" i="18" s="1"/>
  <c r="A155" i="18"/>
  <c r="B155" i="12"/>
  <c r="F155" i="12" s="1"/>
  <c r="L155" i="12"/>
  <c r="E155" i="12"/>
  <c r="C155" i="12"/>
  <c r="D155" i="12"/>
  <c r="H155" i="12"/>
  <c r="I155" i="12"/>
  <c r="D155" i="18" s="1"/>
  <c r="K155" i="12"/>
  <c r="E155" i="18" s="1"/>
  <c r="A151" i="18"/>
  <c r="B151" i="12"/>
  <c r="F151" i="12" s="1"/>
  <c r="L151" i="12"/>
  <c r="C151" i="12"/>
  <c r="E151" i="12"/>
  <c r="D151" i="12"/>
  <c r="H151" i="12"/>
  <c r="I151" i="12"/>
  <c r="D151" i="18" s="1"/>
  <c r="K151" i="12"/>
  <c r="E151" i="18" s="1"/>
  <c r="A147" i="18"/>
  <c r="B147" i="12"/>
  <c r="L147" i="12"/>
  <c r="E147" i="12"/>
  <c r="C147" i="12"/>
  <c r="D147" i="12"/>
  <c r="H147" i="12"/>
  <c r="I147" i="12"/>
  <c r="D147" i="18" s="1"/>
  <c r="F147" i="12"/>
  <c r="K147" i="12"/>
  <c r="E147" i="18" s="1"/>
  <c r="A143" i="18"/>
  <c r="B143" i="12"/>
  <c r="F143" i="12" s="1"/>
  <c r="L143" i="12"/>
  <c r="C143" i="12"/>
  <c r="E143" i="12"/>
  <c r="D143" i="12"/>
  <c r="H143" i="12"/>
  <c r="I143" i="12"/>
  <c r="D143" i="18" s="1"/>
  <c r="K143" i="12"/>
  <c r="E143" i="18" s="1"/>
  <c r="A139" i="18"/>
  <c r="B139" i="12"/>
  <c r="F139" i="12" s="1"/>
  <c r="L139" i="12"/>
  <c r="E139" i="12"/>
  <c r="C139" i="12"/>
  <c r="D139" i="12"/>
  <c r="H139" i="12"/>
  <c r="I139" i="12"/>
  <c r="D139" i="18" s="1"/>
  <c r="K139" i="12"/>
  <c r="E139" i="18" s="1"/>
  <c r="A135" i="18"/>
  <c r="L135" i="12"/>
  <c r="B135" i="12"/>
  <c r="F135" i="12" s="1"/>
  <c r="C135" i="12"/>
  <c r="E135" i="12"/>
  <c r="D135" i="12"/>
  <c r="H135" i="12"/>
  <c r="I135" i="12"/>
  <c r="D135" i="18" s="1"/>
  <c r="K135" i="12"/>
  <c r="E135" i="18" s="1"/>
  <c r="A131" i="18"/>
  <c r="L131" i="12"/>
  <c r="B131" i="12"/>
  <c r="F131" i="12" s="1"/>
  <c r="E131" i="12"/>
  <c r="C131" i="12"/>
  <c r="D131" i="12"/>
  <c r="H131" i="12"/>
  <c r="I131" i="12"/>
  <c r="D131" i="18" s="1"/>
  <c r="K131" i="12"/>
  <c r="E131" i="18" s="1"/>
  <c r="L184" i="12"/>
  <c r="C184" i="12"/>
  <c r="D184" i="12"/>
  <c r="B184" i="12"/>
  <c r="F184" i="12" s="1"/>
  <c r="E184" i="12"/>
  <c r="K184" i="12"/>
  <c r="H184" i="12"/>
  <c r="I184" i="12"/>
  <c r="D184" i="18" s="1"/>
  <c r="L180" i="12"/>
  <c r="C180" i="12"/>
  <c r="D180" i="12"/>
  <c r="E180" i="12"/>
  <c r="B180" i="12"/>
  <c r="F180" i="12" s="1"/>
  <c r="K180" i="12"/>
  <c r="H180" i="12"/>
  <c r="I180" i="12"/>
  <c r="D180" i="18" s="1"/>
  <c r="L176" i="12"/>
  <c r="C176" i="12"/>
  <c r="D176" i="12"/>
  <c r="B176" i="12"/>
  <c r="F176" i="12" s="1"/>
  <c r="E176" i="12"/>
  <c r="K176" i="12"/>
  <c r="H176" i="12"/>
  <c r="I176" i="12"/>
  <c r="D176" i="18" s="1"/>
  <c r="L172" i="12"/>
  <c r="C172" i="12"/>
  <c r="D172" i="12"/>
  <c r="E172" i="12"/>
  <c r="B172" i="12"/>
  <c r="F172" i="12" s="1"/>
  <c r="K172" i="12"/>
  <c r="E172" i="18" s="1"/>
  <c r="H172" i="12"/>
  <c r="I172" i="12"/>
  <c r="D172" i="18" s="1"/>
  <c r="L168" i="12"/>
  <c r="C168" i="12"/>
  <c r="D168" i="12"/>
  <c r="B168" i="12"/>
  <c r="F168" i="12" s="1"/>
  <c r="E168" i="12"/>
  <c r="K168" i="12"/>
  <c r="E168" i="18" s="1"/>
  <c r="H168" i="12"/>
  <c r="I168" i="12"/>
  <c r="D168" i="18" s="1"/>
  <c r="L164" i="12"/>
  <c r="C164" i="12"/>
  <c r="D164" i="12"/>
  <c r="E164" i="12"/>
  <c r="B164" i="12"/>
  <c r="F164" i="12" s="1"/>
  <c r="K164" i="12"/>
  <c r="E164" i="18" s="1"/>
  <c r="H164" i="12"/>
  <c r="I164" i="12"/>
  <c r="D164" i="18" s="1"/>
  <c r="C191" i="10"/>
  <c r="C189" i="10"/>
  <c r="Y191" i="12"/>
  <c r="B191" i="18" s="1"/>
  <c r="L3" i="12"/>
  <c r="D3" i="12"/>
  <c r="B3" i="12"/>
  <c r="F3" i="12" s="1"/>
  <c r="C3" i="12"/>
  <c r="E3" i="12"/>
  <c r="I3" i="12"/>
  <c r="D3" i="18" s="1"/>
  <c r="K3" i="12"/>
  <c r="E3" i="18" s="1"/>
  <c r="A37" i="18"/>
  <c r="L37" i="12"/>
  <c r="C37" i="12"/>
  <c r="B37" i="12"/>
  <c r="F37" i="12" s="1"/>
  <c r="D37" i="12"/>
  <c r="E37" i="12"/>
  <c r="I37" i="12"/>
  <c r="D37" i="18" s="1"/>
  <c r="K37" i="12"/>
  <c r="E37" i="18" s="1"/>
  <c r="A33" i="18"/>
  <c r="L33" i="12"/>
  <c r="C33" i="12"/>
  <c r="D33" i="12"/>
  <c r="B33" i="12"/>
  <c r="F33" i="12" s="1"/>
  <c r="E33" i="12"/>
  <c r="I33" i="12"/>
  <c r="D33" i="18" s="1"/>
  <c r="K33" i="12"/>
  <c r="E33" i="18" s="1"/>
  <c r="A29" i="18"/>
  <c r="L29" i="12"/>
  <c r="C29" i="12"/>
  <c r="B29" i="12"/>
  <c r="F29" i="12" s="1"/>
  <c r="D29" i="12"/>
  <c r="E29" i="12"/>
  <c r="I29" i="12"/>
  <c r="D29" i="18" s="1"/>
  <c r="K29" i="12"/>
  <c r="E29" i="18" s="1"/>
  <c r="A25" i="18"/>
  <c r="L25" i="12"/>
  <c r="C25" i="12"/>
  <c r="D25" i="12"/>
  <c r="B25" i="12"/>
  <c r="F25" i="12" s="1"/>
  <c r="E25" i="12"/>
  <c r="I25" i="12"/>
  <c r="D25" i="18" s="1"/>
  <c r="K25" i="12"/>
  <c r="E25" i="18" s="1"/>
  <c r="A21" i="18"/>
  <c r="L21" i="12"/>
  <c r="C21" i="12"/>
  <c r="B21" i="12"/>
  <c r="F21" i="12" s="1"/>
  <c r="D21" i="12"/>
  <c r="E21" i="12"/>
  <c r="I21" i="12"/>
  <c r="D21" i="18" s="1"/>
  <c r="K21" i="12"/>
  <c r="E21" i="18" s="1"/>
  <c r="A17" i="18"/>
  <c r="L17" i="12"/>
  <c r="C17" i="12"/>
  <c r="D17" i="12"/>
  <c r="F17" i="12"/>
  <c r="B17" i="12"/>
  <c r="E17" i="12"/>
  <c r="I17" i="12"/>
  <c r="D17" i="18" s="1"/>
  <c r="K17" i="12"/>
  <c r="E17" i="18" s="1"/>
  <c r="A13" i="18"/>
  <c r="L13" i="12"/>
  <c r="C13" i="12"/>
  <c r="B13" i="12"/>
  <c r="F13" i="12" s="1"/>
  <c r="D13" i="12"/>
  <c r="E13" i="12"/>
  <c r="I13" i="12"/>
  <c r="D13" i="18" s="1"/>
  <c r="K13" i="12"/>
  <c r="E13" i="18" s="1"/>
  <c r="A9" i="18"/>
  <c r="L9" i="12"/>
  <c r="C9" i="12"/>
  <c r="D9" i="12"/>
  <c r="B9" i="12"/>
  <c r="F9" i="12" s="1"/>
  <c r="E9" i="12"/>
  <c r="I9" i="12"/>
  <c r="D9" i="18" s="1"/>
  <c r="K9" i="12"/>
  <c r="E9" i="18" s="1"/>
  <c r="A5" i="18"/>
  <c r="L5" i="12"/>
  <c r="C5" i="12"/>
  <c r="B5" i="12"/>
  <c r="F5" i="12" s="1"/>
  <c r="D5" i="12"/>
  <c r="E5" i="12"/>
  <c r="I5" i="12"/>
  <c r="D5" i="18" s="1"/>
  <c r="K5" i="12"/>
  <c r="E5" i="18" s="1"/>
  <c r="A65" i="18"/>
  <c r="L65" i="12"/>
  <c r="C65" i="12"/>
  <c r="D65" i="12"/>
  <c r="B65" i="12"/>
  <c r="F65" i="12" s="1"/>
  <c r="E65" i="12"/>
  <c r="I65" i="12"/>
  <c r="D65" i="18" s="1"/>
  <c r="K65" i="12"/>
  <c r="E65" i="18" s="1"/>
  <c r="A61" i="18"/>
  <c r="L61" i="12"/>
  <c r="C61" i="12"/>
  <c r="B61" i="12"/>
  <c r="F61" i="12" s="1"/>
  <c r="D61" i="12"/>
  <c r="E61" i="12"/>
  <c r="I61" i="12"/>
  <c r="D61" i="18" s="1"/>
  <c r="K61" i="12"/>
  <c r="E61" i="18" s="1"/>
  <c r="A57" i="18"/>
  <c r="L57" i="12"/>
  <c r="C57" i="12"/>
  <c r="D57" i="12"/>
  <c r="F57" i="12"/>
  <c r="B57" i="12"/>
  <c r="E57" i="12"/>
  <c r="I57" i="12"/>
  <c r="D57" i="18" s="1"/>
  <c r="K57" i="12"/>
  <c r="E57" i="18" s="1"/>
  <c r="A53" i="18"/>
  <c r="L53" i="12"/>
  <c r="C53" i="12"/>
  <c r="B53" i="12"/>
  <c r="F53" i="12" s="1"/>
  <c r="D53" i="12"/>
  <c r="E53" i="12"/>
  <c r="I53" i="12"/>
  <c r="D53" i="18" s="1"/>
  <c r="K53" i="12"/>
  <c r="E53" i="18" s="1"/>
  <c r="A49" i="18"/>
  <c r="L49" i="12"/>
  <c r="C49" i="12"/>
  <c r="D49" i="12"/>
  <c r="B49" i="12"/>
  <c r="F49" i="12" s="1"/>
  <c r="E49" i="12"/>
  <c r="I49" i="12"/>
  <c r="D49" i="18" s="1"/>
  <c r="K49" i="12"/>
  <c r="E49" i="18" s="1"/>
  <c r="A45" i="18"/>
  <c r="L45" i="12"/>
  <c r="C45" i="12"/>
  <c r="B45" i="12"/>
  <c r="D45" i="12"/>
  <c r="F45" i="12"/>
  <c r="E45" i="12"/>
  <c r="I45" i="12"/>
  <c r="D45" i="18" s="1"/>
  <c r="K45" i="12"/>
  <c r="E45" i="18" s="1"/>
  <c r="A41" i="18"/>
  <c r="L41" i="12"/>
  <c r="C41" i="12"/>
  <c r="D41" i="12"/>
  <c r="F41" i="12"/>
  <c r="B41" i="12"/>
  <c r="E41" i="12"/>
  <c r="I41" i="12"/>
  <c r="D41" i="18" s="1"/>
  <c r="K41" i="12"/>
  <c r="E41" i="18" s="1"/>
  <c r="A99" i="18"/>
  <c r="L99" i="12"/>
  <c r="B99" i="12"/>
  <c r="F99" i="12" s="1"/>
  <c r="E99" i="12"/>
  <c r="C99" i="12"/>
  <c r="D99" i="12"/>
  <c r="H99" i="12"/>
  <c r="I99" i="12"/>
  <c r="D99" i="18" s="1"/>
  <c r="K99" i="12"/>
  <c r="E99" i="18" s="1"/>
  <c r="A95" i="18"/>
  <c r="B95" i="12"/>
  <c r="L95" i="12"/>
  <c r="C95" i="12"/>
  <c r="E95" i="12"/>
  <c r="D95" i="12"/>
  <c r="F95" i="12"/>
  <c r="H95" i="12"/>
  <c r="I95" i="12"/>
  <c r="D95" i="18" s="1"/>
  <c r="K95" i="12"/>
  <c r="E95" i="18" s="1"/>
  <c r="A91" i="18"/>
  <c r="L91" i="12"/>
  <c r="B91" i="12"/>
  <c r="E91" i="12"/>
  <c r="C91" i="12"/>
  <c r="D91" i="12"/>
  <c r="F91" i="12"/>
  <c r="H91" i="12"/>
  <c r="I91" i="12"/>
  <c r="D91" i="18" s="1"/>
  <c r="K91" i="12"/>
  <c r="E91" i="18" s="1"/>
  <c r="A87" i="18"/>
  <c r="B87" i="12"/>
  <c r="F87" i="12" s="1"/>
  <c r="L87" i="12"/>
  <c r="C87" i="12"/>
  <c r="E87" i="12"/>
  <c r="D87" i="12"/>
  <c r="H87" i="12"/>
  <c r="I87" i="12"/>
  <c r="D87" i="18" s="1"/>
  <c r="K87" i="12"/>
  <c r="E87" i="18" s="1"/>
  <c r="A83" i="18"/>
  <c r="L83" i="12"/>
  <c r="B83" i="12"/>
  <c r="F83" i="12" s="1"/>
  <c r="E83" i="12"/>
  <c r="C83" i="12"/>
  <c r="D83" i="12"/>
  <c r="I83" i="12"/>
  <c r="D83" i="18" s="1"/>
  <c r="K83" i="12"/>
  <c r="E83" i="18" s="1"/>
  <c r="A79" i="18"/>
  <c r="B79" i="12"/>
  <c r="F79" i="12" s="1"/>
  <c r="L79" i="12"/>
  <c r="C79" i="12"/>
  <c r="E79" i="12"/>
  <c r="D79" i="12"/>
  <c r="I79" i="12"/>
  <c r="D79" i="18" s="1"/>
  <c r="K79" i="12"/>
  <c r="E79" i="18" s="1"/>
  <c r="A75" i="18"/>
  <c r="L75" i="12"/>
  <c r="B75" i="12"/>
  <c r="F75" i="12" s="1"/>
  <c r="E75" i="12"/>
  <c r="C75" i="12"/>
  <c r="D75" i="12"/>
  <c r="I75" i="12"/>
  <c r="D75" i="18" s="1"/>
  <c r="K75" i="12"/>
  <c r="E75" i="18" s="1"/>
  <c r="A71" i="18"/>
  <c r="B71" i="12"/>
  <c r="F71" i="12" s="1"/>
  <c r="L71" i="12"/>
  <c r="C71" i="12"/>
  <c r="E71" i="12"/>
  <c r="D71" i="12"/>
  <c r="I71" i="12"/>
  <c r="D71" i="18" s="1"/>
  <c r="K71" i="12"/>
  <c r="E71" i="18" s="1"/>
  <c r="A127" i="18"/>
  <c r="B127" i="12"/>
  <c r="F127" i="12" s="1"/>
  <c r="L127" i="12"/>
  <c r="C127" i="12"/>
  <c r="E127" i="12"/>
  <c r="D127" i="12"/>
  <c r="H127" i="12"/>
  <c r="I127" i="12"/>
  <c r="D127" i="18" s="1"/>
  <c r="K127" i="12"/>
  <c r="E127" i="18" s="1"/>
  <c r="A123" i="18"/>
  <c r="L123" i="12"/>
  <c r="B123" i="12"/>
  <c r="F123" i="12" s="1"/>
  <c r="E123" i="12"/>
  <c r="C123" i="12"/>
  <c r="D123" i="12"/>
  <c r="H123" i="12"/>
  <c r="I123" i="12"/>
  <c r="D123" i="18" s="1"/>
  <c r="K123" i="12"/>
  <c r="E123" i="18" s="1"/>
  <c r="A119" i="18"/>
  <c r="B119" i="12"/>
  <c r="F119" i="12" s="1"/>
  <c r="L119" i="12"/>
  <c r="C119" i="12"/>
  <c r="E119" i="12"/>
  <c r="D119" i="12"/>
  <c r="H119" i="12"/>
  <c r="I119" i="12"/>
  <c r="D119" i="18" s="1"/>
  <c r="K119" i="12"/>
  <c r="E119" i="18" s="1"/>
  <c r="A115" i="18"/>
  <c r="L115" i="12"/>
  <c r="B115" i="12"/>
  <c r="E115" i="12"/>
  <c r="C115" i="12"/>
  <c r="D115" i="12"/>
  <c r="H115" i="12"/>
  <c r="I115" i="12"/>
  <c r="D115" i="18" s="1"/>
  <c r="F115" i="12"/>
  <c r="K115" i="12"/>
  <c r="E115" i="18" s="1"/>
  <c r="A111" i="18"/>
  <c r="B111" i="12"/>
  <c r="F111" i="12" s="1"/>
  <c r="L111" i="12"/>
  <c r="C111" i="12"/>
  <c r="E111" i="12"/>
  <c r="D111" i="12"/>
  <c r="H111" i="12"/>
  <c r="I111" i="12"/>
  <c r="D111" i="18" s="1"/>
  <c r="K111" i="12"/>
  <c r="E111" i="18" s="1"/>
  <c r="A107" i="18"/>
  <c r="L107" i="12"/>
  <c r="B107" i="12"/>
  <c r="F107" i="12" s="1"/>
  <c r="E107" i="12"/>
  <c r="C107" i="12"/>
  <c r="D107" i="12"/>
  <c r="H107" i="12"/>
  <c r="I107" i="12"/>
  <c r="D107" i="18" s="1"/>
  <c r="K107" i="12"/>
  <c r="E107" i="18" s="1"/>
  <c r="A103" i="18"/>
  <c r="B103" i="12"/>
  <c r="F103" i="12" s="1"/>
  <c r="L103" i="12"/>
  <c r="C103" i="12"/>
  <c r="E103" i="12"/>
  <c r="D103" i="12"/>
  <c r="H103" i="12"/>
  <c r="I103" i="12"/>
  <c r="D103" i="18" s="1"/>
  <c r="K103" i="12"/>
  <c r="E103" i="18" s="1"/>
  <c r="B158" i="12"/>
  <c r="F158" i="12" s="1"/>
  <c r="L158" i="12"/>
  <c r="E158" i="12"/>
  <c r="D158" i="12"/>
  <c r="C158" i="12"/>
  <c r="I158" i="12"/>
  <c r="D158" i="18" s="1"/>
  <c r="H158" i="12"/>
  <c r="K158" i="12"/>
  <c r="E158" i="18" s="1"/>
  <c r="A154" i="18"/>
  <c r="B154" i="12"/>
  <c r="F154" i="12" s="1"/>
  <c r="E154" i="12"/>
  <c r="C154" i="12"/>
  <c r="H154" i="12"/>
  <c r="D154" i="12"/>
  <c r="L154" i="12"/>
  <c r="I154" i="12"/>
  <c r="D154" i="18" s="1"/>
  <c r="K154" i="12"/>
  <c r="E154" i="18" s="1"/>
  <c r="A150" i="18"/>
  <c r="B150" i="12"/>
  <c r="F150" i="12" s="1"/>
  <c r="L150" i="12"/>
  <c r="E150" i="12"/>
  <c r="H150" i="12"/>
  <c r="D150" i="12"/>
  <c r="C150" i="12"/>
  <c r="I150" i="12"/>
  <c r="D150" i="18" s="1"/>
  <c r="K150" i="12"/>
  <c r="E150" i="18" s="1"/>
  <c r="A146" i="18"/>
  <c r="B146" i="12"/>
  <c r="F146" i="12" s="1"/>
  <c r="L146" i="12"/>
  <c r="E146" i="12"/>
  <c r="C146" i="12"/>
  <c r="H146" i="12"/>
  <c r="D146" i="12"/>
  <c r="I146" i="12"/>
  <c r="D146" i="18" s="1"/>
  <c r="K146" i="12"/>
  <c r="E146" i="18" s="1"/>
  <c r="A142" i="18"/>
  <c r="B142" i="12"/>
  <c r="F142" i="12" s="1"/>
  <c r="L142" i="12"/>
  <c r="E142" i="12"/>
  <c r="H142" i="12"/>
  <c r="D142" i="12"/>
  <c r="C142" i="12"/>
  <c r="I142" i="12"/>
  <c r="D142" i="18" s="1"/>
  <c r="K142" i="12"/>
  <c r="E142" i="18" s="1"/>
  <c r="A138" i="18"/>
  <c r="B138" i="12"/>
  <c r="L138" i="12"/>
  <c r="E138" i="12"/>
  <c r="C138" i="12"/>
  <c r="H138" i="12"/>
  <c r="D138" i="12"/>
  <c r="I138" i="12"/>
  <c r="D138" i="18" s="1"/>
  <c r="F138" i="12"/>
  <c r="K138" i="12"/>
  <c r="E138" i="18" s="1"/>
  <c r="A134" i="18"/>
  <c r="B134" i="12"/>
  <c r="F134" i="12" s="1"/>
  <c r="L134" i="12"/>
  <c r="E134" i="12"/>
  <c r="H134" i="12"/>
  <c r="D134" i="12"/>
  <c r="C134" i="12"/>
  <c r="I134" i="12"/>
  <c r="D134" i="18" s="1"/>
  <c r="K134" i="12"/>
  <c r="E134" i="18" s="1"/>
  <c r="A130" i="18"/>
  <c r="L130" i="12"/>
  <c r="B130" i="12"/>
  <c r="F130" i="12" s="1"/>
  <c r="E130" i="12"/>
  <c r="C130" i="12"/>
  <c r="H130" i="12"/>
  <c r="D130" i="12"/>
  <c r="I130" i="12"/>
  <c r="D130" i="18" s="1"/>
  <c r="K130" i="12"/>
  <c r="E130" i="18" s="1"/>
  <c r="B183" i="12"/>
  <c r="F183" i="12" s="1"/>
  <c r="C183" i="12"/>
  <c r="E183" i="12"/>
  <c r="L183" i="12"/>
  <c r="D183" i="12"/>
  <c r="H183" i="12"/>
  <c r="I183" i="12"/>
  <c r="D183" i="18" s="1"/>
  <c r="K183" i="12"/>
  <c r="B179" i="12"/>
  <c r="F179" i="12" s="1"/>
  <c r="L179" i="12"/>
  <c r="E179" i="12"/>
  <c r="C179" i="12"/>
  <c r="D179" i="12"/>
  <c r="H179" i="12"/>
  <c r="I179" i="12"/>
  <c r="D179" i="18" s="1"/>
  <c r="K179" i="12"/>
  <c r="B175" i="12"/>
  <c r="F175" i="12" s="1"/>
  <c r="C175" i="12"/>
  <c r="E175" i="12"/>
  <c r="L175" i="12"/>
  <c r="D175" i="12"/>
  <c r="H175" i="12"/>
  <c r="I175" i="12"/>
  <c r="D175" i="18" s="1"/>
  <c r="K175" i="12"/>
  <c r="B171" i="12"/>
  <c r="F171" i="12" s="1"/>
  <c r="L171" i="12"/>
  <c r="E171" i="12"/>
  <c r="C171" i="12"/>
  <c r="D171" i="12"/>
  <c r="H171" i="12"/>
  <c r="I171" i="12"/>
  <c r="D171" i="18" s="1"/>
  <c r="K171" i="12"/>
  <c r="E171" i="18" s="1"/>
  <c r="B167" i="12"/>
  <c r="F167" i="12" s="1"/>
  <c r="L167" i="12"/>
  <c r="C167" i="12"/>
  <c r="E167" i="12"/>
  <c r="D167" i="12"/>
  <c r="H167" i="12"/>
  <c r="I167" i="12"/>
  <c r="D167" i="18" s="1"/>
  <c r="K167" i="12"/>
  <c r="E167" i="18" s="1"/>
  <c r="B163" i="12"/>
  <c r="F163" i="12" s="1"/>
  <c r="L163" i="12"/>
  <c r="E163" i="12"/>
  <c r="C163" i="12"/>
  <c r="D163" i="12"/>
  <c r="H163" i="12"/>
  <c r="I163" i="12"/>
  <c r="D163" i="18" s="1"/>
  <c r="K163" i="12"/>
  <c r="E163" i="18" s="1"/>
  <c r="Y188" i="12"/>
  <c r="B188" i="18" s="1"/>
  <c r="Y185" i="12"/>
  <c r="B185" i="18" s="1"/>
  <c r="C185" i="10"/>
  <c r="F185" i="10" s="1"/>
  <c r="G185" i="10" s="1"/>
  <c r="C187" i="18"/>
  <c r="W187" i="12"/>
  <c r="C190" i="10"/>
  <c r="AP3" i="10"/>
  <c r="V68" i="2"/>
  <c r="X68" i="2" s="1"/>
  <c r="V52" i="2"/>
  <c r="X52" i="2" s="1"/>
  <c r="V177" i="2"/>
  <c r="X177" i="2" s="1"/>
  <c r="V161" i="2"/>
  <c r="X161" i="2" s="1"/>
  <c r="V145" i="2"/>
  <c r="X145" i="2" s="1"/>
  <c r="V61" i="2"/>
  <c r="X61" i="2" s="1"/>
  <c r="V37" i="2"/>
  <c r="X37" i="2" s="1"/>
  <c r="V13" i="2"/>
  <c r="X13" i="2" s="1"/>
  <c r="V173" i="2"/>
  <c r="X173" i="2" s="1"/>
  <c r="V157" i="2"/>
  <c r="X157" i="2" s="1"/>
  <c r="V141" i="2"/>
  <c r="X141" i="2" s="1"/>
  <c r="V129" i="2"/>
  <c r="X129" i="2" s="1"/>
  <c r="V113" i="2"/>
  <c r="X113" i="2" s="1"/>
  <c r="V97" i="2"/>
  <c r="X97" i="2" s="1"/>
  <c r="V81" i="2"/>
  <c r="X81" i="2" s="1"/>
  <c r="V49" i="2"/>
  <c r="X49" i="2" s="1"/>
  <c r="V36" i="2"/>
  <c r="X36" i="2" s="1"/>
  <c r="V21" i="2"/>
  <c r="X21" i="2" s="1"/>
  <c r="V132" i="2"/>
  <c r="X132" i="2" s="1"/>
  <c r="V100" i="2"/>
  <c r="X100" i="2" s="1"/>
  <c r="V84" i="2"/>
  <c r="X84" i="2" s="1"/>
  <c r="V34" i="2"/>
  <c r="X34" i="2" s="1"/>
  <c r="V26" i="2"/>
  <c r="X26" i="2" s="1"/>
  <c r="V18" i="2"/>
  <c r="X18" i="2" s="1"/>
  <c r="V10" i="2"/>
  <c r="X10" i="2" s="1"/>
  <c r="V116" i="2"/>
  <c r="X116" i="2" s="1"/>
  <c r="Z192" i="2"/>
  <c r="X191" i="2"/>
  <c r="Z191" i="2" s="1"/>
  <c r="A3" i="18"/>
  <c r="A158" i="18"/>
  <c r="A183" i="18"/>
  <c r="A179" i="18"/>
  <c r="A175" i="18"/>
  <c r="A171" i="18"/>
  <c r="A167" i="18"/>
  <c r="A163" i="18"/>
  <c r="A74" i="18"/>
  <c r="A157" i="18"/>
  <c r="A182" i="18"/>
  <c r="A178" i="18"/>
  <c r="A174" i="18"/>
  <c r="A170" i="18"/>
  <c r="A166" i="18"/>
  <c r="A162" i="18"/>
  <c r="A160" i="18"/>
  <c r="A156" i="18"/>
  <c r="A181" i="18"/>
  <c r="A177" i="18"/>
  <c r="A173" i="18"/>
  <c r="A169" i="18"/>
  <c r="A165" i="18"/>
  <c r="A161" i="18"/>
  <c r="A159" i="18"/>
  <c r="A180" i="18"/>
  <c r="A176" i="18"/>
  <c r="A172" i="18"/>
  <c r="A168" i="18"/>
  <c r="A164" i="18"/>
  <c r="Z189" i="2"/>
  <c r="Z190" i="2"/>
  <c r="V136" i="2"/>
  <c r="X136" i="2" s="1"/>
  <c r="V120" i="2"/>
  <c r="X120" i="2" s="1"/>
  <c r="V104" i="2"/>
  <c r="X104" i="2" s="1"/>
  <c r="V88" i="2"/>
  <c r="X88" i="2" s="1"/>
  <c r="V72" i="2"/>
  <c r="X72" i="2" s="1"/>
  <c r="V56" i="2"/>
  <c r="X56" i="2" s="1"/>
  <c r="V40" i="2"/>
  <c r="X40" i="2" s="1"/>
  <c r="V24" i="2"/>
  <c r="X24" i="2" s="1"/>
  <c r="V8" i="2"/>
  <c r="X8" i="2" s="1"/>
  <c r="V140" i="2"/>
  <c r="X140" i="2" s="1"/>
  <c r="V124" i="2"/>
  <c r="X124" i="2" s="1"/>
  <c r="V108" i="2"/>
  <c r="X108" i="2" s="1"/>
  <c r="V92" i="2"/>
  <c r="X92" i="2" s="1"/>
  <c r="V76" i="2"/>
  <c r="X76" i="2" s="1"/>
  <c r="V60" i="2"/>
  <c r="X60" i="2" s="1"/>
  <c r="V44" i="2"/>
  <c r="X44" i="2" s="1"/>
  <c r="V28" i="2"/>
  <c r="X28" i="2" s="1"/>
  <c r="V12" i="2"/>
  <c r="X12" i="2" s="1"/>
  <c r="V128" i="2"/>
  <c r="X128" i="2" s="1"/>
  <c r="V112" i="2"/>
  <c r="X112" i="2" s="1"/>
  <c r="V96" i="2"/>
  <c r="X96" i="2" s="1"/>
  <c r="V80" i="2"/>
  <c r="X80" i="2" s="1"/>
  <c r="V64" i="2"/>
  <c r="X64" i="2" s="1"/>
  <c r="V48" i="2"/>
  <c r="X48" i="2" s="1"/>
  <c r="V32" i="2"/>
  <c r="X32" i="2" s="1"/>
  <c r="V16" i="2"/>
  <c r="X16" i="2" s="1"/>
  <c r="X188" i="2"/>
  <c r="X187" i="2"/>
  <c r="Z185" i="2"/>
  <c r="Z186" i="2"/>
  <c r="V91" i="2"/>
  <c r="X91" i="2" s="1"/>
  <c r="V75" i="2"/>
  <c r="X75" i="2" s="1"/>
  <c r="V59" i="2"/>
  <c r="X59" i="2" s="1"/>
  <c r="V43" i="2"/>
  <c r="X43" i="2" s="1"/>
  <c r="V27" i="2"/>
  <c r="X27" i="2" s="1"/>
  <c r="V11" i="2"/>
  <c r="X11" i="2" s="1"/>
  <c r="V184" i="2"/>
  <c r="X184" i="2" s="1"/>
  <c r="V180" i="2"/>
  <c r="X180" i="2" s="1"/>
  <c r="V176" i="2"/>
  <c r="X176" i="2" s="1"/>
  <c r="V172" i="2"/>
  <c r="X172" i="2" s="1"/>
  <c r="V168" i="2"/>
  <c r="X168" i="2" s="1"/>
  <c r="V164" i="2"/>
  <c r="X164" i="2" s="1"/>
  <c r="V160" i="2"/>
  <c r="X160" i="2" s="1"/>
  <c r="V156" i="2"/>
  <c r="X156" i="2" s="1"/>
  <c r="V152" i="2"/>
  <c r="X152" i="2" s="1"/>
  <c r="V148" i="2"/>
  <c r="X148" i="2" s="1"/>
  <c r="V144" i="2"/>
  <c r="X144" i="2" s="1"/>
  <c r="D27" i="10"/>
  <c r="D11" i="10"/>
  <c r="D55" i="10"/>
  <c r="D39" i="10"/>
  <c r="K37" i="18"/>
  <c r="K33" i="18"/>
  <c r="K29" i="18"/>
  <c r="K25" i="18"/>
  <c r="K21" i="18"/>
  <c r="K17" i="18"/>
  <c r="K13" i="18"/>
  <c r="K9" i="18"/>
  <c r="K5" i="18"/>
  <c r="K65" i="18"/>
  <c r="K61" i="18"/>
  <c r="K57" i="18"/>
  <c r="K53" i="18"/>
  <c r="K49" i="18"/>
  <c r="K45" i="18"/>
  <c r="K41" i="18"/>
  <c r="K99" i="18"/>
  <c r="K95" i="18"/>
  <c r="K91" i="18"/>
  <c r="K87" i="18"/>
  <c r="K83" i="18"/>
  <c r="K79" i="18"/>
  <c r="K75" i="18"/>
  <c r="K71" i="18"/>
  <c r="K127" i="18"/>
  <c r="K123" i="18"/>
  <c r="K119" i="18"/>
  <c r="K115" i="18"/>
  <c r="K111" i="18"/>
  <c r="K107" i="18"/>
  <c r="K103" i="18"/>
  <c r="K158" i="18"/>
  <c r="K154" i="18"/>
  <c r="K150" i="18"/>
  <c r="K146" i="18"/>
  <c r="K142" i="18"/>
  <c r="K138" i="18"/>
  <c r="K134" i="18"/>
  <c r="K130" i="18"/>
  <c r="K183" i="18"/>
  <c r="K179" i="18"/>
  <c r="K175" i="18"/>
  <c r="K171" i="18"/>
  <c r="K167" i="18"/>
  <c r="K163" i="18"/>
  <c r="K36" i="18"/>
  <c r="K32" i="18"/>
  <c r="K28" i="18"/>
  <c r="K24" i="18"/>
  <c r="K20" i="18"/>
  <c r="K16" i="18"/>
  <c r="K12" i="18"/>
  <c r="K8" i="18"/>
  <c r="K4" i="18"/>
  <c r="K64" i="18"/>
  <c r="K60" i="18"/>
  <c r="K56" i="18"/>
  <c r="K52" i="18"/>
  <c r="K48" i="18"/>
  <c r="K44" i="18"/>
  <c r="K40" i="18"/>
  <c r="K98" i="18"/>
  <c r="K94" i="18"/>
  <c r="K90" i="18"/>
  <c r="K86" i="18"/>
  <c r="K82" i="18"/>
  <c r="K78" i="18"/>
  <c r="K70" i="18"/>
  <c r="K126" i="18"/>
  <c r="K122" i="18"/>
  <c r="K118" i="18"/>
  <c r="K114" i="18"/>
  <c r="K110" i="18"/>
  <c r="K106" i="18"/>
  <c r="K102" i="18"/>
  <c r="K157" i="18"/>
  <c r="K153" i="18"/>
  <c r="K149" i="18"/>
  <c r="K141" i="18"/>
  <c r="K137" i="18"/>
  <c r="K133" i="18"/>
  <c r="K182" i="18"/>
  <c r="K178" i="18"/>
  <c r="K174" i="18"/>
  <c r="K166" i="18"/>
  <c r="K162" i="18"/>
  <c r="K39" i="18"/>
  <c r="K35" i="18"/>
  <c r="K31" i="18"/>
  <c r="K27" i="18"/>
  <c r="K23" i="18"/>
  <c r="K19" i="18"/>
  <c r="K15" i="18"/>
  <c r="K11" i="18"/>
  <c r="K7" i="18"/>
  <c r="K67" i="18"/>
  <c r="K63" i="18"/>
  <c r="K59" i="18"/>
  <c r="K55" i="18"/>
  <c r="K51" i="18"/>
  <c r="K47" i="18"/>
  <c r="K43" i="18"/>
  <c r="K101" i="18"/>
  <c r="K93" i="18"/>
  <c r="K89" i="18"/>
  <c r="K85" i="18"/>
  <c r="K81" i="18"/>
  <c r="K77" i="18"/>
  <c r="K73" i="18"/>
  <c r="K69" i="18"/>
  <c r="K121" i="18"/>
  <c r="K117" i="18"/>
  <c r="K113" i="18"/>
  <c r="K109" i="18"/>
  <c r="K105" i="18"/>
  <c r="K160" i="18"/>
  <c r="K156" i="18"/>
  <c r="K148" i="18"/>
  <c r="K144" i="18"/>
  <c r="K140" i="18"/>
  <c r="K136" i="18"/>
  <c r="K132" i="18"/>
  <c r="K128" i="18"/>
  <c r="K181" i="18"/>
  <c r="K173" i="18"/>
  <c r="K169" i="18"/>
  <c r="K165" i="18"/>
  <c r="K161" i="18"/>
  <c r="K38" i="18"/>
  <c r="K34" i="18"/>
  <c r="K30" i="18"/>
  <c r="K26" i="18"/>
  <c r="K22" i="18"/>
  <c r="K18" i="18"/>
  <c r="K14" i="18"/>
  <c r="K10" i="18"/>
  <c r="K6" i="18"/>
  <c r="K66" i="18"/>
  <c r="K62" i="18"/>
  <c r="K58" i="18"/>
  <c r="K54" i="18"/>
  <c r="K50" i="18"/>
  <c r="K46" i="18"/>
  <c r="K42" i="18"/>
  <c r="K100" i="18"/>
  <c r="K96" i="18"/>
  <c r="K92" i="18"/>
  <c r="K84" i="18"/>
  <c r="K80" i="18"/>
  <c r="K76" i="18"/>
  <c r="K68" i="18"/>
  <c r="K124" i="18"/>
  <c r="K120" i="18"/>
  <c r="K116" i="18"/>
  <c r="K112" i="18"/>
  <c r="K108" i="18"/>
  <c r="K104" i="18"/>
  <c r="K159" i="18"/>
  <c r="K155" i="18"/>
  <c r="K151" i="18"/>
  <c r="K147" i="18"/>
  <c r="K143" i="18"/>
  <c r="K139" i="18"/>
  <c r="K135" i="18"/>
  <c r="K131" i="18"/>
  <c r="K180" i="18"/>
  <c r="K176" i="18"/>
  <c r="K172" i="18"/>
  <c r="K164" i="18"/>
  <c r="K3" i="18"/>
  <c r="I3" i="18"/>
  <c r="K74" i="18"/>
  <c r="J2" i="12"/>
  <c r="AJ2" i="12"/>
  <c r="J2" i="18" s="1"/>
  <c r="I36" i="18"/>
  <c r="I32" i="18"/>
  <c r="I28" i="18"/>
  <c r="I24" i="18"/>
  <c r="I20" i="18"/>
  <c r="I16" i="18"/>
  <c r="I12" i="18"/>
  <c r="I8" i="18"/>
  <c r="I4" i="18"/>
  <c r="I64" i="18"/>
  <c r="I60" i="18"/>
  <c r="I56" i="18"/>
  <c r="I52" i="18"/>
  <c r="I48" i="18"/>
  <c r="I44" i="18"/>
  <c r="I40" i="18"/>
  <c r="I98" i="18"/>
  <c r="I94" i="18"/>
  <c r="I90" i="18"/>
  <c r="I86" i="18"/>
  <c r="I82" i="18"/>
  <c r="I78" i="18"/>
  <c r="I70" i="18"/>
  <c r="I126" i="18"/>
  <c r="I122" i="18"/>
  <c r="I114" i="18"/>
  <c r="I110" i="18"/>
  <c r="I106" i="18"/>
  <c r="I157" i="18"/>
  <c r="I153" i="18"/>
  <c r="I149" i="18"/>
  <c r="I145" i="18"/>
  <c r="I141" i="18"/>
  <c r="I137" i="18"/>
  <c r="I133" i="18"/>
  <c r="I129" i="18"/>
  <c r="I182" i="18"/>
  <c r="I178" i="18"/>
  <c r="I174" i="18"/>
  <c r="I170" i="18"/>
  <c r="I166" i="18"/>
  <c r="I162" i="18"/>
  <c r="I39" i="18"/>
  <c r="I35" i="18"/>
  <c r="I31" i="18"/>
  <c r="I27" i="18"/>
  <c r="I23" i="18"/>
  <c r="I19" i="18"/>
  <c r="I15" i="18"/>
  <c r="I11" i="18"/>
  <c r="I7" i="18"/>
  <c r="I63" i="18"/>
  <c r="I59" i="18"/>
  <c r="I55" i="18"/>
  <c r="I51" i="18"/>
  <c r="I47" i="18"/>
  <c r="I43" i="18"/>
  <c r="I101" i="18"/>
  <c r="I97" i="18"/>
  <c r="I93" i="18"/>
  <c r="I89" i="18"/>
  <c r="I85" i="18"/>
  <c r="I81" i="18"/>
  <c r="I77" i="18"/>
  <c r="I73" i="18"/>
  <c r="I69" i="18"/>
  <c r="I125" i="18"/>
  <c r="I121" i="18"/>
  <c r="I117" i="18"/>
  <c r="I113" i="18"/>
  <c r="I109" i="18"/>
  <c r="I105" i="18"/>
  <c r="I160" i="18"/>
  <c r="I156" i="18"/>
  <c r="I152" i="18"/>
  <c r="I148" i="18"/>
  <c r="I144" i="18"/>
  <c r="I140" i="18"/>
  <c r="I136" i="18"/>
  <c r="I132" i="18"/>
  <c r="I128" i="18"/>
  <c r="I181" i="18"/>
  <c r="I177" i="18"/>
  <c r="I173" i="18"/>
  <c r="I169" i="18"/>
  <c r="I165" i="18"/>
  <c r="I161" i="18"/>
  <c r="I38" i="18"/>
  <c r="I34" i="18"/>
  <c r="I30" i="18"/>
  <c r="I26" i="18"/>
  <c r="I22" i="18"/>
  <c r="I18" i="18"/>
  <c r="I14" i="18"/>
  <c r="I6" i="18"/>
  <c r="I66" i="18"/>
  <c r="I62" i="18"/>
  <c r="I58" i="18"/>
  <c r="I54" i="18"/>
  <c r="I50" i="18"/>
  <c r="I46" i="18"/>
  <c r="I42" i="18"/>
  <c r="I100" i="18"/>
  <c r="I96" i="18"/>
  <c r="I92" i="18"/>
  <c r="I88" i="18"/>
  <c r="I84" i="18"/>
  <c r="I80" i="18"/>
  <c r="I76" i="18"/>
  <c r="I72" i="18"/>
  <c r="I68" i="18"/>
  <c r="I124" i="18"/>
  <c r="I120" i="18"/>
  <c r="I116" i="18"/>
  <c r="I112" i="18"/>
  <c r="I108" i="18"/>
  <c r="I104" i="18"/>
  <c r="I155" i="18"/>
  <c r="I151" i="18"/>
  <c r="I147" i="18"/>
  <c r="I143" i="18"/>
  <c r="I139" i="18"/>
  <c r="I135" i="18"/>
  <c r="I131" i="18"/>
  <c r="I184" i="18"/>
  <c r="I180" i="18"/>
  <c r="I176" i="18"/>
  <c r="I172" i="18"/>
  <c r="I168" i="18"/>
  <c r="I164" i="18"/>
  <c r="I37" i="18"/>
  <c r="I33" i="18"/>
  <c r="I29" i="18"/>
  <c r="I25" i="18"/>
  <c r="I21" i="18"/>
  <c r="I17" i="18"/>
  <c r="I13" i="18"/>
  <c r="I9" i="18"/>
  <c r="I5" i="18"/>
  <c r="I65" i="18"/>
  <c r="I61" i="18"/>
  <c r="I57" i="18"/>
  <c r="I53" i="18"/>
  <c r="I49" i="18"/>
  <c r="I45" i="18"/>
  <c r="I41" i="18"/>
  <c r="I99" i="18"/>
  <c r="I95" i="18"/>
  <c r="I91" i="18"/>
  <c r="I87" i="18"/>
  <c r="I83" i="18"/>
  <c r="I79" i="18"/>
  <c r="I75" i="18"/>
  <c r="I71" i="18"/>
  <c r="I127" i="18"/>
  <c r="I123" i="18"/>
  <c r="I119" i="18"/>
  <c r="I115" i="18"/>
  <c r="I111" i="18"/>
  <c r="I107" i="18"/>
  <c r="I103" i="18"/>
  <c r="I158" i="18"/>
  <c r="I154" i="18"/>
  <c r="I150" i="18"/>
  <c r="I146" i="18"/>
  <c r="I142" i="18"/>
  <c r="I138" i="18"/>
  <c r="I134" i="18"/>
  <c r="I130" i="18"/>
  <c r="I183" i="18"/>
  <c r="I179" i="18"/>
  <c r="I175" i="18"/>
  <c r="I171" i="18"/>
  <c r="I167" i="18"/>
  <c r="I163" i="18"/>
  <c r="I74" i="18"/>
  <c r="U39" i="12"/>
  <c r="U35" i="12"/>
  <c r="U31" i="12"/>
  <c r="U27" i="12"/>
  <c r="U23" i="12"/>
  <c r="U19" i="12"/>
  <c r="U11" i="12"/>
  <c r="U7" i="12"/>
  <c r="U67" i="12"/>
  <c r="U63" i="12"/>
  <c r="U59" i="12"/>
  <c r="U55" i="12"/>
  <c r="U51" i="12"/>
  <c r="U47" i="12"/>
  <c r="U43" i="12"/>
  <c r="U101" i="12"/>
  <c r="U97" i="12"/>
  <c r="U93" i="12"/>
  <c r="U89" i="12"/>
  <c r="U85" i="12"/>
  <c r="U77" i="12"/>
  <c r="U73" i="12"/>
  <c r="U69" i="12"/>
  <c r="U125" i="12"/>
  <c r="U121" i="12"/>
  <c r="U117" i="12"/>
  <c r="U113" i="12"/>
  <c r="U109" i="12"/>
  <c r="U160" i="12"/>
  <c r="U152" i="12"/>
  <c r="U148" i="12"/>
  <c r="U144" i="12"/>
  <c r="U136" i="12"/>
  <c r="U128" i="12"/>
  <c r="U181" i="12"/>
  <c r="U173" i="12"/>
  <c r="U169" i="12"/>
  <c r="U165" i="12"/>
  <c r="U38" i="12"/>
  <c r="U34" i="12"/>
  <c r="U30" i="12"/>
  <c r="U26" i="12"/>
  <c r="U22" i="12"/>
  <c r="U18" i="12"/>
  <c r="U14" i="12"/>
  <c r="U10" i="12"/>
  <c r="U6" i="12"/>
  <c r="U66" i="12"/>
  <c r="U62" i="12"/>
  <c r="U58" i="12"/>
  <c r="U54" i="12"/>
  <c r="U50" i="12"/>
  <c r="U46" i="12"/>
  <c r="U42" i="12"/>
  <c r="U96" i="12"/>
  <c r="U88" i="12"/>
  <c r="U80" i="12"/>
  <c r="U72" i="12"/>
  <c r="U120" i="12"/>
  <c r="U112" i="12"/>
  <c r="U104" i="12"/>
  <c r="U159" i="12"/>
  <c r="U155" i="12"/>
  <c r="U151" i="12"/>
  <c r="U147" i="12"/>
  <c r="U143" i="12"/>
  <c r="U139" i="12"/>
  <c r="U135" i="12"/>
  <c r="U131" i="12"/>
  <c r="U180" i="12"/>
  <c r="U172" i="12"/>
  <c r="U164" i="12"/>
  <c r="U37" i="12"/>
  <c r="U29" i="12"/>
  <c r="U21" i="12"/>
  <c r="U13" i="12"/>
  <c r="U5" i="12"/>
  <c r="U61" i="12"/>
  <c r="U53" i="12"/>
  <c r="U45" i="12"/>
  <c r="U99" i="12"/>
  <c r="U95" i="12"/>
  <c r="U91" i="12"/>
  <c r="U87" i="12"/>
  <c r="U83" i="12"/>
  <c r="U79" i="12"/>
  <c r="U75" i="12"/>
  <c r="U71" i="12"/>
  <c r="U127" i="12"/>
  <c r="U123" i="12"/>
  <c r="U119" i="12"/>
  <c r="U115" i="12"/>
  <c r="U111" i="12"/>
  <c r="U107" i="12"/>
  <c r="U103" i="12"/>
  <c r="U179" i="12"/>
  <c r="U171" i="12"/>
  <c r="U163" i="12"/>
  <c r="U98" i="12"/>
  <c r="U94" i="12"/>
  <c r="U90" i="12"/>
  <c r="U86" i="12"/>
  <c r="U82" i="12"/>
  <c r="U78" i="12"/>
  <c r="U74" i="12"/>
  <c r="U70" i="12"/>
  <c r="U126" i="12"/>
  <c r="U122" i="12"/>
  <c r="U118" i="12"/>
  <c r="U114" i="12"/>
  <c r="U110" i="12"/>
  <c r="U106" i="12"/>
  <c r="U102" i="12"/>
  <c r="U3" i="12"/>
  <c r="BD5" i="15"/>
  <c r="BE5" i="15"/>
  <c r="BE7" i="15"/>
  <c r="BD9" i="15"/>
  <c r="BE8" i="15"/>
  <c r="BD8" i="15"/>
  <c r="BC8" i="15"/>
  <c r="BC9" i="15"/>
  <c r="BB30" i="15"/>
  <c r="BD16" i="15"/>
  <c r="BB31" i="15"/>
  <c r="BC31" i="15"/>
  <c r="BB38" i="15"/>
  <c r="BD31" i="15"/>
  <c r="BE31" i="15"/>
  <c r="BG9" i="15"/>
  <c r="BF9" i="15"/>
  <c r="BD19" i="15"/>
  <c r="BB32" i="15"/>
  <c r="BB28" i="15"/>
  <c r="BC32" i="15"/>
  <c r="BB33" i="15"/>
  <c r="BE9" i="15"/>
  <c r="BC19" i="15"/>
  <c r="BC29" i="15"/>
  <c r="BD29" i="15"/>
  <c r="BB34" i="15"/>
  <c r="BB35" i="15"/>
  <c r="BB29" i="15"/>
  <c r="BH9" i="15"/>
  <c r="BC30" i="15"/>
  <c r="BD30" i="15"/>
  <c r="BB37" i="15"/>
  <c r="R4" i="14"/>
  <c r="Q4" i="14"/>
  <c r="U15" i="12"/>
  <c r="U81" i="12"/>
  <c r="U105" i="12"/>
  <c r="U156" i="12"/>
  <c r="U140" i="12"/>
  <c r="U132" i="12"/>
  <c r="U177" i="12"/>
  <c r="U161" i="12"/>
  <c r="U100" i="12"/>
  <c r="U92" i="12"/>
  <c r="U84" i="12"/>
  <c r="U76" i="12"/>
  <c r="U68" i="12"/>
  <c r="U124" i="12"/>
  <c r="U116" i="12"/>
  <c r="U108" i="12"/>
  <c r="A183" i="10"/>
  <c r="U184" i="12"/>
  <c r="A175" i="10"/>
  <c r="U176" i="12"/>
  <c r="A167" i="10"/>
  <c r="U168" i="12"/>
  <c r="U33" i="12"/>
  <c r="U25" i="12"/>
  <c r="U17" i="12"/>
  <c r="U9" i="12"/>
  <c r="U65" i="12"/>
  <c r="U57" i="12"/>
  <c r="U49" i="12"/>
  <c r="U41" i="12"/>
  <c r="U158" i="12"/>
  <c r="U154" i="12"/>
  <c r="U150" i="12"/>
  <c r="U146" i="12"/>
  <c r="U142" i="12"/>
  <c r="U138" i="12"/>
  <c r="U134" i="12"/>
  <c r="U130" i="12"/>
  <c r="A182" i="10"/>
  <c r="U183" i="12"/>
  <c r="A174" i="10"/>
  <c r="U175" i="12"/>
  <c r="A166" i="10"/>
  <c r="U167" i="12"/>
  <c r="U36" i="12"/>
  <c r="U32" i="12"/>
  <c r="U28" i="12"/>
  <c r="U24" i="12"/>
  <c r="U20" i="12"/>
  <c r="U16" i="12"/>
  <c r="U12" i="12"/>
  <c r="U8" i="12"/>
  <c r="U4" i="12"/>
  <c r="U64" i="12"/>
  <c r="U60" i="12"/>
  <c r="U56" i="12"/>
  <c r="U52" i="12"/>
  <c r="U48" i="12"/>
  <c r="U44" i="12"/>
  <c r="U40" i="12"/>
  <c r="U157" i="12"/>
  <c r="U153" i="12"/>
  <c r="U149" i="12"/>
  <c r="U145" i="12"/>
  <c r="U141" i="12"/>
  <c r="U137" i="12"/>
  <c r="U133" i="12"/>
  <c r="U129" i="12"/>
  <c r="U182" i="12"/>
  <c r="U178" i="12"/>
  <c r="U174" i="12"/>
  <c r="U170" i="12"/>
  <c r="U166" i="12"/>
  <c r="U162" i="12"/>
  <c r="A30" i="13"/>
  <c r="A30" i="10"/>
  <c r="A18" i="13"/>
  <c r="A18" i="10"/>
  <c r="A6" i="13"/>
  <c r="A6" i="10"/>
  <c r="A58" i="10"/>
  <c r="A58" i="13"/>
  <c r="A46" i="10"/>
  <c r="A46" i="13"/>
  <c r="A100" i="13"/>
  <c r="A100" i="10"/>
  <c r="A84" i="13"/>
  <c r="A84" i="10"/>
  <c r="A72" i="13"/>
  <c r="A72" i="10"/>
  <c r="A124" i="13"/>
  <c r="A124" i="10"/>
  <c r="A112" i="13"/>
  <c r="A112" i="10"/>
  <c r="A159" i="13"/>
  <c r="A147" i="13"/>
  <c r="A147" i="10"/>
  <c r="A135" i="13"/>
  <c r="A135" i="10"/>
  <c r="A180" i="13"/>
  <c r="A180" i="10"/>
  <c r="A164" i="13"/>
  <c r="A164" i="10"/>
  <c r="A159" i="10"/>
  <c r="A34" i="13"/>
  <c r="A34" i="10"/>
  <c r="A22" i="13"/>
  <c r="A22" i="10"/>
  <c r="A10" i="13"/>
  <c r="A10" i="10"/>
  <c r="A62" i="10"/>
  <c r="A62" i="13"/>
  <c r="A50" i="10"/>
  <c r="A50" i="13"/>
  <c r="A96" i="13"/>
  <c r="A96" i="10"/>
  <c r="A88" i="13"/>
  <c r="A88" i="10"/>
  <c r="A76" i="13"/>
  <c r="A76" i="10"/>
  <c r="A120" i="13"/>
  <c r="A120" i="10"/>
  <c r="A108" i="13"/>
  <c r="A108" i="10"/>
  <c r="A155" i="13"/>
  <c r="A155" i="10"/>
  <c r="A143" i="13"/>
  <c r="A143" i="10"/>
  <c r="A131" i="13"/>
  <c r="A131" i="10"/>
  <c r="A172" i="13"/>
  <c r="A172" i="10"/>
  <c r="A168" i="13"/>
  <c r="A168" i="10"/>
  <c r="A37" i="10"/>
  <c r="A37" i="13"/>
  <c r="A33" i="10"/>
  <c r="A33" i="13"/>
  <c r="A29" i="10"/>
  <c r="A29" i="13"/>
  <c r="A25" i="10"/>
  <c r="A25" i="13"/>
  <c r="A21" i="10"/>
  <c r="A21" i="13"/>
  <c r="A17" i="10"/>
  <c r="A17" i="13"/>
  <c r="A13" i="10"/>
  <c r="A13" i="13"/>
  <c r="A9" i="10"/>
  <c r="A9" i="13"/>
  <c r="A5" i="10"/>
  <c r="A5" i="13"/>
  <c r="A65" i="10"/>
  <c r="A65" i="13"/>
  <c r="A61" i="10"/>
  <c r="A61" i="13"/>
  <c r="A57" i="10"/>
  <c r="A57" i="13"/>
  <c r="A53" i="10"/>
  <c r="A53" i="13"/>
  <c r="A49" i="10"/>
  <c r="A49" i="13"/>
  <c r="A45" i="10"/>
  <c r="A45" i="13"/>
  <c r="A41" i="10"/>
  <c r="A41" i="13"/>
  <c r="A99" i="13"/>
  <c r="A99" i="10"/>
  <c r="A95" i="13"/>
  <c r="A95" i="10"/>
  <c r="A91" i="13"/>
  <c r="A91" i="10"/>
  <c r="A87" i="13"/>
  <c r="A87" i="10"/>
  <c r="A83" i="13"/>
  <c r="A83" i="10"/>
  <c r="A79" i="13"/>
  <c r="A79" i="10"/>
  <c r="A75" i="13"/>
  <c r="A75" i="10"/>
  <c r="A71" i="13"/>
  <c r="A71" i="10"/>
  <c r="A67" i="13"/>
  <c r="A67" i="10"/>
  <c r="A123" i="13"/>
  <c r="A123" i="10"/>
  <c r="A119" i="13"/>
  <c r="A119" i="10"/>
  <c r="A115" i="13"/>
  <c r="A115" i="10"/>
  <c r="A111" i="13"/>
  <c r="A111" i="10"/>
  <c r="A107" i="13"/>
  <c r="A107" i="10"/>
  <c r="A103" i="13"/>
  <c r="A103" i="10"/>
  <c r="A158" i="13"/>
  <c r="A158" i="10"/>
  <c r="A154" i="10"/>
  <c r="A154" i="13"/>
  <c r="A150" i="10"/>
  <c r="A150" i="13"/>
  <c r="A146" i="10"/>
  <c r="A146" i="13"/>
  <c r="A142" i="10"/>
  <c r="A142" i="13"/>
  <c r="A138" i="10"/>
  <c r="A138" i="13"/>
  <c r="A134" i="10"/>
  <c r="A134" i="13"/>
  <c r="A130" i="10"/>
  <c r="A130" i="13"/>
  <c r="A183" i="13"/>
  <c r="A179" i="13"/>
  <c r="A175" i="13"/>
  <c r="A171" i="13"/>
  <c r="A167" i="13"/>
  <c r="A163" i="13"/>
  <c r="A38" i="10"/>
  <c r="A38" i="13"/>
  <c r="A26" i="13"/>
  <c r="A26" i="10"/>
  <c r="A14" i="13"/>
  <c r="A14" i="10"/>
  <c r="A66" i="10"/>
  <c r="A66" i="13"/>
  <c r="A54" i="10"/>
  <c r="A54" i="13"/>
  <c r="A42" i="10"/>
  <c r="A42" i="13"/>
  <c r="A92" i="13"/>
  <c r="A92" i="10"/>
  <c r="A80" i="13"/>
  <c r="A80" i="10"/>
  <c r="A68" i="13"/>
  <c r="A68" i="10"/>
  <c r="A116" i="13"/>
  <c r="A116" i="10"/>
  <c r="A104" i="13"/>
  <c r="A104" i="10"/>
  <c r="A151" i="13"/>
  <c r="A151" i="10"/>
  <c r="A139" i="13"/>
  <c r="A139" i="10"/>
  <c r="A127" i="13"/>
  <c r="A127" i="10"/>
  <c r="A176" i="13"/>
  <c r="A176" i="10"/>
  <c r="A160" i="13"/>
  <c r="A160" i="10"/>
  <c r="A2" i="13"/>
  <c r="A2" i="10"/>
  <c r="A36" i="13"/>
  <c r="A36" i="10"/>
  <c r="A32" i="13"/>
  <c r="A32" i="10"/>
  <c r="A28" i="13"/>
  <c r="A28" i="10"/>
  <c r="A24" i="13"/>
  <c r="A24" i="10"/>
  <c r="A20" i="13"/>
  <c r="A20" i="10"/>
  <c r="A16" i="13"/>
  <c r="A16" i="10"/>
  <c r="A12" i="13"/>
  <c r="A12" i="10"/>
  <c r="A8" i="13"/>
  <c r="A8" i="10"/>
  <c r="A4" i="13"/>
  <c r="A4" i="10"/>
  <c r="A64" i="13"/>
  <c r="A64" i="10"/>
  <c r="A60" i="13"/>
  <c r="A60" i="10"/>
  <c r="A56" i="13"/>
  <c r="A56" i="10"/>
  <c r="A52" i="13"/>
  <c r="A52" i="10"/>
  <c r="A48" i="13"/>
  <c r="A48" i="10"/>
  <c r="A44" i="13"/>
  <c r="A44" i="10"/>
  <c r="A40" i="13"/>
  <c r="A40" i="10"/>
  <c r="A98" i="10"/>
  <c r="A98" i="13"/>
  <c r="A94" i="10"/>
  <c r="A94" i="13"/>
  <c r="A90" i="10"/>
  <c r="A90" i="13"/>
  <c r="A86" i="10"/>
  <c r="A86" i="13"/>
  <c r="A82" i="10"/>
  <c r="A82" i="13"/>
  <c r="A78" i="10"/>
  <c r="A78" i="13"/>
  <c r="A74" i="10"/>
  <c r="A74" i="13"/>
  <c r="A70" i="10"/>
  <c r="A70" i="13"/>
  <c r="A126" i="10"/>
  <c r="A126" i="13"/>
  <c r="A122" i="10"/>
  <c r="A122" i="13"/>
  <c r="A118" i="10"/>
  <c r="A118" i="13"/>
  <c r="A114" i="10"/>
  <c r="A114" i="13"/>
  <c r="A110" i="10"/>
  <c r="A110" i="13"/>
  <c r="A106" i="10"/>
  <c r="A106" i="13"/>
  <c r="A102" i="10"/>
  <c r="A102" i="13"/>
  <c r="A157" i="13"/>
  <c r="A157" i="10"/>
  <c r="A153" i="10"/>
  <c r="A153" i="13"/>
  <c r="A149" i="10"/>
  <c r="A149" i="13"/>
  <c r="A145" i="10"/>
  <c r="A145" i="13"/>
  <c r="A141" i="10"/>
  <c r="A141" i="13"/>
  <c r="A137" i="10"/>
  <c r="A137" i="13"/>
  <c r="A133" i="10"/>
  <c r="A133" i="13"/>
  <c r="A129" i="10"/>
  <c r="A129" i="13"/>
  <c r="A182" i="13"/>
  <c r="A178" i="13"/>
  <c r="A174" i="13"/>
  <c r="A170" i="13"/>
  <c r="A166" i="13"/>
  <c r="A162" i="13"/>
  <c r="A179" i="10"/>
  <c r="A171" i="10"/>
  <c r="A163" i="10"/>
  <c r="F2" i="12"/>
  <c r="A1" i="13"/>
  <c r="A1" i="10"/>
  <c r="A35" i="13"/>
  <c r="A35" i="10"/>
  <c r="A31" i="13"/>
  <c r="A31" i="10"/>
  <c r="A27" i="13"/>
  <c r="A27" i="10"/>
  <c r="A23" i="13"/>
  <c r="A23" i="10"/>
  <c r="A19" i="13"/>
  <c r="A19" i="10"/>
  <c r="A15" i="13"/>
  <c r="A15" i="10"/>
  <c r="A11" i="13"/>
  <c r="A11" i="10"/>
  <c r="A7" i="13"/>
  <c r="A7" i="10"/>
  <c r="A3" i="13"/>
  <c r="A3" i="10"/>
  <c r="A63" i="13"/>
  <c r="A63" i="10"/>
  <c r="A59" i="13"/>
  <c r="A59" i="10"/>
  <c r="A55" i="13"/>
  <c r="A55" i="10"/>
  <c r="A51" i="13"/>
  <c r="A51" i="10"/>
  <c r="A47" i="13"/>
  <c r="A47" i="10"/>
  <c r="A43" i="13"/>
  <c r="A43" i="10"/>
  <c r="A39" i="13"/>
  <c r="A39" i="10"/>
  <c r="A97" i="10"/>
  <c r="A97" i="13"/>
  <c r="A93" i="10"/>
  <c r="A93" i="13"/>
  <c r="A89" i="10"/>
  <c r="A89" i="13"/>
  <c r="A85" i="10"/>
  <c r="A85" i="13"/>
  <c r="A81" i="10"/>
  <c r="A81" i="13"/>
  <c r="A77" i="10"/>
  <c r="A77" i="13"/>
  <c r="A73" i="10"/>
  <c r="A73" i="13"/>
  <c r="A69" i="10"/>
  <c r="A69" i="13"/>
  <c r="A125" i="10"/>
  <c r="A125" i="13"/>
  <c r="A121" i="10"/>
  <c r="A121" i="13"/>
  <c r="A117" i="10"/>
  <c r="A117" i="13"/>
  <c r="A113" i="10"/>
  <c r="A113" i="13"/>
  <c r="A109" i="10"/>
  <c r="A109" i="13"/>
  <c r="A105" i="10"/>
  <c r="A105" i="13"/>
  <c r="A101" i="10"/>
  <c r="A101" i="13"/>
  <c r="A156" i="13"/>
  <c r="A156" i="10"/>
  <c r="A152" i="13"/>
  <c r="A152" i="10"/>
  <c r="A148" i="13"/>
  <c r="A148" i="10"/>
  <c r="A144" i="13"/>
  <c r="A144" i="10"/>
  <c r="A140" i="13"/>
  <c r="A140" i="10"/>
  <c r="A136" i="13"/>
  <c r="A136" i="10"/>
  <c r="A132" i="13"/>
  <c r="A132" i="10"/>
  <c r="A128" i="13"/>
  <c r="A128" i="10"/>
  <c r="A181" i="13"/>
  <c r="A181" i="10"/>
  <c r="A177" i="13"/>
  <c r="A177" i="10"/>
  <c r="A173" i="13"/>
  <c r="A173" i="10"/>
  <c r="A169" i="13"/>
  <c r="A169" i="10"/>
  <c r="A165" i="13"/>
  <c r="A165" i="10"/>
  <c r="A161" i="13"/>
  <c r="A161" i="10"/>
  <c r="A178" i="10"/>
  <c r="A170" i="10"/>
  <c r="A162" i="10"/>
  <c r="W52" i="9"/>
  <c r="W82" i="9"/>
  <c r="W112" i="9"/>
  <c r="W115" i="9"/>
  <c r="W3" i="9"/>
  <c r="W73" i="9"/>
  <c r="W132" i="9"/>
  <c r="D178" i="10"/>
  <c r="D162" i="10"/>
  <c r="D150" i="10"/>
  <c r="D134" i="10"/>
  <c r="D119" i="10"/>
  <c r="D103" i="10"/>
  <c r="D91" i="10"/>
  <c r="D75" i="10"/>
  <c r="D64" i="10"/>
  <c r="D50" i="10"/>
  <c r="D34" i="10"/>
  <c r="D22" i="10"/>
  <c r="D6" i="10"/>
  <c r="D171" i="10"/>
  <c r="D160" i="10"/>
  <c r="D146" i="10"/>
  <c r="D130" i="10"/>
  <c r="D118" i="10"/>
  <c r="D102" i="10"/>
  <c r="D87" i="10"/>
  <c r="D71" i="10"/>
  <c r="D59" i="10"/>
  <c r="D43" i="10"/>
  <c r="D32" i="10"/>
  <c r="D18" i="10"/>
  <c r="D3" i="10"/>
  <c r="D14" i="13"/>
  <c r="D19" i="13"/>
  <c r="D30" i="13"/>
  <c r="D35" i="13"/>
  <c r="D183" i="10"/>
  <c r="D167" i="10"/>
  <c r="D155" i="10"/>
  <c r="D139" i="10"/>
  <c r="D128" i="10"/>
  <c r="D114" i="10"/>
  <c r="D98" i="10"/>
  <c r="D86" i="10"/>
  <c r="D70" i="10"/>
  <c r="D182" i="10"/>
  <c r="D166" i="10"/>
  <c r="D151" i="10"/>
  <c r="D135" i="10"/>
  <c r="D123" i="10"/>
  <c r="D107" i="10"/>
  <c r="D96" i="10"/>
  <c r="D82" i="10"/>
  <c r="D66" i="10"/>
  <c r="D54" i="10"/>
  <c r="D38" i="10"/>
  <c r="D23" i="10"/>
  <c r="D7" i="10"/>
  <c r="D181" i="10"/>
  <c r="D181" i="13"/>
  <c r="D177" i="10"/>
  <c r="D177" i="13"/>
  <c r="D173" i="10"/>
  <c r="D173" i="13"/>
  <c r="D169" i="10"/>
  <c r="D169" i="13"/>
  <c r="D165" i="10"/>
  <c r="D165" i="13"/>
  <c r="D161" i="10"/>
  <c r="D161" i="13"/>
  <c r="D157" i="10"/>
  <c r="D157" i="13"/>
  <c r="D153" i="10"/>
  <c r="D153" i="13"/>
  <c r="D149" i="10"/>
  <c r="D149" i="13"/>
  <c r="D145" i="10"/>
  <c r="D145" i="13"/>
  <c r="D141" i="10"/>
  <c r="D141" i="13"/>
  <c r="D137" i="10"/>
  <c r="D137" i="13"/>
  <c r="D133" i="10"/>
  <c r="D133" i="13"/>
  <c r="D129" i="10"/>
  <c r="D129" i="13"/>
  <c r="D125" i="10"/>
  <c r="D125" i="13"/>
  <c r="D121" i="10"/>
  <c r="D121" i="13"/>
  <c r="D117" i="10"/>
  <c r="D117" i="13"/>
  <c r="D113" i="10"/>
  <c r="D113" i="13"/>
  <c r="D109" i="10"/>
  <c r="D109" i="13"/>
  <c r="D105" i="10"/>
  <c r="D105" i="13"/>
  <c r="D101" i="10"/>
  <c r="D101" i="13"/>
  <c r="D97" i="10"/>
  <c r="D97" i="13"/>
  <c r="D93" i="10"/>
  <c r="D93" i="13"/>
  <c r="D89" i="10"/>
  <c r="D89" i="13"/>
  <c r="D85" i="10"/>
  <c r="D85" i="13"/>
  <c r="D81" i="10"/>
  <c r="D81" i="13"/>
  <c r="D77" i="10"/>
  <c r="D77" i="13"/>
  <c r="D73" i="10"/>
  <c r="D73" i="13"/>
  <c r="D69" i="10"/>
  <c r="D69" i="13"/>
  <c r="D65" i="10"/>
  <c r="D65" i="13"/>
  <c r="D61" i="10"/>
  <c r="D61" i="13"/>
  <c r="D57" i="10"/>
  <c r="D57" i="13"/>
  <c r="D53" i="10"/>
  <c r="D53" i="13"/>
  <c r="D49" i="10"/>
  <c r="D49" i="13"/>
  <c r="D45" i="10"/>
  <c r="D45" i="13"/>
  <c r="D41" i="10"/>
  <c r="D41" i="13"/>
  <c r="D37" i="10"/>
  <c r="D37" i="13"/>
  <c r="D29" i="10"/>
  <c r="D29" i="13"/>
  <c r="D21" i="10"/>
  <c r="D21" i="13"/>
  <c r="D13" i="10"/>
  <c r="D13" i="13"/>
  <c r="D5" i="10"/>
  <c r="D5" i="13"/>
  <c r="D17" i="13"/>
  <c r="D33" i="13"/>
  <c r="D180" i="13"/>
  <c r="D180" i="10"/>
  <c r="D168" i="13"/>
  <c r="D168" i="10"/>
  <c r="D164" i="13"/>
  <c r="D164" i="10"/>
  <c r="D152" i="13"/>
  <c r="D152" i="10"/>
  <c r="D148" i="13"/>
  <c r="D148" i="10"/>
  <c r="D136" i="13"/>
  <c r="D136" i="10"/>
  <c r="D132" i="13"/>
  <c r="D132" i="10"/>
  <c r="D120" i="13"/>
  <c r="D120" i="10"/>
  <c r="D116" i="13"/>
  <c r="D116" i="10"/>
  <c r="D104" i="13"/>
  <c r="D104" i="10"/>
  <c r="D100" i="13"/>
  <c r="D100" i="10"/>
  <c r="D88" i="13"/>
  <c r="D88" i="10"/>
  <c r="D84" i="13"/>
  <c r="D84" i="10"/>
  <c r="D72" i="13"/>
  <c r="D72" i="10"/>
  <c r="D68" i="13"/>
  <c r="D68" i="10"/>
  <c r="D56" i="13"/>
  <c r="D56" i="10"/>
  <c r="D52" i="13"/>
  <c r="D52" i="10"/>
  <c r="D40" i="13"/>
  <c r="D40" i="10"/>
  <c r="D24" i="13"/>
  <c r="D24" i="10"/>
  <c r="D8" i="13"/>
  <c r="D8" i="10"/>
  <c r="D156" i="10"/>
  <c r="D124" i="10"/>
  <c r="D92" i="10"/>
  <c r="D60" i="10"/>
  <c r="D28" i="10"/>
  <c r="D4" i="13"/>
  <c r="D20" i="13"/>
  <c r="D36" i="13"/>
  <c r="D176" i="10"/>
  <c r="D144" i="10"/>
  <c r="D112" i="10"/>
  <c r="D80" i="10"/>
  <c r="D48" i="10"/>
  <c r="D16" i="10"/>
  <c r="D9" i="13"/>
  <c r="D25" i="13"/>
  <c r="V3" i="2"/>
  <c r="W3" i="2" s="1"/>
  <c r="D2" i="10"/>
  <c r="D172" i="10"/>
  <c r="D140" i="10"/>
  <c r="D108" i="10"/>
  <c r="D76" i="10"/>
  <c r="D44" i="10"/>
  <c r="D12" i="10"/>
  <c r="D175" i="10"/>
  <c r="D170" i="10"/>
  <c r="D159" i="10"/>
  <c r="D154" i="10"/>
  <c r="D143" i="10"/>
  <c r="D138" i="10"/>
  <c r="D127" i="10"/>
  <c r="D122" i="10"/>
  <c r="D111" i="10"/>
  <c r="D106" i="10"/>
  <c r="D95" i="10"/>
  <c r="D90" i="10"/>
  <c r="D79" i="10"/>
  <c r="D74" i="10"/>
  <c r="D63" i="10"/>
  <c r="D58" i="10"/>
  <c r="D47" i="10"/>
  <c r="D42" i="10"/>
  <c r="D31" i="10"/>
  <c r="D26" i="10"/>
  <c r="D15" i="10"/>
  <c r="D10" i="10"/>
  <c r="D179" i="10"/>
  <c r="D174" i="10"/>
  <c r="D163" i="10"/>
  <c r="D158" i="10"/>
  <c r="D147" i="10"/>
  <c r="D142" i="10"/>
  <c r="D131" i="10"/>
  <c r="D126" i="10"/>
  <c r="D115" i="10"/>
  <c r="D110" i="10"/>
  <c r="D99" i="10"/>
  <c r="D94" i="10"/>
  <c r="D83" i="10"/>
  <c r="D78" i="10"/>
  <c r="D67" i="10"/>
  <c r="D62" i="10"/>
  <c r="D51" i="10"/>
  <c r="D46" i="10"/>
  <c r="AB57" i="13"/>
  <c r="AS57" i="13" s="1"/>
  <c r="AB56" i="13"/>
  <c r="AS56" i="13" s="1"/>
  <c r="AB52" i="13"/>
  <c r="AS52" i="13" s="1"/>
  <c r="AB44" i="13"/>
  <c r="AS44" i="13" s="1"/>
  <c r="AB49" i="13"/>
  <c r="AS49" i="13" s="1"/>
  <c r="AB48" i="13"/>
  <c r="AS48" i="13" s="1"/>
  <c r="AB43" i="13"/>
  <c r="AS43" i="13" s="1"/>
  <c r="AB40" i="13"/>
  <c r="AS40" i="13" s="1"/>
  <c r="K1" i="13"/>
  <c r="AB45" i="13"/>
  <c r="AS45" i="13" s="1"/>
  <c r="AB46" i="13"/>
  <c r="AS46" i="13" s="1"/>
  <c r="AB47" i="13"/>
  <c r="AS47" i="13" s="1"/>
  <c r="AB50" i="13"/>
  <c r="AS50" i="13" s="1"/>
  <c r="AB54" i="13"/>
  <c r="AS54" i="13" s="1"/>
  <c r="AB42" i="13"/>
  <c r="AS42" i="13" s="1"/>
  <c r="AB41" i="13"/>
  <c r="AS41" i="13" s="1"/>
  <c r="AB51" i="13"/>
  <c r="AS51" i="13" s="1"/>
  <c r="AB55" i="13"/>
  <c r="AS55" i="13" s="1"/>
  <c r="AB53" i="13"/>
  <c r="AS53" i="13" s="1"/>
  <c r="AC49" i="13"/>
  <c r="U2" i="2"/>
  <c r="I2" i="12"/>
  <c r="D2" i="18" s="1"/>
  <c r="X74" i="2"/>
  <c r="X110" i="2"/>
  <c r="X78" i="2"/>
  <c r="B78" i="2" s="1"/>
  <c r="X102" i="2"/>
  <c r="X86" i="2"/>
  <c r="B86" i="2" s="1"/>
  <c r="X70" i="2"/>
  <c r="B70" i="2" s="1"/>
  <c r="X54" i="2"/>
  <c r="B54" i="2" s="1"/>
  <c r="X38" i="2"/>
  <c r="X6" i="2"/>
  <c r="X62" i="2"/>
  <c r="B62" i="2" s="1"/>
  <c r="X14" i="2"/>
  <c r="X66" i="2"/>
  <c r="X50" i="2"/>
  <c r="X182" i="2"/>
  <c r="X174" i="2"/>
  <c r="X166" i="2"/>
  <c r="X158" i="2"/>
  <c r="X154" i="2"/>
  <c r="X150" i="2"/>
  <c r="X142" i="2"/>
  <c r="X138" i="2"/>
  <c r="X134" i="2"/>
  <c r="X126" i="2"/>
  <c r="X118" i="2"/>
  <c r="X181" i="2"/>
  <c r="X169" i="2"/>
  <c r="X165" i="2"/>
  <c r="X149" i="2"/>
  <c r="X137" i="2"/>
  <c r="X133" i="2"/>
  <c r="X117" i="2"/>
  <c r="X105" i="2"/>
  <c r="X101" i="2"/>
  <c r="X85" i="2"/>
  <c r="X73" i="2"/>
  <c r="X69" i="2"/>
  <c r="X53" i="2"/>
  <c r="X41" i="2"/>
  <c r="X25" i="2"/>
  <c r="X9" i="2"/>
  <c r="X5" i="2"/>
  <c r="X4" i="2"/>
  <c r="V2" i="2"/>
  <c r="X2" i="2" s="1"/>
  <c r="V183" i="2"/>
  <c r="V179" i="2"/>
  <c r="V175" i="2"/>
  <c r="V171" i="2"/>
  <c r="V167" i="2"/>
  <c r="V163" i="2"/>
  <c r="V159" i="2"/>
  <c r="V155" i="2"/>
  <c r="V151" i="2"/>
  <c r="V147" i="2"/>
  <c r="V143" i="2"/>
  <c r="V139" i="2"/>
  <c r="V135" i="2"/>
  <c r="V131" i="2"/>
  <c r="V127" i="2"/>
  <c r="V123" i="2"/>
  <c r="V119" i="2"/>
  <c r="V115" i="2"/>
  <c r="V111" i="2"/>
  <c r="V107" i="2"/>
  <c r="V103" i="2"/>
  <c r="V99" i="2"/>
  <c r="V95" i="2"/>
  <c r="V87" i="2"/>
  <c r="V83" i="2"/>
  <c r="V79" i="2"/>
  <c r="V71" i="2"/>
  <c r="V67" i="2"/>
  <c r="V63" i="2"/>
  <c r="V55" i="2"/>
  <c r="V51" i="2"/>
  <c r="B51" i="2" s="1"/>
  <c r="V47" i="2"/>
  <c r="B47" i="2" s="1"/>
  <c r="V39" i="2"/>
  <c r="B39" i="2" s="1"/>
  <c r="V35" i="2"/>
  <c r="B35" i="2" s="1"/>
  <c r="V31" i="2"/>
  <c r="B31" i="2" s="1"/>
  <c r="V23" i="2"/>
  <c r="V19" i="2"/>
  <c r="V15" i="2"/>
  <c r="V7" i="2"/>
  <c r="L2" i="12"/>
  <c r="H2" i="12"/>
  <c r="C2" i="12"/>
  <c r="D2" i="12"/>
  <c r="E2" i="12"/>
  <c r="G2" i="12"/>
  <c r="B2" i="12"/>
  <c r="V2" i="9"/>
  <c r="T2" i="9" s="1"/>
  <c r="V3" i="9"/>
  <c r="T3" i="9" s="1"/>
  <c r="Y1" i="10"/>
  <c r="D8" i="8"/>
  <c r="D6" i="8"/>
  <c r="D7" i="8"/>
  <c r="W20" i="6"/>
  <c r="U20" i="6" s="1"/>
  <c r="W2" i="6"/>
  <c r="U2" i="6" s="1"/>
  <c r="D4" i="8"/>
  <c r="W21" i="6"/>
  <c r="U21" i="6" s="1"/>
  <c r="D5" i="8"/>
  <c r="D3" i="8"/>
  <c r="D116" i="6"/>
  <c r="D153" i="6"/>
  <c r="D84" i="6"/>
  <c r="D138" i="6"/>
  <c r="D148" i="6"/>
  <c r="D75" i="6"/>
  <c r="D112" i="6"/>
  <c r="D52" i="6"/>
  <c r="D32" i="6"/>
  <c r="D23" i="6"/>
  <c r="W134" i="12" l="1"/>
  <c r="W62" i="12"/>
  <c r="W102" i="12"/>
  <c r="AS59" i="28"/>
  <c r="J188" i="28"/>
  <c r="J187" i="28"/>
  <c r="K189" i="28"/>
  <c r="AT61" i="28"/>
  <c r="AT60" i="28"/>
  <c r="K190" i="28"/>
  <c r="W150" i="12"/>
  <c r="W17" i="12"/>
  <c r="W117" i="12"/>
  <c r="W97" i="12"/>
  <c r="W149" i="12"/>
  <c r="W41" i="12"/>
  <c r="W165" i="12"/>
  <c r="W126" i="12"/>
  <c r="AS61" i="28"/>
  <c r="J192" i="28"/>
  <c r="J191" i="28"/>
  <c r="AS60" i="28"/>
  <c r="BC60" i="28" s="1"/>
  <c r="DH100" i="28" s="1"/>
  <c r="DE100" i="28" s="1"/>
  <c r="W142" i="12"/>
  <c r="W173" i="12"/>
  <c r="W125" i="12"/>
  <c r="W81" i="12"/>
  <c r="W133" i="12"/>
  <c r="W110" i="12"/>
  <c r="W118" i="12"/>
  <c r="W74" i="12"/>
  <c r="W36" i="12"/>
  <c r="AU59" i="28"/>
  <c r="L185" i="28"/>
  <c r="L187" i="28"/>
  <c r="AT59" i="28"/>
  <c r="K185" i="28"/>
  <c r="K188" i="28"/>
  <c r="H114" i="17"/>
  <c r="X42" i="2"/>
  <c r="V2" i="18"/>
  <c r="H195" i="17"/>
  <c r="S195" i="17" s="1"/>
  <c r="H297" i="17"/>
  <c r="S297" i="17" s="1"/>
  <c r="S156" i="17"/>
  <c r="H64" i="17"/>
  <c r="S64" i="17" s="1"/>
  <c r="H55" i="17"/>
  <c r="S55" i="17" s="1"/>
  <c r="H68" i="17"/>
  <c r="S68" i="17" s="1"/>
  <c r="H63" i="17"/>
  <c r="S63" i="17" s="1"/>
  <c r="H75" i="17"/>
  <c r="S75" i="17" s="1"/>
  <c r="H110" i="15"/>
  <c r="S110" i="15" s="1"/>
  <c r="H76" i="17"/>
  <c r="S76" i="17" s="1"/>
  <c r="H201" i="15"/>
  <c r="S201" i="15" s="1"/>
  <c r="S231" i="15"/>
  <c r="H214" i="15"/>
  <c r="S214" i="15" s="1"/>
  <c r="H328" i="17"/>
  <c r="S328" i="17" s="1"/>
  <c r="H221" i="17"/>
  <c r="S221" i="17" s="1"/>
  <c r="H243" i="15"/>
  <c r="S243" i="15" s="1"/>
  <c r="S216" i="15"/>
  <c r="S222" i="15"/>
  <c r="H214" i="17"/>
  <c r="S214" i="17" s="1"/>
  <c r="H227" i="17"/>
  <c r="S227" i="17" s="1"/>
  <c r="H224" i="17"/>
  <c r="S224" i="17" s="1"/>
  <c r="H237" i="15"/>
  <c r="S237" i="15" s="1"/>
  <c r="S220" i="15"/>
  <c r="H190" i="17"/>
  <c r="S190" i="17" s="1"/>
  <c r="H247" i="17"/>
  <c r="S206" i="15"/>
  <c r="H210" i="15"/>
  <c r="S210" i="15" s="1"/>
  <c r="H242" i="15"/>
  <c r="S242" i="15" s="1"/>
  <c r="S247" i="17"/>
  <c r="H229" i="15"/>
  <c r="S229" i="15" s="1"/>
  <c r="H176" i="15"/>
  <c r="S176" i="15" s="1"/>
  <c r="H335" i="15"/>
  <c r="S335" i="15" s="1"/>
  <c r="S152" i="17"/>
  <c r="S213" i="15"/>
  <c r="S296" i="15"/>
  <c r="H179" i="15"/>
  <c r="S179" i="15" s="1"/>
  <c r="AE65" i="9"/>
  <c r="H72" i="17"/>
  <c r="S72" i="17" s="1"/>
  <c r="S68" i="15"/>
  <c r="H147" i="15"/>
  <c r="S147" i="15" s="1"/>
  <c r="BA6" i="15" s="1"/>
  <c r="H334" i="15"/>
  <c r="S334" i="15" s="1"/>
  <c r="H204" i="17"/>
  <c r="S204" i="17" s="1"/>
  <c r="H235" i="17"/>
  <c r="S235" i="17" s="1"/>
  <c r="H207" i="17"/>
  <c r="S207" i="17" s="1"/>
  <c r="H237" i="17"/>
  <c r="S237" i="17" s="1"/>
  <c r="S217" i="15"/>
  <c r="S223" i="15"/>
  <c r="H191" i="17"/>
  <c r="S191" i="17" s="1"/>
  <c r="S225" i="15"/>
  <c r="S226" i="15"/>
  <c r="AH4" i="20"/>
  <c r="AF4" i="20" s="1"/>
  <c r="AH5" i="20"/>
  <c r="AF5" i="20" s="1"/>
  <c r="AH3" i="20"/>
  <c r="AF3" i="20" s="1"/>
  <c r="D2" i="21" s="1"/>
  <c r="H232" i="17"/>
  <c r="S232" i="17" s="1"/>
  <c r="H209" i="15"/>
  <c r="S209" i="15" s="1"/>
  <c r="H148" i="15"/>
  <c r="S148" i="15" s="1"/>
  <c r="H180" i="15"/>
  <c r="S180" i="15" s="1"/>
  <c r="S234" i="15"/>
  <c r="H220" i="17"/>
  <c r="S220" i="17" s="1"/>
  <c r="H178" i="17"/>
  <c r="S178" i="17" s="1"/>
  <c r="H223" i="17"/>
  <c r="S223" i="17" s="1"/>
  <c r="S177" i="15"/>
  <c r="S240" i="15"/>
  <c r="S246" i="15"/>
  <c r="S180" i="17"/>
  <c r="H122" i="17"/>
  <c r="S122" i="17" s="1"/>
  <c r="S174" i="17"/>
  <c r="H218" i="17"/>
  <c r="S218" i="17" s="1"/>
  <c r="H241" i="17"/>
  <c r="S241" i="17" s="1"/>
  <c r="H217" i="17"/>
  <c r="S217" i="17" s="1"/>
  <c r="H147" i="17"/>
  <c r="S147" i="17" s="1"/>
  <c r="H60" i="15"/>
  <c r="S60" i="15" s="1"/>
  <c r="H53" i="15"/>
  <c r="S53" i="15" s="1"/>
  <c r="H179" i="17"/>
  <c r="S179" i="17" s="1"/>
  <c r="H203" i="17"/>
  <c r="S203" i="17" s="1"/>
  <c r="H229" i="17"/>
  <c r="S229" i="17" s="1"/>
  <c r="S236" i="15"/>
  <c r="H246" i="17"/>
  <c r="S246" i="17" s="1"/>
  <c r="S219" i="15"/>
  <c r="S327" i="15"/>
  <c r="H208" i="17"/>
  <c r="S208" i="17" s="1"/>
  <c r="H240" i="17"/>
  <c r="S240" i="17" s="1"/>
  <c r="S178" i="15"/>
  <c r="H213" i="17"/>
  <c r="S213" i="17" s="1"/>
  <c r="S239" i="15"/>
  <c r="S245" i="15"/>
  <c r="H194" i="17"/>
  <c r="S194" i="17" s="1"/>
  <c r="H226" i="17"/>
  <c r="S226" i="17" s="1"/>
  <c r="S194" i="15"/>
  <c r="S244" i="17"/>
  <c r="S193" i="15"/>
  <c r="H58" i="17"/>
  <c r="S58" i="17" s="1"/>
  <c r="S186" i="17"/>
  <c r="S173" i="17"/>
  <c r="S177" i="17"/>
  <c r="H306" i="15"/>
  <c r="S306" i="15" s="1"/>
  <c r="H307" i="17"/>
  <c r="S307" i="17" s="1"/>
  <c r="H301" i="15"/>
  <c r="S301" i="15" s="1"/>
  <c r="H302" i="17"/>
  <c r="S302" i="17" s="1"/>
  <c r="H302" i="15"/>
  <c r="S302" i="15" s="1"/>
  <c r="H303" i="17"/>
  <c r="S303" i="17" s="1"/>
  <c r="H175" i="15"/>
  <c r="S175" i="15" s="1"/>
  <c r="H176" i="17"/>
  <c r="S176" i="17" s="1"/>
  <c r="H328" i="15"/>
  <c r="S328" i="15" s="1"/>
  <c r="H329" i="17"/>
  <c r="S329" i="17" s="1"/>
  <c r="H188" i="15"/>
  <c r="S188" i="15" s="1"/>
  <c r="H189" i="17"/>
  <c r="S189" i="17" s="1"/>
  <c r="H200" i="15"/>
  <c r="S200" i="15" s="1"/>
  <c r="H201" i="17"/>
  <c r="S201" i="17" s="1"/>
  <c r="H253" i="15"/>
  <c r="S253" i="15" s="1"/>
  <c r="H254" i="17"/>
  <c r="S254" i="17" s="1"/>
  <c r="H265" i="15"/>
  <c r="S265" i="15" s="1"/>
  <c r="H266" i="17"/>
  <c r="S266" i="17" s="1"/>
  <c r="H277" i="15"/>
  <c r="S277" i="15" s="1"/>
  <c r="H278" i="17"/>
  <c r="S278" i="17" s="1"/>
  <c r="H284" i="15"/>
  <c r="S284" i="15" s="1"/>
  <c r="H285" i="17"/>
  <c r="S285" i="17" s="1"/>
  <c r="H164" i="15"/>
  <c r="S164" i="15" s="1"/>
  <c r="H165" i="17"/>
  <c r="S165" i="17" s="1"/>
  <c r="H318" i="15"/>
  <c r="S318" i="15" s="1"/>
  <c r="H319" i="17"/>
  <c r="S319" i="17" s="1"/>
  <c r="H171" i="15"/>
  <c r="S171" i="15" s="1"/>
  <c r="H172" i="17"/>
  <c r="S172" i="17" s="1"/>
  <c r="H149" i="15"/>
  <c r="S149" i="15" s="1"/>
  <c r="H150" i="17"/>
  <c r="S150" i="17" s="1"/>
  <c r="H300" i="15"/>
  <c r="S300" i="15" s="1"/>
  <c r="H301" i="17"/>
  <c r="S301" i="17" s="1"/>
  <c r="H156" i="15"/>
  <c r="S156" i="15" s="1"/>
  <c r="BA8" i="15" s="1"/>
  <c r="H157" i="17"/>
  <c r="S157" i="17" s="1"/>
  <c r="H325" i="15"/>
  <c r="S325" i="15" s="1"/>
  <c r="H326" i="17"/>
  <c r="S326" i="17" s="1"/>
  <c r="H329" i="15"/>
  <c r="S329" i="15" s="1"/>
  <c r="H330" i="17"/>
  <c r="S330" i="17" s="1"/>
  <c r="H192" i="15"/>
  <c r="S192" i="15" s="1"/>
  <c r="H193" i="17"/>
  <c r="S193" i="17" s="1"/>
  <c r="H248" i="15"/>
  <c r="S248" i="15" s="1"/>
  <c r="H249" i="17"/>
  <c r="S249" i="17" s="1"/>
  <c r="H256" i="15"/>
  <c r="S256" i="15" s="1"/>
  <c r="H257" i="17"/>
  <c r="S257" i="17" s="1"/>
  <c r="H262" i="15"/>
  <c r="S262" i="15" s="1"/>
  <c r="H263" i="17"/>
  <c r="S263" i="17" s="1"/>
  <c r="H270" i="15"/>
  <c r="S270" i="15" s="1"/>
  <c r="H271" i="17"/>
  <c r="S271" i="17" s="1"/>
  <c r="H292" i="15"/>
  <c r="S292" i="15" s="1"/>
  <c r="H293" i="17"/>
  <c r="S293" i="17" s="1"/>
  <c r="H317" i="15"/>
  <c r="S317" i="15" s="1"/>
  <c r="H318" i="17"/>
  <c r="S318" i="17" s="1"/>
  <c r="H320" i="15"/>
  <c r="S320" i="15" s="1"/>
  <c r="H321" i="17"/>
  <c r="S321" i="17" s="1"/>
  <c r="H204" i="15"/>
  <c r="S204" i="15" s="1"/>
  <c r="H205" i="17"/>
  <c r="S205" i="17" s="1"/>
  <c r="S238" i="17"/>
  <c r="S181" i="17"/>
  <c r="S243" i="17"/>
  <c r="S149" i="17"/>
  <c r="H152" i="15"/>
  <c r="S152" i="15" s="1"/>
  <c r="BA7" i="15" s="1"/>
  <c r="H153" i="17"/>
  <c r="S153" i="17" s="1"/>
  <c r="H303" i="15"/>
  <c r="S303" i="15" s="1"/>
  <c r="H304" i="17"/>
  <c r="S304" i="17" s="1"/>
  <c r="H326" i="15"/>
  <c r="S326" i="15" s="1"/>
  <c r="H327" i="17"/>
  <c r="S327" i="17" s="1"/>
  <c r="H330" i="15"/>
  <c r="S330" i="15" s="1"/>
  <c r="H331" i="17"/>
  <c r="S331" i="17" s="1"/>
  <c r="H195" i="15"/>
  <c r="S195" i="15" s="1"/>
  <c r="H196" i="17"/>
  <c r="S196" i="17" s="1"/>
  <c r="H340" i="15"/>
  <c r="S340" i="15" s="1"/>
  <c r="H341" i="17"/>
  <c r="S341" i="17" s="1"/>
  <c r="H255" i="15"/>
  <c r="S255" i="15" s="1"/>
  <c r="H256" i="17"/>
  <c r="S256" i="17" s="1"/>
  <c r="H267" i="15"/>
  <c r="S267" i="15" s="1"/>
  <c r="H268" i="17"/>
  <c r="S268" i="17" s="1"/>
  <c r="H279" i="15"/>
  <c r="S279" i="15" s="1"/>
  <c r="H280" i="17"/>
  <c r="S280" i="17" s="1"/>
  <c r="H286" i="15"/>
  <c r="S286" i="15" s="1"/>
  <c r="H287" i="17"/>
  <c r="S287" i="17" s="1"/>
  <c r="H361" i="15"/>
  <c r="S361" i="15" s="1"/>
  <c r="H362" i="17"/>
  <c r="S362" i="17" s="1"/>
  <c r="H162" i="15"/>
  <c r="S162" i="15" s="1"/>
  <c r="BA11" i="15" s="1"/>
  <c r="H163" i="17"/>
  <c r="S163" i="17" s="1"/>
  <c r="H165" i="15"/>
  <c r="S165" i="15" s="1"/>
  <c r="H166" i="17"/>
  <c r="S166" i="17" s="1"/>
  <c r="H167" i="15"/>
  <c r="S167" i="15" s="1"/>
  <c r="H168" i="17"/>
  <c r="S168" i="17" s="1"/>
  <c r="H304" i="15"/>
  <c r="S304" i="15" s="1"/>
  <c r="H305" i="17"/>
  <c r="S305" i="17" s="1"/>
  <c r="H299" i="15"/>
  <c r="S299" i="15" s="1"/>
  <c r="H300" i="17"/>
  <c r="S300" i="17" s="1"/>
  <c r="H181" i="15"/>
  <c r="S181" i="15" s="1"/>
  <c r="H182" i="17"/>
  <c r="S182" i="17" s="1"/>
  <c r="H186" i="15"/>
  <c r="S186" i="15" s="1"/>
  <c r="H187" i="17"/>
  <c r="S187" i="17" s="1"/>
  <c r="H196" i="15"/>
  <c r="S196" i="15" s="1"/>
  <c r="H197" i="17"/>
  <c r="S197" i="17" s="1"/>
  <c r="H250" i="15"/>
  <c r="S250" i="15" s="1"/>
  <c r="H251" i="17"/>
  <c r="S251" i="17" s="1"/>
  <c r="H257" i="15"/>
  <c r="S257" i="15" s="1"/>
  <c r="H258" i="17"/>
  <c r="S258" i="17" s="1"/>
  <c r="H264" i="15"/>
  <c r="S264" i="15" s="1"/>
  <c r="H265" i="17"/>
  <c r="S265" i="17" s="1"/>
  <c r="H276" i="15"/>
  <c r="S276" i="15" s="1"/>
  <c r="H277" i="17"/>
  <c r="S277" i="17" s="1"/>
  <c r="H309" i="15"/>
  <c r="S309" i="15" s="1"/>
  <c r="H310" i="17"/>
  <c r="S310" i="17" s="1"/>
  <c r="H313" i="15"/>
  <c r="S313" i="15" s="1"/>
  <c r="H314" i="17"/>
  <c r="S314" i="17" s="1"/>
  <c r="H168" i="15"/>
  <c r="S168" i="15" s="1"/>
  <c r="H169" i="17"/>
  <c r="S169" i="17" s="1"/>
  <c r="H322" i="15"/>
  <c r="S322" i="15" s="1"/>
  <c r="H323" i="17"/>
  <c r="S323" i="17" s="1"/>
  <c r="H218" i="15"/>
  <c r="S218" i="15" s="1"/>
  <c r="H219" i="17"/>
  <c r="S219" i="17" s="1"/>
  <c r="H224" i="15"/>
  <c r="S224" i="15" s="1"/>
  <c r="H225" i="17"/>
  <c r="S225" i="17" s="1"/>
  <c r="H230" i="15"/>
  <c r="S230" i="15" s="1"/>
  <c r="H231" i="17"/>
  <c r="S231" i="17" s="1"/>
  <c r="H235" i="15"/>
  <c r="S235" i="15" s="1"/>
  <c r="H236" i="17"/>
  <c r="S236" i="17" s="1"/>
  <c r="H241" i="15"/>
  <c r="S241" i="15" s="1"/>
  <c r="H242" i="17"/>
  <c r="S242" i="17" s="1"/>
  <c r="H247" i="15"/>
  <c r="S247" i="15" s="1"/>
  <c r="H248" i="17"/>
  <c r="S248" i="17" s="1"/>
  <c r="H297" i="15"/>
  <c r="S297" i="15" s="1"/>
  <c r="H298" i="17"/>
  <c r="S298" i="17" s="1"/>
  <c r="H298" i="15"/>
  <c r="S298" i="15" s="1"/>
  <c r="H299" i="17"/>
  <c r="S299" i="17" s="1"/>
  <c r="H182" i="15"/>
  <c r="S182" i="15" s="1"/>
  <c r="H183" i="17"/>
  <c r="S183" i="17" s="1"/>
  <c r="H187" i="15"/>
  <c r="S187" i="15" s="1"/>
  <c r="H188" i="17"/>
  <c r="S188" i="17" s="1"/>
  <c r="H197" i="15"/>
  <c r="S197" i="15" s="1"/>
  <c r="H198" i="17"/>
  <c r="S198" i="17" s="1"/>
  <c r="H249" i="15"/>
  <c r="S249" i="15" s="1"/>
  <c r="H250" i="17"/>
  <c r="S250" i="17" s="1"/>
  <c r="H258" i="15"/>
  <c r="S258" i="15" s="1"/>
  <c r="H259" i="17"/>
  <c r="S259" i="17" s="1"/>
  <c r="H268" i="15"/>
  <c r="S268" i="15" s="1"/>
  <c r="H269" i="17"/>
  <c r="S269" i="17" s="1"/>
  <c r="H281" i="15"/>
  <c r="S281" i="15" s="1"/>
  <c r="H282" i="17"/>
  <c r="S282" i="17" s="1"/>
  <c r="H158" i="15"/>
  <c r="S158" i="15" s="1"/>
  <c r="BA9" i="15" s="1"/>
  <c r="H159" i="17"/>
  <c r="S159" i="17" s="1"/>
  <c r="H311" i="15"/>
  <c r="S311" i="15" s="1"/>
  <c r="H312" i="17"/>
  <c r="S312" i="17" s="1"/>
  <c r="H315" i="15"/>
  <c r="S315" i="15" s="1"/>
  <c r="H316" i="17"/>
  <c r="S316" i="17" s="1"/>
  <c r="H169" i="15"/>
  <c r="S169" i="15" s="1"/>
  <c r="H170" i="17"/>
  <c r="S170" i="17" s="1"/>
  <c r="H321" i="15"/>
  <c r="S321" i="15" s="1"/>
  <c r="H322" i="17"/>
  <c r="S322" i="17" s="1"/>
  <c r="H305" i="15"/>
  <c r="S305" i="15" s="1"/>
  <c r="H306" i="17"/>
  <c r="S306" i="17" s="1"/>
  <c r="H153" i="15"/>
  <c r="S153" i="15" s="1"/>
  <c r="H154" i="17"/>
  <c r="S154" i="17" s="1"/>
  <c r="H174" i="15"/>
  <c r="S174" i="15" s="1"/>
  <c r="BA12" i="15" s="1"/>
  <c r="H175" i="17"/>
  <c r="S175" i="17" s="1"/>
  <c r="H184" i="15"/>
  <c r="S184" i="15" s="1"/>
  <c r="H185" i="17"/>
  <c r="S185" i="17" s="1"/>
  <c r="H331" i="15"/>
  <c r="S331" i="15" s="1"/>
  <c r="H332" i="17"/>
  <c r="S332" i="17" s="1"/>
  <c r="H199" i="15"/>
  <c r="S199" i="15" s="1"/>
  <c r="H200" i="17"/>
  <c r="S200" i="17" s="1"/>
  <c r="H251" i="15"/>
  <c r="S251" i="15" s="1"/>
  <c r="H252" i="17"/>
  <c r="S252" i="17" s="1"/>
  <c r="H259" i="15"/>
  <c r="S259" i="15" s="1"/>
  <c r="H260" i="17"/>
  <c r="S260" i="17" s="1"/>
  <c r="H266" i="15"/>
  <c r="S266" i="15" s="1"/>
  <c r="H267" i="17"/>
  <c r="S267" i="17" s="1"/>
  <c r="H282" i="15"/>
  <c r="S282" i="15" s="1"/>
  <c r="H283" i="17"/>
  <c r="S283" i="17" s="1"/>
  <c r="H144" i="15"/>
  <c r="S144" i="15" s="1"/>
  <c r="H145" i="17"/>
  <c r="S145" i="17" s="1"/>
  <c r="BI33" i="17" s="1"/>
  <c r="H160" i="15"/>
  <c r="S160" i="15" s="1"/>
  <c r="BA10" i="15" s="1"/>
  <c r="H161" i="17"/>
  <c r="S161" i="17" s="1"/>
  <c r="H314" i="15"/>
  <c r="S314" i="15" s="1"/>
  <c r="H315" i="17"/>
  <c r="S315" i="17" s="1"/>
  <c r="H319" i="15"/>
  <c r="S319" i="15" s="1"/>
  <c r="H320" i="17"/>
  <c r="S320" i="17" s="1"/>
  <c r="H191" i="15"/>
  <c r="S191" i="15" s="1"/>
  <c r="BA14" i="15" s="1"/>
  <c r="H192" i="17"/>
  <c r="S192" i="17" s="1"/>
  <c r="H208" i="15"/>
  <c r="S208" i="15" s="1"/>
  <c r="BA16" i="15" s="1"/>
  <c r="H209" i="17"/>
  <c r="S209" i="17" s="1"/>
  <c r="H157" i="15"/>
  <c r="S157" i="15" s="1"/>
  <c r="H158" i="17"/>
  <c r="S158" i="17" s="1"/>
  <c r="H150" i="15"/>
  <c r="S150" i="15" s="1"/>
  <c r="H151" i="17"/>
  <c r="S151" i="17" s="1"/>
  <c r="H363" i="15"/>
  <c r="S363" i="15" s="1"/>
  <c r="H364" i="17"/>
  <c r="S364" i="17" s="1"/>
  <c r="H323" i="15"/>
  <c r="S323" i="15" s="1"/>
  <c r="H324" i="17"/>
  <c r="S324" i="17" s="1"/>
  <c r="H183" i="15"/>
  <c r="S183" i="15" s="1"/>
  <c r="H184" i="17"/>
  <c r="S184" i="17" s="1"/>
  <c r="H332" i="15"/>
  <c r="S332" i="15" s="1"/>
  <c r="H333" i="17"/>
  <c r="S333" i="17" s="1"/>
  <c r="H198" i="15"/>
  <c r="S198" i="15" s="1"/>
  <c r="BA15" i="15" s="1"/>
  <c r="H199" i="17"/>
  <c r="S199" i="17" s="1"/>
  <c r="H252" i="15"/>
  <c r="S252" i="15" s="1"/>
  <c r="H253" i="17"/>
  <c r="S253" i="17" s="1"/>
  <c r="H261" i="15"/>
  <c r="S261" i="15" s="1"/>
  <c r="H262" i="17"/>
  <c r="S262" i="17" s="1"/>
  <c r="H275" i="15"/>
  <c r="S275" i="15" s="1"/>
  <c r="H276" i="17"/>
  <c r="S276" i="17" s="1"/>
  <c r="H283" i="15"/>
  <c r="S283" i="15" s="1"/>
  <c r="H284" i="17"/>
  <c r="S284" i="17" s="1"/>
  <c r="H308" i="15"/>
  <c r="S308" i="15" s="1"/>
  <c r="H309" i="17"/>
  <c r="S309" i="17" s="1"/>
  <c r="H312" i="15"/>
  <c r="S312" i="15" s="1"/>
  <c r="H313" i="17"/>
  <c r="S313" i="17" s="1"/>
  <c r="H316" i="15"/>
  <c r="S316" i="15" s="1"/>
  <c r="H317" i="17"/>
  <c r="S317" i="17" s="1"/>
  <c r="H170" i="15"/>
  <c r="S170" i="15" s="1"/>
  <c r="H171" i="17"/>
  <c r="S171" i="17" s="1"/>
  <c r="H307" i="15"/>
  <c r="S307" i="15" s="1"/>
  <c r="H308" i="17"/>
  <c r="S308" i="17" s="1"/>
  <c r="H154" i="15"/>
  <c r="S154" i="15" s="1"/>
  <c r="H155" i="17"/>
  <c r="S155" i="17" s="1"/>
  <c r="H362" i="15"/>
  <c r="S362" i="15" s="1"/>
  <c r="H363" i="17"/>
  <c r="S363" i="17" s="1"/>
  <c r="H324" i="15"/>
  <c r="S324" i="15" s="1"/>
  <c r="H325" i="17"/>
  <c r="S325" i="17" s="1"/>
  <c r="H333" i="15"/>
  <c r="S333" i="15" s="1"/>
  <c r="H334" i="17"/>
  <c r="S334" i="17" s="1"/>
  <c r="H205" i="15"/>
  <c r="S205" i="15" s="1"/>
  <c r="H206" i="17"/>
  <c r="S206" i="17" s="1"/>
  <c r="H254" i="15"/>
  <c r="S254" i="15" s="1"/>
  <c r="H255" i="17"/>
  <c r="S255" i="17" s="1"/>
  <c r="H260" i="15"/>
  <c r="S260" i="15" s="1"/>
  <c r="H261" i="17"/>
  <c r="S261" i="17" s="1"/>
  <c r="H269" i="15"/>
  <c r="S269" i="15" s="1"/>
  <c r="H270" i="17"/>
  <c r="S270" i="17" s="1"/>
  <c r="H285" i="15"/>
  <c r="S285" i="15" s="1"/>
  <c r="H286" i="17"/>
  <c r="S286" i="17" s="1"/>
  <c r="H310" i="15"/>
  <c r="S310" i="15" s="1"/>
  <c r="H311" i="17"/>
  <c r="S311" i="17" s="1"/>
  <c r="H166" i="15"/>
  <c r="S166" i="15" s="1"/>
  <c r="H167" i="17"/>
  <c r="S167" i="17" s="1"/>
  <c r="H221" i="15"/>
  <c r="S221" i="15" s="1"/>
  <c r="H222" i="17"/>
  <c r="S222" i="17" s="1"/>
  <c r="H227" i="15"/>
  <c r="S227" i="15" s="1"/>
  <c r="H228" i="17"/>
  <c r="S228" i="17" s="1"/>
  <c r="H232" i="15"/>
  <c r="S232" i="15" s="1"/>
  <c r="H233" i="17"/>
  <c r="S233" i="17" s="1"/>
  <c r="H238" i="15"/>
  <c r="S238" i="15" s="1"/>
  <c r="H239" i="17"/>
  <c r="S239" i="17" s="1"/>
  <c r="H244" i="15"/>
  <c r="S244" i="15" s="1"/>
  <c r="H245" i="17"/>
  <c r="S245" i="17" s="1"/>
  <c r="X166" i="18"/>
  <c r="AZ166" i="12"/>
  <c r="X182" i="18"/>
  <c r="AZ182" i="12"/>
  <c r="X141" i="18"/>
  <c r="AZ141" i="12"/>
  <c r="X157" i="18"/>
  <c r="AZ157" i="12"/>
  <c r="X114" i="18"/>
  <c r="AZ114" i="12"/>
  <c r="X70" i="18"/>
  <c r="AZ70" i="12"/>
  <c r="X86" i="18"/>
  <c r="AZ86" i="12"/>
  <c r="X40" i="18"/>
  <c r="AZ40" i="12"/>
  <c r="X56" i="18"/>
  <c r="AZ56" i="12"/>
  <c r="X8" i="18"/>
  <c r="AZ8" i="12"/>
  <c r="X24" i="18"/>
  <c r="AZ24" i="12"/>
  <c r="X171" i="18"/>
  <c r="AZ171" i="12"/>
  <c r="X130" i="18"/>
  <c r="AZ130" i="12"/>
  <c r="X146" i="18"/>
  <c r="AZ146" i="12"/>
  <c r="X103" i="18"/>
  <c r="AZ103" i="12"/>
  <c r="X119" i="18"/>
  <c r="AZ119" i="12"/>
  <c r="X75" i="18"/>
  <c r="AZ75" i="12"/>
  <c r="X91" i="18"/>
  <c r="AZ91" i="12"/>
  <c r="X45" i="18"/>
  <c r="AZ45" i="12"/>
  <c r="X61" i="18"/>
  <c r="AZ61" i="12"/>
  <c r="X13" i="18"/>
  <c r="AZ13" i="12"/>
  <c r="X29" i="18"/>
  <c r="AZ29" i="12"/>
  <c r="X168" i="18"/>
  <c r="AZ168" i="12"/>
  <c r="X184" i="18"/>
  <c r="AZ184" i="12"/>
  <c r="X143" i="18"/>
  <c r="AZ143" i="12"/>
  <c r="X159" i="18"/>
  <c r="AZ159" i="12"/>
  <c r="X116" i="18"/>
  <c r="AZ116" i="12"/>
  <c r="X72" i="18"/>
  <c r="AZ72" i="12"/>
  <c r="X88" i="18"/>
  <c r="AZ88" i="12"/>
  <c r="X42" i="18"/>
  <c r="AZ42" i="12"/>
  <c r="X58" i="18"/>
  <c r="AZ58" i="12"/>
  <c r="X10" i="18"/>
  <c r="AZ10" i="12"/>
  <c r="X26" i="18"/>
  <c r="AZ26" i="12"/>
  <c r="X165" i="18"/>
  <c r="AZ165" i="12"/>
  <c r="X181" i="18"/>
  <c r="AZ181" i="12"/>
  <c r="X140" i="18"/>
  <c r="AZ140" i="12"/>
  <c r="X156" i="18"/>
  <c r="AZ156" i="12"/>
  <c r="X113" i="18"/>
  <c r="AZ113" i="12"/>
  <c r="X69" i="18"/>
  <c r="AZ69" i="12"/>
  <c r="X85" i="18"/>
  <c r="AZ85" i="12"/>
  <c r="X43" i="18"/>
  <c r="AZ43" i="12"/>
  <c r="X59" i="18"/>
  <c r="AZ59" i="12"/>
  <c r="X11" i="18"/>
  <c r="AZ11" i="12"/>
  <c r="X27" i="18"/>
  <c r="AZ27" i="12"/>
  <c r="X162" i="18"/>
  <c r="AZ162" i="12"/>
  <c r="X178" i="18"/>
  <c r="AZ178" i="12"/>
  <c r="X137" i="18"/>
  <c r="AZ137" i="12"/>
  <c r="X153" i="18"/>
  <c r="AZ153" i="12"/>
  <c r="X110" i="18"/>
  <c r="AZ110" i="12"/>
  <c r="X126" i="18"/>
  <c r="AZ126" i="12"/>
  <c r="X82" i="18"/>
  <c r="AZ82" i="12"/>
  <c r="X98" i="18"/>
  <c r="AZ98" i="12"/>
  <c r="X52" i="18"/>
  <c r="AZ52" i="12"/>
  <c r="X4" i="18"/>
  <c r="AZ4" i="12"/>
  <c r="X20" i="18"/>
  <c r="AZ20" i="12"/>
  <c r="X36" i="18"/>
  <c r="AZ36" i="12"/>
  <c r="X167" i="18"/>
  <c r="AZ167" i="12"/>
  <c r="X183" i="18"/>
  <c r="AZ183" i="12"/>
  <c r="X142" i="18"/>
  <c r="AZ142" i="12"/>
  <c r="X158" i="18"/>
  <c r="AZ158" i="12"/>
  <c r="X115" i="18"/>
  <c r="AZ115" i="12"/>
  <c r="X71" i="18"/>
  <c r="AZ71" i="12"/>
  <c r="X87" i="18"/>
  <c r="AZ87" i="12"/>
  <c r="X41" i="18"/>
  <c r="AZ41" i="12"/>
  <c r="X57" i="18"/>
  <c r="AZ57" i="12"/>
  <c r="X9" i="18"/>
  <c r="AZ9" i="12"/>
  <c r="X25" i="18"/>
  <c r="AZ25" i="12"/>
  <c r="X3" i="18"/>
  <c r="AZ3" i="12"/>
  <c r="X164" i="18"/>
  <c r="AZ164" i="12"/>
  <c r="X180" i="18"/>
  <c r="AZ180" i="12"/>
  <c r="X139" i="18"/>
  <c r="AZ139" i="12"/>
  <c r="X155" i="18"/>
  <c r="AZ155" i="12"/>
  <c r="X112" i="18"/>
  <c r="AZ112" i="12"/>
  <c r="X68" i="18"/>
  <c r="AZ68" i="12"/>
  <c r="X84" i="18"/>
  <c r="AZ84" i="12"/>
  <c r="X100" i="18"/>
  <c r="AZ100" i="12"/>
  <c r="X54" i="18"/>
  <c r="AZ54" i="12"/>
  <c r="X6" i="18"/>
  <c r="AZ6" i="12"/>
  <c r="X22" i="18"/>
  <c r="AZ22" i="12"/>
  <c r="X38" i="18"/>
  <c r="AZ38" i="12"/>
  <c r="X161" i="18"/>
  <c r="AZ161" i="12"/>
  <c r="X177" i="18"/>
  <c r="AZ177" i="12"/>
  <c r="X136" i="18"/>
  <c r="AZ136" i="12"/>
  <c r="X152" i="18"/>
  <c r="AZ152" i="12"/>
  <c r="X109" i="18"/>
  <c r="AZ109" i="12"/>
  <c r="X125" i="18"/>
  <c r="AZ125" i="12"/>
  <c r="X81" i="18"/>
  <c r="AZ81" i="12"/>
  <c r="X101" i="18"/>
  <c r="AZ101" i="12"/>
  <c r="X55" i="18"/>
  <c r="AZ55" i="12"/>
  <c r="X7" i="18"/>
  <c r="AZ7" i="12"/>
  <c r="X23" i="18"/>
  <c r="AZ23" i="12"/>
  <c r="X39" i="18"/>
  <c r="AZ39" i="12"/>
  <c r="X174" i="18"/>
  <c r="AZ174" i="12"/>
  <c r="X133" i="18"/>
  <c r="AZ133" i="12"/>
  <c r="X149" i="18"/>
  <c r="AZ149" i="12"/>
  <c r="X106" i="18"/>
  <c r="AZ106" i="12"/>
  <c r="X122" i="18"/>
  <c r="AZ122" i="12"/>
  <c r="X78" i="18"/>
  <c r="AZ78" i="12"/>
  <c r="X94" i="18"/>
  <c r="AZ94" i="12"/>
  <c r="X48" i="18"/>
  <c r="AZ48" i="12"/>
  <c r="X64" i="18"/>
  <c r="AZ64" i="12"/>
  <c r="X16" i="18"/>
  <c r="AZ16" i="12"/>
  <c r="X32" i="18"/>
  <c r="AZ32" i="12"/>
  <c r="X163" i="18"/>
  <c r="AZ163" i="12"/>
  <c r="X179" i="18"/>
  <c r="AZ179" i="12"/>
  <c r="X138" i="18"/>
  <c r="AZ138" i="12"/>
  <c r="X154" i="18"/>
  <c r="AZ154" i="12"/>
  <c r="X111" i="18"/>
  <c r="AZ111" i="12"/>
  <c r="X127" i="18"/>
  <c r="AZ127" i="12"/>
  <c r="X83" i="18"/>
  <c r="AZ83" i="12"/>
  <c r="X99" i="18"/>
  <c r="AZ99" i="12"/>
  <c r="X53" i="18"/>
  <c r="AZ53" i="12"/>
  <c r="X5" i="18"/>
  <c r="AZ5" i="12"/>
  <c r="X21" i="18"/>
  <c r="AZ21" i="12"/>
  <c r="X37" i="18"/>
  <c r="AZ37" i="12"/>
  <c r="X176" i="18"/>
  <c r="AZ176" i="12"/>
  <c r="X135" i="18"/>
  <c r="AZ135" i="12"/>
  <c r="X151" i="18"/>
  <c r="AZ151" i="12"/>
  <c r="X108" i="18"/>
  <c r="AZ108" i="12"/>
  <c r="X124" i="18"/>
  <c r="AZ124" i="12"/>
  <c r="X80" i="18"/>
  <c r="AZ80" i="12"/>
  <c r="X96" i="18"/>
  <c r="AZ96" i="12"/>
  <c r="X50" i="18"/>
  <c r="AZ50" i="12"/>
  <c r="X66" i="18"/>
  <c r="AZ66" i="12"/>
  <c r="X18" i="18"/>
  <c r="AZ18" i="12"/>
  <c r="X34" i="18"/>
  <c r="AZ34" i="12"/>
  <c r="X173" i="18"/>
  <c r="AZ173" i="12"/>
  <c r="X132" i="18"/>
  <c r="AZ132" i="12"/>
  <c r="X148" i="18"/>
  <c r="AZ148" i="12"/>
  <c r="X105" i="18"/>
  <c r="AZ105" i="12"/>
  <c r="X121" i="18"/>
  <c r="AZ121" i="12"/>
  <c r="X77" i="18"/>
  <c r="AZ77" i="12"/>
  <c r="X97" i="18"/>
  <c r="AZ97" i="12"/>
  <c r="X51" i="18"/>
  <c r="AZ51" i="12"/>
  <c r="X67" i="18"/>
  <c r="AZ67" i="12"/>
  <c r="X19" i="18"/>
  <c r="AZ19" i="12"/>
  <c r="X35" i="18"/>
  <c r="AZ35" i="12"/>
  <c r="X170" i="18"/>
  <c r="AZ170" i="12"/>
  <c r="X129" i="18"/>
  <c r="AZ129" i="12"/>
  <c r="X145" i="18"/>
  <c r="AZ145" i="12"/>
  <c r="X102" i="18"/>
  <c r="AZ102" i="12"/>
  <c r="X118" i="18"/>
  <c r="AZ118" i="12"/>
  <c r="X74" i="18"/>
  <c r="AZ74" i="12"/>
  <c r="X90" i="18"/>
  <c r="AZ90" i="12"/>
  <c r="X44" i="18"/>
  <c r="AZ44" i="12"/>
  <c r="X60" i="18"/>
  <c r="AZ60" i="12"/>
  <c r="X12" i="18"/>
  <c r="AZ12" i="12"/>
  <c r="X28" i="18"/>
  <c r="AZ28" i="12"/>
  <c r="X175" i="18"/>
  <c r="AZ175" i="12"/>
  <c r="X134" i="18"/>
  <c r="AZ134" i="12"/>
  <c r="X150" i="18"/>
  <c r="AZ150" i="12"/>
  <c r="X107" i="18"/>
  <c r="AZ107" i="12"/>
  <c r="X123" i="18"/>
  <c r="AZ123" i="12"/>
  <c r="X79" i="18"/>
  <c r="AZ79" i="12"/>
  <c r="X95" i="18"/>
  <c r="AZ95" i="12"/>
  <c r="X49" i="18"/>
  <c r="AZ49" i="12"/>
  <c r="X65" i="18"/>
  <c r="AZ65" i="12"/>
  <c r="X17" i="18"/>
  <c r="AZ17" i="12"/>
  <c r="X33" i="18"/>
  <c r="AZ33" i="12"/>
  <c r="X172" i="18"/>
  <c r="AZ172" i="12"/>
  <c r="X131" i="18"/>
  <c r="AZ131" i="12"/>
  <c r="X147" i="18"/>
  <c r="AZ147" i="12"/>
  <c r="X104" i="18"/>
  <c r="AZ104" i="12"/>
  <c r="X120" i="18"/>
  <c r="AZ120" i="12"/>
  <c r="X76" i="18"/>
  <c r="AZ76" i="12"/>
  <c r="X92" i="18"/>
  <c r="AZ92" i="12"/>
  <c r="X46" i="18"/>
  <c r="AZ46" i="12"/>
  <c r="X62" i="18"/>
  <c r="AZ62" i="12"/>
  <c r="X14" i="18"/>
  <c r="AZ14" i="12"/>
  <c r="X30" i="18"/>
  <c r="AZ30" i="12"/>
  <c r="X169" i="18"/>
  <c r="AZ169" i="12"/>
  <c r="X128" i="18"/>
  <c r="AZ128" i="12"/>
  <c r="X144" i="18"/>
  <c r="AZ144" i="12"/>
  <c r="X160" i="18"/>
  <c r="AZ160" i="12"/>
  <c r="X117" i="18"/>
  <c r="AZ117" i="12"/>
  <c r="X73" i="18"/>
  <c r="AZ73" i="12"/>
  <c r="X89" i="18"/>
  <c r="AZ89" i="12"/>
  <c r="X93" i="18"/>
  <c r="AZ93" i="12"/>
  <c r="X47" i="18"/>
  <c r="AZ47" i="12"/>
  <c r="X63" i="18"/>
  <c r="AZ63" i="12"/>
  <c r="X15" i="18"/>
  <c r="AZ15" i="12"/>
  <c r="X31" i="18"/>
  <c r="AZ31" i="12"/>
  <c r="K115" i="8"/>
  <c r="M114" i="8"/>
  <c r="K72" i="8"/>
  <c r="M71" i="8"/>
  <c r="K87" i="8"/>
  <c r="M86" i="8"/>
  <c r="H87" i="15"/>
  <c r="S87" i="15" s="1"/>
  <c r="H116" i="17"/>
  <c r="S116" i="17" s="1"/>
  <c r="BL22" i="17" s="1"/>
  <c r="H92" i="17"/>
  <c r="S92" i="17" s="1"/>
  <c r="H18" i="17"/>
  <c r="S18" i="17" s="1"/>
  <c r="H43" i="17"/>
  <c r="S43" i="17" s="1"/>
  <c r="H19" i="17"/>
  <c r="S19" i="17" s="1"/>
  <c r="H104" i="17"/>
  <c r="S104" i="17" s="1"/>
  <c r="S20" i="15"/>
  <c r="H20" i="17"/>
  <c r="S20" i="17" s="1"/>
  <c r="H41" i="15"/>
  <c r="S41" i="15" s="1"/>
  <c r="H102" i="17"/>
  <c r="S102" i="17" s="1"/>
  <c r="H7" i="17"/>
  <c r="S7" i="17" s="1"/>
  <c r="BG6" i="17" s="1"/>
  <c r="H40" i="17"/>
  <c r="S40" i="17" s="1"/>
  <c r="H6" i="17"/>
  <c r="S6" i="17" s="1"/>
  <c r="H6" i="15"/>
  <c r="S6" i="15" s="1"/>
  <c r="H108" i="15"/>
  <c r="S108" i="15" s="1"/>
  <c r="H126" i="17"/>
  <c r="S126" i="17" s="1"/>
  <c r="BK26" i="17" s="1"/>
  <c r="H100" i="15"/>
  <c r="S100" i="15" s="1"/>
  <c r="X30" i="2"/>
  <c r="Z30" i="2" s="1"/>
  <c r="X46" i="2"/>
  <c r="Z46" i="2" s="1"/>
  <c r="S19" i="15"/>
  <c r="S18" i="15"/>
  <c r="Q2" i="18"/>
  <c r="B69" i="2"/>
  <c r="B58" i="2"/>
  <c r="B74" i="2"/>
  <c r="B57" i="2"/>
  <c r="B53" i="2"/>
  <c r="B85" i="2"/>
  <c r="B66" i="2"/>
  <c r="B82" i="2"/>
  <c r="B73" i="2"/>
  <c r="H105" i="17"/>
  <c r="S105" i="17" s="1"/>
  <c r="H127" i="17"/>
  <c r="S127" i="17" s="1"/>
  <c r="B33" i="2"/>
  <c r="B45" i="2"/>
  <c r="B61" i="2"/>
  <c r="B77" i="2"/>
  <c r="B27" i="2"/>
  <c r="B28" i="2"/>
  <c r="B36" i="2"/>
  <c r="B44" i="2"/>
  <c r="B52" i="2"/>
  <c r="B60" i="2"/>
  <c r="B68" i="2"/>
  <c r="B76" i="2"/>
  <c r="B84" i="2"/>
  <c r="B29" i="2"/>
  <c r="B49" i="2"/>
  <c r="B65" i="2"/>
  <c r="B81" i="2"/>
  <c r="B75" i="2"/>
  <c r="B34" i="2"/>
  <c r="B43" i="2"/>
  <c r="B32" i="2"/>
  <c r="B40" i="2"/>
  <c r="B48" i="2"/>
  <c r="B56" i="2"/>
  <c r="B64" i="2"/>
  <c r="B72" i="2"/>
  <c r="B80" i="2"/>
  <c r="B37" i="2"/>
  <c r="B59" i="2"/>
  <c r="A11" i="8"/>
  <c r="C10" i="8"/>
  <c r="D10" i="8" s="1"/>
  <c r="H134" i="15"/>
  <c r="S134" i="15" s="1"/>
  <c r="S128" i="15"/>
  <c r="H135" i="17"/>
  <c r="S135" i="17" s="1"/>
  <c r="H106" i="15"/>
  <c r="S106" i="15" s="1"/>
  <c r="H17" i="17"/>
  <c r="S17" i="17" s="1"/>
  <c r="BQ6" i="17" s="1"/>
  <c r="H128" i="17"/>
  <c r="S128" i="17" s="1"/>
  <c r="H90" i="17"/>
  <c r="S90" i="17" s="1"/>
  <c r="H124" i="17"/>
  <c r="S124" i="17" s="1"/>
  <c r="BI26" i="17" s="1"/>
  <c r="H130" i="17"/>
  <c r="S130" i="17" s="1"/>
  <c r="H65" i="15"/>
  <c r="S65" i="15" s="1"/>
  <c r="S124" i="15"/>
  <c r="H131" i="17"/>
  <c r="S131" i="17" s="1"/>
  <c r="H120" i="17"/>
  <c r="S120" i="17" s="1"/>
  <c r="H34" i="17"/>
  <c r="S34" i="17" s="1"/>
  <c r="H98" i="17"/>
  <c r="S98" i="17" s="1"/>
  <c r="H118" i="17"/>
  <c r="S118" i="17" s="1"/>
  <c r="H133" i="17"/>
  <c r="S133" i="17" s="1"/>
  <c r="H46" i="15"/>
  <c r="S46" i="15" s="1"/>
  <c r="H132" i="17"/>
  <c r="S132" i="17" s="1"/>
  <c r="H49" i="17"/>
  <c r="S49" i="17" s="1"/>
  <c r="H109" i="17"/>
  <c r="S109" i="17" s="1"/>
  <c r="H95" i="17"/>
  <c r="S95" i="17" s="1"/>
  <c r="H112" i="17"/>
  <c r="S112" i="17" s="1"/>
  <c r="H32" i="17"/>
  <c r="S32" i="17" s="1"/>
  <c r="V75" i="18"/>
  <c r="V83" i="18"/>
  <c r="V45" i="18"/>
  <c r="V49" i="18"/>
  <c r="V53" i="18"/>
  <c r="V42" i="18"/>
  <c r="V26" i="18"/>
  <c r="V34" i="18"/>
  <c r="V38" i="18"/>
  <c r="V140" i="18"/>
  <c r="V152" i="18"/>
  <c r="V73" i="18"/>
  <c r="V77" i="18"/>
  <c r="V81" i="18"/>
  <c r="V43" i="18"/>
  <c r="V51" i="18"/>
  <c r="V59" i="18"/>
  <c r="V137" i="18"/>
  <c r="V149" i="18"/>
  <c r="V106" i="18"/>
  <c r="V114" i="18"/>
  <c r="V175" i="18"/>
  <c r="V138" i="18"/>
  <c r="V154" i="18"/>
  <c r="V127" i="18"/>
  <c r="V71" i="18"/>
  <c r="V79" i="18"/>
  <c r="V143" i="18"/>
  <c r="V150" i="18"/>
  <c r="V111" i="18"/>
  <c r="V139" i="18"/>
  <c r="V183" i="18"/>
  <c r="V107" i="18"/>
  <c r="V99" i="18"/>
  <c r="V17" i="18"/>
  <c r="V21" i="18"/>
  <c r="V25" i="18"/>
  <c r="V29" i="18"/>
  <c r="V33" i="18"/>
  <c r="V37" i="18"/>
  <c r="V135" i="18"/>
  <c r="V112" i="18"/>
  <c r="V72" i="18"/>
  <c r="V76" i="18"/>
  <c r="V84" i="18"/>
  <c r="V96" i="18"/>
  <c r="V58" i="18"/>
  <c r="V165" i="18"/>
  <c r="V121" i="18"/>
  <c r="V93" i="18"/>
  <c r="V67" i="18"/>
  <c r="V11" i="18"/>
  <c r="V27" i="18"/>
  <c r="V133" i="18"/>
  <c r="V141" i="18"/>
  <c r="V102" i="18"/>
  <c r="V110" i="18"/>
  <c r="V118" i="18"/>
  <c r="V86" i="18"/>
  <c r="V36" i="18"/>
  <c r="V167" i="18"/>
  <c r="V94" i="18"/>
  <c r="V47" i="18"/>
  <c r="V55" i="18"/>
  <c r="V174" i="18"/>
  <c r="V74" i="18"/>
  <c r="V162" i="18"/>
  <c r="V166" i="18"/>
  <c r="V123" i="18"/>
  <c r="V91" i="18"/>
  <c r="V41" i="18"/>
  <c r="V62" i="18"/>
  <c r="V6" i="18"/>
  <c r="V10" i="18"/>
  <c r="V18" i="18"/>
  <c r="V22" i="18"/>
  <c r="V173" i="18"/>
  <c r="V177" i="18"/>
  <c r="V148" i="18"/>
  <c r="V109" i="18"/>
  <c r="V125" i="18"/>
  <c r="V97" i="18"/>
  <c r="V182" i="18"/>
  <c r="V145" i="18"/>
  <c r="V122" i="18"/>
  <c r="V90" i="18"/>
  <c r="V163" i="18"/>
  <c r="V171" i="18"/>
  <c r="V179" i="18"/>
  <c r="V142" i="18"/>
  <c r="V158" i="18"/>
  <c r="V103" i="18"/>
  <c r="V87" i="18"/>
  <c r="V95" i="18"/>
  <c r="V104" i="18"/>
  <c r="V181" i="18"/>
  <c r="V128" i="18"/>
  <c r="V63" i="18"/>
  <c r="V170" i="18"/>
  <c r="V40" i="18"/>
  <c r="V48" i="18"/>
  <c r="V60" i="18"/>
  <c r="V64" i="18"/>
  <c r="V4" i="18"/>
  <c r="V12" i="18"/>
  <c r="V16" i="18"/>
  <c r="V130" i="18"/>
  <c r="V134" i="18"/>
  <c r="V146" i="18"/>
  <c r="V115" i="18"/>
  <c r="V119" i="18"/>
  <c r="V57" i="18"/>
  <c r="V61" i="18"/>
  <c r="V5" i="18"/>
  <c r="V9" i="18"/>
  <c r="V13" i="18"/>
  <c r="V164" i="18"/>
  <c r="V168" i="18"/>
  <c r="V172" i="18"/>
  <c r="V131" i="18"/>
  <c r="V108" i="18"/>
  <c r="V46" i="18"/>
  <c r="V132" i="18"/>
  <c r="V156" i="18"/>
  <c r="V160" i="18"/>
  <c r="V117" i="18"/>
  <c r="V7" i="18"/>
  <c r="V31" i="18"/>
  <c r="V39" i="18"/>
  <c r="V178" i="18"/>
  <c r="V129" i="18"/>
  <c r="V153" i="18"/>
  <c r="V126" i="18"/>
  <c r="V70" i="18"/>
  <c r="V78" i="18"/>
  <c r="V82" i="18"/>
  <c r="V24" i="18"/>
  <c r="V28" i="18"/>
  <c r="V32" i="18"/>
  <c r="S54" i="15"/>
  <c r="C64" i="10"/>
  <c r="F64" i="10" s="1"/>
  <c r="V65" i="18"/>
  <c r="C175" i="13"/>
  <c r="V176" i="18"/>
  <c r="C179" i="13"/>
  <c r="V180" i="18"/>
  <c r="C183" i="10"/>
  <c r="F183" i="10" s="1"/>
  <c r="V184" i="18"/>
  <c r="C146" i="13"/>
  <c r="V147" i="18"/>
  <c r="C119" i="13"/>
  <c r="V120" i="18"/>
  <c r="C91" i="13"/>
  <c r="V92" i="18"/>
  <c r="C49" i="13"/>
  <c r="V50" i="18"/>
  <c r="C53" i="13"/>
  <c r="V54" i="18"/>
  <c r="C104" i="10"/>
  <c r="F104" i="10" s="1"/>
  <c r="V105" i="18"/>
  <c r="C88" i="10"/>
  <c r="F88" i="10" s="1"/>
  <c r="V89" i="18"/>
  <c r="C14" i="10"/>
  <c r="F14" i="10" s="1"/>
  <c r="V15" i="18"/>
  <c r="C22" i="10"/>
  <c r="F22" i="10" s="1"/>
  <c r="V23" i="18"/>
  <c r="C97" i="13"/>
  <c r="V98" i="18"/>
  <c r="C19" i="13"/>
  <c r="V20" i="18"/>
  <c r="N3" i="12"/>
  <c r="O3" i="12" s="1"/>
  <c r="P3" i="12" s="1"/>
  <c r="Q3" i="12" s="1"/>
  <c r="R3" i="12" s="1"/>
  <c r="V3" i="18"/>
  <c r="M186" i="12"/>
  <c r="N186" i="12" s="1"/>
  <c r="V151" i="18"/>
  <c r="C123" i="10"/>
  <c r="F123" i="10" s="1"/>
  <c r="V124" i="18"/>
  <c r="C67" i="13"/>
  <c r="V68" i="18"/>
  <c r="C79" i="13"/>
  <c r="V80" i="18"/>
  <c r="C160" i="10"/>
  <c r="F160" i="10" s="1"/>
  <c r="V161" i="18"/>
  <c r="C135" i="10"/>
  <c r="F135" i="10" s="1"/>
  <c r="V136" i="18"/>
  <c r="C143" i="10"/>
  <c r="F143" i="10" s="1"/>
  <c r="V144" i="18"/>
  <c r="C18" i="13"/>
  <c r="V19" i="18"/>
  <c r="C34" i="13"/>
  <c r="V35" i="18"/>
  <c r="M185" i="12"/>
  <c r="N185" i="12" s="1"/>
  <c r="V157" i="18"/>
  <c r="C154" i="10"/>
  <c r="F154" i="10" s="1"/>
  <c r="V155" i="18"/>
  <c r="C99" i="13"/>
  <c r="V100" i="18"/>
  <c r="C65" i="13"/>
  <c r="V66" i="18"/>
  <c r="C13" i="13"/>
  <c r="V14" i="18"/>
  <c r="M192" i="12"/>
  <c r="U192" i="18" s="1"/>
  <c r="V169" i="18"/>
  <c r="M159" i="12"/>
  <c r="U159" i="18" s="1"/>
  <c r="V159" i="18"/>
  <c r="C115" i="10"/>
  <c r="F115" i="10" s="1"/>
  <c r="V116" i="18"/>
  <c r="C87" i="13"/>
  <c r="V88" i="18"/>
  <c r="C29" i="13"/>
  <c r="V30" i="18"/>
  <c r="C112" i="10"/>
  <c r="F112" i="10" s="1"/>
  <c r="V113" i="18"/>
  <c r="C68" i="10"/>
  <c r="F68" i="10" s="1"/>
  <c r="V69" i="18"/>
  <c r="C84" i="13"/>
  <c r="V85" i="18"/>
  <c r="C100" i="10"/>
  <c r="F100" i="10" s="1"/>
  <c r="V101" i="18"/>
  <c r="C43" i="13"/>
  <c r="V44" i="18"/>
  <c r="C51" i="10"/>
  <c r="F51" i="10" s="1"/>
  <c r="V52" i="18"/>
  <c r="C55" i="10"/>
  <c r="F55" i="10" s="1"/>
  <c r="V56" i="18"/>
  <c r="C7" i="13"/>
  <c r="V8" i="18"/>
  <c r="H123" i="17"/>
  <c r="S123" i="17" s="1"/>
  <c r="BJ29" i="17" s="1"/>
  <c r="H101" i="17"/>
  <c r="S101" i="17" s="1"/>
  <c r="H54" i="17"/>
  <c r="S54" i="17" s="1"/>
  <c r="H138" i="17"/>
  <c r="S138" i="17" s="1"/>
  <c r="S51" i="17"/>
  <c r="H111" i="17"/>
  <c r="S111" i="17" s="1"/>
  <c r="H121" i="17"/>
  <c r="S121" i="17" s="1"/>
  <c r="H84" i="17"/>
  <c r="S84" i="17" s="1"/>
  <c r="H50" i="17"/>
  <c r="S50" i="17" s="1"/>
  <c r="S84" i="15"/>
  <c r="H113" i="17"/>
  <c r="S113" i="17" s="1"/>
  <c r="S100" i="17"/>
  <c r="S106" i="17"/>
  <c r="H97" i="17"/>
  <c r="S97" i="17" s="1"/>
  <c r="H33" i="15"/>
  <c r="S33" i="15" s="1"/>
  <c r="S97" i="15"/>
  <c r="H83" i="17"/>
  <c r="S83" i="17" s="1"/>
  <c r="S110" i="17"/>
  <c r="H119" i="17"/>
  <c r="S119" i="17" s="1"/>
  <c r="S114" i="17"/>
  <c r="H42" i="17"/>
  <c r="S42" i="17" s="1"/>
  <c r="S111" i="15"/>
  <c r="H81" i="15"/>
  <c r="S81" i="15" s="1"/>
  <c r="H129" i="17"/>
  <c r="S129" i="17" s="1"/>
  <c r="H103" i="17"/>
  <c r="S103" i="17" s="1"/>
  <c r="S33" i="17"/>
  <c r="H115" i="17"/>
  <c r="S115" i="17" s="1"/>
  <c r="H56" i="15"/>
  <c r="S56" i="15" s="1"/>
  <c r="S65" i="17"/>
  <c r="H211" i="15"/>
  <c r="S211" i="15" s="1"/>
  <c r="BA17" i="15" s="1"/>
  <c r="S14" i="15"/>
  <c r="H117" i="17"/>
  <c r="S117" i="17" s="1"/>
  <c r="BM22" i="17" s="1"/>
  <c r="S80" i="17"/>
  <c r="S15" i="15"/>
  <c r="H125" i="17"/>
  <c r="S125" i="17" s="1"/>
  <c r="BJ26" i="17" s="1"/>
  <c r="H99" i="15"/>
  <c r="S99" i="15" s="1"/>
  <c r="S56" i="17"/>
  <c r="H107" i="17"/>
  <c r="S107" i="17" s="1"/>
  <c r="H93" i="17"/>
  <c r="S93" i="17" s="1"/>
  <c r="H82" i="17"/>
  <c r="S82" i="17" s="1"/>
  <c r="H141" i="15"/>
  <c r="S141" i="15" s="1"/>
  <c r="H141" i="17"/>
  <c r="S141" i="17" s="1"/>
  <c r="H142" i="15"/>
  <c r="S142" i="15" s="1"/>
  <c r="H142" i="17"/>
  <c r="S142" i="17" s="1"/>
  <c r="H173" i="15"/>
  <c r="S173" i="15" s="1"/>
  <c r="BL11" i="15" s="1"/>
  <c r="AB367" i="20"/>
  <c r="AB365" i="9"/>
  <c r="AE13" i="9"/>
  <c r="AE387" i="9"/>
  <c r="AE8" i="9"/>
  <c r="AE145" i="9"/>
  <c r="AE4" i="9"/>
  <c r="AE292" i="9"/>
  <c r="AB299" i="20"/>
  <c r="AB297" i="9"/>
  <c r="H151" i="15"/>
  <c r="S151" i="15" s="1"/>
  <c r="H155" i="15"/>
  <c r="S155" i="15" s="1"/>
  <c r="H143" i="15"/>
  <c r="S143" i="15" s="1"/>
  <c r="H143" i="17"/>
  <c r="S143" i="17" s="1"/>
  <c r="H159" i="15"/>
  <c r="S159" i="15" s="1"/>
  <c r="H163" i="15"/>
  <c r="S163" i="15" s="1"/>
  <c r="H38" i="15"/>
  <c r="S38" i="15" s="1"/>
  <c r="H38" i="17"/>
  <c r="S38" i="17" s="1"/>
  <c r="H161" i="15"/>
  <c r="S161" i="15" s="1"/>
  <c r="H88" i="15"/>
  <c r="S88" i="15" s="1"/>
  <c r="H88" i="17"/>
  <c r="S88" i="17" s="1"/>
  <c r="AE10" i="9"/>
  <c r="AE294" i="9"/>
  <c r="AE12" i="9"/>
  <c r="AE386" i="9"/>
  <c r="AB393" i="20"/>
  <c r="AB391" i="9"/>
  <c r="H139" i="15"/>
  <c r="S139" i="15" s="1"/>
  <c r="H139" i="17"/>
  <c r="S139" i="17" s="1"/>
  <c r="H185" i="15"/>
  <c r="S185" i="15" s="1"/>
  <c r="BA13" i="15" s="1"/>
  <c r="H140" i="15"/>
  <c r="S140" i="15" s="1"/>
  <c r="H140" i="17"/>
  <c r="S140" i="17" s="1"/>
  <c r="H172" i="15"/>
  <c r="S172" i="15" s="1"/>
  <c r="BK11" i="15" s="1"/>
  <c r="S41" i="17"/>
  <c r="S81" i="17"/>
  <c r="S59" i="17"/>
  <c r="S46" i="17"/>
  <c r="S48" i="17"/>
  <c r="S67" i="17"/>
  <c r="S108" i="17"/>
  <c r="S47" i="17"/>
  <c r="S87" i="17"/>
  <c r="AE14" i="9"/>
  <c r="AE362" i="9"/>
  <c r="AE11" i="9"/>
  <c r="AE361" i="9"/>
  <c r="S99" i="17"/>
  <c r="S35" i="15"/>
  <c r="S134" i="17"/>
  <c r="S52" i="17"/>
  <c r="S73" i="17"/>
  <c r="S59" i="15"/>
  <c r="S60" i="17"/>
  <c r="S71" i="17"/>
  <c r="S53" i="17"/>
  <c r="S61" i="17"/>
  <c r="H89" i="17"/>
  <c r="S89" i="17" s="1"/>
  <c r="H91" i="17"/>
  <c r="S91" i="17" s="1"/>
  <c r="S7" i="15"/>
  <c r="H86" i="17"/>
  <c r="S86" i="17" s="1"/>
  <c r="H86" i="15"/>
  <c r="S86" i="15" s="1"/>
  <c r="S51" i="15"/>
  <c r="S75" i="15"/>
  <c r="H45" i="17"/>
  <c r="S45" i="17" s="1"/>
  <c r="H45" i="15"/>
  <c r="S45" i="15" s="1"/>
  <c r="S8" i="17"/>
  <c r="S39" i="15"/>
  <c r="S31" i="15"/>
  <c r="H85" i="17"/>
  <c r="S85" i="17" s="1"/>
  <c r="M33" i="12"/>
  <c r="U33" i="18" s="1"/>
  <c r="M145" i="12"/>
  <c r="U145" i="18" s="1"/>
  <c r="M112" i="12"/>
  <c r="U112" i="18" s="1"/>
  <c r="H94" i="17"/>
  <c r="S94" i="17" s="1"/>
  <c r="H31" i="17"/>
  <c r="S31" i="17" s="1"/>
  <c r="U4" i="14"/>
  <c r="H96" i="17"/>
  <c r="S96" i="17" s="1"/>
  <c r="H36" i="17"/>
  <c r="S36" i="17" s="1"/>
  <c r="H44" i="17"/>
  <c r="S44" i="17" s="1"/>
  <c r="BA5" i="15"/>
  <c r="H11" i="17"/>
  <c r="S11" i="17" s="1"/>
  <c r="H29" i="17"/>
  <c r="S29" i="17" s="1"/>
  <c r="H24" i="17"/>
  <c r="S24" i="17" s="1"/>
  <c r="H22" i="17"/>
  <c r="S22" i="17" s="1"/>
  <c r="H21" i="17"/>
  <c r="S21" i="17" s="1"/>
  <c r="H37" i="17"/>
  <c r="S37" i="17" s="1"/>
  <c r="H27" i="17"/>
  <c r="S27" i="17" s="1"/>
  <c r="H26" i="17"/>
  <c r="S26" i="17" s="1"/>
  <c r="S9" i="17"/>
  <c r="H23" i="17"/>
  <c r="S23" i="17" s="1"/>
  <c r="H35" i="17"/>
  <c r="S35" i="17" s="1"/>
  <c r="H30" i="17"/>
  <c r="S30" i="17" s="1"/>
  <c r="H28" i="17"/>
  <c r="S28" i="17" s="1"/>
  <c r="H25" i="17"/>
  <c r="S25" i="17" s="1"/>
  <c r="H39" i="17"/>
  <c r="S39" i="17" s="1"/>
  <c r="S74" i="17"/>
  <c r="S62" i="17"/>
  <c r="S78" i="17"/>
  <c r="S4" i="15"/>
  <c r="S77" i="17"/>
  <c r="S70" i="17"/>
  <c r="S79" i="17"/>
  <c r="S57" i="17"/>
  <c r="S69" i="17"/>
  <c r="S66" i="17"/>
  <c r="S4" i="14"/>
  <c r="AF362" i="20"/>
  <c r="AF361" i="9" s="1"/>
  <c r="AF389" i="20"/>
  <c r="AF388" i="9" s="1"/>
  <c r="AF145" i="20"/>
  <c r="AF144" i="9" s="1"/>
  <c r="H13" i="17"/>
  <c r="S13" i="17" s="1"/>
  <c r="AF365" i="20"/>
  <c r="AF364" i="9" s="1"/>
  <c r="AF293" i="20"/>
  <c r="AF292" i="9" s="1"/>
  <c r="AF387" i="20"/>
  <c r="AF386" i="9" s="1"/>
  <c r="H12" i="17"/>
  <c r="S12" i="17" s="1"/>
  <c r="H14" i="17"/>
  <c r="S14" i="17" s="1"/>
  <c r="AF146" i="20"/>
  <c r="AF145" i="9" s="1"/>
  <c r="AF366" i="20"/>
  <c r="AF365" i="9" s="1"/>
  <c r="AF361" i="20"/>
  <c r="AF360" i="9" s="1"/>
  <c r="AF294" i="20"/>
  <c r="AF293" i="9" s="1"/>
  <c r="AF364" i="20"/>
  <c r="AF363" i="9" s="1"/>
  <c r="H15" i="17"/>
  <c r="S15" i="17" s="1"/>
  <c r="AF388" i="20"/>
  <c r="AF387" i="9" s="1"/>
  <c r="AF295" i="20"/>
  <c r="AF294" i="9" s="1"/>
  <c r="AF363" i="20"/>
  <c r="AF362" i="9" s="1"/>
  <c r="H10" i="17"/>
  <c r="S10" i="17" s="1"/>
  <c r="H16" i="17"/>
  <c r="S16" i="17" s="1"/>
  <c r="AK132" i="20"/>
  <c r="AJ132" i="20" s="1"/>
  <c r="AK141" i="20"/>
  <c r="AK123" i="20"/>
  <c r="AJ123" i="20" s="1"/>
  <c r="AK130" i="20"/>
  <c r="AK139" i="20"/>
  <c r="AK292" i="20"/>
  <c r="AK103" i="20"/>
  <c r="AJ103" i="20" s="1"/>
  <c r="AK94" i="20"/>
  <c r="AJ94" i="20" s="1"/>
  <c r="AK86" i="20"/>
  <c r="AJ86" i="20" s="1"/>
  <c r="AK253" i="20"/>
  <c r="AK241" i="20"/>
  <c r="AK240" i="9" s="1"/>
  <c r="AK230" i="20"/>
  <c r="AK229" i="9" s="1"/>
  <c r="AK218" i="20"/>
  <c r="AK217" i="9" s="1"/>
  <c r="AK208" i="20"/>
  <c r="AK198" i="20"/>
  <c r="AK335" i="20"/>
  <c r="AK182" i="20"/>
  <c r="AK45" i="20"/>
  <c r="AJ45" i="20" s="1"/>
  <c r="AK102" i="20"/>
  <c r="AJ102" i="20" s="1"/>
  <c r="AK93" i="20"/>
  <c r="AJ93" i="20" s="1"/>
  <c r="AK85" i="20"/>
  <c r="AJ85" i="20" s="1"/>
  <c r="AK81" i="20"/>
  <c r="AJ81" i="20" s="1"/>
  <c r="AK77" i="20"/>
  <c r="AJ77" i="20" s="1"/>
  <c r="AK71" i="20"/>
  <c r="AJ71" i="20" s="1"/>
  <c r="AK67" i="20"/>
  <c r="AJ67" i="20" s="1"/>
  <c r="AK60" i="20"/>
  <c r="AJ60" i="20" s="1"/>
  <c r="AK55" i="20"/>
  <c r="AJ55" i="20" s="1"/>
  <c r="AK334" i="20"/>
  <c r="AK181" i="20"/>
  <c r="AK121" i="20"/>
  <c r="AK105" i="20"/>
  <c r="AJ105" i="20" s="1"/>
  <c r="AK279" i="20"/>
  <c r="AK267" i="20"/>
  <c r="AK255" i="20"/>
  <c r="AK243" i="20"/>
  <c r="AK242" i="9" s="1"/>
  <c r="AK72" i="20"/>
  <c r="AJ72" i="20" s="1"/>
  <c r="AK220" i="20"/>
  <c r="AK219" i="9" s="1"/>
  <c r="AK210" i="20"/>
  <c r="AK200" i="20"/>
  <c r="AK189" i="20"/>
  <c r="AK183" i="20"/>
  <c r="AK323" i="20"/>
  <c r="AK108" i="20"/>
  <c r="AJ108" i="20" s="1"/>
  <c r="AK98" i="20"/>
  <c r="AJ98" i="20" s="1"/>
  <c r="AK269" i="20"/>
  <c r="AK257" i="20"/>
  <c r="AK245" i="20"/>
  <c r="AK244" i="9" s="1"/>
  <c r="AK74" i="20"/>
  <c r="AJ74" i="20" s="1"/>
  <c r="AK222" i="20"/>
  <c r="AK221" i="9" s="1"/>
  <c r="AK212" i="20"/>
  <c r="AK202" i="20"/>
  <c r="AK52" i="20"/>
  <c r="AJ52" i="20" s="1"/>
  <c r="AK185" i="20"/>
  <c r="AK325" i="20"/>
  <c r="AK128" i="20"/>
  <c r="AJ128" i="20" s="1"/>
  <c r="AK137" i="20"/>
  <c r="AK118" i="20"/>
  <c r="AJ118" i="20" s="1"/>
  <c r="AK126" i="20"/>
  <c r="AK133" i="20"/>
  <c r="AJ133" i="20" s="1"/>
  <c r="AK115" i="20"/>
  <c r="AJ115" i="20" s="1"/>
  <c r="AK284" i="20"/>
  <c r="AK275" i="20"/>
  <c r="AK84" i="20"/>
  <c r="AJ84" i="20" s="1"/>
  <c r="AK80" i="20"/>
  <c r="AJ80" i="20" s="1"/>
  <c r="AK238" i="20"/>
  <c r="AK237" i="9" s="1"/>
  <c r="AK227" i="20"/>
  <c r="AK226" i="9" s="1"/>
  <c r="AK66" i="20"/>
  <c r="AK206" i="20"/>
  <c r="AK195" i="20"/>
  <c r="AK332" i="20"/>
  <c r="AK327" i="20"/>
  <c r="AK114" i="20"/>
  <c r="AK101" i="20"/>
  <c r="AJ101" i="20" s="1"/>
  <c r="AK92" i="20"/>
  <c r="AJ92" i="20" s="1"/>
  <c r="AK262" i="20"/>
  <c r="AK250" i="20"/>
  <c r="AK237" i="20"/>
  <c r="AK236" i="9" s="1"/>
  <c r="AK70" i="20"/>
  <c r="AJ70" i="20" s="1"/>
  <c r="AK214" i="20"/>
  <c r="AK58" i="20"/>
  <c r="AJ58" i="20" s="1"/>
  <c r="AK54" i="20"/>
  <c r="AK331" i="20"/>
  <c r="AK179" i="20"/>
  <c r="AK117" i="20"/>
  <c r="AK277" i="20"/>
  <c r="AK265" i="20"/>
  <c r="AK252" i="20"/>
  <c r="AK240" i="20"/>
  <c r="AK239" i="9" s="1"/>
  <c r="AK229" i="20"/>
  <c r="AK228" i="9" s="1"/>
  <c r="AK217" i="20"/>
  <c r="AK216" i="9" s="1"/>
  <c r="AK59" i="20"/>
  <c r="AJ59" i="20" s="1"/>
  <c r="AK197" i="20"/>
  <c r="AK188" i="20"/>
  <c r="AK47" i="20"/>
  <c r="AJ47" i="20" s="1"/>
  <c r="AK120" i="20"/>
  <c r="AK104" i="20"/>
  <c r="AK95" i="20"/>
  <c r="AJ95" i="20" s="1"/>
  <c r="AK266" i="20"/>
  <c r="AK254" i="20"/>
  <c r="AK242" i="20"/>
  <c r="AK241" i="9" s="1"/>
  <c r="AK231" i="20"/>
  <c r="AK230" i="9" s="1"/>
  <c r="AK219" i="20"/>
  <c r="AK218" i="9" s="1"/>
  <c r="AK209" i="20"/>
  <c r="AK199" i="20"/>
  <c r="AK50" i="20"/>
  <c r="AK48" i="20"/>
  <c r="AJ48" i="20" s="1"/>
  <c r="AK174" i="20"/>
  <c r="AK142" i="20"/>
  <c r="AK124" i="20"/>
  <c r="AK131" i="20"/>
  <c r="AJ131" i="20" s="1"/>
  <c r="AK140" i="20"/>
  <c r="AK122" i="20"/>
  <c r="AJ122" i="20" s="1"/>
  <c r="AK129" i="20"/>
  <c r="AK111" i="20"/>
  <c r="AK281" i="20"/>
  <c r="AK89" i="20"/>
  <c r="AJ89" i="20" s="1"/>
  <c r="AK83" i="20"/>
  <c r="AK247" i="20"/>
  <c r="AK235" i="20"/>
  <c r="AK234" i="9" s="1"/>
  <c r="AK224" i="20"/>
  <c r="AK223" i="9" s="1"/>
  <c r="AK64" i="20"/>
  <c r="AJ64" i="20" s="1"/>
  <c r="AK204" i="20"/>
  <c r="AK53" i="20"/>
  <c r="AK330" i="20"/>
  <c r="AK46" i="20"/>
  <c r="AK110" i="20"/>
  <c r="AK100" i="20"/>
  <c r="AK270" i="20"/>
  <c r="AK259" i="20"/>
  <c r="AK79" i="20"/>
  <c r="AJ79" i="20" s="1"/>
  <c r="AK234" i="20"/>
  <c r="AK233" i="9" s="1"/>
  <c r="AK69" i="20"/>
  <c r="AJ69" i="20" s="1"/>
  <c r="AK63" i="20"/>
  <c r="AK203" i="20"/>
  <c r="AK192" i="20"/>
  <c r="AK329" i="20"/>
  <c r="AK176" i="20"/>
  <c r="AK113" i="20"/>
  <c r="AK283" i="20"/>
  <c r="AK91" i="20"/>
  <c r="AJ91" i="20" s="1"/>
  <c r="AK261" i="20"/>
  <c r="AK249" i="20"/>
  <c r="AK76" i="20"/>
  <c r="AJ76" i="20" s="1"/>
  <c r="AK226" i="20"/>
  <c r="AK225" i="9" s="1"/>
  <c r="AK213" i="20"/>
  <c r="AK57" i="20"/>
  <c r="AK194" i="20"/>
  <c r="AK187" i="20"/>
  <c r="AK178" i="20"/>
  <c r="AK116" i="20"/>
  <c r="AK285" i="20"/>
  <c r="AK276" i="20"/>
  <c r="AK264" i="20"/>
  <c r="AK251" i="20"/>
  <c r="AK239" i="20"/>
  <c r="AK238" i="9" s="1"/>
  <c r="AK228" i="20"/>
  <c r="AK227" i="9" s="1"/>
  <c r="AK216" i="20"/>
  <c r="AK215" i="9" s="1"/>
  <c r="AK207" i="20"/>
  <c r="AK196" i="20"/>
  <c r="AK333" i="20"/>
  <c r="AK180" i="20"/>
  <c r="AK138" i="20"/>
  <c r="AK119" i="20"/>
  <c r="AK127" i="20"/>
  <c r="AK134" i="20"/>
  <c r="AK144" i="20"/>
  <c r="AK125" i="20"/>
  <c r="AK107" i="20"/>
  <c r="AJ107" i="20" s="1"/>
  <c r="AK97" i="20"/>
  <c r="AJ97" i="20" s="1"/>
  <c r="AK268" i="20"/>
  <c r="AK82" i="20"/>
  <c r="AK244" i="20"/>
  <c r="AK243" i="9" s="1"/>
  <c r="AK232" i="20"/>
  <c r="AK231" i="9" s="1"/>
  <c r="AK221" i="20"/>
  <c r="AK220" i="9" s="1"/>
  <c r="AK211" i="20"/>
  <c r="AK56" i="20"/>
  <c r="AK51" i="20"/>
  <c r="AK49" i="20"/>
  <c r="AK175" i="20"/>
  <c r="AK106" i="20"/>
  <c r="AK96" i="20"/>
  <c r="AK87" i="20"/>
  <c r="AK256" i="20"/>
  <c r="AK78" i="20"/>
  <c r="AJ78" i="20" s="1"/>
  <c r="AK73" i="20"/>
  <c r="AJ73" i="20" s="1"/>
  <c r="AK68" i="20"/>
  <c r="AJ68" i="20" s="1"/>
  <c r="AK61" i="20"/>
  <c r="AJ61" i="20" s="1"/>
  <c r="AK201" i="20"/>
  <c r="AK190" i="20"/>
  <c r="AK184" i="20"/>
  <c r="AK324" i="20"/>
  <c r="AK109" i="20"/>
  <c r="AK99" i="20"/>
  <c r="AK88" i="20"/>
  <c r="AK258" i="20"/>
  <c r="AK246" i="20"/>
  <c r="AK75" i="20"/>
  <c r="AJ75" i="20" s="1"/>
  <c r="AK223" i="20"/>
  <c r="AK222" i="9" s="1"/>
  <c r="AK62" i="20"/>
  <c r="AK340" i="20"/>
  <c r="AK191" i="20"/>
  <c r="AK328" i="20"/>
  <c r="AK326" i="20"/>
  <c r="AK112" i="20"/>
  <c r="AK282" i="20"/>
  <c r="AK90" i="20"/>
  <c r="AK260" i="20"/>
  <c r="AK248" i="20"/>
  <c r="AK236" i="20"/>
  <c r="AK235" i="9" s="1"/>
  <c r="AK225" i="20"/>
  <c r="AK224" i="9" s="1"/>
  <c r="AK65" i="20"/>
  <c r="AK205" i="20"/>
  <c r="AK193" i="20"/>
  <c r="AK186" i="20"/>
  <c r="AK177" i="20"/>
  <c r="Q55" i="17"/>
  <c r="A26" i="17"/>
  <c r="Q26" i="17" s="1"/>
  <c r="A6" i="17"/>
  <c r="Q6" i="17" s="1"/>
  <c r="Q85" i="17"/>
  <c r="Q35" i="17"/>
  <c r="Q118" i="17"/>
  <c r="Q140" i="17"/>
  <c r="Q76" i="17"/>
  <c r="W250" i="20"/>
  <c r="W236" i="20"/>
  <c r="W293" i="20"/>
  <c r="AC293" i="20" s="1"/>
  <c r="AC292" i="9" s="1"/>
  <c r="W38" i="20"/>
  <c r="W328" i="20"/>
  <c r="W74" i="20"/>
  <c r="W323" i="20"/>
  <c r="W282" i="20"/>
  <c r="W18" i="20"/>
  <c r="W209" i="20"/>
  <c r="W67" i="20"/>
  <c r="W147" i="20"/>
  <c r="W153" i="20"/>
  <c r="W159" i="20"/>
  <c r="W9" i="20"/>
  <c r="W311" i="20"/>
  <c r="W62" i="20"/>
  <c r="W381" i="20"/>
  <c r="W175" i="20"/>
  <c r="W93" i="20"/>
  <c r="W401" i="20"/>
  <c r="W193" i="20"/>
  <c r="W56" i="20"/>
  <c r="W268" i="20"/>
  <c r="W255" i="20"/>
  <c r="M47" i="12"/>
  <c r="N47" i="12" s="1"/>
  <c r="M43" i="12"/>
  <c r="N43" i="12" s="1"/>
  <c r="M152" i="12"/>
  <c r="M73" i="12"/>
  <c r="M139" i="12"/>
  <c r="N139" i="12" s="1"/>
  <c r="M67" i="12"/>
  <c r="N67" i="12" s="1"/>
  <c r="M164" i="12"/>
  <c r="M105" i="12"/>
  <c r="M188" i="12"/>
  <c r="N188" i="12" s="1"/>
  <c r="M77" i="12"/>
  <c r="M121" i="12"/>
  <c r="M143" i="12"/>
  <c r="N143" i="12" s="1"/>
  <c r="M86" i="12"/>
  <c r="C72" i="13"/>
  <c r="M175" i="12"/>
  <c r="M150" i="12"/>
  <c r="M154" i="12"/>
  <c r="M79" i="12"/>
  <c r="M45" i="12"/>
  <c r="M41" i="12"/>
  <c r="M95" i="12"/>
  <c r="M49" i="12"/>
  <c r="M80" i="12"/>
  <c r="M31" i="12"/>
  <c r="C150" i="10"/>
  <c r="I150" i="10" s="1"/>
  <c r="C76" i="10"/>
  <c r="F76" i="10" s="1"/>
  <c r="M75" i="12"/>
  <c r="M61" i="12"/>
  <c r="M91" i="12"/>
  <c r="M111" i="12"/>
  <c r="M123" i="12"/>
  <c r="M158" i="12"/>
  <c r="C111" i="13"/>
  <c r="C168" i="10"/>
  <c r="F168" i="10" s="1"/>
  <c r="M146" i="12"/>
  <c r="M13" i="12"/>
  <c r="L54" i="18"/>
  <c r="L36" i="18"/>
  <c r="M71" i="12"/>
  <c r="M29" i="12"/>
  <c r="M104" i="12"/>
  <c r="M84" i="12"/>
  <c r="M30" i="12"/>
  <c r="C163" i="13"/>
  <c r="M191" i="12"/>
  <c r="M72" i="12"/>
  <c r="M34" i="12"/>
  <c r="M148" i="12"/>
  <c r="M35" i="12"/>
  <c r="M39" i="12"/>
  <c r="M63" i="12"/>
  <c r="M103" i="12"/>
  <c r="M38" i="12"/>
  <c r="M172" i="12"/>
  <c r="M76" i="12"/>
  <c r="M96" i="12"/>
  <c r="M184" i="12"/>
  <c r="M115" i="12"/>
  <c r="M99" i="12"/>
  <c r="M183" i="12"/>
  <c r="M138" i="12"/>
  <c r="M127" i="12"/>
  <c r="M109" i="12"/>
  <c r="M106" i="12"/>
  <c r="M142" i="12"/>
  <c r="M168" i="12"/>
  <c r="M169" i="12"/>
  <c r="M140" i="12"/>
  <c r="M165" i="12"/>
  <c r="M122" i="12"/>
  <c r="M130" i="12"/>
  <c r="C167" i="10"/>
  <c r="F167" i="10" s="1"/>
  <c r="G167" i="10" s="1"/>
  <c r="C71" i="13"/>
  <c r="C83" i="13"/>
  <c r="M163" i="12"/>
  <c r="M179" i="12"/>
  <c r="M134" i="12"/>
  <c r="M83" i="12"/>
  <c r="M53" i="12"/>
  <c r="M65" i="12"/>
  <c r="M116" i="12"/>
  <c r="M88" i="12"/>
  <c r="M54" i="12"/>
  <c r="M81" i="12"/>
  <c r="M87" i="12"/>
  <c r="M187" i="12"/>
  <c r="M94" i="12"/>
  <c r="M78" i="12"/>
  <c r="M162" i="12"/>
  <c r="M85" i="12"/>
  <c r="M119" i="12"/>
  <c r="AB186" i="12"/>
  <c r="N186" i="18" s="1"/>
  <c r="G186" i="28" s="1"/>
  <c r="H186" i="28" s="1"/>
  <c r="M64" i="12"/>
  <c r="M171" i="12"/>
  <c r="M58" i="12"/>
  <c r="M62" i="12"/>
  <c r="M189" i="12"/>
  <c r="I185" i="10"/>
  <c r="E176" i="18"/>
  <c r="M147" i="12"/>
  <c r="E182" i="18"/>
  <c r="B186" i="10"/>
  <c r="J187" i="10" s="1"/>
  <c r="B186" i="13"/>
  <c r="AB38" i="13" s="1"/>
  <c r="E179" i="18"/>
  <c r="M107" i="12"/>
  <c r="M57" i="12"/>
  <c r="M17" i="12"/>
  <c r="M21" i="12"/>
  <c r="M25" i="12"/>
  <c r="M180" i="12"/>
  <c r="E184" i="18"/>
  <c r="M68" i="12"/>
  <c r="E173" i="18"/>
  <c r="B190" i="10"/>
  <c r="AH60" i="10" s="1"/>
  <c r="B190" i="13"/>
  <c r="AC39" i="13" s="1"/>
  <c r="B191" i="10"/>
  <c r="J188" i="10" s="1"/>
  <c r="B191" i="13"/>
  <c r="AD39" i="13" s="1"/>
  <c r="E178" i="18"/>
  <c r="B184" i="10"/>
  <c r="AG59" i="10" s="1"/>
  <c r="B184" i="13"/>
  <c r="AA38" i="13" s="1"/>
  <c r="B188" i="10"/>
  <c r="AG61" i="10" s="1"/>
  <c r="B188" i="13"/>
  <c r="AA39" i="13" s="1"/>
  <c r="B185" i="10"/>
  <c r="AG57" i="10" s="1"/>
  <c r="B185" i="13"/>
  <c r="AA37" i="13" s="1"/>
  <c r="AS37" i="13" s="1"/>
  <c r="E175" i="18"/>
  <c r="E180" i="18"/>
  <c r="M177" i="12"/>
  <c r="E181" i="18"/>
  <c r="B189" i="10"/>
  <c r="AG60" i="10" s="1"/>
  <c r="B189" i="13"/>
  <c r="AB39" i="13" s="1"/>
  <c r="E174" i="18"/>
  <c r="E183" i="18"/>
  <c r="E177" i="18"/>
  <c r="B187" i="10"/>
  <c r="K186" i="10" s="1"/>
  <c r="B187" i="13"/>
  <c r="AC38" i="13" s="1"/>
  <c r="F188" i="10"/>
  <c r="I188" i="10"/>
  <c r="M144" i="12"/>
  <c r="M156" i="12"/>
  <c r="F184" i="10"/>
  <c r="I184" i="10"/>
  <c r="M178" i="12"/>
  <c r="M82" i="12"/>
  <c r="M90" i="12"/>
  <c r="M98" i="12"/>
  <c r="M5" i="12"/>
  <c r="T5" i="12"/>
  <c r="F5" i="18" s="1"/>
  <c r="M9" i="12"/>
  <c r="T9" i="12"/>
  <c r="F9" i="18" s="1"/>
  <c r="M37" i="12"/>
  <c r="F189" i="10"/>
  <c r="I189" i="10"/>
  <c r="F191" i="10"/>
  <c r="J191" i="10"/>
  <c r="M108" i="12"/>
  <c r="M120" i="12"/>
  <c r="M124" i="12"/>
  <c r="M92" i="12"/>
  <c r="M100" i="12"/>
  <c r="M181" i="12"/>
  <c r="M55" i="12"/>
  <c r="M7" i="12"/>
  <c r="T7" i="12"/>
  <c r="F7" i="18" s="1"/>
  <c r="M15" i="12"/>
  <c r="M23" i="12"/>
  <c r="F186" i="10"/>
  <c r="J186" i="10"/>
  <c r="F187" i="10"/>
  <c r="K187" i="10"/>
  <c r="M166" i="12"/>
  <c r="M182" i="12"/>
  <c r="M102" i="12"/>
  <c r="M110" i="12"/>
  <c r="M114" i="12"/>
  <c r="M118" i="12"/>
  <c r="M126" i="12"/>
  <c r="M70" i="12"/>
  <c r="M74" i="12"/>
  <c r="M167" i="12"/>
  <c r="M176" i="12"/>
  <c r="M151" i="12"/>
  <c r="M155" i="12"/>
  <c r="M42" i="12"/>
  <c r="M46" i="12"/>
  <c r="M50" i="12"/>
  <c r="M66" i="12"/>
  <c r="M6" i="12"/>
  <c r="T6" i="12"/>
  <c r="F6" i="18" s="1"/>
  <c r="M10" i="12"/>
  <c r="T10" i="12"/>
  <c r="F10" i="18" s="1"/>
  <c r="M14" i="12"/>
  <c r="M18" i="12"/>
  <c r="M22" i="12"/>
  <c r="M26" i="12"/>
  <c r="M161" i="12"/>
  <c r="M113" i="12"/>
  <c r="M117" i="12"/>
  <c r="M125" i="12"/>
  <c r="M69" i="12"/>
  <c r="M89" i="12"/>
  <c r="M93" i="12"/>
  <c r="M97" i="12"/>
  <c r="M101" i="12"/>
  <c r="M51" i="12"/>
  <c r="M59" i="12"/>
  <c r="M11" i="12"/>
  <c r="M19" i="12"/>
  <c r="M27" i="12"/>
  <c r="M170" i="12"/>
  <c r="M129" i="12"/>
  <c r="M133" i="12"/>
  <c r="M137" i="12"/>
  <c r="M141" i="12"/>
  <c r="M149" i="12"/>
  <c r="M153" i="12"/>
  <c r="M157" i="12"/>
  <c r="F190" i="10"/>
  <c r="J190" i="10"/>
  <c r="M190" i="12"/>
  <c r="M131" i="12"/>
  <c r="M135" i="12"/>
  <c r="M173" i="12"/>
  <c r="M128" i="12"/>
  <c r="M132" i="12"/>
  <c r="M136" i="12"/>
  <c r="M160" i="12"/>
  <c r="M174" i="12"/>
  <c r="M40" i="12"/>
  <c r="M44" i="12"/>
  <c r="M48" i="12"/>
  <c r="M52" i="12"/>
  <c r="M56" i="12"/>
  <c r="M60" i="12"/>
  <c r="M4" i="12"/>
  <c r="T4" i="12"/>
  <c r="F4" i="18" s="1"/>
  <c r="M8" i="12"/>
  <c r="T8" i="12"/>
  <c r="F8" i="18" s="1"/>
  <c r="M12" i="12"/>
  <c r="M16" i="12"/>
  <c r="M20" i="12"/>
  <c r="M24" i="12"/>
  <c r="M28" i="12"/>
  <c r="M32" i="12"/>
  <c r="M36" i="12"/>
  <c r="AB192" i="2"/>
  <c r="AB189" i="2"/>
  <c r="AB191" i="2"/>
  <c r="AB190" i="2"/>
  <c r="Z187" i="2"/>
  <c r="AB187" i="2" s="1"/>
  <c r="C159" i="10"/>
  <c r="Z188" i="2"/>
  <c r="AB188" i="2" s="1"/>
  <c r="AB185" i="2"/>
  <c r="AB186" i="2"/>
  <c r="C6" i="10"/>
  <c r="C5" i="10"/>
  <c r="C21" i="10"/>
  <c r="C37" i="13"/>
  <c r="C5" i="13"/>
  <c r="C2" i="10"/>
  <c r="C21" i="13"/>
  <c r="C37" i="10"/>
  <c r="C158" i="10"/>
  <c r="C153" i="13"/>
  <c r="C159" i="13"/>
  <c r="C6" i="13"/>
  <c r="C138" i="13"/>
  <c r="C152" i="10"/>
  <c r="C89" i="13"/>
  <c r="C43" i="10"/>
  <c r="C59" i="13"/>
  <c r="C11" i="13"/>
  <c r="C27" i="13"/>
  <c r="C176" i="10"/>
  <c r="C111" i="10"/>
  <c r="C67" i="10"/>
  <c r="C83" i="10"/>
  <c r="C99" i="10"/>
  <c r="C53" i="10"/>
  <c r="C131" i="10"/>
  <c r="C147" i="10"/>
  <c r="X3" i="2"/>
  <c r="Y3" i="2" s="1"/>
  <c r="C98" i="13"/>
  <c r="C36" i="13"/>
  <c r="C105" i="10"/>
  <c r="C121" i="13"/>
  <c r="C77" i="10"/>
  <c r="C93" i="10"/>
  <c r="C39" i="10"/>
  <c r="C55" i="13"/>
  <c r="C7" i="10"/>
  <c r="C23" i="13"/>
  <c r="C160" i="13"/>
  <c r="C151" i="13"/>
  <c r="C104" i="13"/>
  <c r="C68" i="13"/>
  <c r="C92" i="10"/>
  <c r="C42" i="13"/>
  <c r="C54" i="13"/>
  <c r="C66" i="13"/>
  <c r="C14" i="13"/>
  <c r="C26" i="13"/>
  <c r="C38" i="13"/>
  <c r="C163" i="10"/>
  <c r="C171" i="10"/>
  <c r="C179" i="10"/>
  <c r="C107" i="10"/>
  <c r="C123" i="13"/>
  <c r="C79" i="10"/>
  <c r="C95" i="10"/>
  <c r="C41" i="10"/>
  <c r="K41" i="10" s="1"/>
  <c r="C57" i="13"/>
  <c r="C9" i="13"/>
  <c r="C25" i="13"/>
  <c r="C135" i="13"/>
  <c r="C33" i="13"/>
  <c r="C81" i="10"/>
  <c r="C97" i="10"/>
  <c r="C51" i="13"/>
  <c r="C3" i="13"/>
  <c r="C19" i="10"/>
  <c r="L19" i="10" s="1"/>
  <c r="C139" i="10"/>
  <c r="C103" i="13"/>
  <c r="C119" i="10"/>
  <c r="C75" i="13"/>
  <c r="C91" i="10"/>
  <c r="C45" i="10"/>
  <c r="C13" i="10"/>
  <c r="C29" i="10"/>
  <c r="J29" i="10" s="1"/>
  <c r="C168" i="13"/>
  <c r="C155" i="13"/>
  <c r="C120" i="10"/>
  <c r="C76" i="13"/>
  <c r="C88" i="13"/>
  <c r="C50" i="13"/>
  <c r="C62" i="13"/>
  <c r="C10" i="13"/>
  <c r="C22" i="13"/>
  <c r="C34" i="10"/>
  <c r="C180" i="13"/>
  <c r="C112" i="13"/>
  <c r="C72" i="10"/>
  <c r="C84" i="10"/>
  <c r="C100" i="13"/>
  <c r="C46" i="13"/>
  <c r="C58" i="13"/>
  <c r="C18" i="10"/>
  <c r="C30" i="13"/>
  <c r="C156" i="10"/>
  <c r="C47" i="10"/>
  <c r="C157" i="10"/>
  <c r="C102" i="13"/>
  <c r="C106" i="13"/>
  <c r="C110" i="13"/>
  <c r="C118" i="13"/>
  <c r="C70" i="13"/>
  <c r="C74" i="13"/>
  <c r="C78" i="13"/>
  <c r="C82" i="13"/>
  <c r="C90" i="13"/>
  <c r="C94" i="13"/>
  <c r="C48" i="13"/>
  <c r="C52" i="10"/>
  <c r="C56" i="13"/>
  <c r="C64" i="13"/>
  <c r="C8" i="13"/>
  <c r="C20" i="10"/>
  <c r="C24" i="10"/>
  <c r="C28" i="13"/>
  <c r="C32" i="10"/>
  <c r="C127" i="13"/>
  <c r="C167" i="13"/>
  <c r="C175" i="10"/>
  <c r="C183" i="13"/>
  <c r="C130" i="13"/>
  <c r="C134" i="13"/>
  <c r="C142" i="13"/>
  <c r="C150" i="13"/>
  <c r="C154" i="13"/>
  <c r="C158" i="13"/>
  <c r="C115" i="13"/>
  <c r="C71" i="10"/>
  <c r="C87" i="10"/>
  <c r="C49" i="10"/>
  <c r="C65" i="10"/>
  <c r="C17" i="13"/>
  <c r="C143" i="13"/>
  <c r="C9" i="10"/>
  <c r="C48" i="10"/>
  <c r="C171" i="13"/>
  <c r="C146" i="10"/>
  <c r="C151" i="10"/>
  <c r="C42" i="10"/>
  <c r="C38" i="10"/>
  <c r="C20" i="13"/>
  <c r="C142" i="10"/>
  <c r="C107" i="13"/>
  <c r="C41" i="13"/>
  <c r="C57" i="10"/>
  <c r="C92" i="13"/>
  <c r="C26" i="10"/>
  <c r="C2" i="13"/>
  <c r="C103" i="10"/>
  <c r="C75" i="10"/>
  <c r="C180" i="10"/>
  <c r="J180" i="10" s="1"/>
  <c r="C155" i="10"/>
  <c r="C46" i="10"/>
  <c r="C10" i="10"/>
  <c r="C30" i="10"/>
  <c r="C89" i="10"/>
  <c r="C45" i="13"/>
  <c r="C139" i="13"/>
  <c r="C120" i="13"/>
  <c r="C81" i="13"/>
  <c r="C3" i="10"/>
  <c r="F3" i="10" s="1"/>
  <c r="C95" i="13"/>
  <c r="C105" i="13"/>
  <c r="C77" i="13"/>
  <c r="C93" i="13"/>
  <c r="C121" i="10"/>
  <c r="C11" i="10"/>
  <c r="C176" i="13"/>
  <c r="C131" i="13"/>
  <c r="C147" i="13"/>
  <c r="C27" i="10"/>
  <c r="C56" i="10"/>
  <c r="C127" i="10"/>
  <c r="C122" i="13"/>
  <c r="C153" i="10"/>
  <c r="C44" i="13"/>
  <c r="C52" i="13"/>
  <c r="C60" i="13"/>
  <c r="C4" i="13"/>
  <c r="C12" i="13"/>
  <c r="C28" i="10"/>
  <c r="C36" i="10"/>
  <c r="C126" i="13"/>
  <c r="C4" i="10"/>
  <c r="C114" i="13"/>
  <c r="C157" i="13"/>
  <c r="C44" i="10"/>
  <c r="C60" i="10"/>
  <c r="C12" i="10"/>
  <c r="C24" i="13"/>
  <c r="C32" i="13"/>
  <c r="C86" i="13"/>
  <c r="C63" i="10"/>
  <c r="C8" i="10"/>
  <c r="C39" i="13"/>
  <c r="G3" i="18"/>
  <c r="Y170" i="12"/>
  <c r="B170" i="18" s="1"/>
  <c r="C59" i="10"/>
  <c r="AB3" i="12"/>
  <c r="N3" i="18" s="1"/>
  <c r="G3" i="28" s="1"/>
  <c r="H3" i="28" s="1"/>
  <c r="C113" i="10"/>
  <c r="C47" i="13"/>
  <c r="C63" i="13"/>
  <c r="C15" i="13"/>
  <c r="C31" i="13"/>
  <c r="C161" i="13"/>
  <c r="W170" i="12"/>
  <c r="W178" i="12"/>
  <c r="C181" i="10"/>
  <c r="I181" i="10" s="1"/>
  <c r="C152" i="13"/>
  <c r="W86" i="12"/>
  <c r="C173" i="13"/>
  <c r="C181" i="13"/>
  <c r="C165" i="10"/>
  <c r="C173" i="10"/>
  <c r="C156" i="13"/>
  <c r="C69" i="13"/>
  <c r="C113" i="13"/>
  <c r="C165" i="13"/>
  <c r="C23" i="10"/>
  <c r="C54" i="10"/>
  <c r="C66" i="10"/>
  <c r="C25" i="10"/>
  <c r="C50" i="10"/>
  <c r="C62" i="10"/>
  <c r="C58" i="10"/>
  <c r="C69" i="10"/>
  <c r="C15" i="10"/>
  <c r="C31" i="10"/>
  <c r="C102" i="10"/>
  <c r="C106" i="10"/>
  <c r="C110" i="10"/>
  <c r="C114" i="10"/>
  <c r="C118" i="10"/>
  <c r="C122" i="10"/>
  <c r="C126" i="10"/>
  <c r="C70" i="10"/>
  <c r="C74" i="10"/>
  <c r="C78" i="10"/>
  <c r="C82" i="10"/>
  <c r="C86" i="10"/>
  <c r="C90" i="10"/>
  <c r="C94" i="10"/>
  <c r="C98" i="10"/>
  <c r="C130" i="10"/>
  <c r="C134" i="10"/>
  <c r="C138" i="10"/>
  <c r="C17" i="10"/>
  <c r="C33" i="10"/>
  <c r="C161" i="10"/>
  <c r="W33" i="9"/>
  <c r="W53" i="9"/>
  <c r="W83" i="9"/>
  <c r="W116" i="9"/>
  <c r="W24" i="9"/>
  <c r="W117" i="9"/>
  <c r="W74" i="9"/>
  <c r="W158" i="12"/>
  <c r="W107" i="12"/>
  <c r="W123" i="12"/>
  <c r="W75" i="12"/>
  <c r="W99" i="12"/>
  <c r="W49" i="12"/>
  <c r="W65" i="12"/>
  <c r="W9" i="12"/>
  <c r="W25" i="12"/>
  <c r="W33" i="12"/>
  <c r="W89" i="12"/>
  <c r="W72" i="12"/>
  <c r="W80" i="12"/>
  <c r="W96" i="12"/>
  <c r="W42" i="12"/>
  <c r="W50" i="12"/>
  <c r="W10" i="12"/>
  <c r="W18" i="12"/>
  <c r="W30" i="12"/>
  <c r="W38" i="12"/>
  <c r="W77" i="12"/>
  <c r="W160" i="12"/>
  <c r="W44" i="12"/>
  <c r="W52" i="12"/>
  <c r="W4" i="12"/>
  <c r="W12" i="12"/>
  <c r="W24" i="12"/>
  <c r="W32" i="12"/>
  <c r="W153" i="12"/>
  <c r="W146" i="12"/>
  <c r="W115" i="12"/>
  <c r="C16" i="10"/>
  <c r="C16" i="13"/>
  <c r="C108" i="10"/>
  <c r="C108" i="13"/>
  <c r="C148" i="10"/>
  <c r="C148" i="13"/>
  <c r="C61" i="10"/>
  <c r="C61" i="13"/>
  <c r="C133" i="10"/>
  <c r="C133" i="13"/>
  <c r="W114" i="12"/>
  <c r="W163" i="12"/>
  <c r="W105" i="12"/>
  <c r="W164" i="12"/>
  <c r="W172" i="12"/>
  <c r="W184" i="12"/>
  <c r="W155" i="12"/>
  <c r="W116" i="12"/>
  <c r="W124" i="12"/>
  <c r="W54" i="12"/>
  <c r="W93" i="12"/>
  <c r="W166" i="12"/>
  <c r="W154" i="12"/>
  <c r="W137" i="12"/>
  <c r="C40" i="10"/>
  <c r="C40" i="13"/>
  <c r="C116" i="10"/>
  <c r="C116" i="13"/>
  <c r="C164" i="10"/>
  <c r="C164" i="13"/>
  <c r="C73" i="10"/>
  <c r="C73" i="13"/>
  <c r="C137" i="10"/>
  <c r="C137" i="13"/>
  <c r="W58" i="12"/>
  <c r="W128" i="12"/>
  <c r="W167" i="12"/>
  <c r="W183" i="12"/>
  <c r="W103" i="12"/>
  <c r="W111" i="12"/>
  <c r="W119" i="12"/>
  <c r="W127" i="12"/>
  <c r="W71" i="12"/>
  <c r="W79" i="12"/>
  <c r="W87" i="12"/>
  <c r="W95" i="12"/>
  <c r="W3" i="12"/>
  <c r="W113" i="12"/>
  <c r="W177" i="12"/>
  <c r="W135" i="12"/>
  <c r="W143" i="12"/>
  <c r="W106" i="12"/>
  <c r="W43" i="12"/>
  <c r="W47" i="12"/>
  <c r="W59" i="12"/>
  <c r="W7" i="12"/>
  <c r="W11" i="12"/>
  <c r="W15" i="12"/>
  <c r="W19" i="12"/>
  <c r="W23" i="12"/>
  <c r="W27" i="12"/>
  <c r="W35" i="12"/>
  <c r="W39" i="12"/>
  <c r="W157" i="12"/>
  <c r="W130" i="12"/>
  <c r="C162" i="10"/>
  <c r="C162" i="13"/>
  <c r="C178" i="10"/>
  <c r="C178" i="13"/>
  <c r="W147" i="12"/>
  <c r="W138" i="12"/>
  <c r="C80" i="10"/>
  <c r="C80" i="13"/>
  <c r="C124" i="10"/>
  <c r="C124" i="13"/>
  <c r="C140" i="10"/>
  <c r="C140" i="13"/>
  <c r="C172" i="10"/>
  <c r="C172" i="13"/>
  <c r="W88" i="12"/>
  <c r="C85" i="10"/>
  <c r="C85" i="13"/>
  <c r="C125" i="10"/>
  <c r="C125" i="13"/>
  <c r="C141" i="10"/>
  <c r="C141" i="13"/>
  <c r="C177" i="10"/>
  <c r="C177" i="13"/>
  <c r="W69" i="12"/>
  <c r="W144" i="12"/>
  <c r="W171" i="12"/>
  <c r="W85" i="12"/>
  <c r="W121" i="12"/>
  <c r="W136" i="12"/>
  <c r="W152" i="12"/>
  <c r="W55" i="12"/>
  <c r="W31" i="12"/>
  <c r="W145" i="12"/>
  <c r="C166" i="10"/>
  <c r="C166" i="13"/>
  <c r="C182" i="10"/>
  <c r="C182" i="13"/>
  <c r="C35" i="10"/>
  <c r="C35" i="13"/>
  <c r="W151" i="12"/>
  <c r="C96" i="10"/>
  <c r="C96" i="13"/>
  <c r="C128" i="10"/>
  <c r="C128" i="13"/>
  <c r="C144" i="10"/>
  <c r="C144" i="13"/>
  <c r="W20" i="12"/>
  <c r="W141" i="12"/>
  <c r="C101" i="10"/>
  <c r="C101" i="13"/>
  <c r="C129" i="10"/>
  <c r="C129" i="13"/>
  <c r="C145" i="10"/>
  <c r="C145" i="13"/>
  <c r="W91" i="12"/>
  <c r="W181" i="12"/>
  <c r="W175" i="12"/>
  <c r="W101" i="12"/>
  <c r="W83" i="12"/>
  <c r="W45" i="12"/>
  <c r="W53" i="12"/>
  <c r="W61" i="12"/>
  <c r="W5" i="12"/>
  <c r="W13" i="12"/>
  <c r="W21" i="12"/>
  <c r="W29" i="12"/>
  <c r="W37" i="12"/>
  <c r="W161" i="12"/>
  <c r="W131" i="12"/>
  <c r="W139" i="12"/>
  <c r="W104" i="12"/>
  <c r="W112" i="12"/>
  <c r="W120" i="12"/>
  <c r="W46" i="12"/>
  <c r="W6" i="12"/>
  <c r="W14" i="12"/>
  <c r="W22" i="12"/>
  <c r="W34" i="12"/>
  <c r="W122" i="12"/>
  <c r="W132" i="12"/>
  <c r="W140" i="12"/>
  <c r="W148" i="12"/>
  <c r="W156" i="12"/>
  <c r="W51" i="12"/>
  <c r="W40" i="12"/>
  <c r="W48" i="12"/>
  <c r="W56" i="12"/>
  <c r="W64" i="12"/>
  <c r="W8" i="12"/>
  <c r="W16" i="12"/>
  <c r="W28" i="12"/>
  <c r="W162" i="12"/>
  <c r="C170" i="10"/>
  <c r="C170" i="13"/>
  <c r="W63" i="12"/>
  <c r="C132" i="10"/>
  <c r="C132" i="13"/>
  <c r="W57" i="12"/>
  <c r="C109" i="10"/>
  <c r="C109" i="13"/>
  <c r="C149" i="10"/>
  <c r="C149" i="13"/>
  <c r="W26" i="12"/>
  <c r="W179" i="12"/>
  <c r="W169" i="12"/>
  <c r="W168" i="12"/>
  <c r="W176" i="12"/>
  <c r="W180" i="12"/>
  <c r="W159" i="12"/>
  <c r="W108" i="12"/>
  <c r="W68" i="12"/>
  <c r="W76" i="12"/>
  <c r="W84" i="12"/>
  <c r="W92" i="12"/>
  <c r="W100" i="12"/>
  <c r="W66" i="12"/>
  <c r="W73" i="12"/>
  <c r="W70" i="12"/>
  <c r="W78" i="12"/>
  <c r="W82" i="12"/>
  <c r="W90" i="12"/>
  <c r="W94" i="12"/>
  <c r="W98" i="12"/>
  <c r="W60" i="12"/>
  <c r="W182" i="12"/>
  <c r="W174" i="12"/>
  <c r="W129" i="12"/>
  <c r="C174" i="10"/>
  <c r="C174" i="13"/>
  <c r="W109" i="12"/>
  <c r="C136" i="10"/>
  <c r="C136" i="13"/>
  <c r="W67" i="12"/>
  <c r="C117" i="10"/>
  <c r="C117" i="13"/>
  <c r="C169" i="10"/>
  <c r="C169" i="13"/>
  <c r="AC57" i="13"/>
  <c r="AC54" i="13"/>
  <c r="AC1" i="13"/>
  <c r="AC53" i="13"/>
  <c r="AC40" i="13"/>
  <c r="AC46" i="13"/>
  <c r="AC45" i="13"/>
  <c r="AC41" i="13"/>
  <c r="AC50" i="13"/>
  <c r="AC47" i="13"/>
  <c r="AC56" i="13"/>
  <c r="AC52" i="13"/>
  <c r="AC55" i="13"/>
  <c r="AC51" i="13"/>
  <c r="AC43" i="13"/>
  <c r="AC42" i="13"/>
  <c r="AC48" i="13"/>
  <c r="AC44" i="13"/>
  <c r="L1" i="13"/>
  <c r="AD1" i="13" s="1"/>
  <c r="Y142" i="12"/>
  <c r="B142" i="18" s="1"/>
  <c r="Y150" i="12"/>
  <c r="B150" i="18" s="1"/>
  <c r="Y162" i="12"/>
  <c r="B162" i="18" s="1"/>
  <c r="Y178" i="12"/>
  <c r="B178" i="18" s="1"/>
  <c r="Y6" i="12"/>
  <c r="B6" i="18" s="1"/>
  <c r="Y10" i="12"/>
  <c r="B10" i="18" s="1"/>
  <c r="Y14" i="12"/>
  <c r="B14" i="18" s="1"/>
  <c r="Y18" i="12"/>
  <c r="B18" i="18" s="1"/>
  <c r="Y26" i="12"/>
  <c r="B26" i="18" s="1"/>
  <c r="Y97" i="12"/>
  <c r="B97" i="18" s="1"/>
  <c r="Y149" i="12"/>
  <c r="B149" i="18" s="1"/>
  <c r="Y75" i="12"/>
  <c r="B75" i="18" s="1"/>
  <c r="Y91" i="12"/>
  <c r="B91" i="18" s="1"/>
  <c r="Y99" i="12"/>
  <c r="B99" i="18" s="1"/>
  <c r="Y45" i="12"/>
  <c r="B45" i="18" s="1"/>
  <c r="Y53" i="12"/>
  <c r="B53" i="18" s="1"/>
  <c r="Y9" i="12"/>
  <c r="B9" i="18" s="1"/>
  <c r="Y17" i="12"/>
  <c r="B17" i="18" s="1"/>
  <c r="Y25" i="12"/>
  <c r="B25" i="18" s="1"/>
  <c r="Y33" i="12"/>
  <c r="B33" i="18" s="1"/>
  <c r="Y46" i="12"/>
  <c r="B46" i="18" s="1"/>
  <c r="Y22" i="12"/>
  <c r="B22" i="18" s="1"/>
  <c r="Y30" i="12"/>
  <c r="B30" i="18" s="1"/>
  <c r="Y38" i="12"/>
  <c r="B38" i="18" s="1"/>
  <c r="Y117" i="12"/>
  <c r="B117" i="18" s="1"/>
  <c r="Y81" i="12"/>
  <c r="B81" i="18" s="1"/>
  <c r="Y55" i="12"/>
  <c r="B55" i="18" s="1"/>
  <c r="Y31" i="12"/>
  <c r="B31" i="18" s="1"/>
  <c r="Y102" i="12"/>
  <c r="B102" i="18" s="1"/>
  <c r="Y52" i="12"/>
  <c r="B52" i="18" s="1"/>
  <c r="Y138" i="12"/>
  <c r="B138" i="18" s="1"/>
  <c r="Y107" i="12"/>
  <c r="B107" i="18" s="1"/>
  <c r="Y174" i="12"/>
  <c r="B174" i="18" s="1"/>
  <c r="Y182" i="12"/>
  <c r="B182" i="18" s="1"/>
  <c r="Y153" i="12"/>
  <c r="B153" i="18" s="1"/>
  <c r="Y155" i="12"/>
  <c r="B155" i="18" s="1"/>
  <c r="Y159" i="12"/>
  <c r="B159" i="18" s="1"/>
  <c r="Y76" i="12"/>
  <c r="B76" i="18" s="1"/>
  <c r="Y156" i="12"/>
  <c r="B156" i="18" s="1"/>
  <c r="Y160" i="12"/>
  <c r="B160" i="18" s="1"/>
  <c r="Y93" i="12"/>
  <c r="B93" i="18" s="1"/>
  <c r="Y40" i="12"/>
  <c r="B40" i="18" s="1"/>
  <c r="Y133" i="12"/>
  <c r="B133" i="18" s="1"/>
  <c r="Y130" i="12"/>
  <c r="B130" i="18" s="1"/>
  <c r="Y146" i="12"/>
  <c r="B146" i="18" s="1"/>
  <c r="Y115" i="12"/>
  <c r="B115" i="18" s="1"/>
  <c r="Y123" i="12"/>
  <c r="B123" i="18" s="1"/>
  <c r="Y83" i="12"/>
  <c r="B83" i="18" s="1"/>
  <c r="Y41" i="12"/>
  <c r="B41" i="18" s="1"/>
  <c r="Y49" i="12"/>
  <c r="B49" i="18" s="1"/>
  <c r="Y5" i="12"/>
  <c r="B5" i="18" s="1"/>
  <c r="Y13" i="12"/>
  <c r="B13" i="18" s="1"/>
  <c r="Y21" i="12"/>
  <c r="B21" i="18" s="1"/>
  <c r="Y29" i="12"/>
  <c r="B29" i="18" s="1"/>
  <c r="Y37" i="12"/>
  <c r="B37" i="18" s="1"/>
  <c r="Y42" i="12"/>
  <c r="B42" i="18" s="1"/>
  <c r="Y50" i="12"/>
  <c r="B50" i="18" s="1"/>
  <c r="Y34" i="12"/>
  <c r="B34" i="18" s="1"/>
  <c r="Y166" i="12"/>
  <c r="B166" i="18" s="1"/>
  <c r="Y137" i="12"/>
  <c r="B137" i="18" s="1"/>
  <c r="Y134" i="12"/>
  <c r="B134" i="18" s="1"/>
  <c r="Y103" i="12"/>
  <c r="B103" i="18" s="1"/>
  <c r="Y111" i="12"/>
  <c r="B111" i="18" s="1"/>
  <c r="Y119" i="12"/>
  <c r="B119" i="18" s="1"/>
  <c r="Y127" i="12"/>
  <c r="B127" i="18" s="1"/>
  <c r="Y71" i="12"/>
  <c r="B71" i="18" s="1"/>
  <c r="Y79" i="12"/>
  <c r="B79" i="18" s="1"/>
  <c r="Y87" i="12"/>
  <c r="B87" i="18" s="1"/>
  <c r="Y95" i="12"/>
  <c r="B95" i="18" s="1"/>
  <c r="Y135" i="12"/>
  <c r="B135" i="18" s="1"/>
  <c r="Y143" i="12"/>
  <c r="B143" i="18" s="1"/>
  <c r="Y151" i="12"/>
  <c r="B151" i="18" s="1"/>
  <c r="Y165" i="12"/>
  <c r="B165" i="18" s="1"/>
  <c r="Y181" i="12"/>
  <c r="B181" i="18" s="1"/>
  <c r="Y105" i="12"/>
  <c r="B105" i="18" s="1"/>
  <c r="Y121" i="12"/>
  <c r="B121" i="18" s="1"/>
  <c r="Y85" i="12"/>
  <c r="B85" i="18" s="1"/>
  <c r="Y101" i="12"/>
  <c r="B101" i="18" s="1"/>
  <c r="Y110" i="12"/>
  <c r="B110" i="18" s="1"/>
  <c r="Y126" i="12"/>
  <c r="B126" i="18" s="1"/>
  <c r="Y179" i="12"/>
  <c r="B179" i="18" s="1"/>
  <c r="Y141" i="12"/>
  <c r="B141" i="18" s="1"/>
  <c r="Y131" i="12"/>
  <c r="B131" i="18" s="1"/>
  <c r="Y139" i="12"/>
  <c r="B139" i="18" s="1"/>
  <c r="Y147" i="12"/>
  <c r="B147" i="18" s="1"/>
  <c r="Y161" i="12"/>
  <c r="B161" i="18" s="1"/>
  <c r="Y177" i="12"/>
  <c r="B177" i="18" s="1"/>
  <c r="Y128" i="12"/>
  <c r="B128" i="18" s="1"/>
  <c r="Y132" i="12"/>
  <c r="B132" i="18" s="1"/>
  <c r="Y136" i="12"/>
  <c r="B136" i="18" s="1"/>
  <c r="Y140" i="12"/>
  <c r="B140" i="18" s="1"/>
  <c r="Y144" i="12"/>
  <c r="B144" i="18" s="1"/>
  <c r="Y148" i="12"/>
  <c r="B148" i="18" s="1"/>
  <c r="Y152" i="12"/>
  <c r="B152" i="18" s="1"/>
  <c r="Y106" i="12"/>
  <c r="B106" i="18" s="1"/>
  <c r="Y122" i="12"/>
  <c r="B122" i="18" s="1"/>
  <c r="Y167" i="12"/>
  <c r="B167" i="18" s="1"/>
  <c r="Y158" i="12"/>
  <c r="B158" i="18" s="1"/>
  <c r="Y57" i="12"/>
  <c r="B57" i="18" s="1"/>
  <c r="Y61" i="12"/>
  <c r="B61" i="18" s="1"/>
  <c r="Y65" i="12"/>
  <c r="B65" i="18" s="1"/>
  <c r="Y3" i="12"/>
  <c r="B3" i="18" s="1"/>
  <c r="W1" i="12"/>
  <c r="Y104" i="12"/>
  <c r="B104" i="18" s="1"/>
  <c r="Y108" i="12"/>
  <c r="B108" i="18" s="1"/>
  <c r="Y112" i="12"/>
  <c r="B112" i="18" s="1"/>
  <c r="Y116" i="12"/>
  <c r="B116" i="18" s="1"/>
  <c r="Y120" i="12"/>
  <c r="B120" i="18" s="1"/>
  <c r="Y124" i="12"/>
  <c r="B124" i="18" s="1"/>
  <c r="Y68" i="12"/>
  <c r="B68" i="18" s="1"/>
  <c r="Y72" i="12"/>
  <c r="B72" i="18" s="1"/>
  <c r="Y80" i="12"/>
  <c r="B80" i="18" s="1"/>
  <c r="Y84" i="12"/>
  <c r="B84" i="18" s="1"/>
  <c r="Y88" i="12"/>
  <c r="B88" i="18" s="1"/>
  <c r="Y92" i="12"/>
  <c r="B92" i="18" s="1"/>
  <c r="Y96" i="12"/>
  <c r="B96" i="18" s="1"/>
  <c r="Y100" i="12"/>
  <c r="B100" i="18" s="1"/>
  <c r="Y54" i="12"/>
  <c r="B54" i="18" s="1"/>
  <c r="Y173" i="12"/>
  <c r="B173" i="18" s="1"/>
  <c r="Y113" i="12"/>
  <c r="B113" i="18" s="1"/>
  <c r="Y77" i="12"/>
  <c r="B77" i="18" s="1"/>
  <c r="Y43" i="12"/>
  <c r="B43" i="18" s="1"/>
  <c r="Y47" i="12"/>
  <c r="B47" i="18" s="1"/>
  <c r="Y51" i="12"/>
  <c r="B51" i="18" s="1"/>
  <c r="Y63" i="12"/>
  <c r="B63" i="18" s="1"/>
  <c r="Y7" i="12"/>
  <c r="B7" i="18" s="1"/>
  <c r="Y11" i="12"/>
  <c r="B11" i="18" s="1"/>
  <c r="Y15" i="12"/>
  <c r="B15" i="18" s="1"/>
  <c r="Y19" i="12"/>
  <c r="B19" i="18" s="1"/>
  <c r="Y23" i="12"/>
  <c r="B23" i="18" s="1"/>
  <c r="Y27" i="12"/>
  <c r="B27" i="18" s="1"/>
  <c r="Y35" i="12"/>
  <c r="B35" i="18" s="1"/>
  <c r="Y39" i="12"/>
  <c r="B39" i="18" s="1"/>
  <c r="Y118" i="12"/>
  <c r="B118" i="18" s="1"/>
  <c r="Y44" i="12"/>
  <c r="B44" i="18" s="1"/>
  <c r="Y48" i="12"/>
  <c r="B48" i="18" s="1"/>
  <c r="Y56" i="12"/>
  <c r="B56" i="18" s="1"/>
  <c r="Y60" i="12"/>
  <c r="B60" i="18" s="1"/>
  <c r="Y64" i="12"/>
  <c r="B64" i="18" s="1"/>
  <c r="Y4" i="12"/>
  <c r="B4" i="18" s="1"/>
  <c r="Y8" i="12"/>
  <c r="B8" i="18" s="1"/>
  <c r="Y12" i="12"/>
  <c r="B12" i="18" s="1"/>
  <c r="Y16" i="12"/>
  <c r="B16" i="18" s="1"/>
  <c r="Y20" i="12"/>
  <c r="B20" i="18" s="1"/>
  <c r="Y24" i="12"/>
  <c r="B24" i="18" s="1"/>
  <c r="Y28" i="12"/>
  <c r="B28" i="18" s="1"/>
  <c r="Y32" i="12"/>
  <c r="B32" i="18" s="1"/>
  <c r="Y36" i="12"/>
  <c r="B36" i="18" s="1"/>
  <c r="Y175" i="12"/>
  <c r="B175" i="18" s="1"/>
  <c r="Y163" i="12"/>
  <c r="B163" i="18" s="1"/>
  <c r="Y154" i="12"/>
  <c r="B154" i="18" s="1"/>
  <c r="Y129" i="12"/>
  <c r="B129" i="18" s="1"/>
  <c r="Y145" i="12"/>
  <c r="B145" i="18" s="1"/>
  <c r="Y164" i="12"/>
  <c r="B164" i="18" s="1"/>
  <c r="Y168" i="12"/>
  <c r="B168" i="18" s="1"/>
  <c r="Y172" i="12"/>
  <c r="B172" i="18" s="1"/>
  <c r="Y176" i="12"/>
  <c r="B176" i="18" s="1"/>
  <c r="Y180" i="12"/>
  <c r="B180" i="18" s="1"/>
  <c r="Y184" i="12"/>
  <c r="B184" i="18" s="1"/>
  <c r="Y58" i="12"/>
  <c r="B58" i="18" s="1"/>
  <c r="Y62" i="12"/>
  <c r="B62" i="18" s="1"/>
  <c r="Y66" i="12"/>
  <c r="B66" i="18" s="1"/>
  <c r="Y169" i="12"/>
  <c r="B169" i="18" s="1"/>
  <c r="Y109" i="12"/>
  <c r="B109" i="18" s="1"/>
  <c r="Y125" i="12"/>
  <c r="B125" i="18" s="1"/>
  <c r="Y69" i="12"/>
  <c r="B69" i="18" s="1"/>
  <c r="Y73" i="12"/>
  <c r="B73" i="18" s="1"/>
  <c r="Y89" i="12"/>
  <c r="B89" i="18" s="1"/>
  <c r="Y59" i="12"/>
  <c r="B59" i="18" s="1"/>
  <c r="Y67" i="12"/>
  <c r="B67" i="18" s="1"/>
  <c r="Y157" i="12"/>
  <c r="B157" i="18" s="1"/>
  <c r="Y114" i="12"/>
  <c r="B114" i="18" s="1"/>
  <c r="Y70" i="12"/>
  <c r="B70" i="18" s="1"/>
  <c r="Y74" i="12"/>
  <c r="B74" i="18" s="1"/>
  <c r="Y78" i="12"/>
  <c r="B78" i="18" s="1"/>
  <c r="Y82" i="12"/>
  <c r="B82" i="18" s="1"/>
  <c r="Y86" i="12"/>
  <c r="B86" i="18" s="1"/>
  <c r="Y90" i="12"/>
  <c r="B90" i="18" s="1"/>
  <c r="Y94" i="12"/>
  <c r="B94" i="18" s="1"/>
  <c r="Y98" i="12"/>
  <c r="B98" i="18" s="1"/>
  <c r="Y183" i="12"/>
  <c r="B183" i="18" s="1"/>
  <c r="Y171" i="12"/>
  <c r="B171" i="18" s="1"/>
  <c r="Z59" i="2"/>
  <c r="Z8" i="2"/>
  <c r="Y8" i="2"/>
  <c r="Z24" i="2"/>
  <c r="Z40" i="2"/>
  <c r="Z56" i="2"/>
  <c r="Z72" i="2"/>
  <c r="Z88" i="2"/>
  <c r="B88" i="2" s="1"/>
  <c r="Z104" i="2"/>
  <c r="B104" i="2" s="1"/>
  <c r="Z120" i="2"/>
  <c r="B120" i="2" s="1"/>
  <c r="Z136" i="2"/>
  <c r="Z152" i="2"/>
  <c r="Z168" i="2"/>
  <c r="Z184" i="2"/>
  <c r="Z5" i="2"/>
  <c r="Y5" i="2"/>
  <c r="Z21" i="2"/>
  <c r="Z37" i="2"/>
  <c r="Z53" i="2"/>
  <c r="Z69" i="2"/>
  <c r="Z85" i="2"/>
  <c r="Z101" i="2"/>
  <c r="B101" i="2" s="1"/>
  <c r="Z117" i="2"/>
  <c r="B117" i="2" s="1"/>
  <c r="Z133" i="2"/>
  <c r="Z149" i="2"/>
  <c r="Z165" i="2"/>
  <c r="Z181" i="2"/>
  <c r="Z126" i="2"/>
  <c r="Z142" i="2"/>
  <c r="B142" i="2" s="1"/>
  <c r="Z158" i="2"/>
  <c r="Z174" i="2"/>
  <c r="Z34" i="2"/>
  <c r="Z98" i="2"/>
  <c r="B98" i="2" s="1"/>
  <c r="Z62" i="2"/>
  <c r="Z38" i="2"/>
  <c r="Z102" i="2"/>
  <c r="B102" i="2" s="1"/>
  <c r="Z26" i="2"/>
  <c r="Z90" i="2"/>
  <c r="B90" i="2" s="1"/>
  <c r="Z11" i="2"/>
  <c r="Z75" i="2"/>
  <c r="Z12" i="2"/>
  <c r="Z28" i="2"/>
  <c r="Z44" i="2"/>
  <c r="Z60" i="2"/>
  <c r="Z76" i="2"/>
  <c r="Z92" i="2"/>
  <c r="B92" i="2" s="1"/>
  <c r="Z108" i="2"/>
  <c r="B108" i="2" s="1"/>
  <c r="Z124" i="2"/>
  <c r="Z140" i="2"/>
  <c r="Z156" i="2"/>
  <c r="Z172" i="2"/>
  <c r="Z9" i="2"/>
  <c r="Y9" i="2"/>
  <c r="Z25" i="2"/>
  <c r="Z41" i="2"/>
  <c r="Z57" i="2"/>
  <c r="Z73" i="2"/>
  <c r="Z89" i="2"/>
  <c r="B89" i="2" s="1"/>
  <c r="Z105" i="2"/>
  <c r="B105" i="2" s="1"/>
  <c r="Z121" i="2"/>
  <c r="B121" i="2" s="1"/>
  <c r="Z137" i="2"/>
  <c r="Z153" i="2"/>
  <c r="Z169" i="2"/>
  <c r="Z114" i="2"/>
  <c r="B114" i="2" s="1"/>
  <c r="Z130" i="2"/>
  <c r="Z146" i="2"/>
  <c r="Z162" i="2"/>
  <c r="Z178" i="2"/>
  <c r="Z50" i="2"/>
  <c r="Z94" i="2"/>
  <c r="B94" i="2" s="1"/>
  <c r="Z54" i="2"/>
  <c r="Z78" i="2"/>
  <c r="Z42" i="2"/>
  <c r="Z106" i="2"/>
  <c r="B106" i="2" s="1"/>
  <c r="Z27" i="2"/>
  <c r="Z91" i="2"/>
  <c r="B91" i="2" s="1"/>
  <c r="Z16" i="2"/>
  <c r="Z32" i="2"/>
  <c r="Z48" i="2"/>
  <c r="Z64" i="2"/>
  <c r="Z80" i="2"/>
  <c r="Z96" i="2"/>
  <c r="B96" i="2" s="1"/>
  <c r="Z112" i="2"/>
  <c r="B112" i="2" s="1"/>
  <c r="Z128" i="2"/>
  <c r="Z144" i="2"/>
  <c r="Z160" i="2"/>
  <c r="Z176" i="2"/>
  <c r="Z13" i="2"/>
  <c r="Z29" i="2"/>
  <c r="Z45" i="2"/>
  <c r="Z61" i="2"/>
  <c r="Z77" i="2"/>
  <c r="Z93" i="2"/>
  <c r="B93" i="2" s="1"/>
  <c r="Z109" i="2"/>
  <c r="B109" i="2" s="1"/>
  <c r="Z125" i="2"/>
  <c r="Z141" i="2"/>
  <c r="Z157" i="2"/>
  <c r="Z173" i="2"/>
  <c r="Z118" i="2"/>
  <c r="B118" i="2" s="1"/>
  <c r="Z134" i="2"/>
  <c r="Z150" i="2"/>
  <c r="Z166" i="2"/>
  <c r="Z182" i="2"/>
  <c r="Z66" i="2"/>
  <c r="Z6" i="2"/>
  <c r="Y6" i="2"/>
  <c r="Z70" i="2"/>
  <c r="Z110" i="2"/>
  <c r="B110" i="2" s="1"/>
  <c r="Z58" i="2"/>
  <c r="Z43" i="2"/>
  <c r="Z4" i="2"/>
  <c r="Y4" i="2"/>
  <c r="Z20" i="2"/>
  <c r="Z36" i="2"/>
  <c r="Z52" i="2"/>
  <c r="Z68" i="2"/>
  <c r="Z84" i="2"/>
  <c r="Z100" i="2"/>
  <c r="B100" i="2" s="1"/>
  <c r="Z116" i="2"/>
  <c r="B116" i="2" s="1"/>
  <c r="Z132" i="2"/>
  <c r="Z148" i="2"/>
  <c r="Z164" i="2"/>
  <c r="Z180" i="2"/>
  <c r="Z17" i="2"/>
  <c r="Z33" i="2"/>
  <c r="Z49" i="2"/>
  <c r="Z65" i="2"/>
  <c r="Z81" i="2"/>
  <c r="Z97" i="2"/>
  <c r="B97" i="2" s="1"/>
  <c r="Z113" i="2"/>
  <c r="B113" i="2" s="1"/>
  <c r="Z129" i="2"/>
  <c r="B129" i="2" s="1"/>
  <c r="Z145" i="2"/>
  <c r="Z161" i="2"/>
  <c r="Z177" i="2"/>
  <c r="Z122" i="2"/>
  <c r="Z138" i="2"/>
  <c r="Z154" i="2"/>
  <c r="Z170" i="2"/>
  <c r="Z18" i="2"/>
  <c r="Z82" i="2"/>
  <c r="Z14" i="2"/>
  <c r="Z22" i="2"/>
  <c r="Z86" i="2"/>
  <c r="Z10" i="2"/>
  <c r="Y10" i="2"/>
  <c r="Z74" i="2"/>
  <c r="Z2" i="2"/>
  <c r="Y2" i="2"/>
  <c r="X19" i="2"/>
  <c r="X39" i="2"/>
  <c r="X63" i="2"/>
  <c r="B63" i="2" s="1"/>
  <c r="X83" i="2"/>
  <c r="B83" i="2" s="1"/>
  <c r="X103" i="2"/>
  <c r="X119" i="2"/>
  <c r="X135" i="2"/>
  <c r="X151" i="2"/>
  <c r="X167" i="2"/>
  <c r="X183" i="2"/>
  <c r="X23" i="2"/>
  <c r="X47" i="2"/>
  <c r="X67" i="2"/>
  <c r="B67" i="2" s="1"/>
  <c r="X87" i="2"/>
  <c r="X107" i="2"/>
  <c r="X123" i="2"/>
  <c r="X139" i="2"/>
  <c r="X155" i="2"/>
  <c r="X171" i="2"/>
  <c r="X7" i="2"/>
  <c r="X31" i="2"/>
  <c r="X51" i="2"/>
  <c r="X71" i="2"/>
  <c r="B71" i="2" s="1"/>
  <c r="X95" i="2"/>
  <c r="X111" i="2"/>
  <c r="X127" i="2"/>
  <c r="X143" i="2"/>
  <c r="X159" i="2"/>
  <c r="X175" i="2"/>
  <c r="X15" i="2"/>
  <c r="X35" i="2"/>
  <c r="X55" i="2"/>
  <c r="B55" i="2" s="1"/>
  <c r="X79" i="2"/>
  <c r="B79" i="2" s="1"/>
  <c r="X99" i="2"/>
  <c r="X115" i="2"/>
  <c r="X131" i="2"/>
  <c r="X147" i="2"/>
  <c r="X163" i="2"/>
  <c r="X179" i="2"/>
  <c r="W2" i="2"/>
  <c r="W4" i="9"/>
  <c r="V4" i="9"/>
  <c r="T4" i="9" s="1"/>
  <c r="Z1" i="10"/>
  <c r="D117" i="6"/>
  <c r="D53" i="6"/>
  <c r="D154" i="6"/>
  <c r="D118" i="6"/>
  <c r="D24" i="6"/>
  <c r="D149" i="6"/>
  <c r="D85" i="6"/>
  <c r="D33" i="6"/>
  <c r="D76" i="6"/>
  <c r="D139" i="6"/>
  <c r="D3" i="6"/>
  <c r="D227" i="5"/>
  <c r="D222" i="5"/>
  <c r="D219" i="5"/>
  <c r="D216" i="5"/>
  <c r="D214" i="5"/>
  <c r="D210" i="5"/>
  <c r="D204" i="5"/>
  <c r="D207" i="5"/>
  <c r="D211" i="5"/>
  <c r="D208" i="5"/>
  <c r="D186" i="5"/>
  <c r="D181" i="5"/>
  <c r="D172" i="5"/>
  <c r="D169" i="5"/>
  <c r="D159" i="5"/>
  <c r="D141" i="5"/>
  <c r="D132" i="5"/>
  <c r="D114" i="5"/>
  <c r="D109" i="5"/>
  <c r="D86" i="5"/>
  <c r="D76" i="5"/>
  <c r="D70" i="5"/>
  <c r="D53" i="5"/>
  <c r="D42" i="5"/>
  <c r="D38" i="5"/>
  <c r="D39" i="5"/>
  <c r="D24" i="5"/>
  <c r="BC61" i="28" l="1"/>
  <c r="DH104" i="28" s="1"/>
  <c r="DE104" i="28" s="1"/>
  <c r="BC59" i="28"/>
  <c r="DH94" i="28" s="1"/>
  <c r="DE94" i="28" s="1"/>
  <c r="I185" i="28"/>
  <c r="F185" i="28"/>
  <c r="F191" i="28"/>
  <c r="I191" i="28"/>
  <c r="F189" i="28"/>
  <c r="I189" i="28"/>
  <c r="I192" i="28"/>
  <c r="F192" i="28"/>
  <c r="I190" i="28"/>
  <c r="F190" i="28"/>
  <c r="I187" i="28"/>
  <c r="F187" i="28"/>
  <c r="I188" i="28"/>
  <c r="F188" i="28"/>
  <c r="G188" i="10"/>
  <c r="AI49" i="14"/>
  <c r="AI46" i="14"/>
  <c r="AI38" i="14"/>
  <c r="AI42" i="14"/>
  <c r="AV42" i="14" s="1"/>
  <c r="AH40" i="14"/>
  <c r="AI35" i="14"/>
  <c r="AJ32" i="14"/>
  <c r="AI31" i="14"/>
  <c r="AV31" i="14" s="1"/>
  <c r="AI29" i="14"/>
  <c r="AI27" i="14"/>
  <c r="AJ26" i="14"/>
  <c r="AK24" i="14"/>
  <c r="AX24" i="14" s="1"/>
  <c r="AI23" i="14"/>
  <c r="AK22" i="14"/>
  <c r="AI21" i="14"/>
  <c r="AJ19" i="14"/>
  <c r="AW19" i="14" s="1"/>
  <c r="AI17" i="14"/>
  <c r="AK16" i="14"/>
  <c r="AI15" i="14"/>
  <c r="AI13" i="14"/>
  <c r="AV13" i="14" s="1"/>
  <c r="AJ9" i="14"/>
  <c r="AN9" i="14"/>
  <c r="AK8" i="14"/>
  <c r="AK7" i="14"/>
  <c r="AX7" i="14" s="1"/>
  <c r="AI6" i="14"/>
  <c r="AH8" i="14"/>
  <c r="AH12" i="14"/>
  <c r="AH16" i="14"/>
  <c r="AU16" i="14" s="1"/>
  <c r="AH20" i="14"/>
  <c r="AH24" i="14"/>
  <c r="AU24" i="14" s="1"/>
  <c r="AH28" i="14"/>
  <c r="AH32" i="14"/>
  <c r="AU32" i="14" s="1"/>
  <c r="AH36" i="14"/>
  <c r="AH46" i="14"/>
  <c r="AH50" i="14"/>
  <c r="AI48" i="14"/>
  <c r="AV48" i="14" s="1"/>
  <c r="AI45" i="14"/>
  <c r="AI39" i="14"/>
  <c r="AI43" i="14"/>
  <c r="AH41" i="14"/>
  <c r="AU41" i="14" s="1"/>
  <c r="AI34" i="14"/>
  <c r="AL31" i="14"/>
  <c r="AY31" i="14" s="1"/>
  <c r="AK30" i="14"/>
  <c r="AJ29" i="14"/>
  <c r="AW29" i="14" s="1"/>
  <c r="AJ27" i="14"/>
  <c r="AK26" i="14"/>
  <c r="AJ24" i="14"/>
  <c r="AM22" i="14"/>
  <c r="AZ22" i="14" s="1"/>
  <c r="AL22" i="14"/>
  <c r="AJ21" i="14"/>
  <c r="AK19" i="14"/>
  <c r="AJ17" i="14"/>
  <c r="AW17" i="14" s="1"/>
  <c r="AK15" i="14"/>
  <c r="AJ15" i="14"/>
  <c r="AJ13" i="14"/>
  <c r="AK9" i="14"/>
  <c r="AX9" i="14" s="1"/>
  <c r="AO9" i="14"/>
  <c r="AL8" i="14"/>
  <c r="AL7" i="14"/>
  <c r="AJ6" i="14"/>
  <c r="AW6" i="14" s="1"/>
  <c r="AH9" i="14"/>
  <c r="AH13" i="14"/>
  <c r="AH17" i="14"/>
  <c r="AH21" i="14"/>
  <c r="AU21" i="14" s="1"/>
  <c r="AH25" i="14"/>
  <c r="AH29" i="14"/>
  <c r="AH33" i="14"/>
  <c r="AH37" i="14"/>
  <c r="AU37" i="14" s="1"/>
  <c r="AH47" i="14"/>
  <c r="AH51" i="14"/>
  <c r="AU51" i="14" s="1"/>
  <c r="AT51" i="14" s="1"/>
  <c r="AJ48" i="14"/>
  <c r="AJ41" i="14"/>
  <c r="AW41" i="14" s="1"/>
  <c r="AI40" i="14"/>
  <c r="AH38" i="14"/>
  <c r="AU38" i="14" s="1"/>
  <c r="AH42" i="14"/>
  <c r="AI33" i="14"/>
  <c r="AV33" i="14" s="1"/>
  <c r="AK31" i="14"/>
  <c r="AJ30" i="14"/>
  <c r="AK29" i="14"/>
  <c r="AK27" i="14"/>
  <c r="AX27" i="14" s="1"/>
  <c r="AL26" i="14"/>
  <c r="AI24" i="14"/>
  <c r="AI22" i="14"/>
  <c r="AK21" i="14"/>
  <c r="AX21" i="14" s="1"/>
  <c r="AI20" i="14"/>
  <c r="AI18" i="14"/>
  <c r="AI16" i="14"/>
  <c r="AL15" i="14"/>
  <c r="AY15" i="14" s="1"/>
  <c r="AI14" i="14"/>
  <c r="AI11" i="14"/>
  <c r="AV11" i="14" s="1"/>
  <c r="AL9" i="14"/>
  <c r="AI8" i="14"/>
  <c r="AV8" i="14" s="1"/>
  <c r="AI7" i="14"/>
  <c r="AK6" i="14"/>
  <c r="AH6" i="14"/>
  <c r="AH10" i="14"/>
  <c r="AE10" i="14" s="1"/>
  <c r="AH14" i="14"/>
  <c r="AH18" i="14"/>
  <c r="AU18" i="14" s="1"/>
  <c r="AH22" i="14"/>
  <c r="AH26" i="14"/>
  <c r="AU26" i="14" s="1"/>
  <c r="AH30" i="14"/>
  <c r="AH34" i="14"/>
  <c r="AH44" i="14"/>
  <c r="AH48" i="14"/>
  <c r="AU48" i="14" s="1"/>
  <c r="AI5" i="14"/>
  <c r="AI50" i="14"/>
  <c r="AV50" i="14" s="1"/>
  <c r="AI47" i="14"/>
  <c r="AI37" i="14"/>
  <c r="AV37" i="14" s="1"/>
  <c r="AI41" i="14"/>
  <c r="AH39" i="14"/>
  <c r="AU39" i="14" s="1"/>
  <c r="AH43" i="14"/>
  <c r="AI32" i="14"/>
  <c r="AV32" i="14" s="1"/>
  <c r="AJ31" i="14"/>
  <c r="AI30" i="14"/>
  <c r="AI28" i="14"/>
  <c r="AI26" i="14"/>
  <c r="AV26" i="14" s="1"/>
  <c r="AI25" i="14"/>
  <c r="AJ23" i="14"/>
  <c r="AJ22" i="14"/>
  <c r="AL21" i="14"/>
  <c r="AY21" i="14" s="1"/>
  <c r="AI19" i="14"/>
  <c r="AJ18" i="14"/>
  <c r="AJ16" i="14"/>
  <c r="AM15" i="14"/>
  <c r="AZ15" i="14" s="1"/>
  <c r="AJ14" i="14"/>
  <c r="AI9" i="14"/>
  <c r="AM9" i="14"/>
  <c r="AJ8" i="14"/>
  <c r="AW8" i="14" s="1"/>
  <c r="AJ7" i="14"/>
  <c r="AL6" i="14"/>
  <c r="AY6" i="14" s="1"/>
  <c r="AH7" i="14"/>
  <c r="AH11" i="14"/>
  <c r="AU11" i="14" s="1"/>
  <c r="AH15" i="14"/>
  <c r="AH19" i="14"/>
  <c r="AH23" i="14"/>
  <c r="AH27" i="14"/>
  <c r="AU27" i="14" s="1"/>
  <c r="AH31" i="14"/>
  <c r="AH35" i="14"/>
  <c r="AU35" i="14" s="1"/>
  <c r="AH45" i="14"/>
  <c r="AH49" i="14"/>
  <c r="AE49" i="14" s="1"/>
  <c r="AJ5" i="14"/>
  <c r="AH5" i="14"/>
  <c r="K73" i="8"/>
  <c r="M72" i="8"/>
  <c r="K88" i="8"/>
  <c r="M87" i="8"/>
  <c r="K116" i="8"/>
  <c r="M115" i="8"/>
  <c r="V357" i="9"/>
  <c r="T357" i="9" s="1"/>
  <c r="V358" i="9"/>
  <c r="T358" i="9" s="1"/>
  <c r="V233" i="20"/>
  <c r="T233" i="20" s="1"/>
  <c r="AH233" i="20" s="1"/>
  <c r="AF233" i="20" s="1"/>
  <c r="V232" i="9"/>
  <c r="T232" i="9" s="1"/>
  <c r="V359" i="20"/>
  <c r="T359" i="20" s="1"/>
  <c r="AH359" i="20" s="1"/>
  <c r="V358" i="20"/>
  <c r="T358" i="20" s="1"/>
  <c r="AH358" i="20" s="1"/>
  <c r="A12" i="8"/>
  <c r="C11" i="8"/>
  <c r="K115" i="10"/>
  <c r="U186" i="18"/>
  <c r="K135" i="10"/>
  <c r="I123" i="10"/>
  <c r="I104" i="10"/>
  <c r="J183" i="10"/>
  <c r="J14" i="10"/>
  <c r="I55" i="10"/>
  <c r="K154" i="10"/>
  <c r="K160" i="10"/>
  <c r="J68" i="10"/>
  <c r="N192" i="12"/>
  <c r="O192" i="12" s="1"/>
  <c r="K100" i="10"/>
  <c r="L64" i="10"/>
  <c r="J88" i="10"/>
  <c r="N159" i="12"/>
  <c r="O159" i="12" s="1"/>
  <c r="U185" i="18"/>
  <c r="U3" i="18"/>
  <c r="L112" i="10"/>
  <c r="AV49" i="14"/>
  <c r="AJ248" i="20"/>
  <c r="AJ247" i="9" s="1"/>
  <c r="AK247" i="9"/>
  <c r="AJ177" i="20"/>
  <c r="AJ176" i="9" s="1"/>
  <c r="AK176" i="9"/>
  <c r="AJ326" i="20"/>
  <c r="AJ325" i="9" s="1"/>
  <c r="AK325" i="9"/>
  <c r="AJ186" i="20"/>
  <c r="AJ185" i="9" s="1"/>
  <c r="AK185" i="9"/>
  <c r="AJ328" i="20"/>
  <c r="AJ327" i="9" s="1"/>
  <c r="AK327" i="9"/>
  <c r="AJ184" i="20"/>
  <c r="AJ183" i="9" s="1"/>
  <c r="AK183" i="9"/>
  <c r="AJ268" i="20"/>
  <c r="AJ267" i="9" s="1"/>
  <c r="AK267" i="9"/>
  <c r="AJ144" i="20"/>
  <c r="AJ143" i="9" s="1"/>
  <c r="AK143" i="9"/>
  <c r="AJ138" i="20"/>
  <c r="AJ137" i="9" s="1"/>
  <c r="AK137" i="9"/>
  <c r="AJ207" i="20"/>
  <c r="AJ206" i="9" s="1"/>
  <c r="AK206" i="9"/>
  <c r="AJ251" i="20"/>
  <c r="AJ250" i="9" s="1"/>
  <c r="AK250" i="9"/>
  <c r="AJ249" i="20"/>
  <c r="AJ248" i="9" s="1"/>
  <c r="AK248" i="9"/>
  <c r="AJ203" i="20"/>
  <c r="AJ202" i="9" s="1"/>
  <c r="AK202" i="9"/>
  <c r="AJ204" i="20"/>
  <c r="AJ203" i="9" s="1"/>
  <c r="AK203" i="9"/>
  <c r="AJ247" i="20"/>
  <c r="AJ246" i="9" s="1"/>
  <c r="AK246" i="9"/>
  <c r="AJ266" i="20"/>
  <c r="AJ265" i="9" s="1"/>
  <c r="AK265" i="9"/>
  <c r="AJ265" i="20"/>
  <c r="AJ264" i="9" s="1"/>
  <c r="AK264" i="9"/>
  <c r="AJ179" i="20"/>
  <c r="AJ178" i="9" s="1"/>
  <c r="AK178" i="9"/>
  <c r="AJ214" i="20"/>
  <c r="AJ213" i="9" s="1"/>
  <c r="AK213" i="9"/>
  <c r="AJ262" i="20"/>
  <c r="AJ261" i="9" s="1"/>
  <c r="AK261" i="9"/>
  <c r="AJ327" i="20"/>
  <c r="AJ326" i="9" s="1"/>
  <c r="AK326" i="9"/>
  <c r="AJ202" i="20"/>
  <c r="AJ201" i="9" s="1"/>
  <c r="AK201" i="9"/>
  <c r="AJ200" i="20"/>
  <c r="AJ199" i="9" s="1"/>
  <c r="AK199" i="9"/>
  <c r="AJ198" i="20"/>
  <c r="AJ197" i="9" s="1"/>
  <c r="AK197" i="9"/>
  <c r="AB394" i="20"/>
  <c r="AB392" i="9"/>
  <c r="AB300" i="20"/>
  <c r="AB298" i="9"/>
  <c r="AB368" i="20"/>
  <c r="AB366" i="9"/>
  <c r="AJ260" i="20"/>
  <c r="AJ259" i="9" s="1"/>
  <c r="AK259" i="9"/>
  <c r="AJ193" i="20"/>
  <c r="AJ192" i="9" s="1"/>
  <c r="AK192" i="9"/>
  <c r="AJ282" i="20"/>
  <c r="AJ281" i="9" s="1"/>
  <c r="AK281" i="9"/>
  <c r="AJ191" i="20"/>
  <c r="AJ190" i="9" s="1"/>
  <c r="AK190" i="9"/>
  <c r="AJ190" i="20"/>
  <c r="AJ189" i="9" s="1"/>
  <c r="AK189" i="9"/>
  <c r="AJ180" i="20"/>
  <c r="AJ179" i="9" s="1"/>
  <c r="AK179" i="9"/>
  <c r="AJ264" i="20"/>
  <c r="AJ263" i="9" s="1"/>
  <c r="AK263" i="9"/>
  <c r="AJ178" i="20"/>
  <c r="AJ177" i="9" s="1"/>
  <c r="AK177" i="9"/>
  <c r="AJ213" i="20"/>
  <c r="AJ212" i="9" s="1"/>
  <c r="AK212" i="9"/>
  <c r="AJ261" i="20"/>
  <c r="AJ260" i="9" s="1"/>
  <c r="AK260" i="9"/>
  <c r="AJ176" i="20"/>
  <c r="AJ175" i="9" s="1"/>
  <c r="AK175" i="9"/>
  <c r="AJ259" i="20"/>
  <c r="AJ258" i="9" s="1"/>
  <c r="AK258" i="9"/>
  <c r="AJ188" i="20"/>
  <c r="AJ187" i="9" s="1"/>
  <c r="AK187" i="9"/>
  <c r="AJ277" i="20"/>
  <c r="AJ276" i="9" s="1"/>
  <c r="AK276" i="9"/>
  <c r="AJ331" i="20"/>
  <c r="AJ330" i="9" s="1"/>
  <c r="AK330" i="9"/>
  <c r="AJ332" i="20"/>
  <c r="AJ331" i="9" s="1"/>
  <c r="AK331" i="9"/>
  <c r="AJ275" i="20"/>
  <c r="AJ274" i="9" s="1"/>
  <c r="AK274" i="9"/>
  <c r="AJ325" i="20"/>
  <c r="AJ324" i="9" s="1"/>
  <c r="AK324" i="9"/>
  <c r="AJ212" i="20"/>
  <c r="AJ211" i="9" s="1"/>
  <c r="AK211" i="9"/>
  <c r="AJ257" i="20"/>
  <c r="AJ256" i="9" s="1"/>
  <c r="AK256" i="9"/>
  <c r="AJ323" i="20"/>
  <c r="AJ322" i="9" s="1"/>
  <c r="AK322" i="9"/>
  <c r="AJ210" i="20"/>
  <c r="AJ209" i="9" s="1"/>
  <c r="AK209" i="9"/>
  <c r="AJ255" i="20"/>
  <c r="AJ254" i="9" s="1"/>
  <c r="AK254" i="9"/>
  <c r="AJ208" i="20"/>
  <c r="AJ207" i="9" s="1"/>
  <c r="AK207" i="9"/>
  <c r="AJ253" i="20"/>
  <c r="AJ252" i="9" s="1"/>
  <c r="AK252" i="9"/>
  <c r="AJ292" i="20"/>
  <c r="AJ291" i="9" s="1"/>
  <c r="AK291" i="9"/>
  <c r="AJ141" i="20"/>
  <c r="AJ140" i="9" s="1"/>
  <c r="AK140" i="9"/>
  <c r="AJ205" i="20"/>
  <c r="AJ204" i="9" s="1"/>
  <c r="AK204" i="9"/>
  <c r="AJ340" i="20"/>
  <c r="AJ339" i="9" s="1"/>
  <c r="AK339" i="9"/>
  <c r="AJ201" i="20"/>
  <c r="AJ200" i="9" s="1"/>
  <c r="AK200" i="9"/>
  <c r="AJ333" i="20"/>
  <c r="AJ332" i="9" s="1"/>
  <c r="AK332" i="9"/>
  <c r="AJ276" i="20"/>
  <c r="AJ275" i="9" s="1"/>
  <c r="AK275" i="9"/>
  <c r="AJ187" i="20"/>
  <c r="AJ186" i="9" s="1"/>
  <c r="AK186" i="9"/>
  <c r="AJ329" i="20"/>
  <c r="AJ328" i="9" s="1"/>
  <c r="AK328" i="9"/>
  <c r="AJ270" i="20"/>
  <c r="AJ269" i="9" s="1"/>
  <c r="AK269" i="9"/>
  <c r="AJ330" i="20"/>
  <c r="AJ329" i="9" s="1"/>
  <c r="AK329" i="9"/>
  <c r="AJ142" i="20"/>
  <c r="AJ141" i="9" s="1"/>
  <c r="AK141" i="9"/>
  <c r="AJ199" i="20"/>
  <c r="AJ198" i="9" s="1"/>
  <c r="AK198" i="9"/>
  <c r="AJ197" i="20"/>
  <c r="AJ196" i="9" s="1"/>
  <c r="AK196" i="9"/>
  <c r="AJ286" i="20"/>
  <c r="AJ285" i="9" s="1"/>
  <c r="AK285" i="9"/>
  <c r="AJ195" i="20"/>
  <c r="AJ194" i="9" s="1"/>
  <c r="AK194" i="9"/>
  <c r="AJ284" i="20"/>
  <c r="AJ283" i="9" s="1"/>
  <c r="AK283" i="9"/>
  <c r="AJ185" i="20"/>
  <c r="AJ184" i="9" s="1"/>
  <c r="AK184" i="9"/>
  <c r="AJ269" i="20"/>
  <c r="AJ268" i="9" s="1"/>
  <c r="AK268" i="9"/>
  <c r="AJ183" i="20"/>
  <c r="AJ182" i="9" s="1"/>
  <c r="AK182" i="9"/>
  <c r="AJ267" i="20"/>
  <c r="AJ266" i="9" s="1"/>
  <c r="AK266" i="9"/>
  <c r="AJ181" i="20"/>
  <c r="AJ180" i="9" s="1"/>
  <c r="AK180" i="9"/>
  <c r="AJ182" i="20"/>
  <c r="AJ181" i="9" s="1"/>
  <c r="AK181" i="9"/>
  <c r="AJ139" i="20"/>
  <c r="AJ138" i="9" s="1"/>
  <c r="AK138" i="9"/>
  <c r="AJ246" i="20"/>
  <c r="AJ245" i="9" s="1"/>
  <c r="AK245" i="9"/>
  <c r="AJ258" i="20"/>
  <c r="AJ257" i="9" s="1"/>
  <c r="AK257" i="9"/>
  <c r="AJ324" i="20"/>
  <c r="AJ323" i="9" s="1"/>
  <c r="AK323" i="9"/>
  <c r="AJ256" i="20"/>
  <c r="AJ255" i="9" s="1"/>
  <c r="AK255" i="9"/>
  <c r="AJ175" i="20"/>
  <c r="AJ174" i="9" s="1"/>
  <c r="AK174" i="9"/>
  <c r="AJ211" i="20"/>
  <c r="AJ210" i="9" s="1"/>
  <c r="AK210" i="9"/>
  <c r="AJ196" i="20"/>
  <c r="AJ195" i="9" s="1"/>
  <c r="AK195" i="9"/>
  <c r="AJ285" i="20"/>
  <c r="AJ284" i="9" s="1"/>
  <c r="AK284" i="9"/>
  <c r="AJ194" i="20"/>
  <c r="AJ193" i="9" s="1"/>
  <c r="AK193" i="9"/>
  <c r="AJ283" i="20"/>
  <c r="AJ282" i="9" s="1"/>
  <c r="AK282" i="9"/>
  <c r="AJ192" i="20"/>
  <c r="AJ191" i="9" s="1"/>
  <c r="AK191" i="9"/>
  <c r="AJ281" i="20"/>
  <c r="AJ280" i="9" s="1"/>
  <c r="AK280" i="9"/>
  <c r="AJ140" i="20"/>
  <c r="AJ139" i="9" s="1"/>
  <c r="AK139" i="9"/>
  <c r="AJ174" i="20"/>
  <c r="AJ173" i="9" s="1"/>
  <c r="AK173" i="9"/>
  <c r="AJ209" i="20"/>
  <c r="AJ208" i="9" s="1"/>
  <c r="AK208" i="9"/>
  <c r="AJ254" i="20"/>
  <c r="AJ253" i="9" s="1"/>
  <c r="AK253" i="9"/>
  <c r="AJ252" i="20"/>
  <c r="AJ251" i="9" s="1"/>
  <c r="AK251" i="9"/>
  <c r="AJ250" i="20"/>
  <c r="AJ249" i="9" s="1"/>
  <c r="AK249" i="9"/>
  <c r="AJ206" i="20"/>
  <c r="AJ205" i="9" s="1"/>
  <c r="AK205" i="9"/>
  <c r="AJ137" i="20"/>
  <c r="AJ136" i="9" s="1"/>
  <c r="AK136" i="9"/>
  <c r="AJ189" i="20"/>
  <c r="AJ188" i="9" s="1"/>
  <c r="AK188" i="9"/>
  <c r="AJ279" i="20"/>
  <c r="AJ278" i="9" s="1"/>
  <c r="AK278" i="9"/>
  <c r="AJ334" i="20"/>
  <c r="AJ333" i="9" s="1"/>
  <c r="AK333" i="9"/>
  <c r="AJ335" i="20"/>
  <c r="AJ334" i="9" s="1"/>
  <c r="AK334" i="9"/>
  <c r="N145" i="12"/>
  <c r="O145" i="12" s="1"/>
  <c r="N33" i="12"/>
  <c r="T33" i="12" s="1"/>
  <c r="F33" i="18" s="1"/>
  <c r="N112" i="12"/>
  <c r="O112" i="12" s="1"/>
  <c r="AW48" i="14"/>
  <c r="AU6" i="14"/>
  <c r="AV9" i="14"/>
  <c r="AW14" i="14"/>
  <c r="AU31" i="14"/>
  <c r="AU7" i="14"/>
  <c r="BA9" i="14"/>
  <c r="AV28" i="14"/>
  <c r="AU47" i="14"/>
  <c r="AV7" i="14"/>
  <c r="AV20" i="14"/>
  <c r="AV24" i="14"/>
  <c r="AU17" i="14"/>
  <c r="AV38" i="14"/>
  <c r="AZ9" i="14"/>
  <c r="AX15" i="14"/>
  <c r="AX19" i="14"/>
  <c r="AW16" i="14"/>
  <c r="AV29" i="14"/>
  <c r="AU8" i="14"/>
  <c r="AE12" i="14"/>
  <c r="AX16" i="14"/>
  <c r="AV25" i="14"/>
  <c r="AW30" i="14"/>
  <c r="AE36" i="14"/>
  <c r="AU5" i="14"/>
  <c r="AU9" i="14"/>
  <c r="AV14" i="14"/>
  <c r="AX22" i="14"/>
  <c r="AY26" i="14"/>
  <c r="AV21" i="14"/>
  <c r="AV5" i="14"/>
  <c r="AX8" i="14"/>
  <c r="AW13" i="14"/>
  <c r="AV22" i="14"/>
  <c r="AV35" i="14"/>
  <c r="AU43" i="14"/>
  <c r="AW5" i="14"/>
  <c r="AU14" i="14"/>
  <c r="AW31" i="14"/>
  <c r="AV45" i="14"/>
  <c r="AY9" i="14"/>
  <c r="AW15" i="14"/>
  <c r="AW32" i="14"/>
  <c r="AU42" i="14"/>
  <c r="AV17" i="14"/>
  <c r="AU30" i="14"/>
  <c r="AW9" i="14"/>
  <c r="AU15" i="14"/>
  <c r="AV27" i="14"/>
  <c r="AV15" i="14"/>
  <c r="AU23" i="14"/>
  <c r="AW27" i="14"/>
  <c r="AE40" i="14"/>
  <c r="AV47" i="14"/>
  <c r="AW7" i="14"/>
  <c r="AW24" i="14"/>
  <c r="AX29" i="14"/>
  <c r="AV34" i="14"/>
  <c r="AE44" i="14"/>
  <c r="AE51" i="14"/>
  <c r="AK15" i="9"/>
  <c r="AJ225" i="20"/>
  <c r="AJ224" i="9" s="1"/>
  <c r="AK12" i="9"/>
  <c r="AJ223" i="20"/>
  <c r="AJ222" i="9" s="1"/>
  <c r="AK48" i="9"/>
  <c r="AJ49" i="20"/>
  <c r="AK10" i="9"/>
  <c r="AJ221" i="20"/>
  <c r="AJ220" i="9" s="1"/>
  <c r="AK115" i="9"/>
  <c r="AJ116" i="20"/>
  <c r="AK4" i="9"/>
  <c r="AJ217" i="20"/>
  <c r="AJ216" i="9" s="1"/>
  <c r="AK2" i="9"/>
  <c r="AJ66" i="20"/>
  <c r="AK43" i="9"/>
  <c r="AJ245" i="20"/>
  <c r="AJ244" i="9" s="1"/>
  <c r="AK40" i="9"/>
  <c r="AJ243" i="20"/>
  <c r="AJ242" i="9" s="1"/>
  <c r="AK38" i="9"/>
  <c r="AJ241" i="20"/>
  <c r="AJ240" i="9" s="1"/>
  <c r="AK31" i="9"/>
  <c r="AJ236" i="20"/>
  <c r="AJ235" i="9" s="1"/>
  <c r="AK98" i="9"/>
  <c r="AJ99" i="20"/>
  <c r="AJ98" i="9" s="1"/>
  <c r="AK95" i="9"/>
  <c r="AJ96" i="20"/>
  <c r="AK50" i="9"/>
  <c r="AJ51" i="20"/>
  <c r="AK26" i="9"/>
  <c r="AJ232" i="20"/>
  <c r="AJ231" i="9" s="1"/>
  <c r="AK133" i="9"/>
  <c r="AJ134" i="20"/>
  <c r="AK3" i="9"/>
  <c r="AJ216" i="20"/>
  <c r="AJ215" i="9" s="1"/>
  <c r="AK62" i="9"/>
  <c r="AJ63" i="20"/>
  <c r="AK45" i="9"/>
  <c r="AJ46" i="20"/>
  <c r="AK82" i="9"/>
  <c r="AJ83" i="20"/>
  <c r="AK128" i="9"/>
  <c r="AJ129" i="20"/>
  <c r="AK123" i="9"/>
  <c r="AJ124" i="20"/>
  <c r="AK49" i="9"/>
  <c r="AJ50" i="20"/>
  <c r="AK23" i="9"/>
  <c r="AJ231" i="20"/>
  <c r="AJ230" i="9" s="1"/>
  <c r="AK20" i="9"/>
  <c r="AJ229" i="20"/>
  <c r="AJ228" i="9" s="1"/>
  <c r="AK18" i="9"/>
  <c r="AJ227" i="20"/>
  <c r="AJ226" i="9" s="1"/>
  <c r="AK125" i="9"/>
  <c r="AJ126" i="20"/>
  <c r="AK120" i="9"/>
  <c r="AJ121" i="20"/>
  <c r="AK109" i="9"/>
  <c r="AJ110" i="20"/>
  <c r="AJ109" i="9" s="1"/>
  <c r="AK111" i="9"/>
  <c r="AJ112" i="20"/>
  <c r="AJ111" i="9" s="1"/>
  <c r="AK108" i="9"/>
  <c r="AJ109" i="20"/>
  <c r="AK105" i="9"/>
  <c r="AJ106" i="20"/>
  <c r="AK55" i="9"/>
  <c r="AJ56" i="20"/>
  <c r="AK42" i="9"/>
  <c r="AJ244" i="20"/>
  <c r="AJ243" i="9" s="1"/>
  <c r="AK126" i="9"/>
  <c r="AJ127" i="20"/>
  <c r="AK19" i="9"/>
  <c r="AJ228" i="20"/>
  <c r="AJ227" i="9" s="1"/>
  <c r="AK16" i="9"/>
  <c r="AJ226" i="20"/>
  <c r="AJ225" i="9" s="1"/>
  <c r="AK14" i="9"/>
  <c r="AJ224" i="20"/>
  <c r="AJ223" i="9" s="1"/>
  <c r="AK39" i="9"/>
  <c r="AJ242" i="20"/>
  <c r="AJ241" i="9" s="1"/>
  <c r="AK103" i="9"/>
  <c r="AJ104" i="20"/>
  <c r="AK36" i="9"/>
  <c r="AJ240" i="20"/>
  <c r="AJ239" i="9" s="1"/>
  <c r="AK53" i="9"/>
  <c r="AJ54" i="20"/>
  <c r="AK33" i="9"/>
  <c r="AJ237" i="20"/>
  <c r="AJ236" i="9" s="1"/>
  <c r="AK34" i="9"/>
  <c r="AJ238" i="20"/>
  <c r="AJ237" i="9" s="1"/>
  <c r="AK11" i="9"/>
  <c r="AJ222" i="20"/>
  <c r="AJ221" i="9" s="1"/>
  <c r="AK8" i="9"/>
  <c r="AJ220" i="20"/>
  <c r="AJ219" i="9" s="1"/>
  <c r="AK6" i="9"/>
  <c r="AJ218" i="20"/>
  <c r="AJ217" i="9" s="1"/>
  <c r="AK89" i="9"/>
  <c r="AJ90" i="20"/>
  <c r="AK87" i="9"/>
  <c r="AJ88" i="20"/>
  <c r="AK86" i="9"/>
  <c r="AJ87" i="20"/>
  <c r="AK56" i="9"/>
  <c r="AJ57" i="20"/>
  <c r="AK112" i="9"/>
  <c r="AJ113" i="20"/>
  <c r="AJ112" i="9" s="1"/>
  <c r="AK110" i="9"/>
  <c r="AJ111" i="20"/>
  <c r="AK7" i="9"/>
  <c r="AJ219" i="20"/>
  <c r="AJ218" i="9" s="1"/>
  <c r="AK64" i="9"/>
  <c r="AJ65" i="20"/>
  <c r="AK61" i="9"/>
  <c r="AJ62" i="20"/>
  <c r="AK81" i="9"/>
  <c r="AJ82" i="20"/>
  <c r="AK124" i="9"/>
  <c r="AJ125" i="20"/>
  <c r="AK118" i="9"/>
  <c r="AJ119" i="20"/>
  <c r="AK35" i="9"/>
  <c r="AJ239" i="20"/>
  <c r="AJ238" i="9" s="1"/>
  <c r="AK29" i="9"/>
  <c r="AJ234" i="20"/>
  <c r="AJ233" i="9" s="1"/>
  <c r="AK99" i="9"/>
  <c r="AJ100" i="20"/>
  <c r="AJ99" i="9" s="1"/>
  <c r="AK52" i="9"/>
  <c r="AJ53" i="20"/>
  <c r="AK30" i="9"/>
  <c r="AJ235" i="20"/>
  <c r="AJ234" i="9" s="1"/>
  <c r="AK119" i="9"/>
  <c r="AJ120" i="20"/>
  <c r="AK116" i="9"/>
  <c r="AJ117" i="20"/>
  <c r="AK113" i="9"/>
  <c r="AJ114" i="20"/>
  <c r="AK22" i="9"/>
  <c r="AJ230" i="20"/>
  <c r="AJ229" i="9" s="1"/>
  <c r="AK129" i="9"/>
  <c r="AJ130" i="20"/>
  <c r="AK74" i="9"/>
  <c r="AK28" i="9"/>
  <c r="AK72" i="9"/>
  <c r="AK25" i="9"/>
  <c r="AK96" i="9"/>
  <c r="AK63" i="9"/>
  <c r="AK94" i="9"/>
  <c r="AK69" i="9"/>
  <c r="AK17" i="9"/>
  <c r="AK91" i="9"/>
  <c r="AK59" i="9"/>
  <c r="AK80" i="9"/>
  <c r="AK44" i="9"/>
  <c r="AK77" i="9"/>
  <c r="AK41" i="9"/>
  <c r="AK106" i="9"/>
  <c r="AK90" i="9"/>
  <c r="AK68" i="9"/>
  <c r="AK13" i="9"/>
  <c r="AK88" i="9"/>
  <c r="AK121" i="9"/>
  <c r="AK100" i="9"/>
  <c r="AK117" i="9"/>
  <c r="AK66" i="9"/>
  <c r="AK5" i="9"/>
  <c r="AK84" i="9"/>
  <c r="AK85" i="9"/>
  <c r="AK131" i="9"/>
  <c r="AK60" i="9"/>
  <c r="AK75" i="9"/>
  <c r="AK32" i="9"/>
  <c r="AK58" i="9"/>
  <c r="AK57" i="9"/>
  <c r="AK79" i="9"/>
  <c r="AK114" i="9"/>
  <c r="AK51" i="9"/>
  <c r="AK73" i="9"/>
  <c r="AK27" i="9"/>
  <c r="AK97" i="9"/>
  <c r="AK71" i="9"/>
  <c r="AK24" i="9"/>
  <c r="AK70" i="9"/>
  <c r="AK21" i="9"/>
  <c r="AK92" i="9"/>
  <c r="AK93" i="9"/>
  <c r="AK67" i="9"/>
  <c r="AK9" i="9"/>
  <c r="AK78" i="9"/>
  <c r="AK130" i="9"/>
  <c r="AK47" i="9"/>
  <c r="AK46" i="9"/>
  <c r="AK65" i="9"/>
  <c r="AK132" i="9"/>
  <c r="AK127" i="9"/>
  <c r="AK107" i="9"/>
  <c r="AK104" i="9"/>
  <c r="AK54" i="9"/>
  <c r="AK76" i="9"/>
  <c r="AK37" i="9"/>
  <c r="AK101" i="9"/>
  <c r="AK102" i="9"/>
  <c r="AK122" i="9"/>
  <c r="AK83" i="9"/>
  <c r="AJ15" i="9"/>
  <c r="AJ12" i="9"/>
  <c r="AJ9" i="9"/>
  <c r="AJ41" i="9"/>
  <c r="AJ10" i="9"/>
  <c r="AJ42" i="9"/>
  <c r="AJ106" i="9"/>
  <c r="AJ19" i="9"/>
  <c r="AJ13" i="9"/>
  <c r="AJ39" i="9"/>
  <c r="AJ4" i="9"/>
  <c r="AJ33" i="9"/>
  <c r="AJ43" i="9"/>
  <c r="AJ40" i="9"/>
  <c r="AJ5" i="9"/>
  <c r="AJ37" i="9"/>
  <c r="AJ84" i="9"/>
  <c r="AJ101" i="9"/>
  <c r="AJ38" i="9"/>
  <c r="AJ28" i="9"/>
  <c r="AJ25" i="9"/>
  <c r="AJ26" i="9"/>
  <c r="AJ96" i="9"/>
  <c r="AJ35" i="9"/>
  <c r="AJ32" i="9"/>
  <c r="AJ20" i="9"/>
  <c r="AJ17" i="9"/>
  <c r="AJ91" i="9"/>
  <c r="AJ18" i="9"/>
  <c r="AJ27" i="9"/>
  <c r="AJ24" i="9"/>
  <c r="AJ21" i="9"/>
  <c r="AJ92" i="9"/>
  <c r="AJ2" i="9"/>
  <c r="AV6" i="14"/>
  <c r="AY7" i="14"/>
  <c r="BG8" i="17"/>
  <c r="BH11" i="17"/>
  <c r="BI5" i="17"/>
  <c r="BH6" i="17"/>
  <c r="BH7" i="17"/>
  <c r="BH8" i="17"/>
  <c r="AX6" i="14"/>
  <c r="AU13" i="14"/>
  <c r="AY8" i="14"/>
  <c r="BG5" i="17"/>
  <c r="BH5" i="17"/>
  <c r="BI6" i="17"/>
  <c r="BG10" i="17"/>
  <c r="BH16" i="17"/>
  <c r="BL11" i="17"/>
  <c r="BN7" i="17"/>
  <c r="BP6" i="17"/>
  <c r="BP7" i="17"/>
  <c r="BJ7" i="17"/>
  <c r="BM7" i="17"/>
  <c r="BU6" i="17"/>
  <c r="BO6" i="17"/>
  <c r="BL6" i="17"/>
  <c r="BR6" i="17"/>
  <c r="BS6" i="17"/>
  <c r="BK11" i="17"/>
  <c r="BK7" i="17"/>
  <c r="BJ6" i="17"/>
  <c r="BM6" i="17"/>
  <c r="BJ11" i="17"/>
  <c r="BL7" i="17"/>
  <c r="BK6" i="17"/>
  <c r="BF11" i="15"/>
  <c r="BC11" i="15"/>
  <c r="BG11" i="15"/>
  <c r="BB7" i="15"/>
  <c r="BB8" i="15"/>
  <c r="AZ8" i="15" s="1"/>
  <c r="BB6" i="15"/>
  <c r="BB10" i="15"/>
  <c r="BH11" i="15"/>
  <c r="BB5" i="15"/>
  <c r="BC7" i="15"/>
  <c r="BC6" i="15"/>
  <c r="BD11" i="15"/>
  <c r="BI11" i="15"/>
  <c r="BE6" i="15"/>
  <c r="BD6" i="15"/>
  <c r="BB9" i="15"/>
  <c r="BE11" i="15"/>
  <c r="BJ11" i="15"/>
  <c r="BD7" i="15"/>
  <c r="BB11" i="15"/>
  <c r="BH9" i="17"/>
  <c r="BH10" i="17"/>
  <c r="BG11" i="17"/>
  <c r="BO7" i="17"/>
  <c r="BI9" i="17"/>
  <c r="BB9" i="14"/>
  <c r="BI11" i="17"/>
  <c r="BG7" i="17"/>
  <c r="BG9" i="17"/>
  <c r="BI7" i="17"/>
  <c r="BI10" i="17"/>
  <c r="BN6" i="17"/>
  <c r="BT6" i="17"/>
  <c r="BH23" i="17"/>
  <c r="BH15" i="17"/>
  <c r="BH29" i="17"/>
  <c r="BI31" i="17"/>
  <c r="Q36" i="17"/>
  <c r="BH17" i="17"/>
  <c r="BH14" i="17"/>
  <c r="BI29" i="17"/>
  <c r="BH21" i="17"/>
  <c r="BI32" i="17"/>
  <c r="BI22" i="17"/>
  <c r="BH19" i="17"/>
  <c r="BK13" i="17"/>
  <c r="BG30" i="17"/>
  <c r="Q119" i="17"/>
  <c r="BG31" i="17"/>
  <c r="BJ31" i="17"/>
  <c r="BK30" i="17"/>
  <c r="BH13" i="17"/>
  <c r="BH22" i="17"/>
  <c r="BI17" i="17"/>
  <c r="Q86" i="17"/>
  <c r="BG12" i="17"/>
  <c r="BH30" i="17"/>
  <c r="BG22" i="17"/>
  <c r="BG16" i="17"/>
  <c r="BG25" i="17"/>
  <c r="BQ16" i="17"/>
  <c r="BG14" i="17"/>
  <c r="BH28" i="17"/>
  <c r="BJ12" i="15"/>
  <c r="BE14" i="15"/>
  <c r="BD12" i="15"/>
  <c r="BI12" i="15"/>
  <c r="BD13" i="15"/>
  <c r="BE13" i="15"/>
  <c r="BB16" i="15"/>
  <c r="BK12" i="15"/>
  <c r="BB12" i="15"/>
  <c r="BH15" i="15"/>
  <c r="BE15" i="15"/>
  <c r="BF15" i="15"/>
  <c r="BB17" i="15"/>
  <c r="BG14" i="15"/>
  <c r="BB14" i="15"/>
  <c r="BC13" i="15"/>
  <c r="BF13" i="15"/>
  <c r="BC12" i="15"/>
  <c r="BG15" i="15"/>
  <c r="BG12" i="15"/>
  <c r="BC15" i="15"/>
  <c r="BE12" i="15"/>
  <c r="BF14" i="15"/>
  <c r="BH12" i="15"/>
  <c r="BD15" i="15"/>
  <c r="BB13" i="15"/>
  <c r="BD14" i="15"/>
  <c r="BI15" i="15"/>
  <c r="BF12" i="15"/>
  <c r="BC14" i="15"/>
  <c r="BB15" i="15"/>
  <c r="BJ15" i="15"/>
  <c r="BC16" i="15"/>
  <c r="BG28" i="17"/>
  <c r="BI30" i="17"/>
  <c r="BH24" i="17"/>
  <c r="BG26" i="17"/>
  <c r="BG29" i="17"/>
  <c r="BI16" i="17"/>
  <c r="BH12" i="17"/>
  <c r="Q77" i="17"/>
  <c r="Q56" i="17"/>
  <c r="Q142" i="17"/>
  <c r="A7" i="17"/>
  <c r="Q7" i="17" s="1"/>
  <c r="BH31" i="17"/>
  <c r="BG27" i="17"/>
  <c r="BF27" i="17" s="1"/>
  <c r="BI20" i="17"/>
  <c r="BL23" i="17"/>
  <c r="BH18" i="17"/>
  <c r="BJ14" i="17"/>
  <c r="BI23" i="17"/>
  <c r="BH20" i="17"/>
  <c r="Q141" i="17"/>
  <c r="BG20" i="17"/>
  <c r="BG23" i="17"/>
  <c r="BG18" i="17"/>
  <c r="BG19" i="17"/>
  <c r="BH25" i="17"/>
  <c r="BG21" i="17"/>
  <c r="Q120" i="17"/>
  <c r="A27" i="17"/>
  <c r="Q27" i="17" s="1"/>
  <c r="AV43" i="14"/>
  <c r="BI19" i="17"/>
  <c r="BJ32" i="17"/>
  <c r="BM16" i="17"/>
  <c r="BK20" i="17"/>
  <c r="BO16" i="17"/>
  <c r="BK22" i="17"/>
  <c r="BG32" i="17"/>
  <c r="BP15" i="17"/>
  <c r="BN16" i="17"/>
  <c r="BN15" i="17"/>
  <c r="BL15" i="17"/>
  <c r="BK16" i="17"/>
  <c r="BJ23" i="17"/>
  <c r="BJ13" i="17"/>
  <c r="BR16" i="17"/>
  <c r="BM15" i="17"/>
  <c r="BL16" i="17"/>
  <c r="BJ22" i="17"/>
  <c r="BQ15" i="17"/>
  <c r="BJ30" i="17"/>
  <c r="BH32" i="17"/>
  <c r="BJ20" i="17"/>
  <c r="BK23" i="17"/>
  <c r="BO15" i="17"/>
  <c r="BK15" i="17"/>
  <c r="BJ15" i="17"/>
  <c r="BJ19" i="17"/>
  <c r="BJ16" i="17"/>
  <c r="BG13" i="17"/>
  <c r="BH26" i="17"/>
  <c r="BP16" i="17"/>
  <c r="BG15" i="17"/>
  <c r="BI14" i="17"/>
  <c r="BG17" i="17"/>
  <c r="BI12" i="17"/>
  <c r="BI13" i="17"/>
  <c r="BI18" i="17"/>
  <c r="BI15" i="17"/>
  <c r="BG24" i="17"/>
  <c r="AX26" i="14"/>
  <c r="AX31" i="14"/>
  <c r="AU34" i="14"/>
  <c r="AU40" i="14"/>
  <c r="AU29" i="14"/>
  <c r="AU45" i="14"/>
  <c r="AV39" i="14"/>
  <c r="AU28" i="14"/>
  <c r="AU33" i="14"/>
  <c r="AV30" i="14"/>
  <c r="AV46" i="14"/>
  <c r="AV41" i="14"/>
  <c r="AX30" i="14"/>
  <c r="AU46" i="14"/>
  <c r="AV40" i="14"/>
  <c r="AU36" i="14"/>
  <c r="AT36" i="14" s="1"/>
  <c r="AW26" i="14"/>
  <c r="AW22" i="14"/>
  <c r="AU20" i="14"/>
  <c r="AV23" i="14"/>
  <c r="AV18" i="14"/>
  <c r="AW21" i="14"/>
  <c r="AU25" i="14"/>
  <c r="AV16" i="14"/>
  <c r="AW18" i="14"/>
  <c r="AU19" i="14"/>
  <c r="AW23" i="14"/>
  <c r="AV19" i="14"/>
  <c r="AY22" i="14"/>
  <c r="AU22" i="14"/>
  <c r="W94" i="20"/>
  <c r="W148" i="20"/>
  <c r="W329" i="20"/>
  <c r="W269" i="20"/>
  <c r="W194" i="20"/>
  <c r="W10" i="20"/>
  <c r="W308" i="20"/>
  <c r="W210" i="20"/>
  <c r="W283" i="20"/>
  <c r="W361" i="20"/>
  <c r="AC361" i="20" s="1"/>
  <c r="AC360" i="9" s="1"/>
  <c r="W373" i="20"/>
  <c r="W325" i="20"/>
  <c r="W382" i="20"/>
  <c r="W63" i="20"/>
  <c r="W22" i="20"/>
  <c r="W19" i="20"/>
  <c r="W324" i="20"/>
  <c r="W334" i="20"/>
  <c r="W76" i="20"/>
  <c r="W256" i="20"/>
  <c r="W202" i="20"/>
  <c r="W163" i="20"/>
  <c r="W218" i="20"/>
  <c r="W160" i="20"/>
  <c r="W80" i="20"/>
  <c r="N32" i="12"/>
  <c r="T32" i="12" s="1"/>
  <c r="F32" i="18" s="1"/>
  <c r="N16" i="12"/>
  <c r="N52" i="12"/>
  <c r="T52" i="12" s="1"/>
  <c r="F52" i="18" s="1"/>
  <c r="N174" i="12"/>
  <c r="N136" i="12"/>
  <c r="N135" i="12"/>
  <c r="N149" i="12"/>
  <c r="N133" i="12"/>
  <c r="N19" i="12"/>
  <c r="O43" i="12"/>
  <c r="N89" i="12"/>
  <c r="N113" i="12"/>
  <c r="N18" i="12"/>
  <c r="N46" i="12"/>
  <c r="N176" i="12"/>
  <c r="N126" i="12"/>
  <c r="N102" i="12"/>
  <c r="N15" i="12"/>
  <c r="O47" i="12"/>
  <c r="N124" i="12"/>
  <c r="N98" i="12"/>
  <c r="N68" i="12"/>
  <c r="N21" i="12"/>
  <c r="N147" i="12"/>
  <c r="N62" i="12"/>
  <c r="N162" i="12"/>
  <c r="N81" i="12"/>
  <c r="N134" i="12"/>
  <c r="N165" i="12"/>
  <c r="N168" i="12"/>
  <c r="O143" i="12"/>
  <c r="N99" i="12"/>
  <c r="N76" i="12"/>
  <c r="N103" i="12"/>
  <c r="O67" i="12"/>
  <c r="N104" i="12"/>
  <c r="N91" i="12"/>
  <c r="N95" i="12"/>
  <c r="N154" i="12"/>
  <c r="N86" i="12"/>
  <c r="U188" i="18"/>
  <c r="U139" i="18"/>
  <c r="U47" i="18"/>
  <c r="N28" i="12"/>
  <c r="T28" i="12" s="1"/>
  <c r="F28" i="18" s="1"/>
  <c r="U12" i="18"/>
  <c r="N4" i="12"/>
  <c r="AO4" i="12"/>
  <c r="N48" i="12"/>
  <c r="T48" i="12" s="1"/>
  <c r="F48" i="18" s="1"/>
  <c r="N132" i="12"/>
  <c r="N131" i="12"/>
  <c r="N129" i="12"/>
  <c r="N11" i="12"/>
  <c r="N101" i="12"/>
  <c r="N69" i="12"/>
  <c r="N161" i="12"/>
  <c r="N14" i="12"/>
  <c r="N6" i="12"/>
  <c r="AO6" i="12"/>
  <c r="N42" i="12"/>
  <c r="T42" i="12" s="1"/>
  <c r="F42" i="18" s="1"/>
  <c r="N167" i="12"/>
  <c r="N118" i="12"/>
  <c r="N182" i="12"/>
  <c r="N181" i="12"/>
  <c r="N120" i="12"/>
  <c r="N9" i="12"/>
  <c r="AO9" i="12"/>
  <c r="N90" i="12"/>
  <c r="N177" i="12"/>
  <c r="N17" i="12"/>
  <c r="N58" i="12"/>
  <c r="O139" i="12"/>
  <c r="N78" i="12"/>
  <c r="N54" i="12"/>
  <c r="N65" i="12"/>
  <c r="N179" i="12"/>
  <c r="N140" i="12"/>
  <c r="N142" i="12"/>
  <c r="N127" i="12"/>
  <c r="N115" i="12"/>
  <c r="N172" i="12"/>
  <c r="N63" i="12"/>
  <c r="N148" i="12"/>
  <c r="N29" i="12"/>
  <c r="T29" i="12" s="1"/>
  <c r="F29" i="18" s="1"/>
  <c r="N13" i="12"/>
  <c r="N158" i="12"/>
  <c r="N61" i="12"/>
  <c r="N31" i="12"/>
  <c r="T31" i="12" s="1"/>
  <c r="F31" i="18" s="1"/>
  <c r="N41" i="12"/>
  <c r="T41" i="12" s="1"/>
  <c r="F41" i="18" s="1"/>
  <c r="N150" i="12"/>
  <c r="U143" i="18"/>
  <c r="N105" i="12"/>
  <c r="N73" i="12"/>
  <c r="N24" i="12"/>
  <c r="N60" i="12"/>
  <c r="N44" i="12"/>
  <c r="T44" i="12" s="1"/>
  <c r="F44" i="18" s="1"/>
  <c r="N128" i="12"/>
  <c r="N157" i="12"/>
  <c r="N141" i="12"/>
  <c r="N170" i="12"/>
  <c r="N59" i="12"/>
  <c r="N97" i="12"/>
  <c r="N125" i="12"/>
  <c r="N26" i="12"/>
  <c r="N66" i="12"/>
  <c r="N155" i="12"/>
  <c r="N74" i="12"/>
  <c r="N114" i="12"/>
  <c r="N166" i="12"/>
  <c r="N7" i="12"/>
  <c r="AO7" i="12"/>
  <c r="N100" i="12"/>
  <c r="N108" i="12"/>
  <c r="N82" i="12"/>
  <c r="N156" i="12"/>
  <c r="N180" i="12"/>
  <c r="N57" i="12"/>
  <c r="N171" i="12"/>
  <c r="N119" i="12"/>
  <c r="N94" i="12"/>
  <c r="N88" i="12"/>
  <c r="N53" i="12"/>
  <c r="N163" i="12"/>
  <c r="N130" i="12"/>
  <c r="N169" i="12"/>
  <c r="N106" i="12"/>
  <c r="N138" i="12"/>
  <c r="N184" i="12"/>
  <c r="N38" i="12"/>
  <c r="T38" i="12" s="1"/>
  <c r="F38" i="18" s="1"/>
  <c r="N39" i="12"/>
  <c r="T39" i="12" s="1"/>
  <c r="F39" i="18" s="1"/>
  <c r="N34" i="12"/>
  <c r="T34" i="12" s="1"/>
  <c r="F34" i="18" s="1"/>
  <c r="N30" i="12"/>
  <c r="N71" i="12"/>
  <c r="N146" i="12"/>
  <c r="N123" i="12"/>
  <c r="N75" i="12"/>
  <c r="N80" i="12"/>
  <c r="N45" i="12"/>
  <c r="N175" i="12"/>
  <c r="N121" i="12"/>
  <c r="U164" i="18"/>
  <c r="U152" i="18"/>
  <c r="N36" i="12"/>
  <c r="T36" i="12" s="1"/>
  <c r="F36" i="18" s="1"/>
  <c r="N20" i="12"/>
  <c r="N8" i="12"/>
  <c r="AO8" i="12"/>
  <c r="N56" i="12"/>
  <c r="N40" i="12"/>
  <c r="T40" i="12" s="1"/>
  <c r="F40" i="18" s="1"/>
  <c r="N160" i="12"/>
  <c r="N173" i="12"/>
  <c r="U190" i="18"/>
  <c r="N153" i="12"/>
  <c r="N137" i="12"/>
  <c r="N27" i="12"/>
  <c r="T27" i="12" s="1"/>
  <c r="F27" i="18" s="1"/>
  <c r="N51" i="12"/>
  <c r="N93" i="12"/>
  <c r="N117" i="12"/>
  <c r="N22" i="12"/>
  <c r="N10" i="12"/>
  <c r="AO10" i="12"/>
  <c r="N50" i="12"/>
  <c r="T50" i="12" s="1"/>
  <c r="F50" i="18" s="1"/>
  <c r="N151" i="12"/>
  <c r="N70" i="12"/>
  <c r="N110" i="12"/>
  <c r="N23" i="12"/>
  <c r="N55" i="12"/>
  <c r="N92" i="12"/>
  <c r="N37" i="12"/>
  <c r="T37" i="12" s="1"/>
  <c r="F37" i="18" s="1"/>
  <c r="N5" i="12"/>
  <c r="AO5" i="12"/>
  <c r="N178" i="12"/>
  <c r="N144" i="12"/>
  <c r="N25" i="12"/>
  <c r="N107" i="12"/>
  <c r="N64" i="12"/>
  <c r="N85" i="12"/>
  <c r="N87" i="12"/>
  <c r="N116" i="12"/>
  <c r="N83" i="12"/>
  <c r="N122" i="12"/>
  <c r="N109" i="12"/>
  <c r="N183" i="12"/>
  <c r="N96" i="12"/>
  <c r="N35" i="12"/>
  <c r="T35" i="12" s="1"/>
  <c r="F35" i="18" s="1"/>
  <c r="N72" i="12"/>
  <c r="N84" i="12"/>
  <c r="N111" i="12"/>
  <c r="N49" i="12"/>
  <c r="T49" i="12" s="1"/>
  <c r="F49" i="18" s="1"/>
  <c r="N79" i="12"/>
  <c r="N77" i="12"/>
  <c r="U67" i="18"/>
  <c r="U43" i="18"/>
  <c r="N164" i="12"/>
  <c r="J76" i="10"/>
  <c r="N152" i="12"/>
  <c r="U91" i="18"/>
  <c r="U183" i="18"/>
  <c r="U30" i="18"/>
  <c r="U175" i="18"/>
  <c r="U45" i="18"/>
  <c r="U39" i="18"/>
  <c r="U77" i="18"/>
  <c r="U71" i="18"/>
  <c r="U20" i="18"/>
  <c r="U102" i="18"/>
  <c r="U148" i="18"/>
  <c r="U14" i="18"/>
  <c r="U62" i="18"/>
  <c r="U76" i="18"/>
  <c r="U180" i="18"/>
  <c r="U8" i="18"/>
  <c r="U56" i="18"/>
  <c r="U40" i="18"/>
  <c r="U70" i="18"/>
  <c r="U23" i="18"/>
  <c r="U7" i="18"/>
  <c r="U144" i="18"/>
  <c r="U120" i="18"/>
  <c r="U37" i="18"/>
  <c r="U21" i="18"/>
  <c r="U107" i="18"/>
  <c r="U171" i="18"/>
  <c r="U160" i="18"/>
  <c r="U114" i="18"/>
  <c r="U63" i="18"/>
  <c r="U128" i="18"/>
  <c r="U88" i="18"/>
  <c r="U13" i="18"/>
  <c r="U61" i="18"/>
  <c r="U115" i="18"/>
  <c r="U165" i="18"/>
  <c r="U90" i="18"/>
  <c r="U59" i="18"/>
  <c r="U155" i="18"/>
  <c r="U179" i="18"/>
  <c r="U162" i="18"/>
  <c r="N187" i="12"/>
  <c r="U187" i="18"/>
  <c r="U32" i="18"/>
  <c r="U86" i="18"/>
  <c r="U97" i="18"/>
  <c r="U136" i="18"/>
  <c r="U10" i="18"/>
  <c r="U96" i="18"/>
  <c r="U72" i="18"/>
  <c r="U151" i="18"/>
  <c r="U123" i="18"/>
  <c r="U157" i="18"/>
  <c r="U4" i="18"/>
  <c r="U52" i="18"/>
  <c r="U98" i="18"/>
  <c r="U126" i="18"/>
  <c r="U35" i="18"/>
  <c r="U19" i="18"/>
  <c r="U132" i="18"/>
  <c r="U108" i="18"/>
  <c r="U17" i="18"/>
  <c r="U146" i="18"/>
  <c r="U182" i="18"/>
  <c r="U169" i="18"/>
  <c r="U106" i="18"/>
  <c r="U89" i="18"/>
  <c r="U54" i="18"/>
  <c r="U116" i="18"/>
  <c r="U9" i="18"/>
  <c r="U57" i="18"/>
  <c r="U103" i="18"/>
  <c r="U167" i="18"/>
  <c r="U172" i="18"/>
  <c r="U122" i="18"/>
  <c r="U55" i="18"/>
  <c r="U101" i="18"/>
  <c r="U73" i="18"/>
  <c r="U140" i="18"/>
  <c r="U26" i="18"/>
  <c r="U83" i="18"/>
  <c r="U127" i="18"/>
  <c r="U163" i="18"/>
  <c r="U156" i="18"/>
  <c r="N189" i="12"/>
  <c r="U189" i="18"/>
  <c r="U28" i="18"/>
  <c r="U118" i="18"/>
  <c r="U125" i="18"/>
  <c r="U22" i="18"/>
  <c r="U6" i="18"/>
  <c r="U84" i="18"/>
  <c r="U68" i="18"/>
  <c r="U111" i="18"/>
  <c r="U181" i="18"/>
  <c r="U16" i="18"/>
  <c r="U64" i="18"/>
  <c r="U48" i="18"/>
  <c r="U82" i="18"/>
  <c r="U141" i="18"/>
  <c r="U31" i="18"/>
  <c r="U15" i="18"/>
  <c r="U93" i="18"/>
  <c r="U58" i="18"/>
  <c r="U147" i="18"/>
  <c r="U29" i="18"/>
  <c r="U99" i="18"/>
  <c r="U134" i="18"/>
  <c r="U174" i="18"/>
  <c r="U176" i="18"/>
  <c r="U153" i="18"/>
  <c r="U117" i="18"/>
  <c r="U50" i="18"/>
  <c r="U104" i="18"/>
  <c r="U5" i="18"/>
  <c r="U95" i="18"/>
  <c r="U142" i="18"/>
  <c r="U74" i="18"/>
  <c r="U184" i="18"/>
  <c r="U149" i="18"/>
  <c r="U51" i="18"/>
  <c r="U85" i="18"/>
  <c r="U69" i="18"/>
  <c r="U38" i="18"/>
  <c r="U42" i="18"/>
  <c r="U53" i="18"/>
  <c r="U79" i="18"/>
  <c r="U154" i="18"/>
  <c r="U178" i="18"/>
  <c r="U173" i="18"/>
  <c r="N191" i="12"/>
  <c r="U191" i="18"/>
  <c r="U24" i="18"/>
  <c r="U110" i="18"/>
  <c r="U109" i="18"/>
  <c r="U18" i="18"/>
  <c r="U66" i="18"/>
  <c r="U80" i="18"/>
  <c r="U124" i="18"/>
  <c r="U41" i="18"/>
  <c r="U150" i="18"/>
  <c r="U161" i="18"/>
  <c r="U60" i="18"/>
  <c r="U44" i="18"/>
  <c r="U78" i="18"/>
  <c r="U133" i="18"/>
  <c r="U27" i="18"/>
  <c r="U11" i="18"/>
  <c r="U121" i="18"/>
  <c r="U92" i="18"/>
  <c r="U135" i="18"/>
  <c r="U25" i="18"/>
  <c r="U119" i="18"/>
  <c r="U158" i="18"/>
  <c r="U166" i="18"/>
  <c r="U94" i="18"/>
  <c r="U129" i="18"/>
  <c r="U105" i="18"/>
  <c r="U46" i="18"/>
  <c r="U131" i="18"/>
  <c r="U65" i="18"/>
  <c r="U87" i="18"/>
  <c r="U130" i="18"/>
  <c r="U177" i="18"/>
  <c r="U36" i="18"/>
  <c r="U137" i="18"/>
  <c r="U81" i="18"/>
  <c r="U113" i="18"/>
  <c r="U34" i="18"/>
  <c r="U100" i="18"/>
  <c r="U49" i="18"/>
  <c r="U75" i="18"/>
  <c r="U138" i="18"/>
  <c r="U170" i="18"/>
  <c r="U168" i="18"/>
  <c r="F150" i="10"/>
  <c r="G150" i="10" s="1"/>
  <c r="K167" i="10"/>
  <c r="J167" i="10"/>
  <c r="K168" i="10"/>
  <c r="K184" i="10"/>
  <c r="I186" i="10"/>
  <c r="AI59" i="10"/>
  <c r="AH61" i="10"/>
  <c r="AQ61" i="10" s="1"/>
  <c r="J189" i="10"/>
  <c r="G189" i="10" s="1"/>
  <c r="T17" i="12"/>
  <c r="F17" i="18" s="1"/>
  <c r="I187" i="10"/>
  <c r="I191" i="10"/>
  <c r="I167" i="10"/>
  <c r="J184" i="10"/>
  <c r="G184" i="10" s="1"/>
  <c r="AH59" i="10"/>
  <c r="I190" i="10"/>
  <c r="AB189" i="12"/>
  <c r="N189" i="18" s="1"/>
  <c r="G189" i="28" s="1"/>
  <c r="AT39" i="13"/>
  <c r="AT38" i="13"/>
  <c r="AT37" i="13"/>
  <c r="AS39" i="13"/>
  <c r="AS38" i="13"/>
  <c r="O185" i="12"/>
  <c r="N12" i="12"/>
  <c r="AP12" i="12" s="1"/>
  <c r="T12" i="12"/>
  <c r="F12" i="18" s="1"/>
  <c r="O186" i="12"/>
  <c r="AQ60" i="10"/>
  <c r="O188" i="12"/>
  <c r="N190" i="12"/>
  <c r="F117" i="10"/>
  <c r="K117" i="10"/>
  <c r="F35" i="10"/>
  <c r="F166" i="10"/>
  <c r="F177" i="10"/>
  <c r="I177" i="10"/>
  <c r="F125" i="10"/>
  <c r="I125" i="10"/>
  <c r="F73" i="10"/>
  <c r="J73" i="10"/>
  <c r="F116" i="10"/>
  <c r="F61" i="10"/>
  <c r="L61" i="10"/>
  <c r="F108" i="10"/>
  <c r="G108" i="10" s="1"/>
  <c r="I108" i="10"/>
  <c r="F33" i="10"/>
  <c r="F130" i="10"/>
  <c r="J130" i="10"/>
  <c r="F86" i="10"/>
  <c r="F70" i="10"/>
  <c r="K70" i="10"/>
  <c r="F114" i="10"/>
  <c r="I114" i="10"/>
  <c r="F31" i="10"/>
  <c r="L31" i="10"/>
  <c r="F62" i="10"/>
  <c r="I62" i="10"/>
  <c r="F66" i="10"/>
  <c r="I66" i="10"/>
  <c r="F63" i="10"/>
  <c r="F12" i="10"/>
  <c r="I12" i="10"/>
  <c r="F36" i="10"/>
  <c r="I36" i="10"/>
  <c r="F27" i="10"/>
  <c r="J27" i="10"/>
  <c r="F11" i="10"/>
  <c r="I11" i="10"/>
  <c r="F46" i="10"/>
  <c r="F103" i="10"/>
  <c r="G103" i="10" s="1"/>
  <c r="I103" i="10"/>
  <c r="F26" i="10"/>
  <c r="I26" i="10"/>
  <c r="F38" i="10"/>
  <c r="F49" i="10"/>
  <c r="F71" i="10"/>
  <c r="I71" i="10"/>
  <c r="F41" i="10"/>
  <c r="F79" i="10"/>
  <c r="F107" i="10"/>
  <c r="K107" i="10"/>
  <c r="F171" i="10"/>
  <c r="J171" i="10"/>
  <c r="F92" i="10"/>
  <c r="K92" i="10"/>
  <c r="F7" i="10"/>
  <c r="F39" i="10"/>
  <c r="F77" i="10"/>
  <c r="K77" i="10"/>
  <c r="F105" i="10"/>
  <c r="J39" i="10"/>
  <c r="J147" i="10"/>
  <c r="L137" i="10"/>
  <c r="J63" i="10"/>
  <c r="J105" i="10"/>
  <c r="J95" i="10"/>
  <c r="F149" i="10"/>
  <c r="K149" i="10"/>
  <c r="F170" i="10"/>
  <c r="I170" i="10"/>
  <c r="F145" i="10"/>
  <c r="F101" i="10"/>
  <c r="F144" i="10"/>
  <c r="F96" i="10"/>
  <c r="L96" i="10"/>
  <c r="F172" i="10"/>
  <c r="J172" i="10"/>
  <c r="F124" i="10"/>
  <c r="I124" i="10"/>
  <c r="F162" i="10"/>
  <c r="F17" i="10"/>
  <c r="F98" i="10"/>
  <c r="G98" i="10" s="1"/>
  <c r="I98" i="10"/>
  <c r="F82" i="10"/>
  <c r="K82" i="10"/>
  <c r="F126" i="10"/>
  <c r="I126" i="10"/>
  <c r="F110" i="10"/>
  <c r="I110" i="10"/>
  <c r="F15" i="10"/>
  <c r="F50" i="10"/>
  <c r="F54" i="10"/>
  <c r="F173" i="10"/>
  <c r="K173" i="10"/>
  <c r="F60" i="10"/>
  <c r="K60" i="10"/>
  <c r="F4" i="10"/>
  <c r="J4" i="10"/>
  <c r="F28" i="10"/>
  <c r="I28" i="10"/>
  <c r="F121" i="10"/>
  <c r="I121" i="10"/>
  <c r="F89" i="10"/>
  <c r="I89" i="10"/>
  <c r="F155" i="10"/>
  <c r="F142" i="10"/>
  <c r="I142" i="10"/>
  <c r="F42" i="10"/>
  <c r="F48" i="10"/>
  <c r="F32" i="10"/>
  <c r="I32" i="10"/>
  <c r="F24" i="10"/>
  <c r="F52" i="10"/>
  <c r="I52" i="10"/>
  <c r="F156" i="10"/>
  <c r="I156" i="10"/>
  <c r="F72" i="10"/>
  <c r="F120" i="10"/>
  <c r="L120" i="10"/>
  <c r="F13" i="10"/>
  <c r="F91" i="10"/>
  <c r="G91" i="10" s="1"/>
  <c r="I91" i="10"/>
  <c r="F119" i="10"/>
  <c r="F139" i="10"/>
  <c r="I139" i="10"/>
  <c r="F97" i="10"/>
  <c r="F131" i="10"/>
  <c r="J131" i="10"/>
  <c r="F99" i="10"/>
  <c r="I99" i="10"/>
  <c r="F67" i="10"/>
  <c r="I67" i="10"/>
  <c r="F176" i="10"/>
  <c r="F43" i="10"/>
  <c r="L43" i="10"/>
  <c r="F152" i="10"/>
  <c r="J152" i="10"/>
  <c r="F21" i="10"/>
  <c r="F6" i="10"/>
  <c r="L6" i="10"/>
  <c r="F159" i="10"/>
  <c r="J159" i="10"/>
  <c r="J54" i="10"/>
  <c r="J145" i="10"/>
  <c r="L17" i="10"/>
  <c r="K15" i="10"/>
  <c r="K162" i="10"/>
  <c r="J72" i="10"/>
  <c r="F169" i="10"/>
  <c r="I169" i="10"/>
  <c r="F174" i="10"/>
  <c r="I174" i="10"/>
  <c r="F132" i="10"/>
  <c r="K132" i="10"/>
  <c r="J182" i="10"/>
  <c r="F182" i="10"/>
  <c r="F141" i="10"/>
  <c r="L141" i="10"/>
  <c r="F85" i="10"/>
  <c r="F137" i="10"/>
  <c r="F164" i="10"/>
  <c r="L164" i="10"/>
  <c r="F40" i="10"/>
  <c r="K40" i="10"/>
  <c r="F133" i="10"/>
  <c r="J133" i="10"/>
  <c r="F148" i="10"/>
  <c r="I148" i="10"/>
  <c r="F16" i="10"/>
  <c r="K16" i="10"/>
  <c r="F138" i="10"/>
  <c r="I138" i="10"/>
  <c r="F94" i="10"/>
  <c r="I94" i="10"/>
  <c r="F78" i="10"/>
  <c r="F122" i="10"/>
  <c r="J122" i="10"/>
  <c r="F106" i="10"/>
  <c r="J106" i="10"/>
  <c r="F69" i="10"/>
  <c r="I69" i="10"/>
  <c r="F25" i="10"/>
  <c r="F23" i="10"/>
  <c r="F165" i="10"/>
  <c r="I165" i="10"/>
  <c r="F44" i="10"/>
  <c r="F127" i="10"/>
  <c r="J127" i="10"/>
  <c r="F56" i="10"/>
  <c r="I56" i="10"/>
  <c r="F30" i="10"/>
  <c r="K30" i="10"/>
  <c r="F180" i="10"/>
  <c r="F57" i="10"/>
  <c r="F151" i="10"/>
  <c r="K151" i="10"/>
  <c r="F9" i="10"/>
  <c r="F65" i="10"/>
  <c r="K65" i="10"/>
  <c r="F87" i="10"/>
  <c r="G87" i="10" s="1"/>
  <c r="I87" i="10"/>
  <c r="F47" i="10"/>
  <c r="F95" i="10"/>
  <c r="F179" i="10"/>
  <c r="I179" i="10"/>
  <c r="F163" i="10"/>
  <c r="J163" i="10"/>
  <c r="F93" i="10"/>
  <c r="J93" i="10"/>
  <c r="F158" i="10"/>
  <c r="I158" i="10"/>
  <c r="J116" i="10"/>
  <c r="J13" i="10"/>
  <c r="J57" i="10"/>
  <c r="J166" i="10"/>
  <c r="K79" i="10"/>
  <c r="I86" i="10"/>
  <c r="K176" i="10"/>
  <c r="L42" i="10"/>
  <c r="F136" i="10"/>
  <c r="K136" i="10"/>
  <c r="F109" i="10"/>
  <c r="I109" i="10"/>
  <c r="F129" i="10"/>
  <c r="I129" i="10"/>
  <c r="F128" i="10"/>
  <c r="K128" i="10"/>
  <c r="F140" i="10"/>
  <c r="F80" i="10"/>
  <c r="K80" i="10"/>
  <c r="F178" i="10"/>
  <c r="J178" i="10"/>
  <c r="F161" i="10"/>
  <c r="I161" i="10"/>
  <c r="F134" i="10"/>
  <c r="F90" i="10"/>
  <c r="I90" i="10"/>
  <c r="F74" i="10"/>
  <c r="J74" i="10"/>
  <c r="F118" i="10"/>
  <c r="L118" i="10"/>
  <c r="F102" i="10"/>
  <c r="F58" i="10"/>
  <c r="J58" i="10"/>
  <c r="F181" i="10"/>
  <c r="F113" i="10"/>
  <c r="F59" i="10"/>
  <c r="K59" i="10"/>
  <c r="F8" i="10"/>
  <c r="F153" i="10"/>
  <c r="L153" i="10"/>
  <c r="I3" i="10"/>
  <c r="F10" i="10"/>
  <c r="G10" i="10" s="1"/>
  <c r="I10" i="10"/>
  <c r="F75" i="10"/>
  <c r="F146" i="10"/>
  <c r="L146" i="10"/>
  <c r="F175" i="10"/>
  <c r="K175" i="10"/>
  <c r="F20" i="10"/>
  <c r="F157" i="10"/>
  <c r="J157" i="10"/>
  <c r="F18" i="10"/>
  <c r="F84" i="10"/>
  <c r="L84" i="10"/>
  <c r="F34" i="10"/>
  <c r="F29" i="10"/>
  <c r="F45" i="10"/>
  <c r="F19" i="10"/>
  <c r="F81" i="10"/>
  <c r="G81" i="10" s="1"/>
  <c r="I81" i="10"/>
  <c r="F147" i="10"/>
  <c r="F53" i="10"/>
  <c r="I53" i="10"/>
  <c r="F83" i="10"/>
  <c r="L83" i="10"/>
  <c r="F111" i="10"/>
  <c r="J111" i="10"/>
  <c r="F37" i="10"/>
  <c r="J37" i="10"/>
  <c r="F5" i="10"/>
  <c r="K5" i="10"/>
  <c r="J97" i="10"/>
  <c r="J113" i="10"/>
  <c r="J144" i="10"/>
  <c r="J134" i="10"/>
  <c r="M33" i="10"/>
  <c r="M45" i="10"/>
  <c r="M20" i="10"/>
  <c r="M101" i="10"/>
  <c r="M7" i="10"/>
  <c r="M140" i="10"/>
  <c r="M18" i="10"/>
  <c r="M85" i="10"/>
  <c r="M44" i="10"/>
  <c r="M119" i="10"/>
  <c r="M75" i="10"/>
  <c r="T13" i="12"/>
  <c r="F13" i="18" s="1"/>
  <c r="T15" i="12"/>
  <c r="F15" i="18" s="1"/>
  <c r="S3" i="12"/>
  <c r="T19" i="12"/>
  <c r="F19" i="18" s="1"/>
  <c r="T22" i="12"/>
  <c r="F22" i="18" s="1"/>
  <c r="T16" i="12"/>
  <c r="F16" i="18" s="1"/>
  <c r="T24" i="12"/>
  <c r="F24" i="18" s="1"/>
  <c r="T18" i="12"/>
  <c r="F18" i="18" s="1"/>
  <c r="T25" i="12"/>
  <c r="F25" i="18" s="1"/>
  <c r="T21" i="12"/>
  <c r="F21" i="18" s="1"/>
  <c r="T47" i="12"/>
  <c r="F47" i="18" s="1"/>
  <c r="T14" i="12"/>
  <c r="F14" i="18" s="1"/>
  <c r="T23" i="12"/>
  <c r="F23" i="18" s="1"/>
  <c r="T11" i="12"/>
  <c r="F11" i="18" s="1"/>
  <c r="T43" i="12"/>
  <c r="F43" i="18" s="1"/>
  <c r="T20" i="12"/>
  <c r="F20" i="18" s="1"/>
  <c r="T26" i="12"/>
  <c r="F26" i="18" s="1"/>
  <c r="Z3" i="2"/>
  <c r="AA3" i="2" s="1"/>
  <c r="AD192" i="2"/>
  <c r="AF192" i="2" s="1"/>
  <c r="AD189" i="2"/>
  <c r="AF189" i="2" s="1"/>
  <c r="AD191" i="2"/>
  <c r="AF191" i="2" s="1"/>
  <c r="AD190" i="2"/>
  <c r="AF190" i="2" s="1"/>
  <c r="AD188" i="2"/>
  <c r="AF188" i="2" s="1"/>
  <c r="AD187" i="2"/>
  <c r="AF187" i="2" s="1"/>
  <c r="AD185" i="2"/>
  <c r="AF185" i="2" s="1"/>
  <c r="AD186" i="2"/>
  <c r="AF186" i="2" s="1"/>
  <c r="W26" i="9"/>
  <c r="W54" i="9"/>
  <c r="W75" i="9"/>
  <c r="W25" i="9"/>
  <c r="W34" i="9"/>
  <c r="W118" i="9"/>
  <c r="W84" i="9"/>
  <c r="AD43" i="13"/>
  <c r="AD42" i="13"/>
  <c r="AD41" i="13"/>
  <c r="M1" i="13"/>
  <c r="AE1" i="13" s="1"/>
  <c r="AD45" i="13"/>
  <c r="AD46" i="13"/>
  <c r="AD51" i="13"/>
  <c r="AD55" i="13"/>
  <c r="AD54" i="13"/>
  <c r="AD47" i="13"/>
  <c r="AD40" i="13"/>
  <c r="AD50" i="13"/>
  <c r="AD49" i="13"/>
  <c r="AD53" i="13"/>
  <c r="AD57" i="13"/>
  <c r="AD44" i="13"/>
  <c r="AD48" i="13"/>
  <c r="AD52" i="13"/>
  <c r="AD56" i="13"/>
  <c r="AB10" i="2"/>
  <c r="AA10" i="2"/>
  <c r="AB22" i="2"/>
  <c r="AA22" i="2"/>
  <c r="AB82" i="2"/>
  <c r="AB170" i="2"/>
  <c r="AB138" i="2"/>
  <c r="B138" i="2" s="1"/>
  <c r="AB177" i="2"/>
  <c r="AB145" i="2"/>
  <c r="B145" i="2" s="1"/>
  <c r="AB113" i="2"/>
  <c r="AB81" i="2"/>
  <c r="AB49" i="2"/>
  <c r="AB17" i="2"/>
  <c r="AA17" i="2"/>
  <c r="AB164" i="2"/>
  <c r="AB132" i="2"/>
  <c r="B132" i="2" s="1"/>
  <c r="AB100" i="2"/>
  <c r="AB68" i="2"/>
  <c r="AB36" i="2"/>
  <c r="AB4" i="2"/>
  <c r="AA4" i="2"/>
  <c r="AB58" i="2"/>
  <c r="AB70" i="2"/>
  <c r="AB66" i="2"/>
  <c r="AB166" i="2"/>
  <c r="AB134" i="2"/>
  <c r="B134" i="2" s="1"/>
  <c r="AB173" i="2"/>
  <c r="AB141" i="2"/>
  <c r="B141" i="2" s="1"/>
  <c r="AB109" i="2"/>
  <c r="AB77" i="2"/>
  <c r="AB45" i="2"/>
  <c r="AB13" i="2"/>
  <c r="AA13" i="2"/>
  <c r="AB160" i="2"/>
  <c r="B160" i="2" s="1"/>
  <c r="AB128" i="2"/>
  <c r="B128" i="2" s="1"/>
  <c r="AB96" i="2"/>
  <c r="AB64" i="2"/>
  <c r="AB32" i="2"/>
  <c r="AB91" i="2"/>
  <c r="AB106" i="2"/>
  <c r="AB78" i="2"/>
  <c r="AB94" i="2"/>
  <c r="AB178" i="2"/>
  <c r="AB146" i="2"/>
  <c r="B146" i="2" s="1"/>
  <c r="AB114" i="2"/>
  <c r="AB153" i="2"/>
  <c r="B153" i="2" s="1"/>
  <c r="AB121" i="2"/>
  <c r="AB89" i="2"/>
  <c r="AB57" i="2"/>
  <c r="AB25" i="2"/>
  <c r="AA25" i="2"/>
  <c r="AB172" i="2"/>
  <c r="AB140" i="2"/>
  <c r="B140" i="2" s="1"/>
  <c r="AB108" i="2"/>
  <c r="AB76" i="2"/>
  <c r="AB44" i="2"/>
  <c r="AB12" i="2"/>
  <c r="AA12" i="2"/>
  <c r="AB11" i="2"/>
  <c r="AA11" i="2"/>
  <c r="AB90" i="2"/>
  <c r="AB30" i="2"/>
  <c r="AB38" i="2"/>
  <c r="AB98" i="2"/>
  <c r="AB174" i="2"/>
  <c r="AB142" i="2"/>
  <c r="AB181" i="2"/>
  <c r="AB149" i="2"/>
  <c r="B149" i="2" s="1"/>
  <c r="AB117" i="2"/>
  <c r="AB85" i="2"/>
  <c r="AB53" i="2"/>
  <c r="AB21" i="2"/>
  <c r="AA21" i="2"/>
  <c r="AB184" i="2"/>
  <c r="AB152" i="2"/>
  <c r="B152" i="2" s="1"/>
  <c r="AB120" i="2"/>
  <c r="AB88" i="2"/>
  <c r="AB56" i="2"/>
  <c r="AB24" i="2"/>
  <c r="AA24" i="2"/>
  <c r="AB59" i="2"/>
  <c r="AB74" i="2"/>
  <c r="AB86" i="2"/>
  <c r="AB14" i="2"/>
  <c r="AA14" i="2"/>
  <c r="AB18" i="2"/>
  <c r="AA18" i="2"/>
  <c r="AB154" i="2"/>
  <c r="B154" i="2" s="1"/>
  <c r="AB122" i="2"/>
  <c r="B122" i="2" s="1"/>
  <c r="AB161" i="2"/>
  <c r="B161" i="2" s="1"/>
  <c r="AB129" i="2"/>
  <c r="AB97" i="2"/>
  <c r="AB65" i="2"/>
  <c r="AB33" i="2"/>
  <c r="AB180" i="2"/>
  <c r="AB148" i="2"/>
  <c r="B148" i="2" s="1"/>
  <c r="AB116" i="2"/>
  <c r="AB84" i="2"/>
  <c r="AB52" i="2"/>
  <c r="AB20" i="2"/>
  <c r="AA20" i="2"/>
  <c r="AB43" i="2"/>
  <c r="AB110" i="2"/>
  <c r="AB6" i="2"/>
  <c r="AA6" i="2"/>
  <c r="AB182" i="2"/>
  <c r="AB150" i="2"/>
  <c r="B150" i="2" s="1"/>
  <c r="AB118" i="2"/>
  <c r="AB157" i="2"/>
  <c r="B157" i="2" s="1"/>
  <c r="AB125" i="2"/>
  <c r="B125" i="2" s="1"/>
  <c r="AB93" i="2"/>
  <c r="AB61" i="2"/>
  <c r="AB29" i="2"/>
  <c r="AB176" i="2"/>
  <c r="AB144" i="2"/>
  <c r="B144" i="2" s="1"/>
  <c r="AB112" i="2"/>
  <c r="AB80" i="2"/>
  <c r="AB48" i="2"/>
  <c r="AB16" i="2"/>
  <c r="AA16" i="2"/>
  <c r="AB27" i="2"/>
  <c r="AB42" i="2"/>
  <c r="AB54" i="2"/>
  <c r="AB50" i="2"/>
  <c r="AB162" i="2"/>
  <c r="AB130" i="2"/>
  <c r="B130" i="2" s="1"/>
  <c r="AB169" i="2"/>
  <c r="AB137" i="2"/>
  <c r="B137" i="2" s="1"/>
  <c r="AB105" i="2"/>
  <c r="AB73" i="2"/>
  <c r="AB41" i="2"/>
  <c r="AB9" i="2"/>
  <c r="AA9" i="2"/>
  <c r="AB156" i="2"/>
  <c r="B156" i="2" s="1"/>
  <c r="AB124" i="2"/>
  <c r="B124" i="2" s="1"/>
  <c r="AB92" i="2"/>
  <c r="AB60" i="2"/>
  <c r="AB28" i="2"/>
  <c r="AB75" i="2"/>
  <c r="AB46" i="2"/>
  <c r="AB26" i="2"/>
  <c r="AA26" i="2"/>
  <c r="AB102" i="2"/>
  <c r="AB62" i="2"/>
  <c r="AB34" i="2"/>
  <c r="AB158" i="2"/>
  <c r="B158" i="2" s="1"/>
  <c r="AB126" i="2"/>
  <c r="B126" i="2" s="1"/>
  <c r="AB165" i="2"/>
  <c r="B165" i="2" s="1"/>
  <c r="AB133" i="2"/>
  <c r="B133" i="2" s="1"/>
  <c r="AB101" i="2"/>
  <c r="AB69" i="2"/>
  <c r="AB37" i="2"/>
  <c r="AB5" i="2"/>
  <c r="AA5" i="2"/>
  <c r="AB168" i="2"/>
  <c r="AB136" i="2"/>
  <c r="B136" i="2" s="1"/>
  <c r="AB104" i="2"/>
  <c r="AB72" i="2"/>
  <c r="AB40" i="2"/>
  <c r="AB8" i="2"/>
  <c r="AA8" i="2"/>
  <c r="AB2" i="2"/>
  <c r="AA2" i="2"/>
  <c r="Z163" i="2"/>
  <c r="Z131" i="2"/>
  <c r="Z99" i="2"/>
  <c r="B99" i="2" s="1"/>
  <c r="Z55" i="2"/>
  <c r="Z15" i="2"/>
  <c r="Z159" i="2"/>
  <c r="Z127" i="2"/>
  <c r="Z95" i="2"/>
  <c r="B95" i="2" s="1"/>
  <c r="Z51" i="2"/>
  <c r="Z7" i="2"/>
  <c r="Y7" i="2"/>
  <c r="Z155" i="2"/>
  <c r="Z123" i="2"/>
  <c r="Z87" i="2"/>
  <c r="B87" i="2" s="1"/>
  <c r="Z47" i="2"/>
  <c r="Z183" i="2"/>
  <c r="Z151" i="2"/>
  <c r="Z119" i="2"/>
  <c r="B119" i="2" s="1"/>
  <c r="Z83" i="2"/>
  <c r="Z39" i="2"/>
  <c r="Z179" i="2"/>
  <c r="Z147" i="2"/>
  <c r="Z115" i="2"/>
  <c r="B115" i="2" s="1"/>
  <c r="Z79" i="2"/>
  <c r="Z35" i="2"/>
  <c r="Z175" i="2"/>
  <c r="Z143" i="2"/>
  <c r="Z111" i="2"/>
  <c r="B111" i="2" s="1"/>
  <c r="Z71" i="2"/>
  <c r="Z31" i="2"/>
  <c r="Z171" i="2"/>
  <c r="Z139" i="2"/>
  <c r="Z107" i="2"/>
  <c r="B107" i="2" s="1"/>
  <c r="Z67" i="2"/>
  <c r="Z23" i="2"/>
  <c r="Z167" i="2"/>
  <c r="Z135" i="2"/>
  <c r="Z103" i="2"/>
  <c r="B103" i="2" s="1"/>
  <c r="Z63" i="2"/>
  <c r="Z19" i="2"/>
  <c r="W5" i="9"/>
  <c r="AA1" i="10"/>
  <c r="D115" i="5"/>
  <c r="D223" i="5"/>
  <c r="D25" i="5"/>
  <c r="D54" i="5"/>
  <c r="D110" i="5"/>
  <c r="D160" i="5"/>
  <c r="D187" i="5"/>
  <c r="D205" i="5"/>
  <c r="D220" i="5"/>
  <c r="D77" i="5"/>
  <c r="D133" i="5"/>
  <c r="D173" i="5"/>
  <c r="D71" i="5"/>
  <c r="D170" i="5"/>
  <c r="D43" i="5"/>
  <c r="D44" i="5" s="1"/>
  <c r="D87" i="5"/>
  <c r="D142" i="5"/>
  <c r="D182" i="5"/>
  <c r="D217" i="5"/>
  <c r="D77" i="6"/>
  <c r="D150" i="6"/>
  <c r="D25" i="6"/>
  <c r="D4" i="6"/>
  <c r="W3" i="6"/>
  <c r="U3" i="6" s="1"/>
  <c r="D119" i="6"/>
  <c r="D155" i="6"/>
  <c r="D86" i="6"/>
  <c r="D140" i="6"/>
  <c r="D34" i="6"/>
  <c r="D54" i="6"/>
  <c r="I3" i="2"/>
  <c r="K3" i="2" s="1"/>
  <c r="J3" i="2"/>
  <c r="P3" i="2"/>
  <c r="I4" i="2"/>
  <c r="K4" i="2" s="1"/>
  <c r="H4" i="12"/>
  <c r="P4" i="2"/>
  <c r="I5" i="2"/>
  <c r="K5" i="2" s="1"/>
  <c r="H5" i="12"/>
  <c r="P5" i="2"/>
  <c r="I6" i="2"/>
  <c r="K6" i="2" s="1"/>
  <c r="H6" i="12"/>
  <c r="P6" i="2"/>
  <c r="I7" i="2"/>
  <c r="K7" i="2" s="1"/>
  <c r="H7" i="12"/>
  <c r="P7" i="2"/>
  <c r="I8" i="2"/>
  <c r="K8" i="2" s="1"/>
  <c r="H8" i="12"/>
  <c r="P8" i="2"/>
  <c r="I9" i="2"/>
  <c r="K9" i="2" s="1"/>
  <c r="H9" i="12"/>
  <c r="P9" i="2"/>
  <c r="I10" i="2"/>
  <c r="K10" i="2" s="1"/>
  <c r="H10" i="12"/>
  <c r="P10" i="2"/>
  <c r="I11" i="2"/>
  <c r="K11" i="2" s="1"/>
  <c r="H11" i="12"/>
  <c r="P11" i="2"/>
  <c r="I12" i="2"/>
  <c r="K12" i="2" s="1"/>
  <c r="H12" i="12"/>
  <c r="P12" i="2"/>
  <c r="I13" i="2"/>
  <c r="K13" i="2" s="1"/>
  <c r="H13" i="12"/>
  <c r="P13" i="2"/>
  <c r="I14" i="2"/>
  <c r="K14" i="2" s="1"/>
  <c r="H14" i="12"/>
  <c r="P14" i="2"/>
  <c r="I15" i="2"/>
  <c r="K15" i="2" s="1"/>
  <c r="H15" i="12"/>
  <c r="P15" i="2"/>
  <c r="I16" i="2"/>
  <c r="K16" i="2" s="1"/>
  <c r="H16" i="12"/>
  <c r="P16" i="2"/>
  <c r="I17" i="2"/>
  <c r="K17" i="2" s="1"/>
  <c r="H17" i="12"/>
  <c r="P17" i="2"/>
  <c r="I18" i="2"/>
  <c r="K18" i="2" s="1"/>
  <c r="H18" i="12"/>
  <c r="P18" i="2"/>
  <c r="I19" i="2"/>
  <c r="K19" i="2" s="1"/>
  <c r="H19" i="12"/>
  <c r="P19" i="2"/>
  <c r="I20" i="2"/>
  <c r="K20" i="2" s="1"/>
  <c r="H20" i="12"/>
  <c r="P20" i="2"/>
  <c r="I21" i="2"/>
  <c r="K21" i="2" s="1"/>
  <c r="H21" i="12"/>
  <c r="P21" i="2"/>
  <c r="I22" i="2"/>
  <c r="K22" i="2" s="1"/>
  <c r="H22" i="12"/>
  <c r="P22" i="2"/>
  <c r="I23" i="2"/>
  <c r="K23" i="2" s="1"/>
  <c r="H23" i="12"/>
  <c r="P23" i="2"/>
  <c r="I24" i="2"/>
  <c r="K24" i="2" s="1"/>
  <c r="H24" i="12"/>
  <c r="P24" i="2"/>
  <c r="I25" i="2"/>
  <c r="K25" i="2" s="1"/>
  <c r="H25" i="12"/>
  <c r="P25" i="2"/>
  <c r="I26" i="2"/>
  <c r="K26" i="2" s="1"/>
  <c r="H26" i="12"/>
  <c r="P26" i="2"/>
  <c r="I27" i="2"/>
  <c r="K27" i="2" s="1"/>
  <c r="H27" i="12"/>
  <c r="P27" i="2"/>
  <c r="I28" i="2"/>
  <c r="K28" i="2" s="1"/>
  <c r="H28" i="12"/>
  <c r="P28" i="2"/>
  <c r="I29" i="2"/>
  <c r="K29" i="2" s="1"/>
  <c r="H29" i="12"/>
  <c r="P29" i="2"/>
  <c r="I30" i="2"/>
  <c r="K30" i="2" s="1"/>
  <c r="H30" i="12"/>
  <c r="P30" i="2"/>
  <c r="I31" i="2"/>
  <c r="K31" i="2" s="1"/>
  <c r="H31" i="12"/>
  <c r="P31" i="2"/>
  <c r="I32" i="2"/>
  <c r="K32" i="2" s="1"/>
  <c r="H32" i="12"/>
  <c r="P32" i="2"/>
  <c r="I33" i="2"/>
  <c r="K33" i="2" s="1"/>
  <c r="H33" i="12"/>
  <c r="P33" i="2"/>
  <c r="I34" i="2"/>
  <c r="K34" i="2" s="1"/>
  <c r="H34" i="12"/>
  <c r="P34" i="2"/>
  <c r="I35" i="2"/>
  <c r="K35" i="2" s="1"/>
  <c r="H35" i="12"/>
  <c r="P35" i="2"/>
  <c r="I36" i="2"/>
  <c r="K36" i="2" s="1"/>
  <c r="H36" i="12"/>
  <c r="P36" i="2"/>
  <c r="I37" i="2"/>
  <c r="K37" i="2" s="1"/>
  <c r="H37" i="12"/>
  <c r="P37" i="2"/>
  <c r="I38" i="2"/>
  <c r="K38" i="2" s="1"/>
  <c r="H38" i="12"/>
  <c r="P38" i="2"/>
  <c r="I39" i="2"/>
  <c r="K39" i="2" s="1"/>
  <c r="H39" i="12"/>
  <c r="P39" i="2"/>
  <c r="I40" i="2"/>
  <c r="K40" i="2" s="1"/>
  <c r="H40" i="12"/>
  <c r="P40" i="2"/>
  <c r="I41" i="2"/>
  <c r="K41" i="2" s="1"/>
  <c r="H41" i="12"/>
  <c r="P41" i="2"/>
  <c r="I42" i="2"/>
  <c r="K42" i="2" s="1"/>
  <c r="H42" i="12"/>
  <c r="P42" i="2"/>
  <c r="I43" i="2"/>
  <c r="K43" i="2" s="1"/>
  <c r="H43" i="12"/>
  <c r="P43" i="2"/>
  <c r="I44" i="2"/>
  <c r="K44" i="2" s="1"/>
  <c r="H44" i="12"/>
  <c r="P44" i="2"/>
  <c r="I45" i="2"/>
  <c r="K45" i="2" s="1"/>
  <c r="H45" i="12"/>
  <c r="P45" i="2"/>
  <c r="I46" i="2"/>
  <c r="K46" i="2" s="1"/>
  <c r="H46" i="12"/>
  <c r="P46" i="2"/>
  <c r="I47" i="2"/>
  <c r="K47" i="2" s="1"/>
  <c r="H47" i="12"/>
  <c r="P47" i="2"/>
  <c r="I48" i="2"/>
  <c r="K48" i="2" s="1"/>
  <c r="H48" i="12"/>
  <c r="P48" i="2"/>
  <c r="I49" i="2"/>
  <c r="K49" i="2" s="1"/>
  <c r="H49" i="12"/>
  <c r="P49" i="2"/>
  <c r="I50" i="2"/>
  <c r="K50" i="2" s="1"/>
  <c r="H50" i="12"/>
  <c r="P50" i="2"/>
  <c r="I51" i="2"/>
  <c r="K51" i="2" s="1"/>
  <c r="H51" i="12"/>
  <c r="P51" i="2"/>
  <c r="I52" i="2"/>
  <c r="K52" i="2" s="1"/>
  <c r="H52" i="12"/>
  <c r="P52" i="2"/>
  <c r="I53" i="2"/>
  <c r="K53" i="2" s="1"/>
  <c r="H53" i="12"/>
  <c r="P53" i="2"/>
  <c r="I54" i="2"/>
  <c r="K54" i="2" s="1"/>
  <c r="H54" i="12"/>
  <c r="P54" i="2"/>
  <c r="I55" i="2"/>
  <c r="K55" i="2" s="1"/>
  <c r="H55" i="12"/>
  <c r="P55" i="2"/>
  <c r="I56" i="2"/>
  <c r="K56" i="2" s="1"/>
  <c r="H56" i="12"/>
  <c r="P56" i="2"/>
  <c r="I57" i="2"/>
  <c r="K57" i="2" s="1"/>
  <c r="H57" i="12"/>
  <c r="P57" i="2"/>
  <c r="I58" i="2"/>
  <c r="K58" i="2" s="1"/>
  <c r="H58" i="12"/>
  <c r="P58" i="2"/>
  <c r="I59" i="2"/>
  <c r="K59" i="2" s="1"/>
  <c r="H59" i="12"/>
  <c r="P59" i="2"/>
  <c r="I60" i="2"/>
  <c r="K60" i="2" s="1"/>
  <c r="H60" i="12"/>
  <c r="P60" i="2"/>
  <c r="I61" i="2"/>
  <c r="K61" i="2" s="1"/>
  <c r="H61" i="12"/>
  <c r="P61" i="2"/>
  <c r="I62" i="2"/>
  <c r="K62" i="2" s="1"/>
  <c r="H62" i="12"/>
  <c r="P62" i="2"/>
  <c r="I63" i="2"/>
  <c r="K63" i="2" s="1"/>
  <c r="H63" i="12"/>
  <c r="P63" i="2"/>
  <c r="I64" i="2"/>
  <c r="K64" i="2" s="1"/>
  <c r="H64" i="12"/>
  <c r="P64" i="2"/>
  <c r="I65" i="2"/>
  <c r="K65" i="2" s="1"/>
  <c r="H65" i="12"/>
  <c r="P65" i="2"/>
  <c r="I66" i="2"/>
  <c r="K66" i="2" s="1"/>
  <c r="H66" i="12"/>
  <c r="P66" i="2"/>
  <c r="I67" i="2"/>
  <c r="K67" i="2" s="1"/>
  <c r="H67" i="12"/>
  <c r="P67" i="2"/>
  <c r="I68" i="2"/>
  <c r="K68" i="2" s="1"/>
  <c r="H68" i="12"/>
  <c r="P68" i="2"/>
  <c r="I69" i="2"/>
  <c r="K69" i="2" s="1"/>
  <c r="H69" i="12"/>
  <c r="P69" i="2"/>
  <c r="I70" i="2"/>
  <c r="K70" i="2" s="1"/>
  <c r="H70" i="12"/>
  <c r="P70" i="2"/>
  <c r="I71" i="2"/>
  <c r="K71" i="2" s="1"/>
  <c r="H71" i="12"/>
  <c r="P71" i="2"/>
  <c r="I72" i="2"/>
  <c r="K72" i="2" s="1"/>
  <c r="H72" i="12"/>
  <c r="P72" i="2"/>
  <c r="I73" i="2"/>
  <c r="K73" i="2" s="1"/>
  <c r="H73" i="12"/>
  <c r="P73" i="2"/>
  <c r="I74" i="2"/>
  <c r="K74" i="2" s="1"/>
  <c r="H74" i="12"/>
  <c r="P74" i="2"/>
  <c r="I75" i="2"/>
  <c r="K75" i="2" s="1"/>
  <c r="H75" i="12"/>
  <c r="P75" i="2"/>
  <c r="I76" i="2"/>
  <c r="K76" i="2" s="1"/>
  <c r="H76" i="12"/>
  <c r="P76" i="2"/>
  <c r="I77" i="2"/>
  <c r="K77" i="2" s="1"/>
  <c r="H77" i="12"/>
  <c r="P77" i="2"/>
  <c r="I78" i="2"/>
  <c r="K78" i="2" s="1"/>
  <c r="H78" i="12"/>
  <c r="P78" i="2"/>
  <c r="I79" i="2"/>
  <c r="K79" i="2" s="1"/>
  <c r="H79" i="12"/>
  <c r="P79" i="2"/>
  <c r="I80" i="2"/>
  <c r="K80" i="2" s="1"/>
  <c r="H80" i="12"/>
  <c r="P80" i="2"/>
  <c r="I81" i="2"/>
  <c r="K81" i="2" s="1"/>
  <c r="H81" i="12"/>
  <c r="P81" i="2"/>
  <c r="I82" i="2"/>
  <c r="K82" i="2" s="1"/>
  <c r="H82" i="12"/>
  <c r="P82" i="2"/>
  <c r="I83" i="2"/>
  <c r="K83" i="2" s="1"/>
  <c r="H83" i="12"/>
  <c r="P83" i="2"/>
  <c r="I84" i="2"/>
  <c r="K84" i="2" s="1"/>
  <c r="H84" i="12"/>
  <c r="P84" i="2"/>
  <c r="I85" i="2"/>
  <c r="K85" i="2" s="1"/>
  <c r="H85" i="12"/>
  <c r="P85" i="2"/>
  <c r="G86" i="12"/>
  <c r="H86" i="12"/>
  <c r="P86" i="2"/>
  <c r="I87" i="2"/>
  <c r="K87" i="2" s="1"/>
  <c r="P87" i="2"/>
  <c r="I88" i="2"/>
  <c r="K88" i="2" s="1"/>
  <c r="P88" i="2"/>
  <c r="I89" i="2"/>
  <c r="K89" i="2" s="1"/>
  <c r="P89" i="2"/>
  <c r="I90" i="2"/>
  <c r="K90" i="2" s="1"/>
  <c r="P90" i="2"/>
  <c r="I91" i="2"/>
  <c r="K91" i="2" s="1"/>
  <c r="P91" i="2"/>
  <c r="I92" i="2"/>
  <c r="K92" i="2" s="1"/>
  <c r="P92" i="2"/>
  <c r="I93" i="2"/>
  <c r="K93" i="2" s="1"/>
  <c r="P93" i="2"/>
  <c r="I94" i="2"/>
  <c r="K94" i="2" s="1"/>
  <c r="P94" i="2"/>
  <c r="I95" i="2"/>
  <c r="K95" i="2" s="1"/>
  <c r="P95" i="2"/>
  <c r="I96" i="2"/>
  <c r="K96" i="2" s="1"/>
  <c r="P96" i="2"/>
  <c r="I97" i="2"/>
  <c r="K97" i="2" s="1"/>
  <c r="P97" i="2"/>
  <c r="I98" i="2"/>
  <c r="K98" i="2" s="1"/>
  <c r="P98" i="2"/>
  <c r="I99" i="2"/>
  <c r="K99" i="2" s="1"/>
  <c r="P99" i="2"/>
  <c r="I100" i="2"/>
  <c r="K100" i="2" s="1"/>
  <c r="P100" i="2"/>
  <c r="I101" i="2"/>
  <c r="K101" i="2" s="1"/>
  <c r="P101" i="2"/>
  <c r="I102" i="2"/>
  <c r="K102" i="2" s="1"/>
  <c r="P102" i="2"/>
  <c r="I103" i="2"/>
  <c r="K103" i="2" s="1"/>
  <c r="P103" i="2"/>
  <c r="I104" i="2"/>
  <c r="K104" i="2" s="1"/>
  <c r="P104" i="2"/>
  <c r="I105" i="2"/>
  <c r="K105" i="2" s="1"/>
  <c r="P105" i="2"/>
  <c r="I106" i="2"/>
  <c r="K106" i="2" s="1"/>
  <c r="P106" i="2"/>
  <c r="I107" i="2"/>
  <c r="K107" i="2" s="1"/>
  <c r="P107" i="2"/>
  <c r="I108" i="2"/>
  <c r="K108" i="2" s="1"/>
  <c r="P108" i="2"/>
  <c r="I109" i="2"/>
  <c r="K109" i="2" s="1"/>
  <c r="P109" i="2"/>
  <c r="I110" i="2"/>
  <c r="K110" i="2" s="1"/>
  <c r="P110" i="2"/>
  <c r="I111" i="2"/>
  <c r="K111" i="2" s="1"/>
  <c r="P111" i="2"/>
  <c r="I112" i="2"/>
  <c r="K112" i="2" s="1"/>
  <c r="P112" i="2"/>
  <c r="I113" i="2"/>
  <c r="K113" i="2" s="1"/>
  <c r="P113" i="2"/>
  <c r="I114" i="2"/>
  <c r="K114" i="2" s="1"/>
  <c r="P114" i="2"/>
  <c r="I115" i="2"/>
  <c r="K115" i="2" s="1"/>
  <c r="P115" i="2"/>
  <c r="I116" i="2"/>
  <c r="K116" i="2" s="1"/>
  <c r="P116" i="2"/>
  <c r="I117" i="2"/>
  <c r="K117" i="2" s="1"/>
  <c r="P117" i="2"/>
  <c r="I118" i="2"/>
  <c r="K118" i="2" s="1"/>
  <c r="P118" i="2"/>
  <c r="I119" i="2"/>
  <c r="K119" i="2" s="1"/>
  <c r="P119" i="2"/>
  <c r="I120" i="2"/>
  <c r="K120" i="2" s="1"/>
  <c r="P120" i="2"/>
  <c r="I121" i="2"/>
  <c r="K121" i="2" s="1"/>
  <c r="P121" i="2"/>
  <c r="I122" i="2"/>
  <c r="K122" i="2" s="1"/>
  <c r="P122" i="2"/>
  <c r="I123" i="2"/>
  <c r="K123" i="2" s="1"/>
  <c r="P123" i="2"/>
  <c r="I124" i="2"/>
  <c r="K124" i="2" s="1"/>
  <c r="P124" i="2"/>
  <c r="I125" i="2"/>
  <c r="K125" i="2" s="1"/>
  <c r="P125" i="2"/>
  <c r="I126" i="2"/>
  <c r="K126" i="2" s="1"/>
  <c r="P126" i="2"/>
  <c r="I127" i="2"/>
  <c r="K127" i="2" s="1"/>
  <c r="P127" i="2"/>
  <c r="I128" i="2"/>
  <c r="K128" i="2" s="1"/>
  <c r="P128" i="2"/>
  <c r="I129" i="2"/>
  <c r="K129" i="2" s="1"/>
  <c r="P129" i="2"/>
  <c r="I130" i="2"/>
  <c r="K130" i="2" s="1"/>
  <c r="P130" i="2"/>
  <c r="I131" i="2"/>
  <c r="K131" i="2" s="1"/>
  <c r="P131" i="2"/>
  <c r="I132" i="2"/>
  <c r="K132" i="2" s="1"/>
  <c r="P132" i="2"/>
  <c r="I133" i="2"/>
  <c r="K133" i="2" s="1"/>
  <c r="P133" i="2"/>
  <c r="I134" i="2"/>
  <c r="K134" i="2" s="1"/>
  <c r="P134" i="2"/>
  <c r="I135" i="2"/>
  <c r="K135" i="2" s="1"/>
  <c r="P135" i="2"/>
  <c r="I136" i="2"/>
  <c r="K136" i="2" s="1"/>
  <c r="P136" i="2"/>
  <c r="I137" i="2"/>
  <c r="K137" i="2" s="1"/>
  <c r="P137" i="2"/>
  <c r="I138" i="2"/>
  <c r="K138" i="2" s="1"/>
  <c r="P138" i="2"/>
  <c r="I139" i="2"/>
  <c r="K139" i="2" s="1"/>
  <c r="P139" i="2"/>
  <c r="I140" i="2"/>
  <c r="K140" i="2" s="1"/>
  <c r="P140" i="2"/>
  <c r="I141" i="2"/>
  <c r="K141" i="2" s="1"/>
  <c r="P141" i="2"/>
  <c r="I142" i="2"/>
  <c r="K142" i="2" s="1"/>
  <c r="P142" i="2"/>
  <c r="I143" i="2"/>
  <c r="K143" i="2" s="1"/>
  <c r="P143" i="2"/>
  <c r="I144" i="2"/>
  <c r="K144" i="2" s="1"/>
  <c r="P144" i="2"/>
  <c r="I145" i="2"/>
  <c r="K145" i="2" s="1"/>
  <c r="P145" i="2"/>
  <c r="I146" i="2"/>
  <c r="K146" i="2" s="1"/>
  <c r="P146" i="2"/>
  <c r="I147" i="2"/>
  <c r="K147" i="2" s="1"/>
  <c r="P147" i="2"/>
  <c r="I148" i="2"/>
  <c r="K148" i="2" s="1"/>
  <c r="P148" i="2"/>
  <c r="I149" i="2"/>
  <c r="K149" i="2" s="1"/>
  <c r="P149" i="2"/>
  <c r="I150" i="2"/>
  <c r="K150" i="2" s="1"/>
  <c r="P150" i="2"/>
  <c r="I151" i="2"/>
  <c r="K151" i="2" s="1"/>
  <c r="P151" i="2"/>
  <c r="I152" i="2"/>
  <c r="K152" i="2" s="1"/>
  <c r="P152" i="2"/>
  <c r="I153" i="2"/>
  <c r="K153" i="2" s="1"/>
  <c r="P153" i="2"/>
  <c r="I154" i="2"/>
  <c r="K154" i="2" s="1"/>
  <c r="P154" i="2"/>
  <c r="I155" i="2"/>
  <c r="K155" i="2" s="1"/>
  <c r="P155" i="2"/>
  <c r="I156" i="2"/>
  <c r="K156" i="2" s="1"/>
  <c r="P156" i="2"/>
  <c r="I157" i="2"/>
  <c r="K157" i="2" s="1"/>
  <c r="P157" i="2"/>
  <c r="I158" i="2"/>
  <c r="K158" i="2" s="1"/>
  <c r="P158" i="2"/>
  <c r="I159" i="2"/>
  <c r="K159" i="2" s="1"/>
  <c r="P159" i="2"/>
  <c r="I160" i="2"/>
  <c r="K160" i="2" s="1"/>
  <c r="P160" i="2"/>
  <c r="I161" i="2"/>
  <c r="K161" i="2" s="1"/>
  <c r="P161" i="2"/>
  <c r="I162" i="2"/>
  <c r="K162" i="2" s="1"/>
  <c r="P162" i="2"/>
  <c r="I163" i="2"/>
  <c r="K163" i="2" s="1"/>
  <c r="P163" i="2"/>
  <c r="I164" i="2"/>
  <c r="K164" i="2" s="1"/>
  <c r="P164" i="2"/>
  <c r="I165" i="2"/>
  <c r="K165" i="2" s="1"/>
  <c r="P165" i="2"/>
  <c r="I166" i="2"/>
  <c r="K166" i="2" s="1"/>
  <c r="P166" i="2"/>
  <c r="I167" i="2"/>
  <c r="K167" i="2" s="1"/>
  <c r="P167" i="2"/>
  <c r="I168" i="2"/>
  <c r="K168" i="2" s="1"/>
  <c r="P168" i="2"/>
  <c r="I169" i="2"/>
  <c r="K169" i="2" s="1"/>
  <c r="P169" i="2"/>
  <c r="I170" i="2"/>
  <c r="K170" i="2" s="1"/>
  <c r="P170" i="2"/>
  <c r="I171" i="2"/>
  <c r="K171" i="2" s="1"/>
  <c r="P171" i="2"/>
  <c r="I172" i="2"/>
  <c r="K172" i="2" s="1"/>
  <c r="P172" i="2"/>
  <c r="I173" i="2"/>
  <c r="K173" i="2" s="1"/>
  <c r="P173" i="2"/>
  <c r="I174" i="2"/>
  <c r="K174" i="2" s="1"/>
  <c r="P174" i="2"/>
  <c r="I175" i="2"/>
  <c r="K175" i="2" s="1"/>
  <c r="P175" i="2"/>
  <c r="I176" i="2"/>
  <c r="K176" i="2" s="1"/>
  <c r="P176" i="2"/>
  <c r="I177" i="2"/>
  <c r="K177" i="2" s="1"/>
  <c r="P177" i="2"/>
  <c r="I178" i="2"/>
  <c r="K178" i="2" s="1"/>
  <c r="P178" i="2"/>
  <c r="I179" i="2"/>
  <c r="K179" i="2" s="1"/>
  <c r="P179" i="2"/>
  <c r="I180" i="2"/>
  <c r="K180" i="2" s="1"/>
  <c r="P180" i="2"/>
  <c r="I181" i="2"/>
  <c r="K181" i="2" s="1"/>
  <c r="P181" i="2"/>
  <c r="I182" i="2"/>
  <c r="K182" i="2" s="1"/>
  <c r="P182" i="2"/>
  <c r="I183" i="2"/>
  <c r="K183" i="2" s="1"/>
  <c r="P183" i="2"/>
  <c r="I184" i="2"/>
  <c r="K184" i="2" s="1"/>
  <c r="P184" i="2"/>
  <c r="D3" i="5"/>
  <c r="O69" i="5"/>
  <c r="J69" i="5" s="1"/>
  <c r="O75" i="5"/>
  <c r="J75" i="5" s="1"/>
  <c r="O85" i="5"/>
  <c r="J85" i="5" s="1"/>
  <c r="O108" i="5"/>
  <c r="J108" i="5" s="1"/>
  <c r="O113" i="5"/>
  <c r="J113" i="5" s="1"/>
  <c r="O131" i="5"/>
  <c r="J131" i="5" s="1"/>
  <c r="O140" i="5"/>
  <c r="J140" i="5" s="1"/>
  <c r="O158" i="5"/>
  <c r="J158" i="5" s="1"/>
  <c r="O168" i="5"/>
  <c r="J168" i="5" s="1"/>
  <c r="O171" i="5"/>
  <c r="J171" i="5" s="1"/>
  <c r="O180" i="5"/>
  <c r="J180" i="5" s="1"/>
  <c r="O185" i="5"/>
  <c r="J185" i="5" s="1"/>
  <c r="O197" i="5"/>
  <c r="J197" i="5" s="1"/>
  <c r="O201" i="5"/>
  <c r="J201" i="5" s="1"/>
  <c r="O202" i="5"/>
  <c r="J202" i="5" s="1"/>
  <c r="O203" i="5"/>
  <c r="J203" i="5" s="1"/>
  <c r="O206" i="5"/>
  <c r="J206" i="5" s="1"/>
  <c r="O209" i="5"/>
  <c r="J209" i="5" s="1"/>
  <c r="O212" i="5"/>
  <c r="J212" i="5" s="1"/>
  <c r="O213" i="5"/>
  <c r="J213" i="5" s="1"/>
  <c r="O215" i="5"/>
  <c r="J215" i="5" s="1"/>
  <c r="O218" i="5"/>
  <c r="J218" i="5" s="1"/>
  <c r="O221" i="5"/>
  <c r="J221" i="5" s="1"/>
  <c r="O224" i="5"/>
  <c r="J224" i="5" s="1"/>
  <c r="O225" i="5"/>
  <c r="J225" i="5" s="1"/>
  <c r="O226" i="5"/>
  <c r="J226" i="5" s="1"/>
  <c r="O228" i="5"/>
  <c r="J228" i="5" s="1"/>
  <c r="O229" i="5"/>
  <c r="J229" i="5" s="1"/>
  <c r="O230" i="5"/>
  <c r="J230" i="5" s="1"/>
  <c r="O231" i="5"/>
  <c r="J231" i="5" s="1"/>
  <c r="O232" i="5"/>
  <c r="J232" i="5" s="1"/>
  <c r="O233" i="5"/>
  <c r="J233" i="5" s="1"/>
  <c r="O234" i="5"/>
  <c r="J234" i="5" s="1"/>
  <c r="O235" i="5"/>
  <c r="J235" i="5" s="1"/>
  <c r="O236" i="5"/>
  <c r="J236" i="5" s="1"/>
  <c r="O237" i="5"/>
  <c r="J237" i="5" s="1"/>
  <c r="O238" i="5"/>
  <c r="J238" i="5" s="1"/>
  <c r="O239" i="5"/>
  <c r="J239" i="5" s="1"/>
  <c r="O240" i="5"/>
  <c r="J240" i="5" s="1"/>
  <c r="O241" i="5"/>
  <c r="J241" i="5" s="1"/>
  <c r="O242" i="5"/>
  <c r="J242" i="5" s="1"/>
  <c r="O68" i="5"/>
  <c r="J68" i="5" s="1"/>
  <c r="O52" i="5"/>
  <c r="J52" i="5" s="1"/>
  <c r="O41" i="5"/>
  <c r="J41" i="5" s="1"/>
  <c r="O2" i="5"/>
  <c r="J2" i="5" s="1"/>
  <c r="O23" i="5"/>
  <c r="J23" i="5" s="1"/>
  <c r="P242" i="5"/>
  <c r="I242" i="5"/>
  <c r="P241" i="5"/>
  <c r="I241" i="5"/>
  <c r="K241" i="5" s="1"/>
  <c r="P240" i="5"/>
  <c r="I240" i="5"/>
  <c r="P239" i="5"/>
  <c r="I239" i="5"/>
  <c r="P238" i="5"/>
  <c r="I238" i="5"/>
  <c r="P237" i="5"/>
  <c r="I237" i="5"/>
  <c r="P236" i="5"/>
  <c r="I236" i="5"/>
  <c r="P235" i="5"/>
  <c r="I235" i="5"/>
  <c r="P234" i="5"/>
  <c r="I234" i="5"/>
  <c r="P233" i="5"/>
  <c r="I233" i="5"/>
  <c r="P232" i="5"/>
  <c r="I232" i="5"/>
  <c r="P231" i="5"/>
  <c r="I231" i="5"/>
  <c r="P230" i="5"/>
  <c r="I230" i="5"/>
  <c r="AB229" i="5"/>
  <c r="P229" i="5"/>
  <c r="I229" i="5"/>
  <c r="K229" i="5" s="1"/>
  <c r="AB228" i="5"/>
  <c r="P228" i="5"/>
  <c r="I228" i="5"/>
  <c r="P226" i="5"/>
  <c r="I226" i="5"/>
  <c r="P225" i="5"/>
  <c r="I225" i="5"/>
  <c r="AB224" i="5"/>
  <c r="P224" i="5"/>
  <c r="I224" i="5"/>
  <c r="P221" i="5"/>
  <c r="I221" i="5"/>
  <c r="P218" i="5"/>
  <c r="I218" i="5"/>
  <c r="K218" i="5" s="1"/>
  <c r="AB215" i="5"/>
  <c r="P215" i="5"/>
  <c r="I215" i="5"/>
  <c r="AB213" i="5"/>
  <c r="P213" i="5"/>
  <c r="I213" i="5"/>
  <c r="K213" i="5" s="1"/>
  <c r="P212" i="5"/>
  <c r="I212" i="5"/>
  <c r="AB209" i="5"/>
  <c r="P209" i="5"/>
  <c r="I209" i="5"/>
  <c r="AB206" i="5"/>
  <c r="P206" i="5"/>
  <c r="I206" i="5"/>
  <c r="AB203" i="5"/>
  <c r="P203" i="5"/>
  <c r="I203" i="5"/>
  <c r="K203" i="5" s="1"/>
  <c r="AB202" i="5"/>
  <c r="P202" i="5"/>
  <c r="I202" i="5"/>
  <c r="P201" i="5"/>
  <c r="I201" i="5"/>
  <c r="K201" i="5" s="1"/>
  <c r="P197" i="5"/>
  <c r="I197" i="5"/>
  <c r="P185" i="5"/>
  <c r="I185" i="5"/>
  <c r="P180" i="5"/>
  <c r="I180" i="5"/>
  <c r="AB171" i="5"/>
  <c r="P171" i="5"/>
  <c r="I171" i="5"/>
  <c r="AB168" i="5"/>
  <c r="P168" i="5"/>
  <c r="I168" i="5"/>
  <c r="P158" i="5"/>
  <c r="I158" i="5"/>
  <c r="AB140" i="5"/>
  <c r="P140" i="5"/>
  <c r="I140" i="5"/>
  <c r="K140" i="5" s="1"/>
  <c r="AB131" i="5"/>
  <c r="P131" i="5"/>
  <c r="I131" i="5"/>
  <c r="P113" i="5"/>
  <c r="I113" i="5"/>
  <c r="K113" i="5" s="1"/>
  <c r="P108" i="5"/>
  <c r="I108" i="5"/>
  <c r="K108" i="5" s="1"/>
  <c r="P85" i="5"/>
  <c r="I85" i="5"/>
  <c r="AB75" i="5"/>
  <c r="P75" i="5"/>
  <c r="I75" i="5"/>
  <c r="K75" i="5" s="1"/>
  <c r="P69" i="5"/>
  <c r="I69" i="5"/>
  <c r="K69" i="5" s="1"/>
  <c r="P68" i="5"/>
  <c r="I68" i="5"/>
  <c r="K68" i="5" s="1"/>
  <c r="P52" i="5"/>
  <c r="I52" i="5"/>
  <c r="K52" i="5" s="1"/>
  <c r="P41" i="5"/>
  <c r="I41" i="5"/>
  <c r="K41" i="5" s="1"/>
  <c r="AB23" i="5"/>
  <c r="P23" i="5"/>
  <c r="I23" i="5"/>
  <c r="P2" i="5"/>
  <c r="I2" i="5"/>
  <c r="B2" i="4"/>
  <c r="V86" i="12" l="1"/>
  <c r="X86" i="12"/>
  <c r="B86" i="28" s="1"/>
  <c r="H189" i="28"/>
  <c r="G190" i="10"/>
  <c r="AB191" i="12" s="1"/>
  <c r="N191" i="18" s="1"/>
  <c r="G191" i="28" s="1"/>
  <c r="H191" i="28" s="1"/>
  <c r="G186" i="10"/>
  <c r="AB187" i="12" s="1"/>
  <c r="N187" i="18" s="1"/>
  <c r="G187" i="28" s="1"/>
  <c r="H187" i="28" s="1"/>
  <c r="AB190" i="12"/>
  <c r="N190" i="18" s="1"/>
  <c r="G190" i="28" s="1"/>
  <c r="H190" i="28" s="1"/>
  <c r="G191" i="10"/>
  <c r="AB192" i="12" s="1"/>
  <c r="N192" i="18" s="1"/>
  <c r="G192" i="28" s="1"/>
  <c r="H192" i="28" s="1"/>
  <c r="G187" i="10"/>
  <c r="AB188" i="12" s="1"/>
  <c r="N188" i="18" s="1"/>
  <c r="G188" i="28" s="1"/>
  <c r="H188" i="28" s="1"/>
  <c r="AK4" i="2"/>
  <c r="A143" i="20"/>
  <c r="K143" i="20" s="1"/>
  <c r="J144" i="14" s="1"/>
  <c r="Y145" i="17"/>
  <c r="A142" i="9"/>
  <c r="AE50" i="14"/>
  <c r="AU10" i="14"/>
  <c r="AT10" i="14" s="1"/>
  <c r="AT47" i="14"/>
  <c r="AU44" i="14"/>
  <c r="AT44" i="14" s="1"/>
  <c r="AU50" i="14"/>
  <c r="AT50" i="14" s="1"/>
  <c r="AK184" i="2"/>
  <c r="AP184" i="2" s="1"/>
  <c r="AO184" i="2" s="1"/>
  <c r="AK176" i="2"/>
  <c r="AP176" i="2" s="1"/>
  <c r="AO176" i="2" s="1"/>
  <c r="AX176" i="12" s="1"/>
  <c r="R176" i="18" s="1"/>
  <c r="Q176" i="18" s="1"/>
  <c r="AK170" i="2"/>
  <c r="AP170" i="2" s="1"/>
  <c r="AO170" i="2" s="1"/>
  <c r="AK162" i="2"/>
  <c r="AP162" i="2" s="1"/>
  <c r="AO162" i="2" s="1"/>
  <c r="AK154" i="2"/>
  <c r="AP154" i="2" s="1"/>
  <c r="AO154" i="2" s="1"/>
  <c r="AX154" i="12" s="1"/>
  <c r="R154" i="18" s="1"/>
  <c r="Q154" i="18" s="1"/>
  <c r="AK146" i="2"/>
  <c r="AP146" i="2" s="1"/>
  <c r="AO146" i="2" s="1"/>
  <c r="AX146" i="12" s="1"/>
  <c r="R146" i="18" s="1"/>
  <c r="Q146" i="18" s="1"/>
  <c r="AK138" i="2"/>
  <c r="AP138" i="2" s="1"/>
  <c r="AO138" i="2" s="1"/>
  <c r="AK130" i="2"/>
  <c r="AP130" i="2" s="1"/>
  <c r="AO130" i="2" s="1"/>
  <c r="AK126" i="2"/>
  <c r="AP126" i="2" s="1"/>
  <c r="AO126" i="2" s="1"/>
  <c r="AX126" i="12" s="1"/>
  <c r="R126" i="18" s="1"/>
  <c r="Q126" i="18" s="1"/>
  <c r="AK118" i="2"/>
  <c r="AP118" i="2" s="1"/>
  <c r="AO118" i="2" s="1"/>
  <c r="AX118" i="12" s="1"/>
  <c r="R118" i="18" s="1"/>
  <c r="Q118" i="18" s="1"/>
  <c r="AK114" i="2"/>
  <c r="AK94" i="2"/>
  <c r="AK90" i="2"/>
  <c r="AK85" i="2"/>
  <c r="AK81" i="2"/>
  <c r="AK17" i="2"/>
  <c r="AK13" i="2"/>
  <c r="AK9" i="2"/>
  <c r="A214" i="9"/>
  <c r="A215" i="20"/>
  <c r="A233" i="20"/>
  <c r="A232" i="9"/>
  <c r="A357" i="9"/>
  <c r="A358" i="9"/>
  <c r="AK78" i="2"/>
  <c r="AK58" i="2"/>
  <c r="AK54" i="2"/>
  <c r="AK50" i="2"/>
  <c r="AK46" i="2"/>
  <c r="AK42" i="2"/>
  <c r="AK38" i="2"/>
  <c r="AK18" i="2"/>
  <c r="AK6" i="2"/>
  <c r="AK178" i="2"/>
  <c r="AP178" i="2" s="1"/>
  <c r="AO178" i="2" s="1"/>
  <c r="AX178" i="12" s="1"/>
  <c r="R178" i="18" s="1"/>
  <c r="Q178" i="18" s="1"/>
  <c r="AK168" i="2"/>
  <c r="AP168" i="2" s="1"/>
  <c r="AO168" i="2" s="1"/>
  <c r="AK160" i="2"/>
  <c r="AP160" i="2" s="1"/>
  <c r="AO160" i="2" s="1"/>
  <c r="AK152" i="2"/>
  <c r="AP152" i="2" s="1"/>
  <c r="AO152" i="2" s="1"/>
  <c r="AX152" i="12" s="1"/>
  <c r="R152" i="18" s="1"/>
  <c r="Q152" i="18" s="1"/>
  <c r="AK144" i="2"/>
  <c r="AP144" i="2" s="1"/>
  <c r="AO144" i="2" s="1"/>
  <c r="AK136" i="2"/>
  <c r="AP136" i="2" s="1"/>
  <c r="AO136" i="2" s="1"/>
  <c r="AK128" i="2"/>
  <c r="AP128" i="2" s="1"/>
  <c r="AO128" i="2" s="1"/>
  <c r="AK120" i="2"/>
  <c r="AK116" i="2"/>
  <c r="AP116" i="2" s="1"/>
  <c r="AO116" i="2" s="1"/>
  <c r="AX116" i="12" s="1"/>
  <c r="R116" i="18" s="1"/>
  <c r="Q116" i="18" s="1"/>
  <c r="AK108" i="2"/>
  <c r="AP108" i="2" s="1"/>
  <c r="AO108" i="2" s="1"/>
  <c r="AK104" i="2"/>
  <c r="AK102" i="2"/>
  <c r="AK100" i="2"/>
  <c r="AK96" i="2"/>
  <c r="AK92" i="2"/>
  <c r="AK88" i="2"/>
  <c r="AK49" i="2"/>
  <c r="AK21" i="2"/>
  <c r="AK74" i="2"/>
  <c r="AK70" i="2"/>
  <c r="AK66" i="2"/>
  <c r="AK62" i="2"/>
  <c r="AK34" i="2"/>
  <c r="AK30" i="2"/>
  <c r="AK26" i="2"/>
  <c r="AK22" i="2"/>
  <c r="AK10" i="2"/>
  <c r="AK183" i="2"/>
  <c r="AP183" i="2" s="1"/>
  <c r="AO183" i="2" s="1"/>
  <c r="AX183" i="12" s="1"/>
  <c r="R183" i="18" s="1"/>
  <c r="Q183" i="18" s="1"/>
  <c r="AK181" i="2"/>
  <c r="AP181" i="2" s="1"/>
  <c r="AO181" i="2" s="1"/>
  <c r="AK179" i="2"/>
  <c r="AP179" i="2" s="1"/>
  <c r="AO179" i="2" s="1"/>
  <c r="AK177" i="2"/>
  <c r="AP177" i="2" s="1"/>
  <c r="AO177" i="2" s="1"/>
  <c r="AK175" i="2"/>
  <c r="AP175" i="2" s="1"/>
  <c r="AO175" i="2" s="1"/>
  <c r="AK173" i="2"/>
  <c r="AP173" i="2" s="1"/>
  <c r="AO173" i="2" s="1"/>
  <c r="AX173" i="12" s="1"/>
  <c r="R173" i="18" s="1"/>
  <c r="Q173" i="18" s="1"/>
  <c r="AK171" i="2"/>
  <c r="AP171" i="2" s="1"/>
  <c r="AO171" i="2" s="1"/>
  <c r="AK169" i="2"/>
  <c r="AP169" i="2" s="1"/>
  <c r="AO169" i="2" s="1"/>
  <c r="AK167" i="2"/>
  <c r="AP167" i="2" s="1"/>
  <c r="AO167" i="2" s="1"/>
  <c r="AX167" i="12" s="1"/>
  <c r="R167" i="18" s="1"/>
  <c r="Q167" i="18" s="1"/>
  <c r="AK165" i="2"/>
  <c r="AP165" i="2" s="1"/>
  <c r="AO165" i="2" s="1"/>
  <c r="AX165" i="12" s="1"/>
  <c r="R165" i="18" s="1"/>
  <c r="Q165" i="18" s="1"/>
  <c r="AK163" i="2"/>
  <c r="AP163" i="2" s="1"/>
  <c r="AO163" i="2" s="1"/>
  <c r="AK161" i="2"/>
  <c r="AP161" i="2" s="1"/>
  <c r="AO161" i="2" s="1"/>
  <c r="AK159" i="2"/>
  <c r="AP159" i="2" s="1"/>
  <c r="AO159" i="2" s="1"/>
  <c r="AK157" i="2"/>
  <c r="AP157" i="2" s="1"/>
  <c r="AO157" i="2" s="1"/>
  <c r="AX157" i="12" s="1"/>
  <c r="R157" i="18" s="1"/>
  <c r="Q157" i="18" s="1"/>
  <c r="AK155" i="2"/>
  <c r="AP155" i="2" s="1"/>
  <c r="AO155" i="2" s="1"/>
  <c r="AK153" i="2"/>
  <c r="AP153" i="2" s="1"/>
  <c r="AO153" i="2" s="1"/>
  <c r="AK151" i="2"/>
  <c r="AP151" i="2" s="1"/>
  <c r="AO151" i="2" s="1"/>
  <c r="AX151" i="12" s="1"/>
  <c r="R151" i="18" s="1"/>
  <c r="Q151" i="18" s="1"/>
  <c r="AK149" i="2"/>
  <c r="AP149" i="2" s="1"/>
  <c r="AO149" i="2" s="1"/>
  <c r="AX149" i="12" s="1"/>
  <c r="R149" i="18" s="1"/>
  <c r="Q149" i="18" s="1"/>
  <c r="AK147" i="2"/>
  <c r="AP147" i="2" s="1"/>
  <c r="AO147" i="2" s="1"/>
  <c r="AK145" i="2"/>
  <c r="AP145" i="2" s="1"/>
  <c r="AO145" i="2" s="1"/>
  <c r="AK143" i="2"/>
  <c r="AP143" i="2" s="1"/>
  <c r="AO143" i="2" s="1"/>
  <c r="AX143" i="12" s="1"/>
  <c r="R143" i="18" s="1"/>
  <c r="Q143" i="18" s="1"/>
  <c r="AK141" i="2"/>
  <c r="AP141" i="2" s="1"/>
  <c r="AO141" i="2" s="1"/>
  <c r="AX141" i="12" s="1"/>
  <c r="R141" i="18" s="1"/>
  <c r="Q141" i="18" s="1"/>
  <c r="AK139" i="2"/>
  <c r="AP139" i="2" s="1"/>
  <c r="AO139" i="2" s="1"/>
  <c r="AX139" i="12" s="1"/>
  <c r="R139" i="18" s="1"/>
  <c r="Q139" i="18" s="1"/>
  <c r="AK137" i="2"/>
  <c r="AP137" i="2" s="1"/>
  <c r="AO137" i="2" s="1"/>
  <c r="AK135" i="2"/>
  <c r="AP135" i="2" s="1"/>
  <c r="AO135" i="2" s="1"/>
  <c r="AK133" i="2"/>
  <c r="AP133" i="2" s="1"/>
  <c r="AO133" i="2" s="1"/>
  <c r="AX133" i="12" s="1"/>
  <c r="R133" i="18" s="1"/>
  <c r="Q133" i="18" s="1"/>
  <c r="AK131" i="2"/>
  <c r="AP131" i="2" s="1"/>
  <c r="AO131" i="2" s="1"/>
  <c r="AK129" i="2"/>
  <c r="AP129" i="2" s="1"/>
  <c r="AO129" i="2" s="1"/>
  <c r="AK127" i="2"/>
  <c r="AP127" i="2" s="1"/>
  <c r="AO127" i="2" s="1"/>
  <c r="AK125" i="2"/>
  <c r="AP125" i="2" s="1"/>
  <c r="AO125" i="2" s="1"/>
  <c r="AX125" i="12" s="1"/>
  <c r="R125" i="18" s="1"/>
  <c r="Q125" i="18" s="1"/>
  <c r="AK123" i="2"/>
  <c r="AP123" i="2" s="1"/>
  <c r="AO123" i="2" s="1"/>
  <c r="AK121" i="2"/>
  <c r="AP121" i="2" s="1"/>
  <c r="AO121" i="2" s="1"/>
  <c r="AK119" i="2"/>
  <c r="AP119" i="2" s="1"/>
  <c r="AO119" i="2" s="1"/>
  <c r="AK117" i="2"/>
  <c r="AK115" i="2"/>
  <c r="AK113" i="2"/>
  <c r="AK111" i="2"/>
  <c r="AP111" i="2" s="1"/>
  <c r="AO111" i="2" s="1"/>
  <c r="AX111" i="12" s="1"/>
  <c r="R111" i="18" s="1"/>
  <c r="Q111" i="18" s="1"/>
  <c r="AK109" i="2"/>
  <c r="AK107" i="2"/>
  <c r="AK105" i="2"/>
  <c r="AK103" i="2"/>
  <c r="AK101" i="2"/>
  <c r="AK99" i="2"/>
  <c r="AK97" i="2"/>
  <c r="AK95" i="2"/>
  <c r="AK93" i="2"/>
  <c r="AK91" i="2"/>
  <c r="AK89" i="2"/>
  <c r="AK87" i="2"/>
  <c r="AK83" i="2"/>
  <c r="AK79" i="2"/>
  <c r="AK75" i="2"/>
  <c r="AK71" i="2"/>
  <c r="AK67" i="2"/>
  <c r="AK63" i="2"/>
  <c r="AK59" i="2"/>
  <c r="AK55" i="2"/>
  <c r="AK51" i="2"/>
  <c r="AK47" i="2"/>
  <c r="AK43" i="2"/>
  <c r="AK39" i="2"/>
  <c r="AK35" i="2"/>
  <c r="AK31" i="2"/>
  <c r="AK27" i="2"/>
  <c r="AK23" i="2"/>
  <c r="AK19" i="2"/>
  <c r="AK15" i="2"/>
  <c r="AK11" i="2"/>
  <c r="AK7" i="2"/>
  <c r="G3" i="12"/>
  <c r="AK3" i="2"/>
  <c r="AK180" i="2"/>
  <c r="AP180" i="2" s="1"/>
  <c r="AO180" i="2" s="1"/>
  <c r="AK172" i="2"/>
  <c r="AP172" i="2" s="1"/>
  <c r="AO172" i="2" s="1"/>
  <c r="AX172" i="12" s="1"/>
  <c r="R172" i="18" s="1"/>
  <c r="Q172" i="18" s="1"/>
  <c r="AK164" i="2"/>
  <c r="AP164" i="2" s="1"/>
  <c r="AO164" i="2" s="1"/>
  <c r="AX164" i="12" s="1"/>
  <c r="R164" i="18" s="1"/>
  <c r="Q164" i="18" s="1"/>
  <c r="AK156" i="2"/>
  <c r="AP156" i="2" s="1"/>
  <c r="AO156" i="2" s="1"/>
  <c r="AK150" i="2"/>
  <c r="AK140" i="2"/>
  <c r="AP140" i="2" s="1"/>
  <c r="AO140" i="2" s="1"/>
  <c r="AK132" i="2"/>
  <c r="AP132" i="2" s="1"/>
  <c r="AO132" i="2" s="1"/>
  <c r="AX132" i="12" s="1"/>
  <c r="R132" i="18" s="1"/>
  <c r="Q132" i="18" s="1"/>
  <c r="AK122" i="2"/>
  <c r="AP122" i="2" s="1"/>
  <c r="AO122" i="2" s="1"/>
  <c r="AK112" i="2"/>
  <c r="AP112" i="2" s="1"/>
  <c r="AO112" i="2" s="1"/>
  <c r="AK106" i="2"/>
  <c r="AK98" i="2"/>
  <c r="AK77" i="2"/>
  <c r="AK73" i="2"/>
  <c r="AK69" i="2"/>
  <c r="AK65" i="2"/>
  <c r="AK61" i="2"/>
  <c r="AK57" i="2"/>
  <c r="AK53" i="2"/>
  <c r="AK37" i="2"/>
  <c r="AK33" i="2"/>
  <c r="AK29" i="2"/>
  <c r="AK82" i="2"/>
  <c r="AK14" i="2"/>
  <c r="AK84" i="2"/>
  <c r="AK80" i="2"/>
  <c r="AK76" i="2"/>
  <c r="AK72" i="2"/>
  <c r="AK68" i="2"/>
  <c r="AK64" i="2"/>
  <c r="AK60" i="2"/>
  <c r="AK56" i="2"/>
  <c r="AK52" i="2"/>
  <c r="AK48" i="2"/>
  <c r="AK44" i="2"/>
  <c r="AK40" i="2"/>
  <c r="AK36" i="2"/>
  <c r="AK32" i="2"/>
  <c r="AK28" i="2"/>
  <c r="AK24" i="2"/>
  <c r="AK20" i="2"/>
  <c r="AK16" i="2"/>
  <c r="AK12" i="2"/>
  <c r="AK8" i="2"/>
  <c r="AO4" i="2"/>
  <c r="AP4" i="2"/>
  <c r="AK182" i="2"/>
  <c r="AP182" i="2" s="1"/>
  <c r="AO182" i="2" s="1"/>
  <c r="AX182" i="12" s="1"/>
  <c r="R182" i="18" s="1"/>
  <c r="Q182" i="18" s="1"/>
  <c r="AK174" i="2"/>
  <c r="AP174" i="2" s="1"/>
  <c r="AO174" i="2" s="1"/>
  <c r="AX174" i="12" s="1"/>
  <c r="R174" i="18" s="1"/>
  <c r="Q174" i="18" s="1"/>
  <c r="AK166" i="2"/>
  <c r="AP166" i="2" s="1"/>
  <c r="AO166" i="2" s="1"/>
  <c r="AX166" i="12" s="1"/>
  <c r="R166" i="18" s="1"/>
  <c r="Q166" i="18" s="1"/>
  <c r="AK158" i="2"/>
  <c r="AP158" i="2" s="1"/>
  <c r="AO158" i="2" s="1"/>
  <c r="AK148" i="2"/>
  <c r="AP148" i="2" s="1"/>
  <c r="AO148" i="2" s="1"/>
  <c r="AX148" i="12" s="1"/>
  <c r="R148" i="18" s="1"/>
  <c r="Q148" i="18" s="1"/>
  <c r="AK142" i="2"/>
  <c r="AP142" i="2" s="1"/>
  <c r="AO142" i="2" s="1"/>
  <c r="AX142" i="12" s="1"/>
  <c r="R142" i="18" s="1"/>
  <c r="Q142" i="18" s="1"/>
  <c r="AK134" i="2"/>
  <c r="AK124" i="2"/>
  <c r="AP124" i="2" s="1"/>
  <c r="AO124" i="2" s="1"/>
  <c r="AK110" i="2"/>
  <c r="AP110" i="2" s="1"/>
  <c r="AO110" i="2" s="1"/>
  <c r="AX110" i="12" s="1"/>
  <c r="R110" i="18" s="1"/>
  <c r="Q110" i="18" s="1"/>
  <c r="AK45" i="2"/>
  <c r="AK41" i="2"/>
  <c r="AK25" i="2"/>
  <c r="AK5" i="2"/>
  <c r="K89" i="8"/>
  <c r="M88" i="8"/>
  <c r="K117" i="8"/>
  <c r="M116" i="8"/>
  <c r="K74" i="8"/>
  <c r="M73" i="8"/>
  <c r="V214" i="9"/>
  <c r="T214" i="9" s="1"/>
  <c r="V215" i="20"/>
  <c r="T215" i="20" s="1"/>
  <c r="AH215" i="20" s="1"/>
  <c r="AH357" i="9"/>
  <c r="AF358" i="20"/>
  <c r="AF357" i="9" s="1"/>
  <c r="AF359" i="20"/>
  <c r="AF358" i="9" s="1"/>
  <c r="AH358" i="9"/>
  <c r="B188" i="2"/>
  <c r="B191" i="2"/>
  <c r="B190" i="2"/>
  <c r="B192" i="2"/>
  <c r="B189" i="2"/>
  <c r="B185" i="2"/>
  <c r="B186" i="2"/>
  <c r="B187" i="2"/>
  <c r="A13" i="8"/>
  <c r="C12" i="8"/>
  <c r="O33" i="12"/>
  <c r="P33" i="12" s="1"/>
  <c r="BC6" i="17"/>
  <c r="Y141" i="17"/>
  <c r="Y144" i="17"/>
  <c r="Y140" i="17"/>
  <c r="Y143" i="17"/>
  <c r="Y139" i="17"/>
  <c r="Y142" i="17"/>
  <c r="Y138" i="17"/>
  <c r="BF6" i="17"/>
  <c r="AU49" i="14"/>
  <c r="AT49" i="14" s="1"/>
  <c r="AU12" i="14"/>
  <c r="AT12" i="14" s="1"/>
  <c r="A287" i="9"/>
  <c r="A134" i="9"/>
  <c r="A352" i="9"/>
  <c r="A272" i="9"/>
  <c r="A273" i="20"/>
  <c r="A354" i="20"/>
  <c r="A336" i="20"/>
  <c r="A272" i="20"/>
  <c r="A355" i="20"/>
  <c r="A360" i="20"/>
  <c r="AQ51" i="14"/>
  <c r="A337" i="9"/>
  <c r="A286" i="9"/>
  <c r="A336" i="9"/>
  <c r="A270" i="9"/>
  <c r="A290" i="9"/>
  <c r="A356" i="9"/>
  <c r="A356" i="20"/>
  <c r="A352" i="20"/>
  <c r="A291" i="20"/>
  <c r="A135" i="9"/>
  <c r="A280" i="20"/>
  <c r="A354" i="9"/>
  <c r="A351" i="9"/>
  <c r="A355" i="9"/>
  <c r="A350" i="9"/>
  <c r="A279" i="9"/>
  <c r="A359" i="9"/>
  <c r="A278" i="20"/>
  <c r="A287" i="20"/>
  <c r="A339" i="20"/>
  <c r="A357" i="20"/>
  <c r="A136" i="20"/>
  <c r="K136" i="20" s="1"/>
  <c r="J137" i="14" s="1"/>
  <c r="A337" i="20"/>
  <c r="A290" i="20"/>
  <c r="A288" i="20"/>
  <c r="A135" i="20"/>
  <c r="K135" i="20" s="1"/>
  <c r="J136" i="14" s="1"/>
  <c r="A351" i="20"/>
  <c r="A335" i="9"/>
  <c r="A353" i="9"/>
  <c r="A277" i="9"/>
  <c r="A273" i="9"/>
  <c r="A289" i="9"/>
  <c r="A338" i="9"/>
  <c r="A271" i="9"/>
  <c r="A274" i="20"/>
  <c r="A338" i="20"/>
  <c r="A353" i="20"/>
  <c r="A289" i="20"/>
  <c r="A271" i="20"/>
  <c r="A288" i="9"/>
  <c r="A340" i="9"/>
  <c r="A413" i="20"/>
  <c r="A343" i="20"/>
  <c r="A349" i="20"/>
  <c r="A348" i="20"/>
  <c r="A419" i="20"/>
  <c r="A344" i="20"/>
  <c r="A416" i="20"/>
  <c r="A345" i="20"/>
  <c r="A346" i="20"/>
  <c r="A341" i="20"/>
  <c r="A350" i="20"/>
  <c r="A347" i="20"/>
  <c r="A417" i="20"/>
  <c r="A348" i="9"/>
  <c r="A415" i="20"/>
  <c r="A418" i="20"/>
  <c r="A342" i="20"/>
  <c r="A414" i="20"/>
  <c r="A349" i="9"/>
  <c r="A416" i="9"/>
  <c r="A343" i="9"/>
  <c r="A346" i="9"/>
  <c r="A415" i="9"/>
  <c r="A345" i="9"/>
  <c r="A342" i="9"/>
  <c r="A344" i="9"/>
  <c r="A418" i="9"/>
  <c r="A413" i="9"/>
  <c r="A417" i="9"/>
  <c r="A414" i="9"/>
  <c r="A412" i="9"/>
  <c r="A347" i="9"/>
  <c r="A341" i="9"/>
  <c r="A143" i="9"/>
  <c r="A179" i="9"/>
  <c r="A308" i="9"/>
  <c r="A137" i="9"/>
  <c r="A326" i="9"/>
  <c r="A136" i="9"/>
  <c r="A138" i="9"/>
  <c r="A139" i="9"/>
  <c r="A134" i="20"/>
  <c r="K134" i="20" s="1"/>
  <c r="J135" i="14" s="1"/>
  <c r="A126" i="20"/>
  <c r="K126" i="20" s="1"/>
  <c r="J127" i="14" s="1"/>
  <c r="A138" i="20"/>
  <c r="K138" i="20" s="1"/>
  <c r="J139" i="14" s="1"/>
  <c r="A128" i="20"/>
  <c r="K128" i="20" s="1"/>
  <c r="J129" i="14" s="1"/>
  <c r="A169" i="9"/>
  <c r="A211" i="9"/>
  <c r="A204" i="9"/>
  <c r="A306" i="9"/>
  <c r="A141" i="9"/>
  <c r="A139" i="20"/>
  <c r="K139" i="20" s="1"/>
  <c r="J140" i="14" s="1"/>
  <c r="A129" i="20"/>
  <c r="K129" i="20" s="1"/>
  <c r="J130" i="14" s="1"/>
  <c r="A137" i="20"/>
  <c r="K137" i="20" s="1"/>
  <c r="J138" i="14" s="1"/>
  <c r="A127" i="20"/>
  <c r="K127" i="20" s="1"/>
  <c r="J128" i="14" s="1"/>
  <c r="A184" i="9"/>
  <c r="A157" i="9"/>
  <c r="A181" i="9"/>
  <c r="A140" i="20"/>
  <c r="K140" i="20" s="1"/>
  <c r="J141" i="14" s="1"/>
  <c r="A130" i="20"/>
  <c r="K130" i="20" s="1"/>
  <c r="J131" i="14" s="1"/>
  <c r="A122" i="20"/>
  <c r="K122" i="20" s="1"/>
  <c r="J123" i="14" s="1"/>
  <c r="A142" i="20"/>
  <c r="K142" i="20" s="1"/>
  <c r="J143" i="14" s="1"/>
  <c r="A132" i="20"/>
  <c r="K132" i="20" s="1"/>
  <c r="J133" i="14" s="1"/>
  <c r="A124" i="20"/>
  <c r="K124" i="20" s="1"/>
  <c r="J125" i="14" s="1"/>
  <c r="A321" i="9"/>
  <c r="A303" i="9"/>
  <c r="A325" i="9"/>
  <c r="A140" i="9"/>
  <c r="A262" i="9"/>
  <c r="A144" i="20"/>
  <c r="K144" i="20" s="1"/>
  <c r="J145" i="14" s="1"/>
  <c r="A133" i="20"/>
  <c r="K133" i="20" s="1"/>
  <c r="J134" i="14" s="1"/>
  <c r="A125" i="20"/>
  <c r="K125" i="20" s="1"/>
  <c r="J126" i="14" s="1"/>
  <c r="A141" i="20"/>
  <c r="K141" i="20" s="1"/>
  <c r="J142" i="14" s="1"/>
  <c r="A131" i="20"/>
  <c r="K131" i="20" s="1"/>
  <c r="J132" i="14" s="1"/>
  <c r="A123" i="20"/>
  <c r="K123" i="20" s="1"/>
  <c r="J124" i="14" s="1"/>
  <c r="A370" i="9"/>
  <c r="A402" i="9"/>
  <c r="A149" i="9"/>
  <c r="A151" i="9"/>
  <c r="A233" i="9"/>
  <c r="A249" i="9"/>
  <c r="A258" i="9"/>
  <c r="A375" i="9"/>
  <c r="A164" i="9"/>
  <c r="A371" i="9"/>
  <c r="A174" i="9"/>
  <c r="A329" i="9"/>
  <c r="A334" i="9"/>
  <c r="A197" i="9"/>
  <c r="A210" i="9"/>
  <c r="A144" i="9"/>
  <c r="A228" i="9"/>
  <c r="A278" i="9"/>
  <c r="A327" i="9"/>
  <c r="A339" i="9"/>
  <c r="A237" i="9"/>
  <c r="A274" i="9"/>
  <c r="A241" i="9"/>
  <c r="A253" i="9"/>
  <c r="A265" i="9"/>
  <c r="A146" i="9"/>
  <c r="A159" i="9"/>
  <c r="A180" i="9"/>
  <c r="A328" i="9"/>
  <c r="A191" i="9"/>
  <c r="A202" i="9"/>
  <c r="A294" i="9"/>
  <c r="A398" i="9"/>
  <c r="A385" i="9"/>
  <c r="A322" i="9"/>
  <c r="A298" i="9"/>
  <c r="A153" i="9"/>
  <c r="A163" i="9"/>
  <c r="A170" i="9"/>
  <c r="A388" i="9"/>
  <c r="A242" i="9"/>
  <c r="A260" i="9"/>
  <c r="A324" i="9"/>
  <c r="A332" i="9"/>
  <c r="A212" i="9"/>
  <c r="A220" i="9"/>
  <c r="A243" i="9"/>
  <c r="A215" i="9"/>
  <c r="A221" i="9"/>
  <c r="A259" i="9"/>
  <c r="A315" i="9"/>
  <c r="A396" i="9"/>
  <c r="A372" i="9"/>
  <c r="A374" i="9"/>
  <c r="A162" i="9"/>
  <c r="A208" i="9"/>
  <c r="A150" i="9"/>
  <c r="A158" i="9"/>
  <c r="A183" i="9"/>
  <c r="A380" i="9"/>
  <c r="A319" i="9"/>
  <c r="A269" i="9"/>
  <c r="A293" i="9"/>
  <c r="A147" i="9"/>
  <c r="A393" i="9"/>
  <c r="A376" i="9"/>
  <c r="A381" i="9"/>
  <c r="A305" i="9"/>
  <c r="A160" i="9"/>
  <c r="A317" i="9"/>
  <c r="A254" i="9"/>
  <c r="A266" i="9"/>
  <c r="A285" i="9"/>
  <c r="A145" i="9"/>
  <c r="A156" i="9"/>
  <c r="A199" i="9"/>
  <c r="A387" i="9"/>
  <c r="A226" i="9"/>
  <c r="A231" i="9"/>
  <c r="A283" i="9"/>
  <c r="A360" i="9"/>
  <c r="A297" i="9"/>
  <c r="A367" i="9"/>
  <c r="A300" i="9"/>
  <c r="A304" i="9"/>
  <c r="A312" i="9"/>
  <c r="A316" i="9"/>
  <c r="A175" i="9"/>
  <c r="A333" i="9"/>
  <c r="A188" i="9"/>
  <c r="A403" i="9"/>
  <c r="A205" i="9"/>
  <c r="A366" i="9"/>
  <c r="A410" i="9"/>
  <c r="A216" i="9"/>
  <c r="A222" i="9"/>
  <c r="A248" i="9"/>
  <c r="A195" i="9"/>
  <c r="A201" i="9"/>
  <c r="A364" i="9"/>
  <c r="A392" i="9"/>
  <c r="A252" i="9"/>
  <c r="A227" i="9"/>
  <c r="A235" i="9"/>
  <c r="A247" i="9"/>
  <c r="A275" i="9"/>
  <c r="A284" i="9"/>
  <c r="A186" i="9"/>
  <c r="A391" i="9"/>
  <c r="A378" i="9"/>
  <c r="A302" i="9"/>
  <c r="A318" i="9"/>
  <c r="A296" i="9"/>
  <c r="A299" i="9"/>
  <c r="A389" i="9"/>
  <c r="A399" i="9"/>
  <c r="A309" i="9"/>
  <c r="A189" i="9"/>
  <c r="A362" i="9"/>
  <c r="A407" i="9"/>
  <c r="A384" i="9"/>
  <c r="A307" i="9"/>
  <c r="A219" i="9"/>
  <c r="A257" i="9"/>
  <c r="A192" i="9"/>
  <c r="A177" i="9"/>
  <c r="A190" i="9"/>
  <c r="A187" i="9"/>
  <c r="A209" i="9"/>
  <c r="A230" i="9"/>
  <c r="A238" i="9"/>
  <c r="A268" i="9"/>
  <c r="A295" i="9"/>
  <c r="A394" i="9"/>
  <c r="A165" i="9"/>
  <c r="A171" i="9"/>
  <c r="A373" i="9"/>
  <c r="A377" i="9"/>
  <c r="A167" i="9"/>
  <c r="A323" i="9"/>
  <c r="A255" i="9"/>
  <c r="A161" i="9"/>
  <c r="A408" i="9"/>
  <c r="A411" i="9"/>
  <c r="A314" i="9"/>
  <c r="A168" i="9"/>
  <c r="A331" i="9"/>
  <c r="A203" i="9"/>
  <c r="A363" i="9"/>
  <c r="A176" i="9"/>
  <c r="A217" i="9"/>
  <c r="A229" i="9"/>
  <c r="A234" i="9"/>
  <c r="A280" i="9"/>
  <c r="A224" i="9"/>
  <c r="A250" i="9"/>
  <c r="A263" i="9"/>
  <c r="A281" i="9"/>
  <c r="A397" i="9"/>
  <c r="A404" i="9"/>
  <c r="A409" i="9"/>
  <c r="A401" i="9"/>
  <c r="A313" i="9"/>
  <c r="A178" i="9"/>
  <c r="A200" i="9"/>
  <c r="A213" i="9"/>
  <c r="A148" i="9"/>
  <c r="A301" i="9"/>
  <c r="A166" i="9"/>
  <c r="A182" i="9"/>
  <c r="A395" i="9"/>
  <c r="A400" i="9"/>
  <c r="A310" i="9"/>
  <c r="A320" i="9"/>
  <c r="A207" i="9"/>
  <c r="A361" i="9"/>
  <c r="A405" i="9"/>
  <c r="A382" i="9"/>
  <c r="A251" i="9"/>
  <c r="A264" i="9"/>
  <c r="A282" i="9"/>
  <c r="A185" i="9"/>
  <c r="A198" i="9"/>
  <c r="A292" i="9"/>
  <c r="A223" i="9"/>
  <c r="A267" i="9"/>
  <c r="A256" i="9"/>
  <c r="A172" i="9"/>
  <c r="A154" i="9"/>
  <c r="A155" i="9"/>
  <c r="A206" i="9"/>
  <c r="A369" i="9"/>
  <c r="A406" i="9"/>
  <c r="A383" i="9"/>
  <c r="A330" i="9"/>
  <c r="A236" i="9"/>
  <c r="A261" i="9"/>
  <c r="A368" i="9"/>
  <c r="A196" i="9"/>
  <c r="A390" i="9"/>
  <c r="A152" i="9"/>
  <c r="A194" i="9"/>
  <c r="A225" i="9"/>
  <c r="A239" i="9"/>
  <c r="A245" i="9"/>
  <c r="A276" i="9"/>
  <c r="A173" i="9"/>
  <c r="A386" i="9"/>
  <c r="A291" i="9"/>
  <c r="A379" i="9"/>
  <c r="A365" i="9"/>
  <c r="A240" i="9"/>
  <c r="A246" i="9"/>
  <c r="A218" i="9"/>
  <c r="A244" i="9"/>
  <c r="A193" i="9"/>
  <c r="A311" i="9"/>
  <c r="AE25" i="14"/>
  <c r="AE20" i="14"/>
  <c r="AE11" i="14"/>
  <c r="AE35" i="14"/>
  <c r="AE38" i="14"/>
  <c r="AE16" i="14"/>
  <c r="AE45" i="14"/>
  <c r="AE33" i="14"/>
  <c r="AE28" i="14"/>
  <c r="AE14" i="14"/>
  <c r="AE41" i="14"/>
  <c r="AB369" i="20"/>
  <c r="AB367" i="9"/>
  <c r="AB395" i="20"/>
  <c r="AB393" i="9"/>
  <c r="AB301" i="20"/>
  <c r="AB299" i="9"/>
  <c r="AQ59" i="10"/>
  <c r="AE15" i="14"/>
  <c r="AE18" i="14"/>
  <c r="AE43" i="14"/>
  <c r="AE9" i="14"/>
  <c r="AE39" i="14"/>
  <c r="AE46" i="14"/>
  <c r="AE31" i="14"/>
  <c r="AE21" i="14"/>
  <c r="AE23" i="14"/>
  <c r="AE30" i="14"/>
  <c r="AE5" i="14"/>
  <c r="AE8" i="14"/>
  <c r="AE17" i="14"/>
  <c r="AE47" i="14"/>
  <c r="AE24" i="14"/>
  <c r="AE7" i="14"/>
  <c r="AE27" i="14"/>
  <c r="AE13" i="14"/>
  <c r="AE34" i="14"/>
  <c r="AE6" i="14"/>
  <c r="AE19" i="14"/>
  <c r="AE22" i="14"/>
  <c r="AE42" i="14"/>
  <c r="AE29" i="14"/>
  <c r="AE48" i="14"/>
  <c r="AE26" i="14"/>
  <c r="AE32" i="14"/>
  <c r="AE37" i="14"/>
  <c r="AZ9" i="15"/>
  <c r="AB3" i="2"/>
  <c r="AD3" i="2" s="1"/>
  <c r="A59" i="9"/>
  <c r="A121" i="9"/>
  <c r="A263" i="20"/>
  <c r="A117" i="9"/>
  <c r="A113" i="9"/>
  <c r="A109" i="9"/>
  <c r="A33" i="9"/>
  <c r="A29" i="9"/>
  <c r="A25" i="9"/>
  <c r="A20" i="9"/>
  <c r="A115" i="9"/>
  <c r="A111" i="9"/>
  <c r="A107" i="9"/>
  <c r="A54" i="9"/>
  <c r="A50" i="9"/>
  <c r="A34" i="9"/>
  <c r="A26" i="9"/>
  <c r="A5" i="9"/>
  <c r="A73" i="9"/>
  <c r="A53" i="9"/>
  <c r="A49" i="9"/>
  <c r="A21" i="9"/>
  <c r="A32" i="9"/>
  <c r="A28" i="9"/>
  <c r="A46" i="9"/>
  <c r="A27" i="9"/>
  <c r="A7" i="9"/>
  <c r="A2" i="9"/>
  <c r="A81" i="9"/>
  <c r="A4" i="9"/>
  <c r="A132" i="9"/>
  <c r="A72" i="9"/>
  <c r="A52" i="9"/>
  <c r="A48" i="9"/>
  <c r="A3" i="9"/>
  <c r="A83" i="9"/>
  <c r="A79" i="9"/>
  <c r="A82" i="9"/>
  <c r="A78" i="9"/>
  <c r="A74" i="9"/>
  <c r="A118" i="9"/>
  <c r="A85" i="9"/>
  <c r="A56" i="9"/>
  <c r="A133" i="9"/>
  <c r="A116" i="9"/>
  <c r="A108" i="9"/>
  <c r="A84" i="9"/>
  <c r="A80" i="9"/>
  <c r="A131" i="9"/>
  <c r="A51" i="9"/>
  <c r="A47" i="9"/>
  <c r="A35" i="9"/>
  <c r="A23" i="9"/>
  <c r="A114" i="9"/>
  <c r="A110" i="9"/>
  <c r="A22" i="9"/>
  <c r="A75" i="9"/>
  <c r="A36" i="9"/>
  <c r="A30" i="9"/>
  <c r="A31" i="9"/>
  <c r="A37" i="9"/>
  <c r="A86" i="9"/>
  <c r="A57" i="9"/>
  <c r="A6" i="9"/>
  <c r="A55" i="9"/>
  <c r="A76" i="9"/>
  <c r="A45" i="9"/>
  <c r="A112" i="9"/>
  <c r="A77" i="9"/>
  <c r="A24" i="9"/>
  <c r="A119" i="9"/>
  <c r="A8" i="9"/>
  <c r="A9" i="9"/>
  <c r="A38" i="9"/>
  <c r="A58" i="9"/>
  <c r="A87" i="9"/>
  <c r="A120" i="9"/>
  <c r="A88" i="9"/>
  <c r="A39" i="9"/>
  <c r="A10" i="9"/>
  <c r="AJ94" i="9"/>
  <c r="AJ23" i="9"/>
  <c r="AJ3" i="9"/>
  <c r="AJ95" i="9"/>
  <c r="AJ31" i="9"/>
  <c r="AJ6" i="9"/>
  <c r="AJ8" i="9"/>
  <c r="AJ11" i="9"/>
  <c r="AJ34" i="9"/>
  <c r="AJ100" i="9"/>
  <c r="AJ36" i="9"/>
  <c r="AJ103" i="9"/>
  <c r="AJ14" i="9"/>
  <c r="AJ90" i="9"/>
  <c r="AJ16" i="9"/>
  <c r="AJ105" i="9"/>
  <c r="AJ22" i="9"/>
  <c r="AJ30" i="9"/>
  <c r="AJ29" i="9"/>
  <c r="AJ83" i="9"/>
  <c r="AJ7" i="9"/>
  <c r="AJ115" i="9"/>
  <c r="AJ86" i="9"/>
  <c r="AJ87" i="9"/>
  <c r="AJ89" i="9"/>
  <c r="AJ129" i="9"/>
  <c r="AJ93" i="9"/>
  <c r="AJ70" i="9"/>
  <c r="AJ71" i="9"/>
  <c r="AJ97" i="9"/>
  <c r="AJ73" i="9"/>
  <c r="AJ51" i="9"/>
  <c r="AJ114" i="9"/>
  <c r="AJ79" i="9"/>
  <c r="AJ113" i="9"/>
  <c r="AJ57" i="9"/>
  <c r="AJ116" i="9"/>
  <c r="AJ58" i="9"/>
  <c r="AJ119" i="9"/>
  <c r="AJ52" i="9"/>
  <c r="AJ75" i="9"/>
  <c r="AJ118" i="9"/>
  <c r="AJ124" i="9"/>
  <c r="AJ81" i="9"/>
  <c r="AJ60" i="9"/>
  <c r="AJ61" i="9"/>
  <c r="AJ64" i="9"/>
  <c r="AJ122" i="9"/>
  <c r="AJ102" i="9"/>
  <c r="AJ76" i="9"/>
  <c r="AJ54" i="9"/>
  <c r="AJ104" i="9"/>
  <c r="AJ107" i="9"/>
  <c r="AJ127" i="9"/>
  <c r="AJ132" i="9"/>
  <c r="AJ65" i="9"/>
  <c r="AJ46" i="9"/>
  <c r="AJ47" i="9"/>
  <c r="AJ130" i="9"/>
  <c r="AJ110" i="9"/>
  <c r="AJ78" i="9"/>
  <c r="AJ56" i="9"/>
  <c r="AJ48" i="9"/>
  <c r="AJ67" i="9"/>
  <c r="AJ44" i="9"/>
  <c r="AJ80" i="9"/>
  <c r="AJ59" i="9"/>
  <c r="AJ120" i="9"/>
  <c r="AJ125" i="9"/>
  <c r="AJ69" i="9"/>
  <c r="AJ49" i="9"/>
  <c r="AJ123" i="9"/>
  <c r="AJ128" i="9"/>
  <c r="AJ82" i="9"/>
  <c r="AJ63" i="9"/>
  <c r="AJ45" i="9"/>
  <c r="AJ62" i="9"/>
  <c r="AJ133" i="9"/>
  <c r="AJ50" i="9"/>
  <c r="AJ72" i="9"/>
  <c r="AJ74" i="9"/>
  <c r="AJ131" i="9"/>
  <c r="AJ85" i="9"/>
  <c r="AJ66" i="9"/>
  <c r="AJ117" i="9"/>
  <c r="AJ53" i="9"/>
  <c r="AJ121" i="9"/>
  <c r="AJ88" i="9"/>
  <c r="AJ68" i="9"/>
  <c r="AJ126" i="9"/>
  <c r="AJ55" i="9"/>
  <c r="AJ77" i="9"/>
  <c r="AJ108" i="9"/>
  <c r="BF28" i="17"/>
  <c r="AF102" i="12" s="1"/>
  <c r="AT7" i="14"/>
  <c r="AT9" i="14"/>
  <c r="AT14" i="14"/>
  <c r="AT11" i="14"/>
  <c r="AT6" i="14"/>
  <c r="BF21" i="17"/>
  <c r="AT43" i="14"/>
  <c r="BF24" i="17"/>
  <c r="AT15" i="14"/>
  <c r="BF29" i="17"/>
  <c r="AF106" i="12" s="1"/>
  <c r="AT5" i="14"/>
  <c r="AT8" i="14"/>
  <c r="AT48" i="14"/>
  <c r="AZ10" i="15"/>
  <c r="AZ7" i="15"/>
  <c r="BF5" i="17"/>
  <c r="AF3" i="12" s="1"/>
  <c r="AZ11" i="15"/>
  <c r="BF17" i="17"/>
  <c r="BF9" i="17"/>
  <c r="AT13" i="14"/>
  <c r="BF11" i="17"/>
  <c r="BF10" i="17"/>
  <c r="AF43" i="12" s="1"/>
  <c r="AZ6" i="15"/>
  <c r="BF7" i="17"/>
  <c r="AF24" i="12" s="1"/>
  <c r="AZ5" i="15"/>
  <c r="BF8" i="17"/>
  <c r="A11" i="9"/>
  <c r="A89" i="9"/>
  <c r="A122" i="9"/>
  <c r="A60" i="9"/>
  <c r="A40" i="9"/>
  <c r="AT42" i="14"/>
  <c r="AT39" i="14"/>
  <c r="A194" i="20"/>
  <c r="A160" i="20"/>
  <c r="A334" i="20"/>
  <c r="A63" i="20"/>
  <c r="A210" i="20"/>
  <c r="A269" i="20"/>
  <c r="A218" i="20"/>
  <c r="A202" i="20"/>
  <c r="A324" i="20"/>
  <c r="A382" i="20"/>
  <c r="A283" i="20"/>
  <c r="A329" i="20"/>
  <c r="A94" i="20"/>
  <c r="A80" i="20"/>
  <c r="A76" i="20"/>
  <c r="A22" i="20"/>
  <c r="A373" i="20"/>
  <c r="A308" i="20"/>
  <c r="A72" i="20"/>
  <c r="A52" i="20"/>
  <c r="A372" i="20"/>
  <c r="A370" i="20"/>
  <c r="A106" i="20"/>
  <c r="A332" i="20"/>
  <c r="A186" i="20"/>
  <c r="A39" i="20"/>
  <c r="A30" i="20"/>
  <c r="A16" i="20"/>
  <c r="A397" i="20"/>
  <c r="A55" i="20"/>
  <c r="A398" i="20"/>
  <c r="A369" i="20"/>
  <c r="A75" i="20"/>
  <c r="A333" i="20"/>
  <c r="A331" i="20"/>
  <c r="A33" i="20"/>
  <c r="A297" i="20"/>
  <c r="A396" i="20"/>
  <c r="A110" i="20"/>
  <c r="A266" i="20"/>
  <c r="AQ50" i="14"/>
  <c r="A200" i="20"/>
  <c r="A108" i="20"/>
  <c r="A79" i="20"/>
  <c r="A187" i="20"/>
  <c r="A119" i="20"/>
  <c r="A162" i="20"/>
  <c r="A49" i="20"/>
  <c r="A21" i="20"/>
  <c r="A190" i="20"/>
  <c r="A73" i="20"/>
  <c r="A253" i="20"/>
  <c r="A81" i="20"/>
  <c r="A112" i="20"/>
  <c r="A92" i="20"/>
  <c r="A118" i="20"/>
  <c r="A117" i="20"/>
  <c r="A96" i="20"/>
  <c r="A234" i="20"/>
  <c r="A371" i="20"/>
  <c r="A247" i="20"/>
  <c r="A188" i="20"/>
  <c r="A6" i="20"/>
  <c r="A399" i="20"/>
  <c r="A3" i="20"/>
  <c r="A32" i="20"/>
  <c r="A191" i="20"/>
  <c r="A60" i="20"/>
  <c r="A198" i="20"/>
  <c r="A61" i="20"/>
  <c r="A276" i="20"/>
  <c r="A91" i="20"/>
  <c r="A100" i="20"/>
  <c r="A121" i="20"/>
  <c r="A120" i="20"/>
  <c r="A29" i="20"/>
  <c r="A189" i="20"/>
  <c r="A86" i="20"/>
  <c r="A97" i="20"/>
  <c r="A11" i="20"/>
  <c r="A211" i="20"/>
  <c r="A216" i="20"/>
  <c r="A199" i="20"/>
  <c r="A98" i="20"/>
  <c r="A275" i="20"/>
  <c r="A111" i="20"/>
  <c r="A114" i="20"/>
  <c r="A51" i="20"/>
  <c r="A36" i="20"/>
  <c r="A66" i="20"/>
  <c r="A105" i="20"/>
  <c r="A107" i="20"/>
  <c r="A7" i="20"/>
  <c r="A45" i="20"/>
  <c r="A156" i="20"/>
  <c r="A248" i="20"/>
  <c r="A59" i="20"/>
  <c r="A267" i="20"/>
  <c r="A90" i="20"/>
  <c r="A113" i="20"/>
  <c r="A115" i="20"/>
  <c r="A208" i="20"/>
  <c r="A37" i="20"/>
  <c r="A99" i="20"/>
  <c r="A53" i="20"/>
  <c r="A400" i="20"/>
  <c r="A212" i="20"/>
  <c r="A254" i="20"/>
  <c r="A217" i="20"/>
  <c r="A185" i="20"/>
  <c r="A8" i="20"/>
  <c r="A145" i="20"/>
  <c r="A152" i="20"/>
  <c r="A277" i="20"/>
  <c r="A174" i="20"/>
  <c r="A232" i="20"/>
  <c r="A87" i="20"/>
  <c r="A235" i="20"/>
  <c r="A158" i="20"/>
  <c r="A249" i="20"/>
  <c r="A116" i="20"/>
  <c r="A192" i="20"/>
  <c r="A310" i="20"/>
  <c r="A201" i="20"/>
  <c r="A17" i="20"/>
  <c r="A109" i="20"/>
  <c r="A12" i="20"/>
  <c r="A281" i="20"/>
  <c r="A302" i="20"/>
  <c r="A236" i="20"/>
  <c r="A38" i="20"/>
  <c r="A74" i="20"/>
  <c r="A147" i="20"/>
  <c r="A159" i="20"/>
  <c r="A311" i="20"/>
  <c r="A381" i="20"/>
  <c r="A93" i="20"/>
  <c r="A193" i="20"/>
  <c r="A268" i="20"/>
  <c r="A293" i="20"/>
  <c r="A328" i="20"/>
  <c r="A323" i="20"/>
  <c r="A62" i="20"/>
  <c r="A175" i="20"/>
  <c r="A250" i="20"/>
  <c r="A18" i="20"/>
  <c r="A67" i="20"/>
  <c r="A153" i="20"/>
  <c r="A9" i="20"/>
  <c r="A401" i="20"/>
  <c r="A56" i="20"/>
  <c r="A255" i="20"/>
  <c r="A282" i="20"/>
  <c r="A209" i="20"/>
  <c r="A163" i="20"/>
  <c r="A256" i="20"/>
  <c r="A19" i="20"/>
  <c r="A325" i="20"/>
  <c r="A361" i="20"/>
  <c r="A10" i="20"/>
  <c r="A148" i="20"/>
  <c r="BF20" i="17"/>
  <c r="AF78" i="12" s="1"/>
  <c r="AZ15" i="15"/>
  <c r="BF16" i="17"/>
  <c r="AF58" i="12" s="1"/>
  <c r="Q37" i="17"/>
  <c r="Q78" i="17"/>
  <c r="BF19" i="17"/>
  <c r="BF26" i="17"/>
  <c r="AF100" i="12" s="1"/>
  <c r="AZ13" i="15"/>
  <c r="BF14" i="17"/>
  <c r="BF22" i="17"/>
  <c r="AF80" i="12" s="1"/>
  <c r="Q57" i="17"/>
  <c r="A29" i="17"/>
  <c r="Q29" i="17" s="1"/>
  <c r="Q87" i="17"/>
  <c r="BF13" i="17"/>
  <c r="AF55" i="12" s="1"/>
  <c r="BF18" i="17"/>
  <c r="AF68" i="12" s="1"/>
  <c r="AZ14" i="15"/>
  <c r="AZ12" i="15"/>
  <c r="AE87" i="12" s="1"/>
  <c r="AD87" i="12" s="1"/>
  <c r="BF31" i="17"/>
  <c r="AF121" i="12" s="1"/>
  <c r="BF30" i="17"/>
  <c r="AF116" i="12" s="1"/>
  <c r="Q143" i="17"/>
  <c r="A8" i="17"/>
  <c r="Q8" i="17" s="1"/>
  <c r="Q121" i="17"/>
  <c r="BF15" i="17"/>
  <c r="AF57" i="12" s="1"/>
  <c r="A28" i="17"/>
  <c r="Q28" i="17" s="1"/>
  <c r="BF23" i="17"/>
  <c r="AF82" i="12" s="1"/>
  <c r="AZ16" i="15"/>
  <c r="BF25" i="17"/>
  <c r="AF91" i="12" s="1"/>
  <c r="BF12" i="17"/>
  <c r="AF54" i="12" s="1"/>
  <c r="AT35" i="14"/>
  <c r="AT41" i="14"/>
  <c r="AT46" i="14"/>
  <c r="AT45" i="14"/>
  <c r="AT40" i="14"/>
  <c r="A312" i="20"/>
  <c r="W312" i="20"/>
  <c r="W54" i="20"/>
  <c r="A54" i="20"/>
  <c r="A330" i="20"/>
  <c r="W330" i="20"/>
  <c r="W335" i="20"/>
  <c r="A335" i="20"/>
  <c r="W203" i="20"/>
  <c r="A203" i="20"/>
  <c r="W340" i="20"/>
  <c r="A340" i="20"/>
  <c r="W237" i="20"/>
  <c r="A237" i="20"/>
  <c r="W20" i="20"/>
  <c r="A20" i="20"/>
  <c r="A326" i="20"/>
  <c r="W326" i="20"/>
  <c r="W88" i="20"/>
  <c r="A88" i="20"/>
  <c r="W251" i="20"/>
  <c r="A251" i="20"/>
  <c r="W219" i="20"/>
  <c r="A219" i="20"/>
  <c r="W4" i="20"/>
  <c r="AC4" i="20" s="1"/>
  <c r="A4" i="20"/>
  <c r="A101" i="20"/>
  <c r="W101" i="20"/>
  <c r="W296" i="20"/>
  <c r="AC296" i="20" s="1"/>
  <c r="AC295" i="9" s="1"/>
  <c r="A296" i="20"/>
  <c r="W161" i="20"/>
  <c r="A161" i="20"/>
  <c r="A82" i="20"/>
  <c r="W82" i="20"/>
  <c r="W23" i="20"/>
  <c r="A23" i="20"/>
  <c r="A64" i="20"/>
  <c r="W64" i="20"/>
  <c r="W303" i="20"/>
  <c r="A303" i="20"/>
  <c r="W402" i="20"/>
  <c r="A402" i="20"/>
  <c r="W309" i="20"/>
  <c r="A309" i="20"/>
  <c r="W95" i="20"/>
  <c r="A95" i="20"/>
  <c r="O187" i="12"/>
  <c r="P187" i="12" s="1"/>
  <c r="O164" i="12"/>
  <c r="O79" i="12"/>
  <c r="T79" i="12" s="1"/>
  <c r="F79" i="18" s="1"/>
  <c r="O111" i="12"/>
  <c r="O72" i="12"/>
  <c r="T72" i="12" s="1"/>
  <c r="F72" i="18" s="1"/>
  <c r="O96" i="12"/>
  <c r="O109" i="12"/>
  <c r="O122" i="12"/>
  <c r="O116" i="12"/>
  <c r="O64" i="12"/>
  <c r="T64" i="12" s="1"/>
  <c r="F64" i="18" s="1"/>
  <c r="O119" i="12"/>
  <c r="O57" i="12"/>
  <c r="T57" i="12" s="1"/>
  <c r="F57" i="18" s="1"/>
  <c r="O128" i="12"/>
  <c r="O48" i="12"/>
  <c r="O154" i="12"/>
  <c r="O91" i="12"/>
  <c r="O189" i="12"/>
  <c r="P189" i="12" s="1"/>
  <c r="O25" i="12"/>
  <c r="AP25" i="12"/>
  <c r="O178" i="12"/>
  <c r="O37" i="12"/>
  <c r="O55" i="12"/>
  <c r="T55" i="12" s="1"/>
  <c r="F55" i="18" s="1"/>
  <c r="O110" i="12"/>
  <c r="O151" i="12"/>
  <c r="O10" i="12"/>
  <c r="AP10" i="12"/>
  <c r="O117" i="12"/>
  <c r="O51" i="12"/>
  <c r="O137" i="12"/>
  <c r="O160" i="12"/>
  <c r="O56" i="12"/>
  <c r="O20" i="12"/>
  <c r="AP20" i="12"/>
  <c r="O121" i="12"/>
  <c r="O45" i="12"/>
  <c r="O75" i="12"/>
  <c r="T75" i="12" s="1"/>
  <c r="F75" i="18" s="1"/>
  <c r="O146" i="12"/>
  <c r="O30" i="12"/>
  <c r="O39" i="12"/>
  <c r="O184" i="12"/>
  <c r="O106" i="12"/>
  <c r="O130" i="12"/>
  <c r="O53" i="12"/>
  <c r="T53" i="12" s="1"/>
  <c r="F53" i="18" s="1"/>
  <c r="O156" i="12"/>
  <c r="O108" i="12"/>
  <c r="O7" i="12"/>
  <c r="AP7" i="12"/>
  <c r="O114" i="12"/>
  <c r="O155" i="12"/>
  <c r="O26" i="12"/>
  <c r="AP26" i="12"/>
  <c r="O97" i="12"/>
  <c r="O170" i="12"/>
  <c r="O157" i="12"/>
  <c r="O60" i="12"/>
  <c r="T60" i="12" s="1"/>
  <c r="F60" i="18" s="1"/>
  <c r="O73" i="12"/>
  <c r="T73" i="12" s="1"/>
  <c r="F73" i="18" s="1"/>
  <c r="O41" i="12"/>
  <c r="O61" i="12"/>
  <c r="T61" i="12" s="1"/>
  <c r="F61" i="18" s="1"/>
  <c r="O13" i="12"/>
  <c r="AP13" i="12"/>
  <c r="O148" i="12"/>
  <c r="O172" i="12"/>
  <c r="O127" i="12"/>
  <c r="O140" i="12"/>
  <c r="O65" i="12"/>
  <c r="O78" i="12"/>
  <c r="O58" i="12"/>
  <c r="O177" i="12"/>
  <c r="O9" i="12"/>
  <c r="AP9" i="12"/>
  <c r="O181" i="12"/>
  <c r="O118" i="12"/>
  <c r="O42" i="12"/>
  <c r="O14" i="12"/>
  <c r="AP14" i="12"/>
  <c r="O69" i="12"/>
  <c r="O11" i="12"/>
  <c r="AP11" i="12"/>
  <c r="P145" i="12"/>
  <c r="O132" i="12"/>
  <c r="P67" i="12"/>
  <c r="O76" i="12"/>
  <c r="T76" i="12" s="1"/>
  <c r="F76" i="18" s="1"/>
  <c r="P143" i="12"/>
  <c r="O165" i="12"/>
  <c r="P159" i="12"/>
  <c r="O162" i="12"/>
  <c r="O147" i="12"/>
  <c r="O68" i="12"/>
  <c r="T68" i="12" s="1"/>
  <c r="F68" i="18" s="1"/>
  <c r="O124" i="12"/>
  <c r="O15" i="12"/>
  <c r="AP15" i="12"/>
  <c r="O126" i="12"/>
  <c r="O46" i="12"/>
  <c r="O113" i="12"/>
  <c r="P43" i="12"/>
  <c r="AQ43" i="12"/>
  <c r="O133" i="12"/>
  <c r="O135" i="12"/>
  <c r="O174" i="12"/>
  <c r="O16" i="12"/>
  <c r="AP16" i="12"/>
  <c r="O152" i="12"/>
  <c r="O77" i="12"/>
  <c r="O49" i="12"/>
  <c r="O84" i="12"/>
  <c r="O35" i="12"/>
  <c r="O183" i="12"/>
  <c r="P112" i="12"/>
  <c r="T112" i="12" s="1"/>
  <c r="F112" i="18" s="1"/>
  <c r="O83" i="12"/>
  <c r="T83" i="12" s="1"/>
  <c r="F83" i="18" s="1"/>
  <c r="O87" i="12"/>
  <c r="O85" i="12"/>
  <c r="T85" i="12" s="1"/>
  <c r="F85" i="18" s="1"/>
  <c r="O94" i="12"/>
  <c r="O171" i="12"/>
  <c r="O180" i="12"/>
  <c r="O4" i="12"/>
  <c r="AP4" i="12"/>
  <c r="O28" i="12"/>
  <c r="O86" i="12"/>
  <c r="T86" i="12" s="1"/>
  <c r="F86" i="18" s="1"/>
  <c r="O95" i="12"/>
  <c r="O104" i="12"/>
  <c r="O191" i="12"/>
  <c r="P191" i="12" s="1"/>
  <c r="O107" i="12"/>
  <c r="O144" i="12"/>
  <c r="O5" i="12"/>
  <c r="AP5" i="12"/>
  <c r="O92" i="12"/>
  <c r="O23" i="12"/>
  <c r="AP23" i="12"/>
  <c r="O70" i="12"/>
  <c r="T70" i="12" s="1"/>
  <c r="F70" i="18" s="1"/>
  <c r="O50" i="12"/>
  <c r="O22" i="12"/>
  <c r="AP22" i="12"/>
  <c r="O93" i="12"/>
  <c r="O27" i="12"/>
  <c r="O153" i="12"/>
  <c r="O173" i="12"/>
  <c r="O40" i="12"/>
  <c r="O8" i="12"/>
  <c r="AP8" i="12"/>
  <c r="O36" i="12"/>
  <c r="O175" i="12"/>
  <c r="O80" i="12"/>
  <c r="O123" i="12"/>
  <c r="O71" i="12"/>
  <c r="O34" i="12"/>
  <c r="O38" i="12"/>
  <c r="O138" i="12"/>
  <c r="O169" i="12"/>
  <c r="O163" i="12"/>
  <c r="O88" i="12"/>
  <c r="O82" i="12"/>
  <c r="O100" i="12"/>
  <c r="O166" i="12"/>
  <c r="O74" i="12"/>
  <c r="T74" i="12" s="1"/>
  <c r="F74" i="18" s="1"/>
  <c r="O66" i="12"/>
  <c r="T66" i="12" s="1"/>
  <c r="F66" i="18" s="1"/>
  <c r="O125" i="12"/>
  <c r="O59" i="12"/>
  <c r="T59" i="12" s="1"/>
  <c r="F59" i="18" s="1"/>
  <c r="O141" i="12"/>
  <c r="O44" i="12"/>
  <c r="O24" i="12"/>
  <c r="AP24" i="12"/>
  <c r="O105" i="12"/>
  <c r="O150" i="12"/>
  <c r="O31" i="12"/>
  <c r="O158" i="12"/>
  <c r="O29" i="12"/>
  <c r="O63" i="12"/>
  <c r="T63" i="12" s="1"/>
  <c r="F63" i="18" s="1"/>
  <c r="O115" i="12"/>
  <c r="O142" i="12"/>
  <c r="O179" i="12"/>
  <c r="O54" i="12"/>
  <c r="T54" i="12" s="1"/>
  <c r="F54" i="18" s="1"/>
  <c r="P139" i="12"/>
  <c r="O17" i="12"/>
  <c r="AP17" i="12"/>
  <c r="O90" i="12"/>
  <c r="O120" i="12"/>
  <c r="O182" i="12"/>
  <c r="O167" i="12"/>
  <c r="O6" i="12"/>
  <c r="AP6" i="12"/>
  <c r="O161" i="12"/>
  <c r="O101" i="12"/>
  <c r="O129" i="12"/>
  <c r="O131" i="12"/>
  <c r="O103" i="12"/>
  <c r="O99" i="12"/>
  <c r="O168" i="12"/>
  <c r="O134" i="12"/>
  <c r="O81" i="12"/>
  <c r="T81" i="12" s="1"/>
  <c r="F81" i="18" s="1"/>
  <c r="O62" i="12"/>
  <c r="T62" i="12" s="1"/>
  <c r="F62" i="18" s="1"/>
  <c r="O21" i="12"/>
  <c r="AP21" i="12"/>
  <c r="O98" i="12"/>
  <c r="P47" i="12"/>
  <c r="AQ47" i="12"/>
  <c r="O102" i="12"/>
  <c r="O176" i="12"/>
  <c r="O18" i="12"/>
  <c r="AP18" i="12"/>
  <c r="O89" i="12"/>
  <c r="O19" i="12"/>
  <c r="AP19" i="12"/>
  <c r="O149" i="12"/>
  <c r="O136" i="12"/>
  <c r="O52" i="12"/>
  <c r="O32" i="12"/>
  <c r="G116" i="12"/>
  <c r="G112" i="12"/>
  <c r="AX112" i="12"/>
  <c r="R112" i="18" s="1"/>
  <c r="Q112" i="18" s="1"/>
  <c r="G108" i="12"/>
  <c r="G149" i="12"/>
  <c r="G133" i="12"/>
  <c r="G119" i="12"/>
  <c r="AX119" i="12"/>
  <c r="R119" i="18" s="1"/>
  <c r="Q119" i="18" s="1"/>
  <c r="G100" i="12"/>
  <c r="G184" i="12"/>
  <c r="G182" i="12"/>
  <c r="G180" i="12"/>
  <c r="G178" i="12"/>
  <c r="G176" i="12"/>
  <c r="G174" i="12"/>
  <c r="G172" i="12"/>
  <c r="G170" i="12"/>
  <c r="G168" i="12"/>
  <c r="G166" i="12"/>
  <c r="G164" i="12"/>
  <c r="G162" i="12"/>
  <c r="G160" i="12"/>
  <c r="G158" i="12"/>
  <c r="G156" i="12"/>
  <c r="G154" i="12"/>
  <c r="G152" i="12"/>
  <c r="G150" i="12"/>
  <c r="G148" i="12"/>
  <c r="G146" i="12"/>
  <c r="G144" i="12"/>
  <c r="G142" i="12"/>
  <c r="G140" i="12"/>
  <c r="G138" i="12"/>
  <c r="G136" i="12"/>
  <c r="G134" i="12"/>
  <c r="G132" i="12"/>
  <c r="G130" i="12"/>
  <c r="G128" i="12"/>
  <c r="G126" i="12"/>
  <c r="G124" i="12"/>
  <c r="G122" i="12"/>
  <c r="G120" i="12"/>
  <c r="G118" i="12"/>
  <c r="G114" i="12"/>
  <c r="G110" i="12"/>
  <c r="G106" i="12"/>
  <c r="G104" i="12"/>
  <c r="G102" i="12"/>
  <c r="G98" i="12"/>
  <c r="G96" i="12"/>
  <c r="G94" i="12"/>
  <c r="G92" i="12"/>
  <c r="G90" i="12"/>
  <c r="G88" i="12"/>
  <c r="G85" i="12"/>
  <c r="G81" i="12"/>
  <c r="G77" i="12"/>
  <c r="G73" i="12"/>
  <c r="G69" i="12"/>
  <c r="G65" i="12"/>
  <c r="G61" i="12"/>
  <c r="G57" i="12"/>
  <c r="G53" i="12"/>
  <c r="G49" i="12"/>
  <c r="G45" i="12"/>
  <c r="G41" i="12"/>
  <c r="G37" i="12"/>
  <c r="G33" i="12"/>
  <c r="G29" i="12"/>
  <c r="G25" i="12"/>
  <c r="G21" i="12"/>
  <c r="G17" i="12"/>
  <c r="G13" i="12"/>
  <c r="G9" i="12"/>
  <c r="G5" i="12"/>
  <c r="AX186" i="12"/>
  <c r="R186" i="18" s="1"/>
  <c r="Q186" i="18" s="1"/>
  <c r="AX188" i="12"/>
  <c r="R188" i="18" s="1"/>
  <c r="Q188" i="18" s="1"/>
  <c r="AX189" i="12"/>
  <c r="R189" i="18" s="1"/>
  <c r="Q189" i="18" s="1"/>
  <c r="AX190" i="12"/>
  <c r="R190" i="18" s="1"/>
  <c r="Q190" i="18" s="1"/>
  <c r="AX192" i="12"/>
  <c r="R192" i="18" s="1"/>
  <c r="Q192" i="18" s="1"/>
  <c r="AX185" i="12"/>
  <c r="R185" i="18" s="1"/>
  <c r="Q185" i="18" s="1"/>
  <c r="AX191" i="12"/>
  <c r="R191" i="18" s="1"/>
  <c r="Q191" i="18" s="1"/>
  <c r="AX187" i="12"/>
  <c r="R187" i="18" s="1"/>
  <c r="Q187" i="18" s="1"/>
  <c r="AX144" i="12"/>
  <c r="R144" i="18" s="1"/>
  <c r="Q144" i="18" s="1"/>
  <c r="AX184" i="12"/>
  <c r="R184" i="18" s="1"/>
  <c r="Q184" i="18" s="1"/>
  <c r="AX140" i="12"/>
  <c r="R140" i="18" s="1"/>
  <c r="Q140" i="18" s="1"/>
  <c r="AX86" i="12"/>
  <c r="R86" i="18" s="1"/>
  <c r="Q86" i="18" s="1"/>
  <c r="G82" i="12"/>
  <c r="G78" i="12"/>
  <c r="G74" i="12"/>
  <c r="G70" i="12"/>
  <c r="G66" i="12"/>
  <c r="G62" i="12"/>
  <c r="G58" i="12"/>
  <c r="G54" i="12"/>
  <c r="G50" i="12"/>
  <c r="G46" i="12"/>
  <c r="G42" i="12"/>
  <c r="G38" i="12"/>
  <c r="G34" i="12"/>
  <c r="G30" i="12"/>
  <c r="G26" i="12"/>
  <c r="G22" i="12"/>
  <c r="G18" i="12"/>
  <c r="G14" i="12"/>
  <c r="G10" i="12"/>
  <c r="G6" i="12"/>
  <c r="G183" i="12"/>
  <c r="G181" i="12"/>
  <c r="AX181" i="12"/>
  <c r="R181" i="18" s="1"/>
  <c r="Q181" i="18" s="1"/>
  <c r="G179" i="12"/>
  <c r="G177" i="12"/>
  <c r="G175" i="12"/>
  <c r="AX175" i="12"/>
  <c r="R175" i="18" s="1"/>
  <c r="Q175" i="18" s="1"/>
  <c r="G173" i="12"/>
  <c r="G171" i="12"/>
  <c r="G169" i="12"/>
  <c r="G167" i="12"/>
  <c r="G165" i="12"/>
  <c r="G163" i="12"/>
  <c r="G161" i="12"/>
  <c r="G159" i="12"/>
  <c r="AX159" i="12"/>
  <c r="R159" i="18" s="1"/>
  <c r="Q159" i="18" s="1"/>
  <c r="G157" i="12"/>
  <c r="G155" i="12"/>
  <c r="G153" i="12"/>
  <c r="G151" i="12"/>
  <c r="G147" i="12"/>
  <c r="G145" i="12"/>
  <c r="G143" i="12"/>
  <c r="G141" i="12"/>
  <c r="G139" i="12"/>
  <c r="G137" i="12"/>
  <c r="G135" i="12"/>
  <c r="AX135" i="12"/>
  <c r="R135" i="18" s="1"/>
  <c r="Q135" i="18" s="1"/>
  <c r="G131" i="12"/>
  <c r="G129" i="12"/>
  <c r="G127" i="12"/>
  <c r="AX127" i="12"/>
  <c r="R127" i="18" s="1"/>
  <c r="Q127" i="18" s="1"/>
  <c r="G125" i="12"/>
  <c r="G123" i="12"/>
  <c r="G121" i="12"/>
  <c r="G117" i="12"/>
  <c r="G115" i="12"/>
  <c r="G113" i="12"/>
  <c r="G111" i="12"/>
  <c r="G109" i="12"/>
  <c r="G107" i="12"/>
  <c r="G105" i="12"/>
  <c r="G103" i="12"/>
  <c r="G101" i="12"/>
  <c r="G99" i="12"/>
  <c r="G97" i="12"/>
  <c r="G95" i="12"/>
  <c r="G93" i="12"/>
  <c r="G91" i="12"/>
  <c r="G89" i="12"/>
  <c r="G87" i="12"/>
  <c r="G83" i="12"/>
  <c r="G79" i="12"/>
  <c r="G75" i="12"/>
  <c r="G71" i="12"/>
  <c r="G67" i="12"/>
  <c r="G63" i="12"/>
  <c r="G59" i="12"/>
  <c r="G55" i="12"/>
  <c r="G51" i="12"/>
  <c r="G47" i="12"/>
  <c r="G43" i="12"/>
  <c r="G39" i="12"/>
  <c r="G35" i="12"/>
  <c r="G31" i="12"/>
  <c r="G27" i="12"/>
  <c r="G23" i="12"/>
  <c r="G19" i="12"/>
  <c r="G15" i="12"/>
  <c r="G11" i="12"/>
  <c r="G7" i="12"/>
  <c r="G84" i="12"/>
  <c r="G80" i="12"/>
  <c r="G76" i="12"/>
  <c r="G72" i="12"/>
  <c r="G68" i="12"/>
  <c r="G64" i="12"/>
  <c r="G60" i="12"/>
  <c r="G56" i="12"/>
  <c r="G52" i="12"/>
  <c r="G48" i="12"/>
  <c r="G44" i="12"/>
  <c r="G40" i="12"/>
  <c r="G36" i="12"/>
  <c r="G32" i="12"/>
  <c r="G28" i="12"/>
  <c r="G24" i="12"/>
  <c r="G20" i="12"/>
  <c r="G16" i="12"/>
  <c r="G12" i="12"/>
  <c r="G8" i="12"/>
  <c r="G4" i="12"/>
  <c r="H3" i="12"/>
  <c r="AB185" i="12"/>
  <c r="N185" i="18" s="1"/>
  <c r="G185" i="28" s="1"/>
  <c r="H185" i="28" s="1"/>
  <c r="AQ8" i="14"/>
  <c r="AQ12" i="14"/>
  <c r="AQ16" i="14"/>
  <c r="AQ20" i="14"/>
  <c r="AQ24" i="14"/>
  <c r="AQ28" i="14"/>
  <c r="AQ32" i="14"/>
  <c r="AQ36" i="14"/>
  <c r="AQ40" i="14"/>
  <c r="AQ44" i="14"/>
  <c r="AQ48" i="14"/>
  <c r="AQ9" i="14"/>
  <c r="AQ13" i="14"/>
  <c r="AQ17" i="14"/>
  <c r="AQ21" i="14"/>
  <c r="AQ25" i="14"/>
  <c r="AQ29" i="14"/>
  <c r="AQ33" i="14"/>
  <c r="AQ37" i="14"/>
  <c r="AQ41" i="14"/>
  <c r="AQ45" i="14"/>
  <c r="AQ49" i="14"/>
  <c r="AQ6" i="14"/>
  <c r="AQ10" i="14"/>
  <c r="AQ14" i="14"/>
  <c r="AQ18" i="14"/>
  <c r="AQ22" i="14"/>
  <c r="AQ26" i="14"/>
  <c r="AQ30" i="14"/>
  <c r="AQ34" i="14"/>
  <c r="AQ38" i="14"/>
  <c r="AQ42" i="14"/>
  <c r="AQ46" i="14"/>
  <c r="AQ7" i="14"/>
  <c r="AQ11" i="14"/>
  <c r="AQ15" i="14"/>
  <c r="AQ19" i="14"/>
  <c r="AQ23" i="14"/>
  <c r="AQ27" i="14"/>
  <c r="AQ31" i="14"/>
  <c r="AQ35" i="14"/>
  <c r="AQ39" i="14"/>
  <c r="AQ43" i="14"/>
  <c r="AQ47" i="14"/>
  <c r="Y123" i="17"/>
  <c r="Y130" i="17"/>
  <c r="Y137" i="17"/>
  <c r="Y121" i="17"/>
  <c r="Y136" i="17"/>
  <c r="BC33" i="17"/>
  <c r="AH192" i="12"/>
  <c r="H192" i="18" s="1"/>
  <c r="Y135" i="17"/>
  <c r="BC32" i="17"/>
  <c r="Y126" i="17"/>
  <c r="Y133" i="17"/>
  <c r="BC30" i="17"/>
  <c r="Y132" i="17"/>
  <c r="Y131" i="17"/>
  <c r="Y122" i="17"/>
  <c r="Y129" i="17"/>
  <c r="Y128" i="17"/>
  <c r="Y127" i="17"/>
  <c r="Y134" i="17"/>
  <c r="BC31" i="17"/>
  <c r="Y125" i="17"/>
  <c r="Y124" i="17"/>
  <c r="AH187" i="12"/>
  <c r="H187" i="18" s="1"/>
  <c r="AH190" i="12"/>
  <c r="H190" i="18" s="1"/>
  <c r="AH191" i="12"/>
  <c r="H191" i="18" s="1"/>
  <c r="AH186" i="12"/>
  <c r="H186" i="18" s="1"/>
  <c r="AH188" i="12"/>
  <c r="H188" i="18" s="1"/>
  <c r="AH189" i="12"/>
  <c r="H189" i="18" s="1"/>
  <c r="AH185" i="12"/>
  <c r="H185" i="18" s="1"/>
  <c r="AH44" i="12"/>
  <c r="H44" i="18" s="1"/>
  <c r="AH124" i="12"/>
  <c r="H124" i="18" s="1"/>
  <c r="AH126" i="12"/>
  <c r="H126" i="18" s="1"/>
  <c r="AH119" i="12"/>
  <c r="H119" i="18" s="1"/>
  <c r="AH21" i="12"/>
  <c r="H21" i="18" s="1"/>
  <c r="AH120" i="12"/>
  <c r="H120" i="18" s="1"/>
  <c r="AH22" i="12"/>
  <c r="H22" i="18" s="1"/>
  <c r="AH113" i="12"/>
  <c r="H113" i="18" s="1"/>
  <c r="AH59" i="12"/>
  <c r="H59" i="18" s="1"/>
  <c r="AH184" i="12"/>
  <c r="H184" i="18" s="1"/>
  <c r="AH182" i="12"/>
  <c r="H182" i="18" s="1"/>
  <c r="AH157" i="12"/>
  <c r="H157" i="18" s="1"/>
  <c r="AH36" i="12"/>
  <c r="H36" i="18" s="1"/>
  <c r="AH146" i="12"/>
  <c r="H146" i="18" s="1"/>
  <c r="AH68" i="12"/>
  <c r="H68" i="18" s="1"/>
  <c r="AH3" i="12"/>
  <c r="H3" i="18" s="1"/>
  <c r="AH163" i="12"/>
  <c r="H163" i="18" s="1"/>
  <c r="AH95" i="12"/>
  <c r="H95" i="18" s="1"/>
  <c r="AH143" i="12"/>
  <c r="H143" i="18" s="1"/>
  <c r="AH58" i="12"/>
  <c r="H58" i="18" s="1"/>
  <c r="AH128" i="12"/>
  <c r="H128" i="18" s="1"/>
  <c r="AH93" i="12"/>
  <c r="H93" i="18" s="1"/>
  <c r="AH35" i="12"/>
  <c r="H35" i="18" s="1"/>
  <c r="AH28" i="12"/>
  <c r="H28" i="18" s="1"/>
  <c r="AH108" i="12"/>
  <c r="H108" i="18" s="1"/>
  <c r="AH102" i="12"/>
  <c r="H102" i="18" s="1"/>
  <c r="AH171" i="12"/>
  <c r="H171" i="18" s="1"/>
  <c r="AH99" i="12"/>
  <c r="H99" i="18" s="1"/>
  <c r="AH147" i="12"/>
  <c r="H147" i="18" s="1"/>
  <c r="AH62" i="12"/>
  <c r="H62" i="18" s="1"/>
  <c r="AH136" i="12"/>
  <c r="H136" i="18" s="1"/>
  <c r="AH97" i="12"/>
  <c r="H97" i="18" s="1"/>
  <c r="AH39" i="12"/>
  <c r="H39" i="18" s="1"/>
  <c r="AH129" i="12"/>
  <c r="H129" i="18" s="1"/>
  <c r="AH40" i="12"/>
  <c r="H40" i="18" s="1"/>
  <c r="AH167" i="12"/>
  <c r="H167" i="18" s="1"/>
  <c r="AH150" i="12"/>
  <c r="H150" i="18" s="1"/>
  <c r="AH116" i="12"/>
  <c r="H116" i="18" s="1"/>
  <c r="AH106" i="12"/>
  <c r="H106" i="18" s="1"/>
  <c r="AH179" i="12"/>
  <c r="H179" i="18" s="1"/>
  <c r="AH45" i="12"/>
  <c r="H45" i="18" s="1"/>
  <c r="AH151" i="12"/>
  <c r="H151" i="18" s="1"/>
  <c r="AH66" i="12"/>
  <c r="H66" i="18" s="1"/>
  <c r="AH144" i="12"/>
  <c r="H144" i="18" s="1"/>
  <c r="AH101" i="12"/>
  <c r="H101" i="18" s="1"/>
  <c r="AH12" i="12"/>
  <c r="H12" i="18" s="1"/>
  <c r="AH92" i="12"/>
  <c r="H92" i="18" s="1"/>
  <c r="AH82" i="12"/>
  <c r="H82" i="18" s="1"/>
  <c r="AH75" i="12"/>
  <c r="H75" i="18" s="1"/>
  <c r="AH172" i="12"/>
  <c r="H172" i="18" s="1"/>
  <c r="AH96" i="12"/>
  <c r="H96" i="18" s="1"/>
  <c r="AH38" i="12"/>
  <c r="H38" i="18" s="1"/>
  <c r="AH69" i="12"/>
  <c r="H69" i="18" s="1"/>
  <c r="AH64" i="12"/>
  <c r="H64" i="18" s="1"/>
  <c r="AH140" i="12"/>
  <c r="H140" i="18" s="1"/>
  <c r="AH133" i="12"/>
  <c r="H133" i="18" s="1"/>
  <c r="AH56" i="12"/>
  <c r="H56" i="18" s="1"/>
  <c r="AH175" i="12"/>
  <c r="H175" i="18" s="1"/>
  <c r="AH154" i="12"/>
  <c r="H154" i="18" s="1"/>
  <c r="AH100" i="12"/>
  <c r="H100" i="18" s="1"/>
  <c r="AH114" i="12"/>
  <c r="H114" i="18" s="1"/>
  <c r="AH107" i="12"/>
  <c r="H107" i="18" s="1"/>
  <c r="AH61" i="12"/>
  <c r="H61" i="18" s="1"/>
  <c r="AH159" i="12"/>
  <c r="H159" i="18" s="1"/>
  <c r="AH10" i="12"/>
  <c r="H10" i="18" s="1"/>
  <c r="AH152" i="12"/>
  <c r="H152" i="18" s="1"/>
  <c r="AH47" i="12"/>
  <c r="H47" i="18" s="1"/>
  <c r="AH48" i="12"/>
  <c r="H48" i="18" s="1"/>
  <c r="AH49" i="12"/>
  <c r="H49" i="18" s="1"/>
  <c r="AH76" i="12"/>
  <c r="H76" i="18" s="1"/>
  <c r="AH118" i="12"/>
  <c r="H118" i="18" s="1"/>
  <c r="AH111" i="12"/>
  <c r="H111" i="18" s="1"/>
  <c r="AH5" i="12"/>
  <c r="H5" i="18" s="1"/>
  <c r="AH104" i="12"/>
  <c r="H104" i="18" s="1"/>
  <c r="AH14" i="12"/>
  <c r="H14" i="18" s="1"/>
  <c r="AH160" i="12"/>
  <c r="H160" i="18" s="1"/>
  <c r="AH51" i="12"/>
  <c r="H51" i="18" s="1"/>
  <c r="AH162" i="12"/>
  <c r="H162" i="18" s="1"/>
  <c r="AH137" i="12"/>
  <c r="H137" i="18" s="1"/>
  <c r="AH52" i="12"/>
  <c r="H52" i="18" s="1"/>
  <c r="AH183" i="12"/>
  <c r="H183" i="18" s="1"/>
  <c r="AH158" i="12"/>
  <c r="H158" i="18" s="1"/>
  <c r="AH84" i="12"/>
  <c r="H84" i="18" s="1"/>
  <c r="AH122" i="12"/>
  <c r="H122" i="18" s="1"/>
  <c r="AH115" i="12"/>
  <c r="H115" i="18" s="1"/>
  <c r="AH13" i="12"/>
  <c r="H13" i="18" s="1"/>
  <c r="AH112" i="12"/>
  <c r="H112" i="18" s="1"/>
  <c r="AH18" i="12"/>
  <c r="H18" i="18" s="1"/>
  <c r="AH109" i="12"/>
  <c r="H109" i="18" s="1"/>
  <c r="AH55" i="12"/>
  <c r="H55" i="18" s="1"/>
  <c r="AH33" i="12"/>
  <c r="H33" i="18" s="1"/>
  <c r="AH15" i="12"/>
  <c r="H15" i="18" s="1"/>
  <c r="AH98" i="12"/>
  <c r="H98" i="18" s="1"/>
  <c r="AH91" i="12"/>
  <c r="H91" i="18" s="1"/>
  <c r="AH139" i="12"/>
  <c r="H139" i="18" s="1"/>
  <c r="AH54" i="12"/>
  <c r="H54" i="18" s="1"/>
  <c r="AH181" i="12"/>
  <c r="H181" i="18" s="1"/>
  <c r="AH89" i="12"/>
  <c r="H89" i="18" s="1"/>
  <c r="AH32" i="12"/>
  <c r="H32" i="18" s="1"/>
  <c r="AH166" i="12"/>
  <c r="H166" i="18" s="1"/>
  <c r="AH141" i="12"/>
  <c r="H141" i="18" s="1"/>
  <c r="AH4" i="12"/>
  <c r="H4" i="18" s="1"/>
  <c r="AH130" i="12"/>
  <c r="H130" i="18" s="1"/>
  <c r="AH41" i="12"/>
  <c r="H41" i="18" s="1"/>
  <c r="AH161" i="12"/>
  <c r="H161" i="18" s="1"/>
  <c r="AH70" i="12"/>
  <c r="H70" i="18" s="1"/>
  <c r="AH123" i="12"/>
  <c r="H123" i="18" s="1"/>
  <c r="AH29" i="12"/>
  <c r="H29" i="18" s="1"/>
  <c r="AH72" i="12"/>
  <c r="H72" i="18" s="1"/>
  <c r="AH26" i="12"/>
  <c r="H26" i="18" s="1"/>
  <c r="AH117" i="12"/>
  <c r="H117" i="18" s="1"/>
  <c r="AH63" i="12"/>
  <c r="H63" i="18" s="1"/>
  <c r="AH60" i="12"/>
  <c r="H60" i="18" s="1"/>
  <c r="AH17" i="12"/>
  <c r="H17" i="18" s="1"/>
  <c r="AH177" i="12"/>
  <c r="H177" i="18" s="1"/>
  <c r="AH74" i="12"/>
  <c r="H74" i="18" s="1"/>
  <c r="AH127" i="12"/>
  <c r="H127" i="18" s="1"/>
  <c r="AH37" i="12"/>
  <c r="H37" i="18" s="1"/>
  <c r="AH80" i="12"/>
  <c r="H80" i="18" s="1"/>
  <c r="AH30" i="12"/>
  <c r="H30" i="18" s="1"/>
  <c r="AH121" i="12"/>
  <c r="H121" i="18" s="1"/>
  <c r="AH67" i="12"/>
  <c r="H67" i="18" s="1"/>
  <c r="AH170" i="12"/>
  <c r="H170" i="18" s="1"/>
  <c r="AH145" i="12"/>
  <c r="H145" i="18" s="1"/>
  <c r="AH8" i="12"/>
  <c r="H8" i="18" s="1"/>
  <c r="AH134" i="12"/>
  <c r="H134" i="18" s="1"/>
  <c r="AH57" i="12"/>
  <c r="H57" i="18" s="1"/>
  <c r="AH132" i="12"/>
  <c r="H132" i="18" s="1"/>
  <c r="AH78" i="12"/>
  <c r="H78" i="18" s="1"/>
  <c r="AH71" i="12"/>
  <c r="H71" i="18" s="1"/>
  <c r="AH164" i="12"/>
  <c r="H164" i="18" s="1"/>
  <c r="AH88" i="12"/>
  <c r="H88" i="18" s="1"/>
  <c r="AH34" i="12"/>
  <c r="H34" i="18" s="1"/>
  <c r="AH125" i="12"/>
  <c r="H125" i="18" s="1"/>
  <c r="AH7" i="12"/>
  <c r="H7" i="18" s="1"/>
  <c r="AH11" i="12"/>
  <c r="H11" i="18" s="1"/>
  <c r="AH168" i="12"/>
  <c r="H168" i="18" s="1"/>
  <c r="AH110" i="12"/>
  <c r="H110" i="18" s="1"/>
  <c r="AH103" i="12"/>
  <c r="H103" i="18" s="1"/>
  <c r="AH53" i="12"/>
  <c r="H53" i="18" s="1"/>
  <c r="AH155" i="12"/>
  <c r="H155" i="18" s="1"/>
  <c r="AH6" i="12"/>
  <c r="H6" i="18" s="1"/>
  <c r="AH148" i="12"/>
  <c r="H148" i="18" s="1"/>
  <c r="AH43" i="12"/>
  <c r="H43" i="18" s="1"/>
  <c r="AH65" i="12"/>
  <c r="H65" i="18" s="1"/>
  <c r="AH174" i="12"/>
  <c r="H174" i="18" s="1"/>
  <c r="AH149" i="12"/>
  <c r="H149" i="18" s="1"/>
  <c r="AH24" i="12"/>
  <c r="H24" i="18" s="1"/>
  <c r="AH138" i="12"/>
  <c r="H138" i="18" s="1"/>
  <c r="AH9" i="12"/>
  <c r="H9" i="18" s="1"/>
  <c r="AH156" i="12"/>
  <c r="H156" i="18" s="1"/>
  <c r="AH86" i="12"/>
  <c r="H86" i="18" s="1"/>
  <c r="AH79" i="12"/>
  <c r="H79" i="18" s="1"/>
  <c r="AH180" i="12"/>
  <c r="H180" i="18" s="1"/>
  <c r="AH42" i="12"/>
  <c r="H42" i="18" s="1"/>
  <c r="AH165" i="12"/>
  <c r="H165" i="18" s="1"/>
  <c r="AH73" i="12"/>
  <c r="H73" i="18" s="1"/>
  <c r="AH19" i="12"/>
  <c r="H19" i="18" s="1"/>
  <c r="AH16" i="12"/>
  <c r="H16" i="18" s="1"/>
  <c r="AH176" i="12"/>
  <c r="H176" i="18" s="1"/>
  <c r="AH105" i="12"/>
  <c r="H105" i="18" s="1"/>
  <c r="AH90" i="12"/>
  <c r="H90" i="18" s="1"/>
  <c r="AH83" i="12"/>
  <c r="H83" i="18" s="1"/>
  <c r="AH131" i="12"/>
  <c r="H131" i="18" s="1"/>
  <c r="AH46" i="12"/>
  <c r="H46" i="18" s="1"/>
  <c r="AH169" i="12"/>
  <c r="H169" i="18" s="1"/>
  <c r="AH77" i="12"/>
  <c r="H77" i="18" s="1"/>
  <c r="AH23" i="12"/>
  <c r="H23" i="18" s="1"/>
  <c r="AH178" i="12"/>
  <c r="H178" i="18" s="1"/>
  <c r="AH153" i="12"/>
  <c r="H153" i="18" s="1"/>
  <c r="AH20" i="12"/>
  <c r="H20" i="18" s="1"/>
  <c r="AH142" i="12"/>
  <c r="H142" i="18" s="1"/>
  <c r="AH25" i="12"/>
  <c r="H25" i="18" s="1"/>
  <c r="AH81" i="12"/>
  <c r="H81" i="18" s="1"/>
  <c r="AH94" i="12"/>
  <c r="H94" i="18" s="1"/>
  <c r="AH87" i="12"/>
  <c r="H87" i="18" s="1"/>
  <c r="AH135" i="12"/>
  <c r="H135" i="18" s="1"/>
  <c r="AH50" i="12"/>
  <c r="H50" i="18" s="1"/>
  <c r="AH173" i="12"/>
  <c r="H173" i="18" s="1"/>
  <c r="AH85" i="12"/>
  <c r="H85" i="18" s="1"/>
  <c r="AH27" i="12"/>
  <c r="H27" i="18" s="1"/>
  <c r="AH31" i="12"/>
  <c r="H31" i="18" s="1"/>
  <c r="AT33" i="14"/>
  <c r="O190" i="12"/>
  <c r="P188" i="12"/>
  <c r="P186" i="12"/>
  <c r="P192" i="12"/>
  <c r="P185" i="12"/>
  <c r="O12" i="12"/>
  <c r="AQ12" i="12" s="1"/>
  <c r="N143" i="10"/>
  <c r="N8" i="10"/>
  <c r="N46" i="10"/>
  <c r="N21" i="10"/>
  <c r="N47" i="10"/>
  <c r="N102" i="10"/>
  <c r="N34" i="10"/>
  <c r="N23" i="10"/>
  <c r="T30" i="12"/>
  <c r="F30" i="18" s="1"/>
  <c r="T45" i="12"/>
  <c r="F45" i="18" s="1"/>
  <c r="T3" i="12"/>
  <c r="T46" i="12"/>
  <c r="F46" i="18" s="1"/>
  <c r="T51" i="12"/>
  <c r="F51" i="18" s="1"/>
  <c r="AG185" i="2"/>
  <c r="AG187" i="2"/>
  <c r="AG186" i="2"/>
  <c r="AG188" i="2"/>
  <c r="U5" i="2"/>
  <c r="U9" i="2"/>
  <c r="W21" i="2"/>
  <c r="W5" i="2"/>
  <c r="W10" i="2"/>
  <c r="W9" i="2"/>
  <c r="U7" i="2"/>
  <c r="W14" i="2"/>
  <c r="W26" i="2"/>
  <c r="W4" i="2"/>
  <c r="W6" i="2"/>
  <c r="W20" i="2"/>
  <c r="W25" i="2"/>
  <c r="W22" i="2"/>
  <c r="W13" i="2"/>
  <c r="W18" i="2"/>
  <c r="W17" i="2"/>
  <c r="U10" i="2"/>
  <c r="S3" i="2"/>
  <c r="U6" i="2"/>
  <c r="S2" i="2"/>
  <c r="U8" i="2"/>
  <c r="U3" i="2"/>
  <c r="W12" i="2"/>
  <c r="W11" i="2"/>
  <c r="Y40" i="2"/>
  <c r="Y37" i="2"/>
  <c r="Y34" i="2"/>
  <c r="Y26" i="2"/>
  <c r="Y46" i="2"/>
  <c r="Y28" i="2"/>
  <c r="Y41" i="2"/>
  <c r="Y50" i="2"/>
  <c r="Y42" i="2"/>
  <c r="Y27" i="2"/>
  <c r="Y16" i="2"/>
  <c r="Y48" i="2"/>
  <c r="Y29" i="2"/>
  <c r="Y43" i="2"/>
  <c r="Y20" i="2"/>
  <c r="Y52" i="2"/>
  <c r="Y33" i="2"/>
  <c r="Y18" i="2"/>
  <c r="Y14" i="2"/>
  <c r="W24" i="2"/>
  <c r="W7" i="2"/>
  <c r="W15" i="2"/>
  <c r="W16" i="2"/>
  <c r="Y24" i="2"/>
  <c r="Y21" i="2"/>
  <c r="Y38" i="2"/>
  <c r="Y30" i="2"/>
  <c r="Y11" i="2"/>
  <c r="Y12" i="2"/>
  <c r="Y44" i="2"/>
  <c r="Y25" i="2"/>
  <c r="Y32" i="2"/>
  <c r="Y13" i="2"/>
  <c r="Y45" i="2"/>
  <c r="Y36" i="2"/>
  <c r="Y17" i="2"/>
  <c r="Y49" i="2"/>
  <c r="Y22" i="2"/>
  <c r="W8" i="2"/>
  <c r="W19" i="2"/>
  <c r="W23" i="2"/>
  <c r="Y6" i="17"/>
  <c r="BC20" i="17"/>
  <c r="Y31" i="17"/>
  <c r="Y48" i="17"/>
  <c r="Y65" i="17"/>
  <c r="Y81" i="17"/>
  <c r="Y105" i="17"/>
  <c r="BC9" i="17"/>
  <c r="Y19" i="17"/>
  <c r="BC29" i="17"/>
  <c r="Y64" i="17"/>
  <c r="Y80" i="17"/>
  <c r="Y100" i="17"/>
  <c r="BC10" i="17"/>
  <c r="BC18" i="17"/>
  <c r="Y36" i="17"/>
  <c r="Y113" i="17"/>
  <c r="BC7" i="17"/>
  <c r="BC15" i="17"/>
  <c r="BC23" i="17"/>
  <c r="Y41" i="17"/>
  <c r="Y88" i="17"/>
  <c r="Y43" i="17"/>
  <c r="Y95" i="17"/>
  <c r="Y30" i="17"/>
  <c r="Y51" i="17"/>
  <c r="Y55" i="17"/>
  <c r="Y99" i="17"/>
  <c r="Y28" i="17"/>
  <c r="Y86" i="17"/>
  <c r="Y102" i="17"/>
  <c r="BC8" i="17"/>
  <c r="Y22" i="17"/>
  <c r="Y37" i="17"/>
  <c r="Y52" i="17"/>
  <c r="Y69" i="17"/>
  <c r="Y92" i="17"/>
  <c r="Y109" i="17"/>
  <c r="BC13" i="17"/>
  <c r="BC21" i="17"/>
  <c r="Y35" i="17"/>
  <c r="Y68" i="17"/>
  <c r="Y84" i="17"/>
  <c r="Y104" i="17"/>
  <c r="Y12" i="17"/>
  <c r="BC22" i="17"/>
  <c r="Y39" i="17"/>
  <c r="Y9" i="17"/>
  <c r="Y17" i="17"/>
  <c r="BC27" i="17"/>
  <c r="Y45" i="17"/>
  <c r="Y93" i="17"/>
  <c r="Y5" i="17"/>
  <c r="Y63" i="17"/>
  <c r="Y71" i="17"/>
  <c r="Y79" i="17"/>
  <c r="Y87" i="17"/>
  <c r="Y59" i="17"/>
  <c r="Y90" i="17"/>
  <c r="Y106" i="17"/>
  <c r="Y111" i="17"/>
  <c r="Y107" i="17"/>
  <c r="Y11" i="17"/>
  <c r="Y46" i="17"/>
  <c r="BC12" i="17"/>
  <c r="BC24" i="17"/>
  <c r="Y40" i="17"/>
  <c r="Y57" i="17"/>
  <c r="Y73" i="17"/>
  <c r="Y97" i="17"/>
  <c r="Y114" i="17"/>
  <c r="BC5" i="17"/>
  <c r="Y15" i="17"/>
  <c r="Y23" i="17"/>
  <c r="Y56" i="17"/>
  <c r="Y72" i="17"/>
  <c r="Y85" i="17"/>
  <c r="BC14" i="17"/>
  <c r="BC26" i="17"/>
  <c r="Y89" i="17"/>
  <c r="BC11" i="17"/>
  <c r="BC19" i="17"/>
  <c r="Y29" i="17"/>
  <c r="Y49" i="17"/>
  <c r="Y116" i="17"/>
  <c r="Y42" i="17"/>
  <c r="Y112" i="17"/>
  <c r="Y10" i="17"/>
  <c r="Y25" i="17"/>
  <c r="Y54" i="17"/>
  <c r="Y50" i="17"/>
  <c r="Y20" i="17"/>
  <c r="Y26" i="17"/>
  <c r="Y66" i="17"/>
  <c r="Y70" i="17"/>
  <c r="Y74" i="17"/>
  <c r="Y78" i="17"/>
  <c r="Y82" i="17"/>
  <c r="Y94" i="17"/>
  <c r="Y110" i="17"/>
  <c r="Y117" i="17"/>
  <c r="Y120" i="17"/>
  <c r="AQ5" i="14"/>
  <c r="BC16" i="17"/>
  <c r="BC28" i="17"/>
  <c r="Y44" i="17"/>
  <c r="Y61" i="17"/>
  <c r="Y77" i="17"/>
  <c r="Y101" i="17"/>
  <c r="Y115" i="17"/>
  <c r="Y7" i="17"/>
  <c r="BC17" i="17"/>
  <c r="BC25" i="17"/>
  <c r="Y60" i="17"/>
  <c r="Y76" i="17"/>
  <c r="Y96" i="17"/>
  <c r="Y8" i="17"/>
  <c r="Y16" i="17"/>
  <c r="Y32" i="17"/>
  <c r="Y119" i="17"/>
  <c r="Y108" i="17"/>
  <c r="Y4" i="17"/>
  <c r="Y13" i="17"/>
  <c r="Y21" i="17"/>
  <c r="Y33" i="17"/>
  <c r="Y53" i="17"/>
  <c r="Y118" i="17"/>
  <c r="Y14" i="17"/>
  <c r="Y62" i="17"/>
  <c r="Y67" i="17"/>
  <c r="Y75" i="17"/>
  <c r="Y83" i="17"/>
  <c r="Y103" i="17"/>
  <c r="Y38" i="17"/>
  <c r="Y58" i="17"/>
  <c r="Y98" i="17"/>
  <c r="Y18" i="17"/>
  <c r="Y27" i="17"/>
  <c r="Y34" i="17"/>
  <c r="Y91" i="17"/>
  <c r="Y24" i="17"/>
  <c r="Y47" i="17"/>
  <c r="Y19" i="2"/>
  <c r="Y31" i="2"/>
  <c r="Y39" i="2"/>
  <c r="Y51" i="2"/>
  <c r="Y15" i="2"/>
  <c r="AA40" i="2"/>
  <c r="AA37" i="2"/>
  <c r="AA62" i="2"/>
  <c r="AA75" i="2"/>
  <c r="AA60" i="2"/>
  <c r="AA73" i="2"/>
  <c r="AA50" i="2"/>
  <c r="AA42" i="2"/>
  <c r="AA80" i="2"/>
  <c r="AA29" i="2"/>
  <c r="AA43" i="2"/>
  <c r="AA52" i="2"/>
  <c r="AA65" i="2"/>
  <c r="AA86" i="2"/>
  <c r="AA59" i="2"/>
  <c r="AA56" i="2"/>
  <c r="AA53" i="2"/>
  <c r="AA38" i="2"/>
  <c r="AA76" i="2"/>
  <c r="AA32" i="2"/>
  <c r="AA45" i="2"/>
  <c r="AA70" i="2"/>
  <c r="AA68" i="2"/>
  <c r="AA81" i="2"/>
  <c r="AA82" i="2"/>
  <c r="Y23" i="2"/>
  <c r="Y35" i="2"/>
  <c r="Y47" i="2"/>
  <c r="AA72" i="2"/>
  <c r="AA69" i="2"/>
  <c r="AA34" i="2"/>
  <c r="AA46" i="2"/>
  <c r="AA28" i="2"/>
  <c r="AA41" i="2"/>
  <c r="AA54" i="2"/>
  <c r="AA27" i="2"/>
  <c r="AA48" i="2"/>
  <c r="AA61" i="2"/>
  <c r="AA84" i="2"/>
  <c r="AA33" i="2"/>
  <c r="AA74" i="2"/>
  <c r="AA85" i="2"/>
  <c r="AA30" i="2"/>
  <c r="AA44" i="2"/>
  <c r="AA57" i="2"/>
  <c r="AA78" i="2"/>
  <c r="AA64" i="2"/>
  <c r="AA77" i="2"/>
  <c r="AA66" i="2"/>
  <c r="AA58" i="2"/>
  <c r="AA36" i="2"/>
  <c r="AA49" i="2"/>
  <c r="AT37" i="14"/>
  <c r="AT28" i="14"/>
  <c r="AT30" i="14"/>
  <c r="AT22" i="14"/>
  <c r="AT16" i="14"/>
  <c r="AT25" i="14"/>
  <c r="AT34" i="14"/>
  <c r="AT29" i="14"/>
  <c r="AT32" i="14"/>
  <c r="AT38" i="14"/>
  <c r="AT23" i="14"/>
  <c r="AT24" i="14"/>
  <c r="AT21" i="14"/>
  <c r="AT19" i="14"/>
  <c r="AT27" i="14"/>
  <c r="AT18" i="14"/>
  <c r="AT20" i="14"/>
  <c r="AT31" i="14"/>
  <c r="AT26" i="14"/>
  <c r="AT17" i="14"/>
  <c r="W55" i="9"/>
  <c r="W35" i="9"/>
  <c r="W76" i="9"/>
  <c r="W119" i="9"/>
  <c r="W27" i="9"/>
  <c r="W85" i="9"/>
  <c r="AE57" i="13"/>
  <c r="AE56" i="13"/>
  <c r="AE52" i="13"/>
  <c r="AE53" i="13"/>
  <c r="AE44" i="13"/>
  <c r="AE48" i="13"/>
  <c r="AE49" i="13"/>
  <c r="N1" i="13"/>
  <c r="AF1" i="13" s="1"/>
  <c r="AE46" i="13"/>
  <c r="AE50" i="13"/>
  <c r="AE42" i="13"/>
  <c r="AE41" i="13"/>
  <c r="AE47" i="13"/>
  <c r="AE43" i="13"/>
  <c r="AE51" i="13"/>
  <c r="AE55" i="13"/>
  <c r="AE45" i="13"/>
  <c r="AE40" i="13"/>
  <c r="AE54" i="13"/>
  <c r="AC8" i="2"/>
  <c r="AD8" i="2"/>
  <c r="AC72" i="2"/>
  <c r="AD72" i="2"/>
  <c r="AD136" i="2"/>
  <c r="AC5" i="2"/>
  <c r="AD5" i="2"/>
  <c r="AC69" i="2"/>
  <c r="AD69" i="2"/>
  <c r="AD133" i="2"/>
  <c r="AD126" i="2"/>
  <c r="AC34" i="2"/>
  <c r="AD34" i="2"/>
  <c r="AC102" i="2"/>
  <c r="AD102" i="2"/>
  <c r="AC46" i="2"/>
  <c r="AD46" i="2"/>
  <c r="AC28" i="2"/>
  <c r="AD28" i="2"/>
  <c r="AC92" i="2"/>
  <c r="AD92" i="2"/>
  <c r="AD156" i="2"/>
  <c r="AC41" i="2"/>
  <c r="AD41" i="2"/>
  <c r="AC105" i="2"/>
  <c r="AD105" i="2"/>
  <c r="AD169" i="2"/>
  <c r="AF169" i="2" s="1"/>
  <c r="AD162" i="2"/>
  <c r="AF162" i="2" s="1"/>
  <c r="AC54" i="2"/>
  <c r="AD54" i="2"/>
  <c r="AC27" i="2"/>
  <c r="AD27" i="2"/>
  <c r="AC48" i="2"/>
  <c r="AD48" i="2"/>
  <c r="AC112" i="2"/>
  <c r="AD112" i="2"/>
  <c r="AD176" i="2"/>
  <c r="AF176" i="2" s="1"/>
  <c r="AC61" i="2"/>
  <c r="AD61" i="2"/>
  <c r="AD125" i="2"/>
  <c r="AC118" i="2"/>
  <c r="AD118" i="2"/>
  <c r="AD182" i="2"/>
  <c r="AF182" i="2" s="1"/>
  <c r="AC110" i="2"/>
  <c r="AD110" i="2"/>
  <c r="AC20" i="2"/>
  <c r="AD20" i="2"/>
  <c r="AC84" i="2"/>
  <c r="AD84" i="2"/>
  <c r="AD148" i="2"/>
  <c r="AC33" i="2"/>
  <c r="AD33" i="2"/>
  <c r="AC97" i="2"/>
  <c r="AD97" i="2"/>
  <c r="AD161" i="2"/>
  <c r="AD154" i="2"/>
  <c r="AC14" i="2"/>
  <c r="AD14" i="2"/>
  <c r="AC74" i="2"/>
  <c r="AD74" i="2"/>
  <c r="AC24" i="2"/>
  <c r="AD24" i="2"/>
  <c r="AC88" i="2"/>
  <c r="AD88" i="2"/>
  <c r="AD152" i="2"/>
  <c r="AC21" i="2"/>
  <c r="AD21" i="2"/>
  <c r="AC85" i="2"/>
  <c r="AD85" i="2"/>
  <c r="AD149" i="2"/>
  <c r="AC142" i="2"/>
  <c r="AD142" i="2"/>
  <c r="AC98" i="2"/>
  <c r="AD98" i="2"/>
  <c r="AC30" i="2"/>
  <c r="AD30" i="2"/>
  <c r="AC11" i="2"/>
  <c r="AD11" i="2"/>
  <c r="AC44" i="2"/>
  <c r="AD44" i="2"/>
  <c r="AC108" i="2"/>
  <c r="AD108" i="2"/>
  <c r="AD172" i="2"/>
  <c r="AF172" i="2" s="1"/>
  <c r="AC57" i="2"/>
  <c r="AD57" i="2"/>
  <c r="AC121" i="2"/>
  <c r="AD121" i="2"/>
  <c r="AC114" i="2"/>
  <c r="AD114" i="2"/>
  <c r="AD178" i="2"/>
  <c r="AF178" i="2" s="1"/>
  <c r="AC78" i="2"/>
  <c r="AD78" i="2"/>
  <c r="AC91" i="2"/>
  <c r="AD91" i="2"/>
  <c r="AC64" i="2"/>
  <c r="AD64" i="2"/>
  <c r="AD128" i="2"/>
  <c r="AC13" i="2"/>
  <c r="AD13" i="2"/>
  <c r="AC77" i="2"/>
  <c r="AD77" i="2"/>
  <c r="AD141" i="2"/>
  <c r="AD134" i="2"/>
  <c r="AC66" i="2"/>
  <c r="AD66" i="2"/>
  <c r="AC58" i="2"/>
  <c r="AD58" i="2"/>
  <c r="AC36" i="2"/>
  <c r="AD36" i="2"/>
  <c r="AC100" i="2"/>
  <c r="AD100" i="2"/>
  <c r="AD164" i="2"/>
  <c r="AF164" i="2" s="1"/>
  <c r="AC49" i="2"/>
  <c r="AD49" i="2"/>
  <c r="AC113" i="2"/>
  <c r="AD113" i="2"/>
  <c r="AD177" i="2"/>
  <c r="AF177" i="2" s="1"/>
  <c r="AD170" i="2"/>
  <c r="AF170" i="2" s="1"/>
  <c r="AC22" i="2"/>
  <c r="AD22" i="2"/>
  <c r="AC40" i="2"/>
  <c r="AD40" i="2"/>
  <c r="AC104" i="2"/>
  <c r="AD104" i="2"/>
  <c r="AD168" i="2"/>
  <c r="AF168" i="2" s="1"/>
  <c r="AC37" i="2"/>
  <c r="AD37" i="2"/>
  <c r="AC101" i="2"/>
  <c r="AD101" i="2"/>
  <c r="AD165" i="2"/>
  <c r="AD158" i="2"/>
  <c r="AC62" i="2"/>
  <c r="AD62" i="2"/>
  <c r="AC26" i="2"/>
  <c r="AD26" i="2"/>
  <c r="AC75" i="2"/>
  <c r="AD75" i="2"/>
  <c r="AC60" i="2"/>
  <c r="AD60" i="2"/>
  <c r="AD124" i="2"/>
  <c r="AC9" i="2"/>
  <c r="AD9" i="2"/>
  <c r="AC73" i="2"/>
  <c r="AD73" i="2"/>
  <c r="AD137" i="2"/>
  <c r="AD130" i="2"/>
  <c r="AC50" i="2"/>
  <c r="AD50" i="2"/>
  <c r="AC42" i="2"/>
  <c r="AD42" i="2"/>
  <c r="AC16" i="2"/>
  <c r="AD16" i="2"/>
  <c r="AC80" i="2"/>
  <c r="AD80" i="2"/>
  <c r="AD144" i="2"/>
  <c r="AC29" i="2"/>
  <c r="AD29" i="2"/>
  <c r="AC93" i="2"/>
  <c r="AD93" i="2"/>
  <c r="AD157" i="2"/>
  <c r="AD150" i="2"/>
  <c r="AC6" i="2"/>
  <c r="AD6" i="2"/>
  <c r="AC43" i="2"/>
  <c r="AD43" i="2"/>
  <c r="AC52" i="2"/>
  <c r="AD52" i="2"/>
  <c r="AC116" i="2"/>
  <c r="AD116" i="2"/>
  <c r="AD180" i="2"/>
  <c r="AF180" i="2" s="1"/>
  <c r="AC65" i="2"/>
  <c r="AD65" i="2"/>
  <c r="AC129" i="2"/>
  <c r="AD129" i="2"/>
  <c r="AD122" i="2"/>
  <c r="AC18" i="2"/>
  <c r="AD18" i="2"/>
  <c r="AC86" i="2"/>
  <c r="AD86" i="2"/>
  <c r="AC59" i="2"/>
  <c r="AD59" i="2"/>
  <c r="AC56" i="2"/>
  <c r="AD56" i="2"/>
  <c r="AC120" i="2"/>
  <c r="AD120" i="2"/>
  <c r="AD184" i="2"/>
  <c r="AF184" i="2" s="1"/>
  <c r="AC53" i="2"/>
  <c r="AD53" i="2"/>
  <c r="AC117" i="2"/>
  <c r="AD117" i="2"/>
  <c r="AD181" i="2"/>
  <c r="AF181" i="2" s="1"/>
  <c r="AD174" i="2"/>
  <c r="AF174" i="2" s="1"/>
  <c r="AC38" i="2"/>
  <c r="AD38" i="2"/>
  <c r="AC90" i="2"/>
  <c r="AD90" i="2"/>
  <c r="AC12" i="2"/>
  <c r="AD12" i="2"/>
  <c r="AC76" i="2"/>
  <c r="AD76" i="2"/>
  <c r="AD140" i="2"/>
  <c r="AC25" i="2"/>
  <c r="AD25" i="2"/>
  <c r="AC89" i="2"/>
  <c r="AD89" i="2"/>
  <c r="AD153" i="2"/>
  <c r="AD146" i="2"/>
  <c r="AC94" i="2"/>
  <c r="AD94" i="2"/>
  <c r="AC106" i="2"/>
  <c r="AD106" i="2"/>
  <c r="AC32" i="2"/>
  <c r="AD32" i="2"/>
  <c r="AC96" i="2"/>
  <c r="AD96" i="2"/>
  <c r="AD160" i="2"/>
  <c r="AC45" i="2"/>
  <c r="AD45" i="2"/>
  <c r="AC109" i="2"/>
  <c r="AD109" i="2"/>
  <c r="AD173" i="2"/>
  <c r="AF173" i="2" s="1"/>
  <c r="AD166" i="2"/>
  <c r="AF166" i="2" s="1"/>
  <c r="AC70" i="2"/>
  <c r="AD70" i="2"/>
  <c r="AC4" i="2"/>
  <c r="AD4" i="2"/>
  <c r="AC68" i="2"/>
  <c r="AD68" i="2"/>
  <c r="AD132" i="2"/>
  <c r="AC17" i="2"/>
  <c r="AD17" i="2"/>
  <c r="AC81" i="2"/>
  <c r="AD81" i="2"/>
  <c r="AD145" i="2"/>
  <c r="AD138" i="2"/>
  <c r="AC82" i="2"/>
  <c r="AD82" i="2"/>
  <c r="AC10" i="2"/>
  <c r="AD10" i="2"/>
  <c r="AC2" i="2"/>
  <c r="AD2" i="2"/>
  <c r="AB63" i="2"/>
  <c r="AA63" i="2"/>
  <c r="AB135" i="2"/>
  <c r="B135" i="2" s="1"/>
  <c r="AB23" i="2"/>
  <c r="AA23" i="2"/>
  <c r="AB107" i="2"/>
  <c r="AB171" i="2"/>
  <c r="AB71" i="2"/>
  <c r="AA71" i="2"/>
  <c r="AB143" i="2"/>
  <c r="B143" i="2" s="1"/>
  <c r="AB35" i="2"/>
  <c r="AA35" i="2"/>
  <c r="AB115" i="2"/>
  <c r="AB179" i="2"/>
  <c r="AB83" i="2"/>
  <c r="AA83" i="2"/>
  <c r="AB151" i="2"/>
  <c r="B151" i="2" s="1"/>
  <c r="AB47" i="2"/>
  <c r="AA47" i="2"/>
  <c r="AB123" i="2"/>
  <c r="B123" i="2" s="1"/>
  <c r="AB7" i="2"/>
  <c r="AA7" i="2"/>
  <c r="AB95" i="2"/>
  <c r="AB159" i="2"/>
  <c r="B159" i="2" s="1"/>
  <c r="AB55" i="2"/>
  <c r="AA55" i="2"/>
  <c r="AB131" i="2"/>
  <c r="B131" i="2" s="1"/>
  <c r="AB19" i="2"/>
  <c r="AA19" i="2"/>
  <c r="AB103" i="2"/>
  <c r="AB167" i="2"/>
  <c r="AB67" i="2"/>
  <c r="AA67" i="2"/>
  <c r="AB139" i="2"/>
  <c r="B139" i="2" s="1"/>
  <c r="AB31" i="2"/>
  <c r="AA31" i="2"/>
  <c r="AB111" i="2"/>
  <c r="AB175" i="2"/>
  <c r="AB79" i="2"/>
  <c r="AA79" i="2"/>
  <c r="AB147" i="2"/>
  <c r="B147" i="2" s="1"/>
  <c r="AB39" i="2"/>
  <c r="AA39" i="2"/>
  <c r="AB119" i="2"/>
  <c r="AB183" i="2"/>
  <c r="AB87" i="2"/>
  <c r="AB155" i="2"/>
  <c r="B155" i="2" s="1"/>
  <c r="AB51" i="2"/>
  <c r="AA51" i="2"/>
  <c r="AB127" i="2"/>
  <c r="B127" i="2" s="1"/>
  <c r="AB15" i="2"/>
  <c r="AA15" i="2"/>
  <c r="AB99" i="2"/>
  <c r="AB163" i="2"/>
  <c r="B163" i="2" s="1"/>
  <c r="E10" i="8"/>
  <c r="AG189" i="2"/>
  <c r="W6" i="9"/>
  <c r="AB1" i="10"/>
  <c r="V225" i="5"/>
  <c r="V228" i="5"/>
  <c r="V2" i="5"/>
  <c r="V85" i="5"/>
  <c r="V113" i="5"/>
  <c r="V158" i="5"/>
  <c r="V180" i="5"/>
  <c r="V197" i="5"/>
  <c r="V202" i="5"/>
  <c r="V212" i="5"/>
  <c r="V218" i="5"/>
  <c r="V224" i="5"/>
  <c r="V168" i="5"/>
  <c r="V185" i="5"/>
  <c r="V201" i="5"/>
  <c r="V41" i="5"/>
  <c r="V68" i="5"/>
  <c r="V75" i="5"/>
  <c r="V140" i="5"/>
  <c r="V171" i="5"/>
  <c r="V209" i="5"/>
  <c r="V215" i="5"/>
  <c r="V226" i="5"/>
  <c r="V230" i="5"/>
  <c r="R230" i="5"/>
  <c r="V232" i="5"/>
  <c r="R232" i="5"/>
  <c r="V234" i="5"/>
  <c r="R234" i="5"/>
  <c r="V236" i="5"/>
  <c r="R236" i="5"/>
  <c r="V238" i="5"/>
  <c r="R238" i="5"/>
  <c r="V240" i="5"/>
  <c r="R240" i="5"/>
  <c r="V242" i="5"/>
  <c r="R242" i="5"/>
  <c r="V108" i="5"/>
  <c r="V131" i="5"/>
  <c r="V206" i="5"/>
  <c r="V213" i="5"/>
  <c r="V221" i="5"/>
  <c r="V229" i="5"/>
  <c r="R229" i="5"/>
  <c r="V23" i="5"/>
  <c r="V52" i="5"/>
  <c r="V69" i="5"/>
  <c r="V203" i="5"/>
  <c r="V231" i="5"/>
  <c r="R231" i="5"/>
  <c r="V233" i="5"/>
  <c r="R233" i="5"/>
  <c r="V235" i="5"/>
  <c r="R235" i="5"/>
  <c r="V237" i="5"/>
  <c r="R237" i="5"/>
  <c r="V239" i="5"/>
  <c r="R239" i="5"/>
  <c r="V241" i="5"/>
  <c r="R241" i="5"/>
  <c r="D88" i="5"/>
  <c r="D134" i="5"/>
  <c r="D188" i="5"/>
  <c r="D4" i="5"/>
  <c r="D143" i="5"/>
  <c r="D111" i="5"/>
  <c r="D26" i="5"/>
  <c r="D72" i="5"/>
  <c r="D174" i="5"/>
  <c r="D78" i="5"/>
  <c r="D183" i="5"/>
  <c r="D45" i="5"/>
  <c r="D161" i="5"/>
  <c r="D55" i="5"/>
  <c r="D116" i="5"/>
  <c r="D87" i="6"/>
  <c r="D120" i="6"/>
  <c r="D26" i="6"/>
  <c r="D55" i="6"/>
  <c r="D141" i="6"/>
  <c r="D156" i="6"/>
  <c r="D5" i="6"/>
  <c r="W4" i="6"/>
  <c r="U4" i="6" s="1"/>
  <c r="D35" i="6"/>
  <c r="R218" i="5"/>
  <c r="R52" i="5"/>
  <c r="R69" i="5"/>
  <c r="R206" i="5"/>
  <c r="R213" i="5"/>
  <c r="R221" i="5"/>
  <c r="R41" i="5"/>
  <c r="R197" i="5"/>
  <c r="R202" i="5"/>
  <c r="R212" i="5"/>
  <c r="R224" i="5"/>
  <c r="R23" i="5"/>
  <c r="R168" i="5"/>
  <c r="R209" i="5"/>
  <c r="R215" i="5"/>
  <c r="R226" i="5"/>
  <c r="R113" i="5"/>
  <c r="R203" i="5"/>
  <c r="R225" i="5"/>
  <c r="I3" i="4"/>
  <c r="I71" i="4"/>
  <c r="I67" i="4"/>
  <c r="I63" i="4"/>
  <c r="I59" i="4"/>
  <c r="I55" i="4"/>
  <c r="I51" i="4"/>
  <c r="I47" i="4"/>
  <c r="I43" i="4"/>
  <c r="I39" i="4"/>
  <c r="I35" i="4"/>
  <c r="I31" i="4"/>
  <c r="I27" i="4"/>
  <c r="I23" i="4"/>
  <c r="I19" i="4"/>
  <c r="I15" i="4"/>
  <c r="I6" i="4"/>
  <c r="I70" i="4"/>
  <c r="I66" i="4"/>
  <c r="I62" i="4"/>
  <c r="I58" i="4"/>
  <c r="I54" i="4"/>
  <c r="I50" i="4"/>
  <c r="I46" i="4"/>
  <c r="I42" i="4"/>
  <c r="I38" i="4"/>
  <c r="I34" i="4"/>
  <c r="I30" i="4"/>
  <c r="I26" i="4"/>
  <c r="I22" i="4"/>
  <c r="I18" i="4"/>
  <c r="I14" i="4"/>
  <c r="I12" i="4"/>
  <c r="I9" i="4"/>
  <c r="I5" i="4"/>
  <c r="I73" i="4"/>
  <c r="I69" i="4"/>
  <c r="I65" i="4"/>
  <c r="I61" i="4"/>
  <c r="I57" i="4"/>
  <c r="I53" i="4"/>
  <c r="I49" i="4"/>
  <c r="I45" i="4"/>
  <c r="I41" i="4"/>
  <c r="I37" i="4"/>
  <c r="I33" i="4"/>
  <c r="I29" i="4"/>
  <c r="I25" i="4"/>
  <c r="I21" i="4"/>
  <c r="I17" i="4"/>
  <c r="I13" i="4"/>
  <c r="I11" i="4"/>
  <c r="I8" i="4"/>
  <c r="I4" i="4"/>
  <c r="I72" i="4"/>
  <c r="I68" i="4"/>
  <c r="I64" i="4"/>
  <c r="I60" i="4"/>
  <c r="I56" i="4"/>
  <c r="I52" i="4"/>
  <c r="I48" i="4"/>
  <c r="I44" i="4"/>
  <c r="I40" i="4"/>
  <c r="I36" i="4"/>
  <c r="I32" i="4"/>
  <c r="I28" i="4"/>
  <c r="I24" i="4"/>
  <c r="I20" i="4"/>
  <c r="I16" i="4"/>
  <c r="I10" i="4"/>
  <c r="I7" i="4"/>
  <c r="A206" i="5"/>
  <c r="AC206" i="5" s="1"/>
  <c r="A23" i="5"/>
  <c r="AC23" i="5" s="1"/>
  <c r="A168" i="5"/>
  <c r="AC168" i="5" s="1"/>
  <c r="A197" i="5"/>
  <c r="AC197" i="5" s="1"/>
  <c r="A215" i="5"/>
  <c r="AC215" i="5" s="1"/>
  <c r="A235" i="5"/>
  <c r="AC235" i="5" s="1"/>
  <c r="A225" i="5"/>
  <c r="AC225" i="5" s="1"/>
  <c r="A230" i="5"/>
  <c r="AC230" i="5" s="1"/>
  <c r="A234" i="5"/>
  <c r="AC234" i="5" s="1"/>
  <c r="A171" i="5"/>
  <c r="AC171" i="5" s="1"/>
  <c r="A209" i="5"/>
  <c r="AC209" i="5" s="1"/>
  <c r="A226" i="5"/>
  <c r="AC226" i="5" s="1"/>
  <c r="A231" i="5"/>
  <c r="AC231" i="5" s="1"/>
  <c r="A212" i="5"/>
  <c r="AC212" i="5" s="1"/>
  <c r="A236" i="5"/>
  <c r="AC236" i="5" s="1"/>
  <c r="D5" i="5"/>
  <c r="A202" i="5"/>
  <c r="AC202" i="5" s="1"/>
  <c r="A221" i="5"/>
  <c r="AC221" i="5" s="1"/>
  <c r="A228" i="5"/>
  <c r="AC228" i="5" s="1"/>
  <c r="A232" i="5"/>
  <c r="AC232" i="5" s="1"/>
  <c r="A180" i="5"/>
  <c r="AC180" i="5" s="1"/>
  <c r="A237" i="5"/>
  <c r="AC237" i="5" s="1"/>
  <c r="A239" i="5"/>
  <c r="AC239" i="5" s="1"/>
  <c r="A140" i="5"/>
  <c r="AC140" i="5" s="1"/>
  <c r="A238" i="5"/>
  <c r="AC238" i="5" s="1"/>
  <c r="A158" i="5"/>
  <c r="AC158" i="5" s="1"/>
  <c r="A224" i="5"/>
  <c r="AC224" i="5" s="1"/>
  <c r="R228" i="5"/>
  <c r="R185" i="5"/>
  <c r="R158" i="5"/>
  <c r="R108" i="5"/>
  <c r="R68" i="5"/>
  <c r="R2" i="5"/>
  <c r="R180" i="5"/>
  <c r="R140" i="5"/>
  <c r="R85" i="5"/>
  <c r="Q75" i="5"/>
  <c r="R201" i="5"/>
  <c r="R171" i="5"/>
  <c r="R131" i="5"/>
  <c r="R75" i="5"/>
  <c r="A185" i="5"/>
  <c r="AC185" i="5" s="1"/>
  <c r="A233" i="5"/>
  <c r="AC233" i="5" s="1"/>
  <c r="A240" i="5"/>
  <c r="AC240" i="5" s="1"/>
  <c r="A242" i="5"/>
  <c r="AC242" i="5" s="1"/>
  <c r="Q241" i="5"/>
  <c r="A2" i="5"/>
  <c r="AC2" i="5" s="1"/>
  <c r="Q69" i="5"/>
  <c r="A68" i="5"/>
  <c r="AC68" i="5" s="1"/>
  <c r="K242" i="5"/>
  <c r="Q242" i="5" s="1"/>
  <c r="A75" i="5"/>
  <c r="AC75" i="5" s="1"/>
  <c r="K2" i="5"/>
  <c r="Q2" i="5" s="1"/>
  <c r="Q140" i="5"/>
  <c r="Q41" i="5"/>
  <c r="Q203" i="5"/>
  <c r="Q68" i="5"/>
  <c r="Q201" i="5"/>
  <c r="A41" i="5"/>
  <c r="AC41" i="5" s="1"/>
  <c r="Q52" i="5"/>
  <c r="K239" i="5"/>
  <c r="Q239" i="5" s="1"/>
  <c r="A113" i="5"/>
  <c r="AC113" i="5" s="1"/>
  <c r="A201" i="5"/>
  <c r="AC201" i="5" s="1"/>
  <c r="A108" i="5"/>
  <c r="AC108" i="5" s="1"/>
  <c r="K209" i="5"/>
  <c r="Q209" i="5" s="1"/>
  <c r="K224" i="5"/>
  <c r="Q224" i="5" s="1"/>
  <c r="K226" i="5"/>
  <c r="Q226" i="5" s="1"/>
  <c r="K231" i="5"/>
  <c r="Q231" i="5" s="1"/>
  <c r="A52" i="5"/>
  <c r="AC52" i="5" s="1"/>
  <c r="Q108" i="5"/>
  <c r="K158" i="5"/>
  <c r="Q158" i="5" s="1"/>
  <c r="Q213" i="5"/>
  <c r="K228" i="5"/>
  <c r="Q228" i="5" s="1"/>
  <c r="A218" i="5"/>
  <c r="AC218" i="5" s="1"/>
  <c r="K221" i="5"/>
  <c r="Q221" i="5" s="1"/>
  <c r="Q113" i="5"/>
  <c r="K185" i="5"/>
  <c r="Q185" i="5" s="1"/>
  <c r="K206" i="5"/>
  <c r="Q206" i="5" s="1"/>
  <c r="K212" i="5"/>
  <c r="Q212" i="5" s="1"/>
  <c r="Q218" i="5"/>
  <c r="K171" i="5"/>
  <c r="Q171" i="5" s="1"/>
  <c r="K202" i="5"/>
  <c r="Q202" i="5" s="1"/>
  <c r="A213" i="5"/>
  <c r="AC213" i="5" s="1"/>
  <c r="Q229" i="5"/>
  <c r="K235" i="5"/>
  <c r="Q235" i="5" s="1"/>
  <c r="K240" i="5"/>
  <c r="Q240" i="5" s="1"/>
  <c r="A241" i="5"/>
  <c r="AC241" i="5" s="1"/>
  <c r="A69" i="5"/>
  <c r="AC69" i="5" s="1"/>
  <c r="A203" i="5"/>
  <c r="AC203" i="5" s="1"/>
  <c r="A85" i="5"/>
  <c r="AC85" i="5" s="1"/>
  <c r="K85" i="5"/>
  <c r="Q85" i="5" s="1"/>
  <c r="K23" i="5"/>
  <c r="Q23" i="5" s="1"/>
  <c r="A131" i="5"/>
  <c r="AC131" i="5" s="1"/>
  <c r="K131" i="5"/>
  <c r="Q131" i="5" s="1"/>
  <c r="K168" i="5"/>
  <c r="Q168" i="5" s="1"/>
  <c r="K180" i="5"/>
  <c r="Q180" i="5" s="1"/>
  <c r="K197" i="5"/>
  <c r="Q197" i="5" s="1"/>
  <c r="K215" i="5"/>
  <c r="Q215" i="5" s="1"/>
  <c r="K225" i="5"/>
  <c r="Q225" i="5" s="1"/>
  <c r="A229" i="5"/>
  <c r="AC229" i="5" s="1"/>
  <c r="K238" i="5"/>
  <c r="Q238" i="5" s="1"/>
  <c r="K230" i="5"/>
  <c r="Q230" i="5" s="1"/>
  <c r="K232" i="5"/>
  <c r="Q232" i="5" s="1"/>
  <c r="K233" i="5"/>
  <c r="Q233" i="5" s="1"/>
  <c r="K234" i="5"/>
  <c r="Q234" i="5" s="1"/>
  <c r="K236" i="5"/>
  <c r="Q236" i="5" s="1"/>
  <c r="K237" i="5"/>
  <c r="Q237" i="5" s="1"/>
  <c r="X24" i="12" l="1"/>
  <c r="B24" i="28" s="1"/>
  <c r="V24" i="12"/>
  <c r="X23" i="12"/>
  <c r="B23" i="28" s="1"/>
  <c r="V23" i="12"/>
  <c r="C23" i="18" s="1"/>
  <c r="X39" i="12"/>
  <c r="B39" i="28" s="1"/>
  <c r="AZ9" i="28" s="1"/>
  <c r="V39" i="12"/>
  <c r="X95" i="12"/>
  <c r="B95" i="28" s="1"/>
  <c r="V95" i="12"/>
  <c r="C95" i="18" s="1"/>
  <c r="V127" i="12"/>
  <c r="X127" i="12"/>
  <c r="B127" i="28" s="1"/>
  <c r="V159" i="12"/>
  <c r="X159" i="12"/>
  <c r="B159" i="28" s="1"/>
  <c r="X9" i="12"/>
  <c r="B9" i="28" s="1"/>
  <c r="V9" i="12"/>
  <c r="V73" i="12"/>
  <c r="X73" i="12"/>
  <c r="B73" i="28" s="1"/>
  <c r="V120" i="12"/>
  <c r="X120" i="12"/>
  <c r="B120" i="28" s="1"/>
  <c r="V152" i="12"/>
  <c r="X152" i="12"/>
  <c r="B152" i="28" s="1"/>
  <c r="V184" i="12"/>
  <c r="X184" i="12"/>
  <c r="B184" i="28" s="1"/>
  <c r="AW21" i="28"/>
  <c r="N72" i="28"/>
  <c r="N80" i="28"/>
  <c r="N84" i="28"/>
  <c r="N77" i="28"/>
  <c r="V8" i="12"/>
  <c r="C8" i="18" s="1"/>
  <c r="X8" i="12"/>
  <c r="B8" i="28" s="1"/>
  <c r="V56" i="12"/>
  <c r="X56" i="12"/>
  <c r="B56" i="28" s="1"/>
  <c r="V71" i="12"/>
  <c r="X71" i="12"/>
  <c r="B71" i="28" s="1"/>
  <c r="V121" i="12"/>
  <c r="X121" i="12"/>
  <c r="B121" i="28" s="1"/>
  <c r="V143" i="12"/>
  <c r="C143" i="18" s="1"/>
  <c r="X143" i="12"/>
  <c r="B143" i="28" s="1"/>
  <c r="V10" i="12"/>
  <c r="X10" i="12"/>
  <c r="B10" i="28" s="1"/>
  <c r="V58" i="12"/>
  <c r="C58" i="18" s="1"/>
  <c r="X58" i="12"/>
  <c r="B58" i="28" s="1"/>
  <c r="V74" i="12"/>
  <c r="X74" i="12"/>
  <c r="B74" i="28" s="1"/>
  <c r="V41" i="12"/>
  <c r="C41" i="18" s="1"/>
  <c r="X41" i="12"/>
  <c r="B41" i="28" s="1"/>
  <c r="V96" i="12"/>
  <c r="X96" i="12"/>
  <c r="B96" i="28" s="1"/>
  <c r="X136" i="12"/>
  <c r="B136" i="28" s="1"/>
  <c r="V136" i="12"/>
  <c r="V168" i="12"/>
  <c r="X168" i="12"/>
  <c r="B168" i="28" s="1"/>
  <c r="AS50" i="28" s="1"/>
  <c r="BC50" i="28" s="1"/>
  <c r="DH79" i="28" s="1"/>
  <c r="DE79" i="28" s="1"/>
  <c r="V112" i="12"/>
  <c r="C112" i="18" s="1"/>
  <c r="X112" i="12"/>
  <c r="B112" i="28" s="1"/>
  <c r="V12" i="12"/>
  <c r="X12" i="12"/>
  <c r="B12" i="28" s="1"/>
  <c r="V28" i="12"/>
  <c r="X28" i="12"/>
  <c r="B28" i="28" s="1"/>
  <c r="X44" i="12"/>
  <c r="B44" i="28" s="1"/>
  <c r="V44" i="12"/>
  <c r="X60" i="12"/>
  <c r="B60" i="28" s="1"/>
  <c r="V60" i="12"/>
  <c r="X76" i="12"/>
  <c r="B76" i="28" s="1"/>
  <c r="V76" i="12"/>
  <c r="V11" i="12"/>
  <c r="C11" i="18" s="1"/>
  <c r="X11" i="12"/>
  <c r="B11" i="28" s="1"/>
  <c r="AS5" i="28" s="1"/>
  <c r="BC5" i="28" s="1"/>
  <c r="DH4" i="28" s="1"/>
  <c r="DE4" i="28" s="1"/>
  <c r="X27" i="12"/>
  <c r="B27" i="28" s="1"/>
  <c r="V27" i="12"/>
  <c r="X43" i="12"/>
  <c r="B43" i="28" s="1"/>
  <c r="V43" i="12"/>
  <c r="X59" i="12"/>
  <c r="B59" i="28" s="1"/>
  <c r="V59" i="12"/>
  <c r="V75" i="12"/>
  <c r="X75" i="12"/>
  <c r="B75" i="28" s="1"/>
  <c r="V89" i="12"/>
  <c r="X89" i="12"/>
  <c r="B89" i="28" s="1"/>
  <c r="V97" i="12"/>
  <c r="X97" i="12"/>
  <c r="B97" i="28" s="1"/>
  <c r="V105" i="12"/>
  <c r="X105" i="12"/>
  <c r="B105" i="28" s="1"/>
  <c r="V113" i="12"/>
  <c r="C113" i="18" s="1"/>
  <c r="X113" i="12"/>
  <c r="B113" i="28" s="1"/>
  <c r="V123" i="12"/>
  <c r="X123" i="12"/>
  <c r="B123" i="28" s="1"/>
  <c r="V129" i="12"/>
  <c r="C129" i="18" s="1"/>
  <c r="X129" i="12"/>
  <c r="B129" i="28" s="1"/>
  <c r="V137" i="12"/>
  <c r="X137" i="12"/>
  <c r="B137" i="28" s="1"/>
  <c r="X145" i="12"/>
  <c r="B145" i="28" s="1"/>
  <c r="V145" i="12"/>
  <c r="X155" i="12"/>
  <c r="B155" i="28" s="1"/>
  <c r="V155" i="12"/>
  <c r="V161" i="12"/>
  <c r="C161" i="18" s="1"/>
  <c r="X161" i="12"/>
  <c r="B161" i="28" s="1"/>
  <c r="X169" i="12"/>
  <c r="B169" i="28" s="1"/>
  <c r="V169" i="12"/>
  <c r="V175" i="12"/>
  <c r="C175" i="18" s="1"/>
  <c r="X175" i="12"/>
  <c r="B175" i="28" s="1"/>
  <c r="X181" i="12"/>
  <c r="B181" i="28" s="1"/>
  <c r="V181" i="12"/>
  <c r="V14" i="12"/>
  <c r="C14" i="18" s="1"/>
  <c r="X14" i="12"/>
  <c r="B14" i="28" s="1"/>
  <c r="V30" i="12"/>
  <c r="X30" i="12"/>
  <c r="B30" i="28" s="1"/>
  <c r="X46" i="12"/>
  <c r="B46" i="28" s="1"/>
  <c r="V46" i="12"/>
  <c r="V62" i="12"/>
  <c r="X62" i="12"/>
  <c r="B62" i="28" s="1"/>
  <c r="V78" i="12"/>
  <c r="C78" i="18" s="1"/>
  <c r="X78" i="12"/>
  <c r="B78" i="28" s="1"/>
  <c r="X13" i="12"/>
  <c r="B13" i="28" s="1"/>
  <c r="V13" i="12"/>
  <c r="V29" i="12"/>
  <c r="C29" i="18" s="1"/>
  <c r="X29" i="12"/>
  <c r="B29" i="28" s="1"/>
  <c r="V45" i="12"/>
  <c r="X45" i="12"/>
  <c r="B45" i="28" s="1"/>
  <c r="X61" i="12"/>
  <c r="B61" i="28" s="1"/>
  <c r="V61" i="12"/>
  <c r="V77" i="12"/>
  <c r="X77" i="12"/>
  <c r="B77" i="28" s="1"/>
  <c r="V90" i="12"/>
  <c r="C90" i="18" s="1"/>
  <c r="X90" i="12"/>
  <c r="B90" i="28" s="1"/>
  <c r="V98" i="12"/>
  <c r="X98" i="12"/>
  <c r="B98" i="28" s="1"/>
  <c r="X110" i="12"/>
  <c r="B110" i="28" s="1"/>
  <c r="V110" i="12"/>
  <c r="X122" i="12"/>
  <c r="B122" i="28" s="1"/>
  <c r="V122" i="12"/>
  <c r="V130" i="12"/>
  <c r="C130" i="18" s="1"/>
  <c r="X130" i="12"/>
  <c r="B130" i="28" s="1"/>
  <c r="V138" i="12"/>
  <c r="X138" i="12"/>
  <c r="B138" i="28" s="1"/>
  <c r="V146" i="12"/>
  <c r="C146" i="18" s="1"/>
  <c r="X146" i="12"/>
  <c r="B146" i="28" s="1"/>
  <c r="X154" i="12"/>
  <c r="B154" i="28" s="1"/>
  <c r="V154" i="12"/>
  <c r="V162" i="12"/>
  <c r="X162" i="12"/>
  <c r="B162" i="28" s="1"/>
  <c r="V170" i="12"/>
  <c r="X170" i="12"/>
  <c r="B170" i="28" s="1"/>
  <c r="V178" i="12"/>
  <c r="C178" i="18" s="1"/>
  <c r="X178" i="12"/>
  <c r="B178" i="28" s="1"/>
  <c r="V100" i="12"/>
  <c r="X100" i="12"/>
  <c r="B100" i="28" s="1"/>
  <c r="V149" i="12"/>
  <c r="C149" i="18" s="1"/>
  <c r="X149" i="12"/>
  <c r="B149" i="28" s="1"/>
  <c r="X116" i="12"/>
  <c r="B116" i="28" s="1"/>
  <c r="V116" i="12"/>
  <c r="X72" i="12"/>
  <c r="B72" i="28" s="1"/>
  <c r="V72" i="12"/>
  <c r="V87" i="12"/>
  <c r="X87" i="12"/>
  <c r="B87" i="28" s="1"/>
  <c r="V111" i="12"/>
  <c r="X111" i="12"/>
  <c r="B111" i="28" s="1"/>
  <c r="V153" i="12"/>
  <c r="X153" i="12"/>
  <c r="B153" i="28" s="1"/>
  <c r="V42" i="12"/>
  <c r="C42" i="18" s="1"/>
  <c r="X42" i="12"/>
  <c r="B42" i="28" s="1"/>
  <c r="X57" i="12"/>
  <c r="B57" i="28" s="1"/>
  <c r="V57" i="12"/>
  <c r="V106" i="12"/>
  <c r="C106" i="18" s="1"/>
  <c r="X106" i="12"/>
  <c r="B106" i="28" s="1"/>
  <c r="V144" i="12"/>
  <c r="X144" i="12"/>
  <c r="B144" i="28" s="1"/>
  <c r="X176" i="12"/>
  <c r="B176" i="28" s="1"/>
  <c r="V176" i="12"/>
  <c r="X16" i="12"/>
  <c r="B16" i="28" s="1"/>
  <c r="V16" i="12"/>
  <c r="V32" i="12"/>
  <c r="C32" i="18" s="1"/>
  <c r="X32" i="12"/>
  <c r="B32" i="28" s="1"/>
  <c r="V48" i="12"/>
  <c r="X48" i="12"/>
  <c r="B48" i="28" s="1"/>
  <c r="V64" i="12"/>
  <c r="C64" i="18" s="1"/>
  <c r="X64" i="12"/>
  <c r="B64" i="28" s="1"/>
  <c r="V80" i="12"/>
  <c r="X80" i="12"/>
  <c r="B80" i="28" s="1"/>
  <c r="V15" i="12"/>
  <c r="X15" i="12"/>
  <c r="B15" i="28" s="1"/>
  <c r="V31" i="12"/>
  <c r="X31" i="12"/>
  <c r="B31" i="28" s="1"/>
  <c r="X47" i="12"/>
  <c r="B47" i="28" s="1"/>
  <c r="V47" i="12"/>
  <c r="X63" i="12"/>
  <c r="B63" i="28" s="1"/>
  <c r="V63" i="12"/>
  <c r="V79" i="12"/>
  <c r="C79" i="18" s="1"/>
  <c r="X79" i="12"/>
  <c r="B79" i="28" s="1"/>
  <c r="V91" i="12"/>
  <c r="X91" i="12"/>
  <c r="B91" i="28" s="1"/>
  <c r="V99" i="12"/>
  <c r="X99" i="12"/>
  <c r="B99" i="28" s="1"/>
  <c r="AS23" i="28" s="1"/>
  <c r="BC23" i="28" s="1"/>
  <c r="DH29" i="28" s="1"/>
  <c r="DE29" i="28" s="1"/>
  <c r="V107" i="12"/>
  <c r="X107" i="12"/>
  <c r="B107" i="28" s="1"/>
  <c r="X115" i="12"/>
  <c r="B115" i="28" s="1"/>
  <c r="V115" i="12"/>
  <c r="X125" i="12"/>
  <c r="B125" i="28" s="1"/>
  <c r="V125" i="12"/>
  <c r="V131" i="12"/>
  <c r="C131" i="18" s="1"/>
  <c r="X131" i="12"/>
  <c r="B131" i="28" s="1"/>
  <c r="V139" i="12"/>
  <c r="X139" i="12"/>
  <c r="B139" i="28" s="1"/>
  <c r="X147" i="12"/>
  <c r="B147" i="28" s="1"/>
  <c r="V147" i="12"/>
  <c r="X157" i="12"/>
  <c r="B157" i="28" s="1"/>
  <c r="V157" i="12"/>
  <c r="X163" i="12"/>
  <c r="B163" i="28" s="1"/>
  <c r="V163" i="12"/>
  <c r="X171" i="12"/>
  <c r="B171" i="28" s="1"/>
  <c r="V171" i="12"/>
  <c r="V177" i="12"/>
  <c r="C177" i="18" s="1"/>
  <c r="X177" i="12"/>
  <c r="B177" i="28" s="1"/>
  <c r="V183" i="12"/>
  <c r="X183" i="12"/>
  <c r="B183" i="28" s="1"/>
  <c r="X18" i="12"/>
  <c r="B18" i="28" s="1"/>
  <c r="V18" i="12"/>
  <c r="V34" i="12"/>
  <c r="X34" i="12"/>
  <c r="B34" i="28" s="1"/>
  <c r="X50" i="12"/>
  <c r="B50" i="28" s="1"/>
  <c r="V50" i="12"/>
  <c r="V66" i="12"/>
  <c r="X66" i="12"/>
  <c r="B66" i="28" s="1"/>
  <c r="X82" i="12"/>
  <c r="B82" i="28" s="1"/>
  <c r="AS13" i="28" s="1"/>
  <c r="BC13" i="28" s="1"/>
  <c r="DH15" i="28" s="1"/>
  <c r="DE15" i="28" s="1"/>
  <c r="V82" i="12"/>
  <c r="V17" i="12"/>
  <c r="X17" i="12"/>
  <c r="B17" i="28" s="1"/>
  <c r="V33" i="12"/>
  <c r="X33" i="12"/>
  <c r="B33" i="28" s="1"/>
  <c r="X49" i="12"/>
  <c r="B49" i="28" s="1"/>
  <c r="V49" i="12"/>
  <c r="V65" i="12"/>
  <c r="C65" i="18" s="1"/>
  <c r="X65" i="12"/>
  <c r="B65" i="28" s="1"/>
  <c r="V81" i="12"/>
  <c r="X81" i="12"/>
  <c r="B81" i="28" s="1"/>
  <c r="V92" i="12"/>
  <c r="C92" i="18" s="1"/>
  <c r="X92" i="12"/>
  <c r="B92" i="28" s="1"/>
  <c r="AS22" i="28" s="1"/>
  <c r="BC22" i="28" s="1"/>
  <c r="DH28" i="28" s="1"/>
  <c r="DE28" i="28" s="1"/>
  <c r="X102" i="12"/>
  <c r="B102" i="28" s="1"/>
  <c r="V102" i="12"/>
  <c r="V114" i="12"/>
  <c r="C114" i="18" s="1"/>
  <c r="X114" i="12"/>
  <c r="B114" i="28" s="1"/>
  <c r="V124" i="12"/>
  <c r="X124" i="12"/>
  <c r="B124" i="28" s="1"/>
  <c r="V132" i="12"/>
  <c r="C132" i="18" s="1"/>
  <c r="X132" i="12"/>
  <c r="B132" i="28" s="1"/>
  <c r="X140" i="12"/>
  <c r="B140" i="28" s="1"/>
  <c r="V140" i="12"/>
  <c r="V148" i="12"/>
  <c r="X148" i="12"/>
  <c r="B148" i="28" s="1"/>
  <c r="X156" i="12"/>
  <c r="B156" i="28" s="1"/>
  <c r="V156" i="12"/>
  <c r="X164" i="12"/>
  <c r="B164" i="28" s="1"/>
  <c r="V164" i="12"/>
  <c r="X172" i="12"/>
  <c r="B172" i="28" s="1"/>
  <c r="V172" i="12"/>
  <c r="X180" i="12"/>
  <c r="B180" i="28" s="1"/>
  <c r="V180" i="12"/>
  <c r="V108" i="12"/>
  <c r="X108" i="12"/>
  <c r="B108" i="28" s="1"/>
  <c r="V40" i="12"/>
  <c r="C40" i="18" s="1"/>
  <c r="X40" i="12"/>
  <c r="B40" i="28" s="1"/>
  <c r="V7" i="12"/>
  <c r="X7" i="12"/>
  <c r="B7" i="28" s="1"/>
  <c r="X55" i="12"/>
  <c r="B55" i="28" s="1"/>
  <c r="V55" i="12"/>
  <c r="V103" i="12"/>
  <c r="X103" i="12"/>
  <c r="B103" i="28" s="1"/>
  <c r="V135" i="12"/>
  <c r="C135" i="18" s="1"/>
  <c r="X135" i="12"/>
  <c r="B135" i="28" s="1"/>
  <c r="V167" i="12"/>
  <c r="X167" i="12"/>
  <c r="B167" i="28" s="1"/>
  <c r="V26" i="12"/>
  <c r="C26" i="18" s="1"/>
  <c r="X26" i="12"/>
  <c r="B26" i="28" s="1"/>
  <c r="V25" i="12"/>
  <c r="X25" i="12"/>
  <c r="B25" i="28" s="1"/>
  <c r="X88" i="12"/>
  <c r="B88" i="28" s="1"/>
  <c r="AS30" i="28" s="1"/>
  <c r="BC30" i="28" s="1"/>
  <c r="DH39" i="28" s="1"/>
  <c r="DE39" i="28" s="1"/>
  <c r="V88" i="12"/>
  <c r="V128" i="12"/>
  <c r="X128" i="12"/>
  <c r="B128" i="28" s="1"/>
  <c r="V160" i="12"/>
  <c r="C160" i="18" s="1"/>
  <c r="X160" i="12"/>
  <c r="B160" i="28" s="1"/>
  <c r="X133" i="12"/>
  <c r="B133" i="28" s="1"/>
  <c r="V133" i="12"/>
  <c r="X4" i="12"/>
  <c r="B4" i="28" s="1"/>
  <c r="V4" i="12"/>
  <c r="V20" i="12"/>
  <c r="X20" i="12"/>
  <c r="B20" i="28" s="1"/>
  <c r="V36" i="12"/>
  <c r="X36" i="12"/>
  <c r="B36" i="28" s="1"/>
  <c r="X52" i="12"/>
  <c r="B52" i="28" s="1"/>
  <c r="V52" i="12"/>
  <c r="V68" i="12"/>
  <c r="C68" i="18" s="1"/>
  <c r="X68" i="12"/>
  <c r="B68" i="28" s="1"/>
  <c r="V84" i="12"/>
  <c r="X84" i="12"/>
  <c r="B84" i="28" s="1"/>
  <c r="V19" i="12"/>
  <c r="C19" i="18" s="1"/>
  <c r="X19" i="12"/>
  <c r="B19" i="28" s="1"/>
  <c r="X35" i="12"/>
  <c r="B35" i="28" s="1"/>
  <c r="V35" i="12"/>
  <c r="X51" i="12"/>
  <c r="B51" i="28" s="1"/>
  <c r="V51" i="12"/>
  <c r="X67" i="12"/>
  <c r="B67" i="28" s="1"/>
  <c r="V67" i="12"/>
  <c r="X83" i="12"/>
  <c r="B83" i="28" s="1"/>
  <c r="V83" i="12"/>
  <c r="V93" i="12"/>
  <c r="X93" i="12"/>
  <c r="B93" i="28" s="1"/>
  <c r="V101" i="12"/>
  <c r="X101" i="12"/>
  <c r="B101" i="28" s="1"/>
  <c r="V109" i="12"/>
  <c r="X109" i="12"/>
  <c r="B109" i="28" s="1"/>
  <c r="AS32" i="28" s="1"/>
  <c r="BC32" i="28" s="1"/>
  <c r="DH41" i="28" s="1"/>
  <c r="DE41" i="28" s="1"/>
  <c r="V117" i="12"/>
  <c r="C117" i="18" s="1"/>
  <c r="X117" i="12"/>
  <c r="B117" i="28" s="1"/>
  <c r="V141" i="12"/>
  <c r="X141" i="12"/>
  <c r="B141" i="28" s="1"/>
  <c r="V151" i="12"/>
  <c r="X151" i="12"/>
  <c r="B151" i="28" s="1"/>
  <c r="AS45" i="28" s="1"/>
  <c r="BC45" i="28" s="1"/>
  <c r="DH69" i="28" s="1"/>
  <c r="DE69" i="28" s="1"/>
  <c r="V165" i="12"/>
  <c r="X165" i="12"/>
  <c r="B165" i="28" s="1"/>
  <c r="V173" i="12"/>
  <c r="C173" i="18" s="1"/>
  <c r="X173" i="12"/>
  <c r="B173" i="28" s="1"/>
  <c r="X179" i="12"/>
  <c r="B179" i="28" s="1"/>
  <c r="V179" i="12"/>
  <c r="V6" i="12"/>
  <c r="C6" i="18" s="1"/>
  <c r="X6" i="12"/>
  <c r="B6" i="28" s="1"/>
  <c r="V22" i="12"/>
  <c r="X22" i="12"/>
  <c r="B22" i="28" s="1"/>
  <c r="V38" i="12"/>
  <c r="C38" i="18" s="1"/>
  <c r="X38" i="12"/>
  <c r="B38" i="28" s="1"/>
  <c r="V54" i="12"/>
  <c r="X54" i="12"/>
  <c r="B54" i="28" s="1"/>
  <c r="X70" i="12"/>
  <c r="B70" i="28" s="1"/>
  <c r="V70" i="12"/>
  <c r="V5" i="12"/>
  <c r="X5" i="12"/>
  <c r="B5" i="28" s="1"/>
  <c r="V21" i="12"/>
  <c r="X21" i="12"/>
  <c r="B21" i="28" s="1"/>
  <c r="V37" i="12"/>
  <c r="X37" i="12"/>
  <c r="B37" i="28" s="1"/>
  <c r="V53" i="12"/>
  <c r="C53" i="18" s="1"/>
  <c r="X53" i="12"/>
  <c r="B53" i="28" s="1"/>
  <c r="X69" i="12"/>
  <c r="B69" i="28" s="1"/>
  <c r="V69" i="12"/>
  <c r="V85" i="12"/>
  <c r="C85" i="18" s="1"/>
  <c r="X85" i="12"/>
  <c r="B85" i="28" s="1"/>
  <c r="X94" i="12"/>
  <c r="B94" i="28" s="1"/>
  <c r="V94" i="12"/>
  <c r="X104" i="12"/>
  <c r="B104" i="28" s="1"/>
  <c r="AS27" i="28" s="1"/>
  <c r="BC27" i="28" s="1"/>
  <c r="DH33" i="28" s="1"/>
  <c r="DE33" i="28" s="1"/>
  <c r="V104" i="12"/>
  <c r="V118" i="12"/>
  <c r="X118" i="12"/>
  <c r="B118" i="28" s="1"/>
  <c r="X126" i="12"/>
  <c r="B126" i="28" s="1"/>
  <c r="V126" i="12"/>
  <c r="V134" i="12"/>
  <c r="X134" i="12"/>
  <c r="B134" i="28" s="1"/>
  <c r="V142" i="12"/>
  <c r="C142" i="18" s="1"/>
  <c r="X142" i="12"/>
  <c r="B142" i="28" s="1"/>
  <c r="X150" i="12"/>
  <c r="B150" i="28" s="1"/>
  <c r="V150" i="12"/>
  <c r="V158" i="12"/>
  <c r="C158" i="18" s="1"/>
  <c r="X158" i="12"/>
  <c r="B158" i="28" s="1"/>
  <c r="V166" i="12"/>
  <c r="X166" i="12"/>
  <c r="B166" i="28" s="1"/>
  <c r="V174" i="12"/>
  <c r="C174" i="18" s="1"/>
  <c r="X174" i="12"/>
  <c r="B174" i="28" s="1"/>
  <c r="V182" i="12"/>
  <c r="X182" i="12"/>
  <c r="B182" i="28" s="1"/>
  <c r="X119" i="12"/>
  <c r="B119" i="28" s="1"/>
  <c r="V119" i="12"/>
  <c r="V3" i="12"/>
  <c r="X3" i="12"/>
  <c r="B3" i="28" s="1"/>
  <c r="AS3" i="28" s="1"/>
  <c r="AF88" i="12"/>
  <c r="AF36" i="12"/>
  <c r="AF25" i="12"/>
  <c r="AF64" i="12"/>
  <c r="AF79" i="12"/>
  <c r="AF56" i="12"/>
  <c r="AF74" i="12"/>
  <c r="AF48" i="12"/>
  <c r="AF10" i="12"/>
  <c r="AF101" i="12"/>
  <c r="AX121" i="12"/>
  <c r="R121" i="18" s="1"/>
  <c r="Q121" i="18" s="1"/>
  <c r="AX177" i="12"/>
  <c r="R177" i="18" s="1"/>
  <c r="Q177" i="18" s="1"/>
  <c r="AX169" i="12"/>
  <c r="R169" i="18" s="1"/>
  <c r="Q169" i="18" s="1"/>
  <c r="AX130" i="12"/>
  <c r="R130" i="18" s="1"/>
  <c r="Q130" i="18" s="1"/>
  <c r="AX161" i="12"/>
  <c r="R161" i="18" s="1"/>
  <c r="Q161" i="18" s="1"/>
  <c r="AX160" i="12"/>
  <c r="R160" i="18" s="1"/>
  <c r="Q160" i="18" s="1"/>
  <c r="AX129" i="12"/>
  <c r="R129" i="18" s="1"/>
  <c r="Q129" i="18" s="1"/>
  <c r="AX153" i="12"/>
  <c r="R153" i="18" s="1"/>
  <c r="Q153" i="18" s="1"/>
  <c r="AX128" i="12"/>
  <c r="R128" i="18" s="1"/>
  <c r="Q128" i="18" s="1"/>
  <c r="AX123" i="12"/>
  <c r="R123" i="18" s="1"/>
  <c r="Q123" i="18" s="1"/>
  <c r="AX131" i="12"/>
  <c r="R131" i="18" s="1"/>
  <c r="Q131" i="18" s="1"/>
  <c r="AX147" i="12"/>
  <c r="R147" i="18" s="1"/>
  <c r="Q147" i="18" s="1"/>
  <c r="AX122" i="12"/>
  <c r="R122" i="18" s="1"/>
  <c r="Q122" i="18" s="1"/>
  <c r="AX170" i="12"/>
  <c r="R170" i="18" s="1"/>
  <c r="Q170" i="18" s="1"/>
  <c r="AX155" i="12"/>
  <c r="R155" i="18" s="1"/>
  <c r="Q155" i="18" s="1"/>
  <c r="AX163" i="12"/>
  <c r="R163" i="18" s="1"/>
  <c r="Q163" i="18" s="1"/>
  <c r="AX171" i="12"/>
  <c r="R171" i="18" s="1"/>
  <c r="Q171" i="18" s="1"/>
  <c r="AX179" i="12"/>
  <c r="R179" i="18" s="1"/>
  <c r="Q179" i="18" s="1"/>
  <c r="AX156" i="12"/>
  <c r="R156" i="18" s="1"/>
  <c r="Q156" i="18" s="1"/>
  <c r="AX108" i="12"/>
  <c r="R108" i="18" s="1"/>
  <c r="Q108" i="18" s="1"/>
  <c r="AX168" i="12"/>
  <c r="R168" i="18" s="1"/>
  <c r="Q168" i="18" s="1"/>
  <c r="AX136" i="12"/>
  <c r="R136" i="18" s="1"/>
  <c r="Q136" i="18" s="1"/>
  <c r="AX138" i="12"/>
  <c r="R138" i="18" s="1"/>
  <c r="Q138" i="18" s="1"/>
  <c r="AX137" i="12"/>
  <c r="R137" i="18" s="1"/>
  <c r="Q137" i="18" s="1"/>
  <c r="AX145" i="12"/>
  <c r="R145" i="18" s="1"/>
  <c r="Q145" i="18" s="1"/>
  <c r="AX180" i="12"/>
  <c r="R180" i="18" s="1"/>
  <c r="Q180" i="18" s="1"/>
  <c r="AX162" i="12"/>
  <c r="R162" i="18" s="1"/>
  <c r="Q162" i="18" s="1"/>
  <c r="AX124" i="12"/>
  <c r="R124" i="18" s="1"/>
  <c r="Q124" i="18" s="1"/>
  <c r="AX158" i="12"/>
  <c r="R158" i="18" s="1"/>
  <c r="Q158" i="18" s="1"/>
  <c r="AO5" i="2"/>
  <c r="AP5" i="2"/>
  <c r="AO41" i="2"/>
  <c r="AP41" i="2"/>
  <c r="AO134" i="2"/>
  <c r="AP134" i="2"/>
  <c r="AO8" i="2"/>
  <c r="AP8" i="2"/>
  <c r="AO16" i="2"/>
  <c r="AP16" i="2"/>
  <c r="AO24" i="2"/>
  <c r="AP24" i="2"/>
  <c r="AO32" i="2"/>
  <c r="AP32" i="2"/>
  <c r="AO40" i="2"/>
  <c r="AP40" i="2"/>
  <c r="AO48" i="2"/>
  <c r="AP48" i="2"/>
  <c r="AO56" i="2"/>
  <c r="AP56" i="2"/>
  <c r="AO64" i="2"/>
  <c r="AP64" i="2"/>
  <c r="AO72" i="2"/>
  <c r="AP72" i="2"/>
  <c r="AO80" i="2"/>
  <c r="AP80" i="2"/>
  <c r="AO14" i="2"/>
  <c r="AP14" i="2"/>
  <c r="AO29" i="2"/>
  <c r="AP29" i="2"/>
  <c r="AO37" i="2"/>
  <c r="AP37" i="2"/>
  <c r="AO57" i="2"/>
  <c r="AP57" i="2"/>
  <c r="AO65" i="2"/>
  <c r="AP65" i="2"/>
  <c r="AO73" i="2"/>
  <c r="AP73" i="2"/>
  <c r="AO98" i="2"/>
  <c r="AP98" i="2"/>
  <c r="AO150" i="2"/>
  <c r="AP150" i="2"/>
  <c r="AO7" i="2"/>
  <c r="AP7" i="2"/>
  <c r="AO15" i="2"/>
  <c r="AP15" i="2"/>
  <c r="AO23" i="2"/>
  <c r="AP23" i="2"/>
  <c r="AO31" i="2"/>
  <c r="AP31" i="2"/>
  <c r="AO39" i="2"/>
  <c r="AP39" i="2"/>
  <c r="AO47" i="2"/>
  <c r="AP47" i="2"/>
  <c r="AO55" i="2"/>
  <c r="AP55" i="2"/>
  <c r="AO63" i="2"/>
  <c r="AP63" i="2"/>
  <c r="AO71" i="2"/>
  <c r="AP71" i="2"/>
  <c r="AO79" i="2"/>
  <c r="AP79" i="2"/>
  <c r="AO87" i="2"/>
  <c r="AP87" i="2"/>
  <c r="AO91" i="2"/>
  <c r="AP91" i="2"/>
  <c r="AO95" i="2"/>
  <c r="AP95" i="2"/>
  <c r="AO99" i="2"/>
  <c r="AP99" i="2"/>
  <c r="AO103" i="2"/>
  <c r="AP103" i="2"/>
  <c r="AO107" i="2"/>
  <c r="AP107" i="2"/>
  <c r="AO115" i="2"/>
  <c r="AP115" i="2"/>
  <c r="AO22" i="2"/>
  <c r="AP22" i="2"/>
  <c r="AO30" i="2"/>
  <c r="AP30" i="2"/>
  <c r="AO62" i="2"/>
  <c r="AP62" i="2"/>
  <c r="AO70" i="2"/>
  <c r="AP70" i="2"/>
  <c r="AO21" i="2"/>
  <c r="AP21" i="2"/>
  <c r="AO88" i="2"/>
  <c r="AP88" i="2"/>
  <c r="AO96" i="2"/>
  <c r="AP96" i="2"/>
  <c r="AO102" i="2"/>
  <c r="AP102" i="2"/>
  <c r="AO120" i="2"/>
  <c r="AP120" i="2"/>
  <c r="AO6" i="2"/>
  <c r="AP6" i="2"/>
  <c r="AO38" i="2"/>
  <c r="AP38" i="2"/>
  <c r="AO46" i="2"/>
  <c r="AP46" i="2"/>
  <c r="AO54" i="2"/>
  <c r="AP54" i="2"/>
  <c r="AO78" i="2"/>
  <c r="AP78" i="2"/>
  <c r="AO9" i="2"/>
  <c r="AP9" i="2"/>
  <c r="AO17" i="2"/>
  <c r="AP17" i="2"/>
  <c r="AO85" i="2"/>
  <c r="AP85" i="2"/>
  <c r="AO94" i="2"/>
  <c r="AP94" i="2"/>
  <c r="AP3" i="2"/>
  <c r="AO3" i="2"/>
  <c r="AO25" i="2"/>
  <c r="AP25" i="2"/>
  <c r="AO45" i="2"/>
  <c r="AP45" i="2"/>
  <c r="AO12" i="2"/>
  <c r="AP12" i="2"/>
  <c r="AO20" i="2"/>
  <c r="AP20" i="2"/>
  <c r="AO28" i="2"/>
  <c r="AP28" i="2"/>
  <c r="AO36" i="2"/>
  <c r="AP36" i="2"/>
  <c r="AO44" i="2"/>
  <c r="AP44" i="2"/>
  <c r="AO52" i="2"/>
  <c r="AP52" i="2"/>
  <c r="AO60" i="2"/>
  <c r="AP60" i="2"/>
  <c r="AO68" i="2"/>
  <c r="AP68" i="2"/>
  <c r="AO76" i="2"/>
  <c r="AP76" i="2"/>
  <c r="AO84" i="2"/>
  <c r="AP84" i="2"/>
  <c r="AO82" i="2"/>
  <c r="AP82" i="2"/>
  <c r="AO33" i="2"/>
  <c r="AP33" i="2"/>
  <c r="AO53" i="2"/>
  <c r="AP53" i="2"/>
  <c r="AO61" i="2"/>
  <c r="AP61" i="2"/>
  <c r="AO69" i="2"/>
  <c r="AP69" i="2"/>
  <c r="AO77" i="2"/>
  <c r="AP77" i="2"/>
  <c r="AO106" i="2"/>
  <c r="AP106" i="2"/>
  <c r="AO11" i="2"/>
  <c r="AP11" i="2"/>
  <c r="AO19" i="2"/>
  <c r="AP19" i="2"/>
  <c r="AO27" i="2"/>
  <c r="AP27" i="2"/>
  <c r="AO35" i="2"/>
  <c r="AP35" i="2"/>
  <c r="AO43" i="2"/>
  <c r="AP43" i="2"/>
  <c r="AO51" i="2"/>
  <c r="AP51" i="2"/>
  <c r="AO59" i="2"/>
  <c r="AP59" i="2"/>
  <c r="AO67" i="2"/>
  <c r="AP67" i="2"/>
  <c r="AO75" i="2"/>
  <c r="AP75" i="2"/>
  <c r="AO83" i="2"/>
  <c r="AP83" i="2"/>
  <c r="AO89" i="2"/>
  <c r="AP89" i="2"/>
  <c r="AO93" i="2"/>
  <c r="AP93" i="2"/>
  <c r="AO97" i="2"/>
  <c r="AP97" i="2"/>
  <c r="AO101" i="2"/>
  <c r="AP101" i="2"/>
  <c r="AO105" i="2"/>
  <c r="AP105" i="2"/>
  <c r="AO109" i="2"/>
  <c r="AP109" i="2"/>
  <c r="AO113" i="2"/>
  <c r="AP113" i="2"/>
  <c r="AO117" i="2"/>
  <c r="AP117" i="2"/>
  <c r="AO10" i="2"/>
  <c r="AP10" i="2"/>
  <c r="AO26" i="2"/>
  <c r="AP26" i="2"/>
  <c r="AO34" i="2"/>
  <c r="AP34" i="2"/>
  <c r="AO66" i="2"/>
  <c r="AP66" i="2"/>
  <c r="AO74" i="2"/>
  <c r="AP74" i="2"/>
  <c r="AO49" i="2"/>
  <c r="AP49" i="2"/>
  <c r="AO92" i="2"/>
  <c r="AP92" i="2"/>
  <c r="AO100" i="2"/>
  <c r="AP100" i="2"/>
  <c r="AO104" i="2"/>
  <c r="AP104" i="2"/>
  <c r="AO18" i="2"/>
  <c r="AP18" i="2"/>
  <c r="AO42" i="2"/>
  <c r="AP42" i="2"/>
  <c r="AO50" i="2"/>
  <c r="AP50" i="2"/>
  <c r="AO58" i="2"/>
  <c r="AP58" i="2"/>
  <c r="AO13" i="2"/>
  <c r="AP13" i="2"/>
  <c r="AO81" i="2"/>
  <c r="AP81" i="2"/>
  <c r="AO90" i="2"/>
  <c r="AP90" i="2"/>
  <c r="AO114" i="2"/>
  <c r="AP114" i="2"/>
  <c r="K118" i="8"/>
  <c r="M117" i="8"/>
  <c r="K75" i="8"/>
  <c r="M74" i="8"/>
  <c r="K90" i="8"/>
  <c r="M89" i="8"/>
  <c r="AF215" i="20"/>
  <c r="AF214" i="9" s="1"/>
  <c r="AH214" i="9"/>
  <c r="AQ33" i="12"/>
  <c r="E8" i="8"/>
  <c r="E4" i="8"/>
  <c r="K17" i="8" s="1"/>
  <c r="B184" i="2"/>
  <c r="B177" i="2"/>
  <c r="B181" i="2"/>
  <c r="E12" i="8"/>
  <c r="E7" i="8"/>
  <c r="E3" i="8"/>
  <c r="B182" i="2"/>
  <c r="E11" i="8"/>
  <c r="B172" i="2"/>
  <c r="B166" i="2"/>
  <c r="B164" i="2"/>
  <c r="B180" i="2"/>
  <c r="E6" i="8"/>
  <c r="B176" i="2"/>
  <c r="B174" i="2"/>
  <c r="B173" i="2"/>
  <c r="B169" i="2"/>
  <c r="E9" i="8"/>
  <c r="E5" i="8"/>
  <c r="B170" i="2"/>
  <c r="B162" i="2"/>
  <c r="B178" i="2"/>
  <c r="B168" i="2"/>
  <c r="A14" i="8"/>
  <c r="C13" i="8"/>
  <c r="E13" i="8"/>
  <c r="AC3" i="2"/>
  <c r="AB302" i="20"/>
  <c r="AB300" i="9"/>
  <c r="AB370" i="20"/>
  <c r="AB368" i="9"/>
  <c r="AC369" i="20"/>
  <c r="AC368" i="9" s="1"/>
  <c r="AB396" i="20"/>
  <c r="AB394" i="9"/>
  <c r="E3" i="21"/>
  <c r="F3" i="21"/>
  <c r="C3" i="21"/>
  <c r="B3" i="21"/>
  <c r="D3" i="21"/>
  <c r="A61" i="9"/>
  <c r="A90" i="9"/>
  <c r="A41" i="9"/>
  <c r="A123" i="9"/>
  <c r="A12" i="9"/>
  <c r="Q38" i="17"/>
  <c r="Q88" i="17"/>
  <c r="Q58" i="17"/>
  <c r="Q79" i="17"/>
  <c r="Q122" i="17"/>
  <c r="A9" i="17"/>
  <c r="Q9" i="17" s="1"/>
  <c r="W383" i="20"/>
  <c r="A383" i="20"/>
  <c r="W367" i="20"/>
  <c r="AC367" i="20" s="1"/>
  <c r="AC366" i="9" s="1"/>
  <c r="A367" i="20"/>
  <c r="A252" i="20"/>
  <c r="W252" i="20"/>
  <c r="W176" i="20"/>
  <c r="A176" i="20"/>
  <c r="W204" i="20"/>
  <c r="A204" i="20"/>
  <c r="W279" i="20"/>
  <c r="A279" i="20"/>
  <c r="A34" i="20"/>
  <c r="W34" i="20"/>
  <c r="A65" i="20"/>
  <c r="W65" i="20"/>
  <c r="A24" i="20"/>
  <c r="W24" i="20"/>
  <c r="A50" i="20"/>
  <c r="W50" i="20"/>
  <c r="A403" i="20"/>
  <c r="W403" i="20"/>
  <c r="W284" i="20"/>
  <c r="A284" i="20"/>
  <c r="W220" i="20"/>
  <c r="A220" i="20"/>
  <c r="A270" i="20"/>
  <c r="W270" i="20"/>
  <c r="A195" i="20"/>
  <c r="W195" i="20"/>
  <c r="W257" i="20"/>
  <c r="A257" i="20"/>
  <c r="W5" i="20"/>
  <c r="AC5" i="20" s="1"/>
  <c r="A5" i="20"/>
  <c r="A238" i="20"/>
  <c r="W238" i="20"/>
  <c r="W313" i="20"/>
  <c r="A313" i="20"/>
  <c r="AO149" i="12"/>
  <c r="AO153" i="12"/>
  <c r="AO155" i="12"/>
  <c r="AR186" i="12"/>
  <c r="AO81" i="12"/>
  <c r="AO54" i="12"/>
  <c r="AO70" i="12"/>
  <c r="AO85" i="12"/>
  <c r="AO76" i="12"/>
  <c r="AO65" i="12"/>
  <c r="AO61" i="12"/>
  <c r="AO75" i="12"/>
  <c r="AO55" i="12"/>
  <c r="AO104" i="12"/>
  <c r="AO113" i="12"/>
  <c r="AO129" i="12"/>
  <c r="AO117" i="12"/>
  <c r="AO131" i="12"/>
  <c r="AO151" i="12"/>
  <c r="Z82" i="12"/>
  <c r="G82" i="18" s="1"/>
  <c r="AO111" i="12"/>
  <c r="AP159" i="12"/>
  <c r="AO136" i="12"/>
  <c r="AO134" i="12"/>
  <c r="AO135" i="12"/>
  <c r="AO124" i="12"/>
  <c r="AO147" i="12"/>
  <c r="AO156" i="12"/>
  <c r="AO130" i="12"/>
  <c r="AO187" i="12"/>
  <c r="P52" i="12"/>
  <c r="AQ52" i="12"/>
  <c r="P149" i="12"/>
  <c r="AQ149" i="12"/>
  <c r="P89" i="12"/>
  <c r="P176" i="12"/>
  <c r="Q47" i="12"/>
  <c r="BA47" i="12" s="1"/>
  <c r="AR47" i="12"/>
  <c r="P21" i="12"/>
  <c r="AQ21" i="12"/>
  <c r="P81" i="12"/>
  <c r="P168" i="12"/>
  <c r="AQ168" i="12"/>
  <c r="P103" i="12"/>
  <c r="P129" i="12"/>
  <c r="P161" i="12"/>
  <c r="AQ161" i="12"/>
  <c r="P167" i="12"/>
  <c r="P120" i="12"/>
  <c r="P17" i="12"/>
  <c r="AQ17" i="12"/>
  <c r="P54" i="12"/>
  <c r="P142" i="12"/>
  <c r="P63" i="12"/>
  <c r="P158" i="12"/>
  <c r="AQ158" i="12"/>
  <c r="P150" i="12"/>
  <c r="AQ150" i="12"/>
  <c r="P24" i="12"/>
  <c r="AQ24" i="12"/>
  <c r="P141" i="12"/>
  <c r="AQ141" i="12"/>
  <c r="P125" i="12"/>
  <c r="AQ125" i="12"/>
  <c r="P74" i="12"/>
  <c r="P100" i="12"/>
  <c r="P88" i="12"/>
  <c r="P169" i="12"/>
  <c r="P38" i="12"/>
  <c r="AQ38" i="12"/>
  <c r="P71" i="12"/>
  <c r="T71" i="12"/>
  <c r="F71" i="18" s="1"/>
  <c r="P80" i="12"/>
  <c r="T80" i="12"/>
  <c r="F80" i="18" s="1"/>
  <c r="P36" i="12"/>
  <c r="AQ36" i="12"/>
  <c r="P40" i="12"/>
  <c r="AQ40" i="12"/>
  <c r="P153" i="12"/>
  <c r="P93" i="12"/>
  <c r="P50" i="12"/>
  <c r="AQ50" i="12"/>
  <c r="P23" i="12"/>
  <c r="AQ23" i="12"/>
  <c r="P5" i="12"/>
  <c r="AQ5" i="12"/>
  <c r="P107" i="12"/>
  <c r="AP104" i="12"/>
  <c r="AP171" i="12"/>
  <c r="P174" i="12"/>
  <c r="P133" i="12"/>
  <c r="AQ133" i="12"/>
  <c r="P113" i="12"/>
  <c r="T113" i="12" s="1"/>
  <c r="F113" i="18" s="1"/>
  <c r="P126" i="12"/>
  <c r="AQ126" i="12"/>
  <c r="P124" i="12"/>
  <c r="AQ124" i="12"/>
  <c r="P147" i="12"/>
  <c r="AQ147" i="12"/>
  <c r="Q159" i="12"/>
  <c r="Q143" i="12"/>
  <c r="Q67" i="12"/>
  <c r="AR67" i="12"/>
  <c r="Q145" i="12"/>
  <c r="P69" i="12"/>
  <c r="T69" i="12"/>
  <c r="F69" i="18" s="1"/>
  <c r="P42" i="12"/>
  <c r="AQ42" i="12"/>
  <c r="P181" i="12"/>
  <c r="P177" i="12"/>
  <c r="P78" i="12"/>
  <c r="P140" i="12"/>
  <c r="AQ140" i="12"/>
  <c r="P172" i="12"/>
  <c r="P13" i="12"/>
  <c r="AQ13" i="12"/>
  <c r="P41" i="12"/>
  <c r="AQ41" i="12"/>
  <c r="P60" i="12"/>
  <c r="P170" i="12"/>
  <c r="P26" i="12"/>
  <c r="AQ26" i="12"/>
  <c r="P114" i="12"/>
  <c r="P108" i="12"/>
  <c r="P53" i="12"/>
  <c r="P106" i="12"/>
  <c r="P39" i="12"/>
  <c r="AQ39" i="12"/>
  <c r="P146" i="12"/>
  <c r="P45" i="12"/>
  <c r="AQ45" i="12"/>
  <c r="P20" i="12"/>
  <c r="AQ20" i="12"/>
  <c r="P160" i="12"/>
  <c r="AQ160" i="12"/>
  <c r="P51" i="12"/>
  <c r="AQ51" i="12"/>
  <c r="P10" i="12"/>
  <c r="AQ10" i="12"/>
  <c r="P110" i="12"/>
  <c r="P37" i="12"/>
  <c r="AQ37" i="12"/>
  <c r="P25" i="12"/>
  <c r="AQ25" i="12"/>
  <c r="AP119" i="12"/>
  <c r="AP96" i="12"/>
  <c r="AO64" i="12"/>
  <c r="AO79" i="12"/>
  <c r="AO67" i="12"/>
  <c r="AO62" i="12"/>
  <c r="AO63" i="12"/>
  <c r="AO82" i="12"/>
  <c r="AO71" i="12"/>
  <c r="AP112" i="12"/>
  <c r="AO69" i="12"/>
  <c r="AO58" i="12"/>
  <c r="AO78" i="12"/>
  <c r="AO73" i="12"/>
  <c r="AO60" i="12"/>
  <c r="AO53" i="12"/>
  <c r="AO56" i="12"/>
  <c r="AR187" i="12"/>
  <c r="AR188" i="12"/>
  <c r="AP136" i="12"/>
  <c r="AP102" i="12"/>
  <c r="AP134" i="12"/>
  <c r="AP99" i="12"/>
  <c r="AP101" i="12"/>
  <c r="AP115" i="12"/>
  <c r="AP105" i="12"/>
  <c r="AP92" i="12"/>
  <c r="AP191" i="12"/>
  <c r="P104" i="12"/>
  <c r="P86" i="12"/>
  <c r="P4" i="12"/>
  <c r="AQ4" i="12"/>
  <c r="P171" i="12"/>
  <c r="P85" i="12"/>
  <c r="P83" i="12"/>
  <c r="P183" i="12"/>
  <c r="P84" i="12"/>
  <c r="T84" i="12"/>
  <c r="F84" i="18" s="1"/>
  <c r="P77" i="12"/>
  <c r="T77" i="12"/>
  <c r="F77" i="18" s="1"/>
  <c r="AP135" i="12"/>
  <c r="AP132" i="12"/>
  <c r="AP118" i="12"/>
  <c r="AP127" i="12"/>
  <c r="AP97" i="12"/>
  <c r="AP156" i="12"/>
  <c r="AP130" i="12"/>
  <c r="AP121" i="12"/>
  <c r="P154" i="12"/>
  <c r="AQ154" i="12"/>
  <c r="P128" i="12"/>
  <c r="AQ128" i="12"/>
  <c r="P119" i="12"/>
  <c r="Q33" i="12"/>
  <c r="BA33" i="12" s="1"/>
  <c r="AR33" i="12"/>
  <c r="P122" i="12"/>
  <c r="AQ122" i="12"/>
  <c r="P96" i="12"/>
  <c r="P111" i="12"/>
  <c r="P164" i="12"/>
  <c r="AO109" i="12"/>
  <c r="AO88" i="12"/>
  <c r="AO122" i="12"/>
  <c r="AO123" i="12"/>
  <c r="AO139" i="12"/>
  <c r="AO146" i="12"/>
  <c r="P32" i="12"/>
  <c r="AQ32" i="12"/>
  <c r="P136" i="12"/>
  <c r="AQ136" i="12"/>
  <c r="P19" i="12"/>
  <c r="AQ19" i="12"/>
  <c r="P18" i="12"/>
  <c r="AQ18" i="12"/>
  <c r="P102" i="12"/>
  <c r="P98" i="12"/>
  <c r="T98" i="12" s="1"/>
  <c r="F98" i="18" s="1"/>
  <c r="P62" i="12"/>
  <c r="P134" i="12"/>
  <c r="AQ134" i="12"/>
  <c r="P99" i="12"/>
  <c r="P131" i="12"/>
  <c r="AQ131" i="12"/>
  <c r="P101" i="12"/>
  <c r="T101" i="12" s="1"/>
  <c r="F101" i="18" s="1"/>
  <c r="P6" i="12"/>
  <c r="AQ6" i="12"/>
  <c r="P182" i="12"/>
  <c r="P90" i="12"/>
  <c r="T90" i="12" s="1"/>
  <c r="F90" i="18" s="1"/>
  <c r="Q139" i="12"/>
  <c r="P179" i="12"/>
  <c r="AQ179" i="12"/>
  <c r="P115" i="12"/>
  <c r="P29" i="12"/>
  <c r="AQ29" i="12"/>
  <c r="P31" i="12"/>
  <c r="AQ31" i="12"/>
  <c r="P105" i="12"/>
  <c r="P44" i="12"/>
  <c r="AQ44" i="12"/>
  <c r="P59" i="12"/>
  <c r="P66" i="12"/>
  <c r="P166" i="12"/>
  <c r="P82" i="12"/>
  <c r="T82" i="12"/>
  <c r="F82" i="18" s="1"/>
  <c r="P163" i="12"/>
  <c r="AQ163" i="12"/>
  <c r="P138" i="12"/>
  <c r="AQ138" i="12"/>
  <c r="P34" i="12"/>
  <c r="AQ34" i="12"/>
  <c r="P123" i="12"/>
  <c r="P175" i="12"/>
  <c r="AQ175" i="12"/>
  <c r="P8" i="12"/>
  <c r="AQ8" i="12"/>
  <c r="P173" i="12"/>
  <c r="P27" i="12"/>
  <c r="AQ27" i="12"/>
  <c r="P22" i="12"/>
  <c r="AQ22" i="12"/>
  <c r="P70" i="12"/>
  <c r="P92" i="12"/>
  <c r="P144" i="12"/>
  <c r="AQ144" i="12"/>
  <c r="AP95" i="12"/>
  <c r="AP94" i="12"/>
  <c r="AP87" i="12"/>
  <c r="P16" i="12"/>
  <c r="AQ16" i="12"/>
  <c r="P135" i="12"/>
  <c r="AQ135" i="12"/>
  <c r="Q43" i="12"/>
  <c r="BA43" i="12" s="1"/>
  <c r="AR43" i="12"/>
  <c r="P46" i="12"/>
  <c r="AQ46" i="12"/>
  <c r="P15" i="12"/>
  <c r="AQ15" i="12"/>
  <c r="P68" i="12"/>
  <c r="P162" i="12"/>
  <c r="P165" i="12"/>
  <c r="AQ165" i="12"/>
  <c r="P76" i="12"/>
  <c r="P132" i="12"/>
  <c r="AQ132" i="12"/>
  <c r="P11" i="12"/>
  <c r="AQ11" i="12"/>
  <c r="P14" i="12"/>
  <c r="AQ14" i="12"/>
  <c r="P118" i="12"/>
  <c r="P9" i="12"/>
  <c r="AQ9" i="12"/>
  <c r="P58" i="12"/>
  <c r="T58" i="12"/>
  <c r="F58" i="18" s="1"/>
  <c r="P65" i="12"/>
  <c r="T65" i="12"/>
  <c r="F65" i="18" s="1"/>
  <c r="P127" i="12"/>
  <c r="AQ127" i="12"/>
  <c r="P148" i="12"/>
  <c r="P61" i="12"/>
  <c r="P73" i="12"/>
  <c r="P157" i="12"/>
  <c r="AQ157" i="12"/>
  <c r="P97" i="12"/>
  <c r="P155" i="12"/>
  <c r="AQ155" i="12"/>
  <c r="P7" i="12"/>
  <c r="AQ7" i="12"/>
  <c r="P156" i="12"/>
  <c r="AQ156" i="12"/>
  <c r="P130" i="12"/>
  <c r="AQ130" i="12"/>
  <c r="P184" i="12"/>
  <c r="P30" i="12"/>
  <c r="AQ30" i="12"/>
  <c r="P75" i="12"/>
  <c r="P121" i="12"/>
  <c r="P56" i="12"/>
  <c r="T56" i="12"/>
  <c r="F56" i="18" s="1"/>
  <c r="P137" i="12"/>
  <c r="AQ137" i="12"/>
  <c r="P117" i="12"/>
  <c r="P151" i="12"/>
  <c r="P55" i="12"/>
  <c r="P178" i="12"/>
  <c r="AP91" i="12"/>
  <c r="AP116" i="12"/>
  <c r="AP109" i="12"/>
  <c r="P79" i="12"/>
  <c r="AO167" i="12"/>
  <c r="AO166" i="12"/>
  <c r="AO169" i="12"/>
  <c r="AO164" i="12"/>
  <c r="AO162" i="12"/>
  <c r="AO181" i="12"/>
  <c r="AO178" i="12"/>
  <c r="AO192" i="12"/>
  <c r="AO191" i="12"/>
  <c r="AO189" i="12"/>
  <c r="AO190" i="12"/>
  <c r="AO57" i="12"/>
  <c r="AO72" i="12"/>
  <c r="AO74" i="12"/>
  <c r="AO80" i="12"/>
  <c r="AO84" i="12"/>
  <c r="AO77" i="12"/>
  <c r="AR185" i="12"/>
  <c r="AP89" i="12"/>
  <c r="AP176" i="12"/>
  <c r="AP103" i="12"/>
  <c r="AP161" i="12"/>
  <c r="AP120" i="12"/>
  <c r="AP100" i="12"/>
  <c r="AP88" i="12"/>
  <c r="AP93" i="12"/>
  <c r="AP107" i="12"/>
  <c r="AQ188" i="12"/>
  <c r="P95" i="12"/>
  <c r="T95" i="12" s="1"/>
  <c r="F95" i="18" s="1"/>
  <c r="P28" i="12"/>
  <c r="AQ28" i="12"/>
  <c r="P180" i="12"/>
  <c r="P94" i="12"/>
  <c r="P87" i="12"/>
  <c r="Q112" i="12"/>
  <c r="BA112" i="12" s="1"/>
  <c r="P35" i="12"/>
  <c r="AQ35" i="12"/>
  <c r="P49" i="12"/>
  <c r="AQ49" i="12"/>
  <c r="P152" i="12"/>
  <c r="AQ152" i="12"/>
  <c r="AP113" i="12"/>
  <c r="AP126" i="12"/>
  <c r="AP124" i="12"/>
  <c r="AP147" i="12"/>
  <c r="AQ159" i="12"/>
  <c r="AQ143" i="12"/>
  <c r="AQ145" i="12"/>
  <c r="AP108" i="12"/>
  <c r="AP106" i="12"/>
  <c r="AP160" i="12"/>
  <c r="AQ185" i="12"/>
  <c r="P91" i="12"/>
  <c r="P48" i="12"/>
  <c r="AQ48" i="12"/>
  <c r="P57" i="12"/>
  <c r="P64" i="12"/>
  <c r="P116" i="12"/>
  <c r="P109" i="12"/>
  <c r="P72" i="12"/>
  <c r="AQ187" i="12"/>
  <c r="N9" i="4"/>
  <c r="N32" i="4"/>
  <c r="N47" i="4"/>
  <c r="N66" i="4"/>
  <c r="N13" i="4"/>
  <c r="N21" i="4"/>
  <c r="N48" i="4"/>
  <c r="N69" i="4"/>
  <c r="N56" i="4"/>
  <c r="N62" i="4"/>
  <c r="N44" i="4"/>
  <c r="N45" i="4"/>
  <c r="N60" i="4"/>
  <c r="N71" i="4"/>
  <c r="N37" i="4"/>
  <c r="N57" i="4"/>
  <c r="N70" i="4"/>
  <c r="N52" i="4"/>
  <c r="N63" i="4"/>
  <c r="N59" i="4"/>
  <c r="N72" i="4"/>
  <c r="N19" i="4"/>
  <c r="N64" i="4"/>
  <c r="N8" i="4"/>
  <c r="N5" i="4"/>
  <c r="N22" i="4"/>
  <c r="N53" i="4"/>
  <c r="N73" i="4"/>
  <c r="N6" i="4"/>
  <c r="N35" i="4"/>
  <c r="N18" i="4"/>
  <c r="N58" i="4"/>
  <c r="N38" i="4"/>
  <c r="N67" i="4"/>
  <c r="N33" i="4"/>
  <c r="N36" i="4"/>
  <c r="N46" i="4"/>
  <c r="N54" i="4"/>
  <c r="AX4" i="12"/>
  <c r="R4" i="18" s="1"/>
  <c r="Q4" i="18" s="1"/>
  <c r="N68" i="4"/>
  <c r="N65" i="4"/>
  <c r="N61" i="4"/>
  <c r="N16" i="4"/>
  <c r="N51" i="4"/>
  <c r="N55" i="4"/>
  <c r="AG191" i="2"/>
  <c r="AG192" i="2"/>
  <c r="AG190" i="2"/>
  <c r="Q185" i="12"/>
  <c r="Q187" i="12"/>
  <c r="Q191" i="12"/>
  <c r="AS191" i="12" s="1"/>
  <c r="Q188" i="12"/>
  <c r="Q189" i="12"/>
  <c r="AS189" i="12" s="1"/>
  <c r="Q192" i="12"/>
  <c r="AS192" i="12" s="1"/>
  <c r="Q186" i="12"/>
  <c r="P190" i="12"/>
  <c r="AR190" i="12" s="1"/>
  <c r="P12" i="12"/>
  <c r="AR12" i="12" s="1"/>
  <c r="O35" i="10"/>
  <c r="O9" i="10"/>
  <c r="O24" i="10"/>
  <c r="O48" i="10"/>
  <c r="O49" i="10"/>
  <c r="O22" i="10"/>
  <c r="T78" i="12"/>
  <c r="F78" i="18" s="1"/>
  <c r="T67" i="12"/>
  <c r="F67" i="18" s="1"/>
  <c r="AG181" i="2"/>
  <c r="AG177" i="2"/>
  <c r="AG176" i="2"/>
  <c r="AG166" i="2"/>
  <c r="AG184" i="2"/>
  <c r="AM180" i="12"/>
  <c r="AG180" i="2"/>
  <c r="AM164" i="12"/>
  <c r="AE164" i="12" s="1"/>
  <c r="AD164" i="12" s="1"/>
  <c r="AG164" i="2"/>
  <c r="AG162" i="2"/>
  <c r="AG173" i="2"/>
  <c r="AG168" i="2"/>
  <c r="AG172" i="2"/>
  <c r="AG182" i="2"/>
  <c r="AG169" i="2"/>
  <c r="AM182" i="12"/>
  <c r="AG174" i="2"/>
  <c r="AG170" i="2"/>
  <c r="AG178" i="2"/>
  <c r="AE80" i="2"/>
  <c r="AF80" i="2"/>
  <c r="AE42" i="2"/>
  <c r="AF42" i="2"/>
  <c r="AE130" i="2"/>
  <c r="AF130" i="2"/>
  <c r="AE9" i="2"/>
  <c r="AF9" i="2"/>
  <c r="AE165" i="2"/>
  <c r="AF165" i="2"/>
  <c r="AE40" i="2"/>
  <c r="AF40" i="2"/>
  <c r="AE22" i="2"/>
  <c r="AF22" i="2"/>
  <c r="AE113" i="2"/>
  <c r="AF113" i="2"/>
  <c r="AE153" i="2"/>
  <c r="AF153" i="2"/>
  <c r="AE12" i="2"/>
  <c r="AF12" i="2"/>
  <c r="AE38" i="2"/>
  <c r="AF38" i="2"/>
  <c r="AE129" i="2"/>
  <c r="AF129" i="2"/>
  <c r="AE145" i="2"/>
  <c r="AF145" i="2"/>
  <c r="AE4" i="2"/>
  <c r="AF4" i="2"/>
  <c r="AE45" i="2"/>
  <c r="AF45" i="2"/>
  <c r="AE117" i="2"/>
  <c r="AF117" i="2"/>
  <c r="AM166" i="12"/>
  <c r="AC166" i="12" s="1"/>
  <c r="O166" i="18" s="1"/>
  <c r="AE82" i="2"/>
  <c r="AF82" i="2"/>
  <c r="AE81" i="2"/>
  <c r="AF81" i="2"/>
  <c r="AE132" i="2"/>
  <c r="AF132" i="2"/>
  <c r="AE32" i="2"/>
  <c r="AF32" i="2"/>
  <c r="AE94" i="2"/>
  <c r="AF94" i="2"/>
  <c r="AE89" i="2"/>
  <c r="AF89" i="2"/>
  <c r="AE140" i="2"/>
  <c r="AF140" i="2"/>
  <c r="AE120" i="2"/>
  <c r="AF120" i="2"/>
  <c r="AE59" i="2"/>
  <c r="AF59" i="2"/>
  <c r="AE18" i="2"/>
  <c r="AF18" i="2"/>
  <c r="AE116" i="2"/>
  <c r="AF116" i="2"/>
  <c r="AE43" i="2"/>
  <c r="AF43" i="2"/>
  <c r="AE150" i="2"/>
  <c r="AF150" i="2"/>
  <c r="AE29" i="2"/>
  <c r="AF29" i="2"/>
  <c r="AE137" i="2"/>
  <c r="AF137" i="2"/>
  <c r="AE75" i="2"/>
  <c r="AF75" i="2"/>
  <c r="AE62" i="2"/>
  <c r="AF62" i="2"/>
  <c r="AE101" i="2"/>
  <c r="AF101" i="2"/>
  <c r="AE100" i="2"/>
  <c r="AF100" i="2"/>
  <c r="AE58" i="2"/>
  <c r="AF58" i="2"/>
  <c r="AE134" i="2"/>
  <c r="AF134" i="2"/>
  <c r="AE13" i="2"/>
  <c r="AF13" i="2"/>
  <c r="AE121" i="2"/>
  <c r="AF121" i="2"/>
  <c r="AE21" i="2"/>
  <c r="AF21" i="2"/>
  <c r="AE161" i="2"/>
  <c r="AF161" i="2"/>
  <c r="AE20" i="2"/>
  <c r="AF20" i="2"/>
  <c r="AE61" i="2"/>
  <c r="AF61" i="2"/>
  <c r="AE28" i="2"/>
  <c r="AF28" i="2"/>
  <c r="AE102" i="2"/>
  <c r="AF102" i="2"/>
  <c r="AE126" i="2"/>
  <c r="AF126" i="2"/>
  <c r="AE5" i="2"/>
  <c r="AF5" i="2"/>
  <c r="AE68" i="2"/>
  <c r="AF68" i="2"/>
  <c r="AE70" i="2"/>
  <c r="AF70" i="2"/>
  <c r="AE109" i="2"/>
  <c r="AF109" i="2"/>
  <c r="AE160" i="2"/>
  <c r="AF160" i="2"/>
  <c r="AE76" i="2"/>
  <c r="AF76" i="2"/>
  <c r="AE90" i="2"/>
  <c r="AF90" i="2"/>
  <c r="AE53" i="2"/>
  <c r="AF53" i="2"/>
  <c r="AE65" i="2"/>
  <c r="AF65" i="2"/>
  <c r="AE157" i="2"/>
  <c r="AF157" i="2"/>
  <c r="AE16" i="2"/>
  <c r="AF16" i="2"/>
  <c r="AE50" i="2"/>
  <c r="AF50" i="2"/>
  <c r="AE73" i="2"/>
  <c r="AF73" i="2"/>
  <c r="AE124" i="2"/>
  <c r="AF124" i="2"/>
  <c r="AE104" i="2"/>
  <c r="AF104" i="2"/>
  <c r="AE3" i="2"/>
  <c r="AF3" i="2"/>
  <c r="AE49" i="2"/>
  <c r="AF49" i="2"/>
  <c r="AE141" i="2"/>
  <c r="AF141" i="2"/>
  <c r="AE91" i="2"/>
  <c r="AF91" i="2"/>
  <c r="AE108" i="2"/>
  <c r="AF108" i="2"/>
  <c r="AE11" i="2"/>
  <c r="AF11" i="2"/>
  <c r="AE98" i="2"/>
  <c r="AF98" i="2"/>
  <c r="AE149" i="2"/>
  <c r="AF149" i="2"/>
  <c r="AE24" i="2"/>
  <c r="AF24" i="2"/>
  <c r="AE14" i="2"/>
  <c r="AF14" i="2"/>
  <c r="AE97" i="2"/>
  <c r="AF97" i="2"/>
  <c r="AE148" i="2"/>
  <c r="AF148" i="2"/>
  <c r="AE118" i="2"/>
  <c r="AF118" i="2"/>
  <c r="AE48" i="2"/>
  <c r="AF48" i="2"/>
  <c r="AE54" i="2"/>
  <c r="AF54" i="2"/>
  <c r="AE105" i="2"/>
  <c r="AF105" i="2"/>
  <c r="AE156" i="2"/>
  <c r="AF156" i="2"/>
  <c r="AE133" i="2"/>
  <c r="AF133" i="2"/>
  <c r="AE8" i="2"/>
  <c r="AF8" i="2"/>
  <c r="AE10" i="2"/>
  <c r="AF10" i="2"/>
  <c r="AE138" i="2"/>
  <c r="AF138" i="2"/>
  <c r="AE17" i="2"/>
  <c r="AF17" i="2"/>
  <c r="AE96" i="2"/>
  <c r="AF96" i="2"/>
  <c r="AE106" i="2"/>
  <c r="AF106" i="2"/>
  <c r="AE146" i="2"/>
  <c r="AF146" i="2"/>
  <c r="AE25" i="2"/>
  <c r="AF25" i="2"/>
  <c r="AE56" i="2"/>
  <c r="AF56" i="2"/>
  <c r="AE86" i="2"/>
  <c r="AF86" i="2"/>
  <c r="AE122" i="2"/>
  <c r="AF122" i="2"/>
  <c r="AE52" i="2"/>
  <c r="AF52" i="2"/>
  <c r="AE6" i="2"/>
  <c r="AF6" i="2"/>
  <c r="AE93" i="2"/>
  <c r="AF93" i="2"/>
  <c r="AE144" i="2"/>
  <c r="AF144" i="2"/>
  <c r="AE60" i="2"/>
  <c r="AF60" i="2"/>
  <c r="AE26" i="2"/>
  <c r="AF26" i="2"/>
  <c r="AE158" i="2"/>
  <c r="AF158" i="2"/>
  <c r="AE37" i="2"/>
  <c r="AF37" i="2"/>
  <c r="AE36" i="2"/>
  <c r="AF36" i="2"/>
  <c r="AE66" i="2"/>
  <c r="AF66" i="2"/>
  <c r="AE77" i="2"/>
  <c r="AF77" i="2"/>
  <c r="AE128" i="2"/>
  <c r="AF128" i="2"/>
  <c r="AE114" i="2"/>
  <c r="AF114" i="2"/>
  <c r="AE57" i="2"/>
  <c r="AF57" i="2"/>
  <c r="AE85" i="2"/>
  <c r="AF85" i="2"/>
  <c r="AE152" i="2"/>
  <c r="AF152" i="2"/>
  <c r="AE84" i="2"/>
  <c r="AF84" i="2"/>
  <c r="AE110" i="2"/>
  <c r="AF110" i="2"/>
  <c r="AE92" i="2"/>
  <c r="AF92" i="2"/>
  <c r="AE46" i="2"/>
  <c r="AF46" i="2"/>
  <c r="AE34" i="2"/>
  <c r="AF34" i="2"/>
  <c r="AE69" i="2"/>
  <c r="AF69" i="2"/>
  <c r="AE136" i="2"/>
  <c r="AF136" i="2"/>
  <c r="AM177" i="12"/>
  <c r="AE64" i="2"/>
  <c r="AF64" i="2"/>
  <c r="AE78" i="2"/>
  <c r="AF78" i="2"/>
  <c r="AE44" i="2"/>
  <c r="AF44" i="2"/>
  <c r="AE30" i="2"/>
  <c r="AF30" i="2"/>
  <c r="AE142" i="2"/>
  <c r="AF142" i="2"/>
  <c r="AE88" i="2"/>
  <c r="AF88" i="2"/>
  <c r="AE74" i="2"/>
  <c r="AF74" i="2"/>
  <c r="AE154" i="2"/>
  <c r="AF154" i="2"/>
  <c r="AE33" i="2"/>
  <c r="AF33" i="2"/>
  <c r="AE125" i="2"/>
  <c r="AF125" i="2"/>
  <c r="AE112" i="2"/>
  <c r="AF112" i="2"/>
  <c r="AE27" i="2"/>
  <c r="AF27" i="2"/>
  <c r="AE41" i="2"/>
  <c r="AF41" i="2"/>
  <c r="AE72" i="2"/>
  <c r="AF72" i="2"/>
  <c r="AM176" i="12"/>
  <c r="AM181" i="12"/>
  <c r="AE2" i="2"/>
  <c r="AF2" i="2"/>
  <c r="AG2" i="2" s="1"/>
  <c r="N28" i="4"/>
  <c r="N4" i="4"/>
  <c r="N34" i="4"/>
  <c r="N29" i="4"/>
  <c r="N17" i="4"/>
  <c r="N27" i="4"/>
  <c r="N26" i="4"/>
  <c r="N24" i="4"/>
  <c r="N25" i="4"/>
  <c r="H20" i="4"/>
  <c r="AA104" i="2"/>
  <c r="S92" i="2"/>
  <c r="Y192" i="2"/>
  <c r="S109" i="2"/>
  <c r="W192" i="2"/>
  <c r="N40" i="4"/>
  <c r="N39" i="4"/>
  <c r="N43" i="4"/>
  <c r="N20" i="4"/>
  <c r="N42" i="4"/>
  <c r="N15" i="4"/>
  <c r="N31" i="4"/>
  <c r="N49" i="4"/>
  <c r="N30" i="4"/>
  <c r="N50" i="4"/>
  <c r="N3" i="4"/>
  <c r="N41" i="4"/>
  <c r="S168" i="2"/>
  <c r="AA192" i="2"/>
  <c r="S99" i="2"/>
  <c r="S186" i="2"/>
  <c r="AA153" i="2"/>
  <c r="AA184" i="2"/>
  <c r="S189" i="2"/>
  <c r="N23" i="4"/>
  <c r="N14" i="4"/>
  <c r="N12" i="4"/>
  <c r="N11" i="4"/>
  <c r="U192" i="2"/>
  <c r="Y163" i="2"/>
  <c r="AA174" i="2"/>
  <c r="S104" i="2"/>
  <c r="S192" i="2"/>
  <c r="AE192" i="2"/>
  <c r="AC192" i="2"/>
  <c r="S27" i="2"/>
  <c r="S28" i="2"/>
  <c r="U91" i="2"/>
  <c r="U94" i="2"/>
  <c r="W131" i="2"/>
  <c r="S56" i="2"/>
  <c r="S69" i="2"/>
  <c r="W125" i="2"/>
  <c r="U131" i="2"/>
  <c r="S94" i="2"/>
  <c r="S91" i="2"/>
  <c r="U125" i="2"/>
  <c r="W191" i="2"/>
  <c r="W189" i="2"/>
  <c r="W190" i="2"/>
  <c r="U127" i="2"/>
  <c r="W168" i="2"/>
  <c r="W179" i="2"/>
  <c r="U137" i="2"/>
  <c r="S88" i="2"/>
  <c r="U132" i="2"/>
  <c r="W175" i="2"/>
  <c r="S151" i="2"/>
  <c r="U186" i="2"/>
  <c r="U29" i="2"/>
  <c r="S19" i="2"/>
  <c r="S14" i="2"/>
  <c r="W53" i="2"/>
  <c r="Y89" i="2"/>
  <c r="Y100" i="2"/>
  <c r="W60" i="2"/>
  <c r="W71" i="2"/>
  <c r="AC185" i="2"/>
  <c r="AA137" i="2"/>
  <c r="AA157" i="2"/>
  <c r="AA132" i="2"/>
  <c r="AA156" i="2"/>
  <c r="S23" i="2"/>
  <c r="S18" i="2"/>
  <c r="U39" i="2"/>
  <c r="U30" i="2"/>
  <c r="W56" i="2"/>
  <c r="Y121" i="2"/>
  <c r="Y91" i="2"/>
  <c r="W79" i="2"/>
  <c r="AC188" i="2"/>
  <c r="S22" i="2"/>
  <c r="S12" i="2"/>
  <c r="U32" i="2"/>
  <c r="W58" i="2"/>
  <c r="U36" i="2"/>
  <c r="U35" i="2"/>
  <c r="U31" i="2"/>
  <c r="Y112" i="2"/>
  <c r="Y116" i="2"/>
  <c r="Y94" i="2"/>
  <c r="Y109" i="2"/>
  <c r="Y113" i="2"/>
  <c r="W63" i="2"/>
  <c r="Y111" i="2"/>
  <c r="AA158" i="2"/>
  <c r="AA124" i="2"/>
  <c r="S16" i="2"/>
  <c r="W78" i="2"/>
  <c r="W62" i="2"/>
  <c r="W82" i="2"/>
  <c r="W69" i="2"/>
  <c r="W73" i="2"/>
  <c r="U34" i="2"/>
  <c r="Y104" i="2"/>
  <c r="Y102" i="2"/>
  <c r="Y93" i="2"/>
  <c r="Y97" i="2"/>
  <c r="W64" i="2"/>
  <c r="Y88" i="2"/>
  <c r="Y108" i="2"/>
  <c r="W67" i="2"/>
  <c r="S67" i="2"/>
  <c r="W127" i="2"/>
  <c r="S78" i="2"/>
  <c r="U109" i="2"/>
  <c r="Y168" i="2"/>
  <c r="S73" i="2"/>
  <c r="W137" i="2"/>
  <c r="W132" i="2"/>
  <c r="U88" i="2"/>
  <c r="AC138" i="2"/>
  <c r="AC132" i="2"/>
  <c r="AC166" i="2"/>
  <c r="AC160" i="2"/>
  <c r="AC153" i="2"/>
  <c r="AC174" i="2"/>
  <c r="AC184" i="2"/>
  <c r="AC122" i="2"/>
  <c r="AC150" i="2"/>
  <c r="AC144" i="2"/>
  <c r="AC137" i="2"/>
  <c r="AC158" i="2"/>
  <c r="AC168" i="2"/>
  <c r="AC177" i="2"/>
  <c r="AC134" i="2"/>
  <c r="AC128" i="2"/>
  <c r="AC178" i="2"/>
  <c r="AC172" i="2"/>
  <c r="AC152" i="2"/>
  <c r="AC161" i="2"/>
  <c r="AC162" i="2"/>
  <c r="AC156" i="2"/>
  <c r="AC126" i="2"/>
  <c r="AC136" i="2"/>
  <c r="AE191" i="2"/>
  <c r="AA177" i="2"/>
  <c r="AA100" i="2"/>
  <c r="AA134" i="2"/>
  <c r="AA114" i="2"/>
  <c r="AA108" i="2"/>
  <c r="AA142" i="2"/>
  <c r="AA88" i="2"/>
  <c r="AA97" i="2"/>
  <c r="AA110" i="2"/>
  <c r="AA176" i="2"/>
  <c r="AA169" i="2"/>
  <c r="AA133" i="2"/>
  <c r="Y131" i="2"/>
  <c r="AA188" i="2"/>
  <c r="AE190" i="2"/>
  <c r="AA138" i="2"/>
  <c r="AA160" i="2"/>
  <c r="AA90" i="2"/>
  <c r="Y147" i="2"/>
  <c r="Y103" i="2"/>
  <c r="W161" i="2"/>
  <c r="W165" i="2"/>
  <c r="U116" i="2"/>
  <c r="W158" i="2"/>
  <c r="U111" i="2"/>
  <c r="W160" i="2"/>
  <c r="W159" i="2"/>
  <c r="S82" i="2"/>
  <c r="W157" i="2"/>
  <c r="U112" i="2"/>
  <c r="W163" i="2"/>
  <c r="Y185" i="2"/>
  <c r="U121" i="2"/>
  <c r="Y188" i="2"/>
  <c r="Y187" i="2"/>
  <c r="S58" i="2"/>
  <c r="U97" i="2"/>
  <c r="U89" i="2"/>
  <c r="W152" i="2"/>
  <c r="Y180" i="2"/>
  <c r="Y177" i="2"/>
  <c r="Y183" i="2"/>
  <c r="S62" i="2"/>
  <c r="U103" i="2"/>
  <c r="W140" i="2"/>
  <c r="Y172" i="2"/>
  <c r="S53" i="2"/>
  <c r="U87" i="2"/>
  <c r="Y170" i="2"/>
  <c r="S60" i="2"/>
  <c r="W145" i="2"/>
  <c r="U102" i="2"/>
  <c r="U93" i="2"/>
  <c r="U185" i="2"/>
  <c r="U188" i="2"/>
  <c r="U187" i="2"/>
  <c r="S117" i="2"/>
  <c r="U151" i="2"/>
  <c r="W186" i="2"/>
  <c r="S115" i="2"/>
  <c r="S129" i="2"/>
  <c r="S142" i="2"/>
  <c r="W149" i="2"/>
  <c r="U119" i="2"/>
  <c r="W155" i="2"/>
  <c r="U118" i="2"/>
  <c r="U114" i="2"/>
  <c r="S66" i="2"/>
  <c r="S59" i="2"/>
  <c r="S57" i="2"/>
  <c r="W153" i="2"/>
  <c r="U110" i="2"/>
  <c r="U120" i="2"/>
  <c r="S93" i="2"/>
  <c r="W183" i="2"/>
  <c r="W180" i="2"/>
  <c r="S87" i="2"/>
  <c r="S103" i="2"/>
  <c r="S97" i="2"/>
  <c r="U140" i="2"/>
  <c r="U145" i="2"/>
  <c r="U152" i="2"/>
  <c r="W170" i="2"/>
  <c r="W177" i="2"/>
  <c r="S102" i="2"/>
  <c r="S89" i="2"/>
  <c r="W172" i="2"/>
  <c r="S114" i="2"/>
  <c r="U149" i="2"/>
  <c r="S118" i="2"/>
  <c r="U155" i="2"/>
  <c r="S119" i="2"/>
  <c r="S120" i="2"/>
  <c r="S110" i="2"/>
  <c r="U153" i="2"/>
  <c r="S9" i="2"/>
  <c r="S4" i="2"/>
  <c r="W50" i="2"/>
  <c r="W34" i="2"/>
  <c r="W37" i="2"/>
  <c r="U24" i="2"/>
  <c r="W41" i="2"/>
  <c r="W45" i="2"/>
  <c r="U22" i="2"/>
  <c r="U14" i="2"/>
  <c r="Y60" i="2"/>
  <c r="Y54" i="2"/>
  <c r="W27" i="2"/>
  <c r="W39" i="2"/>
  <c r="W32" i="2"/>
  <c r="Y59" i="2"/>
  <c r="Y53" i="2"/>
  <c r="Y70" i="2"/>
  <c r="W35" i="2"/>
  <c r="Y79" i="2"/>
  <c r="AA101" i="2"/>
  <c r="AA116" i="2"/>
  <c r="AA120" i="2"/>
  <c r="AA96" i="2"/>
  <c r="Y63" i="2"/>
  <c r="Y55" i="2"/>
  <c r="AA102" i="2"/>
  <c r="AA112" i="2"/>
  <c r="AA118" i="2"/>
  <c r="S7" i="2"/>
  <c r="U17" i="2"/>
  <c r="S8" i="2"/>
  <c r="W33" i="2"/>
  <c r="W29" i="2"/>
  <c r="U21" i="2"/>
  <c r="Y73" i="2"/>
  <c r="Y80" i="2"/>
  <c r="Y84" i="2"/>
  <c r="W44" i="2"/>
  <c r="W47" i="2"/>
  <c r="Y85" i="2"/>
  <c r="Y77" i="2"/>
  <c r="Y58" i="2"/>
  <c r="Y81" i="2"/>
  <c r="W48" i="2"/>
  <c r="U13" i="2"/>
  <c r="S6" i="2"/>
  <c r="W38" i="2"/>
  <c r="U23" i="2"/>
  <c r="W49" i="2"/>
  <c r="W52" i="2"/>
  <c r="W46" i="2"/>
  <c r="U12" i="2"/>
  <c r="U25" i="2"/>
  <c r="U26" i="2"/>
  <c r="W28" i="2"/>
  <c r="Y72" i="2"/>
  <c r="Y62" i="2"/>
  <c r="Y75" i="2"/>
  <c r="Y61" i="2"/>
  <c r="Y65" i="2"/>
  <c r="Y86" i="2"/>
  <c r="W51" i="2"/>
  <c r="Y56" i="2"/>
  <c r="Y76" i="2"/>
  <c r="S5" i="2"/>
  <c r="S10" i="2"/>
  <c r="W42" i="2"/>
  <c r="W30" i="2"/>
  <c r="W36" i="2"/>
  <c r="U19" i="2"/>
  <c r="U20" i="2"/>
  <c r="U15" i="2"/>
  <c r="U11" i="2"/>
  <c r="U18" i="2"/>
  <c r="U16" i="2"/>
  <c r="Y69" i="2"/>
  <c r="Y74" i="2"/>
  <c r="W43" i="2"/>
  <c r="Y57" i="2"/>
  <c r="Y78" i="2"/>
  <c r="Y64" i="2"/>
  <c r="Y66" i="2"/>
  <c r="Y68" i="2"/>
  <c r="Y82" i="2"/>
  <c r="W40" i="2"/>
  <c r="W31" i="2"/>
  <c r="S25" i="2"/>
  <c r="S20" i="2"/>
  <c r="W61" i="2"/>
  <c r="W57" i="2"/>
  <c r="U37" i="2"/>
  <c r="U46" i="2"/>
  <c r="U40" i="2"/>
  <c r="U49" i="2"/>
  <c r="Y101" i="2"/>
  <c r="Y129" i="2"/>
  <c r="Y120" i="2"/>
  <c r="Y106" i="2"/>
  <c r="Y96" i="2"/>
  <c r="AA122" i="2"/>
  <c r="AA146" i="2"/>
  <c r="Y115" i="2"/>
  <c r="S13" i="2"/>
  <c r="W68" i="2"/>
  <c r="W84" i="2"/>
  <c r="W86" i="2"/>
  <c r="W77" i="2"/>
  <c r="W81" i="2"/>
  <c r="U51" i="2"/>
  <c r="W74" i="2"/>
  <c r="U47" i="2"/>
  <c r="U33" i="2"/>
  <c r="U44" i="2"/>
  <c r="U42" i="2"/>
  <c r="W75" i="2"/>
  <c r="Y92" i="2"/>
  <c r="Y110" i="2"/>
  <c r="W83" i="2"/>
  <c r="Y142" i="2"/>
  <c r="W59" i="2"/>
  <c r="S17" i="2"/>
  <c r="S24" i="2"/>
  <c r="U52" i="2"/>
  <c r="W70" i="2"/>
  <c r="W54" i="2"/>
  <c r="W65" i="2"/>
  <c r="U48" i="2"/>
  <c r="U38" i="2"/>
  <c r="U50" i="2"/>
  <c r="U43" i="2"/>
  <c r="U45" i="2"/>
  <c r="W72" i="2"/>
  <c r="Y105" i="2"/>
  <c r="Y118" i="2"/>
  <c r="W76" i="2"/>
  <c r="Y117" i="2"/>
  <c r="Y90" i="2"/>
  <c r="W80" i="2"/>
  <c r="Y99" i="2"/>
  <c r="S15" i="2"/>
  <c r="S21" i="2"/>
  <c r="S26" i="2"/>
  <c r="W66" i="2"/>
  <c r="W85" i="2"/>
  <c r="U41" i="2"/>
  <c r="W55" i="2"/>
  <c r="Y98" i="2"/>
  <c r="Y114" i="2"/>
  <c r="AC186" i="2"/>
  <c r="AE189" i="2"/>
  <c r="AA99" i="2"/>
  <c r="AA127" i="2"/>
  <c r="AA155" i="2"/>
  <c r="AA183" i="2"/>
  <c r="AA111" i="2"/>
  <c r="AA139" i="2"/>
  <c r="AA167" i="2"/>
  <c r="AA95" i="2"/>
  <c r="AA123" i="2"/>
  <c r="AA151" i="2"/>
  <c r="AA179" i="2"/>
  <c r="AA107" i="2"/>
  <c r="AA135" i="2"/>
  <c r="AE173" i="2"/>
  <c r="AE181" i="2"/>
  <c r="AE180" i="2"/>
  <c r="AE170" i="2"/>
  <c r="AE164" i="2"/>
  <c r="AE182" i="2"/>
  <c r="AE176" i="2"/>
  <c r="AE169" i="2"/>
  <c r="AE188" i="2"/>
  <c r="AA113" i="2"/>
  <c r="AA141" i="2"/>
  <c r="AA91" i="2"/>
  <c r="AA121" i="2"/>
  <c r="AA149" i="2"/>
  <c r="AA182" i="2"/>
  <c r="AA105" i="2"/>
  <c r="Y159" i="2"/>
  <c r="Y151" i="2"/>
  <c r="Y143" i="2"/>
  <c r="Y135" i="2"/>
  <c r="AC187" i="2"/>
  <c r="AE187" i="2"/>
  <c r="AA145" i="2"/>
  <c r="AA166" i="2"/>
  <c r="AA89" i="2"/>
  <c r="AA129" i="2"/>
  <c r="AA144" i="2"/>
  <c r="AA130" i="2"/>
  <c r="Y87" i="2"/>
  <c r="Y175" i="2"/>
  <c r="U190" i="2"/>
  <c r="U191" i="2"/>
  <c r="U189" i="2"/>
  <c r="S42" i="2"/>
  <c r="S51" i="2"/>
  <c r="S48" i="2"/>
  <c r="W129" i="2"/>
  <c r="W105" i="2"/>
  <c r="U72" i="2"/>
  <c r="U86" i="2"/>
  <c r="U59" i="2"/>
  <c r="Y146" i="2"/>
  <c r="Y139" i="2"/>
  <c r="AA173" i="2"/>
  <c r="S46" i="2"/>
  <c r="S52" i="2"/>
  <c r="W118" i="2"/>
  <c r="W142" i="2"/>
  <c r="U74" i="2"/>
  <c r="S50" i="2"/>
  <c r="S40" i="2"/>
  <c r="S37" i="2"/>
  <c r="W106" i="2"/>
  <c r="W90" i="2"/>
  <c r="W117" i="2"/>
  <c r="W110" i="2"/>
  <c r="W114" i="2"/>
  <c r="W98" i="2"/>
  <c r="W101" i="2"/>
  <c r="U80" i="2"/>
  <c r="U68" i="2"/>
  <c r="U57" i="2"/>
  <c r="Y122" i="2"/>
  <c r="W119" i="2"/>
  <c r="Y153" i="2"/>
  <c r="W115" i="2"/>
  <c r="Y155" i="2"/>
  <c r="S44" i="2"/>
  <c r="U83" i="2"/>
  <c r="U84" i="2"/>
  <c r="U66" i="2"/>
  <c r="U77" i="2"/>
  <c r="Y150" i="2"/>
  <c r="Y148" i="2"/>
  <c r="Y154" i="2"/>
  <c r="AA186" i="2"/>
  <c r="Y149" i="2"/>
  <c r="W120" i="2"/>
  <c r="S190" i="2"/>
  <c r="S191" i="2"/>
  <c r="S80" i="2"/>
  <c r="S77" i="2"/>
  <c r="U117" i="2"/>
  <c r="S84" i="2"/>
  <c r="U115" i="2"/>
  <c r="S72" i="2"/>
  <c r="U142" i="2"/>
  <c r="S86" i="2"/>
  <c r="Y186" i="2"/>
  <c r="U129" i="2"/>
  <c r="W151" i="2"/>
  <c r="S74" i="2"/>
  <c r="S83" i="2"/>
  <c r="W154" i="2"/>
  <c r="U101" i="2"/>
  <c r="U106" i="2"/>
  <c r="Y176" i="2"/>
  <c r="Y182" i="2"/>
  <c r="Y173" i="2"/>
  <c r="Y171" i="2"/>
  <c r="S68" i="2"/>
  <c r="W122" i="2"/>
  <c r="W146" i="2"/>
  <c r="W150" i="2"/>
  <c r="U90" i="2"/>
  <c r="W139" i="2"/>
  <c r="U105" i="2"/>
  <c r="U98" i="2"/>
  <c r="Y184" i="2"/>
  <c r="W143" i="2"/>
  <c r="W148" i="2"/>
  <c r="W123" i="2"/>
  <c r="S111" i="2"/>
  <c r="W188" i="2"/>
  <c r="U163" i="2"/>
  <c r="U160" i="2"/>
  <c r="S112" i="2"/>
  <c r="S121" i="2"/>
  <c r="S116" i="2"/>
  <c r="U157" i="2"/>
  <c r="W185" i="2"/>
  <c r="U159" i="2"/>
  <c r="W187" i="2"/>
  <c r="U161" i="2"/>
  <c r="U165" i="2"/>
  <c r="U158" i="2"/>
  <c r="AC145" i="2"/>
  <c r="AC173" i="2"/>
  <c r="AC146" i="2"/>
  <c r="AC140" i="2"/>
  <c r="AC181" i="2"/>
  <c r="AC180" i="2"/>
  <c r="AC157" i="2"/>
  <c r="AC130" i="2"/>
  <c r="AC124" i="2"/>
  <c r="AC165" i="2"/>
  <c r="AC170" i="2"/>
  <c r="AC164" i="2"/>
  <c r="AC141" i="2"/>
  <c r="AC149" i="2"/>
  <c r="AC154" i="2"/>
  <c r="AC148" i="2"/>
  <c r="AC182" i="2"/>
  <c r="AC125" i="2"/>
  <c r="AC176" i="2"/>
  <c r="AC169" i="2"/>
  <c r="AC133" i="2"/>
  <c r="AE185" i="2"/>
  <c r="AA154" i="2"/>
  <c r="AA148" i="2"/>
  <c r="AA125" i="2"/>
  <c r="AA136" i="2"/>
  <c r="Y95" i="2"/>
  <c r="Y83" i="2"/>
  <c r="Y71" i="2"/>
  <c r="AE186" i="2"/>
  <c r="AA109" i="2"/>
  <c r="AA106" i="2"/>
  <c r="AA140" i="2"/>
  <c r="AA150" i="2"/>
  <c r="AA165" i="2"/>
  <c r="Y119" i="2"/>
  <c r="AA190" i="2"/>
  <c r="Y169" i="2"/>
  <c r="Y181" i="2"/>
  <c r="S81" i="2"/>
  <c r="W138" i="2"/>
  <c r="W126" i="2"/>
  <c r="U96" i="2"/>
  <c r="Y178" i="2"/>
  <c r="W144" i="2"/>
  <c r="S75" i="2"/>
  <c r="S85" i="2"/>
  <c r="U95" i="2"/>
  <c r="Y162" i="2"/>
  <c r="W128" i="2"/>
  <c r="AA191" i="2"/>
  <c r="Y174" i="2"/>
  <c r="Y166" i="2"/>
  <c r="Y164" i="2"/>
  <c r="Y167" i="2"/>
  <c r="S70" i="2"/>
  <c r="W141" i="2"/>
  <c r="W133" i="2"/>
  <c r="AA189" i="2"/>
  <c r="S108" i="2"/>
  <c r="U136" i="2"/>
  <c r="S100" i="2"/>
  <c r="U147" i="2"/>
  <c r="U134" i="2"/>
  <c r="U124" i="2"/>
  <c r="U156" i="2"/>
  <c r="U130" i="2"/>
  <c r="S113" i="2"/>
  <c r="S107" i="2"/>
  <c r="U135" i="2"/>
  <c r="S35" i="2"/>
  <c r="S32" i="2"/>
  <c r="S29" i="2"/>
  <c r="W97" i="2"/>
  <c r="W113" i="2"/>
  <c r="W116" i="2"/>
  <c r="W121" i="2"/>
  <c r="W109" i="2"/>
  <c r="U67" i="2"/>
  <c r="U60" i="2"/>
  <c r="W102" i="2"/>
  <c r="U63" i="2"/>
  <c r="U62" i="2"/>
  <c r="Y136" i="2"/>
  <c r="Y158" i="2"/>
  <c r="Y125" i="2"/>
  <c r="W108" i="2"/>
  <c r="Y140" i="2"/>
  <c r="AA185" i="2"/>
  <c r="W107" i="2"/>
  <c r="Y127" i="2"/>
  <c r="S30" i="2"/>
  <c r="S39" i="2"/>
  <c r="S36" i="2"/>
  <c r="U64" i="2"/>
  <c r="W100" i="2"/>
  <c r="W93" i="2"/>
  <c r="U56" i="2"/>
  <c r="U53" i="2"/>
  <c r="W112" i="2"/>
  <c r="Y130" i="2"/>
  <c r="Y157" i="2"/>
  <c r="Y161" i="2"/>
  <c r="W91" i="2"/>
  <c r="Y152" i="2"/>
  <c r="Y134" i="2"/>
  <c r="Y132" i="2"/>
  <c r="W111" i="2"/>
  <c r="S34" i="2"/>
  <c r="W94" i="2"/>
  <c r="U82" i="2"/>
  <c r="U73" i="2"/>
  <c r="U58" i="2"/>
  <c r="Y165" i="2"/>
  <c r="Y124" i="2"/>
  <c r="W87" i="2"/>
  <c r="Y160" i="2"/>
  <c r="AA168" i="2"/>
  <c r="S31" i="2"/>
  <c r="W89" i="2"/>
  <c r="U71" i="2"/>
  <c r="U79" i="2"/>
  <c r="U69" i="2"/>
  <c r="U78" i="2"/>
  <c r="W104" i="2"/>
  <c r="Y156" i="2"/>
  <c r="Y137" i="2"/>
  <c r="W88" i="2"/>
  <c r="AA187" i="2"/>
  <c r="Y145" i="2"/>
  <c r="W103" i="2"/>
  <c r="S61" i="2"/>
  <c r="S55" i="2"/>
  <c r="S65" i="2"/>
  <c r="U92" i="2"/>
  <c r="U99" i="2"/>
  <c r="S54" i="2"/>
  <c r="S76" i="2"/>
  <c r="S185" i="2"/>
  <c r="S187" i="2"/>
  <c r="S188" i="2"/>
  <c r="S45" i="2"/>
  <c r="U55" i="2"/>
  <c r="U61" i="2"/>
  <c r="U65" i="2"/>
  <c r="W99" i="2"/>
  <c r="AA181" i="2"/>
  <c r="AC189" i="2"/>
  <c r="AC190" i="2"/>
  <c r="AA162" i="2"/>
  <c r="S33" i="2"/>
  <c r="S49" i="2"/>
  <c r="U76" i="2"/>
  <c r="U70" i="2"/>
  <c r="U75" i="2"/>
  <c r="Y133" i="2"/>
  <c r="Y128" i="2"/>
  <c r="Y138" i="2"/>
  <c r="S43" i="2"/>
  <c r="U81" i="2"/>
  <c r="U54" i="2"/>
  <c r="W92" i="2"/>
  <c r="W96" i="2"/>
  <c r="AC191" i="2"/>
  <c r="S38" i="2"/>
  <c r="S47" i="2"/>
  <c r="S41" i="2"/>
  <c r="U85" i="2"/>
  <c r="Y126" i="2"/>
  <c r="Y144" i="2"/>
  <c r="W95" i="2"/>
  <c r="Y141" i="2"/>
  <c r="S96" i="2"/>
  <c r="W178" i="2"/>
  <c r="U138" i="2"/>
  <c r="Y189" i="2"/>
  <c r="U128" i="2"/>
  <c r="W167" i="2"/>
  <c r="W166" i="2"/>
  <c r="W181" i="2"/>
  <c r="Y190" i="2"/>
  <c r="W174" i="2"/>
  <c r="W169" i="2"/>
  <c r="Y191" i="2"/>
  <c r="U133" i="2"/>
  <c r="W164" i="2"/>
  <c r="S95" i="2"/>
  <c r="W162" i="2"/>
  <c r="U141" i="2"/>
  <c r="U144" i="2"/>
  <c r="U126" i="2"/>
  <c r="S90" i="2"/>
  <c r="W173" i="2"/>
  <c r="U139" i="2"/>
  <c r="U123" i="2"/>
  <c r="U146" i="2"/>
  <c r="U122" i="2"/>
  <c r="W176" i="2"/>
  <c r="S98" i="2"/>
  <c r="S101" i="2"/>
  <c r="W171" i="2"/>
  <c r="S11" i="2"/>
  <c r="U28" i="2"/>
  <c r="U27" i="2"/>
  <c r="S64" i="2"/>
  <c r="U113" i="2"/>
  <c r="W124" i="2"/>
  <c r="W135" i="2"/>
  <c r="S71" i="2"/>
  <c r="W134" i="2"/>
  <c r="W130" i="2"/>
  <c r="U104" i="2"/>
  <c r="U108" i="2"/>
  <c r="W156" i="2"/>
  <c r="U107" i="2"/>
  <c r="U100" i="2"/>
  <c r="W136" i="2"/>
  <c r="S63" i="2"/>
  <c r="S79" i="2"/>
  <c r="W147" i="2"/>
  <c r="AA163" i="2"/>
  <c r="AA87" i="2"/>
  <c r="AA119" i="2"/>
  <c r="AA147" i="2"/>
  <c r="AA175" i="2"/>
  <c r="AA103" i="2"/>
  <c r="AA131" i="2"/>
  <c r="AA159" i="2"/>
  <c r="AA115" i="2"/>
  <c r="AA143" i="2"/>
  <c r="AA171" i="2"/>
  <c r="AE166" i="2"/>
  <c r="AE174" i="2"/>
  <c r="AE184" i="2"/>
  <c r="AE168" i="2"/>
  <c r="AE177" i="2"/>
  <c r="AE178" i="2"/>
  <c r="AE172" i="2"/>
  <c r="AE162" i="2"/>
  <c r="AA170" i="2"/>
  <c r="AA164" i="2"/>
  <c r="AA128" i="2"/>
  <c r="AA178" i="2"/>
  <c r="AA172" i="2"/>
  <c r="AA98" i="2"/>
  <c r="AA152" i="2"/>
  <c r="AA161" i="2"/>
  <c r="AA92" i="2"/>
  <c r="AA126" i="2"/>
  <c r="Y123" i="2"/>
  <c r="Y179" i="2"/>
  <c r="Y107" i="2"/>
  <c r="AA94" i="2"/>
  <c r="AA117" i="2"/>
  <c r="AA180" i="2"/>
  <c r="AA93" i="2"/>
  <c r="Y67" i="2"/>
  <c r="S138" i="2"/>
  <c r="S128" i="2"/>
  <c r="S133" i="2"/>
  <c r="S144" i="2"/>
  <c r="S126" i="2"/>
  <c r="S141" i="2"/>
  <c r="U169" i="2"/>
  <c r="U166" i="2"/>
  <c r="U162" i="2"/>
  <c r="U167" i="2"/>
  <c r="U181" i="2"/>
  <c r="U164" i="2"/>
  <c r="U174" i="2"/>
  <c r="U178" i="2"/>
  <c r="S157" i="2"/>
  <c r="S165" i="2"/>
  <c r="S158" i="2"/>
  <c r="S163" i="2"/>
  <c r="S124" i="2"/>
  <c r="S135" i="2"/>
  <c r="S152" i="2"/>
  <c r="S140" i="2"/>
  <c r="S145" i="2"/>
  <c r="U172" i="2"/>
  <c r="U183" i="2"/>
  <c r="U170" i="2"/>
  <c r="U180" i="2"/>
  <c r="U177" i="2"/>
  <c r="S125" i="2"/>
  <c r="S131" i="2"/>
  <c r="S184" i="2"/>
  <c r="S182" i="2"/>
  <c r="S172" i="2"/>
  <c r="S177" i="2"/>
  <c r="S170" i="2"/>
  <c r="S127" i="2"/>
  <c r="S132" i="2"/>
  <c r="S137" i="2"/>
  <c r="U175" i="2"/>
  <c r="U179" i="2"/>
  <c r="U168" i="2"/>
  <c r="S146" i="2"/>
  <c r="S139" i="2"/>
  <c r="S164" i="2"/>
  <c r="S169" i="2"/>
  <c r="S162" i="2"/>
  <c r="S143" i="2"/>
  <c r="S148" i="2"/>
  <c r="S150" i="2"/>
  <c r="S154" i="2"/>
  <c r="U184" i="2"/>
  <c r="U182" i="2"/>
  <c r="S180" i="2"/>
  <c r="S183" i="2"/>
  <c r="S123" i="2"/>
  <c r="S122" i="2"/>
  <c r="U171" i="2"/>
  <c r="U176" i="2"/>
  <c r="U173" i="2"/>
  <c r="S181" i="2"/>
  <c r="S178" i="2"/>
  <c r="S175" i="2"/>
  <c r="S179" i="2"/>
  <c r="S155" i="2"/>
  <c r="S149" i="2"/>
  <c r="S153" i="2"/>
  <c r="S176" i="2"/>
  <c r="S173" i="2"/>
  <c r="S171" i="2"/>
  <c r="S166" i="2"/>
  <c r="S174" i="2"/>
  <c r="S167" i="2"/>
  <c r="S160" i="2"/>
  <c r="S161" i="2"/>
  <c r="S159" i="2"/>
  <c r="S147" i="2"/>
  <c r="S136" i="2"/>
  <c r="S156" i="2"/>
  <c r="S130" i="2"/>
  <c r="S134" i="2"/>
  <c r="S106" i="2"/>
  <c r="U143" i="2"/>
  <c r="S105" i="2"/>
  <c r="W184" i="2"/>
  <c r="U148" i="2"/>
  <c r="W182" i="2"/>
  <c r="U150" i="2"/>
  <c r="U154" i="2"/>
  <c r="AQ183" i="12"/>
  <c r="Z109" i="12"/>
  <c r="G109" i="18" s="1"/>
  <c r="B37" i="13"/>
  <c r="AC8" i="13" s="1"/>
  <c r="B133" i="13"/>
  <c r="AC29" i="13" s="1"/>
  <c r="B149" i="13"/>
  <c r="AC28" i="13" s="1"/>
  <c r="B165" i="13"/>
  <c r="AC33" i="13" s="1"/>
  <c r="Z101" i="12"/>
  <c r="G101" i="18" s="1"/>
  <c r="Z98" i="12"/>
  <c r="G98" i="18" s="1"/>
  <c r="Z90" i="12"/>
  <c r="G90" i="18" s="1"/>
  <c r="Z146" i="12"/>
  <c r="G146" i="18" s="1"/>
  <c r="Z139" i="12"/>
  <c r="G139" i="18" s="1"/>
  <c r="Z173" i="12"/>
  <c r="G173" i="18" s="1"/>
  <c r="Z176" i="12"/>
  <c r="G176" i="18" s="1"/>
  <c r="Z171" i="12"/>
  <c r="G171" i="18" s="1"/>
  <c r="Z61" i="12"/>
  <c r="G61" i="18" s="1"/>
  <c r="Z147" i="12"/>
  <c r="G147" i="18" s="1"/>
  <c r="Z134" i="12"/>
  <c r="G134" i="18" s="1"/>
  <c r="Z136" i="12"/>
  <c r="G136" i="18" s="1"/>
  <c r="Z156" i="12"/>
  <c r="G156" i="18" s="1"/>
  <c r="Z130" i="12"/>
  <c r="G130" i="18" s="1"/>
  <c r="AN168" i="12"/>
  <c r="Z168" i="12"/>
  <c r="G168" i="18" s="1"/>
  <c r="Z78" i="12"/>
  <c r="G78" i="18" s="1"/>
  <c r="Z73" i="12"/>
  <c r="G73" i="18" s="1"/>
  <c r="Z67" i="12"/>
  <c r="G67" i="18" s="1"/>
  <c r="AN131" i="12"/>
  <c r="Z131" i="12"/>
  <c r="G131" i="18" s="1"/>
  <c r="Z125" i="12"/>
  <c r="G125" i="18" s="1"/>
  <c r="AN135" i="12"/>
  <c r="Z135" i="12"/>
  <c r="G135" i="18" s="1"/>
  <c r="Z124" i="12"/>
  <c r="G124" i="18" s="1"/>
  <c r="Z169" i="12"/>
  <c r="G169" i="18" s="1"/>
  <c r="Z162" i="12"/>
  <c r="G162" i="18" s="1"/>
  <c r="Z164" i="12"/>
  <c r="G164" i="18" s="1"/>
  <c r="Z27" i="12"/>
  <c r="G27" i="18" s="1"/>
  <c r="Z28" i="12"/>
  <c r="G28" i="18" s="1"/>
  <c r="Z161" i="12"/>
  <c r="G161" i="18" s="1"/>
  <c r="Z160" i="12"/>
  <c r="G160" i="18" s="1"/>
  <c r="Z159" i="12"/>
  <c r="G159" i="18" s="1"/>
  <c r="Z182" i="12"/>
  <c r="G182" i="18" s="1"/>
  <c r="Z184" i="12"/>
  <c r="G184" i="18" s="1"/>
  <c r="Z141" i="12"/>
  <c r="G141" i="18" s="1"/>
  <c r="Z128" i="12"/>
  <c r="G128" i="18" s="1"/>
  <c r="Z133" i="12"/>
  <c r="G133" i="18" s="1"/>
  <c r="Z138" i="12"/>
  <c r="G138" i="18" s="1"/>
  <c r="Z126" i="12"/>
  <c r="G126" i="18" s="1"/>
  <c r="Z144" i="12"/>
  <c r="G144" i="18" s="1"/>
  <c r="Z178" i="12"/>
  <c r="G178" i="18" s="1"/>
  <c r="Z181" i="12"/>
  <c r="G181" i="18" s="1"/>
  <c r="Z57" i="12"/>
  <c r="G57" i="18" s="1"/>
  <c r="Z172" i="12"/>
  <c r="G172" i="18" s="1"/>
  <c r="Z177" i="12"/>
  <c r="G177" i="18" s="1"/>
  <c r="Z170" i="12"/>
  <c r="G170" i="18" s="1"/>
  <c r="B85" i="13"/>
  <c r="AK11" i="13" s="1"/>
  <c r="Z41" i="12"/>
  <c r="G41" i="18" s="1"/>
  <c r="Z43" i="12"/>
  <c r="G43" i="18" s="1"/>
  <c r="Z47" i="12"/>
  <c r="G47" i="18" s="1"/>
  <c r="Z45" i="12"/>
  <c r="G45" i="18" s="1"/>
  <c r="Z33" i="12"/>
  <c r="G33" i="18" s="1"/>
  <c r="Z49" i="12"/>
  <c r="G49" i="18" s="1"/>
  <c r="Z38" i="12"/>
  <c r="G38" i="18" s="1"/>
  <c r="Z80" i="12"/>
  <c r="G80" i="18" s="1"/>
  <c r="Z77" i="12"/>
  <c r="G77" i="18" s="1"/>
  <c r="Z72" i="12"/>
  <c r="G72" i="18" s="1"/>
  <c r="Z86" i="12"/>
  <c r="G86" i="18" s="1"/>
  <c r="Z84" i="12"/>
  <c r="G84" i="18" s="1"/>
  <c r="Z142" i="12"/>
  <c r="G142" i="18" s="1"/>
  <c r="Z129" i="12"/>
  <c r="G129" i="18" s="1"/>
  <c r="Z117" i="12"/>
  <c r="G117" i="18" s="1"/>
  <c r="Z115" i="12"/>
  <c r="G115" i="18" s="1"/>
  <c r="Z40" i="12"/>
  <c r="G40" i="18" s="1"/>
  <c r="Z42" i="12"/>
  <c r="G42" i="18" s="1"/>
  <c r="Z52" i="12"/>
  <c r="G52" i="18" s="1"/>
  <c r="Z46" i="12"/>
  <c r="G46" i="18" s="1"/>
  <c r="Z51" i="12"/>
  <c r="G51" i="18" s="1"/>
  <c r="Z48" i="12"/>
  <c r="G48" i="18" s="1"/>
  <c r="Z37" i="12"/>
  <c r="G37" i="18" s="1"/>
  <c r="Z50" i="12"/>
  <c r="G50" i="18" s="1"/>
  <c r="Z44" i="12"/>
  <c r="G44" i="18" s="1"/>
  <c r="Z114" i="12"/>
  <c r="G114" i="18" s="1"/>
  <c r="Z110" i="12"/>
  <c r="G110" i="18" s="1"/>
  <c r="Z118" i="12"/>
  <c r="G118" i="18" s="1"/>
  <c r="Z119" i="12"/>
  <c r="G119" i="18" s="1"/>
  <c r="Z120" i="12"/>
  <c r="G120" i="18" s="1"/>
  <c r="Z163" i="12"/>
  <c r="G163" i="18" s="1"/>
  <c r="Z157" i="12"/>
  <c r="G157" i="18" s="1"/>
  <c r="Z158" i="12"/>
  <c r="G158" i="18" s="1"/>
  <c r="Z165" i="12"/>
  <c r="G165" i="18" s="1"/>
  <c r="Z179" i="12"/>
  <c r="G179" i="18" s="1"/>
  <c r="Z175" i="12"/>
  <c r="G175" i="18" s="1"/>
  <c r="Z32" i="12"/>
  <c r="G32" i="18" s="1"/>
  <c r="Z30" i="12"/>
  <c r="G30" i="18" s="1"/>
  <c r="Z29" i="12"/>
  <c r="G29" i="18" s="1"/>
  <c r="Z31" i="12"/>
  <c r="G31" i="18" s="1"/>
  <c r="Z34" i="12"/>
  <c r="G34" i="18" s="1"/>
  <c r="Z36" i="12"/>
  <c r="G36" i="18" s="1"/>
  <c r="Z39" i="12"/>
  <c r="G39" i="18" s="1"/>
  <c r="Z35" i="12"/>
  <c r="G35" i="18" s="1"/>
  <c r="Z79" i="12"/>
  <c r="G79" i="18" s="1"/>
  <c r="Z64" i="12"/>
  <c r="G64" i="18" s="1"/>
  <c r="Z71" i="12"/>
  <c r="G71" i="18" s="1"/>
  <c r="Z63" i="12"/>
  <c r="G63" i="18" s="1"/>
  <c r="Z91" i="12"/>
  <c r="G91" i="18" s="1"/>
  <c r="Z94" i="12"/>
  <c r="G94" i="18" s="1"/>
  <c r="Z127" i="12"/>
  <c r="G127" i="18" s="1"/>
  <c r="Z75" i="12"/>
  <c r="G75" i="18" s="1"/>
  <c r="Z107" i="12"/>
  <c r="G107" i="18" s="1"/>
  <c r="Z113" i="12"/>
  <c r="G113" i="18" s="1"/>
  <c r="Z108" i="12"/>
  <c r="G108" i="18" s="1"/>
  <c r="Z100" i="12"/>
  <c r="G100" i="18" s="1"/>
  <c r="Z149" i="12"/>
  <c r="G149" i="18" s="1"/>
  <c r="B11" i="13"/>
  <c r="AB5" i="13" s="1"/>
  <c r="B51" i="13"/>
  <c r="AP8" i="13" s="1"/>
  <c r="AN162" i="12"/>
  <c r="AN164" i="12"/>
  <c r="AN169" i="12"/>
  <c r="B138" i="13"/>
  <c r="AC25" i="13" s="1"/>
  <c r="B164" i="13"/>
  <c r="AG31" i="13" s="1"/>
  <c r="B170" i="13"/>
  <c r="AA34" i="13" s="1"/>
  <c r="B26" i="13"/>
  <c r="AA6" i="13" s="1"/>
  <c r="B34" i="13"/>
  <c r="AF7" i="13" s="1"/>
  <c r="B66" i="13"/>
  <c r="AH9" i="13" s="1"/>
  <c r="B82" i="13"/>
  <c r="AI11" i="13" s="1"/>
  <c r="AN130" i="12"/>
  <c r="AN156" i="12"/>
  <c r="AN147" i="12"/>
  <c r="AN136" i="12"/>
  <c r="AN134" i="12"/>
  <c r="AN159" i="12"/>
  <c r="AN161" i="12"/>
  <c r="AN160" i="12"/>
  <c r="AN184" i="12"/>
  <c r="AN182" i="12"/>
  <c r="B179" i="13"/>
  <c r="AD35" i="13" s="1"/>
  <c r="B61" i="13"/>
  <c r="AE9" i="13" s="1"/>
  <c r="AN138" i="12"/>
  <c r="AN141" i="12"/>
  <c r="AN133" i="12"/>
  <c r="AN144" i="12"/>
  <c r="B111" i="13"/>
  <c r="AB13" i="13" s="1"/>
  <c r="B127" i="13"/>
  <c r="AB26" i="13" s="1"/>
  <c r="AN178" i="12"/>
  <c r="AN181" i="12"/>
  <c r="B159" i="13"/>
  <c r="AD31" i="13" s="1"/>
  <c r="B12" i="13"/>
  <c r="AC5" i="13" s="1"/>
  <c r="B28" i="13"/>
  <c r="AA7" i="13" s="1"/>
  <c r="B52" i="13"/>
  <c r="AA9" i="13" s="1"/>
  <c r="B39" i="13"/>
  <c r="AD8" i="13" s="1"/>
  <c r="AN142" i="12"/>
  <c r="AN129" i="12"/>
  <c r="B113" i="13"/>
  <c r="AB17" i="13" s="1"/>
  <c r="B129" i="13"/>
  <c r="AB29" i="13" s="1"/>
  <c r="B145" i="13"/>
  <c r="AD25" i="13" s="1"/>
  <c r="B161" i="13"/>
  <c r="AA33" i="13" s="1"/>
  <c r="B177" i="13"/>
  <c r="AG33" i="13" s="1"/>
  <c r="B6" i="13"/>
  <c r="AD4" i="13" s="1"/>
  <c r="B38" i="13"/>
  <c r="AH7" i="13" s="1"/>
  <c r="B96" i="13"/>
  <c r="AD12" i="13" s="1"/>
  <c r="AN153" i="12"/>
  <c r="B134" i="13"/>
  <c r="AD29" i="13" s="1"/>
  <c r="B166" i="13"/>
  <c r="AD33" i="13" s="1"/>
  <c r="B176" i="13"/>
  <c r="AC35" i="13" s="1"/>
  <c r="AQ96" i="12"/>
  <c r="B25" i="13"/>
  <c r="AP5" i="13" s="1"/>
  <c r="B41" i="13"/>
  <c r="AF8" i="13" s="1"/>
  <c r="B92" i="13"/>
  <c r="AC12" i="13" s="1"/>
  <c r="B130" i="13"/>
  <c r="AB22" i="13" s="1"/>
  <c r="B172" i="13"/>
  <c r="AB34" i="13" s="1"/>
  <c r="B8" i="13"/>
  <c r="AF4" i="13" s="1"/>
  <c r="B16" i="13"/>
  <c r="AG5" i="13" s="1"/>
  <c r="B32" i="13"/>
  <c r="AA8" i="13" s="1"/>
  <c r="B40" i="13"/>
  <c r="AE8" i="13" s="1"/>
  <c r="B48" i="13"/>
  <c r="AM8" i="13" s="1"/>
  <c r="B64" i="13"/>
  <c r="AD10" i="13" s="1"/>
  <c r="B80" i="13"/>
  <c r="AH10" i="13" s="1"/>
  <c r="B88" i="13"/>
  <c r="AB12" i="13" s="1"/>
  <c r="B94" i="13"/>
  <c r="AA20" i="13" s="1"/>
  <c r="B104" i="13"/>
  <c r="AD19" i="13" s="1"/>
  <c r="B110" i="13"/>
  <c r="AA13" i="13" s="1"/>
  <c r="AN158" i="12"/>
  <c r="AN163" i="12"/>
  <c r="AN157" i="12"/>
  <c r="AN165" i="12"/>
  <c r="B126" i="13"/>
  <c r="AA27" i="13" s="1"/>
  <c r="AN179" i="12"/>
  <c r="AN175" i="12"/>
  <c r="B142" i="13"/>
  <c r="AA28" i="13" s="1"/>
  <c r="B152" i="13"/>
  <c r="AB23" i="13" s="1"/>
  <c r="B174" i="13"/>
  <c r="AB32" i="13" s="1"/>
  <c r="B7" i="13"/>
  <c r="AE4" i="13" s="1"/>
  <c r="B71" i="13"/>
  <c r="AE11" i="13" s="1"/>
  <c r="B119" i="13"/>
  <c r="AE17" i="13" s="1"/>
  <c r="B167" i="13"/>
  <c r="AA32" i="13" s="1"/>
  <c r="B183" i="13"/>
  <c r="AB36" i="13" s="1"/>
  <c r="B14" i="13"/>
  <c r="AE5" i="13" s="1"/>
  <c r="B22" i="13"/>
  <c r="AM5" i="13" s="1"/>
  <c r="B62" i="13"/>
  <c r="AF9" i="13" s="1"/>
  <c r="B70" i="13"/>
  <c r="AJ9" i="13" s="1"/>
  <c r="B86" i="13"/>
  <c r="AA12" i="13" s="1"/>
  <c r="B102" i="13"/>
  <c r="AF12" i="13" s="1"/>
  <c r="B112" i="13"/>
  <c r="AE14" i="13" s="1"/>
  <c r="B128" i="13"/>
  <c r="AC21" i="13" s="1"/>
  <c r="B160" i="13"/>
  <c r="AE31" i="13" s="1"/>
  <c r="B182" i="13"/>
  <c r="AE35" i="13" s="1"/>
  <c r="B17" i="13"/>
  <c r="AH5" i="13" s="1"/>
  <c r="B65" i="13"/>
  <c r="AC11" i="13" s="1"/>
  <c r="B98" i="13"/>
  <c r="AB18" i="13" s="1"/>
  <c r="B108" i="13"/>
  <c r="AB16" i="13" s="1"/>
  <c r="B124" i="13"/>
  <c r="AA22" i="13" s="1"/>
  <c r="B140" i="13"/>
  <c r="AE26" i="13" s="1"/>
  <c r="B178" i="13"/>
  <c r="AC32" i="13" s="1"/>
  <c r="B3" i="13"/>
  <c r="AA4" i="13" s="1"/>
  <c r="B19" i="13"/>
  <c r="AJ5" i="13" s="1"/>
  <c r="B27" i="13"/>
  <c r="AB6" i="13" s="1"/>
  <c r="B43" i="13"/>
  <c r="AH8" i="13" s="1"/>
  <c r="B75" i="13"/>
  <c r="AG10" i="13" s="1"/>
  <c r="B83" i="13"/>
  <c r="AJ11" i="13" s="1"/>
  <c r="AN139" i="12"/>
  <c r="AN146" i="12"/>
  <c r="B116" i="13"/>
  <c r="AB21" i="13" s="1"/>
  <c r="AN176" i="12"/>
  <c r="AN173" i="12"/>
  <c r="AN171" i="12"/>
  <c r="B148" i="13"/>
  <c r="AA23" i="13" s="1"/>
  <c r="B154" i="13"/>
  <c r="AC23" i="13" s="1"/>
  <c r="B180" i="13"/>
  <c r="AH33" i="13" s="1"/>
  <c r="B18" i="13"/>
  <c r="AI5" i="13" s="1"/>
  <c r="B58" i="13"/>
  <c r="AB11" i="13" s="1"/>
  <c r="B74" i="13"/>
  <c r="AF10" i="13" s="1"/>
  <c r="B93" i="13"/>
  <c r="AB15" i="13" s="1"/>
  <c r="B141" i="13"/>
  <c r="AD21" i="13" s="1"/>
  <c r="B157" i="13"/>
  <c r="AB31" i="13" s="1"/>
  <c r="B173" i="13"/>
  <c r="AF33" i="13" s="1"/>
  <c r="B13" i="13"/>
  <c r="AD5" i="13" s="1"/>
  <c r="B89" i="10"/>
  <c r="B121" i="13"/>
  <c r="AA25" i="13" s="1"/>
  <c r="B137" i="10"/>
  <c r="B153" i="13"/>
  <c r="AD28" i="13" s="1"/>
  <c r="B169" i="10"/>
  <c r="B20" i="13"/>
  <c r="AK5" i="13" s="1"/>
  <c r="B44" i="13"/>
  <c r="AI8" i="13" s="1"/>
  <c r="B68" i="13"/>
  <c r="AI9" i="13" s="1"/>
  <c r="B76" i="13"/>
  <c r="AG11" i="13" s="1"/>
  <c r="B84" i="13"/>
  <c r="AI10" i="13" s="1"/>
  <c r="B91" i="13"/>
  <c r="AA18" i="13" s="1"/>
  <c r="B107" i="13"/>
  <c r="AD14" i="13" s="1"/>
  <c r="B123" i="13"/>
  <c r="AA29" i="13" s="1"/>
  <c r="AN172" i="12"/>
  <c r="AN177" i="12"/>
  <c r="AN170" i="12"/>
  <c r="B155" i="13"/>
  <c r="AG29" i="13" s="1"/>
  <c r="B171" i="13"/>
  <c r="AB35" i="13" s="1"/>
  <c r="B67" i="13"/>
  <c r="AD11" i="13" s="1"/>
  <c r="AN101" i="12"/>
  <c r="AN98" i="12"/>
  <c r="AN90" i="12"/>
  <c r="B90" i="13"/>
  <c r="AA15" i="13" s="1"/>
  <c r="AN125" i="12"/>
  <c r="B106" i="13"/>
  <c r="AC14" i="13" s="1"/>
  <c r="AN124" i="12"/>
  <c r="B122" i="13"/>
  <c r="AB25" i="13" s="1"/>
  <c r="B115" i="13"/>
  <c r="AC13" i="13" s="1"/>
  <c r="B143" i="13"/>
  <c r="AF26" i="13" s="1"/>
  <c r="B4" i="13"/>
  <c r="AB4" i="13" s="1"/>
  <c r="AN11" i="12"/>
  <c r="B36" i="13"/>
  <c r="AB8" i="13" s="1"/>
  <c r="AN57" i="12"/>
  <c r="AN59" i="12"/>
  <c r="AN66" i="12"/>
  <c r="B139" i="13"/>
  <c r="AA24" i="13" s="1"/>
  <c r="B35" i="13"/>
  <c r="AG7" i="13" s="1"/>
  <c r="AN78" i="12"/>
  <c r="AN67" i="12"/>
  <c r="AN73" i="12"/>
  <c r="B100" i="13"/>
  <c r="AC19" i="13" s="1"/>
  <c r="B132" i="13"/>
  <c r="AC26" i="13" s="1"/>
  <c r="B10" i="13"/>
  <c r="AA5" i="13" s="1"/>
  <c r="AN27" i="12"/>
  <c r="AN28" i="12"/>
  <c r="AN61" i="12"/>
  <c r="B99" i="13"/>
  <c r="AA14" i="13" s="1"/>
  <c r="B131" i="13"/>
  <c r="AB27" i="13" s="1"/>
  <c r="B147" i="13"/>
  <c r="AB28" i="13" s="1"/>
  <c r="B95" i="13"/>
  <c r="AB20" i="13" s="1"/>
  <c r="AN126" i="12"/>
  <c r="AN128" i="12"/>
  <c r="B15" i="13"/>
  <c r="AF5" i="13" s="1"/>
  <c r="AN29" i="12"/>
  <c r="AN30" i="12"/>
  <c r="AN36" i="12"/>
  <c r="AN34" i="12"/>
  <c r="AN39" i="12"/>
  <c r="AN31" i="12"/>
  <c r="AN35" i="12"/>
  <c r="AN32" i="12"/>
  <c r="B31" i="13"/>
  <c r="AD7" i="13" s="1"/>
  <c r="AN63" i="12"/>
  <c r="AN64" i="12"/>
  <c r="AN71" i="12"/>
  <c r="AN79" i="12"/>
  <c r="B47" i="13"/>
  <c r="AL8" i="13" s="1"/>
  <c r="AN80" i="12"/>
  <c r="AN72" i="12"/>
  <c r="AN86" i="12"/>
  <c r="AN77" i="12"/>
  <c r="AN84" i="12"/>
  <c r="B63" i="13"/>
  <c r="AG9" i="13" s="1"/>
  <c r="AN104" i="12"/>
  <c r="B79" i="13"/>
  <c r="AH11" i="13" s="1"/>
  <c r="AN115" i="12"/>
  <c r="AN117" i="12"/>
  <c r="AN127" i="12"/>
  <c r="B30" i="13"/>
  <c r="AC7" i="13" s="1"/>
  <c r="AN82" i="12"/>
  <c r="B46" i="13"/>
  <c r="AK8" i="13" s="1"/>
  <c r="AN70" i="12"/>
  <c r="B78" i="13"/>
  <c r="AM9" i="13" s="1"/>
  <c r="AN100" i="12"/>
  <c r="AN108" i="12"/>
  <c r="AN113" i="12"/>
  <c r="AN107" i="12"/>
  <c r="B114" i="13"/>
  <c r="AA21" i="13" s="1"/>
  <c r="B24" i="13"/>
  <c r="AO5" i="13" s="1"/>
  <c r="AN40" i="12"/>
  <c r="AN48" i="12"/>
  <c r="AN44" i="12"/>
  <c r="AN42" i="12"/>
  <c r="AN37" i="12"/>
  <c r="AN50" i="12"/>
  <c r="AN52" i="12"/>
  <c r="AN46" i="12"/>
  <c r="AN51" i="12"/>
  <c r="B56" i="13"/>
  <c r="AA11" i="13" s="1"/>
  <c r="AN120" i="12"/>
  <c r="AN114" i="12"/>
  <c r="AN110" i="12"/>
  <c r="AN118" i="12"/>
  <c r="AN119" i="12"/>
  <c r="B120" i="13"/>
  <c r="AD13" i="13" s="1"/>
  <c r="B136" i="13"/>
  <c r="AC27" i="13" s="1"/>
  <c r="B23" i="13"/>
  <c r="AN5" i="13" s="1"/>
  <c r="AN38" i="12"/>
  <c r="AN41" i="12"/>
  <c r="AN43" i="12"/>
  <c r="AN45" i="12"/>
  <c r="AN33" i="12"/>
  <c r="AN47" i="12"/>
  <c r="AN49" i="12"/>
  <c r="B55" i="13"/>
  <c r="AB9" i="13" s="1"/>
  <c r="AN91" i="12"/>
  <c r="AN94" i="12"/>
  <c r="B118" i="13"/>
  <c r="AD17" i="13" s="1"/>
  <c r="W36" i="9"/>
  <c r="W86" i="9"/>
  <c r="W56" i="9"/>
  <c r="W77" i="9"/>
  <c r="W120" i="9"/>
  <c r="AF57" i="13"/>
  <c r="AF49" i="13"/>
  <c r="AF48" i="13"/>
  <c r="AF56" i="13"/>
  <c r="AF52" i="13"/>
  <c r="AF41" i="13"/>
  <c r="AF44" i="13"/>
  <c r="O1" i="13"/>
  <c r="AG1" i="13" s="1"/>
  <c r="AF54" i="13"/>
  <c r="AF43" i="13"/>
  <c r="AF45" i="13"/>
  <c r="AF50" i="13"/>
  <c r="AF51" i="13"/>
  <c r="AF55" i="13"/>
  <c r="AF47" i="13"/>
  <c r="AF40" i="13"/>
  <c r="AF42" i="13"/>
  <c r="AF46" i="13"/>
  <c r="AF53" i="13"/>
  <c r="C4" i="18"/>
  <c r="C12" i="18"/>
  <c r="B35" i="10"/>
  <c r="AM9" i="10" s="1"/>
  <c r="C36" i="18"/>
  <c r="C44" i="18"/>
  <c r="C60" i="18"/>
  <c r="C76" i="18"/>
  <c r="C101" i="18"/>
  <c r="B100" i="10"/>
  <c r="B132" i="10"/>
  <c r="C133" i="18"/>
  <c r="C165" i="18"/>
  <c r="C181" i="18"/>
  <c r="B10" i="10"/>
  <c r="AG5" i="10" s="1"/>
  <c r="C27" i="18"/>
  <c r="C51" i="18"/>
  <c r="C67" i="18"/>
  <c r="C83" i="18"/>
  <c r="C94" i="18"/>
  <c r="C100" i="18"/>
  <c r="B99" i="10"/>
  <c r="B115" i="10"/>
  <c r="C116" i="18"/>
  <c r="C126" i="18"/>
  <c r="B131" i="10"/>
  <c r="B147" i="10"/>
  <c r="C148" i="18"/>
  <c r="C164" i="18"/>
  <c r="C180" i="18"/>
  <c r="C22" i="18"/>
  <c r="C30" i="18"/>
  <c r="C46" i="18"/>
  <c r="C54" i="18"/>
  <c r="C62" i="18"/>
  <c r="C70" i="18"/>
  <c r="B95" i="10"/>
  <c r="C96" i="18"/>
  <c r="C122" i="18"/>
  <c r="C128" i="18"/>
  <c r="C138" i="18"/>
  <c r="C144" i="18"/>
  <c r="B143" i="10"/>
  <c r="C154" i="18"/>
  <c r="C170" i="18"/>
  <c r="C176" i="18"/>
  <c r="B4" i="10"/>
  <c r="C5" i="18"/>
  <c r="C13" i="18"/>
  <c r="C21" i="18"/>
  <c r="B36" i="10"/>
  <c r="C37" i="18"/>
  <c r="C45" i="18"/>
  <c r="C61" i="18"/>
  <c r="C69" i="18"/>
  <c r="C77" i="18"/>
  <c r="C102" i="18"/>
  <c r="C108" i="18"/>
  <c r="C118" i="18"/>
  <c r="C124" i="18"/>
  <c r="C134" i="18"/>
  <c r="C140" i="18"/>
  <c r="B139" i="10"/>
  <c r="C150" i="18"/>
  <c r="C156" i="18"/>
  <c r="C166" i="18"/>
  <c r="C172" i="18"/>
  <c r="C182" i="18"/>
  <c r="C20" i="18"/>
  <c r="C28" i="18"/>
  <c r="C52" i="18"/>
  <c r="B67" i="10"/>
  <c r="C84" i="18"/>
  <c r="B90" i="10"/>
  <c r="C91" i="18"/>
  <c r="C107" i="18"/>
  <c r="B106" i="10"/>
  <c r="B122" i="10"/>
  <c r="C123" i="18"/>
  <c r="C139" i="18"/>
  <c r="C155" i="18"/>
  <c r="C171" i="18"/>
  <c r="C3" i="18"/>
  <c r="C35" i="18"/>
  <c r="C43" i="18"/>
  <c r="C59" i="18"/>
  <c r="C75" i="18"/>
  <c r="C110" i="18"/>
  <c r="C86" i="18"/>
  <c r="C16" i="18"/>
  <c r="B15" i="10"/>
  <c r="C48" i="18"/>
  <c r="B47" i="10"/>
  <c r="B63" i="10"/>
  <c r="C80" i="18"/>
  <c r="B79" i="10"/>
  <c r="C98" i="18"/>
  <c r="C120" i="18"/>
  <c r="C136" i="18"/>
  <c r="B151" i="10"/>
  <c r="C152" i="18"/>
  <c r="C168" i="18"/>
  <c r="C184" i="18"/>
  <c r="C15" i="18"/>
  <c r="B30" i="10"/>
  <c r="C31" i="18"/>
  <c r="C39" i="18"/>
  <c r="B46" i="10"/>
  <c r="C47" i="18"/>
  <c r="C55" i="18"/>
  <c r="C71" i="18"/>
  <c r="B78" i="10"/>
  <c r="C87" i="18"/>
  <c r="C97" i="18"/>
  <c r="C103" i="18"/>
  <c r="C119" i="18"/>
  <c r="C145" i="18"/>
  <c r="C151" i="18"/>
  <c r="C167" i="18"/>
  <c r="C183" i="18"/>
  <c r="C10" i="18"/>
  <c r="C18" i="18"/>
  <c r="C34" i="18"/>
  <c r="C50" i="18"/>
  <c r="C66" i="18"/>
  <c r="C74" i="18"/>
  <c r="C82" i="18"/>
  <c r="C93" i="18"/>
  <c r="C99" i="18"/>
  <c r="C109" i="18"/>
  <c r="C115" i="18"/>
  <c r="C125" i="18"/>
  <c r="C141" i="18"/>
  <c r="C147" i="18"/>
  <c r="C157" i="18"/>
  <c r="C163" i="18"/>
  <c r="C179" i="18"/>
  <c r="C9" i="18"/>
  <c r="C17" i="18"/>
  <c r="B24" i="10"/>
  <c r="AM7" i="10" s="1"/>
  <c r="C25" i="18"/>
  <c r="C33" i="18"/>
  <c r="C49" i="18"/>
  <c r="C57" i="18"/>
  <c r="B56" i="10"/>
  <c r="C73" i="18"/>
  <c r="C81" i="18"/>
  <c r="C89" i="18"/>
  <c r="C105" i="18"/>
  <c r="C111" i="18"/>
  <c r="C121" i="18"/>
  <c r="B120" i="10"/>
  <c r="C127" i="18"/>
  <c r="C137" i="18"/>
  <c r="B136" i="10"/>
  <c r="C153" i="18"/>
  <c r="C159" i="18"/>
  <c r="C169" i="18"/>
  <c r="B23" i="10"/>
  <c r="C24" i="18"/>
  <c r="B31" i="10"/>
  <c r="C56" i="18"/>
  <c r="B55" i="10"/>
  <c r="C72" i="18"/>
  <c r="C88" i="18"/>
  <c r="C104" i="18"/>
  <c r="C162" i="18"/>
  <c r="C7" i="18"/>
  <c r="C63" i="18"/>
  <c r="AC99" i="2"/>
  <c r="AD99" i="2"/>
  <c r="AC127" i="2"/>
  <c r="AD127" i="2"/>
  <c r="AC155" i="2"/>
  <c r="AD155" i="2"/>
  <c r="AC183" i="2"/>
  <c r="AD183" i="2"/>
  <c r="B183" i="2" s="1"/>
  <c r="AC39" i="2"/>
  <c r="AD39" i="2"/>
  <c r="AC79" i="2"/>
  <c r="AD79" i="2"/>
  <c r="AC111" i="2"/>
  <c r="AD111" i="2"/>
  <c r="AC139" i="2"/>
  <c r="AD139" i="2"/>
  <c r="AC167" i="2"/>
  <c r="AD167" i="2"/>
  <c r="B167" i="2" s="1"/>
  <c r="AC19" i="2"/>
  <c r="AD19" i="2"/>
  <c r="AC55" i="2"/>
  <c r="AD55" i="2"/>
  <c r="AC95" i="2"/>
  <c r="AD95" i="2"/>
  <c r="AC123" i="2"/>
  <c r="AD123" i="2"/>
  <c r="AC151" i="2"/>
  <c r="AD151" i="2"/>
  <c r="AC179" i="2"/>
  <c r="AD179" i="2"/>
  <c r="B179" i="2" s="1"/>
  <c r="AC35" i="2"/>
  <c r="AD35" i="2"/>
  <c r="AC71" i="2"/>
  <c r="AD71" i="2"/>
  <c r="AC107" i="2"/>
  <c r="AD107" i="2"/>
  <c r="AC135" i="2"/>
  <c r="AD135" i="2"/>
  <c r="AC163" i="2"/>
  <c r="AD163" i="2"/>
  <c r="AC15" i="2"/>
  <c r="AD15" i="2"/>
  <c r="AC51" i="2"/>
  <c r="AD51" i="2"/>
  <c r="AC87" i="2"/>
  <c r="AD87" i="2"/>
  <c r="AC119" i="2"/>
  <c r="AD119" i="2"/>
  <c r="AC147" i="2"/>
  <c r="AD147" i="2"/>
  <c r="AC175" i="2"/>
  <c r="AD175" i="2"/>
  <c r="B175" i="2" s="1"/>
  <c r="AC31" i="2"/>
  <c r="AD31" i="2"/>
  <c r="AC67" i="2"/>
  <c r="AD67" i="2"/>
  <c r="AC103" i="2"/>
  <c r="AD103" i="2"/>
  <c r="AC131" i="2"/>
  <c r="AD131" i="2"/>
  <c r="AC159" i="2"/>
  <c r="AD159" i="2"/>
  <c r="AC7" i="2"/>
  <c r="AD7" i="2"/>
  <c r="AC47" i="2"/>
  <c r="AD47" i="2"/>
  <c r="AC83" i="2"/>
  <c r="AD83" i="2"/>
  <c r="AC115" i="2"/>
  <c r="AD115" i="2"/>
  <c r="AC143" i="2"/>
  <c r="AD143" i="2"/>
  <c r="AC171" i="2"/>
  <c r="AD171" i="2"/>
  <c r="B171" i="2" s="1"/>
  <c r="AC23" i="2"/>
  <c r="AD23" i="2"/>
  <c r="AC63" i="2"/>
  <c r="AD63" i="2"/>
  <c r="H59" i="4"/>
  <c r="H13" i="4"/>
  <c r="H56" i="4"/>
  <c r="H33" i="4"/>
  <c r="H53" i="4"/>
  <c r="H25" i="4"/>
  <c r="H57" i="4"/>
  <c r="H43" i="4"/>
  <c r="H52" i="4"/>
  <c r="H10" i="4"/>
  <c r="H12" i="4"/>
  <c r="H70" i="4"/>
  <c r="H54" i="4"/>
  <c r="H31" i="4"/>
  <c r="H61" i="4"/>
  <c r="H67" i="4"/>
  <c r="H36" i="4"/>
  <c r="H73" i="4"/>
  <c r="H49" i="4"/>
  <c r="H28" i="4"/>
  <c r="H58" i="4"/>
  <c r="H71" i="4"/>
  <c r="H7" i="4"/>
  <c r="H23" i="4"/>
  <c r="H42" i="4"/>
  <c r="H63" i="4"/>
  <c r="H40" i="4"/>
  <c r="H38" i="4"/>
  <c r="H17" i="4"/>
  <c r="H72" i="4"/>
  <c r="H21" i="4"/>
  <c r="H62" i="4"/>
  <c r="H47" i="4"/>
  <c r="H44" i="4"/>
  <c r="H48" i="4"/>
  <c r="H19" i="4"/>
  <c r="H65" i="4"/>
  <c r="H9" i="4"/>
  <c r="H27" i="4"/>
  <c r="H14" i="4"/>
  <c r="H60" i="4"/>
  <c r="H41" i="4"/>
  <c r="H68" i="4"/>
  <c r="H15" i="4"/>
  <c r="H50" i="4"/>
  <c r="H18" i="4"/>
  <c r="H3" i="4"/>
  <c r="H66" i="4"/>
  <c r="H45" i="4"/>
  <c r="H51" i="4"/>
  <c r="H46" i="4"/>
  <c r="H69" i="4"/>
  <c r="H16" i="4"/>
  <c r="H4" i="4"/>
  <c r="H39" i="4"/>
  <c r="H55" i="4"/>
  <c r="H64" i="4"/>
  <c r="H26" i="4"/>
  <c r="W7" i="9"/>
  <c r="AC1" i="10"/>
  <c r="X228" i="5"/>
  <c r="D7" i="5"/>
  <c r="X203" i="5"/>
  <c r="X52" i="5"/>
  <c r="X240" i="5"/>
  <c r="X238" i="5"/>
  <c r="X232" i="5"/>
  <c r="X230" i="5"/>
  <c r="X215" i="5"/>
  <c r="X171" i="5"/>
  <c r="X75" i="5"/>
  <c r="X41" i="5"/>
  <c r="X185" i="5"/>
  <c r="X224" i="5"/>
  <c r="X212" i="5"/>
  <c r="X197" i="5"/>
  <c r="X158" i="5"/>
  <c r="X85" i="5"/>
  <c r="X181" i="5"/>
  <c r="X196" i="5"/>
  <c r="X208" i="5"/>
  <c r="X217" i="5"/>
  <c r="X166" i="5"/>
  <c r="X204" i="5"/>
  <c r="X214" i="5"/>
  <c r="X222" i="5"/>
  <c r="X125" i="5"/>
  <c r="X172" i="5"/>
  <c r="X189" i="5"/>
  <c r="X200" i="5"/>
  <c r="X205" i="5"/>
  <c r="X210" i="5"/>
  <c r="X219" i="5"/>
  <c r="X223" i="5"/>
  <c r="X227" i="5"/>
  <c r="X145" i="5"/>
  <c r="X177" i="5"/>
  <c r="X193" i="5"/>
  <c r="X216" i="5"/>
  <c r="X220" i="5"/>
  <c r="X188" i="5"/>
  <c r="X170" i="5"/>
  <c r="X117" i="5"/>
  <c r="X199" i="5"/>
  <c r="X183" i="5"/>
  <c r="X162" i="5"/>
  <c r="X198" i="5"/>
  <c r="X182" i="5"/>
  <c r="X161" i="5"/>
  <c r="X164" i="5"/>
  <c r="X148" i="5"/>
  <c r="X132" i="5"/>
  <c r="X81" i="5"/>
  <c r="X163" i="5"/>
  <c r="X147" i="5"/>
  <c r="X129" i="5"/>
  <c r="X65" i="5"/>
  <c r="X142" i="5"/>
  <c r="X120" i="5"/>
  <c r="X118" i="5"/>
  <c r="X102" i="5"/>
  <c r="X97" i="5"/>
  <c r="X45" i="5"/>
  <c r="X119" i="5"/>
  <c r="X103" i="5"/>
  <c r="X87" i="5"/>
  <c r="X21" i="5"/>
  <c r="X80" i="5"/>
  <c r="X64" i="5"/>
  <c r="X48" i="5"/>
  <c r="X32" i="5"/>
  <c r="X16" i="5"/>
  <c r="X79" i="5"/>
  <c r="X63" i="5"/>
  <c r="X47" i="5"/>
  <c r="X31" i="5"/>
  <c r="X15" i="5"/>
  <c r="X78" i="5"/>
  <c r="X62" i="5"/>
  <c r="X46" i="5"/>
  <c r="X30" i="5"/>
  <c r="X14" i="5"/>
  <c r="X8" i="5"/>
  <c r="X74" i="5"/>
  <c r="X42" i="5"/>
  <c r="X13" i="5"/>
  <c r="X34" i="5"/>
  <c r="X88" i="5"/>
  <c r="X184" i="5"/>
  <c r="X165" i="5"/>
  <c r="X211" i="5"/>
  <c r="X195" i="5"/>
  <c r="X179" i="5"/>
  <c r="X153" i="5"/>
  <c r="X194" i="5"/>
  <c r="X178" i="5"/>
  <c r="X149" i="5"/>
  <c r="X160" i="5"/>
  <c r="X144" i="5"/>
  <c r="X124" i="5"/>
  <c r="X175" i="5"/>
  <c r="X159" i="5"/>
  <c r="X143" i="5"/>
  <c r="X121" i="5"/>
  <c r="X154" i="5"/>
  <c r="X138" i="5"/>
  <c r="X130" i="5"/>
  <c r="X114" i="5"/>
  <c r="X98" i="5"/>
  <c r="X73" i="5"/>
  <c r="X109" i="5"/>
  <c r="X93" i="5"/>
  <c r="X53" i="5"/>
  <c r="X115" i="5"/>
  <c r="X99" i="5"/>
  <c r="X77" i="5"/>
  <c r="X33" i="5"/>
  <c r="X76" i="5"/>
  <c r="X60" i="5"/>
  <c r="X44" i="5"/>
  <c r="X28" i="5"/>
  <c r="X11" i="5"/>
  <c r="X59" i="5"/>
  <c r="X43" i="5"/>
  <c r="X27" i="5"/>
  <c r="X10" i="5"/>
  <c r="X58" i="5"/>
  <c r="X26" i="5"/>
  <c r="X4" i="5"/>
  <c r="X18" i="5"/>
  <c r="X157" i="5"/>
  <c r="X207" i="5"/>
  <c r="X191" i="5"/>
  <c r="X174" i="5"/>
  <c r="X137" i="5"/>
  <c r="X190" i="5"/>
  <c r="X173" i="5"/>
  <c r="X133" i="5"/>
  <c r="X156" i="5"/>
  <c r="X116" i="5"/>
  <c r="X155" i="5"/>
  <c r="X139" i="5"/>
  <c r="X112" i="5"/>
  <c r="X150" i="5"/>
  <c r="X134" i="5"/>
  <c r="X92" i="5"/>
  <c r="X126" i="5"/>
  <c r="X110" i="5"/>
  <c r="X94" i="5"/>
  <c r="X57" i="5"/>
  <c r="X105" i="5"/>
  <c r="X89" i="5"/>
  <c r="X6" i="5"/>
  <c r="X127" i="5"/>
  <c r="X111" i="5"/>
  <c r="X95" i="5"/>
  <c r="X61" i="5"/>
  <c r="X17" i="5"/>
  <c r="X72" i="5"/>
  <c r="X56" i="5"/>
  <c r="X40" i="5"/>
  <c r="X24" i="5"/>
  <c r="X3" i="5"/>
  <c r="X71" i="5"/>
  <c r="X55" i="5"/>
  <c r="X39" i="5"/>
  <c r="X86" i="5"/>
  <c r="X70" i="5"/>
  <c r="X54" i="5"/>
  <c r="X38" i="5"/>
  <c r="X22" i="5"/>
  <c r="X9" i="5"/>
  <c r="X50" i="5"/>
  <c r="X5" i="5"/>
  <c r="X192" i="5"/>
  <c r="X176" i="5"/>
  <c r="X141" i="5"/>
  <c r="X187" i="5"/>
  <c r="X169" i="5"/>
  <c r="X104" i="5"/>
  <c r="X186" i="5"/>
  <c r="X12" i="5"/>
  <c r="X152" i="5"/>
  <c r="X136" i="5"/>
  <c r="X100" i="5"/>
  <c r="X167" i="5"/>
  <c r="X151" i="5"/>
  <c r="X135" i="5"/>
  <c r="X96" i="5"/>
  <c r="X146" i="5"/>
  <c r="X128" i="5"/>
  <c r="X49" i="5"/>
  <c r="X122" i="5"/>
  <c r="X106" i="5"/>
  <c r="X90" i="5"/>
  <c r="X25" i="5"/>
  <c r="X101" i="5"/>
  <c r="X84" i="5"/>
  <c r="X7" i="5"/>
  <c r="X123" i="5"/>
  <c r="X107" i="5"/>
  <c r="X91" i="5"/>
  <c r="X37" i="5"/>
  <c r="X29" i="5"/>
  <c r="X36" i="5"/>
  <c r="X20" i="5"/>
  <c r="X83" i="5"/>
  <c r="X67" i="5"/>
  <c r="X51" i="5"/>
  <c r="X35" i="5"/>
  <c r="X19" i="5"/>
  <c r="X82" i="5"/>
  <c r="X66" i="5"/>
  <c r="X239" i="5"/>
  <c r="X237" i="5"/>
  <c r="X231" i="5"/>
  <c r="X229" i="5"/>
  <c r="X213" i="5"/>
  <c r="X131" i="5"/>
  <c r="X69" i="5"/>
  <c r="X23" i="5"/>
  <c r="X242" i="5"/>
  <c r="X236" i="5"/>
  <c r="X234" i="5"/>
  <c r="X226" i="5"/>
  <c r="X209" i="5"/>
  <c r="X140" i="5"/>
  <c r="X68" i="5"/>
  <c r="X201" i="5"/>
  <c r="X168" i="5"/>
  <c r="X218" i="5"/>
  <c r="X202" i="5"/>
  <c r="X180" i="5"/>
  <c r="X113" i="5"/>
  <c r="X2" i="5"/>
  <c r="X225" i="5"/>
  <c r="X241" i="5"/>
  <c r="X235" i="5"/>
  <c r="X233" i="5"/>
  <c r="X221" i="5"/>
  <c r="X206" i="5"/>
  <c r="X108" i="5"/>
  <c r="D46" i="5"/>
  <c r="D112" i="5"/>
  <c r="D135" i="5"/>
  <c r="D6" i="5"/>
  <c r="D56" i="5"/>
  <c r="D79" i="5"/>
  <c r="D35" i="5"/>
  <c r="D27" i="5"/>
  <c r="D8" i="5"/>
  <c r="D117" i="5"/>
  <c r="D73" i="5"/>
  <c r="D189" i="5"/>
  <c r="D162" i="5"/>
  <c r="D184" i="5"/>
  <c r="D175" i="5"/>
  <c r="D144" i="5"/>
  <c r="D89" i="5"/>
  <c r="D6" i="6"/>
  <c r="W5" i="6"/>
  <c r="U5" i="6" s="1"/>
  <c r="D27" i="6"/>
  <c r="D142" i="6"/>
  <c r="D36" i="6"/>
  <c r="D157" i="6"/>
  <c r="D121" i="6"/>
  <c r="D56" i="6"/>
  <c r="D88" i="6"/>
  <c r="H6" i="4"/>
  <c r="H37" i="4"/>
  <c r="H29" i="4"/>
  <c r="H8" i="4"/>
  <c r="H22" i="4"/>
  <c r="H34" i="4"/>
  <c r="H35" i="4"/>
  <c r="H11" i="4"/>
  <c r="H24" i="4"/>
  <c r="H30" i="4"/>
  <c r="H5" i="4"/>
  <c r="H32" i="4"/>
  <c r="N10" i="4"/>
  <c r="A3" i="4"/>
  <c r="B3" i="4" s="1"/>
  <c r="K16" i="4"/>
  <c r="L16" i="4" s="1"/>
  <c r="J16" i="4"/>
  <c r="K65" i="4"/>
  <c r="L65" i="4" s="1"/>
  <c r="J65" i="4"/>
  <c r="K5" i="4"/>
  <c r="L5" i="4" s="1"/>
  <c r="J5" i="4"/>
  <c r="K46" i="4"/>
  <c r="L46" i="4" s="1"/>
  <c r="J46" i="4"/>
  <c r="K23" i="4"/>
  <c r="L23" i="4" s="1"/>
  <c r="J23" i="4"/>
  <c r="K20" i="4"/>
  <c r="L20" i="4" s="1"/>
  <c r="J20" i="4"/>
  <c r="K36" i="4"/>
  <c r="L36" i="4" s="1"/>
  <c r="J36" i="4"/>
  <c r="K52" i="4"/>
  <c r="L52" i="4" s="1"/>
  <c r="J52" i="4"/>
  <c r="K68" i="4"/>
  <c r="L68" i="4" s="1"/>
  <c r="J68" i="4"/>
  <c r="K21" i="4"/>
  <c r="L21" i="4" s="1"/>
  <c r="J21" i="4"/>
  <c r="K37" i="4"/>
  <c r="L37" i="4" s="1"/>
  <c r="J37" i="4"/>
  <c r="K53" i="4"/>
  <c r="L53" i="4" s="1"/>
  <c r="J53" i="4"/>
  <c r="K69" i="4"/>
  <c r="L69" i="4" s="1"/>
  <c r="J69" i="4"/>
  <c r="K9" i="4"/>
  <c r="L9" i="4" s="1"/>
  <c r="J9" i="4"/>
  <c r="K18" i="4"/>
  <c r="L18" i="4" s="1"/>
  <c r="J18" i="4"/>
  <c r="K34" i="4"/>
  <c r="L34" i="4" s="1"/>
  <c r="J34" i="4"/>
  <c r="K50" i="4"/>
  <c r="L50" i="4" s="1"/>
  <c r="J50" i="4"/>
  <c r="K66" i="4"/>
  <c r="L66" i="4" s="1"/>
  <c r="J66" i="4"/>
  <c r="K27" i="4"/>
  <c r="L27" i="4" s="1"/>
  <c r="J27" i="4"/>
  <c r="K43" i="4"/>
  <c r="L43" i="4" s="1"/>
  <c r="J43" i="4"/>
  <c r="K59" i="4"/>
  <c r="L59" i="4" s="1"/>
  <c r="J59" i="4"/>
  <c r="K48" i="4"/>
  <c r="L48" i="4" s="1"/>
  <c r="J48" i="4"/>
  <c r="K17" i="4"/>
  <c r="L17" i="4" s="1"/>
  <c r="J17" i="4"/>
  <c r="K62" i="4"/>
  <c r="L62" i="4" s="1"/>
  <c r="J62" i="4"/>
  <c r="K55" i="4"/>
  <c r="L55" i="4" s="1"/>
  <c r="J55" i="4"/>
  <c r="K10" i="4"/>
  <c r="L10" i="4" s="1"/>
  <c r="J10" i="4"/>
  <c r="K40" i="4"/>
  <c r="L40" i="4" s="1"/>
  <c r="J40" i="4"/>
  <c r="K56" i="4"/>
  <c r="L56" i="4" s="1"/>
  <c r="J56" i="4"/>
  <c r="K11" i="4"/>
  <c r="L11" i="4" s="1"/>
  <c r="J11" i="4"/>
  <c r="K25" i="4"/>
  <c r="L25" i="4" s="1"/>
  <c r="J25" i="4"/>
  <c r="K41" i="4"/>
  <c r="L41" i="4" s="1"/>
  <c r="J41" i="4"/>
  <c r="K57" i="4"/>
  <c r="L57" i="4" s="1"/>
  <c r="J57" i="4"/>
  <c r="K73" i="4"/>
  <c r="L73" i="4" s="1"/>
  <c r="J73" i="4"/>
  <c r="K22" i="4"/>
  <c r="L22" i="4" s="1"/>
  <c r="J22" i="4"/>
  <c r="K38" i="4"/>
  <c r="L38" i="4" s="1"/>
  <c r="J38" i="4"/>
  <c r="K54" i="4"/>
  <c r="L54" i="4" s="1"/>
  <c r="J54" i="4"/>
  <c r="K70" i="4"/>
  <c r="L70" i="4" s="1"/>
  <c r="J70" i="4"/>
  <c r="K6" i="4"/>
  <c r="L6" i="4" s="1"/>
  <c r="J6" i="4"/>
  <c r="K15" i="4"/>
  <c r="L15" i="4" s="1"/>
  <c r="J15" i="4"/>
  <c r="K31" i="4"/>
  <c r="L31" i="4" s="1"/>
  <c r="J31" i="4"/>
  <c r="K47" i="4"/>
  <c r="L47" i="4" s="1"/>
  <c r="J47" i="4"/>
  <c r="K63" i="4"/>
  <c r="L63" i="4" s="1"/>
  <c r="J63" i="4"/>
  <c r="K7" i="4"/>
  <c r="L7" i="4" s="1"/>
  <c r="J7" i="4"/>
  <c r="K32" i="4"/>
  <c r="L32" i="4" s="1"/>
  <c r="J32" i="4"/>
  <c r="K64" i="4"/>
  <c r="L64" i="4" s="1"/>
  <c r="J64" i="4"/>
  <c r="K8" i="4"/>
  <c r="L8" i="4" s="1"/>
  <c r="J8" i="4"/>
  <c r="K33" i="4"/>
  <c r="L33" i="4" s="1"/>
  <c r="J33" i="4"/>
  <c r="K49" i="4"/>
  <c r="L49" i="4" s="1"/>
  <c r="J49" i="4"/>
  <c r="K14" i="4"/>
  <c r="L14" i="4" s="1"/>
  <c r="J14" i="4"/>
  <c r="K30" i="4"/>
  <c r="L30" i="4" s="1"/>
  <c r="J30" i="4"/>
  <c r="K39" i="4"/>
  <c r="L39" i="4" s="1"/>
  <c r="J39" i="4"/>
  <c r="K71" i="4"/>
  <c r="L71" i="4" s="1"/>
  <c r="J71" i="4"/>
  <c r="K24" i="4"/>
  <c r="L24" i="4" s="1"/>
  <c r="J24" i="4"/>
  <c r="K72" i="4"/>
  <c r="L72" i="4" s="1"/>
  <c r="J72" i="4"/>
  <c r="K28" i="4"/>
  <c r="L28" i="4" s="1"/>
  <c r="J28" i="4"/>
  <c r="K44" i="4"/>
  <c r="L44" i="4" s="1"/>
  <c r="J44" i="4"/>
  <c r="K60" i="4"/>
  <c r="L60" i="4" s="1"/>
  <c r="J60" i="4"/>
  <c r="K4" i="4"/>
  <c r="L4" i="4" s="1"/>
  <c r="J4" i="4"/>
  <c r="K13" i="4"/>
  <c r="L13" i="4" s="1"/>
  <c r="J13" i="4"/>
  <c r="K29" i="4"/>
  <c r="L29" i="4" s="1"/>
  <c r="J29" i="4"/>
  <c r="K45" i="4"/>
  <c r="L45" i="4" s="1"/>
  <c r="J45" i="4"/>
  <c r="K61" i="4"/>
  <c r="L61" i="4" s="1"/>
  <c r="J61" i="4"/>
  <c r="K12" i="4"/>
  <c r="L12" i="4" s="1"/>
  <c r="J12" i="4"/>
  <c r="K26" i="4"/>
  <c r="L26" i="4" s="1"/>
  <c r="J26" i="4"/>
  <c r="K42" i="4"/>
  <c r="L42" i="4" s="1"/>
  <c r="J42" i="4"/>
  <c r="K58" i="4"/>
  <c r="L58" i="4" s="1"/>
  <c r="J58" i="4"/>
  <c r="K19" i="4"/>
  <c r="L19" i="4" s="1"/>
  <c r="J19" i="4"/>
  <c r="K35" i="4"/>
  <c r="L35" i="4" s="1"/>
  <c r="J35" i="4"/>
  <c r="K51" i="4"/>
  <c r="L51" i="4" s="1"/>
  <c r="J51" i="4"/>
  <c r="K67" i="4"/>
  <c r="L67" i="4" s="1"/>
  <c r="J67" i="4"/>
  <c r="K3" i="4"/>
  <c r="L3" i="4" s="1"/>
  <c r="J3" i="4"/>
  <c r="N7" i="4"/>
  <c r="B87" i="13" l="1"/>
  <c r="AA16" i="13" s="1"/>
  <c r="B60" i="13"/>
  <c r="AC10" i="13" s="1"/>
  <c r="B109" i="13"/>
  <c r="AA17" i="13" s="1"/>
  <c r="AN183" i="12"/>
  <c r="B103" i="13"/>
  <c r="AB14" i="13" s="1"/>
  <c r="B162" i="13"/>
  <c r="AF31" i="13" s="1"/>
  <c r="AN155" i="12"/>
  <c r="B175" i="13"/>
  <c r="AC34" i="13" s="1"/>
  <c r="Z155" i="12"/>
  <c r="G155" i="18" s="1"/>
  <c r="Z81" i="12"/>
  <c r="G81" i="18" s="1"/>
  <c r="Z132" i="12"/>
  <c r="G132" i="18" s="1"/>
  <c r="Z180" i="12"/>
  <c r="G180" i="18" s="1"/>
  <c r="Z76" i="12"/>
  <c r="G76" i="18" s="1"/>
  <c r="AR191" i="12"/>
  <c r="AN76" i="12"/>
  <c r="B87" i="10"/>
  <c r="AG30" i="10" s="1"/>
  <c r="B114" i="10"/>
  <c r="B54" i="10"/>
  <c r="AN88" i="12"/>
  <c r="AN99" i="12"/>
  <c r="AN81" i="12"/>
  <c r="AN55" i="12"/>
  <c r="B42" i="13"/>
  <c r="AG8" i="13" s="1"/>
  <c r="AN180" i="12"/>
  <c r="AN132" i="12"/>
  <c r="B146" i="13"/>
  <c r="AF29" i="13" s="1"/>
  <c r="B144" i="13"/>
  <c r="AB24" i="13" s="1"/>
  <c r="AN149" i="12"/>
  <c r="B50" i="13"/>
  <c r="AO8" i="13" s="1"/>
  <c r="Z151" i="12"/>
  <c r="G151" i="18" s="1"/>
  <c r="Z153" i="12"/>
  <c r="G153" i="18" s="1"/>
  <c r="Z70" i="12"/>
  <c r="G70" i="18" s="1"/>
  <c r="Z88" i="12"/>
  <c r="G88" i="18" s="1"/>
  <c r="Z183" i="12"/>
  <c r="G183" i="18" s="1"/>
  <c r="Z65" i="12"/>
  <c r="G65" i="18" s="1"/>
  <c r="Z54" i="12"/>
  <c r="G54" i="18" s="1"/>
  <c r="AQ189" i="12"/>
  <c r="AP110" i="12"/>
  <c r="AP114" i="12"/>
  <c r="AP133" i="12"/>
  <c r="AP158" i="12"/>
  <c r="AP129" i="12"/>
  <c r="AO83" i="12"/>
  <c r="AO66" i="12"/>
  <c r="AO168" i="12"/>
  <c r="AO174" i="12"/>
  <c r="AP192" i="12"/>
  <c r="AQ151" i="12"/>
  <c r="AP151" i="12"/>
  <c r="AQ139" i="12"/>
  <c r="AO120" i="12"/>
  <c r="AQ186" i="12"/>
  <c r="AQ146" i="12"/>
  <c r="AQ153" i="12"/>
  <c r="AQ169" i="12"/>
  <c r="AO188" i="12"/>
  <c r="AO116" i="12"/>
  <c r="AP186" i="12"/>
  <c r="AO115" i="12"/>
  <c r="B72" i="10"/>
  <c r="B118" i="10"/>
  <c r="AN75" i="12"/>
  <c r="AN65" i="12"/>
  <c r="B42" i="10"/>
  <c r="B72" i="13"/>
  <c r="AK9" i="13" s="1"/>
  <c r="B54" i="13"/>
  <c r="AB10" i="13" s="1"/>
  <c r="AN85" i="12"/>
  <c r="B151" i="13"/>
  <c r="AC24" i="13" s="1"/>
  <c r="AN54" i="12"/>
  <c r="B49" i="10"/>
  <c r="AM11" i="10" s="1"/>
  <c r="B135" i="13"/>
  <c r="AE29" i="13" s="1"/>
  <c r="AN137" i="12"/>
  <c r="B158" i="13"/>
  <c r="AC31" i="13" s="1"/>
  <c r="B125" i="13"/>
  <c r="AA26" i="13" s="1"/>
  <c r="B59" i="13"/>
  <c r="AD9" i="13" s="1"/>
  <c r="AN151" i="12"/>
  <c r="Z85" i="12"/>
  <c r="G85" i="18" s="1"/>
  <c r="Z137" i="12"/>
  <c r="G137" i="18" s="1"/>
  <c r="Z55" i="12"/>
  <c r="G55" i="18" s="1"/>
  <c r="AP40" i="12"/>
  <c r="AP142" i="12"/>
  <c r="AO68" i="12"/>
  <c r="AO86" i="12"/>
  <c r="AO59" i="12"/>
  <c r="AQ148" i="12"/>
  <c r="AQ123" i="12"/>
  <c r="AP157" i="12"/>
  <c r="AP165" i="12"/>
  <c r="AP163" i="12"/>
  <c r="AP90" i="12"/>
  <c r="AP98" i="12"/>
  <c r="AP190" i="12"/>
  <c r="AO185" i="12"/>
  <c r="AO121" i="12"/>
  <c r="AO112" i="12"/>
  <c r="AO125" i="12"/>
  <c r="AO142" i="12"/>
  <c r="AP137" i="12"/>
  <c r="Z59" i="12"/>
  <c r="G59" i="18" s="1"/>
  <c r="Z92" i="12"/>
  <c r="G92" i="18" s="1"/>
  <c r="AP149" i="12"/>
  <c r="AQ166" i="12"/>
  <c r="AO92" i="12"/>
  <c r="AQ164" i="12"/>
  <c r="AP175" i="12"/>
  <c r="AO27" i="12"/>
  <c r="AO137" i="12"/>
  <c r="AP128" i="12"/>
  <c r="AQ167" i="12"/>
  <c r="AP168" i="12"/>
  <c r="AO175" i="12"/>
  <c r="AQ178" i="12"/>
  <c r="AQ162" i="12"/>
  <c r="AO99" i="12"/>
  <c r="AP155" i="12"/>
  <c r="AP138" i="12"/>
  <c r="AP179" i="12"/>
  <c r="Z11" i="12"/>
  <c r="G11" i="18" s="1"/>
  <c r="AO127" i="12"/>
  <c r="AO95" i="12"/>
  <c r="AR192" i="12"/>
  <c r="Z66" i="12"/>
  <c r="G66" i="18" s="1"/>
  <c r="B181" i="10"/>
  <c r="B117" i="13"/>
  <c r="AC17" i="13" s="1"/>
  <c r="B21" i="13"/>
  <c r="AL5" i="13" s="1"/>
  <c r="AP153" i="12"/>
  <c r="AP141" i="12"/>
  <c r="AO179" i="12"/>
  <c r="AP144" i="12"/>
  <c r="AO118" i="12"/>
  <c r="AO132" i="12"/>
  <c r="AQ181" i="12"/>
  <c r="AQ174" i="12"/>
  <c r="AO96" i="12"/>
  <c r="AR189" i="12"/>
  <c r="AO110" i="12"/>
  <c r="AO119" i="12"/>
  <c r="AO114" i="12"/>
  <c r="AO28" i="12"/>
  <c r="AO12" i="12"/>
  <c r="AO107" i="12"/>
  <c r="AO108" i="12"/>
  <c r="AO100" i="12"/>
  <c r="AV25" i="28"/>
  <c r="M114" i="28"/>
  <c r="M118" i="28"/>
  <c r="M110" i="28"/>
  <c r="M120" i="28"/>
  <c r="AS38" i="28"/>
  <c r="J138" i="28"/>
  <c r="J133" i="28"/>
  <c r="J141" i="28"/>
  <c r="J128" i="28"/>
  <c r="J144" i="28"/>
  <c r="AS20" i="28"/>
  <c r="J85" i="28"/>
  <c r="J75" i="28"/>
  <c r="J81" i="28"/>
  <c r="AU19" i="28"/>
  <c r="L74" i="28"/>
  <c r="L68" i="28"/>
  <c r="AZ11" i="28"/>
  <c r="Q48" i="28"/>
  <c r="Q42" i="28"/>
  <c r="Q37" i="28"/>
  <c r="Q52" i="28"/>
  <c r="Q40" i="28"/>
  <c r="Q44" i="28"/>
  <c r="Q50" i="28"/>
  <c r="Q46" i="28"/>
  <c r="AY9" i="28"/>
  <c r="P32" i="28"/>
  <c r="P29" i="28"/>
  <c r="P35" i="28"/>
  <c r="P31" i="28"/>
  <c r="P34" i="28"/>
  <c r="P39" i="28"/>
  <c r="P30" i="28"/>
  <c r="AU38" i="28"/>
  <c r="L141" i="28"/>
  <c r="L138" i="28"/>
  <c r="L126" i="28"/>
  <c r="L128" i="28"/>
  <c r="L144" i="28"/>
  <c r="AT53" i="28"/>
  <c r="K166" i="28"/>
  <c r="K174" i="28"/>
  <c r="AX26" i="28"/>
  <c r="O87" i="28"/>
  <c r="O93" i="28"/>
  <c r="O97" i="28"/>
  <c r="O102" i="28"/>
  <c r="O89" i="28"/>
  <c r="Z99" i="12"/>
  <c r="G99" i="18" s="1"/>
  <c r="AS58" i="28"/>
  <c r="J183" i="28"/>
  <c r="AT51" i="28"/>
  <c r="K162" i="28"/>
  <c r="K169" i="28"/>
  <c r="AY11" i="28"/>
  <c r="P51" i="28"/>
  <c r="P48" i="28"/>
  <c r="P40" i="28"/>
  <c r="P42" i="28"/>
  <c r="P37" i="28"/>
  <c r="P44" i="28"/>
  <c r="P52" i="28"/>
  <c r="P46" i="28"/>
  <c r="AV6" i="28"/>
  <c r="M16" i="28"/>
  <c r="M19" i="28"/>
  <c r="M12" i="28"/>
  <c r="M23" i="28"/>
  <c r="M14" i="28"/>
  <c r="M22" i="28"/>
  <c r="AU48" i="28"/>
  <c r="L165" i="28"/>
  <c r="L158" i="28"/>
  <c r="L157" i="28"/>
  <c r="AV40" i="28"/>
  <c r="M156" i="28"/>
  <c r="M130" i="28"/>
  <c r="M134" i="28"/>
  <c r="M136" i="28"/>
  <c r="AS34" i="28"/>
  <c r="J142" i="28"/>
  <c r="J117" i="28"/>
  <c r="J129" i="28"/>
  <c r="AV14" i="28"/>
  <c r="M63" i="28"/>
  <c r="M64" i="28"/>
  <c r="M71" i="28"/>
  <c r="AT7" i="28"/>
  <c r="K24" i="28"/>
  <c r="K26" i="28"/>
  <c r="K13" i="28"/>
  <c r="K20" i="28"/>
  <c r="K21" i="28"/>
  <c r="K25" i="28"/>
  <c r="K17" i="28"/>
  <c r="AT14" i="28"/>
  <c r="K71" i="28"/>
  <c r="K79" i="28"/>
  <c r="K63" i="28"/>
  <c r="AU6" i="28"/>
  <c r="L18" i="28"/>
  <c r="L19" i="28"/>
  <c r="L12" i="28"/>
  <c r="L14" i="28"/>
  <c r="L22" i="28"/>
  <c r="L23" i="28"/>
  <c r="AX38" i="28"/>
  <c r="O138" i="28"/>
  <c r="O133" i="28"/>
  <c r="O128" i="28"/>
  <c r="O141" i="28"/>
  <c r="O126" i="28"/>
  <c r="AT47" i="28"/>
  <c r="K155" i="28"/>
  <c r="K149" i="28"/>
  <c r="AS26" i="28"/>
  <c r="J103" i="28"/>
  <c r="J93" i="28"/>
  <c r="J97" i="28"/>
  <c r="J89" i="28"/>
  <c r="J102" i="28"/>
  <c r="J107" i="28"/>
  <c r="AS33" i="28"/>
  <c r="J108" i="28"/>
  <c r="J113" i="28"/>
  <c r="AS54" i="28"/>
  <c r="J177" i="28"/>
  <c r="J172" i="28"/>
  <c r="AV38" i="28"/>
  <c r="M126" i="28"/>
  <c r="M144" i="28"/>
  <c r="M133" i="28"/>
  <c r="M141" i="28"/>
  <c r="M128" i="28"/>
  <c r="AT28" i="28"/>
  <c r="K90" i="28"/>
  <c r="K101" i="28"/>
  <c r="AT21" i="28"/>
  <c r="K72" i="28"/>
  <c r="K84" i="28"/>
  <c r="K80" i="28"/>
  <c r="K86" i="28"/>
  <c r="AW10" i="28"/>
  <c r="N43" i="28"/>
  <c r="N47" i="28"/>
  <c r="N33" i="28"/>
  <c r="N38" i="28"/>
  <c r="N41" i="28"/>
  <c r="N49" i="28"/>
  <c r="AV12" i="28"/>
  <c r="M58" i="28"/>
  <c r="M53" i="28"/>
  <c r="M60" i="28"/>
  <c r="AT9" i="28"/>
  <c r="K35" i="28"/>
  <c r="K32" i="28"/>
  <c r="K29" i="28"/>
  <c r="K39" i="28"/>
  <c r="K34" i="28"/>
  <c r="K36" i="28"/>
  <c r="K31" i="28"/>
  <c r="AU36" i="28"/>
  <c r="L132" i="28"/>
  <c r="L127" i="28"/>
  <c r="AT39" i="28"/>
  <c r="K122" i="28"/>
  <c r="AS31" i="28"/>
  <c r="J106" i="28"/>
  <c r="AT26" i="28"/>
  <c r="K93" i="28"/>
  <c r="K103" i="28"/>
  <c r="K97" i="28"/>
  <c r="K102" i="28"/>
  <c r="K87" i="28"/>
  <c r="AS6" i="28"/>
  <c r="J18" i="28"/>
  <c r="J16" i="28"/>
  <c r="J19" i="28"/>
  <c r="J14" i="28"/>
  <c r="J22" i="28"/>
  <c r="J23" i="28"/>
  <c r="K95" i="28"/>
  <c r="AT29" i="28"/>
  <c r="AU42" i="28"/>
  <c r="L140" i="28"/>
  <c r="L145" i="28"/>
  <c r="AT16" i="28"/>
  <c r="K67" i="28"/>
  <c r="K78" i="28"/>
  <c r="AS46" i="28"/>
  <c r="J160" i="28"/>
  <c r="J161" i="28"/>
  <c r="AS56" i="28"/>
  <c r="J184" i="28"/>
  <c r="AS53" i="28"/>
  <c r="J167" i="28"/>
  <c r="J174" i="28"/>
  <c r="AT40" i="28"/>
  <c r="K156" i="28"/>
  <c r="K147" i="28"/>
  <c r="K130" i="28"/>
  <c r="K136" i="28"/>
  <c r="AU25" i="28"/>
  <c r="L114" i="28"/>
  <c r="L119" i="28"/>
  <c r="L120" i="28"/>
  <c r="L110" i="28"/>
  <c r="AS11" i="28"/>
  <c r="J40" i="28"/>
  <c r="J42" i="28"/>
  <c r="J48" i="28"/>
  <c r="J44" i="28"/>
  <c r="J51" i="28"/>
  <c r="J50" i="28"/>
  <c r="J52" i="28"/>
  <c r="J46" i="28"/>
  <c r="AT4" i="28"/>
  <c r="K8" i="28"/>
  <c r="K10" i="28"/>
  <c r="K7" i="28"/>
  <c r="K4" i="28"/>
  <c r="K9" i="28"/>
  <c r="K6" i="28"/>
  <c r="AS18" i="28"/>
  <c r="J76" i="28"/>
  <c r="J61" i="28"/>
  <c r="J65" i="28"/>
  <c r="J55" i="28"/>
  <c r="AX6" i="28"/>
  <c r="O18" i="28"/>
  <c r="O16" i="28"/>
  <c r="O12" i="28"/>
  <c r="O19" i="28"/>
  <c r="O23" i="28"/>
  <c r="O14" i="28"/>
  <c r="AV48" i="28"/>
  <c r="M163" i="28"/>
  <c r="M157" i="28"/>
  <c r="M158" i="28"/>
  <c r="AW38" i="28"/>
  <c r="N138" i="28"/>
  <c r="N126" i="28"/>
  <c r="N133" i="28"/>
  <c r="N128" i="28"/>
  <c r="N144" i="28"/>
  <c r="AU26" i="28"/>
  <c r="L87" i="28"/>
  <c r="L89" i="28"/>
  <c r="L103" i="28"/>
  <c r="L97" i="28"/>
  <c r="L102" i="28"/>
  <c r="AV21" i="28"/>
  <c r="M80" i="28"/>
  <c r="M77" i="28"/>
  <c r="M72" i="28"/>
  <c r="M86" i="28"/>
  <c r="AP173" i="12"/>
  <c r="AT46" i="28"/>
  <c r="K159" i="28"/>
  <c r="K161" i="28"/>
  <c r="AP117" i="12"/>
  <c r="AV4" i="28"/>
  <c r="M10" i="28"/>
  <c r="M8" i="28"/>
  <c r="M5" i="28"/>
  <c r="M4" i="28"/>
  <c r="M9" i="28"/>
  <c r="M6" i="28"/>
  <c r="L107" i="28"/>
  <c r="L100" i="28"/>
  <c r="AU33" i="28"/>
  <c r="L113" i="28"/>
  <c r="AS44" i="28"/>
  <c r="J135" i="28"/>
  <c r="AU20" i="28"/>
  <c r="L85" i="28"/>
  <c r="L75" i="28"/>
  <c r="L70" i="28"/>
  <c r="AU7" i="28"/>
  <c r="L13" i="28"/>
  <c r="L21" i="28"/>
  <c r="L26" i="28"/>
  <c r="L20" i="28"/>
  <c r="L24" i="28"/>
  <c r="L25" i="28"/>
  <c r="L15" i="28"/>
  <c r="AU17" i="28"/>
  <c r="L59" i="28"/>
  <c r="L57" i="28"/>
  <c r="AW9" i="28"/>
  <c r="N35" i="28"/>
  <c r="N32" i="28"/>
  <c r="N29" i="28"/>
  <c r="N31" i="28"/>
  <c r="N36" i="28"/>
  <c r="N30" i="28"/>
  <c r="N39" i="28"/>
  <c r="AT58" i="28"/>
  <c r="K180" i="28"/>
  <c r="AS41" i="28"/>
  <c r="J146" i="28"/>
  <c r="AO186" i="12"/>
  <c r="AX10" i="28"/>
  <c r="O45" i="28"/>
  <c r="O33" i="28"/>
  <c r="O43" i="28"/>
  <c r="O49" i="28"/>
  <c r="O41" i="28"/>
  <c r="O38" i="28"/>
  <c r="AV9" i="28"/>
  <c r="M35" i="28"/>
  <c r="M31" i="28"/>
  <c r="M34" i="28"/>
  <c r="M39" i="28"/>
  <c r="M29" i="28"/>
  <c r="M36" i="28"/>
  <c r="M30" i="28"/>
  <c r="AP111" i="12"/>
  <c r="AS17" i="28"/>
  <c r="J66" i="28"/>
  <c r="J59" i="28"/>
  <c r="L111" i="28"/>
  <c r="AU35" i="28"/>
  <c r="L112" i="28"/>
  <c r="L121" i="28"/>
  <c r="AV43" i="28"/>
  <c r="M148" i="28"/>
  <c r="M150" i="28"/>
  <c r="M143" i="28"/>
  <c r="J123" i="28"/>
  <c r="AS39" i="28"/>
  <c r="AS7" i="28"/>
  <c r="J21" i="28"/>
  <c r="J26" i="28"/>
  <c r="J24" i="28"/>
  <c r="J20" i="28"/>
  <c r="J17" i="28"/>
  <c r="J25" i="28"/>
  <c r="J15" i="28"/>
  <c r="AT55" i="28"/>
  <c r="K178" i="28"/>
  <c r="AU51" i="28"/>
  <c r="L164" i="28"/>
  <c r="L162" i="28"/>
  <c r="AU47" i="28"/>
  <c r="L149" i="28"/>
  <c r="L153" i="28"/>
  <c r="AT17" i="28"/>
  <c r="K66" i="28"/>
  <c r="K57" i="28"/>
  <c r="AS8" i="28"/>
  <c r="J28" i="28"/>
  <c r="AW18" i="28"/>
  <c r="N55" i="28"/>
  <c r="N61" i="28"/>
  <c r="N65" i="28"/>
  <c r="N54" i="28"/>
  <c r="AV11" i="28"/>
  <c r="M51" i="28"/>
  <c r="M40" i="28"/>
  <c r="M42" i="28"/>
  <c r="M48" i="28"/>
  <c r="M37" i="28"/>
  <c r="M50" i="28"/>
  <c r="M52" i="28"/>
  <c r="M46" i="28"/>
  <c r="AT19" i="28"/>
  <c r="K83" i="28"/>
  <c r="K68" i="28"/>
  <c r="AY4" i="28"/>
  <c r="P5" i="28"/>
  <c r="P8" i="28"/>
  <c r="P7" i="28"/>
  <c r="P4" i="28"/>
  <c r="P9" i="28"/>
  <c r="P6" i="28"/>
  <c r="AV35" i="28"/>
  <c r="M111" i="28"/>
  <c r="M112" i="28"/>
  <c r="M116" i="28"/>
  <c r="AS15" i="28"/>
  <c r="J69" i="28"/>
  <c r="AS29" i="28"/>
  <c r="BC29" i="28" s="1"/>
  <c r="DH37" i="28" s="1"/>
  <c r="DE37" i="28" s="1"/>
  <c r="J96" i="28"/>
  <c r="AY6" i="28"/>
  <c r="P16" i="28"/>
  <c r="P18" i="28"/>
  <c r="P12" i="28"/>
  <c r="P19" i="28"/>
  <c r="P14" i="28"/>
  <c r="P22" i="28"/>
  <c r="L143" i="28"/>
  <c r="L148" i="28"/>
  <c r="L154" i="28"/>
  <c r="AU43" i="28"/>
  <c r="AT24" i="28"/>
  <c r="K91" i="28"/>
  <c r="AT15" i="28"/>
  <c r="K56" i="28"/>
  <c r="AT52" i="28"/>
  <c r="K175" i="28"/>
  <c r="AS16" i="28"/>
  <c r="J73" i="28"/>
  <c r="J78" i="28"/>
  <c r="AX9" i="28"/>
  <c r="O34" i="28"/>
  <c r="O39" i="28"/>
  <c r="O29" i="28"/>
  <c r="O32" i="28"/>
  <c r="O31" i="28"/>
  <c r="O36" i="28"/>
  <c r="O30" i="28"/>
  <c r="AS4" i="28"/>
  <c r="J8" i="28"/>
  <c r="J10" i="28"/>
  <c r="J5" i="28"/>
  <c r="J7" i="28"/>
  <c r="J9" i="28"/>
  <c r="J6" i="28"/>
  <c r="AZ7" i="28"/>
  <c r="Q24" i="28"/>
  <c r="Q21" i="28"/>
  <c r="Q13" i="28"/>
  <c r="Q20" i="28"/>
  <c r="Q25" i="28"/>
  <c r="Q15" i="28"/>
  <c r="Q17" i="28"/>
  <c r="AT44" i="28"/>
  <c r="K124" i="28"/>
  <c r="AT54" i="28"/>
  <c r="K177" i="28"/>
  <c r="K170" i="28"/>
  <c r="AW40" i="28"/>
  <c r="N130" i="28"/>
  <c r="N134" i="28"/>
  <c r="N147" i="28"/>
  <c r="N136" i="28"/>
  <c r="AS42" i="28"/>
  <c r="J152" i="28"/>
  <c r="J145" i="28"/>
  <c r="AW26" i="28"/>
  <c r="N87" i="28"/>
  <c r="N93" i="28"/>
  <c r="N103" i="28"/>
  <c r="N89" i="28"/>
  <c r="N97" i="28"/>
  <c r="AY10" i="28"/>
  <c r="P45" i="28"/>
  <c r="P43" i="28"/>
  <c r="P41" i="28"/>
  <c r="P47" i="28"/>
  <c r="P38" i="28"/>
  <c r="P33" i="28"/>
  <c r="AS49" i="28"/>
  <c r="J176" i="28"/>
  <c r="J173" i="28"/>
  <c r="AS48" i="28"/>
  <c r="J158" i="28"/>
  <c r="J163" i="28"/>
  <c r="J165" i="28"/>
  <c r="AS37" i="28"/>
  <c r="J131" i="28"/>
  <c r="AT33" i="28"/>
  <c r="K100" i="28"/>
  <c r="K108" i="28"/>
  <c r="K113" i="28"/>
  <c r="AS24" i="28"/>
  <c r="J94" i="28"/>
  <c r="AU9" i="28"/>
  <c r="L34" i="28"/>
  <c r="L39" i="28"/>
  <c r="L29" i="28"/>
  <c r="L32" i="28"/>
  <c r="L36" i="28"/>
  <c r="L35" i="28"/>
  <c r="L30" i="28"/>
  <c r="AU21" i="28"/>
  <c r="L72" i="28"/>
  <c r="L77" i="28"/>
  <c r="L84" i="28"/>
  <c r="L86" i="28"/>
  <c r="Z104" i="12"/>
  <c r="G104" i="18" s="1"/>
  <c r="AT31" i="28"/>
  <c r="K105" i="28"/>
  <c r="AU11" i="28"/>
  <c r="L50" i="28"/>
  <c r="L51" i="28"/>
  <c r="L40" i="28"/>
  <c r="L52" i="28"/>
  <c r="L37" i="28"/>
  <c r="L44" i="28"/>
  <c r="L48" i="28"/>
  <c r="L46" i="28"/>
  <c r="AS35" i="28"/>
  <c r="J116" i="28"/>
  <c r="J112" i="28"/>
  <c r="J121" i="28"/>
  <c r="AS47" i="28"/>
  <c r="J155" i="28"/>
  <c r="J153" i="28"/>
  <c r="AS55" i="28"/>
  <c r="J181" i="28"/>
  <c r="AS51" i="28"/>
  <c r="J164" i="28"/>
  <c r="J169" i="28"/>
  <c r="K139" i="28"/>
  <c r="AT41" i="28"/>
  <c r="AS40" i="28"/>
  <c r="J136" i="28"/>
  <c r="J156" i="28"/>
  <c r="J147" i="28"/>
  <c r="J134" i="28"/>
  <c r="AS28" i="28"/>
  <c r="J98" i="28"/>
  <c r="J101" i="28"/>
  <c r="AS9" i="28"/>
  <c r="J35" i="28"/>
  <c r="J32" i="28"/>
  <c r="J34" i="28"/>
  <c r="J31" i="28"/>
  <c r="J39" i="28"/>
  <c r="J36" i="28"/>
  <c r="J30" i="28"/>
  <c r="AU16" i="28"/>
  <c r="L67" i="28"/>
  <c r="L73" i="28"/>
  <c r="AT6" i="28"/>
  <c r="K23" i="28"/>
  <c r="K16" i="28"/>
  <c r="K12" i="28"/>
  <c r="K19" i="28"/>
  <c r="K18" i="28"/>
  <c r="K22" i="28"/>
  <c r="AS52" i="28"/>
  <c r="J179" i="28"/>
  <c r="AU46" i="28"/>
  <c r="L159" i="28"/>
  <c r="L160" i="28"/>
  <c r="AU34" i="28"/>
  <c r="L115" i="28"/>
  <c r="L117" i="28"/>
  <c r="L142" i="28"/>
  <c r="AV33" i="28"/>
  <c r="M107" i="28"/>
  <c r="M100" i="28"/>
  <c r="M108" i="28"/>
  <c r="AV26" i="28"/>
  <c r="M87" i="28"/>
  <c r="M93" i="28"/>
  <c r="M102" i="28"/>
  <c r="M103" i="28"/>
  <c r="M89" i="28"/>
  <c r="AT20" i="28"/>
  <c r="K85" i="28"/>
  <c r="K70" i="28"/>
  <c r="K81" i="28"/>
  <c r="AT8" i="28"/>
  <c r="K27" i="28"/>
  <c r="K111" i="28"/>
  <c r="AT35" i="28"/>
  <c r="K116" i="28"/>
  <c r="K121" i="28"/>
  <c r="AP189" i="12"/>
  <c r="AT56" i="28"/>
  <c r="K182" i="28"/>
  <c r="AW25" i="28"/>
  <c r="N110" i="28"/>
  <c r="N114" i="28"/>
  <c r="N119" i="28"/>
  <c r="N118" i="28"/>
  <c r="AS36" i="28"/>
  <c r="J132" i="28"/>
  <c r="J137" i="28"/>
  <c r="AU53" i="28"/>
  <c r="L167" i="28"/>
  <c r="L166" i="28"/>
  <c r="AT48" i="28"/>
  <c r="K157" i="28"/>
  <c r="K165" i="28"/>
  <c r="K163" i="28"/>
  <c r="AV34" i="28"/>
  <c r="M115" i="28"/>
  <c r="M117" i="28"/>
  <c r="M129" i="28"/>
  <c r="AV20" i="28"/>
  <c r="M75" i="28"/>
  <c r="M81" i="28"/>
  <c r="M70" i="28"/>
  <c r="AS12" i="28"/>
  <c r="J58" i="28"/>
  <c r="J60" i="28"/>
  <c r="J62" i="28"/>
  <c r="AW7" i="28"/>
  <c r="N13" i="28"/>
  <c r="N26" i="28"/>
  <c r="N24" i="28"/>
  <c r="N20" i="28"/>
  <c r="N17" i="28"/>
  <c r="N25" i="28"/>
  <c r="N15" i="28"/>
  <c r="AT10" i="28"/>
  <c r="K45" i="28"/>
  <c r="K47" i="28"/>
  <c r="K43" i="28"/>
  <c r="K33" i="28"/>
  <c r="K41" i="28"/>
  <c r="K49" i="28"/>
  <c r="AU4" i="28"/>
  <c r="L10" i="28"/>
  <c r="L5" i="28"/>
  <c r="L8" i="28"/>
  <c r="L4" i="28"/>
  <c r="L9" i="28"/>
  <c r="L7" i="28"/>
  <c r="AT49" i="28"/>
  <c r="K176" i="28"/>
  <c r="K171" i="28"/>
  <c r="AT34" i="28"/>
  <c r="K115" i="28"/>
  <c r="K142" i="28"/>
  <c r="K129" i="28"/>
  <c r="AU28" i="28"/>
  <c r="L98" i="28"/>
  <c r="L90" i="28"/>
  <c r="AW6" i="28"/>
  <c r="N18" i="28"/>
  <c r="N16" i="28"/>
  <c r="N23" i="28"/>
  <c r="N12" i="28"/>
  <c r="N14" i="28"/>
  <c r="N22" i="28"/>
  <c r="AS19" i="28"/>
  <c r="J74" i="28"/>
  <c r="J83" i="28"/>
  <c r="BA11" i="28"/>
  <c r="R48" i="28"/>
  <c r="R42" i="28"/>
  <c r="R40" i="28"/>
  <c r="R50" i="28"/>
  <c r="R51" i="28"/>
  <c r="R37" i="28"/>
  <c r="R44" i="28"/>
  <c r="R46" i="28"/>
  <c r="AV7" i="28"/>
  <c r="M24" i="28"/>
  <c r="M13" i="28"/>
  <c r="M26" i="28"/>
  <c r="M21" i="28"/>
  <c r="M15" i="28"/>
  <c r="M17" i="28"/>
  <c r="M25" i="28"/>
  <c r="AT38" i="28"/>
  <c r="K138" i="28"/>
  <c r="K141" i="28"/>
  <c r="K133" i="28"/>
  <c r="K126" i="28"/>
  <c r="K144" i="28"/>
  <c r="AY7" i="28"/>
  <c r="P21" i="28"/>
  <c r="P24" i="28"/>
  <c r="P26" i="28"/>
  <c r="P13" i="28"/>
  <c r="P20" i="28"/>
  <c r="P17" i="28"/>
  <c r="P15" i="28"/>
  <c r="AT18" i="28"/>
  <c r="K61" i="28"/>
  <c r="K76" i="28"/>
  <c r="K54" i="28"/>
  <c r="K65" i="28"/>
  <c r="AT11" i="28"/>
  <c r="K48" i="28"/>
  <c r="K37" i="28"/>
  <c r="K50" i="28"/>
  <c r="K51" i="28"/>
  <c r="K52" i="28"/>
  <c r="K44" i="28"/>
  <c r="K42" i="28"/>
  <c r="K46" i="28"/>
  <c r="K143" i="28"/>
  <c r="K154" i="28"/>
  <c r="AT43" i="28"/>
  <c r="K150" i="28"/>
  <c r="AT36" i="28"/>
  <c r="K127" i="28"/>
  <c r="K137" i="28"/>
  <c r="AT25" i="28"/>
  <c r="K110" i="28"/>
  <c r="K120" i="28"/>
  <c r="K119" i="28"/>
  <c r="K118" i="28"/>
  <c r="AV18" i="28"/>
  <c r="M61" i="28"/>
  <c r="M55" i="28"/>
  <c r="M76" i="28"/>
  <c r="M54" i="28"/>
  <c r="AS10" i="28"/>
  <c r="J45" i="28"/>
  <c r="J47" i="28"/>
  <c r="J41" i="28"/>
  <c r="J49" i="28"/>
  <c r="J38" i="28"/>
  <c r="J43" i="28"/>
  <c r="AU54" i="28"/>
  <c r="L170" i="28"/>
  <c r="L172" i="28"/>
  <c r="AT37" i="28"/>
  <c r="K125" i="28"/>
  <c r="AS14" i="28"/>
  <c r="J64" i="28"/>
  <c r="J71" i="28"/>
  <c r="J79" i="28"/>
  <c r="AX11" i="28"/>
  <c r="O37" i="28"/>
  <c r="O50" i="28"/>
  <c r="O51" i="28"/>
  <c r="O40" i="28"/>
  <c r="O42" i="28"/>
  <c r="O44" i="28"/>
  <c r="O52" i="28"/>
  <c r="O46" i="28"/>
  <c r="AU49" i="28"/>
  <c r="L173" i="28"/>
  <c r="L171" i="28"/>
  <c r="AS21" i="28"/>
  <c r="J77" i="28"/>
  <c r="J80" i="28"/>
  <c r="J84" i="28"/>
  <c r="J86" i="28"/>
  <c r="AS25" i="28"/>
  <c r="J118" i="28"/>
  <c r="J114" i="28"/>
  <c r="J120" i="28"/>
  <c r="J119" i="28"/>
  <c r="AU18" i="28"/>
  <c r="L76" i="28"/>
  <c r="L55" i="28"/>
  <c r="L65" i="28"/>
  <c r="L54" i="28"/>
  <c r="AW11" i="28"/>
  <c r="N37" i="28"/>
  <c r="N48" i="28"/>
  <c r="N50" i="28"/>
  <c r="N51" i="28"/>
  <c r="N40" i="28"/>
  <c r="N42" i="28"/>
  <c r="N52" i="28"/>
  <c r="N44" i="28"/>
  <c r="AT42" i="28"/>
  <c r="K140" i="28"/>
  <c r="K152" i="28"/>
  <c r="AV10" i="28"/>
  <c r="M45" i="28"/>
  <c r="M49" i="28"/>
  <c r="M33" i="28"/>
  <c r="M41" i="28"/>
  <c r="M38" i="28"/>
  <c r="M47" i="28"/>
  <c r="AU12" i="28"/>
  <c r="L53" i="28"/>
  <c r="L58" i="28"/>
  <c r="L62" i="28"/>
  <c r="AU40" i="28"/>
  <c r="L156" i="28"/>
  <c r="L147" i="28"/>
  <c r="L130" i="28"/>
  <c r="L134" i="28"/>
  <c r="AU10" i="28"/>
  <c r="L45" i="28"/>
  <c r="L43" i="28"/>
  <c r="L47" i="28"/>
  <c r="L33" i="28"/>
  <c r="L49" i="28"/>
  <c r="L38" i="28"/>
  <c r="AT12" i="28"/>
  <c r="K53" i="28"/>
  <c r="K60" i="28"/>
  <c r="K62" i="28"/>
  <c r="AS43" i="28"/>
  <c r="J150" i="28"/>
  <c r="J154" i="28"/>
  <c r="J148" i="28"/>
  <c r="AU14" i="28"/>
  <c r="L79" i="28"/>
  <c r="L64" i="28"/>
  <c r="L63" i="28"/>
  <c r="F63" i="28" s="1"/>
  <c r="AW4" i="28"/>
  <c r="N5" i="28"/>
  <c r="N10" i="28"/>
  <c r="N7" i="28"/>
  <c r="N4" i="28"/>
  <c r="N9" i="28"/>
  <c r="N6" i="28"/>
  <c r="AX4" i="28"/>
  <c r="O8" i="28"/>
  <c r="O7" i="28"/>
  <c r="O5" i="28"/>
  <c r="O10" i="28"/>
  <c r="O4" i="28"/>
  <c r="O6" i="28"/>
  <c r="Q31" i="28"/>
  <c r="Q35" i="28"/>
  <c r="Q32" i="28"/>
  <c r="Q29" i="28"/>
  <c r="Q36" i="28"/>
  <c r="Q34" i="28"/>
  <c r="Q30" i="28"/>
  <c r="AX7" i="28"/>
  <c r="O26" i="28"/>
  <c r="O13" i="28"/>
  <c r="O21" i="28"/>
  <c r="O17" i="28"/>
  <c r="O25" i="28"/>
  <c r="O20" i="28"/>
  <c r="O15" i="28"/>
  <c r="AP34" i="12"/>
  <c r="BA159" i="12"/>
  <c r="AQ54" i="12"/>
  <c r="AN9" i="12"/>
  <c r="Z4" i="12"/>
  <c r="G4" i="18" s="1"/>
  <c r="AP52" i="12"/>
  <c r="AQ75" i="12"/>
  <c r="B2" i="13"/>
  <c r="AA3" i="13" s="1"/>
  <c r="AT3" i="13" s="1"/>
  <c r="Z10" i="12"/>
  <c r="G10" i="18" s="1"/>
  <c r="AQ58" i="12"/>
  <c r="L16" i="8"/>
  <c r="O16" i="8" s="1"/>
  <c r="W16" i="8" s="1"/>
  <c r="AH30" i="8" s="1"/>
  <c r="K16" i="8"/>
  <c r="AQ59" i="12"/>
  <c r="AQ73" i="12"/>
  <c r="V142" i="9"/>
  <c r="T142" i="9" s="1"/>
  <c r="V143" i="20"/>
  <c r="T143" i="20" s="1"/>
  <c r="AO13" i="12"/>
  <c r="AP46" i="12"/>
  <c r="AQ86" i="12"/>
  <c r="AP43" i="12"/>
  <c r="AO24" i="12"/>
  <c r="BA139" i="12"/>
  <c r="AO18" i="12"/>
  <c r="B2" i="10"/>
  <c r="AG3" i="10" s="1"/>
  <c r="AN5" i="12"/>
  <c r="AN7" i="12"/>
  <c r="Z8" i="12"/>
  <c r="G8" i="18" s="1"/>
  <c r="Z5" i="12"/>
  <c r="G5" i="18" s="1"/>
  <c r="AQ72" i="12"/>
  <c r="AQ64" i="12"/>
  <c r="AP37" i="12"/>
  <c r="AP45" i="12"/>
  <c r="AQ67" i="12"/>
  <c r="AP50" i="12"/>
  <c r="AP36" i="12"/>
  <c r="AQ79" i="12"/>
  <c r="AP48" i="12"/>
  <c r="AQ55" i="12"/>
  <c r="AQ56" i="12"/>
  <c r="AQ65" i="12"/>
  <c r="AQ68" i="12"/>
  <c r="AP49" i="12"/>
  <c r="AP28" i="12"/>
  <c r="AQ83" i="12"/>
  <c r="AP31" i="12"/>
  <c r="AP32" i="12"/>
  <c r="AQ60" i="12"/>
  <c r="AQ71" i="12"/>
  <c r="AQ74" i="12"/>
  <c r="AQ63" i="12"/>
  <c r="AQ81" i="12"/>
  <c r="AO25" i="12"/>
  <c r="AO14" i="12"/>
  <c r="AO16" i="12"/>
  <c r="AO17" i="12"/>
  <c r="AO19" i="12"/>
  <c r="AN6" i="12"/>
  <c r="AN4" i="12"/>
  <c r="Z6" i="12"/>
  <c r="G6" i="18" s="1"/>
  <c r="AP39" i="12"/>
  <c r="AP41" i="12"/>
  <c r="AP38" i="12"/>
  <c r="AQ61" i="12"/>
  <c r="AP35" i="12"/>
  <c r="AQ70" i="12"/>
  <c r="AQ82" i="12"/>
  <c r="AQ66" i="12"/>
  <c r="AP30" i="12"/>
  <c r="AQ84" i="12"/>
  <c r="AP27" i="12"/>
  <c r="AP29" i="12"/>
  <c r="AQ53" i="12"/>
  <c r="AQ78" i="12"/>
  <c r="AQ69" i="12"/>
  <c r="AQ80" i="12"/>
  <c r="AO20" i="12"/>
  <c r="AO11" i="12"/>
  <c r="AO23" i="12"/>
  <c r="AO21" i="12"/>
  <c r="AP33" i="12"/>
  <c r="AN8" i="12"/>
  <c r="AN10" i="12"/>
  <c r="Z7" i="12"/>
  <c r="G7" i="18" s="1"/>
  <c r="Z9" i="12"/>
  <c r="G9" i="18" s="1"/>
  <c r="AQ57" i="12"/>
  <c r="AP51" i="12"/>
  <c r="AP42" i="12"/>
  <c r="AR112" i="12"/>
  <c r="AQ76" i="12"/>
  <c r="AQ62" i="12"/>
  <c r="AQ77" i="12"/>
  <c r="AQ85" i="12"/>
  <c r="AP44" i="12"/>
  <c r="BA143" i="12"/>
  <c r="AO26" i="12"/>
  <c r="AO15" i="12"/>
  <c r="AO22" i="12"/>
  <c r="AP47" i="12"/>
  <c r="AX90" i="12"/>
  <c r="R90" i="18" s="1"/>
  <c r="Q90" i="18" s="1"/>
  <c r="AX13" i="12"/>
  <c r="R13" i="18" s="1"/>
  <c r="Q13" i="18" s="1"/>
  <c r="AX50" i="12"/>
  <c r="R50" i="18" s="1"/>
  <c r="Q50" i="18" s="1"/>
  <c r="AX18" i="12"/>
  <c r="R18" i="18" s="1"/>
  <c r="Q18" i="18" s="1"/>
  <c r="AX100" i="12"/>
  <c r="R100" i="18" s="1"/>
  <c r="Q100" i="18" s="1"/>
  <c r="AX49" i="12"/>
  <c r="R49" i="18" s="1"/>
  <c r="Q49" i="18" s="1"/>
  <c r="AX66" i="12"/>
  <c r="R66" i="18" s="1"/>
  <c r="Q66" i="18" s="1"/>
  <c r="AX26" i="12"/>
  <c r="R26" i="18" s="1"/>
  <c r="Q26" i="18" s="1"/>
  <c r="AX117" i="12"/>
  <c r="R117" i="18" s="1"/>
  <c r="Q117" i="18" s="1"/>
  <c r="AX109" i="12"/>
  <c r="R109" i="18" s="1"/>
  <c r="Q109" i="18" s="1"/>
  <c r="AX101" i="12"/>
  <c r="R101" i="18" s="1"/>
  <c r="Q101" i="18" s="1"/>
  <c r="AX93" i="12"/>
  <c r="R93" i="18" s="1"/>
  <c r="Q93" i="18" s="1"/>
  <c r="AX83" i="12"/>
  <c r="R83" i="18" s="1"/>
  <c r="Q83" i="18" s="1"/>
  <c r="AX67" i="12"/>
  <c r="R67" i="18" s="1"/>
  <c r="Q67" i="18" s="1"/>
  <c r="AX51" i="12"/>
  <c r="R51" i="18" s="1"/>
  <c r="Q51" i="18" s="1"/>
  <c r="AX35" i="12"/>
  <c r="R35" i="18" s="1"/>
  <c r="Q35" i="18" s="1"/>
  <c r="AX19" i="12"/>
  <c r="R19" i="18" s="1"/>
  <c r="Q19" i="18" s="1"/>
  <c r="AX106" i="12"/>
  <c r="R106" i="18" s="1"/>
  <c r="Q106" i="18" s="1"/>
  <c r="AX69" i="12"/>
  <c r="R69" i="18" s="1"/>
  <c r="Q69" i="18" s="1"/>
  <c r="AX53" i="12"/>
  <c r="R53" i="18" s="1"/>
  <c r="Q53" i="18" s="1"/>
  <c r="AX82" i="12"/>
  <c r="R82" i="18" s="1"/>
  <c r="Q82" i="18" s="1"/>
  <c r="AX76" i="12"/>
  <c r="R76" i="18" s="1"/>
  <c r="Q76" i="18" s="1"/>
  <c r="AX60" i="12"/>
  <c r="R60" i="18" s="1"/>
  <c r="Q60" i="18" s="1"/>
  <c r="AX44" i="12"/>
  <c r="R44" i="18" s="1"/>
  <c r="Q44" i="18" s="1"/>
  <c r="AX28" i="12"/>
  <c r="R28" i="18" s="1"/>
  <c r="Q28" i="18" s="1"/>
  <c r="AX12" i="12"/>
  <c r="R12" i="18" s="1"/>
  <c r="Q12" i="18" s="1"/>
  <c r="AX25" i="12"/>
  <c r="R25" i="18" s="1"/>
  <c r="Q25" i="18" s="1"/>
  <c r="AX94" i="12"/>
  <c r="R94" i="18" s="1"/>
  <c r="Q94" i="18" s="1"/>
  <c r="AX17" i="12"/>
  <c r="R17" i="18" s="1"/>
  <c r="Q17" i="18" s="1"/>
  <c r="AX78" i="12"/>
  <c r="R78" i="18" s="1"/>
  <c r="Q78" i="18" s="1"/>
  <c r="AX46" i="12"/>
  <c r="R46" i="18" s="1"/>
  <c r="Q46" i="18" s="1"/>
  <c r="AX6" i="12"/>
  <c r="R6" i="18" s="1"/>
  <c r="Q6" i="18" s="1"/>
  <c r="AX102" i="12"/>
  <c r="R102" i="18" s="1"/>
  <c r="Q102" i="18" s="1"/>
  <c r="AX88" i="12"/>
  <c r="R88" i="18" s="1"/>
  <c r="Q88" i="18" s="1"/>
  <c r="AX70" i="12"/>
  <c r="R70" i="18" s="1"/>
  <c r="Q70" i="18" s="1"/>
  <c r="AX30" i="12"/>
  <c r="R30" i="18" s="1"/>
  <c r="Q30" i="18" s="1"/>
  <c r="AX115" i="12"/>
  <c r="R115" i="18" s="1"/>
  <c r="Q115" i="18" s="1"/>
  <c r="AX103" i="12"/>
  <c r="R103" i="18" s="1"/>
  <c r="Q103" i="18" s="1"/>
  <c r="AX95" i="12"/>
  <c r="R95" i="18" s="1"/>
  <c r="Q95" i="18" s="1"/>
  <c r="AX87" i="12"/>
  <c r="R87" i="18" s="1"/>
  <c r="Q87" i="18" s="1"/>
  <c r="AX71" i="12"/>
  <c r="R71" i="18" s="1"/>
  <c r="Q71" i="18" s="1"/>
  <c r="AX55" i="12"/>
  <c r="R55" i="18" s="1"/>
  <c r="Q55" i="18" s="1"/>
  <c r="AX39" i="12"/>
  <c r="R39" i="18" s="1"/>
  <c r="Q39" i="18" s="1"/>
  <c r="AX23" i="12"/>
  <c r="R23" i="18" s="1"/>
  <c r="Q23" i="18" s="1"/>
  <c r="AX7" i="12"/>
  <c r="R7" i="18" s="1"/>
  <c r="Q7" i="18" s="1"/>
  <c r="AX98" i="12"/>
  <c r="R98" i="18" s="1"/>
  <c r="Q98" i="18" s="1"/>
  <c r="AX65" i="12"/>
  <c r="R65" i="18" s="1"/>
  <c r="Q65" i="18" s="1"/>
  <c r="AX37" i="12"/>
  <c r="R37" i="18" s="1"/>
  <c r="Q37" i="18" s="1"/>
  <c r="AX14" i="12"/>
  <c r="R14" i="18" s="1"/>
  <c r="Q14" i="18" s="1"/>
  <c r="AX72" i="12"/>
  <c r="R72" i="18" s="1"/>
  <c r="Q72" i="18" s="1"/>
  <c r="AX56" i="12"/>
  <c r="R56" i="18" s="1"/>
  <c r="Q56" i="18" s="1"/>
  <c r="AX40" i="12"/>
  <c r="R40" i="18" s="1"/>
  <c r="Q40" i="18" s="1"/>
  <c r="AX24" i="12"/>
  <c r="R24" i="18" s="1"/>
  <c r="Q24" i="18" s="1"/>
  <c r="AX8" i="12"/>
  <c r="R8" i="18" s="1"/>
  <c r="Q8" i="18" s="1"/>
  <c r="AX41" i="12"/>
  <c r="R41" i="18" s="1"/>
  <c r="Q41" i="18" s="1"/>
  <c r="AX114" i="12"/>
  <c r="R114" i="18" s="1"/>
  <c r="Q114" i="18" s="1"/>
  <c r="AX81" i="12"/>
  <c r="R81" i="18" s="1"/>
  <c r="Q81" i="18" s="1"/>
  <c r="AX58" i="12"/>
  <c r="R58" i="18" s="1"/>
  <c r="Q58" i="18" s="1"/>
  <c r="AX42" i="12"/>
  <c r="R42" i="18" s="1"/>
  <c r="Q42" i="18" s="1"/>
  <c r="AX104" i="12"/>
  <c r="R104" i="18" s="1"/>
  <c r="Q104" i="18" s="1"/>
  <c r="AX92" i="12"/>
  <c r="R92" i="18" s="1"/>
  <c r="Q92" i="18" s="1"/>
  <c r="AX74" i="12"/>
  <c r="R74" i="18" s="1"/>
  <c r="Q74" i="18" s="1"/>
  <c r="AX34" i="12"/>
  <c r="R34" i="18" s="1"/>
  <c r="Q34" i="18" s="1"/>
  <c r="AX10" i="12"/>
  <c r="R10" i="18" s="1"/>
  <c r="Q10" i="18" s="1"/>
  <c r="AX113" i="12"/>
  <c r="R113" i="18" s="1"/>
  <c r="Q113" i="18" s="1"/>
  <c r="AX105" i="12"/>
  <c r="R105" i="18" s="1"/>
  <c r="Q105" i="18" s="1"/>
  <c r="AX97" i="12"/>
  <c r="R97" i="18" s="1"/>
  <c r="Q97" i="18" s="1"/>
  <c r="AX89" i="12"/>
  <c r="R89" i="18" s="1"/>
  <c r="Q89" i="18" s="1"/>
  <c r="AX75" i="12"/>
  <c r="R75" i="18" s="1"/>
  <c r="Q75" i="18" s="1"/>
  <c r="AX59" i="12"/>
  <c r="R59" i="18" s="1"/>
  <c r="Q59" i="18" s="1"/>
  <c r="AX43" i="12"/>
  <c r="R43" i="18" s="1"/>
  <c r="Q43" i="18" s="1"/>
  <c r="AX27" i="12"/>
  <c r="R27" i="18" s="1"/>
  <c r="Q27" i="18" s="1"/>
  <c r="AX11" i="12"/>
  <c r="R11" i="18" s="1"/>
  <c r="Q11" i="18" s="1"/>
  <c r="AX77" i="12"/>
  <c r="R77" i="18" s="1"/>
  <c r="Q77" i="18" s="1"/>
  <c r="AX61" i="12"/>
  <c r="R61" i="18" s="1"/>
  <c r="Q61" i="18" s="1"/>
  <c r="AX33" i="12"/>
  <c r="R33" i="18" s="1"/>
  <c r="Q33" i="18" s="1"/>
  <c r="AX84" i="12"/>
  <c r="R84" i="18" s="1"/>
  <c r="Q84" i="18" s="1"/>
  <c r="AX68" i="12"/>
  <c r="R68" i="18" s="1"/>
  <c r="Q68" i="18" s="1"/>
  <c r="AX52" i="12"/>
  <c r="R52" i="18" s="1"/>
  <c r="Q52" i="18" s="1"/>
  <c r="AX36" i="12"/>
  <c r="R36" i="18" s="1"/>
  <c r="Q36" i="18" s="1"/>
  <c r="AX20" i="12"/>
  <c r="R20" i="18" s="1"/>
  <c r="Q20" i="18" s="1"/>
  <c r="AX45" i="12"/>
  <c r="R45" i="18" s="1"/>
  <c r="Q45" i="18" s="1"/>
  <c r="AX85" i="12"/>
  <c r="R85" i="18" s="1"/>
  <c r="Q85" i="18" s="1"/>
  <c r="AX9" i="12"/>
  <c r="R9" i="18" s="1"/>
  <c r="Q9" i="18" s="1"/>
  <c r="AX54" i="12"/>
  <c r="R54" i="18" s="1"/>
  <c r="Q54" i="18" s="1"/>
  <c r="AX38" i="12"/>
  <c r="R38" i="18" s="1"/>
  <c r="Q38" i="18" s="1"/>
  <c r="AX120" i="12"/>
  <c r="R120" i="18" s="1"/>
  <c r="Q120" i="18" s="1"/>
  <c r="AX96" i="12"/>
  <c r="R96" i="18" s="1"/>
  <c r="Q96" i="18" s="1"/>
  <c r="AX21" i="12"/>
  <c r="R21" i="18" s="1"/>
  <c r="Q21" i="18" s="1"/>
  <c r="AX62" i="12"/>
  <c r="R62" i="18" s="1"/>
  <c r="Q62" i="18" s="1"/>
  <c r="AX22" i="12"/>
  <c r="R22" i="18" s="1"/>
  <c r="Q22" i="18" s="1"/>
  <c r="AX107" i="12"/>
  <c r="R107" i="18" s="1"/>
  <c r="Q107" i="18" s="1"/>
  <c r="AX99" i="12"/>
  <c r="R99" i="18" s="1"/>
  <c r="Q99" i="18" s="1"/>
  <c r="AX91" i="12"/>
  <c r="R91" i="18" s="1"/>
  <c r="Q91" i="18" s="1"/>
  <c r="AX79" i="12"/>
  <c r="R79" i="18" s="1"/>
  <c r="Q79" i="18" s="1"/>
  <c r="AX63" i="12"/>
  <c r="R63" i="18" s="1"/>
  <c r="Q63" i="18" s="1"/>
  <c r="AX47" i="12"/>
  <c r="R47" i="18" s="1"/>
  <c r="Q47" i="18" s="1"/>
  <c r="AX31" i="12"/>
  <c r="R31" i="18" s="1"/>
  <c r="Q31" i="18" s="1"/>
  <c r="AX15" i="12"/>
  <c r="R15" i="18" s="1"/>
  <c r="Q15" i="18" s="1"/>
  <c r="AX150" i="12"/>
  <c r="R150" i="18" s="1"/>
  <c r="Q150" i="18" s="1"/>
  <c r="AX73" i="12"/>
  <c r="R73" i="18" s="1"/>
  <c r="Q73" i="18" s="1"/>
  <c r="AX57" i="12"/>
  <c r="R57" i="18" s="1"/>
  <c r="Q57" i="18" s="1"/>
  <c r="AX29" i="12"/>
  <c r="R29" i="18" s="1"/>
  <c r="Q29" i="18" s="1"/>
  <c r="AX80" i="12"/>
  <c r="R80" i="18" s="1"/>
  <c r="Q80" i="18" s="1"/>
  <c r="AX64" i="12"/>
  <c r="R64" i="18" s="1"/>
  <c r="Q64" i="18" s="1"/>
  <c r="AX48" i="12"/>
  <c r="R48" i="18" s="1"/>
  <c r="Q48" i="18" s="1"/>
  <c r="AX32" i="12"/>
  <c r="R32" i="18" s="1"/>
  <c r="Q32" i="18" s="1"/>
  <c r="AX16" i="12"/>
  <c r="R16" i="18" s="1"/>
  <c r="Q16" i="18" s="1"/>
  <c r="AX134" i="12"/>
  <c r="R134" i="18" s="1"/>
  <c r="Q134" i="18" s="1"/>
  <c r="AX5" i="12"/>
  <c r="R5" i="18" s="1"/>
  <c r="Q5" i="18" s="1"/>
  <c r="AX3" i="12"/>
  <c r="R3" i="18" s="1"/>
  <c r="Q3" i="18" s="1"/>
  <c r="N17" i="8"/>
  <c r="K76" i="8"/>
  <c r="M75" i="8"/>
  <c r="K91" i="8"/>
  <c r="M90" i="8"/>
  <c r="K119" i="8"/>
  <c r="M118" i="8"/>
  <c r="A15" i="8"/>
  <c r="E14" i="8"/>
  <c r="C14" i="8"/>
  <c r="AB371" i="20"/>
  <c r="AB369" i="9"/>
  <c r="AC370" i="20"/>
  <c r="AC369" i="9" s="1"/>
  <c r="AB397" i="20"/>
  <c r="AB395" i="9"/>
  <c r="AC396" i="20"/>
  <c r="AC395" i="9" s="1"/>
  <c r="AB303" i="20"/>
  <c r="AB301" i="9"/>
  <c r="AC302" i="20"/>
  <c r="AC301" i="9" s="1"/>
  <c r="E4" i="21"/>
  <c r="F4" i="21"/>
  <c r="C4" i="21"/>
  <c r="D4" i="21"/>
  <c r="B4" i="21"/>
  <c r="A91" i="9"/>
  <c r="A62" i="9"/>
  <c r="A13" i="9"/>
  <c r="A124" i="9"/>
  <c r="A42" i="9"/>
  <c r="A10" i="17"/>
  <c r="Q10" i="17" s="1"/>
  <c r="Q123" i="17"/>
  <c r="Q89" i="17"/>
  <c r="Q59" i="17"/>
  <c r="Q39" i="17"/>
  <c r="A258" i="20"/>
  <c r="W258" i="20"/>
  <c r="A285" i="20"/>
  <c r="W285" i="20"/>
  <c r="W35" i="20"/>
  <c r="A35" i="20"/>
  <c r="W146" i="20"/>
  <c r="AC146" i="20" s="1"/>
  <c r="AC145" i="9" s="1"/>
  <c r="A146" i="20"/>
  <c r="W196" i="20"/>
  <c r="A196" i="20"/>
  <c r="W68" i="20"/>
  <c r="A68" i="20"/>
  <c r="W404" i="20"/>
  <c r="A404" i="20"/>
  <c r="A213" i="20"/>
  <c r="W213" i="20"/>
  <c r="W390" i="20"/>
  <c r="AC390" i="20" s="1"/>
  <c r="AC389" i="9" s="1"/>
  <c r="A390" i="20"/>
  <c r="W164" i="20"/>
  <c r="A164" i="20"/>
  <c r="W239" i="20"/>
  <c r="A239" i="20"/>
  <c r="W89" i="20"/>
  <c r="A89" i="20"/>
  <c r="W154" i="20"/>
  <c r="A154" i="20"/>
  <c r="W205" i="20"/>
  <c r="A205" i="20"/>
  <c r="A46" i="20"/>
  <c r="W46" i="20"/>
  <c r="W384" i="20"/>
  <c r="A384" i="20"/>
  <c r="AO91" i="12"/>
  <c r="AO94" i="12"/>
  <c r="AP125" i="12"/>
  <c r="AP131" i="12"/>
  <c r="AO32" i="12"/>
  <c r="AO29" i="12"/>
  <c r="AO31" i="12"/>
  <c r="AO34" i="12"/>
  <c r="AO36" i="12"/>
  <c r="AO35" i="12"/>
  <c r="AP67" i="12"/>
  <c r="AO39" i="12"/>
  <c r="AO30" i="12"/>
  <c r="AP79" i="12"/>
  <c r="AP53" i="12"/>
  <c r="AP60" i="12"/>
  <c r="AP78" i="12"/>
  <c r="AP69" i="12"/>
  <c r="AP71" i="12"/>
  <c r="AP63" i="12"/>
  <c r="AP64" i="12"/>
  <c r="AQ112" i="12"/>
  <c r="AP56" i="12"/>
  <c r="AP73" i="12"/>
  <c r="AP58" i="12"/>
  <c r="AP82" i="12"/>
  <c r="AP62" i="12"/>
  <c r="Z74" i="12"/>
  <c r="G74" i="18" s="1"/>
  <c r="AO98" i="12"/>
  <c r="AO101" i="12"/>
  <c r="AO90" i="12"/>
  <c r="AP139" i="12"/>
  <c r="AO105" i="12"/>
  <c r="AP143" i="12"/>
  <c r="AO106" i="12"/>
  <c r="AP146" i="12"/>
  <c r="AP150" i="12"/>
  <c r="AP148" i="12"/>
  <c r="AP123" i="12"/>
  <c r="AP122" i="12"/>
  <c r="AP154" i="12"/>
  <c r="AS185" i="12"/>
  <c r="AQ116" i="12"/>
  <c r="AQ91" i="12"/>
  <c r="Q152" i="12"/>
  <c r="BA152" i="12" s="1"/>
  <c r="AR152" i="12"/>
  <c r="Q35" i="12"/>
  <c r="AR35" i="12"/>
  <c r="Q87" i="12"/>
  <c r="AR87" i="12"/>
  <c r="T87" i="12"/>
  <c r="F87" i="18" s="1"/>
  <c r="Q180" i="12"/>
  <c r="BA180" i="12" s="1"/>
  <c r="AR180" i="12"/>
  <c r="Q95" i="12"/>
  <c r="AR95" i="12"/>
  <c r="Q79" i="12"/>
  <c r="AR79" i="12"/>
  <c r="AQ117" i="12"/>
  <c r="Q121" i="12"/>
  <c r="AR121" i="12"/>
  <c r="T121" i="12"/>
  <c r="F121" i="18" s="1"/>
  <c r="Q30" i="12"/>
  <c r="AR30" i="12"/>
  <c r="Q130" i="12"/>
  <c r="BA130" i="12" s="1"/>
  <c r="AR130" i="12"/>
  <c r="Q7" i="12"/>
  <c r="AR7" i="12"/>
  <c r="Q97" i="12"/>
  <c r="BA97" i="12" s="1"/>
  <c r="AR97" i="12"/>
  <c r="Q73" i="12"/>
  <c r="BA73" i="12" s="1"/>
  <c r="AR73" i="12"/>
  <c r="Q148" i="12"/>
  <c r="T148" i="12" s="1"/>
  <c r="F148" i="18" s="1"/>
  <c r="AR148" i="12"/>
  <c r="Q58" i="12"/>
  <c r="AR58" i="12"/>
  <c r="Q118" i="12"/>
  <c r="BA118" i="12" s="1"/>
  <c r="AR118" i="12"/>
  <c r="Q11" i="12"/>
  <c r="AR11" i="12"/>
  <c r="Q76" i="12"/>
  <c r="AR76" i="12"/>
  <c r="Q162" i="12"/>
  <c r="BA162" i="12" s="1"/>
  <c r="AR162" i="12"/>
  <c r="Q15" i="12"/>
  <c r="BA15" i="12" s="1"/>
  <c r="AR15" i="12"/>
  <c r="R43" i="12"/>
  <c r="AT43" i="12" s="1"/>
  <c r="AS43" i="12"/>
  <c r="Q16" i="12"/>
  <c r="BA16" i="12" s="1"/>
  <c r="AR16" i="12"/>
  <c r="Q166" i="12"/>
  <c r="BA166" i="12" s="1"/>
  <c r="AR166" i="12"/>
  <c r="Q59" i="12"/>
  <c r="AR59" i="12"/>
  <c r="Q105" i="12"/>
  <c r="BA105" i="12" s="1"/>
  <c r="AR105" i="12"/>
  <c r="Q29" i="12"/>
  <c r="AR29" i="12"/>
  <c r="Q179" i="12"/>
  <c r="BA179" i="12" s="1"/>
  <c r="AR179" i="12"/>
  <c r="Q90" i="12"/>
  <c r="AR90" i="12"/>
  <c r="Q6" i="12"/>
  <c r="AR6" i="12"/>
  <c r="Q131" i="12"/>
  <c r="T131" i="12" s="1"/>
  <c r="F131" i="18" s="1"/>
  <c r="AR131" i="12"/>
  <c r="Q134" i="12"/>
  <c r="BA134" i="12" s="1"/>
  <c r="AR134" i="12"/>
  <c r="Q98" i="12"/>
  <c r="AR98" i="12"/>
  <c r="Q18" i="12"/>
  <c r="AR18" i="12"/>
  <c r="Q136" i="12"/>
  <c r="T136" i="12" s="1"/>
  <c r="F136" i="18" s="1"/>
  <c r="AR136" i="12"/>
  <c r="Q77" i="12"/>
  <c r="AR77" i="12"/>
  <c r="AQ104" i="12"/>
  <c r="Q37" i="12"/>
  <c r="AR37" i="12"/>
  <c r="Q10" i="12"/>
  <c r="AR10" i="12"/>
  <c r="Q160" i="12"/>
  <c r="T160" i="12" s="1"/>
  <c r="F160" i="18" s="1"/>
  <c r="AR160" i="12"/>
  <c r="Q45" i="12"/>
  <c r="AR45" i="12"/>
  <c r="Q39" i="12"/>
  <c r="AR39" i="12"/>
  <c r="Q53" i="12"/>
  <c r="AR53" i="12"/>
  <c r="Q114" i="12"/>
  <c r="AR114" i="12"/>
  <c r="T114" i="12"/>
  <c r="F114" i="18" s="1"/>
  <c r="Q170" i="12"/>
  <c r="BA170" i="12" s="1"/>
  <c r="AR170" i="12"/>
  <c r="Q41" i="12"/>
  <c r="BA41" i="12" s="1"/>
  <c r="AR41" i="12"/>
  <c r="Q172" i="12"/>
  <c r="BA172" i="12" s="1"/>
  <c r="AR172" i="12"/>
  <c r="Q78" i="12"/>
  <c r="BA78" i="12" s="1"/>
  <c r="AR78" i="12"/>
  <c r="Q181" i="12"/>
  <c r="BA181" i="12" s="1"/>
  <c r="AR181" i="12"/>
  <c r="AR159" i="12"/>
  <c r="AQ113" i="12"/>
  <c r="Q5" i="12"/>
  <c r="BA5" i="12" s="1"/>
  <c r="AR5" i="12"/>
  <c r="Q50" i="12"/>
  <c r="AR50" i="12"/>
  <c r="Q153" i="12"/>
  <c r="T153" i="12" s="1"/>
  <c r="F153" i="18" s="1"/>
  <c r="AR153" i="12"/>
  <c r="Q36" i="12"/>
  <c r="BA36" i="12" s="1"/>
  <c r="AR36" i="12"/>
  <c r="Q38" i="12"/>
  <c r="AR38" i="12"/>
  <c r="Q88" i="12"/>
  <c r="AR88" i="12"/>
  <c r="T88" i="12"/>
  <c r="F88" i="18" s="1"/>
  <c r="Q74" i="12"/>
  <c r="BA74" i="12" s="1"/>
  <c r="AR74" i="12"/>
  <c r="Q141" i="12"/>
  <c r="BA141" i="12" s="1"/>
  <c r="AR141" i="12"/>
  <c r="Q150" i="12"/>
  <c r="T150" i="12" s="1"/>
  <c r="F150" i="18" s="1"/>
  <c r="AR150" i="12"/>
  <c r="Q63" i="12"/>
  <c r="AR63" i="12"/>
  <c r="Q54" i="12"/>
  <c r="AR54" i="12"/>
  <c r="Q120" i="12"/>
  <c r="AR120" i="12"/>
  <c r="T120" i="12"/>
  <c r="F120" i="18" s="1"/>
  <c r="Q161" i="12"/>
  <c r="T161" i="12" s="1"/>
  <c r="F161" i="18" s="1"/>
  <c r="AR161" i="12"/>
  <c r="Q103" i="12"/>
  <c r="AR103" i="12"/>
  <c r="T103" i="12"/>
  <c r="F103" i="18" s="1"/>
  <c r="Q81" i="12"/>
  <c r="BA81" i="12" s="1"/>
  <c r="AR81" i="12"/>
  <c r="R47" i="12"/>
  <c r="AT47" i="12" s="1"/>
  <c r="AS47" i="12"/>
  <c r="Q89" i="12"/>
  <c r="AR89" i="12"/>
  <c r="T89" i="12"/>
  <c r="F89" i="18" s="1"/>
  <c r="Q52" i="12"/>
  <c r="AR52" i="12"/>
  <c r="AO182" i="12"/>
  <c r="AO184" i="12"/>
  <c r="AO159" i="12"/>
  <c r="AP188" i="12"/>
  <c r="AO161" i="12"/>
  <c r="AO158" i="12"/>
  <c r="AO163" i="12"/>
  <c r="AP185" i="12"/>
  <c r="AO165" i="12"/>
  <c r="AO157" i="12"/>
  <c r="AO160" i="12"/>
  <c r="AP187" i="12"/>
  <c r="AO154" i="12"/>
  <c r="AO150" i="12"/>
  <c r="AO148" i="12"/>
  <c r="AO143" i="12"/>
  <c r="AP184" i="12"/>
  <c r="AP182" i="12"/>
  <c r="AO33" i="12"/>
  <c r="AO47" i="12"/>
  <c r="AO48" i="12"/>
  <c r="AO52" i="12"/>
  <c r="AO44" i="12"/>
  <c r="AO38" i="12"/>
  <c r="AO40" i="12"/>
  <c r="AO50" i="12"/>
  <c r="AO49" i="12"/>
  <c r="AO43" i="12"/>
  <c r="AO46" i="12"/>
  <c r="AO42" i="12"/>
  <c r="AO41" i="12"/>
  <c r="AO45" i="12"/>
  <c r="AO51" i="12"/>
  <c r="AO37" i="12"/>
  <c r="AP80" i="12"/>
  <c r="AP74" i="12"/>
  <c r="AP54" i="12"/>
  <c r="AP81" i="12"/>
  <c r="AP72" i="12"/>
  <c r="AP57" i="12"/>
  <c r="AP55" i="12"/>
  <c r="AP75" i="12"/>
  <c r="AP61" i="12"/>
  <c r="AP65" i="12"/>
  <c r="AP76" i="12"/>
  <c r="AP68" i="12"/>
  <c r="AP70" i="12"/>
  <c r="AP66" i="12"/>
  <c r="AP59" i="12"/>
  <c r="AP77" i="12"/>
  <c r="AP84" i="12"/>
  <c r="AP83" i="12"/>
  <c r="AP85" i="12"/>
  <c r="AP86" i="12"/>
  <c r="B97" i="10"/>
  <c r="AH28" i="10" s="1"/>
  <c r="AO176" i="12"/>
  <c r="AO173" i="12"/>
  <c r="AO171" i="12"/>
  <c r="AO89" i="12"/>
  <c r="AO102" i="12"/>
  <c r="AO103" i="12"/>
  <c r="AO93" i="12"/>
  <c r="AO87" i="12"/>
  <c r="AP145" i="12"/>
  <c r="AO97" i="12"/>
  <c r="AP140" i="12"/>
  <c r="AP152" i="12"/>
  <c r="AS188" i="12"/>
  <c r="Q72" i="12"/>
  <c r="AR72" i="12"/>
  <c r="Q116" i="12"/>
  <c r="AR116" i="12"/>
  <c r="T116" i="12"/>
  <c r="F116" i="18" s="1"/>
  <c r="Q57" i="12"/>
  <c r="AR57" i="12"/>
  <c r="Q91" i="12"/>
  <c r="AR91" i="12"/>
  <c r="T91" i="12"/>
  <c r="F91" i="18" s="1"/>
  <c r="AQ94" i="12"/>
  <c r="Q55" i="12"/>
  <c r="AR55" i="12"/>
  <c r="Q117" i="12"/>
  <c r="BA117" i="12" s="1"/>
  <c r="AR117" i="12"/>
  <c r="AQ184" i="12"/>
  <c r="Q65" i="12"/>
  <c r="AR65" i="12"/>
  <c r="Q144" i="12"/>
  <c r="T144" i="12" s="1"/>
  <c r="F144" i="18" s="1"/>
  <c r="AR144" i="12"/>
  <c r="Q70" i="12"/>
  <c r="AR70" i="12"/>
  <c r="Q27" i="12"/>
  <c r="AR27" i="12"/>
  <c r="Q8" i="12"/>
  <c r="BA8" i="12" s="1"/>
  <c r="AR8" i="12"/>
  <c r="Q123" i="12"/>
  <c r="T123" i="12" s="1"/>
  <c r="F123" i="18" s="1"/>
  <c r="AR123" i="12"/>
  <c r="Q138" i="12"/>
  <c r="BA138" i="12" s="1"/>
  <c r="AR138" i="12"/>
  <c r="AQ115" i="12"/>
  <c r="AR139" i="12"/>
  <c r="AQ182" i="12"/>
  <c r="AQ101" i="12"/>
  <c r="AQ99" i="12"/>
  <c r="AQ102" i="12"/>
  <c r="Q164" i="12"/>
  <c r="BA164" i="12" s="1"/>
  <c r="AR164" i="12"/>
  <c r="Q96" i="12"/>
  <c r="AR96" i="12"/>
  <c r="T96" i="12"/>
  <c r="F96" i="18" s="1"/>
  <c r="R33" i="12"/>
  <c r="AT33" i="12" s="1"/>
  <c r="AS33" i="12"/>
  <c r="Q128" i="12"/>
  <c r="T128" i="12" s="1"/>
  <c r="F128" i="18" s="1"/>
  <c r="AR128" i="12"/>
  <c r="Q183" i="12"/>
  <c r="BA183" i="12" s="1"/>
  <c r="AR183" i="12"/>
  <c r="Q85" i="12"/>
  <c r="AR85" i="12"/>
  <c r="Q4" i="12"/>
  <c r="BA4" i="12" s="1"/>
  <c r="AR4" i="12"/>
  <c r="Q104" i="12"/>
  <c r="AR104" i="12"/>
  <c r="T104" i="12"/>
  <c r="F104" i="18" s="1"/>
  <c r="AQ110" i="12"/>
  <c r="AQ106" i="12"/>
  <c r="AQ108" i="12"/>
  <c r="AQ177" i="12"/>
  <c r="Q69" i="12"/>
  <c r="AR69" i="12"/>
  <c r="R67" i="12"/>
  <c r="AT67" i="12" s="1"/>
  <c r="AS67" i="12"/>
  <c r="R159" i="12"/>
  <c r="AT159" i="12" s="1"/>
  <c r="AS159" i="12"/>
  <c r="Q124" i="12"/>
  <c r="T124" i="12" s="1"/>
  <c r="F124" i="18" s="1"/>
  <c r="AR124" i="12"/>
  <c r="Q113" i="12"/>
  <c r="AR113" i="12"/>
  <c r="Q174" i="12"/>
  <c r="BA174" i="12" s="1"/>
  <c r="AR174" i="12"/>
  <c r="AQ107" i="12"/>
  <c r="AQ93" i="12"/>
  <c r="AQ100" i="12"/>
  <c r="AQ142" i="12"/>
  <c r="AQ129" i="12"/>
  <c r="AQ176" i="12"/>
  <c r="B57" i="10"/>
  <c r="J61" i="10" s="1"/>
  <c r="AO145" i="12"/>
  <c r="AO140" i="12"/>
  <c r="AO152" i="12"/>
  <c r="AP170" i="12"/>
  <c r="AP172" i="12"/>
  <c r="AP177" i="12"/>
  <c r="AP180" i="12"/>
  <c r="AP183" i="12"/>
  <c r="Z145" i="12"/>
  <c r="G145" i="18" s="1"/>
  <c r="AO180" i="12"/>
  <c r="AO183" i="12"/>
  <c r="AO177" i="12"/>
  <c r="AO172" i="12"/>
  <c r="AO170" i="12"/>
  <c r="AS186" i="12"/>
  <c r="AQ109" i="12"/>
  <c r="Q49" i="12"/>
  <c r="AR49" i="12"/>
  <c r="R112" i="12"/>
  <c r="AT112" i="12" s="1"/>
  <c r="AS112" i="12"/>
  <c r="Q94" i="12"/>
  <c r="AR94" i="12"/>
  <c r="T94" i="12"/>
  <c r="F94" i="18" s="1"/>
  <c r="Q28" i="12"/>
  <c r="AR28" i="12"/>
  <c r="Q56" i="12"/>
  <c r="AR56" i="12"/>
  <c r="Q75" i="12"/>
  <c r="AR75" i="12"/>
  <c r="Q184" i="12"/>
  <c r="BA184" i="12" s="1"/>
  <c r="AR184" i="12"/>
  <c r="Q156" i="12"/>
  <c r="T156" i="12" s="1"/>
  <c r="F156" i="18" s="1"/>
  <c r="AR156" i="12"/>
  <c r="Q155" i="12"/>
  <c r="T155" i="12" s="1"/>
  <c r="F155" i="18" s="1"/>
  <c r="AR155" i="12"/>
  <c r="Q157" i="12"/>
  <c r="T157" i="12" s="1"/>
  <c r="F157" i="18" s="1"/>
  <c r="AR157" i="12"/>
  <c r="Q61" i="12"/>
  <c r="AR61" i="12"/>
  <c r="Q127" i="12"/>
  <c r="T127" i="12" s="1"/>
  <c r="F127" i="18" s="1"/>
  <c r="AR127" i="12"/>
  <c r="Q9" i="12"/>
  <c r="BA9" i="12" s="1"/>
  <c r="AR9" i="12"/>
  <c r="Q14" i="12"/>
  <c r="AR14" i="12"/>
  <c r="Q132" i="12"/>
  <c r="AR132" i="12"/>
  <c r="Q165" i="12"/>
  <c r="BA165" i="12" s="1"/>
  <c r="AR165" i="12"/>
  <c r="Q68" i="12"/>
  <c r="AR68" i="12"/>
  <c r="Q46" i="12"/>
  <c r="AR46" i="12"/>
  <c r="Q135" i="12"/>
  <c r="T135" i="12" s="1"/>
  <c r="F135" i="18" s="1"/>
  <c r="AR135" i="12"/>
  <c r="AQ92" i="12"/>
  <c r="AQ173" i="12"/>
  <c r="Q82" i="12"/>
  <c r="AR82" i="12"/>
  <c r="Q66" i="12"/>
  <c r="AR66" i="12"/>
  <c r="Q44" i="12"/>
  <c r="AR44" i="12"/>
  <c r="Q31" i="12"/>
  <c r="AR31" i="12"/>
  <c r="Q115" i="12"/>
  <c r="AR115" i="12"/>
  <c r="T115" i="12"/>
  <c r="F115" i="18" s="1"/>
  <c r="R139" i="12"/>
  <c r="AT139" i="12" s="1"/>
  <c r="AS139" i="12"/>
  <c r="Q182" i="12"/>
  <c r="BA182" i="12" s="1"/>
  <c r="AR182" i="12"/>
  <c r="Q101" i="12"/>
  <c r="AR101" i="12"/>
  <c r="Q99" i="12"/>
  <c r="AR99" i="12"/>
  <c r="T99" i="12"/>
  <c r="F99" i="18" s="1"/>
  <c r="Q62" i="12"/>
  <c r="BA62" i="12" s="1"/>
  <c r="AR62" i="12"/>
  <c r="Q102" i="12"/>
  <c r="BA102" i="12" s="1"/>
  <c r="AR102" i="12"/>
  <c r="Q19" i="12"/>
  <c r="AR19" i="12"/>
  <c r="Q32" i="12"/>
  <c r="AR32" i="12"/>
  <c r="AQ111" i="12"/>
  <c r="AQ119" i="12"/>
  <c r="AQ171" i="12"/>
  <c r="Q25" i="12"/>
  <c r="AR25" i="12"/>
  <c r="Q110" i="12"/>
  <c r="BA110" i="12" s="1"/>
  <c r="AR110" i="12"/>
  <c r="Q51" i="12"/>
  <c r="AR51" i="12"/>
  <c r="Q20" i="12"/>
  <c r="AR20" i="12"/>
  <c r="Q146" i="12"/>
  <c r="BA146" i="12" s="1"/>
  <c r="AR146" i="12"/>
  <c r="Q106" i="12"/>
  <c r="BA106" i="12" s="1"/>
  <c r="AR106" i="12"/>
  <c r="Q108" i="12"/>
  <c r="AR108" i="12"/>
  <c r="T108" i="12"/>
  <c r="F108" i="18" s="1"/>
  <c r="Q26" i="12"/>
  <c r="AR26" i="12"/>
  <c r="Q60" i="12"/>
  <c r="AR60" i="12"/>
  <c r="Q13" i="12"/>
  <c r="AR13" i="12"/>
  <c r="Q140" i="12"/>
  <c r="BA140" i="12" s="1"/>
  <c r="AR140" i="12"/>
  <c r="Q177" i="12"/>
  <c r="AR177" i="12"/>
  <c r="Q42" i="12"/>
  <c r="AR42" i="12"/>
  <c r="AR145" i="12"/>
  <c r="AR143" i="12"/>
  <c r="Q107" i="12"/>
  <c r="AR107" i="12"/>
  <c r="T107" i="12"/>
  <c r="F107" i="18" s="1"/>
  <c r="Q23" i="12"/>
  <c r="AR23" i="12"/>
  <c r="Q93" i="12"/>
  <c r="AR93" i="12"/>
  <c r="T93" i="12"/>
  <c r="F93" i="18" s="1"/>
  <c r="Q40" i="12"/>
  <c r="AR40" i="12"/>
  <c r="Q71" i="12"/>
  <c r="AR71" i="12"/>
  <c r="Q169" i="12"/>
  <c r="BA169" i="12" s="1"/>
  <c r="AR169" i="12"/>
  <c r="Q100" i="12"/>
  <c r="AR100" i="12"/>
  <c r="T100" i="12"/>
  <c r="F100" i="18" s="1"/>
  <c r="Q125" i="12"/>
  <c r="BA125" i="12" s="1"/>
  <c r="AR125" i="12"/>
  <c r="Q24" i="12"/>
  <c r="AR24" i="12"/>
  <c r="Q158" i="12"/>
  <c r="T158" i="12" s="1"/>
  <c r="F158" i="18" s="1"/>
  <c r="AR158" i="12"/>
  <c r="Q142" i="12"/>
  <c r="BA142" i="12" s="1"/>
  <c r="AR142" i="12"/>
  <c r="Q17" i="12"/>
  <c r="BA17" i="12" s="1"/>
  <c r="AR17" i="12"/>
  <c r="Q167" i="12"/>
  <c r="BA167" i="12" s="1"/>
  <c r="AR167" i="12"/>
  <c r="Q129" i="12"/>
  <c r="BA129" i="12" s="1"/>
  <c r="AR129" i="12"/>
  <c r="Q168" i="12"/>
  <c r="AR168" i="12"/>
  <c r="Q21" i="12"/>
  <c r="BA21" i="12" s="1"/>
  <c r="AR21" i="12"/>
  <c r="Q176" i="12"/>
  <c r="BA176" i="12" s="1"/>
  <c r="AR176" i="12"/>
  <c r="Q149" i="12"/>
  <c r="BA149" i="12" s="1"/>
  <c r="AR149" i="12"/>
  <c r="AO128" i="12"/>
  <c r="AO141" i="12"/>
  <c r="AO138" i="12"/>
  <c r="AO144" i="12"/>
  <c r="AO133" i="12"/>
  <c r="AO126" i="12"/>
  <c r="AP181" i="12"/>
  <c r="AP174" i="12"/>
  <c r="AP169" i="12"/>
  <c r="AP167" i="12"/>
  <c r="AQ192" i="12"/>
  <c r="AP178" i="12"/>
  <c r="AP162" i="12"/>
  <c r="AP166" i="12"/>
  <c r="AP164" i="12"/>
  <c r="AS187" i="12"/>
  <c r="Q109" i="12"/>
  <c r="BA109" i="12" s="1"/>
  <c r="AR109" i="12"/>
  <c r="Q64" i="12"/>
  <c r="AR64" i="12"/>
  <c r="Q48" i="12"/>
  <c r="AR48" i="12"/>
  <c r="AQ87" i="12"/>
  <c r="AQ180" i="12"/>
  <c r="AQ95" i="12"/>
  <c r="Q178" i="12"/>
  <c r="BA178" i="12" s="1"/>
  <c r="AR178" i="12"/>
  <c r="Q151" i="12"/>
  <c r="T151" i="12" s="1"/>
  <c r="F151" i="18" s="1"/>
  <c r="AR151" i="12"/>
  <c r="Q137" i="12"/>
  <c r="BA137" i="12" s="1"/>
  <c r="AR137" i="12"/>
  <c r="AQ121" i="12"/>
  <c r="AQ97" i="12"/>
  <c r="AQ118" i="12"/>
  <c r="AQ191" i="12"/>
  <c r="Q92" i="12"/>
  <c r="AR92" i="12"/>
  <c r="T92" i="12"/>
  <c r="F92" i="18" s="1"/>
  <c r="Q22" i="12"/>
  <c r="AR22" i="12"/>
  <c r="Q173" i="12"/>
  <c r="BA173" i="12" s="1"/>
  <c r="AR173" i="12"/>
  <c r="Q175" i="12"/>
  <c r="BA175" i="12" s="1"/>
  <c r="AR175" i="12"/>
  <c r="Q34" i="12"/>
  <c r="AR34" i="12"/>
  <c r="Q163" i="12"/>
  <c r="BA163" i="12" s="1"/>
  <c r="AR163" i="12"/>
  <c r="AQ105" i="12"/>
  <c r="AQ90" i="12"/>
  <c r="AQ98" i="12"/>
  <c r="AQ190" i="12"/>
  <c r="Q111" i="12"/>
  <c r="AR111" i="12"/>
  <c r="T111" i="12"/>
  <c r="F111" i="18" s="1"/>
  <c r="Q122" i="12"/>
  <c r="T122" i="12" s="1"/>
  <c r="F122" i="18" s="1"/>
  <c r="AR122" i="12"/>
  <c r="Q119" i="12"/>
  <c r="AR119" i="12"/>
  <c r="T119" i="12"/>
  <c r="F119" i="18" s="1"/>
  <c r="Q154" i="12"/>
  <c r="T154" i="12" s="1"/>
  <c r="F154" i="18" s="1"/>
  <c r="AR154" i="12"/>
  <c r="Q84" i="12"/>
  <c r="AR84" i="12"/>
  <c r="Q83" i="12"/>
  <c r="AR83" i="12"/>
  <c r="Q171" i="12"/>
  <c r="BA171" i="12" s="1"/>
  <c r="AR171" i="12"/>
  <c r="Q86" i="12"/>
  <c r="BA86" i="12" s="1"/>
  <c r="AR86" i="12"/>
  <c r="AQ114" i="12"/>
  <c r="AQ170" i="12"/>
  <c r="AQ172" i="12"/>
  <c r="R145" i="12"/>
  <c r="AT145" i="12" s="1"/>
  <c r="AS145" i="12"/>
  <c r="R143" i="12"/>
  <c r="AT143" i="12" s="1"/>
  <c r="AS143" i="12"/>
  <c r="Q147" i="12"/>
  <c r="T147" i="12" s="1"/>
  <c r="F147" i="18" s="1"/>
  <c r="AR147" i="12"/>
  <c r="Q126" i="12"/>
  <c r="BA126" i="12" s="1"/>
  <c r="AR126" i="12"/>
  <c r="Q133" i="12"/>
  <c r="BA133" i="12" s="1"/>
  <c r="AR133" i="12"/>
  <c r="Q80" i="12"/>
  <c r="AR80" i="12"/>
  <c r="AQ88" i="12"/>
  <c r="AQ120" i="12"/>
  <c r="AQ103" i="12"/>
  <c r="AQ89" i="12"/>
  <c r="B21" i="10"/>
  <c r="N17" i="10" s="1"/>
  <c r="AN140" i="12"/>
  <c r="BA177" i="12"/>
  <c r="B29" i="10"/>
  <c r="J28" i="10" s="1"/>
  <c r="AN62" i="12"/>
  <c r="B125" i="10"/>
  <c r="AG38" i="10" s="1"/>
  <c r="AN60" i="12"/>
  <c r="P188" i="18"/>
  <c r="P189" i="18"/>
  <c r="P185" i="18"/>
  <c r="P187" i="18"/>
  <c r="P190" i="18"/>
  <c r="P186" i="18"/>
  <c r="P192" i="18"/>
  <c r="P191" i="18"/>
  <c r="AC176" i="12"/>
  <c r="O176" i="18" s="1"/>
  <c r="AE182" i="12"/>
  <c r="AC182" i="12"/>
  <c r="O182" i="18" s="1"/>
  <c r="AE177" i="12"/>
  <c r="AC177" i="12"/>
  <c r="O177" i="18" s="1"/>
  <c r="AE180" i="12"/>
  <c r="AC180" i="12"/>
  <c r="O180" i="18" s="1"/>
  <c r="AE181" i="12"/>
  <c r="AC181" i="12"/>
  <c r="O181" i="18" s="1"/>
  <c r="B163" i="13"/>
  <c r="AB33" i="13" s="1"/>
  <c r="AN191" i="12"/>
  <c r="Z191" i="12"/>
  <c r="G191" i="18" s="1"/>
  <c r="AN190" i="12"/>
  <c r="Z190" i="12"/>
  <c r="G190" i="18" s="1"/>
  <c r="BA188" i="12"/>
  <c r="R188" i="12"/>
  <c r="BA187" i="12"/>
  <c r="R187" i="12"/>
  <c r="Q12" i="12"/>
  <c r="AS12" i="12" s="1"/>
  <c r="Q190" i="12"/>
  <c r="AS190" i="12" s="1"/>
  <c r="BA192" i="12"/>
  <c r="R192" i="12"/>
  <c r="AT192" i="12" s="1"/>
  <c r="B156" i="13"/>
  <c r="AA31" i="13" s="1"/>
  <c r="Z188" i="12"/>
  <c r="G188" i="18" s="1"/>
  <c r="AN187" i="12"/>
  <c r="Z187" i="12"/>
  <c r="G187" i="18" s="1"/>
  <c r="AN185" i="12"/>
  <c r="Z185" i="12"/>
  <c r="G185" i="18" s="1"/>
  <c r="AN188" i="12"/>
  <c r="B150" i="13"/>
  <c r="AA30" i="13" s="1"/>
  <c r="AT30" i="13" s="1"/>
  <c r="AN186" i="12"/>
  <c r="Z186" i="12"/>
  <c r="G186" i="18" s="1"/>
  <c r="Z95" i="12"/>
  <c r="G95" i="18" s="1"/>
  <c r="BA191" i="12"/>
  <c r="R191" i="12"/>
  <c r="AT191" i="12" s="1"/>
  <c r="B81" i="10"/>
  <c r="AG13" i="10" s="1"/>
  <c r="AQ13" i="10" s="1"/>
  <c r="B168" i="13"/>
  <c r="AE33" i="13" s="1"/>
  <c r="Z192" i="12"/>
  <c r="G192" i="18" s="1"/>
  <c r="AN192" i="12"/>
  <c r="AN189" i="12"/>
  <c r="Z189" i="12"/>
  <c r="G189" i="18" s="1"/>
  <c r="BA186" i="12"/>
  <c r="R186" i="12"/>
  <c r="AT186" i="12" s="1"/>
  <c r="BA189" i="12"/>
  <c r="R189" i="12"/>
  <c r="AT189" i="12" s="1"/>
  <c r="BA185" i="12"/>
  <c r="R185" i="12"/>
  <c r="AT185" i="12" s="1"/>
  <c r="AG15" i="10"/>
  <c r="I68" i="10"/>
  <c r="G68" i="10" s="1"/>
  <c r="AG17" i="10"/>
  <c r="I65" i="10"/>
  <c r="I58" i="10"/>
  <c r="AL10" i="10"/>
  <c r="N40" i="10"/>
  <c r="N42" i="10"/>
  <c r="N37" i="10"/>
  <c r="N48" i="10"/>
  <c r="N32" i="10"/>
  <c r="N44" i="10"/>
  <c r="AI42" i="10"/>
  <c r="K139" i="10"/>
  <c r="K144" i="10"/>
  <c r="AI21" i="10"/>
  <c r="K76" i="10"/>
  <c r="K71" i="10"/>
  <c r="K85" i="10"/>
  <c r="K83" i="10"/>
  <c r="AL11" i="10"/>
  <c r="N43" i="10"/>
  <c r="N45" i="10"/>
  <c r="N39" i="10"/>
  <c r="N41" i="10"/>
  <c r="N51" i="10"/>
  <c r="N50" i="10"/>
  <c r="N36" i="10"/>
  <c r="N49" i="10"/>
  <c r="AH39" i="10"/>
  <c r="J121" i="10"/>
  <c r="AG24" i="10"/>
  <c r="I93" i="10"/>
  <c r="AG42" i="10"/>
  <c r="I151" i="10"/>
  <c r="I144" i="10"/>
  <c r="AH4" i="10"/>
  <c r="J9" i="10"/>
  <c r="J8" i="10"/>
  <c r="J6" i="10"/>
  <c r="J3" i="10"/>
  <c r="J7" i="10"/>
  <c r="J5" i="10"/>
  <c r="AH43" i="10"/>
  <c r="J153" i="10"/>
  <c r="J149" i="10"/>
  <c r="J142" i="10"/>
  <c r="I112" i="10"/>
  <c r="AG33" i="10"/>
  <c r="I106" i="10"/>
  <c r="I107" i="10"/>
  <c r="AG56" i="10"/>
  <c r="I183" i="10"/>
  <c r="G183" i="10" s="1"/>
  <c r="O36" i="10"/>
  <c r="O51" i="10"/>
  <c r="O50" i="10"/>
  <c r="O19" i="10"/>
  <c r="O20" i="10"/>
  <c r="O29" i="10"/>
  <c r="O38" i="10"/>
  <c r="AJ35" i="10"/>
  <c r="L115" i="10"/>
  <c r="L110" i="10"/>
  <c r="L111" i="10"/>
  <c r="AB151" i="12"/>
  <c r="N151" i="18" s="1"/>
  <c r="G151" i="28" s="1"/>
  <c r="H151" i="28" s="1"/>
  <c r="AG34" i="10"/>
  <c r="I116" i="10"/>
  <c r="I141" i="10"/>
  <c r="I128" i="10"/>
  <c r="AB99" i="12"/>
  <c r="N99" i="18" s="1"/>
  <c r="G99" i="28" s="1"/>
  <c r="H99" i="28" s="1"/>
  <c r="AH18" i="10"/>
  <c r="J64" i="10"/>
  <c r="J53" i="10"/>
  <c r="J75" i="10"/>
  <c r="J60" i="10"/>
  <c r="AH14" i="10"/>
  <c r="J78" i="10"/>
  <c r="J62" i="10"/>
  <c r="J70" i="10"/>
  <c r="AL7" i="10"/>
  <c r="N25" i="10"/>
  <c r="N12" i="10"/>
  <c r="N24" i="10"/>
  <c r="N20" i="10"/>
  <c r="N19" i="10"/>
  <c r="N16" i="10"/>
  <c r="N14" i="10"/>
  <c r="AB88" i="12"/>
  <c r="N88" i="18" s="1"/>
  <c r="G88" i="28" s="1"/>
  <c r="H88" i="28" s="1"/>
  <c r="AH16" i="10"/>
  <c r="J66" i="10"/>
  <c r="J77" i="10"/>
  <c r="AJ25" i="10"/>
  <c r="L109" i="10"/>
  <c r="L119" i="10"/>
  <c r="L117" i="10"/>
  <c r="L113" i="10"/>
  <c r="AH33" i="10"/>
  <c r="J112" i="10"/>
  <c r="J107" i="10"/>
  <c r="J99" i="10"/>
  <c r="AL38" i="10"/>
  <c r="N137" i="10"/>
  <c r="N125" i="10"/>
  <c r="N127" i="10"/>
  <c r="N140" i="10"/>
  <c r="N132" i="10"/>
  <c r="AH29" i="10"/>
  <c r="J94" i="10"/>
  <c r="G94" i="10" s="1"/>
  <c r="AI38" i="10"/>
  <c r="K143" i="10"/>
  <c r="K125" i="10"/>
  <c r="K137" i="10"/>
  <c r="K127" i="10"/>
  <c r="K140" i="10"/>
  <c r="AG54" i="10"/>
  <c r="I171" i="10"/>
  <c r="I176" i="10"/>
  <c r="O39" i="10"/>
  <c r="O41" i="10"/>
  <c r="O23" i="10"/>
  <c r="O33" i="10"/>
  <c r="AG19" i="10"/>
  <c r="I73" i="10"/>
  <c r="I82" i="10"/>
  <c r="AG28" i="10"/>
  <c r="I100" i="10"/>
  <c r="I97" i="10"/>
  <c r="O43" i="10"/>
  <c r="O45" i="10"/>
  <c r="O25" i="10"/>
  <c r="O12" i="10"/>
  <c r="O28" i="10"/>
  <c r="O30" i="10"/>
  <c r="AJ9" i="10"/>
  <c r="L35" i="10"/>
  <c r="L33" i="10"/>
  <c r="L38" i="10"/>
  <c r="L28" i="10"/>
  <c r="L29" i="10"/>
  <c r="L30" i="10"/>
  <c r="L34" i="10"/>
  <c r="AI36" i="10"/>
  <c r="K126" i="10"/>
  <c r="K131" i="10"/>
  <c r="AJ14" i="10"/>
  <c r="L63" i="10"/>
  <c r="L70" i="10"/>
  <c r="L62" i="10"/>
  <c r="AB82" i="12"/>
  <c r="N82" i="18" s="1"/>
  <c r="G82" i="28" s="1"/>
  <c r="H82" i="28" s="1"/>
  <c r="AI9" i="10"/>
  <c r="K31" i="10"/>
  <c r="K34" i="10"/>
  <c r="K38" i="10"/>
  <c r="K28" i="10"/>
  <c r="K35" i="10"/>
  <c r="K33" i="10"/>
  <c r="K29" i="10"/>
  <c r="AI6" i="10"/>
  <c r="K22" i="10"/>
  <c r="K21" i="10"/>
  <c r="K11" i="10"/>
  <c r="K13" i="10"/>
  <c r="K17" i="10"/>
  <c r="K18" i="10"/>
  <c r="AJ10" i="10"/>
  <c r="L46" i="10"/>
  <c r="L40" i="10"/>
  <c r="L48" i="10"/>
  <c r="L32" i="10"/>
  <c r="L37" i="10"/>
  <c r="L44" i="10"/>
  <c r="AG11" i="10"/>
  <c r="I51" i="10"/>
  <c r="I49" i="10"/>
  <c r="I39" i="10"/>
  <c r="I43" i="10"/>
  <c r="I50" i="10"/>
  <c r="I41" i="10"/>
  <c r="I47" i="10"/>
  <c r="I45" i="10"/>
  <c r="AB168" i="12"/>
  <c r="N168" i="18" s="1"/>
  <c r="G168" i="28" s="1"/>
  <c r="H168" i="28" s="1"/>
  <c r="AH36" i="10"/>
  <c r="J126" i="10"/>
  <c r="G126" i="10" s="1"/>
  <c r="J136" i="10"/>
  <c r="AI35" i="10"/>
  <c r="K110" i="10"/>
  <c r="K120" i="10"/>
  <c r="K111" i="10"/>
  <c r="AI28" i="10"/>
  <c r="K97" i="10"/>
  <c r="K89" i="10"/>
  <c r="AJ38" i="10"/>
  <c r="L143" i="10"/>
  <c r="L132" i="10"/>
  <c r="L125" i="10"/>
  <c r="L127" i="10"/>
  <c r="L140" i="10"/>
  <c r="O47" i="10"/>
  <c r="O14" i="10"/>
  <c r="O16" i="10"/>
  <c r="O31" i="10"/>
  <c r="O34" i="10"/>
  <c r="AE166" i="12"/>
  <c r="P50" i="10"/>
  <c r="P25" i="10"/>
  <c r="AQ30" i="10"/>
  <c r="AB104" i="12"/>
  <c r="N104" i="18" s="1"/>
  <c r="G104" i="28" s="1"/>
  <c r="H104" i="28" s="1"/>
  <c r="AB11" i="12"/>
  <c r="N11" i="18" s="1"/>
  <c r="G11" i="28" s="1"/>
  <c r="H11" i="28" s="1"/>
  <c r="AM173" i="12"/>
  <c r="AM184" i="12"/>
  <c r="AM172" i="12"/>
  <c r="AC172" i="12" s="1"/>
  <c r="O172" i="18" s="1"/>
  <c r="AM168" i="12"/>
  <c r="AE168" i="12" s="1"/>
  <c r="T143" i="12"/>
  <c r="F143" i="18" s="1"/>
  <c r="T118" i="12"/>
  <c r="F118" i="18" s="1"/>
  <c r="T105" i="12"/>
  <c r="F105" i="18" s="1"/>
  <c r="T129" i="12"/>
  <c r="F129" i="18" s="1"/>
  <c r="T159" i="12"/>
  <c r="F159" i="18" s="1"/>
  <c r="T102" i="12"/>
  <c r="F102" i="18" s="1"/>
  <c r="T106" i="12"/>
  <c r="F106" i="18" s="1"/>
  <c r="T97" i="12"/>
  <c r="F97" i="18" s="1"/>
  <c r="T109" i="12"/>
  <c r="F109" i="18" s="1"/>
  <c r="T110" i="12"/>
  <c r="F110" i="18" s="1"/>
  <c r="T117" i="12"/>
  <c r="F117" i="18" s="1"/>
  <c r="T139" i="12"/>
  <c r="F139" i="18" s="1"/>
  <c r="T142" i="12"/>
  <c r="F142" i="18" s="1"/>
  <c r="AM169" i="12"/>
  <c r="AE169" i="12" s="1"/>
  <c r="AG126" i="2"/>
  <c r="AG28" i="2"/>
  <c r="AG20" i="2"/>
  <c r="AG21" i="2"/>
  <c r="AG13" i="2"/>
  <c r="AG58" i="2"/>
  <c r="AG101" i="2"/>
  <c r="AG75" i="2"/>
  <c r="AG29" i="2"/>
  <c r="AG43" i="2"/>
  <c r="AG18" i="2"/>
  <c r="AG120" i="2"/>
  <c r="AG89" i="2"/>
  <c r="AG32" i="2"/>
  <c r="AG81" i="2"/>
  <c r="AG45" i="2"/>
  <c r="AG145" i="2"/>
  <c r="AM38" i="12"/>
  <c r="AC38" i="12" s="1"/>
  <c r="O38" i="18" s="1"/>
  <c r="AG38" i="2"/>
  <c r="AG153" i="2"/>
  <c r="AM162" i="12"/>
  <c r="AG72" i="2"/>
  <c r="AG27" i="2"/>
  <c r="AG125" i="2"/>
  <c r="AG154" i="2"/>
  <c r="AG88" i="2"/>
  <c r="AG30" i="2"/>
  <c r="AG78" i="2"/>
  <c r="AG69" i="2"/>
  <c r="AG46" i="2"/>
  <c r="AG110" i="2"/>
  <c r="AG152" i="2"/>
  <c r="AG57" i="2"/>
  <c r="AG128" i="2"/>
  <c r="AG66" i="2"/>
  <c r="AG37" i="2"/>
  <c r="AG26" i="2"/>
  <c r="AG144" i="2"/>
  <c r="AG6" i="2"/>
  <c r="AG122" i="2"/>
  <c r="AG56" i="2"/>
  <c r="AG146" i="2"/>
  <c r="AG96" i="2"/>
  <c r="AG138" i="2"/>
  <c r="AG8" i="2"/>
  <c r="AG156" i="2"/>
  <c r="AG54" i="2"/>
  <c r="AG118" i="2"/>
  <c r="AG97" i="2"/>
  <c r="AG24" i="2"/>
  <c r="AG98" i="2"/>
  <c r="AG108" i="2"/>
  <c r="AG141" i="2"/>
  <c r="AG3" i="2"/>
  <c r="AG124" i="2"/>
  <c r="AM50" i="12"/>
  <c r="AE50" i="12" s="1"/>
  <c r="AG50" i="2"/>
  <c r="AG157" i="2"/>
  <c r="AG53" i="2"/>
  <c r="AG76" i="2"/>
  <c r="AG109" i="2"/>
  <c r="AG68" i="2"/>
  <c r="AG113" i="2"/>
  <c r="AG40" i="2"/>
  <c r="AG9" i="2"/>
  <c r="AG42" i="2"/>
  <c r="AM170" i="12"/>
  <c r="AM174" i="12"/>
  <c r="AC174" i="12" s="1"/>
  <c r="AG5" i="2"/>
  <c r="AG102" i="2"/>
  <c r="AG61" i="2"/>
  <c r="AG161" i="2"/>
  <c r="AG121" i="2"/>
  <c r="AG134" i="2"/>
  <c r="AG100" i="2"/>
  <c r="AG62" i="2"/>
  <c r="AG137" i="2"/>
  <c r="AG150" i="2"/>
  <c r="AG116" i="2"/>
  <c r="AG59" i="2"/>
  <c r="AG140" i="2"/>
  <c r="AM94" i="12"/>
  <c r="AC94" i="12" s="1"/>
  <c r="O94" i="18" s="1"/>
  <c r="AG94" i="2"/>
  <c r="AG132" i="2"/>
  <c r="AG82" i="2"/>
  <c r="AG117" i="2"/>
  <c r="AG4" i="2"/>
  <c r="AG129" i="2"/>
  <c r="AG12" i="2"/>
  <c r="AG41" i="2"/>
  <c r="AM112" i="12"/>
  <c r="AG112" i="2"/>
  <c r="AG33" i="2"/>
  <c r="AG74" i="2"/>
  <c r="AG142" i="2"/>
  <c r="AG44" i="2"/>
  <c r="AG64" i="2"/>
  <c r="AG136" i="2"/>
  <c r="AG34" i="2"/>
  <c r="AM92" i="12"/>
  <c r="AC92" i="12" s="1"/>
  <c r="O92" i="18" s="1"/>
  <c r="AG92" i="2"/>
  <c r="AG84" i="2"/>
  <c r="AG85" i="2"/>
  <c r="AG114" i="2"/>
  <c r="AG77" i="2"/>
  <c r="AG36" i="2"/>
  <c r="AG158" i="2"/>
  <c r="AG60" i="2"/>
  <c r="AG93" i="2"/>
  <c r="AG52" i="2"/>
  <c r="AG86" i="2"/>
  <c r="AG25" i="2"/>
  <c r="AG106" i="2"/>
  <c r="AG17" i="2"/>
  <c r="AG10" i="2"/>
  <c r="AG133" i="2"/>
  <c r="AM105" i="12"/>
  <c r="AG105" i="2"/>
  <c r="AG48" i="2"/>
  <c r="AG148" i="2"/>
  <c r="AG14" i="2"/>
  <c r="AG149" i="2"/>
  <c r="AG11" i="2"/>
  <c r="AG91" i="2"/>
  <c r="AG49" i="2"/>
  <c r="AM104" i="12"/>
  <c r="AC104" i="12" s="1"/>
  <c r="O104" i="18" s="1"/>
  <c r="AG104" i="2"/>
  <c r="AG73" i="2"/>
  <c r="AG16" i="2"/>
  <c r="AG65" i="2"/>
  <c r="AM90" i="12"/>
  <c r="AG90" i="2"/>
  <c r="AG160" i="2"/>
  <c r="AG70" i="2"/>
  <c r="AG22" i="2"/>
  <c r="AG165" i="2"/>
  <c r="AG130" i="2"/>
  <c r="AG80" i="2"/>
  <c r="AM178" i="12"/>
  <c r="AC178" i="12" s="1"/>
  <c r="B94" i="10"/>
  <c r="AE176" i="12"/>
  <c r="AM122" i="12"/>
  <c r="AC164" i="12"/>
  <c r="O164" i="18" s="1"/>
  <c r="AM126" i="12"/>
  <c r="AE63" i="2"/>
  <c r="AF63" i="2"/>
  <c r="AE115" i="2"/>
  <c r="AF115" i="2"/>
  <c r="AE47" i="2"/>
  <c r="AF47" i="2"/>
  <c r="AM61" i="12"/>
  <c r="AC61" i="12" s="1"/>
  <c r="O61" i="18" s="1"/>
  <c r="AM161" i="12"/>
  <c r="AC161" i="12" s="1"/>
  <c r="O161" i="18" s="1"/>
  <c r="AM59" i="12"/>
  <c r="AC59" i="12" s="1"/>
  <c r="O59" i="18" s="1"/>
  <c r="AE94" i="12"/>
  <c r="AE38" i="12"/>
  <c r="AM153" i="12"/>
  <c r="AE153" i="12" s="1"/>
  <c r="AE171" i="2"/>
  <c r="AF171" i="2"/>
  <c r="AE159" i="2"/>
  <c r="AF159" i="2"/>
  <c r="AE23" i="2"/>
  <c r="AF23" i="2"/>
  <c r="AE143" i="2"/>
  <c r="AF143" i="2"/>
  <c r="AE83" i="2"/>
  <c r="AF83" i="2"/>
  <c r="AE7" i="2"/>
  <c r="AF7" i="2"/>
  <c r="AE131" i="2"/>
  <c r="AF131" i="2"/>
  <c r="AE67" i="2"/>
  <c r="AF67" i="2"/>
  <c r="AE175" i="2"/>
  <c r="AF175" i="2"/>
  <c r="AE119" i="2"/>
  <c r="AF119" i="2"/>
  <c r="AE51" i="2"/>
  <c r="AF51" i="2"/>
  <c r="AE163" i="2"/>
  <c r="AF163" i="2"/>
  <c r="AE107" i="2"/>
  <c r="AF107" i="2"/>
  <c r="AE35" i="2"/>
  <c r="AF35" i="2"/>
  <c r="AE151" i="2"/>
  <c r="AF151" i="2"/>
  <c r="AE95" i="2"/>
  <c r="AF95" i="2"/>
  <c r="AE19" i="2"/>
  <c r="AF19" i="2"/>
  <c r="AE139" i="2"/>
  <c r="AF139" i="2"/>
  <c r="AE79" i="2"/>
  <c r="AF79" i="2"/>
  <c r="AE183" i="2"/>
  <c r="AF183" i="2"/>
  <c r="AE127" i="2"/>
  <c r="AF127" i="2"/>
  <c r="AM41" i="12"/>
  <c r="AE41" i="12" s="1"/>
  <c r="AM33" i="12"/>
  <c r="AE33" i="12" s="1"/>
  <c r="AM44" i="12"/>
  <c r="AC44" i="12" s="1"/>
  <c r="O44" i="18" s="1"/>
  <c r="AM69" i="12"/>
  <c r="AE69" i="12" s="1"/>
  <c r="AM128" i="12"/>
  <c r="AE128" i="12" s="1"/>
  <c r="AM156" i="12"/>
  <c r="AC156" i="12" s="1"/>
  <c r="O156" i="18" s="1"/>
  <c r="AM97" i="12"/>
  <c r="AC97" i="12" s="1"/>
  <c r="O97" i="18" s="1"/>
  <c r="AM108" i="12"/>
  <c r="AC108" i="12" s="1"/>
  <c r="O108" i="18" s="1"/>
  <c r="AM141" i="12"/>
  <c r="AE141" i="12" s="1"/>
  <c r="AM124" i="12"/>
  <c r="AE124" i="12" s="1"/>
  <c r="AM157" i="12"/>
  <c r="AC157" i="12" s="1"/>
  <c r="O157" i="18" s="1"/>
  <c r="AM76" i="12"/>
  <c r="AC76" i="12" s="1"/>
  <c r="O76" i="18" s="1"/>
  <c r="AM109" i="12"/>
  <c r="AC109" i="12" s="1"/>
  <c r="O109" i="18" s="1"/>
  <c r="AM86" i="12"/>
  <c r="AM117" i="12"/>
  <c r="AC117" i="12" s="1"/>
  <c r="O117" i="18" s="1"/>
  <c r="AM4" i="12"/>
  <c r="AE4" i="12" s="1"/>
  <c r="AM18" i="12"/>
  <c r="AM113" i="12"/>
  <c r="AE113" i="12" s="1"/>
  <c r="AM40" i="12"/>
  <c r="AC40" i="12" s="1"/>
  <c r="O40" i="18" s="1"/>
  <c r="AM9" i="12"/>
  <c r="AE9" i="12" s="1"/>
  <c r="AM66" i="12"/>
  <c r="AM110" i="12"/>
  <c r="AC110" i="12" s="1"/>
  <c r="O110" i="18" s="1"/>
  <c r="AM28" i="12"/>
  <c r="AE28" i="12" s="1"/>
  <c r="AM20" i="12"/>
  <c r="AE20" i="12" s="1"/>
  <c r="AM21" i="12"/>
  <c r="AE21" i="12" s="1"/>
  <c r="AM13" i="12"/>
  <c r="AE13" i="12" s="1"/>
  <c r="AM75" i="12"/>
  <c r="AE75" i="12" s="1"/>
  <c r="AM120" i="12"/>
  <c r="AE120" i="12" s="1"/>
  <c r="AM89" i="12"/>
  <c r="AC89" i="12" s="1"/>
  <c r="O89" i="18" s="1"/>
  <c r="AM81" i="12"/>
  <c r="AC81" i="12" s="1"/>
  <c r="O81" i="18" s="1"/>
  <c r="AM129" i="12"/>
  <c r="AC129" i="12" s="1"/>
  <c r="O129" i="18" s="1"/>
  <c r="AM146" i="12"/>
  <c r="AM158" i="12"/>
  <c r="AM62" i="12"/>
  <c r="AE103" i="2"/>
  <c r="AF103" i="2"/>
  <c r="AE31" i="2"/>
  <c r="AF31" i="2"/>
  <c r="AE147" i="2"/>
  <c r="AF147" i="2"/>
  <c r="AE87" i="2"/>
  <c r="AF87" i="2"/>
  <c r="AE15" i="2"/>
  <c r="AF15" i="2"/>
  <c r="AE135" i="2"/>
  <c r="AF135" i="2"/>
  <c r="AE71" i="2"/>
  <c r="AF71" i="2"/>
  <c r="AE179" i="2"/>
  <c r="AF179" i="2"/>
  <c r="AE123" i="2"/>
  <c r="AF123" i="2"/>
  <c r="AE55" i="2"/>
  <c r="AF55" i="2"/>
  <c r="AE167" i="2"/>
  <c r="AF167" i="2"/>
  <c r="AE111" i="2"/>
  <c r="AF111" i="2"/>
  <c r="AE39" i="2"/>
  <c r="AF39" i="2"/>
  <c r="AE155" i="2"/>
  <c r="AF155" i="2"/>
  <c r="AE99" i="2"/>
  <c r="AF99" i="2"/>
  <c r="AM72" i="12"/>
  <c r="AC72" i="12" s="1"/>
  <c r="O72" i="18" s="1"/>
  <c r="AM125" i="12"/>
  <c r="AM136" i="12"/>
  <c r="AC136" i="12" s="1"/>
  <c r="O136" i="18" s="1"/>
  <c r="AE92" i="12"/>
  <c r="AM84" i="12"/>
  <c r="AC84" i="12" s="1"/>
  <c r="O84" i="18" s="1"/>
  <c r="AM85" i="12"/>
  <c r="AC85" i="12" s="1"/>
  <c r="O85" i="18" s="1"/>
  <c r="AM77" i="12"/>
  <c r="AE77" i="12" s="1"/>
  <c r="AM60" i="12"/>
  <c r="AE60" i="12" s="1"/>
  <c r="AM93" i="12"/>
  <c r="AC93" i="12" s="1"/>
  <c r="O93" i="18" s="1"/>
  <c r="AM17" i="12"/>
  <c r="AE17" i="12" s="1"/>
  <c r="AM149" i="12"/>
  <c r="AE149" i="12" s="1"/>
  <c r="AM49" i="12"/>
  <c r="AE49" i="12" s="1"/>
  <c r="AM65" i="12"/>
  <c r="AC65" i="12" s="1"/>
  <c r="O65" i="18" s="1"/>
  <c r="AE90" i="12"/>
  <c r="AM160" i="12"/>
  <c r="AE160" i="12" s="1"/>
  <c r="AM154" i="12"/>
  <c r="AE154" i="12" s="1"/>
  <c r="AM26" i="12"/>
  <c r="AC90" i="12"/>
  <c r="O90" i="18" s="1"/>
  <c r="AM134" i="12"/>
  <c r="AM45" i="12"/>
  <c r="AE45" i="12" s="1"/>
  <c r="AM145" i="12"/>
  <c r="AM165" i="12"/>
  <c r="AE165" i="12" s="1"/>
  <c r="AM142" i="12"/>
  <c r="AC142" i="12" s="1"/>
  <c r="O142" i="18" s="1"/>
  <c r="AM14" i="12"/>
  <c r="B145" i="10"/>
  <c r="B26" i="10"/>
  <c r="B181" i="13"/>
  <c r="B174" i="10"/>
  <c r="B146" i="10"/>
  <c r="B101" i="10"/>
  <c r="B163" i="10"/>
  <c r="Z60" i="12"/>
  <c r="G60" i="18" s="1"/>
  <c r="B117" i="10"/>
  <c r="B45" i="10"/>
  <c r="B177" i="10"/>
  <c r="B61" i="10"/>
  <c r="B167" i="10"/>
  <c r="B170" i="10"/>
  <c r="B77" i="10"/>
  <c r="B53" i="10"/>
  <c r="B66" i="10"/>
  <c r="B11" i="10"/>
  <c r="AN109" i="12"/>
  <c r="B77" i="13"/>
  <c r="AL9" i="13" s="1"/>
  <c r="P164" i="18"/>
  <c r="AN74" i="12"/>
  <c r="B80" i="10"/>
  <c r="B142" i="10"/>
  <c r="B144" i="10"/>
  <c r="B172" i="10"/>
  <c r="B38" i="10"/>
  <c r="AN9" i="10" s="1"/>
  <c r="B39" i="10"/>
  <c r="B34" i="10"/>
  <c r="B138" i="10"/>
  <c r="B179" i="10"/>
  <c r="B59" i="10"/>
  <c r="B134" i="10"/>
  <c r="B162" i="10"/>
  <c r="B45" i="13"/>
  <c r="AJ8" i="13" s="1"/>
  <c r="B12" i="10"/>
  <c r="B37" i="10"/>
  <c r="AN53" i="12"/>
  <c r="B29" i="13"/>
  <c r="AB7" i="13" s="1"/>
  <c r="AN152" i="12"/>
  <c r="AN68" i="12"/>
  <c r="AN58" i="12"/>
  <c r="B135" i="10"/>
  <c r="B19" i="10"/>
  <c r="AN83" i="12"/>
  <c r="B158" i="10"/>
  <c r="B40" i="10"/>
  <c r="B16" i="10"/>
  <c r="B176" i="10"/>
  <c r="B121" i="10"/>
  <c r="B49" i="13"/>
  <c r="AN8" i="13" s="1"/>
  <c r="B168" i="10"/>
  <c r="B64" i="10"/>
  <c r="B48" i="10"/>
  <c r="B7" i="10"/>
  <c r="B50" i="10"/>
  <c r="AN11" i="10" s="1"/>
  <c r="B155" i="10"/>
  <c r="B164" i="10"/>
  <c r="L162" i="10" s="1"/>
  <c r="B62" i="10"/>
  <c r="B76" i="10"/>
  <c r="B124" i="10"/>
  <c r="B112" i="10"/>
  <c r="B182" i="10"/>
  <c r="B166" i="10"/>
  <c r="B119" i="10"/>
  <c r="B127" i="10"/>
  <c r="B93" i="10"/>
  <c r="AN145" i="12"/>
  <c r="Z62" i="12"/>
  <c r="G62" i="18" s="1"/>
  <c r="Z12" i="12"/>
  <c r="G12" i="18" s="1"/>
  <c r="Z140" i="12"/>
  <c r="G140" i="18" s="1"/>
  <c r="Z53" i="12"/>
  <c r="G53" i="18" s="1"/>
  <c r="Z152" i="12"/>
  <c r="G152" i="18" s="1"/>
  <c r="Z22" i="12"/>
  <c r="G22" i="18" s="1"/>
  <c r="B6" i="10"/>
  <c r="B98" i="10"/>
  <c r="B86" i="10"/>
  <c r="B58" i="10"/>
  <c r="B154" i="10"/>
  <c r="B52" i="10"/>
  <c r="B111" i="10"/>
  <c r="B141" i="10"/>
  <c r="B180" i="10"/>
  <c r="B104" i="10"/>
  <c r="B156" i="10"/>
  <c r="B65" i="10"/>
  <c r="B150" i="10"/>
  <c r="B96" i="10"/>
  <c r="B14" i="10"/>
  <c r="B68" i="10"/>
  <c r="B159" i="10"/>
  <c r="B173" i="10"/>
  <c r="B148" i="10"/>
  <c r="B116" i="10"/>
  <c r="B75" i="10"/>
  <c r="Z68" i="12"/>
  <c r="G68" i="18" s="1"/>
  <c r="Z83" i="12"/>
  <c r="G83" i="18" s="1"/>
  <c r="Z14" i="12"/>
  <c r="G14" i="18" s="1"/>
  <c r="Z18" i="12"/>
  <c r="G18" i="18" s="1"/>
  <c r="Z16" i="12"/>
  <c r="G16" i="18" s="1"/>
  <c r="Z19" i="12"/>
  <c r="G19" i="18" s="1"/>
  <c r="B71" i="10"/>
  <c r="B140" i="10"/>
  <c r="B17" i="10"/>
  <c r="B128" i="10"/>
  <c r="B70" i="10"/>
  <c r="B183" i="10"/>
  <c r="B91" i="10"/>
  <c r="B110" i="10"/>
  <c r="B92" i="10"/>
  <c r="B25" i="10"/>
  <c r="AN7" i="10" s="1"/>
  <c r="B123" i="10"/>
  <c r="B28" i="10"/>
  <c r="B169" i="13"/>
  <c r="B107" i="10"/>
  <c r="B43" i="10"/>
  <c r="Z58" i="12"/>
  <c r="G58" i="18" s="1"/>
  <c r="Z23" i="12"/>
  <c r="G23" i="18" s="1"/>
  <c r="B27" i="10"/>
  <c r="B60" i="10"/>
  <c r="B109" i="10"/>
  <c r="B83" i="10"/>
  <c r="B22" i="10"/>
  <c r="B152" i="10"/>
  <c r="B8" i="10"/>
  <c r="B51" i="10"/>
  <c r="AO11" i="10" s="1"/>
  <c r="B171" i="10"/>
  <c r="B84" i="10"/>
  <c r="B175" i="10"/>
  <c r="B82" i="10"/>
  <c r="Z96" i="12"/>
  <c r="G96" i="18" s="1"/>
  <c r="B126" i="10"/>
  <c r="B129" i="10"/>
  <c r="B32" i="10"/>
  <c r="B130" i="10"/>
  <c r="B85" i="10"/>
  <c r="B74" i="10"/>
  <c r="B149" i="10"/>
  <c r="B69" i="10"/>
  <c r="AT20" i="13"/>
  <c r="AS20" i="13"/>
  <c r="AT6" i="13"/>
  <c r="AS6" i="13"/>
  <c r="AS28" i="13"/>
  <c r="AT28" i="13"/>
  <c r="AS25" i="13"/>
  <c r="AT25" i="13"/>
  <c r="AT15" i="13"/>
  <c r="AS15" i="13"/>
  <c r="AS21" i="13"/>
  <c r="AT21" i="13"/>
  <c r="AS17" i="13"/>
  <c r="AT17" i="13"/>
  <c r="AT27" i="13"/>
  <c r="AS27" i="13"/>
  <c r="AS16" i="13"/>
  <c r="AT16" i="13"/>
  <c r="AT14" i="13"/>
  <c r="AS14" i="13"/>
  <c r="AT23" i="13"/>
  <c r="AS23" i="13"/>
  <c r="AT22" i="13"/>
  <c r="AS22" i="13"/>
  <c r="AT18" i="13"/>
  <c r="AS18" i="13"/>
  <c r="AT32" i="13"/>
  <c r="AS32" i="13"/>
  <c r="AT34" i="13"/>
  <c r="AS34" i="13"/>
  <c r="AS24" i="13"/>
  <c r="AT24" i="13"/>
  <c r="AS13" i="13"/>
  <c r="AT13" i="13"/>
  <c r="B88" i="10"/>
  <c r="B108" i="10"/>
  <c r="B160" i="10"/>
  <c r="B44" i="10"/>
  <c r="B103" i="10"/>
  <c r="B178" i="10"/>
  <c r="B102" i="10"/>
  <c r="B18" i="10"/>
  <c r="B20" i="10"/>
  <c r="B13" i="10"/>
  <c r="B89" i="13"/>
  <c r="AA19" i="13" s="1"/>
  <c r="B157" i="10"/>
  <c r="B3" i="10"/>
  <c r="Z93" i="12"/>
  <c r="G93" i="18" s="1"/>
  <c r="Z89" i="12"/>
  <c r="G89" i="18" s="1"/>
  <c r="Z87" i="12"/>
  <c r="G87" i="18" s="1"/>
  <c r="Z102" i="12"/>
  <c r="G102" i="18" s="1"/>
  <c r="Z103" i="12"/>
  <c r="G103" i="18" s="1"/>
  <c r="Z97" i="12"/>
  <c r="G97" i="18" s="1"/>
  <c r="Z174" i="12"/>
  <c r="G174" i="18" s="1"/>
  <c r="Z167" i="12"/>
  <c r="G167" i="18" s="1"/>
  <c r="Z166" i="12"/>
  <c r="G166" i="18" s="1"/>
  <c r="Z56" i="12"/>
  <c r="G56" i="18" s="1"/>
  <c r="Z69" i="12"/>
  <c r="G69" i="18" s="1"/>
  <c r="Z123" i="12"/>
  <c r="G123" i="18" s="1"/>
  <c r="Z122" i="12"/>
  <c r="G122" i="18" s="1"/>
  <c r="Z154" i="12"/>
  <c r="G154" i="18" s="1"/>
  <c r="Z148" i="12"/>
  <c r="G148" i="18" s="1"/>
  <c r="Z150" i="12"/>
  <c r="G150" i="18" s="1"/>
  <c r="Z143" i="12"/>
  <c r="G143" i="18" s="1"/>
  <c r="Z116" i="12"/>
  <c r="G116" i="18" s="1"/>
  <c r="Z112" i="12"/>
  <c r="G112" i="18" s="1"/>
  <c r="Z111" i="12"/>
  <c r="G111" i="18" s="1"/>
  <c r="Z121" i="12"/>
  <c r="G121" i="18" s="1"/>
  <c r="Z106" i="12"/>
  <c r="G106" i="18" s="1"/>
  <c r="Z105" i="12"/>
  <c r="G105" i="18" s="1"/>
  <c r="Z25" i="12"/>
  <c r="G25" i="18" s="1"/>
  <c r="Z15" i="12"/>
  <c r="G15" i="18" s="1"/>
  <c r="Z20" i="12"/>
  <c r="G20" i="18" s="1"/>
  <c r="Z26" i="12"/>
  <c r="G26" i="18" s="1"/>
  <c r="Z13" i="12"/>
  <c r="G13" i="18" s="1"/>
  <c r="Z21" i="12"/>
  <c r="G21" i="18" s="1"/>
  <c r="Z17" i="12"/>
  <c r="G17" i="18" s="1"/>
  <c r="Z24" i="12"/>
  <c r="G24" i="18" s="1"/>
  <c r="AN150" i="12"/>
  <c r="AN143" i="12"/>
  <c r="AN154" i="12"/>
  <c r="AN148" i="12"/>
  <c r="AN174" i="12"/>
  <c r="AN167" i="12"/>
  <c r="AN166" i="12"/>
  <c r="B101" i="13"/>
  <c r="AE12" i="13" s="1"/>
  <c r="B5" i="13"/>
  <c r="AC4" i="13" s="1"/>
  <c r="AN14" i="12"/>
  <c r="AN18" i="12"/>
  <c r="AN19" i="12"/>
  <c r="AN23" i="12"/>
  <c r="AN16" i="12"/>
  <c r="AN12" i="12"/>
  <c r="AN22" i="12"/>
  <c r="B73" i="13"/>
  <c r="AF11" i="13" s="1"/>
  <c r="AN106" i="12"/>
  <c r="AN105" i="12"/>
  <c r="B9" i="13"/>
  <c r="AG4" i="13" s="1"/>
  <c r="AN15" i="12"/>
  <c r="AN17" i="12"/>
  <c r="AN26" i="12"/>
  <c r="AN20" i="12"/>
  <c r="AN13" i="12"/>
  <c r="AN21" i="12"/>
  <c r="AN24" i="12"/>
  <c r="AN25" i="12"/>
  <c r="B105" i="13"/>
  <c r="AE19" i="13" s="1"/>
  <c r="BA67" i="12"/>
  <c r="B33" i="13"/>
  <c r="AE7" i="13" s="1"/>
  <c r="AN56" i="12"/>
  <c r="AN69" i="12"/>
  <c r="B137" i="13"/>
  <c r="AD26" i="13" s="1"/>
  <c r="B69" i="13"/>
  <c r="AE10" i="13" s="1"/>
  <c r="AN96" i="12"/>
  <c r="AN95" i="12"/>
  <c r="B57" i="13"/>
  <c r="AC9" i="13" s="1"/>
  <c r="AN93" i="12"/>
  <c r="AN102" i="12"/>
  <c r="AN87" i="12"/>
  <c r="AN89" i="12"/>
  <c r="AN97" i="12"/>
  <c r="AN103" i="12"/>
  <c r="B53" i="13"/>
  <c r="AA10" i="13" s="1"/>
  <c r="AN92" i="12"/>
  <c r="B81" i="13"/>
  <c r="AN9" i="13" s="1"/>
  <c r="AN121" i="12"/>
  <c r="AN111" i="12"/>
  <c r="AN112" i="12"/>
  <c r="AN116" i="12"/>
  <c r="B97" i="13"/>
  <c r="AB19" i="13" s="1"/>
  <c r="AN122" i="12"/>
  <c r="AN123" i="12"/>
  <c r="BA145" i="12"/>
  <c r="W37" i="9"/>
  <c r="W8" i="9"/>
  <c r="W121" i="9"/>
  <c r="W57" i="9"/>
  <c r="W87" i="9"/>
  <c r="B113" i="10"/>
  <c r="B73" i="10"/>
  <c r="B41" i="10"/>
  <c r="B9" i="10"/>
  <c r="B165" i="10"/>
  <c r="B133" i="10"/>
  <c r="B153" i="10"/>
  <c r="B105" i="10"/>
  <c r="B5" i="10"/>
  <c r="B161" i="10"/>
  <c r="B33" i="10"/>
  <c r="AG56" i="13"/>
  <c r="AG52" i="13"/>
  <c r="AG44" i="13"/>
  <c r="AG55" i="13"/>
  <c r="AG51" i="13"/>
  <c r="AG48" i="13"/>
  <c r="AG43" i="13"/>
  <c r="AG42" i="13"/>
  <c r="AG40" i="13"/>
  <c r="P1" i="13"/>
  <c r="AH1" i="13" s="1"/>
  <c r="AG47" i="13"/>
  <c r="AG53" i="13"/>
  <c r="AG49" i="13"/>
  <c r="AG46" i="13"/>
  <c r="AG57" i="13"/>
  <c r="AG54" i="13"/>
  <c r="AG50" i="13"/>
  <c r="AG45" i="13"/>
  <c r="AG41" i="13"/>
  <c r="U4" i="2"/>
  <c r="D11" i="8"/>
  <c r="S240" i="5"/>
  <c r="S241" i="5"/>
  <c r="S202" i="5"/>
  <c r="S131" i="5"/>
  <c r="S221" i="5"/>
  <c r="S52" i="5"/>
  <c r="S75" i="5"/>
  <c r="S140" i="5"/>
  <c r="S41" i="5"/>
  <c r="S242" i="5"/>
  <c r="S213" i="5"/>
  <c r="S206" i="5"/>
  <c r="S108" i="5"/>
  <c r="S113" i="5"/>
  <c r="S68" i="5"/>
  <c r="S23" i="5"/>
  <c r="D90" i="5"/>
  <c r="D28" i="5"/>
  <c r="D36" i="5"/>
  <c r="D190" i="5"/>
  <c r="D118" i="5"/>
  <c r="D57" i="5"/>
  <c r="D176" i="5"/>
  <c r="D80" i="5"/>
  <c r="D136" i="5"/>
  <c r="D145" i="5"/>
  <c r="D163" i="5"/>
  <c r="D74" i="5"/>
  <c r="D9" i="5"/>
  <c r="D47" i="5"/>
  <c r="D57" i="6"/>
  <c r="D143" i="6"/>
  <c r="D122" i="6"/>
  <c r="D89" i="6"/>
  <c r="D37" i="6"/>
  <c r="D158" i="6"/>
  <c r="D7" i="6"/>
  <c r="W6" i="6"/>
  <c r="U6" i="6" s="1"/>
  <c r="A4" i="4"/>
  <c r="A5" i="4" s="1"/>
  <c r="S239" i="5"/>
  <c r="S236" i="5"/>
  <c r="S235" i="5"/>
  <c r="S203" i="5"/>
  <c r="S212" i="5"/>
  <c r="S224" i="5"/>
  <c r="S225" i="5"/>
  <c r="S180" i="5"/>
  <c r="S158" i="5"/>
  <c r="S197" i="5"/>
  <c r="S201" i="5"/>
  <c r="S2" i="5"/>
  <c r="S85" i="5"/>
  <c r="S69" i="5"/>
  <c r="S226" i="5"/>
  <c r="S218" i="5"/>
  <c r="S185" i="5"/>
  <c r="S215" i="5"/>
  <c r="S233" i="5"/>
  <c r="S229" i="5"/>
  <c r="S234" i="5"/>
  <c r="S232" i="5"/>
  <c r="S230" i="5"/>
  <c r="S231" i="5"/>
  <c r="S237" i="5"/>
  <c r="S238" i="5"/>
  <c r="S228" i="5"/>
  <c r="S209" i="5"/>
  <c r="S171" i="5"/>
  <c r="S168" i="5"/>
  <c r="BC21" i="28" l="1"/>
  <c r="DH25" i="28" s="1"/>
  <c r="DE25" i="28" s="1"/>
  <c r="BC19" i="28"/>
  <c r="DH23" i="28" s="1"/>
  <c r="DE23" i="28" s="1"/>
  <c r="BC55" i="28"/>
  <c r="DH87" i="28" s="1"/>
  <c r="DE87" i="28" s="1"/>
  <c r="BC25" i="28"/>
  <c r="DH31" i="28" s="1"/>
  <c r="DE31" i="28" s="1"/>
  <c r="BC52" i="28"/>
  <c r="DH81" i="28" s="1"/>
  <c r="DE81" i="28" s="1"/>
  <c r="F107" i="28"/>
  <c r="BC9" i="28"/>
  <c r="DH9" i="28" s="1"/>
  <c r="DE9" i="28" s="1"/>
  <c r="I162" i="28"/>
  <c r="BC39" i="28"/>
  <c r="DH53" i="28" s="1"/>
  <c r="DE53" i="28" s="1"/>
  <c r="BC47" i="28"/>
  <c r="DH73" i="28" s="1"/>
  <c r="DE73" i="28" s="1"/>
  <c r="BC43" i="28"/>
  <c r="DH61" i="28" s="1"/>
  <c r="DE61" i="28" s="1"/>
  <c r="BC51" i="28"/>
  <c r="DH80" i="28" s="1"/>
  <c r="DE80" i="28" s="1"/>
  <c r="BC24" i="28"/>
  <c r="DH30" i="28" s="1"/>
  <c r="DE30" i="28" s="1"/>
  <c r="BC14" i="28"/>
  <c r="DH16" i="28" s="1"/>
  <c r="DE16" i="28" s="1"/>
  <c r="BC10" i="28"/>
  <c r="DH12" i="28" s="1"/>
  <c r="DE12" i="28" s="1"/>
  <c r="BC12" i="28"/>
  <c r="DH14" i="28" s="1"/>
  <c r="DE14" i="28" s="1"/>
  <c r="BC28" i="28"/>
  <c r="DH36" i="28" s="1"/>
  <c r="DE36" i="28" s="1"/>
  <c r="BC37" i="28"/>
  <c r="DH48" i="28" s="1"/>
  <c r="DE48" i="28" s="1"/>
  <c r="BC48" i="28"/>
  <c r="DH74" i="28" s="1"/>
  <c r="DE74" i="28" s="1"/>
  <c r="BC4" i="28"/>
  <c r="DH2" i="28" s="1"/>
  <c r="DE2" i="28" s="1"/>
  <c r="BC15" i="28"/>
  <c r="DH17" i="28" s="1"/>
  <c r="DE17" i="28" s="1"/>
  <c r="BC44" i="28"/>
  <c r="DH62" i="28" s="1"/>
  <c r="DE62" i="28" s="1"/>
  <c r="BC56" i="28"/>
  <c r="DH89" i="28" s="1"/>
  <c r="DE89" i="28" s="1"/>
  <c r="BC40" i="28"/>
  <c r="DH55" i="28" s="1"/>
  <c r="DE55" i="28" s="1"/>
  <c r="BC7" i="28"/>
  <c r="DH6" i="28" s="1"/>
  <c r="DE6" i="28" s="1"/>
  <c r="BC41" i="28"/>
  <c r="DH56" i="28" s="1"/>
  <c r="DE56" i="28" s="1"/>
  <c r="BC18" i="28"/>
  <c r="DH21" i="28" s="1"/>
  <c r="DE21" i="28" s="1"/>
  <c r="BC11" i="28"/>
  <c r="DH13" i="28" s="1"/>
  <c r="DE13" i="28" s="1"/>
  <c r="BC26" i="28"/>
  <c r="DH32" i="28" s="1"/>
  <c r="DE32" i="28" s="1"/>
  <c r="BC34" i="28"/>
  <c r="DH43" i="28" s="1"/>
  <c r="DE43" i="28" s="1"/>
  <c r="BC38" i="28"/>
  <c r="DH51" i="28" s="1"/>
  <c r="DE51" i="28" s="1"/>
  <c r="BC36" i="28"/>
  <c r="DH46" i="28" s="1"/>
  <c r="DE46" i="28" s="1"/>
  <c r="BC8" i="28"/>
  <c r="DH7" i="28" s="1"/>
  <c r="DE7" i="28" s="1"/>
  <c r="BC17" i="28"/>
  <c r="DH19" i="28" s="1"/>
  <c r="DE19" i="28" s="1"/>
  <c r="BC53" i="28"/>
  <c r="DH82" i="28" s="1"/>
  <c r="DE82" i="28" s="1"/>
  <c r="BC6" i="28"/>
  <c r="DH5" i="28" s="1"/>
  <c r="DE5" i="28" s="1"/>
  <c r="BC31" i="28"/>
  <c r="DH40" i="28" s="1"/>
  <c r="DE40" i="28" s="1"/>
  <c r="BC33" i="28"/>
  <c r="DH42" i="28" s="1"/>
  <c r="DE42" i="28" s="1"/>
  <c r="BC35" i="28"/>
  <c r="DH44" i="28" s="1"/>
  <c r="DE44" i="28" s="1"/>
  <c r="BC49" i="28"/>
  <c r="DH75" i="28" s="1"/>
  <c r="DE75" i="28" s="1"/>
  <c r="BC42" i="28"/>
  <c r="DH57" i="28" s="1"/>
  <c r="DE57" i="28" s="1"/>
  <c r="BC16" i="28"/>
  <c r="DH18" i="28" s="1"/>
  <c r="DE18" i="28" s="1"/>
  <c r="BC46" i="28"/>
  <c r="DH70" i="28" s="1"/>
  <c r="DE70" i="28" s="1"/>
  <c r="BC54" i="28"/>
  <c r="DH84" i="28" s="1"/>
  <c r="DE84" i="28" s="1"/>
  <c r="BC58" i="28"/>
  <c r="DH91" i="28" s="1"/>
  <c r="DE91" i="28" s="1"/>
  <c r="BC20" i="28"/>
  <c r="DH24" i="28" s="1"/>
  <c r="DE24" i="28" s="1"/>
  <c r="I111" i="28"/>
  <c r="F148" i="28"/>
  <c r="I148" i="28"/>
  <c r="I140" i="28"/>
  <c r="F140" i="28"/>
  <c r="I119" i="28"/>
  <c r="F119" i="28"/>
  <c r="F77" i="28"/>
  <c r="I77" i="28"/>
  <c r="I64" i="28"/>
  <c r="F64" i="28"/>
  <c r="I38" i="28"/>
  <c r="F38" i="28"/>
  <c r="I45" i="28"/>
  <c r="F45" i="28"/>
  <c r="F83" i="28"/>
  <c r="I83" i="28"/>
  <c r="I58" i="28"/>
  <c r="F58" i="28"/>
  <c r="I157" i="28"/>
  <c r="F157" i="28"/>
  <c r="I27" i="28"/>
  <c r="F27" i="28"/>
  <c r="F12" i="28"/>
  <c r="I12" i="28"/>
  <c r="I36" i="28"/>
  <c r="F36" i="28"/>
  <c r="I32" i="28"/>
  <c r="F32" i="28"/>
  <c r="F98" i="28"/>
  <c r="I98" i="28"/>
  <c r="I156" i="28"/>
  <c r="F156" i="28"/>
  <c r="I139" i="28"/>
  <c r="F139" i="28"/>
  <c r="I181" i="28"/>
  <c r="F181" i="28"/>
  <c r="F131" i="28"/>
  <c r="I131" i="28"/>
  <c r="I158" i="28"/>
  <c r="F158" i="28"/>
  <c r="I9" i="28"/>
  <c r="F9" i="28"/>
  <c r="I8" i="28"/>
  <c r="F8" i="28"/>
  <c r="I69" i="28"/>
  <c r="F69" i="28"/>
  <c r="F111" i="28"/>
  <c r="I57" i="28"/>
  <c r="F57" i="28"/>
  <c r="F25" i="28"/>
  <c r="I25" i="28"/>
  <c r="I26" i="28"/>
  <c r="F26" i="28"/>
  <c r="F123" i="28"/>
  <c r="I123" i="28"/>
  <c r="F135" i="28"/>
  <c r="I135" i="28"/>
  <c r="I61" i="28"/>
  <c r="F61" i="28"/>
  <c r="F50" i="28"/>
  <c r="I50" i="28"/>
  <c r="F42" i="28"/>
  <c r="I42" i="28"/>
  <c r="F184" i="28"/>
  <c r="I184" i="28"/>
  <c r="F95" i="28"/>
  <c r="I95" i="28"/>
  <c r="F19" i="28"/>
  <c r="I19" i="28"/>
  <c r="I87" i="28"/>
  <c r="F87" i="28"/>
  <c r="I122" i="28"/>
  <c r="F122" i="28"/>
  <c r="I107" i="28"/>
  <c r="I93" i="28"/>
  <c r="F93" i="28"/>
  <c r="F117" i="28"/>
  <c r="I117" i="28"/>
  <c r="F133" i="28"/>
  <c r="I133" i="28"/>
  <c r="I154" i="28"/>
  <c r="F154" i="28"/>
  <c r="F120" i="28"/>
  <c r="I120" i="28"/>
  <c r="F86" i="28"/>
  <c r="I86" i="28"/>
  <c r="I49" i="28"/>
  <c r="F49" i="28"/>
  <c r="I127" i="28"/>
  <c r="F127" i="28"/>
  <c r="I37" i="28"/>
  <c r="F37" i="28"/>
  <c r="I54" i="28"/>
  <c r="F54" i="28"/>
  <c r="I74" i="28"/>
  <c r="F74" i="28"/>
  <c r="F171" i="28"/>
  <c r="I171" i="28"/>
  <c r="I33" i="28"/>
  <c r="F33" i="28"/>
  <c r="I137" i="28"/>
  <c r="F137" i="28"/>
  <c r="F182" i="28"/>
  <c r="I182" i="28"/>
  <c r="F39" i="28"/>
  <c r="I39" i="28"/>
  <c r="I35" i="28"/>
  <c r="F35" i="28"/>
  <c r="F136" i="28"/>
  <c r="I136" i="28"/>
  <c r="F169" i="28"/>
  <c r="I169" i="28"/>
  <c r="I121" i="28"/>
  <c r="F121" i="28"/>
  <c r="F124" i="28"/>
  <c r="I124" i="28"/>
  <c r="I7" i="28"/>
  <c r="F7" i="28"/>
  <c r="I175" i="28"/>
  <c r="F175" i="28"/>
  <c r="I91" i="28"/>
  <c r="F91" i="28"/>
  <c r="I68" i="28"/>
  <c r="F68" i="28"/>
  <c r="I178" i="28"/>
  <c r="F178" i="28"/>
  <c r="I17" i="28"/>
  <c r="F17" i="28"/>
  <c r="F21" i="28"/>
  <c r="I21" i="28"/>
  <c r="F59" i="28"/>
  <c r="I59" i="28"/>
  <c r="I146" i="28"/>
  <c r="F146" i="28"/>
  <c r="I76" i="28"/>
  <c r="F76" i="28"/>
  <c r="F4" i="28"/>
  <c r="I4" i="28"/>
  <c r="I51" i="28"/>
  <c r="F51" i="28"/>
  <c r="I40" i="28"/>
  <c r="F40" i="28"/>
  <c r="I130" i="28"/>
  <c r="F130" i="28"/>
  <c r="I174" i="28"/>
  <c r="F174" i="28"/>
  <c r="I23" i="28"/>
  <c r="F23" i="28"/>
  <c r="I16" i="28"/>
  <c r="F16" i="28"/>
  <c r="I31" i="28"/>
  <c r="F29" i="28"/>
  <c r="I29" i="28"/>
  <c r="I113" i="28"/>
  <c r="F113" i="28"/>
  <c r="I102" i="28"/>
  <c r="F102" i="28"/>
  <c r="F103" i="28"/>
  <c r="I103" i="28"/>
  <c r="F142" i="28"/>
  <c r="I142" i="28"/>
  <c r="F162" i="28"/>
  <c r="I166" i="28"/>
  <c r="F166" i="28"/>
  <c r="I81" i="28"/>
  <c r="F81" i="28"/>
  <c r="I144" i="28"/>
  <c r="F144" i="28"/>
  <c r="F138" i="28"/>
  <c r="I138" i="28"/>
  <c r="F150" i="28"/>
  <c r="I150" i="28"/>
  <c r="I53" i="28"/>
  <c r="F53" i="28"/>
  <c r="F114" i="28"/>
  <c r="I114" i="28"/>
  <c r="F84" i="28"/>
  <c r="I84" i="28"/>
  <c r="I79" i="28"/>
  <c r="F79" i="28"/>
  <c r="I125" i="28"/>
  <c r="F125" i="28"/>
  <c r="F41" i="28"/>
  <c r="I41" i="28"/>
  <c r="F110" i="28"/>
  <c r="I110" i="28"/>
  <c r="F143" i="28"/>
  <c r="I143" i="28"/>
  <c r="I126" i="28"/>
  <c r="F126" i="28"/>
  <c r="I62" i="28"/>
  <c r="F62" i="28"/>
  <c r="I132" i="28"/>
  <c r="F132" i="28"/>
  <c r="F31" i="28"/>
  <c r="F134" i="28"/>
  <c r="I134" i="28"/>
  <c r="I164" i="28"/>
  <c r="F164" i="28"/>
  <c r="F153" i="28"/>
  <c r="I153" i="28"/>
  <c r="I112" i="28"/>
  <c r="F112" i="28"/>
  <c r="I105" i="28"/>
  <c r="F105" i="28"/>
  <c r="F94" i="28"/>
  <c r="I94" i="28"/>
  <c r="F100" i="28"/>
  <c r="I100" i="28"/>
  <c r="I165" i="28"/>
  <c r="F165" i="28"/>
  <c r="I173" i="28"/>
  <c r="F173" i="28"/>
  <c r="F145" i="28"/>
  <c r="I145" i="28"/>
  <c r="F170" i="28"/>
  <c r="I170" i="28"/>
  <c r="I5" i="28"/>
  <c r="F5" i="28"/>
  <c r="F78" i="28"/>
  <c r="I78" i="28"/>
  <c r="I96" i="28"/>
  <c r="F96" i="28"/>
  <c r="F28" i="28"/>
  <c r="I28" i="28"/>
  <c r="F20" i="28"/>
  <c r="I20" i="28"/>
  <c r="F66" i="28"/>
  <c r="I66" i="28"/>
  <c r="I55" i="28"/>
  <c r="F55" i="28"/>
  <c r="I46" i="28"/>
  <c r="F46" i="28"/>
  <c r="F44" i="28"/>
  <c r="I44" i="28"/>
  <c r="I167" i="28"/>
  <c r="F167" i="28"/>
  <c r="F161" i="28"/>
  <c r="I161" i="28"/>
  <c r="I67" i="28"/>
  <c r="F67" i="28"/>
  <c r="F22" i="28"/>
  <c r="I22" i="28"/>
  <c r="I18" i="28"/>
  <c r="F18" i="28"/>
  <c r="F106" i="28"/>
  <c r="I106" i="28"/>
  <c r="F90" i="28"/>
  <c r="I90" i="28"/>
  <c r="I172" i="28"/>
  <c r="F172" i="28"/>
  <c r="I108" i="28"/>
  <c r="F108" i="28"/>
  <c r="I89" i="28"/>
  <c r="F89" i="28"/>
  <c r="I75" i="28"/>
  <c r="F75" i="28"/>
  <c r="I128" i="28"/>
  <c r="F128" i="28"/>
  <c r="I118" i="28"/>
  <c r="F118" i="28"/>
  <c r="I80" i="28"/>
  <c r="F80" i="28"/>
  <c r="F71" i="28"/>
  <c r="I71" i="28"/>
  <c r="I43" i="28"/>
  <c r="F43" i="28"/>
  <c r="F47" i="28"/>
  <c r="I47" i="28"/>
  <c r="I115" i="28"/>
  <c r="F115" i="28"/>
  <c r="I60" i="28"/>
  <c r="F60" i="28"/>
  <c r="I70" i="28"/>
  <c r="F70" i="28"/>
  <c r="I179" i="28"/>
  <c r="F179" i="28"/>
  <c r="I30" i="28"/>
  <c r="F30" i="28"/>
  <c r="I34" i="28"/>
  <c r="F34" i="28"/>
  <c r="F101" i="28"/>
  <c r="I101" i="28"/>
  <c r="I147" i="28"/>
  <c r="F147" i="28"/>
  <c r="F155" i="28"/>
  <c r="I155" i="28"/>
  <c r="I116" i="28"/>
  <c r="F116" i="28"/>
  <c r="I163" i="28"/>
  <c r="F163" i="28"/>
  <c r="F176" i="28"/>
  <c r="I176" i="28"/>
  <c r="I152" i="28"/>
  <c r="F152" i="28"/>
  <c r="I6" i="28"/>
  <c r="F6" i="28"/>
  <c r="I10" i="28"/>
  <c r="F10" i="28"/>
  <c r="I73" i="28"/>
  <c r="F73" i="28"/>
  <c r="I56" i="28"/>
  <c r="F56" i="28"/>
  <c r="F15" i="28"/>
  <c r="I15" i="28"/>
  <c r="I24" i="28"/>
  <c r="F24" i="28"/>
  <c r="F180" i="28"/>
  <c r="I180" i="28"/>
  <c r="F159" i="28"/>
  <c r="I159" i="28"/>
  <c r="I65" i="28"/>
  <c r="F65" i="28"/>
  <c r="F52" i="28"/>
  <c r="I52" i="28"/>
  <c r="F48" i="28"/>
  <c r="I48" i="28"/>
  <c r="I160" i="28"/>
  <c r="F160" i="28"/>
  <c r="F14" i="28"/>
  <c r="I14" i="28"/>
  <c r="I72" i="28"/>
  <c r="F72" i="28"/>
  <c r="I177" i="28"/>
  <c r="F177" i="28"/>
  <c r="I97" i="28"/>
  <c r="F97" i="28"/>
  <c r="I149" i="28"/>
  <c r="F149" i="28"/>
  <c r="I63" i="28"/>
  <c r="I13" i="28"/>
  <c r="F13" i="28"/>
  <c r="I129" i="28"/>
  <c r="F129" i="28"/>
  <c r="F183" i="28"/>
  <c r="I183" i="28"/>
  <c r="I85" i="28"/>
  <c r="F85" i="28"/>
  <c r="I141" i="28"/>
  <c r="F141" i="28"/>
  <c r="G144" i="10"/>
  <c r="G93" i="10"/>
  <c r="AB94" i="12" s="1"/>
  <c r="N94" i="18" s="1"/>
  <c r="G94" i="28" s="1"/>
  <c r="G97" i="10"/>
  <c r="AB98" i="12" s="1"/>
  <c r="N98" i="18" s="1"/>
  <c r="G98" i="28" s="1"/>
  <c r="G121" i="10"/>
  <c r="AB122" i="12" s="1"/>
  <c r="N122" i="18" s="1"/>
  <c r="G122" i="28" s="1"/>
  <c r="AS3" i="13"/>
  <c r="AH143" i="20"/>
  <c r="N16" i="8"/>
  <c r="AD16" i="8"/>
  <c r="K92" i="8"/>
  <c r="M91" i="8"/>
  <c r="K120" i="8"/>
  <c r="M119" i="8"/>
  <c r="M76" i="8"/>
  <c r="A16" i="8"/>
  <c r="E15" i="8"/>
  <c r="C15" i="8"/>
  <c r="D15" i="8" s="1"/>
  <c r="V415" i="9"/>
  <c r="T415" i="9" s="1"/>
  <c r="V416" i="9"/>
  <c r="T416" i="9" s="1"/>
  <c r="V367" i="9"/>
  <c r="T367" i="9" s="1"/>
  <c r="V147" i="9"/>
  <c r="T147" i="9" s="1"/>
  <c r="V393" i="9"/>
  <c r="T393" i="9" s="1"/>
  <c r="V298" i="9"/>
  <c r="T298" i="9" s="1"/>
  <c r="V392" i="9"/>
  <c r="T392" i="9" s="1"/>
  <c r="V297" i="9"/>
  <c r="T297" i="9" s="1"/>
  <c r="V418" i="9"/>
  <c r="T418" i="9" s="1"/>
  <c r="V413" i="9"/>
  <c r="T413" i="9" s="1"/>
  <c r="V370" i="9"/>
  <c r="T370" i="9" s="1"/>
  <c r="V402" i="9"/>
  <c r="T402" i="9" s="1"/>
  <c r="V371" i="9"/>
  <c r="T371" i="9" s="1"/>
  <c r="V403" i="9"/>
  <c r="T403" i="9" s="1"/>
  <c r="V366" i="9"/>
  <c r="T366" i="9" s="1"/>
  <c r="V391" i="9"/>
  <c r="T391" i="9" s="1"/>
  <c r="V369" i="9"/>
  <c r="T369" i="9" s="1"/>
  <c r="V417" i="9"/>
  <c r="T417" i="9" s="1"/>
  <c r="V414" i="9"/>
  <c r="T414" i="9" s="1"/>
  <c r="V149" i="9"/>
  <c r="T149" i="9" s="1"/>
  <c r="V398" i="9"/>
  <c r="T398" i="9" s="1"/>
  <c r="V296" i="9"/>
  <c r="T296" i="9" s="1"/>
  <c r="V412" i="9"/>
  <c r="T412" i="9" s="1"/>
  <c r="V146" i="9"/>
  <c r="T146" i="9" s="1"/>
  <c r="V396" i="9"/>
  <c r="T396" i="9" s="1"/>
  <c r="V372" i="9"/>
  <c r="T372" i="9" s="1"/>
  <c r="V406" i="9"/>
  <c r="T406" i="9" s="1"/>
  <c r="V405" i="9"/>
  <c r="T405" i="9" s="1"/>
  <c r="V150" i="9"/>
  <c r="T150" i="9" s="1"/>
  <c r="V148" i="9"/>
  <c r="T148" i="9" s="1"/>
  <c r="V390" i="9"/>
  <c r="T390" i="9" s="1"/>
  <c r="V395" i="9"/>
  <c r="T395" i="9" s="1"/>
  <c r="V400" i="9"/>
  <c r="T400" i="9" s="1"/>
  <c r="V389" i="9"/>
  <c r="T389" i="9" s="1"/>
  <c r="V368" i="9"/>
  <c r="T368" i="9" s="1"/>
  <c r="V295" i="9"/>
  <c r="T295" i="9" s="1"/>
  <c r="V394" i="9"/>
  <c r="T394" i="9" s="1"/>
  <c r="V404" i="9"/>
  <c r="T404" i="9" s="1"/>
  <c r="V399" i="9"/>
  <c r="T399" i="9" s="1"/>
  <c r="V407" i="9"/>
  <c r="T407" i="9" s="1"/>
  <c r="V397" i="9"/>
  <c r="T397" i="9" s="1"/>
  <c r="V401" i="9"/>
  <c r="T401" i="9" s="1"/>
  <c r="AB304" i="20"/>
  <c r="AB302" i="9"/>
  <c r="AC303" i="20"/>
  <c r="AC302" i="9" s="1"/>
  <c r="AB372" i="20"/>
  <c r="AB370" i="9"/>
  <c r="AC371" i="20"/>
  <c r="AC370" i="9" s="1"/>
  <c r="AB398" i="20"/>
  <c r="AB396" i="9"/>
  <c r="AC397" i="20"/>
  <c r="AC396" i="9" s="1"/>
  <c r="J100" i="10"/>
  <c r="G100" i="10" s="1"/>
  <c r="V419" i="20"/>
  <c r="T419" i="20" s="1"/>
  <c r="V418" i="20"/>
  <c r="T418" i="20" s="1"/>
  <c r="V417" i="20"/>
  <c r="T417" i="20" s="1"/>
  <c r="V414" i="20"/>
  <c r="T414" i="20" s="1"/>
  <c r="V416" i="20"/>
  <c r="T416" i="20" s="1"/>
  <c r="AH416" i="20" s="1"/>
  <c r="AH415" i="9" s="1"/>
  <c r="V415" i="20"/>
  <c r="T415" i="20" s="1"/>
  <c r="V413" i="20"/>
  <c r="T413" i="20" s="1"/>
  <c r="J59" i="10"/>
  <c r="J52" i="10"/>
  <c r="N18" i="10"/>
  <c r="N22" i="10"/>
  <c r="N11" i="10"/>
  <c r="AL6" i="10"/>
  <c r="AH12" i="10"/>
  <c r="J89" i="10"/>
  <c r="N13" i="10"/>
  <c r="N15" i="10"/>
  <c r="AD45" i="12"/>
  <c r="P45" i="18" s="1"/>
  <c r="AD154" i="12"/>
  <c r="P154" i="18" s="1"/>
  <c r="AD17" i="12"/>
  <c r="P17" i="18" s="1"/>
  <c r="AD13" i="12"/>
  <c r="P13" i="18" s="1"/>
  <c r="AD113" i="12"/>
  <c r="P113" i="18" s="1"/>
  <c r="AD69" i="12"/>
  <c r="P69" i="18" s="1"/>
  <c r="AD41" i="12"/>
  <c r="P41" i="18" s="1"/>
  <c r="AD38" i="12"/>
  <c r="P38" i="18" s="1"/>
  <c r="AD50" i="12"/>
  <c r="P50" i="18" s="1"/>
  <c r="AD169" i="12"/>
  <c r="P169" i="18" s="1"/>
  <c r="AD160" i="12"/>
  <c r="P160" i="18" s="1"/>
  <c r="AD49" i="12"/>
  <c r="P49" i="18" s="1"/>
  <c r="AD21" i="12"/>
  <c r="P21" i="18" s="1"/>
  <c r="AD94" i="12"/>
  <c r="P94" i="18" s="1"/>
  <c r="AD168" i="12"/>
  <c r="P168" i="18" s="1"/>
  <c r="AD180" i="12"/>
  <c r="P180" i="18" s="1"/>
  <c r="AD182" i="12"/>
  <c r="P182" i="18" s="1"/>
  <c r="AD165" i="12"/>
  <c r="P165" i="18" s="1"/>
  <c r="AD90" i="12"/>
  <c r="P90" i="18" s="1"/>
  <c r="AD149" i="12"/>
  <c r="P149" i="18" s="1"/>
  <c r="AD60" i="12"/>
  <c r="P60" i="18" s="1"/>
  <c r="AD92" i="12"/>
  <c r="P92" i="18" s="1"/>
  <c r="AD120" i="12"/>
  <c r="P120" i="18" s="1"/>
  <c r="AD20" i="12"/>
  <c r="P20" i="18" s="1"/>
  <c r="AD9" i="12"/>
  <c r="P9" i="18" s="1"/>
  <c r="AD4" i="12"/>
  <c r="P4" i="18" s="1"/>
  <c r="AD124" i="12"/>
  <c r="P124" i="18" s="1"/>
  <c r="AD33" i="12"/>
  <c r="P33" i="18" s="1"/>
  <c r="AD77" i="12"/>
  <c r="P77" i="18" s="1"/>
  <c r="AD75" i="12"/>
  <c r="P75" i="18" s="1"/>
  <c r="AD28" i="12"/>
  <c r="P28" i="18" s="1"/>
  <c r="AD141" i="12"/>
  <c r="P141" i="18" s="1"/>
  <c r="AD128" i="12"/>
  <c r="P128" i="18" s="1"/>
  <c r="AD153" i="12"/>
  <c r="P153" i="18" s="1"/>
  <c r="AD176" i="12"/>
  <c r="P176" i="18" s="1"/>
  <c r="AD166" i="12"/>
  <c r="P166" i="18" s="1"/>
  <c r="AD181" i="12"/>
  <c r="P181" i="18" s="1"/>
  <c r="AD177" i="12"/>
  <c r="P177" i="18" s="1"/>
  <c r="A125" i="9"/>
  <c r="A63" i="9"/>
  <c r="A92" i="9"/>
  <c r="A44" i="9"/>
  <c r="A43" i="9"/>
  <c r="A14" i="9"/>
  <c r="V394" i="20"/>
  <c r="T394" i="20" s="1"/>
  <c r="AH394" i="20" s="1"/>
  <c r="AH393" i="9" s="1"/>
  <c r="V150" i="20"/>
  <c r="T150" i="20" s="1"/>
  <c r="AH150" i="20" s="1"/>
  <c r="AH149" i="9" s="1"/>
  <c r="V402" i="20"/>
  <c r="T402" i="20" s="1"/>
  <c r="AH402" i="20" s="1"/>
  <c r="AH401" i="9" s="1"/>
  <c r="V398" i="20"/>
  <c r="T398" i="20" s="1"/>
  <c r="AH398" i="20" s="1"/>
  <c r="AH397" i="9" s="1"/>
  <c r="V407" i="20"/>
  <c r="T407" i="20" s="1"/>
  <c r="AH407" i="20" s="1"/>
  <c r="AH406" i="9" s="1"/>
  <c r="V367" i="20"/>
  <c r="T367" i="20" s="1"/>
  <c r="AH367" i="20" s="1"/>
  <c r="AH366" i="9" s="1"/>
  <c r="V298" i="20"/>
  <c r="T298" i="20" s="1"/>
  <c r="AH298" i="20" s="1"/>
  <c r="AH297" i="9" s="1"/>
  <c r="V403" i="20"/>
  <c r="T403" i="20" s="1"/>
  <c r="AH403" i="20" s="1"/>
  <c r="AH402" i="9" s="1"/>
  <c r="V297" i="20"/>
  <c r="T297" i="20" s="1"/>
  <c r="AH297" i="20" s="1"/>
  <c r="AH296" i="9" s="1"/>
  <c r="V395" i="20"/>
  <c r="T395" i="20" s="1"/>
  <c r="AH395" i="20" s="1"/>
  <c r="AH394" i="9" s="1"/>
  <c r="V390" i="20"/>
  <c r="T390" i="20" s="1"/>
  <c r="AH390" i="20" s="1"/>
  <c r="AH389" i="9" s="1"/>
  <c r="V401" i="20"/>
  <c r="T401" i="20" s="1"/>
  <c r="AH401" i="20" s="1"/>
  <c r="AH400" i="9" s="1"/>
  <c r="V404" i="20"/>
  <c r="T404" i="20" s="1"/>
  <c r="AH404" i="20" s="1"/>
  <c r="AH403" i="9" s="1"/>
  <c r="V371" i="20"/>
  <c r="T371" i="20" s="1"/>
  <c r="AH371" i="20" s="1"/>
  <c r="AH370" i="9" s="1"/>
  <c r="V393" i="20"/>
  <c r="T393" i="20" s="1"/>
  <c r="AH393" i="20" s="1"/>
  <c r="AH392" i="9" s="1"/>
  <c r="V296" i="20"/>
  <c r="T296" i="20" s="1"/>
  <c r="AH296" i="20" s="1"/>
  <c r="AH295" i="9" s="1"/>
  <c r="V370" i="20"/>
  <c r="T370" i="20" s="1"/>
  <c r="AH370" i="20" s="1"/>
  <c r="AH369" i="9" s="1"/>
  <c r="V397" i="20"/>
  <c r="T397" i="20" s="1"/>
  <c r="AH397" i="20" s="1"/>
  <c r="AH396" i="9" s="1"/>
  <c r="V368" i="20"/>
  <c r="T368" i="20" s="1"/>
  <c r="AH368" i="20" s="1"/>
  <c r="AH367" i="9" s="1"/>
  <c r="V12" i="20"/>
  <c r="T12" i="20" s="1"/>
  <c r="V148" i="20"/>
  <c r="T148" i="20" s="1"/>
  <c r="AH148" i="20" s="1"/>
  <c r="AH147" i="9" s="1"/>
  <c r="V147" i="20"/>
  <c r="T147" i="20" s="1"/>
  <c r="AH147" i="20" s="1"/>
  <c r="AH146" i="9" s="1"/>
  <c r="V15" i="20"/>
  <c r="T15" i="20" s="1"/>
  <c r="V11" i="20"/>
  <c r="T11" i="20" s="1"/>
  <c r="V408" i="20"/>
  <c r="T408" i="20" s="1"/>
  <c r="AH408" i="20" s="1"/>
  <c r="AH407" i="9" s="1"/>
  <c r="V151" i="20"/>
  <c r="T151" i="20" s="1"/>
  <c r="AH151" i="20" s="1"/>
  <c r="AH150" i="9" s="1"/>
  <c r="V406" i="20"/>
  <c r="T406" i="20" s="1"/>
  <c r="AH406" i="20" s="1"/>
  <c r="AH405" i="9" s="1"/>
  <c r="V373" i="20"/>
  <c r="T373" i="20" s="1"/>
  <c r="AH373" i="20" s="1"/>
  <c r="AH372" i="9" s="1"/>
  <c r="V396" i="20"/>
  <c r="T396" i="20" s="1"/>
  <c r="AH396" i="20" s="1"/>
  <c r="AH395" i="9" s="1"/>
  <c r="V372" i="20"/>
  <c r="T372" i="20" s="1"/>
  <c r="AH372" i="20" s="1"/>
  <c r="AH371" i="9" s="1"/>
  <c r="V14" i="20"/>
  <c r="T14" i="20" s="1"/>
  <c r="V399" i="20"/>
  <c r="T399" i="20" s="1"/>
  <c r="AH399" i="20" s="1"/>
  <c r="AH398" i="9" s="1"/>
  <c r="V149" i="20"/>
  <c r="T149" i="20" s="1"/>
  <c r="AH149" i="20" s="1"/>
  <c r="AH148" i="9" s="1"/>
  <c r="V405" i="20"/>
  <c r="T405" i="20" s="1"/>
  <c r="AH405" i="20" s="1"/>
  <c r="AH404" i="9" s="1"/>
  <c r="V400" i="20"/>
  <c r="T400" i="20" s="1"/>
  <c r="AH400" i="20" s="1"/>
  <c r="AH399" i="9" s="1"/>
  <c r="V369" i="20"/>
  <c r="T369" i="20" s="1"/>
  <c r="AH369" i="20" s="1"/>
  <c r="AH368" i="9" s="1"/>
  <c r="V392" i="20"/>
  <c r="T392" i="20" s="1"/>
  <c r="AH392" i="20" s="1"/>
  <c r="AH391" i="9" s="1"/>
  <c r="V13" i="20"/>
  <c r="T13" i="20" s="1"/>
  <c r="V299" i="20"/>
  <c r="T299" i="20" s="1"/>
  <c r="AH299" i="20" s="1"/>
  <c r="AH298" i="9" s="1"/>
  <c r="V391" i="20"/>
  <c r="T391" i="20" s="1"/>
  <c r="AH391" i="20" s="1"/>
  <c r="AH390" i="9" s="1"/>
  <c r="V16" i="20"/>
  <c r="T16" i="20" s="1"/>
  <c r="V19" i="20"/>
  <c r="T19" i="20" s="1"/>
  <c r="V20" i="20"/>
  <c r="T20" i="20" s="1"/>
  <c r="V17" i="20"/>
  <c r="T17" i="20" s="1"/>
  <c r="V18" i="20"/>
  <c r="T18" i="20" s="1"/>
  <c r="Q124" i="17"/>
  <c r="Q90" i="17"/>
  <c r="A11" i="17"/>
  <c r="Q11" i="17" s="1"/>
  <c r="Q60" i="17"/>
  <c r="Q40" i="17"/>
  <c r="AC50" i="12"/>
  <c r="O50" i="18" s="1"/>
  <c r="W57" i="20"/>
  <c r="A57" i="20"/>
  <c r="W197" i="20"/>
  <c r="A197" i="20"/>
  <c r="W286" i="20"/>
  <c r="A286" i="20"/>
  <c r="W259" i="20"/>
  <c r="A259" i="20"/>
  <c r="W177" i="20"/>
  <c r="A177" i="20"/>
  <c r="A155" i="20"/>
  <c r="W155" i="20"/>
  <c r="W391" i="20"/>
  <c r="AC391" i="20" s="1"/>
  <c r="AC390" i="9" s="1"/>
  <c r="A391" i="20"/>
  <c r="A240" i="20"/>
  <c r="W240" i="20"/>
  <c r="A214" i="20"/>
  <c r="W214" i="20"/>
  <c r="A405" i="20"/>
  <c r="W405" i="20"/>
  <c r="W221" i="20"/>
  <c r="A221" i="20"/>
  <c r="W294" i="20"/>
  <c r="AC294" i="20" s="1"/>
  <c r="AC293" i="9" s="1"/>
  <c r="A294" i="20"/>
  <c r="W385" i="20"/>
  <c r="A385" i="20"/>
  <c r="W40" i="20"/>
  <c r="A40" i="20"/>
  <c r="T187" i="12"/>
  <c r="F187" i="18" s="1"/>
  <c r="AT187" i="12"/>
  <c r="R80" i="12"/>
  <c r="AT80" i="12" s="1"/>
  <c r="AS80" i="12"/>
  <c r="BA80" i="12"/>
  <c r="R126" i="12"/>
  <c r="AT126" i="12" s="1"/>
  <c r="AS126" i="12"/>
  <c r="R122" i="12"/>
  <c r="AT122" i="12" s="1"/>
  <c r="AS122" i="12"/>
  <c r="BA122" i="12"/>
  <c r="R92" i="12"/>
  <c r="AT92" i="12" s="1"/>
  <c r="AS92" i="12"/>
  <c r="BA92" i="12"/>
  <c r="R151" i="12"/>
  <c r="AT151" i="12" s="1"/>
  <c r="AS151" i="12"/>
  <c r="BA151" i="12"/>
  <c r="R176" i="12"/>
  <c r="T176" i="12" s="1"/>
  <c r="F176" i="18" s="1"/>
  <c r="AS176" i="12"/>
  <c r="R168" i="12"/>
  <c r="BB168" i="12" s="1"/>
  <c r="AS168" i="12"/>
  <c r="R167" i="12"/>
  <c r="AT167" i="12" s="1"/>
  <c r="AS167" i="12"/>
  <c r="R142" i="12"/>
  <c r="AT142" i="12" s="1"/>
  <c r="AS142" i="12"/>
  <c r="R24" i="12"/>
  <c r="AT24" i="12" s="1"/>
  <c r="AS24" i="12"/>
  <c r="BA24" i="12"/>
  <c r="R23" i="12"/>
  <c r="AT23" i="12" s="1"/>
  <c r="AS23" i="12"/>
  <c r="BA23" i="12"/>
  <c r="R108" i="12"/>
  <c r="AT108" i="12" s="1"/>
  <c r="AS108" i="12"/>
  <c r="BA108" i="12"/>
  <c r="R146" i="12"/>
  <c r="AT146" i="12" s="1"/>
  <c r="AS146" i="12"/>
  <c r="R51" i="12"/>
  <c r="AT51" i="12" s="1"/>
  <c r="AS51" i="12"/>
  <c r="BA51" i="12"/>
  <c r="R25" i="12"/>
  <c r="AT25" i="12" s="1"/>
  <c r="AS25" i="12"/>
  <c r="BA25" i="12"/>
  <c r="R101" i="12"/>
  <c r="AT101" i="12" s="1"/>
  <c r="AS101" i="12"/>
  <c r="BA101" i="12"/>
  <c r="R132" i="12"/>
  <c r="AS132" i="12"/>
  <c r="BA132" i="12"/>
  <c r="R9" i="12"/>
  <c r="AT9" i="12" s="1"/>
  <c r="AS9" i="12"/>
  <c r="R75" i="12"/>
  <c r="AT75" i="12" s="1"/>
  <c r="AS75" i="12"/>
  <c r="BA75" i="12"/>
  <c r="R28" i="12"/>
  <c r="AT28" i="12" s="1"/>
  <c r="AS28" i="12"/>
  <c r="BA28" i="12"/>
  <c r="R174" i="12"/>
  <c r="AT174" i="12" s="1"/>
  <c r="AS174" i="12"/>
  <c r="R124" i="12"/>
  <c r="AT124" i="12" s="1"/>
  <c r="AS124" i="12"/>
  <c r="BA124" i="12"/>
  <c r="R164" i="12"/>
  <c r="AT164" i="12" s="1"/>
  <c r="AS164" i="12"/>
  <c r="R138" i="12"/>
  <c r="AT138" i="12" s="1"/>
  <c r="AS138" i="12"/>
  <c r="R8" i="12"/>
  <c r="AT8" i="12" s="1"/>
  <c r="AS8" i="12"/>
  <c r="R70" i="12"/>
  <c r="AT70" i="12" s="1"/>
  <c r="AS70" i="12"/>
  <c r="BA70" i="12"/>
  <c r="R65" i="12"/>
  <c r="AT65" i="12" s="1"/>
  <c r="AS65" i="12"/>
  <c r="BA65" i="12"/>
  <c r="R72" i="12"/>
  <c r="AT72" i="12" s="1"/>
  <c r="AS72" i="12"/>
  <c r="BA72" i="12"/>
  <c r="R103" i="12"/>
  <c r="AT103" i="12" s="1"/>
  <c r="AS103" i="12"/>
  <c r="BA103" i="12"/>
  <c r="R38" i="12"/>
  <c r="AT38" i="12" s="1"/>
  <c r="AS38" i="12"/>
  <c r="BA38" i="12"/>
  <c r="R153" i="12"/>
  <c r="AT153" i="12" s="1"/>
  <c r="AS153" i="12"/>
  <c r="BA153" i="12"/>
  <c r="R5" i="12"/>
  <c r="BB5" i="12" s="1"/>
  <c r="AS5" i="12"/>
  <c r="R181" i="12"/>
  <c r="BB181" i="12" s="1"/>
  <c r="AS181" i="12"/>
  <c r="R172" i="12"/>
  <c r="T172" i="12" s="1"/>
  <c r="F172" i="18" s="1"/>
  <c r="AS172" i="12"/>
  <c r="R170" i="12"/>
  <c r="AT170" i="12" s="1"/>
  <c r="AS170" i="12"/>
  <c r="R136" i="12"/>
  <c r="AT136" i="12" s="1"/>
  <c r="AS136" i="12"/>
  <c r="BA136" i="12"/>
  <c r="R98" i="12"/>
  <c r="AT98" i="12" s="1"/>
  <c r="AS98" i="12"/>
  <c r="BA98" i="12"/>
  <c r="R131" i="12"/>
  <c r="AT131" i="12" s="1"/>
  <c r="AS131" i="12"/>
  <c r="BA131" i="12"/>
  <c r="R90" i="12"/>
  <c r="AT90" i="12" s="1"/>
  <c r="AS90" i="12"/>
  <c r="BA90" i="12"/>
  <c r="R29" i="12"/>
  <c r="AT29" i="12" s="1"/>
  <c r="AS29" i="12"/>
  <c r="BA29" i="12"/>
  <c r="R59" i="12"/>
  <c r="AT59" i="12" s="1"/>
  <c r="AS59" i="12"/>
  <c r="BA59" i="12"/>
  <c r="R16" i="12"/>
  <c r="AT16" i="12" s="1"/>
  <c r="AS16" i="12"/>
  <c r="R15" i="12"/>
  <c r="AT15" i="12" s="1"/>
  <c r="AS15" i="12"/>
  <c r="R76" i="12"/>
  <c r="AT76" i="12" s="1"/>
  <c r="AS76" i="12"/>
  <c r="BA76" i="12"/>
  <c r="R118" i="12"/>
  <c r="AT118" i="12" s="1"/>
  <c r="AS118" i="12"/>
  <c r="R148" i="12"/>
  <c r="AT148" i="12" s="1"/>
  <c r="AS148" i="12"/>
  <c r="BA148" i="12"/>
  <c r="R97" i="12"/>
  <c r="AT97" i="12" s="1"/>
  <c r="AS97" i="12"/>
  <c r="R130" i="12"/>
  <c r="AT130" i="12" s="1"/>
  <c r="AS130" i="12"/>
  <c r="R79" i="12"/>
  <c r="AT79" i="12" s="1"/>
  <c r="AS79" i="12"/>
  <c r="BA79" i="12"/>
  <c r="R180" i="12"/>
  <c r="AT180" i="12" s="1"/>
  <c r="AS180" i="12"/>
  <c r="BA168" i="12"/>
  <c r="R171" i="12"/>
  <c r="AT171" i="12" s="1"/>
  <c r="AS171" i="12"/>
  <c r="R84" i="12"/>
  <c r="AT84" i="12" s="1"/>
  <c r="AS84" i="12"/>
  <c r="BA84" i="12"/>
  <c r="R163" i="12"/>
  <c r="AT163" i="12" s="1"/>
  <c r="AS163" i="12"/>
  <c r="R175" i="12"/>
  <c r="AT175" i="12" s="1"/>
  <c r="AS175" i="12"/>
  <c r="R22" i="12"/>
  <c r="AT22" i="12" s="1"/>
  <c r="AS22" i="12"/>
  <c r="BA22" i="12"/>
  <c r="R64" i="12"/>
  <c r="AT64" i="12" s="1"/>
  <c r="AS64" i="12"/>
  <c r="BA64" i="12"/>
  <c r="R100" i="12"/>
  <c r="AT100" i="12" s="1"/>
  <c r="AS100" i="12"/>
  <c r="BA100" i="12"/>
  <c r="R71" i="12"/>
  <c r="AT71" i="12" s="1"/>
  <c r="AS71" i="12"/>
  <c r="BA71" i="12"/>
  <c r="R177" i="12"/>
  <c r="AT177" i="12" s="1"/>
  <c r="AS177" i="12"/>
  <c r="R13" i="12"/>
  <c r="AT13" i="12" s="1"/>
  <c r="AS13" i="12"/>
  <c r="BA13" i="12"/>
  <c r="R26" i="12"/>
  <c r="AT26" i="12" s="1"/>
  <c r="AS26" i="12"/>
  <c r="BA26" i="12"/>
  <c r="R32" i="12"/>
  <c r="AT32" i="12" s="1"/>
  <c r="AS32" i="12"/>
  <c r="BA32" i="12"/>
  <c r="R102" i="12"/>
  <c r="AT102" i="12" s="1"/>
  <c r="AS102" i="12"/>
  <c r="R31" i="12"/>
  <c r="AT31" i="12" s="1"/>
  <c r="AS31" i="12"/>
  <c r="BA31" i="12"/>
  <c r="R66" i="12"/>
  <c r="AT66" i="12" s="1"/>
  <c r="AS66" i="12"/>
  <c r="BA66" i="12"/>
  <c r="R46" i="12"/>
  <c r="AT46" i="12" s="1"/>
  <c r="AS46" i="12"/>
  <c r="BA46" i="12"/>
  <c r="R165" i="12"/>
  <c r="AT165" i="12" s="1"/>
  <c r="AS165" i="12"/>
  <c r="R61" i="12"/>
  <c r="AT61" i="12" s="1"/>
  <c r="AS61" i="12"/>
  <c r="BA61" i="12"/>
  <c r="R155" i="12"/>
  <c r="AT155" i="12" s="1"/>
  <c r="AS155" i="12"/>
  <c r="BA155" i="12"/>
  <c r="R104" i="12"/>
  <c r="AT104" i="12" s="1"/>
  <c r="AS104" i="12"/>
  <c r="BA104" i="12"/>
  <c r="R85" i="12"/>
  <c r="AT85" i="12" s="1"/>
  <c r="AS85" i="12"/>
  <c r="BA85" i="12"/>
  <c r="R128" i="12"/>
  <c r="AT128" i="12" s="1"/>
  <c r="AS128" i="12"/>
  <c r="BA128" i="12"/>
  <c r="R55" i="12"/>
  <c r="AT55" i="12" s="1"/>
  <c r="AS55" i="12"/>
  <c r="BA55" i="12"/>
  <c r="R91" i="12"/>
  <c r="AT91" i="12" s="1"/>
  <c r="AS91" i="12"/>
  <c r="BA91" i="12"/>
  <c r="R89" i="12"/>
  <c r="AT89" i="12" s="1"/>
  <c r="AS89" i="12"/>
  <c r="BA89" i="12"/>
  <c r="R81" i="12"/>
  <c r="AT81" i="12" s="1"/>
  <c r="AS81" i="12"/>
  <c r="R120" i="12"/>
  <c r="AT120" i="12" s="1"/>
  <c r="AS120" i="12"/>
  <c r="BA120" i="12"/>
  <c r="R63" i="12"/>
  <c r="AT63" i="12" s="1"/>
  <c r="AS63" i="12"/>
  <c r="BA63" i="12"/>
  <c r="R141" i="12"/>
  <c r="AT141" i="12" s="1"/>
  <c r="AS141" i="12"/>
  <c r="R53" i="12"/>
  <c r="AT53" i="12" s="1"/>
  <c r="AS53" i="12"/>
  <c r="BA53" i="12"/>
  <c r="R45" i="12"/>
  <c r="AT45" i="12" s="1"/>
  <c r="AS45" i="12"/>
  <c r="BA45" i="12"/>
  <c r="R10" i="12"/>
  <c r="AT10" i="12" s="1"/>
  <c r="AS10" i="12"/>
  <c r="BA10" i="12"/>
  <c r="R121" i="12"/>
  <c r="AT121" i="12" s="1"/>
  <c r="AS121" i="12"/>
  <c r="BA121" i="12"/>
  <c r="R35" i="12"/>
  <c r="AT35" i="12" s="1"/>
  <c r="AS35" i="12"/>
  <c r="BA35" i="12"/>
  <c r="T188" i="12"/>
  <c r="F188" i="18" s="1"/>
  <c r="AT188" i="12"/>
  <c r="R133" i="12"/>
  <c r="AT133" i="12" s="1"/>
  <c r="AS133" i="12"/>
  <c r="R147" i="12"/>
  <c r="AT147" i="12" s="1"/>
  <c r="AS147" i="12"/>
  <c r="BA147" i="12"/>
  <c r="R119" i="12"/>
  <c r="AT119" i="12" s="1"/>
  <c r="AS119" i="12"/>
  <c r="BA119" i="12"/>
  <c r="R137" i="12"/>
  <c r="AT137" i="12" s="1"/>
  <c r="AS137" i="12"/>
  <c r="R178" i="12"/>
  <c r="AT178" i="12" s="1"/>
  <c r="AS178" i="12"/>
  <c r="R149" i="12"/>
  <c r="AT149" i="12" s="1"/>
  <c r="AS149" i="12"/>
  <c r="R21" i="12"/>
  <c r="AT21" i="12" s="1"/>
  <c r="AS21" i="12"/>
  <c r="R129" i="12"/>
  <c r="AT129" i="12" s="1"/>
  <c r="AS129" i="12"/>
  <c r="R17" i="12"/>
  <c r="AT17" i="12" s="1"/>
  <c r="AS17" i="12"/>
  <c r="R158" i="12"/>
  <c r="AT158" i="12" s="1"/>
  <c r="AS158" i="12"/>
  <c r="BA158" i="12"/>
  <c r="R125" i="12"/>
  <c r="AT125" i="12" s="1"/>
  <c r="AS125" i="12"/>
  <c r="R93" i="12"/>
  <c r="AT93" i="12" s="1"/>
  <c r="AS93" i="12"/>
  <c r="BA93" i="12"/>
  <c r="R106" i="12"/>
  <c r="AT106" i="12" s="1"/>
  <c r="AS106" i="12"/>
  <c r="R20" i="12"/>
  <c r="AT20" i="12" s="1"/>
  <c r="AS20" i="12"/>
  <c r="BA20" i="12"/>
  <c r="R110" i="12"/>
  <c r="AT110" i="12" s="1"/>
  <c r="AS110" i="12"/>
  <c r="R99" i="12"/>
  <c r="AT99" i="12" s="1"/>
  <c r="AS99" i="12"/>
  <c r="BA99" i="12"/>
  <c r="R182" i="12"/>
  <c r="AS182" i="12"/>
  <c r="T132" i="12"/>
  <c r="F132" i="18" s="1"/>
  <c r="R14" i="12"/>
  <c r="AT14" i="12" s="1"/>
  <c r="AS14" i="12"/>
  <c r="BA14" i="12"/>
  <c r="R184" i="12"/>
  <c r="AS184" i="12"/>
  <c r="R56" i="12"/>
  <c r="AT56" i="12" s="1"/>
  <c r="AS56" i="12"/>
  <c r="BA56" i="12"/>
  <c r="R113" i="12"/>
  <c r="AT113" i="12" s="1"/>
  <c r="AS113" i="12"/>
  <c r="BA113" i="12"/>
  <c r="R69" i="12"/>
  <c r="AT69" i="12" s="1"/>
  <c r="AS69" i="12"/>
  <c r="BA69" i="12"/>
  <c r="R96" i="12"/>
  <c r="AT96" i="12" s="1"/>
  <c r="AS96" i="12"/>
  <c r="BA96" i="12"/>
  <c r="R123" i="12"/>
  <c r="AT123" i="12" s="1"/>
  <c r="AS123" i="12"/>
  <c r="BA123" i="12"/>
  <c r="R27" i="12"/>
  <c r="AT27" i="12" s="1"/>
  <c r="AS27" i="12"/>
  <c r="BA27" i="12"/>
  <c r="R144" i="12"/>
  <c r="AT144" i="12" s="1"/>
  <c r="AS144" i="12"/>
  <c r="BA144" i="12"/>
  <c r="R116" i="12"/>
  <c r="AT116" i="12" s="1"/>
  <c r="AS116" i="12"/>
  <c r="BA116" i="12"/>
  <c r="R52" i="12"/>
  <c r="AT52" i="12" s="1"/>
  <c r="AS52" i="12"/>
  <c r="BA52" i="12"/>
  <c r="R161" i="12"/>
  <c r="AT161" i="12" s="1"/>
  <c r="AS161" i="12"/>
  <c r="BA161" i="12"/>
  <c r="R88" i="12"/>
  <c r="AT88" i="12" s="1"/>
  <c r="AS88" i="12"/>
  <c r="BA88" i="12"/>
  <c r="R36" i="12"/>
  <c r="AT36" i="12" s="1"/>
  <c r="AS36" i="12"/>
  <c r="R50" i="12"/>
  <c r="AT50" i="12" s="1"/>
  <c r="AS50" i="12"/>
  <c r="BA50" i="12"/>
  <c r="R78" i="12"/>
  <c r="AT78" i="12" s="1"/>
  <c r="AS78" i="12"/>
  <c r="R41" i="12"/>
  <c r="AT41" i="12" s="1"/>
  <c r="AS41" i="12"/>
  <c r="R77" i="12"/>
  <c r="AT77" i="12" s="1"/>
  <c r="AS77" i="12"/>
  <c r="BA77" i="12"/>
  <c r="R18" i="12"/>
  <c r="AT18" i="12" s="1"/>
  <c r="AS18" i="12"/>
  <c r="BA18" i="12"/>
  <c r="R134" i="12"/>
  <c r="AT134" i="12" s="1"/>
  <c r="AS134" i="12"/>
  <c r="R6" i="12"/>
  <c r="AT6" i="12" s="1"/>
  <c r="AS6" i="12"/>
  <c r="BA6" i="12"/>
  <c r="R179" i="12"/>
  <c r="AT179" i="12" s="1"/>
  <c r="AS179" i="12"/>
  <c r="R105" i="12"/>
  <c r="AT105" i="12" s="1"/>
  <c r="AS105" i="12"/>
  <c r="R166" i="12"/>
  <c r="AT166" i="12" s="1"/>
  <c r="AS166" i="12"/>
  <c r="R162" i="12"/>
  <c r="AT162" i="12" s="1"/>
  <c r="AS162" i="12"/>
  <c r="R11" i="12"/>
  <c r="AT11" i="12" s="1"/>
  <c r="AS11" i="12"/>
  <c r="BA11" i="12"/>
  <c r="R58" i="12"/>
  <c r="AT58" i="12" s="1"/>
  <c r="AS58" i="12"/>
  <c r="BA58" i="12"/>
  <c r="R73" i="12"/>
  <c r="AT73" i="12" s="1"/>
  <c r="AS73" i="12"/>
  <c r="R7" i="12"/>
  <c r="AT7" i="12" s="1"/>
  <c r="AS7" i="12"/>
  <c r="BA7" i="12"/>
  <c r="R30" i="12"/>
  <c r="AT30" i="12" s="1"/>
  <c r="AS30" i="12"/>
  <c r="BA30" i="12"/>
  <c r="R95" i="12"/>
  <c r="AT95" i="12" s="1"/>
  <c r="AS95" i="12"/>
  <c r="BA95" i="12"/>
  <c r="R86" i="12"/>
  <c r="AT86" i="12" s="1"/>
  <c r="AS86" i="12"/>
  <c r="R83" i="12"/>
  <c r="AT83" i="12" s="1"/>
  <c r="AS83" i="12"/>
  <c r="BA83" i="12"/>
  <c r="R154" i="12"/>
  <c r="AT154" i="12" s="1"/>
  <c r="AS154" i="12"/>
  <c r="BA154" i="12"/>
  <c r="R111" i="12"/>
  <c r="AT111" i="12" s="1"/>
  <c r="AS111" i="12"/>
  <c r="BA111" i="12"/>
  <c r="R34" i="12"/>
  <c r="AT34" i="12" s="1"/>
  <c r="AS34" i="12"/>
  <c r="BA34" i="12"/>
  <c r="R173" i="12"/>
  <c r="AT173" i="12" s="1"/>
  <c r="AS173" i="12"/>
  <c r="R48" i="12"/>
  <c r="AT48" i="12" s="1"/>
  <c r="AS48" i="12"/>
  <c r="BA48" i="12"/>
  <c r="R109" i="12"/>
  <c r="AT109" i="12" s="1"/>
  <c r="AS109" i="12"/>
  <c r="R169" i="12"/>
  <c r="AT169" i="12" s="1"/>
  <c r="AS169" i="12"/>
  <c r="R40" i="12"/>
  <c r="AT40" i="12" s="1"/>
  <c r="AS40" i="12"/>
  <c r="BA40" i="12"/>
  <c r="R107" i="12"/>
  <c r="AT107" i="12" s="1"/>
  <c r="AS107" i="12"/>
  <c r="BA107" i="12"/>
  <c r="R42" i="12"/>
  <c r="AT42" i="12" s="1"/>
  <c r="AS42" i="12"/>
  <c r="BA42" i="12"/>
  <c r="R140" i="12"/>
  <c r="AT140" i="12" s="1"/>
  <c r="AS140" i="12"/>
  <c r="R60" i="12"/>
  <c r="AT60" i="12" s="1"/>
  <c r="AS60" i="12"/>
  <c r="BA60" i="12"/>
  <c r="R19" i="12"/>
  <c r="AT19" i="12" s="1"/>
  <c r="AS19" i="12"/>
  <c r="BA19" i="12"/>
  <c r="R62" i="12"/>
  <c r="AT62" i="12" s="1"/>
  <c r="AS62" i="12"/>
  <c r="R115" i="12"/>
  <c r="AT115" i="12" s="1"/>
  <c r="AS115" i="12"/>
  <c r="BA115" i="12"/>
  <c r="R44" i="12"/>
  <c r="AT44" i="12" s="1"/>
  <c r="AS44" i="12"/>
  <c r="BA44" i="12"/>
  <c r="R82" i="12"/>
  <c r="AT82" i="12" s="1"/>
  <c r="AS82" i="12"/>
  <c r="BA82" i="12"/>
  <c r="R135" i="12"/>
  <c r="AT135" i="12" s="1"/>
  <c r="AS135" i="12"/>
  <c r="BA135" i="12"/>
  <c r="R68" i="12"/>
  <c r="AT68" i="12" s="1"/>
  <c r="AS68" i="12"/>
  <c r="BA68" i="12"/>
  <c r="R127" i="12"/>
  <c r="AS127" i="12"/>
  <c r="BA127" i="12"/>
  <c r="R157" i="12"/>
  <c r="AT157" i="12" s="1"/>
  <c r="AS157" i="12"/>
  <c r="BA157" i="12"/>
  <c r="R156" i="12"/>
  <c r="AT156" i="12" s="1"/>
  <c r="AS156" i="12"/>
  <c r="BA156" i="12"/>
  <c r="R94" i="12"/>
  <c r="AT94" i="12" s="1"/>
  <c r="AS94" i="12"/>
  <c r="BA94" i="12"/>
  <c r="R49" i="12"/>
  <c r="AT49" i="12" s="1"/>
  <c r="AS49" i="12"/>
  <c r="BA49" i="12"/>
  <c r="R4" i="12"/>
  <c r="AT4" i="12" s="1"/>
  <c r="AS4" i="12"/>
  <c r="R183" i="12"/>
  <c r="AT183" i="12" s="1"/>
  <c r="AS183" i="12"/>
  <c r="R117" i="12"/>
  <c r="AT117" i="12" s="1"/>
  <c r="AS117" i="12"/>
  <c r="R57" i="12"/>
  <c r="AT57" i="12" s="1"/>
  <c r="AS57" i="12"/>
  <c r="BA57" i="12"/>
  <c r="R54" i="12"/>
  <c r="AT54" i="12" s="1"/>
  <c r="AS54" i="12"/>
  <c r="BA54" i="12"/>
  <c r="R150" i="12"/>
  <c r="AT150" i="12" s="1"/>
  <c r="AS150" i="12"/>
  <c r="BA150" i="12"/>
  <c r="R74" i="12"/>
  <c r="AT74" i="12" s="1"/>
  <c r="AS74" i="12"/>
  <c r="R114" i="12"/>
  <c r="AT114" i="12" s="1"/>
  <c r="AS114" i="12"/>
  <c r="BA114" i="12"/>
  <c r="R39" i="12"/>
  <c r="AT39" i="12" s="1"/>
  <c r="AS39" i="12"/>
  <c r="BA39" i="12"/>
  <c r="R160" i="12"/>
  <c r="AT160" i="12" s="1"/>
  <c r="AS160" i="12"/>
  <c r="BA160" i="12"/>
  <c r="R37" i="12"/>
  <c r="AT37" i="12" s="1"/>
  <c r="AS37" i="12"/>
  <c r="BA37" i="12"/>
  <c r="R87" i="12"/>
  <c r="AT87" i="12" s="1"/>
  <c r="AS87" i="12"/>
  <c r="BA87" i="12"/>
  <c r="R152" i="12"/>
  <c r="AT152" i="12" s="1"/>
  <c r="AS152" i="12"/>
  <c r="AH9" i="10"/>
  <c r="J30" i="10"/>
  <c r="J35" i="10"/>
  <c r="B4" i="4"/>
  <c r="J31" i="10"/>
  <c r="J38" i="10"/>
  <c r="J33" i="10"/>
  <c r="J34" i="10"/>
  <c r="I137" i="10"/>
  <c r="I132" i="10"/>
  <c r="I140" i="10"/>
  <c r="I143" i="10"/>
  <c r="I127" i="10"/>
  <c r="AS30" i="13"/>
  <c r="AA35" i="13"/>
  <c r="AS35" i="13" s="1"/>
  <c r="AA36" i="13"/>
  <c r="AT36" i="13" s="1"/>
  <c r="AE184" i="12"/>
  <c r="AC184" i="12"/>
  <c r="O184" i="18" s="1"/>
  <c r="AC173" i="12"/>
  <c r="O173" i="18" s="1"/>
  <c r="AC125" i="12"/>
  <c r="O125" i="18" s="1"/>
  <c r="AC145" i="12"/>
  <c r="O145" i="18" s="1"/>
  <c r="AC154" i="12"/>
  <c r="O154" i="18" s="1"/>
  <c r="AE173" i="12"/>
  <c r="BB186" i="12"/>
  <c r="S186" i="12"/>
  <c r="BB191" i="12"/>
  <c r="S191" i="12"/>
  <c r="R12" i="12"/>
  <c r="BA12" i="12"/>
  <c r="BB189" i="12"/>
  <c r="S189" i="12"/>
  <c r="AU189" i="12" s="1"/>
  <c r="AA189" i="12" s="1"/>
  <c r="BA190" i="12"/>
  <c r="R190" i="12"/>
  <c r="AT190" i="12" s="1"/>
  <c r="BB188" i="12"/>
  <c r="S188" i="12"/>
  <c r="BB185" i="12"/>
  <c r="S185" i="12"/>
  <c r="T185" i="12"/>
  <c r="F185" i="18" s="1"/>
  <c r="BB192" i="12"/>
  <c r="S192" i="12"/>
  <c r="BB187" i="12"/>
  <c r="S187" i="12"/>
  <c r="T186" i="12"/>
  <c r="F186" i="18" s="1"/>
  <c r="AL26" i="10"/>
  <c r="N88" i="10"/>
  <c r="N101" i="10"/>
  <c r="N96" i="10"/>
  <c r="N86" i="10"/>
  <c r="N92" i="10"/>
  <c r="AK10" i="10"/>
  <c r="M40" i="10"/>
  <c r="M37" i="10"/>
  <c r="M32" i="10"/>
  <c r="M48" i="10"/>
  <c r="M46" i="10"/>
  <c r="M42" i="10"/>
  <c r="AG20" i="10"/>
  <c r="I80" i="10"/>
  <c r="I84" i="10"/>
  <c r="I74" i="10"/>
  <c r="AH20" i="10"/>
  <c r="J69" i="10"/>
  <c r="J80" i="10"/>
  <c r="J84" i="10"/>
  <c r="AG40" i="10"/>
  <c r="I135" i="10"/>
  <c r="I146" i="10"/>
  <c r="I155" i="10"/>
  <c r="I133" i="10"/>
  <c r="AI19" i="10"/>
  <c r="K73" i="10"/>
  <c r="G73" i="10" s="1"/>
  <c r="K67" i="10"/>
  <c r="AH8" i="10"/>
  <c r="J26" i="10"/>
  <c r="AI33" i="10"/>
  <c r="K112" i="10"/>
  <c r="K99" i="10"/>
  <c r="K106" i="10"/>
  <c r="AH56" i="10"/>
  <c r="AQ56" i="10" s="1"/>
  <c r="J181" i="10"/>
  <c r="AK38" i="10"/>
  <c r="M125" i="10"/>
  <c r="M143" i="10"/>
  <c r="M127" i="10"/>
  <c r="M132" i="10"/>
  <c r="M137" i="10"/>
  <c r="AI53" i="10"/>
  <c r="K166" i="10"/>
  <c r="K165" i="10"/>
  <c r="AJ26" i="10"/>
  <c r="L88" i="10"/>
  <c r="L102" i="10"/>
  <c r="L86" i="10"/>
  <c r="L92" i="10"/>
  <c r="L101" i="10"/>
  <c r="AG31" i="10"/>
  <c r="I105" i="10"/>
  <c r="AG12" i="10"/>
  <c r="I57" i="10"/>
  <c r="I61" i="10"/>
  <c r="I59" i="10"/>
  <c r="AG23" i="10"/>
  <c r="AQ23" i="10" s="1"/>
  <c r="AH38" i="10"/>
  <c r="J143" i="10"/>
  <c r="J140" i="10"/>
  <c r="J125" i="10"/>
  <c r="J132" i="10"/>
  <c r="J137" i="10"/>
  <c r="AJ33" i="10"/>
  <c r="L107" i="10"/>
  <c r="L106" i="10"/>
  <c r="L99" i="10"/>
  <c r="AJ48" i="10"/>
  <c r="L156" i="10"/>
  <c r="L157" i="10"/>
  <c r="AM10" i="10"/>
  <c r="O37" i="10"/>
  <c r="O32" i="10"/>
  <c r="O46" i="10"/>
  <c r="O44" i="10"/>
  <c r="O42" i="10"/>
  <c r="O40" i="10"/>
  <c r="AG39" i="10"/>
  <c r="AQ39" i="10" s="1"/>
  <c r="I122" i="10"/>
  <c r="I160" i="10"/>
  <c r="AG46" i="10"/>
  <c r="I159" i="10"/>
  <c r="AG58" i="10"/>
  <c r="I182" i="10"/>
  <c r="AI20" i="10"/>
  <c r="K74" i="10"/>
  <c r="K69" i="10"/>
  <c r="K84" i="10"/>
  <c r="AG16" i="10"/>
  <c r="I72" i="10"/>
  <c r="I77" i="10"/>
  <c r="AH51" i="10"/>
  <c r="J168" i="10"/>
  <c r="J161" i="10"/>
  <c r="P16" i="10"/>
  <c r="P14" i="10"/>
  <c r="P43" i="10"/>
  <c r="P41" i="10"/>
  <c r="P35" i="10"/>
  <c r="P29" i="10"/>
  <c r="AH31" i="10"/>
  <c r="J104" i="10"/>
  <c r="AK9" i="10"/>
  <c r="M28" i="10"/>
  <c r="M35" i="10"/>
  <c r="M30" i="10"/>
  <c r="M31" i="10"/>
  <c r="M29" i="10"/>
  <c r="M38" i="10"/>
  <c r="M34" i="10"/>
  <c r="AJ43" i="10"/>
  <c r="L149" i="10"/>
  <c r="L142" i="10"/>
  <c r="L147" i="10"/>
  <c r="AI11" i="10"/>
  <c r="K51" i="10"/>
  <c r="K36" i="10"/>
  <c r="K47" i="10"/>
  <c r="K43" i="10"/>
  <c r="K49" i="10"/>
  <c r="K50" i="10"/>
  <c r="K45" i="10"/>
  <c r="K39" i="10"/>
  <c r="AH6" i="10"/>
  <c r="J22" i="10"/>
  <c r="J18" i="10"/>
  <c r="J21" i="10"/>
  <c r="J15" i="10"/>
  <c r="J11" i="10"/>
  <c r="J17" i="10"/>
  <c r="AH52" i="10"/>
  <c r="J174" i="10"/>
  <c r="AI46" i="10"/>
  <c r="K159" i="10"/>
  <c r="K158" i="10"/>
  <c r="AK21" i="10"/>
  <c r="M83" i="10"/>
  <c r="M79" i="10"/>
  <c r="M71" i="10"/>
  <c r="M76" i="10"/>
  <c r="AG36" i="10"/>
  <c r="AQ36" i="10" s="1"/>
  <c r="I136" i="10"/>
  <c r="I131" i="10"/>
  <c r="AI49" i="10"/>
  <c r="K172" i="10"/>
  <c r="K170" i="10"/>
  <c r="AL4" i="10"/>
  <c r="N6" i="10"/>
  <c r="N4" i="10"/>
  <c r="N9" i="10"/>
  <c r="N7" i="10"/>
  <c r="N5" i="10"/>
  <c r="N3" i="10"/>
  <c r="AJ21" i="10"/>
  <c r="L76" i="10"/>
  <c r="L85" i="10"/>
  <c r="L71" i="10"/>
  <c r="L79" i="10"/>
  <c r="AI26" i="10"/>
  <c r="K88" i="10"/>
  <c r="K86" i="10"/>
  <c r="K102" i="10"/>
  <c r="K101" i="10"/>
  <c r="K96" i="10"/>
  <c r="AI14" i="10"/>
  <c r="K62" i="10"/>
  <c r="K63" i="10"/>
  <c r="K78" i="10"/>
  <c r="I76" i="10"/>
  <c r="AG21" i="10"/>
  <c r="I79" i="10"/>
  <c r="I85" i="10"/>
  <c r="I83" i="10"/>
  <c r="AK18" i="10"/>
  <c r="M54" i="10"/>
  <c r="M64" i="10"/>
  <c r="M53" i="10"/>
  <c r="M60" i="10"/>
  <c r="AH46" i="10"/>
  <c r="J160" i="10"/>
  <c r="J158" i="10"/>
  <c r="AG45" i="10"/>
  <c r="AQ45" i="10" s="1"/>
  <c r="AH55" i="10"/>
  <c r="J177" i="10"/>
  <c r="AI47" i="10"/>
  <c r="K152" i="10"/>
  <c r="K148" i="10"/>
  <c r="AJ4" i="10"/>
  <c r="L7" i="10"/>
  <c r="L4" i="10"/>
  <c r="L5" i="10"/>
  <c r="L9" i="10"/>
  <c r="L3" i="10"/>
  <c r="L8" i="10"/>
  <c r="AK25" i="10"/>
  <c r="M113" i="10"/>
  <c r="M109" i="10"/>
  <c r="M118" i="10"/>
  <c r="M117" i="10"/>
  <c r="AG37" i="10"/>
  <c r="I130" i="10"/>
  <c r="AK40" i="10"/>
  <c r="M135" i="10"/>
  <c r="M146" i="10"/>
  <c r="M133" i="10"/>
  <c r="M129" i="10"/>
  <c r="AJ18" i="10"/>
  <c r="L54" i="10"/>
  <c r="L60" i="10"/>
  <c r="L53" i="10"/>
  <c r="L75" i="10"/>
  <c r="AI54" i="10"/>
  <c r="K171" i="10"/>
  <c r="K169" i="10"/>
  <c r="AJ7" i="10"/>
  <c r="L14" i="10"/>
  <c r="L20" i="10"/>
  <c r="L25" i="10"/>
  <c r="L16" i="10"/>
  <c r="L23" i="10"/>
  <c r="L12" i="10"/>
  <c r="L24" i="10"/>
  <c r="AG41" i="10"/>
  <c r="I145" i="10"/>
  <c r="AH49" i="10"/>
  <c r="J170" i="10"/>
  <c r="G170" i="10" s="1"/>
  <c r="J175" i="10"/>
  <c r="AG18" i="10"/>
  <c r="I64" i="10"/>
  <c r="I75" i="10"/>
  <c r="I54" i="10"/>
  <c r="I60" i="10"/>
  <c r="AJ12" i="10"/>
  <c r="L59" i="10"/>
  <c r="L52" i="10"/>
  <c r="L57" i="10"/>
  <c r="AI25" i="10"/>
  <c r="K119" i="10"/>
  <c r="K113" i="10"/>
  <c r="K109" i="10"/>
  <c r="K118" i="10"/>
  <c r="AK26" i="10"/>
  <c r="M86" i="10"/>
  <c r="M88" i="10"/>
  <c r="M96" i="10"/>
  <c r="M102" i="10"/>
  <c r="M92" i="10"/>
  <c r="AG8" i="10"/>
  <c r="AQ8" i="10" s="1"/>
  <c r="I27" i="10"/>
  <c r="P20" i="10"/>
  <c r="P19" i="10"/>
  <c r="P47" i="10"/>
  <c r="P45" i="10"/>
  <c r="P30" i="10"/>
  <c r="P33" i="10"/>
  <c r="I168" i="10"/>
  <c r="G168" i="10" s="1"/>
  <c r="AG51" i="10"/>
  <c r="I163" i="10"/>
  <c r="J135" i="10"/>
  <c r="AH40" i="10"/>
  <c r="J129" i="10"/>
  <c r="J146" i="10"/>
  <c r="J155" i="10"/>
  <c r="AH19" i="10"/>
  <c r="J67" i="10"/>
  <c r="J82" i="10"/>
  <c r="AG4" i="10"/>
  <c r="I9" i="10"/>
  <c r="I8" i="10"/>
  <c r="I6" i="10"/>
  <c r="I7" i="10"/>
  <c r="I4" i="10"/>
  <c r="I5" i="10"/>
  <c r="AK7" i="10"/>
  <c r="M14" i="10"/>
  <c r="M16" i="10"/>
  <c r="M25" i="10"/>
  <c r="M12" i="10"/>
  <c r="M24" i="10"/>
  <c r="M23" i="10"/>
  <c r="M19" i="10"/>
  <c r="AG27" i="10"/>
  <c r="AQ27" i="10" s="1"/>
  <c r="AG32" i="10"/>
  <c r="AQ32" i="10" s="1"/>
  <c r="AH37" i="10"/>
  <c r="J124" i="10"/>
  <c r="AJ20" i="10"/>
  <c r="L80" i="10"/>
  <c r="L74" i="10"/>
  <c r="L69" i="10"/>
  <c r="AH47" i="10"/>
  <c r="J154" i="10"/>
  <c r="J148" i="10"/>
  <c r="AG25" i="10"/>
  <c r="I118" i="10"/>
  <c r="I117" i="10"/>
  <c r="I113" i="10"/>
  <c r="I119" i="10"/>
  <c r="AG9" i="10"/>
  <c r="I38" i="10"/>
  <c r="I30" i="10"/>
  <c r="I35" i="10"/>
  <c r="I33" i="10"/>
  <c r="I31" i="10"/>
  <c r="I29" i="10"/>
  <c r="I34" i="10"/>
  <c r="I115" i="10"/>
  <c r="AG35" i="10"/>
  <c r="I120" i="10"/>
  <c r="I111" i="10"/>
  <c r="AI34" i="10"/>
  <c r="K141" i="10"/>
  <c r="K116" i="10"/>
  <c r="K114" i="10"/>
  <c r="AH34" i="10"/>
  <c r="J128" i="10"/>
  <c r="J141" i="10"/>
  <c r="J114" i="10"/>
  <c r="AH15" i="10"/>
  <c r="AQ15" i="10" s="1"/>
  <c r="J55" i="10"/>
  <c r="AI17" i="10"/>
  <c r="K58" i="10"/>
  <c r="K56" i="10"/>
  <c r="AJ34" i="10"/>
  <c r="L116" i="10"/>
  <c r="L114" i="10"/>
  <c r="L128" i="10"/>
  <c r="AH17" i="10"/>
  <c r="J65" i="10"/>
  <c r="G65" i="10" s="1"/>
  <c r="J56" i="10"/>
  <c r="AH53" i="10"/>
  <c r="J173" i="10"/>
  <c r="J165" i="10"/>
  <c r="G165" i="10" s="1"/>
  <c r="AH21" i="10"/>
  <c r="J85" i="10"/>
  <c r="J71" i="10"/>
  <c r="J83" i="10"/>
  <c r="J79" i="10"/>
  <c r="AI51" i="10"/>
  <c r="K163" i="10"/>
  <c r="K161" i="10"/>
  <c r="AI7" i="10"/>
  <c r="K14" i="10"/>
  <c r="K12" i="10"/>
  <c r="K25" i="10"/>
  <c r="K20" i="10"/>
  <c r="K24" i="10"/>
  <c r="K23" i="10"/>
  <c r="K19" i="10"/>
  <c r="AI40" i="10"/>
  <c r="K129" i="10"/>
  <c r="K146" i="10"/>
  <c r="K155" i="10"/>
  <c r="K133" i="10"/>
  <c r="AH10" i="10"/>
  <c r="J40" i="10"/>
  <c r="J44" i="10"/>
  <c r="J42" i="10"/>
  <c r="J48" i="10"/>
  <c r="J32" i="10"/>
  <c r="J46" i="10"/>
  <c r="AI48" i="10"/>
  <c r="K164" i="10"/>
  <c r="K157" i="10"/>
  <c r="K156" i="10"/>
  <c r="AH44" i="10"/>
  <c r="J123" i="10"/>
  <c r="AL9" i="10"/>
  <c r="N31" i="10"/>
  <c r="N29" i="10"/>
  <c r="N38" i="10"/>
  <c r="N28" i="10"/>
  <c r="N33" i="10"/>
  <c r="N35" i="10"/>
  <c r="N30" i="10"/>
  <c r="AH42" i="10"/>
  <c r="AQ42" i="10" s="1"/>
  <c r="J151" i="10"/>
  <c r="G151" i="10" s="1"/>
  <c r="J139" i="10"/>
  <c r="I22" i="10"/>
  <c r="AG6" i="10"/>
  <c r="I15" i="10"/>
  <c r="I21" i="10"/>
  <c r="I13" i="10"/>
  <c r="I18" i="10"/>
  <c r="I17" i="10"/>
  <c r="AI16" i="10"/>
  <c r="AQ16" i="10" s="1"/>
  <c r="K72" i="10"/>
  <c r="K66" i="10"/>
  <c r="AG50" i="10"/>
  <c r="AQ50" i="10" s="1"/>
  <c r="AG55" i="10"/>
  <c r="I180" i="10"/>
  <c r="AJ40" i="10"/>
  <c r="L135" i="10"/>
  <c r="L133" i="10"/>
  <c r="L129" i="10"/>
  <c r="L155" i="10"/>
  <c r="AH41" i="10"/>
  <c r="J138" i="10"/>
  <c r="P24" i="10"/>
  <c r="P23" i="10"/>
  <c r="P51" i="10"/>
  <c r="P49" i="10"/>
  <c r="P31" i="10"/>
  <c r="AM4" i="10"/>
  <c r="O7" i="10"/>
  <c r="O5" i="10"/>
  <c r="O3" i="10"/>
  <c r="O8" i="10"/>
  <c r="O6" i="10"/>
  <c r="O4" i="10"/>
  <c r="AI4" i="10"/>
  <c r="K4" i="10"/>
  <c r="K3" i="10"/>
  <c r="K7" i="10"/>
  <c r="K8" i="10"/>
  <c r="K6" i="10"/>
  <c r="K9" i="10"/>
  <c r="AG53" i="10"/>
  <c r="I166" i="10"/>
  <c r="I173" i="10"/>
  <c r="G173" i="10" s="1"/>
  <c r="AH25" i="10"/>
  <c r="J118" i="10"/>
  <c r="J117" i="10"/>
  <c r="J109" i="10"/>
  <c r="J119" i="10"/>
  <c r="AH48" i="10"/>
  <c r="J162" i="10"/>
  <c r="J164" i="10"/>
  <c r="J156" i="10"/>
  <c r="G156" i="10" s="1"/>
  <c r="AK6" i="10"/>
  <c r="M22" i="10"/>
  <c r="M13" i="10"/>
  <c r="M15" i="10"/>
  <c r="M21" i="10"/>
  <c r="M11" i="10"/>
  <c r="M17" i="10"/>
  <c r="AH26" i="10"/>
  <c r="J92" i="10"/>
  <c r="J102" i="10"/>
  <c r="J101" i="10"/>
  <c r="J96" i="10"/>
  <c r="J86" i="10"/>
  <c r="AI43" i="10"/>
  <c r="K142" i="10"/>
  <c r="K153" i="10"/>
  <c r="K147" i="10"/>
  <c r="AG10" i="10"/>
  <c r="I46" i="10"/>
  <c r="I42" i="10"/>
  <c r="I48" i="10"/>
  <c r="I40" i="10"/>
  <c r="I44" i="10"/>
  <c r="I37" i="10"/>
  <c r="AH54" i="10"/>
  <c r="J169" i="10"/>
  <c r="G169" i="10" s="1"/>
  <c r="J176" i="10"/>
  <c r="AM6" i="10"/>
  <c r="O18" i="10"/>
  <c r="O15" i="10"/>
  <c r="O21" i="10"/>
  <c r="O11" i="10"/>
  <c r="O17" i="10"/>
  <c r="O13" i="10"/>
  <c r="AI18" i="10"/>
  <c r="K64" i="10"/>
  <c r="K75" i="10"/>
  <c r="K54" i="10"/>
  <c r="K53" i="10"/>
  <c r="AJ11" i="10"/>
  <c r="L51" i="10"/>
  <c r="L41" i="10"/>
  <c r="L50" i="10"/>
  <c r="L49" i="10"/>
  <c r="L39" i="10"/>
  <c r="L36" i="10"/>
  <c r="L47" i="10"/>
  <c r="L45" i="10"/>
  <c r="AG44" i="10"/>
  <c r="AQ44" i="10" s="1"/>
  <c r="I134" i="10"/>
  <c r="AG22" i="10"/>
  <c r="AQ22" i="10" s="1"/>
  <c r="AJ6" i="10"/>
  <c r="L21" i="10"/>
  <c r="L22" i="10"/>
  <c r="L13" i="10"/>
  <c r="L15" i="10"/>
  <c r="L11" i="10"/>
  <c r="L18" i="10"/>
  <c r="AG47" i="10"/>
  <c r="I154" i="10"/>
  <c r="I152" i="10"/>
  <c r="AH7" i="10"/>
  <c r="J16" i="10"/>
  <c r="J23" i="10"/>
  <c r="J12" i="10"/>
  <c r="J24" i="10"/>
  <c r="J25" i="10"/>
  <c r="J20" i="10"/>
  <c r="J19" i="10"/>
  <c r="AG48" i="10"/>
  <c r="I164" i="10"/>
  <c r="I162" i="10"/>
  <c r="I157" i="10"/>
  <c r="J115" i="10"/>
  <c r="AH35" i="10"/>
  <c r="J110" i="10"/>
  <c r="J120" i="10"/>
  <c r="AG26" i="10"/>
  <c r="I88" i="10"/>
  <c r="I101" i="10"/>
  <c r="I92" i="10"/>
  <c r="I96" i="10"/>
  <c r="I102" i="10"/>
  <c r="AH24" i="10"/>
  <c r="AQ24" i="10" s="1"/>
  <c r="J90" i="10"/>
  <c r="AH58" i="10"/>
  <c r="J179" i="10"/>
  <c r="AG14" i="10"/>
  <c r="I78" i="10"/>
  <c r="I70" i="10"/>
  <c r="I63" i="10"/>
  <c r="G63" i="10" s="1"/>
  <c r="AK4" i="10"/>
  <c r="M8" i="10"/>
  <c r="M6" i="10"/>
  <c r="M4" i="10"/>
  <c r="M9" i="10"/>
  <c r="M5" i="10"/>
  <c r="M3" i="10"/>
  <c r="AI10" i="10"/>
  <c r="K32" i="10"/>
  <c r="K46" i="10"/>
  <c r="K48" i="10"/>
  <c r="K42" i="10"/>
  <c r="K44" i="10"/>
  <c r="K37" i="10"/>
  <c r="I14" i="10"/>
  <c r="AG7" i="10"/>
  <c r="I20" i="10"/>
  <c r="I24" i="10"/>
  <c r="I16" i="10"/>
  <c r="I25" i="10"/>
  <c r="I23" i="10"/>
  <c r="I19" i="10"/>
  <c r="AI12" i="10"/>
  <c r="K61" i="10"/>
  <c r="K52" i="10"/>
  <c r="K57" i="10"/>
  <c r="AH11" i="10"/>
  <c r="J51" i="10"/>
  <c r="J49" i="10"/>
  <c r="J47" i="10"/>
  <c r="J50" i="10"/>
  <c r="J41" i="10"/>
  <c r="J45" i="10"/>
  <c r="J43" i="10"/>
  <c r="J36" i="10"/>
  <c r="AG43" i="10"/>
  <c r="I153" i="10"/>
  <c r="G153" i="10" s="1"/>
  <c r="I149" i="10"/>
  <c r="I147" i="10"/>
  <c r="AG49" i="10"/>
  <c r="I175" i="10"/>
  <c r="I172" i="10"/>
  <c r="G172" i="10" s="1"/>
  <c r="AK11" i="10"/>
  <c r="M47" i="10"/>
  <c r="M49" i="10"/>
  <c r="M43" i="10"/>
  <c r="M36" i="10"/>
  <c r="M39" i="10"/>
  <c r="M41" i="10"/>
  <c r="M51" i="10"/>
  <c r="M50" i="10"/>
  <c r="AG52" i="10"/>
  <c r="AQ52" i="10" s="1"/>
  <c r="I178" i="10"/>
  <c r="AG29" i="10"/>
  <c r="AQ29" i="10" s="1"/>
  <c r="AM73" i="12" s="1"/>
  <c r="AC73" i="12" s="1"/>
  <c r="O73" i="18" s="1"/>
  <c r="I95" i="10"/>
  <c r="P12" i="10"/>
  <c r="P39" i="10"/>
  <c r="P36" i="10"/>
  <c r="P34" i="10"/>
  <c r="P28" i="10"/>
  <c r="Q36" i="10"/>
  <c r="Q51" i="10"/>
  <c r="Q47" i="10"/>
  <c r="Q43" i="10"/>
  <c r="Q39" i="10"/>
  <c r="Q50" i="10"/>
  <c r="Q49" i="10"/>
  <c r="Q45" i="10"/>
  <c r="Q41" i="10"/>
  <c r="AE172" i="12"/>
  <c r="AQ5" i="10"/>
  <c r="AQ3" i="10"/>
  <c r="AC168" i="12"/>
  <c r="O168" i="18" s="1"/>
  <c r="AB109" i="12"/>
  <c r="N109" i="18" s="1"/>
  <c r="G109" i="28" s="1"/>
  <c r="H109" i="28" s="1"/>
  <c r="AB184" i="12"/>
  <c r="N184" i="18" s="1"/>
  <c r="G184" i="28" s="1"/>
  <c r="AB95" i="12"/>
  <c r="N95" i="18" s="1"/>
  <c r="G95" i="28" s="1"/>
  <c r="AB69" i="12"/>
  <c r="N69" i="18" s="1"/>
  <c r="G69" i="28" s="1"/>
  <c r="AB92" i="12"/>
  <c r="N92" i="18" s="1"/>
  <c r="G92" i="28" s="1"/>
  <c r="H92" i="28" s="1"/>
  <c r="AC112" i="12"/>
  <c r="O112" i="18" s="1"/>
  <c r="AC169" i="12"/>
  <c r="O169" i="18" s="1"/>
  <c r="BB70" i="12"/>
  <c r="BB159" i="12"/>
  <c r="S159" i="12"/>
  <c r="AU159" i="12" s="1"/>
  <c r="AA159" i="12" s="1"/>
  <c r="AE85" i="12"/>
  <c r="AE81" i="12"/>
  <c r="T165" i="12"/>
  <c r="F165" i="18" s="1"/>
  <c r="T125" i="12"/>
  <c r="F125" i="18" s="1"/>
  <c r="T133" i="12"/>
  <c r="F133" i="18" s="1"/>
  <c r="T140" i="12"/>
  <c r="F140" i="18" s="1"/>
  <c r="T137" i="12"/>
  <c r="F137" i="18" s="1"/>
  <c r="T138" i="12"/>
  <c r="F138" i="18" s="1"/>
  <c r="T149" i="12"/>
  <c r="F149" i="18" s="1"/>
  <c r="BB33" i="12"/>
  <c r="S33" i="12"/>
  <c r="AU33" i="12" s="1"/>
  <c r="AA33" i="12" s="1"/>
  <c r="BB112" i="12"/>
  <c r="S112" i="12"/>
  <c r="AU112" i="12" s="1"/>
  <c r="AA112" i="12" s="1"/>
  <c r="BB43" i="12"/>
  <c r="S43" i="12"/>
  <c r="AU43" i="12" s="1"/>
  <c r="AA43" i="12" s="1"/>
  <c r="BB139" i="12"/>
  <c r="S139" i="12"/>
  <c r="AU139" i="12" s="1"/>
  <c r="AA139" i="12" s="1"/>
  <c r="BB143" i="12"/>
  <c r="S143" i="12"/>
  <c r="AU143" i="12" s="1"/>
  <c r="AA143" i="12" s="1"/>
  <c r="T134" i="12"/>
  <c r="F134" i="18" s="1"/>
  <c r="T152" i="12"/>
  <c r="F152" i="18" s="1"/>
  <c r="T141" i="12"/>
  <c r="F141" i="18" s="1"/>
  <c r="T163" i="12"/>
  <c r="F163" i="18" s="1"/>
  <c r="BB47" i="12"/>
  <c r="S47" i="12"/>
  <c r="AU47" i="12" s="1"/>
  <c r="AA47" i="12" s="1"/>
  <c r="T145" i="12"/>
  <c r="F145" i="18" s="1"/>
  <c r="T130" i="12"/>
  <c r="F130" i="18" s="1"/>
  <c r="T126" i="12"/>
  <c r="F126" i="18" s="1"/>
  <c r="T146" i="12"/>
  <c r="F146" i="18" s="1"/>
  <c r="AC165" i="12"/>
  <c r="O165" i="18" s="1"/>
  <c r="AE65" i="12"/>
  <c r="AC13" i="12"/>
  <c r="O13" i="18" s="1"/>
  <c r="AE61" i="12"/>
  <c r="AC105" i="12"/>
  <c r="O105" i="18" s="1"/>
  <c r="AE93" i="12"/>
  <c r="AC69" i="12"/>
  <c r="O69" i="18" s="1"/>
  <c r="AC20" i="12"/>
  <c r="O20" i="18" s="1"/>
  <c r="AE178" i="12"/>
  <c r="O178" i="18"/>
  <c r="AM130" i="12"/>
  <c r="AM114" i="12"/>
  <c r="AC77" i="12"/>
  <c r="O77" i="18" s="1"/>
  <c r="AE72" i="12"/>
  <c r="AG155" i="2"/>
  <c r="AG111" i="2"/>
  <c r="AG55" i="2"/>
  <c r="AG179" i="2"/>
  <c r="AG135" i="2"/>
  <c r="AG87" i="2"/>
  <c r="AG31" i="2"/>
  <c r="AC9" i="12"/>
  <c r="O9" i="18" s="1"/>
  <c r="AC4" i="12"/>
  <c r="O4" i="18" s="1"/>
  <c r="AC41" i="12"/>
  <c r="O41" i="18" s="1"/>
  <c r="AG127" i="2"/>
  <c r="AG79" i="2"/>
  <c r="AG19" i="2"/>
  <c r="AG151" i="2"/>
  <c r="AG107" i="2"/>
  <c r="AM51" i="12"/>
  <c r="AG51" i="2"/>
  <c r="AG175" i="2"/>
  <c r="AG131" i="2"/>
  <c r="AG83" i="2"/>
  <c r="AG23" i="2"/>
  <c r="AG171" i="2"/>
  <c r="AG115" i="2"/>
  <c r="AE174" i="12"/>
  <c r="O174" i="18"/>
  <c r="AM42" i="12"/>
  <c r="AC42" i="12" s="1"/>
  <c r="O42" i="18" s="1"/>
  <c r="AC162" i="12"/>
  <c r="O162" i="18" s="1"/>
  <c r="AE162" i="12"/>
  <c r="AM150" i="12"/>
  <c r="AC150" i="12" s="1"/>
  <c r="O150" i="18" s="1"/>
  <c r="AE170" i="12"/>
  <c r="AC170" i="12"/>
  <c r="O170" i="18" s="1"/>
  <c r="AM99" i="12"/>
  <c r="AG99" i="2"/>
  <c r="AM39" i="12"/>
  <c r="AG39" i="2"/>
  <c r="AM167" i="12"/>
  <c r="AG167" i="2"/>
  <c r="AG123" i="2"/>
  <c r="AG71" i="2"/>
  <c r="AG15" i="2"/>
  <c r="AM147" i="12"/>
  <c r="AC147" i="12" s="1"/>
  <c r="O147" i="18" s="1"/>
  <c r="AG147" i="2"/>
  <c r="AM103" i="12"/>
  <c r="AG103" i="2"/>
  <c r="AC75" i="12"/>
  <c r="O75" i="18" s="1"/>
  <c r="AC28" i="12"/>
  <c r="O28" i="18" s="1"/>
  <c r="AG183" i="2"/>
  <c r="AG139" i="2"/>
  <c r="AG95" i="2"/>
  <c r="AG35" i="2"/>
  <c r="AG163" i="2"/>
  <c r="AG119" i="2"/>
  <c r="AG67" i="2"/>
  <c r="AM7" i="12"/>
  <c r="AC7" i="12" s="1"/>
  <c r="O7" i="18" s="1"/>
  <c r="AG7" i="2"/>
  <c r="AG143" i="2"/>
  <c r="AG159" i="2"/>
  <c r="AG47" i="2"/>
  <c r="AG63" i="2"/>
  <c r="AM118" i="12"/>
  <c r="AC160" i="12"/>
  <c r="O160" i="18" s="1"/>
  <c r="AC149" i="12"/>
  <c r="O149" i="18" s="1"/>
  <c r="AC60" i="12"/>
  <c r="O60" i="18" s="1"/>
  <c r="AE136" i="12"/>
  <c r="AE97" i="12"/>
  <c r="AE126" i="12"/>
  <c r="AC126" i="12"/>
  <c r="O126" i="18" s="1"/>
  <c r="AE161" i="12"/>
  <c r="AC122" i="12"/>
  <c r="O122" i="18" s="1"/>
  <c r="AE122" i="12"/>
  <c r="AC17" i="12"/>
  <c r="O17" i="18" s="1"/>
  <c r="AE129" i="12"/>
  <c r="AC21" i="12"/>
  <c r="O21" i="18" s="1"/>
  <c r="AE59" i="12"/>
  <c r="AC158" i="12"/>
  <c r="O158" i="18" s="1"/>
  <c r="AE158" i="12"/>
  <c r="AE142" i="12"/>
  <c r="AE134" i="12"/>
  <c r="AC134" i="12"/>
  <c r="O134" i="18" s="1"/>
  <c r="AE84" i="12"/>
  <c r="AE146" i="12"/>
  <c r="AC146" i="12"/>
  <c r="O146" i="18" s="1"/>
  <c r="AC66" i="12"/>
  <c r="O66" i="18" s="1"/>
  <c r="AE66" i="12"/>
  <c r="AC124" i="12"/>
  <c r="O124" i="18" s="1"/>
  <c r="AC141" i="12"/>
  <c r="O141" i="18" s="1"/>
  <c r="AE44" i="12"/>
  <c r="AM127" i="12"/>
  <c r="AE127" i="12" s="1"/>
  <c r="AM175" i="12"/>
  <c r="AM131" i="12"/>
  <c r="AC131" i="12" s="1"/>
  <c r="O131" i="18" s="1"/>
  <c r="AM83" i="12"/>
  <c r="AC83" i="12" s="1"/>
  <c r="O83" i="18" s="1"/>
  <c r="AM171" i="12"/>
  <c r="AC171" i="12" s="1"/>
  <c r="O171" i="18" s="1"/>
  <c r="AC153" i="12"/>
  <c r="O153" i="18" s="1"/>
  <c r="AC45" i="12"/>
  <c r="O45" i="18" s="1"/>
  <c r="AC49" i="12"/>
  <c r="O49" i="18" s="1"/>
  <c r="AE89" i="12"/>
  <c r="AC120" i="12"/>
  <c r="O120" i="18" s="1"/>
  <c r="AE40" i="12"/>
  <c r="AC113" i="12"/>
  <c r="O113" i="18" s="1"/>
  <c r="AC18" i="12"/>
  <c r="O18" i="18" s="1"/>
  <c r="AE18" i="12"/>
  <c r="AC86" i="12"/>
  <c r="O86" i="18" s="1"/>
  <c r="AE86" i="12"/>
  <c r="AE76" i="12"/>
  <c r="AE157" i="12"/>
  <c r="AE156" i="12"/>
  <c r="AC128" i="12"/>
  <c r="O128" i="18" s="1"/>
  <c r="AC33" i="12"/>
  <c r="O33" i="18" s="1"/>
  <c r="AM63" i="12"/>
  <c r="AE63" i="12" s="1"/>
  <c r="AC14" i="12"/>
  <c r="O14" i="18" s="1"/>
  <c r="AE14" i="12"/>
  <c r="AC26" i="12"/>
  <c r="O26" i="18" s="1"/>
  <c r="AE26" i="12"/>
  <c r="AM155" i="12"/>
  <c r="AE155" i="12" s="1"/>
  <c r="AM111" i="12"/>
  <c r="AM179" i="12"/>
  <c r="AM135" i="12"/>
  <c r="AE135" i="12" s="1"/>
  <c r="AM87" i="12"/>
  <c r="AE62" i="12"/>
  <c r="AC62" i="12"/>
  <c r="O62" i="18" s="1"/>
  <c r="AM183" i="12"/>
  <c r="AM139" i="12"/>
  <c r="AE139" i="12" s="1"/>
  <c r="AM95" i="12"/>
  <c r="AC95" i="12" s="1"/>
  <c r="O95" i="18" s="1"/>
  <c r="AM163" i="12"/>
  <c r="AC163" i="12" s="1"/>
  <c r="O163" i="18" s="1"/>
  <c r="AM67" i="12"/>
  <c r="AC67" i="12" s="1"/>
  <c r="O67" i="18" s="1"/>
  <c r="AM143" i="12"/>
  <c r="AE143" i="12" s="1"/>
  <c r="AM159" i="12"/>
  <c r="AE159" i="12" s="1"/>
  <c r="AB127" i="12"/>
  <c r="N127" i="18" s="1"/>
  <c r="G127" i="28" s="1"/>
  <c r="AT26" i="13"/>
  <c r="AE73" i="12"/>
  <c r="AS12" i="13"/>
  <c r="AT19" i="13"/>
  <c r="AS19" i="13"/>
  <c r="AS26" i="13"/>
  <c r="AT12" i="13"/>
  <c r="AQ28" i="10"/>
  <c r="AB145" i="12"/>
  <c r="N145" i="18" s="1"/>
  <c r="G145" i="28" s="1"/>
  <c r="W9" i="9"/>
  <c r="W122" i="9"/>
  <c r="W88" i="9"/>
  <c r="W58" i="9"/>
  <c r="W38" i="9"/>
  <c r="AH43" i="13"/>
  <c r="AH42" i="13"/>
  <c r="AH54" i="13"/>
  <c r="AH50" i="13"/>
  <c r="Q1" i="13"/>
  <c r="AH45" i="13"/>
  <c r="AT29" i="13"/>
  <c r="AH46" i="13"/>
  <c r="AH40" i="13"/>
  <c r="AH44" i="13"/>
  <c r="AH51" i="13"/>
  <c r="AH55" i="13"/>
  <c r="AH48" i="13"/>
  <c r="AH56" i="13"/>
  <c r="AH47" i="13"/>
  <c r="AH52" i="13"/>
  <c r="AH41" i="13"/>
  <c r="AH49" i="13"/>
  <c r="AH53" i="13"/>
  <c r="AH57" i="13"/>
  <c r="V9" i="9"/>
  <c r="T9" i="9" s="1"/>
  <c r="D12" i="8"/>
  <c r="D14" i="8"/>
  <c r="W28" i="6"/>
  <c r="U28" i="6" s="1"/>
  <c r="W31" i="6"/>
  <c r="U31" i="6" s="1"/>
  <c r="W49" i="6"/>
  <c r="U49" i="6" s="1"/>
  <c r="W48" i="6"/>
  <c r="U48" i="6" s="1"/>
  <c r="W46" i="6"/>
  <c r="U46" i="6" s="1"/>
  <c r="W47" i="6"/>
  <c r="U47" i="6" s="1"/>
  <c r="W45" i="6"/>
  <c r="U45" i="6" s="1"/>
  <c r="W50" i="6"/>
  <c r="U50" i="6" s="1"/>
  <c r="W51" i="6"/>
  <c r="U51" i="6" s="1"/>
  <c r="W32" i="6"/>
  <c r="U32" i="6" s="1"/>
  <c r="W52" i="6"/>
  <c r="U52" i="6" s="1"/>
  <c r="W53" i="6"/>
  <c r="U53" i="6" s="1"/>
  <c r="W33" i="6"/>
  <c r="U33" i="6" s="1"/>
  <c r="W54" i="6"/>
  <c r="U54" i="6" s="1"/>
  <c r="W34" i="6"/>
  <c r="U34" i="6" s="1"/>
  <c r="W55" i="6"/>
  <c r="U55" i="6" s="1"/>
  <c r="W35" i="6"/>
  <c r="U35" i="6" s="1"/>
  <c r="W30" i="6"/>
  <c r="U30" i="6" s="1"/>
  <c r="W36" i="6"/>
  <c r="U36" i="6" s="1"/>
  <c r="W73" i="6"/>
  <c r="U73" i="6" s="1"/>
  <c r="W72" i="6"/>
  <c r="U72" i="6" s="1"/>
  <c r="W74" i="6"/>
  <c r="U74" i="6" s="1"/>
  <c r="W75" i="6"/>
  <c r="U75" i="6" s="1"/>
  <c r="W76" i="6"/>
  <c r="U76" i="6" s="1"/>
  <c r="W77" i="6"/>
  <c r="U77" i="6" s="1"/>
  <c r="W78" i="6"/>
  <c r="U78" i="6" s="1"/>
  <c r="W29" i="6"/>
  <c r="U29" i="6" s="1"/>
  <c r="W56" i="6"/>
  <c r="U56" i="6" s="1"/>
  <c r="D10" i="5"/>
  <c r="D177" i="5"/>
  <c r="D119" i="5"/>
  <c r="D37" i="5"/>
  <c r="D164" i="5"/>
  <c r="D81" i="5"/>
  <c r="D48" i="5"/>
  <c r="D137" i="5"/>
  <c r="D58" i="5"/>
  <c r="D191" i="5"/>
  <c r="D146" i="5"/>
  <c r="D91" i="5"/>
  <c r="D123" i="6"/>
  <c r="D90" i="6"/>
  <c r="D38" i="6"/>
  <c r="W37" i="6"/>
  <c r="U37" i="6" s="1"/>
  <c r="D159" i="6"/>
  <c r="D8" i="6"/>
  <c r="W7" i="6"/>
  <c r="U7" i="6" s="1"/>
  <c r="D58" i="6"/>
  <c r="W57" i="6"/>
  <c r="U57" i="6" s="1"/>
  <c r="V32" i="20"/>
  <c r="T32" i="20" s="1"/>
  <c r="V29" i="20"/>
  <c r="T29" i="20" s="1"/>
  <c r="A6" i="4"/>
  <c r="B5" i="4"/>
  <c r="DE1" i="28" l="1"/>
  <c r="G149" i="10"/>
  <c r="G78" i="10"/>
  <c r="G102" i="10"/>
  <c r="G88" i="10"/>
  <c r="G164" i="10"/>
  <c r="H145" i="28"/>
  <c r="H94" i="28"/>
  <c r="G14" i="10"/>
  <c r="G166" i="10"/>
  <c r="H127" i="28"/>
  <c r="H95" i="28"/>
  <c r="H69" i="28"/>
  <c r="G40" i="10"/>
  <c r="G19" i="10"/>
  <c r="G92" i="10"/>
  <c r="G157" i="10"/>
  <c r="G152" i="10"/>
  <c r="G86" i="10"/>
  <c r="G67" i="10"/>
  <c r="H122" i="28"/>
  <c r="H98" i="28"/>
  <c r="G175" i="10"/>
  <c r="G23" i="10"/>
  <c r="G101" i="10"/>
  <c r="G162" i="10"/>
  <c r="G154" i="10"/>
  <c r="G141" i="10"/>
  <c r="G113" i="10"/>
  <c r="G148" i="10"/>
  <c r="H184" i="28"/>
  <c r="G16" i="10"/>
  <c r="G20" i="10"/>
  <c r="G60" i="10"/>
  <c r="G25" i="10"/>
  <c r="G53" i="10"/>
  <c r="G142" i="10"/>
  <c r="G109" i="10"/>
  <c r="G71" i="10"/>
  <c r="G147" i="10"/>
  <c r="G96" i="10"/>
  <c r="G51" i="10"/>
  <c r="G45" i="10"/>
  <c r="G49" i="10"/>
  <c r="G3" i="10"/>
  <c r="G116" i="10"/>
  <c r="G28" i="10"/>
  <c r="G99" i="10"/>
  <c r="G41" i="10"/>
  <c r="G128" i="10"/>
  <c r="G39" i="10"/>
  <c r="G50" i="10"/>
  <c r="G43" i="10"/>
  <c r="G47" i="10"/>
  <c r="G24" i="10"/>
  <c r="G158" i="10"/>
  <c r="G106" i="10"/>
  <c r="G179" i="10"/>
  <c r="AB180" i="12" s="1"/>
  <c r="N180" i="18" s="1"/>
  <c r="G180" i="28" s="1"/>
  <c r="H180" i="28" s="1"/>
  <c r="G44" i="10"/>
  <c r="AB45" i="12" s="1"/>
  <c r="N45" i="18" s="1"/>
  <c r="G45" i="28" s="1"/>
  <c r="H45" i="28" s="1"/>
  <c r="G46" i="10"/>
  <c r="G18" i="10"/>
  <c r="G32" i="10"/>
  <c r="G55" i="10"/>
  <c r="AB56" i="12" s="1"/>
  <c r="N56" i="18" s="1"/>
  <c r="G56" i="28" s="1"/>
  <c r="H56" i="28" s="1"/>
  <c r="G31" i="10"/>
  <c r="G38" i="10"/>
  <c r="AB39" i="12" s="1"/>
  <c r="N39" i="18" s="1"/>
  <c r="G39" i="28" s="1"/>
  <c r="H39" i="28" s="1"/>
  <c r="G117" i="10"/>
  <c r="G7" i="10"/>
  <c r="G54" i="10"/>
  <c r="G79" i="10"/>
  <c r="AB80" i="12" s="1"/>
  <c r="N80" i="18" s="1"/>
  <c r="G80" i="28" s="1"/>
  <c r="H80" i="28" s="1"/>
  <c r="G131" i="10"/>
  <c r="AB132" i="12" s="1"/>
  <c r="N132" i="18" s="1"/>
  <c r="G132" i="28" s="1"/>
  <c r="H132" i="28" s="1"/>
  <c r="G77" i="10"/>
  <c r="AB78" i="12" s="1"/>
  <c r="N78" i="18" s="1"/>
  <c r="G78" i="28" s="1"/>
  <c r="H78" i="28" s="1"/>
  <c r="G122" i="10"/>
  <c r="AB123" i="12" s="1"/>
  <c r="N123" i="18" s="1"/>
  <c r="G123" i="28" s="1"/>
  <c r="H123" i="28" s="1"/>
  <c r="G61" i="10"/>
  <c r="G181" i="10"/>
  <c r="AB182" i="12" s="1"/>
  <c r="N182" i="18" s="1"/>
  <c r="G182" i="28" s="1"/>
  <c r="H182" i="28" s="1"/>
  <c r="G155" i="10"/>
  <c r="G74" i="10"/>
  <c r="AB75" i="12" s="1"/>
  <c r="N75" i="18" s="1"/>
  <c r="G75" i="28" s="1"/>
  <c r="H75" i="28" s="1"/>
  <c r="G143" i="10"/>
  <c r="G176" i="10"/>
  <c r="AB177" i="12" s="1"/>
  <c r="N177" i="18" s="1"/>
  <c r="G177" i="28" s="1"/>
  <c r="H177" i="28" s="1"/>
  <c r="G66" i="10"/>
  <c r="AB67" i="12" s="1"/>
  <c r="N67" i="18" s="1"/>
  <c r="G67" i="28" s="1"/>
  <c r="H67" i="28" s="1"/>
  <c r="G95" i="10"/>
  <c r="AB96" i="12" s="1"/>
  <c r="N96" i="18" s="1"/>
  <c r="G96" i="28" s="1"/>
  <c r="H96" i="28" s="1"/>
  <c r="G36" i="10"/>
  <c r="G70" i="10"/>
  <c r="AB71" i="12" s="1"/>
  <c r="N71" i="18" s="1"/>
  <c r="G71" i="28" s="1"/>
  <c r="H71" i="28" s="1"/>
  <c r="G134" i="10"/>
  <c r="AB135" i="12" s="1"/>
  <c r="N135" i="18" s="1"/>
  <c r="G135" i="28" s="1"/>
  <c r="H135" i="28" s="1"/>
  <c r="G180" i="10"/>
  <c r="AB181" i="12" s="1"/>
  <c r="N181" i="18" s="1"/>
  <c r="G181" i="28" s="1"/>
  <c r="H181" i="28" s="1"/>
  <c r="G13" i="10"/>
  <c r="G22" i="10"/>
  <c r="G123" i="10"/>
  <c r="AB124" i="12" s="1"/>
  <c r="N124" i="18" s="1"/>
  <c r="G124" i="28" s="1"/>
  <c r="H124" i="28" s="1"/>
  <c r="G115" i="10"/>
  <c r="AB116" i="12" s="1"/>
  <c r="N116" i="18" s="1"/>
  <c r="G116" i="28" s="1"/>
  <c r="H116" i="28" s="1"/>
  <c r="G33" i="10"/>
  <c r="G118" i="10"/>
  <c r="G6" i="10"/>
  <c r="G163" i="10"/>
  <c r="AB164" i="12" s="1"/>
  <c r="N164" i="18" s="1"/>
  <c r="G164" i="28" s="1"/>
  <c r="H164" i="28" s="1"/>
  <c r="G75" i="10"/>
  <c r="G136" i="10"/>
  <c r="AB137" i="12" s="1"/>
  <c r="N137" i="18" s="1"/>
  <c r="G137" i="28" s="1"/>
  <c r="H137" i="28" s="1"/>
  <c r="G104" i="10"/>
  <c r="AB105" i="12" s="1"/>
  <c r="N105" i="18" s="1"/>
  <c r="G105" i="28" s="1"/>
  <c r="H105" i="28" s="1"/>
  <c r="G161" i="10"/>
  <c r="AB162" i="12" s="1"/>
  <c r="N162" i="18" s="1"/>
  <c r="G162" i="28" s="1"/>
  <c r="H162" i="28" s="1"/>
  <c r="G72" i="10"/>
  <c r="AB73" i="12" s="1"/>
  <c r="N73" i="18" s="1"/>
  <c r="G73" i="28" s="1"/>
  <c r="H73" i="28" s="1"/>
  <c r="G159" i="10"/>
  <c r="G57" i="10"/>
  <c r="AB74" i="12"/>
  <c r="N74" i="18" s="1"/>
  <c r="G74" i="28" s="1"/>
  <c r="H74" i="28" s="1"/>
  <c r="G146" i="10"/>
  <c r="G84" i="10"/>
  <c r="G140" i="10"/>
  <c r="G52" i="10"/>
  <c r="AB53" i="12" s="1"/>
  <c r="N53" i="18" s="1"/>
  <c r="G53" i="28" s="1"/>
  <c r="H53" i="28" s="1"/>
  <c r="G90" i="10"/>
  <c r="AB91" i="12" s="1"/>
  <c r="N91" i="18" s="1"/>
  <c r="G91" i="28" s="1"/>
  <c r="H91" i="28" s="1"/>
  <c r="G12" i="10"/>
  <c r="G48" i="10"/>
  <c r="G138" i="10"/>
  <c r="AB139" i="12" s="1"/>
  <c r="N139" i="18" s="1"/>
  <c r="G139" i="28" s="1"/>
  <c r="H139" i="28" s="1"/>
  <c r="G21" i="10"/>
  <c r="G139" i="10"/>
  <c r="AB140" i="12" s="1"/>
  <c r="N140" i="18" s="1"/>
  <c r="G140" i="28" s="1"/>
  <c r="H140" i="28" s="1"/>
  <c r="G56" i="10"/>
  <c r="G114" i="10"/>
  <c r="G111" i="10"/>
  <c r="AB112" i="12" s="1"/>
  <c r="N112" i="18" s="1"/>
  <c r="G112" i="28" s="1"/>
  <c r="H112" i="28" s="1"/>
  <c r="G34" i="10"/>
  <c r="G35" i="10"/>
  <c r="G119" i="10"/>
  <c r="G124" i="10"/>
  <c r="AB125" i="12" s="1"/>
  <c r="N125" i="18" s="1"/>
  <c r="G125" i="28" s="1"/>
  <c r="H125" i="28" s="1"/>
  <c r="G5" i="10"/>
  <c r="G8" i="10"/>
  <c r="G129" i="10"/>
  <c r="G27" i="10"/>
  <c r="AB28" i="12" s="1"/>
  <c r="N28" i="18" s="1"/>
  <c r="G28" i="28" s="1"/>
  <c r="H28" i="28" s="1"/>
  <c r="G64" i="10"/>
  <c r="G130" i="10"/>
  <c r="AB131" i="12" s="1"/>
  <c r="N131" i="18" s="1"/>
  <c r="G131" i="28" s="1"/>
  <c r="H131" i="28" s="1"/>
  <c r="G83" i="10"/>
  <c r="G76" i="10"/>
  <c r="G11" i="10"/>
  <c r="G125" i="10"/>
  <c r="AB126" i="12" s="1"/>
  <c r="N126" i="18" s="1"/>
  <c r="G126" i="28" s="1"/>
  <c r="H126" i="28" s="1"/>
  <c r="G26" i="10"/>
  <c r="AB27" i="12" s="1"/>
  <c r="N27" i="18" s="1"/>
  <c r="G27" i="28" s="1"/>
  <c r="H27" i="28" s="1"/>
  <c r="G135" i="10"/>
  <c r="AB136" i="12" s="1"/>
  <c r="N136" i="18" s="1"/>
  <c r="G136" i="28" s="1"/>
  <c r="H136" i="28" s="1"/>
  <c r="G69" i="10"/>
  <c r="G80" i="10"/>
  <c r="G132" i="10"/>
  <c r="AB101" i="12"/>
  <c r="N101" i="18" s="1"/>
  <c r="G101" i="28" s="1"/>
  <c r="H101" i="28" s="1"/>
  <c r="G107" i="10"/>
  <c r="AB108" i="12" s="1"/>
  <c r="N108" i="18" s="1"/>
  <c r="G108" i="28" s="1"/>
  <c r="H108" i="28" s="1"/>
  <c r="G171" i="10"/>
  <c r="AB172" i="12" s="1"/>
  <c r="N172" i="18" s="1"/>
  <c r="G172" i="28" s="1"/>
  <c r="H172" i="28" s="1"/>
  <c r="G58" i="10"/>
  <c r="AB59" i="12" s="1"/>
  <c r="N59" i="18" s="1"/>
  <c r="G59" i="28" s="1"/>
  <c r="H59" i="28" s="1"/>
  <c r="G62" i="10"/>
  <c r="AB63" i="12" s="1"/>
  <c r="N63" i="18" s="1"/>
  <c r="G63" i="28" s="1"/>
  <c r="H63" i="28" s="1"/>
  <c r="G178" i="10"/>
  <c r="AB179" i="12" s="1"/>
  <c r="N179" i="18" s="1"/>
  <c r="G179" i="28" s="1"/>
  <c r="H179" i="28" s="1"/>
  <c r="G110" i="10"/>
  <c r="AB111" i="12" s="1"/>
  <c r="N111" i="18" s="1"/>
  <c r="G111" i="28" s="1"/>
  <c r="H111" i="28" s="1"/>
  <c r="G37" i="10"/>
  <c r="G42" i="10"/>
  <c r="G17" i="10"/>
  <c r="G15" i="10"/>
  <c r="AB152" i="12"/>
  <c r="N152" i="18" s="1"/>
  <c r="G152" i="28" s="1"/>
  <c r="H152" i="28" s="1"/>
  <c r="AB66" i="12"/>
  <c r="N66" i="18" s="1"/>
  <c r="G66" i="28" s="1"/>
  <c r="H66" i="28" s="1"/>
  <c r="G120" i="10"/>
  <c r="G29" i="10"/>
  <c r="AB30" i="12" s="1"/>
  <c r="N30" i="18" s="1"/>
  <c r="G30" i="28" s="1"/>
  <c r="H30" i="28" s="1"/>
  <c r="G30" i="10"/>
  <c r="G4" i="10"/>
  <c r="G9" i="10"/>
  <c r="G145" i="10"/>
  <c r="AB146" i="12" s="1"/>
  <c r="N146" i="18" s="1"/>
  <c r="G146" i="28" s="1"/>
  <c r="H146" i="28" s="1"/>
  <c r="G177" i="10"/>
  <c r="AB178" i="12" s="1"/>
  <c r="N178" i="18" s="1"/>
  <c r="G178" i="28" s="1"/>
  <c r="H178" i="28" s="1"/>
  <c r="G85" i="10"/>
  <c r="G174" i="10"/>
  <c r="AB175" i="12" s="1"/>
  <c r="N175" i="18" s="1"/>
  <c r="G175" i="28" s="1"/>
  <c r="H175" i="28" s="1"/>
  <c r="G182" i="10"/>
  <c r="AB183" i="12" s="1"/>
  <c r="N183" i="18" s="1"/>
  <c r="G183" i="28" s="1"/>
  <c r="H183" i="28" s="1"/>
  <c r="G160" i="10"/>
  <c r="AB161" i="12" s="1"/>
  <c r="N161" i="18" s="1"/>
  <c r="G161" i="28" s="1"/>
  <c r="H161" i="28" s="1"/>
  <c r="G59" i="10"/>
  <c r="G105" i="10"/>
  <c r="AB106" i="12" s="1"/>
  <c r="N106" i="18" s="1"/>
  <c r="G106" i="28" s="1"/>
  <c r="H106" i="28" s="1"/>
  <c r="G133" i="10"/>
  <c r="G127" i="10"/>
  <c r="AB128" i="12" s="1"/>
  <c r="N128" i="18" s="1"/>
  <c r="G128" i="28" s="1"/>
  <c r="H128" i="28" s="1"/>
  <c r="G137" i="10"/>
  <c r="AB138" i="12" s="1"/>
  <c r="N138" i="18" s="1"/>
  <c r="G138" i="28" s="1"/>
  <c r="H138" i="28" s="1"/>
  <c r="G89" i="10"/>
  <c r="AB90" i="12" s="1"/>
  <c r="N90" i="18" s="1"/>
  <c r="G90" i="28" s="1"/>
  <c r="H90" i="28" s="1"/>
  <c r="G112" i="10"/>
  <c r="AB113" i="12" s="1"/>
  <c r="N113" i="18" s="1"/>
  <c r="G113" i="28" s="1"/>
  <c r="H113" i="28" s="1"/>
  <c r="G82" i="10"/>
  <c r="AB83" i="12" s="1"/>
  <c r="N83" i="18" s="1"/>
  <c r="G83" i="28" s="1"/>
  <c r="H83" i="28" s="1"/>
  <c r="AF143" i="20"/>
  <c r="AF142" i="9" s="1"/>
  <c r="AH142" i="9"/>
  <c r="AH18" i="20"/>
  <c r="AF18" i="20" s="1"/>
  <c r="AH16" i="20"/>
  <c r="AF16" i="20" s="1"/>
  <c r="AH17" i="20"/>
  <c r="AH11" i="20"/>
  <c r="AF11" i="20" s="1"/>
  <c r="AH12" i="20"/>
  <c r="AF12" i="20" s="1"/>
  <c r="AH32" i="20"/>
  <c r="AF32" i="20" s="1"/>
  <c r="AH20" i="20"/>
  <c r="AH14" i="20"/>
  <c r="AF14" i="20" s="1"/>
  <c r="AH15" i="20"/>
  <c r="AH29" i="20"/>
  <c r="AF29" i="20" s="1"/>
  <c r="AH19" i="20"/>
  <c r="AH13" i="20"/>
  <c r="AB154" i="12"/>
  <c r="N154" i="18" s="1"/>
  <c r="G154" i="28" s="1"/>
  <c r="H154" i="28" s="1"/>
  <c r="K121" i="8"/>
  <c r="M120" i="8"/>
  <c r="K93" i="8"/>
  <c r="M92" i="8"/>
  <c r="A17" i="8"/>
  <c r="E16" i="8"/>
  <c r="C16" i="8"/>
  <c r="D16" i="8" s="1"/>
  <c r="S59" i="12"/>
  <c r="AU59" i="12" s="1"/>
  <c r="AA59" i="12" s="1"/>
  <c r="M59" i="18" s="1"/>
  <c r="T174" i="12"/>
  <c r="F174" i="18" s="1"/>
  <c r="S175" i="12"/>
  <c r="BC175" i="12" s="1"/>
  <c r="S9" i="12"/>
  <c r="AU9" i="12" s="1"/>
  <c r="BB103" i="12"/>
  <c r="S35" i="12"/>
  <c r="AU35" i="12" s="1"/>
  <c r="AA35" i="12" s="1"/>
  <c r="M35" i="18" s="1"/>
  <c r="S148" i="12"/>
  <c r="AU148" i="12" s="1"/>
  <c r="AA148" i="12" s="1"/>
  <c r="M148" i="18" s="1"/>
  <c r="S104" i="12"/>
  <c r="AU104" i="12" s="1"/>
  <c r="AA104" i="12" s="1"/>
  <c r="M104" i="18" s="1"/>
  <c r="V34" i="9"/>
  <c r="T34" i="9" s="1"/>
  <c r="V157" i="9"/>
  <c r="T157" i="9" s="1"/>
  <c r="V308" i="9"/>
  <c r="T308" i="9" s="1"/>
  <c r="V158" i="9"/>
  <c r="T158" i="9" s="1"/>
  <c r="V307" i="9"/>
  <c r="T307" i="9" s="1"/>
  <c r="V153" i="9"/>
  <c r="T153" i="9" s="1"/>
  <c r="V376" i="9"/>
  <c r="T376" i="9" s="1"/>
  <c r="V299" i="9"/>
  <c r="T299" i="9" s="1"/>
  <c r="V151" i="9"/>
  <c r="T151" i="9" s="1"/>
  <c r="V410" i="9"/>
  <c r="T410" i="9" s="1"/>
  <c r="V373" i="9"/>
  <c r="T373" i="9" s="1"/>
  <c r="V300" i="9"/>
  <c r="T300" i="9" s="1"/>
  <c r="V375" i="9"/>
  <c r="T375" i="9" s="1"/>
  <c r="V378" i="9"/>
  <c r="T378" i="9" s="1"/>
  <c r="V374" i="9"/>
  <c r="T374" i="9" s="1"/>
  <c r="V152" i="9"/>
  <c r="T152" i="9" s="1"/>
  <c r="V379" i="9"/>
  <c r="T379" i="9" s="1"/>
  <c r="V408" i="9"/>
  <c r="T408" i="9" s="1"/>
  <c r="V377" i="9"/>
  <c r="T377" i="9" s="1"/>
  <c r="V411" i="9"/>
  <c r="T411" i="9" s="1"/>
  <c r="V154" i="9"/>
  <c r="T154" i="9" s="1"/>
  <c r="V409" i="9"/>
  <c r="T409" i="9" s="1"/>
  <c r="V29" i="9"/>
  <c r="T29" i="9" s="1"/>
  <c r="V385" i="9"/>
  <c r="T385" i="9" s="1"/>
  <c r="V306" i="9"/>
  <c r="T306" i="9" s="1"/>
  <c r="V380" i="9"/>
  <c r="T380" i="9" s="1"/>
  <c r="V304" i="9"/>
  <c r="T304" i="9" s="1"/>
  <c r="V302" i="9"/>
  <c r="T302" i="9" s="1"/>
  <c r="V303" i="9"/>
  <c r="T303" i="9" s="1"/>
  <c r="V381" i="9"/>
  <c r="T381" i="9" s="1"/>
  <c r="V305" i="9"/>
  <c r="T305" i="9" s="1"/>
  <c r="V156" i="9"/>
  <c r="T156" i="9" s="1"/>
  <c r="V301" i="9"/>
  <c r="T301" i="9" s="1"/>
  <c r="V155" i="9"/>
  <c r="T155" i="9" s="1"/>
  <c r="V383" i="9"/>
  <c r="T383" i="9" s="1"/>
  <c r="V384" i="9"/>
  <c r="T384" i="9" s="1"/>
  <c r="V382" i="9"/>
  <c r="T382" i="9" s="1"/>
  <c r="V263" i="20"/>
  <c r="T263" i="20" s="1"/>
  <c r="V254" i="9"/>
  <c r="T254" i="9" s="1"/>
  <c r="V260" i="9"/>
  <c r="T260" i="9" s="1"/>
  <c r="V252" i="9"/>
  <c r="T252" i="9" s="1"/>
  <c r="V259" i="9"/>
  <c r="T259" i="9" s="1"/>
  <c r="V253" i="9"/>
  <c r="T253" i="9" s="1"/>
  <c r="V262" i="9"/>
  <c r="T262" i="9" s="1"/>
  <c r="V258" i="9"/>
  <c r="T258" i="9" s="1"/>
  <c r="V264" i="9"/>
  <c r="T264" i="9" s="1"/>
  <c r="V263" i="9"/>
  <c r="T263" i="9" s="1"/>
  <c r="V256" i="9"/>
  <c r="T256" i="9" s="1"/>
  <c r="V261" i="9"/>
  <c r="T261" i="9" s="1"/>
  <c r="V257" i="9"/>
  <c r="T257" i="9" s="1"/>
  <c r="V255" i="9"/>
  <c r="T255" i="9" s="1"/>
  <c r="BB72" i="12"/>
  <c r="BB77" i="12"/>
  <c r="BB39" i="12"/>
  <c r="BB172" i="12"/>
  <c r="BB158" i="12"/>
  <c r="S64" i="12"/>
  <c r="AU64" i="12" s="1"/>
  <c r="AA64" i="12" s="1"/>
  <c r="M64" i="18" s="1"/>
  <c r="AH413" i="20"/>
  <c r="AH412" i="9" s="1"/>
  <c r="AH417" i="20"/>
  <c r="AH416" i="9" s="1"/>
  <c r="AH415" i="20"/>
  <c r="AH414" i="9" s="1"/>
  <c r="AH418" i="20"/>
  <c r="AH417" i="9" s="1"/>
  <c r="AH419" i="20"/>
  <c r="AH418" i="9" s="1"/>
  <c r="AH414" i="20"/>
  <c r="AH413" i="9" s="1"/>
  <c r="AB399" i="20"/>
  <c r="AB397" i="9"/>
  <c r="AC398" i="20"/>
  <c r="AC397" i="9" s="1"/>
  <c r="AB373" i="20"/>
  <c r="AB371" i="9"/>
  <c r="AC372" i="20"/>
  <c r="AC371" i="9" s="1"/>
  <c r="AB305" i="20"/>
  <c r="AB303" i="9"/>
  <c r="BB136" i="12"/>
  <c r="BB28" i="12"/>
  <c r="S80" i="12"/>
  <c r="AU80" i="12" s="1"/>
  <c r="AA80" i="12" s="1"/>
  <c r="M80" i="18" s="1"/>
  <c r="BB56" i="12"/>
  <c r="T168" i="12"/>
  <c r="F168" i="18" s="1"/>
  <c r="S52" i="12"/>
  <c r="AU52" i="12" s="1"/>
  <c r="AA52" i="12" s="1"/>
  <c r="M52" i="18" s="1"/>
  <c r="T177" i="12"/>
  <c r="F177" i="18" s="1"/>
  <c r="BB153" i="12"/>
  <c r="S114" i="12"/>
  <c r="AU114" i="12" s="1"/>
  <c r="AA114" i="12" s="1"/>
  <c r="M114" i="18" s="1"/>
  <c r="S38" i="12"/>
  <c r="AU38" i="12" s="1"/>
  <c r="AA38" i="12" s="1"/>
  <c r="M38" i="18" s="1"/>
  <c r="BB108" i="12"/>
  <c r="S90" i="12"/>
  <c r="AU90" i="12" s="1"/>
  <c r="AA90" i="12" s="1"/>
  <c r="M90" i="18" s="1"/>
  <c r="BB25" i="12"/>
  <c r="S178" i="12"/>
  <c r="BC178" i="12" s="1"/>
  <c r="S151" i="12"/>
  <c r="AU151" i="12" s="1"/>
  <c r="AA151" i="12" s="1"/>
  <c r="M151" i="18" s="1"/>
  <c r="BB75" i="12"/>
  <c r="BB31" i="12"/>
  <c r="S14" i="12"/>
  <c r="AU14" i="12" s="1"/>
  <c r="AA14" i="12" s="1"/>
  <c r="M14" i="18" s="1"/>
  <c r="BB37" i="12"/>
  <c r="T179" i="12"/>
  <c r="F179" i="18" s="1"/>
  <c r="S135" i="12"/>
  <c r="AU135" i="12" s="1"/>
  <c r="AA135" i="12" s="1"/>
  <c r="M135" i="18" s="1"/>
  <c r="BB40" i="12"/>
  <c r="BB34" i="12"/>
  <c r="BB80" i="12"/>
  <c r="S45" i="12"/>
  <c r="AU45" i="12" s="1"/>
  <c r="AA45" i="12" s="1"/>
  <c r="M45" i="18" s="1"/>
  <c r="BB63" i="12"/>
  <c r="BB94" i="12"/>
  <c r="S83" i="12"/>
  <c r="AU83" i="12" s="1"/>
  <c r="AA83" i="12" s="1"/>
  <c r="M83" i="18" s="1"/>
  <c r="BB84" i="12"/>
  <c r="S170" i="12"/>
  <c r="BC170" i="12" s="1"/>
  <c r="S131" i="12"/>
  <c r="AU131" i="12" s="1"/>
  <c r="AA131" i="12" s="1"/>
  <c r="M131" i="18" s="1"/>
  <c r="S58" i="12"/>
  <c r="AU58" i="12" s="1"/>
  <c r="AA58" i="12" s="1"/>
  <c r="M58" i="18" s="1"/>
  <c r="S68" i="12"/>
  <c r="AU68" i="12" s="1"/>
  <c r="AA68" i="12" s="1"/>
  <c r="M68" i="18" s="1"/>
  <c r="S21" i="12"/>
  <c r="AU21" i="12" s="1"/>
  <c r="AA21" i="12" s="1"/>
  <c r="M21" i="18" s="1"/>
  <c r="S16" i="12"/>
  <c r="AU16" i="12" s="1"/>
  <c r="AA16" i="12" s="1"/>
  <c r="M16" i="18" s="1"/>
  <c r="T180" i="12"/>
  <c r="F180" i="18" s="1"/>
  <c r="S50" i="12"/>
  <c r="AU50" i="12" s="1"/>
  <c r="AA50" i="12" s="1"/>
  <c r="M50" i="18" s="1"/>
  <c r="BB10" i="12"/>
  <c r="S95" i="12"/>
  <c r="AU95" i="12" s="1"/>
  <c r="AA95" i="12" s="1"/>
  <c r="M95" i="18" s="1"/>
  <c r="S71" i="12"/>
  <c r="AU71" i="12" s="1"/>
  <c r="AA71" i="12" s="1"/>
  <c r="M71" i="18" s="1"/>
  <c r="S60" i="12"/>
  <c r="AU60" i="12" s="1"/>
  <c r="AA60" i="12" s="1"/>
  <c r="M60" i="18" s="1"/>
  <c r="T181" i="12"/>
  <c r="F181" i="18" s="1"/>
  <c r="S26" i="12"/>
  <c r="AU26" i="12" s="1"/>
  <c r="AA26" i="12" s="1"/>
  <c r="M26" i="18" s="1"/>
  <c r="S76" i="12"/>
  <c r="AU76" i="12" s="1"/>
  <c r="AA76" i="12" s="1"/>
  <c r="M76" i="18" s="1"/>
  <c r="BB45" i="12"/>
  <c r="S147" i="12"/>
  <c r="AU147" i="12" s="1"/>
  <c r="AA147" i="12" s="1"/>
  <c r="M147" i="18" s="1"/>
  <c r="BB16" i="12"/>
  <c r="BB22" i="12"/>
  <c r="S85" i="12"/>
  <c r="AU85" i="12" s="1"/>
  <c r="AA85" i="12" s="1"/>
  <c r="M85" i="18" s="1"/>
  <c r="BB83" i="12"/>
  <c r="S30" i="12"/>
  <c r="AU30" i="12" s="1"/>
  <c r="AA30" i="12" s="1"/>
  <c r="M30" i="18" s="1"/>
  <c r="S124" i="12"/>
  <c r="AU124" i="12" s="1"/>
  <c r="AA124" i="12" s="1"/>
  <c r="M124" i="18" s="1"/>
  <c r="T162" i="12"/>
  <c r="F162" i="18" s="1"/>
  <c r="BB123" i="12"/>
  <c r="S56" i="12"/>
  <c r="AU56" i="12" s="1"/>
  <c r="AA56" i="12" s="1"/>
  <c r="M56" i="18" s="1"/>
  <c r="S75" i="12"/>
  <c r="AU75" i="12" s="1"/>
  <c r="AA75" i="12" s="1"/>
  <c r="M75" i="18" s="1"/>
  <c r="S25" i="12"/>
  <c r="AU25" i="12" s="1"/>
  <c r="AA25" i="12" s="1"/>
  <c r="M25" i="18" s="1"/>
  <c r="BB71" i="12"/>
  <c r="BB49" i="12"/>
  <c r="BB115" i="12"/>
  <c r="BB89" i="12"/>
  <c r="BB26" i="12"/>
  <c r="BB76" i="12"/>
  <c r="BB44" i="12"/>
  <c r="BB101" i="12"/>
  <c r="BB87" i="12"/>
  <c r="BB85" i="12"/>
  <c r="S92" i="12"/>
  <c r="AU92" i="12" s="1"/>
  <c r="AA92" i="12" s="1"/>
  <c r="M92" i="18" s="1"/>
  <c r="BB124" i="12"/>
  <c r="S173" i="12"/>
  <c r="AU173" i="12" s="1"/>
  <c r="AA173" i="12" s="1"/>
  <c r="S20" i="12"/>
  <c r="AU20" i="12" s="1"/>
  <c r="AA20" i="12" s="1"/>
  <c r="M20" i="18" s="1"/>
  <c r="BB38" i="12"/>
  <c r="S108" i="12"/>
  <c r="AU108" i="12" s="1"/>
  <c r="AA108" i="12" s="1"/>
  <c r="M108" i="18" s="1"/>
  <c r="BB60" i="12"/>
  <c r="BB107" i="12"/>
  <c r="S79" i="12"/>
  <c r="AU79" i="12" s="1"/>
  <c r="AA79" i="12" s="1"/>
  <c r="M79" i="18" s="1"/>
  <c r="BB92" i="12"/>
  <c r="S57" i="12"/>
  <c r="AU57" i="12" s="1"/>
  <c r="AA57" i="12" s="1"/>
  <c r="M57" i="18" s="1"/>
  <c r="BB57" i="12"/>
  <c r="AF416" i="20"/>
  <c r="AF415" i="9" s="1"/>
  <c r="BB156" i="12"/>
  <c r="S11" i="12"/>
  <c r="AU11" i="12" s="1"/>
  <c r="AA11" i="12" s="1"/>
  <c r="M11" i="18" s="1"/>
  <c r="S123" i="12"/>
  <c r="AU123" i="12" s="1"/>
  <c r="AA123" i="12" s="1"/>
  <c r="M123" i="18" s="1"/>
  <c r="BB68" i="12"/>
  <c r="S31" i="12"/>
  <c r="AU31" i="12" s="1"/>
  <c r="AA31" i="12" s="1"/>
  <c r="M31" i="18" s="1"/>
  <c r="BB21" i="12"/>
  <c r="BB52" i="12"/>
  <c r="S63" i="12"/>
  <c r="AU63" i="12" s="1"/>
  <c r="AA63" i="12" s="1"/>
  <c r="M63" i="18" s="1"/>
  <c r="BB30" i="12"/>
  <c r="S84" i="12"/>
  <c r="AU84" i="12" s="1"/>
  <c r="AA84" i="12" s="1"/>
  <c r="M84" i="18" s="1"/>
  <c r="S70" i="12"/>
  <c r="AU70" i="12" s="1"/>
  <c r="AA70" i="12" s="1"/>
  <c r="M70" i="18" s="1"/>
  <c r="S94" i="12"/>
  <c r="AU94" i="12" s="1"/>
  <c r="AA94" i="12" s="1"/>
  <c r="M94" i="18" s="1"/>
  <c r="S40" i="12"/>
  <c r="AU40" i="12" s="1"/>
  <c r="AA40" i="12" s="1"/>
  <c r="M40" i="18" s="1"/>
  <c r="S91" i="12"/>
  <c r="AU91" i="12" s="1"/>
  <c r="AA91" i="12" s="1"/>
  <c r="M91" i="18" s="1"/>
  <c r="BB35" i="12"/>
  <c r="BB98" i="12"/>
  <c r="BB160" i="12"/>
  <c r="S44" i="12"/>
  <c r="AU44" i="12" s="1"/>
  <c r="AA44" i="12" s="1"/>
  <c r="M44" i="18" s="1"/>
  <c r="S180" i="12"/>
  <c r="AU180" i="12" s="1"/>
  <c r="AA180" i="12" s="1"/>
  <c r="M180" i="18" s="1"/>
  <c r="BB14" i="12"/>
  <c r="S166" i="12"/>
  <c r="AU166" i="12" s="1"/>
  <c r="AA166" i="12" s="1"/>
  <c r="BB95" i="12"/>
  <c r="S34" i="12"/>
  <c r="AU34" i="12" s="1"/>
  <c r="AA34" i="12" s="1"/>
  <c r="M34" i="18" s="1"/>
  <c r="BB120" i="12"/>
  <c r="BB114" i="12"/>
  <c r="S19" i="12"/>
  <c r="AU19" i="12" s="1"/>
  <c r="AA19" i="12" s="1"/>
  <c r="M19" i="18" s="1"/>
  <c r="BB66" i="12"/>
  <c r="BB9" i="12"/>
  <c r="S18" i="12"/>
  <c r="AU18" i="12" s="1"/>
  <c r="AA18" i="12" s="1"/>
  <c r="M18" i="18" s="1"/>
  <c r="BB7" i="12"/>
  <c r="S116" i="12"/>
  <c r="AU116" i="12" s="1"/>
  <c r="AA116" i="12" s="1"/>
  <c r="M116" i="18" s="1"/>
  <c r="BB104" i="12"/>
  <c r="S156" i="12"/>
  <c r="AU156" i="12" s="1"/>
  <c r="AA156" i="12" s="1"/>
  <c r="M156" i="18" s="1"/>
  <c r="BB48" i="12"/>
  <c r="S153" i="12"/>
  <c r="AU153" i="12" s="1"/>
  <c r="AA153" i="12" s="1"/>
  <c r="M153" i="18" s="1"/>
  <c r="BB4" i="12"/>
  <c r="BB113" i="12"/>
  <c r="S54" i="12"/>
  <c r="AU54" i="12" s="1"/>
  <c r="AA54" i="12" s="1"/>
  <c r="M54" i="18" s="1"/>
  <c r="S119" i="12"/>
  <c r="AU119" i="12" s="1"/>
  <c r="AA119" i="12" s="1"/>
  <c r="M119" i="18" s="1"/>
  <c r="S157" i="12"/>
  <c r="AU157" i="12" s="1"/>
  <c r="AA157" i="12" s="1"/>
  <c r="M157" i="18" s="1"/>
  <c r="BB144" i="12"/>
  <c r="S65" i="12"/>
  <c r="AU65" i="12" s="1"/>
  <c r="AA65" i="12" s="1"/>
  <c r="M65" i="18" s="1"/>
  <c r="BB42" i="12"/>
  <c r="S27" i="12"/>
  <c r="AU27" i="12" s="1"/>
  <c r="AA27" i="12" s="1"/>
  <c r="M27" i="18" s="1"/>
  <c r="BB128" i="12"/>
  <c r="BB15" i="12"/>
  <c r="BB61" i="12"/>
  <c r="BB180" i="12"/>
  <c r="S177" i="12"/>
  <c r="AU177" i="12" s="1"/>
  <c r="AA177" i="12" s="1"/>
  <c r="M177" i="18" s="1"/>
  <c r="S161" i="12"/>
  <c r="AU161" i="12" s="1"/>
  <c r="AA161" i="12" s="1"/>
  <c r="M161" i="18" s="1"/>
  <c r="S32" i="12"/>
  <c r="AU32" i="12" s="1"/>
  <c r="AA32" i="12" s="1"/>
  <c r="M32" i="18" s="1"/>
  <c r="S10" i="12"/>
  <c r="AU10" i="12" s="1"/>
  <c r="AA10" i="12" s="1"/>
  <c r="M10" i="18" s="1"/>
  <c r="BB154" i="12"/>
  <c r="BB119" i="12"/>
  <c r="S49" i="12"/>
  <c r="AU49" i="12" s="1"/>
  <c r="AA49" i="12" s="1"/>
  <c r="M49" i="18" s="1"/>
  <c r="S66" i="12"/>
  <c r="AU66" i="12" s="1"/>
  <c r="AA66" i="12" s="1"/>
  <c r="M66" i="18" s="1"/>
  <c r="AA9" i="12"/>
  <c r="M9" i="18" s="1"/>
  <c r="BB65" i="12"/>
  <c r="BB27" i="12"/>
  <c r="S101" i="12"/>
  <c r="AU101" i="12" s="1"/>
  <c r="AA101" i="12" s="1"/>
  <c r="M101" i="18" s="1"/>
  <c r="S93" i="12"/>
  <c r="AU93" i="12" s="1"/>
  <c r="AA93" i="12" s="1"/>
  <c r="M93" i="18" s="1"/>
  <c r="S121" i="12"/>
  <c r="AU121" i="12" s="1"/>
  <c r="AA121" i="12" s="1"/>
  <c r="M121" i="18" s="1"/>
  <c r="BB177" i="12"/>
  <c r="BB161" i="12"/>
  <c r="BB32" i="12"/>
  <c r="S8" i="12"/>
  <c r="AU8" i="12" s="1"/>
  <c r="AA8" i="12" s="1"/>
  <c r="M8" i="18" s="1"/>
  <c r="BB157" i="12"/>
  <c r="S24" i="12"/>
  <c r="AU24" i="12" s="1"/>
  <c r="AA24" i="12" s="1"/>
  <c r="M24" i="18" s="1"/>
  <c r="S46" i="12"/>
  <c r="AU46" i="12" s="1"/>
  <c r="AA46" i="12" s="1"/>
  <c r="M46" i="18" s="1"/>
  <c r="S88" i="12"/>
  <c r="AU88" i="12" s="1"/>
  <c r="AA88" i="12" s="1"/>
  <c r="M88" i="18" s="1"/>
  <c r="S150" i="12"/>
  <c r="AU150" i="12" s="1"/>
  <c r="AA150" i="12" s="1"/>
  <c r="M150" i="18" s="1"/>
  <c r="BB64" i="12"/>
  <c r="BB176" i="12"/>
  <c r="BB135" i="12"/>
  <c r="BB59" i="12"/>
  <c r="S51" i="12"/>
  <c r="AU51" i="12" s="1"/>
  <c r="AA51" i="12" s="1"/>
  <c r="M51" i="18" s="1"/>
  <c r="S96" i="12"/>
  <c r="AU96" i="12" s="1"/>
  <c r="AA96" i="12" s="1"/>
  <c r="M96" i="18" s="1"/>
  <c r="S100" i="12"/>
  <c r="AU100" i="12" s="1"/>
  <c r="AA100" i="12" s="1"/>
  <c r="M100" i="18" s="1"/>
  <c r="BB91" i="12"/>
  <c r="BB82" i="12"/>
  <c r="BB8" i="12"/>
  <c r="S6" i="12"/>
  <c r="AU6" i="12" s="1"/>
  <c r="AA6" i="12" s="1"/>
  <c r="M6" i="18" s="1"/>
  <c r="S23" i="12"/>
  <c r="AU23" i="12" s="1"/>
  <c r="AA23" i="12" s="1"/>
  <c r="M23" i="18" s="1"/>
  <c r="BB24" i="12"/>
  <c r="BB11" i="12"/>
  <c r="BB148" i="12"/>
  <c r="BB155" i="12"/>
  <c r="BB18" i="12"/>
  <c r="BB46" i="12"/>
  <c r="BB88" i="12"/>
  <c r="BB150" i="12"/>
  <c r="S53" i="12"/>
  <c r="AU53" i="12" s="1"/>
  <c r="AA53" i="12" s="1"/>
  <c r="M53" i="18" s="1"/>
  <c r="S13" i="12"/>
  <c r="AU13" i="12" s="1"/>
  <c r="AA13" i="12" s="1"/>
  <c r="M13" i="18" s="1"/>
  <c r="S55" i="12"/>
  <c r="AU55" i="12" s="1"/>
  <c r="AA55" i="12" s="1"/>
  <c r="M55" i="18" s="1"/>
  <c r="BB116" i="12"/>
  <c r="S69" i="12"/>
  <c r="AU69" i="12" s="1"/>
  <c r="AA69" i="12" s="1"/>
  <c r="M69" i="18" s="1"/>
  <c r="S122" i="12"/>
  <c r="AU122" i="12" s="1"/>
  <c r="AA122" i="12" s="1"/>
  <c r="M122" i="18" s="1"/>
  <c r="S29" i="12"/>
  <c r="AU29" i="12" s="1"/>
  <c r="AA29" i="12" s="1"/>
  <c r="M29" i="18" s="1"/>
  <c r="S99" i="12"/>
  <c r="AU99" i="12" s="1"/>
  <c r="AA99" i="12" s="1"/>
  <c r="M99" i="18" s="1"/>
  <c r="S111" i="12"/>
  <c r="AU111" i="12" s="1"/>
  <c r="AA111" i="12" s="1"/>
  <c r="M111" i="18" s="1"/>
  <c r="S82" i="12"/>
  <c r="AU82" i="12" s="1"/>
  <c r="AA82" i="12" s="1"/>
  <c r="M82" i="18" s="1"/>
  <c r="S155" i="12"/>
  <c r="AU155" i="12" s="1"/>
  <c r="AA155" i="12" s="1"/>
  <c r="M155" i="18" s="1"/>
  <c r="BB121" i="12"/>
  <c r="S167" i="12"/>
  <c r="BC167" i="12" s="1"/>
  <c r="S164" i="12"/>
  <c r="AU164" i="12" s="1"/>
  <c r="AA164" i="12" s="1"/>
  <c r="AT35" i="13"/>
  <c r="S48" i="12"/>
  <c r="AU48" i="12" s="1"/>
  <c r="AA48" i="12" s="1"/>
  <c r="M48" i="18" s="1"/>
  <c r="S136" i="12"/>
  <c r="AU136" i="12" s="1"/>
  <c r="AA136" i="12" s="1"/>
  <c r="M136" i="18" s="1"/>
  <c r="BB51" i="12"/>
  <c r="BB96" i="12"/>
  <c r="S4" i="12"/>
  <c r="AU4" i="12" s="1"/>
  <c r="AA4" i="12" s="1"/>
  <c r="M4" i="18" s="1"/>
  <c r="BB100" i="12"/>
  <c r="S103" i="12"/>
  <c r="AU103" i="12" s="1"/>
  <c r="AA103" i="12" s="1"/>
  <c r="M103" i="18" s="1"/>
  <c r="S120" i="12"/>
  <c r="AU120" i="12" s="1"/>
  <c r="AA120" i="12" s="1"/>
  <c r="M120" i="18" s="1"/>
  <c r="BB6" i="12"/>
  <c r="BB23" i="12"/>
  <c r="S144" i="12"/>
  <c r="AU144" i="12" s="1"/>
  <c r="AA144" i="12" s="1"/>
  <c r="M144" i="18" s="1"/>
  <c r="S158" i="12"/>
  <c r="AU158" i="12" s="1"/>
  <c r="AA158" i="12" s="1"/>
  <c r="M158" i="18" s="1"/>
  <c r="S77" i="12"/>
  <c r="AU77" i="12" s="1"/>
  <c r="AA77" i="12" s="1"/>
  <c r="M77" i="18" s="1"/>
  <c r="S72" i="12"/>
  <c r="AU72" i="12" s="1"/>
  <c r="AA72" i="12" s="1"/>
  <c r="M72" i="18" s="1"/>
  <c r="S98" i="12"/>
  <c r="AU98" i="12" s="1"/>
  <c r="AA98" i="12" s="1"/>
  <c r="M98" i="18" s="1"/>
  <c r="S28" i="12"/>
  <c r="AU28" i="12" s="1"/>
  <c r="AA28" i="12" s="1"/>
  <c r="M28" i="18" s="1"/>
  <c r="S160" i="12"/>
  <c r="AU160" i="12" s="1"/>
  <c r="AA160" i="12" s="1"/>
  <c r="M160" i="18" s="1"/>
  <c r="S39" i="12"/>
  <c r="AU39" i="12" s="1"/>
  <c r="AA39" i="12" s="1"/>
  <c r="M39" i="18" s="1"/>
  <c r="S7" i="12"/>
  <c r="AU7" i="12" s="1"/>
  <c r="AA7" i="12" s="1"/>
  <c r="M7" i="18" s="1"/>
  <c r="BB53" i="12"/>
  <c r="S15" i="12"/>
  <c r="AU15" i="12" s="1"/>
  <c r="AA15" i="12" s="1"/>
  <c r="M15" i="18" s="1"/>
  <c r="BB13" i="12"/>
  <c r="BB55" i="12"/>
  <c r="BB69" i="12"/>
  <c r="BB122" i="12"/>
  <c r="BB29" i="12"/>
  <c r="BB99" i="12"/>
  <c r="BB111" i="12"/>
  <c r="AB107" i="12"/>
  <c r="N107" i="18" s="1"/>
  <c r="G107" i="28" s="1"/>
  <c r="H107" i="28" s="1"/>
  <c r="BB50" i="12"/>
  <c r="BB151" i="12"/>
  <c r="S154" i="12"/>
  <c r="AU154" i="12" s="1"/>
  <c r="AA154" i="12" s="1"/>
  <c r="M154" i="18" s="1"/>
  <c r="S113" i="12"/>
  <c r="AU113" i="12" s="1"/>
  <c r="AA113" i="12" s="1"/>
  <c r="M113" i="18" s="1"/>
  <c r="BB54" i="12"/>
  <c r="BB19" i="12"/>
  <c r="S42" i="12"/>
  <c r="AU42" i="12" s="1"/>
  <c r="AA42" i="12" s="1"/>
  <c r="M42" i="18" s="1"/>
  <c r="S128" i="12"/>
  <c r="AU128" i="12" s="1"/>
  <c r="AA128" i="12" s="1"/>
  <c r="M128" i="18" s="1"/>
  <c r="BB90" i="12"/>
  <c r="BB93" i="12"/>
  <c r="S22" i="12"/>
  <c r="AU22" i="12" s="1"/>
  <c r="AA22" i="12" s="1"/>
  <c r="M22" i="18" s="1"/>
  <c r="S61" i="12"/>
  <c r="AU61" i="12" s="1"/>
  <c r="AA61" i="12" s="1"/>
  <c r="M61" i="18" s="1"/>
  <c r="S87" i="12"/>
  <c r="AU87" i="12" s="1"/>
  <c r="AA87" i="12" s="1"/>
  <c r="M87" i="18" s="1"/>
  <c r="V80" i="9"/>
  <c r="T80" i="9" s="1"/>
  <c r="V32" i="9"/>
  <c r="T32" i="9" s="1"/>
  <c r="V33" i="9"/>
  <c r="T33" i="9" s="1"/>
  <c r="M47" i="18"/>
  <c r="AD143" i="12"/>
  <c r="P143" i="18" s="1"/>
  <c r="P87" i="18"/>
  <c r="AD44" i="12"/>
  <c r="P44" i="18" s="1"/>
  <c r="AD129" i="12"/>
  <c r="P129" i="18" s="1"/>
  <c r="AD174" i="12"/>
  <c r="P174" i="18" s="1"/>
  <c r="AD65" i="12"/>
  <c r="P65" i="18" s="1"/>
  <c r="AD63" i="12"/>
  <c r="P63" i="18" s="1"/>
  <c r="AD40" i="12"/>
  <c r="P40" i="18" s="1"/>
  <c r="AD184" i="12"/>
  <c r="P184" i="18" s="1"/>
  <c r="V30" i="9"/>
  <c r="T30" i="9" s="1"/>
  <c r="AD139" i="12"/>
  <c r="P139" i="18" s="1"/>
  <c r="AD155" i="12"/>
  <c r="P155" i="18" s="1"/>
  <c r="AD84" i="12"/>
  <c r="P84" i="18" s="1"/>
  <c r="AD161" i="12"/>
  <c r="P161" i="18" s="1"/>
  <c r="AD72" i="12"/>
  <c r="P72" i="18" s="1"/>
  <c r="AD135" i="12"/>
  <c r="P135" i="18" s="1"/>
  <c r="AD156" i="12"/>
  <c r="P156" i="18" s="1"/>
  <c r="V31" i="9"/>
  <c r="T31" i="9" s="1"/>
  <c r="AD157" i="12"/>
  <c r="P157" i="18" s="1"/>
  <c r="AD18" i="12"/>
  <c r="P18" i="18" s="1"/>
  <c r="AD134" i="12"/>
  <c r="P134" i="18" s="1"/>
  <c r="AD59" i="12"/>
  <c r="P59" i="18" s="1"/>
  <c r="AD122" i="12"/>
  <c r="P122" i="18" s="1"/>
  <c r="AD126" i="12"/>
  <c r="P126" i="18" s="1"/>
  <c r="AD170" i="12"/>
  <c r="P170" i="18" s="1"/>
  <c r="AD61" i="12"/>
  <c r="P61" i="18" s="1"/>
  <c r="AD86" i="12"/>
  <c r="P86" i="18" s="1"/>
  <c r="AD66" i="12"/>
  <c r="P66" i="18" s="1"/>
  <c r="AD158" i="12"/>
  <c r="P158" i="18" s="1"/>
  <c r="AD136" i="12"/>
  <c r="P136" i="18" s="1"/>
  <c r="AD162" i="12"/>
  <c r="P162" i="18" s="1"/>
  <c r="AD93" i="12"/>
  <c r="P93" i="18" s="1"/>
  <c r="AD85" i="12"/>
  <c r="P85" i="18" s="1"/>
  <c r="AD73" i="12"/>
  <c r="P73" i="18" s="1"/>
  <c r="AD26" i="12"/>
  <c r="P26" i="18" s="1"/>
  <c r="AD178" i="12"/>
  <c r="P178" i="18" s="1"/>
  <c r="V20" i="9"/>
  <c r="T20" i="9" s="1"/>
  <c r="V21" i="9"/>
  <c r="T21" i="9" s="1"/>
  <c r="V5" i="9"/>
  <c r="T5" i="9" s="1"/>
  <c r="V6" i="9"/>
  <c r="T6" i="9" s="1"/>
  <c r="V7" i="9"/>
  <c r="T7" i="9" s="1"/>
  <c r="V8" i="9"/>
  <c r="T8" i="9" s="1"/>
  <c r="AD159" i="12"/>
  <c r="P159" i="18" s="1"/>
  <c r="AD62" i="12"/>
  <c r="P62" i="18" s="1"/>
  <c r="AD14" i="12"/>
  <c r="P14" i="18" s="1"/>
  <c r="AD76" i="12"/>
  <c r="P76" i="18" s="1"/>
  <c r="AD89" i="12"/>
  <c r="P89" i="18" s="1"/>
  <c r="AD127" i="12"/>
  <c r="P127" i="18" s="1"/>
  <c r="AD146" i="12"/>
  <c r="P146" i="18" s="1"/>
  <c r="AD142" i="12"/>
  <c r="P142" i="18" s="1"/>
  <c r="AD97" i="12"/>
  <c r="P97" i="18" s="1"/>
  <c r="AD81" i="12"/>
  <c r="P81" i="18" s="1"/>
  <c r="AD173" i="12"/>
  <c r="P173" i="18" s="1"/>
  <c r="AD172" i="12"/>
  <c r="P172" i="18" s="1"/>
  <c r="V28" i="9"/>
  <c r="T28" i="9" s="1"/>
  <c r="AF17" i="20"/>
  <c r="AF391" i="20"/>
  <c r="AF390" i="9" s="1"/>
  <c r="AF369" i="20"/>
  <c r="AF368" i="9" s="1"/>
  <c r="AF399" i="20"/>
  <c r="AF398" i="9" s="1"/>
  <c r="AF373" i="20"/>
  <c r="AF372" i="9" s="1"/>
  <c r="AF296" i="20"/>
  <c r="AF295" i="9" s="1"/>
  <c r="AF401" i="20"/>
  <c r="AF400" i="9" s="1"/>
  <c r="AF403" i="20"/>
  <c r="AF402" i="9" s="1"/>
  <c r="AF398" i="20"/>
  <c r="AF397" i="9" s="1"/>
  <c r="AF20" i="20"/>
  <c r="AF299" i="20"/>
  <c r="AF298" i="9" s="1"/>
  <c r="AF400" i="20"/>
  <c r="AF399" i="9" s="1"/>
  <c r="AF406" i="20"/>
  <c r="AF405" i="9" s="1"/>
  <c r="AF15" i="20"/>
  <c r="AF368" i="20"/>
  <c r="AF367" i="9" s="1"/>
  <c r="AF393" i="20"/>
  <c r="AF392" i="9" s="1"/>
  <c r="AF390" i="20"/>
  <c r="AF389" i="9" s="1"/>
  <c r="AF298" i="20"/>
  <c r="AF297" i="9" s="1"/>
  <c r="AF402" i="20"/>
  <c r="AF401" i="9" s="1"/>
  <c r="AF19" i="20"/>
  <c r="AF13" i="20"/>
  <c r="AF405" i="20"/>
  <c r="AF404" i="9" s="1"/>
  <c r="AF372" i="20"/>
  <c r="AF371" i="9" s="1"/>
  <c r="AF151" i="20"/>
  <c r="AF150" i="9" s="1"/>
  <c r="AF147" i="20"/>
  <c r="AF146" i="9" s="1"/>
  <c r="AF397" i="20"/>
  <c r="AF396" i="9" s="1"/>
  <c r="AF371" i="20"/>
  <c r="AF370" i="9" s="1"/>
  <c r="AF395" i="20"/>
  <c r="AF394" i="9" s="1"/>
  <c r="AF367" i="20"/>
  <c r="AF366" i="9" s="1"/>
  <c r="AF150" i="20"/>
  <c r="AF149" i="9" s="1"/>
  <c r="AF392" i="20"/>
  <c r="AF391" i="9" s="1"/>
  <c r="AF149" i="20"/>
  <c r="AF148" i="9" s="1"/>
  <c r="AF396" i="20"/>
  <c r="AF395" i="9" s="1"/>
  <c r="AF408" i="20"/>
  <c r="AF407" i="9" s="1"/>
  <c r="AF148" i="20"/>
  <c r="AF147" i="9" s="1"/>
  <c r="AF370" i="20"/>
  <c r="AF369" i="9" s="1"/>
  <c r="AF404" i="20"/>
  <c r="AF403" i="9" s="1"/>
  <c r="AF297" i="20"/>
  <c r="AF296" i="9" s="1"/>
  <c r="AF407" i="20"/>
  <c r="AF406" i="9" s="1"/>
  <c r="AF394" i="20"/>
  <c r="AF393" i="9" s="1"/>
  <c r="A15" i="9"/>
  <c r="A126" i="9"/>
  <c r="A93" i="9"/>
  <c r="A64" i="9"/>
  <c r="V258" i="20"/>
  <c r="T258" i="20" s="1"/>
  <c r="AH258" i="20" s="1"/>
  <c r="AH257" i="9" s="1"/>
  <c r="V85" i="20"/>
  <c r="T85" i="20" s="1"/>
  <c r="V259" i="20"/>
  <c r="T259" i="20" s="1"/>
  <c r="AH259" i="20" s="1"/>
  <c r="AH258" i="9" s="1"/>
  <c r="V261" i="20"/>
  <c r="T261" i="20" s="1"/>
  <c r="AH261" i="20" s="1"/>
  <c r="AH260" i="9" s="1"/>
  <c r="V255" i="20"/>
  <c r="T255" i="20" s="1"/>
  <c r="AH255" i="20" s="1"/>
  <c r="AH254" i="9" s="1"/>
  <c r="V257" i="20"/>
  <c r="T257" i="20" s="1"/>
  <c r="AH257" i="20" s="1"/>
  <c r="AH256" i="9" s="1"/>
  <c r="V260" i="20"/>
  <c r="T260" i="20" s="1"/>
  <c r="AH260" i="20" s="1"/>
  <c r="AH259" i="9" s="1"/>
  <c r="V254" i="20"/>
  <c r="T254" i="20" s="1"/>
  <c r="AH254" i="20" s="1"/>
  <c r="AH253" i="9" s="1"/>
  <c r="V256" i="20"/>
  <c r="T256" i="20" s="1"/>
  <c r="AH256" i="20" s="1"/>
  <c r="AH255" i="9" s="1"/>
  <c r="V84" i="20"/>
  <c r="T84" i="20" s="1"/>
  <c r="V81" i="20"/>
  <c r="T81" i="20" s="1"/>
  <c r="V82" i="20"/>
  <c r="T82" i="20" s="1"/>
  <c r="V83" i="20"/>
  <c r="T83" i="20" s="1"/>
  <c r="V265" i="20"/>
  <c r="T265" i="20" s="1"/>
  <c r="AH265" i="20" s="1"/>
  <c r="AH264" i="9" s="1"/>
  <c r="V264" i="20"/>
  <c r="T264" i="20" s="1"/>
  <c r="AH264" i="20" s="1"/>
  <c r="AH263" i="9" s="1"/>
  <c r="V253" i="20"/>
  <c r="T253" i="20" s="1"/>
  <c r="AH253" i="20" s="1"/>
  <c r="AH252" i="9" s="1"/>
  <c r="V262" i="20"/>
  <c r="T262" i="20" s="1"/>
  <c r="AH262" i="20" s="1"/>
  <c r="AH261" i="9" s="1"/>
  <c r="V380" i="20"/>
  <c r="T380" i="20" s="1"/>
  <c r="AH380" i="20" s="1"/>
  <c r="AH379" i="9" s="1"/>
  <c r="V412" i="20"/>
  <c r="T412" i="20" s="1"/>
  <c r="AH412" i="20" s="1"/>
  <c r="AH411" i="9" s="1"/>
  <c r="V376" i="20"/>
  <c r="T376" i="20" s="1"/>
  <c r="AH376" i="20" s="1"/>
  <c r="AH375" i="9" s="1"/>
  <c r="V375" i="20"/>
  <c r="T375" i="20" s="1"/>
  <c r="AH375" i="20" s="1"/>
  <c r="AH374" i="9" s="1"/>
  <c r="V409" i="20"/>
  <c r="T409" i="20" s="1"/>
  <c r="AH409" i="20" s="1"/>
  <c r="AH408" i="9" s="1"/>
  <c r="V377" i="20"/>
  <c r="T377" i="20" s="1"/>
  <c r="AH377" i="20" s="1"/>
  <c r="AH376" i="9" s="1"/>
  <c r="V28" i="20"/>
  <c r="T28" i="20" s="1"/>
  <c r="V27" i="20"/>
  <c r="T27" i="20" s="1"/>
  <c r="V23" i="20"/>
  <c r="T23" i="20" s="1"/>
  <c r="V153" i="20"/>
  <c r="T153" i="20" s="1"/>
  <c r="AH153" i="20" s="1"/>
  <c r="AH152" i="9" s="1"/>
  <c r="V410" i="20"/>
  <c r="T410" i="20" s="1"/>
  <c r="AH410" i="20" s="1"/>
  <c r="AH409" i="9" s="1"/>
  <c r="V374" i="20"/>
  <c r="T374" i="20" s="1"/>
  <c r="AH374" i="20" s="1"/>
  <c r="AH373" i="9" s="1"/>
  <c r="V21" i="20"/>
  <c r="T21" i="20" s="1"/>
  <c r="V154" i="20"/>
  <c r="T154" i="20" s="1"/>
  <c r="AH154" i="20" s="1"/>
  <c r="AH153" i="9" s="1"/>
  <c r="V25" i="20"/>
  <c r="T25" i="20" s="1"/>
  <c r="V300" i="20"/>
  <c r="T300" i="20" s="1"/>
  <c r="AH300" i="20" s="1"/>
  <c r="AH299" i="9" s="1"/>
  <c r="V155" i="20"/>
  <c r="T155" i="20" s="1"/>
  <c r="AH155" i="20" s="1"/>
  <c r="AH154" i="9" s="1"/>
  <c r="V378" i="20"/>
  <c r="T378" i="20" s="1"/>
  <c r="AH378" i="20" s="1"/>
  <c r="AH377" i="9" s="1"/>
  <c r="V379" i="20"/>
  <c r="T379" i="20" s="1"/>
  <c r="AH379" i="20" s="1"/>
  <c r="AH378" i="9" s="1"/>
  <c r="V301" i="20"/>
  <c r="T301" i="20" s="1"/>
  <c r="AH301" i="20" s="1"/>
  <c r="AH300" i="9" s="1"/>
  <c r="V411" i="20"/>
  <c r="T411" i="20" s="1"/>
  <c r="AH411" i="20" s="1"/>
  <c r="AH410" i="9" s="1"/>
  <c r="V24" i="20"/>
  <c r="T24" i="20" s="1"/>
  <c r="V152" i="20"/>
  <c r="T152" i="20" s="1"/>
  <c r="AH152" i="20" s="1"/>
  <c r="AH151" i="9" s="1"/>
  <c r="V22" i="20"/>
  <c r="T22" i="20" s="1"/>
  <c r="V26" i="20"/>
  <c r="T26" i="20" s="1"/>
  <c r="V386" i="20"/>
  <c r="T386" i="20" s="1"/>
  <c r="AH386" i="20" s="1"/>
  <c r="AH385" i="9" s="1"/>
  <c r="V307" i="20"/>
  <c r="T307" i="20" s="1"/>
  <c r="AH307" i="20" s="1"/>
  <c r="AH306" i="9" s="1"/>
  <c r="V303" i="20"/>
  <c r="T303" i="20" s="1"/>
  <c r="AH303" i="20" s="1"/>
  <c r="AH302" i="9" s="1"/>
  <c r="V384" i="20"/>
  <c r="T384" i="20" s="1"/>
  <c r="AH384" i="20" s="1"/>
  <c r="AH383" i="9" s="1"/>
  <c r="V385" i="20"/>
  <c r="T385" i="20" s="1"/>
  <c r="AH385" i="20" s="1"/>
  <c r="AH384" i="9" s="1"/>
  <c r="V381" i="20"/>
  <c r="T381" i="20" s="1"/>
  <c r="AH381" i="20" s="1"/>
  <c r="AH380" i="9" s="1"/>
  <c r="V304" i="20"/>
  <c r="T304" i="20" s="1"/>
  <c r="AH304" i="20" s="1"/>
  <c r="AH303" i="9" s="1"/>
  <c r="V31" i="20"/>
  <c r="T31" i="20" s="1"/>
  <c r="V383" i="20"/>
  <c r="T383" i="20" s="1"/>
  <c r="AH383" i="20" s="1"/>
  <c r="AH382" i="9" s="1"/>
  <c r="V306" i="20"/>
  <c r="T306" i="20" s="1"/>
  <c r="AH306" i="20" s="1"/>
  <c r="AH305" i="9" s="1"/>
  <c r="V30" i="20"/>
  <c r="T30" i="20" s="1"/>
  <c r="V157" i="20"/>
  <c r="T157" i="20" s="1"/>
  <c r="AH157" i="20" s="1"/>
  <c r="AH156" i="9" s="1"/>
  <c r="V382" i="20"/>
  <c r="T382" i="20" s="1"/>
  <c r="AH382" i="20" s="1"/>
  <c r="AH381" i="9" s="1"/>
  <c r="V305" i="20"/>
  <c r="T305" i="20" s="1"/>
  <c r="AH305" i="20" s="1"/>
  <c r="AH304" i="9" s="1"/>
  <c r="V302" i="20"/>
  <c r="T302" i="20" s="1"/>
  <c r="AH302" i="20" s="1"/>
  <c r="AH301" i="9" s="1"/>
  <c r="V156" i="20"/>
  <c r="T156" i="20" s="1"/>
  <c r="AH156" i="20" s="1"/>
  <c r="AH155" i="9" s="1"/>
  <c r="V24" i="9"/>
  <c r="T24" i="9" s="1"/>
  <c r="V8" i="20"/>
  <c r="T8" i="20" s="1"/>
  <c r="V7" i="20"/>
  <c r="T7" i="20" s="1"/>
  <c r="V10" i="20"/>
  <c r="T10" i="20" s="1"/>
  <c r="V9" i="20"/>
  <c r="T9" i="20" s="1"/>
  <c r="V6" i="20"/>
  <c r="T6" i="20" s="1"/>
  <c r="S183" i="12"/>
  <c r="BC183" i="12" s="1"/>
  <c r="BB131" i="12"/>
  <c r="BB58" i="12"/>
  <c r="BB20" i="12"/>
  <c r="S115" i="12"/>
  <c r="AU115" i="12" s="1"/>
  <c r="AA115" i="12" s="1"/>
  <c r="M115" i="18" s="1"/>
  <c r="S107" i="12"/>
  <c r="AU107" i="12" s="1"/>
  <c r="AA107" i="12" s="1"/>
  <c r="M107" i="18" s="1"/>
  <c r="S89" i="12"/>
  <c r="AU89" i="12" s="1"/>
  <c r="AA89" i="12" s="1"/>
  <c r="M89" i="18" s="1"/>
  <c r="BB79" i="12"/>
  <c r="BB147" i="12"/>
  <c r="S37" i="12"/>
  <c r="AU37" i="12" s="1"/>
  <c r="AA37" i="12" s="1"/>
  <c r="M37" i="18" s="1"/>
  <c r="W141" i="6"/>
  <c r="U141" i="6" s="1"/>
  <c r="V35" i="20"/>
  <c r="T35" i="20" s="1"/>
  <c r="V159" i="20"/>
  <c r="T159" i="20" s="1"/>
  <c r="AH159" i="20" s="1"/>
  <c r="AH158" i="9" s="1"/>
  <c r="V34" i="20"/>
  <c r="T34" i="20" s="1"/>
  <c r="V308" i="20"/>
  <c r="T308" i="20" s="1"/>
  <c r="AH308" i="20" s="1"/>
  <c r="AH307" i="9" s="1"/>
  <c r="V158" i="20"/>
  <c r="T158" i="20" s="1"/>
  <c r="AH158" i="20" s="1"/>
  <c r="AH157" i="9" s="1"/>
  <c r="V33" i="20"/>
  <c r="T33" i="20" s="1"/>
  <c r="V309" i="20"/>
  <c r="T309" i="20" s="1"/>
  <c r="AH309" i="20" s="1"/>
  <c r="AH308" i="9" s="1"/>
  <c r="Q91" i="17"/>
  <c r="A12" i="17"/>
  <c r="Q12" i="17" s="1"/>
  <c r="Q41" i="17"/>
  <c r="Q61" i="17"/>
  <c r="Q125" i="17"/>
  <c r="A102" i="20"/>
  <c r="W102" i="20"/>
  <c r="A165" i="20"/>
  <c r="W165" i="20"/>
  <c r="W304" i="20"/>
  <c r="AC304" i="20" s="1"/>
  <c r="AC303" i="9" s="1"/>
  <c r="A304" i="20"/>
  <c r="W300" i="20"/>
  <c r="AC300" i="20" s="1"/>
  <c r="AC299" i="9" s="1"/>
  <c r="A300" i="20"/>
  <c r="A178" i="20"/>
  <c r="W178" i="20"/>
  <c r="W295" i="20"/>
  <c r="AC295" i="20" s="1"/>
  <c r="AC294" i="9" s="1"/>
  <c r="A295" i="20"/>
  <c r="W406" i="20"/>
  <c r="A406" i="20"/>
  <c r="W392" i="20"/>
  <c r="AC392" i="20" s="1"/>
  <c r="AC391" i="9" s="1"/>
  <c r="A392" i="20"/>
  <c r="W58" i="20"/>
  <c r="A58" i="20"/>
  <c r="W222" i="20"/>
  <c r="A222" i="20"/>
  <c r="W77" i="20"/>
  <c r="A77" i="20"/>
  <c r="A83" i="20"/>
  <c r="W83" i="20"/>
  <c r="M139" i="18"/>
  <c r="M43" i="18"/>
  <c r="M112" i="18"/>
  <c r="M33" i="18"/>
  <c r="BC185" i="12"/>
  <c r="AU185" i="12"/>
  <c r="AA185" i="12" s="1"/>
  <c r="M185" i="18" s="1"/>
  <c r="BC186" i="12"/>
  <c r="AU186" i="12"/>
  <c r="AA186" i="12" s="1"/>
  <c r="M186" i="18" s="1"/>
  <c r="BC192" i="12"/>
  <c r="AU192" i="12"/>
  <c r="AA192" i="12" s="1"/>
  <c r="M192" i="18" s="1"/>
  <c r="BB12" i="12"/>
  <c r="AT12" i="12"/>
  <c r="AT127" i="12"/>
  <c r="S127" i="12"/>
  <c r="AU127" i="12" s="1"/>
  <c r="BB127" i="12"/>
  <c r="AT184" i="12"/>
  <c r="S184" i="12"/>
  <c r="BB184" i="12"/>
  <c r="T184" i="12"/>
  <c r="F184" i="18" s="1"/>
  <c r="AT181" i="12"/>
  <c r="S181" i="12"/>
  <c r="AT168" i="12"/>
  <c r="S168" i="12"/>
  <c r="M143" i="18"/>
  <c r="M159" i="18"/>
  <c r="BC188" i="12"/>
  <c r="AU188" i="12"/>
  <c r="AA188" i="12" s="1"/>
  <c r="M188" i="18" s="1"/>
  <c r="BC191" i="12"/>
  <c r="AU191" i="12"/>
  <c r="AA191" i="12" s="1"/>
  <c r="M191" i="18" s="1"/>
  <c r="BC187" i="12"/>
  <c r="AU187" i="12"/>
  <c r="AA187" i="12" s="1"/>
  <c r="M187" i="18" s="1"/>
  <c r="AT182" i="12"/>
  <c r="S182" i="12"/>
  <c r="T182" i="12"/>
  <c r="F182" i="18" s="1"/>
  <c r="BB182" i="12"/>
  <c r="AT172" i="12"/>
  <c r="S172" i="12"/>
  <c r="AT5" i="12"/>
  <c r="S5" i="12"/>
  <c r="AU5" i="12" s="1"/>
  <c r="AT132" i="12"/>
  <c r="BB132" i="12"/>
  <c r="S132" i="12"/>
  <c r="AU132" i="12" s="1"/>
  <c r="AT176" i="12"/>
  <c r="S176" i="12"/>
  <c r="AB60" i="12"/>
  <c r="N60" i="18" s="1"/>
  <c r="G60" i="28" s="1"/>
  <c r="H60" i="28" s="1"/>
  <c r="AB79" i="12"/>
  <c r="N79" i="18" s="1"/>
  <c r="G79" i="28" s="1"/>
  <c r="H79" i="28" s="1"/>
  <c r="AB153" i="12"/>
  <c r="N153" i="18" s="1"/>
  <c r="G153" i="28" s="1"/>
  <c r="H153" i="28" s="1"/>
  <c r="AQ48" i="10"/>
  <c r="AM121" i="12" s="1"/>
  <c r="AE121" i="12" s="1"/>
  <c r="AB57" i="12"/>
  <c r="N57" i="18" s="1"/>
  <c r="G57" i="28" s="1"/>
  <c r="H57" i="28" s="1"/>
  <c r="AQ55" i="10"/>
  <c r="AM144" i="12" s="1"/>
  <c r="AC144" i="12" s="1"/>
  <c r="O144" i="18" s="1"/>
  <c r="AS36" i="13"/>
  <c r="AB141" i="12"/>
  <c r="N141" i="18" s="1"/>
  <c r="G141" i="28" s="1"/>
  <c r="H141" i="28" s="1"/>
  <c r="AB77" i="12"/>
  <c r="N77" i="18" s="1"/>
  <c r="G77" i="28" s="1"/>
  <c r="H77" i="28" s="1"/>
  <c r="AB150" i="12"/>
  <c r="N150" i="18" s="1"/>
  <c r="G150" i="28" s="1"/>
  <c r="H150" i="28" s="1"/>
  <c r="AB85" i="12"/>
  <c r="N85" i="18" s="1"/>
  <c r="G85" i="28" s="1"/>
  <c r="H85" i="28" s="1"/>
  <c r="AB76" i="12"/>
  <c r="N76" i="18" s="1"/>
  <c r="G76" i="28" s="1"/>
  <c r="H76" i="28" s="1"/>
  <c r="S12" i="12"/>
  <c r="AU12" i="12" s="1"/>
  <c r="T191" i="12"/>
  <c r="F191" i="18" s="1"/>
  <c r="AB72" i="12"/>
  <c r="N72" i="18" s="1"/>
  <c r="G72" i="28" s="1"/>
  <c r="H72" i="28" s="1"/>
  <c r="AQ14" i="10"/>
  <c r="AM32" i="12" s="1"/>
  <c r="AE32" i="12" s="1"/>
  <c r="AQ19" i="10"/>
  <c r="AM46" i="12" s="1"/>
  <c r="AC46" i="12" s="1"/>
  <c r="O46" i="18" s="1"/>
  <c r="AB169" i="12"/>
  <c r="N169" i="18" s="1"/>
  <c r="G169" i="28" s="1"/>
  <c r="H169" i="28" s="1"/>
  <c r="AQ10" i="10"/>
  <c r="AM24" i="12" s="1"/>
  <c r="AC24" i="12" s="1"/>
  <c r="O24" i="18" s="1"/>
  <c r="AQ47" i="10"/>
  <c r="AM119" i="12" s="1"/>
  <c r="AC119" i="12" s="1"/>
  <c r="O119" i="18" s="1"/>
  <c r="AQ9" i="10"/>
  <c r="AM16" i="12" s="1"/>
  <c r="AC16" i="12" s="1"/>
  <c r="O16" i="18" s="1"/>
  <c r="AB158" i="12"/>
  <c r="N158" i="18" s="1"/>
  <c r="G158" i="28" s="1"/>
  <c r="H158" i="28" s="1"/>
  <c r="AQ34" i="10"/>
  <c r="AB120" i="12"/>
  <c r="N120" i="18" s="1"/>
  <c r="G120" i="28" s="1"/>
  <c r="H120" i="28" s="1"/>
  <c r="AQ58" i="10"/>
  <c r="AM152" i="12" s="1"/>
  <c r="AE152" i="12" s="1"/>
  <c r="AB117" i="12"/>
  <c r="N117" i="18" s="1"/>
  <c r="G117" i="28" s="1"/>
  <c r="H117" i="28" s="1"/>
  <c r="AQ49" i="10"/>
  <c r="AM123" i="12" s="1"/>
  <c r="AE123" i="12" s="1"/>
  <c r="AB176" i="12"/>
  <c r="N176" i="18" s="1"/>
  <c r="G176" i="28" s="1"/>
  <c r="H176" i="28" s="1"/>
  <c r="AQ17" i="10"/>
  <c r="AM37" i="12" s="1"/>
  <c r="AE37" i="12" s="1"/>
  <c r="AB156" i="12"/>
  <c r="N156" i="18" s="1"/>
  <c r="G156" i="28" s="1"/>
  <c r="H156" i="28" s="1"/>
  <c r="AB110" i="12"/>
  <c r="N110" i="18" s="1"/>
  <c r="G110" i="28" s="1"/>
  <c r="H110" i="28" s="1"/>
  <c r="AQ38" i="10"/>
  <c r="AE183" i="12"/>
  <c r="AC183" i="12"/>
  <c r="O183" i="18" s="1"/>
  <c r="AC179" i="12"/>
  <c r="O179" i="18" s="1"/>
  <c r="AB4" i="12"/>
  <c r="N4" i="18" s="1"/>
  <c r="G4" i="28" s="1"/>
  <c r="H4" i="28" s="1"/>
  <c r="AE175" i="12"/>
  <c r="AC175" i="12"/>
  <c r="O175" i="18" s="1"/>
  <c r="AE130" i="12"/>
  <c r="AC130" i="12"/>
  <c r="O130" i="18" s="1"/>
  <c r="AC143" i="12"/>
  <c r="O143" i="18" s="1"/>
  <c r="AC127" i="12"/>
  <c r="O127" i="18" s="1"/>
  <c r="AC139" i="12"/>
  <c r="O139" i="18" s="1"/>
  <c r="BB190" i="12"/>
  <c r="S190" i="12"/>
  <c r="BC189" i="12"/>
  <c r="M189" i="18" s="1"/>
  <c r="T189" i="12"/>
  <c r="F189" i="18" s="1"/>
  <c r="T192" i="12"/>
  <c r="F192" i="18" s="1"/>
  <c r="AM132" i="12"/>
  <c r="AC132" i="12" s="1"/>
  <c r="O132" i="18" s="1"/>
  <c r="AM115" i="12"/>
  <c r="AE115" i="12" s="1"/>
  <c r="AQ57" i="10"/>
  <c r="AM151" i="12" s="1"/>
  <c r="AE151" i="12" s="1"/>
  <c r="AB159" i="12"/>
  <c r="N159" i="18" s="1"/>
  <c r="G159" i="28" s="1"/>
  <c r="H159" i="28" s="1"/>
  <c r="AB114" i="12"/>
  <c r="N114" i="18" s="1"/>
  <c r="G114" i="28" s="1"/>
  <c r="H114" i="28" s="1"/>
  <c r="AC155" i="12"/>
  <c r="O155" i="18" s="1"/>
  <c r="AE83" i="12"/>
  <c r="AE150" i="12"/>
  <c r="AE42" i="12"/>
  <c r="BB165" i="12"/>
  <c r="S165" i="12"/>
  <c r="AU165" i="12" s="1"/>
  <c r="AA165" i="12" s="1"/>
  <c r="BB110" i="12"/>
  <c r="S110" i="12"/>
  <c r="AU110" i="12" s="1"/>
  <c r="AA110" i="12" s="1"/>
  <c r="BB36" i="12"/>
  <c r="S36" i="12"/>
  <c r="AU36" i="12" s="1"/>
  <c r="AA36" i="12" s="1"/>
  <c r="BB130" i="12"/>
  <c r="S130" i="12"/>
  <c r="AU130" i="12" s="1"/>
  <c r="AA130" i="12" s="1"/>
  <c r="BB118" i="12"/>
  <c r="S118" i="12"/>
  <c r="AU118" i="12" s="1"/>
  <c r="AA118" i="12" s="1"/>
  <c r="BB146" i="12"/>
  <c r="S146" i="12"/>
  <c r="AU146" i="12" s="1"/>
  <c r="AA146" i="12" s="1"/>
  <c r="BB152" i="12"/>
  <c r="S152" i="12"/>
  <c r="AU152" i="12" s="1"/>
  <c r="AA152" i="12" s="1"/>
  <c r="BB17" i="12"/>
  <c r="S17" i="12"/>
  <c r="AU17" i="12" s="1"/>
  <c r="AA17" i="12" s="1"/>
  <c r="BB145" i="12"/>
  <c r="S145" i="12"/>
  <c r="AU145" i="12" s="1"/>
  <c r="AA145" i="12" s="1"/>
  <c r="S171" i="12"/>
  <c r="BB81" i="12"/>
  <c r="S81" i="12"/>
  <c r="AU81" i="12" s="1"/>
  <c r="AA81" i="12" s="1"/>
  <c r="S169" i="12"/>
  <c r="BB138" i="12"/>
  <c r="S138" i="12"/>
  <c r="AU138" i="12" s="1"/>
  <c r="AA138" i="12" s="1"/>
  <c r="T178" i="12"/>
  <c r="F178" i="18" s="1"/>
  <c r="T171" i="12"/>
  <c r="F171" i="18" s="1"/>
  <c r="T164" i="12"/>
  <c r="F164" i="18" s="1"/>
  <c r="BB67" i="12"/>
  <c r="S67" i="12"/>
  <c r="AU67" i="12" s="1"/>
  <c r="AA67" i="12" s="1"/>
  <c r="BB74" i="12"/>
  <c r="S74" i="12"/>
  <c r="AU74" i="12" s="1"/>
  <c r="AA74" i="12" s="1"/>
  <c r="T167" i="12"/>
  <c r="F167" i="18" s="1"/>
  <c r="BB102" i="12"/>
  <c r="S102" i="12"/>
  <c r="AU102" i="12" s="1"/>
  <c r="AA102" i="12" s="1"/>
  <c r="BB163" i="12"/>
  <c r="S163" i="12"/>
  <c r="AU163" i="12" s="1"/>
  <c r="AA163" i="12" s="1"/>
  <c r="BB86" i="12"/>
  <c r="S86" i="12"/>
  <c r="AU86" i="12" s="1"/>
  <c r="AA86" i="12" s="1"/>
  <c r="BB129" i="12"/>
  <c r="S129" i="12"/>
  <c r="AU129" i="12" s="1"/>
  <c r="AA129" i="12" s="1"/>
  <c r="BB126" i="12"/>
  <c r="S126" i="12"/>
  <c r="AU126" i="12" s="1"/>
  <c r="AA126" i="12" s="1"/>
  <c r="BB134" i="12"/>
  <c r="S134" i="12"/>
  <c r="AU134" i="12" s="1"/>
  <c r="AA134" i="12" s="1"/>
  <c r="BB141" i="12"/>
  <c r="S141" i="12"/>
  <c r="AU141" i="12" s="1"/>
  <c r="AA141" i="12" s="1"/>
  <c r="S174" i="12"/>
  <c r="BB62" i="12"/>
  <c r="S62" i="12"/>
  <c r="AU62" i="12" s="1"/>
  <c r="AA62" i="12" s="1"/>
  <c r="BB137" i="12"/>
  <c r="S137" i="12"/>
  <c r="AU137" i="12" s="1"/>
  <c r="AA137" i="12" s="1"/>
  <c r="BB78" i="12"/>
  <c r="S78" i="12"/>
  <c r="AU78" i="12" s="1"/>
  <c r="AA78" i="12" s="1"/>
  <c r="BB105" i="12"/>
  <c r="S105" i="12"/>
  <c r="AU105" i="12" s="1"/>
  <c r="AA105" i="12" s="1"/>
  <c r="BB149" i="12"/>
  <c r="S149" i="12"/>
  <c r="AU149" i="12" s="1"/>
  <c r="AA149" i="12" s="1"/>
  <c r="BB133" i="12"/>
  <c r="S133" i="12"/>
  <c r="AU133" i="12" s="1"/>
  <c r="AA133" i="12" s="1"/>
  <c r="T169" i="12"/>
  <c r="F169" i="18" s="1"/>
  <c r="T183" i="12"/>
  <c r="F183" i="18" s="1"/>
  <c r="BB97" i="12"/>
  <c r="S97" i="12"/>
  <c r="AU97" i="12" s="1"/>
  <c r="AA97" i="12" s="1"/>
  <c r="BB41" i="12"/>
  <c r="S41" i="12"/>
  <c r="AU41" i="12" s="1"/>
  <c r="AA41" i="12" s="1"/>
  <c r="BB179" i="12"/>
  <c r="S179" i="12"/>
  <c r="BB73" i="12"/>
  <c r="S73" i="12"/>
  <c r="AU73" i="12" s="1"/>
  <c r="AA73" i="12" s="1"/>
  <c r="BB140" i="12"/>
  <c r="S140" i="12"/>
  <c r="AU140" i="12" s="1"/>
  <c r="AA140" i="12" s="1"/>
  <c r="BB142" i="12"/>
  <c r="S142" i="12"/>
  <c r="AU142" i="12" s="1"/>
  <c r="AA142" i="12" s="1"/>
  <c r="BB125" i="12"/>
  <c r="S125" i="12"/>
  <c r="AU125" i="12" s="1"/>
  <c r="AA125" i="12" s="1"/>
  <c r="S162" i="12"/>
  <c r="AU162" i="12" s="1"/>
  <c r="AA162" i="12" s="1"/>
  <c r="BB106" i="12"/>
  <c r="S106" i="12"/>
  <c r="AU106" i="12" s="1"/>
  <c r="AA106" i="12" s="1"/>
  <c r="BB117" i="12"/>
  <c r="S117" i="12"/>
  <c r="AU117" i="12" s="1"/>
  <c r="AA117" i="12" s="1"/>
  <c r="BB109" i="12"/>
  <c r="S109" i="12"/>
  <c r="AU109" i="12" s="1"/>
  <c r="AA109" i="12" s="1"/>
  <c r="T173" i="12"/>
  <c r="F173" i="18" s="1"/>
  <c r="T175" i="12"/>
  <c r="F175" i="18" s="1"/>
  <c r="T170" i="12"/>
  <c r="F170" i="18" s="1"/>
  <c r="T166" i="12"/>
  <c r="F166" i="18" s="1"/>
  <c r="AE51" i="12"/>
  <c r="AC51" i="12"/>
  <c r="O51" i="18" s="1"/>
  <c r="AC159" i="12"/>
  <c r="O159" i="18" s="1"/>
  <c r="AE131" i="12"/>
  <c r="AM71" i="12"/>
  <c r="AC71" i="12" s="1"/>
  <c r="O71" i="18" s="1"/>
  <c r="AE167" i="12"/>
  <c r="AC167" i="12"/>
  <c r="O167" i="18" s="1"/>
  <c r="AC39" i="12"/>
  <c r="O39" i="18" s="1"/>
  <c r="AE39" i="12"/>
  <c r="AC87" i="12"/>
  <c r="O87" i="18" s="1"/>
  <c r="AC103" i="12"/>
  <c r="O103" i="18" s="1"/>
  <c r="AE171" i="12"/>
  <c r="AC118" i="12"/>
  <c r="O118" i="18" s="1"/>
  <c r="AE118" i="12"/>
  <c r="AC114" i="12"/>
  <c r="O114" i="18" s="1"/>
  <c r="AE114" i="12"/>
  <c r="AQ43" i="10"/>
  <c r="AM106" i="12" s="1"/>
  <c r="AC106" i="12" s="1"/>
  <c r="O106" i="18" s="1"/>
  <c r="AE67" i="12"/>
  <c r="AE163" i="12"/>
  <c r="AC99" i="12"/>
  <c r="O99" i="18" s="1"/>
  <c r="AE147" i="12"/>
  <c r="AE179" i="12"/>
  <c r="AE7" i="12"/>
  <c r="AE95" i="12"/>
  <c r="AC135" i="12"/>
  <c r="O135" i="18" s="1"/>
  <c r="AC63" i="12"/>
  <c r="O63" i="18" s="1"/>
  <c r="AC111" i="12"/>
  <c r="O111" i="18" s="1"/>
  <c r="AC115" i="12"/>
  <c r="O115" i="18" s="1"/>
  <c r="AQ25" i="10"/>
  <c r="AM57" i="12" s="1"/>
  <c r="AE57" i="12" s="1"/>
  <c r="AB64" i="12"/>
  <c r="N64" i="18" s="1"/>
  <c r="G64" i="28" s="1"/>
  <c r="H64" i="28" s="1"/>
  <c r="AQ12" i="10"/>
  <c r="AQ41" i="10"/>
  <c r="AB160" i="12"/>
  <c r="N160" i="18" s="1"/>
  <c r="G160" i="28" s="1"/>
  <c r="H160" i="28" s="1"/>
  <c r="AB58" i="12"/>
  <c r="N58" i="18" s="1"/>
  <c r="G58" i="28" s="1"/>
  <c r="H58" i="28" s="1"/>
  <c r="AB174" i="12"/>
  <c r="N174" i="18" s="1"/>
  <c r="G174" i="28" s="1"/>
  <c r="H174" i="28" s="1"/>
  <c r="AQ26" i="10"/>
  <c r="AM64" i="12" s="1"/>
  <c r="AC64" i="12" s="1"/>
  <c r="O64" i="18" s="1"/>
  <c r="AQ11" i="10"/>
  <c r="AM12" i="12" s="1"/>
  <c r="AB118" i="12"/>
  <c r="N118" i="18" s="1"/>
  <c r="G118" i="28" s="1"/>
  <c r="H118" i="28" s="1"/>
  <c r="AB173" i="12"/>
  <c r="N173" i="18" s="1"/>
  <c r="G173" i="28" s="1"/>
  <c r="H173" i="28" s="1"/>
  <c r="AB29" i="12"/>
  <c r="N29" i="18" s="1"/>
  <c r="G29" i="28" s="1"/>
  <c r="H29" i="28" s="1"/>
  <c r="AB171" i="12"/>
  <c r="N171" i="18" s="1"/>
  <c r="G171" i="28" s="1"/>
  <c r="H171" i="28" s="1"/>
  <c r="AQ18" i="10"/>
  <c r="AM19" i="12" s="1"/>
  <c r="AE19" i="12" s="1"/>
  <c r="AB33" i="12"/>
  <c r="N33" i="18" s="1"/>
  <c r="G33" i="28" s="1"/>
  <c r="H33" i="28" s="1"/>
  <c r="AB157" i="12"/>
  <c r="N157" i="18" s="1"/>
  <c r="G157" i="28" s="1"/>
  <c r="H157" i="28" s="1"/>
  <c r="AB134" i="12"/>
  <c r="N134" i="18" s="1"/>
  <c r="G134" i="28" s="1"/>
  <c r="H134" i="28" s="1"/>
  <c r="AB54" i="12"/>
  <c r="N54" i="18" s="1"/>
  <c r="G54" i="28" s="1"/>
  <c r="H54" i="28" s="1"/>
  <c r="AQ51" i="10"/>
  <c r="AM52" i="12" s="1"/>
  <c r="AB14" i="12"/>
  <c r="N14" i="18" s="1"/>
  <c r="G14" i="28" s="1"/>
  <c r="H14" i="28" s="1"/>
  <c r="AB170" i="12"/>
  <c r="N170" i="18" s="1"/>
  <c r="G170" i="28" s="1"/>
  <c r="H170" i="28" s="1"/>
  <c r="AB130" i="12"/>
  <c r="N130" i="18" s="1"/>
  <c r="G130" i="28" s="1"/>
  <c r="H130" i="28" s="1"/>
  <c r="AB26" i="12"/>
  <c r="N26" i="18" s="1"/>
  <c r="G26" i="28" s="1"/>
  <c r="H26" i="28" s="1"/>
  <c r="AB62" i="12"/>
  <c r="N62" i="18" s="1"/>
  <c r="G62" i="28" s="1"/>
  <c r="H62" i="28" s="1"/>
  <c r="AB34" i="12"/>
  <c r="N34" i="18" s="1"/>
  <c r="G34" i="28" s="1"/>
  <c r="H34" i="28" s="1"/>
  <c r="AB21" i="12"/>
  <c r="N21" i="18" s="1"/>
  <c r="G21" i="28" s="1"/>
  <c r="H21" i="28" s="1"/>
  <c r="AQ35" i="10"/>
  <c r="AB42" i="12"/>
  <c r="N42" i="18" s="1"/>
  <c r="G42" i="28" s="1"/>
  <c r="H42" i="28" s="1"/>
  <c r="AB68" i="12"/>
  <c r="N68" i="18" s="1"/>
  <c r="G68" i="28" s="1"/>
  <c r="H68" i="28" s="1"/>
  <c r="AB89" i="12"/>
  <c r="N89" i="18" s="1"/>
  <c r="G89" i="28" s="1"/>
  <c r="H89" i="28" s="1"/>
  <c r="AQ37" i="10"/>
  <c r="AB32" i="12"/>
  <c r="N32" i="18" s="1"/>
  <c r="G32" i="28" s="1"/>
  <c r="H32" i="28" s="1"/>
  <c r="AB84" i="12"/>
  <c r="N84" i="18" s="1"/>
  <c r="G84" i="28" s="1"/>
  <c r="H84" i="28" s="1"/>
  <c r="AQ53" i="10"/>
  <c r="AM53" i="12" s="1"/>
  <c r="AQ7" i="10"/>
  <c r="AB133" i="12"/>
  <c r="N133" i="18" s="1"/>
  <c r="G133" i="28" s="1"/>
  <c r="H133" i="28" s="1"/>
  <c r="AB31" i="12"/>
  <c r="N31" i="18" s="1"/>
  <c r="G31" i="28" s="1"/>
  <c r="H31" i="28" s="1"/>
  <c r="AB61" i="12"/>
  <c r="N61" i="18" s="1"/>
  <c r="G61" i="28" s="1"/>
  <c r="H61" i="28" s="1"/>
  <c r="AB20" i="12"/>
  <c r="N20" i="18" s="1"/>
  <c r="G20" i="28" s="1"/>
  <c r="H20" i="28" s="1"/>
  <c r="AB163" i="12"/>
  <c r="N163" i="18" s="1"/>
  <c r="G163" i="28" s="1"/>
  <c r="H163" i="28" s="1"/>
  <c r="AB55" i="12"/>
  <c r="N55" i="18" s="1"/>
  <c r="G55" i="28" s="1"/>
  <c r="H55" i="28" s="1"/>
  <c r="AB86" i="12"/>
  <c r="N86" i="18" s="1"/>
  <c r="G86" i="28" s="1"/>
  <c r="H86" i="28" s="1"/>
  <c r="AQ46" i="10"/>
  <c r="AB149" i="12"/>
  <c r="N149" i="18" s="1"/>
  <c r="G149" i="28" s="1"/>
  <c r="H149" i="28" s="1"/>
  <c r="AQ54" i="10"/>
  <c r="AM55" i="12" s="1"/>
  <c r="AE55" i="12" s="1"/>
  <c r="AB144" i="12"/>
  <c r="N144" i="18" s="1"/>
  <c r="G144" i="28" s="1"/>
  <c r="H144" i="28" s="1"/>
  <c r="AQ21" i="10"/>
  <c r="AB155" i="12"/>
  <c r="N155" i="18" s="1"/>
  <c r="G155" i="28" s="1"/>
  <c r="H155" i="28" s="1"/>
  <c r="AB166" i="12"/>
  <c r="N166" i="18" s="1"/>
  <c r="G166" i="28" s="1"/>
  <c r="H166" i="28" s="1"/>
  <c r="AB121" i="12"/>
  <c r="N121" i="18" s="1"/>
  <c r="G121" i="28" s="1"/>
  <c r="H121" i="28" s="1"/>
  <c r="AB165" i="12"/>
  <c r="N165" i="18" s="1"/>
  <c r="G165" i="28" s="1"/>
  <c r="H165" i="28" s="1"/>
  <c r="AQ6" i="10"/>
  <c r="AB148" i="12"/>
  <c r="N148" i="18" s="1"/>
  <c r="G148" i="28" s="1"/>
  <c r="H148" i="28" s="1"/>
  <c r="AQ31" i="10"/>
  <c r="AB38" i="12"/>
  <c r="N38" i="18" s="1"/>
  <c r="G38" i="28" s="1"/>
  <c r="H38" i="28" s="1"/>
  <c r="AB65" i="12"/>
  <c r="N65" i="18" s="1"/>
  <c r="G65" i="28" s="1"/>
  <c r="H65" i="28" s="1"/>
  <c r="AB115" i="12"/>
  <c r="N115" i="18" s="1"/>
  <c r="G115" i="28" s="1"/>
  <c r="H115" i="28" s="1"/>
  <c r="AB16" i="12"/>
  <c r="N16" i="18" s="1"/>
  <c r="G16" i="28" s="1"/>
  <c r="H16" i="28" s="1"/>
  <c r="AB6" i="12"/>
  <c r="N6" i="18" s="1"/>
  <c r="G6" i="28" s="1"/>
  <c r="H6" i="28" s="1"/>
  <c r="AB119" i="12"/>
  <c r="N119" i="18" s="1"/>
  <c r="G119" i="28" s="1"/>
  <c r="H119" i="28" s="1"/>
  <c r="AM11" i="12"/>
  <c r="AE11" i="12" s="1"/>
  <c r="AB129" i="12"/>
  <c r="N129" i="18" s="1"/>
  <c r="G129" i="28" s="1"/>
  <c r="H129" i="28" s="1"/>
  <c r="AB97" i="12"/>
  <c r="N97" i="18" s="1"/>
  <c r="G97" i="28" s="1"/>
  <c r="H97" i="28" s="1"/>
  <c r="AB167" i="12"/>
  <c r="N167" i="18" s="1"/>
  <c r="G167" i="28" s="1"/>
  <c r="H167" i="28" s="1"/>
  <c r="AB13" i="12"/>
  <c r="N13" i="18" s="1"/>
  <c r="G13" i="28" s="1"/>
  <c r="H13" i="28" s="1"/>
  <c r="AB36" i="12"/>
  <c r="N36" i="18" s="1"/>
  <c r="G36" i="28" s="1"/>
  <c r="H36" i="28" s="1"/>
  <c r="AB19" i="12"/>
  <c r="N19" i="18" s="1"/>
  <c r="G19" i="28" s="1"/>
  <c r="H19" i="28" s="1"/>
  <c r="AB10" i="12"/>
  <c r="N10" i="18" s="1"/>
  <c r="G10" i="28" s="1"/>
  <c r="H10" i="28" s="1"/>
  <c r="AB25" i="12"/>
  <c r="N25" i="18" s="1"/>
  <c r="G25" i="28" s="1"/>
  <c r="H25" i="28" s="1"/>
  <c r="AB81" i="12"/>
  <c r="N81" i="18" s="1"/>
  <c r="G81" i="28" s="1"/>
  <c r="H81" i="28" s="1"/>
  <c r="AB17" i="12"/>
  <c r="N17" i="18" s="1"/>
  <c r="G17" i="28" s="1"/>
  <c r="H17" i="28" s="1"/>
  <c r="AQ40" i="10"/>
  <c r="AM70" i="12"/>
  <c r="AC70" i="12" s="1"/>
  <c r="O70" i="18" s="1"/>
  <c r="AB24" i="12"/>
  <c r="N24" i="18" s="1"/>
  <c r="G24" i="28" s="1"/>
  <c r="H24" i="28" s="1"/>
  <c r="AB142" i="12"/>
  <c r="N142" i="18" s="1"/>
  <c r="G142" i="28" s="1"/>
  <c r="H142" i="28" s="1"/>
  <c r="AB143" i="12"/>
  <c r="N143" i="18" s="1"/>
  <c r="G143" i="28" s="1"/>
  <c r="H143" i="28" s="1"/>
  <c r="AM98" i="12"/>
  <c r="AE98" i="12" s="1"/>
  <c r="AB43" i="12"/>
  <c r="N43" i="18" s="1"/>
  <c r="G43" i="28" s="1"/>
  <c r="H43" i="28" s="1"/>
  <c r="AB47" i="12"/>
  <c r="N47" i="18" s="1"/>
  <c r="G47" i="28" s="1"/>
  <c r="H47" i="28" s="1"/>
  <c r="AB15" i="12"/>
  <c r="N15" i="18" s="1"/>
  <c r="G15" i="28" s="1"/>
  <c r="H15" i="28" s="1"/>
  <c r="AQ20" i="10"/>
  <c r="AB103" i="12"/>
  <c r="N103" i="18" s="1"/>
  <c r="G103" i="28" s="1"/>
  <c r="H103" i="28" s="1"/>
  <c r="AB100" i="12"/>
  <c r="N100" i="18" s="1"/>
  <c r="G100" i="28" s="1"/>
  <c r="H100" i="28" s="1"/>
  <c r="AQ33" i="10"/>
  <c r="AB18" i="12"/>
  <c r="N18" i="18" s="1"/>
  <c r="G18" i="28" s="1"/>
  <c r="H18" i="28" s="1"/>
  <c r="AB70" i="12"/>
  <c r="N70" i="18" s="1"/>
  <c r="G70" i="28" s="1"/>
  <c r="H70" i="28" s="1"/>
  <c r="AB22" i="12"/>
  <c r="N22" i="18" s="1"/>
  <c r="G22" i="28" s="1"/>
  <c r="H22" i="28" s="1"/>
  <c r="AB41" i="12"/>
  <c r="N41" i="18" s="1"/>
  <c r="G41" i="28" s="1"/>
  <c r="H41" i="28" s="1"/>
  <c r="AB147" i="12"/>
  <c r="N147" i="18" s="1"/>
  <c r="G147" i="28" s="1"/>
  <c r="H147" i="28" s="1"/>
  <c r="AB49" i="12"/>
  <c r="N49" i="18" s="1"/>
  <c r="G49" i="28" s="1"/>
  <c r="H49" i="28" s="1"/>
  <c r="AM56" i="12"/>
  <c r="AE56" i="12" s="1"/>
  <c r="AB93" i="12"/>
  <c r="N93" i="18" s="1"/>
  <c r="G93" i="28" s="1"/>
  <c r="H93" i="28" s="1"/>
  <c r="AB87" i="12"/>
  <c r="N87" i="18" s="1"/>
  <c r="G87" i="28" s="1"/>
  <c r="H87" i="28" s="1"/>
  <c r="AB23" i="12"/>
  <c r="N23" i="18" s="1"/>
  <c r="G23" i="28" s="1"/>
  <c r="H23" i="28" s="1"/>
  <c r="AB12" i="12"/>
  <c r="N12" i="18" s="1"/>
  <c r="G12" i="28" s="1"/>
  <c r="H12" i="28" s="1"/>
  <c r="AB35" i="12"/>
  <c r="N35" i="18" s="1"/>
  <c r="G35" i="28" s="1"/>
  <c r="H35" i="28" s="1"/>
  <c r="AB102" i="12"/>
  <c r="N102" i="18" s="1"/>
  <c r="G102" i="28" s="1"/>
  <c r="H102" i="28" s="1"/>
  <c r="AM107" i="12"/>
  <c r="AE107" i="12" s="1"/>
  <c r="AB52" i="12"/>
  <c r="N52" i="18" s="1"/>
  <c r="G52" i="28" s="1"/>
  <c r="H52" i="28" s="1"/>
  <c r="AM148" i="12"/>
  <c r="AE148" i="12" s="1"/>
  <c r="AB46" i="12"/>
  <c r="N46" i="18" s="1"/>
  <c r="G46" i="28" s="1"/>
  <c r="H46" i="28" s="1"/>
  <c r="AS4" i="13"/>
  <c r="AT4" i="13"/>
  <c r="AS31" i="13"/>
  <c r="AS29" i="13"/>
  <c r="AT31" i="13"/>
  <c r="AM137" i="12"/>
  <c r="AC137" i="12" s="1"/>
  <c r="O137" i="18" s="1"/>
  <c r="AB37" i="12"/>
  <c r="N37" i="18" s="1"/>
  <c r="G37" i="28" s="1"/>
  <c r="H37" i="28" s="1"/>
  <c r="AB48" i="12"/>
  <c r="N48" i="18" s="1"/>
  <c r="G48" i="28" s="1"/>
  <c r="H48" i="28" s="1"/>
  <c r="AB40" i="12"/>
  <c r="N40" i="18" s="1"/>
  <c r="G40" i="28" s="1"/>
  <c r="H40" i="28" s="1"/>
  <c r="AB51" i="12"/>
  <c r="N51" i="18" s="1"/>
  <c r="G51" i="28" s="1"/>
  <c r="H51" i="28" s="1"/>
  <c r="AM36" i="12"/>
  <c r="AE36" i="12" s="1"/>
  <c r="AM88" i="12"/>
  <c r="AM102" i="12"/>
  <c r="AE102" i="12" s="1"/>
  <c r="AM68" i="12"/>
  <c r="AE68" i="12" s="1"/>
  <c r="AB7" i="12"/>
  <c r="N7" i="18" s="1"/>
  <c r="G7" i="28" s="1"/>
  <c r="H7" i="28" s="1"/>
  <c r="AB50" i="12"/>
  <c r="N50" i="18" s="1"/>
  <c r="G50" i="28" s="1"/>
  <c r="H50" i="28" s="1"/>
  <c r="AB8" i="12"/>
  <c r="N8" i="18" s="1"/>
  <c r="G8" i="28" s="1"/>
  <c r="H8" i="28" s="1"/>
  <c r="AB44" i="12"/>
  <c r="N44" i="18" s="1"/>
  <c r="G44" i="28" s="1"/>
  <c r="H44" i="28" s="1"/>
  <c r="AB9" i="12"/>
  <c r="N9" i="18" s="1"/>
  <c r="G9" i="28" s="1"/>
  <c r="H9" i="28" s="1"/>
  <c r="AB5" i="12"/>
  <c r="N5" i="18" s="1"/>
  <c r="G5" i="28" s="1"/>
  <c r="H5" i="28" s="1"/>
  <c r="AQ4" i="10"/>
  <c r="AM5" i="12" s="1"/>
  <c r="AC5" i="12" s="1"/>
  <c r="O5" i="18" s="1"/>
  <c r="BB178" i="12"/>
  <c r="BB170" i="12"/>
  <c r="BB166" i="12"/>
  <c r="BB164" i="12"/>
  <c r="BB167" i="12"/>
  <c r="BB174" i="12"/>
  <c r="BB171" i="12"/>
  <c r="BB162" i="12"/>
  <c r="BB175" i="12"/>
  <c r="BB169" i="12"/>
  <c r="BB173" i="12"/>
  <c r="BB183" i="12"/>
  <c r="W89" i="9"/>
  <c r="W39" i="9"/>
  <c r="W123" i="9"/>
  <c r="W10" i="9"/>
  <c r="W59" i="9"/>
  <c r="AI1" i="13"/>
  <c r="R1" i="13"/>
  <c r="AI57" i="13"/>
  <c r="AI56" i="13"/>
  <c r="AI52" i="13"/>
  <c r="AI48" i="13"/>
  <c r="AI53" i="13"/>
  <c r="AI49" i="13"/>
  <c r="AI44" i="13"/>
  <c r="AI42" i="13"/>
  <c r="AI41" i="13"/>
  <c r="AT33" i="13"/>
  <c r="AS7" i="13"/>
  <c r="AI47" i="13"/>
  <c r="AI43" i="13"/>
  <c r="AI40" i="13"/>
  <c r="AI54" i="13"/>
  <c r="AI45" i="13"/>
  <c r="AI55" i="13"/>
  <c r="AI46" i="13"/>
  <c r="AI51" i="13"/>
  <c r="AI50" i="13"/>
  <c r="W140" i="5"/>
  <c r="U140" i="5" s="1"/>
  <c r="W141" i="5"/>
  <c r="U141" i="5" s="1"/>
  <c r="W142" i="5"/>
  <c r="U142" i="5" s="1"/>
  <c r="W144" i="5"/>
  <c r="U144" i="5" s="1"/>
  <c r="W143" i="5"/>
  <c r="U143" i="5" s="1"/>
  <c r="W145" i="5"/>
  <c r="U145" i="5" s="1"/>
  <c r="V231" i="9"/>
  <c r="T231" i="9" s="1"/>
  <c r="W107" i="6"/>
  <c r="U107" i="6" s="1"/>
  <c r="W109" i="6"/>
  <c r="U109" i="6" s="1"/>
  <c r="V83" i="9"/>
  <c r="T83" i="9" s="1"/>
  <c r="W84" i="6"/>
  <c r="U84" i="6" s="1"/>
  <c r="W89" i="6"/>
  <c r="U89" i="6" s="1"/>
  <c r="W88" i="6"/>
  <c r="U88" i="6" s="1"/>
  <c r="V84" i="9"/>
  <c r="T84" i="9" s="1"/>
  <c r="W83" i="6"/>
  <c r="U83" i="6" s="1"/>
  <c r="W85" i="6"/>
  <c r="U85" i="6" s="1"/>
  <c r="V82" i="9"/>
  <c r="T82" i="9" s="1"/>
  <c r="W82" i="6"/>
  <c r="U82" i="6" s="1"/>
  <c r="W86" i="6"/>
  <c r="U86" i="6" s="1"/>
  <c r="V81" i="9"/>
  <c r="T81" i="9" s="1"/>
  <c r="W81" i="6"/>
  <c r="U81" i="6" s="1"/>
  <c r="W87" i="6"/>
  <c r="U87" i="6" s="1"/>
  <c r="W112" i="6"/>
  <c r="U112" i="6" s="1"/>
  <c r="W111" i="6"/>
  <c r="U111" i="6" s="1"/>
  <c r="W132" i="6"/>
  <c r="U132" i="6" s="1"/>
  <c r="W131" i="6"/>
  <c r="U131" i="6" s="1"/>
  <c r="W108" i="6"/>
  <c r="U108" i="6" s="1"/>
  <c r="W110" i="6"/>
  <c r="U110" i="6" s="1"/>
  <c r="W27" i="6"/>
  <c r="U27" i="6" s="1"/>
  <c r="W22" i="6"/>
  <c r="U22" i="6" s="1"/>
  <c r="V27" i="9"/>
  <c r="T27" i="9" s="1"/>
  <c r="W25" i="6"/>
  <c r="U25" i="6" s="1"/>
  <c r="V23" i="9"/>
  <c r="T23" i="9" s="1"/>
  <c r="W24" i="6"/>
  <c r="U24" i="6" s="1"/>
  <c r="V26" i="9"/>
  <c r="T26" i="9" s="1"/>
  <c r="V22" i="9"/>
  <c r="T22" i="9" s="1"/>
  <c r="W23" i="6"/>
  <c r="U23" i="6" s="1"/>
  <c r="V25" i="9"/>
  <c r="T25" i="9" s="1"/>
  <c r="W26" i="6"/>
  <c r="U26" i="6" s="1"/>
  <c r="D13" i="8"/>
  <c r="W143" i="6"/>
  <c r="U143" i="6" s="1"/>
  <c r="W142" i="6"/>
  <c r="U142" i="6" s="1"/>
  <c r="V10" i="9"/>
  <c r="T10" i="9" s="1"/>
  <c r="W136" i="6"/>
  <c r="U136" i="6" s="1"/>
  <c r="W140" i="6"/>
  <c r="U140" i="6" s="1"/>
  <c r="W137" i="6"/>
  <c r="U137" i="6" s="1"/>
  <c r="W139" i="6"/>
  <c r="U139" i="6" s="1"/>
  <c r="W138" i="6"/>
  <c r="U138" i="6" s="1"/>
  <c r="W113" i="6"/>
  <c r="U113" i="6" s="1"/>
  <c r="W133" i="6"/>
  <c r="U133" i="6" s="1"/>
  <c r="W114" i="6"/>
  <c r="U114" i="6" s="1"/>
  <c r="W130" i="6"/>
  <c r="U130" i="6" s="1"/>
  <c r="W115" i="6"/>
  <c r="U115" i="6" s="1"/>
  <c r="W116" i="6"/>
  <c r="U116" i="6" s="1"/>
  <c r="W117" i="6"/>
  <c r="U117" i="6" s="1"/>
  <c r="W118" i="6"/>
  <c r="U118" i="6" s="1"/>
  <c r="W119" i="6"/>
  <c r="U119" i="6" s="1"/>
  <c r="W120" i="6"/>
  <c r="U120" i="6" s="1"/>
  <c r="W121" i="6"/>
  <c r="U121" i="6" s="1"/>
  <c r="W80" i="6"/>
  <c r="U80" i="6" s="1"/>
  <c r="W79" i="6"/>
  <c r="U79" i="6" s="1"/>
  <c r="W122" i="6"/>
  <c r="U122" i="6" s="1"/>
  <c r="D147" i="5"/>
  <c r="W146" i="5"/>
  <c r="U146" i="5" s="1"/>
  <c r="D49" i="5"/>
  <c r="D178" i="5"/>
  <c r="D59" i="5"/>
  <c r="D165" i="5"/>
  <c r="D92" i="5"/>
  <c r="D82" i="5"/>
  <c r="D120" i="5"/>
  <c r="D192" i="5"/>
  <c r="D138" i="5"/>
  <c r="D11" i="5"/>
  <c r="D160" i="6"/>
  <c r="D91" i="6"/>
  <c r="W90" i="6"/>
  <c r="U90" i="6" s="1"/>
  <c r="D9" i="6"/>
  <c r="W8" i="6"/>
  <c r="U8" i="6" s="1"/>
  <c r="D59" i="6"/>
  <c r="W58" i="6"/>
  <c r="U58" i="6" s="1"/>
  <c r="D39" i="6"/>
  <c r="W38" i="6"/>
  <c r="U38" i="6" s="1"/>
  <c r="D124" i="6"/>
  <c r="W123" i="6"/>
  <c r="U123" i="6" s="1"/>
  <c r="A7" i="4"/>
  <c r="B6" i="4"/>
  <c r="AH9" i="20" l="1"/>
  <c r="AH24" i="20"/>
  <c r="AF24" i="20" s="1"/>
  <c r="AH81" i="20"/>
  <c r="AF81" i="20" s="1"/>
  <c r="AH34" i="20"/>
  <c r="AF34" i="20" s="1"/>
  <c r="AH10" i="20"/>
  <c r="AH31" i="20"/>
  <c r="AF31" i="20" s="1"/>
  <c r="AH26" i="20"/>
  <c r="AF26" i="20" s="1"/>
  <c r="AH21" i="20"/>
  <c r="AF21" i="20" s="1"/>
  <c r="AH23" i="20"/>
  <c r="AH84" i="20"/>
  <c r="AF84" i="20" s="1"/>
  <c r="AH85" i="20"/>
  <c r="AF85" i="20" s="1"/>
  <c r="AH33" i="20"/>
  <c r="AF33" i="20" s="1"/>
  <c r="AH7" i="20"/>
  <c r="AH30" i="20"/>
  <c r="AF30" i="20" s="1"/>
  <c r="AH22" i="20"/>
  <c r="AF22" i="20" s="1"/>
  <c r="AH27" i="20"/>
  <c r="AF27" i="20" s="1"/>
  <c r="AH83" i="20"/>
  <c r="AH35" i="20"/>
  <c r="AF35" i="20" s="1"/>
  <c r="AH6" i="20"/>
  <c r="AH8" i="20"/>
  <c r="AH25" i="20"/>
  <c r="AH28" i="20"/>
  <c r="AF28" i="20" s="1"/>
  <c r="AH82" i="20"/>
  <c r="K94" i="8"/>
  <c r="M93" i="8"/>
  <c r="K122" i="8"/>
  <c r="M121" i="8"/>
  <c r="A18" i="8"/>
  <c r="C17" i="8"/>
  <c r="D17" i="8" s="1"/>
  <c r="E17" i="8"/>
  <c r="AU175" i="12"/>
  <c r="AA175" i="12" s="1"/>
  <c r="M175" i="18" s="1"/>
  <c r="V191" i="9"/>
  <c r="T191" i="9" s="1"/>
  <c r="V195" i="9"/>
  <c r="T195" i="9" s="1"/>
  <c r="V193" i="9"/>
  <c r="T193" i="9" s="1"/>
  <c r="V196" i="9"/>
  <c r="T196" i="9" s="1"/>
  <c r="V192" i="9"/>
  <c r="T192" i="9" s="1"/>
  <c r="V194" i="9"/>
  <c r="T194" i="9" s="1"/>
  <c r="V190" i="9"/>
  <c r="T190" i="9" s="1"/>
  <c r="V211" i="9"/>
  <c r="T211" i="9" s="1"/>
  <c r="V212" i="9"/>
  <c r="T212" i="9" s="1"/>
  <c r="V210" i="9"/>
  <c r="T210" i="9" s="1"/>
  <c r="V213" i="9"/>
  <c r="T213" i="9" s="1"/>
  <c r="V159" i="9"/>
  <c r="T159" i="9" s="1"/>
  <c r="V160" i="9"/>
  <c r="T160" i="9" s="1"/>
  <c r="V38" i="9"/>
  <c r="T38" i="9" s="1"/>
  <c r="V319" i="9"/>
  <c r="T319" i="9" s="1"/>
  <c r="V317" i="9"/>
  <c r="T317" i="9" s="1"/>
  <c r="V169" i="9"/>
  <c r="T169" i="9" s="1"/>
  <c r="V321" i="9"/>
  <c r="T321" i="9" s="1"/>
  <c r="V312" i="9"/>
  <c r="T312" i="9" s="1"/>
  <c r="V318" i="9"/>
  <c r="T318" i="9" s="1"/>
  <c r="V316" i="9"/>
  <c r="T316" i="9" s="1"/>
  <c r="V163" i="9"/>
  <c r="T163" i="9" s="1"/>
  <c r="V170" i="9"/>
  <c r="T170" i="9" s="1"/>
  <c r="V315" i="9"/>
  <c r="T315" i="9" s="1"/>
  <c r="V162" i="9"/>
  <c r="T162" i="9" s="1"/>
  <c r="V164" i="9"/>
  <c r="T164" i="9" s="1"/>
  <c r="V313" i="9"/>
  <c r="T313" i="9" s="1"/>
  <c r="V167" i="9"/>
  <c r="T167" i="9" s="1"/>
  <c r="V161" i="9"/>
  <c r="T161" i="9" s="1"/>
  <c r="V166" i="9"/>
  <c r="T166" i="9" s="1"/>
  <c r="V310" i="9"/>
  <c r="T310" i="9" s="1"/>
  <c r="V311" i="9"/>
  <c r="T311" i="9" s="1"/>
  <c r="V320" i="9"/>
  <c r="T320" i="9" s="1"/>
  <c r="V309" i="9"/>
  <c r="T309" i="9" s="1"/>
  <c r="V168" i="9"/>
  <c r="T168" i="9" s="1"/>
  <c r="V314" i="9"/>
  <c r="T314" i="9" s="1"/>
  <c r="V172" i="9"/>
  <c r="T172" i="9" s="1"/>
  <c r="V165" i="9"/>
  <c r="T165" i="9" s="1"/>
  <c r="V171" i="9"/>
  <c r="T171" i="9" s="1"/>
  <c r="AF414" i="20"/>
  <c r="AF413" i="9" s="1"/>
  <c r="AF419" i="20"/>
  <c r="AB400" i="20"/>
  <c r="AB398" i="9"/>
  <c r="AC399" i="20"/>
  <c r="AC398" i="9" s="1"/>
  <c r="AB374" i="20"/>
  <c r="AB372" i="9"/>
  <c r="AC373" i="20"/>
  <c r="AC372" i="9" s="1"/>
  <c r="AF418" i="20"/>
  <c r="AF417" i="20"/>
  <c r="AB306" i="20"/>
  <c r="AB304" i="9"/>
  <c r="AF415" i="20"/>
  <c r="AF414" i="9" s="1"/>
  <c r="AF413" i="20"/>
  <c r="AF412" i="9" s="1"/>
  <c r="AU178" i="12"/>
  <c r="AA178" i="12" s="1"/>
  <c r="M178" i="18" s="1"/>
  <c r="AU170" i="12"/>
  <c r="AA170" i="12" s="1"/>
  <c r="M170" i="18" s="1"/>
  <c r="BC173" i="12"/>
  <c r="BC180" i="12"/>
  <c r="BC177" i="12"/>
  <c r="M164" i="18"/>
  <c r="AU167" i="12"/>
  <c r="AA167" i="12" s="1"/>
  <c r="M167" i="18" s="1"/>
  <c r="M166" i="18"/>
  <c r="AU183" i="12"/>
  <c r="AA183" i="12" s="1"/>
  <c r="M183" i="18" s="1"/>
  <c r="AA127" i="12"/>
  <c r="M127" i="18" s="1"/>
  <c r="V73" i="9"/>
  <c r="T73" i="9" s="1"/>
  <c r="V72" i="9"/>
  <c r="T72" i="9" s="1"/>
  <c r="AD36" i="12"/>
  <c r="P36" i="18" s="1"/>
  <c r="AD148" i="12"/>
  <c r="P148" i="18" s="1"/>
  <c r="AD98" i="12"/>
  <c r="P98" i="18" s="1"/>
  <c r="AD11" i="12"/>
  <c r="P11" i="18" s="1"/>
  <c r="AD55" i="12"/>
  <c r="P55" i="18" s="1"/>
  <c r="AD19" i="12"/>
  <c r="P19" i="18" s="1"/>
  <c r="AD179" i="12"/>
  <c r="P179" i="18" s="1"/>
  <c r="AD67" i="12"/>
  <c r="P67" i="18" s="1"/>
  <c r="AD118" i="12"/>
  <c r="P118" i="18" s="1"/>
  <c r="AD167" i="12"/>
  <c r="P167" i="18" s="1"/>
  <c r="AD42" i="12"/>
  <c r="P42" i="18" s="1"/>
  <c r="AD175" i="12"/>
  <c r="P175" i="18" s="1"/>
  <c r="AD183" i="12"/>
  <c r="P183" i="18" s="1"/>
  <c r="AD123" i="12"/>
  <c r="P123" i="18" s="1"/>
  <c r="V36" i="9"/>
  <c r="T36" i="9" s="1"/>
  <c r="V37" i="9"/>
  <c r="T37" i="9" s="1"/>
  <c r="V35" i="9"/>
  <c r="T35" i="9" s="1"/>
  <c r="V39" i="9"/>
  <c r="T39" i="9" s="1"/>
  <c r="AD68" i="12"/>
  <c r="P68" i="18" s="1"/>
  <c r="AD57" i="12"/>
  <c r="P57" i="18" s="1"/>
  <c r="AD147" i="12"/>
  <c r="P147" i="18" s="1"/>
  <c r="AD39" i="12"/>
  <c r="P39" i="18" s="1"/>
  <c r="AD51" i="12"/>
  <c r="P51" i="18" s="1"/>
  <c r="AD150" i="12"/>
  <c r="P150" i="18" s="1"/>
  <c r="AD37" i="12"/>
  <c r="P37" i="18" s="1"/>
  <c r="AD32" i="12"/>
  <c r="P32" i="18" s="1"/>
  <c r="AD121" i="12"/>
  <c r="P121" i="18" s="1"/>
  <c r="AA5" i="12"/>
  <c r="M5" i="18" s="1"/>
  <c r="V52" i="9"/>
  <c r="T52" i="9" s="1"/>
  <c r="V53" i="9"/>
  <c r="T53" i="9" s="1"/>
  <c r="V51" i="9"/>
  <c r="T51" i="9" s="1"/>
  <c r="AD102" i="12"/>
  <c r="P102" i="18" s="1"/>
  <c r="AD56" i="12"/>
  <c r="P56" i="18" s="1"/>
  <c r="AD95" i="12"/>
  <c r="P95" i="18" s="1"/>
  <c r="AD114" i="12"/>
  <c r="P114" i="18" s="1"/>
  <c r="AD171" i="12"/>
  <c r="P171" i="18" s="1"/>
  <c r="AD131" i="12"/>
  <c r="P131" i="18" s="1"/>
  <c r="AD83" i="12"/>
  <c r="P83" i="18" s="1"/>
  <c r="AD151" i="12"/>
  <c r="P151" i="18" s="1"/>
  <c r="AD130" i="12"/>
  <c r="P130" i="18" s="1"/>
  <c r="AD107" i="12"/>
  <c r="P107" i="18" s="1"/>
  <c r="AD7" i="12"/>
  <c r="P7" i="18" s="1"/>
  <c r="AD163" i="12"/>
  <c r="P163" i="18" s="1"/>
  <c r="AD115" i="12"/>
  <c r="P115" i="18" s="1"/>
  <c r="AD152" i="12"/>
  <c r="P152" i="18" s="1"/>
  <c r="AF308" i="20"/>
  <c r="AF307" i="9" s="1"/>
  <c r="AF6" i="20"/>
  <c r="AF8" i="20"/>
  <c r="AF305" i="20"/>
  <c r="AF304" i="9" s="1"/>
  <c r="AF306" i="20"/>
  <c r="AF305" i="9" s="1"/>
  <c r="AF381" i="20"/>
  <c r="AF380" i="9" s="1"/>
  <c r="AF307" i="20"/>
  <c r="AF306" i="9" s="1"/>
  <c r="AF301" i="20"/>
  <c r="AF300" i="9" s="1"/>
  <c r="AF300" i="20"/>
  <c r="AF299" i="9" s="1"/>
  <c r="AF374" i="20"/>
  <c r="AF373" i="9" s="1"/>
  <c r="AF375" i="20"/>
  <c r="AF374" i="9" s="1"/>
  <c r="AF262" i="20"/>
  <c r="AF261" i="9" s="1"/>
  <c r="AF83" i="20"/>
  <c r="AF256" i="20"/>
  <c r="AF255" i="9" s="1"/>
  <c r="AF255" i="20"/>
  <c r="AF254" i="9" s="1"/>
  <c r="AF258" i="20"/>
  <c r="AF257" i="9" s="1"/>
  <c r="AF309" i="20"/>
  <c r="AF308" i="9" s="1"/>
  <c r="AF9" i="20"/>
  <c r="AF382" i="20"/>
  <c r="AF381" i="9" s="1"/>
  <c r="AF383" i="20"/>
  <c r="AF382" i="9" s="1"/>
  <c r="AF385" i="20"/>
  <c r="AF384" i="9" s="1"/>
  <c r="AF386" i="20"/>
  <c r="AF385" i="9" s="1"/>
  <c r="AF152" i="20"/>
  <c r="AF151" i="9" s="1"/>
  <c r="AF379" i="20"/>
  <c r="AF378" i="9" s="1"/>
  <c r="AF25" i="20"/>
  <c r="AF410" i="20"/>
  <c r="AF409" i="9" s="1"/>
  <c r="AF376" i="20"/>
  <c r="AF375" i="9" s="1"/>
  <c r="AF253" i="20"/>
  <c r="AF252" i="9" s="1"/>
  <c r="AF82" i="20"/>
  <c r="AF254" i="20"/>
  <c r="AF253" i="9" s="1"/>
  <c r="AF261" i="20"/>
  <c r="AF260" i="9" s="1"/>
  <c r="AF159" i="20"/>
  <c r="AF158" i="9" s="1"/>
  <c r="AF10" i="20"/>
  <c r="AF156" i="20"/>
  <c r="AF155" i="9" s="1"/>
  <c r="AF157" i="20"/>
  <c r="AF156" i="9" s="1"/>
  <c r="AF384" i="20"/>
  <c r="AF383" i="9" s="1"/>
  <c r="AF378" i="20"/>
  <c r="AF377" i="9" s="1"/>
  <c r="AF154" i="20"/>
  <c r="AF153" i="9" s="1"/>
  <c r="AF153" i="20"/>
  <c r="AF152" i="9" s="1"/>
  <c r="AF377" i="20"/>
  <c r="AF376" i="9" s="1"/>
  <c r="AF412" i="20"/>
  <c r="AF411" i="9" s="1"/>
  <c r="AF264" i="20"/>
  <c r="AF263" i="9" s="1"/>
  <c r="AF260" i="20"/>
  <c r="AF259" i="9" s="1"/>
  <c r="AF259" i="20"/>
  <c r="AF258" i="9" s="1"/>
  <c r="AF158" i="20"/>
  <c r="AF157" i="9" s="1"/>
  <c r="AF7" i="20"/>
  <c r="AF302" i="20"/>
  <c r="AF301" i="9" s="1"/>
  <c r="AF304" i="20"/>
  <c r="AF303" i="9" s="1"/>
  <c r="AF303" i="20"/>
  <c r="AF302" i="9" s="1"/>
  <c r="AF411" i="20"/>
  <c r="AF410" i="9" s="1"/>
  <c r="AF155" i="20"/>
  <c r="AF154" i="9" s="1"/>
  <c r="AF23" i="20"/>
  <c r="AF409" i="20"/>
  <c r="AF408" i="9" s="1"/>
  <c r="AF380" i="20"/>
  <c r="AF379" i="9" s="1"/>
  <c r="AF265" i="20"/>
  <c r="AF264" i="9" s="1"/>
  <c r="AF257" i="20"/>
  <c r="AF256" i="9" s="1"/>
  <c r="A127" i="9"/>
  <c r="A16" i="9"/>
  <c r="A65" i="9"/>
  <c r="A94" i="9"/>
  <c r="V62" i="20"/>
  <c r="T62" i="20" s="1"/>
  <c r="V65" i="20"/>
  <c r="T65" i="20" s="1"/>
  <c r="V214" i="20"/>
  <c r="T214" i="20" s="1"/>
  <c r="AH214" i="20" s="1"/>
  <c r="AH213" i="9" s="1"/>
  <c r="V63" i="20"/>
  <c r="T63" i="20" s="1"/>
  <c r="V61" i="20"/>
  <c r="T61" i="20" s="1"/>
  <c r="V213" i="20"/>
  <c r="T213" i="20" s="1"/>
  <c r="AH213" i="20" s="1"/>
  <c r="AH212" i="9" s="1"/>
  <c r="V64" i="20"/>
  <c r="T64" i="20" s="1"/>
  <c r="V211" i="20"/>
  <c r="T211" i="20" s="1"/>
  <c r="AH211" i="20" s="1"/>
  <c r="AH210" i="9" s="1"/>
  <c r="V212" i="20"/>
  <c r="T212" i="20" s="1"/>
  <c r="AH212" i="20" s="1"/>
  <c r="AH211" i="9" s="1"/>
  <c r="V72" i="20"/>
  <c r="T72" i="20" s="1"/>
  <c r="V74" i="20"/>
  <c r="T74" i="20" s="1"/>
  <c r="V73" i="20"/>
  <c r="T73" i="20" s="1"/>
  <c r="V232" i="20"/>
  <c r="T232" i="20" s="1"/>
  <c r="AH232" i="20" s="1"/>
  <c r="V161" i="20"/>
  <c r="T161" i="20" s="1"/>
  <c r="AH161" i="20" s="1"/>
  <c r="AH160" i="9" s="1"/>
  <c r="V36" i="20"/>
  <c r="T36" i="20" s="1"/>
  <c r="V37" i="20"/>
  <c r="T37" i="20" s="1"/>
  <c r="V38" i="20"/>
  <c r="T38" i="20" s="1"/>
  <c r="V160" i="20"/>
  <c r="T160" i="20" s="1"/>
  <c r="AH160" i="20" s="1"/>
  <c r="AH159" i="9" s="1"/>
  <c r="V43" i="20"/>
  <c r="T43" i="20" s="1"/>
  <c r="V169" i="20"/>
  <c r="T169" i="20" s="1"/>
  <c r="AH169" i="20" s="1"/>
  <c r="AH168" i="9" s="1"/>
  <c r="V310" i="20"/>
  <c r="T310" i="20" s="1"/>
  <c r="AH310" i="20" s="1"/>
  <c r="AH309" i="9" s="1"/>
  <c r="V44" i="20"/>
  <c r="T44" i="20" s="1"/>
  <c r="V170" i="20"/>
  <c r="T170" i="20" s="1"/>
  <c r="AH170" i="20" s="1"/>
  <c r="AH169" i="9" s="1"/>
  <c r="V319" i="20"/>
  <c r="T319" i="20" s="1"/>
  <c r="AH319" i="20" s="1"/>
  <c r="AH318" i="9" s="1"/>
  <c r="V316" i="20"/>
  <c r="T316" i="20" s="1"/>
  <c r="AH316" i="20" s="1"/>
  <c r="AH315" i="9" s="1"/>
  <c r="V311" i="20"/>
  <c r="T311" i="20" s="1"/>
  <c r="AH311" i="20" s="1"/>
  <c r="AH310" i="9" s="1"/>
  <c r="V172" i="20"/>
  <c r="T172" i="20" s="1"/>
  <c r="AH172" i="20" s="1"/>
  <c r="AH171" i="9" s="1"/>
  <c r="V317" i="20"/>
  <c r="T317" i="20" s="1"/>
  <c r="AH317" i="20" s="1"/>
  <c r="AH316" i="9" s="1"/>
  <c r="V312" i="20"/>
  <c r="T312" i="20" s="1"/>
  <c r="AH312" i="20" s="1"/>
  <c r="AH311" i="9" s="1"/>
  <c r="V163" i="20"/>
  <c r="T163" i="20" s="1"/>
  <c r="AH163" i="20" s="1"/>
  <c r="AH162" i="9" s="1"/>
  <c r="V320" i="20"/>
  <c r="T320" i="20" s="1"/>
  <c r="AH320" i="20" s="1"/>
  <c r="AH319" i="9" s="1"/>
  <c r="V167" i="20"/>
  <c r="T167" i="20" s="1"/>
  <c r="AH167" i="20" s="1"/>
  <c r="AH166" i="9" s="1"/>
  <c r="V41" i="20"/>
  <c r="T41" i="20" s="1"/>
  <c r="V171" i="20"/>
  <c r="T171" i="20" s="1"/>
  <c r="AH171" i="20" s="1"/>
  <c r="AH170" i="9" s="1"/>
  <c r="V42" i="20"/>
  <c r="T42" i="20" s="1"/>
  <c r="V322" i="20"/>
  <c r="T322" i="20" s="1"/>
  <c r="AH322" i="20" s="1"/>
  <c r="AH321" i="9" s="1"/>
  <c r="V173" i="20"/>
  <c r="T173" i="20" s="1"/>
  <c r="AH173" i="20" s="1"/>
  <c r="AH172" i="9" s="1"/>
  <c r="V40" i="20"/>
  <c r="T40" i="20" s="1"/>
  <c r="V315" i="20"/>
  <c r="T315" i="20" s="1"/>
  <c r="AH315" i="20" s="1"/>
  <c r="AH314" i="9" s="1"/>
  <c r="V318" i="20"/>
  <c r="T318" i="20" s="1"/>
  <c r="AH318" i="20" s="1"/>
  <c r="AH317" i="9" s="1"/>
  <c r="V314" i="20"/>
  <c r="T314" i="20" s="1"/>
  <c r="AH314" i="20" s="1"/>
  <c r="AH313" i="9" s="1"/>
  <c r="V162" i="20"/>
  <c r="T162" i="20" s="1"/>
  <c r="AH162" i="20" s="1"/>
  <c r="AH161" i="9" s="1"/>
  <c r="V39" i="20"/>
  <c r="T39" i="20" s="1"/>
  <c r="V164" i="20"/>
  <c r="T164" i="20" s="1"/>
  <c r="AH164" i="20" s="1"/>
  <c r="AH163" i="9" s="1"/>
  <c r="V313" i="20"/>
  <c r="T313" i="20" s="1"/>
  <c r="AH313" i="20" s="1"/>
  <c r="AH312" i="9" s="1"/>
  <c r="V166" i="20"/>
  <c r="T166" i="20" s="1"/>
  <c r="AH166" i="20" s="1"/>
  <c r="AH165" i="9" s="1"/>
  <c r="V168" i="20"/>
  <c r="T168" i="20" s="1"/>
  <c r="AH168" i="20" s="1"/>
  <c r="AH167" i="9" s="1"/>
  <c r="V165" i="20"/>
  <c r="T165" i="20" s="1"/>
  <c r="AH165" i="20" s="1"/>
  <c r="AH164" i="9" s="1"/>
  <c r="V321" i="20"/>
  <c r="T321" i="20" s="1"/>
  <c r="AH321" i="20" s="1"/>
  <c r="AH320" i="9" s="1"/>
  <c r="AA132" i="12"/>
  <c r="M132" i="18" s="1"/>
  <c r="V194" i="20"/>
  <c r="T194" i="20" s="1"/>
  <c r="AH194" i="20" s="1"/>
  <c r="AH193" i="9" s="1"/>
  <c r="V195" i="20"/>
  <c r="T195" i="20" s="1"/>
  <c r="AH195" i="20" s="1"/>
  <c r="AH194" i="9" s="1"/>
  <c r="V53" i="20"/>
  <c r="T53" i="20" s="1"/>
  <c r="V191" i="20"/>
  <c r="T191" i="20" s="1"/>
  <c r="AH191" i="20" s="1"/>
  <c r="AH190" i="9" s="1"/>
  <c r="V52" i="20"/>
  <c r="T52" i="20" s="1"/>
  <c r="V197" i="20"/>
  <c r="T197" i="20" s="1"/>
  <c r="AH197" i="20" s="1"/>
  <c r="AH196" i="9" s="1"/>
  <c r="V193" i="20"/>
  <c r="T193" i="20" s="1"/>
  <c r="AH193" i="20" s="1"/>
  <c r="AH192" i="9" s="1"/>
  <c r="V54" i="20"/>
  <c r="T54" i="20" s="1"/>
  <c r="V192" i="20"/>
  <c r="T192" i="20" s="1"/>
  <c r="AH192" i="20" s="1"/>
  <c r="AH191" i="9" s="1"/>
  <c r="V196" i="20"/>
  <c r="T196" i="20" s="1"/>
  <c r="AH196" i="20" s="1"/>
  <c r="AH195" i="9" s="1"/>
  <c r="A13" i="17"/>
  <c r="Q13" i="17" s="1"/>
  <c r="Q42" i="17"/>
  <c r="Q62" i="17"/>
  <c r="Q126" i="17"/>
  <c r="Q92" i="17"/>
  <c r="A374" i="20"/>
  <c r="W374" i="20"/>
  <c r="A260" i="20"/>
  <c r="W260" i="20"/>
  <c r="A241" i="20"/>
  <c r="W241" i="20"/>
  <c r="W223" i="20"/>
  <c r="A223" i="20"/>
  <c r="W393" i="20"/>
  <c r="AC393" i="20" s="1"/>
  <c r="AC392" i="9" s="1"/>
  <c r="A393" i="20"/>
  <c r="A407" i="20"/>
  <c r="W407" i="20"/>
  <c r="W179" i="20"/>
  <c r="A179" i="20"/>
  <c r="W103" i="20"/>
  <c r="A103" i="20"/>
  <c r="W157" i="20"/>
  <c r="A157" i="20"/>
  <c r="W314" i="20"/>
  <c r="A314" i="20"/>
  <c r="W206" i="20"/>
  <c r="A206" i="20"/>
  <c r="W362" i="20"/>
  <c r="AC362" i="20" s="1"/>
  <c r="AC361" i="9" s="1"/>
  <c r="A362" i="20"/>
  <c r="M117" i="18"/>
  <c r="BC179" i="12"/>
  <c r="AU179" i="12"/>
  <c r="AA179" i="12" s="1"/>
  <c r="M179" i="18" s="1"/>
  <c r="BC174" i="12"/>
  <c r="AU174" i="12"/>
  <c r="AA174" i="12" s="1"/>
  <c r="M174" i="18" s="1"/>
  <c r="M134" i="18"/>
  <c r="M129" i="18"/>
  <c r="M163" i="18"/>
  <c r="M138" i="18"/>
  <c r="BC171" i="12"/>
  <c r="AU171" i="12"/>
  <c r="AA171" i="12" s="1"/>
  <c r="M171" i="18" s="1"/>
  <c r="M17" i="18"/>
  <c r="M146" i="18"/>
  <c r="M130" i="18"/>
  <c r="M110" i="18"/>
  <c r="BC181" i="12"/>
  <c r="AU181" i="12"/>
  <c r="AA181" i="12" s="1"/>
  <c r="M181" i="18" s="1"/>
  <c r="M125" i="18"/>
  <c r="M140" i="18"/>
  <c r="M97" i="18"/>
  <c r="M133" i="18"/>
  <c r="M105" i="18"/>
  <c r="M137" i="18"/>
  <c r="M74" i="18"/>
  <c r="BC169" i="12"/>
  <c r="AU169" i="12"/>
  <c r="AA169" i="12" s="1"/>
  <c r="M169" i="18" s="1"/>
  <c r="BC172" i="12"/>
  <c r="AU172" i="12"/>
  <c r="AA172" i="12" s="1"/>
  <c r="M172" i="18" s="1"/>
  <c r="BC182" i="12"/>
  <c r="AU182" i="12"/>
  <c r="AA182" i="12" s="1"/>
  <c r="M182" i="18" s="1"/>
  <c r="M173" i="18"/>
  <c r="M109" i="18"/>
  <c r="M106" i="18"/>
  <c r="M141" i="18"/>
  <c r="M126" i="18"/>
  <c r="M86" i="18"/>
  <c r="M102" i="18"/>
  <c r="M145" i="18"/>
  <c r="M152" i="18"/>
  <c r="M118" i="18"/>
  <c r="M36" i="18"/>
  <c r="M165" i="18"/>
  <c r="BC176" i="12"/>
  <c r="AU176" i="12"/>
  <c r="AA176" i="12" s="1"/>
  <c r="M176" i="18" s="1"/>
  <c r="BC168" i="12"/>
  <c r="AU168" i="12"/>
  <c r="AA168" i="12" s="1"/>
  <c r="M168" i="18" s="1"/>
  <c r="BC184" i="12"/>
  <c r="AU184" i="12"/>
  <c r="AA184" i="12" s="1"/>
  <c r="M184" i="18" s="1"/>
  <c r="AA12" i="12"/>
  <c r="M12" i="18" s="1"/>
  <c r="M162" i="18"/>
  <c r="M142" i="18"/>
  <c r="M73" i="18"/>
  <c r="M41" i="18"/>
  <c r="M149" i="18"/>
  <c r="M78" i="18"/>
  <c r="M62" i="18"/>
  <c r="M67" i="18"/>
  <c r="M81" i="18"/>
  <c r="BC190" i="12"/>
  <c r="AU190" i="12"/>
  <c r="AA190" i="12" s="1"/>
  <c r="M190" i="18" s="1"/>
  <c r="AM80" i="12"/>
  <c r="AE80" i="12" s="1"/>
  <c r="AM96" i="12"/>
  <c r="AC96" i="12" s="1"/>
  <c r="O96" i="18" s="1"/>
  <c r="AE64" i="12"/>
  <c r="AM133" i="12"/>
  <c r="AC151" i="12"/>
  <c r="O151" i="18" s="1"/>
  <c r="AM101" i="12"/>
  <c r="AE101" i="12" s="1"/>
  <c r="AE132" i="12"/>
  <c r="T190" i="12"/>
  <c r="F190" i="18" s="1"/>
  <c r="AM25" i="12"/>
  <c r="AM8" i="12"/>
  <c r="AC8" i="12" s="1"/>
  <c r="O8" i="18" s="1"/>
  <c r="AM15" i="12"/>
  <c r="AM34" i="12"/>
  <c r="AE34" i="12" s="1"/>
  <c r="AM22" i="12"/>
  <c r="AE22" i="12" s="1"/>
  <c r="AM23" i="12"/>
  <c r="AM35" i="12"/>
  <c r="AE35" i="12" s="1"/>
  <c r="AM29" i="12"/>
  <c r="AE29" i="12" s="1"/>
  <c r="AM31" i="12"/>
  <c r="AM78" i="12"/>
  <c r="AE78" i="12" s="1"/>
  <c r="AM30" i="12"/>
  <c r="AC30" i="12" s="1"/>
  <c r="O30" i="18" s="1"/>
  <c r="AC53" i="12"/>
  <c r="O53" i="18" s="1"/>
  <c r="AE53" i="12"/>
  <c r="AM54" i="12"/>
  <c r="AE54" i="12" s="1"/>
  <c r="AC52" i="12"/>
  <c r="O52" i="18" s="1"/>
  <c r="AE52" i="12"/>
  <c r="AC12" i="12"/>
  <c r="O12" i="18" s="1"/>
  <c r="AE12" i="12"/>
  <c r="AC55" i="12"/>
  <c r="O55" i="18" s="1"/>
  <c r="AM27" i="12"/>
  <c r="AE27" i="12" s="1"/>
  <c r="AC19" i="12"/>
  <c r="O19" i="18" s="1"/>
  <c r="AE71" i="12"/>
  <c r="AC31" i="12"/>
  <c r="O31" i="18" s="1"/>
  <c r="AE31" i="12"/>
  <c r="AE70" i="12"/>
  <c r="AC37" i="12"/>
  <c r="O37" i="18" s="1"/>
  <c r="AC25" i="12"/>
  <c r="O25" i="18" s="1"/>
  <c r="AC57" i="12"/>
  <c r="O57" i="18" s="1"/>
  <c r="AC148" i="12"/>
  <c r="O148" i="18" s="1"/>
  <c r="AC80" i="12"/>
  <c r="O80" i="18" s="1"/>
  <c r="AC98" i="12"/>
  <c r="O98" i="18" s="1"/>
  <c r="AE46" i="12"/>
  <c r="AC101" i="12"/>
  <c r="O101" i="18" s="1"/>
  <c r="AE106" i="12"/>
  <c r="AC11" i="12"/>
  <c r="O11" i="18" s="1"/>
  <c r="AC32" i="12"/>
  <c r="O32" i="18" s="1"/>
  <c r="AC68" i="12"/>
  <c r="O68" i="18" s="1"/>
  <c r="AC133" i="12"/>
  <c r="O133" i="18" s="1"/>
  <c r="AC152" i="12"/>
  <c r="O152" i="18" s="1"/>
  <c r="AC88" i="12"/>
  <c r="O88" i="18" s="1"/>
  <c r="AC107" i="12"/>
  <c r="O107" i="18" s="1"/>
  <c r="AC102" i="12"/>
  <c r="O102" i="18" s="1"/>
  <c r="AC56" i="12"/>
  <c r="O56" i="18" s="1"/>
  <c r="AC36" i="12"/>
  <c r="O36" i="18" s="1"/>
  <c r="AC123" i="12"/>
  <c r="O123" i="18" s="1"/>
  <c r="AC121" i="12"/>
  <c r="O121" i="18" s="1"/>
  <c r="AM140" i="12"/>
  <c r="AE140" i="12" s="1"/>
  <c r="AM58" i="12"/>
  <c r="AE58" i="12" s="1"/>
  <c r="AM82" i="12"/>
  <c r="AC82" i="12" s="1"/>
  <c r="O82" i="18" s="1"/>
  <c r="AM116" i="12"/>
  <c r="AC116" i="12" s="1"/>
  <c r="O116" i="18" s="1"/>
  <c r="AM91" i="12"/>
  <c r="AE91" i="12" s="1"/>
  <c r="AM43" i="12"/>
  <c r="AE43" i="12" s="1"/>
  <c r="AM48" i="12"/>
  <c r="AE48" i="12" s="1"/>
  <c r="AM138" i="12"/>
  <c r="AE138" i="12" s="1"/>
  <c r="AM10" i="12"/>
  <c r="AC10" i="12" s="1"/>
  <c r="O10" i="18" s="1"/>
  <c r="AM100" i="12"/>
  <c r="AE100" i="12" s="1"/>
  <c r="AM6" i="12"/>
  <c r="AC6" i="12" s="1"/>
  <c r="O6" i="18" s="1"/>
  <c r="AM74" i="12"/>
  <c r="AE74" i="12" s="1"/>
  <c r="AM79" i="12"/>
  <c r="AC79" i="12" s="1"/>
  <c r="O79" i="18" s="1"/>
  <c r="AM47" i="12"/>
  <c r="AE47" i="12" s="1"/>
  <c r="AE82" i="12"/>
  <c r="AE137" i="12"/>
  <c r="AE144" i="12"/>
  <c r="AE133" i="12"/>
  <c r="AE119" i="12"/>
  <c r="AS33" i="13"/>
  <c r="AE88" i="12" s="1"/>
  <c r="AD88" i="12" s="1"/>
  <c r="P88" i="18" s="1"/>
  <c r="AT7" i="13"/>
  <c r="AM3" i="12"/>
  <c r="AC3" i="12" s="1"/>
  <c r="O3" i="18" s="1"/>
  <c r="W124" i="9"/>
  <c r="W90" i="9"/>
  <c r="W11" i="9"/>
  <c r="W60" i="9"/>
  <c r="W40" i="9"/>
  <c r="W135" i="6"/>
  <c r="U135" i="6" s="1"/>
  <c r="S1" i="13"/>
  <c r="AJ1" i="13"/>
  <c r="W47" i="5"/>
  <c r="U47" i="5" s="1"/>
  <c r="W42" i="5"/>
  <c r="U42" i="5" s="1"/>
  <c r="W45" i="5"/>
  <c r="U45" i="5" s="1"/>
  <c r="W48" i="5"/>
  <c r="U48" i="5" s="1"/>
  <c r="W41" i="5"/>
  <c r="U41" i="5" s="1"/>
  <c r="W43" i="5"/>
  <c r="U43" i="5" s="1"/>
  <c r="W81" i="5"/>
  <c r="U81" i="5" s="1"/>
  <c r="V124" i="9"/>
  <c r="T124" i="9" s="1"/>
  <c r="W44" i="5"/>
  <c r="U44" i="5" s="1"/>
  <c r="W46" i="5"/>
  <c r="U46" i="5" s="1"/>
  <c r="W77" i="5"/>
  <c r="U77" i="5" s="1"/>
  <c r="W78" i="5"/>
  <c r="U78" i="5" s="1"/>
  <c r="W80" i="5"/>
  <c r="U80" i="5" s="1"/>
  <c r="W75" i="5"/>
  <c r="U75" i="5" s="1"/>
  <c r="W79" i="5"/>
  <c r="U79" i="5" s="1"/>
  <c r="W76" i="5"/>
  <c r="U76" i="5" s="1"/>
  <c r="W110" i="5"/>
  <c r="U110" i="5" s="1"/>
  <c r="W108" i="5"/>
  <c r="U108" i="5" s="1"/>
  <c r="Z108" i="5" s="1"/>
  <c r="W111" i="5"/>
  <c r="U111" i="5" s="1"/>
  <c r="W112" i="5"/>
  <c r="U112" i="5" s="1"/>
  <c r="W109" i="5"/>
  <c r="U109" i="5" s="1"/>
  <c r="W144" i="6"/>
  <c r="U144" i="6" s="1"/>
  <c r="W146" i="6"/>
  <c r="U146" i="6" s="1"/>
  <c r="W149" i="6"/>
  <c r="U149" i="6" s="1"/>
  <c r="W147" i="6"/>
  <c r="U147" i="6" s="1"/>
  <c r="W150" i="6"/>
  <c r="U150" i="6" s="1"/>
  <c r="W145" i="6"/>
  <c r="U145" i="6" s="1"/>
  <c r="W148" i="6"/>
  <c r="U148" i="6" s="1"/>
  <c r="V40" i="9"/>
  <c r="T40" i="9" s="1"/>
  <c r="V11" i="9"/>
  <c r="T11" i="9" s="1"/>
  <c r="V60" i="9"/>
  <c r="T60" i="9" s="1"/>
  <c r="V291" i="9"/>
  <c r="T291" i="9" s="1"/>
  <c r="W184" i="6"/>
  <c r="U184" i="6" s="1"/>
  <c r="W134" i="6"/>
  <c r="U134" i="6" s="1"/>
  <c r="W151" i="6"/>
  <c r="U151" i="6" s="1"/>
  <c r="W152" i="6"/>
  <c r="U152" i="6" s="1"/>
  <c r="W153" i="6"/>
  <c r="U153" i="6" s="1"/>
  <c r="W154" i="6"/>
  <c r="U154" i="6" s="1"/>
  <c r="W155" i="6"/>
  <c r="U155" i="6" s="1"/>
  <c r="W156" i="6"/>
  <c r="U156" i="6" s="1"/>
  <c r="W157" i="6"/>
  <c r="U157" i="6" s="1"/>
  <c r="W158" i="6"/>
  <c r="U158" i="6" s="1"/>
  <c r="W183" i="6"/>
  <c r="U183" i="6" s="1"/>
  <c r="W159" i="6"/>
  <c r="U159" i="6" s="1"/>
  <c r="D12" i="5"/>
  <c r="D139" i="5"/>
  <c r="D83" i="5"/>
  <c r="W82" i="5"/>
  <c r="U82" i="5" s="1"/>
  <c r="D61" i="5"/>
  <c r="D60" i="5"/>
  <c r="D50" i="5"/>
  <c r="W49" i="5"/>
  <c r="U49" i="5" s="1"/>
  <c r="D166" i="5"/>
  <c r="D193" i="5"/>
  <c r="D93" i="5"/>
  <c r="D121" i="5"/>
  <c r="D179" i="5"/>
  <c r="D148" i="5"/>
  <c r="W147" i="5"/>
  <c r="U147" i="5" s="1"/>
  <c r="D125" i="6"/>
  <c r="W124" i="6"/>
  <c r="U124" i="6" s="1"/>
  <c r="D92" i="6"/>
  <c r="W91" i="6"/>
  <c r="U91" i="6" s="1"/>
  <c r="D10" i="6"/>
  <c r="W9" i="6"/>
  <c r="U9" i="6" s="1"/>
  <c r="D60" i="6"/>
  <c r="W59" i="6"/>
  <c r="U59" i="6" s="1"/>
  <c r="D40" i="6"/>
  <c r="W39" i="6"/>
  <c r="U39" i="6" s="1"/>
  <c r="D161" i="6"/>
  <c r="W160" i="6"/>
  <c r="U160" i="6" s="1"/>
  <c r="A8" i="4"/>
  <c r="B7" i="4"/>
  <c r="AC374" i="20" l="1"/>
  <c r="AC373" i="9" s="1"/>
  <c r="AH54" i="20"/>
  <c r="AH53" i="9" s="1"/>
  <c r="AH40" i="20"/>
  <c r="AF40" i="20" s="1"/>
  <c r="AH44" i="20"/>
  <c r="AF44" i="20" s="1"/>
  <c r="AH72" i="20"/>
  <c r="AF72" i="20" s="1"/>
  <c r="AH65" i="20"/>
  <c r="AH64" i="9" s="1"/>
  <c r="AH53" i="20"/>
  <c r="AF53" i="20" s="1"/>
  <c r="AH41" i="20"/>
  <c r="AF41" i="20" s="1"/>
  <c r="AH38" i="20"/>
  <c r="AF38" i="20" s="1"/>
  <c r="AH61" i="20"/>
  <c r="AH60" i="9" s="1"/>
  <c r="AH62" i="20"/>
  <c r="AH61" i="9" s="1"/>
  <c r="AH37" i="20"/>
  <c r="AF37" i="20" s="1"/>
  <c r="AH73" i="20"/>
  <c r="AH25" i="9" s="1"/>
  <c r="AH63" i="20"/>
  <c r="AH62" i="9" s="1"/>
  <c r="AH52" i="20"/>
  <c r="AF52" i="20" s="1"/>
  <c r="AH39" i="20"/>
  <c r="AF39" i="20" s="1"/>
  <c r="AH42" i="20"/>
  <c r="AF42" i="20" s="1"/>
  <c r="AH43" i="20"/>
  <c r="AH36" i="20"/>
  <c r="AF36" i="20" s="1"/>
  <c r="AH74" i="20"/>
  <c r="AF74" i="20" s="1"/>
  <c r="AH64" i="20"/>
  <c r="AH63" i="9" s="1"/>
  <c r="K95" i="8"/>
  <c r="M94" i="8"/>
  <c r="K123" i="8"/>
  <c r="M122" i="8"/>
  <c r="AF417" i="9"/>
  <c r="AF416" i="9"/>
  <c r="AF418" i="9"/>
  <c r="A19" i="8"/>
  <c r="E18" i="8"/>
  <c r="C18" i="8"/>
  <c r="D18" i="8" s="1"/>
  <c r="V285" i="9"/>
  <c r="T285" i="9" s="1"/>
  <c r="V283" i="9"/>
  <c r="T283" i="9" s="1"/>
  <c r="V284" i="9"/>
  <c r="T284" i="9" s="1"/>
  <c r="V280" i="9"/>
  <c r="T280" i="9" s="1"/>
  <c r="V281" i="9"/>
  <c r="T281" i="9" s="1"/>
  <c r="V282" i="9"/>
  <c r="T282" i="9" s="1"/>
  <c r="V181" i="9"/>
  <c r="T181" i="9" s="1"/>
  <c r="V322" i="9"/>
  <c r="T322" i="9" s="1"/>
  <c r="V175" i="9"/>
  <c r="T175" i="9" s="1"/>
  <c r="V326" i="9"/>
  <c r="T326" i="9" s="1"/>
  <c r="V179" i="9"/>
  <c r="T179" i="9" s="1"/>
  <c r="V325" i="9"/>
  <c r="T325" i="9" s="1"/>
  <c r="V180" i="9"/>
  <c r="T180" i="9" s="1"/>
  <c r="V174" i="9"/>
  <c r="T174" i="9" s="1"/>
  <c r="V324" i="9"/>
  <c r="T324" i="9" s="1"/>
  <c r="V323" i="9"/>
  <c r="T323" i="9" s="1"/>
  <c r="V182" i="9"/>
  <c r="T182" i="9" s="1"/>
  <c r="V176" i="9"/>
  <c r="T176" i="9" s="1"/>
  <c r="V178" i="9"/>
  <c r="T178" i="9" s="1"/>
  <c r="V183" i="9"/>
  <c r="T183" i="9" s="1"/>
  <c r="V173" i="9"/>
  <c r="T173" i="9" s="1"/>
  <c r="V177" i="9"/>
  <c r="T177" i="9" s="1"/>
  <c r="V289" i="9"/>
  <c r="T289" i="9" s="1"/>
  <c r="V288" i="9"/>
  <c r="T288" i="9" s="1"/>
  <c r="V290" i="9"/>
  <c r="T290" i="9" s="1"/>
  <c r="V286" i="9"/>
  <c r="T286" i="9" s="1"/>
  <c r="V287" i="9"/>
  <c r="T287" i="9" s="1"/>
  <c r="V328" i="9"/>
  <c r="T328" i="9" s="1"/>
  <c r="V334" i="9"/>
  <c r="T334" i="9" s="1"/>
  <c r="V327" i="9"/>
  <c r="T327" i="9" s="1"/>
  <c r="V330" i="9"/>
  <c r="T330" i="9" s="1"/>
  <c r="V184" i="9"/>
  <c r="T184" i="9" s="1"/>
  <c r="V333" i="9"/>
  <c r="T333" i="9" s="1"/>
  <c r="V188" i="9"/>
  <c r="T188" i="9" s="1"/>
  <c r="V332" i="9"/>
  <c r="T332" i="9" s="1"/>
  <c r="V186" i="9"/>
  <c r="T186" i="9" s="1"/>
  <c r="V329" i="9"/>
  <c r="T329" i="9" s="1"/>
  <c r="V185" i="9"/>
  <c r="T185" i="9" s="1"/>
  <c r="V189" i="9"/>
  <c r="T189" i="9" s="1"/>
  <c r="V331" i="9"/>
  <c r="T331" i="9" s="1"/>
  <c r="V187" i="9"/>
  <c r="T187" i="9" s="1"/>
  <c r="V277" i="9"/>
  <c r="T277" i="9" s="1"/>
  <c r="V279" i="9"/>
  <c r="T279" i="9" s="1"/>
  <c r="V278" i="9"/>
  <c r="T278" i="9" s="1"/>
  <c r="V275" i="9"/>
  <c r="T275" i="9" s="1"/>
  <c r="V359" i="9"/>
  <c r="T359" i="9" s="1"/>
  <c r="V274" i="9"/>
  <c r="T274" i="9" s="1"/>
  <c r="V276" i="9"/>
  <c r="T276" i="9" s="1"/>
  <c r="V222" i="9"/>
  <c r="T222" i="9" s="1"/>
  <c r="V220" i="9"/>
  <c r="T220" i="9" s="1"/>
  <c r="V216" i="9"/>
  <c r="T216" i="9" s="1"/>
  <c r="V228" i="9"/>
  <c r="T228" i="9" s="1"/>
  <c r="V227" i="9"/>
  <c r="T227" i="9" s="1"/>
  <c r="V226" i="9"/>
  <c r="T226" i="9" s="1"/>
  <c r="V215" i="9"/>
  <c r="T215" i="9" s="1"/>
  <c r="V221" i="9"/>
  <c r="T221" i="9" s="1"/>
  <c r="V224" i="9"/>
  <c r="T224" i="9" s="1"/>
  <c r="V219" i="9"/>
  <c r="T219" i="9" s="1"/>
  <c r="V225" i="9"/>
  <c r="T225" i="9" s="1"/>
  <c r="V217" i="9"/>
  <c r="T217" i="9" s="1"/>
  <c r="V218" i="9"/>
  <c r="T218" i="9" s="1"/>
  <c r="V223" i="9"/>
  <c r="T223" i="9" s="1"/>
  <c r="V229" i="9"/>
  <c r="T229" i="9" s="1"/>
  <c r="V230" i="9"/>
  <c r="T230" i="9" s="1"/>
  <c r="V271" i="9"/>
  <c r="T271" i="9" s="1"/>
  <c r="V270" i="9"/>
  <c r="T270" i="9" s="1"/>
  <c r="V273" i="9"/>
  <c r="T273" i="9" s="1"/>
  <c r="V272" i="9"/>
  <c r="T272" i="9" s="1"/>
  <c r="V357" i="20"/>
  <c r="T357" i="20" s="1"/>
  <c r="AH357" i="20" s="1"/>
  <c r="AH356" i="9" s="1"/>
  <c r="V247" i="9"/>
  <c r="T247" i="9" s="1"/>
  <c r="V249" i="9"/>
  <c r="T249" i="9" s="1"/>
  <c r="V248" i="9"/>
  <c r="T248" i="9" s="1"/>
  <c r="V356" i="9"/>
  <c r="T356" i="9" s="1"/>
  <c r="V251" i="9"/>
  <c r="T251" i="9" s="1"/>
  <c r="V246" i="9"/>
  <c r="T246" i="9" s="1"/>
  <c r="V250" i="9"/>
  <c r="T250" i="9" s="1"/>
  <c r="V335" i="9"/>
  <c r="T335" i="9" s="1"/>
  <c r="V347" i="9"/>
  <c r="T347" i="9" s="1"/>
  <c r="V341" i="9"/>
  <c r="T341" i="9" s="1"/>
  <c r="V205" i="9"/>
  <c r="T205" i="9" s="1"/>
  <c r="V340" i="9"/>
  <c r="T340" i="9" s="1"/>
  <c r="V344" i="9"/>
  <c r="T344" i="9" s="1"/>
  <c r="V343" i="9"/>
  <c r="T343" i="9" s="1"/>
  <c r="V199" i="9"/>
  <c r="T199" i="9" s="1"/>
  <c r="V338" i="9"/>
  <c r="T338" i="9" s="1"/>
  <c r="V348" i="9"/>
  <c r="T348" i="9" s="1"/>
  <c r="V345" i="9"/>
  <c r="T345" i="9" s="1"/>
  <c r="V204" i="9"/>
  <c r="T204" i="9" s="1"/>
  <c r="V201" i="9"/>
  <c r="T201" i="9" s="1"/>
  <c r="V339" i="9"/>
  <c r="T339" i="9" s="1"/>
  <c r="V336" i="9"/>
  <c r="T336" i="9" s="1"/>
  <c r="V337" i="9"/>
  <c r="T337" i="9" s="1"/>
  <c r="V346" i="9"/>
  <c r="T346" i="9" s="1"/>
  <c r="V342" i="9"/>
  <c r="T342" i="9" s="1"/>
  <c r="V349" i="9"/>
  <c r="T349" i="9" s="1"/>
  <c r="V202" i="9"/>
  <c r="T202" i="9" s="1"/>
  <c r="V197" i="9"/>
  <c r="T197" i="9" s="1"/>
  <c r="V200" i="9"/>
  <c r="T200" i="9" s="1"/>
  <c r="V206" i="9"/>
  <c r="T206" i="9" s="1"/>
  <c r="V203" i="9"/>
  <c r="T203" i="9" s="1"/>
  <c r="V198" i="9"/>
  <c r="T198" i="9" s="1"/>
  <c r="V352" i="9"/>
  <c r="T352" i="9" s="1"/>
  <c r="V208" i="9"/>
  <c r="T208" i="9" s="1"/>
  <c r="V350" i="9"/>
  <c r="T350" i="9" s="1"/>
  <c r="V353" i="9"/>
  <c r="T353" i="9" s="1"/>
  <c r="V354" i="9"/>
  <c r="T354" i="9" s="1"/>
  <c r="V351" i="9"/>
  <c r="T351" i="9" s="1"/>
  <c r="V355" i="9"/>
  <c r="T355" i="9" s="1"/>
  <c r="V207" i="9"/>
  <c r="T207" i="9" s="1"/>
  <c r="V209" i="9"/>
  <c r="T209" i="9" s="1"/>
  <c r="V269" i="9"/>
  <c r="T269" i="9" s="1"/>
  <c r="V266" i="9"/>
  <c r="T266" i="9" s="1"/>
  <c r="V265" i="9"/>
  <c r="T265" i="9" s="1"/>
  <c r="V267" i="9"/>
  <c r="T267" i="9" s="1"/>
  <c r="V268" i="9"/>
  <c r="T268" i="9" s="1"/>
  <c r="V233" i="9"/>
  <c r="T233" i="9" s="1"/>
  <c r="V237" i="9"/>
  <c r="T237" i="9" s="1"/>
  <c r="V235" i="9"/>
  <c r="T235" i="9" s="1"/>
  <c r="V241" i="9"/>
  <c r="T241" i="9" s="1"/>
  <c r="V242" i="9"/>
  <c r="T242" i="9" s="1"/>
  <c r="V243" i="9"/>
  <c r="T243" i="9" s="1"/>
  <c r="V239" i="9"/>
  <c r="T239" i="9" s="1"/>
  <c r="V245" i="9"/>
  <c r="T245" i="9" s="1"/>
  <c r="V236" i="9"/>
  <c r="T236" i="9" s="1"/>
  <c r="V240" i="9"/>
  <c r="T240" i="9" s="1"/>
  <c r="V244" i="9"/>
  <c r="T244" i="9" s="1"/>
  <c r="V234" i="9"/>
  <c r="T234" i="9" s="1"/>
  <c r="V238" i="9"/>
  <c r="T238" i="9" s="1"/>
  <c r="AF357" i="20"/>
  <c r="AF356" i="9" s="1"/>
  <c r="AB307" i="20"/>
  <c r="AB305" i="9"/>
  <c r="AB401" i="20"/>
  <c r="AB399" i="9"/>
  <c r="AC400" i="20"/>
  <c r="AC399" i="9" s="1"/>
  <c r="AH26" i="9"/>
  <c r="AH231" i="9"/>
  <c r="AB375" i="20"/>
  <c r="AB373" i="9"/>
  <c r="AE116" i="12"/>
  <c r="AD116" i="12" s="1"/>
  <c r="P116" i="18" s="1"/>
  <c r="V280" i="20"/>
  <c r="T280" i="20" s="1"/>
  <c r="AH280" i="20" s="1"/>
  <c r="V278" i="20"/>
  <c r="T278" i="20" s="1"/>
  <c r="AH278" i="20" s="1"/>
  <c r="V360" i="20"/>
  <c r="T360" i="20" s="1"/>
  <c r="AH360" i="20" s="1"/>
  <c r="V89" i="9"/>
  <c r="T89" i="9" s="1"/>
  <c r="V271" i="20"/>
  <c r="T271" i="20" s="1"/>
  <c r="AH271" i="20" s="1"/>
  <c r="V273" i="20"/>
  <c r="T273" i="20" s="1"/>
  <c r="AH273" i="20" s="1"/>
  <c r="V272" i="20"/>
  <c r="T272" i="20" s="1"/>
  <c r="AH272" i="20" s="1"/>
  <c r="V274" i="20"/>
  <c r="T274" i="20" s="1"/>
  <c r="AH274" i="20" s="1"/>
  <c r="V339" i="20"/>
  <c r="T339" i="20" s="1"/>
  <c r="AH339" i="20" s="1"/>
  <c r="V338" i="20"/>
  <c r="T338" i="20" s="1"/>
  <c r="AH338" i="20" s="1"/>
  <c r="V337" i="20"/>
  <c r="T337" i="20" s="1"/>
  <c r="AH337" i="20" s="1"/>
  <c r="V336" i="20"/>
  <c r="T336" i="20" s="1"/>
  <c r="AH336" i="20" s="1"/>
  <c r="V348" i="20"/>
  <c r="T348" i="20" s="1"/>
  <c r="AH348" i="20" s="1"/>
  <c r="V350" i="20"/>
  <c r="T350" i="20" s="1"/>
  <c r="AH350" i="20" s="1"/>
  <c r="V345" i="20"/>
  <c r="T345" i="20" s="1"/>
  <c r="AH345" i="20" s="1"/>
  <c r="V349" i="20"/>
  <c r="T349" i="20" s="1"/>
  <c r="AH349" i="20" s="1"/>
  <c r="V346" i="20"/>
  <c r="T346" i="20" s="1"/>
  <c r="AH346" i="20" s="1"/>
  <c r="V344" i="20"/>
  <c r="T344" i="20" s="1"/>
  <c r="AH344" i="20" s="1"/>
  <c r="V347" i="20"/>
  <c r="T347" i="20" s="1"/>
  <c r="AH347" i="20" s="1"/>
  <c r="V342" i="20"/>
  <c r="T342" i="20" s="1"/>
  <c r="AH342" i="20" s="1"/>
  <c r="V341" i="20"/>
  <c r="T341" i="20" s="1"/>
  <c r="AH341" i="20" s="1"/>
  <c r="V343" i="20"/>
  <c r="T343" i="20" s="1"/>
  <c r="AH343" i="20" s="1"/>
  <c r="V353" i="20"/>
  <c r="T353" i="20" s="1"/>
  <c r="AH353" i="20" s="1"/>
  <c r="V351" i="20"/>
  <c r="T351" i="20" s="1"/>
  <c r="AH351" i="20" s="1"/>
  <c r="V356" i="20"/>
  <c r="T356" i="20" s="1"/>
  <c r="AH356" i="20" s="1"/>
  <c r="V352" i="20"/>
  <c r="T352" i="20" s="1"/>
  <c r="AH352" i="20" s="1"/>
  <c r="V354" i="20"/>
  <c r="T354" i="20" s="1"/>
  <c r="AH354" i="20" s="1"/>
  <c r="V355" i="20"/>
  <c r="T355" i="20" s="1"/>
  <c r="AH355" i="20" s="1"/>
  <c r="V290" i="20"/>
  <c r="T290" i="20" s="1"/>
  <c r="AH290" i="20" s="1"/>
  <c r="V287" i="20"/>
  <c r="T287" i="20" s="1"/>
  <c r="AH287" i="20" s="1"/>
  <c r="V288" i="20"/>
  <c r="T288" i="20" s="1"/>
  <c r="AH288" i="20" s="1"/>
  <c r="V289" i="20"/>
  <c r="T289" i="20" s="1"/>
  <c r="AH289" i="20" s="1"/>
  <c r="V291" i="20"/>
  <c r="T291" i="20" s="1"/>
  <c r="AH291" i="20" s="1"/>
  <c r="V115" i="9"/>
  <c r="T115" i="9" s="1"/>
  <c r="V114" i="9"/>
  <c r="T114" i="9" s="1"/>
  <c r="V57" i="9"/>
  <c r="T57" i="9" s="1"/>
  <c r="V54" i="9"/>
  <c r="T54" i="9" s="1"/>
  <c r="V56" i="9"/>
  <c r="T56" i="9" s="1"/>
  <c r="V55" i="9"/>
  <c r="T55" i="9" s="1"/>
  <c r="V107" i="9"/>
  <c r="T107" i="9" s="1"/>
  <c r="V108" i="9"/>
  <c r="T108" i="9" s="1"/>
  <c r="V85" i="9"/>
  <c r="T85" i="9" s="1"/>
  <c r="V88" i="9"/>
  <c r="T88" i="9" s="1"/>
  <c r="V86" i="9"/>
  <c r="T86" i="9" s="1"/>
  <c r="V87" i="9"/>
  <c r="T87" i="9" s="1"/>
  <c r="V74" i="9"/>
  <c r="T74" i="9" s="1"/>
  <c r="V75" i="9"/>
  <c r="T75" i="9" s="1"/>
  <c r="V77" i="9"/>
  <c r="T77" i="9" s="1"/>
  <c r="V76" i="9"/>
  <c r="T76" i="9" s="1"/>
  <c r="V45" i="9"/>
  <c r="T45" i="9" s="1"/>
  <c r="V47" i="9"/>
  <c r="T47" i="9" s="1"/>
  <c r="V46" i="9"/>
  <c r="T46" i="9" s="1"/>
  <c r="V90" i="9"/>
  <c r="T90" i="9" s="1"/>
  <c r="V122" i="9"/>
  <c r="T122" i="9" s="1"/>
  <c r="V123" i="9"/>
  <c r="T123" i="9" s="1"/>
  <c r="AD133" i="12"/>
  <c r="P133" i="18" s="1"/>
  <c r="AD82" i="12"/>
  <c r="P82" i="18" s="1"/>
  <c r="AD48" i="12"/>
  <c r="P48" i="18" s="1"/>
  <c r="AD70" i="12"/>
  <c r="P70" i="18" s="1"/>
  <c r="AD53" i="12"/>
  <c r="P53" i="18" s="1"/>
  <c r="AD22" i="12"/>
  <c r="P22" i="18" s="1"/>
  <c r="AD64" i="12"/>
  <c r="P64" i="18" s="1"/>
  <c r="AD80" i="12"/>
  <c r="P80" i="18" s="1"/>
  <c r="V49" i="9"/>
  <c r="T49" i="9" s="1"/>
  <c r="V48" i="9"/>
  <c r="T48" i="9" s="1"/>
  <c r="V50" i="9"/>
  <c r="T50" i="9" s="1"/>
  <c r="AD144" i="12"/>
  <c r="P144" i="18" s="1"/>
  <c r="AD47" i="12"/>
  <c r="P47" i="18" s="1"/>
  <c r="AD100" i="12"/>
  <c r="P100" i="18" s="1"/>
  <c r="AD43" i="12"/>
  <c r="P43" i="18" s="1"/>
  <c r="AD58" i="12"/>
  <c r="P58" i="18" s="1"/>
  <c r="AD46" i="12"/>
  <c r="P46" i="18" s="1"/>
  <c r="AD31" i="12"/>
  <c r="P31" i="18" s="1"/>
  <c r="AD27" i="12"/>
  <c r="P27" i="18" s="1"/>
  <c r="AD52" i="12"/>
  <c r="P52" i="18" s="1"/>
  <c r="AD29" i="12"/>
  <c r="P29" i="18" s="1"/>
  <c r="AD34" i="12"/>
  <c r="P34" i="18" s="1"/>
  <c r="AD101" i="12"/>
  <c r="P101" i="18" s="1"/>
  <c r="AD35" i="12"/>
  <c r="P35" i="18" s="1"/>
  <c r="V78" i="9"/>
  <c r="T78" i="9" s="1"/>
  <c r="V79" i="9"/>
  <c r="T79" i="9" s="1"/>
  <c r="AD137" i="12"/>
  <c r="P137" i="18" s="1"/>
  <c r="AD91" i="12"/>
  <c r="P91" i="18" s="1"/>
  <c r="V58" i="9"/>
  <c r="T58" i="9" s="1"/>
  <c r="V59" i="9"/>
  <c r="T59" i="9" s="1"/>
  <c r="V118" i="9"/>
  <c r="T118" i="9" s="1"/>
  <c r="V119" i="9"/>
  <c r="T119" i="9" s="1"/>
  <c r="AD119" i="12"/>
  <c r="P119" i="18" s="1"/>
  <c r="AD74" i="12"/>
  <c r="P74" i="18" s="1"/>
  <c r="AD106" i="12"/>
  <c r="P106" i="18" s="1"/>
  <c r="AD71" i="12"/>
  <c r="P71" i="18" s="1"/>
  <c r="AD12" i="12"/>
  <c r="P12" i="18" s="1"/>
  <c r="AD54" i="12"/>
  <c r="P54" i="18" s="1"/>
  <c r="AD78" i="12"/>
  <c r="P78" i="18" s="1"/>
  <c r="AD132" i="12"/>
  <c r="P132" i="18" s="1"/>
  <c r="AH27" i="9"/>
  <c r="AH24" i="9"/>
  <c r="AF196" i="20"/>
  <c r="AF195" i="9" s="1"/>
  <c r="AF197" i="20"/>
  <c r="AF196" i="9" s="1"/>
  <c r="AF195" i="20"/>
  <c r="AF194" i="9" s="1"/>
  <c r="AF321" i="20"/>
  <c r="AF320" i="9" s="1"/>
  <c r="AF313" i="20"/>
  <c r="AF312" i="9" s="1"/>
  <c r="AF314" i="20"/>
  <c r="AF313" i="9" s="1"/>
  <c r="AF173" i="20"/>
  <c r="AF172" i="9" s="1"/>
  <c r="AF312" i="20"/>
  <c r="AF311" i="9" s="1"/>
  <c r="AF316" i="20"/>
  <c r="AF315" i="9" s="1"/>
  <c r="AF310" i="20"/>
  <c r="AF309" i="9" s="1"/>
  <c r="AF160" i="20"/>
  <c r="AF159" i="9" s="1"/>
  <c r="AF161" i="20"/>
  <c r="AF160" i="9" s="1"/>
  <c r="AF211" i="20"/>
  <c r="AF210" i="9" s="1"/>
  <c r="AF63" i="20"/>
  <c r="AF192" i="20"/>
  <c r="AF191" i="9" s="1"/>
  <c r="AF194" i="20"/>
  <c r="AF193" i="9" s="1"/>
  <c r="AF165" i="20"/>
  <c r="AF164" i="9" s="1"/>
  <c r="AF164" i="20"/>
  <c r="AF163" i="9" s="1"/>
  <c r="AF318" i="20"/>
  <c r="AF317" i="9" s="1"/>
  <c r="AF322" i="20"/>
  <c r="AF321" i="9" s="1"/>
  <c r="AF167" i="20"/>
  <c r="AF166" i="9" s="1"/>
  <c r="AF317" i="20"/>
  <c r="AF316" i="9" s="1"/>
  <c r="AF319" i="20"/>
  <c r="AF318" i="9" s="1"/>
  <c r="AF169" i="20"/>
  <c r="AF168" i="9" s="1"/>
  <c r="AF232" i="20"/>
  <c r="AF231" i="9" s="1"/>
  <c r="AF214" i="20"/>
  <c r="AF213" i="9" s="1"/>
  <c r="AF54" i="20"/>
  <c r="AF191" i="20"/>
  <c r="AF190" i="9" s="1"/>
  <c r="AF168" i="20"/>
  <c r="AF167" i="9" s="1"/>
  <c r="AF315" i="20"/>
  <c r="AF314" i="9" s="1"/>
  <c r="AF320" i="20"/>
  <c r="AF319" i="9" s="1"/>
  <c r="AF172" i="20"/>
  <c r="AF171" i="9" s="1"/>
  <c r="AF170" i="20"/>
  <c r="AF169" i="9" s="1"/>
  <c r="AF43" i="20"/>
  <c r="AF213" i="20"/>
  <c r="AF212" i="9" s="1"/>
  <c r="AF65" i="20"/>
  <c r="AF193" i="20"/>
  <c r="AF192" i="9" s="1"/>
  <c r="AF166" i="20"/>
  <c r="AF165" i="9" s="1"/>
  <c r="AF162" i="20"/>
  <c r="AF161" i="9" s="1"/>
  <c r="AF171" i="20"/>
  <c r="AF170" i="9" s="1"/>
  <c r="AF163" i="20"/>
  <c r="AF162" i="9" s="1"/>
  <c r="AF311" i="20"/>
  <c r="AF310" i="9" s="1"/>
  <c r="AF212" i="20"/>
  <c r="AF211" i="9" s="1"/>
  <c r="AF61" i="20"/>
  <c r="A95" i="9"/>
  <c r="A66" i="9"/>
  <c r="A128" i="9"/>
  <c r="A17" i="9"/>
  <c r="V60" i="20"/>
  <c r="T60" i="20" s="1"/>
  <c r="V209" i="20"/>
  <c r="T209" i="20" s="1"/>
  <c r="AH209" i="20" s="1"/>
  <c r="AH208" i="9" s="1"/>
  <c r="V208" i="20"/>
  <c r="T208" i="20" s="1"/>
  <c r="AH208" i="20" s="1"/>
  <c r="AH207" i="9" s="1"/>
  <c r="V210" i="20"/>
  <c r="T210" i="20" s="1"/>
  <c r="AH210" i="20" s="1"/>
  <c r="AH209" i="9" s="1"/>
  <c r="V59" i="20"/>
  <c r="T59" i="20" s="1"/>
  <c r="V241" i="20"/>
  <c r="T241" i="20" s="1"/>
  <c r="AH241" i="20" s="1"/>
  <c r="V240" i="20"/>
  <c r="T240" i="20" s="1"/>
  <c r="AH240" i="20" s="1"/>
  <c r="V235" i="20"/>
  <c r="T235" i="20" s="1"/>
  <c r="AH235" i="20" s="1"/>
  <c r="AH234" i="9" s="1"/>
  <c r="V76" i="20"/>
  <c r="T76" i="20" s="1"/>
  <c r="V239" i="20"/>
  <c r="T239" i="20" s="1"/>
  <c r="AH239" i="20" s="1"/>
  <c r="V236" i="20"/>
  <c r="T236" i="20" s="1"/>
  <c r="AH236" i="20" s="1"/>
  <c r="AH235" i="9" s="1"/>
  <c r="V243" i="20"/>
  <c r="T243" i="20" s="1"/>
  <c r="AH243" i="20" s="1"/>
  <c r="V237" i="20"/>
  <c r="T237" i="20" s="1"/>
  <c r="AH237" i="20" s="1"/>
  <c r="V246" i="20"/>
  <c r="T246" i="20" s="1"/>
  <c r="AH246" i="20" s="1"/>
  <c r="AH245" i="9" s="1"/>
  <c r="V78" i="20"/>
  <c r="T78" i="20" s="1"/>
  <c r="V77" i="20"/>
  <c r="T77" i="20" s="1"/>
  <c r="V244" i="20"/>
  <c r="T244" i="20" s="1"/>
  <c r="AH244" i="20" s="1"/>
  <c r="V75" i="20"/>
  <c r="T75" i="20" s="1"/>
  <c r="V234" i="20"/>
  <c r="T234" i="20" s="1"/>
  <c r="AH234" i="20" s="1"/>
  <c r="AH233" i="9" s="1"/>
  <c r="V238" i="20"/>
  <c r="T238" i="20" s="1"/>
  <c r="AH238" i="20" s="1"/>
  <c r="V242" i="20"/>
  <c r="T242" i="20" s="1"/>
  <c r="AH242" i="20" s="1"/>
  <c r="V245" i="20"/>
  <c r="T245" i="20" s="1"/>
  <c r="AH245" i="20" s="1"/>
  <c r="V45" i="20"/>
  <c r="T45" i="20" s="1"/>
  <c r="V183" i="20"/>
  <c r="T183" i="20" s="1"/>
  <c r="AH183" i="20" s="1"/>
  <c r="AH182" i="9" s="1"/>
  <c r="V48" i="20"/>
  <c r="T48" i="20" s="1"/>
  <c r="V177" i="20"/>
  <c r="T177" i="20" s="1"/>
  <c r="AH177" i="20" s="1"/>
  <c r="AH176" i="9" s="1"/>
  <c r="V179" i="20"/>
  <c r="T179" i="20" s="1"/>
  <c r="AH179" i="20" s="1"/>
  <c r="AH178" i="9" s="1"/>
  <c r="V323" i="20"/>
  <c r="T323" i="20" s="1"/>
  <c r="AH323" i="20" s="1"/>
  <c r="AH322" i="9" s="1"/>
  <c r="V174" i="20"/>
  <c r="T174" i="20" s="1"/>
  <c r="AH174" i="20" s="1"/>
  <c r="AH173" i="9" s="1"/>
  <c r="V175" i="20"/>
  <c r="T175" i="20" s="1"/>
  <c r="AH175" i="20" s="1"/>
  <c r="AH174" i="9" s="1"/>
  <c r="V176" i="20"/>
  <c r="T176" i="20" s="1"/>
  <c r="AH176" i="20" s="1"/>
  <c r="AH175" i="9" s="1"/>
  <c r="V180" i="20"/>
  <c r="T180" i="20" s="1"/>
  <c r="AH180" i="20" s="1"/>
  <c r="AH179" i="9" s="1"/>
  <c r="V184" i="20"/>
  <c r="T184" i="20" s="1"/>
  <c r="AH184" i="20" s="1"/>
  <c r="AH183" i="9" s="1"/>
  <c r="V178" i="20"/>
  <c r="T178" i="20" s="1"/>
  <c r="AH178" i="20" s="1"/>
  <c r="AH177" i="9" s="1"/>
  <c r="V324" i="20"/>
  <c r="T324" i="20" s="1"/>
  <c r="AH324" i="20" s="1"/>
  <c r="AH323" i="9" s="1"/>
  <c r="V47" i="20"/>
  <c r="T47" i="20" s="1"/>
  <c r="V182" i="20"/>
  <c r="T182" i="20" s="1"/>
  <c r="AH182" i="20" s="1"/>
  <c r="AH181" i="9" s="1"/>
  <c r="V181" i="20"/>
  <c r="T181" i="20" s="1"/>
  <c r="AH181" i="20" s="1"/>
  <c r="AH180" i="9" s="1"/>
  <c r="V326" i="20"/>
  <c r="T326" i="20" s="1"/>
  <c r="AH326" i="20" s="1"/>
  <c r="AH325" i="9" s="1"/>
  <c r="V325" i="20"/>
  <c r="T325" i="20" s="1"/>
  <c r="AH325" i="20" s="1"/>
  <c r="AH324" i="9" s="1"/>
  <c r="V46" i="20"/>
  <c r="T46" i="20" s="1"/>
  <c r="V327" i="20"/>
  <c r="T327" i="20" s="1"/>
  <c r="AH327" i="20" s="1"/>
  <c r="AH326" i="9" s="1"/>
  <c r="V103" i="20"/>
  <c r="T103" i="20" s="1"/>
  <c r="V281" i="20"/>
  <c r="T281" i="20" s="1"/>
  <c r="AH281" i="20" s="1"/>
  <c r="AH280" i="9" s="1"/>
  <c r="V286" i="20"/>
  <c r="T286" i="20" s="1"/>
  <c r="AH286" i="20" s="1"/>
  <c r="AH285" i="9" s="1"/>
  <c r="V104" i="20"/>
  <c r="T104" i="20" s="1"/>
  <c r="V285" i="20"/>
  <c r="T285" i="20" s="1"/>
  <c r="AH285" i="20" s="1"/>
  <c r="AH284" i="9" s="1"/>
  <c r="V102" i="20"/>
  <c r="T102" i="20" s="1"/>
  <c r="V101" i="20"/>
  <c r="T101" i="20" s="1"/>
  <c r="V100" i="20"/>
  <c r="T100" i="20" s="1"/>
  <c r="V283" i="20"/>
  <c r="T283" i="20" s="1"/>
  <c r="AH283" i="20" s="1"/>
  <c r="AH282" i="9" s="1"/>
  <c r="V282" i="20"/>
  <c r="T282" i="20" s="1"/>
  <c r="AH282" i="20" s="1"/>
  <c r="AH281" i="9" s="1"/>
  <c r="V284" i="20"/>
  <c r="T284" i="20" s="1"/>
  <c r="AH284" i="20" s="1"/>
  <c r="AH283" i="9" s="1"/>
  <c r="V105" i="20"/>
  <c r="T105" i="20" s="1"/>
  <c r="V106" i="20"/>
  <c r="T106" i="20" s="1"/>
  <c r="V107" i="20"/>
  <c r="T107" i="20" s="1"/>
  <c r="V124" i="20"/>
  <c r="T124" i="20" s="1"/>
  <c r="V123" i="20"/>
  <c r="T123" i="20" s="1"/>
  <c r="V125" i="20"/>
  <c r="T125" i="20" s="1"/>
  <c r="V331" i="20"/>
  <c r="T331" i="20" s="1"/>
  <c r="AH331" i="20" s="1"/>
  <c r="AH330" i="9" s="1"/>
  <c r="V49" i="20"/>
  <c r="T49" i="20" s="1"/>
  <c r="V329" i="20"/>
  <c r="T329" i="20" s="1"/>
  <c r="AH329" i="20" s="1"/>
  <c r="AH328" i="9" s="1"/>
  <c r="V333" i="20"/>
  <c r="T333" i="20" s="1"/>
  <c r="AH333" i="20" s="1"/>
  <c r="AH332" i="9" s="1"/>
  <c r="V190" i="20"/>
  <c r="T190" i="20" s="1"/>
  <c r="AH190" i="20" s="1"/>
  <c r="AH189" i="9" s="1"/>
  <c r="V187" i="20"/>
  <c r="T187" i="20" s="1"/>
  <c r="AH187" i="20" s="1"/>
  <c r="AH186" i="9" s="1"/>
  <c r="V332" i="20"/>
  <c r="T332" i="20" s="1"/>
  <c r="AH332" i="20" s="1"/>
  <c r="AH331" i="9" s="1"/>
  <c r="V188" i="20"/>
  <c r="T188" i="20" s="1"/>
  <c r="AH188" i="20" s="1"/>
  <c r="AH187" i="9" s="1"/>
  <c r="V335" i="20"/>
  <c r="T335" i="20" s="1"/>
  <c r="AH335" i="20" s="1"/>
  <c r="AH334" i="9" s="1"/>
  <c r="V334" i="20"/>
  <c r="T334" i="20" s="1"/>
  <c r="AH334" i="20" s="1"/>
  <c r="AH333" i="9" s="1"/>
  <c r="V328" i="20"/>
  <c r="T328" i="20" s="1"/>
  <c r="AH328" i="20" s="1"/>
  <c r="AH327" i="9" s="1"/>
  <c r="V185" i="20"/>
  <c r="T185" i="20" s="1"/>
  <c r="AH185" i="20" s="1"/>
  <c r="V330" i="20"/>
  <c r="T330" i="20" s="1"/>
  <c r="AH330" i="20" s="1"/>
  <c r="AH329" i="9" s="1"/>
  <c r="V189" i="20"/>
  <c r="T189" i="20" s="1"/>
  <c r="AH189" i="20" s="1"/>
  <c r="AH188" i="9" s="1"/>
  <c r="V50" i="20"/>
  <c r="T50" i="20" s="1"/>
  <c r="V51" i="20"/>
  <c r="T51" i="20" s="1"/>
  <c r="V186" i="20"/>
  <c r="T186" i="20" s="1"/>
  <c r="AH186" i="20" s="1"/>
  <c r="AH185" i="9" s="1"/>
  <c r="V99" i="20"/>
  <c r="T99" i="20" s="1"/>
  <c r="V98" i="20"/>
  <c r="T98" i="20" s="1"/>
  <c r="V96" i="20"/>
  <c r="T96" i="20" s="1"/>
  <c r="V97" i="20"/>
  <c r="T97" i="20" s="1"/>
  <c r="V276" i="20"/>
  <c r="T276" i="20" s="1"/>
  <c r="AH276" i="20" s="1"/>
  <c r="V275" i="20"/>
  <c r="T275" i="20" s="1"/>
  <c r="AH275" i="20" s="1"/>
  <c r="V94" i="20"/>
  <c r="T94" i="20" s="1"/>
  <c r="V279" i="20"/>
  <c r="T279" i="20" s="1"/>
  <c r="AH279" i="20" s="1"/>
  <c r="AH278" i="9" s="1"/>
  <c r="V277" i="20"/>
  <c r="T277" i="20" s="1"/>
  <c r="AH277" i="20" s="1"/>
  <c r="AH276" i="9" s="1"/>
  <c r="V92" i="20"/>
  <c r="T92" i="20" s="1"/>
  <c r="V93" i="20"/>
  <c r="T93" i="20" s="1"/>
  <c r="V95" i="20"/>
  <c r="T95" i="20" s="1"/>
  <c r="V116" i="20"/>
  <c r="T116" i="20" s="1"/>
  <c r="V115" i="20"/>
  <c r="T115" i="20" s="1"/>
  <c r="V225" i="20"/>
  <c r="T225" i="20" s="1"/>
  <c r="AH225" i="20" s="1"/>
  <c r="V69" i="20"/>
  <c r="T69" i="20" s="1"/>
  <c r="V227" i="20"/>
  <c r="T227" i="20" s="1"/>
  <c r="AH227" i="20" s="1"/>
  <c r="AH226" i="9" s="1"/>
  <c r="V68" i="20"/>
  <c r="T68" i="20" s="1"/>
  <c r="V221" i="20"/>
  <c r="T221" i="20" s="1"/>
  <c r="AH221" i="20" s="1"/>
  <c r="V230" i="20"/>
  <c r="T230" i="20" s="1"/>
  <c r="AH230" i="20" s="1"/>
  <c r="AH229" i="9" s="1"/>
  <c r="V229" i="20"/>
  <c r="T229" i="20" s="1"/>
  <c r="AH229" i="20" s="1"/>
  <c r="AH228" i="9" s="1"/>
  <c r="V224" i="20"/>
  <c r="T224" i="20" s="1"/>
  <c r="AH224" i="20" s="1"/>
  <c r="V226" i="20"/>
  <c r="T226" i="20" s="1"/>
  <c r="AH226" i="20" s="1"/>
  <c r="V219" i="20"/>
  <c r="T219" i="20" s="1"/>
  <c r="AH219" i="20" s="1"/>
  <c r="V222" i="20"/>
  <c r="T222" i="20" s="1"/>
  <c r="AH222" i="20" s="1"/>
  <c r="V218" i="20"/>
  <c r="T218" i="20" s="1"/>
  <c r="AH218" i="20" s="1"/>
  <c r="V217" i="20"/>
  <c r="T217" i="20" s="1"/>
  <c r="AH217" i="20" s="1"/>
  <c r="V66" i="20"/>
  <c r="T66" i="20" s="1"/>
  <c r="V71" i="20"/>
  <c r="T71" i="20" s="1"/>
  <c r="V70" i="20"/>
  <c r="T70" i="20" s="1"/>
  <c r="V216" i="20"/>
  <c r="T216" i="20" s="1"/>
  <c r="AH216" i="20" s="1"/>
  <c r="V231" i="20"/>
  <c r="T231" i="20" s="1"/>
  <c r="AH231" i="20" s="1"/>
  <c r="AH230" i="9" s="1"/>
  <c r="V220" i="20"/>
  <c r="T220" i="20" s="1"/>
  <c r="AH220" i="20" s="1"/>
  <c r="V67" i="20"/>
  <c r="T67" i="20" s="1"/>
  <c r="V223" i="20"/>
  <c r="T223" i="20" s="1"/>
  <c r="AH223" i="20" s="1"/>
  <c r="V228" i="20"/>
  <c r="T228" i="20" s="1"/>
  <c r="AH228" i="20" s="1"/>
  <c r="AH227" i="9" s="1"/>
  <c r="V90" i="20"/>
  <c r="T90" i="20" s="1"/>
  <c r="V91" i="20"/>
  <c r="T91" i="20" s="1"/>
  <c r="V250" i="20"/>
  <c r="T250" i="20" s="1"/>
  <c r="AH250" i="20" s="1"/>
  <c r="AH249" i="9" s="1"/>
  <c r="V79" i="20"/>
  <c r="T79" i="20" s="1"/>
  <c r="V251" i="20"/>
  <c r="T251" i="20" s="1"/>
  <c r="AH251" i="20" s="1"/>
  <c r="V248" i="20"/>
  <c r="T248" i="20" s="1"/>
  <c r="AH248" i="20" s="1"/>
  <c r="AH247" i="9" s="1"/>
  <c r="V80" i="20"/>
  <c r="T80" i="20" s="1"/>
  <c r="V252" i="20"/>
  <c r="T252" i="20" s="1"/>
  <c r="AH252" i="20" s="1"/>
  <c r="V247" i="20"/>
  <c r="T247" i="20" s="1"/>
  <c r="AH247" i="20" s="1"/>
  <c r="AH246" i="9" s="1"/>
  <c r="V249" i="20"/>
  <c r="T249" i="20" s="1"/>
  <c r="AH249" i="20" s="1"/>
  <c r="AH248" i="9" s="1"/>
  <c r="W59" i="5"/>
  <c r="U59" i="5" s="1"/>
  <c r="V340" i="20"/>
  <c r="T340" i="20" s="1"/>
  <c r="AH340" i="20" s="1"/>
  <c r="AH339" i="9" s="1"/>
  <c r="V204" i="20"/>
  <c r="T204" i="20" s="1"/>
  <c r="AH204" i="20" s="1"/>
  <c r="AH203" i="9" s="1"/>
  <c r="V56" i="20"/>
  <c r="T56" i="20" s="1"/>
  <c r="V200" i="20"/>
  <c r="T200" i="20" s="1"/>
  <c r="AH200" i="20" s="1"/>
  <c r="AH199" i="9" s="1"/>
  <c r="V202" i="20"/>
  <c r="T202" i="20" s="1"/>
  <c r="AH202" i="20" s="1"/>
  <c r="AH201" i="9" s="1"/>
  <c r="V57" i="20"/>
  <c r="T57" i="20" s="1"/>
  <c r="V206" i="20"/>
  <c r="T206" i="20" s="1"/>
  <c r="AH206" i="20" s="1"/>
  <c r="AH205" i="9" s="1"/>
  <c r="V205" i="20"/>
  <c r="T205" i="20" s="1"/>
  <c r="AH205" i="20" s="1"/>
  <c r="AH204" i="9" s="1"/>
  <c r="V55" i="20"/>
  <c r="T55" i="20" s="1"/>
  <c r="V58" i="20"/>
  <c r="T58" i="20" s="1"/>
  <c r="V199" i="20"/>
  <c r="T199" i="20" s="1"/>
  <c r="AH199" i="20" s="1"/>
  <c r="AH198" i="9" s="1"/>
  <c r="V198" i="20"/>
  <c r="T198" i="20" s="1"/>
  <c r="AH198" i="20" s="1"/>
  <c r="AH197" i="9" s="1"/>
  <c r="V203" i="20"/>
  <c r="T203" i="20" s="1"/>
  <c r="AH203" i="20" s="1"/>
  <c r="AH202" i="9" s="1"/>
  <c r="V207" i="20"/>
  <c r="T207" i="20" s="1"/>
  <c r="AH207" i="20" s="1"/>
  <c r="AH206" i="9" s="1"/>
  <c r="V201" i="20"/>
  <c r="T201" i="20" s="1"/>
  <c r="AH201" i="20" s="1"/>
  <c r="AH200" i="9" s="1"/>
  <c r="V109" i="20"/>
  <c r="T109" i="20" s="1"/>
  <c r="V108" i="20"/>
  <c r="T108" i="20" s="1"/>
  <c r="V87" i="20"/>
  <c r="T87" i="20" s="1"/>
  <c r="V268" i="20"/>
  <c r="T268" i="20" s="1"/>
  <c r="AH268" i="20" s="1"/>
  <c r="AH267" i="9" s="1"/>
  <c r="V89" i="20"/>
  <c r="T89" i="20" s="1"/>
  <c r="V269" i="20"/>
  <c r="T269" i="20" s="1"/>
  <c r="AH269" i="20" s="1"/>
  <c r="AH268" i="9" s="1"/>
  <c r="V86" i="20"/>
  <c r="T86" i="20" s="1"/>
  <c r="V267" i="20"/>
  <c r="T267" i="20" s="1"/>
  <c r="AH267" i="20" s="1"/>
  <c r="V266" i="20"/>
  <c r="T266" i="20" s="1"/>
  <c r="AH266" i="20" s="1"/>
  <c r="V88" i="20"/>
  <c r="T88" i="20" s="1"/>
  <c r="V270" i="20"/>
  <c r="T270" i="20" s="1"/>
  <c r="AH270" i="20" s="1"/>
  <c r="AH269" i="9" s="1"/>
  <c r="W222" i="5"/>
  <c r="U222" i="5" s="1"/>
  <c r="V120" i="20"/>
  <c r="T120" i="20" s="1"/>
  <c r="V119" i="20"/>
  <c r="T119" i="20" s="1"/>
  <c r="V292" i="20"/>
  <c r="T292" i="20" s="1"/>
  <c r="AH292" i="20" s="1"/>
  <c r="AH291" i="9" s="1"/>
  <c r="A14" i="17"/>
  <c r="Q14" i="17" s="1"/>
  <c r="Q93" i="17"/>
  <c r="Q63" i="17"/>
  <c r="Q43" i="17"/>
  <c r="Q127" i="17"/>
  <c r="W408" i="20"/>
  <c r="A408" i="20"/>
  <c r="W69" i="20"/>
  <c r="A69" i="20"/>
  <c r="W315" i="20"/>
  <c r="A315" i="20"/>
  <c r="W409" i="20"/>
  <c r="A409" i="20"/>
  <c r="A261" i="20"/>
  <c r="W261" i="20"/>
  <c r="W387" i="20"/>
  <c r="AC387" i="20" s="1"/>
  <c r="AC386" i="9" s="1"/>
  <c r="A387" i="20"/>
  <c r="W207" i="20"/>
  <c r="A207" i="20"/>
  <c r="A104" i="20"/>
  <c r="W104" i="20"/>
  <c r="W305" i="20"/>
  <c r="AC305" i="20" s="1"/>
  <c r="AC304" i="9" s="1"/>
  <c r="A305" i="20"/>
  <c r="A327" i="20"/>
  <c r="W327" i="20"/>
  <c r="W368" i="20"/>
  <c r="AC368" i="20" s="1"/>
  <c r="AC367" i="9" s="1"/>
  <c r="A368" i="20"/>
  <c r="W242" i="20"/>
  <c r="A242" i="20"/>
  <c r="AE8" i="12"/>
  <c r="AC35" i="12"/>
  <c r="O35" i="18" s="1"/>
  <c r="AC22" i="12"/>
  <c r="O22" i="18" s="1"/>
  <c r="AC29" i="12"/>
  <c r="O29" i="18" s="1"/>
  <c r="AE15" i="12"/>
  <c r="AC15" i="12"/>
  <c r="O15" i="18" s="1"/>
  <c r="AC34" i="12"/>
  <c r="O34" i="18" s="1"/>
  <c r="AC54" i="12"/>
  <c r="O54" i="18" s="1"/>
  <c r="AC78" i="12"/>
  <c r="O78" i="18" s="1"/>
  <c r="AC23" i="12"/>
  <c r="O23" i="18" s="1"/>
  <c r="AE23" i="12"/>
  <c r="AC27" i="12"/>
  <c r="O27" i="18" s="1"/>
  <c r="AE79" i="12"/>
  <c r="AC100" i="12"/>
  <c r="O100" i="18" s="1"/>
  <c r="AC43" i="12"/>
  <c r="O43" i="18" s="1"/>
  <c r="AC48" i="12"/>
  <c r="O48" i="18" s="1"/>
  <c r="AC138" i="12"/>
  <c r="O138" i="18" s="1"/>
  <c r="AC58" i="12"/>
  <c r="O58" i="18" s="1"/>
  <c r="AC47" i="12"/>
  <c r="O47" i="18" s="1"/>
  <c r="AC140" i="12"/>
  <c r="O140" i="18" s="1"/>
  <c r="AC74" i="12"/>
  <c r="O74" i="18" s="1"/>
  <c r="AC91" i="12"/>
  <c r="O91" i="18" s="1"/>
  <c r="AE96" i="12"/>
  <c r="AS10" i="13"/>
  <c r="AT10" i="13"/>
  <c r="W61" i="9"/>
  <c r="W125" i="9"/>
  <c r="W12" i="9"/>
  <c r="W91" i="9"/>
  <c r="W41" i="9"/>
  <c r="T1" i="13"/>
  <c r="AK1" i="13"/>
  <c r="W221" i="5"/>
  <c r="U221" i="5" s="1"/>
  <c r="W228" i="5"/>
  <c r="U228" i="5" s="1"/>
  <c r="W204" i="5"/>
  <c r="U204" i="5" s="1"/>
  <c r="W205" i="5"/>
  <c r="U205" i="5" s="1"/>
  <c r="W203" i="5"/>
  <c r="U203" i="5" s="1"/>
  <c r="W113" i="5"/>
  <c r="U113" i="5" s="1"/>
  <c r="Z113" i="5" s="1"/>
  <c r="W116" i="5"/>
  <c r="U116" i="5" s="1"/>
  <c r="W120" i="5"/>
  <c r="U120" i="5" s="1"/>
  <c r="W117" i="5"/>
  <c r="U117" i="5" s="1"/>
  <c r="W119" i="5"/>
  <c r="U119" i="5" s="1"/>
  <c r="W114" i="5"/>
  <c r="U114" i="5" s="1"/>
  <c r="W118" i="5"/>
  <c r="U118" i="5" s="1"/>
  <c r="W115" i="5"/>
  <c r="U115" i="5" s="1"/>
  <c r="W68" i="5"/>
  <c r="U68" i="5" s="1"/>
  <c r="W71" i="5"/>
  <c r="U71" i="5" s="1"/>
  <c r="W69" i="5"/>
  <c r="U69" i="5" s="1"/>
  <c r="W72" i="5"/>
  <c r="U72" i="5" s="1"/>
  <c r="W73" i="5"/>
  <c r="U73" i="5" s="1"/>
  <c r="W70" i="5"/>
  <c r="U70" i="5" s="1"/>
  <c r="W74" i="5"/>
  <c r="U74" i="5" s="1"/>
  <c r="W184" i="5"/>
  <c r="U184" i="5" s="1"/>
  <c r="W181" i="5"/>
  <c r="U181" i="5" s="1"/>
  <c r="W182" i="5"/>
  <c r="U182" i="5" s="1"/>
  <c r="W180" i="5"/>
  <c r="U180" i="5" s="1"/>
  <c r="W183" i="5"/>
  <c r="U183" i="5" s="1"/>
  <c r="W88" i="5"/>
  <c r="U88" i="5" s="1"/>
  <c r="W85" i="5"/>
  <c r="U85" i="5" s="1"/>
  <c r="W89" i="5"/>
  <c r="U89" i="5" s="1"/>
  <c r="W91" i="5"/>
  <c r="U91" i="5" s="1"/>
  <c r="W86" i="5"/>
  <c r="U86" i="5" s="1"/>
  <c r="W90" i="5"/>
  <c r="U90" i="5" s="1"/>
  <c r="W92" i="5"/>
  <c r="U92" i="5" s="1"/>
  <c r="W87" i="5"/>
  <c r="U87" i="5" s="1"/>
  <c r="W217" i="5"/>
  <c r="U217" i="5" s="1"/>
  <c r="W215" i="5"/>
  <c r="U215" i="5" s="1"/>
  <c r="W216" i="5"/>
  <c r="U216" i="5" s="1"/>
  <c r="W197" i="5"/>
  <c r="U197" i="5" s="1"/>
  <c r="W198" i="5"/>
  <c r="U198" i="5" s="1"/>
  <c r="W199" i="5"/>
  <c r="U199" i="5" s="1"/>
  <c r="W200" i="5"/>
  <c r="U200" i="5" s="1"/>
  <c r="W171" i="5"/>
  <c r="U171" i="5" s="1"/>
  <c r="W175" i="5"/>
  <c r="U175" i="5" s="1"/>
  <c r="W172" i="5"/>
  <c r="U172" i="5" s="1"/>
  <c r="W176" i="5"/>
  <c r="U176" i="5" s="1"/>
  <c r="W173" i="5"/>
  <c r="U173" i="5" s="1"/>
  <c r="W177" i="5"/>
  <c r="U177" i="5" s="1"/>
  <c r="W178" i="5"/>
  <c r="U178" i="5" s="1"/>
  <c r="W174" i="5"/>
  <c r="U174" i="5" s="1"/>
  <c r="W60" i="5"/>
  <c r="U60" i="5" s="1"/>
  <c r="W138" i="5"/>
  <c r="U138" i="5" s="1"/>
  <c r="W165" i="5"/>
  <c r="U165" i="5" s="1"/>
  <c r="W223" i="5"/>
  <c r="U223" i="5" s="1"/>
  <c r="V91" i="9"/>
  <c r="T91" i="9" s="1"/>
  <c r="V41" i="9"/>
  <c r="T41" i="9" s="1"/>
  <c r="V61" i="9"/>
  <c r="T61" i="9" s="1"/>
  <c r="V12" i="9"/>
  <c r="T12" i="9" s="1"/>
  <c r="W52" i="5"/>
  <c r="U52" i="5" s="1"/>
  <c r="Z52" i="5" s="1"/>
  <c r="W55" i="5"/>
  <c r="U55" i="5" s="1"/>
  <c r="W58" i="5"/>
  <c r="U58" i="5" s="1"/>
  <c r="W56" i="5"/>
  <c r="U56" i="5" s="1"/>
  <c r="W57" i="5"/>
  <c r="U57" i="5" s="1"/>
  <c r="W54" i="5"/>
  <c r="U54" i="5" s="1"/>
  <c r="W53" i="5"/>
  <c r="U53" i="5" s="1"/>
  <c r="W168" i="5"/>
  <c r="U168" i="5" s="1"/>
  <c r="W169" i="5"/>
  <c r="U169" i="5" s="1"/>
  <c r="W170" i="5"/>
  <c r="U170" i="5" s="1"/>
  <c r="W185" i="5"/>
  <c r="U185" i="5" s="1"/>
  <c r="W186" i="5"/>
  <c r="U186" i="5" s="1"/>
  <c r="W187" i="5"/>
  <c r="U187" i="5" s="1"/>
  <c r="W188" i="5"/>
  <c r="U188" i="5" s="1"/>
  <c r="W189" i="5"/>
  <c r="U189" i="5" s="1"/>
  <c r="W190" i="5"/>
  <c r="U190" i="5" s="1"/>
  <c r="W191" i="5"/>
  <c r="U191" i="5" s="1"/>
  <c r="W201" i="5"/>
  <c r="U201" i="5" s="1"/>
  <c r="W158" i="5"/>
  <c r="U158" i="5" s="1"/>
  <c r="Z158" i="5" s="1"/>
  <c r="W159" i="5"/>
  <c r="U159" i="5" s="1"/>
  <c r="W160" i="5"/>
  <c r="U160" i="5" s="1"/>
  <c r="W161" i="5"/>
  <c r="U161" i="5" s="1"/>
  <c r="W162" i="5"/>
  <c r="U162" i="5" s="1"/>
  <c r="W163" i="5"/>
  <c r="U163" i="5" s="1"/>
  <c r="W164" i="5"/>
  <c r="U164" i="5" s="1"/>
  <c r="W40" i="5"/>
  <c r="U40" i="5" s="1"/>
  <c r="W30" i="5"/>
  <c r="U30" i="5" s="1"/>
  <c r="W29" i="5"/>
  <c r="U29" i="5" s="1"/>
  <c r="W32" i="5"/>
  <c r="U32" i="5" s="1"/>
  <c r="W31" i="5"/>
  <c r="U31" i="5" s="1"/>
  <c r="W34" i="5"/>
  <c r="U34" i="5" s="1"/>
  <c r="W33" i="5"/>
  <c r="U33" i="5" s="1"/>
  <c r="W23" i="5"/>
  <c r="U23" i="5" s="1"/>
  <c r="Z23" i="5" s="1"/>
  <c r="W39" i="5"/>
  <c r="U39" i="5" s="1"/>
  <c r="W38" i="5"/>
  <c r="U38" i="5" s="1"/>
  <c r="W24" i="5"/>
  <c r="U24" i="5" s="1"/>
  <c r="W25" i="5"/>
  <c r="U25" i="5" s="1"/>
  <c r="W26" i="5"/>
  <c r="U26" i="5" s="1"/>
  <c r="W27" i="5"/>
  <c r="U27" i="5" s="1"/>
  <c r="W35" i="5"/>
  <c r="U35" i="5" s="1"/>
  <c r="W36" i="5"/>
  <c r="U36" i="5" s="1"/>
  <c r="W28" i="5"/>
  <c r="U28" i="5" s="1"/>
  <c r="W37" i="5"/>
  <c r="U37" i="5" s="1"/>
  <c r="W2" i="5"/>
  <c r="U2" i="5" s="1"/>
  <c r="W3" i="5"/>
  <c r="U3" i="5" s="1"/>
  <c r="W4" i="5"/>
  <c r="U4" i="5" s="1"/>
  <c r="W5" i="5"/>
  <c r="U5" i="5" s="1"/>
  <c r="W7" i="5"/>
  <c r="U7" i="5" s="1"/>
  <c r="W8" i="5"/>
  <c r="U8" i="5" s="1"/>
  <c r="W6" i="5"/>
  <c r="U6" i="5" s="1"/>
  <c r="W9" i="5"/>
  <c r="U9" i="5" s="1"/>
  <c r="W10" i="5"/>
  <c r="U10" i="5" s="1"/>
  <c r="W192" i="5"/>
  <c r="U192" i="5" s="1"/>
  <c r="W131" i="5"/>
  <c r="U131" i="5" s="1"/>
  <c r="W132" i="5"/>
  <c r="U132" i="5" s="1"/>
  <c r="W133" i="5"/>
  <c r="U133" i="5" s="1"/>
  <c r="W134" i="5"/>
  <c r="U134" i="5" s="1"/>
  <c r="W135" i="5"/>
  <c r="U135" i="5" s="1"/>
  <c r="W136" i="5"/>
  <c r="U136" i="5" s="1"/>
  <c r="W137" i="5"/>
  <c r="U137" i="5" s="1"/>
  <c r="W11" i="5"/>
  <c r="U11" i="5" s="1"/>
  <c r="W139" i="5"/>
  <c r="U139" i="5" s="1"/>
  <c r="W179" i="5"/>
  <c r="U179" i="5" s="1"/>
  <c r="D149" i="5"/>
  <c r="W148" i="5"/>
  <c r="U148" i="5" s="1"/>
  <c r="D84" i="5"/>
  <c r="W84" i="5" s="1"/>
  <c r="U84" i="5" s="1"/>
  <c r="W83" i="5"/>
  <c r="U83" i="5" s="1"/>
  <c r="D94" i="5"/>
  <c r="W93" i="5"/>
  <c r="U93" i="5" s="1"/>
  <c r="D167" i="5"/>
  <c r="W166" i="5"/>
  <c r="U166" i="5" s="1"/>
  <c r="D122" i="5"/>
  <c r="W121" i="5"/>
  <c r="U121" i="5" s="1"/>
  <c r="D194" i="5"/>
  <c r="W193" i="5"/>
  <c r="U193" i="5" s="1"/>
  <c r="D51" i="5"/>
  <c r="W50" i="5"/>
  <c r="U50" i="5" s="1"/>
  <c r="D62" i="5"/>
  <c r="W61" i="5"/>
  <c r="U61" i="5" s="1"/>
  <c r="D13" i="5"/>
  <c r="W12" i="5"/>
  <c r="U12" i="5" s="1"/>
  <c r="D162" i="6"/>
  <c r="W161" i="6"/>
  <c r="U161" i="6" s="1"/>
  <c r="D93" i="6"/>
  <c r="W92" i="6"/>
  <c r="U92" i="6" s="1"/>
  <c r="D11" i="6"/>
  <c r="W10" i="6"/>
  <c r="U10" i="6" s="1"/>
  <c r="D61" i="6"/>
  <c r="W60" i="6"/>
  <c r="U60" i="6" s="1"/>
  <c r="D41" i="6"/>
  <c r="W40" i="6"/>
  <c r="U40" i="6" s="1"/>
  <c r="D126" i="6"/>
  <c r="W125" i="6"/>
  <c r="U125" i="6" s="1"/>
  <c r="V125" i="9"/>
  <c r="T125" i="9" s="1"/>
  <c r="A9" i="4"/>
  <c r="B8" i="4"/>
  <c r="AF64" i="20" l="1"/>
  <c r="AH184" i="9"/>
  <c r="AF185" i="20"/>
  <c r="AF62" i="20"/>
  <c r="AF61" i="9" s="1"/>
  <c r="AF73" i="20"/>
  <c r="AH125" i="20"/>
  <c r="AH124" i="9" s="1"/>
  <c r="AH103" i="20"/>
  <c r="AF103" i="20" s="1"/>
  <c r="AH70" i="20"/>
  <c r="AH69" i="9" s="1"/>
  <c r="AH68" i="20"/>
  <c r="AH67" i="9" s="1"/>
  <c r="AH105" i="20"/>
  <c r="AH104" i="9" s="1"/>
  <c r="AH100" i="20"/>
  <c r="AF100" i="20" s="1"/>
  <c r="AH104" i="20"/>
  <c r="AH103" i="9" s="1"/>
  <c r="AH75" i="20"/>
  <c r="AH74" i="9" s="1"/>
  <c r="AH56" i="20"/>
  <c r="AH55" i="9" s="1"/>
  <c r="AH67" i="20"/>
  <c r="AH66" i="9" s="1"/>
  <c r="AH87" i="20"/>
  <c r="AH86" i="9" s="1"/>
  <c r="AH49" i="20"/>
  <c r="AH48" i="9" s="1"/>
  <c r="AH124" i="20"/>
  <c r="AF124" i="20" s="1"/>
  <c r="AH101" i="20"/>
  <c r="AH100" i="9" s="1"/>
  <c r="AH46" i="20"/>
  <c r="AH45" i="9" s="1"/>
  <c r="AH48" i="20"/>
  <c r="AF48" i="20" s="1"/>
  <c r="AH76" i="20"/>
  <c r="AH75" i="9" s="1"/>
  <c r="AH59" i="20"/>
  <c r="AH58" i="9" s="1"/>
  <c r="AH60" i="20"/>
  <c r="AH59" i="9" s="1"/>
  <c r="AH120" i="20"/>
  <c r="AF120" i="20" s="1"/>
  <c r="AH89" i="20"/>
  <c r="AH88" i="9" s="1"/>
  <c r="AH109" i="20"/>
  <c r="AH108" i="9" s="1"/>
  <c r="AH80" i="20"/>
  <c r="AH79" i="9" s="1"/>
  <c r="AH93" i="20"/>
  <c r="AH92" i="9" s="1"/>
  <c r="AH94" i="20"/>
  <c r="AH93" i="9" s="1"/>
  <c r="AH96" i="20"/>
  <c r="AH95" i="9" s="1"/>
  <c r="AH51" i="20"/>
  <c r="AF51" i="20" s="1"/>
  <c r="AH106" i="20"/>
  <c r="AH105" i="9" s="1"/>
  <c r="AH45" i="20"/>
  <c r="AH44" i="9" s="1"/>
  <c r="AH78" i="20"/>
  <c r="AF78" i="20" s="1"/>
  <c r="AH91" i="20"/>
  <c r="AH90" i="9" s="1"/>
  <c r="AH115" i="20"/>
  <c r="AF115" i="20" s="1"/>
  <c r="AH92" i="20"/>
  <c r="AH91" i="9" s="1"/>
  <c r="AH98" i="20"/>
  <c r="AH97" i="9" s="1"/>
  <c r="AH50" i="20"/>
  <c r="AF50" i="20" s="1"/>
  <c r="AH123" i="20"/>
  <c r="AF123" i="20" s="1"/>
  <c r="AH86" i="20"/>
  <c r="AH85" i="9" s="1"/>
  <c r="AH58" i="20"/>
  <c r="AH57" i="9" s="1"/>
  <c r="AH57" i="20"/>
  <c r="AH56" i="9" s="1"/>
  <c r="AH90" i="20"/>
  <c r="AH89" i="9" s="1"/>
  <c r="AH71" i="20"/>
  <c r="AF71" i="20" s="1"/>
  <c r="AH116" i="20"/>
  <c r="AF116" i="20" s="1"/>
  <c r="AH99" i="20"/>
  <c r="AH98" i="9" s="1"/>
  <c r="AH119" i="20"/>
  <c r="AF119" i="20" s="1"/>
  <c r="AH88" i="20"/>
  <c r="AH87" i="9" s="1"/>
  <c r="AH108" i="20"/>
  <c r="AH107" i="9" s="1"/>
  <c r="AH55" i="20"/>
  <c r="AH54" i="9" s="1"/>
  <c r="AH79" i="20"/>
  <c r="AF79" i="20" s="1"/>
  <c r="AH66" i="20"/>
  <c r="AH65" i="9" s="1"/>
  <c r="AH69" i="20"/>
  <c r="AH68" i="9" s="1"/>
  <c r="AH95" i="20"/>
  <c r="AH94" i="9" s="1"/>
  <c r="AH97" i="20"/>
  <c r="AH96" i="9" s="1"/>
  <c r="AH107" i="20"/>
  <c r="AH106" i="9" s="1"/>
  <c r="AH102" i="20"/>
  <c r="AH101" i="9" s="1"/>
  <c r="AH47" i="20"/>
  <c r="AH46" i="9" s="1"/>
  <c r="AH77" i="20"/>
  <c r="AH37" i="9" s="1"/>
  <c r="K124" i="8"/>
  <c r="M123" i="8"/>
  <c r="K96" i="8"/>
  <c r="M95" i="8"/>
  <c r="A20" i="8"/>
  <c r="E19" i="8"/>
  <c r="C19" i="8"/>
  <c r="D19" i="8" s="1"/>
  <c r="V134" i="9"/>
  <c r="T134" i="9" s="1"/>
  <c r="V135" i="9"/>
  <c r="T135" i="9" s="1"/>
  <c r="AH73" i="9"/>
  <c r="AH266" i="9"/>
  <c r="AH6" i="9"/>
  <c r="AH217" i="9"/>
  <c r="AH14" i="9"/>
  <c r="AH223" i="9"/>
  <c r="AH83" i="9"/>
  <c r="AH274" i="9"/>
  <c r="AH43" i="9"/>
  <c r="AH244" i="9"/>
  <c r="AH35" i="9"/>
  <c r="AH238" i="9"/>
  <c r="AH38" i="9"/>
  <c r="AH240" i="9"/>
  <c r="AF287" i="20"/>
  <c r="AF286" i="9" s="1"/>
  <c r="AH286" i="9"/>
  <c r="AF352" i="20"/>
  <c r="AF351" i="9" s="1"/>
  <c r="AH351" i="9"/>
  <c r="AH342" i="9"/>
  <c r="AF343" i="20"/>
  <c r="AF342" i="9" s="1"/>
  <c r="AH343" i="9"/>
  <c r="AF344" i="20"/>
  <c r="AF343" i="9" s="1"/>
  <c r="AH349" i="9"/>
  <c r="AF350" i="20"/>
  <c r="AF349" i="9" s="1"/>
  <c r="AF338" i="20"/>
  <c r="AF337" i="9" s="1"/>
  <c r="AH337" i="9"/>
  <c r="AF273" i="20"/>
  <c r="AF272" i="9" s="1"/>
  <c r="AH272" i="9"/>
  <c r="AF278" i="20"/>
  <c r="AF277" i="9" s="1"/>
  <c r="AH277" i="9"/>
  <c r="AB376" i="20"/>
  <c r="AB374" i="9"/>
  <c r="AB308" i="20"/>
  <c r="AB306" i="9"/>
  <c r="AH51" i="9"/>
  <c r="AH250" i="9"/>
  <c r="AH8" i="9"/>
  <c r="AH219" i="9"/>
  <c r="AH11" i="9"/>
  <c r="AH221" i="9"/>
  <c r="AH84" i="9"/>
  <c r="AH275" i="9"/>
  <c r="AH39" i="9"/>
  <c r="AH241" i="9"/>
  <c r="AH42" i="9"/>
  <c r="AH243" i="9"/>
  <c r="AH33" i="9"/>
  <c r="AH236" i="9"/>
  <c r="AF291" i="20"/>
  <c r="AF290" i="9" s="1"/>
  <c r="AH290" i="9"/>
  <c r="AF290" i="20"/>
  <c r="AF289" i="9" s="1"/>
  <c r="AH289" i="9"/>
  <c r="AF356" i="20"/>
  <c r="AF355" i="9" s="1"/>
  <c r="AH355" i="9"/>
  <c r="AH340" i="9"/>
  <c r="AF341" i="20"/>
  <c r="AF340" i="9" s="1"/>
  <c r="AH345" i="9"/>
  <c r="AF346" i="20"/>
  <c r="AF345" i="9" s="1"/>
  <c r="AH347" i="9"/>
  <c r="AF348" i="20"/>
  <c r="AF347" i="9" s="1"/>
  <c r="AF339" i="20"/>
  <c r="AF338" i="9" s="1"/>
  <c r="AH338" i="9"/>
  <c r="AF271" i="20"/>
  <c r="AF270" i="9" s="1"/>
  <c r="AH270" i="9"/>
  <c r="AF280" i="20"/>
  <c r="AF279" i="9" s="1"/>
  <c r="AH279" i="9"/>
  <c r="AH52" i="9"/>
  <c r="AH251" i="9"/>
  <c r="AH7" i="9"/>
  <c r="AH218" i="9"/>
  <c r="AH34" i="9"/>
  <c r="AH237" i="9"/>
  <c r="AH40" i="9"/>
  <c r="AH242" i="9"/>
  <c r="AF289" i="20"/>
  <c r="AF288" i="9" s="1"/>
  <c r="AH288" i="9"/>
  <c r="AF355" i="20"/>
  <c r="AF354" i="9" s="1"/>
  <c r="AH354" i="9"/>
  <c r="AH350" i="9"/>
  <c r="AF351" i="20"/>
  <c r="AF350" i="9" s="1"/>
  <c r="AH341" i="9"/>
  <c r="AF342" i="20"/>
  <c r="AF341" i="9" s="1"/>
  <c r="AH348" i="9"/>
  <c r="AF349" i="20"/>
  <c r="AF348" i="9" s="1"/>
  <c r="AF336" i="20"/>
  <c r="AF335" i="9" s="1"/>
  <c r="AH335" i="9"/>
  <c r="AF274" i="20"/>
  <c r="AF273" i="9" s="1"/>
  <c r="AH273" i="9"/>
  <c r="AB402" i="20"/>
  <c r="AB400" i="9"/>
  <c r="AC401" i="20"/>
  <c r="AC400" i="9" s="1"/>
  <c r="AH72" i="9"/>
  <c r="AH265" i="9"/>
  <c r="AH12" i="9"/>
  <c r="AH222" i="9"/>
  <c r="AH3" i="9"/>
  <c r="AH215" i="9"/>
  <c r="AH4" i="9"/>
  <c r="AH216" i="9"/>
  <c r="AH16" i="9"/>
  <c r="AH225" i="9"/>
  <c r="AH10" i="9"/>
  <c r="AH220" i="9"/>
  <c r="AH15" i="9"/>
  <c r="AH224" i="9"/>
  <c r="AH36" i="9"/>
  <c r="AH239" i="9"/>
  <c r="AF288" i="20"/>
  <c r="AF287" i="9" s="1"/>
  <c r="AH287" i="9"/>
  <c r="AF354" i="20"/>
  <c r="AF353" i="9" s="1"/>
  <c r="AH353" i="9"/>
  <c r="AF353" i="20"/>
  <c r="AF352" i="9" s="1"/>
  <c r="AH352" i="9"/>
  <c r="AH346" i="9"/>
  <c r="AF347" i="20"/>
  <c r="AF346" i="9" s="1"/>
  <c r="AH344" i="9"/>
  <c r="AF345" i="20"/>
  <c r="AF344" i="9" s="1"/>
  <c r="AF337" i="20"/>
  <c r="AF336" i="9" s="1"/>
  <c r="AH336" i="9"/>
  <c r="AF272" i="20"/>
  <c r="AF271" i="9" s="1"/>
  <c r="AH271" i="9"/>
  <c r="AH359" i="9"/>
  <c r="AF360" i="20"/>
  <c r="AF359" i="9" s="1"/>
  <c r="V135" i="20"/>
  <c r="T135" i="20" s="1"/>
  <c r="V136" i="20"/>
  <c r="T136" i="20" s="1"/>
  <c r="AD79" i="12"/>
  <c r="P79" i="18" s="1"/>
  <c r="AD15" i="12"/>
  <c r="P15" i="18" s="1"/>
  <c r="AD8" i="12"/>
  <c r="P8" i="18" s="1"/>
  <c r="AD96" i="12"/>
  <c r="P96" i="18" s="1"/>
  <c r="AD23" i="12"/>
  <c r="P23" i="18" s="1"/>
  <c r="AH81" i="9"/>
  <c r="AH5" i="9"/>
  <c r="AH17" i="9"/>
  <c r="AH9" i="9"/>
  <c r="AH114" i="9"/>
  <c r="AH82" i="9"/>
  <c r="AH99" i="9"/>
  <c r="AH29" i="9"/>
  <c r="AH31" i="9"/>
  <c r="AH80" i="9"/>
  <c r="AH21" i="9"/>
  <c r="AH20" i="9"/>
  <c r="AH18" i="9"/>
  <c r="AH28" i="9"/>
  <c r="AF27" i="9"/>
  <c r="AH19" i="9"/>
  <c r="AH23" i="9"/>
  <c r="AH2" i="9"/>
  <c r="AH22" i="9"/>
  <c r="AH13" i="9"/>
  <c r="AH32" i="9"/>
  <c r="AH41" i="9"/>
  <c r="AH102" i="9"/>
  <c r="AH30" i="9"/>
  <c r="AF24" i="9"/>
  <c r="AF26" i="9"/>
  <c r="AH71" i="9"/>
  <c r="AF25" i="9"/>
  <c r="AF60" i="9"/>
  <c r="AF53" i="9"/>
  <c r="AF63" i="9"/>
  <c r="AF62" i="9"/>
  <c r="AF64" i="9"/>
  <c r="AF267" i="20"/>
  <c r="AF266" i="9" s="1"/>
  <c r="AF268" i="20"/>
  <c r="AF267" i="9" s="1"/>
  <c r="AF201" i="20"/>
  <c r="AF200" i="9" s="1"/>
  <c r="AF199" i="20"/>
  <c r="AF198" i="9" s="1"/>
  <c r="AF206" i="20"/>
  <c r="AF205" i="9" s="1"/>
  <c r="AF249" i="20"/>
  <c r="AF248" i="9" s="1"/>
  <c r="AF248" i="20"/>
  <c r="AF247" i="9" s="1"/>
  <c r="AF218" i="20"/>
  <c r="AF217" i="9" s="1"/>
  <c r="AF224" i="20"/>
  <c r="AF223" i="9" s="1"/>
  <c r="AF275" i="20"/>
  <c r="AF274" i="9" s="1"/>
  <c r="AF328" i="20"/>
  <c r="AF327" i="9" s="1"/>
  <c r="AF332" i="20"/>
  <c r="AF331" i="9" s="1"/>
  <c r="AF329" i="20"/>
  <c r="AF328" i="9" s="1"/>
  <c r="AF327" i="20"/>
  <c r="AF326" i="9" s="1"/>
  <c r="AF181" i="20"/>
  <c r="AF180" i="9" s="1"/>
  <c r="AF178" i="20"/>
  <c r="AF177" i="9" s="1"/>
  <c r="AF175" i="20"/>
  <c r="AF174" i="9" s="1"/>
  <c r="AF177" i="20"/>
  <c r="AF176" i="9" s="1"/>
  <c r="AF234" i="20"/>
  <c r="AF233" i="9" s="1"/>
  <c r="AF236" i="20"/>
  <c r="AF235" i="9" s="1"/>
  <c r="AF240" i="20"/>
  <c r="AF239" i="9" s="1"/>
  <c r="AF208" i="20"/>
  <c r="AF207" i="9" s="1"/>
  <c r="AF292" i="20"/>
  <c r="AF270" i="20"/>
  <c r="AF269" i="9" s="1"/>
  <c r="AF207" i="20"/>
  <c r="AF206" i="9" s="1"/>
  <c r="AF204" i="20"/>
  <c r="AF203" i="9" s="1"/>
  <c r="AF247" i="20"/>
  <c r="AF246" i="9" s="1"/>
  <c r="AF251" i="20"/>
  <c r="AF250" i="9" s="1"/>
  <c r="AF220" i="20"/>
  <c r="AF219" i="9" s="1"/>
  <c r="AF222" i="20"/>
  <c r="AF221" i="9" s="1"/>
  <c r="AF229" i="20"/>
  <c r="AF228" i="9" s="1"/>
  <c r="AF227" i="20"/>
  <c r="AF226" i="9" s="1"/>
  <c r="AF277" i="20"/>
  <c r="AF276" i="9" s="1"/>
  <c r="AF276" i="20"/>
  <c r="AF275" i="9" s="1"/>
  <c r="AF189" i="20"/>
  <c r="AF188" i="9" s="1"/>
  <c r="AF334" i="20"/>
  <c r="AF333" i="9" s="1"/>
  <c r="AF187" i="20"/>
  <c r="AF186" i="9" s="1"/>
  <c r="AF284" i="20"/>
  <c r="AF283" i="9" s="1"/>
  <c r="AF101" i="20"/>
  <c r="AF286" i="20"/>
  <c r="AF285" i="9" s="1"/>
  <c r="AF182" i="20"/>
  <c r="AF181" i="9" s="1"/>
  <c r="AF184" i="20"/>
  <c r="AF183" i="9" s="1"/>
  <c r="AF174" i="20"/>
  <c r="AF173" i="9" s="1"/>
  <c r="AF245" i="20"/>
  <c r="AF244" i="9" s="1"/>
  <c r="AF246" i="20"/>
  <c r="AF245" i="9" s="1"/>
  <c r="AF239" i="20"/>
  <c r="AF238" i="9" s="1"/>
  <c r="AF241" i="20"/>
  <c r="AF240" i="9" s="1"/>
  <c r="AF209" i="20"/>
  <c r="AF208" i="9" s="1"/>
  <c r="AF269" i="20"/>
  <c r="AF268" i="9" s="1"/>
  <c r="AF203" i="20"/>
  <c r="AF202" i="9" s="1"/>
  <c r="AF202" i="20"/>
  <c r="AF201" i="9" s="1"/>
  <c r="AF340" i="20"/>
  <c r="AF339" i="9" s="1"/>
  <c r="AF252" i="20"/>
  <c r="AF251" i="9" s="1"/>
  <c r="AF228" i="20"/>
  <c r="AF227" i="9" s="1"/>
  <c r="AF231" i="20"/>
  <c r="AF230" i="9" s="1"/>
  <c r="AF219" i="20"/>
  <c r="AF218" i="9" s="1"/>
  <c r="AF230" i="20"/>
  <c r="AF229" i="9" s="1"/>
  <c r="AF69" i="20"/>
  <c r="AF279" i="20"/>
  <c r="AF278" i="9" s="1"/>
  <c r="AF186" i="20"/>
  <c r="AF185" i="9" s="1"/>
  <c r="AF330" i="20"/>
  <c r="AF329" i="9" s="1"/>
  <c r="AF335" i="20"/>
  <c r="AF334" i="9" s="1"/>
  <c r="AF190" i="20"/>
  <c r="AF189" i="9" s="1"/>
  <c r="AF331" i="20"/>
  <c r="AF330" i="9" s="1"/>
  <c r="AF282" i="20"/>
  <c r="AF281" i="9" s="1"/>
  <c r="AF281" i="20"/>
  <c r="AF280" i="9" s="1"/>
  <c r="AF325" i="20"/>
  <c r="AF324" i="9" s="1"/>
  <c r="AF180" i="20"/>
  <c r="AF179" i="9" s="1"/>
  <c r="AF323" i="20"/>
  <c r="AF322" i="9" s="1"/>
  <c r="AF183" i="20"/>
  <c r="AF182" i="9" s="1"/>
  <c r="AF242" i="20"/>
  <c r="AF241" i="9" s="1"/>
  <c r="AF244" i="20"/>
  <c r="AF243" i="9" s="1"/>
  <c r="AF237" i="20"/>
  <c r="AF236" i="9" s="1"/>
  <c r="AF266" i="20"/>
  <c r="AF265" i="9" s="1"/>
  <c r="AF198" i="20"/>
  <c r="AF197" i="9" s="1"/>
  <c r="AF205" i="20"/>
  <c r="AF204" i="9" s="1"/>
  <c r="AF200" i="20"/>
  <c r="AF199" i="9" s="1"/>
  <c r="AF250" i="20"/>
  <c r="AF249" i="9" s="1"/>
  <c r="AF223" i="20"/>
  <c r="AF222" i="9" s="1"/>
  <c r="AF216" i="20"/>
  <c r="AF215" i="9" s="1"/>
  <c r="AF217" i="20"/>
  <c r="AF216" i="9" s="1"/>
  <c r="AF226" i="20"/>
  <c r="AF225" i="9" s="1"/>
  <c r="AF221" i="20"/>
  <c r="AF220" i="9" s="1"/>
  <c r="AF225" i="20"/>
  <c r="AF224" i="9" s="1"/>
  <c r="AF184" i="9"/>
  <c r="AF188" i="20"/>
  <c r="AF187" i="9" s="1"/>
  <c r="AF333" i="20"/>
  <c r="AF332" i="9" s="1"/>
  <c r="AF283" i="20"/>
  <c r="AF282" i="9" s="1"/>
  <c r="AF285" i="20"/>
  <c r="AF284" i="9" s="1"/>
  <c r="AF326" i="20"/>
  <c r="AF325" i="9" s="1"/>
  <c r="AF324" i="20"/>
  <c r="AF323" i="9" s="1"/>
  <c r="AF176" i="20"/>
  <c r="AF175" i="9" s="1"/>
  <c r="AF179" i="20"/>
  <c r="AF178" i="9" s="1"/>
  <c r="AF45" i="20"/>
  <c r="AF238" i="20"/>
  <c r="AF237" i="9" s="1"/>
  <c r="AF243" i="20"/>
  <c r="AF242" i="9" s="1"/>
  <c r="AF235" i="20"/>
  <c r="AF234" i="9" s="1"/>
  <c r="AF210" i="20"/>
  <c r="AF209" i="9" s="1"/>
  <c r="A130" i="9"/>
  <c r="A129" i="9"/>
  <c r="A19" i="9"/>
  <c r="A18" i="9"/>
  <c r="A67" i="9"/>
  <c r="A96" i="9"/>
  <c r="V126" i="20"/>
  <c r="T126" i="20" s="1"/>
  <c r="V127" i="20"/>
  <c r="T127" i="20" s="1"/>
  <c r="V129" i="20"/>
  <c r="T129" i="20" s="1"/>
  <c r="V128" i="20"/>
  <c r="T128" i="20" s="1"/>
  <c r="Q64" i="17"/>
  <c r="Q128" i="17"/>
  <c r="Q44" i="17"/>
  <c r="Q94" i="17"/>
  <c r="A15" i="17"/>
  <c r="Q15" i="17" s="1"/>
  <c r="W394" i="20"/>
  <c r="AC394" i="20" s="1"/>
  <c r="AC393" i="9" s="1"/>
  <c r="A394" i="20"/>
  <c r="A262" i="20"/>
  <c r="W262" i="20"/>
  <c r="A375" i="20"/>
  <c r="W375" i="20"/>
  <c r="AC375" i="20" s="1"/>
  <c r="AC374" i="9" s="1"/>
  <c r="W166" i="20"/>
  <c r="A166" i="20"/>
  <c r="W224" i="20"/>
  <c r="A224" i="20"/>
  <c r="A243" i="20"/>
  <c r="W243" i="20"/>
  <c r="W180" i="20"/>
  <c r="A180" i="20"/>
  <c r="W306" i="20"/>
  <c r="AC306" i="20" s="1"/>
  <c r="AC305" i="9" s="1"/>
  <c r="A306" i="20"/>
  <c r="W388" i="20"/>
  <c r="AC388" i="20" s="1"/>
  <c r="AC387" i="9" s="1"/>
  <c r="A388" i="20"/>
  <c r="A298" i="20"/>
  <c r="W298" i="20"/>
  <c r="AC298" i="20" s="1"/>
  <c r="AC297" i="9" s="1"/>
  <c r="W92" i="9"/>
  <c r="W126" i="9"/>
  <c r="W62" i="9"/>
  <c r="W42" i="9"/>
  <c r="W13" i="9"/>
  <c r="U1" i="13"/>
  <c r="AM1" i="13" s="1"/>
  <c r="AL1" i="13"/>
  <c r="AS11" i="13"/>
  <c r="V143" i="9"/>
  <c r="T143" i="9" s="1"/>
  <c r="V131" i="9"/>
  <c r="T131" i="9" s="1"/>
  <c r="V130" i="20"/>
  <c r="T130" i="20" s="1"/>
  <c r="V92" i="9"/>
  <c r="T92" i="9" s="1"/>
  <c r="V62" i="9"/>
  <c r="T62" i="9" s="1"/>
  <c r="V42" i="9"/>
  <c r="T42" i="9" s="1"/>
  <c r="V126" i="9"/>
  <c r="T126" i="9" s="1"/>
  <c r="V13" i="9"/>
  <c r="T13" i="9" s="1"/>
  <c r="V141" i="9"/>
  <c r="T141" i="9" s="1"/>
  <c r="W212" i="5"/>
  <c r="U212" i="5" s="1"/>
  <c r="W229" i="5"/>
  <c r="U229" i="5" s="1"/>
  <c r="W230" i="5"/>
  <c r="U230" i="5" s="1"/>
  <c r="W234" i="5"/>
  <c r="U234" i="5" s="1"/>
  <c r="D195" i="5"/>
  <c r="W194" i="5"/>
  <c r="U194" i="5" s="1"/>
  <c r="W167" i="5"/>
  <c r="U167" i="5" s="1"/>
  <c r="W51" i="5"/>
  <c r="U51" i="5" s="1"/>
  <c r="D123" i="5"/>
  <c r="W122" i="5"/>
  <c r="U122" i="5" s="1"/>
  <c r="D150" i="5"/>
  <c r="W149" i="5"/>
  <c r="U149" i="5" s="1"/>
  <c r="D14" i="5"/>
  <c r="W13" i="5"/>
  <c r="U13" i="5" s="1"/>
  <c r="D63" i="5"/>
  <c r="W62" i="5"/>
  <c r="U62" i="5" s="1"/>
  <c r="D95" i="5"/>
  <c r="W94" i="5"/>
  <c r="U94" i="5" s="1"/>
  <c r="D12" i="6"/>
  <c r="W11" i="6"/>
  <c r="U11" i="6" s="1"/>
  <c r="D62" i="6"/>
  <c r="W61" i="6"/>
  <c r="U61" i="6" s="1"/>
  <c r="D127" i="6"/>
  <c r="W126" i="6"/>
  <c r="U126" i="6" s="1"/>
  <c r="D94" i="6"/>
  <c r="W93" i="6"/>
  <c r="U93" i="6" s="1"/>
  <c r="D42" i="6"/>
  <c r="W41" i="6"/>
  <c r="U41" i="6" s="1"/>
  <c r="D163" i="6"/>
  <c r="W162" i="6"/>
  <c r="U162" i="6" s="1"/>
  <c r="B9" i="4"/>
  <c r="AF125" i="20" l="1"/>
  <c r="AF92" i="20"/>
  <c r="AF70" i="20"/>
  <c r="AF46" i="20"/>
  <c r="AF45" i="9" s="1"/>
  <c r="AF77" i="20"/>
  <c r="AF90" i="20"/>
  <c r="AF89" i="9" s="1"/>
  <c r="AF75" i="20"/>
  <c r="AH47" i="9"/>
  <c r="AF86" i="20"/>
  <c r="AF104" i="20"/>
  <c r="AF103" i="9" s="1"/>
  <c r="AF56" i="20"/>
  <c r="AH49" i="9"/>
  <c r="AF47" i="20"/>
  <c r="AF107" i="20"/>
  <c r="AF106" i="9" s="1"/>
  <c r="AH50" i="9"/>
  <c r="AF60" i="20"/>
  <c r="AF59" i="9" s="1"/>
  <c r="AF96" i="20"/>
  <c r="AF108" i="20"/>
  <c r="AH78" i="9"/>
  <c r="AF49" i="20"/>
  <c r="AF48" i="9" s="1"/>
  <c r="AF94" i="20"/>
  <c r="AF93" i="9" s="1"/>
  <c r="AF80" i="20"/>
  <c r="AF79" i="9" s="1"/>
  <c r="AF89" i="20"/>
  <c r="AF76" i="20"/>
  <c r="AF75" i="9" s="1"/>
  <c r="AF55" i="20"/>
  <c r="AF88" i="20"/>
  <c r="AF87" i="9" s="1"/>
  <c r="AF99" i="20"/>
  <c r="AF98" i="9" s="1"/>
  <c r="AF57" i="20"/>
  <c r="AF56" i="9" s="1"/>
  <c r="AF105" i="20"/>
  <c r="AF91" i="20"/>
  <c r="AF90" i="9" s="1"/>
  <c r="AH70" i="9"/>
  <c r="AF95" i="20"/>
  <c r="AF94" i="9" s="1"/>
  <c r="AF66" i="20"/>
  <c r="AF65" i="9" s="1"/>
  <c r="AF87" i="20"/>
  <c r="AF86" i="9" s="1"/>
  <c r="AF106" i="20"/>
  <c r="AF105" i="9" s="1"/>
  <c r="AF93" i="20"/>
  <c r="AF92" i="9" s="1"/>
  <c r="AF109" i="20"/>
  <c r="AF108" i="9" s="1"/>
  <c r="AF102" i="20"/>
  <c r="AF101" i="9" s="1"/>
  <c r="AF97" i="20"/>
  <c r="AF96" i="9" s="1"/>
  <c r="AF58" i="20"/>
  <c r="AF57" i="9" s="1"/>
  <c r="AF98" i="20"/>
  <c r="AF97" i="9" s="1"/>
  <c r="AF68" i="20"/>
  <c r="AF67" i="9" s="1"/>
  <c r="AF67" i="20"/>
  <c r="AH77" i="9"/>
  <c r="AF59" i="20"/>
  <c r="AF58" i="9" s="1"/>
  <c r="AH76" i="9"/>
  <c r="AH127" i="20"/>
  <c r="AH126" i="9" s="1"/>
  <c r="AH126" i="20"/>
  <c r="AH125" i="9" s="1"/>
  <c r="AH136" i="20"/>
  <c r="AF136" i="20" s="1"/>
  <c r="AF135" i="9" s="1"/>
  <c r="AH129" i="20"/>
  <c r="AF129" i="20" s="1"/>
  <c r="AH130" i="20"/>
  <c r="AH129" i="9" s="1"/>
  <c r="AH128" i="20"/>
  <c r="AF128" i="20" s="1"/>
  <c r="AH135" i="20"/>
  <c r="AF135" i="20" s="1"/>
  <c r="AF134" i="9" s="1"/>
  <c r="K97" i="8"/>
  <c r="M96" i="8"/>
  <c r="K125" i="8"/>
  <c r="M124" i="8"/>
  <c r="AF291" i="9"/>
  <c r="A21" i="8"/>
  <c r="E20" i="8"/>
  <c r="C20" i="8"/>
  <c r="D20" i="8" s="1"/>
  <c r="V139" i="9"/>
  <c r="T139" i="9" s="1"/>
  <c r="V140" i="9"/>
  <c r="T140" i="9" s="1"/>
  <c r="V137" i="9"/>
  <c r="T137" i="9" s="1"/>
  <c r="V136" i="9"/>
  <c r="T136" i="9" s="1"/>
  <c r="V138" i="9"/>
  <c r="T138" i="9" s="1"/>
  <c r="AB403" i="20"/>
  <c r="AB401" i="9"/>
  <c r="AC402" i="20"/>
  <c r="AC401" i="9" s="1"/>
  <c r="AB377" i="20"/>
  <c r="AB375" i="9"/>
  <c r="AB309" i="20"/>
  <c r="AB307" i="9"/>
  <c r="AC308" i="20"/>
  <c r="AC307" i="9" s="1"/>
  <c r="AF3" i="9"/>
  <c r="AF32" i="9"/>
  <c r="AF2" i="9"/>
  <c r="AF36" i="9"/>
  <c r="AF41" i="9"/>
  <c r="AF17" i="9"/>
  <c r="AF81" i="9"/>
  <c r="AF28" i="9"/>
  <c r="AF21" i="9"/>
  <c r="AF80" i="9"/>
  <c r="AF71" i="9"/>
  <c r="AF37" i="9"/>
  <c r="AF13" i="9"/>
  <c r="AF7" i="9"/>
  <c r="AF82" i="9"/>
  <c r="AF9" i="9"/>
  <c r="AF6" i="9"/>
  <c r="AF5" i="9"/>
  <c r="AF38" i="9"/>
  <c r="AF43" i="9"/>
  <c r="AF11" i="9"/>
  <c r="AF8" i="9"/>
  <c r="V133" i="9"/>
  <c r="T133" i="9" s="1"/>
  <c r="V132" i="9"/>
  <c r="T132" i="9" s="1"/>
  <c r="V110" i="9"/>
  <c r="T110" i="9" s="1"/>
  <c r="V109" i="9"/>
  <c r="T109" i="9" s="1"/>
  <c r="V142" i="20"/>
  <c r="T142" i="20" s="1"/>
  <c r="V116" i="9"/>
  <c r="T116" i="9" s="1"/>
  <c r="V117" i="9"/>
  <c r="T117" i="9" s="1"/>
  <c r="V111" i="9"/>
  <c r="T111" i="9" s="1"/>
  <c r="V112" i="9"/>
  <c r="T112" i="9" s="1"/>
  <c r="V114" i="20"/>
  <c r="T114" i="20" s="1"/>
  <c r="V113" i="9"/>
  <c r="T113" i="9" s="1"/>
  <c r="V120" i="9"/>
  <c r="T120" i="9" s="1"/>
  <c r="V121" i="9"/>
  <c r="T121" i="9" s="1"/>
  <c r="AF34" i="9"/>
  <c r="AF15" i="9"/>
  <c r="AF16" i="9"/>
  <c r="AF33" i="9"/>
  <c r="AF23" i="9"/>
  <c r="AF84" i="9"/>
  <c r="AF20" i="9"/>
  <c r="AF83" i="9"/>
  <c r="AF14" i="9"/>
  <c r="AF51" i="9"/>
  <c r="AF73" i="9"/>
  <c r="AF30" i="9"/>
  <c r="AF10" i="9"/>
  <c r="AF4" i="9"/>
  <c r="AF12" i="9"/>
  <c r="AF22" i="9"/>
  <c r="AF19" i="9"/>
  <c r="AF18" i="9"/>
  <c r="AF31" i="9"/>
  <c r="AF29" i="9"/>
  <c r="AF72" i="9"/>
  <c r="AF52" i="9"/>
  <c r="AF40" i="9"/>
  <c r="AF42" i="9"/>
  <c r="AF35" i="9"/>
  <c r="AF39" i="9"/>
  <c r="AH119" i="9"/>
  <c r="AF76" i="9"/>
  <c r="AF44" i="9"/>
  <c r="AF95" i="9"/>
  <c r="AF104" i="9"/>
  <c r="AF91" i="9"/>
  <c r="AF66" i="9"/>
  <c r="AF55" i="9"/>
  <c r="AF124" i="9"/>
  <c r="AF102" i="9"/>
  <c r="AF50" i="9"/>
  <c r="AF88" i="9"/>
  <c r="AF46" i="9"/>
  <c r="AF68" i="9"/>
  <c r="AF78" i="9"/>
  <c r="AF54" i="9"/>
  <c r="AF107" i="9"/>
  <c r="AF74" i="9"/>
  <c r="AF47" i="9"/>
  <c r="AF100" i="9"/>
  <c r="AF70" i="9"/>
  <c r="AF85" i="9"/>
  <c r="AF77" i="9"/>
  <c r="AF99" i="9"/>
  <c r="AF49" i="9"/>
  <c r="AF114" i="9"/>
  <c r="AF69" i="9"/>
  <c r="AF130" i="20"/>
  <c r="A68" i="9"/>
  <c r="A97" i="9"/>
  <c r="V144" i="20"/>
  <c r="T144" i="20" s="1"/>
  <c r="V141" i="20"/>
  <c r="T141" i="20" s="1"/>
  <c r="V140" i="20"/>
  <c r="T140" i="20" s="1"/>
  <c r="V134" i="20"/>
  <c r="T134" i="20" s="1"/>
  <c r="V133" i="20"/>
  <c r="T133" i="20" s="1"/>
  <c r="V121" i="20"/>
  <c r="T121" i="20" s="1"/>
  <c r="V122" i="20"/>
  <c r="T122" i="20" s="1"/>
  <c r="V131" i="20"/>
  <c r="T131" i="20" s="1"/>
  <c r="V132" i="20"/>
  <c r="T132" i="20" s="1"/>
  <c r="V110" i="20"/>
  <c r="T110" i="20" s="1"/>
  <c r="V111" i="20"/>
  <c r="T111" i="20" s="1"/>
  <c r="V137" i="20"/>
  <c r="T137" i="20" s="1"/>
  <c r="V139" i="20"/>
  <c r="T139" i="20" s="1"/>
  <c r="V138" i="20"/>
  <c r="T138" i="20" s="1"/>
  <c r="V118" i="20"/>
  <c r="T118" i="20" s="1"/>
  <c r="V117" i="20"/>
  <c r="T117" i="20" s="1"/>
  <c r="V113" i="20"/>
  <c r="T113" i="20" s="1"/>
  <c r="V112" i="20"/>
  <c r="T112" i="20" s="1"/>
  <c r="A16" i="17"/>
  <c r="Q16" i="17" s="1"/>
  <c r="Q45" i="17"/>
  <c r="Q65" i="17"/>
  <c r="Q95" i="17"/>
  <c r="Q129" i="17"/>
  <c r="W149" i="20"/>
  <c r="A149" i="20"/>
  <c r="W307" i="20"/>
  <c r="AC307" i="20" s="1"/>
  <c r="AC306" i="9" s="1"/>
  <c r="A307" i="20"/>
  <c r="W78" i="20"/>
  <c r="A78" i="20"/>
  <c r="A316" i="20"/>
  <c r="W316" i="20"/>
  <c r="W47" i="20"/>
  <c r="A47" i="20"/>
  <c r="W363" i="20"/>
  <c r="AC363" i="20" s="1"/>
  <c r="AC362" i="9" s="1"/>
  <c r="A363" i="20"/>
  <c r="W225" i="20"/>
  <c r="A225" i="20"/>
  <c r="W376" i="20"/>
  <c r="AC376" i="20" s="1"/>
  <c r="AC375" i="9" s="1"/>
  <c r="A376" i="20"/>
  <c r="A84" i="20"/>
  <c r="W84" i="20"/>
  <c r="W395" i="20"/>
  <c r="AC395" i="20" s="1"/>
  <c r="AC394" i="9" s="1"/>
  <c r="A395" i="20"/>
  <c r="AE25" i="12"/>
  <c r="AE30" i="12"/>
  <c r="W202" i="5"/>
  <c r="U202" i="5" s="1"/>
  <c r="W238" i="5"/>
  <c r="U238" i="5" s="1"/>
  <c r="AT11" i="13"/>
  <c r="W93" i="9"/>
  <c r="W14" i="9"/>
  <c r="W127" i="9"/>
  <c r="W43" i="9"/>
  <c r="W63" i="9"/>
  <c r="V1" i="13"/>
  <c r="AN1" i="13" s="1"/>
  <c r="W207" i="5"/>
  <c r="U207" i="5" s="1"/>
  <c r="W233" i="5"/>
  <c r="U233" i="5" s="1"/>
  <c r="W206" i="5"/>
  <c r="U206" i="5" s="1"/>
  <c r="W208" i="5"/>
  <c r="U208" i="5" s="1"/>
  <c r="W211" i="5"/>
  <c r="U211" i="5" s="1"/>
  <c r="W210" i="5"/>
  <c r="U210" i="5" s="1"/>
  <c r="W209" i="5"/>
  <c r="U209" i="5" s="1"/>
  <c r="W219" i="5"/>
  <c r="U219" i="5" s="1"/>
  <c r="W220" i="5"/>
  <c r="U220" i="5" s="1"/>
  <c r="W218" i="5"/>
  <c r="U218" i="5" s="1"/>
  <c r="W214" i="5"/>
  <c r="U214" i="5" s="1"/>
  <c r="W213" i="5"/>
  <c r="U213" i="5" s="1"/>
  <c r="W232" i="5"/>
  <c r="U232" i="5" s="1"/>
  <c r="W226" i="5"/>
  <c r="U226" i="5" s="1"/>
  <c r="W227" i="5"/>
  <c r="U227" i="5" s="1"/>
  <c r="W225" i="5"/>
  <c r="U225" i="5" s="1"/>
  <c r="W231" i="5"/>
  <c r="U231" i="5" s="1"/>
  <c r="W224" i="5"/>
  <c r="U224" i="5" s="1"/>
  <c r="W241" i="5"/>
  <c r="U241" i="5" s="1"/>
  <c r="V93" i="9"/>
  <c r="T93" i="9" s="1"/>
  <c r="V14" i="9"/>
  <c r="T14" i="9" s="1"/>
  <c r="V127" i="9"/>
  <c r="T127" i="9" s="1"/>
  <c r="V43" i="9"/>
  <c r="T43" i="9" s="1"/>
  <c r="V63" i="9"/>
  <c r="T63" i="9" s="1"/>
  <c r="W237" i="5"/>
  <c r="U237" i="5" s="1"/>
  <c r="W240" i="5"/>
  <c r="U240" i="5" s="1"/>
  <c r="W235" i="5"/>
  <c r="U235" i="5" s="1"/>
  <c r="W236" i="5"/>
  <c r="U236" i="5" s="1"/>
  <c r="W239" i="5"/>
  <c r="U239" i="5" s="1"/>
  <c r="W242" i="5"/>
  <c r="U242" i="5" s="1"/>
  <c r="D64" i="5"/>
  <c r="W63" i="5"/>
  <c r="U63" i="5" s="1"/>
  <c r="D124" i="5"/>
  <c r="W123" i="5"/>
  <c r="U123" i="5" s="1"/>
  <c r="D96" i="5"/>
  <c r="W95" i="5"/>
  <c r="U95" i="5" s="1"/>
  <c r="D151" i="5"/>
  <c r="W150" i="5"/>
  <c r="U150" i="5" s="1"/>
  <c r="D15" i="5"/>
  <c r="W14" i="5"/>
  <c r="U14" i="5" s="1"/>
  <c r="D196" i="5"/>
  <c r="W196" i="5" s="1"/>
  <c r="U196" i="5" s="1"/>
  <c r="W195" i="5"/>
  <c r="U195" i="5" s="1"/>
  <c r="D164" i="6"/>
  <c r="W163" i="6"/>
  <c r="U163" i="6" s="1"/>
  <c r="D63" i="6"/>
  <c r="W62" i="6"/>
  <c r="U62" i="6" s="1"/>
  <c r="D128" i="6"/>
  <c r="W127" i="6"/>
  <c r="U127" i="6" s="1"/>
  <c r="D95" i="6"/>
  <c r="W94" i="6"/>
  <c r="U94" i="6" s="1"/>
  <c r="D43" i="6"/>
  <c r="W42" i="6"/>
  <c r="U42" i="6" s="1"/>
  <c r="D13" i="6"/>
  <c r="W12" i="6"/>
  <c r="U12" i="6" s="1"/>
  <c r="AH134" i="9" l="1"/>
  <c r="AH135" i="9"/>
  <c r="AF127" i="20"/>
  <c r="AF126" i="9" s="1"/>
  <c r="AF126" i="20"/>
  <c r="AF125" i="9" s="1"/>
  <c r="AH113" i="20"/>
  <c r="AH139" i="20"/>
  <c r="AH138" i="9" s="1"/>
  <c r="AH132" i="20"/>
  <c r="AH131" i="9" s="1"/>
  <c r="AH133" i="20"/>
  <c r="AH132" i="9" s="1"/>
  <c r="AH144" i="20"/>
  <c r="AH143" i="9" s="1"/>
  <c r="AH117" i="20"/>
  <c r="AH116" i="9" s="1"/>
  <c r="AH131" i="20"/>
  <c r="AH130" i="9" s="1"/>
  <c r="AH114" i="20"/>
  <c r="AH113" i="9" s="1"/>
  <c r="AH137" i="20"/>
  <c r="AH136" i="9" s="1"/>
  <c r="AH134" i="20"/>
  <c r="AH133" i="9" s="1"/>
  <c r="AH118" i="20"/>
  <c r="AF118" i="20" s="1"/>
  <c r="AH111" i="20"/>
  <c r="AH110" i="9" s="1"/>
  <c r="AH122" i="20"/>
  <c r="AH140" i="20"/>
  <c r="AH139" i="9" s="1"/>
  <c r="AH142" i="20"/>
  <c r="AF142" i="20" s="1"/>
  <c r="AF141" i="9" s="1"/>
  <c r="AH112" i="20"/>
  <c r="AF112" i="20" s="1"/>
  <c r="AH138" i="20"/>
  <c r="AH137" i="9" s="1"/>
  <c r="AH110" i="20"/>
  <c r="AH109" i="9" s="1"/>
  <c r="AH121" i="20"/>
  <c r="AH120" i="9" s="1"/>
  <c r="AH141" i="20"/>
  <c r="AH140" i="9" s="1"/>
  <c r="K98" i="8"/>
  <c r="M97" i="8"/>
  <c r="K126" i="8"/>
  <c r="M125" i="8"/>
  <c r="A22" i="8"/>
  <c r="C21" i="8"/>
  <c r="D21" i="8" s="1"/>
  <c r="E21" i="8"/>
  <c r="AB404" i="20"/>
  <c r="AB402" i="9"/>
  <c r="AC403" i="20"/>
  <c r="AC402" i="9" s="1"/>
  <c r="AB310" i="20"/>
  <c r="AB308" i="9"/>
  <c r="AC309" i="20"/>
  <c r="AC308" i="9" s="1"/>
  <c r="AB378" i="20"/>
  <c r="AB376" i="9"/>
  <c r="AF119" i="9"/>
  <c r="AD25" i="12"/>
  <c r="P25" i="18" s="1"/>
  <c r="AD30" i="12"/>
  <c r="P30" i="18" s="1"/>
  <c r="AH121" i="9"/>
  <c r="AH115" i="9"/>
  <c r="AH112" i="9"/>
  <c r="AH118" i="9"/>
  <c r="AH127" i="9"/>
  <c r="AH123" i="9"/>
  <c r="AH122" i="9"/>
  <c r="AH128" i="9"/>
  <c r="AF129" i="9"/>
  <c r="AF139" i="20"/>
  <c r="AF138" i="9" s="1"/>
  <c r="AF137" i="20"/>
  <c r="AF136" i="9" s="1"/>
  <c r="AF131" i="20"/>
  <c r="AF134" i="20"/>
  <c r="AF122" i="20"/>
  <c r="AF140" i="20"/>
  <c r="AF139" i="9" s="1"/>
  <c r="AF138" i="20"/>
  <c r="AF137" i="9" s="1"/>
  <c r="AF113" i="20"/>
  <c r="A98" i="9"/>
  <c r="A69" i="9"/>
  <c r="AF144" i="20"/>
  <c r="AF143" i="9" s="1"/>
  <c r="Q66" i="17"/>
  <c r="Q130" i="17"/>
  <c r="A17" i="17"/>
  <c r="Q17" i="17" s="1"/>
  <c r="Q46" i="17"/>
  <c r="Q96" i="17"/>
  <c r="A301" i="20"/>
  <c r="W301" i="20"/>
  <c r="AC301" i="20" s="1"/>
  <c r="AC300" i="9" s="1"/>
  <c r="W226" i="20"/>
  <c r="A226" i="20"/>
  <c r="W181" i="20"/>
  <c r="A181" i="20"/>
  <c r="W317" i="20"/>
  <c r="A317" i="20"/>
  <c r="A244" i="20"/>
  <c r="W244" i="20"/>
  <c r="A264" i="20"/>
  <c r="W264" i="20"/>
  <c r="W389" i="20"/>
  <c r="AC389" i="20" s="1"/>
  <c r="AC388" i="9" s="1"/>
  <c r="A389" i="20"/>
  <c r="W386" i="20"/>
  <c r="A386" i="20"/>
  <c r="A150" i="20"/>
  <c r="W150" i="20"/>
  <c r="W44" i="9"/>
  <c r="W15" i="9"/>
  <c r="W64" i="9"/>
  <c r="W128" i="9"/>
  <c r="W94" i="9"/>
  <c r="W1" i="13"/>
  <c r="AO1" i="13" s="1"/>
  <c r="V94" i="9"/>
  <c r="T94" i="9" s="1"/>
  <c r="V44" i="9"/>
  <c r="T44" i="9" s="1"/>
  <c r="V128" i="9"/>
  <c r="T128" i="9" s="1"/>
  <c r="V64" i="9"/>
  <c r="T64" i="9" s="1"/>
  <c r="V15" i="9"/>
  <c r="T15" i="9" s="1"/>
  <c r="D16" i="5"/>
  <c r="W15" i="5"/>
  <c r="U15" i="5" s="1"/>
  <c r="D65" i="5"/>
  <c r="W64" i="5"/>
  <c r="U64" i="5" s="1"/>
  <c r="D125" i="5"/>
  <c r="W124" i="5"/>
  <c r="U124" i="5" s="1"/>
  <c r="D97" i="5"/>
  <c r="W96" i="5"/>
  <c r="U96" i="5" s="1"/>
  <c r="D152" i="5"/>
  <c r="W151" i="5"/>
  <c r="U151" i="5" s="1"/>
  <c r="D14" i="6"/>
  <c r="W13" i="6"/>
  <c r="U13" i="6" s="1"/>
  <c r="D64" i="6"/>
  <c r="W63" i="6"/>
  <c r="U63" i="6" s="1"/>
  <c r="D129" i="6"/>
  <c r="W128" i="6"/>
  <c r="U128" i="6" s="1"/>
  <c r="D96" i="6"/>
  <c r="W95" i="6"/>
  <c r="U95" i="6" s="1"/>
  <c r="D44" i="6"/>
  <c r="W43" i="6"/>
  <c r="U43" i="6" s="1"/>
  <c r="D165" i="6"/>
  <c r="W164" i="6"/>
  <c r="U164" i="6" s="1"/>
  <c r="AH141" i="9" l="1"/>
  <c r="AF132" i="20"/>
  <c r="AH117" i="9"/>
  <c r="AF121" i="20"/>
  <c r="AF120" i="9" s="1"/>
  <c r="AF133" i="20"/>
  <c r="AF132" i="9" s="1"/>
  <c r="AH111" i="9"/>
  <c r="AF114" i="20"/>
  <c r="AF113" i="9" s="1"/>
  <c r="AF110" i="20"/>
  <c r="AF109" i="9" s="1"/>
  <c r="AF111" i="20"/>
  <c r="AF110" i="9" s="1"/>
  <c r="AF141" i="20"/>
  <c r="AF140" i="9" s="1"/>
  <c r="AF117" i="20"/>
  <c r="AF116" i="9" s="1"/>
  <c r="K127" i="8"/>
  <c r="M126" i="8"/>
  <c r="K99" i="8"/>
  <c r="M98" i="8"/>
  <c r="A23" i="8"/>
  <c r="E22" i="8"/>
  <c r="C22" i="8"/>
  <c r="D22" i="8" s="1"/>
  <c r="AB311" i="20"/>
  <c r="AB309" i="9"/>
  <c r="AC310" i="20"/>
  <c r="AC309" i="9" s="1"/>
  <c r="AB405" i="20"/>
  <c r="AB403" i="9"/>
  <c r="AC404" i="20"/>
  <c r="AC403" i="9" s="1"/>
  <c r="AB379" i="20"/>
  <c r="AB377" i="9"/>
  <c r="AF118" i="9"/>
  <c r="AF123" i="9"/>
  <c r="AF122" i="9"/>
  <c r="AF115" i="9"/>
  <c r="AF128" i="9"/>
  <c r="AF127" i="9"/>
  <c r="AF112" i="9"/>
  <c r="AF133" i="9"/>
  <c r="AF131" i="9"/>
  <c r="AF111" i="9"/>
  <c r="AF121" i="9"/>
  <c r="AF117" i="9"/>
  <c r="AF130" i="9"/>
  <c r="A99" i="9"/>
  <c r="A71" i="9"/>
  <c r="A70" i="9"/>
  <c r="Q67" i="17"/>
  <c r="A18" i="17"/>
  <c r="Q18" i="17" s="1"/>
  <c r="Q131" i="17"/>
  <c r="Q97" i="17"/>
  <c r="W31" i="20"/>
  <c r="A31" i="20"/>
  <c r="W13" i="20"/>
  <c r="A13" i="20"/>
  <c r="W364" i="20"/>
  <c r="AC364" i="20" s="1"/>
  <c r="AC363" i="9" s="1"/>
  <c r="A364" i="20"/>
  <c r="W245" i="20"/>
  <c r="A245" i="20"/>
  <c r="W182" i="20"/>
  <c r="A182" i="20"/>
  <c r="W377" i="20"/>
  <c r="AC377" i="20" s="1"/>
  <c r="AC376" i="9" s="1"/>
  <c r="A377" i="20"/>
  <c r="W70" i="20"/>
  <c r="A70" i="20"/>
  <c r="A265" i="20"/>
  <c r="W265" i="20"/>
  <c r="W318" i="20"/>
  <c r="A318" i="20"/>
  <c r="W129" i="9"/>
  <c r="W16" i="9"/>
  <c r="W95" i="9"/>
  <c r="W65" i="9"/>
  <c r="X1" i="13"/>
  <c r="AP1" i="13" s="1"/>
  <c r="AT9" i="13"/>
  <c r="V95" i="9"/>
  <c r="T95" i="9" s="1"/>
  <c r="V16" i="9"/>
  <c r="T16" i="9" s="1"/>
  <c r="V129" i="9"/>
  <c r="T129" i="9" s="1"/>
  <c r="V65" i="9"/>
  <c r="T65" i="9" s="1"/>
  <c r="D153" i="5"/>
  <c r="W152" i="5"/>
  <c r="U152" i="5" s="1"/>
  <c r="D126" i="5"/>
  <c r="W125" i="5"/>
  <c r="U125" i="5" s="1"/>
  <c r="D98" i="5"/>
  <c r="W97" i="5"/>
  <c r="U97" i="5" s="1"/>
  <c r="D66" i="5"/>
  <c r="W65" i="5"/>
  <c r="U65" i="5" s="1"/>
  <c r="D17" i="5"/>
  <c r="W16" i="5"/>
  <c r="U16" i="5" s="1"/>
  <c r="D65" i="6"/>
  <c r="W64" i="6"/>
  <c r="U64" i="6" s="1"/>
  <c r="D166" i="6"/>
  <c r="W165" i="6"/>
  <c r="U165" i="6" s="1"/>
  <c r="W129" i="6"/>
  <c r="U129" i="6" s="1"/>
  <c r="D97" i="6"/>
  <c r="W96" i="6"/>
  <c r="U96" i="6" s="1"/>
  <c r="W44" i="6"/>
  <c r="U44" i="6" s="1"/>
  <c r="D15" i="6"/>
  <c r="W14" i="6"/>
  <c r="U14" i="6" s="1"/>
  <c r="K100" i="8" l="1"/>
  <c r="M99" i="8"/>
  <c r="K128" i="8"/>
  <c r="M127" i="8"/>
  <c r="A24" i="8"/>
  <c r="E23" i="8"/>
  <c r="C23" i="8"/>
  <c r="D23" i="8" s="1"/>
  <c r="AB406" i="20"/>
  <c r="AB404" i="9"/>
  <c r="AC405" i="20"/>
  <c r="AC404" i="9" s="1"/>
  <c r="AB380" i="20"/>
  <c r="AB378" i="9"/>
  <c r="AB312" i="20"/>
  <c r="AB310" i="9"/>
  <c r="AC311" i="20"/>
  <c r="AC310" i="9" s="1"/>
  <c r="A100" i="9"/>
  <c r="Q68" i="17"/>
  <c r="Q98" i="17"/>
  <c r="Q132" i="17"/>
  <c r="A19" i="17"/>
  <c r="Q19" i="17" s="1"/>
  <c r="W227" i="20"/>
  <c r="A227" i="20"/>
  <c r="W48" i="20"/>
  <c r="A48" i="20"/>
  <c r="A246" i="20"/>
  <c r="W246" i="20"/>
  <c r="W41" i="20"/>
  <c r="A41" i="20"/>
  <c r="A85" i="20"/>
  <c r="W85" i="20"/>
  <c r="A410" i="20"/>
  <c r="W410" i="20"/>
  <c r="W365" i="20"/>
  <c r="AC365" i="20" s="1"/>
  <c r="AC364" i="9" s="1"/>
  <c r="A365" i="20"/>
  <c r="A14" i="20"/>
  <c r="W14" i="20"/>
  <c r="AS9" i="13"/>
  <c r="AE24" i="12" s="1"/>
  <c r="W66" i="9"/>
  <c r="W17" i="9"/>
  <c r="W96" i="9"/>
  <c r="W130" i="9"/>
  <c r="AT8" i="13"/>
  <c r="V96" i="9"/>
  <c r="T96" i="9" s="1"/>
  <c r="V130" i="9"/>
  <c r="T130" i="9" s="1"/>
  <c r="V66" i="9"/>
  <c r="T66" i="9" s="1"/>
  <c r="V17" i="9"/>
  <c r="T17" i="9" s="1"/>
  <c r="D67" i="5"/>
  <c r="W66" i="5"/>
  <c r="U66" i="5" s="1"/>
  <c r="D127" i="5"/>
  <c r="W126" i="5"/>
  <c r="U126" i="5" s="1"/>
  <c r="D18" i="5"/>
  <c r="W17" i="5"/>
  <c r="U17" i="5" s="1"/>
  <c r="D99" i="5"/>
  <c r="W98" i="5"/>
  <c r="U98" i="5" s="1"/>
  <c r="D154" i="5"/>
  <c r="W153" i="5"/>
  <c r="U153" i="5" s="1"/>
  <c r="D167" i="6"/>
  <c r="W166" i="6"/>
  <c r="U166" i="6" s="1"/>
  <c r="D98" i="6"/>
  <c r="W97" i="6"/>
  <c r="U97" i="6" s="1"/>
  <c r="D16" i="6"/>
  <c r="W15" i="6"/>
  <c r="U15" i="6" s="1"/>
  <c r="D66" i="6"/>
  <c r="W65" i="6"/>
  <c r="U65" i="6" s="1"/>
  <c r="K101" i="8" l="1"/>
  <c r="M100" i="8"/>
  <c r="K129" i="8"/>
  <c r="M128" i="8"/>
  <c r="A25" i="8"/>
  <c r="E24" i="8"/>
  <c r="C24" i="8"/>
  <c r="D24" i="8" s="1"/>
  <c r="AB313" i="20"/>
  <c r="AB311" i="9"/>
  <c r="AC312" i="20"/>
  <c r="AC311" i="9" s="1"/>
  <c r="AB381" i="20"/>
  <c r="AB379" i="9"/>
  <c r="AB407" i="20"/>
  <c r="AB405" i="9"/>
  <c r="AC406" i="20"/>
  <c r="AC405" i="9" s="1"/>
  <c r="AD24" i="12"/>
  <c r="P24" i="18" s="1"/>
  <c r="A101" i="9"/>
  <c r="A20" i="17"/>
  <c r="Q20" i="17" s="1"/>
  <c r="Q69" i="17"/>
  <c r="Q99" i="17"/>
  <c r="A295" i="21"/>
  <c r="W15" i="20"/>
  <c r="A15" i="20"/>
  <c r="W411" i="20"/>
  <c r="A411" i="20"/>
  <c r="A167" i="20"/>
  <c r="W167" i="20"/>
  <c r="W183" i="20"/>
  <c r="A183" i="20"/>
  <c r="W366" i="20"/>
  <c r="AC366" i="20" s="1"/>
  <c r="AC365" i="9" s="1"/>
  <c r="A366" i="20"/>
  <c r="W228" i="20"/>
  <c r="A228" i="20"/>
  <c r="AS5" i="13"/>
  <c r="AE5" i="12" s="1"/>
  <c r="AS8" i="13"/>
  <c r="AT5" i="13"/>
  <c r="W67" i="9"/>
  <c r="W97" i="9"/>
  <c r="W18" i="9"/>
  <c r="V97" i="9"/>
  <c r="T97" i="9" s="1"/>
  <c r="V67" i="9"/>
  <c r="T67" i="9" s="1"/>
  <c r="V18" i="9"/>
  <c r="T18" i="9" s="1"/>
  <c r="D128" i="5"/>
  <c r="W127" i="5"/>
  <c r="U127" i="5" s="1"/>
  <c r="D19" i="5"/>
  <c r="W18" i="5"/>
  <c r="U18" i="5" s="1"/>
  <c r="D100" i="5"/>
  <c r="W99" i="5"/>
  <c r="U99" i="5" s="1"/>
  <c r="D155" i="5"/>
  <c r="W154" i="5"/>
  <c r="U154" i="5" s="1"/>
  <c r="W67" i="5"/>
  <c r="U67" i="5" s="1"/>
  <c r="D99" i="6"/>
  <c r="W98" i="6"/>
  <c r="U98" i="6" s="1"/>
  <c r="D17" i="6"/>
  <c r="W16" i="6"/>
  <c r="U16" i="6" s="1"/>
  <c r="D67" i="6"/>
  <c r="W66" i="6"/>
  <c r="U66" i="6" s="1"/>
  <c r="D168" i="6"/>
  <c r="W167" i="6"/>
  <c r="U167" i="6" s="1"/>
  <c r="A10" i="4"/>
  <c r="K130" i="8" l="1"/>
  <c r="M129" i="8"/>
  <c r="K102" i="8"/>
  <c r="M101" i="8"/>
  <c r="A26" i="8"/>
  <c r="C25" i="8"/>
  <c r="D25" i="8" s="1"/>
  <c r="E25" i="8"/>
  <c r="AB408" i="20"/>
  <c r="AB406" i="9"/>
  <c r="AC407" i="20"/>
  <c r="AC406" i="9" s="1"/>
  <c r="AB314" i="20"/>
  <c r="AB312" i="9"/>
  <c r="AC313" i="20"/>
  <c r="AC312" i="9" s="1"/>
  <c r="AB382" i="20"/>
  <c r="AB380" i="9"/>
  <c r="AC381" i="20"/>
  <c r="AC380" i="9" s="1"/>
  <c r="AE16" i="12"/>
  <c r="AD16" i="12" s="1"/>
  <c r="P16" i="18" s="1"/>
  <c r="AE6" i="12"/>
  <c r="AD6" i="12" s="1"/>
  <c r="P6" i="18" s="1"/>
  <c r="AD5" i="12"/>
  <c r="P5" i="18" s="1"/>
  <c r="A102" i="9"/>
  <c r="A21" i="17"/>
  <c r="Q21" i="17" s="1"/>
  <c r="Q70" i="17"/>
  <c r="Q100" i="17"/>
  <c r="A296" i="21"/>
  <c r="W184" i="20"/>
  <c r="A184" i="20"/>
  <c r="W168" i="20"/>
  <c r="A168" i="20"/>
  <c r="W229" i="20"/>
  <c r="A229" i="20"/>
  <c r="A378" i="20"/>
  <c r="W378" i="20"/>
  <c r="AC378" i="20" s="1"/>
  <c r="AC377" i="9" s="1"/>
  <c r="A151" i="20"/>
  <c r="W151" i="20"/>
  <c r="AE3" i="12"/>
  <c r="AE10" i="12"/>
  <c r="W98" i="9"/>
  <c r="W19" i="9"/>
  <c r="W68" i="9"/>
  <c r="V98" i="9"/>
  <c r="T98" i="9" s="1"/>
  <c r="V19" i="9"/>
  <c r="T19" i="9" s="1"/>
  <c r="V68" i="9"/>
  <c r="T68" i="9" s="1"/>
  <c r="D20" i="5"/>
  <c r="W19" i="5"/>
  <c r="U19" i="5" s="1"/>
  <c r="D101" i="5"/>
  <c r="W100" i="5"/>
  <c r="U100" i="5" s="1"/>
  <c r="D156" i="5"/>
  <c r="W155" i="5"/>
  <c r="U155" i="5" s="1"/>
  <c r="D129" i="5"/>
  <c r="W128" i="5"/>
  <c r="U128" i="5" s="1"/>
  <c r="D100" i="6"/>
  <c r="W99" i="6"/>
  <c r="U99" i="6" s="1"/>
  <c r="D18" i="6"/>
  <c r="W17" i="6"/>
  <c r="U17" i="6" s="1"/>
  <c r="W168" i="6"/>
  <c r="U168" i="6" s="1"/>
  <c r="D169" i="6"/>
  <c r="D68" i="6"/>
  <c r="W67" i="6"/>
  <c r="U67" i="6" s="1"/>
  <c r="A11" i="4"/>
  <c r="B10" i="4"/>
  <c r="K103" i="8" l="1"/>
  <c r="M102" i="8"/>
  <c r="K131" i="8"/>
  <c r="M130" i="8"/>
  <c r="A27" i="8"/>
  <c r="E26" i="8"/>
  <c r="C26" i="8"/>
  <c r="D26" i="8" s="1"/>
  <c r="AB383" i="20"/>
  <c r="AB381" i="9"/>
  <c r="AC382" i="20"/>
  <c r="AC381" i="9" s="1"/>
  <c r="AB315" i="20"/>
  <c r="AB313" i="9"/>
  <c r="AC314" i="20"/>
  <c r="AC313" i="9" s="1"/>
  <c r="AB409" i="20"/>
  <c r="AB407" i="9"/>
  <c r="AC408" i="20"/>
  <c r="AC407" i="9" s="1"/>
  <c r="AD10" i="12"/>
  <c r="P10" i="18" s="1"/>
  <c r="AD3" i="12"/>
  <c r="P3" i="18" s="1"/>
  <c r="A103" i="9"/>
  <c r="Q71" i="17"/>
  <c r="Q101" i="17"/>
  <c r="A297" i="21"/>
  <c r="W169" i="20"/>
  <c r="A169" i="20"/>
  <c r="W71" i="20"/>
  <c r="A71" i="20"/>
  <c r="A299" i="20"/>
  <c r="W299" i="20"/>
  <c r="AC299" i="20" s="1"/>
  <c r="AC298" i="9" s="1"/>
  <c r="W412" i="20"/>
  <c r="A412" i="20"/>
  <c r="W99" i="9"/>
  <c r="W69" i="9"/>
  <c r="V99" i="9"/>
  <c r="T99" i="9" s="1"/>
  <c r="V69" i="9"/>
  <c r="T69" i="9" s="1"/>
  <c r="D102" i="5"/>
  <c r="W101" i="5"/>
  <c r="U101" i="5" s="1"/>
  <c r="D130" i="5"/>
  <c r="W129" i="5"/>
  <c r="U129" i="5" s="1"/>
  <c r="D157" i="5"/>
  <c r="W157" i="5" s="1"/>
  <c r="U157" i="5" s="1"/>
  <c r="W156" i="5"/>
  <c r="U156" i="5" s="1"/>
  <c r="D21" i="5"/>
  <c r="W20" i="5"/>
  <c r="U20" i="5" s="1"/>
  <c r="D19" i="6"/>
  <c r="W18" i="6"/>
  <c r="U18" i="6" s="1"/>
  <c r="D69" i="6"/>
  <c r="W68" i="6"/>
  <c r="U68" i="6" s="1"/>
  <c r="W169" i="6"/>
  <c r="U169" i="6" s="1"/>
  <c r="D170" i="6"/>
  <c r="D101" i="6"/>
  <c r="W100" i="6"/>
  <c r="U100" i="6" s="1"/>
  <c r="A12" i="4"/>
  <c r="B11" i="4"/>
  <c r="K104" i="8" l="1"/>
  <c r="M103" i="8"/>
  <c r="K132" i="8"/>
  <c r="M131" i="8"/>
  <c r="A28" i="8"/>
  <c r="E27" i="8"/>
  <c r="C27" i="8"/>
  <c r="D27" i="8" s="1"/>
  <c r="AB316" i="20"/>
  <c r="AB314" i="9"/>
  <c r="AC315" i="20"/>
  <c r="AC314" i="9" s="1"/>
  <c r="AB410" i="20"/>
  <c r="AB408" i="9"/>
  <c r="AC409" i="20"/>
  <c r="AC408" i="9" s="1"/>
  <c r="AB384" i="20"/>
  <c r="AB382" i="9"/>
  <c r="AC383" i="20"/>
  <c r="AC382" i="9" s="1"/>
  <c r="A104" i="9"/>
  <c r="Q102" i="17"/>
  <c r="Q72" i="17"/>
  <c r="A298" i="21"/>
  <c r="A230" i="20"/>
  <c r="W230" i="20"/>
  <c r="A379" i="20"/>
  <c r="W379" i="20"/>
  <c r="AC379" i="20" s="1"/>
  <c r="AC378" i="9" s="1"/>
  <c r="W319" i="20"/>
  <c r="A319" i="20"/>
  <c r="W70" i="9"/>
  <c r="W100" i="9"/>
  <c r="V100" i="9"/>
  <c r="T100" i="9" s="1"/>
  <c r="V70" i="9"/>
  <c r="T70" i="9" s="1"/>
  <c r="D103" i="5"/>
  <c r="W102" i="5"/>
  <c r="U102" i="5" s="1"/>
  <c r="D22" i="5"/>
  <c r="W21" i="5"/>
  <c r="U21" i="5" s="1"/>
  <c r="W130" i="5"/>
  <c r="U130" i="5" s="1"/>
  <c r="W170" i="6"/>
  <c r="U170" i="6" s="1"/>
  <c r="D171" i="6"/>
  <c r="D70" i="6"/>
  <c r="W69" i="6"/>
  <c r="U69" i="6" s="1"/>
  <c r="D102" i="6"/>
  <c r="W101" i="6"/>
  <c r="U101" i="6" s="1"/>
  <c r="W19" i="6"/>
  <c r="U19" i="6" s="1"/>
  <c r="B12" i="4"/>
  <c r="K133" i="8" l="1"/>
  <c r="M132" i="8"/>
  <c r="K105" i="8"/>
  <c r="M104" i="8"/>
  <c r="A29" i="8"/>
  <c r="E28" i="8"/>
  <c r="C28" i="8"/>
  <c r="D28" i="8" s="1"/>
  <c r="AB385" i="20"/>
  <c r="AB383" i="9"/>
  <c r="AC384" i="20"/>
  <c r="AC383" i="9" s="1"/>
  <c r="AB317" i="20"/>
  <c r="AB315" i="9"/>
  <c r="AC316" i="20"/>
  <c r="AC315" i="9" s="1"/>
  <c r="AB411" i="20"/>
  <c r="AB409" i="9"/>
  <c r="AC410" i="20"/>
  <c r="AC409" i="9" s="1"/>
  <c r="A106" i="9"/>
  <c r="A105" i="9"/>
  <c r="Q73" i="17"/>
  <c r="Q103" i="17"/>
  <c r="A299" i="21"/>
  <c r="W231" i="20"/>
  <c r="A231" i="20"/>
  <c r="W380" i="20"/>
  <c r="AC380" i="20" s="1"/>
  <c r="AC379" i="9" s="1"/>
  <c r="A380" i="20"/>
  <c r="A170" i="20"/>
  <c r="W170" i="20"/>
  <c r="W71" i="9"/>
  <c r="W101" i="9"/>
  <c r="V101" i="9"/>
  <c r="T101" i="9" s="1"/>
  <c r="V71" i="9"/>
  <c r="T71" i="9" s="1"/>
  <c r="W22" i="5"/>
  <c r="U22" i="5" s="1"/>
  <c r="D104" i="5"/>
  <c r="W103" i="5"/>
  <c r="U103" i="5" s="1"/>
  <c r="D103" i="6"/>
  <c r="W102" i="6"/>
  <c r="U102" i="6" s="1"/>
  <c r="D172" i="6"/>
  <c r="W171" i="6"/>
  <c r="U171" i="6" s="1"/>
  <c r="W70" i="6"/>
  <c r="U70" i="6" s="1"/>
  <c r="D71" i="6"/>
  <c r="M105" i="8" l="1"/>
  <c r="K134" i="8"/>
  <c r="M133" i="8"/>
  <c r="A30" i="8"/>
  <c r="C29" i="8"/>
  <c r="D29" i="8" s="1"/>
  <c r="E29" i="8"/>
  <c r="AB412" i="20"/>
  <c r="AB410" i="9"/>
  <c r="AC411" i="20"/>
  <c r="AC410" i="9" s="1"/>
  <c r="AB386" i="20"/>
  <c r="AB384" i="9"/>
  <c r="AC385" i="20"/>
  <c r="AC384" i="9" s="1"/>
  <c r="AB318" i="20"/>
  <c r="AB316" i="9"/>
  <c r="AC317" i="20"/>
  <c r="AC316" i="9" s="1"/>
  <c r="Q104" i="17"/>
  <c r="A300" i="21"/>
  <c r="W42" i="20"/>
  <c r="A42" i="20"/>
  <c r="A25" i="20"/>
  <c r="W25" i="20"/>
  <c r="W102" i="9"/>
  <c r="V102" i="9"/>
  <c r="T102" i="9" s="1"/>
  <c r="D105" i="5"/>
  <c r="W104" i="5"/>
  <c r="U104" i="5" s="1"/>
  <c r="D173" i="6"/>
  <c r="W172" i="6"/>
  <c r="U172" i="6" s="1"/>
  <c r="W71" i="6"/>
  <c r="U71" i="6" s="1"/>
  <c r="D104" i="6"/>
  <c r="W103" i="6"/>
  <c r="U103" i="6" s="1"/>
  <c r="A13" i="4"/>
  <c r="K135" i="8" l="1"/>
  <c r="M134" i="8"/>
  <c r="A31" i="8"/>
  <c r="E30" i="8"/>
  <c r="C30" i="8"/>
  <c r="D30" i="8" s="1"/>
  <c r="AB385" i="9"/>
  <c r="AC386" i="20"/>
  <c r="AC385" i="9" s="1"/>
  <c r="AB319" i="20"/>
  <c r="AB317" i="9"/>
  <c r="AC318" i="20"/>
  <c r="AC317" i="9" s="1"/>
  <c r="AB414" i="20"/>
  <c r="AB411" i="9"/>
  <c r="AC412" i="20"/>
  <c r="AC411" i="9" s="1"/>
  <c r="Q105" i="17"/>
  <c r="A301" i="21"/>
  <c r="W26" i="20"/>
  <c r="A26" i="20"/>
  <c r="W171" i="20"/>
  <c r="A171" i="20"/>
  <c r="W103" i="9"/>
  <c r="V103" i="9"/>
  <c r="T103" i="9" s="1"/>
  <c r="D106" i="5"/>
  <c r="W105" i="5"/>
  <c r="U105" i="5" s="1"/>
  <c r="D174" i="6"/>
  <c r="W173" i="6"/>
  <c r="U173" i="6" s="1"/>
  <c r="D105" i="6"/>
  <c r="W104" i="6"/>
  <c r="U104" i="6" s="1"/>
  <c r="A14" i="4"/>
  <c r="B13" i="4"/>
  <c r="K136" i="8" l="1"/>
  <c r="M135" i="8"/>
  <c r="A32" i="8"/>
  <c r="E31" i="8"/>
  <c r="C31" i="8"/>
  <c r="D31" i="8" s="1"/>
  <c r="AB320" i="20"/>
  <c r="AB318" i="9"/>
  <c r="AC319" i="20"/>
  <c r="AC318" i="9" s="1"/>
  <c r="AB415" i="20"/>
  <c r="AB413" i="9"/>
  <c r="AC414" i="20"/>
  <c r="AC413" i="9" s="1"/>
  <c r="Q106" i="17"/>
  <c r="A302" i="21"/>
  <c r="W172" i="20"/>
  <c r="A172" i="20"/>
  <c r="A27" i="20"/>
  <c r="W27" i="20"/>
  <c r="W104" i="9"/>
  <c r="V104" i="9"/>
  <c r="T104" i="9" s="1"/>
  <c r="D107" i="5"/>
  <c r="W106" i="5"/>
  <c r="U106" i="5" s="1"/>
  <c r="D106" i="6"/>
  <c r="W105" i="6"/>
  <c r="U105" i="6" s="1"/>
  <c r="D175" i="6"/>
  <c r="W174" i="6"/>
  <c r="U174" i="6" s="1"/>
  <c r="A15" i="4"/>
  <c r="B14" i="4"/>
  <c r="K137" i="8" l="1"/>
  <c r="M136" i="8"/>
  <c r="A33" i="8"/>
  <c r="E32" i="8"/>
  <c r="C32" i="8"/>
  <c r="D32" i="8" s="1"/>
  <c r="AB414" i="9"/>
  <c r="AB416" i="20"/>
  <c r="AC415" i="20"/>
  <c r="AC414" i="9" s="1"/>
  <c r="AB321" i="20"/>
  <c r="AB319" i="9"/>
  <c r="Q107" i="17"/>
  <c r="A303" i="21"/>
  <c r="W28" i="20"/>
  <c r="A28" i="20"/>
  <c r="A173" i="20"/>
  <c r="W173" i="20"/>
  <c r="W105" i="9"/>
  <c r="V105" i="9"/>
  <c r="T105" i="9" s="1"/>
  <c r="W107" i="5"/>
  <c r="U107" i="5" s="1"/>
  <c r="D176" i="6"/>
  <c r="W175" i="6"/>
  <c r="U175" i="6" s="1"/>
  <c r="W106" i="6"/>
  <c r="U106" i="6" s="1"/>
  <c r="A16" i="4"/>
  <c r="B15" i="4"/>
  <c r="K138" i="8" l="1"/>
  <c r="M137" i="8"/>
  <c r="A34" i="8"/>
  <c r="C33" i="8"/>
  <c r="D33" i="8" s="1"/>
  <c r="E33" i="8"/>
  <c r="AB322" i="20"/>
  <c r="AB320" i="9"/>
  <c r="AC416" i="20"/>
  <c r="AC415" i="9" s="1"/>
  <c r="AB415" i="9"/>
  <c r="Q108" i="17"/>
  <c r="A304" i="21"/>
  <c r="W320" i="20"/>
  <c r="AC320" i="20" s="1"/>
  <c r="AC319" i="9" s="1"/>
  <c r="A320" i="20"/>
  <c r="W106" i="9"/>
  <c r="V106" i="9"/>
  <c r="T106" i="9" s="1"/>
  <c r="D177" i="6"/>
  <c r="W176" i="6"/>
  <c r="U176" i="6" s="1"/>
  <c r="A17" i="4"/>
  <c r="B16" i="4"/>
  <c r="K139" i="8" l="1"/>
  <c r="M138" i="8"/>
  <c r="A35" i="8"/>
  <c r="E34" i="8"/>
  <c r="C34" i="8"/>
  <c r="D34" i="8" s="1"/>
  <c r="AB323" i="20"/>
  <c r="AB321" i="9"/>
  <c r="A305" i="21"/>
  <c r="W321" i="20"/>
  <c r="AC321" i="20" s="1"/>
  <c r="AC320" i="9" s="1"/>
  <c r="A321" i="20"/>
  <c r="D178" i="6"/>
  <c r="W177" i="6"/>
  <c r="U177" i="6" s="1"/>
  <c r="A18" i="4"/>
  <c r="B17" i="4"/>
  <c r="K140" i="8" l="1"/>
  <c r="M139" i="8"/>
  <c r="A36" i="8"/>
  <c r="E35" i="8"/>
  <c r="C35" i="8"/>
  <c r="D35" i="8" s="1"/>
  <c r="AB324" i="20"/>
  <c r="AB322" i="9"/>
  <c r="AC323" i="20"/>
  <c r="AC322" i="9" s="1"/>
  <c r="A306" i="21"/>
  <c r="W322" i="20"/>
  <c r="AC322" i="20" s="1"/>
  <c r="AC321" i="9" s="1"/>
  <c r="A322" i="20"/>
  <c r="D179" i="6"/>
  <c r="W178" i="6"/>
  <c r="U178" i="6" s="1"/>
  <c r="A19" i="4"/>
  <c r="B18" i="4"/>
  <c r="K141" i="8" l="1"/>
  <c r="M140" i="8"/>
  <c r="A37" i="8"/>
  <c r="E36" i="8"/>
  <c r="C36" i="8"/>
  <c r="D36" i="8" s="1"/>
  <c r="AB325" i="20"/>
  <c r="AB323" i="9"/>
  <c r="AC324" i="20"/>
  <c r="AC323" i="9" s="1"/>
  <c r="A307" i="21"/>
  <c r="A43" i="20"/>
  <c r="W43" i="20"/>
  <c r="D180" i="6"/>
  <c r="W179" i="6"/>
  <c r="U179" i="6" s="1"/>
  <c r="A20" i="4"/>
  <c r="B19" i="4"/>
  <c r="K142" i="8" l="1"/>
  <c r="M141" i="8"/>
  <c r="A38" i="8"/>
  <c r="C37" i="8"/>
  <c r="D37" i="8" s="1"/>
  <c r="E37" i="8"/>
  <c r="AB326" i="20"/>
  <c r="AB324" i="9"/>
  <c r="AC325" i="20"/>
  <c r="AC324" i="9" s="1"/>
  <c r="A308" i="21"/>
  <c r="W44" i="20"/>
  <c r="A44" i="20"/>
  <c r="D181" i="6"/>
  <c r="W180" i="6"/>
  <c r="U180" i="6" s="1"/>
  <c r="A21" i="4"/>
  <c r="B20" i="4"/>
  <c r="M142" i="8" l="1"/>
  <c r="A39" i="8"/>
  <c r="E38" i="8"/>
  <c r="C38" i="8"/>
  <c r="D38" i="8" s="1"/>
  <c r="AB327" i="20"/>
  <c r="AB325" i="9"/>
  <c r="AC326" i="20"/>
  <c r="AC325" i="9" s="1"/>
  <c r="A309" i="21"/>
  <c r="D182" i="6"/>
  <c r="W181" i="6"/>
  <c r="U181" i="6" s="1"/>
  <c r="A22" i="4"/>
  <c r="B21" i="4"/>
  <c r="A40" i="8" l="1"/>
  <c r="E39" i="8"/>
  <c r="C39" i="8"/>
  <c r="D39" i="8" s="1"/>
  <c r="AB328" i="20"/>
  <c r="AB326" i="9"/>
  <c r="AC327" i="20"/>
  <c r="AC326" i="9" s="1"/>
  <c r="A310" i="21"/>
  <c r="W182" i="6"/>
  <c r="U182" i="6" s="1"/>
  <c r="A23" i="4"/>
  <c r="B22" i="4"/>
  <c r="A41" i="8" l="1"/>
  <c r="E40" i="8"/>
  <c r="C40" i="8"/>
  <c r="D40" i="8" s="1"/>
  <c r="AB329" i="20"/>
  <c r="AB327" i="9"/>
  <c r="AC328" i="20"/>
  <c r="AC327" i="9" s="1"/>
  <c r="A311" i="21"/>
  <c r="A24" i="4"/>
  <c r="B23" i="4"/>
  <c r="A42" i="8" l="1"/>
  <c r="C41" i="8"/>
  <c r="D41" i="8" s="1"/>
  <c r="E41" i="8"/>
  <c r="AB330" i="20"/>
  <c r="AB328" i="9"/>
  <c r="AC329" i="20"/>
  <c r="AC328" i="9" s="1"/>
  <c r="A312" i="21"/>
  <c r="A25" i="4"/>
  <c r="B24" i="4"/>
  <c r="A43" i="8" l="1"/>
  <c r="E42" i="8"/>
  <c r="C42" i="8"/>
  <c r="D42" i="8" s="1"/>
  <c r="AB331" i="20"/>
  <c r="AB329" i="9"/>
  <c r="AC330" i="20"/>
  <c r="AC329" i="9" s="1"/>
  <c r="A313" i="21"/>
  <c r="A26" i="4"/>
  <c r="B25" i="4"/>
  <c r="A44" i="8" l="1"/>
  <c r="E43" i="8"/>
  <c r="C43" i="8"/>
  <c r="D43" i="8" s="1"/>
  <c r="AB332" i="20"/>
  <c r="AB330" i="9"/>
  <c r="AC331" i="20"/>
  <c r="AC330" i="9" s="1"/>
  <c r="A314" i="21"/>
  <c r="A27" i="4"/>
  <c r="B26" i="4"/>
  <c r="A45" i="8" l="1"/>
  <c r="E44" i="8"/>
  <c r="C44" i="8"/>
  <c r="D44" i="8" s="1"/>
  <c r="AB333" i="20"/>
  <c r="AB331" i="9"/>
  <c r="AC332" i="20"/>
  <c r="AC331" i="9" s="1"/>
  <c r="A315" i="21"/>
  <c r="A28" i="4"/>
  <c r="B27" i="4"/>
  <c r="A46" i="8" l="1"/>
  <c r="C45" i="8"/>
  <c r="D45" i="8" s="1"/>
  <c r="E45" i="8"/>
  <c r="AB334" i="20"/>
  <c r="AB332" i="9"/>
  <c r="AC333" i="20"/>
  <c r="AC332" i="9" s="1"/>
  <c r="A316" i="21"/>
  <c r="A29" i="4"/>
  <c r="B28" i="4"/>
  <c r="A47" i="8" l="1"/>
  <c r="E46" i="8"/>
  <c r="C46" i="8"/>
  <c r="D46" i="8" s="1"/>
  <c r="AB335" i="20"/>
  <c r="AB333" i="9"/>
  <c r="AC334" i="20"/>
  <c r="AC333" i="9" s="1"/>
  <c r="A317" i="21"/>
  <c r="A30" i="4"/>
  <c r="B29" i="4"/>
  <c r="A48" i="8" l="1"/>
  <c r="E47" i="8"/>
  <c r="C47" i="8"/>
  <c r="D47" i="8" s="1"/>
  <c r="AB336" i="20"/>
  <c r="AB334" i="9"/>
  <c r="AC335" i="20"/>
  <c r="AC334" i="9" s="1"/>
  <c r="A318" i="21"/>
  <c r="A31" i="4"/>
  <c r="B30" i="4"/>
  <c r="A49" i="8" l="1"/>
  <c r="E48" i="8"/>
  <c r="C48" i="8"/>
  <c r="D48" i="8" s="1"/>
  <c r="AB337" i="20"/>
  <c r="AB335" i="9"/>
  <c r="AC336" i="20"/>
  <c r="AC335" i="9" s="1"/>
  <c r="A319" i="21"/>
  <c r="A32" i="4"/>
  <c r="B31" i="4"/>
  <c r="A50" i="8" l="1"/>
  <c r="C49" i="8"/>
  <c r="D49" i="8" s="1"/>
  <c r="E49" i="8"/>
  <c r="AB338" i="20"/>
  <c r="AB336" i="9"/>
  <c r="AC337" i="20"/>
  <c r="AC336" i="9" s="1"/>
  <c r="A320" i="21"/>
  <c r="A33" i="4"/>
  <c r="B32" i="4"/>
  <c r="A51" i="8" l="1"/>
  <c r="E50" i="8"/>
  <c r="C50" i="8"/>
  <c r="D50" i="8" s="1"/>
  <c r="AB339" i="20"/>
  <c r="AB337" i="9"/>
  <c r="AC338" i="20"/>
  <c r="AC337" i="9" s="1"/>
  <c r="A321" i="21"/>
  <c r="A322" i="21" s="1"/>
  <c r="A323" i="21" s="1"/>
  <c r="A324" i="21" s="1"/>
  <c r="A325" i="21" s="1"/>
  <c r="A326" i="21" s="1"/>
  <c r="A327" i="21" s="1"/>
  <c r="A328" i="21" s="1"/>
  <c r="A329" i="21" s="1"/>
  <c r="A330" i="21" s="1"/>
  <c r="A331" i="21" s="1"/>
  <c r="A332" i="21" s="1"/>
  <c r="A333" i="21" s="1"/>
  <c r="A334" i="21" s="1"/>
  <c r="A335" i="21" s="1"/>
  <c r="A336" i="21" s="1"/>
  <c r="A337" i="21" s="1"/>
  <c r="A338" i="21" s="1"/>
  <c r="A339" i="21" s="1"/>
  <c r="A340" i="21" s="1"/>
  <c r="A341" i="21" s="1"/>
  <c r="A342" i="21" s="1"/>
  <c r="A343" i="21" s="1"/>
  <c r="A344" i="21" s="1"/>
  <c r="A345" i="21" s="1"/>
  <c r="A346" i="21" s="1"/>
  <c r="A347" i="21" s="1"/>
  <c r="A348" i="21" s="1"/>
  <c r="A349" i="21" s="1"/>
  <c r="A350" i="21" s="1"/>
  <c r="A351" i="21" s="1"/>
  <c r="A352" i="21" s="1"/>
  <c r="A353" i="21" s="1"/>
  <c r="A354" i="21" s="1"/>
  <c r="A355" i="21" s="1"/>
  <c r="A356" i="21" s="1"/>
  <c r="A357" i="21" s="1"/>
  <c r="A358" i="21" s="1"/>
  <c r="A34" i="4"/>
  <c r="B33" i="4"/>
  <c r="A363" i="21" l="1"/>
  <c r="A364" i="21" s="1"/>
  <c r="A365" i="21" s="1"/>
  <c r="A366" i="21" s="1"/>
  <c r="A367" i="21" s="1"/>
  <c r="A368" i="21" s="1"/>
  <c r="A369" i="21" s="1"/>
  <c r="A370" i="21" s="1"/>
  <c r="A371" i="21" s="1"/>
  <c r="A372" i="21" s="1"/>
  <c r="A373" i="21" s="1"/>
  <c r="A359" i="21"/>
  <c r="A360" i="21" s="1"/>
  <c r="A361" i="21" s="1"/>
  <c r="A52" i="8"/>
  <c r="E51" i="8"/>
  <c r="C51" i="8"/>
  <c r="D51" i="8" s="1"/>
  <c r="AB340" i="20"/>
  <c r="AB338" i="9"/>
  <c r="AC339" i="20"/>
  <c r="AC338" i="9" s="1"/>
  <c r="A35" i="4"/>
  <c r="B34" i="4"/>
  <c r="A53" i="8" l="1"/>
  <c r="E52" i="8"/>
  <c r="C52" i="8"/>
  <c r="D52" i="8" s="1"/>
  <c r="AB341" i="20"/>
  <c r="AB339" i="9"/>
  <c r="AC340" i="20"/>
  <c r="AC339" i="9" s="1"/>
  <c r="A36" i="4"/>
  <c r="B35" i="4"/>
  <c r="A54" i="8" l="1"/>
  <c r="C53" i="8"/>
  <c r="D53" i="8" s="1"/>
  <c r="E53" i="8"/>
  <c r="AB342" i="20"/>
  <c r="AB340" i="9"/>
  <c r="AC341" i="20"/>
  <c r="AC340" i="9" s="1"/>
  <c r="A37" i="4"/>
  <c r="B36" i="4"/>
  <c r="A55" i="8" l="1"/>
  <c r="E54" i="8"/>
  <c r="C54" i="8"/>
  <c r="D54" i="8" s="1"/>
  <c r="AB343" i="20"/>
  <c r="AB341" i="9"/>
  <c r="AC342" i="20"/>
  <c r="AC341" i="9" s="1"/>
  <c r="A38" i="4"/>
  <c r="B37" i="4"/>
  <c r="A56" i="8" l="1"/>
  <c r="E55" i="8"/>
  <c r="C55" i="8"/>
  <c r="D55" i="8" s="1"/>
  <c r="AB344" i="20"/>
  <c r="AB342" i="9"/>
  <c r="AC343" i="20"/>
  <c r="AC342" i="9" s="1"/>
  <c r="A39" i="4"/>
  <c r="B38" i="4"/>
  <c r="A57" i="8" l="1"/>
  <c r="E56" i="8"/>
  <c r="C56" i="8"/>
  <c r="D56" i="8" s="1"/>
  <c r="AB343" i="9"/>
  <c r="AB345" i="20"/>
  <c r="AC344" i="20"/>
  <c r="AC343" i="9" s="1"/>
  <c r="A374" i="21"/>
  <c r="A40" i="4"/>
  <c r="B39" i="4"/>
  <c r="A58" i="8" l="1"/>
  <c r="C57" i="8"/>
  <c r="D57" i="8" s="1"/>
  <c r="E57" i="8"/>
  <c r="AB346" i="20"/>
  <c r="AB344" i="9"/>
  <c r="AC345" i="20"/>
  <c r="AC344" i="9" s="1"/>
  <c r="A375" i="21"/>
  <c r="A376" i="21" s="1"/>
  <c r="A377" i="21" s="1"/>
  <c r="A378" i="21" s="1"/>
  <c r="A379" i="21" s="1"/>
  <c r="A380" i="21" s="1"/>
  <c r="A41" i="4"/>
  <c r="B40" i="4"/>
  <c r="A59" i="8" l="1"/>
  <c r="E58" i="8"/>
  <c r="C58" i="8"/>
  <c r="D58" i="8" s="1"/>
  <c r="A381" i="21"/>
  <c r="AB347" i="20"/>
  <c r="AB345" i="9"/>
  <c r="AC346" i="20"/>
  <c r="AC345" i="9" s="1"/>
  <c r="A42" i="4"/>
  <c r="B41" i="4"/>
  <c r="A60" i="8" l="1"/>
  <c r="E59" i="8"/>
  <c r="C59" i="8"/>
  <c r="D59" i="8" s="1"/>
  <c r="A382" i="21"/>
  <c r="AB348" i="20"/>
  <c r="AB346" i="9"/>
  <c r="AC347" i="20"/>
  <c r="AC346" i="9" s="1"/>
  <c r="A43" i="4"/>
  <c r="B42" i="4"/>
  <c r="A61" i="8" l="1"/>
  <c r="E60" i="8"/>
  <c r="C60" i="8"/>
  <c r="D60" i="8" s="1"/>
  <c r="A383" i="21"/>
  <c r="AB349" i="20"/>
  <c r="AB347" i="9"/>
  <c r="AC348" i="20"/>
  <c r="AC347" i="9" s="1"/>
  <c r="A44" i="4"/>
  <c r="B43" i="4"/>
  <c r="A62" i="8" l="1"/>
  <c r="C61" i="8"/>
  <c r="D61" i="8" s="1"/>
  <c r="E61" i="8"/>
  <c r="A384" i="21"/>
  <c r="A385" i="21" s="1"/>
  <c r="A386" i="21" s="1"/>
  <c r="A387" i="21" s="1"/>
  <c r="AB350" i="20"/>
  <c r="AB348" i="9"/>
  <c r="AC349" i="20"/>
  <c r="AC348" i="9" s="1"/>
  <c r="A45" i="4"/>
  <c r="B44" i="4"/>
  <c r="A63" i="8" l="1"/>
  <c r="E62" i="8"/>
  <c r="C62" i="8"/>
  <c r="D62" i="8" s="1"/>
  <c r="AC350" i="20"/>
  <c r="AC349" i="9" s="1"/>
  <c r="AB351" i="20"/>
  <c r="AB349" i="9"/>
  <c r="A46" i="4"/>
  <c r="B45" i="4"/>
  <c r="A64" i="8" l="1"/>
  <c r="E63" i="8"/>
  <c r="C63" i="8"/>
  <c r="D63" i="8" s="1"/>
  <c r="AC351" i="20"/>
  <c r="AC350" i="9" s="1"/>
  <c r="AB352" i="20"/>
  <c r="AB350" i="9"/>
  <c r="A47" i="4"/>
  <c r="B46" i="4"/>
  <c r="A65" i="8" l="1"/>
  <c r="E64" i="8"/>
  <c r="C64" i="8"/>
  <c r="D64" i="8" s="1"/>
  <c r="AC352" i="20"/>
  <c r="AC351" i="9" s="1"/>
  <c r="AB353" i="20"/>
  <c r="AB351" i="9"/>
  <c r="A48" i="4"/>
  <c r="B47" i="4"/>
  <c r="A66" i="8" l="1"/>
  <c r="C65" i="8"/>
  <c r="D65" i="8" s="1"/>
  <c r="E65" i="8"/>
  <c r="A389" i="21"/>
  <c r="AB352" i="9"/>
  <c r="AB354" i="20"/>
  <c r="AC353" i="20"/>
  <c r="AC352" i="9" s="1"/>
  <c r="A49" i="4"/>
  <c r="B48" i="4"/>
  <c r="A67" i="8" l="1"/>
  <c r="E66" i="8"/>
  <c r="C66" i="8"/>
  <c r="D66" i="8" s="1"/>
  <c r="A390" i="21"/>
  <c r="AB355" i="20"/>
  <c r="AB353" i="9"/>
  <c r="AC354" i="20"/>
  <c r="AC353" i="9" s="1"/>
  <c r="A50" i="4"/>
  <c r="B49" i="4"/>
  <c r="A68" i="8" l="1"/>
  <c r="E67" i="8"/>
  <c r="C67" i="8"/>
  <c r="D67" i="8" s="1"/>
  <c r="A391" i="21"/>
  <c r="AB356" i="20"/>
  <c r="AB354" i="9"/>
  <c r="AC355" i="20"/>
  <c r="AC354" i="9" s="1"/>
  <c r="A51" i="4"/>
  <c r="B50" i="4"/>
  <c r="A69" i="8" l="1"/>
  <c r="E68" i="8"/>
  <c r="C68" i="8"/>
  <c r="D68" i="8" s="1"/>
  <c r="A392" i="21"/>
  <c r="AB357" i="20"/>
  <c r="AB358" i="20" s="1"/>
  <c r="AB355" i="9"/>
  <c r="AC356" i="20"/>
  <c r="AC355" i="9" s="1"/>
  <c r="A52" i="4"/>
  <c r="B51" i="4"/>
  <c r="AB357" i="9" l="1"/>
  <c r="AB359" i="20"/>
  <c r="AC358" i="20"/>
  <c r="AC357" i="9" s="1"/>
  <c r="A70" i="8"/>
  <c r="C69" i="8"/>
  <c r="D69" i="8" s="1"/>
  <c r="E69" i="8"/>
  <c r="A393" i="21"/>
  <c r="AB356" i="9"/>
  <c r="AC357" i="20"/>
  <c r="AC356" i="9" s="1"/>
  <c r="A53" i="4"/>
  <c r="B52" i="4"/>
  <c r="AC359" i="20" l="1"/>
  <c r="AC358" i="9" s="1"/>
  <c r="AB360" i="20"/>
  <c r="AC360" i="20" s="1"/>
  <c r="AC359" i="9" s="1"/>
  <c r="AB358" i="9"/>
  <c r="A71" i="8"/>
  <c r="E70" i="8"/>
  <c r="C70" i="8"/>
  <c r="D70" i="8" s="1"/>
  <c r="A394" i="21"/>
  <c r="A54" i="4"/>
  <c r="B53" i="4"/>
  <c r="AB359" i="9" l="1"/>
  <c r="A72" i="8"/>
  <c r="E71" i="8"/>
  <c r="C71" i="8"/>
  <c r="D71" i="8" s="1"/>
  <c r="A395" i="21"/>
  <c r="A55" i="4"/>
  <c r="B54" i="4"/>
  <c r="A73" i="8" l="1"/>
  <c r="E72" i="8"/>
  <c r="C72" i="8"/>
  <c r="D72" i="8" s="1"/>
  <c r="A396" i="21"/>
  <c r="A56" i="4"/>
  <c r="B55" i="4"/>
  <c r="A74" i="8" l="1"/>
  <c r="C73" i="8"/>
  <c r="D73" i="8" s="1"/>
  <c r="E73" i="8"/>
  <c r="A397" i="21"/>
  <c r="A57" i="4"/>
  <c r="B56" i="4"/>
  <c r="A75" i="8" l="1"/>
  <c r="E74" i="8"/>
  <c r="C74" i="8"/>
  <c r="D74" i="8" s="1"/>
  <c r="A398" i="21"/>
  <c r="A58" i="4"/>
  <c r="B57" i="4"/>
  <c r="A76" i="8" l="1"/>
  <c r="E75" i="8"/>
  <c r="C75" i="8"/>
  <c r="D75" i="8" s="1"/>
  <c r="A399" i="21"/>
  <c r="A59" i="4"/>
  <c r="B58" i="4"/>
  <c r="A77" i="8" l="1"/>
  <c r="E76" i="8"/>
  <c r="C76" i="8"/>
  <c r="D76" i="8" s="1"/>
  <c r="A400" i="21"/>
  <c r="A60" i="4"/>
  <c r="B59" i="4"/>
  <c r="A78" i="8" l="1"/>
  <c r="C77" i="8"/>
  <c r="D77" i="8" s="1"/>
  <c r="E77" i="8"/>
  <c r="A401" i="21"/>
  <c r="A61" i="4"/>
  <c r="B60" i="4"/>
  <c r="A79" i="8" l="1"/>
  <c r="E78" i="8"/>
  <c r="C78" i="8"/>
  <c r="D78" i="8" s="1"/>
  <c r="A402" i="21"/>
  <c r="A62" i="4"/>
  <c r="B61" i="4"/>
  <c r="A80" i="8" l="1"/>
  <c r="E79" i="8"/>
  <c r="C79" i="8"/>
  <c r="D79" i="8" s="1"/>
  <c r="A403" i="21"/>
  <c r="A63" i="4"/>
  <c r="B62" i="4"/>
  <c r="A81" i="8" l="1"/>
  <c r="E80" i="8"/>
  <c r="C80" i="8"/>
  <c r="D80" i="8" s="1"/>
  <c r="A404" i="21"/>
  <c r="A64" i="4"/>
  <c r="B63" i="4"/>
  <c r="A82" i="8" l="1"/>
  <c r="C81" i="8"/>
  <c r="D81" i="8" s="1"/>
  <c r="E81" i="8"/>
  <c r="A405" i="21"/>
  <c r="A65" i="4"/>
  <c r="B64" i="4"/>
  <c r="A83" i="8" l="1"/>
  <c r="E82" i="8"/>
  <c r="C82" i="8"/>
  <c r="D82" i="8" s="1"/>
  <c r="A406" i="21"/>
  <c r="A66" i="4"/>
  <c r="B65" i="4"/>
  <c r="A84" i="8" l="1"/>
  <c r="E83" i="8"/>
  <c r="C83" i="8"/>
  <c r="D83" i="8" s="1"/>
  <c r="A407" i="21"/>
  <c r="A67" i="4"/>
  <c r="B66" i="4"/>
  <c r="A85" i="8" l="1"/>
  <c r="E84" i="8"/>
  <c r="C84" i="8"/>
  <c r="D84" i="8" s="1"/>
  <c r="A408" i="21"/>
  <c r="A68" i="4"/>
  <c r="B67" i="4"/>
  <c r="A86" i="8" l="1"/>
  <c r="C85" i="8"/>
  <c r="D85" i="8" s="1"/>
  <c r="E85" i="8"/>
  <c r="A409" i="21"/>
  <c r="A69" i="4"/>
  <c r="B68" i="4"/>
  <c r="A87" i="8" l="1"/>
  <c r="E86" i="8"/>
  <c r="C86" i="8"/>
  <c r="D86" i="8" s="1"/>
  <c r="A410" i="21"/>
  <c r="A411" i="21" s="1"/>
  <c r="A412" i="21" s="1"/>
  <c r="A413" i="21" s="1"/>
  <c r="A70" i="4"/>
  <c r="B69" i="4"/>
  <c r="A88" i="8" l="1"/>
  <c r="E87" i="8"/>
  <c r="C87" i="8"/>
  <c r="D87" i="8" s="1"/>
  <c r="A71" i="4"/>
  <c r="B70" i="4"/>
  <c r="A89" i="8" l="1"/>
  <c r="E88" i="8"/>
  <c r="C88" i="8"/>
  <c r="D88" i="8" s="1"/>
  <c r="A72" i="4"/>
  <c r="B71" i="4"/>
  <c r="A90" i="8" l="1"/>
  <c r="C89" i="8"/>
  <c r="D89" i="8" s="1"/>
  <c r="E89" i="8"/>
  <c r="A73" i="4"/>
  <c r="B72" i="4"/>
  <c r="A91" i="8" l="1"/>
  <c r="E90" i="8"/>
  <c r="C90" i="8"/>
  <c r="D90" i="8" s="1"/>
  <c r="A415" i="21"/>
  <c r="A74" i="4"/>
  <c r="B73" i="4"/>
  <c r="A92" i="8" l="1"/>
  <c r="E91" i="8"/>
  <c r="C91" i="8"/>
  <c r="D91" i="8" s="1"/>
  <c r="A416" i="21"/>
  <c r="A75" i="4"/>
  <c r="B74" i="4"/>
  <c r="A93" i="8" l="1"/>
  <c r="E92" i="8"/>
  <c r="C92" i="8"/>
  <c r="D92" i="8" s="1"/>
  <c r="A417" i="21"/>
  <c r="A418" i="21" s="1"/>
  <c r="A419" i="21" s="1"/>
  <c r="A420" i="21" s="1"/>
  <c r="A76" i="4"/>
  <c r="B75" i="4"/>
  <c r="K144" i="8" l="1"/>
  <c r="A94" i="8"/>
  <c r="C93" i="8"/>
  <c r="D93" i="8" s="1"/>
  <c r="E93" i="8"/>
  <c r="A77" i="4"/>
  <c r="B76" i="4"/>
  <c r="K145" i="8" l="1"/>
  <c r="M144" i="8"/>
  <c r="A95" i="8"/>
  <c r="E94" i="8"/>
  <c r="C94" i="8"/>
  <c r="D94" i="8" s="1"/>
  <c r="A78" i="4"/>
  <c r="B77" i="4"/>
  <c r="K146" i="8" l="1"/>
  <c r="M145" i="8"/>
  <c r="A96" i="8"/>
  <c r="E95" i="8"/>
  <c r="C95" i="8"/>
  <c r="D95" i="8" s="1"/>
  <c r="A79" i="4"/>
  <c r="B78" i="4"/>
  <c r="K147" i="8" l="1"/>
  <c r="M146" i="8"/>
  <c r="A97" i="8"/>
  <c r="E96" i="8"/>
  <c r="C96" i="8"/>
  <c r="D96" i="8" s="1"/>
  <c r="A80" i="4"/>
  <c r="B79" i="4"/>
  <c r="K148" i="8" l="1"/>
  <c r="M147" i="8"/>
  <c r="A98" i="8"/>
  <c r="C97" i="8"/>
  <c r="D97" i="8" s="1"/>
  <c r="E97" i="8"/>
  <c r="A81" i="4"/>
  <c r="B80" i="4"/>
  <c r="K149" i="8" l="1"/>
  <c r="M148" i="8"/>
  <c r="A99" i="8"/>
  <c r="E98" i="8"/>
  <c r="C98" i="8"/>
  <c r="D98" i="8" s="1"/>
  <c r="A82" i="4"/>
  <c r="B81" i="4"/>
  <c r="K150" i="8" l="1"/>
  <c r="M149" i="8"/>
  <c r="A100" i="8"/>
  <c r="E99" i="8"/>
  <c r="C99" i="8"/>
  <c r="D99" i="8" s="1"/>
  <c r="A83" i="4"/>
  <c r="B82" i="4"/>
  <c r="K151" i="8" l="1"/>
  <c r="M150" i="8"/>
  <c r="A101" i="8"/>
  <c r="E100" i="8"/>
  <c r="C100" i="8"/>
  <c r="D100" i="8" s="1"/>
  <c r="A84" i="4"/>
  <c r="B83" i="4"/>
  <c r="K152" i="8" l="1"/>
  <c r="M151" i="8"/>
  <c r="A102" i="8"/>
  <c r="C101" i="8"/>
  <c r="D101" i="8" s="1"/>
  <c r="E101" i="8"/>
  <c r="A85" i="4"/>
  <c r="B84" i="4"/>
  <c r="K153" i="8" l="1"/>
  <c r="M152" i="8"/>
  <c r="A103" i="8"/>
  <c r="E102" i="8"/>
  <c r="C102" i="8"/>
  <c r="D102" i="8" s="1"/>
  <c r="A86" i="4"/>
  <c r="B85" i="4"/>
  <c r="K154" i="8" l="1"/>
  <c r="M153" i="8"/>
  <c r="A104" i="8"/>
  <c r="E103" i="8"/>
  <c r="C103" i="8"/>
  <c r="D103" i="8" s="1"/>
  <c r="A87" i="4"/>
  <c r="B86" i="4"/>
  <c r="K155" i="8" l="1"/>
  <c r="M154" i="8"/>
  <c r="A105" i="8"/>
  <c r="E104" i="8"/>
  <c r="C104" i="8"/>
  <c r="D104" i="8" s="1"/>
  <c r="A88" i="4"/>
  <c r="B87" i="4"/>
  <c r="K156" i="8" l="1"/>
  <c r="M155" i="8"/>
  <c r="A106" i="8"/>
  <c r="C105" i="8"/>
  <c r="D105" i="8" s="1"/>
  <c r="E105" i="8"/>
  <c r="A89" i="4"/>
  <c r="B88" i="4"/>
  <c r="K157" i="8" l="1"/>
  <c r="M156" i="8"/>
  <c r="A107" i="8"/>
  <c r="E106" i="8"/>
  <c r="C106" i="8"/>
  <c r="D106" i="8" s="1"/>
  <c r="M12" i="4"/>
  <c r="O12" i="4"/>
  <c r="A90" i="4"/>
  <c r="B89" i="4"/>
  <c r="K158" i="8" l="1"/>
  <c r="M157" i="8"/>
  <c r="A108" i="8"/>
  <c r="E107" i="8"/>
  <c r="C107" i="8"/>
  <c r="D107" i="8" s="1"/>
  <c r="M8" i="4"/>
  <c r="O8" i="4"/>
  <c r="A91" i="4"/>
  <c r="B90" i="4"/>
  <c r="K159" i="8" l="1"/>
  <c r="M158" i="8"/>
  <c r="A109" i="8"/>
  <c r="E108" i="8"/>
  <c r="C108" i="8"/>
  <c r="D108" i="8" s="1"/>
  <c r="A92" i="4"/>
  <c r="B91" i="4"/>
  <c r="K160" i="8" l="1"/>
  <c r="M159" i="8"/>
  <c r="A110" i="8"/>
  <c r="C109" i="8"/>
  <c r="D109" i="8" s="1"/>
  <c r="E109" i="8"/>
  <c r="A93" i="4"/>
  <c r="B92" i="4"/>
  <c r="K161" i="8" l="1"/>
  <c r="M160" i="8"/>
  <c r="A111" i="8"/>
  <c r="E110" i="8"/>
  <c r="C110" i="8"/>
  <c r="D110" i="8" s="1"/>
  <c r="A94" i="4"/>
  <c r="B93" i="4"/>
  <c r="K162" i="8" l="1"/>
  <c r="M161" i="8"/>
  <c r="A112" i="8"/>
  <c r="E111" i="8"/>
  <c r="C111" i="8"/>
  <c r="D111" i="8" s="1"/>
  <c r="M7" i="4"/>
  <c r="O7" i="4"/>
  <c r="A95" i="4"/>
  <c r="B94" i="4"/>
  <c r="K163" i="8" l="1"/>
  <c r="M162" i="8"/>
  <c r="A113" i="8"/>
  <c r="E112" i="8"/>
  <c r="C112" i="8"/>
  <c r="D112" i="8" s="1"/>
  <c r="A96" i="4"/>
  <c r="B95" i="4"/>
  <c r="K164" i="8" l="1"/>
  <c r="M163" i="8"/>
  <c r="A114" i="8"/>
  <c r="C113" i="8"/>
  <c r="D113" i="8" s="1"/>
  <c r="E113" i="8"/>
  <c r="A97" i="4"/>
  <c r="B96" i="4"/>
  <c r="K165" i="8" l="1"/>
  <c r="M164" i="8"/>
  <c r="A115" i="8"/>
  <c r="E114" i="8"/>
  <c r="C114" i="8"/>
  <c r="D114" i="8" s="1"/>
  <c r="A98" i="4"/>
  <c r="B97" i="4"/>
  <c r="K166" i="8" l="1"/>
  <c r="M165" i="8"/>
  <c r="A116" i="8"/>
  <c r="E115" i="8"/>
  <c r="C115" i="8"/>
  <c r="D115" i="8" s="1"/>
  <c r="M9" i="4"/>
  <c r="O9" i="4"/>
  <c r="A99" i="4"/>
  <c r="B98" i="4"/>
  <c r="K167" i="8" l="1"/>
  <c r="M166" i="8"/>
  <c r="A117" i="8"/>
  <c r="E116" i="8"/>
  <c r="C116" i="8"/>
  <c r="D116" i="8" s="1"/>
  <c r="A100" i="4"/>
  <c r="B99" i="4"/>
  <c r="K168" i="8" l="1"/>
  <c r="M167" i="8"/>
  <c r="A118" i="8"/>
  <c r="C117" i="8"/>
  <c r="D117" i="8" s="1"/>
  <c r="E117" i="8"/>
  <c r="A101" i="4"/>
  <c r="B100" i="4"/>
  <c r="K169" i="8" l="1"/>
  <c r="M168" i="8"/>
  <c r="A119" i="8"/>
  <c r="E118" i="8"/>
  <c r="C118" i="8"/>
  <c r="D118" i="8" s="1"/>
  <c r="M3" i="4"/>
  <c r="O3" i="4"/>
  <c r="A102" i="4"/>
  <c r="B101" i="4"/>
  <c r="K170" i="8" l="1"/>
  <c r="M169" i="8"/>
  <c r="A120" i="8"/>
  <c r="E119" i="8"/>
  <c r="C119" i="8"/>
  <c r="D119" i="8" s="1"/>
  <c r="M4" i="4"/>
  <c r="O4" i="4"/>
  <c r="A103" i="4"/>
  <c r="B102" i="4"/>
  <c r="M170" i="8" l="1"/>
  <c r="A121" i="8"/>
  <c r="E120" i="8"/>
  <c r="C120" i="8"/>
  <c r="D120" i="8" s="1"/>
  <c r="A104" i="4"/>
  <c r="B103" i="4"/>
  <c r="A122" i="8" l="1"/>
  <c r="C121" i="8"/>
  <c r="D121" i="8" s="1"/>
  <c r="E121" i="8"/>
  <c r="A105" i="4"/>
  <c r="B104" i="4"/>
  <c r="A123" i="8" l="1"/>
  <c r="E122" i="8"/>
  <c r="C122" i="8"/>
  <c r="D122" i="8" s="1"/>
  <c r="A106" i="4"/>
  <c r="B105" i="4"/>
  <c r="A124" i="8" l="1"/>
  <c r="E123" i="8"/>
  <c r="C123" i="8"/>
  <c r="D123" i="8" s="1"/>
  <c r="M5" i="4"/>
  <c r="O5" i="4"/>
  <c r="A107" i="4"/>
  <c r="B106" i="4"/>
  <c r="A125" i="8" l="1"/>
  <c r="E124" i="8"/>
  <c r="C124" i="8"/>
  <c r="D124" i="8" s="1"/>
  <c r="A108" i="4"/>
  <c r="B107" i="4"/>
  <c r="A126" i="8" l="1"/>
  <c r="C125" i="8"/>
  <c r="D125" i="8" s="1"/>
  <c r="E125" i="8"/>
  <c r="M10" i="4"/>
  <c r="O10" i="4"/>
  <c r="A109" i="4"/>
  <c r="B108" i="4"/>
  <c r="A127" i="8" l="1"/>
  <c r="E126" i="8"/>
  <c r="C126" i="8"/>
  <c r="D126" i="8" s="1"/>
  <c r="M11" i="4"/>
  <c r="O11" i="4"/>
  <c r="A110" i="4"/>
  <c r="B109" i="4"/>
  <c r="A128" i="8" l="1"/>
  <c r="E127" i="8"/>
  <c r="C127" i="8"/>
  <c r="D127" i="8" s="1"/>
  <c r="A111" i="4"/>
  <c r="B110" i="4"/>
  <c r="A129" i="8" l="1"/>
  <c r="E128" i="8"/>
  <c r="C128" i="8"/>
  <c r="D128" i="8" s="1"/>
  <c r="M6" i="4"/>
  <c r="O6" i="4"/>
  <c r="A112" i="4"/>
  <c r="B111" i="4"/>
  <c r="A130" i="8" l="1"/>
  <c r="C129" i="8"/>
  <c r="D129" i="8" s="1"/>
  <c r="E129" i="8"/>
  <c r="M23" i="4"/>
  <c r="O23" i="4"/>
  <c r="A113" i="4"/>
  <c r="B112" i="4"/>
  <c r="A131" i="8" l="1"/>
  <c r="E130" i="8"/>
  <c r="C130" i="8"/>
  <c r="D130" i="8" s="1"/>
  <c r="M24" i="4"/>
  <c r="O24" i="4"/>
  <c r="A114" i="4"/>
  <c r="B113" i="4"/>
  <c r="A132" i="8" l="1"/>
  <c r="E131" i="8"/>
  <c r="C131" i="8"/>
  <c r="D131" i="8" s="1"/>
  <c r="M43" i="4"/>
  <c r="O43" i="4"/>
  <c r="A115" i="4"/>
  <c r="B114" i="4"/>
  <c r="A133" i="8" l="1"/>
  <c r="E132" i="8"/>
  <c r="C132" i="8"/>
  <c r="D132" i="8" s="1"/>
  <c r="M15" i="4"/>
  <c r="O15" i="4"/>
  <c r="A116" i="4"/>
  <c r="B115" i="4"/>
  <c r="A134" i="8" l="1"/>
  <c r="C133" i="8"/>
  <c r="D133" i="8" s="1"/>
  <c r="E133" i="8"/>
  <c r="M27" i="4"/>
  <c r="O27" i="4"/>
  <c r="A117" i="4"/>
  <c r="B116" i="4"/>
  <c r="A135" i="8" l="1"/>
  <c r="E134" i="8"/>
  <c r="C134" i="8"/>
  <c r="D134" i="8" s="1"/>
  <c r="M33" i="4"/>
  <c r="O33" i="4"/>
  <c r="A118" i="4"/>
  <c r="B117" i="4"/>
  <c r="A136" i="8" l="1"/>
  <c r="E135" i="8"/>
  <c r="C135" i="8"/>
  <c r="D135" i="8" s="1"/>
  <c r="M28" i="4"/>
  <c r="O28" i="4"/>
  <c r="A119" i="4"/>
  <c r="B118" i="4"/>
  <c r="A137" i="8" l="1"/>
  <c r="E136" i="8"/>
  <c r="C136" i="8"/>
  <c r="D136" i="8" s="1"/>
  <c r="M13" i="4"/>
  <c r="O13" i="4"/>
  <c r="A120" i="4"/>
  <c r="B119" i="4"/>
  <c r="A138" i="8" l="1"/>
  <c r="C137" i="8"/>
  <c r="D137" i="8" s="1"/>
  <c r="E137" i="8"/>
  <c r="M39" i="4"/>
  <c r="O39" i="4"/>
  <c r="A121" i="4"/>
  <c r="B120" i="4"/>
  <c r="A139" i="8" l="1"/>
  <c r="E138" i="8"/>
  <c r="C138" i="8"/>
  <c r="D138" i="8" s="1"/>
  <c r="M16" i="4"/>
  <c r="O16" i="4"/>
  <c r="A122" i="4"/>
  <c r="B121" i="4"/>
  <c r="A140" i="8" l="1"/>
  <c r="E139" i="8"/>
  <c r="C139" i="8"/>
  <c r="D139" i="8" s="1"/>
  <c r="M34" i="4"/>
  <c r="O34" i="4"/>
  <c r="A123" i="4"/>
  <c r="B122" i="4"/>
  <c r="A141" i="8" l="1"/>
  <c r="E140" i="8"/>
  <c r="C140" i="8"/>
  <c r="D140" i="8" s="1"/>
  <c r="M29" i="4"/>
  <c r="O29" i="4"/>
  <c r="A124" i="4"/>
  <c r="B123" i="4"/>
  <c r="A142" i="8" l="1"/>
  <c r="C141" i="8"/>
  <c r="D141" i="8" s="1"/>
  <c r="E141" i="8"/>
  <c r="A125" i="4"/>
  <c r="B124" i="4"/>
  <c r="A143" i="8" l="1"/>
  <c r="E142" i="8"/>
  <c r="C142" i="8"/>
  <c r="D142" i="8" s="1"/>
  <c r="M44" i="4"/>
  <c r="O44" i="4"/>
  <c r="A126" i="4"/>
  <c r="B125" i="4"/>
  <c r="A144" i="8" l="1"/>
  <c r="E143" i="8"/>
  <c r="C143" i="8"/>
  <c r="D143" i="8" s="1"/>
  <c r="M40" i="4"/>
  <c r="O40" i="4"/>
  <c r="A127" i="4"/>
  <c r="B126" i="4"/>
  <c r="A145" i="8" l="1"/>
  <c r="E144" i="8"/>
  <c r="C144" i="8"/>
  <c r="D144" i="8" s="1"/>
  <c r="A146" i="21"/>
  <c r="A147" i="21" s="1"/>
  <c r="A148" i="21" s="1"/>
  <c r="A149" i="21" s="1"/>
  <c r="A150" i="21" s="1"/>
  <c r="A151" i="21" s="1"/>
  <c r="A152" i="21" s="1"/>
  <c r="A153" i="21" s="1"/>
  <c r="A154" i="21" s="1"/>
  <c r="A155" i="21" s="1"/>
  <c r="A156" i="21" s="1"/>
  <c r="A157" i="21" s="1"/>
  <c r="A158" i="21" s="1"/>
  <c r="A159" i="21" s="1"/>
  <c r="A160" i="21" s="1"/>
  <c r="A161" i="21" s="1"/>
  <c r="A162" i="21" s="1"/>
  <c r="A163" i="21" s="1"/>
  <c r="A164" i="21" s="1"/>
  <c r="A165" i="21" s="1"/>
  <c r="A166" i="21" s="1"/>
  <c r="A167" i="21" s="1"/>
  <c r="A168" i="21" s="1"/>
  <c r="A169" i="21" s="1"/>
  <c r="A170" i="21" s="1"/>
  <c r="A171" i="21" s="1"/>
  <c r="A172" i="21" s="1"/>
  <c r="A173" i="21" s="1"/>
  <c r="A174" i="21" s="1"/>
  <c r="A175" i="21" s="1"/>
  <c r="A176"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3" i="21" s="1"/>
  <c r="A224" i="21" s="1"/>
  <c r="A225" i="21" s="1"/>
  <c r="A226" i="21" s="1"/>
  <c r="A227" i="21" s="1"/>
  <c r="A228" i="21" s="1"/>
  <c r="A229" i="21" s="1"/>
  <c r="A230" i="21" s="1"/>
  <c r="A231" i="21" s="1"/>
  <c r="A232" i="21" s="1"/>
  <c r="A233" i="21" s="1"/>
  <c r="A234" i="21" s="1"/>
  <c r="A235" i="21" s="1"/>
  <c r="A236" i="21" s="1"/>
  <c r="A237" i="21" s="1"/>
  <c r="A238" i="21" s="1"/>
  <c r="A239" i="21" s="1"/>
  <c r="A240" i="21" s="1"/>
  <c r="A241" i="21" s="1"/>
  <c r="A242" i="21" s="1"/>
  <c r="A243" i="21" s="1"/>
  <c r="A244" i="21" s="1"/>
  <c r="A245" i="21" s="1"/>
  <c r="A246" i="21" s="1"/>
  <c r="A247" i="21" s="1"/>
  <c r="A248" i="21" s="1"/>
  <c r="A249" i="21" s="1"/>
  <c r="A250" i="21" s="1"/>
  <c r="A251" i="21" s="1"/>
  <c r="A252" i="21" s="1"/>
  <c r="A253" i="21" s="1"/>
  <c r="A254" i="21" s="1"/>
  <c r="A255" i="21" s="1"/>
  <c r="A256" i="21" s="1"/>
  <c r="A257" i="21" s="1"/>
  <c r="A258" i="21" s="1"/>
  <c r="A259" i="21" s="1"/>
  <c r="A260" i="21" s="1"/>
  <c r="A261" i="21" s="1"/>
  <c r="A262" i="21" s="1"/>
  <c r="A263" i="21" s="1"/>
  <c r="A264" i="21" s="1"/>
  <c r="A265" i="21" s="1"/>
  <c r="A266" i="21" s="1"/>
  <c r="A267" i="21" s="1"/>
  <c r="A268" i="21" s="1"/>
  <c r="A269" i="21" s="1"/>
  <c r="A270" i="21" s="1"/>
  <c r="A271" i="21" s="1"/>
  <c r="A272" i="21" s="1"/>
  <c r="A273" i="21" s="1"/>
  <c r="A274" i="21" s="1"/>
  <c r="A275" i="21" s="1"/>
  <c r="A276" i="21" s="1"/>
  <c r="A277" i="21" s="1"/>
  <c r="A278" i="21" s="1"/>
  <c r="A279" i="21" s="1"/>
  <c r="A280" i="21" s="1"/>
  <c r="A281" i="21" s="1"/>
  <c r="A282" i="21" s="1"/>
  <c r="A283" i="21" s="1"/>
  <c r="A284" i="21" s="1"/>
  <c r="A285" i="21" s="1"/>
  <c r="A286" i="21" s="1"/>
  <c r="A287" i="21" s="1"/>
  <c r="A288" i="21" s="1"/>
  <c r="A289" i="21" s="1"/>
  <c r="A290" i="21" s="1"/>
  <c r="A291" i="21" s="1"/>
  <c r="A292" i="21" s="1"/>
  <c r="M35" i="4"/>
  <c r="O35" i="4"/>
  <c r="A128" i="4"/>
  <c r="B127" i="4"/>
  <c r="A146" i="8" l="1"/>
  <c r="C145" i="8"/>
  <c r="D145" i="8" s="1"/>
  <c r="E145" i="8"/>
  <c r="M30" i="4"/>
  <c r="O30" i="4"/>
  <c r="A129" i="4"/>
  <c r="B128" i="4"/>
  <c r="A147" i="8" l="1"/>
  <c r="E146" i="8"/>
  <c r="C146" i="8"/>
  <c r="D146" i="8" s="1"/>
  <c r="M25" i="4"/>
  <c r="O25" i="4"/>
  <c r="A130" i="4"/>
  <c r="B129" i="4"/>
  <c r="A148" i="8" l="1"/>
  <c r="E147" i="8"/>
  <c r="C147" i="8"/>
  <c r="D147" i="8" s="1"/>
  <c r="M20" i="4"/>
  <c r="O20" i="4"/>
  <c r="A131" i="4"/>
  <c r="B130" i="4"/>
  <c r="A149" i="8" l="1"/>
  <c r="E148" i="8"/>
  <c r="C148" i="8"/>
  <c r="D148" i="8" s="1"/>
  <c r="M31" i="4"/>
  <c r="O31" i="4"/>
  <c r="A132" i="4"/>
  <c r="B131" i="4"/>
  <c r="A150" i="8" l="1"/>
  <c r="C149" i="8"/>
  <c r="D149" i="8" s="1"/>
  <c r="E149" i="8"/>
  <c r="M14" i="4"/>
  <c r="O14" i="4"/>
  <c r="A133" i="4"/>
  <c r="B132" i="4"/>
  <c r="A151" i="8" l="1"/>
  <c r="E150" i="8"/>
  <c r="C150" i="8"/>
  <c r="D150" i="8" s="1"/>
  <c r="M36" i="4"/>
  <c r="O36" i="4"/>
  <c r="A134" i="4"/>
  <c r="B133" i="4"/>
  <c r="A152" i="8" l="1"/>
  <c r="E151" i="8"/>
  <c r="C151" i="8"/>
  <c r="D151" i="8" s="1"/>
  <c r="M32" i="4"/>
  <c r="O32" i="4"/>
  <c r="A135" i="4"/>
  <c r="B134" i="4"/>
  <c r="A153" i="8" l="1"/>
  <c r="E152" i="8"/>
  <c r="C152" i="8"/>
  <c r="D152" i="8" s="1"/>
  <c r="M21" i="4"/>
  <c r="O21" i="4"/>
  <c r="A136" i="4"/>
  <c r="B135" i="4"/>
  <c r="A154" i="8" l="1"/>
  <c r="C153" i="8"/>
  <c r="D153" i="8" s="1"/>
  <c r="E153" i="8"/>
  <c r="M26" i="4"/>
  <c r="O26" i="4"/>
  <c r="A137" i="4"/>
  <c r="B136" i="4"/>
  <c r="A155" i="8" l="1"/>
  <c r="E154" i="8"/>
  <c r="C154" i="8"/>
  <c r="D154" i="8" s="1"/>
  <c r="M41" i="4"/>
  <c r="O41" i="4"/>
  <c r="A138" i="4"/>
  <c r="B137" i="4"/>
  <c r="A156" i="8" l="1"/>
  <c r="C155" i="8"/>
  <c r="D155" i="8" s="1"/>
  <c r="E155" i="8"/>
  <c r="M37" i="4"/>
  <c r="O37" i="4"/>
  <c r="A139" i="4"/>
  <c r="B138" i="4"/>
  <c r="A157" i="8" l="1"/>
  <c r="C156" i="8"/>
  <c r="D156" i="8" s="1"/>
  <c r="E156" i="8"/>
  <c r="A140" i="4"/>
  <c r="B139" i="4"/>
  <c r="A158" i="8" l="1"/>
  <c r="C157" i="8"/>
  <c r="D157" i="8" s="1"/>
  <c r="E157" i="8"/>
  <c r="M17" i="4"/>
  <c r="O17" i="4"/>
  <c r="A141" i="4"/>
  <c r="B140" i="4"/>
  <c r="A159" i="8" l="1"/>
  <c r="C158" i="8"/>
  <c r="D158" i="8" s="1"/>
  <c r="E158" i="8"/>
  <c r="M45" i="4"/>
  <c r="O45" i="4"/>
  <c r="A142" i="4"/>
  <c r="B141" i="4"/>
  <c r="A160" i="8" l="1"/>
  <c r="C159" i="8"/>
  <c r="D159" i="8" s="1"/>
  <c r="E159" i="8"/>
  <c r="M22" i="4"/>
  <c r="O22" i="4"/>
  <c r="A143" i="4"/>
  <c r="B142" i="4"/>
  <c r="A161" i="8" l="1"/>
  <c r="C160" i="8"/>
  <c r="D160" i="8" s="1"/>
  <c r="E160" i="8"/>
  <c r="A144" i="4"/>
  <c r="B143" i="4"/>
  <c r="A162" i="8" l="1"/>
  <c r="C161" i="8"/>
  <c r="D161" i="8" s="1"/>
  <c r="E161" i="8"/>
  <c r="M38" i="4"/>
  <c r="O38" i="4"/>
  <c r="M18" i="4"/>
  <c r="O18" i="4"/>
  <c r="A145" i="4"/>
  <c r="B144" i="4"/>
  <c r="A163" i="8" l="1"/>
  <c r="C162" i="8"/>
  <c r="D162" i="8" s="1"/>
  <c r="E162" i="8"/>
  <c r="M19" i="4"/>
  <c r="O19" i="4"/>
  <c r="A146" i="4"/>
  <c r="B145" i="4"/>
  <c r="A164" i="8" l="1"/>
  <c r="C163" i="8"/>
  <c r="D163" i="8" s="1"/>
  <c r="E163" i="8"/>
  <c r="A147" i="4"/>
  <c r="B146" i="4"/>
  <c r="A165" i="8" l="1"/>
  <c r="C164" i="8"/>
  <c r="D164" i="8" s="1"/>
  <c r="E164" i="8"/>
  <c r="M49" i="4"/>
  <c r="O49" i="4"/>
  <c r="M42" i="4"/>
  <c r="O42" i="4"/>
  <c r="A148" i="4"/>
  <c r="B147" i="4"/>
  <c r="K172" i="8" l="1"/>
  <c r="A166" i="8"/>
  <c r="C165" i="8"/>
  <c r="D165" i="8" s="1"/>
  <c r="E165" i="8"/>
  <c r="A149" i="4"/>
  <c r="B148" i="4"/>
  <c r="K173" i="8" l="1"/>
  <c r="M172" i="8"/>
  <c r="A167" i="8"/>
  <c r="C166" i="8"/>
  <c r="D166" i="8" s="1"/>
  <c r="E166" i="8"/>
  <c r="M50" i="4"/>
  <c r="O50" i="4"/>
  <c r="A150" i="4"/>
  <c r="B149" i="4"/>
  <c r="K174" i="8" l="1"/>
  <c r="M173" i="8"/>
  <c r="A168" i="8"/>
  <c r="C167" i="8"/>
  <c r="D167" i="8" s="1"/>
  <c r="E167" i="8"/>
  <c r="M46" i="4"/>
  <c r="O46" i="4"/>
  <c r="A151" i="4"/>
  <c r="B150" i="4"/>
  <c r="K175" i="8" l="1"/>
  <c r="M174" i="8"/>
  <c r="A169" i="8"/>
  <c r="E168" i="8"/>
  <c r="C168" i="8"/>
  <c r="D168" i="8" s="1"/>
  <c r="M47" i="4"/>
  <c r="O47" i="4"/>
  <c r="A152" i="4"/>
  <c r="B151" i="4"/>
  <c r="K176" i="8" l="1"/>
  <c r="M175" i="8"/>
  <c r="A170" i="8"/>
  <c r="C169" i="8"/>
  <c r="D169" i="8" s="1"/>
  <c r="E169" i="8"/>
  <c r="M48" i="4"/>
  <c r="O48" i="4"/>
  <c r="M56" i="4"/>
  <c r="O56" i="4"/>
  <c r="A153" i="4"/>
  <c r="B152" i="4"/>
  <c r="K177" i="8" l="1"/>
  <c r="M176" i="8"/>
  <c r="A171" i="8"/>
  <c r="C170" i="8"/>
  <c r="D170" i="8" s="1"/>
  <c r="E170" i="8"/>
  <c r="A154" i="4"/>
  <c r="B153" i="4"/>
  <c r="K178" i="8" l="1"/>
  <c r="M177" i="8"/>
  <c r="A172" i="8"/>
  <c r="C171" i="8"/>
  <c r="D171" i="8" s="1"/>
  <c r="E171" i="8"/>
  <c r="M57" i="4"/>
  <c r="O57" i="4"/>
  <c r="M51" i="4"/>
  <c r="O51" i="4"/>
  <c r="A155" i="4"/>
  <c r="B154" i="4"/>
  <c r="K179" i="8" l="1"/>
  <c r="M178" i="8"/>
  <c r="A173" i="8"/>
  <c r="C172" i="8"/>
  <c r="D172" i="8" s="1"/>
  <c r="E172" i="8"/>
  <c r="A156" i="4"/>
  <c r="B155" i="4"/>
  <c r="K180" i="8" l="1"/>
  <c r="M179" i="8"/>
  <c r="A174" i="8"/>
  <c r="C173" i="8"/>
  <c r="D173" i="8" s="1"/>
  <c r="E173" i="8"/>
  <c r="M52" i="4"/>
  <c r="O52" i="4"/>
  <c r="A157" i="4"/>
  <c r="B156" i="4"/>
  <c r="K181" i="8" l="1"/>
  <c r="M180" i="8"/>
  <c r="A175" i="8"/>
  <c r="C174" i="8"/>
  <c r="D174" i="8" s="1"/>
  <c r="E174" i="8"/>
  <c r="M59" i="4"/>
  <c r="O59" i="4"/>
  <c r="A158" i="4"/>
  <c r="B157" i="4"/>
  <c r="K182" i="8" l="1"/>
  <c r="M181" i="8"/>
  <c r="A176" i="8"/>
  <c r="C175" i="8"/>
  <c r="D175" i="8" s="1"/>
  <c r="E175" i="8"/>
  <c r="M60" i="4"/>
  <c r="O60" i="4"/>
  <c r="M53" i="4"/>
  <c r="O53" i="4"/>
  <c r="A159" i="4"/>
  <c r="B158" i="4"/>
  <c r="K183" i="8" l="1"/>
  <c r="M182" i="8"/>
  <c r="A177" i="8"/>
  <c r="C176" i="8"/>
  <c r="D176" i="8" s="1"/>
  <c r="E176" i="8"/>
  <c r="M58" i="4"/>
  <c r="O58" i="4"/>
  <c r="A160" i="4"/>
  <c r="B159" i="4"/>
  <c r="K184" i="8" l="1"/>
  <c r="M183" i="8"/>
  <c r="A178" i="8"/>
  <c r="C177" i="8"/>
  <c r="D177" i="8" s="1"/>
  <c r="E177" i="8"/>
  <c r="A161" i="4"/>
  <c r="B160" i="4"/>
  <c r="K185" i="8" l="1"/>
  <c r="M184" i="8"/>
  <c r="A179" i="8"/>
  <c r="C178" i="8"/>
  <c r="D178" i="8" s="1"/>
  <c r="E178" i="8"/>
  <c r="M64" i="4"/>
  <c r="O64" i="4"/>
  <c r="M67" i="4"/>
  <c r="O67" i="4"/>
  <c r="A162" i="4"/>
  <c r="B161" i="4"/>
  <c r="K186" i="8" l="1"/>
  <c r="M185" i="8"/>
  <c r="A180" i="8"/>
  <c r="C179" i="8"/>
  <c r="D179" i="8" s="1"/>
  <c r="E179" i="8"/>
  <c r="A163" i="4"/>
  <c r="B162" i="4"/>
  <c r="K187" i="8" l="1"/>
  <c r="M186" i="8"/>
  <c r="A181" i="8"/>
  <c r="C180" i="8"/>
  <c r="D180" i="8" s="1"/>
  <c r="E180" i="8"/>
  <c r="M65" i="4"/>
  <c r="O65" i="4"/>
  <c r="M68" i="4"/>
  <c r="O68" i="4"/>
  <c r="A164" i="4"/>
  <c r="B163" i="4"/>
  <c r="K188" i="8" l="1"/>
  <c r="M187" i="8"/>
  <c r="A182" i="8"/>
  <c r="C181" i="8"/>
  <c r="D181" i="8" s="1"/>
  <c r="E181" i="8"/>
  <c r="A165" i="4"/>
  <c r="B164" i="4"/>
  <c r="K189" i="8" l="1"/>
  <c r="M188" i="8"/>
  <c r="A183" i="8"/>
  <c r="C182" i="8"/>
  <c r="D182" i="8" s="1"/>
  <c r="E182" i="8"/>
  <c r="M54" i="4"/>
  <c r="O54" i="4"/>
  <c r="M61" i="4"/>
  <c r="O61" i="4"/>
  <c r="A166" i="4"/>
  <c r="B165" i="4"/>
  <c r="K190" i="8" l="1"/>
  <c r="M189" i="8"/>
  <c r="A184" i="8"/>
  <c r="C183" i="8"/>
  <c r="D183" i="8" s="1"/>
  <c r="E183" i="8"/>
  <c r="A167" i="4"/>
  <c r="B166" i="4"/>
  <c r="K191" i="8" l="1"/>
  <c r="M190" i="8"/>
  <c r="C184" i="8"/>
  <c r="D184" i="8" s="1"/>
  <c r="A185" i="8"/>
  <c r="E184" i="8"/>
  <c r="M69" i="4"/>
  <c r="O69" i="4"/>
  <c r="M66" i="4"/>
  <c r="O66" i="4"/>
  <c r="A168" i="4"/>
  <c r="B167" i="4"/>
  <c r="K192" i="8" l="1"/>
  <c r="M191" i="8"/>
  <c r="A186" i="8"/>
  <c r="C185" i="8"/>
  <c r="D185" i="8" s="1"/>
  <c r="E185" i="8"/>
  <c r="M62" i="4"/>
  <c r="O62" i="4"/>
  <c r="A169" i="4"/>
  <c r="B168" i="4"/>
  <c r="K193" i="8" l="1"/>
  <c r="M192" i="8"/>
  <c r="A187" i="8"/>
  <c r="C186" i="8"/>
  <c r="D186" i="8" s="1"/>
  <c r="E186" i="8"/>
  <c r="M55" i="4"/>
  <c r="O55" i="4"/>
  <c r="A170" i="4"/>
  <c r="B169" i="4"/>
  <c r="K194" i="8" l="1"/>
  <c r="M193" i="8"/>
  <c r="A188" i="8"/>
  <c r="C187" i="8"/>
  <c r="D187" i="8" s="1"/>
  <c r="E187" i="8"/>
  <c r="M70" i="4"/>
  <c r="O70" i="4"/>
  <c r="A171" i="4"/>
  <c r="B170" i="4"/>
  <c r="K195" i="8" l="1"/>
  <c r="M194" i="8"/>
  <c r="A189" i="8"/>
  <c r="C188" i="8"/>
  <c r="D188" i="8" s="1"/>
  <c r="E188" i="8"/>
  <c r="M63" i="4"/>
  <c r="O63" i="4"/>
  <c r="A172" i="4"/>
  <c r="B171" i="4"/>
  <c r="K196" i="8" l="1"/>
  <c r="M195" i="8"/>
  <c r="A190" i="8"/>
  <c r="C189" i="8"/>
  <c r="D189" i="8" s="1"/>
  <c r="E189" i="8"/>
  <c r="M72" i="4"/>
  <c r="O72" i="4"/>
  <c r="A173" i="4"/>
  <c r="B173" i="4" s="1"/>
  <c r="B172" i="4"/>
  <c r="K197" i="8" l="1"/>
  <c r="M196" i="8"/>
  <c r="A191" i="8"/>
  <c r="C190" i="8"/>
  <c r="D190" i="8" s="1"/>
  <c r="E190" i="8"/>
  <c r="D2" i="4"/>
  <c r="Y232" i="5"/>
  <c r="Z232" i="5" s="1"/>
  <c r="Y237" i="5"/>
  <c r="Z237" i="5" s="1"/>
  <c r="Y236" i="5"/>
  <c r="Z236" i="5" s="1"/>
  <c r="Y231" i="5"/>
  <c r="Z231" i="5" s="1"/>
  <c r="Y68" i="5"/>
  <c r="Z68" i="5" s="1"/>
  <c r="Y228" i="5"/>
  <c r="Z228" i="5" s="1"/>
  <c r="Y242" i="5"/>
  <c r="Z242" i="5" s="1"/>
  <c r="Y229" i="5"/>
  <c r="Z229" i="5" s="1"/>
  <c r="Y225" i="5"/>
  <c r="Z225" i="5" s="1"/>
  <c r="Y233" i="5"/>
  <c r="Z233" i="5" s="1"/>
  <c r="Y234" i="5"/>
  <c r="Z234" i="5" s="1"/>
  <c r="Y240" i="5"/>
  <c r="Z240" i="5" s="1"/>
  <c r="Y235" i="5"/>
  <c r="Z235" i="5" s="1"/>
  <c r="Y201" i="5"/>
  <c r="Z201" i="5" s="1"/>
  <c r="Y241" i="5"/>
  <c r="Z241" i="5" s="1"/>
  <c r="Y224" i="5"/>
  <c r="Z224" i="5" s="1"/>
  <c r="Y230" i="5"/>
  <c r="Z230" i="5" s="1"/>
  <c r="Y238" i="5"/>
  <c r="Z238" i="5" s="1"/>
  <c r="Y239" i="5"/>
  <c r="Z239" i="5" s="1"/>
  <c r="K198" i="8" l="1"/>
  <c r="M197" i="8"/>
  <c r="C191" i="8"/>
  <c r="D191" i="8" s="1"/>
  <c r="E191" i="8"/>
  <c r="A192" i="8"/>
  <c r="M73" i="4"/>
  <c r="O73" i="4"/>
  <c r="M71" i="4"/>
  <c r="O71" i="4"/>
  <c r="K199" i="8" l="1"/>
  <c r="M198" i="8"/>
  <c r="C192" i="8"/>
  <c r="D192" i="8" s="1"/>
  <c r="E192" i="8"/>
  <c r="BG33" i="17"/>
  <c r="BF33" i="17" s="1"/>
  <c r="BK32" i="17"/>
  <c r="BF32" i="17" s="1"/>
  <c r="AF138" i="12" s="1"/>
  <c r="AD138" i="12" s="1"/>
  <c r="P138" i="18" s="1"/>
  <c r="AB6" i="20"/>
  <c r="AB5" i="9" s="1"/>
  <c r="AC4" i="9"/>
  <c r="AC3" i="9"/>
  <c r="AC2" i="9"/>
  <c r="AB4" i="9"/>
  <c r="AB3" i="9"/>
  <c r="AB2" i="9"/>
  <c r="K20" i="8" l="1"/>
  <c r="K18" i="8"/>
  <c r="L20" i="8"/>
  <c r="O20" i="8" s="1"/>
  <c r="K19" i="8"/>
  <c r="K24" i="8"/>
  <c r="L18" i="8"/>
  <c r="L24" i="8"/>
  <c r="K21" i="8"/>
  <c r="N21" i="8" s="1"/>
  <c r="L19" i="8"/>
  <c r="K23" i="8"/>
  <c r="L21" i="8"/>
  <c r="O21" i="8" s="1"/>
  <c r="K22" i="8"/>
  <c r="N22" i="8" s="1"/>
  <c r="L23" i="8"/>
  <c r="O23" i="8" s="1"/>
  <c r="L22" i="8"/>
  <c r="L17" i="8"/>
  <c r="K200" i="8"/>
  <c r="M199" i="8"/>
  <c r="O22" i="8"/>
  <c r="O24" i="8"/>
  <c r="O18" i="8"/>
  <c r="O19" i="8"/>
  <c r="N18" i="8"/>
  <c r="N20" i="8"/>
  <c r="N19" i="8"/>
  <c r="N24" i="8"/>
  <c r="N23" i="8"/>
  <c r="AF140" i="12"/>
  <c r="AD140" i="12" s="1"/>
  <c r="P140" i="18" s="1"/>
  <c r="AB7" i="20"/>
  <c r="AB8" i="20" s="1"/>
  <c r="AC6" i="20"/>
  <c r="P19" i="8" l="1"/>
  <c r="W19" i="8" s="1"/>
  <c r="AH33" i="8" s="1"/>
  <c r="P24" i="8"/>
  <c r="W24" i="8" s="1"/>
  <c r="AH38" i="8" s="1"/>
  <c r="P22" i="8"/>
  <c r="W22" i="8" s="1"/>
  <c r="AH36" i="8" s="1"/>
  <c r="P20" i="8"/>
  <c r="W20" i="8" s="1"/>
  <c r="AH34" i="8" s="1"/>
  <c r="P21" i="8"/>
  <c r="W21" i="8" s="1"/>
  <c r="AH35" i="8" s="1"/>
  <c r="P23" i="8"/>
  <c r="W23" i="8" s="1"/>
  <c r="AH37" i="8" s="1"/>
  <c r="P18" i="8"/>
  <c r="W18" i="8" s="1"/>
  <c r="AH32" i="8" s="1"/>
  <c r="O17" i="8"/>
  <c r="P17" i="8" s="1"/>
  <c r="W17" i="8" s="1"/>
  <c r="AH31" i="8" s="1"/>
  <c r="Q17" i="8"/>
  <c r="K201" i="8"/>
  <c r="M200" i="8"/>
  <c r="AC5" i="9"/>
  <c r="E5" i="21"/>
  <c r="C5" i="21"/>
  <c r="F5" i="21"/>
  <c r="B5" i="21"/>
  <c r="D5" i="21"/>
  <c r="AB7" i="9"/>
  <c r="AC8" i="20"/>
  <c r="AC7" i="20"/>
  <c r="AB6" i="9"/>
  <c r="AB9" i="20"/>
  <c r="K202" i="8" l="1"/>
  <c r="M201" i="8"/>
  <c r="D6" i="21"/>
  <c r="C7" i="21"/>
  <c r="D7" i="21"/>
  <c r="AC6" i="9"/>
  <c r="E6" i="21"/>
  <c r="F6" i="21"/>
  <c r="E7" i="21"/>
  <c r="B6" i="21"/>
  <c r="F7" i="21"/>
  <c r="B7" i="21"/>
  <c r="C6" i="21"/>
  <c r="AB8" i="9"/>
  <c r="AC9" i="20"/>
  <c r="AC7" i="9"/>
  <c r="AB10" i="20"/>
  <c r="K203" i="8" l="1"/>
  <c r="M202" i="8"/>
  <c r="D8" i="21"/>
  <c r="AB9" i="9"/>
  <c r="AC10" i="20"/>
  <c r="AC8" i="9"/>
  <c r="AB11" i="20"/>
  <c r="K204" i="8" l="1"/>
  <c r="M203" i="8"/>
  <c r="D9" i="21"/>
  <c r="AB10" i="9"/>
  <c r="AC11" i="20"/>
  <c r="AC9" i="9"/>
  <c r="AB12" i="20"/>
  <c r="AC12" i="20" s="1"/>
  <c r="K205" i="8" l="1"/>
  <c r="M204" i="8"/>
  <c r="AB13" i="20"/>
  <c r="AC13" i="20" s="1"/>
  <c r="AB11" i="9"/>
  <c r="AC10" i="9"/>
  <c r="AB147" i="20"/>
  <c r="K206" i="8" l="1"/>
  <c r="M205" i="8"/>
  <c r="AC147" i="20"/>
  <c r="AC146" i="9" s="1"/>
  <c r="AB146" i="9"/>
  <c r="AC12" i="9"/>
  <c r="AB12" i="9"/>
  <c r="AB14" i="20"/>
  <c r="AC14" i="20" s="1"/>
  <c r="AC11" i="9"/>
  <c r="AB148" i="20"/>
  <c r="K207" i="8" l="1"/>
  <c r="M206" i="8"/>
  <c r="AC148" i="20"/>
  <c r="AC147" i="9" s="1"/>
  <c r="AB147" i="9"/>
  <c r="AB149" i="20"/>
  <c r="AB13" i="9"/>
  <c r="AB15" i="20"/>
  <c r="AC15" i="20" s="1"/>
  <c r="AC13" i="9"/>
  <c r="K208" i="8" l="1"/>
  <c r="M207" i="8"/>
  <c r="AC149" i="20"/>
  <c r="AC148" i="9" s="1"/>
  <c r="AB148" i="9"/>
  <c r="AB16" i="20"/>
  <c r="AC16" i="20" s="1"/>
  <c r="AC14" i="9"/>
  <c r="AB14" i="9"/>
  <c r="AB150" i="20"/>
  <c r="K209" i="8" l="1"/>
  <c r="M208" i="8"/>
  <c r="AC150" i="20"/>
  <c r="AC149" i="9" s="1"/>
  <c r="AB149" i="9"/>
  <c r="AB17" i="20"/>
  <c r="AC17" i="20" s="1"/>
  <c r="AC15" i="9"/>
  <c r="AB15" i="9"/>
  <c r="AB151" i="20"/>
  <c r="K210" i="8" l="1"/>
  <c r="M209" i="8"/>
  <c r="AC151" i="20"/>
  <c r="AC150" i="9" s="1"/>
  <c r="AB150" i="9"/>
  <c r="AB18" i="20"/>
  <c r="AC18" i="20" s="1"/>
  <c r="AC16" i="9"/>
  <c r="AB16" i="9"/>
  <c r="K211" i="8" l="1"/>
  <c r="M210" i="8"/>
  <c r="AB19" i="20"/>
  <c r="AC19" i="20" s="1"/>
  <c r="AB17" i="9"/>
  <c r="AC17" i="9"/>
  <c r="K212" i="8" l="1"/>
  <c r="M211" i="8"/>
  <c r="AC18" i="9"/>
  <c r="AB18" i="9"/>
  <c r="AB20" i="20"/>
  <c r="AC20" i="20" s="1"/>
  <c r="K213" i="8" l="1"/>
  <c r="M212" i="8"/>
  <c r="AB21" i="20"/>
  <c r="AC21" i="20" s="1"/>
  <c r="AB19" i="9"/>
  <c r="K214" i="8" l="1"/>
  <c r="M213" i="8"/>
  <c r="AB152" i="20"/>
  <c r="AB20" i="9"/>
  <c r="AC20" i="9"/>
  <c r="AB22" i="20"/>
  <c r="AC22" i="20" s="1"/>
  <c r="AC19" i="9"/>
  <c r="K215" i="8" l="1"/>
  <c r="M214" i="8"/>
  <c r="AC152" i="20"/>
  <c r="AC151" i="9" s="1"/>
  <c r="AB151" i="9"/>
  <c r="AC21" i="9"/>
  <c r="AB23" i="20"/>
  <c r="AC23" i="20" s="1"/>
  <c r="AB21" i="9"/>
  <c r="AB153" i="20"/>
  <c r="K216" i="8" l="1"/>
  <c r="M215" i="8"/>
  <c r="AC153" i="20"/>
  <c r="AC152" i="9" s="1"/>
  <c r="AB152" i="9"/>
  <c r="AB24" i="20"/>
  <c r="AC24" i="20" s="1"/>
  <c r="AC22" i="9"/>
  <c r="AB22" i="9"/>
  <c r="K217" i="8" l="1"/>
  <c r="M216" i="8"/>
  <c r="AB154" i="20"/>
  <c r="AB23" i="9"/>
  <c r="AC23" i="9"/>
  <c r="AB25" i="20"/>
  <c r="AC25" i="20" s="1"/>
  <c r="K218" i="8" l="1"/>
  <c r="M217" i="8"/>
  <c r="AC154" i="20"/>
  <c r="AC153" i="9" s="1"/>
  <c r="AB153" i="9"/>
  <c r="AB26" i="20"/>
  <c r="AC26" i="20" s="1"/>
  <c r="AB24" i="9"/>
  <c r="AC24" i="9"/>
  <c r="AB155" i="20"/>
  <c r="K219" i="8" l="1"/>
  <c r="M218" i="8"/>
  <c r="AC155" i="20"/>
  <c r="AC154" i="9" s="1"/>
  <c r="AB154" i="9"/>
  <c r="AC25" i="9"/>
  <c r="AB27" i="20"/>
  <c r="AC27" i="20" s="1"/>
  <c r="AB25" i="9"/>
  <c r="K220" i="8" l="1"/>
  <c r="M219" i="8"/>
  <c r="AC26" i="9"/>
  <c r="AB26" i="9"/>
  <c r="AB28" i="20"/>
  <c r="AC28" i="20" s="1"/>
  <c r="M220" i="8" l="1"/>
  <c r="AB29" i="20"/>
  <c r="AC29" i="20" s="1"/>
  <c r="AC27" i="9"/>
  <c r="AB27" i="9"/>
  <c r="AB30" i="20" l="1"/>
  <c r="AC30" i="20" s="1"/>
  <c r="AC28" i="9"/>
  <c r="AB28" i="9"/>
  <c r="AB156" i="20" l="1"/>
  <c r="AB29" i="9"/>
  <c r="AB31" i="20"/>
  <c r="AC31" i="20" s="1"/>
  <c r="AC29" i="9"/>
  <c r="AC156" i="20" l="1"/>
  <c r="AC155" i="9" s="1"/>
  <c r="AB155" i="9"/>
  <c r="AB32" i="20"/>
  <c r="AC32" i="20" s="1"/>
  <c r="AC30" i="9"/>
  <c r="AB30" i="9"/>
  <c r="AB157" i="20"/>
  <c r="AC157" i="20" l="1"/>
  <c r="AC156" i="9" s="1"/>
  <c r="AB156" i="9"/>
  <c r="AB33" i="20"/>
  <c r="AC33" i="20" s="1"/>
  <c r="AB31" i="9"/>
  <c r="AC31" i="9"/>
  <c r="AB158" i="20" l="1"/>
  <c r="AB34" i="20"/>
  <c r="AC34" i="20" s="1"/>
  <c r="AC32" i="9"/>
  <c r="AB32" i="9"/>
  <c r="AC158" i="20" l="1"/>
  <c r="AC157" i="9" s="1"/>
  <c r="AB157" i="9"/>
  <c r="AB33" i="9"/>
  <c r="AB35" i="20"/>
  <c r="AC35" i="20" s="1"/>
  <c r="AC33" i="9"/>
  <c r="AB159" i="20"/>
  <c r="AC159" i="20" l="1"/>
  <c r="AC158" i="9" s="1"/>
  <c r="AB158" i="9"/>
  <c r="AB36" i="20"/>
  <c r="AC36" i="20" s="1"/>
  <c r="AB34" i="9"/>
  <c r="AC34" i="9"/>
  <c r="AC35" i="9" l="1"/>
  <c r="AB37" i="20"/>
  <c r="AC37" i="20" s="1"/>
  <c r="AB35" i="9"/>
  <c r="AC36" i="9" l="1"/>
  <c r="AB38" i="20"/>
  <c r="AC38" i="20" s="1"/>
  <c r="AB36" i="9"/>
  <c r="AB160" i="20" l="1"/>
  <c r="AB37" i="9"/>
  <c r="AC37" i="9"/>
  <c r="AB39" i="20"/>
  <c r="AC39" i="20" s="1"/>
  <c r="AC160" i="20" l="1"/>
  <c r="AC159" i="9" s="1"/>
  <c r="AB159" i="9"/>
  <c r="AB40" i="20"/>
  <c r="AC40" i="20" s="1"/>
  <c r="AB38" i="9"/>
  <c r="AC38" i="9"/>
  <c r="AB161" i="20"/>
  <c r="AC161" i="20" l="1"/>
  <c r="AC160" i="9" s="1"/>
  <c r="AB160" i="9"/>
  <c r="AB41" i="20"/>
  <c r="AC41" i="20" s="1"/>
  <c r="AC39" i="9"/>
  <c r="AB39" i="9"/>
  <c r="AB162" i="20"/>
  <c r="AC162" i="20" l="1"/>
  <c r="AC161" i="9" s="1"/>
  <c r="AB161" i="9"/>
  <c r="AB40" i="9"/>
  <c r="AB42" i="20"/>
  <c r="AC42" i="20" s="1"/>
  <c r="AC40" i="9"/>
  <c r="AB163" i="20"/>
  <c r="AC163" i="20" l="1"/>
  <c r="AC162" i="9" s="1"/>
  <c r="AB162" i="9"/>
  <c r="AB164" i="20"/>
  <c r="AB41" i="9"/>
  <c r="AB43" i="20"/>
  <c r="AC43" i="20" s="1"/>
  <c r="AC41" i="9"/>
  <c r="AC164" i="20" l="1"/>
  <c r="AC163" i="9" s="1"/>
  <c r="AB163" i="9"/>
  <c r="AB42" i="9"/>
  <c r="AC42" i="9"/>
  <c r="AB44" i="20"/>
  <c r="AC44" i="20" s="1"/>
  <c r="AB165" i="20"/>
  <c r="AC165" i="20" l="1"/>
  <c r="AC164" i="9" s="1"/>
  <c r="AB164" i="9"/>
  <c r="AB43" i="9"/>
  <c r="AB45" i="20"/>
  <c r="AC45" i="20" s="1"/>
  <c r="AC43" i="9"/>
  <c r="AB166" i="20"/>
  <c r="AC166" i="20" l="1"/>
  <c r="AC165" i="9" s="1"/>
  <c r="AB165" i="9"/>
  <c r="AB167" i="20"/>
  <c r="AB44" i="9"/>
  <c r="AB46" i="20"/>
  <c r="AC46" i="20" s="1"/>
  <c r="AC44" i="9"/>
  <c r="AC167" i="20" l="1"/>
  <c r="AC166" i="9" s="1"/>
  <c r="AB166" i="9"/>
  <c r="AC45" i="9"/>
  <c r="AB47" i="20"/>
  <c r="AC47" i="20" s="1"/>
  <c r="AB45" i="9"/>
  <c r="AB168" i="20"/>
  <c r="AC168" i="20" l="1"/>
  <c r="AC167" i="9" s="1"/>
  <c r="AB167" i="9"/>
  <c r="AB46" i="9"/>
  <c r="AC46" i="9"/>
  <c r="AB48" i="20"/>
  <c r="AC48" i="20" s="1"/>
  <c r="AB169" i="20"/>
  <c r="AC169" i="20" l="1"/>
  <c r="AC168" i="9" s="1"/>
  <c r="AB168" i="9"/>
  <c r="AB170" i="20"/>
  <c r="AB47" i="9"/>
  <c r="AC47" i="9"/>
  <c r="AB49" i="20"/>
  <c r="AC49" i="20" s="1"/>
  <c r="AC170" i="20" l="1"/>
  <c r="AC169" i="9" s="1"/>
  <c r="AB169" i="9"/>
  <c r="AB50" i="20"/>
  <c r="AC50" i="20" s="1"/>
  <c r="AB48" i="9"/>
  <c r="AB171" i="20"/>
  <c r="AC171" i="20" l="1"/>
  <c r="AC170" i="9" s="1"/>
  <c r="AB170" i="9"/>
  <c r="AB172" i="20"/>
  <c r="AC49" i="9"/>
  <c r="AB49" i="9"/>
  <c r="AB51" i="20"/>
  <c r="AC51" i="20" s="1"/>
  <c r="AC48" i="9"/>
  <c r="AC172" i="20" l="1"/>
  <c r="AC171" i="9" s="1"/>
  <c r="AB171" i="9"/>
  <c r="AC50" i="9"/>
  <c r="AB50" i="9"/>
  <c r="AB52" i="20"/>
  <c r="AC52" i="20" s="1"/>
  <c r="AB173" i="20"/>
  <c r="AC173" i="20" l="1"/>
  <c r="AC172" i="9" s="1"/>
  <c r="AB172" i="9"/>
  <c r="AB53" i="20"/>
  <c r="AC53" i="20" s="1"/>
  <c r="AC51" i="9"/>
  <c r="AB51" i="9"/>
  <c r="AB174" i="20"/>
  <c r="AC174" i="20" l="1"/>
  <c r="AC173" i="9" s="1"/>
  <c r="AB173" i="9"/>
  <c r="AB175" i="20"/>
  <c r="AB52" i="9"/>
  <c r="AC52" i="9"/>
  <c r="AB54" i="20"/>
  <c r="AC54" i="20" s="1"/>
  <c r="AC175" i="20" l="1"/>
  <c r="AC174" i="9" s="1"/>
  <c r="AB174" i="9"/>
  <c r="AC53" i="9"/>
  <c r="AB53" i="9"/>
  <c r="AB176" i="20"/>
  <c r="AC176" i="20" l="1"/>
  <c r="AC175" i="9" s="1"/>
  <c r="AB175" i="9"/>
  <c r="AB177" i="20"/>
  <c r="AC177" i="20" l="1"/>
  <c r="AC176" i="9" s="1"/>
  <c r="AB176" i="9"/>
  <c r="AB178" i="20"/>
  <c r="AC178" i="20" l="1"/>
  <c r="AC177" i="9" s="1"/>
  <c r="AB177" i="9"/>
  <c r="AB179" i="20"/>
  <c r="AC179" i="20" l="1"/>
  <c r="AC178" i="9" s="1"/>
  <c r="AB178" i="9"/>
  <c r="AB180" i="20"/>
  <c r="AC180" i="20" l="1"/>
  <c r="AC179" i="9" s="1"/>
  <c r="AB179" i="9"/>
  <c r="AB181" i="20"/>
  <c r="AC181" i="20" l="1"/>
  <c r="AC180" i="9" s="1"/>
  <c r="AB180" i="9"/>
  <c r="AB182" i="20"/>
  <c r="AC182" i="20" l="1"/>
  <c r="AC181" i="9" s="1"/>
  <c r="AB181" i="9"/>
  <c r="AB183" i="20"/>
  <c r="AC183" i="20" l="1"/>
  <c r="AC182" i="9" s="1"/>
  <c r="AB182" i="9"/>
  <c r="AB184" i="20"/>
  <c r="AC184" i="20" l="1"/>
  <c r="AC183" i="9" s="1"/>
  <c r="AB183" i="9"/>
  <c r="AB185" i="20"/>
  <c r="AC185" i="20" l="1"/>
  <c r="AC184" i="9" s="1"/>
  <c r="AB184" i="9"/>
  <c r="AB186" i="20"/>
  <c r="AC186" i="20" l="1"/>
  <c r="AC185" i="9" s="1"/>
  <c r="AB185" i="9"/>
  <c r="AB187" i="20"/>
  <c r="AC187" i="20" l="1"/>
  <c r="AC186" i="9" s="1"/>
  <c r="AB186" i="9"/>
  <c r="AB188" i="20"/>
  <c r="AC188" i="20" l="1"/>
  <c r="AC187" i="9" s="1"/>
  <c r="AB187" i="9"/>
  <c r="AB189" i="20"/>
  <c r="AC189" i="20" l="1"/>
  <c r="AC188" i="9" s="1"/>
  <c r="AB188" i="9"/>
  <c r="AB190" i="20"/>
  <c r="AC190" i="20" l="1"/>
  <c r="AC189" i="9" s="1"/>
  <c r="AB189" i="9"/>
  <c r="AB191" i="20"/>
  <c r="AC191" i="20" l="1"/>
  <c r="AC190" i="9" s="1"/>
  <c r="AB190" i="9"/>
  <c r="AB192" i="20"/>
  <c r="AC192" i="20" l="1"/>
  <c r="AC191" i="9" s="1"/>
  <c r="AB191" i="9"/>
  <c r="AB193" i="20"/>
  <c r="AC193" i="20" l="1"/>
  <c r="AC192" i="9" s="1"/>
  <c r="AB192" i="9"/>
  <c r="AB194" i="20"/>
  <c r="AC194" i="20" l="1"/>
  <c r="AC193" i="9" s="1"/>
  <c r="AB193" i="9"/>
  <c r="AB195" i="20"/>
  <c r="AC195" i="20" l="1"/>
  <c r="AC194" i="9" s="1"/>
  <c r="AB194" i="9"/>
  <c r="AB196" i="20"/>
  <c r="AC196" i="20" l="1"/>
  <c r="AC195" i="9" s="1"/>
  <c r="AB195" i="9"/>
  <c r="AB197" i="20"/>
  <c r="AC197" i="20" l="1"/>
  <c r="AC196" i="9" s="1"/>
  <c r="AB196" i="9"/>
  <c r="AB55" i="20"/>
  <c r="AC55" i="20" s="1"/>
  <c r="AB198" i="20"/>
  <c r="AC198" i="20" l="1"/>
  <c r="AC197" i="9" s="1"/>
  <c r="AB197" i="9"/>
  <c r="AB199" i="20"/>
  <c r="AC54" i="9"/>
  <c r="AB54" i="9"/>
  <c r="AC199" i="20" l="1"/>
  <c r="AC198" i="9" s="1"/>
  <c r="AB198" i="9"/>
  <c r="AB200" i="20"/>
  <c r="AC200" i="20" l="1"/>
  <c r="AC199" i="9" s="1"/>
  <c r="AB199" i="9"/>
  <c r="AB201" i="20"/>
  <c r="AC201" i="20" l="1"/>
  <c r="AC200" i="9" s="1"/>
  <c r="AB200" i="9"/>
  <c r="AB56" i="20"/>
  <c r="AC56" i="20" s="1"/>
  <c r="AB202" i="20"/>
  <c r="AC202" i="20" l="1"/>
  <c r="AC201" i="9" s="1"/>
  <c r="AB201" i="9"/>
  <c r="AB203" i="20"/>
  <c r="AC55" i="9"/>
  <c r="AB55" i="9"/>
  <c r="AC203" i="20" l="1"/>
  <c r="AC202" i="9" s="1"/>
  <c r="AB202" i="9"/>
  <c r="AB204" i="20"/>
  <c r="AC204" i="20" l="1"/>
  <c r="AC203" i="9" s="1"/>
  <c r="AB203" i="9"/>
  <c r="AB205" i="20"/>
  <c r="AC205" i="20" l="1"/>
  <c r="AC204" i="9" s="1"/>
  <c r="AB204" i="9"/>
  <c r="AB57" i="20"/>
  <c r="AC57" i="20" s="1"/>
  <c r="AB206" i="20"/>
  <c r="AC206" i="20" l="1"/>
  <c r="AC205" i="9" s="1"/>
  <c r="AB205" i="9"/>
  <c r="AB207" i="20"/>
  <c r="AB56" i="9"/>
  <c r="AB58" i="20"/>
  <c r="AC58" i="20" s="1"/>
  <c r="AC56" i="9"/>
  <c r="AC207" i="20" l="1"/>
  <c r="AC206" i="9" s="1"/>
  <c r="AB206" i="9"/>
  <c r="AC57" i="9"/>
  <c r="AB57" i="9"/>
  <c r="AB59" i="20"/>
  <c r="AC59" i="20" s="1"/>
  <c r="AB208" i="20"/>
  <c r="AC208" i="20" l="1"/>
  <c r="AC207" i="9" s="1"/>
  <c r="AB207" i="9"/>
  <c r="AB209" i="20"/>
  <c r="AB58" i="9"/>
  <c r="AB60" i="20"/>
  <c r="AC60" i="20" s="1"/>
  <c r="AC58" i="9"/>
  <c r="AC209" i="20" l="1"/>
  <c r="AC208" i="9" s="1"/>
  <c r="AB208" i="9"/>
  <c r="AC59" i="9"/>
  <c r="AB59" i="9"/>
  <c r="AB210" i="20"/>
  <c r="AC210" i="20" l="1"/>
  <c r="AC209" i="9" s="1"/>
  <c r="AB209" i="9"/>
  <c r="AB61" i="20"/>
  <c r="AC61" i="20" s="1"/>
  <c r="AB211" i="20"/>
  <c r="AC211" i="20" l="1"/>
  <c r="AC210" i="9" s="1"/>
  <c r="AB210" i="9"/>
  <c r="AB212" i="20"/>
  <c r="AC60" i="9"/>
  <c r="AB60" i="9"/>
  <c r="AC212" i="20" l="1"/>
  <c r="AC211" i="9" s="1"/>
  <c r="AB211" i="9"/>
  <c r="AB62" i="20"/>
  <c r="AC62" i="20" s="1"/>
  <c r="AB213" i="20"/>
  <c r="AC213" i="20" l="1"/>
  <c r="AC212" i="9" s="1"/>
  <c r="AB212" i="9"/>
  <c r="AB214" i="20"/>
  <c r="AB215" i="20" s="1"/>
  <c r="AB61" i="9"/>
  <c r="AB63" i="20"/>
  <c r="AC63" i="20" s="1"/>
  <c r="AC61" i="9"/>
  <c r="AB214" i="9" l="1"/>
  <c r="AB216" i="20"/>
  <c r="AB217" i="20" s="1"/>
  <c r="AB218" i="20" s="1"/>
  <c r="AB219" i="20" s="1"/>
  <c r="AB220" i="20" s="1"/>
  <c r="AB221" i="20" s="1"/>
  <c r="AB222" i="20" s="1"/>
  <c r="AB223" i="20" s="1"/>
  <c r="AB224" i="20" s="1"/>
  <c r="AB225" i="20" s="1"/>
  <c r="AB226" i="20" s="1"/>
  <c r="AB227" i="20" s="1"/>
  <c r="AB228" i="20" s="1"/>
  <c r="AB229" i="20" s="1"/>
  <c r="AB230" i="20" s="1"/>
  <c r="AB231" i="20" s="1"/>
  <c r="AB232" i="20" s="1"/>
  <c r="AB233" i="20" s="1"/>
  <c r="AB234" i="20" s="1"/>
  <c r="AB235" i="20" s="1"/>
  <c r="AB236" i="20" s="1"/>
  <c r="AB237" i="20" s="1"/>
  <c r="AB238" i="20" s="1"/>
  <c r="AB239" i="20" s="1"/>
  <c r="AB240" i="20" s="1"/>
  <c r="AB241" i="20" s="1"/>
  <c r="AB242" i="20" s="1"/>
  <c r="AB243" i="20" s="1"/>
  <c r="AB244" i="20" s="1"/>
  <c r="AB245" i="20" s="1"/>
  <c r="AB246" i="20" s="1"/>
  <c r="AB247" i="20" s="1"/>
  <c r="AB248" i="20" s="1"/>
  <c r="AB249" i="20" s="1"/>
  <c r="AB250" i="20" s="1"/>
  <c r="AB251" i="20" s="1"/>
  <c r="AB252" i="20" s="1"/>
  <c r="AB253" i="20" s="1"/>
  <c r="AB254" i="20" s="1"/>
  <c r="AB255" i="20" s="1"/>
  <c r="AB256" i="20" s="1"/>
  <c r="AB257" i="20" s="1"/>
  <c r="AB258" i="20" s="1"/>
  <c r="AB259" i="20" s="1"/>
  <c r="AB260" i="20" s="1"/>
  <c r="AB261" i="20" s="1"/>
  <c r="AB262" i="20" s="1"/>
  <c r="AB263" i="20" s="1"/>
  <c r="AB264" i="20" s="1"/>
  <c r="AB265" i="20" s="1"/>
  <c r="AB266" i="20" s="1"/>
  <c r="AB267" i="20" s="1"/>
  <c r="AB268" i="20" s="1"/>
  <c r="AB269" i="20" s="1"/>
  <c r="AB270" i="20" s="1"/>
  <c r="AB271" i="20" s="1"/>
  <c r="AB272" i="20" s="1"/>
  <c r="AB273" i="20" s="1"/>
  <c r="AB274" i="20" s="1"/>
  <c r="AB275" i="20" s="1"/>
  <c r="AB276" i="20" s="1"/>
  <c r="AB277" i="20" s="1"/>
  <c r="AB278" i="20" s="1"/>
  <c r="AB279" i="20" s="1"/>
  <c r="AB280" i="20" s="1"/>
  <c r="AB281" i="20" s="1"/>
  <c r="AB282" i="20" s="1"/>
  <c r="AB283" i="20" s="1"/>
  <c r="AB284" i="20" s="1"/>
  <c r="AB285" i="20" s="1"/>
  <c r="AB286" i="20" s="1"/>
  <c r="AB287" i="20" s="1"/>
  <c r="AB288" i="20" s="1"/>
  <c r="AB289" i="20" s="1"/>
  <c r="AB290" i="20" s="1"/>
  <c r="AB291" i="20" s="1"/>
  <c r="AB292" i="20" s="1"/>
  <c r="AC215" i="20"/>
  <c r="AC214" i="9" s="1"/>
  <c r="AC214" i="20"/>
  <c r="AC213" i="9" s="1"/>
  <c r="AB213" i="9"/>
  <c r="AB62" i="9"/>
  <c r="AC62" i="9"/>
  <c r="AB64" i="20"/>
  <c r="AC64" i="20" s="1"/>
  <c r="AC216" i="20" l="1"/>
  <c r="AC215" i="9" s="1"/>
  <c r="AB215" i="9"/>
  <c r="AB63" i="9"/>
  <c r="AB65" i="20"/>
  <c r="AC65" i="20" s="1"/>
  <c r="AC63" i="9"/>
  <c r="AC217" i="20" l="1"/>
  <c r="AC216" i="9" s="1"/>
  <c r="AB216" i="9"/>
  <c r="AB64" i="9"/>
  <c r="AC64" i="9"/>
  <c r="AB66" i="20"/>
  <c r="AC66" i="20" s="1"/>
  <c r="AC218" i="20" l="1"/>
  <c r="AC217" i="9" s="1"/>
  <c r="AB217" i="9"/>
  <c r="AB65" i="9"/>
  <c r="AC65" i="9"/>
  <c r="AB67" i="20"/>
  <c r="AC67" i="20" s="1"/>
  <c r="AC219" i="20" l="1"/>
  <c r="AC218" i="9" s="1"/>
  <c r="AB218" i="9"/>
  <c r="AB66" i="9"/>
  <c r="AC66" i="9"/>
  <c r="AB68" i="20"/>
  <c r="AC68" i="20" s="1"/>
  <c r="AC220" i="20" l="1"/>
  <c r="AC219" i="9" s="1"/>
  <c r="AB219" i="9"/>
  <c r="AB67" i="9"/>
  <c r="AC67" i="9"/>
  <c r="AB69" i="20"/>
  <c r="AC69" i="20" s="1"/>
  <c r="AC221" i="20" l="1"/>
  <c r="AC220" i="9" s="1"/>
  <c r="AB220" i="9"/>
  <c r="AB68" i="9"/>
  <c r="AC68" i="9"/>
  <c r="AB70" i="20"/>
  <c r="AC70" i="20" s="1"/>
  <c r="AC222" i="20" l="1"/>
  <c r="AC221" i="9" s="1"/>
  <c r="AB221" i="9"/>
  <c r="AB69" i="9"/>
  <c r="AC69" i="9"/>
  <c r="AB71" i="20"/>
  <c r="AC71" i="20" s="1"/>
  <c r="AC223" i="20" l="1"/>
  <c r="AC222" i="9" s="1"/>
  <c r="AB222" i="9"/>
  <c r="AB70" i="9"/>
  <c r="AC70" i="9"/>
  <c r="AB72" i="20"/>
  <c r="AC72" i="20" s="1"/>
  <c r="AC224" i="20" l="1"/>
  <c r="AC223" i="9" s="1"/>
  <c r="AB223" i="9"/>
  <c r="AB71" i="9"/>
  <c r="AB73" i="20"/>
  <c r="AC73" i="20" s="1"/>
  <c r="AC71" i="9"/>
  <c r="AC225" i="20" l="1"/>
  <c r="AC224" i="9" s="1"/>
  <c r="AB224" i="9"/>
  <c r="AB72" i="9"/>
  <c r="AC72" i="9"/>
  <c r="AB74" i="20"/>
  <c r="AC74" i="20" s="1"/>
  <c r="AC226" i="20" l="1"/>
  <c r="AC225" i="9" s="1"/>
  <c r="AB225" i="9"/>
  <c r="AB73" i="9"/>
  <c r="AB75" i="20"/>
  <c r="AC75" i="20" s="1"/>
  <c r="AC73" i="9"/>
  <c r="AC227" i="20" l="1"/>
  <c r="AC226" i="9" s="1"/>
  <c r="AB226" i="9"/>
  <c r="AB74" i="9"/>
  <c r="AC74" i="9"/>
  <c r="AB76" i="20"/>
  <c r="AC76" i="20" s="1"/>
  <c r="AC228" i="20" l="1"/>
  <c r="AC227" i="9" s="1"/>
  <c r="AB227" i="9"/>
  <c r="AB75" i="9"/>
  <c r="AC75" i="9"/>
  <c r="AC229" i="20" l="1"/>
  <c r="AC228" i="9" s="1"/>
  <c r="AB228" i="9"/>
  <c r="AB77" i="20"/>
  <c r="AC230" i="20" l="1"/>
  <c r="AC229" i="9" s="1"/>
  <c r="AB229" i="9"/>
  <c r="AB76" i="9"/>
  <c r="AC77" i="20"/>
  <c r="AC76" i="9" s="1"/>
  <c r="AC231" i="20" l="1"/>
  <c r="AC230" i="9" s="1"/>
  <c r="AB230" i="9"/>
  <c r="AC233" i="20" l="1"/>
  <c r="AC232" i="9" s="1"/>
  <c r="AC232" i="20"/>
  <c r="AC231" i="9" s="1"/>
  <c r="AB231" i="9"/>
  <c r="AC234" i="20" l="1"/>
  <c r="AC233" i="9" s="1"/>
  <c r="AB233" i="9"/>
  <c r="AB78" i="20"/>
  <c r="AC235" i="20" l="1"/>
  <c r="AC234" i="9" s="1"/>
  <c r="AB234" i="9"/>
  <c r="AB77" i="9"/>
  <c r="AC78" i="20"/>
  <c r="AC77" i="9" s="1"/>
  <c r="AC236" i="20" l="1"/>
  <c r="AC235" i="9" s="1"/>
  <c r="AB235" i="9"/>
  <c r="AC237" i="20" l="1"/>
  <c r="AC236" i="9" s="1"/>
  <c r="AB236" i="9"/>
  <c r="AC238" i="20" l="1"/>
  <c r="AC237" i="9" s="1"/>
  <c r="AB237" i="9"/>
  <c r="AB79" i="20"/>
  <c r="AC239" i="20" l="1"/>
  <c r="AC238" i="9" s="1"/>
  <c r="AB238" i="9"/>
  <c r="AB78" i="9"/>
  <c r="AC79" i="20"/>
  <c r="AC78" i="9" s="1"/>
  <c r="AC240" i="20" l="1"/>
  <c r="AC239" i="9" s="1"/>
  <c r="AB239" i="9"/>
  <c r="AC241" i="20" l="1"/>
  <c r="AC240" i="9" s="1"/>
  <c r="AB240" i="9"/>
  <c r="AC242" i="20" l="1"/>
  <c r="AC241" i="9" s="1"/>
  <c r="AB241" i="9"/>
  <c r="AC243" i="20" l="1"/>
  <c r="AC242" i="9" s="1"/>
  <c r="AB242" i="9"/>
  <c r="AB80" i="20"/>
  <c r="AC244" i="20" l="1"/>
  <c r="AC243" i="9" s="1"/>
  <c r="AB243" i="9"/>
  <c r="AB79" i="9"/>
  <c r="AC80" i="20"/>
  <c r="AC245" i="20" l="1"/>
  <c r="AC244" i="9" s="1"/>
  <c r="AB244" i="9"/>
  <c r="AC79" i="9"/>
  <c r="AC246" i="20" l="1"/>
  <c r="AC245" i="9" s="1"/>
  <c r="AB245" i="9"/>
  <c r="AB81" i="20"/>
  <c r="AC247" i="20" l="1"/>
  <c r="AC246" i="9" s="1"/>
  <c r="AB246" i="9"/>
  <c r="AB80" i="9"/>
  <c r="AC81" i="20"/>
  <c r="AC248" i="20" l="1"/>
  <c r="AC247" i="9" s="1"/>
  <c r="AB247" i="9"/>
  <c r="AC80" i="9"/>
  <c r="AC249" i="20" l="1"/>
  <c r="AC248" i="9" s="1"/>
  <c r="AB248" i="9"/>
  <c r="AC250" i="20" l="1"/>
  <c r="AC249" i="9" s="1"/>
  <c r="AB249" i="9"/>
  <c r="AC251" i="20" l="1"/>
  <c r="AC250" i="9" s="1"/>
  <c r="AB250" i="9"/>
  <c r="AB82" i="20"/>
  <c r="AC252" i="20" l="1"/>
  <c r="AC251" i="9" s="1"/>
  <c r="AB251" i="9"/>
  <c r="AB81" i="9"/>
  <c r="AC82" i="20"/>
  <c r="AC253" i="20" l="1"/>
  <c r="AC252" i="9" s="1"/>
  <c r="AB252" i="9"/>
  <c r="AC81" i="9"/>
  <c r="AC254" i="20" l="1"/>
  <c r="AC253" i="9" s="1"/>
  <c r="AB253" i="9"/>
  <c r="AC255" i="20" l="1"/>
  <c r="AC254" i="9" s="1"/>
  <c r="AB254" i="9"/>
  <c r="AB83" i="20"/>
  <c r="AC256" i="20" l="1"/>
  <c r="AC255" i="9" s="1"/>
  <c r="AB255" i="9"/>
  <c r="AB82" i="9"/>
  <c r="AC83" i="20"/>
  <c r="AC257" i="20" l="1"/>
  <c r="AC256" i="9" s="1"/>
  <c r="AB256" i="9"/>
  <c r="AC82" i="9"/>
  <c r="AC258" i="20" l="1"/>
  <c r="AC257" i="9" s="1"/>
  <c r="AB257" i="9"/>
  <c r="AC259" i="20" l="1"/>
  <c r="AC258" i="9" s="1"/>
  <c r="AB258" i="9"/>
  <c r="AC260" i="20" l="1"/>
  <c r="AC259" i="9" s="1"/>
  <c r="AB259" i="9"/>
  <c r="AC261" i="20" l="1"/>
  <c r="AC260" i="9" s="1"/>
  <c r="AB260" i="9"/>
  <c r="AC262" i="20" l="1"/>
  <c r="AC261" i="9" s="1"/>
  <c r="AB261" i="9"/>
  <c r="AB262" i="9"/>
  <c r="AC263" i="20" l="1"/>
  <c r="AC262" i="9" s="1"/>
  <c r="AB84" i="20"/>
  <c r="AB83" i="9" l="1"/>
  <c r="AC84" i="20"/>
  <c r="AB263" i="9"/>
  <c r="AC264" i="20" l="1"/>
  <c r="AC263" i="9" s="1"/>
  <c r="AC83" i="9"/>
  <c r="AB264" i="9"/>
  <c r="AC265" i="20" l="1"/>
  <c r="AC264" i="9" s="1"/>
  <c r="AB85" i="20"/>
  <c r="AB84" i="9" l="1"/>
  <c r="AC85" i="20"/>
  <c r="AB86" i="20"/>
  <c r="AB85" i="9" l="1"/>
  <c r="AC86" i="20"/>
  <c r="AC84" i="9"/>
  <c r="AB265" i="9"/>
  <c r="AC266" i="20" l="1"/>
  <c r="AC265" i="9" s="1"/>
  <c r="AC85" i="9"/>
  <c r="AB266" i="9"/>
  <c r="AC267" i="20" l="1"/>
  <c r="AC266" i="9" s="1"/>
  <c r="AB87" i="20"/>
  <c r="AB86" i="9" l="1"/>
  <c r="AC87" i="20"/>
  <c r="AB267" i="9"/>
  <c r="AC268" i="20" l="1"/>
  <c r="AC267" i="9" s="1"/>
  <c r="AC86" i="9"/>
  <c r="AB268" i="9"/>
  <c r="AC269" i="20" l="1"/>
  <c r="AC268" i="9" s="1"/>
  <c r="AB88" i="20"/>
  <c r="AB87" i="9" l="1"/>
  <c r="AC88" i="20"/>
  <c r="AB269" i="9" l="1"/>
  <c r="AC270" i="20"/>
  <c r="AC269" i="9" s="1"/>
  <c r="AC87" i="9"/>
  <c r="AB89" i="20"/>
  <c r="AB270" i="9" l="1"/>
  <c r="AC271" i="20"/>
  <c r="AC270" i="9" s="1"/>
  <c r="AB88" i="9"/>
  <c r="AC89" i="20"/>
  <c r="AB90" i="20"/>
  <c r="AB271" i="9" l="1"/>
  <c r="AC272" i="20"/>
  <c r="AC271" i="9" s="1"/>
  <c r="AB89" i="9"/>
  <c r="AC90" i="20"/>
  <c r="AC88" i="9"/>
  <c r="AB91" i="20"/>
  <c r="AB272" i="9" l="1"/>
  <c r="AC273" i="20"/>
  <c r="AC272" i="9" s="1"/>
  <c r="AB90" i="9"/>
  <c r="AC91" i="20"/>
  <c r="AC89" i="9"/>
  <c r="AB92" i="20"/>
  <c r="AB273" i="9" l="1"/>
  <c r="AC274" i="20"/>
  <c r="AC273" i="9" s="1"/>
  <c r="AB91" i="9"/>
  <c r="AC92" i="20"/>
  <c r="AC90" i="9"/>
  <c r="AB274" i="9" l="1"/>
  <c r="AC275" i="20"/>
  <c r="AC274" i="9" s="1"/>
  <c r="AC91" i="9"/>
  <c r="AB275" i="9" l="1"/>
  <c r="AC276" i="20"/>
  <c r="AC275" i="9"/>
  <c r="AB276" i="9" l="1"/>
  <c r="AC277" i="20"/>
  <c r="AC276" i="9"/>
  <c r="AB93" i="20"/>
  <c r="AC278" i="20" l="1"/>
  <c r="AC277" i="9" s="1"/>
  <c r="AB277" i="9"/>
  <c r="AB92" i="9"/>
  <c r="AC93" i="20"/>
  <c r="AB94" i="20"/>
  <c r="AB278" i="9" l="1"/>
  <c r="AC279" i="20"/>
  <c r="AB93" i="9"/>
  <c r="AC94" i="20"/>
  <c r="AC92" i="9"/>
  <c r="AB95" i="20"/>
  <c r="AC280" i="20" l="1"/>
  <c r="AC279" i="9" s="1"/>
  <c r="AB279" i="9"/>
  <c r="AB94" i="9"/>
  <c r="AC95" i="20"/>
  <c r="AC93" i="9"/>
  <c r="AC281" i="20" l="1"/>
  <c r="AB280" i="9"/>
  <c r="AC278" i="9"/>
  <c r="AC94" i="9"/>
  <c r="AB96" i="20"/>
  <c r="AC282" i="20" l="1"/>
  <c r="AB281" i="9"/>
  <c r="AB95" i="9"/>
  <c r="AC96" i="20"/>
  <c r="AB97" i="20"/>
  <c r="AC283" i="20" l="1"/>
  <c r="AB282" i="9"/>
  <c r="AB96" i="9"/>
  <c r="AC97" i="20"/>
  <c r="AC95" i="9"/>
  <c r="AB98" i="20"/>
  <c r="AB283" i="9" l="1"/>
  <c r="AC284" i="20"/>
  <c r="AB97" i="9"/>
  <c r="AC98" i="20"/>
  <c r="AC96" i="9"/>
  <c r="AB99" i="20"/>
  <c r="AB284" i="9" l="1"/>
  <c r="AC285" i="20"/>
  <c r="AB98" i="9"/>
  <c r="AC99" i="20"/>
  <c r="AC97" i="9"/>
  <c r="AB100" i="20"/>
  <c r="AC286" i="20" l="1"/>
  <c r="AB99" i="9"/>
  <c r="AC100" i="20"/>
  <c r="AC98" i="9"/>
  <c r="AB286" i="9" l="1"/>
  <c r="AC287" i="20"/>
  <c r="AC286" i="9" s="1"/>
  <c r="AC280" i="9"/>
  <c r="AC99" i="9"/>
  <c r="AB287" i="9" l="1"/>
  <c r="AC288" i="20"/>
  <c r="AC287" i="9" s="1"/>
  <c r="AC281" i="9"/>
  <c r="AB288" i="9" l="1"/>
  <c r="AC289" i="20"/>
  <c r="AC288" i="9" s="1"/>
  <c r="AC282" i="9"/>
  <c r="AB101" i="20"/>
  <c r="AC290" i="20" l="1"/>
  <c r="AC289" i="9" s="1"/>
  <c r="AB289" i="9"/>
  <c r="AB100" i="9"/>
  <c r="AC101" i="20"/>
  <c r="AB290" i="9" l="1"/>
  <c r="AC292" i="20"/>
  <c r="AC291" i="20"/>
  <c r="AC290" i="9" s="1"/>
  <c r="AC283" i="9"/>
  <c r="AC100" i="9"/>
  <c r="AC284" i="9" l="1"/>
  <c r="AB285" i="9"/>
  <c r="AC285" i="9" l="1"/>
  <c r="AB102" i="20"/>
  <c r="AB101" i="9" l="1"/>
  <c r="AC102" i="20"/>
  <c r="AB103" i="20"/>
  <c r="AB102" i="9" l="1"/>
  <c r="AC103" i="20"/>
  <c r="AC101" i="9"/>
  <c r="AB104" i="20"/>
  <c r="AB103" i="9" l="1"/>
  <c r="AC104" i="20"/>
  <c r="AC102" i="9"/>
  <c r="AB105" i="20"/>
  <c r="AB104" i="9" l="1"/>
  <c r="AC105" i="20"/>
  <c r="AC103" i="9"/>
  <c r="AB106" i="20"/>
  <c r="AB105" i="9" l="1"/>
  <c r="AC106" i="20"/>
  <c r="AC104" i="9"/>
  <c r="AB107" i="20"/>
  <c r="AB106" i="9" l="1"/>
  <c r="AC107" i="20"/>
  <c r="AC105" i="9"/>
  <c r="AB108" i="20"/>
  <c r="AB107" i="9" l="1"/>
  <c r="AC108" i="20"/>
  <c r="AC106" i="9"/>
  <c r="AB109" i="20"/>
  <c r="AB108" i="9" l="1"/>
  <c r="AC109" i="20"/>
  <c r="AC107" i="9"/>
  <c r="AB110" i="20"/>
  <c r="AB109" i="9" l="1"/>
  <c r="AC110" i="20"/>
  <c r="AC108" i="9"/>
  <c r="AB111" i="20"/>
  <c r="AB110" i="9" l="1"/>
  <c r="AC111" i="20"/>
  <c r="AC109" i="9"/>
  <c r="AB112" i="20"/>
  <c r="AB111" i="9" l="1"/>
  <c r="AC112" i="20"/>
  <c r="AC110" i="9"/>
  <c r="AB113" i="20"/>
  <c r="AB112" i="9" l="1"/>
  <c r="AC113" i="20"/>
  <c r="AC111" i="9"/>
  <c r="AB114" i="20"/>
  <c r="AB113" i="9" l="1"/>
  <c r="AC114" i="20"/>
  <c r="AC112" i="9"/>
  <c r="AB115" i="20"/>
  <c r="AB114" i="9" l="1"/>
  <c r="AC115" i="20"/>
  <c r="AC113" i="9"/>
  <c r="AB116" i="20"/>
  <c r="AB115" i="9" l="1"/>
  <c r="AC116" i="20"/>
  <c r="AC114" i="9"/>
  <c r="AB117" i="20"/>
  <c r="AB116" i="9" l="1"/>
  <c r="AC117" i="20"/>
  <c r="AC115" i="9"/>
  <c r="AB118" i="20"/>
  <c r="AB117" i="9" l="1"/>
  <c r="AC118" i="20"/>
  <c r="AC116" i="9"/>
  <c r="AB119" i="20"/>
  <c r="AB118" i="9" l="1"/>
  <c r="AC119" i="20"/>
  <c r="AC117" i="9"/>
  <c r="AB120" i="20"/>
  <c r="AB119" i="9" l="1"/>
  <c r="AC120" i="20"/>
  <c r="AC118" i="9"/>
  <c r="AB121" i="20"/>
  <c r="AB120" i="9" l="1"/>
  <c r="AC121" i="20"/>
  <c r="AC119" i="9"/>
  <c r="AB291" i="9"/>
  <c r="AC291" i="9" l="1"/>
  <c r="AC120" i="9"/>
  <c r="AB122" i="20"/>
  <c r="B97" i="21" l="1"/>
  <c r="C46" i="21"/>
  <c r="E38" i="21"/>
  <c r="B84" i="21"/>
  <c r="E74" i="21"/>
  <c r="B48" i="21"/>
  <c r="C29" i="21"/>
  <c r="C117" i="21"/>
  <c r="C113" i="21"/>
  <c r="B51" i="21"/>
  <c r="C73" i="21"/>
  <c r="B53" i="21"/>
  <c r="B38" i="21"/>
  <c r="C62" i="21"/>
  <c r="F63" i="21"/>
  <c r="E107" i="21"/>
  <c r="C106" i="21"/>
  <c r="C40" i="21"/>
  <c r="C90" i="21"/>
  <c r="F75" i="21"/>
  <c r="F76" i="21"/>
  <c r="C57" i="21"/>
  <c r="B105" i="21"/>
  <c r="B63" i="21"/>
  <c r="E101" i="21"/>
  <c r="B21" i="21"/>
  <c r="C23" i="21"/>
  <c r="E110" i="21"/>
  <c r="C52" i="21"/>
  <c r="F67" i="21"/>
  <c r="F80" i="21"/>
  <c r="B119" i="21"/>
  <c r="C39" i="21"/>
  <c r="B80" i="21"/>
  <c r="F79" i="21"/>
  <c r="E28" i="21"/>
  <c r="F17" i="21"/>
  <c r="B99" i="21"/>
  <c r="C51" i="21"/>
  <c r="B54" i="21"/>
  <c r="B43" i="21"/>
  <c r="F105" i="21"/>
  <c r="F71" i="21"/>
  <c r="F112" i="21"/>
  <c r="E36" i="21"/>
  <c r="F64" i="21"/>
  <c r="F117" i="21"/>
  <c r="E94" i="21"/>
  <c r="C13" i="21"/>
  <c r="F100" i="21"/>
  <c r="F31" i="21"/>
  <c r="F104" i="21"/>
  <c r="B47" i="21"/>
  <c r="B40" i="21"/>
  <c r="E82" i="21"/>
  <c r="F47" i="21"/>
  <c r="B29" i="21"/>
  <c r="B92" i="21"/>
  <c r="C112" i="21"/>
  <c r="F95" i="21"/>
  <c r="E86" i="21"/>
  <c r="B83" i="21"/>
  <c r="C21" i="21"/>
  <c r="E29" i="21"/>
  <c r="E63" i="21"/>
  <c r="E80" i="21"/>
  <c r="F69" i="21"/>
  <c r="E60" i="21"/>
  <c r="E17" i="21"/>
  <c r="B90" i="21"/>
  <c r="C88" i="21"/>
  <c r="B45" i="21"/>
  <c r="B103" i="21"/>
  <c r="C60" i="21"/>
  <c r="E23" i="21"/>
  <c r="F27" i="21"/>
  <c r="B93" i="21"/>
  <c r="C84" i="21"/>
  <c r="F92" i="21"/>
  <c r="E44" i="21"/>
  <c r="F65" i="21"/>
  <c r="F45" i="21"/>
  <c r="B101" i="21"/>
  <c r="F116" i="21"/>
  <c r="F113" i="21"/>
  <c r="B116" i="21"/>
  <c r="F88" i="21"/>
  <c r="B66" i="21"/>
  <c r="B59" i="21"/>
  <c r="C76" i="21"/>
  <c r="F66" i="21"/>
  <c r="E118" i="21"/>
  <c r="B106" i="21"/>
  <c r="F86" i="21"/>
  <c r="C115" i="21"/>
  <c r="B94" i="21"/>
  <c r="E73" i="21"/>
  <c r="C110" i="21"/>
  <c r="C97" i="21"/>
  <c r="F40" i="21"/>
  <c r="F70" i="21"/>
  <c r="E42" i="21"/>
  <c r="E99" i="21"/>
  <c r="B16" i="21"/>
  <c r="B36" i="21"/>
  <c r="E21" i="21"/>
  <c r="E115" i="21"/>
  <c r="F28" i="21"/>
  <c r="C50" i="21"/>
  <c r="B50" i="21"/>
  <c r="B111" i="21"/>
  <c r="C8" i="21"/>
  <c r="C53" i="21"/>
  <c r="B37" i="21"/>
  <c r="C80" i="21"/>
  <c r="E96" i="21"/>
  <c r="F119" i="21"/>
  <c r="B95" i="21"/>
  <c r="E93" i="21"/>
  <c r="C54" i="21"/>
  <c r="B19" i="21"/>
  <c r="C41" i="21"/>
  <c r="B25" i="21"/>
  <c r="C30" i="21"/>
  <c r="F74" i="21"/>
  <c r="F10" i="21"/>
  <c r="E14" i="21"/>
  <c r="F37" i="21"/>
  <c r="F109" i="21"/>
  <c r="B32" i="21"/>
  <c r="E18" i="21"/>
  <c r="E20" i="21"/>
  <c r="C10" i="21"/>
  <c r="B91" i="21"/>
  <c r="E64" i="21"/>
  <c r="B46" i="21"/>
  <c r="F60" i="21"/>
  <c r="B76" i="21"/>
  <c r="E61" i="21"/>
  <c r="C89" i="21"/>
  <c r="C81" i="21"/>
  <c r="F18" i="21"/>
  <c r="F73" i="21"/>
  <c r="C68" i="21"/>
  <c r="E119" i="21"/>
  <c r="B67" i="21"/>
  <c r="C35" i="21"/>
  <c r="B22" i="21"/>
  <c r="B12" i="21"/>
  <c r="F111" i="21"/>
  <c r="C96" i="21"/>
  <c r="E31" i="21"/>
  <c r="E62" i="21"/>
  <c r="C108" i="21"/>
  <c r="F94" i="21"/>
  <c r="C20" i="21"/>
  <c r="C55" i="21"/>
  <c r="F30" i="21"/>
  <c r="E15" i="21"/>
  <c r="E46" i="21"/>
  <c r="E66" i="21"/>
  <c r="B78" i="21"/>
  <c r="F93" i="21"/>
  <c r="C107" i="21"/>
  <c r="B81" i="21"/>
  <c r="B10" i="21"/>
  <c r="C49" i="21"/>
  <c r="E59" i="21"/>
  <c r="E97" i="21"/>
  <c r="E13" i="21"/>
  <c r="F20" i="21"/>
  <c r="C69" i="21"/>
  <c r="E56" i="21"/>
  <c r="E70" i="21"/>
  <c r="F96" i="21"/>
  <c r="E72" i="21"/>
  <c r="C63" i="21"/>
  <c r="B88" i="21"/>
  <c r="F83" i="21"/>
  <c r="F23" i="21"/>
  <c r="E78" i="21"/>
  <c r="C93" i="21"/>
  <c r="B75" i="21"/>
  <c r="F49" i="21"/>
  <c r="B8" i="21"/>
  <c r="E103" i="21"/>
  <c r="F72" i="21"/>
  <c r="B58" i="21"/>
  <c r="C24" i="21"/>
  <c r="F99" i="21"/>
  <c r="C16" i="21"/>
  <c r="F9" i="21"/>
  <c r="B113" i="21"/>
  <c r="E25" i="21"/>
  <c r="E32" i="21"/>
  <c r="B86" i="21"/>
  <c r="E41" i="21"/>
  <c r="E45" i="21"/>
  <c r="C99" i="21"/>
  <c r="C78" i="21"/>
  <c r="E76" i="21"/>
  <c r="C32" i="21"/>
  <c r="E40" i="21"/>
  <c r="C31" i="21"/>
  <c r="F11" i="21"/>
  <c r="C58" i="21"/>
  <c r="F51" i="21"/>
  <c r="F56" i="21"/>
  <c r="F21" i="21"/>
  <c r="F61" i="21"/>
  <c r="E98" i="21"/>
  <c r="B102" i="21"/>
  <c r="B18" i="21"/>
  <c r="F68" i="21"/>
  <c r="C71" i="21"/>
  <c r="C38" i="21"/>
  <c r="C44" i="21"/>
  <c r="C25" i="21"/>
  <c r="B85" i="21"/>
  <c r="B31" i="21"/>
  <c r="E69" i="21"/>
  <c r="E67" i="21"/>
  <c r="F77" i="21"/>
  <c r="B28" i="21"/>
  <c r="B104" i="21"/>
  <c r="F107" i="21"/>
  <c r="E117" i="21"/>
  <c r="B33" i="21"/>
  <c r="C22" i="21"/>
  <c r="B115" i="21"/>
  <c r="C9" i="21"/>
  <c r="E34" i="21"/>
  <c r="E19" i="21"/>
  <c r="E111" i="21"/>
  <c r="B87" i="21"/>
  <c r="B52" i="21"/>
  <c r="C98" i="21"/>
  <c r="E109" i="21"/>
  <c r="B110" i="21"/>
  <c r="F90" i="21"/>
  <c r="F46" i="21"/>
  <c r="B27" i="21"/>
  <c r="B14" i="21"/>
  <c r="E58" i="21"/>
  <c r="F81" i="21"/>
  <c r="B79" i="21"/>
  <c r="E89" i="21"/>
  <c r="F110" i="21"/>
  <c r="F14" i="21"/>
  <c r="C48" i="21"/>
  <c r="C70" i="21"/>
  <c r="F59" i="21"/>
  <c r="C119" i="21"/>
  <c r="E88" i="21"/>
  <c r="C94" i="21"/>
  <c r="B17" i="21"/>
  <c r="E39" i="21"/>
  <c r="E22" i="21"/>
  <c r="E79" i="21"/>
  <c r="C27" i="21"/>
  <c r="E9" i="21"/>
  <c r="E84" i="21"/>
  <c r="F13" i="21"/>
  <c r="B44" i="21"/>
  <c r="B11" i="21"/>
  <c r="F33" i="21"/>
  <c r="C28" i="21"/>
  <c r="C120" i="21"/>
  <c r="B9" i="21"/>
  <c r="B112" i="21"/>
  <c r="F38" i="21"/>
  <c r="C116" i="21"/>
  <c r="C64" i="21"/>
  <c r="B74" i="21"/>
  <c r="C14" i="21"/>
  <c r="B118" i="21"/>
  <c r="C61" i="21"/>
  <c r="E33" i="21"/>
  <c r="F101" i="21"/>
  <c r="C100" i="21"/>
  <c r="E71" i="21"/>
  <c r="B42" i="21"/>
  <c r="B26" i="21"/>
  <c r="C37" i="21"/>
  <c r="B15" i="21"/>
  <c r="B96" i="21"/>
  <c r="E90" i="21"/>
  <c r="E12" i="21"/>
  <c r="E49" i="21"/>
  <c r="E55" i="21"/>
  <c r="E54" i="21"/>
  <c r="C101" i="21"/>
  <c r="E85" i="21"/>
  <c r="F115" i="21"/>
  <c r="B89" i="21"/>
  <c r="F62" i="21"/>
  <c r="E112" i="21"/>
  <c r="B64" i="21"/>
  <c r="E47" i="21"/>
  <c r="F25" i="21"/>
  <c r="C45" i="21"/>
  <c r="C17" i="21"/>
  <c r="E24" i="21"/>
  <c r="C15" i="21"/>
  <c r="F48" i="21"/>
  <c r="C91" i="21"/>
  <c r="F24" i="21"/>
  <c r="E10" i="21"/>
  <c r="B69" i="21"/>
  <c r="C92" i="21"/>
  <c r="C18" i="21"/>
  <c r="C103" i="21"/>
  <c r="F12" i="21"/>
  <c r="B117" i="21"/>
  <c r="F120" i="21"/>
  <c r="F8" i="21"/>
  <c r="F35" i="21"/>
  <c r="F44" i="21"/>
  <c r="B60" i="21"/>
  <c r="C74" i="21"/>
  <c r="C85" i="21"/>
  <c r="C83" i="21"/>
  <c r="C59" i="21"/>
  <c r="F22" i="21"/>
  <c r="F103" i="21"/>
  <c r="E104" i="21"/>
  <c r="E57" i="21"/>
  <c r="B100" i="21"/>
  <c r="E92" i="21"/>
  <c r="E81" i="21"/>
  <c r="F82" i="21"/>
  <c r="F57" i="21"/>
  <c r="F108" i="21"/>
  <c r="E77" i="21"/>
  <c r="B70" i="21"/>
  <c r="C66" i="21"/>
  <c r="E116" i="21"/>
  <c r="B77" i="21"/>
  <c r="C12" i="21"/>
  <c r="B61" i="21"/>
  <c r="E87" i="21"/>
  <c r="E114" i="21"/>
  <c r="F97" i="21"/>
  <c r="F41" i="21"/>
  <c r="F78" i="21"/>
  <c r="E105" i="21"/>
  <c r="C111" i="21"/>
  <c r="F52" i="21"/>
  <c r="B39" i="21"/>
  <c r="C79" i="21"/>
  <c r="C42" i="21"/>
  <c r="E102" i="21"/>
  <c r="E52" i="21"/>
  <c r="F36" i="21"/>
  <c r="B68" i="21"/>
  <c r="C114" i="21"/>
  <c r="F84" i="21"/>
  <c r="C11" i="21"/>
  <c r="F102" i="21"/>
  <c r="E106" i="21"/>
  <c r="B23" i="21"/>
  <c r="E27" i="21"/>
  <c r="B34" i="21"/>
  <c r="B57" i="21"/>
  <c r="C102" i="21"/>
  <c r="E43" i="21"/>
  <c r="F85" i="21"/>
  <c r="C75" i="21"/>
  <c r="E95" i="21"/>
  <c r="E68" i="21"/>
  <c r="C105" i="21"/>
  <c r="B73" i="21"/>
  <c r="F53" i="21"/>
  <c r="F39" i="21"/>
  <c r="C86" i="21"/>
  <c r="C36" i="21"/>
  <c r="B120" i="21"/>
  <c r="B114" i="21"/>
  <c r="B107" i="21"/>
  <c r="C33" i="21"/>
  <c r="B62" i="21"/>
  <c r="F29" i="21"/>
  <c r="E83" i="21"/>
  <c r="C95" i="21"/>
  <c r="C43" i="21"/>
  <c r="B82" i="21"/>
  <c r="C56" i="21"/>
  <c r="B109" i="21"/>
  <c r="B71" i="21"/>
  <c r="F58" i="21"/>
  <c r="E26" i="21"/>
  <c r="C118" i="21"/>
  <c r="F91" i="21"/>
  <c r="E53" i="21"/>
  <c r="E35" i="21"/>
  <c r="E11" i="21"/>
  <c r="C34" i="21"/>
  <c r="F43" i="21"/>
  <c r="E16" i="21"/>
  <c r="C104" i="21"/>
  <c r="C65" i="21"/>
  <c r="F106" i="21"/>
  <c r="E65" i="21"/>
  <c r="B35" i="21"/>
  <c r="C19" i="21"/>
  <c r="F16" i="21"/>
  <c r="F50" i="21"/>
  <c r="B65" i="21"/>
  <c r="E51" i="21"/>
  <c r="B13" i="21"/>
  <c r="B30" i="21"/>
  <c r="E30" i="21"/>
  <c r="F114" i="21"/>
  <c r="B72" i="21"/>
  <c r="E8" i="21"/>
  <c r="B24" i="21"/>
  <c r="F54" i="21"/>
  <c r="F26" i="21"/>
  <c r="E113" i="21"/>
  <c r="C82" i="21"/>
  <c r="B49" i="21"/>
  <c r="F55" i="21"/>
  <c r="E50" i="21"/>
  <c r="F19" i="21"/>
  <c r="C26" i="21"/>
  <c r="E108" i="21"/>
  <c r="E75" i="21"/>
  <c r="C72" i="21"/>
  <c r="B55" i="21"/>
  <c r="B20" i="21"/>
  <c r="E100" i="21"/>
  <c r="F34" i="21"/>
  <c r="F87" i="21"/>
  <c r="E48" i="21"/>
  <c r="C77" i="21"/>
  <c r="C87" i="21"/>
  <c r="E91" i="21"/>
  <c r="F118" i="21"/>
  <c r="B108" i="21"/>
  <c r="F98" i="21"/>
  <c r="B56" i="21"/>
  <c r="C109" i="21"/>
  <c r="F32" i="21"/>
  <c r="F15" i="21"/>
  <c r="E37" i="21"/>
  <c r="B41" i="21"/>
  <c r="F42" i="21"/>
  <c r="F89" i="21"/>
  <c r="C67" i="21"/>
  <c r="C47" i="21"/>
  <c r="E120" i="21"/>
  <c r="B98" i="21"/>
  <c r="D58" i="21"/>
  <c r="D16" i="21"/>
  <c r="D107" i="21"/>
  <c r="D38" i="21"/>
  <c r="D45" i="21"/>
  <c r="D92" i="21"/>
  <c r="D35" i="21"/>
  <c r="D55" i="21"/>
  <c r="D99" i="21"/>
  <c r="D15" i="21"/>
  <c r="D64" i="21"/>
  <c r="D27" i="21"/>
  <c r="D47" i="21"/>
  <c r="D100" i="21"/>
  <c r="D86" i="21"/>
  <c r="D101" i="21"/>
  <c r="D97" i="21"/>
  <c r="D37" i="21"/>
  <c r="D25" i="21"/>
  <c r="D23" i="21"/>
  <c r="D102" i="21"/>
  <c r="D96" i="21"/>
  <c r="D20" i="21"/>
  <c r="D104" i="21"/>
  <c r="D79" i="21"/>
  <c r="D26" i="21"/>
  <c r="D10" i="21"/>
  <c r="D34" i="21"/>
  <c r="D33" i="21"/>
  <c r="D50" i="21"/>
  <c r="D51" i="21"/>
  <c r="D19" i="21"/>
  <c r="D46" i="21"/>
  <c r="D119" i="21"/>
  <c r="D29" i="21"/>
  <c r="D28" i="21"/>
  <c r="D24" i="21"/>
  <c r="D36" i="21"/>
  <c r="D52" i="21"/>
  <c r="D56" i="21"/>
  <c r="D84" i="21"/>
  <c r="D18" i="21"/>
  <c r="D31" i="21"/>
  <c r="D63" i="21"/>
  <c r="D78" i="21"/>
  <c r="D115" i="21"/>
  <c r="D13" i="21"/>
  <c r="D48" i="21"/>
  <c r="D60" i="21"/>
  <c r="D32" i="21"/>
  <c r="D30" i="21"/>
  <c r="D95" i="21"/>
  <c r="D83" i="21"/>
  <c r="D120" i="21"/>
  <c r="D87" i="21"/>
  <c r="D53" i="21"/>
  <c r="D22" i="21"/>
  <c r="D54" i="21"/>
  <c r="D12" i="21"/>
  <c r="D62" i="21"/>
  <c r="D82" i="21"/>
  <c r="D40" i="21"/>
  <c r="D17" i="21"/>
  <c r="D57" i="21"/>
  <c r="D108" i="21"/>
  <c r="D103" i="21"/>
  <c r="D80" i="21"/>
  <c r="D49" i="21"/>
  <c r="D21" i="21"/>
  <c r="D11" i="21"/>
  <c r="D43" i="21"/>
  <c r="D39" i="21"/>
  <c r="D118" i="21"/>
  <c r="D14" i="21"/>
  <c r="D42" i="21"/>
  <c r="D114" i="21"/>
  <c r="D98" i="21"/>
  <c r="D106" i="21"/>
  <c r="D59" i="21"/>
  <c r="D61" i="21"/>
  <c r="D81" i="21"/>
  <c r="D75" i="21"/>
  <c r="D105" i="21"/>
  <c r="D93" i="21"/>
  <c r="D72" i="21"/>
  <c r="D73" i="21"/>
  <c r="D41" i="21"/>
  <c r="D90" i="21"/>
  <c r="D85" i="21"/>
  <c r="D71" i="21"/>
  <c r="D109" i="21"/>
  <c r="D65" i="21"/>
  <c r="D76" i="21"/>
  <c r="D94" i="21"/>
  <c r="D117" i="21"/>
  <c r="D112" i="21"/>
  <c r="D67" i="21"/>
  <c r="D77" i="21"/>
  <c r="D91" i="21"/>
  <c r="D66" i="21"/>
  <c r="D88" i="21"/>
  <c r="D111" i="21"/>
  <c r="D89" i="21"/>
  <c r="D113" i="21"/>
  <c r="D68" i="21"/>
  <c r="D110" i="21"/>
  <c r="D74" i="21"/>
  <c r="D44" i="21"/>
  <c r="D70" i="21"/>
  <c r="D116" i="21"/>
  <c r="D69" i="21"/>
  <c r="AB121" i="9"/>
  <c r="AC122" i="20"/>
  <c r="AB123" i="20"/>
  <c r="F121" i="21" l="1"/>
  <c r="C121" i="21"/>
  <c r="D121" i="21"/>
  <c r="E121" i="21"/>
  <c r="B121" i="21"/>
  <c r="AB122" i="9"/>
  <c r="AC123" i="20"/>
  <c r="E122" i="21" s="1"/>
  <c r="AC121" i="9"/>
  <c r="AB124" i="20"/>
  <c r="C122" i="21" l="1"/>
  <c r="D122" i="21"/>
  <c r="F122" i="21"/>
  <c r="B122" i="21"/>
  <c r="AB123" i="9"/>
  <c r="AC124" i="20"/>
  <c r="AC122" i="9"/>
  <c r="AB125" i="20"/>
  <c r="E123" i="21" l="1"/>
  <c r="B123" i="21"/>
  <c r="D123" i="21"/>
  <c r="C123" i="21"/>
  <c r="F123" i="21"/>
  <c r="AB124" i="9"/>
  <c r="AC125" i="20"/>
  <c r="AC123" i="9"/>
  <c r="AB126" i="20"/>
  <c r="D124" i="21" l="1"/>
  <c r="F124" i="21"/>
  <c r="B124" i="21"/>
  <c r="E124" i="21"/>
  <c r="C124" i="21"/>
  <c r="AB125" i="9"/>
  <c r="AC126" i="20"/>
  <c r="AC124" i="9"/>
  <c r="AB127" i="20"/>
  <c r="B125" i="21" l="1"/>
  <c r="AB126" i="9"/>
  <c r="AC127" i="20"/>
  <c r="AC125" i="9"/>
  <c r="AB128" i="20"/>
  <c r="AB127" i="9" l="1"/>
  <c r="AC128" i="20"/>
  <c r="AC126" i="9"/>
  <c r="AB129" i="20"/>
  <c r="AB128" i="9" l="1"/>
  <c r="AC129" i="20"/>
  <c r="AC127" i="9"/>
  <c r="AB130" i="20"/>
  <c r="AB129" i="9" l="1"/>
  <c r="AC130" i="20"/>
  <c r="AC128" i="9"/>
  <c r="AB131" i="20"/>
  <c r="AB130" i="9" l="1"/>
  <c r="AC131" i="20"/>
  <c r="AC129" i="9"/>
  <c r="AB132" i="20"/>
  <c r="AB131" i="9" l="1"/>
  <c r="AC132" i="20"/>
  <c r="AC130" i="9"/>
  <c r="AB133" i="20"/>
  <c r="AB134" i="20" s="1"/>
  <c r="AB135" i="20" s="1"/>
  <c r="AC135" i="20" s="1"/>
  <c r="AC134" i="9" s="1"/>
  <c r="AB136" i="20" l="1"/>
  <c r="AC136" i="20" s="1"/>
  <c r="AC135" i="9" s="1"/>
  <c r="AB134" i="9"/>
  <c r="AB132" i="9"/>
  <c r="AC133" i="20"/>
  <c r="AC131" i="9"/>
  <c r="AB137" i="20" l="1"/>
  <c r="AB135" i="9"/>
  <c r="AB133" i="9"/>
  <c r="AC134" i="20"/>
  <c r="AC132" i="9"/>
  <c r="AB138" i="20" l="1"/>
  <c r="AB136" i="9"/>
  <c r="AC137" i="20"/>
  <c r="AC136" i="9" s="1"/>
  <c r="AC133" i="9"/>
  <c r="AB139" i="20" l="1"/>
  <c r="AB137" i="9"/>
  <c r="AC138" i="20"/>
  <c r="AC137" i="9" s="1"/>
  <c r="AB140" i="20" l="1"/>
  <c r="AB138" i="9"/>
  <c r="AC139" i="20"/>
  <c r="AC138" i="9" s="1"/>
  <c r="AB141" i="20" l="1"/>
  <c r="AB139" i="9"/>
  <c r="AC140" i="20"/>
  <c r="AC139" i="9" s="1"/>
  <c r="AB142" i="20" l="1"/>
  <c r="AB143" i="20" s="1"/>
  <c r="AB140" i="9"/>
  <c r="AC141" i="20"/>
  <c r="AC140" i="9" s="1"/>
  <c r="AB144" i="20" l="1"/>
  <c r="AB143" i="9" s="1"/>
  <c r="AB142" i="9"/>
  <c r="AC143" i="20"/>
  <c r="AC142" i="9" s="1"/>
  <c r="AB141" i="9"/>
  <c r="AC142" i="20"/>
  <c r="AC141" i="9" s="1"/>
  <c r="AC144" i="20" l="1"/>
  <c r="F143" i="21" l="1"/>
  <c r="D143" i="21"/>
  <c r="E143" i="21"/>
  <c r="B143" i="21"/>
  <c r="C143" i="21"/>
  <c r="C292" i="21"/>
  <c r="F292" i="21"/>
  <c r="B292" i="21"/>
  <c r="D292" i="21"/>
  <c r="E292" i="21"/>
  <c r="F420" i="21"/>
  <c r="C420" i="21"/>
  <c r="E420" i="21"/>
  <c r="F419" i="21"/>
  <c r="B418" i="21"/>
  <c r="B420" i="21"/>
  <c r="F418" i="21"/>
  <c r="D420" i="21"/>
  <c r="D418" i="21"/>
  <c r="C419" i="21"/>
  <c r="E418" i="21"/>
  <c r="C418" i="21"/>
  <c r="E419" i="21"/>
  <c r="B419" i="21"/>
  <c r="D419" i="21"/>
  <c r="AC143" i="9"/>
  <c r="C417" i="21"/>
  <c r="C415" i="21"/>
  <c r="E391" i="21"/>
  <c r="F414" i="21"/>
  <c r="F380" i="21"/>
  <c r="C416" i="21"/>
  <c r="B386" i="21"/>
  <c r="B405" i="21"/>
  <c r="D415" i="21"/>
  <c r="E393" i="21"/>
  <c r="C409" i="21"/>
  <c r="B382" i="21"/>
  <c r="F406" i="21"/>
  <c r="C402" i="21"/>
  <c r="F392" i="21"/>
  <c r="F385" i="21"/>
  <c r="D384" i="21"/>
  <c r="F402" i="21"/>
  <c r="C391" i="21"/>
  <c r="B411" i="21"/>
  <c r="C387" i="21"/>
  <c r="D399" i="21"/>
  <c r="D413" i="21"/>
  <c r="F393" i="21"/>
  <c r="D396" i="21"/>
  <c r="B399" i="21"/>
  <c r="C390" i="21"/>
  <c r="E398" i="21"/>
  <c r="F395" i="21"/>
  <c r="F401" i="21"/>
  <c r="E389" i="21"/>
  <c r="C384" i="21"/>
  <c r="D403" i="21"/>
  <c r="B393" i="21"/>
  <c r="C404" i="21"/>
  <c r="C408" i="21"/>
  <c r="C414" i="21"/>
  <c r="E409" i="21"/>
  <c r="B394" i="21"/>
  <c r="C401" i="21"/>
  <c r="B388" i="21"/>
  <c r="E405" i="21"/>
  <c r="F394" i="21"/>
  <c r="D412" i="21"/>
  <c r="E380" i="21"/>
  <c r="E395" i="21"/>
  <c r="D398" i="21"/>
  <c r="B398" i="21"/>
  <c r="B409" i="21"/>
  <c r="F398" i="21"/>
  <c r="C380" i="21"/>
  <c r="D410" i="21"/>
  <c r="E384" i="21"/>
  <c r="D407" i="21"/>
  <c r="F411" i="21"/>
  <c r="D416" i="21"/>
  <c r="D386" i="21"/>
  <c r="B383" i="21"/>
  <c r="E412" i="21"/>
  <c r="B402" i="21"/>
  <c r="F383" i="21"/>
  <c r="F407" i="21"/>
  <c r="F413" i="21"/>
  <c r="B387" i="21"/>
  <c r="D380" i="21"/>
  <c r="E390" i="21"/>
  <c r="E392" i="21"/>
  <c r="C400" i="21"/>
  <c r="F389" i="21"/>
  <c r="F387" i="21"/>
  <c r="C405" i="21"/>
  <c r="E387" i="21"/>
  <c r="E385" i="21"/>
  <c r="F388" i="21"/>
  <c r="C410" i="21"/>
  <c r="E382" i="21"/>
  <c r="F417" i="21"/>
  <c r="F416" i="21"/>
  <c r="C393" i="21"/>
  <c r="B396" i="21"/>
  <c r="D392" i="21"/>
  <c r="F400" i="21"/>
  <c r="E394" i="21"/>
  <c r="E396" i="21"/>
  <c r="D387" i="21"/>
  <c r="E407" i="21"/>
  <c r="B389" i="21"/>
  <c r="F410" i="21"/>
  <c r="D389" i="21"/>
  <c r="E413" i="21"/>
  <c r="C412" i="21"/>
  <c r="B391" i="21"/>
  <c r="D414" i="21"/>
  <c r="B413" i="21"/>
  <c r="D417" i="21"/>
  <c r="B381" i="21"/>
  <c r="F404" i="21"/>
  <c r="D381" i="21"/>
  <c r="E414" i="21"/>
  <c r="B395" i="21"/>
  <c r="E417" i="21"/>
  <c r="E383" i="21"/>
  <c r="D404" i="21"/>
  <c r="C385" i="21"/>
  <c r="B414" i="21"/>
  <c r="C397" i="21"/>
  <c r="B404" i="21"/>
  <c r="B385" i="21"/>
  <c r="B392" i="21"/>
  <c r="F403" i="21"/>
  <c r="B380" i="21"/>
  <c r="B401" i="21"/>
  <c r="C406" i="21"/>
  <c r="F386" i="21"/>
  <c r="D405" i="21"/>
  <c r="D390" i="21"/>
  <c r="F405" i="21"/>
  <c r="D401" i="21"/>
  <c r="B408" i="21"/>
  <c r="E406" i="21"/>
  <c r="B390" i="21"/>
  <c r="C398" i="21"/>
  <c r="E381" i="21"/>
  <c r="E403" i="21"/>
  <c r="B384" i="21"/>
  <c r="B400" i="21"/>
  <c r="F399" i="21"/>
  <c r="D394" i="21"/>
  <c r="D408" i="21"/>
  <c r="D388" i="21"/>
  <c r="C411" i="21"/>
  <c r="D395" i="21"/>
  <c r="D411" i="21"/>
  <c r="B406" i="21"/>
  <c r="D382" i="21"/>
  <c r="E397" i="21"/>
  <c r="C392" i="21"/>
  <c r="D385" i="21"/>
  <c r="C407" i="21"/>
  <c r="F397" i="21"/>
  <c r="B412" i="21"/>
  <c r="D402" i="21"/>
  <c r="D400" i="21"/>
  <c r="B417" i="21"/>
  <c r="E388" i="21"/>
  <c r="C394" i="21"/>
  <c r="D391" i="21"/>
  <c r="E408" i="21"/>
  <c r="E416" i="21"/>
  <c r="B407" i="21"/>
  <c r="E402" i="21"/>
  <c r="F390" i="21"/>
  <c r="E401" i="21"/>
  <c r="C382" i="21"/>
  <c r="E404" i="21"/>
  <c r="D383" i="21"/>
  <c r="C399" i="21"/>
  <c r="B415" i="21"/>
  <c r="F396" i="21"/>
  <c r="C383" i="21"/>
  <c r="C388" i="21"/>
  <c r="D406" i="21"/>
  <c r="B416" i="21"/>
  <c r="E411" i="21"/>
  <c r="B397" i="21"/>
  <c r="D409" i="21"/>
  <c r="F381" i="21"/>
  <c r="C413" i="21"/>
  <c r="C381" i="21"/>
  <c r="C396" i="21"/>
  <c r="D393" i="21"/>
  <c r="E400" i="21"/>
  <c r="F408" i="21"/>
  <c r="C386" i="21"/>
  <c r="E415" i="21"/>
  <c r="F384" i="21"/>
  <c r="E399" i="21"/>
  <c r="F391" i="21"/>
  <c r="F415" i="21"/>
  <c r="C389" i="21"/>
  <c r="E410" i="21"/>
  <c r="D397" i="21"/>
  <c r="B403" i="21"/>
  <c r="E386" i="21"/>
  <c r="C395" i="21"/>
  <c r="C403" i="21"/>
  <c r="F412" i="21"/>
  <c r="F409" i="21"/>
  <c r="F382" i="21"/>
  <c r="B410" i="21"/>
  <c r="E275" i="21"/>
  <c r="D201" i="21"/>
  <c r="E371" i="21"/>
  <c r="F264" i="21"/>
  <c r="D353" i="21"/>
  <c r="C172" i="21"/>
  <c r="C268" i="21"/>
  <c r="C181" i="21"/>
  <c r="B150" i="21"/>
  <c r="D306" i="21"/>
  <c r="E320" i="21"/>
  <c r="E232" i="21"/>
  <c r="F297" i="21"/>
  <c r="E146" i="21"/>
  <c r="D251" i="21"/>
  <c r="B344" i="21"/>
  <c r="C378" i="21"/>
  <c r="E360" i="21"/>
  <c r="E323" i="21"/>
  <c r="D217" i="21"/>
  <c r="D148" i="21"/>
  <c r="C272" i="21"/>
  <c r="F287" i="21"/>
  <c r="D324" i="21"/>
  <c r="C328" i="21"/>
  <c r="D268" i="21"/>
  <c r="C375" i="21"/>
  <c r="F226" i="21"/>
  <c r="C322" i="21"/>
  <c r="F370" i="21"/>
  <c r="D223" i="21"/>
  <c r="F166" i="21"/>
  <c r="B232" i="21"/>
  <c r="C360" i="21"/>
  <c r="F310" i="21"/>
  <c r="D370" i="21"/>
  <c r="F309" i="21"/>
  <c r="C303" i="21"/>
  <c r="C202" i="21"/>
  <c r="C252" i="21"/>
  <c r="D192" i="21"/>
  <c r="C366" i="21"/>
  <c r="C285" i="21"/>
  <c r="E324" i="21"/>
  <c r="C307" i="21"/>
  <c r="D331" i="21"/>
  <c r="B223" i="21"/>
  <c r="B165" i="21"/>
  <c r="E276" i="21"/>
  <c r="B228" i="21"/>
  <c r="D263" i="21"/>
  <c r="B364" i="21"/>
  <c r="C171" i="21"/>
  <c r="E189" i="21"/>
  <c r="E239" i="21"/>
  <c r="C354" i="21"/>
  <c r="D304" i="21"/>
  <c r="C278" i="21"/>
  <c r="C321" i="21"/>
  <c r="C183" i="21"/>
  <c r="B286" i="21"/>
  <c r="D150" i="21"/>
  <c r="E224" i="21"/>
  <c r="C188" i="21"/>
  <c r="B318" i="21"/>
  <c r="B216" i="21"/>
  <c r="E210" i="21"/>
  <c r="C207" i="21"/>
  <c r="C312" i="21"/>
  <c r="B131" i="21"/>
  <c r="F207" i="21"/>
  <c r="D286" i="21"/>
  <c r="E233" i="21"/>
  <c r="F134" i="21"/>
  <c r="B376" i="21"/>
  <c r="F307" i="21"/>
  <c r="C148" i="21"/>
  <c r="B161" i="21"/>
  <c r="D162" i="21"/>
  <c r="F154" i="21"/>
  <c r="F289" i="21"/>
  <c r="C325" i="21"/>
  <c r="E137" i="21"/>
  <c r="C132" i="21"/>
  <c r="E364" i="21"/>
  <c r="F372" i="21"/>
  <c r="F312" i="21"/>
  <c r="E185" i="21"/>
  <c r="F343" i="21"/>
  <c r="B258" i="21"/>
  <c r="E184" i="21"/>
  <c r="E229" i="21"/>
  <c r="D327" i="21"/>
  <c r="C133" i="21"/>
  <c r="D232" i="21"/>
  <c r="E314" i="21"/>
  <c r="C198" i="21"/>
  <c r="C316" i="21"/>
  <c r="F197" i="21"/>
  <c r="E168" i="21"/>
  <c r="D147" i="21"/>
  <c r="F254" i="21"/>
  <c r="F350" i="21"/>
  <c r="C216" i="21"/>
  <c r="D309" i="21"/>
  <c r="F131" i="21"/>
  <c r="C304" i="21"/>
  <c r="B285" i="21"/>
  <c r="E284" i="21"/>
  <c r="D335" i="21"/>
  <c r="C175" i="21"/>
  <c r="F158" i="21"/>
  <c r="E205" i="21"/>
  <c r="E368" i="21"/>
  <c r="D218" i="21"/>
  <c r="F265" i="21"/>
  <c r="C139" i="21"/>
  <c r="C254" i="21"/>
  <c r="C275" i="21"/>
  <c r="B334" i="21"/>
  <c r="D231" i="21"/>
  <c r="B281" i="21"/>
  <c r="B265" i="21"/>
  <c r="E130" i="21"/>
  <c r="B235" i="21"/>
  <c r="E256" i="21"/>
  <c r="D236" i="21"/>
  <c r="B128" i="21"/>
  <c r="C247" i="21"/>
  <c r="F284" i="21"/>
  <c r="C251" i="21"/>
  <c r="D266" i="21"/>
  <c r="F274" i="21"/>
  <c r="B269" i="21"/>
  <c r="E134" i="21"/>
  <c r="E141" i="21"/>
  <c r="E202" i="21"/>
  <c r="B379" i="21"/>
  <c r="D200" i="21"/>
  <c r="F271" i="21"/>
  <c r="B206" i="21"/>
  <c r="F174" i="21"/>
  <c r="B202" i="21"/>
  <c r="D250" i="21"/>
  <c r="C358" i="21"/>
  <c r="E281" i="21"/>
  <c r="B142" i="21"/>
  <c r="E359" i="21"/>
  <c r="E311" i="21"/>
  <c r="B139" i="21"/>
  <c r="F298" i="21"/>
  <c r="C271" i="21"/>
  <c r="E237" i="21"/>
  <c r="D260" i="21"/>
  <c r="B276" i="21"/>
  <c r="B314" i="21"/>
  <c r="D352" i="21"/>
  <c r="C357" i="21"/>
  <c r="D129" i="21"/>
  <c r="F241" i="21"/>
  <c r="B350" i="21"/>
  <c r="F163" i="21"/>
  <c r="B275" i="21"/>
  <c r="D181" i="21"/>
  <c r="B343" i="21"/>
  <c r="B358" i="21"/>
  <c r="F317" i="21"/>
  <c r="F237" i="21"/>
  <c r="D362" i="21"/>
  <c r="C205" i="21"/>
  <c r="F129" i="21"/>
  <c r="F253" i="21"/>
  <c r="B173" i="21"/>
  <c r="D246" i="21"/>
  <c r="D151" i="21"/>
  <c r="B220" i="21"/>
  <c r="C130" i="21"/>
  <c r="D140" i="21"/>
  <c r="C346" i="21"/>
  <c r="C179" i="21"/>
  <c r="E273" i="21"/>
  <c r="E245" i="21"/>
  <c r="D234" i="21"/>
  <c r="F210" i="21"/>
  <c r="F325" i="21"/>
  <c r="E347" i="21"/>
  <c r="C234" i="21"/>
  <c r="F230" i="21"/>
  <c r="D339" i="21"/>
  <c r="F190" i="21"/>
  <c r="F125" i="21"/>
  <c r="B309" i="21"/>
  <c r="C373" i="21"/>
  <c r="D176" i="21"/>
  <c r="B304" i="21"/>
  <c r="C349" i="21"/>
  <c r="F170" i="21"/>
  <c r="D199" i="21"/>
  <c r="C195" i="21"/>
  <c r="F212" i="21"/>
  <c r="C237" i="21"/>
  <c r="C208" i="21"/>
  <c r="D180" i="21"/>
  <c r="C372" i="21"/>
  <c r="C222" i="21"/>
  <c r="C342" i="21"/>
  <c r="F232" i="21"/>
  <c r="E251" i="21"/>
  <c r="D197" i="21"/>
  <c r="B204" i="21"/>
  <c r="E306" i="21"/>
  <c r="B183" i="21"/>
  <c r="B325" i="21"/>
  <c r="D368" i="21"/>
  <c r="F304" i="21"/>
  <c r="E329" i="21"/>
  <c r="B179" i="21"/>
  <c r="F193" i="21"/>
  <c r="D163" i="21"/>
  <c r="C230" i="21"/>
  <c r="E225" i="21"/>
  <c r="E164" i="21"/>
  <c r="C180" i="21"/>
  <c r="E125" i="21"/>
  <c r="C229" i="21"/>
  <c r="D225" i="21"/>
  <c r="B226" i="21"/>
  <c r="F162" i="21"/>
  <c r="B187" i="21"/>
  <c r="F185" i="21"/>
  <c r="D230" i="21"/>
  <c r="B248" i="21"/>
  <c r="B283" i="21"/>
  <c r="F368" i="21"/>
  <c r="D271" i="21"/>
  <c r="F299" i="21"/>
  <c r="E241" i="21"/>
  <c r="E332" i="21"/>
  <c r="E260" i="21"/>
  <c r="E198" i="21"/>
  <c r="D159" i="21"/>
  <c r="F182" i="21"/>
  <c r="F360" i="21"/>
  <c r="B352" i="21"/>
  <c r="D282" i="21"/>
  <c r="B257" i="21"/>
  <c r="B156" i="21"/>
  <c r="C314" i="21"/>
  <c r="C281" i="21"/>
  <c r="D253" i="21"/>
  <c r="D328" i="21"/>
  <c r="B238" i="21"/>
  <c r="F216" i="21"/>
  <c r="B331" i="21"/>
  <c r="D349" i="21"/>
  <c r="F270" i="21"/>
  <c r="B362" i="21"/>
  <c r="C150" i="21"/>
  <c r="B270" i="21"/>
  <c r="E328" i="21"/>
  <c r="D367" i="21"/>
  <c r="C161" i="21"/>
  <c r="C189" i="21"/>
  <c r="C127" i="21"/>
  <c r="F320" i="21"/>
  <c r="D345" i="21"/>
  <c r="C185" i="21"/>
  <c r="E192" i="21"/>
  <c r="E180" i="21"/>
  <c r="D311" i="21"/>
  <c r="D301" i="21"/>
  <c r="F150" i="21"/>
  <c r="B351" i="21"/>
  <c r="B372" i="21"/>
  <c r="B361" i="21"/>
  <c r="D190" i="21"/>
  <c r="E277" i="21"/>
  <c r="C295" i="21"/>
  <c r="D226" i="21"/>
  <c r="E258" i="21"/>
  <c r="B266" i="21"/>
  <c r="B332" i="21"/>
  <c r="B290" i="21"/>
  <c r="D274" i="21"/>
  <c r="E132" i="21"/>
  <c r="F337" i="21"/>
  <c r="E266" i="21"/>
  <c r="C226" i="21"/>
  <c r="D261" i="21"/>
  <c r="E166" i="21"/>
  <c r="F262" i="21"/>
  <c r="B307" i="21"/>
  <c r="B346" i="21"/>
  <c r="E285" i="21"/>
  <c r="D189" i="21"/>
  <c r="B305" i="21"/>
  <c r="B313" i="21"/>
  <c r="E337" i="21"/>
  <c r="B170" i="21"/>
  <c r="D191" i="21"/>
  <c r="B338" i="21"/>
  <c r="B250" i="21"/>
  <c r="B354" i="21"/>
  <c r="D185" i="21"/>
  <c r="C302" i="21"/>
  <c r="E340" i="21"/>
  <c r="C297" i="21"/>
  <c r="C149" i="21"/>
  <c r="B230" i="21"/>
  <c r="D336" i="21"/>
  <c r="E218" i="21"/>
  <c r="C204" i="21"/>
  <c r="C260" i="21"/>
  <c r="B348" i="21"/>
  <c r="D156" i="21"/>
  <c r="E156" i="21"/>
  <c r="C219" i="21"/>
  <c r="E305" i="21"/>
  <c r="C209" i="21"/>
  <c r="D267" i="21"/>
  <c r="B371" i="21"/>
  <c r="F366" i="21"/>
  <c r="C167" i="21"/>
  <c r="C317" i="21"/>
  <c r="D212" i="21"/>
  <c r="F355" i="21"/>
  <c r="D351" i="21"/>
  <c r="C194" i="21"/>
  <c r="B312" i="21"/>
  <c r="F326" i="21"/>
  <c r="D375" i="21"/>
  <c r="C242" i="21"/>
  <c r="F243" i="21"/>
  <c r="E215" i="21"/>
  <c r="B140" i="21"/>
  <c r="D334" i="21"/>
  <c r="B253" i="21"/>
  <c r="C228" i="21"/>
  <c r="F347" i="21"/>
  <c r="E255" i="21"/>
  <c r="D203" i="21"/>
  <c r="E129" i="21"/>
  <c r="F256" i="21"/>
  <c r="B335" i="21"/>
  <c r="B255" i="21"/>
  <c r="B277" i="21"/>
  <c r="D307" i="21"/>
  <c r="E351" i="21"/>
  <c r="E354" i="21"/>
  <c r="D171" i="21"/>
  <c r="B247" i="21"/>
  <c r="D350" i="21"/>
  <c r="F327" i="21"/>
  <c r="B310" i="21"/>
  <c r="D299" i="21"/>
  <c r="C206" i="21"/>
  <c r="C249" i="21"/>
  <c r="C291" i="21"/>
  <c r="F331" i="21"/>
  <c r="C365" i="21"/>
  <c r="D337" i="21"/>
  <c r="D210" i="21"/>
  <c r="C158" i="21"/>
  <c r="C199" i="21"/>
  <c r="E363" i="21"/>
  <c r="F139" i="21"/>
  <c r="D287" i="21"/>
  <c r="C324" i="21"/>
  <c r="C290" i="21"/>
  <c r="F348" i="21"/>
  <c r="E257" i="21"/>
  <c r="D222" i="21"/>
  <c r="F356" i="21"/>
  <c r="E278" i="21"/>
  <c r="E222" i="21"/>
  <c r="F209" i="21"/>
  <c r="B244" i="21"/>
  <c r="D275" i="21"/>
  <c r="C300" i="21"/>
  <c r="C235" i="21"/>
  <c r="F283" i="21"/>
  <c r="D237" i="21"/>
  <c r="B336" i="21"/>
  <c r="B134" i="21"/>
  <c r="B171" i="21"/>
  <c r="B212" i="21"/>
  <c r="D320" i="21"/>
  <c r="E201" i="21"/>
  <c r="E333" i="21"/>
  <c r="B287" i="21"/>
  <c r="E147" i="21"/>
  <c r="D219" i="21"/>
  <c r="C351" i="21"/>
  <c r="E274" i="21"/>
  <c r="B222" i="21"/>
  <c r="B327" i="21"/>
  <c r="C270" i="21"/>
  <c r="D157" i="21"/>
  <c r="C369" i="21"/>
  <c r="C274" i="21"/>
  <c r="B341" i="21"/>
  <c r="F302" i="21"/>
  <c r="E269" i="21"/>
  <c r="D160" i="21"/>
  <c r="B340" i="21"/>
  <c r="B366" i="21"/>
  <c r="E188" i="21"/>
  <c r="F213" i="21"/>
  <c r="D332" i="21"/>
  <c r="D279" i="21"/>
  <c r="C326" i="21"/>
  <c r="B192" i="21"/>
  <c r="F305" i="21"/>
  <c r="F165" i="21"/>
  <c r="B339" i="21"/>
  <c r="D178" i="21"/>
  <c r="F371" i="21"/>
  <c r="F242" i="21"/>
  <c r="E175" i="21"/>
  <c r="C193" i="21"/>
  <c r="D269" i="21"/>
  <c r="B373" i="21"/>
  <c r="C182" i="21"/>
  <c r="F178" i="21"/>
  <c r="E183" i="21"/>
  <c r="D184" i="21"/>
  <c r="F308" i="21"/>
  <c r="F189" i="21"/>
  <c r="B375" i="21"/>
  <c r="F153" i="21"/>
  <c r="D317" i="21"/>
  <c r="C265" i="21"/>
  <c r="B209" i="21"/>
  <c r="B251" i="21"/>
  <c r="F244" i="21"/>
  <c r="D312" i="21"/>
  <c r="E265" i="21"/>
  <c r="F362" i="21"/>
  <c r="C155" i="21"/>
  <c r="F191" i="21"/>
  <c r="D262" i="21"/>
  <c r="B306" i="21"/>
  <c r="B211" i="21"/>
  <c r="F373" i="21"/>
  <c r="C264" i="21"/>
  <c r="D216" i="21"/>
  <c r="B129" i="21"/>
  <c r="E373" i="21"/>
  <c r="F324" i="21"/>
  <c r="B365" i="21"/>
  <c r="D142" i="21"/>
  <c r="F285" i="21"/>
  <c r="C145" i="21"/>
  <c r="E313" i="21"/>
  <c r="D357" i="21"/>
  <c r="F269" i="21"/>
  <c r="F157" i="21"/>
  <c r="F141" i="21"/>
  <c r="D165" i="21"/>
  <c r="D194" i="21"/>
  <c r="F259" i="21"/>
  <c r="E357" i="21"/>
  <c r="B130" i="21"/>
  <c r="E291" i="21"/>
  <c r="D377" i="21"/>
  <c r="B188" i="21"/>
  <c r="E369" i="21"/>
  <c r="E149" i="21"/>
  <c r="C298" i="21"/>
  <c r="D229" i="21"/>
  <c r="C296" i="21"/>
  <c r="C262" i="21"/>
  <c r="C331" i="21"/>
  <c r="F156" i="21"/>
  <c r="D134" i="21"/>
  <c r="C359" i="21"/>
  <c r="B145" i="21"/>
  <c r="F217" i="21"/>
  <c r="C367" i="21"/>
  <c r="D125" i="21"/>
  <c r="C245" i="21"/>
  <c r="B272" i="21"/>
  <c r="C301" i="21"/>
  <c r="E317" i="21"/>
  <c r="C364" i="21"/>
  <c r="D294" i="21"/>
  <c r="B219" i="21"/>
  <c r="E342" i="21"/>
  <c r="B260" i="21"/>
  <c r="F280" i="21"/>
  <c r="D164" i="21"/>
  <c r="C176" i="21"/>
  <c r="F192" i="21"/>
  <c r="C258" i="21"/>
  <c r="E294" i="21"/>
  <c r="D196" i="21"/>
  <c r="D341" i="21"/>
  <c r="E282" i="21"/>
  <c r="F235" i="21"/>
  <c r="F332" i="21"/>
  <c r="E372" i="21"/>
  <c r="B153" i="21"/>
  <c r="D255" i="21"/>
  <c r="C259" i="21"/>
  <c r="C323" i="21"/>
  <c r="E375" i="21"/>
  <c r="F379" i="21"/>
  <c r="E355" i="21"/>
  <c r="C256" i="21"/>
  <c r="E331" i="21"/>
  <c r="B369" i="21"/>
  <c r="F336" i="21"/>
  <c r="C156" i="21"/>
  <c r="E261" i="21"/>
  <c r="C294" i="21"/>
  <c r="B194" i="21"/>
  <c r="E358" i="21"/>
  <c r="B324" i="21"/>
  <c r="E178" i="21"/>
  <c r="C146" i="21"/>
  <c r="D153" i="21"/>
  <c r="E179" i="21"/>
  <c r="F206" i="21"/>
  <c r="F229" i="21"/>
  <c r="E326" i="21"/>
  <c r="D265" i="21"/>
  <c r="C273" i="21"/>
  <c r="C128" i="21"/>
  <c r="C350" i="21"/>
  <c r="B378" i="21"/>
  <c r="D319" i="21"/>
  <c r="B191" i="21"/>
  <c r="C333" i="21"/>
  <c r="E310" i="21"/>
  <c r="E349" i="21"/>
  <c r="E356" i="21"/>
  <c r="E231" i="21"/>
  <c r="C348" i="21"/>
  <c r="B320" i="21"/>
  <c r="F245" i="21"/>
  <c r="F221" i="21"/>
  <c r="D240" i="21"/>
  <c r="E267" i="21"/>
  <c r="E155" i="21"/>
  <c r="E177" i="21"/>
  <c r="C340" i="21"/>
  <c r="D347" i="21"/>
  <c r="C250" i="21"/>
  <c r="F203" i="21"/>
  <c r="F132" i="21"/>
  <c r="C168" i="21"/>
  <c r="B227" i="21"/>
  <c r="D209" i="21"/>
  <c r="F323" i="21"/>
  <c r="E286" i="21"/>
  <c r="B262" i="21"/>
  <c r="B289" i="21"/>
  <c r="D227" i="21"/>
  <c r="E244" i="21"/>
  <c r="F127" i="21"/>
  <c r="B291" i="21"/>
  <c r="E207" i="21"/>
  <c r="D276" i="21"/>
  <c r="F282" i="21"/>
  <c r="F218" i="21"/>
  <c r="C363" i="21"/>
  <c r="E327" i="21"/>
  <c r="E289" i="21"/>
  <c r="D224" i="21"/>
  <c r="C282" i="21"/>
  <c r="B217" i="21"/>
  <c r="F223" i="21"/>
  <c r="F255" i="21"/>
  <c r="D193" i="21"/>
  <c r="F300" i="21"/>
  <c r="C178" i="21"/>
  <c r="B199" i="21"/>
  <c r="F136" i="21"/>
  <c r="F376" i="21"/>
  <c r="C266" i="21"/>
  <c r="F303" i="21"/>
  <c r="F258" i="21"/>
  <c r="D374" i="21"/>
  <c r="F187" i="21"/>
  <c r="F365" i="21"/>
  <c r="E268" i="21"/>
  <c r="E197" i="21"/>
  <c r="D170" i="21"/>
  <c r="E136" i="21"/>
  <c r="E353" i="21"/>
  <c r="E212" i="21"/>
  <c r="F126" i="21"/>
  <c r="D270" i="21"/>
  <c r="E280" i="21"/>
  <c r="C319" i="21"/>
  <c r="B166" i="21"/>
  <c r="C125" i="21"/>
  <c r="D285" i="21"/>
  <c r="C335" i="21"/>
  <c r="E142" i="21"/>
  <c r="C129" i="21"/>
  <c r="F351" i="21"/>
  <c r="C246" i="21"/>
  <c r="D211" i="21"/>
  <c r="B261" i="21"/>
  <c r="E315" i="21"/>
  <c r="C200" i="21"/>
  <c r="B167" i="21"/>
  <c r="D291" i="21"/>
  <c r="F268" i="21"/>
  <c r="B210" i="21"/>
  <c r="B370" i="21"/>
  <c r="E133" i="21"/>
  <c r="D198" i="21"/>
  <c r="E304" i="21"/>
  <c r="E213" i="21"/>
  <c r="B298" i="21"/>
  <c r="F311" i="21"/>
  <c r="F164" i="21"/>
  <c r="F200" i="21"/>
  <c r="F195" i="21"/>
  <c r="D245" i="21"/>
  <c r="E167" i="21"/>
  <c r="B357" i="21"/>
  <c r="E352" i="21"/>
  <c r="B274" i="21"/>
  <c r="D248" i="21"/>
  <c r="E248" i="21"/>
  <c r="B236" i="21"/>
  <c r="B213" i="21"/>
  <c r="C311" i="21"/>
  <c r="C225" i="21"/>
  <c r="E181" i="21"/>
  <c r="D342" i="21"/>
  <c r="B138" i="21"/>
  <c r="E339" i="21"/>
  <c r="B329" i="21"/>
  <c r="F140" i="21"/>
  <c r="D360" i="21"/>
  <c r="F149" i="21"/>
  <c r="E302" i="21"/>
  <c r="B154" i="21"/>
  <c r="B302" i="21"/>
  <c r="F142" i="21"/>
  <c r="D195" i="21"/>
  <c r="E297" i="21"/>
  <c r="E194" i="21"/>
  <c r="B374" i="21"/>
  <c r="C255" i="21"/>
  <c r="B259" i="21"/>
  <c r="F345" i="21"/>
  <c r="F224" i="21"/>
  <c r="B249" i="21"/>
  <c r="F171" i="21"/>
  <c r="E170" i="21"/>
  <c r="C220" i="21"/>
  <c r="D272" i="21"/>
  <c r="B349" i="21"/>
  <c r="B224" i="21"/>
  <c r="F295" i="21"/>
  <c r="D168" i="21"/>
  <c r="E322" i="21"/>
  <c r="B233" i="21"/>
  <c r="B203" i="21"/>
  <c r="E148" i="21"/>
  <c r="E345" i="21"/>
  <c r="D158" i="21"/>
  <c r="D305" i="21"/>
  <c r="F234" i="21"/>
  <c r="F344" i="21"/>
  <c r="B263" i="21"/>
  <c r="C286" i="21"/>
  <c r="D244" i="21"/>
  <c r="E377" i="21"/>
  <c r="E307" i="21"/>
  <c r="B214" i="21"/>
  <c r="E264" i="21"/>
  <c r="D314" i="21"/>
  <c r="E208" i="21"/>
  <c r="C210" i="21"/>
  <c r="C343" i="21"/>
  <c r="F374" i="21"/>
  <c r="B333" i="21"/>
  <c r="F341" i="21"/>
  <c r="D183" i="21"/>
  <c r="E263" i="21"/>
  <c r="F130" i="21"/>
  <c r="E374" i="21"/>
  <c r="B337" i="21"/>
  <c r="E196" i="21"/>
  <c r="F138" i="21"/>
  <c r="C213" i="21"/>
  <c r="F155" i="21"/>
  <c r="D202" i="21"/>
  <c r="B234" i="21"/>
  <c r="E330" i="21"/>
  <c r="C248" i="21"/>
  <c r="C315" i="21"/>
  <c r="E158" i="21"/>
  <c r="D346" i="21"/>
  <c r="F291" i="21"/>
  <c r="C329" i="21"/>
  <c r="F215" i="21"/>
  <c r="F358" i="21"/>
  <c r="D174" i="21"/>
  <c r="D321" i="21"/>
  <c r="C160" i="21"/>
  <c r="B241" i="21"/>
  <c r="C341" i="21"/>
  <c r="D187" i="21"/>
  <c r="D355" i="21"/>
  <c r="C126" i="21"/>
  <c r="F240" i="21"/>
  <c r="C164" i="21"/>
  <c r="D208" i="21"/>
  <c r="E250" i="21"/>
  <c r="C184" i="21"/>
  <c r="F137" i="21"/>
  <c r="E279" i="21"/>
  <c r="F335" i="21"/>
  <c r="E182" i="21"/>
  <c r="F238" i="21"/>
  <c r="F179" i="21"/>
  <c r="C217" i="21"/>
  <c r="B159" i="21"/>
  <c r="F248" i="21"/>
  <c r="D247" i="21"/>
  <c r="C243" i="21"/>
  <c r="F342" i="21"/>
  <c r="C379" i="21"/>
  <c r="F338" i="21"/>
  <c r="F159" i="21"/>
  <c r="D340" i="21"/>
  <c r="E171" i="21"/>
  <c r="B149" i="21"/>
  <c r="C371" i="21"/>
  <c r="F260" i="21"/>
  <c r="D135" i="21"/>
  <c r="D338" i="21"/>
  <c r="C353" i="21"/>
  <c r="B237" i="21"/>
  <c r="B137" i="21"/>
  <c r="E203" i="21"/>
  <c r="D284" i="21"/>
  <c r="F261" i="21"/>
  <c r="C174" i="21"/>
  <c r="C283" i="21"/>
  <c r="D313" i="21"/>
  <c r="F239" i="21"/>
  <c r="F251" i="21"/>
  <c r="F364" i="21"/>
  <c r="B146" i="21"/>
  <c r="C165" i="21"/>
  <c r="D354" i="21"/>
  <c r="F246" i="21"/>
  <c r="E270" i="21"/>
  <c r="F257" i="21"/>
  <c r="E365" i="21"/>
  <c r="D322" i="21"/>
  <c r="C190" i="21"/>
  <c r="B205" i="21"/>
  <c r="B141" i="21"/>
  <c r="C159" i="21"/>
  <c r="F329" i="21"/>
  <c r="D372" i="21"/>
  <c r="D149" i="21"/>
  <c r="F176" i="21"/>
  <c r="B353" i="21"/>
  <c r="F249" i="21"/>
  <c r="F220" i="21"/>
  <c r="D369" i="21"/>
  <c r="E157" i="21"/>
  <c r="B356" i="21"/>
  <c r="C141" i="21"/>
  <c r="B148" i="21"/>
  <c r="D378" i="21"/>
  <c r="F322" i="21"/>
  <c r="E204" i="21"/>
  <c r="C221" i="21"/>
  <c r="F247" i="21"/>
  <c r="D290" i="21"/>
  <c r="E234" i="21"/>
  <c r="B279" i="21"/>
  <c r="B164" i="21"/>
  <c r="D249" i="21"/>
  <c r="E334" i="21"/>
  <c r="F313" i="21"/>
  <c r="E150" i="21"/>
  <c r="D259" i="21"/>
  <c r="D343" i="21"/>
  <c r="F205" i="21"/>
  <c r="C277" i="21"/>
  <c r="B175" i="21"/>
  <c r="D238" i="21"/>
  <c r="B172" i="21"/>
  <c r="E341" i="21"/>
  <c r="B196" i="21"/>
  <c r="C327" i="21"/>
  <c r="E361" i="21"/>
  <c r="D296" i="21"/>
  <c r="B319" i="21"/>
  <c r="B225" i="21"/>
  <c r="C334" i="21"/>
  <c r="E235" i="21"/>
  <c r="E247" i="21"/>
  <c r="D359" i="21"/>
  <c r="C233" i="21"/>
  <c r="F214" i="21"/>
  <c r="B315" i="21"/>
  <c r="F208" i="21"/>
  <c r="D204" i="21"/>
  <c r="F315" i="21"/>
  <c r="F231" i="21"/>
  <c r="C135" i="21"/>
  <c r="E249" i="21"/>
  <c r="D257" i="21"/>
  <c r="D141" i="21"/>
  <c r="B345" i="21"/>
  <c r="C308" i="21"/>
  <c r="E350" i="21"/>
  <c r="B326" i="21"/>
  <c r="F306" i="21"/>
  <c r="E335" i="21"/>
  <c r="B268" i="21"/>
  <c r="C377" i="21"/>
  <c r="D297" i="21"/>
  <c r="E227" i="21"/>
  <c r="E316" i="21"/>
  <c r="F148" i="21"/>
  <c r="E131" i="21"/>
  <c r="D295" i="21"/>
  <c r="C238" i="21"/>
  <c r="C191" i="21"/>
  <c r="C345" i="21"/>
  <c r="F225" i="21"/>
  <c r="D318" i="21"/>
  <c r="B360" i="21"/>
  <c r="C236" i="21"/>
  <c r="F349" i="21"/>
  <c r="B300" i="21"/>
  <c r="E214" i="21"/>
  <c r="D348" i="21"/>
  <c r="E252" i="21"/>
  <c r="E200" i="21"/>
  <c r="B195" i="21"/>
  <c r="C166" i="21"/>
  <c r="D169" i="21"/>
  <c r="F167" i="21"/>
  <c r="F236" i="21"/>
  <c r="F296" i="21"/>
  <c r="B231" i="21"/>
  <c r="D243" i="21"/>
  <c r="C339" i="21"/>
  <c r="B208" i="21"/>
  <c r="C253" i="21"/>
  <c r="D155" i="21"/>
  <c r="E236" i="21"/>
  <c r="B368" i="21"/>
  <c r="E128" i="21"/>
  <c r="C134" i="21"/>
  <c r="D298" i="21"/>
  <c r="B288" i="21"/>
  <c r="C212" i="21"/>
  <c r="C223" i="21"/>
  <c r="F173" i="21"/>
  <c r="D233" i="21"/>
  <c r="F288" i="21"/>
  <c r="B303" i="21"/>
  <c r="E211" i="21"/>
  <c r="B163" i="21"/>
  <c r="D283" i="21"/>
  <c r="E376" i="21"/>
  <c r="C279" i="21"/>
  <c r="E262" i="21"/>
  <c r="B215" i="21"/>
  <c r="C362" i="21"/>
  <c r="D139" i="21"/>
  <c r="B147" i="21"/>
  <c r="C197" i="21"/>
  <c r="C232" i="21"/>
  <c r="F279" i="21"/>
  <c r="D371" i="21"/>
  <c r="E165" i="21"/>
  <c r="F334" i="21"/>
  <c r="B184" i="21"/>
  <c r="F151" i="21"/>
  <c r="D364" i="21"/>
  <c r="C310" i="21"/>
  <c r="E230" i="21"/>
  <c r="F196" i="21"/>
  <c r="F357" i="21"/>
  <c r="D205" i="21"/>
  <c r="B243" i="21"/>
  <c r="B282" i="21"/>
  <c r="C170" i="21"/>
  <c r="C284" i="21"/>
  <c r="D256" i="21"/>
  <c r="E209" i="21"/>
  <c r="F267" i="21"/>
  <c r="E300" i="21"/>
  <c r="B178" i="21"/>
  <c r="D127" i="21"/>
  <c r="E186" i="21"/>
  <c r="E191" i="21"/>
  <c r="B132" i="21"/>
  <c r="C227" i="21"/>
  <c r="B245" i="21"/>
  <c r="D281" i="21"/>
  <c r="C352" i="21"/>
  <c r="F172" i="21"/>
  <c r="B207" i="21"/>
  <c r="E271" i="21"/>
  <c r="D333" i="21"/>
  <c r="B200" i="21"/>
  <c r="E290" i="21"/>
  <c r="E308" i="21"/>
  <c r="B317" i="21"/>
  <c r="B239" i="21"/>
  <c r="D302" i="21"/>
  <c r="F152" i="21"/>
  <c r="E193" i="21"/>
  <c r="F250" i="21"/>
  <c r="D128" i="21"/>
  <c r="C374" i="21"/>
  <c r="C306" i="21"/>
  <c r="E145" i="21"/>
  <c r="B311" i="21"/>
  <c r="D145" i="21"/>
  <c r="B316" i="21"/>
  <c r="F194" i="21"/>
  <c r="E228" i="21"/>
  <c r="C140" i="21"/>
  <c r="D154" i="21"/>
  <c r="F328" i="21"/>
  <c r="F202" i="21"/>
  <c r="E348" i="21"/>
  <c r="C305" i="21"/>
  <c r="D173" i="21"/>
  <c r="D258" i="21"/>
  <c r="C131" i="21"/>
  <c r="B135" i="21"/>
  <c r="F333" i="21"/>
  <c r="F363" i="21"/>
  <c r="D316" i="21"/>
  <c r="B299" i="21"/>
  <c r="E176" i="21"/>
  <c r="B218" i="21"/>
  <c r="F361" i="21"/>
  <c r="D254" i="21"/>
  <c r="B157" i="21"/>
  <c r="B182" i="21"/>
  <c r="F233" i="21"/>
  <c r="C347" i="21"/>
  <c r="D138" i="21"/>
  <c r="E298" i="21"/>
  <c r="E172" i="21"/>
  <c r="C241" i="21"/>
  <c r="B321" i="21"/>
  <c r="F339" i="21"/>
  <c r="D373" i="21"/>
  <c r="F201" i="21"/>
  <c r="D278" i="21"/>
  <c r="C192" i="21"/>
  <c r="F369" i="21"/>
  <c r="D152" i="21"/>
  <c r="F286" i="21"/>
  <c r="F184" i="21"/>
  <c r="F169" i="21"/>
  <c r="D177" i="21"/>
  <c r="D289" i="21"/>
  <c r="C224" i="21"/>
  <c r="E206" i="21"/>
  <c r="D326" i="21"/>
  <c r="F135" i="21"/>
  <c r="E135" i="21"/>
  <c r="B322" i="21"/>
  <c r="F146" i="21"/>
  <c r="C361" i="21"/>
  <c r="F180" i="21"/>
  <c r="F275" i="21"/>
  <c r="C211" i="21"/>
  <c r="F183" i="21"/>
  <c r="C214" i="21"/>
  <c r="D303" i="21"/>
  <c r="B295" i="21"/>
  <c r="B240" i="21"/>
  <c r="C239" i="21"/>
  <c r="B256" i="21"/>
  <c r="D241" i="21"/>
  <c r="F177" i="21"/>
  <c r="B126" i="21"/>
  <c r="B181" i="21"/>
  <c r="F375" i="21"/>
  <c r="D166" i="21"/>
  <c r="B342" i="21"/>
  <c r="E243" i="21"/>
  <c r="C201" i="21"/>
  <c r="D133" i="21"/>
  <c r="E195" i="21"/>
  <c r="E259" i="21"/>
  <c r="E343" i="21"/>
  <c r="C173" i="21"/>
  <c r="D130" i="21"/>
  <c r="D206" i="21"/>
  <c r="E153" i="21"/>
  <c r="E154" i="21"/>
  <c r="E246" i="21"/>
  <c r="E379" i="21"/>
  <c r="D315" i="21"/>
  <c r="B189" i="21"/>
  <c r="E319" i="21"/>
  <c r="C240" i="21"/>
  <c r="B201" i="21"/>
  <c r="C337" i="21"/>
  <c r="F168" i="21"/>
  <c r="C330" i="21"/>
  <c r="E226" i="21"/>
  <c r="E190" i="21"/>
  <c r="D207" i="21"/>
  <c r="E221" i="21"/>
  <c r="B264" i="21"/>
  <c r="C177" i="21"/>
  <c r="C203" i="21"/>
  <c r="D132" i="21"/>
  <c r="B246" i="21"/>
  <c r="B367" i="21"/>
  <c r="D186" i="21"/>
  <c r="F294" i="21"/>
  <c r="B169" i="21"/>
  <c r="D366" i="21"/>
  <c r="F378" i="21"/>
  <c r="E127" i="21"/>
  <c r="C138" i="21"/>
  <c r="E325" i="21"/>
  <c r="D376" i="21"/>
  <c r="B193" i="21"/>
  <c r="E344" i="21"/>
  <c r="E216" i="21"/>
  <c r="F147" i="21"/>
  <c r="C137" i="21"/>
  <c r="B377" i="21"/>
  <c r="D131" i="21"/>
  <c r="E220" i="21"/>
  <c r="C153" i="21"/>
  <c r="C244" i="21"/>
  <c r="B347" i="21"/>
  <c r="D361" i="21"/>
  <c r="C151" i="21"/>
  <c r="E219" i="21"/>
  <c r="C267" i="21"/>
  <c r="D242" i="21"/>
  <c r="E370" i="21"/>
  <c r="B297" i="21"/>
  <c r="B186" i="21"/>
  <c r="E301" i="21"/>
  <c r="C147" i="21"/>
  <c r="C338" i="21"/>
  <c r="E152" i="21"/>
  <c r="C280" i="21"/>
  <c r="E159" i="21"/>
  <c r="D358" i="21"/>
  <c r="B136" i="21"/>
  <c r="E138" i="21"/>
  <c r="F377" i="21"/>
  <c r="C269" i="21"/>
  <c r="D264" i="21"/>
  <c r="B133" i="21"/>
  <c r="C257" i="21"/>
  <c r="D280" i="21"/>
  <c r="C287" i="21"/>
  <c r="D363" i="21"/>
  <c r="D325" i="21"/>
  <c r="E366" i="21"/>
  <c r="E160" i="21"/>
  <c r="B185" i="21"/>
  <c r="F222" i="21"/>
  <c r="C162" i="21"/>
  <c r="F314" i="21"/>
  <c r="C163" i="21"/>
  <c r="E240" i="21"/>
  <c r="C320" i="21"/>
  <c r="D356" i="21"/>
  <c r="B174" i="21"/>
  <c r="C289" i="21"/>
  <c r="F278" i="21"/>
  <c r="D273" i="21"/>
  <c r="C299" i="21"/>
  <c r="C368" i="21"/>
  <c r="C313" i="21"/>
  <c r="E321" i="21"/>
  <c r="F199" i="21"/>
  <c r="D330" i="21"/>
  <c r="D329" i="21"/>
  <c r="B328" i="21"/>
  <c r="B242" i="21"/>
  <c r="F227" i="21"/>
  <c r="E299" i="21"/>
  <c r="F340" i="21"/>
  <c r="D172" i="21"/>
  <c r="F359" i="21"/>
  <c r="D188" i="21"/>
  <c r="C196" i="21"/>
  <c r="F181" i="21"/>
  <c r="D379" i="21"/>
  <c r="F204" i="21"/>
  <c r="F188" i="21"/>
  <c r="E174" i="21"/>
  <c r="E338" i="21"/>
  <c r="B176" i="21"/>
  <c r="F319" i="21"/>
  <c r="B330" i="21"/>
  <c r="D235" i="21"/>
  <c r="D220" i="21"/>
  <c r="F228" i="21"/>
  <c r="D252" i="21"/>
  <c r="C231" i="21"/>
  <c r="B160" i="21"/>
  <c r="C370" i="21"/>
  <c r="F346" i="21"/>
  <c r="F301" i="21"/>
  <c r="F219" i="21"/>
  <c r="E362" i="21"/>
  <c r="F352" i="21"/>
  <c r="F252" i="21"/>
  <c r="C261" i="21"/>
  <c r="E272" i="21"/>
  <c r="E346" i="21"/>
  <c r="F316" i="21"/>
  <c r="B252" i="21"/>
  <c r="D221" i="21"/>
  <c r="B180" i="21"/>
  <c r="D137" i="21"/>
  <c r="D288" i="21"/>
  <c r="F161" i="21"/>
  <c r="F272" i="21"/>
  <c r="F290" i="21"/>
  <c r="E139" i="21"/>
  <c r="B296" i="21"/>
  <c r="E288" i="21"/>
  <c r="D126" i="21"/>
  <c r="E378" i="21"/>
  <c r="F367" i="21"/>
  <c r="D310" i="21"/>
  <c r="C142" i="21"/>
  <c r="E126" i="21"/>
  <c r="D161" i="21"/>
  <c r="B127" i="21"/>
  <c r="E217" i="21"/>
  <c r="E161" i="21"/>
  <c r="F211" i="21"/>
  <c r="F318" i="21"/>
  <c r="C186" i="21"/>
  <c r="C288" i="21"/>
  <c r="B271" i="21"/>
  <c r="C152" i="21"/>
  <c r="E169" i="21"/>
  <c r="C187" i="21"/>
  <c r="E312" i="21"/>
  <c r="D146" i="21"/>
  <c r="D214" i="21"/>
  <c r="B197" i="21"/>
  <c r="C336" i="21"/>
  <c r="C356" i="21"/>
  <c r="E140" i="21"/>
  <c r="D179" i="21"/>
  <c r="E223" i="21"/>
  <c r="F273" i="21"/>
  <c r="F263" i="21"/>
  <c r="D365" i="21"/>
  <c r="B267" i="21"/>
  <c r="C215" i="21"/>
  <c r="F277" i="21"/>
  <c r="E309" i="21"/>
  <c r="C318" i="21"/>
  <c r="B323" i="21"/>
  <c r="C276" i="21"/>
  <c r="E318" i="21"/>
  <c r="C169" i="21"/>
  <c r="C263" i="21"/>
  <c r="D136" i="21"/>
  <c r="D308" i="21"/>
  <c r="E238" i="21"/>
  <c r="B229" i="21"/>
  <c r="F276" i="21"/>
  <c r="E187" i="21"/>
  <c r="B177" i="21"/>
  <c r="E163" i="21"/>
  <c r="F145" i="21"/>
  <c r="C344" i="21"/>
  <c r="D277" i="21"/>
  <c r="F354" i="21"/>
  <c r="B254" i="21"/>
  <c r="F128" i="21"/>
  <c r="F198" i="21"/>
  <c r="F281" i="21"/>
  <c r="C332" i="21"/>
  <c r="B294" i="21"/>
  <c r="D167" i="21"/>
  <c r="F175" i="21"/>
  <c r="B355" i="21"/>
  <c r="B168" i="21"/>
  <c r="C154" i="21"/>
  <c r="B155" i="21"/>
  <c r="E295" i="21"/>
  <c r="B198" i="21"/>
  <c r="E253" i="21"/>
  <c r="B280" i="21"/>
  <c r="D344" i="21"/>
  <c r="C136" i="21"/>
  <c r="E303" i="21"/>
  <c r="C355" i="21"/>
  <c r="E199" i="21"/>
  <c r="B284" i="21"/>
  <c r="D300" i="21"/>
  <c r="F160" i="21"/>
  <c r="B301" i="21"/>
  <c r="E367" i="21"/>
  <c r="C309" i="21"/>
  <c r="D215" i="21"/>
  <c r="F266" i="21"/>
  <c r="B278" i="21"/>
  <c r="F330" i="21"/>
  <c r="B308" i="21"/>
  <c r="B152" i="21"/>
  <c r="E242" i="21"/>
  <c r="D239" i="21"/>
  <c r="D175" i="21"/>
  <c r="E254" i="21"/>
  <c r="E287" i="21"/>
  <c r="D213" i="21"/>
  <c r="E151" i="21"/>
  <c r="C157" i="21"/>
  <c r="B158" i="21"/>
  <c r="B221" i="21"/>
  <c r="E336" i="21"/>
  <c r="F321" i="21"/>
  <c r="D228" i="21"/>
  <c r="B151" i="21"/>
  <c r="C376" i="21"/>
  <c r="D323" i="21"/>
  <c r="B162" i="21"/>
  <c r="E296" i="21"/>
  <c r="B363" i="21"/>
  <c r="B273" i="21"/>
  <c r="F353" i="21"/>
  <c r="B359" i="21"/>
  <c r="F186" i="21"/>
  <c r="E283" i="21"/>
  <c r="E162" i="21"/>
  <c r="C218" i="21"/>
  <c r="B190" i="21"/>
  <c r="D182" i="21"/>
  <c r="E173" i="21"/>
  <c r="F133" i="21"/>
  <c r="Y72" i="15"/>
  <c r="X72" i="15"/>
  <c r="W72" i="15"/>
  <c r="U72" i="15" s="1"/>
  <c r="AJ27" i="15" l="1"/>
  <c r="BD27" i="15" s="1"/>
  <c r="BB20" i="15"/>
  <c r="BC21" i="15"/>
  <c r="BC20" i="15"/>
  <c r="BD21" i="15"/>
  <c r="BD23" i="15"/>
  <c r="BB24" i="15"/>
  <c r="BG20" i="15"/>
  <c r="BC23" i="15"/>
  <c r="BB25" i="15"/>
  <c r="BI18" i="15"/>
  <c r="BN18" i="15"/>
  <c r="BL18" i="15"/>
  <c r="BE21" i="15"/>
  <c r="BG18" i="15"/>
  <c r="BD25" i="15"/>
  <c r="BF26" i="15"/>
  <c r="BA23" i="15"/>
  <c r="BC17" i="15"/>
  <c r="BA24" i="15"/>
  <c r="BA20" i="15"/>
  <c r="BA25" i="15"/>
  <c r="BA26" i="15"/>
  <c r="BJ18" i="15"/>
  <c r="BI22" i="15"/>
  <c r="BH22" i="15"/>
  <c r="BB22" i="15"/>
  <c r="BF18" i="15"/>
  <c r="BJ22" i="15"/>
  <c r="BM20" i="15"/>
  <c r="BC22" i="15"/>
  <c r="BK20" i="15"/>
  <c r="BB18" i="15"/>
  <c r="BF20" i="15"/>
  <c r="BD18" i="15"/>
  <c r="BL20" i="15"/>
  <c r="BD26" i="15"/>
  <c r="AH27" i="15"/>
  <c r="BB27" i="15" s="1"/>
  <c r="BE20" i="15"/>
  <c r="BE22" i="15"/>
  <c r="BK18" i="15"/>
  <c r="BD20" i="15"/>
  <c r="BF22" i="15"/>
  <c r="BF25" i="15"/>
  <c r="BF21" i="15"/>
  <c r="BP18" i="15"/>
  <c r="BG22" i="15"/>
  <c r="BD17" i="15"/>
  <c r="BO18" i="15"/>
  <c r="BH18" i="15"/>
  <c r="BB21" i="15"/>
  <c r="BC26" i="15"/>
  <c r="BK22" i="15"/>
  <c r="BB19" i="15"/>
  <c r="BM22" i="15"/>
  <c r="AK27" i="15"/>
  <c r="BE27" i="15" s="1"/>
  <c r="BA18" i="15"/>
  <c r="BA21" i="15"/>
  <c r="BA22" i="15"/>
  <c r="BA27" i="15"/>
  <c r="BA28" i="15"/>
  <c r="AZ28" i="15" s="1"/>
  <c r="AE145" i="12" s="1"/>
  <c r="AD145" i="12" s="1"/>
  <c r="P145" i="18" s="1"/>
  <c r="BA19" i="15"/>
  <c r="BH20" i="15"/>
  <c r="BE23" i="15"/>
  <c r="BC25" i="15"/>
  <c r="BC18" i="15"/>
  <c r="BD22" i="15"/>
  <c r="BE18" i="15"/>
  <c r="BC24" i="15"/>
  <c r="BB23" i="15"/>
  <c r="BB26" i="15"/>
  <c r="BM18" i="15"/>
  <c r="BI20" i="15"/>
  <c r="BD24" i="15"/>
  <c r="BJ20" i="15"/>
  <c r="BE25" i="15"/>
  <c r="BL22" i="15"/>
  <c r="BE26" i="15"/>
  <c r="AI27" i="15"/>
  <c r="BC27" i="15" s="1"/>
  <c r="BE17" i="15"/>
  <c r="AZ21" i="15" l="1"/>
  <c r="AE108" i="12" s="1"/>
  <c r="AD108" i="12" s="1"/>
  <c r="P108" i="18" s="1"/>
  <c r="AZ19" i="15"/>
  <c r="AE104" i="12" s="1"/>
  <c r="AD104" i="12" s="1"/>
  <c r="P104" i="18" s="1"/>
  <c r="AZ27" i="15"/>
  <c r="AE125" i="12" s="1"/>
  <c r="AD125" i="12" s="1"/>
  <c r="P125" i="18" s="1"/>
  <c r="AZ24" i="15"/>
  <c r="AE111" i="12" s="1"/>
  <c r="AD111" i="12" s="1"/>
  <c r="P111" i="18" s="1"/>
  <c r="AZ22" i="15"/>
  <c r="AE109" i="12" s="1"/>
  <c r="AD109" i="12" s="1"/>
  <c r="P109" i="18" s="1"/>
  <c r="AZ26" i="15"/>
  <c r="AE117" i="12" s="1"/>
  <c r="AD117" i="12" s="1"/>
  <c r="P117" i="18" s="1"/>
  <c r="AZ17" i="15"/>
  <c r="AE99" i="12" s="1"/>
  <c r="AD99" i="12" s="1"/>
  <c r="P99" i="18" s="1"/>
  <c r="AZ25" i="15"/>
  <c r="AE112" i="12" s="1"/>
  <c r="AD112" i="12" s="1"/>
  <c r="P112" i="18" s="1"/>
  <c r="AZ23" i="15"/>
  <c r="AE110" i="12" s="1"/>
  <c r="AD110" i="12" s="1"/>
  <c r="P110" i="18" s="1"/>
  <c r="AZ18" i="15"/>
  <c r="AE103" i="12" s="1"/>
  <c r="AD103" i="12" s="1"/>
  <c r="P103" i="18" s="1"/>
  <c r="AZ20" i="15"/>
  <c r="AE105" i="12" s="1"/>
  <c r="AD105" i="12" s="1"/>
  <c r="P105"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tc={EA78C321-3A7D-0541-8936-3FC053C9CB27}</author>
    <author>tc={6E4DFA0E-B563-A24A-8C60-C07BCE1B7EBE}</author>
  </authors>
  <commentList>
    <comment ref="AW1" authorId="0" shapeId="0" xr:uid="{EA78C321-3A7D-0541-8936-3FC053C9CB27}">
      <text>
        <t>[Threaded comment]
Your version of Excel allows you to read this threaded comment; however, any edits to it will get removed if the file is opened in a newer version of Excel. Learn more: https://go.microsoft.com/fwlink/?linkid=870924
Comment:
    Red columns are calculated
 - so DO NOT Edit</t>
      </text>
    </comment>
    <comment ref="AB2" authorId="1" shapeId="0" xr:uid="{6E4DFA0E-B563-A24A-8C60-C07BCE1B7EBE}">
      <text>
        <t>[Threaded comment]
Your version of Excel allows you to read this threaded comment; however, any edits to it will get removed if the file is opened in a newer version of Excel. Learn more: https://go.microsoft.com/fwlink/?linkid=870924
Comment:
    Can change this date to calculate current ages of Living Loyds at any date post 2022 Loyd Book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tc={9A34FE0A-CC3C-2F44-9455-DAE53A5B70AE}</author>
  </authors>
  <commentList>
    <comment ref="AJ1" authorId="0" shapeId="0" xr:uid="{9A34FE0A-CC3C-2F44-9455-DAE53A5B70AE}">
      <text>
        <t>[Threaded comment]
Your version of Excel allows you to read this threaded comment; however, any edits to it will get removed if the file is opened in a newer version of Excel. Learn more: https://go.microsoft.com/fwlink/?linkid=870924
Comment:
    Red columns are calculated
 - so DO NOT Edit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<sst xmlns="http://schemas.openxmlformats.org/spreadsheetml/2006/main" count="18553" uniqueCount="5736">
  <si>
    <t>3 Left 50 shillings each in their grandfather’s will.</t>
  </si>
  <si>
    <t>Issue: (Over)</t>
  </si>
  <si>
    <t>d. 1915.</t>
  </si>
  <si>
    <t>Issue: Canon William Loyd Musgrave PROTHEROE</t>
  </si>
  <si>
    <t>2nd daughter of William LLOYD (1729-1800) of Court Henry, Cilycwm, Carmarthenshire.</t>
  </si>
  <si>
    <t>b. 19 Feb 1772, bapt. 25 Feb 1772 at Llanwrda.</t>
  </si>
  <si>
    <t>d. (unmarried) 9 Dec 1798, buried 12 Dec 1798 at Cilycwm.</t>
  </si>
  <si>
    <t>3rd and youngest daughter of William LLOYD (1729-1800) of Court Henry, Cilycwm, Carmarthenshire.</t>
  </si>
  <si>
    <t>b. 19 Oct 1777, bapt. 22 or 23 Oct 1777 at Llanwrda.</t>
  </si>
  <si>
    <t>d. buried 12 Oct 1779 at Llanwrda.</t>
  </si>
  <si>
    <t>9 according to Grindon.</t>
  </si>
  <si>
    <t>10 according to O’Brien.</t>
  </si>
  <si>
    <t>- 6 -</t>
  </si>
  <si>
    <t>Issue: 1 son, 1 daughter.</t>
  </si>
  <si>
    <t>Eldest daughter of Edward LOYD (1780-1863) of Coombe House, Coombe Lane, Croydon, Surrey.</t>
  </si>
  <si>
    <t>b. 30 May 1810.</t>
  </si>
  <si>
    <t>m. 1 Oct 1835 at the Collegiate Church, Manchester (later Manchester Cathedral) Henry Bombonus BENYON (b. 3 Mar 1806, d. 25 Feb 1849, buried with his daughter, Fanny, in a vault at Roundhay Church) of Roundhay Lodge, Leeds.</t>
  </si>
  <si>
    <t>d. 7 Jan 1903, buried in Feltham Cemetery.</t>
  </si>
  <si>
    <t>d. 15 Jun 1858, buried at Hollington, Nr. Hastings, Sussex.</t>
  </si>
  <si>
    <t>Elder daughter of William LOYD (1770-1828) of 7 Bread Street, Cheapside, London EC2.</t>
  </si>
  <si>
    <t>b. 30 Nov 1810 .</t>
  </si>
  <si>
    <t>d. (unmarried) 3 Oct 1861 at 30 Leinster Square, London W2.</t>
  </si>
  <si>
    <t>2nd daughter of Edward LOYD (1780-1863) of Coombe House, Coombe Lane, Croydon, Surrey.</t>
  </si>
  <si>
    <t>b. 26 Feb 1813.</t>
  </si>
  <si>
    <t>d. (unmarried ) 10 Sep 1834.</t>
  </si>
  <si>
    <t>Younger daughter of William LOYD (1770-1828) of 7 Bread Street, Cheapside, London EC2.</t>
  </si>
  <si>
    <t>b. 17 Feb 1814.</t>
  </si>
  <si>
    <t>m. 18 Dec 1847 at Marylebone Church, London, Thomas NORTH (b. 1809/10, d. 30 Oct 1886 at Northcote, Frant) of Loders, Bridport, Dorset. Moved to Northcote, Frant Road, Frant, Sussex in 1868.</t>
  </si>
  <si>
    <t>d.s.p. 16 Sep 1900 at Northcote, buried at Tunbridge Wells.</t>
  </si>
  <si>
    <t>3rd daughter of Edward LOYD (1780-1863) of Coombe House, Coombe Lane, Croydon, Surrey.</t>
  </si>
  <si>
    <t>b. 26 Aug 1815.</t>
  </si>
  <si>
    <t>m. 14 Mar 1844, James Dyce NICOL MP (b. 13 Aug 1805, d. 16 Nov 1872 buried Birse Kirkyard) of Ballogie, Aberdeenshire, and of 5 Hyde Park Terrace, London.</t>
  </si>
  <si>
    <t>b. 24 Apr 1990 (twin with her sister).</t>
  </si>
  <si>
    <t>Elisabeth Iona NICOL</t>
  </si>
  <si>
    <t>b. 24 Apr 1990 (twin with her sister).</t>
  </si>
  <si>
    <t>Lydia Clare Diana NICOL</t>
  </si>
  <si>
    <t>b. 19 Mar 1992.</t>
  </si>
  <si>
    <t>Patrick William John Petry NICOL</t>
  </si>
  <si>
    <t>b. 28 Dec 1995.</t>
  </si>
  <si>
    <t>(iii) Peter Eric Henry WARNER</t>
  </si>
  <si>
    <t>b. 30 Mar 1915. Educated Oundle and RMC Sandhurst.</t>
  </si>
  <si>
    <t>Lieut Colonel, Royal Fusiliers. MBE 1942. MC 1944.</t>
  </si>
  <si>
    <t>(c) Randall James NICOL</t>
  </si>
  <si>
    <t>b. 19 Aug 1882.</t>
  </si>
  <si>
    <t>d. 18 Nov 1941, buried at Christ Church, Kincardine O’Neil, Aberdeenshire.</t>
  </si>
  <si>
    <t>(d) Dorothy Ada NICOL</t>
  </si>
  <si>
    <t>b. 20 Aug 1885.</t>
  </si>
  <si>
    <t>d. 3 Feb 1964, buried at Christ Church, Kincardine O’Neil, Aberdeenshire.</t>
  </si>
  <si>
    <t>3 James Dyce NICOL</t>
  </si>
  <si>
    <t>b. 30 Jun 1848.</t>
  </si>
  <si>
    <t>m. (1) 5 Oct 1898 Alice Maud WARDEN (d. 27 Jan 1930, buried at Aboyne).</t>
  </si>
  <si>
    <t>m. (2) Evelyn May MITCHELL (d. 7 Apr 1945) of Sauchrie.</t>
  </si>
  <si>
    <t>d.s.p. 5 Oct 1938, buried at St Thomas’s, Aboyne, Aberdeenshire.</t>
  </si>
  <si>
    <t>4 Sarah Loyd NICOL (Over)</t>
  </si>
  <si>
    <t>- 17 -</t>
  </si>
  <si>
    <t>4 Sarah Loyd NICOL</t>
  </si>
  <si>
    <t>b. 23 May 1854.</t>
  </si>
  <si>
    <t>d. 18 Jun 1943 at Tunbridge Wells, Kent.</t>
  </si>
  <si>
    <t>5 Lewis Loyd NICOL</t>
  </si>
  <si>
    <t>b. 10 Apr 1858. Educated Harrow.</t>
  </si>
  <si>
    <t>m. 16 Jun 1886 Agnes (d. 18 Dec 1914) eldest daughter of Sir Sandford FREELING KCMG.</t>
  </si>
  <si>
    <t>Served in World War I 1915-16. Colonel 3 Bn The Rifle Bde. CBE 1916. Brig General.</t>
  </si>
  <si>
    <t>d. 21 May 1935.</t>
  </si>
  <si>
    <t>Issue: (a) Violet Dyce Norah NICOL</t>
  </si>
  <si>
    <t>b. 12 Sep 1887.</t>
  </si>
  <si>
    <t>m. 2 Feb 1910 Gerald DUGDALE (b. 19 Mar 1884, d. 13 Jun 1941)</t>
  </si>
  <si>
    <t>(Div 1926).</t>
  </si>
  <si>
    <t>d. 16 Aug 1957.</t>
  </si>
  <si>
    <t>Issue: (i) Brenda DUGDALE</t>
  </si>
  <si>
    <t>b. 9 Sep 1911.</t>
  </si>
  <si>
    <t>d. 8 Aug 1987 at 93 Ebury Street, London SW1.</t>
  </si>
  <si>
    <t>d. 14 Dec 1905, buried Birse Kirkyard.</t>
  </si>
  <si>
    <t>4th daughter of Edward LOYD (1780-1863) of Coombe House, Coombe Lane, Croydon, Surrey.</t>
  </si>
  <si>
    <t>b. 9 Feb 1817.</t>
  </si>
  <si>
    <t>m. 27 Apr 1837 William ENTWISLE (b. 30 Sep 1809, d. 18 Aug 1865) of Rusholme House, Manchester.</t>
  </si>
  <si>
    <t>She lived at The Oaks, Sunninghill, Ascot, Berkshire in her widowhood.</t>
  </si>
  <si>
    <t>Issue: 1 William ENTWISLE</t>
  </si>
  <si>
    <t>b. 14 May 1839. Cornet 2nd Life Guards</t>
  </si>
  <si>
    <t>d.(unmarried) 27 Aug 1860.</t>
  </si>
  <si>
    <t>2 Richard ENTWISLE</t>
  </si>
  <si>
    <t>b. 2 Oct 1840.</t>
  </si>
  <si>
    <t>d. (unmarried) 4 Oct 1894 at Brighton.</t>
  </si>
  <si>
    <t>3 Frederica Frances ENTWISLE</t>
  </si>
  <si>
    <t>b. 24 Sep 1842.</t>
  </si>
  <si>
    <t>m. 8 Apr 1863 Charles Albert SWINBURNE.</t>
  </si>
  <si>
    <t>d.s.p. 14 Apr 1916, buried at Lytham, Lancashire.</t>
  </si>
  <si>
    <t>4 Bernard Henry ENTWISLE</t>
  </si>
  <si>
    <t>b. 25 Feb 1847.</t>
  </si>
  <si>
    <t>m. 8 Jan (or Jun) 1875 (or 1876) Laura Ellen Flora, daughter of Sir John KEANE Bart: of</t>
  </si>
  <si>
    <t>Co. Waterford, Ireland.</t>
  </si>
  <si>
    <t>d.s.p. 22 Sep 1877.</t>
  </si>
  <si>
    <t>5 Edward Loyd ENTWISLE</t>
  </si>
  <si>
    <t>b. 13 Feb 1852.</t>
  </si>
  <si>
    <t>m. 16 Jul 1880 Anna Marie Hyde CLARKE.</t>
  </si>
  <si>
    <t>  d.s.p. 16 Jan 1881.</t>
  </si>
  <si>
    <t>d. 25 Nov 1907, buried at Sunningdale.</t>
  </si>
  <si>
    <t>- 18 -</t>
  </si>
  <si>
    <t>5th and youngest daughter of Edward LOYD (1780-1863) of Coombe House, Croydon, Surrey.</t>
  </si>
  <si>
    <t>b. 24 Nov 1824.</t>
  </si>
  <si>
    <t>m. 16 Sep 1847 James Sidney23 (b. 1807/08, d. 8 Jul 1885 at The Oaks, Sunninghill) 5th son of the Rev</t>
  </si>
  <si>
    <t>the Hon Richard Bruce STOPFORD.</t>
  </si>
  <si>
    <t>d.s.p. 20 Sep 1856.</t>
  </si>
  <si>
    <t>23 He m. 2ndly 12 Mar 1868, Catherine Mary (d. 1884) daughter of Sir Thomas Wuthen WALLER.</t>
  </si>
  <si>
    <t>- 20 -</t>
  </si>
  <si>
    <t>Lady WANTAGE of Lockinge House24 Wantage, and of 2 Carlton Gardens, London SW1.</t>
  </si>
  <si>
    <t>Only daughter of Samuel Jones LOYD, Baron OVERSTONE (1796-1883).</t>
  </si>
  <si>
    <t>b. 30 Jun 1837.</t>
  </si>
  <si>
    <t>m. 17 Nov 1858 at St Martin’s in the Fields, London, Robert James (b. 16 Apr 1832. Educated Eton</t>
  </si>
  <si>
    <t>1846-50. d. 10 Jan 1901, buried at Ardington, Nr. Lockinge) Lieut Colonel, Scots Fusiliers Guards,</t>
  </si>
  <si>
    <t>2nd son of Lieut General James LINDSAY of Balcarres, Co. Fife and Anne, daughter of Sir Coutts TROTTER, Bart: of Westville, Lincolnshire.</t>
  </si>
  <si>
    <t>He had served in the Crimea War 1854-55, greatly distinguishing himself in the defence of the Queen’s Colour at Alma, and in command of his company at Inkerman. Awarded Victoria Cross 24 Feb 1857. Retired from Army 185925 .</t>
  </si>
  <si>
    <t>On his marriage he assumed the surname of LOYD LINDSAY. MP for Berkshire 1865-85. Founded British Red Cross Society 1870. Lord Lieutenant and JP for Berkshire 1886-1901. Equerry to HRH The Prince of Wales 1874. Financial Secretary to War Office 1877-80. Created KCB 1881. Raised to Peerage as Baron WANTAGE of Lockinge 1885. Founder and Director of the Wantage Tramway26 .</t>
  </si>
  <si>
    <t>She d.s.p. 9 Aug 1920, buried at Ardington, Nr Lockinge. Estate £768,587.</t>
  </si>
  <si>
    <t>Portrait by Philip LASZLO de LOMBOS in possession of Christopher Lewis LOYD (1923- ).</t>
  </si>
  <si>
    <t>Issue: 1 son.</t>
  </si>
  <si>
    <t>of Cwrt Henri30 , Hawkhurst, Kent.</t>
  </si>
  <si>
    <t>Eldest daughter of Edward LOYD (1820-1890) of Lillesden House, Hawkhurst, Kent.</t>
  </si>
  <si>
    <t>b. 5 Mar 1848 at Prestwich Lodge, Manchester, bapt. 26 Apr 1848 at Prestwich Church.</t>
  </si>
  <si>
    <t>d. (unmarried) 15 Jun 1930, buried at Hawkhurst.</t>
  </si>
  <si>
    <t>2nd daughter of Edward LOYD (1820-1890) of Lillesden House, Hawkhurst, Kent.</t>
  </si>
  <si>
    <t>b. 18 Jan 1853 at Prestwich Lodge, Manchester, bapt. 17 Feb 1853 at Prestwich Lodge (privately), christened 22 Apr 1853 at Prestwich Church.</t>
  </si>
  <si>
    <t>m. 21 Sep 1876 at Hawkhurst, George John (b. 3 Mar 1848, d. 8 Sep 1910) of Whiligh, Ticehurst, Sussex and of Sprivers, Horsmonden, Kent, son of George Campion COURTHOPE (b. 1811, d. 1895).</t>
  </si>
  <si>
    <t>Only daughter of Thomas Kirkman LOYD (1812-1857) of Humeerpoor, North West Provinces, India.</t>
  </si>
  <si>
    <t>b. 1 Jul 1853 at Broadstairs, Kent.</t>
  </si>
  <si>
    <t>d. (unmarried) 17 Sep 1946 at Tunbridge Wells, Kent.</t>
  </si>
  <si>
    <t>Although little has been recorded about her, family letters indicate that she nursed her mother assiduously in the weeks before her death in 1885 and it seems she was a kind and caring person (see note to No. 94). She is reputed to have been the last surviving person to receive a pension from the Indian Mutiny.</t>
  </si>
  <si>
    <t>Eldest daughter of William Jones LOYD (1821-1885) of Langleybury, Nr. Watford, Hertfordshire.</t>
  </si>
  <si>
    <t>b. 24 Sep 1854.</t>
  </si>
  <si>
    <t>d. (unmarried) 30 Jun 1924, buried at Kings Langley, Hertfordshire.</t>
  </si>
  <si>
    <t>3rd daughter of Edward LOYD (1820-1890) of Lillesden House, Hawkhurst, Kent.</t>
  </si>
  <si>
    <t>b. 8 Feb 1855 at Prestwich Lodge, Manchester, bapt. 3 Apr 1855 at Hawkhurst, Kent.</t>
  </si>
  <si>
    <t>d. (unmarried) 10 May 1927, buried on 14 May 1927 at Northwood Cemetery, Cowes, Isle of Wight</t>
  </si>
  <si>
    <t>(grave no. 6359).</t>
  </si>
  <si>
    <t>3rd daughter of William Jones LOYD (1821-1885) of Langleybury, Nr. Watford, Hertfordshire.</t>
  </si>
  <si>
    <t>b. 6 Oct 1858.</t>
  </si>
  <si>
    <t>m. 13 Apr 1891 Edward Hesketh (b. 19 Oct 1855, d. Oct/Dec 1920), Captain, Dorset Regiment, 3rd son of Ambrose GODDARD of The Lawn, Swindon, Wiltshire.</t>
  </si>
  <si>
    <t>Issue: 1 Ambrose William GODDARD MC</t>
  </si>
  <si>
    <t>b. 13 Mar 1892.</t>
  </si>
  <si>
    <t>m. 24 Oct 1922 Ursula, daughter of Andrew WOOD.</t>
  </si>
  <si>
    <t>d. ?</t>
  </si>
  <si>
    <t>d. 8 Jul 1905.</t>
  </si>
  <si>
    <t>m. 8 Mar 1892 at St Lawrence’s, Hawkhurst, Alfred (b. 30 Mar 1857, d. 1 Aug 1927) eldest son of Edward HARDCASTLE MP of New Lodge, Hawkhurst, Kent.</t>
  </si>
  <si>
    <t>Issue: Michael Alwyn Karel DREWE</t>
  </si>
  <si>
    <t>2 Canon Joseph Anthony Loyd HARDCASTLE.</t>
  </si>
  <si>
    <t>4th daughter of William Jones LOYD (1821-1885) of Langleybury, Nr. Watford, Hertfordshire.</t>
  </si>
  <si>
    <t>b. 2 Apr 1865.</t>
  </si>
  <si>
    <t>m. 10 Jul 1901 George Halford (b. 21 Feb 1855, d. 21 Feb 1909) Major, Devon Regiment, son of the</t>
  </si>
  <si>
    <t>Rev Charles John D’OYLY of Great Chart, Nr. Ashford, Kent.</t>
  </si>
  <si>
    <t>Issue: 1 Louise Mabell D’OYLY</t>
  </si>
  <si>
    <t>b. 15 Jun 1904.</t>
  </si>
  <si>
    <t>d. (unmarried) 11 May 1983, cremated.</t>
  </si>
  <si>
    <t>d. 21 Feb 1938.</t>
  </si>
  <si>
    <t>5th and youngest daughter of William Jones LOYD (1821-1885) of Langleybury, Nr. Watford, Hertfordshire</t>
  </si>
  <si>
    <t>b. 19 Jan 1867.</t>
  </si>
  <si>
    <t>d. 19 Jan 1867.</t>
  </si>
  <si>
    <t>of Tormore, Ardvasar, Skye.</t>
  </si>
  <si>
    <t>Eldest daughter of Frederic Edward LOYD (1856-1936) of Shaw Hill House, Melksham, Wiltshire and of Albyns, Romford, Essex.</t>
  </si>
  <si>
    <t>b. 17 Apr 1885.</t>
  </si>
  <si>
    <t>d. (unmarried) 9 Aug 1962 at Tormore, buried at Kilmore, Sleat.</t>
  </si>
  <si>
    <t>of 44, Cranmer Court, Sloane Avenue, London SW3.</t>
  </si>
  <si>
    <t>Only daughter of the Rev Lewis Haig LOYD (1844-1905).</t>
  </si>
  <si>
    <t>b. 26 Oct 1885.</t>
  </si>
  <si>
    <t>m. 27 Sep 1918 at St Peter’s, Eaton Square, London SW1, His Honour Edwin Max (b. 6 Jun 1870 in</t>
  </si>
  <si>
    <t>Islington, d. 7 Apr 1956, buried at Brookwood Cemetery) CBE, KC, County Court Judge 1932-45, son of</t>
  </si>
  <si>
    <t>H. KONSTAM of 64, Gloucester Place, Portman Square, London W1.</t>
  </si>
  <si>
    <t>d.s.p. 2 Feb 1989, buried at Brookwood Cemetery.</t>
  </si>
  <si>
    <t>Portrait by Philip LASZLO de LOMBOS in possession of Christopher Lewis LOYD (1923- ).</t>
  </si>
  <si>
    <t>2nd daughter of Frederic Edward LOYD (1856-1936) of Shaw Hill House, Melksham, Wiltshire and of Albyns, Romford, Essex.</t>
  </si>
  <si>
    <t>b. 23 Nov 1887.</t>
  </si>
  <si>
    <t>m. 15 Jun 1925 at St Peter &amp; St Paul (The Abbey) Bath, William Withers MOORE (b. 4 Aug 1855,</t>
  </si>
  <si>
    <t>d. 20 Feb 1944 at Bath, Somerset buried in Lansdown Cemetery, Bath) as his second wife.</t>
  </si>
  <si>
    <t>3 Veronica Ashwell MOORE</t>
  </si>
  <si>
    <t>Only daughter of Lewis Vivian LOYD (1852-1908) of Withybrook, Wolvey, etc.</t>
  </si>
  <si>
    <t>b. 22 Dec 1887.</t>
  </si>
  <si>
    <t>m. 16 Apr 1907, Comdt. Baron Max, French Cavalry, only son of General LEWAL.</t>
  </si>
  <si>
    <t>d. in childbirth 13 Jun 1917.</t>
  </si>
  <si>
    <t>Only daughter of Edward Kirkman LOYD (1851-1922) of Spencer House, Aylesbury, Buckinghamshire.</t>
  </si>
  <si>
    <t>b. 4 Feb 1889.</t>
  </si>
  <si>
    <t>from 1996.</t>
  </si>
  <si>
    <t>(b) Karen Natalie WHEELER</t>
  </si>
  <si>
    <t>b. 9 Jul 1973. Educated Henrietta Barnett 1984-91 and Nottingham University</t>
  </si>
  <si>
    <t>1991-95 (BA).</t>
  </si>
  <si>
    <t>Assistant Supervisor Ground Staff, Air France 1995-98. Sales Manager,</t>
  </si>
  <si>
    <t>Lagrange Holidays from 1998.</t>
  </si>
  <si>
    <t>d. 14 Apr 1967 at St Mawes, Cornwall, buried at St. Just-in-Roseland, Cornwall.</t>
  </si>
  <si>
    <t>Issue: 2 sons, 1 daughter.</t>
  </si>
  <si>
    <t>Only daughter of William Graham LOYD (1863-1923) of Stonehill, Bagshot, Surrey.</t>
  </si>
  <si>
    <t>b. 1 May 1890 at 46 Beaufort Gardens, London SW3.</t>
  </si>
  <si>
    <t>m. 10 Nov 1920 Charles (b. 17 Jan 1882, d. 26 Jan 1955) son of Leonard MICKLEM of Abbots Mead, Elstree, Hertfordshire. Served in World War I with Royal Marine Artillery Howitzer Brigade (despatches twice). Major 1917. DSO 1918. Member London Stock Exchange. DL 1983, JP Surrey. High Sheriff of Surrey 1938.</t>
  </si>
  <si>
    <t>Issue: (1st wife) 1 son.</t>
  </si>
  <si>
    <t>Youngest daughter of Frederic Edward LOYD (1856-1936) of Shaw Hill House, Melksham, Wiltshire and</t>
  </si>
  <si>
    <t>of Albyns, Romford, Essex.</t>
  </si>
  <si>
    <t>b. 3 Jun 1891.</t>
  </si>
  <si>
    <t>d. 3 Jun 1891, buried at All Saints’, Little Munden, Hertfordshire.</t>
  </si>
  <si>
    <t>Issue: 2 sons, 2 daughters.</t>
  </si>
  <si>
    <t>only daughter of Llewellyn Foster LOYD (1861-1939) of Lillesden House, Hawkhurst, Kent.</t>
  </si>
  <si>
    <t>b. 11 May 1898.</t>
  </si>
  <si>
    <t>Joint headmistress, Mercers School, Hawkhurst, Kent, 1946-59.</t>
  </si>
  <si>
    <t>d. (unmarried) 4 Jun 1977, cremated, ashes interred at Hawkhurst, Kent.</t>
  </si>
  <si>
    <t>Educated Wycombe Abbey.</t>
  </si>
  <si>
    <t>Only child of Arthur Kesteven LOYD (1890-1974) of 450 Cadder Avenue, Kelowna, British Columbia, Canada.</t>
  </si>
  <si>
    <t>b. 12 Aug 1913 at Walhachin, British Columbia. Educated Kelowna.</t>
  </si>
  <si>
    <t>m. 15 Apr 1950 Anne (b. 12 Mar 1921 in Fulham, London) eldest daughter of Colin SMITHELLS of Chalfont St. Peter, Buckinghamshire.</t>
  </si>
  <si>
    <t>Daimler Motor Works, Coventry 1933-36. Served in World War II as Squadron Leader, Royal Air Force. Pilot RAF Coastal Command 1936-1945. Irrigation Engineer, British Columbia 1948-72.</t>
  </si>
  <si>
    <t>Issue: 2 sons, 1 daughter.</t>
  </si>
  <si>
    <t>b. 17 Oct 1913. Educated Eton 1926-32.</t>
  </si>
  <si>
    <t>Served in World War II as Captain, Coldstream Guards. Wounded North Africa.</t>
  </si>
  <si>
    <t>d. (unmarried) 3 Oct 1943 at Lockinge, buried at Lockinge.</t>
  </si>
  <si>
    <t>of 16 Garden Wood, Inchmarlo, Banchory, AB31 4AW.</t>
  </si>
  <si>
    <t>Only daughter of William Lewis Brownlow LOYD (1889-1947) of Upper House, Shamley Green, Guildford, Surrey.</t>
  </si>
  <si>
    <t>b. 12 Sep 1915.</t>
  </si>
  <si>
    <t>m. 5 Mar 1935 at St Peter’s, Eaton Square, London SW1, James Ian KEITH, Earl of KINTORE (b. 25 Jul 1908, d. 1 Oct 1989) of Glenton House, Rickarton, Stonehaven, Kincardinshire, 12th Earl, 3rd Bart:, s. as 2nd Viscount STONEHAVEN 1941, changed his name by Interlocutor Lyon Court 28 Jun 1947. s. his mother as chief of the name of KEITH 1974. Educated Eton 1921-26. Vice-Lieutenant for Kincardinshire, and an Asso. Inst. of Structural Engineers. Served in World War II as Major, Royal Marines.</t>
  </si>
  <si>
    <t>Only son of Alfred William Kirkman LOYD (1882-1919) of Lealands House, Groombridge, Sussex.</t>
  </si>
  <si>
    <t>b. 5 Sep 1916 at Berkhamstead, Hertfordshire, bapt. 23 Sep 1916 at Fryth Cottage, Berkhampstead.</t>
  </si>
  <si>
    <t>Educated Eton 1930-35 and Trinity College, Oxford (MA).</t>
  </si>
  <si>
    <t>m. (1) 16 Mar 1946 at St Paul’s, Kiambu, Kenya, Katharine Layzell (b. 13 Mar 1924, d. 26 Oct 1981) 3rd</t>
  </si>
  <si>
    <t>and youngest daughter of Lieut Colonel Stanley Charles LAYZELL MC of Mwatati, Kenya.</t>
  </si>
  <si>
    <t>MBE 1951, OBE 1954, CMG, 1961, KCMG 1965.</t>
  </si>
  <si>
    <t>District Officer, Kenya 1939. Military Service East Africa 1940-42. Private Secretary to Governor of Kenya 1942-45. District Commissioner 1945-56. Commonwealth Fund Fellowship to USA 1953-54. Provincial Commissioner 1956-62. Permanent Secretary Governor’s Office 1962-63.</t>
  </si>
  <si>
    <t>HM Commissioner for Swaziland 1964-68. Director London House for Overseas Graduates 1969-79. Chairman Oxfam Africa Committee 1979-85.</t>
  </si>
  <si>
    <t>m. (2) 7 Sep 1984 at St Edmund’s Catholic Church, Bury St Edmunds, Suffolk, Mrs Monica (b. 1 Nov 1919, bapt. at Convent of The Sacred Heart, Calgary, Alberta, Canada) widow of Lieut Colonel Charles Russell MURRAY BROWN DSO of Worlington, Suffolk and 2nd daughter of John Lloyd Herman MEWBURN</t>
  </si>
  <si>
    <t>of Calgary, Alberta, Canada.</t>
  </si>
  <si>
    <t>Issue: (1st wife) 2 daughters.</t>
  </si>
  <si>
    <t>Only child of Lewis Frederic Innes LOYD (1880-1918).</t>
  </si>
  <si>
    <t>b. 24 Mar 1917.</t>
  </si>
  <si>
    <t>m. (1) 22 Jan 1940 at All Saints’ Cathedral, Cairo, Thomas (Tommy) (b. 26 Dec 1915, d. 24 Jan 1944 of wounds) Captain, Scots Guards, younger son of Hugh Sydney MARSHAM-TOWNSHEND JP of Scadbury Park, Chislehurst, Kent.</t>
  </si>
  <si>
    <t>Farm Manager, Pisa, Italy.</t>
  </si>
  <si>
    <t>b. 17 Aug 1917.</t>
  </si>
  <si>
    <t>d. 27 Oct 1926, buried at Lockinge.</t>
  </si>
  <si>
    <t>- 54 -</t>
  </si>
  <si>
    <t>Only daughter of Alfred William Kirkman LOYD (1882-1919) of Lealands House, Groombridge, Sussex.</t>
  </si>
  <si>
    <t>m. 30 Sep 1979 in Salisbury Cathedral, David (b. 12 Jan 1952) son of Charles William SURTEES of Durham. (Div Jul 1988).</t>
  </si>
  <si>
    <t>of 3 Ashlawn, The Green, Benenden, Cranbrook, Kent, TN17 4DL.</t>
  </si>
  <si>
    <t>Only daughter of Cecil Llewellyn LOYD (1890-1963).</t>
  </si>
  <si>
    <t>b. 26 Mar 1920 (twin with her brother), bapt. 2 May 1920 at St Laurence, Hawkhurst, Kent by her uncle the Rev Frank ETESON.</t>
  </si>
  <si>
    <t>Worked in Rhodesia and latterly for the National Trust, Devon.</t>
  </si>
  <si>
    <t>Only son of Cecil Llewellyn LOYD (1890-1963).</t>
  </si>
  <si>
    <t>b. 26 Mar 1920 (twin with his sister), bapt. 2 May 1920 at St Laurence, Hawkhurst, Kent by his uncle</t>
  </si>
  <si>
    <t>the Rev Frank ETESON. Educated Repton.</t>
  </si>
  <si>
    <t>m. 18 Jun 1948 at St. Cuthbert’s, Wood Green, London, by her father, Alison Fraser (b. 21 Feb 1920)</t>
  </si>
  <si>
    <t>youngest daughter of the Rev Robert B. PORTER, Missionary in West China 1907-34.</t>
  </si>
  <si>
    <t>Served in World War II in Africa, Italy and Burma (despatches). Major, Royal Engineers, TD 1950, ERD 1961, MCIT 1949. Retired from Emergency Reserve 1961. In Brewing industry. Liveryman of Goldsmith’s Company 17 Oct 1945 by special grant, as ward of George Loyd, Baron COURTHOPE (see No. 36) the Prime Warden of the Goldsmiths’ Company 1943-44.</t>
  </si>
  <si>
    <t>Issue: 6 sons.</t>
  </si>
  <si>
    <t>After their mother’s early death in 1932 at the age of 42, he and his twin sister were sent to live at Whiligh as Wards of Sir George [later Lord] COURTHOPE [see No. 36] where they experienced some resentment from Lady COURTHOPE and her two daughters. On occasions, delicate family matters were discussed in their presence such as the misdemeanours of their grandfather, Llewellyn Foster LOYD (1861-1939), in ruining his estate and being bailed out of his debts by his sister, Caroline Foster LOYD (1864-1940) [Mrs Hardcastle], all of which caused them considerable distress. However, one Christmas at Whiligh, they received a surprise present of £20 from an unnamed LOYD relative in Tunbridge Wells, which kindness they have never forgotten. Her name was not mentioned but it must have been Annie LOYD (1853-1946) who would have been told of their situation by their guardian.</t>
  </si>
  <si>
    <t>- 56 -</t>
  </si>
  <si>
    <t>2nd daughter of Arthur Thomas LOYD (1882-1944) of Lockinge, Wantage, Berkshire.</t>
  </si>
  <si>
    <t>b. 1 Dec 1920.</t>
  </si>
  <si>
    <t>Elder son of William Lewis Brownlow LOYD (1889-1947) of Upper House, Shamley Green, Guildford, Surrey.</t>
  </si>
  <si>
    <t>b. 21 Feb 1921. Educated Eton 1934-38.</t>
  </si>
  <si>
    <t>m. 6 Feb 1946 at St Peter’s, Eaton Square, London SW1, June Cecilia39 (b. 19 Jun 1924) eldest daughter of the late Lieut Colonel Arnold Ramsay KEPPEL, Kings Own Yorkshire Light Infantry.</t>
  </si>
  <si>
    <t>Served in World War II in North Africa. Captain, Coldstream Guards. Prisoner of war.</t>
  </si>
  <si>
    <t>d. 7 Jan 1977, buried at Langleybury, Hertfordshire.</t>
  </si>
  <si>
    <t>39 She m. 2ndly 16 Jun 1990 Alexander (Sandy) FLETCHER of The Old Vicarage, Wighill, Tadcaster,</t>
  </si>
  <si>
    <t>North Yorkshire, LS24 8BQ</t>
  </si>
  <si>
    <t>- 57 -</t>
  </si>
  <si>
    <t>of Dowdeswell Home Farm, Andoversford, Gloucestershire, GL54 4LX.</t>
  </si>
  <si>
    <t>Only Child of Edward Noel Farnham LOYD (1881-1962) of Houghton House, Churchill, Oxfordshire.</t>
  </si>
  <si>
    <t>b. 28 May 1922.</t>
  </si>
  <si>
    <t>m. 5 May 1951 Robert Edward Walker (b. 26 Nov 1913, bapt. in Bombay by the Rev, later the Rt Rev, Philip LOYD Bishop of Nasik and Bishop of St Albans, d. 11 Aug 1983) MC, Lieut Colonel, Welsh Guards, son of the late Edward Little SALE of Brownshill Court, Painswick, Gloucestershire; late Collector of Bombay and of Belgaum, Indian Civil Service.</t>
  </si>
  <si>
    <t>Issue: 1 Julian Edward Loyd SALE, of D’Anvers house, Culworth, Northamptonshire.</t>
  </si>
  <si>
    <t>b. 17 Dec 1951. Educated Eton 1965-69.</t>
  </si>
  <si>
    <t>Commissioned Welsh Guards 1971. Served Northern Ireland 1972. Managing Director, Newsweek International, Hong Kong 1979-88. Harvard Business Review, Singapore</t>
  </si>
  <si>
    <t>1988-96. Freelance publishing from 1997.</t>
  </si>
  <si>
    <t>m. 5 Sep 1987 in London, Fiona (b. 23 Aug 1955) younger daughter of David TAYLOR of Haywards Heath, Sussex and formerly of Hong Kong.</t>
  </si>
  <si>
    <t>Issue: (a) Alexander Robert Loyd SALE</t>
  </si>
  <si>
    <t>b. 17 Mar 1991, bapt. Sep 1991 at St Michael’s, Withington.</t>
  </si>
  <si>
    <t>(b) Oliver Edward David SALE</t>
  </si>
  <si>
    <t>b. 15 Sep 1995, bapt. Mar 1996 at St Michael’s, Withington.</t>
  </si>
  <si>
    <t>2 Iona Marian SALE of 70 Morrison Street, London SW11.</t>
  </si>
  <si>
    <t>b. 22 Mar 1954. Educated Lawnside, Malvern.</t>
  </si>
  <si>
    <t>Secretary to the Rt Hon Jeremy Thorpe MP. Manageress, Tiger Tops Hotel, Nepal 1981-82.</t>
  </si>
  <si>
    <t>Travel industry 1983-89. Public relations 1989-91. Press Officer, Spink &amp; Sons 1991-98.</t>
  </si>
  <si>
    <t>MD Iona PR from 1998.</t>
  </si>
  <si>
    <t>3 Charles Robert SALE</t>
  </si>
  <si>
    <t>b. 12 Sep 1956,</t>
  </si>
  <si>
    <t>d. 15 Aug 1957.</t>
  </si>
  <si>
    <t>4 Roderick Peter Abell (Roddy) SALE of Kishore Vihar, Carmichael Road, Bombay, India, and of Foxcote Hill, Andoversford, Gloucestershire.</t>
  </si>
  <si>
    <t>b. 14 Apr 1959. Educated Eton 1972-77.</t>
  </si>
  <si>
    <t>Commissioned Welsh Guards 1979. Served Northern Ireland 1979-80. Falklands Islands (Operation Corporate) 1982, 2nd in Command Support Company. Regimental Signals Officer 1982-84. Captain Jan 1985. OC HQ Company 1985. OC Household Division Centralised Courses, Guards Depot 1985. OC Guards Battle Camp, Thetford 1986. Transferred to Regular Army Reserve of Officers 1987. Merrill Lynch Capital Markets</t>
  </si>
  <si>
    <t>1987-90. Robert Fleming &amp; Co from 1990. Seconded Jardine Fleming from 1993. Head of Investment Banking and Director, Jardine Fleming, India from 1997.</t>
  </si>
  <si>
    <t>Officer Ven Order of St John 1998. Patron, No. III Maharashtra District, India, St John Ambulance 1997.</t>
  </si>
  <si>
    <t>- 58 -</t>
  </si>
  <si>
    <t>5 Edward John Andrew SALE of Minehill House, Brailes, Banbury, OX15 5BJ.</t>
  </si>
  <si>
    <t>b. 2 Oct 1963. Educated Eton 1977-81.</t>
  </si>
  <si>
    <t>Royal Agricultural College, Cirencester 1983-5. ARCS 1987. Various property and financial services activities 1987-97. Stockbroker, Brewin Dolphin, Birmingham from 1998.</t>
  </si>
  <si>
    <t>m. 25 Feb 1995 at St Peter’s, Hook Norton, Oxfordshire, Hester Caroline (b. 27 Mar 1966) elder daughter of Angus IRVINE of Nil Farm, Hook Norton, Oxfordshire.</t>
  </si>
  <si>
    <t>Issue (a) Frank Thomas Arthur SALE</t>
  </si>
  <si>
    <t>b. 21 Aug 1995, bapt. 5 Jan 1996 at St George’s, Brailes, Warwickshire.</t>
  </si>
  <si>
    <t>(b) Constance Nancy SALE</t>
  </si>
  <si>
    <t>b. 31 Dec 1997, bapt. 19 Apr 1998 at St George’s, Brailes, Warwickshire.</t>
  </si>
  <si>
    <t>Has safe keeping of old Welsh Bible with entries about LLOYD family in Carmarthenshire in 18th Century</t>
  </si>
  <si>
    <t>and other old family papers, and the blunderbuss belonging to Edward LOYD (1780-1863) for use by his coachman if attacked on the turnpikes.</t>
  </si>
  <si>
    <t>Eldest son of Wilfrid Haig LOYD (1893-1971) of 36, Chester Square, London SW1 and later of Oakhill, Seaview, Isle of Wight.</t>
  </si>
  <si>
    <t>b. 9 Oct 1922 at Frittenden, Kent, bapt. 9 Dec 1922 at St Michael’s, Chester Square. Educated Eton 1936-</t>
  </si>
  <si>
    <t>m. (1) 8 Apr 1950 at Tewkesbury Abbey, Suzanne (b. 25 Aug 1928) only child of Eric McLeod DUNCAN</t>
  </si>
  <si>
    <t>of The Croft, The Leigh, Nr. Cheltenham, Gloucestershire. (Div 1957).</t>
  </si>
  <si>
    <t>m. (2) 26 Aug 1961 at Chelsea Registry Office, Rosemary Joan (Rosie) (b. 23 Feb 1942, bapt. 3 Jul 1942 at Worplesdon, d. 12 Mar 1997, cremated 18 Mar 1997) elder daughter of Dr John Hay MOIR of Worplesdon, Surrey.</t>
  </si>
  <si>
    <t>m. (3) 10 Oct 1998 at Burgh House, Hampstead, London NW3, Mrs Rosemary Anne MARKHAM (b. 22</t>
  </si>
  <si>
    <t>Jan 1943), elder daughter of Flight Lieutenant David Moore CROOK (b. 24 Nov 1914, k. 18 Dec 1944</t>
  </si>
  <si>
    <t>flying) DFC 1 Nov 1940 of Glenwood, Edgerton, Huddersfield, Yorkshire. He served in World War II in Battle of Britain in 609 Squadron40.</t>
  </si>
  <si>
    <t>Served in World War II in Home Fleet in HMS Belfast, and on land in India and Burma. Captain, Royal Marines. Adjutant and Troop Commander, 42 Commando Royal Marines 1943-45. OC Royal Marines HMS Nigeria 1945-47. Retired from Royal Marines 1958. Imperial Chemical Industries, Plastics Division 1958-61. BTR Industries 1961-66. Industrial Society 1966-74. Director, British Institute of Management 1974-84. FMS 1966, FBIM 1974 (now FIMgt), FIIM 1979. Yachtmaster (Offshore) 1976.</t>
  </si>
  <si>
    <t>Issue: (1st wife) 1 son, 2 daughters.</t>
  </si>
  <si>
    <t>(2nd wife) 1 son, 1 daughter.</t>
  </si>
  <si>
    <t>40 Author of book “Spitfire Pilot”, Faber and Faber 1942.</t>
  </si>
  <si>
    <t>- 59 -</t>
  </si>
  <si>
    <t>Younger son of William Lewis Brownlow LOYD (1889-1947) of Upper House, Shamley Green, Guildford, Surrey.</t>
  </si>
  <si>
    <t>b. 18 Apr 1923. Educated Eton 1936-40.</t>
  </si>
  <si>
    <t>m. 4 Mar 1958 at St. Peter’s, Eaton Square, London, SW1 Sally Elizabeth Jane (b. 18 Jan 1931) eldest daughter of John INGLIS of West Nisbet, Jedburgh, Roxburghshire.</t>
  </si>
  <si>
    <t>Served in World War II as Captain, Coldstream Guards and later as Major, Coldstream Guards.</t>
  </si>
  <si>
    <t>d. 12 Jun 1974.</t>
  </si>
  <si>
    <t>3rd and youngest son of Arthur Thomas Loyd (1882-1944) of Lockinge, Wantage, Berkshire.</t>
  </si>
  <si>
    <t>b. 1 Jun1923 (twin with his youngest sister). Educated Eton 1936-42 and Kings College, Cambridge (BA 1949. MA).</t>
  </si>
  <si>
    <t>m. 17 Dec 1957 at St Margaret’s , Westminster, London, Joanna (b. 17 Nov 1935) only daughter of Captain Arthur Turberville SMITH-BINGHAM of Milburne Manor, Malmesbury, Wiltshire. (Div 1986).</t>
  </si>
  <si>
    <t>Served in World War II 1942-45 as Captain, Coldstream Guards, MC 1944. FRICS, DL 1954, JP 1950, High Sheriff 1961. Member Jockey Club. Trustee of Wallace Collection 1973-90.</t>
  </si>
  <si>
    <t>3rd and youngest daughter of Arthur Thomas LOYD (1882-1944) of Lockinge, Wantage, Berkshire.</t>
  </si>
  <si>
    <t>b. 1 Jun 1923 (twin with her youngest brother).</t>
  </si>
  <si>
    <t>m. 1 Dec 1948, John Charles Edmund Carson MEADE 6th Earl of CLANWILLIAM (b. 6 Jun 1914, d. 30 Mar 1989) D.L. of Montalto, Ballynalinch, co Down and of Flat 7, 58 Cadogan Square, London SW1.</t>
  </si>
  <si>
    <t>Issue: 1 Lady Selina Catherine MEADE</t>
  </si>
  <si>
    <t>b. 14 Mar 1950, bapt. 15 May 1950 at St George’s, Hanover Square, London W1.</t>
  </si>
  <si>
    <t>m. 28 Oct 1972 Nicholas George Lawrence (b. 21 Feb 1941) of Ardington Croft, Wantage, Oxfordshire, son of Alastair TIMPSON (b. 23 May 1915, d. 18 Dec 1997) of Castle Combe, Wiltshire.</t>
  </si>
  <si>
    <t>Issue: (a) Lawrence Rupert John TIMPSON</t>
  </si>
  <si>
    <t>b. 5 Jul 1974, bapt. 28 Oct 1974 at the Guards’ Chapel. Birdcage Walk, London.</t>
  </si>
  <si>
    <t>- 60 -</t>
  </si>
  <si>
    <t>(b) Catherine Selina Alexandra TIMPSON</t>
  </si>
  <si>
    <t>b. 13 Jan 1979, bapt. 27 Jul 1979 at All Saints’, Lockinge.</t>
  </si>
  <si>
    <t>2 Lady Mary Jane MEADE</t>
  </si>
  <si>
    <t>b. 12 Jul 1952, bapt. Sep 1952 at Magherdroll Parish Church, Ballynahinch, co Down.</t>
  </si>
  <si>
    <t>m. 8 Sep 1984 John Armar LOWRY-CORRY, 8th Earl of BELMORE (b. 4 Sep 1951) of</t>
  </si>
  <si>
    <t>The Garden House, Castle Coole, Enniskillen, co Fermanagh, BT74 6JY.</t>
  </si>
  <si>
    <t>Issue: (a) John Armar Galbraith, Viscount CORRY</t>
  </si>
  <si>
    <t>b. 2 Nov 1985, bapt. Feb 1986 at Derryvullen Church, Enniskillen.</t>
  </si>
  <si>
    <t>(b) The Hon Montagu Gilford George LOWRY-CORRY</t>
  </si>
  <si>
    <t>b. 30 Mar 1989, bapt. Jul 1989 at Derryvullen Church, Enniskillen.</t>
  </si>
  <si>
    <t>(c) Lady Martha Catherine LOWRY-CORRY</t>
  </si>
  <si>
    <t>b. 27 May 1992, bapt. Oct 1992 at Derryvullen Church, Enniskillen.</t>
  </si>
  <si>
    <t>3 Lady Julia Elizabeth MEADE</t>
  </si>
  <si>
    <t>b. 31 Dec 1953.</t>
  </si>
  <si>
    <t>m. 12 Oct 1985 Robert Ralph Scrymgeour (b. 4 Jan 1943 ) of Rainscombe Park, Oare, Marlborough, Wiltshire, SN8 4HZ, son of Ralph HISCOX CBE of Scott’s Farm, Chobham, Surrey.</t>
  </si>
  <si>
    <t>Issue: (a) Milo Edmund HISCOX</t>
  </si>
  <si>
    <t>b. 4 Jan 1987, bapt. 17 May 1987 at St George’s, Preschute, Marlborough,</t>
  </si>
  <si>
    <t>Wiltshire.</t>
  </si>
  <si>
    <t>(b) Henry Charles HISCOX</t>
  </si>
  <si>
    <t>b. 23 Sep 1989, bapt. 11 Mar 1990 at St George’s, Preschute, Marlborough,</t>
  </si>
  <si>
    <t>(c) Sidney John HISCOX</t>
  </si>
  <si>
    <t>b. 24 Jan 1993, bapt. 27 Jun 1993 at St George’s, Preschute, Marlborough,</t>
  </si>
  <si>
    <t>4 Lady Laura Louise MEADE</t>
  </si>
  <si>
    <t>b. 11 Mar 1957.</t>
  </si>
  <si>
    <t>m. 25 Apr 1981 Scott Buckingham (b. 24 Dec 1947) of 524 Purchase Street, Rye, New York, 10580, USA, son of Howard A REID of Bronxville, New York, USA.</t>
  </si>
  <si>
    <t>Issue: (a) Nicholas John Howard REID</t>
  </si>
  <si>
    <t>b. 30 Dec 1982, bapt. at St George’s, Preschute, Marlborough, Wiltshire.</t>
  </si>
  <si>
    <t>(b) Amelia Louise Catherine REID</t>
  </si>
  <si>
    <t>b. 24 Dec 1984, bapt. at Christ Church, Rye, New York.</t>
  </si>
  <si>
    <t>(c) Clementine Julia REID</t>
  </si>
  <si>
    <t>b. 9 Sep 1988, bapt. at Christ Church, Rye, New York.</t>
  </si>
  <si>
    <t>5 Lady Katherine Anne MEADE</t>
  </si>
  <si>
    <t>b. 10 Aug 1959, bapt. Dec 1959 at Magherdroll Parish Church, Ballynahinch, co Down.</t>
  </si>
  <si>
    <t>m. 1987 Christopher Aubrey Hamilton (b. 1953 ) of Litchfield Down, Whitchurch, Hampshire, elder son of Hon Victor Patrick Hamilton WILLS.</t>
  </si>
  <si>
    <t>- 61 -</t>
  </si>
  <si>
    <t>Issue: (a) Thomas Robert Hamilton WILLS</t>
  </si>
  <si>
    <t>b. 4 Jul 1991.</t>
  </si>
  <si>
    <t>(b) George Edmund Hamilton WILLS</t>
  </si>
  <si>
    <t>b. 29 Aug 1993.</t>
  </si>
  <si>
    <t>(c) Laura Felicity Hamilton WILLS</t>
  </si>
  <si>
    <t>b. 14 Feb 1996.</t>
  </si>
  <si>
    <t>6 Lady Sophia Hester MEADE</t>
  </si>
  <si>
    <t>b. 14 Oct 1963.</t>
  </si>
  <si>
    <t>m. 1990 Jonathan Garnett son of Brigadier Anthony Garnett HEYWOOD of</t>
  </si>
  <si>
    <t>Monkton House, Monkton Deverill, Wiltshire.</t>
  </si>
  <si>
    <t>Issue: (a) Richard Garnett HEYWOOD</t>
  </si>
  <si>
    <t>b. 13 Dec 1993, bapt. at St John’s, Pewsey, Wiltshire.</t>
  </si>
  <si>
    <t>(b) Alec Garnett HEYWOOD</t>
  </si>
  <si>
    <t>b. 22 Feb 1996, bapt. at St John’s, Pewsey, Wiltshire.</t>
  </si>
  <si>
    <t>Only child of Robert Lindsay LOYD (1887-1977) of Kings Walden, Windsor, Berkshire.</t>
  </si>
  <si>
    <t>b. 10 Dec 1923 at Weymouth Street, London, bapt. 9 Feb 1924 at St Ann’s, Bowden Hill,</t>
  </si>
  <si>
    <t>Nr. Chippenham, Wiltshire.</t>
  </si>
  <si>
    <t>m. 27 Mar 1954 at St. Mark’s, North Audley Street, London, Malcolm Coit (b. 17 Feb 1927) OBE 1997 of Ravenswood, 81 Gregories Road, Beaconsfield, Buckinghamshire, HP9 1HN, son of Andrew Fergus DUNLOP OBE of Purton Corner, Purton Lane, Farnham Royal, Buckinghamshire.</t>
  </si>
  <si>
    <t>World War II with British Red Cross Society.</t>
  </si>
  <si>
    <t>Issue: 1 Teressa Mary (Tessa) DUNLOP of 59 Wendell Road, London W12 9RS.</t>
  </si>
  <si>
    <t>b. 9 Jun 1956 at Queen Charlotte’s Hospital, London, bapt. 8 Sep 1956 at St Mary and All Saints’, Beaconsfield, Buckinghamshire. Educated St Mary’s, Calne, Wiltshire and Leeds 1975-79 (incl scholarship to University of Kuwait 1977-78) (BA 1st Cl Hons Arabic &amp; Theology 1979). Guildford College of Law 1986-88.</t>
  </si>
  <si>
    <t>Min of Defence 1980-86. Woodham Smith, Solicitors 1988-90. Solicitor of Supreme Court 1990. Solicitor, Taylor Joynson Garrett from 1993.</t>
  </si>
  <si>
    <t>2 Lindsay Fergus DUNLOP of Gartenstrasse 8b, 61476 Kronberg im Taunus, Germany.</t>
  </si>
  <si>
    <t>b. 23 May 1958 at Queen Charlotte’s Hospital, London, bapt. 9 Aug 1958 at St Mary and All Saints’, Beaconsfield, Buckinghamshire. Educated Eton 1971-76, Bristol 1977-80 (BA Hons History) and St Edmund Hall, Oxford 1980-83 (M Phil, Management Studies).</t>
  </si>
  <si>
    <t>m. 19 Aug 1995 at St Mary Abbots, London, W8, Miranda Grace (b. 14 Oct 1964 at</t>
  </si>
  <si>
    <t>St Mary’s Hospital, Paddington, London W2) only daughter of Robert Warren ELGIN of Brunswick Gardens, London, W8.</t>
  </si>
  <si>
    <t>MacMillan Publishers 1983-85. Burton Group 1985-87. Mercury Asset Management from 1987.</t>
  </si>
  <si>
    <t>Issue: (a) Ella Genevieve Elgin DUNLOP</t>
  </si>
  <si>
    <t>b. 25 Mar 1998 at Frankfurt am Main, Germany, bapt. 11 Oct 1998 at St Mary</t>
  </si>
  <si>
    <t>Abbots, London W8.</t>
  </si>
  <si>
    <t>- 62 -</t>
  </si>
  <si>
    <t>3 Celina Elizabeth DUNLOP of 10 St Peter’s Place, London, W9 2EE.</t>
  </si>
  <si>
    <t>b. 22 Sep 1960 at Queen Charlotte’s Hospital, London, bapt. 10 Dec 1960 at St Mary and All Saints’, Beaconsfield, Buckinghamshire. Educated St Mary’s, Calne, Wiltshire 1972-76 and Queen’s Gate School, London 1976-77.</t>
  </si>
  <si>
    <t>Picture Researcher, Octopus Books 1978-86. Picture Editor, Radio Times 1986-90. Picture Editor, The Economist from 1990.</t>
  </si>
  <si>
    <t>Only daughter of General Sir Henry Charles LOYD (1891-1973) of Mettingham Pines, Bungay, Suffolk.</t>
  </si>
  <si>
    <t>b. 21 Dec 1923.</t>
  </si>
  <si>
    <t>m. 3 Jan 1946 at St. Peter’s, Eaton Square, London, Sir Thomas Anthony (b. 20 Jun 1918), Kt. 1980 of</t>
  </si>
  <si>
    <t>The Old Rectory, Lydlinch, Sturminster Newton, Dorset, Major, Grenadier Guards, younger son of</t>
  </si>
  <si>
    <t>Colonel Sir Eric GORE-BROWNE DSO, OBE, TD of Glaston House, Rutland.</t>
  </si>
  <si>
    <t>Issue: 1 James Anthony GORE-BROWNE</t>
  </si>
  <si>
    <t>b. 26 Mar 1947, bapt. 3 Jun 1947 in London. Educated Eton 1960-65.</t>
  </si>
  <si>
    <t>m. 16 Apr 1983 at Symington, Ayrshire, Jane Ann (b. 5 Apr 1947) eldest daughter of Colonel Seton DICKSON of Field House, Ayrshire.</t>
  </si>
  <si>
    <t>Issue: (a) Marina Harriet GORE-BROWNE</t>
  </si>
  <si>
    <t>b. 19 Dec 1984, bapt. at Holy Trinity, Clapham Common, London.</t>
  </si>
  <si>
    <t>(b) Frederick Henry GORE-BROWNE</t>
  </si>
  <si>
    <t>b. 21 Jan 1987, bapt. at Holy Trinity, Clapham Common, London.</t>
  </si>
  <si>
    <t>(c) Harry Alastair GORE-BROWNE</t>
  </si>
  <si>
    <t>b. 20 Apr 1988, bapt. at Holy Trinity, Clapham Common, London.</t>
  </si>
  <si>
    <t>2 Georgina Mary GORE-BROWNE</t>
  </si>
  <si>
    <t>b. 25 Jan 1949, bapt. at Fryerning, Essex. Educated Downham, Hertfordshire.</t>
  </si>
  <si>
    <t>m. 4 Feb 1970 Christopher (b. 5 Feb 1947) 2nd son of T.D. PILKINGTON of Hyde Mill,</t>
  </si>
  <si>
    <t>Stow-on-the-Wold, Gloucestershire.</t>
  </si>
  <si>
    <t>Issue: (a) Edward Thomas PILKINGTON</t>
  </si>
  <si>
    <t>b. 15 Sep 1971 in London, bapt. at St Michael’s, Chester Square, London.</t>
  </si>
  <si>
    <t>(b) Lucinda Mary (Lucy) PILKINGTON</t>
  </si>
  <si>
    <t>b. 24 May 1973 in London, bapt. 3 Dec 1973 at Cirencester Parish Church.</t>
  </si>
  <si>
    <t>(c) Nicholas James PILKINGTON</t>
  </si>
  <si>
    <t>b. 29 Apr 1976 in Salisbury, bapt. at St Andrew’s, Landford, Salisbury.</t>
  </si>
  <si>
    <t>(d) Claire Georgina PILKINGTON</t>
  </si>
  <si>
    <t>b. 3 Jan 1979 in Salisbury, bapt. at St Andrew’s, Landford, Salisbury.</t>
  </si>
  <si>
    <t>3 David Charles GORE-BROWNE</t>
  </si>
  <si>
    <t>b. 21 Aug 1952, bapt. at Fryerning, Essex. Educated Eton 1964-69.</t>
  </si>
  <si>
    <t>m. 6 Dec 1986 Diana Jane (b. 18 Jul 1954) 2nd daughter of J N REES of St Asaph, North Wales.</t>
  </si>
  <si>
    <t>- 63 -</t>
  </si>
  <si>
    <t>Issue: (a) William Thomas GORE-BROWNE</t>
  </si>
  <si>
    <t>b. 28 May 1988 at Salisbury, bapt. at Damerham Parish Church, Fordingbridge.</t>
  </si>
  <si>
    <t>(b) Heather Caroline Mona GORE-BROWNE</t>
  </si>
  <si>
    <t>b. 17 Feb 1990 at Salisbury, bapt. at Hale Parish Church, Fordingbridge.</t>
  </si>
  <si>
    <t>(c) Rose Elizabeth Lavinia GORE-BROWNE</t>
  </si>
  <si>
    <t>b. 27 Oct 1991 at Salisbury, bapt. at Hale Parish Church, Fordingbridge.</t>
  </si>
  <si>
    <t>4 Patrick Robert GORE-BROWNE</t>
  </si>
  <si>
    <t>b. 15 Feb 1956, bapt. at Fryerning, Essex. Educated Eton 1969-73.</t>
  </si>
  <si>
    <t>m. 5 Jul 1980 at Bampton Church, Oxfordshire, Sarah (b. 24 Feb 1958) only daughter of Harold A JENKINSON of Burton Abbotts, Black Bourton, Oxfordshire.</t>
  </si>
  <si>
    <t>Issue: (a) Sophie Mary GORE-BROWNE</t>
  </si>
  <si>
    <t>b. 28 Mar 1985 at Winchester, bapt. 7 Jul 1985 at St Mary’s, Bentworth, Alton, Hampshire.</t>
  </si>
  <si>
    <t>(b) Elizabeth Clare GORE-BROWNE</t>
  </si>
  <si>
    <t>b. 18 May 1988 at Winchester, bapt. 12 Apr 1989 at St Mary’s. Bentworth, Alton, Hampshire.</t>
  </si>
  <si>
    <t>(c) Georgina Sarah GORE-BROWNE</t>
  </si>
  <si>
    <t>b. 14 Mar 1992 at Winchester, bapt. 20 Sep 1992 at St Mary’s, Bentworth, Alton, Hampshire.</t>
  </si>
  <si>
    <t>d. 12 Dec 1995. Buried at Peper Harow, Godalming, Surrey.</t>
  </si>
  <si>
    <t>Only son of Sir Henry Charles LOYD (1891-1973) of Mettingham Pines, Bungay, Suffolk.</t>
  </si>
  <si>
    <t>b. 25 May 1926. Educated Eton 1939-44 and Magdalene College, Cambridge (BA 1952. MA 1955).</t>
  </si>
  <si>
    <t>m. 20 Oct 1960 Philippa Mary Emma (b. 5 Dec 1932) twin daughter of Sir Christopher Eden STEEL</t>
  </si>
  <si>
    <t>GCMG, MVO of Southrop Lodge, Lechlade, Gloucestershire.</t>
  </si>
  <si>
    <t>Served in World War II as Lieutenant, Coldstream Guards. Agent to HM the Queen at Sandringham</t>
  </si>
  <si>
    <t>1964-1991. FRICS 1960. CVO 1979. DL 1983 Norfolk. KCVO 1991.</t>
  </si>
  <si>
    <t>- 64 -</t>
  </si>
  <si>
    <t>2nd son of Wifrid Haig LOYD (1893-1971) of 36 Chester Square, London SW1 and later of Oakhill, Seaview, Isle of Wight.</t>
  </si>
  <si>
    <t>b. 17 Jun 1926 at 36 Chester Square, bapt. 27 Jul 1926 at St Michael’s, Chester Square. Educated Eton 1939-43.</t>
  </si>
  <si>
    <t>m. (1) 28 Jul 1948 at St Michael’s, Chester Square, Patricia Mary (b. 11 Feb 1929) daughter of John Eric MACLEAN of Christchurch, Hampshire. (Div 1967).</t>
  </si>
  <si>
    <t>m. (2) 1 Mar 1968 Dawn (b. 3 Jun 1927) only child of Major Robert Douglas BAIRD MC, The Rifle Brigade, of Sorrel, Hale Purlieu, Fordingbridge, Hampshire.</t>
  </si>
  <si>
    <t>Cape Times (South Africa) 1948-51. London School of Printing &amp; Graphic Arts. Bowater Paper Corp. 1957-66. Tyler Smith &amp; Co. 1967-8. H. P. Bulmer 1968-70. Chairman &amp; MD Hereford Herbs 1970-89.</t>
  </si>
  <si>
    <t>Vice-President British Herb Trade Association from 1980. Chairman Herefordshire Fine Foods Marketing Grp. 1988-97. Chairman National Speciality Food &amp; Drink Committee 1990-1. Council British Speciality Foods 1990-97. Chairman &amp; MD Burley Marketing Associates from 1989.</t>
  </si>
  <si>
    <t>AIMSM 1961, AAMA 1964, MIM 1969. MBE 1997.</t>
  </si>
  <si>
    <t>Issue: (1st wife) 2 sons.</t>
  </si>
  <si>
    <t>of 36 Broad Street, Ludlow, Shropshire, SY8 1NL.</t>
  </si>
  <si>
    <t>Only daughter of Wilfrid Haig LOYD (1893-1971) of 36 Chester Square, London SW1 and later of Oakhill, Seaview, Isle of Wight.</t>
  </si>
  <si>
    <t>b. 15 Nov 1928 at 36 Chester Square, bapt. 20 Jan 1929 at St Michael’s, Chester Square.</t>
  </si>
  <si>
    <t>m. 10 Jun 1954 at St Margaret’s, Westminster, London, Derek Edward Anthony WINN, 5th Baron</t>
  </si>
  <si>
    <t>ST OSWALD (b. 9 Jul 1919, d. 18 Mar 1999) of Nostell Priory, Wakefield, West Yorkshire.</t>
  </si>
  <si>
    <t>Issue: 1 The Hon Geva Charlotte Caroline WINN of Clunie Cottage, Braemar, Aberdeenshire,</t>
  </si>
  <si>
    <t>AB35 5XQ.</t>
  </si>
  <si>
    <t>b. 15 Sep 1955, bapt. 14 Jan 1956 at St Margaret’s, Westminster, London.</t>
  </si>
  <si>
    <t>m. 12 Jun 1987 at St Michael and Our Lady, Wragby, West Yorkshire, by the Bishop of Wakefield, John Simon (b. 16 Sep 1954) elder son of John Harold Booth (Pat) BLACKETT of Whalton, Morpeth, Northumberland.</t>
  </si>
  <si>
    <t>Issue: (a) Charlotte BLACKETT</t>
  </si>
  <si>
    <t>b. 22 Sep 1988 at Grantham General Hospital, bapt. 4 Dec 1988 at</t>
  </si>
  <si>
    <t>St Dennis’s, Aswarby, Lincolnshire.</t>
  </si>
  <si>
    <t>(b) Evelyn (Eve) BLACKETT</t>
  </si>
  <si>
    <t>b. 23 Nov 1989 at Grantham General Hospital, bapt. 14 Apr 1990 at</t>
  </si>
  <si>
    <t>St Dennis’s, Aswarby, Lincolnshire.</t>
  </si>
  <si>
    <t>(c) Letitia (Lettie) BLACKETT</t>
  </si>
  <si>
    <t>b. 6 Aug 1991, bapt. 24 Nov 1991 at St Dennis’s, Aswarby, Lincolnshire.</t>
  </si>
  <si>
    <t>(d) Annabel BLACKETT (Over)</t>
  </si>
  <si>
    <t>- 65 -</t>
  </si>
  <si>
    <t>(d) Annabel BLACKETT</t>
  </si>
  <si>
    <t>b. 24 Mar 1993, bapt. 13 Jun 1993 at St Dennis’s, Aswarby, Lincolnshire.</t>
  </si>
  <si>
    <t>2 Charles Rowland Andrew WINN, 6th Baron ST OSWALD of Nostell Priory, Wakefield,</t>
  </si>
  <si>
    <t>West Yorkshire, WF4 1QE and of The Lodge, Terrington, Yorkshire.</t>
  </si>
  <si>
    <t>b. 22 Jul 1959.</t>
  </si>
  <si>
    <t>m. 19 Apr 1985 at St Michael and Our Lady, Wragby, West Yorkshire by the Bishop of Wakefield, Louise Alexandra (b. 3 Jan 1958), daughter of Stewart SCOTT of</t>
  </si>
  <si>
    <t>Holly Tree House, Thorpe Bassett, Malton, North Yorkshire.</t>
  </si>
  <si>
    <t>Issue: (a) The Hon Rowland Charles Sebastian Henry (Rowley) WINN</t>
  </si>
  <si>
    <t>b. 15 Apr 1986 at Harrogate, Yorkshire, bapt. 23 Nov 1986 at St Michael</t>
  </si>
  <si>
    <t>and Our Lady, Wragby, West Yorkshire by the Bishop of Wakefield.</t>
  </si>
  <si>
    <t>(b) The Hon Henrietta Sophia Alexandra WINN</t>
  </si>
  <si>
    <t>b. 22 Apr 1993, bapt. 19 Dec 1993 at St Michael and Our Lady, Wragby,</t>
  </si>
  <si>
    <t>West Yorkshire by the Bishop of Wakefield.</t>
  </si>
  <si>
    <t>of 4409 Benjamin Drive, Yakima, Washington, 98908, USA.</t>
  </si>
  <si>
    <t>Only daughter of Edward Basil Kirkman LOYD (1893-1932) of Kelowna, British Columbia, Canada.</t>
  </si>
  <si>
    <t>b. 27 Nov 1928 at Rutland, British Columbia, bapt. Dec 1928 at Kelowna, British Columbia. Educated Vernon, British Columbia, Banff, Alberta, Victoria, British Columbia and Business College, Medicine Hat, Alberta, Canada.</t>
  </si>
  <si>
    <t>m. (1) 24 Apr 1948 at Medicine Hat, Alberta, Harold Arthur (b. 1922) 3rd son of Arthur GRAHAM of Medicine Hat, Alberta. (Div Jun 1953.)</t>
  </si>
  <si>
    <t>Issue: 1 Lorraine Marie GRAHAM</t>
  </si>
  <si>
    <t>b. 19 May 1951 at Medicine Hat, Alberta, bapt. May 1953 at Coeur d’Alene, Idaho, USA.</t>
  </si>
  <si>
    <t>m. (1) 14 Feb 1975 Edward F. RUSSELL. (Div).</t>
  </si>
  <si>
    <t>Issue: (a) Edward Allen RUSSELL</t>
  </si>
  <si>
    <t>b. 9 Sep 1976.</t>
  </si>
  <si>
    <t>m. (2) 6 Mar 1979 Douglas AMY (b. 2 Sep 1950).</t>
  </si>
  <si>
    <t>Issue: (a) Mathew Howard AMY</t>
  </si>
  <si>
    <t>b. 2 Jun 1981 (twin with his brother).</t>
  </si>
  <si>
    <t>(b) Michael William AMY</t>
  </si>
  <si>
    <t>b.2 Jun 1981 (twin with his brother).</t>
  </si>
  <si>
    <t>(c) Jonathon Glen AMY</t>
  </si>
  <si>
    <t>b. 31 Jul 1983.</t>
  </si>
  <si>
    <t>m. (2) 7 Aug 1954 at Coeur d’Alene, Idaho, USA, William Elmo Jr. (Bill) (b. 8 Jan 1930) eldest son of William Elmo ORR of New Mexico Territory.</t>
  </si>
  <si>
    <t>Issue: 1 Nora Ann ORR</t>
  </si>
  <si>
    <t>b. 20 Mar 1955, bapt. 1955 at St Thomas’s Parish Church, Coeur d’Alene, Idaho.</t>
  </si>
  <si>
    <t>m. (1) 22 Nov 1972 Daniel James THOMPSON (b. 8 May 1955). (Div).</t>
  </si>
  <si>
    <t>- 66 -</t>
  </si>
  <si>
    <t>Issue: (a) Christopher Allen THOMPSON</t>
  </si>
  <si>
    <t>b. 14 Oct 1973, bapt. 1973 at St Joseph’s Cathedral Church, Otis Orchards,</t>
  </si>
  <si>
    <t>Washington.</t>
  </si>
  <si>
    <t>(b) George William THOMPSON</t>
  </si>
  <si>
    <t>b. 26 Sep 1976, bapt. 1976 at St Joseph’s Cathedral Church, Otis Orchards,</t>
  </si>
  <si>
    <t>(c) Jeremy James THOMPSON</t>
  </si>
  <si>
    <t>b. 18 Apr 1979, bapt. 1979 at Holy Family Church, Yakima, Washington.</t>
  </si>
  <si>
    <t>m. (2) Gary BITKER (b. 29 Jul 1954). (Div 1982).</t>
  </si>
  <si>
    <t>m. (3) 17 Aug 1990 Michael Allen (Mike) SEALUND (b. 14 Dec 1950) of Bellingham,</t>
  </si>
  <si>
    <t>2 Michael Kirkman Loyd ORR</t>
  </si>
  <si>
    <t>b. 16 Feb 1956, bapt. 1956 at St Thomas’s Cathedral Church, Coeur d’Alene, Idaho.</t>
  </si>
  <si>
    <t>m. (1) Jun 1977 Marcell Lee WATKINS. (Div).</t>
  </si>
  <si>
    <t>Issue: (a) Charitie Lee ORR</t>
  </si>
  <si>
    <t>b. 24 Jul 1978.</t>
  </si>
  <si>
    <t>m. (2) 9 Feb 1980 Kim BAKER (b. 22 Nov 1955).</t>
  </si>
  <si>
    <t>Issue: (a) Audrey Dawn ORR</t>
  </si>
  <si>
    <t>b. 12 Jul 1980.</t>
  </si>
  <si>
    <t>(b) Michael Travis Kirkman ORR</t>
  </si>
  <si>
    <t>b. 12 Apr 1984.</t>
  </si>
  <si>
    <t>(c) Seth Edward ORR</t>
  </si>
  <si>
    <t>b. 26 Oct 1986.</t>
  </si>
  <si>
    <t>3 Edward William (Ted) ORR</t>
  </si>
  <si>
    <t>b. 2 Sep 1959 at US Naval Hospital, Portsmouth, Virginia., bapt. 1959 at Portsmouth, Virginia.</t>
  </si>
  <si>
    <t>US Navy, Senior Chief Petty Officer, retd 1998.</t>
  </si>
  <si>
    <t>m. (1) Janet SCHRODER (b. 21 Aug 1961). (Div 1995).</t>
  </si>
  <si>
    <t>Issue: (a) Brandy Marie ORR</t>
  </si>
  <si>
    <t>b. 13 Mar 1979.</t>
  </si>
  <si>
    <t>(b) Timothy James ORR</t>
  </si>
  <si>
    <t>b. 26 May 1980 at US Naval Hospital, San Diego, California.</t>
  </si>
  <si>
    <t>m. (2) 16 Aug 1997 at Fox Island, Washington, Teri TESCH (b. 30 Apr 1960).</t>
  </si>
  <si>
    <t>4 Heather Lynn ORR</t>
  </si>
  <si>
    <t>b. 29 Dec 1970, bapt 10 Jan 1971 at Holy Mary’s Cathedral Church, Opportunity,</t>
  </si>
  <si>
    <t>Teacher, Lewis &amp; Clarke Middle School, Yakima, Washington.</t>
  </si>
  <si>
    <t>m. Ronald CLINE of Yakima. (Div).</t>
  </si>
  <si>
    <t>Operations Manager KNDO Television 1979-81. Hotel hostess in Yakima, Washington 1981-82.</t>
  </si>
  <si>
    <t>Administrator Montessori School, Yakima 1982-96. Involved in Summer Camp and Special Olympics</t>
  </si>
  <si>
    <t>for disabled.</t>
  </si>
  <si>
    <t>d. 11 Sep 1996.</t>
  </si>
  <si>
    <t>- 67 -</t>
  </si>
  <si>
    <t>Eldest daughter of Lewis Richard William LOYD (1882-1950).</t>
  </si>
  <si>
    <t>b. 1 Dec 1931 at 12 Rue de Boileau, Paris, bapt. 1932 at the English Church of St. George, Paris.</t>
  </si>
  <si>
    <t>m. 25 Jan 1951 at Torquay, Frank (b. 9 Oct 1920) of 1A Victoria Street, Lytham, Lancashire, FY8 5DU, son of Francis HOYLE.</t>
  </si>
  <si>
    <t>Issue: 1 Frances Mary HOYLE</t>
  </si>
  <si>
    <t>b. 24 Nov 1953.</t>
  </si>
  <si>
    <t>m. 1 Oct 1981 Nicholas CARTER (b. 25 Jan 1952) (Div 1984).</t>
  </si>
  <si>
    <t>Issue: (a) Daniel John CARTER</t>
  </si>
  <si>
    <t>b. 22 Sep 1976.</t>
  </si>
  <si>
    <t>(b) Simon Peter CARTER</t>
  </si>
  <si>
    <t>b. 28 May 1982.</t>
  </si>
  <si>
    <t>2 Richard William Lewis HOYLE</t>
  </si>
  <si>
    <t>b. 12 Dec 1956.</t>
  </si>
  <si>
    <t>m. 8 Nov 1980 Lesley SAXTON (b. 31 May 1955).</t>
  </si>
  <si>
    <t>Issue: (a) Matthew Christopher Richard HOYLE</t>
  </si>
  <si>
    <t>b. 31 May 1982.</t>
  </si>
  <si>
    <t>(b) Darren Andrew HOYLE</t>
  </si>
  <si>
    <t>b. 28 Aug 1985.</t>
  </si>
  <si>
    <t>3 David John HOYLE</t>
  </si>
  <si>
    <t>b. 2 Dec 1961.</t>
  </si>
  <si>
    <t>m. 15 May 1982 Karen FULLER (b. 30 Mar 1961).</t>
  </si>
  <si>
    <t>Issue: (a) Tanya Louise HOYLE</t>
  </si>
  <si>
    <t>b. 14 Nov 1985.</t>
  </si>
  <si>
    <t>4 Peter James HOYLE</t>
  </si>
  <si>
    <t>b. 9 Nov 1963.</t>
  </si>
  <si>
    <t>m. 29 Jun 1985 Dianne McCARTHY (b. 16 Sep 1964).</t>
  </si>
  <si>
    <t>of 8 Bristol House, 80A Southampton Row, London WC1B 4BA.</t>
  </si>
  <si>
    <t>Elder daughter of Eric William LOYD (1894-1963) of The Dene, Riverwoods, Marlow, Buckinghamshire and of 42 Thurloe Square, London SW7.</t>
  </si>
  <si>
    <t>b. 1 Mar 1932, bapt. 8 Apr 1982 at the Brompton Oratory, London SW7. Educated Holy Child Convent, Harrogate.</t>
  </si>
  <si>
    <t>m. 19 Dec 1963 at Kensington Registry Office Terrence (Terry) (b. 1 Nov 1932, d. 1 Apr 2000) only son of Eric Samuel WALTON of Greenfield, Stafford.</t>
  </si>
  <si>
    <t>- 68 -</t>
  </si>
  <si>
    <t>Issue: 1 Jennet WALTON</t>
  </si>
  <si>
    <t>b. 25 Nov 1964, bapt. 10 Jan 1965 at the Brompton Oratory, London SW7. Educated Mayfield Convent, Sussex.</t>
  </si>
  <si>
    <t>2 Timothy WALTON</t>
  </si>
  <si>
    <t>b. 22 Aug 1967, bapt. 8 Oct 1967 at St. Teresa’s, Trent Vale, Staffordshire. Educated Ampleforth, Manchester University (BA) and London University, School of Oriental &amp; African Studies (MA).</t>
  </si>
  <si>
    <t>of The Oaks, Church Lane, Westbere, Canterbury, Kent, CT2 0HA.</t>
  </si>
  <si>
    <t>Younger daughter of Eric William LOYD (1894-1963) of The Dene, Riverwoods, Marlow, Buckinghamshire and of 42 Thurloe Square, London SW7.</t>
  </si>
  <si>
    <t>b. 31 Aug 1933, bapt. 29 Sep 1933 at the Brompton Oratory, London SW7. Educated Holy Child Convent, Harrogate and Reading University (BA).</t>
  </si>
  <si>
    <t>m. 8 Sep 1959 at St Peter’s, Marlow, Leonard Drummond (b 24 May 1933) 3rd son of Robert Craig BOYCE of Glasgow. French Master, The Edinburgh Academy 1959-92.</t>
  </si>
  <si>
    <t>Issue: 1 John Drummond BOYCE</t>
  </si>
  <si>
    <t>b. 30 Jul 1961, bapt. 27 Aug 1961 at St Peter’s, Marlow. Educated Edinburgh Academy, King’s College, London (LLB), and Pantheon, Sorbonne, Paris (Maitrise en Droit).</t>
  </si>
  <si>
    <t>Partner Slaughter and May, London and Brussels.</t>
  </si>
  <si>
    <t>m. 15 Aug 1987 Beverley Margaret JOHNSON (b. 4 Jun 1962).</t>
  </si>
  <si>
    <t>Issue: (a) Christopher Drummond BOYCE</t>
  </si>
  <si>
    <t>b. 8 Jan 1990 in Brussels.</t>
  </si>
  <si>
    <t>(b) Andrew Alexander BOYCE</t>
  </si>
  <si>
    <t>b. 7 Aug 1991 in Brussels.</t>
  </si>
  <si>
    <t>(c) Robin Oscar BOYCE</t>
  </si>
  <si>
    <t>b. 24 Sep 1997 in Brussels.</t>
  </si>
  <si>
    <t>2 Joanna Mary BOYCE</t>
  </si>
  <si>
    <t>b. 18 Feb 1963, bapt. 16 Mar 1963 at St. Mary’s Cathedral, Edinburgh. Educated St Margaret’s Convent, Edinburgh and Brighton Polytechnic (BA).</t>
  </si>
  <si>
    <t>3 Robert Eric BOYCE</t>
  </si>
  <si>
    <t>b. 20 Mar 1964, bapt. 18 Apr 1964 at Holy Cross, Edinburgh. Educated The Edinburgh Academy, Bath University (BSc), and Bristol University (MSc).</t>
  </si>
  <si>
    <t>4 Paula Margaret BOYCE</t>
  </si>
  <si>
    <t>b. 26 Sep 1966, bapt. 22 Oct 1966 at Holy Cross, Edinburgh. Educated St George’s,</t>
  </si>
  <si>
    <t>Edinburgh and St Andrew’s University (MA).</t>
  </si>
  <si>
    <t>m. 30 Jul 1996 at Canterbury Registry Office, Rolando Oscar CASTRO (b. 4 Dec 1965)</t>
  </si>
  <si>
    <t>of Rio de Janeiro.</t>
  </si>
  <si>
    <t>Issue: (a) Karina Boyce de CASTRO</t>
  </si>
  <si>
    <t>b. 11 Feb 1999.</t>
  </si>
  <si>
    <t>- 69 -</t>
  </si>
  <si>
    <t>2nd daughter of Lewis Richard William LOYD (1882-1950).</t>
  </si>
  <si>
    <t>b. 24 Feb 1936 at Rue de Conde, Saint-Jean-Les-Deux-Jumeaux, France, bapt. 16 Apr 1936 at the English Church of St. George, Paris.</t>
  </si>
  <si>
    <t>m. 15 Mar 1966 at Loughborough Registry Office, Cyril Eric DOWNES (b. 12 Nov 1930) of Home Farm, Wicklewood, Norfolk. (Div. Jan 1977).</t>
  </si>
  <si>
    <t>Issue: 1 Kevin John DOWNES</t>
  </si>
  <si>
    <t>b. 13 Oct 1958 at Loughborough, Leicestershire.</t>
  </si>
  <si>
    <t>2 Lynda Carol DOWNES</t>
  </si>
  <si>
    <t>b. 15 Oct 1960 at Kegworth, Leicestershire.</t>
  </si>
  <si>
    <t>3 Graeme Richard DOWNES</t>
  </si>
  <si>
    <t>b. 22 Oct 1961 at Kegworth, Leicestershire.</t>
  </si>
  <si>
    <t>4 Lesley Karen DOWNES</t>
  </si>
  <si>
    <t>b. 21 Mar 1963 at Kegworth, Leicestershire.</t>
  </si>
  <si>
    <t>Elder son of Vivian Graham LOYD (1894-1972) of Cowarth Park Farm, Sunningdale, Berkshire.</t>
  </si>
  <si>
    <t>b. 23 Dec 1937. Educated Eton 1951-55.</t>
  </si>
  <si>
    <t>m. (1) 10 Oct 1962 Deirdre (b. 11 Apr 1936) younger daughter of Walter Hugh THOMPSON</t>
  </si>
  <si>
    <t>of Symondstone, Churt, Farnham, Surrey. (Div.)</t>
  </si>
  <si>
    <t>- 70 -</t>
  </si>
  <si>
    <t>m. (2) 27 Oct 1975 Lieselotte (Lilo) (b. 15 Nov 1944) eldest daughter of Theodor BRANDSTETTER of Klagenfurt, Austria.</t>
  </si>
  <si>
    <t>Major, The Life Guards. Author of ‘Challengers and Chargers’, a history of The Life Guards 1945-1992, and of ‘A Lurcher in the House’.</t>
  </si>
  <si>
    <t>d. 8 Jul 1994.</t>
  </si>
  <si>
    <t>Elder son of Eric William LOYD (1894-1963) of The Dene, Riverwoods, Marlow, Buckinghamshire and of</t>
  </si>
  <si>
    <t>42 Thurloe Square, London SW7.</t>
  </si>
  <si>
    <t>b. 28 Aug 1938, bapt. 27 Sep 1938 at St Peter’s, Marlow. Educated Ampleforth and RMA Sandhurst.</t>
  </si>
  <si>
    <t>m. 8 Sep 1973 at Stagshaw Chapel, Corbridge, Northumberland, Rosemary (Rosie) (b. 19 Jan 1945) daughter of John Joicey STRAKER of Stagshaw House, Corbridge, Northumberland.</t>
  </si>
  <si>
    <t>Captain, Royal Dragoons 1958-69. Courage Breweries 1969-77. Lieut Colonel, Sultan of Oman’s Forces and Secretary to Defence Committee, Government of Oman 1977-81. Farmer from 1981. JP 1984.</t>
  </si>
  <si>
    <t>High Sheriff 1993.</t>
  </si>
  <si>
    <t>Issue: 3 daughters.</t>
  </si>
  <si>
    <t>b. 6 Jul 1939.</t>
  </si>
  <si>
    <t>m. 14 Oct 1963 Savile William Francis CROSSLEY, 3rd Baron SOMERLEYTON (b. 17 Sep 1928) of Somerleyton Hall, Lowestoft, Suffolk, NR32 5QQ. Educated Eton 1942-46. Captain, Coldstream Guards. Co. Councillor, East Suffolk 1967-73. DL, JP, a Lord in Waiting to HM The Queen from 1978. Director East Anglian Water Co.</t>
  </si>
  <si>
    <t>OBE 1997.</t>
  </si>
  <si>
    <t>Issue: 1 The Hon Isabel Alicia Claire CROSSLEY</t>
  </si>
  <si>
    <t>b. 27 Sep 1964, bapt. at St Mary’s, Somerleyton. Educated Felixtowe College, and Cambridge Polytechnic/Anglia University (BA European Philosophy and Spanish).</t>
  </si>
  <si>
    <t>m. 5 Oct 1991 Mark (b. 30 Oct 1960) 2nd son of Francis CATOR of Ranworth, Norfolk.</t>
  </si>
  <si>
    <t>- 71 -</t>
  </si>
  <si>
    <t>Issue: (a) Benjamin CATOR</t>
  </si>
  <si>
    <t>b. 17 Oct 1988.</t>
  </si>
  <si>
    <t>(b) Lara CATOR</t>
  </si>
  <si>
    <t>b. 11 Sep 1992.</t>
  </si>
  <si>
    <t>(c) Oscar CATOR</t>
  </si>
  <si>
    <t>b. 28 Feb 1996.</t>
  </si>
  <si>
    <t>2 The Hon Camilla Mary Lara CROSSLEY</t>
  </si>
  <si>
    <t>b. 27 Jun 1967, bapt. at St Mary’s, Somerleyton. Educated Runton Hill, and abroad.</t>
  </si>
  <si>
    <t>m. 5 Jun 1993 William (Sandy) (b. 30 Jan 1960) eldest son of Robin SOAMES</t>
  </si>
  <si>
    <t>of Toppesfield, Essex.</t>
  </si>
  <si>
    <t>Issue: (a) Milo SOAMES</t>
  </si>
  <si>
    <t>b. 21 Dec 1995.</t>
  </si>
  <si>
    <t>(b) Tommy SOAMES</t>
  </si>
  <si>
    <t>b. 21 Aug 1997.</t>
  </si>
  <si>
    <t>(c) Mary Alicia Claire SOAMES</t>
  </si>
  <si>
    <t>b. 10 May 1999.</t>
  </si>
  <si>
    <t>3 The Hon Alicia Phyllis Belinda CROSSLEY</t>
  </si>
  <si>
    <t>b. 9 Apr 1969, bapt. at St Mary’s, Somerleyton. Educated St George’s, Ascot and Newcastle University (BA Geography).</t>
  </si>
  <si>
    <t>m. 28 Nov 1998 Robert (Bobby) (b. 5 Nov 1964) only son of Michael PAWSON</t>
  </si>
  <si>
    <t>of Windsor Forest, Berkshire.</t>
  </si>
  <si>
    <t>4 The Hon Hugh Francis Savile CROSSLEY</t>
  </si>
  <si>
    <t>b. 27 Sep 1971, bapt. at St Mary’s, Somerleyton. Educated Eton 1985-89 and Anglia</t>
  </si>
  <si>
    <t>University (BA History).</t>
  </si>
  <si>
    <t>5 The Hon Louisa Bridget Vivian CROSSLEY</t>
  </si>
  <si>
    <t>b. 9 Feb 1974, bapt. at St Mary’s, Somerleyton. Educated Downe House, Newbury and Wimbledon College of Art (BA Theatre Design).</t>
  </si>
  <si>
    <t>3rd daughter of Lewis Richard William LOYD (1882-1950).</t>
  </si>
  <si>
    <t>b. 18 Nov 1939 at Norwich, bapt. 14 Jan 1940 at St Mary’s, Martham, Norfolk.</t>
  </si>
  <si>
    <t>m. 19 Apr 1969 at Cockington, Torquay, Devon, Michael Herbert (Mike) CLULOW (b. 23 Sep 1944) of</t>
  </si>
  <si>
    <t>22 West Street, Bridlington, North Humberside, YO15 3DX.</t>
  </si>
  <si>
    <t>Issue: 1 Carl CLULOW</t>
  </si>
  <si>
    <t>b. and bapt. 19 Jan 1970,</t>
  </si>
  <si>
    <t>d. 19 Jan 1970.</t>
  </si>
  <si>
    <t>2 Kate CLULOW</t>
  </si>
  <si>
    <t>b. 12 Aug 1971 at Chichester, Sussex, bapt. 28 Nov 1971 at Cockington, Torquay, Devon.</t>
  </si>
  <si>
    <t>3 Clare CLULOW</t>
  </si>
  <si>
    <t>b. 30 Mar 1973 at Chichester, Sussex, bapt. 1 Jul 1973 at St Peter’s, Selsey, Sussex.</t>
  </si>
  <si>
    <t>- 72 -</t>
  </si>
  <si>
    <t>Only son of Lewis Richard William LOYD (1882-1950).</t>
  </si>
  <si>
    <t>b. 29 Mar 1942 (twin with his youngest sister) in Norwich, bapt. 10 Jun 1942 at St. Mary’s, Martham, Norfolk.</t>
  </si>
  <si>
    <t>m. 2 Oct 1964 at All Saints’, Grendon, West Atherstone, Warwickshire, Mary (b. 6 Aug 1939 at Tamworth, Staffordshire, d. 17 Feb 1997) daughter of Morgan DAVIES of Lodge Farm, Ratcliffe Culey, Atherstone, Warwickshire.</t>
  </si>
  <si>
    <t>Issue: 1 son, 2 daughters.</t>
  </si>
  <si>
    <t>4th and youngest daughter of Lewis Richard William LOYD (1882-1950).</t>
  </si>
  <si>
    <t>b. 29 Mar 1942 (twin with her brother) in Norwich.</t>
  </si>
  <si>
    <t>d. 2 Apr 1942 in Norwich.</t>
  </si>
  <si>
    <t>Younger son of Eric William LOYD (1894-1963) of The Dene, Riverwoods, Marlow, Buckinghamshire and of 42 Thurloe Square, London SW7.</t>
  </si>
  <si>
    <t>b. 8 Sep 1942, bapt. 28 Sep 1942 at St Hubert’s, Dunsopbridge, Lancashire. Educated Ampleforth and RMA Sandhurst.</t>
  </si>
  <si>
    <t>m. (1) 9 Jan 1971 at St Oswald’s, Bellingham, Northumberland Mary Jennifer (b. 15 Jul 1946, d. 10 Oct 1976 as result of a train accident in Mexico) eldest daughter of Major Frederick John CHARLTON of Hesleyside Hall, Bellingham, Northumberland.</t>
  </si>
  <si>
    <t>m. (2) 22 May 1981 at Farm Street, London, Charlotte Ann (b. 13 Sep 1946), only daughter of Timothy Grant HEDLEY of Berwick House, Lympne, Kent.</t>
  </si>
  <si>
    <t>Captain, Royal Scots Greys 1962-71. Scottish &amp; Newcastle Breweries 1971-78. MD Christopher &amp; Co 1978-84. Farmer and independent wine merchant from 1984. Knight of Malta 1980.</t>
  </si>
  <si>
    <t>Issue: (1st wife) 1 son, 1 daughter.</t>
  </si>
  <si>
    <t>(2nd wife) 2 daughters.</t>
  </si>
  <si>
    <t>- 73 -</t>
  </si>
  <si>
    <t>of 3 Whittingstall Mansions, Whittingstall Road, London SW6 4EE.</t>
  </si>
  <si>
    <t>Only daughter of Edward Percy Canning LOYD (1921-1977) of 10 Cadogan Square, London SW1.</t>
  </si>
  <si>
    <t>b. 16 Jan 1947, bapt. 19 Mar 1947 at St Peter’s, Eaton Square, London SW1. Educated Brondesbury-at-Stocks, Tring, Hertfordshire.</t>
  </si>
  <si>
    <t>m. 2 May 1968 at the Guards’ Chapel, Birdcage Walk, London SW1, Anthony Havelock (b. 25 Apr 1946) elder son of Havelock Henry Trevor HUDSON of The Old Rectory, Stanford Dingley, Berkshire.</t>
  </si>
  <si>
    <t>(Div 1973).</t>
  </si>
  <si>
    <t>Drivers Jonas 1973-78. United Friendly 1978-85. Business Space 1985-86. Business Support Officer, Finance &amp; Leasing Association from Dec 1986.</t>
  </si>
  <si>
    <t>Only son of Edward Percy Canning LOYD (1921-1977) of 10 Cadogan Square, London SW1.</t>
  </si>
  <si>
    <t>b. 4 Jan 1949, bapt. 19 Mar 1949 at St Peter’s, Eaton Square, London SW1. Educated Eton 1962-67.</t>
  </si>
  <si>
    <t>FCA 1973. Peat Marwick Mitchell 1974-78. Kleinwort Benson from 1978. MD Dresdner Kleinwort Benson, Hong Kong 1997-99. Corporate Finance Director, Kleinwort Benson from 1999.</t>
  </si>
  <si>
    <t>m. 2 Nov 1985 Mrs Anabel Laura Dorothy STAPLETON (b. 31 Dec 1955) only daughter of the Hon</t>
  </si>
  <si>
    <t>Charles MORRISON MP.</t>
  </si>
  <si>
    <t>Elder son of Geoffrey Haig LOYD (1926- ) of Remenham House, Ocle Pychard, Herefordshire, HR1 3RB.</t>
  </si>
  <si>
    <t>b. 18 Feb 1949 at Mowbray, Capetown, South Africa, bapt. at Cape Town Cathedral. Educated Dean Close, Cheltenham.</t>
  </si>
  <si>
    <t>m. 19 Dec 1974 Jill Deloitte (b. 19 Nov 1948) eldest daughter of Charles Deloitte DAVIS of Mosman,</t>
  </si>
  <si>
    <t>New South Wales, Australia.</t>
  </si>
  <si>
    <t>of The Corner House, Stoke-by-Nayland, Suffolk, CO6 4SE.</t>
  </si>
  <si>
    <t>Elder daughter of Sir Francis Alfred LOYD (1916- ) of 53 Park Road, Aldeburgh, Suffolk.</t>
  </si>
  <si>
    <t>b. 1 May 1949 at Nyeri, Kenya, bapt. 18 Sep 1949 at Fort Hall, Kenya. Educated Kenya High, Nairobi and Queen Anne’s, Caversham.</t>
  </si>
  <si>
    <t>- 74 -</t>
  </si>
  <si>
    <t>m. 24 Nov 1973 at the Chapel of St. Augustine, London House for Overseas Graduates, Mecklenburgh Square, London WC1, Terrence Eric (b. 5 Jan 1948, d. 21 Apr 1987) 2nd son of Vernon James BOSMAN</t>
  </si>
  <si>
    <t>of Johannesburg, South Africa.</t>
  </si>
  <si>
    <t>Issue: 1 Katharine Jane Loyd BOSMAN</t>
  </si>
  <si>
    <t>b. 6 Sep 1978, bapt. Feb 1979 at Mbabane, Swaziland.</t>
  </si>
  <si>
    <t>2 Adam Terrence Loyd BOSMAN</t>
  </si>
  <si>
    <t>b. 16 Dec 1980, bapt. 11 Oct 1981 at St Mary’s, Stoke-by-Nayland, Suffolk.</t>
  </si>
  <si>
    <t>Eldest son of Alwyne Eteson LOYD (1920- ) of Stag Cottage, 17 Kings Road, Teddington, Middlesex, TW11 0QB.</t>
  </si>
  <si>
    <t>b. 5 Jul 1949 at St. George’s Wood, Haslemere, Surrey, bapt. 7 Oct 1949 at St. Cuthbert’s, Wood Green, London, by his grandfather, the Rev Robert PORTER. Educated Brentwood.</t>
  </si>
  <si>
    <t>m. 30 Mar 1978 at St Mary’s, Wimbledon, London SW19, Deirdre Susan (b. 4 May 1951) only daughter of Alexander WELLS of Winwick, Cheshire.</t>
  </si>
  <si>
    <t>Freeman of Goldsmiths’ Company 1973.</t>
  </si>
  <si>
    <t>of 896 Westpoint Drive, Kelowna, British Columbia, Canada.</t>
  </si>
  <si>
    <t>2nd son of Alwyne Eteson LOYD (1920- ) of Stag Cottage, 17 Kings Road, Teddington, Middlesex,</t>
  </si>
  <si>
    <t>TW11 0QB.</t>
  </si>
  <si>
    <t>b. 5 Jun 1951 at St. George’s Wood, Haslemere, Surrey, bapt. 25 Aug 1951 at St Cuthbert’s, Wood Green, London by his grandfather, the Rev Robert PORTER. Educated Brentwood.</t>
  </si>
  <si>
    <t>Freeman of Goldsmiths’ Company 1973. FSVA 1973. FIAS(TP) 1976. FB Eng 1993. FRICS 2000.</t>
  </si>
  <si>
    <t>Chartered &amp; Corporate Surveyor. Corporate Building Engineer.</t>
  </si>
  <si>
    <t>Younger son of Vivian Graham LOYD (1894-1972) of Cowarth Park Farm, Sunningdale, Berkshire.</t>
  </si>
  <si>
    <t>b. 11 Nov 1951 at 27 Welbeck Street, London W1, bapt. 13 Apr 1952 at Clyne Castle Chapel, Swansea by the Archdeacon of Gower. Educated Eton 1965-67.</t>
  </si>
  <si>
    <t>Director of group of marine related private companies. Member Royal Yacht Squadron from 1976.</t>
  </si>
  <si>
    <t>of 29 Westfields, St Albans, Hertfordshire, AL3 4LR.</t>
  </si>
  <si>
    <t>Eldest daughter of Peter Haig LOYD (1922- ) of 12 Meadway, London NW11 7JS.</t>
  </si>
  <si>
    <t>b. 30 Apr 1952 in Gloucester, bapt. 8 Feb 1953 at Christchurch, Pembroke, Malta. Educated Headington, Oxford and Kent University (BA).</t>
  </si>
  <si>
    <t>m. 16 Sep 1988 Neil (b.20 Mar 1953) son of Jack PEMBERTON of Lakeside, Cardiff, South Wales.</t>
  </si>
  <si>
    <t>Christian Aid 1975-81. Freelance journalist and broadcaster 1981-89. Head of Religious Broadcasting World Service 1989-90.</t>
  </si>
  <si>
    <t>Issue: 1 Chloe Louise PEMBERTON</t>
  </si>
  <si>
    <t>b. 4 Jan 1991 at St Albans City Hospital, bapt. 1 Sep 1991 at St Michael’s, St Albans, Hertfordshire.</t>
  </si>
  <si>
    <t>2 Kate Isobel PEMBERTON</t>
  </si>
  <si>
    <t>b. 13 Aug 1993 at Hemel Hempstead General Hospital, bapt. 6 Nov 1994 at St Michael’s,</t>
  </si>
  <si>
    <t>St Albans, Hertfordshire.</t>
  </si>
  <si>
    <t>- 76 -</t>
  </si>
  <si>
    <t>b. 13 May 1952 in Nairobi, Kenya, bapt. Jul 1952 at Fort Hall, Kenya. Educated Hawnes School, Bedford.</t>
  </si>
  <si>
    <t>m. 9 Jul 1983 at St. Peter and St. Paul’s, Aldeburgh, Suffolk, Arnold SAKOLINSKY (b. 18 Sep 1943)</t>
  </si>
  <si>
    <t>Lieut Commander, Royal Canadian Navy of Winnipeg, Manitoba, Canada.</t>
  </si>
  <si>
    <t>Elder son of Norman Kesteven LOYD (1913- ) of 450 Cadder Avenue, Kelowna, British Columbia,</t>
  </si>
  <si>
    <t>V1Y 5N3.</t>
  </si>
  <si>
    <t>b. 26 Jun 1952 in Kelowna, British Columbia, bapt. 5 Oct 1952 at St. Michael’s, Kelowna, British Columbia. Educated Kelowna and University of Victoria, British Columbia (BA History). Dip Ed.</t>
  </si>
  <si>
    <t>m. 9 Jul 1983 Jacqueline Mary (b. 4 Nov 1955) only daughter of J HERMAN of Chase, British Columbia.</t>
  </si>
  <si>
    <t>School Teacher.</t>
  </si>
  <si>
    <t>3rd son of Alwyne Eteson LOYD (1920- ) of Stag Cottage, 17 Kings Road, Teddington, Middlesex,</t>
  </si>
  <si>
    <t>b. 17 Mar 1953 at St George’s Wood, Haslemere, Surrey, bapt. 25 Sep 1953 at St Deny’s, Sleaford,</t>
  </si>
  <si>
    <t>Lincolnshire by the Rev Brian BECKWORTH. Educated Fyfield School, Essex and Gipsy Hill College, Kingston University (Cert Ed 1975. Dip Maths 1984).</t>
  </si>
  <si>
    <t>m. 24 Jul 1976 at St James’s, Finchampstead, Berkshire, Karina Lesley (b. 22 Apr 1954), younger daughter of Ronald Ransome BOYCE (b. 1920, d. 1997) of Welton-by-Lincoln. Educated Gipsy Hill College, Kingston University (Cert Ed 1976).</t>
  </si>
  <si>
    <t>Teacher, Eastwick Primary School, Great Bookham, Surrey 1975-79. Hammond Primary School, Bagshot, Surrey 1979-83. Deputy head teacher, Beaufort School, Woking, Surrey 1983-87. Head teacher, St Paul’s School, Addlestone, Surrey 1987-90. Head teacher, Tower Road School, Boston, Lincolnshire from 1990.</t>
  </si>
  <si>
    <t>Freeman of Goldsmiths’ Company 1974.</t>
  </si>
  <si>
    <t>Issue: 3 sons.</t>
  </si>
  <si>
    <t>- 77 -</t>
  </si>
  <si>
    <t>of 204 Hammersmith Grove, London W6 7HG.</t>
  </si>
  <si>
    <t>of The Old Vicarage, Vale Farm, Barkestone Le Vale, Leicestershire, NG13 0JA.</t>
  </si>
  <si>
    <t>Elder daughter of Sir Julian St John LOYD (1926- ) of Laycocks, Sandringham, Norfolk and later of Perrystone Cottage, Burnham Market, King’s Lynn, Norfolk, PE31 8HA.</t>
  </si>
  <si>
    <t>Only daughter of Christopher Lewis LOYD (1923- ) of Lockinge, Wantage, Oxfordshire, OX12 8QL.</t>
  </si>
  <si>
    <t>of La Joie, La Passee, St Sampsons, Guernsey, Channel Islands.</t>
  </si>
  <si>
    <t>Younger daughter of Patrick Christopher Robin LOYD (1942- ) of Abbotsford, 3 Le Hurel, La Greve, Vale, Guernsey, Channel Islands.</t>
  </si>
  <si>
    <t>Younger daughter of Sir Julian St.John LOYD (1926- ) of Laycocks, Sandringham, Norfolk and later of Perrystone Cottage, Burnham Market, King’s Lynn, Norfolk, PE31 8HA.</t>
  </si>
  <si>
    <t>of 18 Vereker Road, London W14 9JR.</t>
  </si>
  <si>
    <t>of 121 Dawes Road, London SW6 7DU.</t>
  </si>
  <si>
    <t>Eldest daughter of John Michael LOYD (1938- ) of Threepwood Hall, Haydon Bridge, Northumberland, NE47 6AL.</t>
  </si>
  <si>
    <t>2nd daughter of John Michael LOYD (1938- ) of Threepwood Hall, Haydon Bridge, Northumberland,</t>
  </si>
  <si>
    <t>3rd and youngest daughter of John Michael LOYD (1938- ) of Threepwood Hall, Haydon Bridge,</t>
  </si>
  <si>
    <t>2nd daughter of Peter Robert LOYD (1942- ) of Mantle Hill, Hesleyside, Bellingham, Hexham,</t>
  </si>
  <si>
    <t>3rd and youngest daughter of Peter Robert LOYD (1942- ) of Mantle Hill, Hesleyside, Bellingham, Hexham, Northumberland, NE48 2LB.</t>
  </si>
  <si>
    <t>Eldest daughter of Timothy Bryan Porter LOYD (1957- ) of 286 Iffley Road, Oxford, OX4 4AA.</t>
  </si>
  <si>
    <t>2nd daughter of Timothy Bryan Porter LOYD (1957- ) of 286 Iffley Road, Oxford, OX4 4AA.</t>
  </si>
  <si>
    <t>Elder daughter of Thomas Christopher LOYD (1959- ) of Betterton Farm, Ardington, Nr Wantage,</t>
  </si>
  <si>
    <t>Younger daughter of Thomas Christopher LOYD (1959- ) of Betterton Farm, Ardington, Nr Wantage, Oxfordshire.</t>
  </si>
  <si>
    <t>3rd and youngest daughter of Timothy Bryan Porter LOYD (1957- ) of 286 Iffley Road, Oxford, OX4 4AA.</t>
  </si>
  <si>
    <t>Only daughter of David William Arnold LOYD (1949- ) of Mildenhall House, Mildenhall, Marlborough, Wiltshire.</t>
  </si>
  <si>
    <t>Only daughter of James William LOYD (1966- ) of St Andrew’s Cottage, Donhead St Andrew, Shaftesbury, Dorset, SP7 9LQ.</t>
  </si>
  <si>
    <t>Only daughter of Charles Anthony LOYD (1963- )</t>
  </si>
  <si>
    <t>1st Name</t>
  </si>
  <si>
    <t>2nd Name</t>
  </si>
  <si>
    <t>3rd Name</t>
  </si>
  <si>
    <t>Loyd #</t>
  </si>
  <si>
    <t>Surname</t>
  </si>
  <si>
    <t>LOYD</t>
  </si>
  <si>
    <t>Cecil</t>
  </si>
  <si>
    <t>DoB</t>
  </si>
  <si>
    <t xml:space="preserve">DoM </t>
  </si>
  <si>
    <t>DoD</t>
  </si>
  <si>
    <t>Lewellyn</t>
  </si>
  <si>
    <t>20/01/1890</t>
  </si>
  <si>
    <t>Wife 2</t>
  </si>
  <si>
    <t>Wife DoB</t>
  </si>
  <si>
    <t>Wife DoD</t>
  </si>
  <si>
    <t>Armed Service</t>
  </si>
  <si>
    <t>Father's Loyd #</t>
  </si>
  <si>
    <t>Issue Details</t>
  </si>
  <si>
    <t>Geoffrey</t>
  </si>
  <si>
    <t>Archibald</t>
  </si>
  <si>
    <t>unmarried</t>
  </si>
  <si>
    <t>Diana</t>
  </si>
  <si>
    <t>Gertrude</t>
  </si>
  <si>
    <t>May</t>
  </si>
  <si>
    <t>01/05/1890</t>
  </si>
  <si>
    <t>1S</t>
  </si>
  <si>
    <t>1S +</t>
  </si>
  <si>
    <t>Arthur</t>
  </si>
  <si>
    <t>Kesteven</t>
  </si>
  <si>
    <t>16/11/1890</t>
  </si>
  <si>
    <t>Henry</t>
  </si>
  <si>
    <t>21/02/1891</t>
  </si>
  <si>
    <t>26/04/1891</t>
  </si>
  <si>
    <t>Eric</t>
  </si>
  <si>
    <t>Edward</t>
  </si>
  <si>
    <t>Foster</t>
  </si>
  <si>
    <t>Cecily</t>
  </si>
  <si>
    <t>03/06/1891</t>
  </si>
  <si>
    <t>Godfrey</t>
  </si>
  <si>
    <t>Beaumont</t>
  </si>
  <si>
    <t>10/03/1893</t>
  </si>
  <si>
    <t>Basil</t>
  </si>
  <si>
    <t>Kirkman</t>
  </si>
  <si>
    <t>14/03/1893</t>
  </si>
  <si>
    <t>Wilfrid</t>
  </si>
  <si>
    <t>Haig</t>
  </si>
  <si>
    <t>13/09/1893</t>
  </si>
  <si>
    <t>Vivian</t>
  </si>
  <si>
    <t>Graham</t>
  </si>
  <si>
    <t>13/05/1894</t>
  </si>
  <si>
    <t>Alwyne</t>
  </si>
  <si>
    <t>Travers</t>
  </si>
  <si>
    <t>12/07/1894</t>
  </si>
  <si>
    <t>William</t>
  </si>
  <si>
    <t>28/09/1894</t>
  </si>
  <si>
    <t>Reginald</t>
  </si>
  <si>
    <t>Percy</t>
  </si>
  <si>
    <t>Wilfred</t>
  </si>
  <si>
    <t>Everard</t>
  </si>
  <si>
    <t>14/07/1896</t>
  </si>
  <si>
    <t>Ruby</t>
  </si>
  <si>
    <t>11/05/1898</t>
  </si>
  <si>
    <t>Anne</t>
  </si>
  <si>
    <t>?</t>
  </si>
  <si>
    <t>Norman</t>
  </si>
  <si>
    <t>John</t>
  </si>
  <si>
    <t>Lindsay</t>
  </si>
  <si>
    <t>Delia</t>
  </si>
  <si>
    <t>Virginia</t>
  </si>
  <si>
    <t>Georgina</t>
  </si>
  <si>
    <t>1D</t>
  </si>
  <si>
    <t>Francis</t>
  </si>
  <si>
    <t>Averil</t>
  </si>
  <si>
    <t>Innes</t>
  </si>
  <si>
    <t>Martin</t>
  </si>
  <si>
    <t>Thomas</t>
  </si>
  <si>
    <t>Daphne</t>
  </si>
  <si>
    <t>Maud</t>
  </si>
  <si>
    <t>Trelawny</t>
  </si>
  <si>
    <t>Iris</t>
  </si>
  <si>
    <t>Daphne (Jill)</t>
  </si>
  <si>
    <t>Eteson</t>
  </si>
  <si>
    <t>Hester</t>
  </si>
  <si>
    <t>Canning</t>
  </si>
  <si>
    <t>Audrey</t>
  </si>
  <si>
    <t>Janet</t>
  </si>
  <si>
    <t>Isabel</t>
  </si>
  <si>
    <t>S, D, S, S, S</t>
  </si>
  <si>
    <t>Peter</t>
  </si>
  <si>
    <t>Christopher</t>
  </si>
  <si>
    <t>Catherine</t>
  </si>
  <si>
    <t>5D</t>
  </si>
  <si>
    <t>Zelda</t>
  </si>
  <si>
    <t>Mary</t>
  </si>
  <si>
    <t>Lavinia</t>
  </si>
  <si>
    <t>Sir Julian</t>
  </si>
  <si>
    <t>St. John</t>
  </si>
  <si>
    <t>Denise</t>
  </si>
  <si>
    <t>Eileen</t>
  </si>
  <si>
    <t>Charlotte</t>
  </si>
  <si>
    <t>Brenda</t>
  </si>
  <si>
    <t>Valerie (Wooie)</t>
  </si>
  <si>
    <t>Joscelyn</t>
  </si>
  <si>
    <t>Moira</t>
  </si>
  <si>
    <t>Selina (Jos)</t>
  </si>
  <si>
    <t>Margaret</t>
  </si>
  <si>
    <t>Beatrix</t>
  </si>
  <si>
    <t>Jean</t>
  </si>
  <si>
    <t>Andrew</t>
  </si>
  <si>
    <t>Wyndham</t>
  </si>
  <si>
    <t>Una</t>
  </si>
  <si>
    <t>Alys</t>
  </si>
  <si>
    <t>Doreen (Deen)</t>
  </si>
  <si>
    <t>Tetbert</t>
  </si>
  <si>
    <t>Michael</t>
  </si>
  <si>
    <t>Belinda</t>
  </si>
  <si>
    <t>Maris</t>
  </si>
  <si>
    <t>Sheila</t>
  </si>
  <si>
    <t>Eileen (Peggy)</t>
  </si>
  <si>
    <t>Patrick</t>
  </si>
  <si>
    <t>Robin</t>
  </si>
  <si>
    <t>1S &amp; 2D</t>
  </si>
  <si>
    <t>Patricia</t>
  </si>
  <si>
    <t>Doris</t>
  </si>
  <si>
    <t>Irene</t>
  </si>
  <si>
    <t>Robert</t>
  </si>
  <si>
    <t>Caroline</t>
  </si>
  <si>
    <t>Evelyn</t>
  </si>
  <si>
    <t>David</t>
  </si>
  <si>
    <t>Arnold</t>
  </si>
  <si>
    <t>Katharine</t>
  </si>
  <si>
    <t>Rona</t>
  </si>
  <si>
    <t>Algernon</t>
  </si>
  <si>
    <t>Julie</t>
  </si>
  <si>
    <t>09/07/.1983</t>
  </si>
  <si>
    <t>Dominic</t>
  </si>
  <si>
    <t>George</t>
  </si>
  <si>
    <t>Lewis</t>
  </si>
  <si>
    <t>Penelope</t>
  </si>
  <si>
    <t>Jeremy</t>
  </si>
  <si>
    <t>Charles</t>
  </si>
  <si>
    <t>James</t>
  </si>
  <si>
    <t>Timothy</t>
  </si>
  <si>
    <t>Bryan</t>
  </si>
  <si>
    <t>Henrietta</t>
  </si>
  <si>
    <t>Jane</t>
  </si>
  <si>
    <t>Rachel</t>
  </si>
  <si>
    <t>Alexander</t>
  </si>
  <si>
    <t>Benjamin</t>
  </si>
  <si>
    <t>Jemima</t>
  </si>
  <si>
    <t>Alexandra</t>
  </si>
  <si>
    <t>Richard</t>
  </si>
  <si>
    <t>Harriet</t>
  </si>
  <si>
    <t>Sara</t>
  </si>
  <si>
    <t>Anthony</t>
  </si>
  <si>
    <t>Simon</t>
  </si>
  <si>
    <t>Susannah</t>
  </si>
  <si>
    <t>Toby</t>
  </si>
  <si>
    <t>Elspeth</t>
  </si>
  <si>
    <t>Joanna</t>
  </si>
  <si>
    <t>Rose</t>
  </si>
  <si>
    <t>Sophie</t>
  </si>
  <si>
    <t>Katherine</t>
  </si>
  <si>
    <t>Charlton</t>
  </si>
  <si>
    <t>Amy</t>
  </si>
  <si>
    <t>Lucia</t>
  </si>
  <si>
    <t>Tessa</t>
  </si>
  <si>
    <t>Chloe</t>
  </si>
  <si>
    <t>Victoria</t>
  </si>
  <si>
    <t>Daisy</t>
  </si>
  <si>
    <t>Stewart</t>
  </si>
  <si>
    <t>Molly</t>
  </si>
  <si>
    <t xml:space="preserve">Katharine </t>
  </si>
  <si>
    <t>CORMACK-LOYD</t>
  </si>
  <si>
    <t>Poppy</t>
  </si>
  <si>
    <t>Elizabeth</t>
  </si>
  <si>
    <t>Gareth</t>
  </si>
  <si>
    <t>Camilla</t>
  </si>
  <si>
    <t>LLOYD</t>
  </si>
  <si>
    <t>03/01/1765</t>
  </si>
  <si>
    <t>13/05/1800</t>
  </si>
  <si>
    <t>29/10/1765</t>
  </si>
  <si>
    <t>03/02/1795</t>
  </si>
  <si>
    <t>11/05/1832</t>
  </si>
  <si>
    <t>01/01/1768</t>
  </si>
  <si>
    <t>11/11/1793</t>
  </si>
  <si>
    <t>13/05/1858</t>
  </si>
  <si>
    <t>07/05/1770</t>
  </si>
  <si>
    <t>05/01/1809</t>
  </si>
  <si>
    <t>Gender</t>
  </si>
  <si>
    <t>19/02/1772</t>
  </si>
  <si>
    <t>09/12/1798</t>
  </si>
  <si>
    <t>05/06/1775</t>
  </si>
  <si>
    <t>28/01/1853</t>
  </si>
  <si>
    <t>Rupert</t>
  </si>
  <si>
    <t>Florina</t>
  </si>
  <si>
    <t>Helen</t>
  </si>
  <si>
    <t>Curtis</t>
  </si>
  <si>
    <t>Tabitha</t>
  </si>
  <si>
    <t>Laura</t>
  </si>
  <si>
    <t>Philip</t>
  </si>
  <si>
    <t>Samuel</t>
  </si>
  <si>
    <t>Hamilton</t>
  </si>
  <si>
    <t>Spencer</t>
  </si>
  <si>
    <t>Joshua</t>
  </si>
  <si>
    <t>Julian</t>
  </si>
  <si>
    <t>Eliza</t>
  </si>
  <si>
    <t>Rosanna</t>
  </si>
  <si>
    <t>Kate</t>
  </si>
  <si>
    <t>20/09/1729</t>
  </si>
  <si>
    <t>Gwenllian</t>
  </si>
  <si>
    <t>19/10/1777</t>
  </si>
  <si>
    <t>30/01/1780</t>
  </si>
  <si>
    <t>17/08/1809</t>
  </si>
  <si>
    <t>30/01/1863</t>
  </si>
  <si>
    <t>Jones</t>
  </si>
  <si>
    <t>25/09/1796</t>
  </si>
  <si>
    <t>17/11/1883</t>
  </si>
  <si>
    <t>10/08/1829</t>
  </si>
  <si>
    <t>09/10/1809</t>
  </si>
  <si>
    <t>14/06/1879</t>
  </si>
  <si>
    <t>Sarah</t>
  </si>
  <si>
    <t>30/05/1810</t>
  </si>
  <si>
    <t>01/10/1835</t>
  </si>
  <si>
    <t>15/06/1858</t>
  </si>
  <si>
    <t>04/02/1828</t>
  </si>
  <si>
    <t>30/11/1810</t>
  </si>
  <si>
    <t>03/10/1861</t>
  </si>
  <si>
    <t>10/08/1811</t>
  </si>
  <si>
    <t>19/07/1891</t>
  </si>
  <si>
    <t>10/10/1812</t>
  </si>
  <si>
    <t>10/02/1842</t>
  </si>
  <si>
    <t>19/06/1857</t>
  </si>
  <si>
    <t>Ann</t>
  </si>
  <si>
    <t>(Annie)</t>
  </si>
  <si>
    <t>26/02/1813</t>
  </si>
  <si>
    <t>10/09/1834</t>
  </si>
  <si>
    <t>Maria</t>
  </si>
  <si>
    <t>17/02/1814</t>
  </si>
  <si>
    <t>18/12/1847</t>
  </si>
  <si>
    <t>02/07/1815</t>
  </si>
  <si>
    <t>23/07/1815</t>
  </si>
  <si>
    <t>(Kate)</t>
  </si>
  <si>
    <t>26/08/1815</t>
  </si>
  <si>
    <t>14/03/1844</t>
  </si>
  <si>
    <t>Hannah</t>
  </si>
  <si>
    <t>09/02/1817</t>
  </si>
  <si>
    <t>27/04/1837</t>
  </si>
  <si>
    <t>03/10/1817</t>
  </si>
  <si>
    <t>13/04/1818</t>
  </si>
  <si>
    <t xml:space="preserve">Kirkman </t>
  </si>
  <si>
    <t>29/04/1819</t>
  </si>
  <si>
    <t>07/07/1841</t>
  </si>
  <si>
    <t>19/04/1820</t>
  </si>
  <si>
    <t>12/03/1846</t>
  </si>
  <si>
    <t>21/12/1890</t>
  </si>
  <si>
    <t>02/08/1821</t>
  </si>
  <si>
    <t>21/06/1848</t>
  </si>
  <si>
    <t>28/08/1885</t>
  </si>
  <si>
    <t>Frances</t>
  </si>
  <si>
    <t>(Fanny)</t>
  </si>
  <si>
    <t>24/11/1824</t>
  </si>
  <si>
    <t>16/09/1847</t>
  </si>
  <si>
    <t>20/09/1856</t>
  </si>
  <si>
    <t>20/12/1832</t>
  </si>
  <si>
    <t>31/03/1833</t>
  </si>
  <si>
    <t>The Hon Harriet Sarah</t>
  </si>
  <si>
    <t>30/06/1837</t>
  </si>
  <si>
    <t>17/11/1858</t>
  </si>
  <si>
    <t>30/05/1843</t>
  </si>
  <si>
    <t>The Rev Lewis</t>
  </si>
  <si>
    <t xml:space="preserve">Haig </t>
  </si>
  <si>
    <t>17/01/1843</t>
  </si>
  <si>
    <t>28/03/1844</t>
  </si>
  <si>
    <t>27/10/1874</t>
  </si>
  <si>
    <t>Purvis</t>
  </si>
  <si>
    <t>28/09/1845</t>
  </si>
  <si>
    <t>18/10/1882</t>
  </si>
  <si>
    <t>Archie</t>
  </si>
  <si>
    <t>22/01/1847</t>
  </si>
  <si>
    <t>24/06/1885</t>
  </si>
  <si>
    <t>Louisa</t>
  </si>
  <si>
    <t>05/03/1848</t>
  </si>
  <si>
    <t>Frank</t>
  </si>
  <si>
    <t>13/08/1848</t>
  </si>
  <si>
    <t>06/04/1880</t>
  </si>
  <si>
    <t>Alfred</t>
  </si>
  <si>
    <t>16/10/1849</t>
  </si>
  <si>
    <t>20/04/1881</t>
  </si>
  <si>
    <t xml:space="preserve">LOYD </t>
  </si>
  <si>
    <t>06/08/1851</t>
  </si>
  <si>
    <t>11/04/1888</t>
  </si>
  <si>
    <t>14/11/1852</t>
  </si>
  <si>
    <t>14/08/1879</t>
  </si>
  <si>
    <t>Elinor</t>
  </si>
  <si>
    <t>21/09/1876</t>
  </si>
  <si>
    <t>25/12/1895</t>
  </si>
  <si>
    <t>5S &amp; 3D</t>
  </si>
  <si>
    <t>Annie</t>
  </si>
  <si>
    <t>12/06/1853</t>
  </si>
  <si>
    <t>01/07/1853</t>
  </si>
  <si>
    <t>24/09/1854</t>
  </si>
  <si>
    <t>Helen (Fa)</t>
  </si>
  <si>
    <t>08/02/1855</t>
  </si>
  <si>
    <t>Edith</t>
  </si>
  <si>
    <t>17/01/1856</t>
  </si>
  <si>
    <t>Frederic</t>
  </si>
  <si>
    <t>26/04/1856</t>
  </si>
  <si>
    <t>17/04/1879</t>
  </si>
  <si>
    <t>Dulcie</t>
  </si>
  <si>
    <t>Gwendoline</t>
  </si>
  <si>
    <t>06/10/1858</t>
  </si>
  <si>
    <t>13/04/1891</t>
  </si>
  <si>
    <t>Foster (Meg)</t>
  </si>
  <si>
    <t>02/08/1859</t>
  </si>
  <si>
    <t>02/04/1861</t>
  </si>
  <si>
    <t>26/07/1888</t>
  </si>
  <si>
    <t>Llewellyn</t>
  </si>
  <si>
    <t>30/06/1861</t>
  </si>
  <si>
    <t>04/02/1889</t>
  </si>
  <si>
    <t>30/09/1863</t>
  </si>
  <si>
    <t>14/01/1888</t>
  </si>
  <si>
    <t>10/07/1864</t>
  </si>
  <si>
    <t>08/03/1892</t>
  </si>
  <si>
    <t>Beatrice</t>
  </si>
  <si>
    <t>02/04/1865</t>
  </si>
  <si>
    <t>Winifrid</t>
  </si>
  <si>
    <t>19/01/1867</t>
  </si>
  <si>
    <t>Heneage</t>
  </si>
  <si>
    <t>20/07/1868</t>
  </si>
  <si>
    <t>06/03/1894</t>
  </si>
  <si>
    <t xml:space="preserve">Christopher </t>
  </si>
  <si>
    <t>27/09/1875</t>
  </si>
  <si>
    <t>06/10/1880</t>
  </si>
  <si>
    <t>Noel</t>
  </si>
  <si>
    <t>Farnham</t>
  </si>
  <si>
    <t>23/12/1881</t>
  </si>
  <si>
    <t>10/02/1882</t>
  </si>
  <si>
    <t>17/04/1882</t>
  </si>
  <si>
    <t>19/04/1882</t>
  </si>
  <si>
    <t xml:space="preserve">Henry </t>
  </si>
  <si>
    <t>11/05/1884</t>
  </si>
  <si>
    <t>Rt Rev Philip</t>
  </si>
  <si>
    <t>08/07/1884</t>
  </si>
  <si>
    <t>17/04/1885</t>
  </si>
  <si>
    <t>Beatrix (Kitty)</t>
  </si>
  <si>
    <t>26/10/1885</t>
  </si>
  <si>
    <t>21/05/1886</t>
  </si>
  <si>
    <t>16/09/1887</t>
  </si>
  <si>
    <t>23/11/1887</t>
  </si>
  <si>
    <t>Joselyn</t>
  </si>
  <si>
    <t>22/12/1887</t>
  </si>
  <si>
    <t>Melicent</t>
  </si>
  <si>
    <t>Kirkman (Nan)</t>
  </si>
  <si>
    <t>2D &amp; 1S</t>
  </si>
  <si>
    <t>Brownlow</t>
  </si>
  <si>
    <t>07/05/1889</t>
  </si>
  <si>
    <t>26/05/1889</t>
  </si>
  <si>
    <t>Raw data  line #</t>
  </si>
  <si>
    <t>20/06/1885</t>
  </si>
  <si>
    <t>Forename (Loyd#) Yr of B</t>
  </si>
  <si>
    <t>Dob Entered</t>
  </si>
  <si>
    <t>G'Gparent #</t>
  </si>
  <si>
    <t>G'Gparent Name</t>
  </si>
  <si>
    <t>Name</t>
  </si>
  <si>
    <t>Loyd ##</t>
  </si>
  <si>
    <t>GParent #</t>
  </si>
  <si>
    <t>GParent Name</t>
  </si>
  <si>
    <t>Father's Name</t>
  </si>
  <si>
    <t>GG'Gparent #</t>
  </si>
  <si>
    <t>GG'Gparent Name</t>
  </si>
  <si>
    <t>GGG'Gparent #</t>
  </si>
  <si>
    <t>GGG'Gparent Name</t>
  </si>
  <si>
    <t>GGGG'Gparent #</t>
  </si>
  <si>
    <t>GGGG'Gparent Name</t>
  </si>
  <si>
    <t>GGGGG'Gparent #</t>
  </si>
  <si>
    <t>GGGGG'Gparent Name</t>
  </si>
  <si>
    <t>Year of Birth</t>
  </si>
  <si>
    <t>Address 2000</t>
  </si>
  <si>
    <t>Lockinge, Wantage, Berkshire.</t>
  </si>
  <si>
    <t>Kings Walden, Windsor, Berkshire.</t>
  </si>
  <si>
    <t>Elder daughter of Vivian Graham LOYD (1894-1972) of  Cowarth Park Farm, Sunningdale, Berkshire.</t>
  </si>
  <si>
    <t>Cowarth Park Farm, Sunningdale, Berkshire.</t>
  </si>
  <si>
    <t>Younger daughter of Sir Francis Alfred LOYD (1916- ) of   53 Park Road, Aldeburgh, Suffolk, IP15 5EN.</t>
  </si>
  <si>
    <t>53 Park Road, Aldeburgh, Suffolk, IP15 5EN.</t>
  </si>
  <si>
    <t>Laycocks, Sandringham, Norfolk and later of Perrystone Cottage, Burnham Market, King’s Lynn, Norfolk, PE31 8HA.</t>
  </si>
  <si>
    <t>Cowarth Park Farm, Sunningdale, Berkshire.</t>
  </si>
  <si>
    <t>Abbotsford, 3 Le Hurel, La Greve, Vale, Guernsey, Channel Islands.</t>
  </si>
  <si>
    <t>Threepwood Hall, Haydon Bridge, Northumberland, NE47 6AL.</t>
  </si>
  <si>
    <t>126 Princess Anne Road, Boston, Lincolnshire, PE21 9AQ.</t>
  </si>
  <si>
    <t>Mantle Hill, Hesleyside, Bellingham, Hexham,</t>
  </si>
  <si>
    <t>286 Iffley Road, Oxford, OX4 4AA.</t>
  </si>
  <si>
    <t>2185 Abbott Street, Kelowna, British Columbia. Canada</t>
  </si>
  <si>
    <t>Betterton Farm, Ardington, Nr Wantage, Oxfordshire.</t>
  </si>
  <si>
    <t>Mildenhall House, Mildenhall, Marlborough, Wiltshire.</t>
  </si>
  <si>
    <t>2199 Verda Vista, Kelowna, British Columbia V1X 4K4.</t>
  </si>
  <si>
    <t>14 Park Road, East Molesey, Surrey, KT8 9LE.</t>
  </si>
  <si>
    <t>2199 Verda Vista, Kelowna, British Columbia, V1X 4K4.</t>
  </si>
  <si>
    <t>St Andrew’s Cottage, Donhead St Andrew, Shaftesbury, Dorset, SP7 9LQ.</t>
  </si>
  <si>
    <t>St Andrew’s Cottage, Donhead St Andrew, Shaftesbury, Dorset, SP7 9LQ.</t>
  </si>
  <si>
    <t>Year of Death</t>
  </si>
  <si>
    <t>Current Age</t>
  </si>
  <si>
    <t>Ted</t>
  </si>
  <si>
    <t>Dick</t>
  </si>
  <si>
    <t>Tommy</t>
  </si>
  <si>
    <t>Kitty</t>
  </si>
  <si>
    <t>Reggie</t>
  </si>
  <si>
    <t>Bobby</t>
  </si>
  <si>
    <t>Tony</t>
  </si>
  <si>
    <t>Jill</t>
  </si>
  <si>
    <t>Willie</t>
  </si>
  <si>
    <t>Rob</t>
  </si>
  <si>
    <t>Paddy</t>
  </si>
  <si>
    <t>Tim</t>
  </si>
  <si>
    <t>Alex</t>
  </si>
  <si>
    <t>Rick</t>
  </si>
  <si>
    <t>Sam</t>
  </si>
  <si>
    <t>Josh</t>
  </si>
  <si>
    <t>Preferred Name</t>
  </si>
  <si>
    <t>Ben</t>
  </si>
  <si>
    <t>12/10/1779</t>
  </si>
  <si>
    <t>Martin (122): 1949 - ?</t>
  </si>
  <si>
    <t>Janet (123): 1949 - ?</t>
  </si>
  <si>
    <t>Francis (89): 1916 - ?</t>
  </si>
  <si>
    <t>Rona (125): 1951 - ?</t>
  </si>
  <si>
    <t>Peter (86): 1913 - ?</t>
  </si>
  <si>
    <t>Julie (128): 1952 - ?</t>
  </si>
  <si>
    <t>Peter (98): 1922 - ?</t>
  </si>
  <si>
    <t>Diana (129): 1952 - ?</t>
  </si>
  <si>
    <t>David (130): 1952 - ?</t>
  </si>
  <si>
    <t>Jeremy (133): 1954 - ?</t>
  </si>
  <si>
    <t>William (134): 1955 - ?</t>
  </si>
  <si>
    <t>James (135): 1955 - ?</t>
  </si>
  <si>
    <t>Thomas (138): 1959 - ?</t>
  </si>
  <si>
    <t>Alexandra (141): 1961 - ?</t>
  </si>
  <si>
    <t>Harriet (143): 1962 - ?</t>
  </si>
  <si>
    <t>Tony (145): 1963 - ?</t>
  </si>
  <si>
    <t>Charles (146): 1963 - ?</t>
  </si>
  <si>
    <t>Susannah (147): 1965 - ?</t>
  </si>
  <si>
    <t>Patrick (117): 1942 - ?</t>
  </si>
  <si>
    <t>James (150): 1966 - ?</t>
  </si>
  <si>
    <t>Elspeth (151): 1967 - ?</t>
  </si>
  <si>
    <t>Mary (152): 1967 - ?</t>
  </si>
  <si>
    <t>Richard (153): 1968 - ?</t>
  </si>
  <si>
    <t>Sophie (154): 1969 - ?</t>
  </si>
  <si>
    <t>William (155): 1973 - ?</t>
  </si>
  <si>
    <t>Peter (119): 1942 - ?</t>
  </si>
  <si>
    <t>Amy (156): 1975 - ?</t>
  </si>
  <si>
    <t>Tessa (157): 1975 - ?</t>
  </si>
  <si>
    <t>John (114): 1938 - ?</t>
  </si>
  <si>
    <t>Chloe (158): 1977 - ?</t>
  </si>
  <si>
    <t>Daisy (159): 1979 - ?</t>
  </si>
  <si>
    <t>John (160): 1982 - ?</t>
  </si>
  <si>
    <t>Dominic (131): 1953 - ?</t>
  </si>
  <si>
    <t>Molly (161): 1982 - ?</t>
  </si>
  <si>
    <t>David (162): 1984 - ?</t>
  </si>
  <si>
    <t>Harriet (163): 1984 - ?</t>
  </si>
  <si>
    <t>Poppy (164): 1984 - ?</t>
  </si>
  <si>
    <t>Tim (136): 1957 - ?</t>
  </si>
  <si>
    <t>Rose (165): 1986 - ?</t>
  </si>
  <si>
    <t>Gareth (166): 1988 - ?</t>
  </si>
  <si>
    <t>Ben (167): 1988 - ?</t>
  </si>
  <si>
    <t>Camilla (168): 1988 - ?</t>
  </si>
  <si>
    <t>James (169): 1988 - ?</t>
  </si>
  <si>
    <t>David (121): 1949 - ?</t>
  </si>
  <si>
    <t>Sophie (170): 1989 - ?</t>
  </si>
  <si>
    <t>Percy (171): 1990 - ?</t>
  </si>
  <si>
    <t>Florina (172): 1991 - ?</t>
  </si>
  <si>
    <t>Curtis (173): 1992 - ?</t>
  </si>
  <si>
    <t>Mary (174): 1992 - ?</t>
  </si>
  <si>
    <t>Christopher (175): 1993 - ?</t>
  </si>
  <si>
    <t>Sam (176): 1994 - ?</t>
  </si>
  <si>
    <t>Rick (142): 1962 - ?</t>
  </si>
  <si>
    <t>Spencer (177): 1995 - ?</t>
  </si>
  <si>
    <t>William (178): 1996 - ?</t>
  </si>
  <si>
    <t>Josh (179): 1996 - ?</t>
  </si>
  <si>
    <t>George (180): 1998 - ?</t>
  </si>
  <si>
    <t>Eliza (181): 1999 - ?</t>
  </si>
  <si>
    <t>Rosanna (182): 2000 - ?</t>
  </si>
  <si>
    <t>Current Age (1)</t>
  </si>
  <si>
    <t>Perrystone Cottage, Burnham Market, King’s Lynn, Norfolk, PE31 8HA.</t>
  </si>
  <si>
    <t>Anne (85): 1912 - ?</t>
  </si>
  <si>
    <t>Tommy (56): 1882 - 1944</t>
  </si>
  <si>
    <t>Arthur (71): 1890 - 1974</t>
  </si>
  <si>
    <t>Delia (88): 1915 - ?</t>
  </si>
  <si>
    <t>William (66): 1889 - 1947</t>
  </si>
  <si>
    <t>Hester (95): 1920 - ?</t>
  </si>
  <si>
    <t>Edward (53): 1881 - 1962</t>
  </si>
  <si>
    <t>Wilfrid (77): 1893 - 1971</t>
  </si>
  <si>
    <t>Bobby (62): 1887 - 1977</t>
  </si>
  <si>
    <t>Denise (106): 1928 - ?</t>
  </si>
  <si>
    <t>Brenda (107): 1928 - ?</t>
  </si>
  <si>
    <t>Edward (76): 1893 - 1932</t>
  </si>
  <si>
    <t>Joscelyn (108): 1931 - ?</t>
  </si>
  <si>
    <t>Dick (55): 1882 - 1950</t>
  </si>
  <si>
    <t>Margaret (109): 1932 - ?</t>
  </si>
  <si>
    <t>Eric (80): 1894 - 1963</t>
  </si>
  <si>
    <t>Jean (110): 1933 - ?</t>
  </si>
  <si>
    <t>Una (112): 1936 - ?</t>
  </si>
  <si>
    <t>Vivian (78): 1894 - 1950</t>
  </si>
  <si>
    <t>Margaret (116): 1939 - ?</t>
  </si>
  <si>
    <t>Caroline (120): 1947 - ?</t>
  </si>
  <si>
    <t>Edward (96): 1921 - 1977</t>
  </si>
  <si>
    <t>Rob (124): 1949 - ?</t>
  </si>
  <si>
    <t>Alwyne (94): 1920 - 2014</t>
  </si>
  <si>
    <t>Paddy (126): 1951 - ?</t>
  </si>
  <si>
    <t>Vivian (127): 1951 - ?</t>
  </si>
  <si>
    <t>Henrietta (137): 1959 - ?</t>
  </si>
  <si>
    <t>Peter (99): 1923 - 1974</t>
  </si>
  <si>
    <t>Alex (139): 1959 - ?</t>
  </si>
  <si>
    <t>Virginia (140): 1961 - ?</t>
  </si>
  <si>
    <t>Andrew (144): 1962 - ?</t>
  </si>
  <si>
    <t>Ant (149): 1966 - ?</t>
  </si>
  <si>
    <t>Willie (113): 1937 - 1994</t>
  </si>
  <si>
    <t>Lockinge, Wantage, Oxfordshire, OX12 8QL.</t>
  </si>
  <si>
    <t>The Rev Lewis (28): 1844 - 1905</t>
  </si>
  <si>
    <t>Alfred (54): 1882 - 1919</t>
  </si>
  <si>
    <t>Geoffrey (105): 1926 - 2018</t>
  </si>
  <si>
    <t>Christopher (100): 1923 - 2013</t>
  </si>
  <si>
    <t>Sir Julian (104): 1926 - 2018</t>
  </si>
  <si>
    <t>Number of Kids in 2000</t>
  </si>
  <si>
    <t>Age - Current</t>
  </si>
  <si>
    <t>Domimic</t>
  </si>
  <si>
    <t>Establishing Contact</t>
  </si>
  <si>
    <t>Contacting responsibility</t>
  </si>
  <si>
    <t>Landline</t>
  </si>
  <si>
    <t>Mobile</t>
  </si>
  <si>
    <t>From meeting Domininc, Jeremy &amp; Rick</t>
  </si>
  <si>
    <t>Email</t>
  </si>
  <si>
    <t>2000 Address</t>
  </si>
  <si>
    <t>Postal Address in 2021</t>
  </si>
  <si>
    <t>Rick to ring Roddy Sale</t>
  </si>
  <si>
    <t>02072280654</t>
  </si>
  <si>
    <t>07796178796</t>
  </si>
  <si>
    <t>Comments</t>
  </si>
  <si>
    <t>85a</t>
  </si>
  <si>
    <t>85b</t>
  </si>
  <si>
    <t>8 Bristol House, 80A Southampton Row, London WC1B 4BA.</t>
  </si>
  <si>
    <t>The Oaks, Church Lane, Westbere, Canterbury, Kent, CT2 0HA.</t>
  </si>
  <si>
    <t>Threepwood Hall, Haydon Bridge, Northumberland, NE47 6AL.</t>
  </si>
  <si>
    <t>Mantle Hill, Hesleyside, Bellingham, Hexham, Northumberland, NE48 2LB.</t>
  </si>
  <si>
    <t>12 Meadway, London NW11 7JS.</t>
  </si>
  <si>
    <t>36 Broad Street, Ludlow, Shropshire, SY8 1NL.</t>
  </si>
  <si>
    <t>53 Park Road, Aldeburgh Suffolk, IP15 5EN.</t>
  </si>
  <si>
    <t>450 Cadder Avenue, Kelowna, British Columbia, V1Y 5N3, Canada.</t>
  </si>
  <si>
    <t>4409 Benjamin Drive, Yakima, Washington, 98908, USA.</t>
  </si>
  <si>
    <t>Abbotsford, 3 Le Hurel, La Greve, Vale, Guernsey, Channel Islands.</t>
  </si>
  <si>
    <t>Dowdeswell Home Farm, Andoversford, Gloucestershire, GL54 4LX.</t>
  </si>
  <si>
    <t>16 Garden Wood, Inchmarlo, Banchory, AB31 4AW.</t>
  </si>
  <si>
    <t>Little Chessell, Calbourne, Isle of Wight, PO30 4JP.</t>
  </si>
  <si>
    <t>The Old Vicarage, Vale Farm, Barkestone Le Vale, Leicestershire, NG13 0JA.</t>
  </si>
  <si>
    <t>The Corner House, Stoke-by-Nayland, Suffolk, CO6 4SE.</t>
  </si>
  <si>
    <t>La Joie, La Passee, St Sampsons, Guernsey, Channel Islands.</t>
  </si>
  <si>
    <t>Betterton Farm, Ardington, Nr Wantage, Oxfordshire.</t>
  </si>
  <si>
    <t>3 Whittingstall Mansions, Whittingstall Road, London SW6 4EE.</t>
  </si>
  <si>
    <t>204 Hammersmith Grove, London W6 7HG.</t>
  </si>
  <si>
    <t>Orchard House, Eastfield, Melrose, Roxburghshire, TD6 9HG.</t>
  </si>
  <si>
    <t>The Well House, Doddiscombsleigh, Exeter, Devon, EX6 7PT.</t>
  </si>
  <si>
    <t>48 Ravenscourt Road, Hammersmith, London W6 OUG.</t>
  </si>
  <si>
    <t>286 Iffley Road, Oxford, OX4 4AA.</t>
  </si>
  <si>
    <t>40 Truro Road, London N22 8EL.</t>
  </si>
  <si>
    <t>896 Westpoint Drive, Kelowna, British Columbia, Canada.</t>
  </si>
  <si>
    <t>2185 Abbott Street, Kelowna, British Columbia, Canada.</t>
  </si>
  <si>
    <t>RR5 39A CD2, 2199 Verde Vista, Kelowna, British Columbia V1X 4K4, Canada.</t>
  </si>
  <si>
    <t>29 Westfields, St Albans, Hertfordshire, AL3 4LR.</t>
  </si>
  <si>
    <t>9 Gyffarde Street, Taunton, Somerset, TA1 1JX.</t>
  </si>
  <si>
    <t>31b Ridge Road, London N8 9LJ.</t>
  </si>
  <si>
    <t>18 Vereker Road, London W14 9JR.</t>
  </si>
  <si>
    <t>4/2 Trevor Road, Newport Beach, New South Wales 2088, Australia.</t>
  </si>
  <si>
    <t>16 Prospect Quay, 98 Point Pleasant, London SW18 1PR.</t>
  </si>
  <si>
    <t>111 Wandsworth Bridge Road, London SW6 2LE.</t>
  </si>
  <si>
    <t>121 Dawes Road, London SW6 7DU.</t>
  </si>
  <si>
    <t>Catherine (101): 1923 - 2014</t>
  </si>
  <si>
    <t>Michael (114): 1938 - ?</t>
  </si>
  <si>
    <t>Zelda (102): 1923 - 2014</t>
  </si>
  <si>
    <t>Francis (89): 1916 - 2006</t>
  </si>
  <si>
    <t>Audrey (97): 1922 - 2005</t>
  </si>
  <si>
    <t>Belinda (115): 1939 - 2018</t>
  </si>
  <si>
    <t>07768554422</t>
  </si>
  <si>
    <t>07783672101</t>
  </si>
  <si>
    <t>LANE FOX</t>
  </si>
  <si>
    <t>Bloxworth House, Bloxworth, Wareham, Dorset BH20 7EF.</t>
  </si>
  <si>
    <t>Husband/WIFE</t>
  </si>
  <si>
    <t>85aa</t>
  </si>
  <si>
    <t>ELLIS</t>
  </si>
  <si>
    <t>Matilda</t>
  </si>
  <si>
    <t>Prudence</t>
  </si>
  <si>
    <t>Hope</t>
  </si>
  <si>
    <t>PARENT's Loyd #</t>
  </si>
  <si>
    <t>85ab</t>
  </si>
  <si>
    <t>85aaa</t>
  </si>
  <si>
    <t>85aab</t>
  </si>
  <si>
    <t>Oliver</t>
  </si>
  <si>
    <t>Esme</t>
  </si>
  <si>
    <t>Grace G</t>
  </si>
  <si>
    <t>85aba</t>
  </si>
  <si>
    <t>Georgia</t>
  </si>
  <si>
    <t>85abb</t>
  </si>
  <si>
    <t>85ac</t>
  </si>
  <si>
    <t>Lucy</t>
  </si>
  <si>
    <t>Serena</t>
  </si>
  <si>
    <t>85ba</t>
  </si>
  <si>
    <t>85bb</t>
  </si>
  <si>
    <t>Emily</t>
  </si>
  <si>
    <t>Marriage Notes</t>
  </si>
  <si>
    <t>GASZTOWTT</t>
  </si>
  <si>
    <t>Lily</t>
  </si>
  <si>
    <t>85bca</t>
  </si>
  <si>
    <t>85bc</t>
  </si>
  <si>
    <t>85bd</t>
  </si>
  <si>
    <t>Jenny</t>
  </si>
  <si>
    <t>85c</t>
  </si>
  <si>
    <t>TENNYSON d'EYNCOURT</t>
  </si>
  <si>
    <t>Louis</t>
  </si>
  <si>
    <t>Rosemary</t>
  </si>
  <si>
    <t>Amaryllis</t>
  </si>
  <si>
    <t>85ca</t>
  </si>
  <si>
    <t>85cb</t>
  </si>
  <si>
    <t>85d</t>
  </si>
  <si>
    <t>Martha</t>
  </si>
  <si>
    <t>ambyatt@gmail.com</t>
  </si>
  <si>
    <t>tloyd@lockinge-estate.co.uk</t>
  </si>
  <si>
    <t>david.loyd@hotmail.com</t>
  </si>
  <si>
    <t>andrew@ltrcastles.com</t>
  </si>
  <si>
    <t>07770984123</t>
  </si>
  <si>
    <t>patrickloyd@cwgsy.net</t>
  </si>
  <si>
    <t>Comments - Covered by</t>
  </si>
  <si>
    <t>Eddie</t>
  </si>
  <si>
    <t> c.loyde@icloud.com</t>
  </si>
  <si>
    <t xml:space="preserve">07768708288 </t>
  </si>
  <si>
    <t xml:space="preserve">maryrose@whitcomb.co.uk </t>
  </si>
  <si>
    <t>rupertloyd@hotmail.co.uk</t>
  </si>
  <si>
    <t>tabsloyd@hotmail.co.uk</t>
  </si>
  <si>
    <t>loydie1988@gmail.com</t>
  </si>
  <si>
    <t>01473 220435</t>
  </si>
  <si>
    <t>07715122288</t>
  </si>
  <si>
    <t>07831134130</t>
  </si>
  <si>
    <t xml:space="preserve">henrietta@cazloyd.com </t>
  </si>
  <si>
    <t>johnloyd@hotmail.com</t>
  </si>
  <si>
    <t>loyddavid@hotmail.co</t>
  </si>
  <si>
    <t>streetb03@hotmail.com</t>
  </si>
  <si>
    <t>florina.cl@btinternet.com</t>
  </si>
  <si>
    <t>dominicloyd@btinternet.com</t>
  </si>
  <si>
    <t>tim.loyd@btinternet.com</t>
  </si>
  <si>
    <t>abloyd@aol.co.uk</t>
  </si>
  <si>
    <t>rick@changebynumbers.com</t>
  </si>
  <si>
    <t>paddyloyd@talk21.com </t>
  </si>
  <si>
    <t>07709450373</t>
  </si>
  <si>
    <t>07754758915</t>
  </si>
  <si>
    <t>2, Spynie Heights, Elgin, Moray. IV30 4PB</t>
  </si>
  <si>
    <t>85da</t>
  </si>
  <si>
    <t>85db</t>
  </si>
  <si>
    <t>James Ian KEITH</t>
  </si>
  <si>
    <t>BAIRD</t>
  </si>
  <si>
    <t>Lady Diana</t>
  </si>
  <si>
    <t>Virginia Sydney</t>
  </si>
  <si>
    <t>88a</t>
  </si>
  <si>
    <t>Ian</t>
  </si>
  <si>
    <t>HOLMAN-BAIRD</t>
  </si>
  <si>
    <t>Louise</t>
  </si>
  <si>
    <t>88aa</t>
  </si>
  <si>
    <t>88ab</t>
  </si>
  <si>
    <t>88aaa</t>
  </si>
  <si>
    <t>88aab</t>
  </si>
  <si>
    <t>88aac</t>
  </si>
  <si>
    <t>Angus</t>
  </si>
  <si>
    <t>Ameli</t>
  </si>
  <si>
    <t>Jo</t>
  </si>
  <si>
    <t>HOLMAN</t>
  </si>
  <si>
    <t>88ac</t>
  </si>
  <si>
    <t>STIRRUP</t>
  </si>
  <si>
    <t>Isabelle</t>
  </si>
  <si>
    <t>88aca</t>
  </si>
  <si>
    <t>88acb</t>
  </si>
  <si>
    <t>88acc</t>
  </si>
  <si>
    <t>Emma</t>
  </si>
  <si>
    <t>88ad</t>
  </si>
  <si>
    <t>COLE</t>
  </si>
  <si>
    <t>88ada</t>
  </si>
  <si>
    <t>88adb</t>
  </si>
  <si>
    <t>KEITH</t>
  </si>
  <si>
    <t>88b</t>
  </si>
  <si>
    <t>William John</t>
  </si>
  <si>
    <t>88ba</t>
  </si>
  <si>
    <t>88ca</t>
  </si>
  <si>
    <t>Falconer</t>
  </si>
  <si>
    <t>The Honourable Iona</t>
  </si>
  <si>
    <t>Delia Mary</t>
  </si>
  <si>
    <t>Gaddis</t>
  </si>
  <si>
    <t>The Hon Alexander</t>
  </si>
  <si>
    <t>88c</t>
  </si>
  <si>
    <t>Thomas (Tommy) MARSHAM-TOWNHEAND</t>
  </si>
  <si>
    <t>d. 24.01.1944</t>
  </si>
  <si>
    <t>June</t>
  </si>
  <si>
    <t>90a</t>
  </si>
  <si>
    <t>NORMAN</t>
  </si>
  <si>
    <t>Susan (Suki)</t>
  </si>
  <si>
    <t>90b</t>
  </si>
  <si>
    <t>STUDIATI BERNI</t>
  </si>
  <si>
    <t>Cesare</t>
  </si>
  <si>
    <t>Viola</t>
  </si>
  <si>
    <t>90ba</t>
  </si>
  <si>
    <t>90bb</t>
  </si>
  <si>
    <t>CLARKE</t>
  </si>
  <si>
    <t>Edmund</t>
  </si>
  <si>
    <t>Stephenson</t>
  </si>
  <si>
    <t>Jonathan</t>
  </si>
  <si>
    <t>John Robert Stephenson (05/04/1918 - 28/08/1993)</t>
  </si>
  <si>
    <t>90c</t>
  </si>
  <si>
    <t>90ca</t>
  </si>
  <si>
    <t>90cb</t>
  </si>
  <si>
    <t>90cc</t>
  </si>
  <si>
    <t xml:space="preserve">Georgina </t>
  </si>
  <si>
    <t>Philippa</t>
  </si>
  <si>
    <t>Francesca</t>
  </si>
  <si>
    <t>Marina</t>
  </si>
  <si>
    <t>Robert TATTON-BROWN</t>
  </si>
  <si>
    <t>TATTON-BROWN</t>
  </si>
  <si>
    <t>Hugh</t>
  </si>
  <si>
    <t>Miranda</t>
  </si>
  <si>
    <t>Loyd</t>
  </si>
  <si>
    <t>92a</t>
  </si>
  <si>
    <t>92aa</t>
  </si>
  <si>
    <t>92ab</t>
  </si>
  <si>
    <t>92ac</t>
  </si>
  <si>
    <t>92ad</t>
  </si>
  <si>
    <t>92b</t>
  </si>
  <si>
    <t>Giles</t>
  </si>
  <si>
    <t>Eden</t>
  </si>
  <si>
    <t>92ba</t>
  </si>
  <si>
    <t>92bb</t>
  </si>
  <si>
    <t>92bc</t>
  </si>
  <si>
    <t>92bd</t>
  </si>
  <si>
    <t>Olivia</t>
  </si>
  <si>
    <t>Noelle</t>
  </si>
  <si>
    <t>32/09/1970</t>
  </si>
  <si>
    <t>ANDERSEN</t>
  </si>
  <si>
    <t>Octavia</t>
  </si>
  <si>
    <t>Kenya</t>
  </si>
  <si>
    <t>92baa</t>
  </si>
  <si>
    <t>Gregory</t>
  </si>
  <si>
    <t>Mark</t>
  </si>
  <si>
    <t>Anthea</t>
  </si>
  <si>
    <t>92c</t>
  </si>
  <si>
    <t>92d</t>
  </si>
  <si>
    <t>David SURTEES</t>
  </si>
  <si>
    <t>SURTEES</t>
  </si>
  <si>
    <t>92da</t>
  </si>
  <si>
    <t>92db</t>
  </si>
  <si>
    <t>Rosamund</t>
  </si>
  <si>
    <t>Hubert Guy Broughton KNIGHT</t>
  </si>
  <si>
    <t>KNIGHT</t>
  </si>
  <si>
    <t>95a</t>
  </si>
  <si>
    <t>95b</t>
  </si>
  <si>
    <t>Celia</t>
  </si>
  <si>
    <t>VESTEY</t>
  </si>
  <si>
    <t>Guy</t>
  </si>
  <si>
    <t>The Hon Mary</t>
  </si>
  <si>
    <t>THE Hon Arthur</t>
  </si>
  <si>
    <t>THE Hon William</t>
  </si>
  <si>
    <t>95ba</t>
  </si>
  <si>
    <t>95bb</t>
  </si>
  <si>
    <t>95bc</t>
  </si>
  <si>
    <t>Robert Edward Walker SALE</t>
  </si>
  <si>
    <t>SALE</t>
  </si>
  <si>
    <t>97a</t>
  </si>
  <si>
    <t>Iona</t>
  </si>
  <si>
    <t>Marian</t>
  </si>
  <si>
    <t>97aa</t>
  </si>
  <si>
    <t>97ab</t>
  </si>
  <si>
    <t>97b</t>
  </si>
  <si>
    <t>97c</t>
  </si>
  <si>
    <t>Roderick</t>
  </si>
  <si>
    <t>Abell (Roddy)</t>
  </si>
  <si>
    <t>97d</t>
  </si>
  <si>
    <t>97e</t>
  </si>
  <si>
    <t>Constancy</t>
  </si>
  <si>
    <t>Nancy</t>
  </si>
  <si>
    <t>97ea</t>
  </si>
  <si>
    <t>97eb</t>
  </si>
  <si>
    <t>John Charles Edmund Carson MEADE (-6/06/1914 - 30/03/1989)</t>
  </si>
  <si>
    <t>Lady Selina</t>
  </si>
  <si>
    <t>MEADE</t>
  </si>
  <si>
    <t>101a</t>
  </si>
  <si>
    <t>TIMPSON</t>
  </si>
  <si>
    <t>Lawrence</t>
  </si>
  <si>
    <t>Selina</t>
  </si>
  <si>
    <t>101aa</t>
  </si>
  <si>
    <t>101ab</t>
  </si>
  <si>
    <t>Lady Mary</t>
  </si>
  <si>
    <t>101b</t>
  </si>
  <si>
    <t>LOWRY-CORRY</t>
  </si>
  <si>
    <t>Armar</t>
  </si>
  <si>
    <t>Galbraith</t>
  </si>
  <si>
    <t>Viscount John</t>
  </si>
  <si>
    <t>The Hon Montagu</t>
  </si>
  <si>
    <t>Gilford</t>
  </si>
  <si>
    <t>101ba</t>
  </si>
  <si>
    <t>101bb</t>
  </si>
  <si>
    <t>Lady Martha</t>
  </si>
  <si>
    <t>101bc</t>
  </si>
  <si>
    <t>Lady Julia</t>
  </si>
  <si>
    <t>101c</t>
  </si>
  <si>
    <t>HISCOX</t>
  </si>
  <si>
    <t>Milo</t>
  </si>
  <si>
    <t>101ca</t>
  </si>
  <si>
    <t>Sydney</t>
  </si>
  <si>
    <t>101cb</t>
  </si>
  <si>
    <t>101cc</t>
  </si>
  <si>
    <t>Lady Laura</t>
  </si>
  <si>
    <t>101d</t>
  </si>
  <si>
    <t>REID</t>
  </si>
  <si>
    <t>Nicholas</t>
  </si>
  <si>
    <t>Howard</t>
  </si>
  <si>
    <t>Amelia</t>
  </si>
  <si>
    <t>101da</t>
  </si>
  <si>
    <t>101db</t>
  </si>
  <si>
    <t>Julia</t>
  </si>
  <si>
    <t>Clementine</t>
  </si>
  <si>
    <t>101dc</t>
  </si>
  <si>
    <t>Lady Katherine</t>
  </si>
  <si>
    <t>101e</t>
  </si>
  <si>
    <t>WILLS</t>
  </si>
  <si>
    <t>29/02/1987</t>
  </si>
  <si>
    <t>101ea</t>
  </si>
  <si>
    <t>101eb</t>
  </si>
  <si>
    <t>Felicity</t>
  </si>
  <si>
    <t>101ec</t>
  </si>
  <si>
    <t>Lady Sophia</t>
  </si>
  <si>
    <t>29/02/1990</t>
  </si>
  <si>
    <t>101f</t>
  </si>
  <si>
    <t>Jonathan Garnett HEYWOOD</t>
  </si>
  <si>
    <t>HEYWOOD</t>
  </si>
  <si>
    <t>Garnett</t>
  </si>
  <si>
    <t>101fa</t>
  </si>
  <si>
    <t>Alec</t>
  </si>
  <si>
    <t>101fb</t>
  </si>
  <si>
    <t>Malcolm Coit DUNLOP</t>
  </si>
  <si>
    <t>DUNLOP</t>
  </si>
  <si>
    <t>Teressa</t>
  </si>
  <si>
    <t>102a</t>
  </si>
  <si>
    <t>Fergus</t>
  </si>
  <si>
    <t>102b</t>
  </si>
  <si>
    <t>Miranda Grace ELGIN</t>
  </si>
  <si>
    <t>Ella</t>
  </si>
  <si>
    <t>Genevieve</t>
  </si>
  <si>
    <t>Elgin</t>
  </si>
  <si>
    <t>102ba</t>
  </si>
  <si>
    <t>Celina</t>
  </si>
  <si>
    <t>102c</t>
  </si>
  <si>
    <t>Sir Thomas Anthony GORE-BROWNE</t>
  </si>
  <si>
    <t>GORE-BROWNE</t>
  </si>
  <si>
    <t>103a</t>
  </si>
  <si>
    <t>Harriert</t>
  </si>
  <si>
    <t>103aa</t>
  </si>
  <si>
    <t>Frederick</t>
  </si>
  <si>
    <t>103b</t>
  </si>
  <si>
    <t>103ab</t>
  </si>
  <si>
    <t>Harry</t>
  </si>
  <si>
    <t>Alastair</t>
  </si>
  <si>
    <t>103ac</t>
  </si>
  <si>
    <t>PILKINGTON</t>
  </si>
  <si>
    <t>103ba</t>
  </si>
  <si>
    <t>Lucinda</t>
  </si>
  <si>
    <t>103bb</t>
  </si>
  <si>
    <t>103bc</t>
  </si>
  <si>
    <t>103db</t>
  </si>
  <si>
    <t>Claire</t>
  </si>
  <si>
    <t>103c</t>
  </si>
  <si>
    <t>103ca</t>
  </si>
  <si>
    <t>Heather</t>
  </si>
  <si>
    <t>Mona</t>
  </si>
  <si>
    <t>103cb</t>
  </si>
  <si>
    <t>103cc</t>
  </si>
  <si>
    <t>103bd</t>
  </si>
  <si>
    <t>103d</t>
  </si>
  <si>
    <t>103da</t>
  </si>
  <si>
    <t>Clare</t>
  </si>
  <si>
    <t>103dc</t>
  </si>
  <si>
    <t>spennyloyd23@gmail.com</t>
  </si>
  <si>
    <t>Derek Edward Anthony WINN</t>
  </si>
  <si>
    <t>WINN</t>
  </si>
  <si>
    <t>The Hon Geva</t>
  </si>
  <si>
    <t>BLACKETT</t>
  </si>
  <si>
    <t>106a</t>
  </si>
  <si>
    <t>106aa</t>
  </si>
  <si>
    <t>Eve</t>
  </si>
  <si>
    <t>106ab</t>
  </si>
  <si>
    <t>Letitia</t>
  </si>
  <si>
    <t>Lettie</t>
  </si>
  <si>
    <t>106ac</t>
  </si>
  <si>
    <t>106ad</t>
  </si>
  <si>
    <t>Annabel</t>
  </si>
  <si>
    <t>Rowland</t>
  </si>
  <si>
    <t>106b</t>
  </si>
  <si>
    <t>The Hon Rowland</t>
  </si>
  <si>
    <t>Sebastian Henry</t>
  </si>
  <si>
    <t>Rowlery</t>
  </si>
  <si>
    <t>106ba</t>
  </si>
  <si>
    <t>The Hon Henrietta</t>
  </si>
  <si>
    <t>Sophia</t>
  </si>
  <si>
    <t>106bb</t>
  </si>
  <si>
    <t>Wooie</t>
  </si>
  <si>
    <t>Harold Arthur GRAHAM</t>
  </si>
  <si>
    <t>GRAHAM</t>
  </si>
  <si>
    <t>Lorraine</t>
  </si>
  <si>
    <t>William Elmo ORR</t>
  </si>
  <si>
    <t>107a</t>
  </si>
  <si>
    <t>RUSSELL</t>
  </si>
  <si>
    <t>107aa</t>
  </si>
  <si>
    <t>Allen</t>
  </si>
  <si>
    <t>AMY</t>
  </si>
  <si>
    <t>Mathew</t>
  </si>
  <si>
    <t>107ab1</t>
  </si>
  <si>
    <t>107ab2</t>
  </si>
  <si>
    <t>Jonathon</t>
  </si>
  <si>
    <t>Glen</t>
  </si>
  <si>
    <t>107ad</t>
  </si>
  <si>
    <t>ORR</t>
  </si>
  <si>
    <t>Nora</t>
  </si>
  <si>
    <t>107b</t>
  </si>
  <si>
    <t>THOMPSON</t>
  </si>
  <si>
    <t>107ba</t>
  </si>
  <si>
    <t>107bb</t>
  </si>
  <si>
    <t>107bc</t>
  </si>
  <si>
    <t>107c</t>
  </si>
  <si>
    <t>Charitie</t>
  </si>
  <si>
    <t>Lee</t>
  </si>
  <si>
    <t>107ca</t>
  </si>
  <si>
    <t>Kim BAKER</t>
  </si>
  <si>
    <t>Dawn</t>
  </si>
  <si>
    <t>Travis</t>
  </si>
  <si>
    <t>107cb</t>
  </si>
  <si>
    <t>107cc</t>
  </si>
  <si>
    <t>107d</t>
  </si>
  <si>
    <t>Brandy</t>
  </si>
  <si>
    <t>Marie</t>
  </si>
  <si>
    <t>107da</t>
  </si>
  <si>
    <t>107db</t>
  </si>
  <si>
    <t>Lynn</t>
  </si>
  <si>
    <t>Ronald CLINE</t>
  </si>
  <si>
    <t>107e</t>
  </si>
  <si>
    <t>Frank HOYLE</t>
  </si>
  <si>
    <t>HOYLE</t>
  </si>
  <si>
    <t>108a</t>
  </si>
  <si>
    <t>CARTER</t>
  </si>
  <si>
    <t>108aa</t>
  </si>
  <si>
    <t>108ab</t>
  </si>
  <si>
    <t>Daniel</t>
  </si>
  <si>
    <t>Matthew</t>
  </si>
  <si>
    <t>108b</t>
  </si>
  <si>
    <t>108ba</t>
  </si>
  <si>
    <t>Darren</t>
  </si>
  <si>
    <t>108bb</t>
  </si>
  <si>
    <t>108c</t>
  </si>
  <si>
    <t>Tanya</t>
  </si>
  <si>
    <t>108ca</t>
  </si>
  <si>
    <t>108d</t>
  </si>
  <si>
    <t>Peggy</t>
  </si>
  <si>
    <t>Deen</t>
  </si>
  <si>
    <t>Terrence (Terry) WALTON</t>
  </si>
  <si>
    <t>WALTON</t>
  </si>
  <si>
    <t>109a</t>
  </si>
  <si>
    <t>109b</t>
  </si>
  <si>
    <t>Leonard Drummond BOYCE</t>
  </si>
  <si>
    <t>BOYCE</t>
  </si>
  <si>
    <t>Drummond</t>
  </si>
  <si>
    <t>110a</t>
  </si>
  <si>
    <t>110aa</t>
  </si>
  <si>
    <t>110ab</t>
  </si>
  <si>
    <t>Oscar</t>
  </si>
  <si>
    <t>110ac</t>
  </si>
  <si>
    <t>110b</t>
  </si>
  <si>
    <t>110c</t>
  </si>
  <si>
    <t>110d</t>
  </si>
  <si>
    <t>Paula</t>
  </si>
  <si>
    <t>de CASTRO</t>
  </si>
  <si>
    <t>Karina</t>
  </si>
  <si>
    <t>Boyce</t>
  </si>
  <si>
    <t>110da</t>
  </si>
  <si>
    <t>Cyril Eric DOWNES</t>
  </si>
  <si>
    <t>DOWNES</t>
  </si>
  <si>
    <t>Kevin</t>
  </si>
  <si>
    <t>112a</t>
  </si>
  <si>
    <t>112b</t>
  </si>
  <si>
    <t>112c</t>
  </si>
  <si>
    <t>112d</t>
  </si>
  <si>
    <t>Lynda</t>
  </si>
  <si>
    <t>Carol</t>
  </si>
  <si>
    <t>Graeme</t>
  </si>
  <si>
    <t>Lesley</t>
  </si>
  <si>
    <t>Karen</t>
  </si>
  <si>
    <t>Savile William Francis CROSSLEY</t>
  </si>
  <si>
    <t>CROSSLEY</t>
  </si>
  <si>
    <t>The Hon Isabel</t>
  </si>
  <si>
    <t>Alicia</t>
  </si>
  <si>
    <t>115a</t>
  </si>
  <si>
    <t>CATOR</t>
  </si>
  <si>
    <t>Lara</t>
  </si>
  <si>
    <t>115aa</t>
  </si>
  <si>
    <t>115ab</t>
  </si>
  <si>
    <t>115ac</t>
  </si>
  <si>
    <t>The Hon Camilla</t>
  </si>
  <si>
    <t>115b</t>
  </si>
  <si>
    <t>SOAMES</t>
  </si>
  <si>
    <t>115ba</t>
  </si>
  <si>
    <t>115bb</t>
  </si>
  <si>
    <t>115bc</t>
  </si>
  <si>
    <t>The Hon Alicia</t>
  </si>
  <si>
    <t>Phyllis</t>
  </si>
  <si>
    <t>115c</t>
  </si>
  <si>
    <t>Robert (Bobby) PAWSON</t>
  </si>
  <si>
    <t>The Hon Hugh</t>
  </si>
  <si>
    <t>Savile</t>
  </si>
  <si>
    <t>115d</t>
  </si>
  <si>
    <t>The Hon Bridget</t>
  </si>
  <si>
    <t>115e</t>
  </si>
  <si>
    <t>Michael Herbert Mike CLULOW</t>
  </si>
  <si>
    <t>CLULOW</t>
  </si>
  <si>
    <t>Carl</t>
  </si>
  <si>
    <t>Unmarried</t>
  </si>
  <si>
    <t>116a</t>
  </si>
  <si>
    <t>116b</t>
  </si>
  <si>
    <t>116c</t>
  </si>
  <si>
    <t>Henry Trevor HUDSON</t>
  </si>
  <si>
    <t>Terrence Eric BOSMAN</t>
  </si>
  <si>
    <t>BOSMAN</t>
  </si>
  <si>
    <t>Adam</t>
  </si>
  <si>
    <t>Terrence</t>
  </si>
  <si>
    <t>123a</t>
  </si>
  <si>
    <t>123b</t>
  </si>
  <si>
    <t>Jock Llewellyn HAWKEY</t>
  </si>
  <si>
    <t>HAWKEY</t>
  </si>
  <si>
    <t>Allison</t>
  </si>
  <si>
    <t>125a</t>
  </si>
  <si>
    <t>125b</t>
  </si>
  <si>
    <t>Jack PEMBERTON</t>
  </si>
  <si>
    <t>PEMBERTON</t>
  </si>
  <si>
    <t>Isobel</t>
  </si>
  <si>
    <t>128a</t>
  </si>
  <si>
    <t>128b</t>
  </si>
  <si>
    <t>Arnold SAKOLINSKY</t>
  </si>
  <si>
    <t>Adrian GELL</t>
  </si>
  <si>
    <t>GELL</t>
  </si>
  <si>
    <t>Honor</t>
  </si>
  <si>
    <t>Constance</t>
  </si>
  <si>
    <t>137a</t>
  </si>
  <si>
    <t>George ANDREW Lang MILLER</t>
  </si>
  <si>
    <t>MILLER</t>
  </si>
  <si>
    <t>Violet</t>
  </si>
  <si>
    <t>140a1</t>
  </si>
  <si>
    <t>140a2</t>
  </si>
  <si>
    <t>Duncan Ian Arthur Campbell BYATT</t>
  </si>
  <si>
    <t>BYATT</t>
  </si>
  <si>
    <t>Hew</t>
  </si>
  <si>
    <t>Duncan</t>
  </si>
  <si>
    <t>141a</t>
  </si>
  <si>
    <t>141b</t>
  </si>
  <si>
    <t>Nicholas Courcy ASHE</t>
  </si>
  <si>
    <t>ASHE</t>
  </si>
  <si>
    <t>Windham</t>
  </si>
  <si>
    <t>143a</t>
  </si>
  <si>
    <t>143b</t>
  </si>
  <si>
    <t>Ellis Fitzroy WHITCOMB</t>
  </si>
  <si>
    <t>WHITCOMB</t>
  </si>
  <si>
    <t>152a</t>
  </si>
  <si>
    <t>c.loyde@icloud.com</t>
  </si>
  <si>
    <t>jeremyloyd@hotmail.com</t>
  </si>
  <si>
    <t>1765</t>
  </si>
  <si>
    <t>1832</t>
  </si>
  <si>
    <t>Jane (2): 1765</t>
  </si>
  <si>
    <t>Jane (2): 1765 - 1832</t>
  </si>
  <si>
    <t>William (1): 1729 - 1800</t>
  </si>
  <si>
    <t>1772</t>
  </si>
  <si>
    <t>1798</t>
  </si>
  <si>
    <t>Catherine (5): 1772</t>
  </si>
  <si>
    <t>Catherine (5): 1772 - 1798</t>
  </si>
  <si>
    <t>1777</t>
  </si>
  <si>
    <t>1779</t>
  </si>
  <si>
    <t>Gwenllian (7): 1777</t>
  </si>
  <si>
    <t>Gwenllian (7): 1777 - 1779</t>
  </si>
  <si>
    <t>1810</t>
  </si>
  <si>
    <t>1858</t>
  </si>
  <si>
    <t>Sarah (11): 1810</t>
  </si>
  <si>
    <t>Sarah (11): 1810 - 1858</t>
  </si>
  <si>
    <t>Edward (8): 1780 - 1863</t>
  </si>
  <si>
    <t>1861</t>
  </si>
  <si>
    <t>Eliza (12): 1810</t>
  </si>
  <si>
    <t>Eliza (12): 1810 - 1861</t>
  </si>
  <si>
    <t>William (4): 1770 - 1828</t>
  </si>
  <si>
    <t>1813</t>
  </si>
  <si>
    <t>1834</t>
  </si>
  <si>
    <t>Ann (15): 1813</t>
  </si>
  <si>
    <t>Ann (15): 1813 - 1834</t>
  </si>
  <si>
    <t>1814</t>
  </si>
  <si>
    <t>Maria (16): 1814</t>
  </si>
  <si>
    <t>Maria (16): 1814 - 1900</t>
  </si>
  <si>
    <t>1815</t>
  </si>
  <si>
    <t>Catherine (18): 1815</t>
  </si>
  <si>
    <t>Catherine (18): 1815 - 1905</t>
  </si>
  <si>
    <t>1817</t>
  </si>
  <si>
    <t>Hannah (19): 1817</t>
  </si>
  <si>
    <t>Hannah (19): 1817 - 1907</t>
  </si>
  <si>
    <t>1824</t>
  </si>
  <si>
    <t>1856</t>
  </si>
  <si>
    <t>Frances (24): 1824</t>
  </si>
  <si>
    <t>Frances (24): 1824 - 1856</t>
  </si>
  <si>
    <t>1837</t>
  </si>
  <si>
    <t>The Hon Harriet Sarah (26): 1837</t>
  </si>
  <si>
    <t>The Hon Harriet Sarah (26): 1837 - 1920</t>
  </si>
  <si>
    <t>Samuel (9): 1796 - 1883</t>
  </si>
  <si>
    <t>1848</t>
  </si>
  <si>
    <t>Mary (31): 1848</t>
  </si>
  <si>
    <t>Mary (31): 1848 - 1934</t>
  </si>
  <si>
    <t>Edward (22): 1820 - 1890</t>
  </si>
  <si>
    <t>1853</t>
  </si>
  <si>
    <t>1895</t>
  </si>
  <si>
    <t>Elinor (36): 1853</t>
  </si>
  <si>
    <t>Elinor (36): 1853 - 1895</t>
  </si>
  <si>
    <t>Annie (37): 1853</t>
  </si>
  <si>
    <t>Annie (37): 1853 - 1946</t>
  </si>
  <si>
    <t>Thomas (14): 1812 - 1857</t>
  </si>
  <si>
    <t>1854</t>
  </si>
  <si>
    <t>Gertrude (38): 1854</t>
  </si>
  <si>
    <t>Gertrude (38): 1854 - 1924</t>
  </si>
  <si>
    <t>William (23): 1821 - 1885</t>
  </si>
  <si>
    <t>1855</t>
  </si>
  <si>
    <t>Frances (39): 1855</t>
  </si>
  <si>
    <t>Frances (39): 1855 - 1927</t>
  </si>
  <si>
    <t>Dulcie (42): 1858</t>
  </si>
  <si>
    <t>Dulcie (42): 1858 - 1905</t>
  </si>
  <si>
    <t>1859</t>
  </si>
  <si>
    <t>Margaret (43): 1859</t>
  </si>
  <si>
    <t>Margaret (43): 1859 - 1936</t>
  </si>
  <si>
    <t>1864</t>
  </si>
  <si>
    <t>Caroline (47): 1864</t>
  </si>
  <si>
    <t>Caroline (47): 1864 - 1940</t>
  </si>
  <si>
    <t>1865</t>
  </si>
  <si>
    <t>Caroline (48): 1865</t>
  </si>
  <si>
    <t>Caroline (48): 1865 - 1938</t>
  </si>
  <si>
    <t>1867</t>
  </si>
  <si>
    <t>Mary (49): 1867</t>
  </si>
  <si>
    <t>Mary (49): 1867 - 1867</t>
  </si>
  <si>
    <t>1885</t>
  </si>
  <si>
    <t>Evelyn (59): 1885</t>
  </si>
  <si>
    <t>Evelyn (59): 1885 - 1962</t>
  </si>
  <si>
    <t>Frederic (41): 1856 - 1936</t>
  </si>
  <si>
    <t>Kitty (60): 1885</t>
  </si>
  <si>
    <t>Kitty (60): 1885 - 1989</t>
  </si>
  <si>
    <t>1887</t>
  </si>
  <si>
    <t>Mary (63): 1887</t>
  </si>
  <si>
    <t>Mary (63): 1887 - 1968</t>
  </si>
  <si>
    <t>Gertrude (64): 1887</t>
  </si>
  <si>
    <t>Gertrude (64): 1887 - 1917</t>
  </si>
  <si>
    <t>Lewis (35): 1852 - 1908</t>
  </si>
  <si>
    <t>1889</t>
  </si>
  <si>
    <t>Melicent (65): 1889</t>
  </si>
  <si>
    <t>Melicent (65): 1889 - 1967</t>
  </si>
  <si>
    <t>Ted (34): 1851 - 1922</t>
  </si>
  <si>
    <t>1890</t>
  </si>
  <si>
    <t>Diana (70): 1890</t>
  </si>
  <si>
    <t>Diana (70): 1890 - 1963</t>
  </si>
  <si>
    <t>William (46): 1863 - 1923</t>
  </si>
  <si>
    <t>1891</t>
  </si>
  <si>
    <t>Cecily (74): 1891</t>
  </si>
  <si>
    <t>Cecily (74): 1891 - 1891</t>
  </si>
  <si>
    <t>1898</t>
  </si>
  <si>
    <t>Ruby (83): 1898</t>
  </si>
  <si>
    <t>Ruby (83): 1898 - 1977</t>
  </si>
  <si>
    <t>Llewellyn (45): 1861 - 1939</t>
  </si>
  <si>
    <t>Lewis DANIEL or DAVIES</t>
  </si>
  <si>
    <t>DAVIES</t>
  </si>
  <si>
    <t>2a</t>
  </si>
  <si>
    <t>1860/61</t>
  </si>
  <si>
    <t>Casanov &amp; Loyd Travel</t>
  </si>
  <si>
    <t>mantlehill@aol.com</t>
  </si>
  <si>
    <t>jdloyd1783@gmail.com</t>
  </si>
  <si>
    <t>jockronahawkey@hotmail.com</t>
  </si>
  <si>
    <t>jimbrendaloyd1@gmail.com</t>
  </si>
  <si>
    <t>samloyd@hotmail.co.uk</t>
  </si>
  <si>
    <t>joshloyd96@gmail.com</t>
  </si>
  <si>
    <t>rosepuri77@gmail.com</t>
  </si>
  <si>
    <t>05/09/1897</t>
  </si>
  <si>
    <t>2aa</t>
  </si>
  <si>
    <t>2aaa</t>
  </si>
  <si>
    <t>DAVIES or DANIEL</t>
  </si>
  <si>
    <t>2aaaa</t>
  </si>
  <si>
    <t>rosemaryloyd@gmail.com</t>
  </si>
  <si>
    <t>2b</t>
  </si>
  <si>
    <t>04/05/1800</t>
  </si>
  <si>
    <t>09/10/1829</t>
  </si>
  <si>
    <t>26/09/1851</t>
  </si>
  <si>
    <t>2c</t>
  </si>
  <si>
    <t>2ca</t>
  </si>
  <si>
    <t>1866</t>
  </si>
  <si>
    <t>The REV Roderick</t>
  </si>
  <si>
    <t>PROTHEROE</t>
  </si>
  <si>
    <t>1894</t>
  </si>
  <si>
    <t>The REV William</t>
  </si>
  <si>
    <t>10/03/1855</t>
  </si>
  <si>
    <t>1915</t>
  </si>
  <si>
    <t>2caa</t>
  </si>
  <si>
    <t>2cab</t>
  </si>
  <si>
    <t>Canon William</t>
  </si>
  <si>
    <t>Musgrave</t>
  </si>
  <si>
    <t>2caba</t>
  </si>
  <si>
    <t>1942</t>
  </si>
  <si>
    <t>2cabaa</t>
  </si>
  <si>
    <t>2cabab</t>
  </si>
  <si>
    <t>Peter B B GILL</t>
  </si>
  <si>
    <t>1952</t>
  </si>
  <si>
    <t>Alice</t>
  </si>
  <si>
    <t>Muriel</t>
  </si>
  <si>
    <t>Edgar Stephen APPS</t>
  </si>
  <si>
    <t>2cabb</t>
  </si>
  <si>
    <t>1920</t>
  </si>
  <si>
    <t>Beryl</t>
  </si>
  <si>
    <t>APPS</t>
  </si>
  <si>
    <t>2cabba</t>
  </si>
  <si>
    <t>Ian George Greensmith RANDERSON (b.1930)</t>
  </si>
  <si>
    <t>1970</t>
  </si>
  <si>
    <t>1932</t>
  </si>
  <si>
    <t>2cabbaa</t>
  </si>
  <si>
    <t>2cabbab</t>
  </si>
  <si>
    <t>1948</t>
  </si>
  <si>
    <t>2cabbac</t>
  </si>
  <si>
    <t>Norah</t>
  </si>
  <si>
    <t>1945</t>
  </si>
  <si>
    <t>Henry Bombonus BENYON</t>
  </si>
  <si>
    <t>BENYON</t>
  </si>
  <si>
    <t>11a</t>
  </si>
  <si>
    <t>02/09/1839</t>
  </si>
  <si>
    <t>01/05/1863</t>
  </si>
  <si>
    <t>11b</t>
  </si>
  <si>
    <t>11c</t>
  </si>
  <si>
    <t>11d</t>
  </si>
  <si>
    <t>15/01/1841</t>
  </si>
  <si>
    <t>01/03/1861</t>
  </si>
  <si>
    <t>Fanny</t>
  </si>
  <si>
    <t>02/02/1842</t>
  </si>
  <si>
    <t>30/01/1845</t>
  </si>
  <si>
    <t>25/11/1845</t>
  </si>
  <si>
    <t>03/12/1879</t>
  </si>
  <si>
    <t>11e</t>
  </si>
  <si>
    <t>Thomas NORTH b. 1809/10 d. 30/10/1886)</t>
  </si>
  <si>
    <t>NICOL</t>
  </si>
  <si>
    <t>Dyce</t>
  </si>
  <si>
    <t>James Dyce Nichol MP (b. 13/08/1805), d. 16/11/1872)</t>
  </si>
  <si>
    <t>15/12/1844</t>
  </si>
  <si>
    <t>18a</t>
  </si>
  <si>
    <t>02/11/1846</t>
  </si>
  <si>
    <t>20/11/1873</t>
  </si>
  <si>
    <t>18b</t>
  </si>
  <si>
    <t>Malcolm</t>
  </si>
  <si>
    <t>Prout</t>
  </si>
  <si>
    <t>20/04/1879</t>
  </si>
  <si>
    <t>04/04/1891</t>
  </si>
  <si>
    <t>18ba</t>
  </si>
  <si>
    <t>18bb</t>
  </si>
  <si>
    <t>Margery</t>
  </si>
  <si>
    <t>08/05/1880</t>
  </si>
  <si>
    <t>WARNER</t>
  </si>
  <si>
    <t>18bbb</t>
  </si>
  <si>
    <t>Sir Edward</t>
  </si>
  <si>
    <t>Redston</t>
  </si>
  <si>
    <t>18bba</t>
  </si>
  <si>
    <t>Sir George Redston WARNER (b. 18/07/1879, d. 23 Jun 1978) KCVO, CMG</t>
  </si>
  <si>
    <t>Grizel Margaret CLERK RATTRAY (b. 09/06/1913 - )</t>
  </si>
  <si>
    <t>Paul</t>
  </si>
  <si>
    <t>18bbaa</t>
  </si>
  <si>
    <t>Helen Louise GIBBON (b. 20/12/1952, )</t>
  </si>
  <si>
    <t>WARNER (later RAMSAY)</t>
  </si>
  <si>
    <t>18bbaaa</t>
  </si>
  <si>
    <t>18bbaab</t>
  </si>
  <si>
    <t>18bbaac</t>
  </si>
  <si>
    <t>18bbaad</t>
  </si>
  <si>
    <t>RAMSAY</t>
  </si>
  <si>
    <t>Gilbert</t>
  </si>
  <si>
    <t>Aubrey</t>
  </si>
  <si>
    <t>Warner</t>
  </si>
  <si>
    <t>Finlay</t>
  </si>
  <si>
    <t>BERRY</t>
  </si>
  <si>
    <t>Nigel</t>
  </si>
  <si>
    <t>Alan</t>
  </si>
  <si>
    <t>Tristram</t>
  </si>
  <si>
    <t>18bbac</t>
  </si>
  <si>
    <t>Voase</t>
  </si>
  <si>
    <t>Wilmot</t>
  </si>
  <si>
    <t>Suan (Susan?) Voase ADDERLEY (b. 05/08/1949 - )</t>
  </si>
  <si>
    <t>Dianne Neame FINN (b. 13/03/1914, d. 18/02/1991)</t>
  </si>
  <si>
    <t>WARNER (later NICOL)</t>
  </si>
  <si>
    <t>Randall</t>
  </si>
  <si>
    <t>18bbba</t>
  </si>
  <si>
    <t>18bbbb</t>
  </si>
  <si>
    <t>Julie Helena EICHHORN (b. 07/02/1954, )</t>
  </si>
  <si>
    <t>18bbbba</t>
  </si>
  <si>
    <t>18bbbbb</t>
  </si>
  <si>
    <t>Johnathan</t>
  </si>
  <si>
    <t>18bbbbc</t>
  </si>
  <si>
    <t>18bbbbd</t>
  </si>
  <si>
    <t>18bbbc</t>
  </si>
  <si>
    <t>Christina Barbara PETRY (b. 04/05/1954, )</t>
  </si>
  <si>
    <t>Abigail</t>
  </si>
  <si>
    <t>Jennifer</t>
  </si>
  <si>
    <t>18bbbcc</t>
  </si>
  <si>
    <t>Elisabeth</t>
  </si>
  <si>
    <t>Lydia</t>
  </si>
  <si>
    <t>18bbbce</t>
  </si>
  <si>
    <t>18bbbcf</t>
  </si>
  <si>
    <t>John Perry</t>
  </si>
  <si>
    <t>18bbc</t>
  </si>
  <si>
    <t>19/08/1882</t>
  </si>
  <si>
    <t>18bc</t>
  </si>
  <si>
    <t>Dorothy</t>
  </si>
  <si>
    <t>Ada</t>
  </si>
  <si>
    <t>20/08/1885</t>
  </si>
  <si>
    <t>18bd</t>
  </si>
  <si>
    <t>18d</t>
  </si>
  <si>
    <t>23/05/1854</t>
  </si>
  <si>
    <t>30/06/1848</t>
  </si>
  <si>
    <t>05/10/1898</t>
  </si>
  <si>
    <t>18c</t>
  </si>
  <si>
    <t>10/04/1858</t>
  </si>
  <si>
    <t>16/06/1886</t>
  </si>
  <si>
    <t>18e</t>
  </si>
  <si>
    <t>Agnes FREELING (d. 18/12/1914)</t>
  </si>
  <si>
    <t>18ea</t>
  </si>
  <si>
    <t>12/09/1887</t>
  </si>
  <si>
    <t>Gerald DUGDALE (b. 19/03/1884, d. 13/06/1941)</t>
  </si>
  <si>
    <t>DUGDALE</t>
  </si>
  <si>
    <t>18eaa</t>
  </si>
  <si>
    <t>William ENTWISLE (b. 30/09/1809, d. 18/08/1865)</t>
  </si>
  <si>
    <t>ENTWISLE</t>
  </si>
  <si>
    <t>14/05/1839</t>
  </si>
  <si>
    <t>27/08/1860</t>
  </si>
  <si>
    <t>02/10/1840</t>
  </si>
  <si>
    <t>04/10/1840</t>
  </si>
  <si>
    <t>19a</t>
  </si>
  <si>
    <t>19b</t>
  </si>
  <si>
    <t>Frederica</t>
  </si>
  <si>
    <t>24/09/1842</t>
  </si>
  <si>
    <t>08/04/1863</t>
  </si>
  <si>
    <t>19c</t>
  </si>
  <si>
    <t>Bernard</t>
  </si>
  <si>
    <t>25/02/1847</t>
  </si>
  <si>
    <t>08/01 or 06/1875</t>
  </si>
  <si>
    <t>22/09/1877</t>
  </si>
  <si>
    <t>19d</t>
  </si>
  <si>
    <t>13/02/1852</t>
  </si>
  <si>
    <t>16/07/1880</t>
  </si>
  <si>
    <t>19e</t>
  </si>
  <si>
    <t>16/01/1881</t>
  </si>
  <si>
    <t>Anne Marie Hyde CLARKE</t>
  </si>
  <si>
    <t>The Rev the Hon Richard Bruce STOPFORD</t>
  </si>
  <si>
    <t>Robert James LINDSAY (later LOYD LINDSAY) (16/04/1832, d. 10/01/1901)</t>
  </si>
  <si>
    <t>George John COURTHOPE (b. 03/03/1848, d. 08/09/1910)</t>
  </si>
  <si>
    <t>COURTHOPE</t>
  </si>
  <si>
    <t>12/06/1877</t>
  </si>
  <si>
    <t>14/06/1899</t>
  </si>
  <si>
    <t>36a</t>
  </si>
  <si>
    <t>The Hon Hilda</t>
  </si>
  <si>
    <t>36aa</t>
  </si>
  <si>
    <t>36ab</t>
  </si>
  <si>
    <t>The Hon Elinor</t>
  </si>
  <si>
    <t>(1) Hilda Gertrude CLOSE (b. 08/06/1870, d. 11/11/1940) (2) 05/09/1944 Margaret Blance BARRY (b. 23/02 1884, d. 30/09/1972)</t>
  </si>
  <si>
    <t>14/09/1878</t>
  </si>
  <si>
    <t>29/07/1892</t>
  </si>
  <si>
    <t>36b</t>
  </si>
  <si>
    <t>28/01/1882</t>
  </si>
  <si>
    <t>36c</t>
  </si>
  <si>
    <t>36d</t>
  </si>
  <si>
    <t>Barbara</t>
  </si>
  <si>
    <t>23/12/1883</t>
  </si>
  <si>
    <t>Richard Henry POWELL (b. 15/03/1884, d. 09/05/1915)</t>
  </si>
  <si>
    <t>POWELL</t>
  </si>
  <si>
    <t>36da</t>
  </si>
  <si>
    <t>Courthope</t>
  </si>
  <si>
    <t>36db</t>
  </si>
  <si>
    <t>Helen Clare SPENCER-NAIRN (b. 30/04/1917, d.?)</t>
  </si>
  <si>
    <t>(Toody)</t>
  </si>
  <si>
    <t>36dba</t>
  </si>
  <si>
    <t>SCOTT-DEMPSTER</t>
  </si>
  <si>
    <t>36dbaa</t>
  </si>
  <si>
    <t>Lorne</t>
  </si>
  <si>
    <t>36dbaaa</t>
  </si>
  <si>
    <t>Colin</t>
  </si>
  <si>
    <t>36dbab</t>
  </si>
  <si>
    <t>36dbac</t>
  </si>
  <si>
    <t>36dbb</t>
  </si>
  <si>
    <t>Stephen James LINDSAY (b. 02/03/1940, d.?)</t>
  </si>
  <si>
    <t>LINDSAY</t>
  </si>
  <si>
    <t>36dbba</t>
  </si>
  <si>
    <t>Cosmo</t>
  </si>
  <si>
    <t>Stephen</t>
  </si>
  <si>
    <t>Buckle</t>
  </si>
  <si>
    <t>36dbbaa</t>
  </si>
  <si>
    <t>Ludovic</t>
  </si>
  <si>
    <t>36dbbab</t>
  </si>
  <si>
    <t>36dbbb</t>
  </si>
  <si>
    <t>Xanthe CRITCHETT (b. 13/02/1968, d. ?)</t>
  </si>
  <si>
    <t>Montague</t>
  </si>
  <si>
    <t>36dbbba</t>
  </si>
  <si>
    <t>Ronald</t>
  </si>
  <si>
    <t>36dbbc</t>
  </si>
  <si>
    <t>36dbbd</t>
  </si>
  <si>
    <t>36e</t>
  </si>
  <si>
    <t>36f</t>
  </si>
  <si>
    <t>36g</t>
  </si>
  <si>
    <t>36h</t>
  </si>
  <si>
    <t>Joan</t>
  </si>
  <si>
    <t>03/06/1886</t>
  </si>
  <si>
    <t>21/10/1888</t>
  </si>
  <si>
    <t>28/05/1889</t>
  </si>
  <si>
    <t>15/03/1891</t>
  </si>
  <si>
    <t>29/03/1893</t>
  </si>
  <si>
    <t>Harriet (40): 1856</t>
  </si>
  <si>
    <t>Harriet (40): 1856 - 1921</t>
  </si>
  <si>
    <t>Edward Hesketh GODDARD (b. 19/10/1955, d. Oct-Dec 1920)</t>
  </si>
  <si>
    <t>GODDARD</t>
  </si>
  <si>
    <t>Ambrose</t>
  </si>
  <si>
    <t>13/03/1892</t>
  </si>
  <si>
    <t>Ursula WOOD</t>
  </si>
  <si>
    <t>Alfred HARDCASTLE (b. 30/03/1857, d. 01/08/1927)</t>
  </si>
  <si>
    <t>HARDCASTLE</t>
  </si>
  <si>
    <t>06/06/1893</t>
  </si>
  <si>
    <t>47a</t>
  </si>
  <si>
    <t>Leila Mary Arden BRIERLY (b. 18/12/1894, d. 11/04/1979)</t>
  </si>
  <si>
    <t>Brierly</t>
  </si>
  <si>
    <t>Charles Robert Stephen GRAHAM (b. 01/04/1961, d.)</t>
  </si>
  <si>
    <t>Elizabeth Ann Dodds SIMPSON (b. 25/08/1929, d. ? )</t>
  </si>
  <si>
    <t>47aa</t>
  </si>
  <si>
    <t>47aaa</t>
  </si>
  <si>
    <t>Raymond Hubert HALLET (b. 11/10/1934, d. ?)</t>
  </si>
  <si>
    <t>HALLETT</t>
  </si>
  <si>
    <t>Florence</t>
  </si>
  <si>
    <t>47aaaa</t>
  </si>
  <si>
    <t>Lillian</t>
  </si>
  <si>
    <t>47aaab</t>
  </si>
  <si>
    <t>47aab</t>
  </si>
  <si>
    <t>Jean Elizabeth AMOS (b. 21/05/1949, d. ?)</t>
  </si>
  <si>
    <t>Linda</t>
  </si>
  <si>
    <t>22/088/1998</t>
  </si>
  <si>
    <t>Andrew PURVES (b. 27/01/1973, d. ?)</t>
  </si>
  <si>
    <t>Susan</t>
  </si>
  <si>
    <t>Edwin</t>
  </si>
  <si>
    <t>47aabb</t>
  </si>
  <si>
    <t>47aabc</t>
  </si>
  <si>
    <t>47aac</t>
  </si>
  <si>
    <t>Priscilla</t>
  </si>
  <si>
    <t>47ab</t>
  </si>
  <si>
    <t>Alwyn Cedric DREW (b. 11/11/1924, d. 17/03/1972)</t>
  </si>
  <si>
    <t>DREWE</t>
  </si>
  <si>
    <t>Stella Eleanor FRANCIS (b. 05/03/1948, d. ?)</t>
  </si>
  <si>
    <t>47aba</t>
  </si>
  <si>
    <t>Gillian</t>
  </si>
  <si>
    <t>47abb</t>
  </si>
  <si>
    <t>Johannes Zacharis ELOFF (b. 16/03/1952, d. ?)</t>
  </si>
  <si>
    <t>47abc</t>
  </si>
  <si>
    <t>Hana MATUSKOVA (b. 18/01/1964, d. ?)</t>
  </si>
  <si>
    <t>Alwyn</t>
  </si>
  <si>
    <t>Karel</t>
  </si>
  <si>
    <t>47abca</t>
  </si>
  <si>
    <t>George Halford D'OYLY  (b. 21/02/1855,  d. 21/02/1909)</t>
  </si>
  <si>
    <t>D'OYLY</t>
  </si>
  <si>
    <t>Loiuse</t>
  </si>
  <si>
    <t>Mabell</t>
  </si>
  <si>
    <t>48a</t>
  </si>
  <si>
    <t>His Honour Edwin Max KONSTAM (b. 06/06/1870, d. 07/04/1956)</t>
  </si>
  <si>
    <t>William Withers MOORE (b. 04/08/1835, d. 20/02/1944)</t>
  </si>
  <si>
    <t>MOORE</t>
  </si>
  <si>
    <t>Withers</t>
  </si>
  <si>
    <t>Priscilla Mary MELLIS (b. 26/04/1925, d. ?)</t>
  </si>
  <si>
    <t>63a</t>
  </si>
  <si>
    <t>63aa</t>
  </si>
  <si>
    <t>63ab</t>
  </si>
  <si>
    <t>Anne Marrei ZAJAC (b. 22/05/1950, d. )</t>
  </si>
  <si>
    <t>Eleanor</t>
  </si>
  <si>
    <t>Alistair</t>
  </si>
  <si>
    <t>63aba</t>
  </si>
  <si>
    <t>63abb</t>
  </si>
  <si>
    <t>Veronica</t>
  </si>
  <si>
    <t>Ashwell</t>
  </si>
  <si>
    <t>63b</t>
  </si>
  <si>
    <t>63c</t>
  </si>
  <si>
    <t>Comdt. Baron Max LEWAL</t>
  </si>
  <si>
    <t>Nan</t>
  </si>
  <si>
    <t>James Norman WHEELER (b. 17/04/1882, d. 06/01/1966)</t>
  </si>
  <si>
    <t>WHEELER</t>
  </si>
  <si>
    <t>65a</t>
  </si>
  <si>
    <t>Norma</t>
  </si>
  <si>
    <t>Monica</t>
  </si>
  <si>
    <t>65b</t>
  </si>
  <si>
    <t>65c</t>
  </si>
  <si>
    <t>Pierrette CORCOS (b. 10/10/1944, d. ?)</t>
  </si>
  <si>
    <t>Vanessa</t>
  </si>
  <si>
    <t>Chantal</t>
  </si>
  <si>
    <t>65ca</t>
  </si>
  <si>
    <t>Natalie</t>
  </si>
  <si>
    <t>65cb</t>
  </si>
  <si>
    <t>Charles MICKLEM (b. 17/01/1882, d. 26/01/1955)</t>
  </si>
  <si>
    <t>70a</t>
  </si>
  <si>
    <t>MICKLEM</t>
  </si>
  <si>
    <t>Cynthia</t>
  </si>
  <si>
    <t>William Alan Watson SAHEARER (b. 13/08/1917, d. 09/07/1995)</t>
  </si>
  <si>
    <t>SHEARER</t>
  </si>
  <si>
    <t>70aa</t>
  </si>
  <si>
    <t>Jane Monica JEFFERSON (b. 22/03/1951, d. )</t>
  </si>
  <si>
    <t>70aaa</t>
  </si>
  <si>
    <t>70aab</t>
  </si>
  <si>
    <t>Esther</t>
  </si>
  <si>
    <t>70ab</t>
  </si>
  <si>
    <t>Pierre Robert ANDREY</t>
  </si>
  <si>
    <t>ANDREY</t>
  </si>
  <si>
    <t>Amanda</t>
  </si>
  <si>
    <t>70aba</t>
  </si>
  <si>
    <t>70abb</t>
  </si>
  <si>
    <t>Micklem</t>
  </si>
  <si>
    <t>70ac</t>
  </si>
  <si>
    <t>Dora</t>
  </si>
  <si>
    <t>MELITUS</t>
  </si>
  <si>
    <t>Peter MELITUS (b. 24/09/1922, d. ?)</t>
  </si>
  <si>
    <t>70b</t>
  </si>
  <si>
    <t>70ba</t>
  </si>
  <si>
    <t>Susan Adele WRIGHT (b. 16/05/1952, d. ?)</t>
  </si>
  <si>
    <t>Zoe</t>
  </si>
  <si>
    <t>Adele</t>
  </si>
  <si>
    <t>70baa</t>
  </si>
  <si>
    <t>70bab</t>
  </si>
  <si>
    <t>70bb</t>
  </si>
  <si>
    <t>Owen Arthur Wilfred CHALDECOTT (b. 08/01/1961, )</t>
  </si>
  <si>
    <t>CHALDECOTT</t>
  </si>
  <si>
    <t>70bba</t>
  </si>
  <si>
    <t>70bbb</t>
  </si>
  <si>
    <t>70bbc</t>
  </si>
  <si>
    <t>Owen</t>
  </si>
  <si>
    <t>70c</t>
  </si>
  <si>
    <r>
      <t xml:space="preserve">Sir Arthur </t>
    </r>
    <r>
      <rPr>
        <u/>
        <sz val="12"/>
        <color theme="1"/>
        <rFont val="Calibri (Body)"/>
      </rPr>
      <t>John</t>
    </r>
    <r>
      <rPr>
        <sz val="12"/>
        <color theme="1"/>
        <rFont val="Calibri"/>
        <family val="2"/>
        <scheme val="minor"/>
      </rPr>
      <t xml:space="preserve"> (Jack) PAGE (b. 16/09/1919, d.?)</t>
    </r>
  </si>
  <si>
    <t>PAGE</t>
  </si>
  <si>
    <t>Hugo</t>
  </si>
  <si>
    <t>00/10/1992</t>
  </si>
  <si>
    <t>70ca</t>
  </si>
  <si>
    <t>Angelique DE FOLIN (b. 09/04/1968, )</t>
  </si>
  <si>
    <t>Nathaniel</t>
  </si>
  <si>
    <t>70cd</t>
  </si>
  <si>
    <t>70cb1</t>
  </si>
  <si>
    <t>70cb2</t>
  </si>
  <si>
    <t>Isabelle ANTHOT (b. 1960)</t>
  </si>
  <si>
    <t>70cb2a</t>
  </si>
  <si>
    <t>Philippa Clare DOWDESWELL (b. 1974)</t>
  </si>
  <si>
    <t>Weguelin (Tom)</t>
  </si>
  <si>
    <t>Tom</t>
  </si>
  <si>
    <t>70d</t>
  </si>
  <si>
    <t>Marian Cicely CRACROFT-AMCOTTS (b. 13/09/1931, d. )</t>
  </si>
  <si>
    <t>Rhona</t>
  </si>
  <si>
    <t>(1) Gary Maxwell WEILEY (Divorced 1992); (2) 03/06/2000 Colin John GILLANDERS (b. 17/07/1954)</t>
  </si>
  <si>
    <t>70da</t>
  </si>
  <si>
    <t>Cracroft</t>
  </si>
  <si>
    <t>70db</t>
  </si>
  <si>
    <t>Sylvia</t>
  </si>
  <si>
    <t>(Sylvie)</t>
  </si>
  <si>
    <t>Sylvie</t>
  </si>
  <si>
    <t>70dc</t>
  </si>
  <si>
    <t>Andrew Alistair Gavin GOW (b. 03/01/1965, )</t>
  </si>
  <si>
    <t>GOW</t>
  </si>
  <si>
    <t>Simeon</t>
  </si>
  <si>
    <t>Gavin</t>
  </si>
  <si>
    <t>70dca</t>
  </si>
  <si>
    <t>70dcb</t>
  </si>
  <si>
    <t>70dcc</t>
  </si>
  <si>
    <t>70e</t>
  </si>
  <si>
    <t>Peter RAINSFORD (b. 26/05/1921) (Divorced)</t>
  </si>
  <si>
    <t>70f</t>
  </si>
  <si>
    <t>Stirling</t>
  </si>
  <si>
    <t>Meg</t>
  </si>
  <si>
    <t>Generation</t>
  </si>
  <si>
    <t>Check</t>
  </si>
  <si>
    <t>From if Calcs</t>
  </si>
  <si>
    <t>By hand</t>
  </si>
  <si>
    <t>Length</t>
  </si>
  <si>
    <t>18bbbca</t>
  </si>
  <si>
    <t>18bbbcd</t>
  </si>
  <si>
    <t>Court Henry, Cilycwm, Carmarthenshire.</t>
  </si>
  <si>
    <t>Additional Information</t>
  </si>
  <si>
    <t>Left 50 shillings each in the grandfather's will.</t>
  </si>
  <si>
    <t>Before 1860</t>
  </si>
  <si>
    <t>William DAVIES of Cwm-y-to fach from before 1865 to after 1874, and then of Garth Farm on Blaenos estate overlooking Llandovery. (In 1910 farm occupied by his widow, 2 sons and 2 daughters).</t>
  </si>
  <si>
    <t>William DAVIES (another son), tenant of Glangwenlais Farm, Cilycwm, and later of Bryngwenlais Farm, Cilycwm.</t>
  </si>
  <si>
    <t>Elizabeth  buried in Cilycwm cemetry</t>
  </si>
  <si>
    <t>Issue: Margaret Elizabeth DAVIES of Bryngwenlais Cottage, Cilycwm. d. 12 Dec 1982 at Llandovery Hospital buried in Cilycwm cemetery in her parents’ grave. Tombstone in Welsh.</t>
  </si>
  <si>
    <t>Baptised 4 May 1800 at Cilycwm.</t>
  </si>
  <si>
    <t>Baptised 9 Oct 1829 at Cilycwm.</t>
  </si>
  <si>
    <t>Morgan Price PROTHEROE (b. 1816, d. 1882)</t>
  </si>
  <si>
    <t>Wedding at Cilycwm</t>
  </si>
  <si>
    <t>07/02/1884</t>
  </si>
  <si>
    <t>Alice Laura MUSGRAVE (b. 23/12/1861, d. 1928)</t>
  </si>
  <si>
    <t>Alice daughter of Francis MUSGRAVE. Married at Mold, Flint.</t>
  </si>
  <si>
    <t>Born at Stone Street, Llandovery. Educated Society of the Divine Passion, Lampeter (Scholar and Exhibitioner, BA 1879). Deacon 1879. Priest 1881. Curate of Mold 1879-84. Vicar of Pont-Bleiddyn, Mold 1884-89. Vicar of Llanasa, Holywell 1889-1915. The inclusion of the name ‘Loyd’ as a Christian name was probably in recognition of the money left by Thomas LOYD (1775-1853) in his will to the issue of his sister, Jane, which enabled the two brothers to be educated for the Church.</t>
  </si>
  <si>
    <t>Educated Society of the Divine Passion, Lampeter (BA Theology 1875). Deacon 1875. Priest 1876. Curate of Penmorfa 1875-77. Curate of Machynlleth, Montgomeryshire 1877-89. Rector of Penstrowed 1889-94. d. 1894. The inclusion of the name ‘Loyd’ as a Christian name was probably in recognition of the money left by Thomas LOYD (1775-1853) in his will to the issue of his sister, Jane, which enabled the two brothers to be educated for the Church.</t>
  </si>
  <si>
    <t>Educated Keble College, Oxford (BA 1907, MA 1911). Bishop’s Hostel, Liverpool 1907. Deacon 1908. Priest 1909. Curate of Garston, Lancashire 1908-11. Curate of St Anne’s, Aigburth 1911-12. Temporary Chaplain to the Forces 1916-19. MC and Croix de Guerre with star 1919. Vicar of St John’s, Bootle 1920-25. All Saints’, Newton-le-Willows 1925-28. St Peter’s, Warrington 1928-35. Rector of Halewood 1936-38. Vicar of Daresbury, Cheshire 1938-56. Rural Dean of Great Budworth 1947-55. Canon of Chester 1953-55. (Left £500 in the will of his godmother Mary Louisa LOYD (1848-1930). Died at Uplyme.</t>
  </si>
  <si>
    <t>m. 20 Jul 1920 at The Parish Church, Colwyn Bay, Ida Wozencroft , daughter of William Hugh Wozencroft MORGAN of The Woodlands, Colwyn Bay.</t>
  </si>
  <si>
    <t>Ida Wozencroft MORGAN (b. 1894, d. 1976)</t>
  </si>
  <si>
    <t>Elizabeth (b. 1859/60, d. 21/05/1940)</t>
  </si>
  <si>
    <t>Nancy D WALTER (b.1902, d. 1985)</t>
  </si>
  <si>
    <t>Alice J CHAMBEL (b. ?, d. 1975)</t>
  </si>
  <si>
    <t>Killed in action 1942</t>
  </si>
  <si>
    <t>Married at Runcorn. Peter GILL Commander in the Royal Navy.</t>
  </si>
  <si>
    <t>Edgar APPS, Lieut Commander, Royal Navy.</t>
  </si>
  <si>
    <t>Married at St Jude's, Portsea, Hampshire. Ian son of George Oswald RANDERSON.</t>
  </si>
  <si>
    <t>Married at Uckfield</t>
  </si>
  <si>
    <t>Married at Paddington</t>
  </si>
  <si>
    <t>Buried at St Peter’s, Bournemouth.</t>
  </si>
  <si>
    <t>d.(unmarried) 1 May 1863,</t>
  </si>
  <si>
    <t>Buried in Willesden Cemetery.</t>
  </si>
  <si>
    <t>Buried in a vault at Roundhay Church.</t>
  </si>
  <si>
    <t xml:space="preserve">d. 8 Mar 1906, </t>
  </si>
  <si>
    <t>Edward and Sarah buried together in Feltham Cemetery</t>
  </si>
  <si>
    <t>Mrs Sarah Amelia PARFITT (b. 11/11/1837, 08/03/1906) widow of William PARFITT</t>
  </si>
  <si>
    <t>tessdunlop@gmail.com; celinadunlop@btinternet.com</t>
  </si>
  <si>
    <t>Buried at Brookwood.</t>
  </si>
  <si>
    <t>Catherine Nicol Lewis PROUT (b. 04/03/1848, d. 18/12/1914)</t>
  </si>
  <si>
    <t>Catherine born in London.</t>
  </si>
  <si>
    <t>William died at Kincardine O’Neil, Aberdeenshire.</t>
  </si>
  <si>
    <t>Buried at Willesden.</t>
  </si>
  <si>
    <t>Sir George, elder son of Sir Joseph Henry WARNER.</t>
  </si>
  <si>
    <t>Sir Edward Redston WARNER of Old Royal Oak, High Street, Blockley, Moreton-in-March, Gloucestershire, GL56 9EX. Educated Oundle and King’s College, Cambridge. Entered Foreign Office and Diplomatic Service 1935. UK Delegation to OEEC, Paris 1956-59. Minister at HM Embassy, Tokyo 1959-62. HM Ambassador, Cameroon 1963-66. UK Rep, Econ and Social Council, United Nations 1966-68. HM Ambassador, Tunisia 1968-70. OBE 1948. CMG 1955. KCMG 1965.</t>
  </si>
  <si>
    <t>Married Margaret elder daughter of Colonel Paul CLERK RATTRAY of Craighall, Rattray, Perthshire at Cairo Cathedral, Grizel</t>
  </si>
  <si>
    <t>Married at St Peter’s, Lutton Place, Edinburgh, Helen daughter of Colonel GIBBON of West Mayfield, Edinburgh.</t>
  </si>
  <si>
    <t>Educated Eton, Edinburgh University (MA) and University College, London (MSc). Changed name to RAMSAY on inheriting Bamff, Alyth, Perthshire. Environmentalist, Landowner and Writer. Council of National Trust for Scotland.</t>
  </si>
  <si>
    <t>Educated Trinity College, Glenalmond and Christchurch, Oxford.</t>
  </si>
  <si>
    <t>Educated Trinity College, Glenalmond.</t>
  </si>
  <si>
    <t>18bbab</t>
  </si>
  <si>
    <t>18bbaba</t>
  </si>
  <si>
    <t>18bbabb</t>
  </si>
  <si>
    <t>18bbad</t>
  </si>
  <si>
    <t>18bbada</t>
  </si>
  <si>
    <t>18bbadb</t>
  </si>
  <si>
    <t>42a</t>
  </si>
  <si>
    <t>47aaba</t>
  </si>
  <si>
    <t>William BERRY (b. 26/09/1939, )</t>
  </si>
  <si>
    <t>Married at St Giles’ Cathedral, Edinburgh, William elder son of Dr John BERRY CBE of Tayfield, Newport-on-Tay, Fife.</t>
  </si>
  <si>
    <t>Educated Eton and Edinburgh University (MA Hons 1st class). Lazard Brothers.</t>
  </si>
  <si>
    <t>Educated Fettes and Bristol University.</t>
  </si>
  <si>
    <t>Twin with her brother Nigel. Educated Godolphin, Salisbury and Edinburgh University.</t>
  </si>
  <si>
    <t>Twin with his sister Elizabeth. Educated Rugby and Clare College, Cambridge. Chartered Accountant. Peat, Marwick &amp; Mitchell. Shell UK. Retired 1997.</t>
  </si>
  <si>
    <t>Married Susan, at St Peter &amp; St Paul’s, Pickering, North Yorskhire, eldest daughter of RB ADDERLEY MBE of Pickering North Yorkshire</t>
  </si>
  <si>
    <t>Alan WARNER of 43 Thornhill Road, London N1 1JS. Educated Rugby and St Andrew’s University. Chartered Accountant. Rouche Ross. MD Douglas Deakin Young since 1988.</t>
  </si>
  <si>
    <t>Educated (Scholar) Rugby.</t>
  </si>
  <si>
    <t>Educated Oundle and RMC Sandhurst. Changed name to NICOL on inheriting Ballogie Nov 1941.</t>
  </si>
  <si>
    <t>Eldest daughter of Lewis FINN of Lorenden, Faversham, Kent.</t>
  </si>
  <si>
    <t xml:space="preserve">Educated Rugby and Magdelene College, Cambridge. Scots Guards. Partner Gillespie Macandrew WS, Edniburgh. </t>
  </si>
  <si>
    <t>(1) Wendy Grace Isabel WHITESISDE (b. 25/111957, d 02/04/1987).</t>
  </si>
  <si>
    <t>(2) 26/08/1993 Felicity WARLOW-HARRY (b. 06/05/1950, )</t>
  </si>
  <si>
    <t>Educated Rugby and Aberdeen University.</t>
  </si>
  <si>
    <t>Eldest daughter of John PETRY.</t>
  </si>
  <si>
    <t>of Ballogie Estate, Bridgend, Ballogie, Aboyne, Aberdeenshire, AB34 5DS. Educated Rugby &amp; Durham University. Estate Manager, Ballogie Estate.</t>
  </si>
  <si>
    <t>Twin with her sister Jennifer.</t>
  </si>
  <si>
    <t>Twin with her sister, Abigail</t>
  </si>
  <si>
    <t>Educated Oundle and RMC Sandhurst. Lieut Colonel, Royal Fusiliers. MBE 1942. MC 1944.</t>
  </si>
  <si>
    <t>Buried at Christ Church, Kincardine O’Neil, Aberdeenshire.</t>
  </si>
  <si>
    <t>(1) Alice Maud WARDEN (d. 27/01/1930 buried at Aboyne).</t>
  </si>
  <si>
    <t>(2) Eveleyn May MITCHELL of Sauchrie (d. 07/04/1945).</t>
  </si>
  <si>
    <t>Died at Tunbridge Wells, Kent.</t>
  </si>
  <si>
    <t>Eldest daughter of Sir Sandford FREELING KCMG.</t>
  </si>
  <si>
    <t>Educated Harrow. Served in World War I 1915-16. Colonel 3 Bn The Rifle Bde. CBE 1916. Brig General.</t>
  </si>
  <si>
    <t>Divorced 1926.</t>
  </si>
  <si>
    <t>Died at 93 Ebury Street, London SW1.</t>
  </si>
  <si>
    <t>victoryyardiow@gmail.com</t>
  </si>
  <si>
    <t>cherrytreefarms@gmail.com</t>
  </si>
  <si>
    <t>janetbosman@icloud.com</t>
  </si>
  <si>
    <t>dmsako@shaw.ca</t>
  </si>
  <si>
    <t>Buried at Ticehurst, Sussex 9 Aug 1974. Left the Whiligh estate, on the death of her sister, to Edward John Brierly HARDCASTLE (1923- ), grandson of Caroline Foster LOYD (1864-1940).</t>
  </si>
  <si>
    <t>(1) Hilda, baptised at Muree, Punjab, India, daughter of Major General Henry Pelham CLOSE.  (2) Married 5 Sep 1944 in Crypt of House of Commons, Margaret daughter of Frederick BARRY of Westbury, Wiltshire.</t>
  </si>
  <si>
    <t xml:space="preserve">Served in World War I, Lieut Colonel Royal Sussex Regiment, wounded, despatches, MC. </t>
  </si>
  <si>
    <t>Buried at Ticehurst, Sussex 23 Jun 1980. OBE 1963. DL East Sussex. Chairman East Sussex CC 1967-70. One time Joint Master of Eridge hunt. Last of the Whiligh COURTHOPES who owned the estate for 467 years 1513-1980. MP for Rye, Sussex (C) 1906-45. DL and JP for Sussex. Bart: 1925. Privy Councillor 1937. Raised to Peerage 1945 as (1st &amp; last) Baron COURTHOPE of WHILIGH.</t>
  </si>
  <si>
    <t>Buried at Horsmonden, Kent.</t>
  </si>
  <si>
    <t>Died at Lonsdale Nursing Home, Tunbridge Wells.</t>
  </si>
  <si>
    <t>Richard 3rd son of Henry Pryor POWELL of Hale House, Ockley, Surrey.</t>
  </si>
  <si>
    <t>Died at Broad Ford, Horsmonden, Kent, buried 20 Mar 1972 at Wadhurst, Sussex.</t>
  </si>
  <si>
    <t>Died at Wadhurst, Sussex, buried in her mother’s grave at Wadhurst.</t>
  </si>
  <si>
    <t>Married at Christ Kirk on the Green, Leslie, Fife, Helen daughter of Sir Robert SPENCER-NAIRN Bart: Major, Fife and Forfar Yeomanry.</t>
  </si>
  <si>
    <t>Killed in action, 19 Jul 1944 in Normandy, buried in Military cemetery, Banneville-la-Campagne, Nr Caen.</t>
  </si>
  <si>
    <t>Canon Colin Thomas SCOTT-DEMPSTER (b. 22/04/1937, d.)</t>
  </si>
  <si>
    <t>Toodie</t>
  </si>
  <si>
    <t>Married at the Episcopal Church of St John, Princes Street, Edinburgh, Canon Colin of The Vicarage, Chieveley, Newbury, Berkshire, RG20 8UT. Deacon, Christ Church Cathedral, Oxford, Sep 1966. Priest, Christ Church Cathedral, Oxford, Sep 1967. Curate, St Peter’s, Caversham 1966-69. Chaplain, Teacher Training College of St Mark &amp; St John, Chelsea, London 1969-73. Vicar of Chieveley, Winterbourne &amp; Oare, Oxford Diocese from 1973. Rural Dean of Newbury 1977-98. Hon Canon, Christ Church Cathedral, Oxford 1990.</t>
  </si>
  <si>
    <t>Born at Collessie, Fife.</t>
  </si>
  <si>
    <t>Married at Southwell Minster. Camilla daughter of Peter LOCKHART SMITH.</t>
  </si>
  <si>
    <t>Camilla Helen LOCKHART SMITH (b. 06/10/1969, d. )</t>
  </si>
  <si>
    <t>Born in Edinburgh.</t>
  </si>
  <si>
    <t>Born in Reading</t>
  </si>
  <si>
    <t>Born in Reading.</t>
  </si>
  <si>
    <t>Born in Oxford</t>
  </si>
  <si>
    <t>Born  at Collessie, Fife.</t>
  </si>
  <si>
    <t>Married at St Cuthbert’s, Edinburgh, to Stephen Lieut Colonel, The Black Watch. Regimental Secretary, Balhousie Castle, Perth from 1997.</t>
  </si>
  <si>
    <t>Born in Edinburgh.</t>
  </si>
  <si>
    <t>Married at St Cuthbert’s. Edinburgh,</t>
  </si>
  <si>
    <t>Born in London.</t>
  </si>
  <si>
    <t>Born in Salisbury.</t>
  </si>
  <si>
    <t>Married at St Peter’s, Limpsfield Xanthe daughter of Sir Ian CRITCHETT.</t>
  </si>
  <si>
    <t>Born in Perth.</t>
  </si>
  <si>
    <t>Born at Lillesden, Hawkhurst, Kent. Died at Sprivers, Horsmonden, Kent, buried 18 Feb 1974 at Wadhurst, Sussex.</t>
  </si>
  <si>
    <t>Born at Lillesden, Hawkhurst, Kent. Died at Sprivers, Horsmonden, Kent, buried 5 Apr 1966 at Wadhurst, Sussex. Left house and hundred acres surrounding it to the National Trust in his will.</t>
  </si>
  <si>
    <t>Buried at Ticehurst, Sussex.</t>
  </si>
  <si>
    <t>Married at Prestwich Lodge, Manchester, bapt. 19 Sep 1859 at Prestwich Church.</t>
  </si>
  <si>
    <t>Ursula daughter of Andrew WOOD</t>
  </si>
  <si>
    <t>Married Leila, at Tunbridge Wells, daughter of J.S. BRIERLY of Aldenham, Hertfordshire.</t>
  </si>
  <si>
    <t>Educated Repton. Died at Little Pell Farm, Wadhurst.</t>
  </si>
  <si>
    <t>Married St Augustine’s, Hull, Elizabeth Ann Dodds,  elder daughter of R.R. SIMPSON FRCS of Hull.</t>
  </si>
  <si>
    <t>Edward John Brierly HARDCASTLE of Whiligh, Shovers Green, Wadhurst, East Sussex, TN5 7JU. Inherited Whiligh in 1980. (see #36).</t>
  </si>
  <si>
    <t>Mary HARDCASTLE of Keepers Cottage, Whiligh, Shovers Green, Wadhurst, East Sussex, TN5 7JU. Educated St. Mary’s, Wantage.</t>
  </si>
  <si>
    <t>Married at Chelsea, London, Raymond Hubert HALLETT.</t>
  </si>
  <si>
    <t>Educated University College, London (BA History of Art 1998).</t>
  </si>
  <si>
    <t>Educated Kings College, London.</t>
  </si>
  <si>
    <t>John Michael HARDCASTLE of Home Farm, Whiligh, Shovers Green, East Sussex, TN5 7JX. Educated Bradfield and Reading University (BSc Estate Management).</t>
  </si>
  <si>
    <t xml:space="preserve">Married Jean at Great Bowden, Leicestershire. </t>
  </si>
  <si>
    <t>Adopted: Linda Constance Elizabeth HARDCASTLE</t>
  </si>
  <si>
    <t>Educated Bradfield and Canterbury College of Art.</t>
  </si>
  <si>
    <t>Judith Anne LEWINGTON (b. 26/06/1948, d. ?)</t>
  </si>
  <si>
    <t>Divorced 1987.</t>
  </si>
  <si>
    <r>
      <t xml:space="preserve">Married at St Mary’s, Ticehurst, Sussex, Alwyn, Lieutenant, Royal Navy and younger son of Sir Cedric DREWE KCVO of Broadhembury House, Broadhembury, Devon. </t>
    </r>
    <r>
      <rPr>
        <b/>
        <sz val="12"/>
        <color theme="1"/>
        <rFont val="Calibri"/>
        <family val="2"/>
        <scheme val="minor"/>
      </rPr>
      <t>MP for South Molton 1924-29 and Honiton 1931-52.</t>
    </r>
    <r>
      <rPr>
        <sz val="12"/>
        <color theme="1"/>
        <rFont val="Calibri"/>
        <family val="2"/>
        <scheme val="minor"/>
      </rPr>
      <t xml:space="preserve"> WHO WAS THE MP?</t>
    </r>
  </si>
  <si>
    <t>Born at Tenterden, Kent. Priscilla of PO Box 2023, Voelklip, Hermanus 7200, Western Province, South Africa. Died in Rhodesia.</t>
  </si>
  <si>
    <t>Born at Winchester, Hampshire. Martin Christopher DREWE of 65 Elgin Crescent, London, W11.</t>
  </si>
  <si>
    <t>Married at Hermanus, South Africa, Stella Eleanor, younger daughter of Charles Henry FRANCIS of Sheffield, Yorkshire.</t>
  </si>
  <si>
    <t>Born at Tonbridge, Kent.</t>
  </si>
  <si>
    <t>Married at Full Gospel Church, Cambridge, East London, South Africa, Johannes Zacharias, son of Johannes Zacharias ELOFF of East London, South Africa.</t>
  </si>
  <si>
    <t>Born at Salisbury, Rhodesia.</t>
  </si>
  <si>
    <t>Married at Brno, Czechoslovakia, Hana MATUSKOVA, daughter of Osvald MATUSKA of Ratiskovice, Czechoslovakia.</t>
  </si>
  <si>
    <t>Born at Winchester, Hampshire.</t>
  </si>
  <si>
    <t>Canon Joseph</t>
  </si>
  <si>
    <t>19/07/1899</t>
  </si>
  <si>
    <t>47b</t>
  </si>
  <si>
    <t>Educated Sherborne and Jesus College, Cambridge 1917. Wells Theological College 1919. Deacon 1922. Priest 1924. Curate St Mary’s, Southampton 1922-24. St John Evangelist, Holborn 1924-27. St John the Divine, Kennington 1927-29. Hawarden (in charge of St Francis’ Sandicroft) 1929-34. Vicar of St Mary the Virgin, Primrose Hill 1934-1946. Canon Carlisle Cathedral 1947-52. Died at Farnham Hospital, Surrey.</t>
  </si>
  <si>
    <t>m. 16 Jan 1940 Ruth Mary (b. 27 Nov 1907, d. 14 Aug 1997) daughter of David SETH-SMITH FRZS.</t>
  </si>
  <si>
    <t>Ruth Mary  SETH-SMITH FRZS (b. 27 Nov 1907, d. 14 Aug 1997)</t>
  </si>
  <si>
    <t xml:space="preserve">of 61 St Clair Avenue, West Apt. 507, Toronto, Ontario, Canada, M4V 2Y8. Baptised 20 Dec 1926 at St Peter &amp; St Paul (The Abbey) Bath. Educated Cheltenham, and Imperial College of Science and Technology (BSc Eng 1949), ACG I, C. Eng, M I Mech E. Liveryman, Clothworkers’ Company 21 Jul 1948. Engine Division of Bristol Aeroplane Company in UK, satellite development with Radio Experimental Stress Engineer with Aero Corporation of America in Canada, Bell Telephone Company of Canada 1966-86. </t>
  </si>
  <si>
    <t>Baptised 17 Sep 1950 at St Alban’s, Westbury Park, Bristol. Educated Lower Canada College, Montreal and Dartmouth, New England, USA (AB 1972). Sheffield University (MA). Open University (BA Maths). Systems analyst, Scottish Office, Edinburgh.</t>
  </si>
  <si>
    <t>Married at St Paul’s Episcopal, Lansing, Michigan, Anne Marie eldest daughter of Robert ZAJAC of Lansing, Michigan, USA.</t>
  </si>
  <si>
    <t>Baptised 17 Sep 1954 at St Alban’s, Westbury Park, Bristol. Educated Lower Canada College, Montreal and Dartmouth, New England, USA (AB 1975). University of Guelph (DVM). Ohio State (MS 1987). Educated University of Michigan (BS 1973). Michigan State (MS DVM 1979). Ohio State (PhD 1986). Associate Professor of Parasitology, Virginia/Maryland College of Veterinary Medicine.</t>
  </si>
  <si>
    <t>Isabel of Tormore, Ardvasar, Isle of Skye, IV45 8RP. Baptsied 1 Aug 1929 at St Peter &amp; St Paul (The Abbey) Bath.</t>
  </si>
  <si>
    <t>Died 14 Oct 1934 at Bath, buried in Lansdown Cemetery, Bath.</t>
  </si>
  <si>
    <t>Baptised 1 Aug 1929 at St Peter &amp; St Paul (The Abbey) Bath. Died 15 Sep 1968 in Skye, buried in Lansdown Cemetery, Bath.</t>
  </si>
  <si>
    <t>Married at Wimborne Minster, Dorset, James Norman (b. 17 Apr 1882, d. 6 Jan 1966) son of the Rev James WHEELER, Rector of Hampreston, Dorset.</t>
  </si>
  <si>
    <t>Educated Cambridge and St Thomas’s Hospital, London. World War I, RAMC. Physician and Ophthalmic Surgeon, Rugby.</t>
  </si>
  <si>
    <t>Audrey WHEELER of Spinnakers, 1 Pedn Moran, St Mawes, Cornwall, TR2 5BA.</t>
  </si>
  <si>
    <t>Baptised at St Andrew’s, Rugby. Educated Moreton Hall, Shropshire and Nightingale School, St Thomas’s Hospital, London 1939-44 (SRN, SCM, HV). QN in South Cornwall. Watercolour Artist.</t>
  </si>
  <si>
    <t>Norma WHEELER of 7 Enys Quay, Truro, Cornwall, TR1 2HH. Baptised 17 Apr 1924 at St Andrew’s, Rugby. Educated Moreton Hall, Shropshire 1934-41, London Chamber of Commerce, Higher French (Gold Medalist) 1943, Archbishop’s (Lambeth) Dip in Theology 1954, Reading University, Inst of Education. (Cert in Ed) 1965 and London University, Teaching of Music (adv Dip) 1972. Government Communications 1943-45. Private Secretary to Bishop of Truro (Rt Rev J W Hunkin) 1948-50. Church trg &amp; voc work 1950-59. British Council 1960-63. Reading LEA, teaching 1965-79. Reading University, Dep of Russian 1980-84.</t>
  </si>
  <si>
    <t>Basil WHEELER of 3 Blandford Close, London, N2 0DH. Baptised 25 Nov 1926 at St Andrew’s, Rugby. Educated Marlborough 1940-44 and Christ’s College, Cambridge 1948-50 (BA). Oversea Civil Service, Uganda (Administration) 1951-62. Inter-Univ Council for Higher Education Overseas 1964-69. International African Institute 1972-76. Rand Medical Recruitment International from 1977, Proprietor from 1990.</t>
  </si>
  <si>
    <t>Married Pierrette (b. 10 Oct 1944) 3rd daughter of Salomon CORCOS of Safi, Morocco.</t>
  </si>
  <si>
    <t>Educated Henrietta Barnett 1982-89 and Sidney Sussex, Cambridge1989-92 (BA). London University (PhD 1996). Research Fellow in Neurogenetics, Massachusetts General Hospital, Boston</t>
  </si>
  <si>
    <t>William SHEARER of Poplars Farm, Wollaston, Wellingborough, Northamptonshire. Died at Poplars Farm, buried in Wollaston Cemetery.</t>
  </si>
  <si>
    <t>William SHEARER of Holly House, Walkers Lane, Church Brampton, Northamptonshire NN6 8DZ.</t>
  </si>
  <si>
    <t xml:space="preserve">Andrew SHEARER of The Old Farmhouse, Alderley, Wooton-under-Edge, Gloucestershire GL12 7QT. </t>
  </si>
  <si>
    <t>SRN. Died at Poplars Farm, buried in Wollaston Cemetery.</t>
  </si>
  <si>
    <t>Married Peter MELITUS Captain, King’s Hussars, of 72 Manor Road, Dorchester, Dorset DT1 2AZ.</t>
  </si>
  <si>
    <t>Baptised 14 Apr 1960 at St Andrew’s, Grafham, Surrey.</t>
  </si>
  <si>
    <t>Married Owen Arthur Wilfred CHALDECOTT (b. 8 Jan 1961) of 62 Herringston Road, Dorchester, Dorset, DT1 2BT</t>
  </si>
  <si>
    <t>Baptised 21 May 1989 at St Mary’s, Bradford Peverell, Dorchester, Dorset.</t>
  </si>
  <si>
    <t>Baptised 13 Dec 1992 at St Peter’s, Dorchester, Dorset.</t>
  </si>
  <si>
    <t>Baptised 21 Dec 1999 at St Pater’s, Dorchester, Dorset.</t>
  </si>
  <si>
    <t>Educated Cambridge (MA).</t>
  </si>
  <si>
    <t>Married  Sir Arthur John (Jack) of Hitcham Lodge, Taplow, Maidenhead, Berkshire, SL6 0HG. MP for Harrow West 1960-87.</t>
  </si>
  <si>
    <t>Married  in Venice, Angelique  daughter of Le Marquis DE FOLIN of Paris.</t>
  </si>
  <si>
    <t>Arthur of 20 Brechin Place, London SW7 4QA. Educated Harrow and Magdalene College, Cambridge (Engineering &amp; Philosophy). Barrister-at-law.</t>
  </si>
  <si>
    <t>Nathaniel (Nat)</t>
  </si>
  <si>
    <t>Nat of Upper Leigh Farm, East Knoyle, Salisbry, Wiltshire SP3 6AP. Twin with his brother (Henry). Educated Harrow and New Colege, Oxford (Biology).</t>
  </si>
  <si>
    <t>Lady Katharine Rose Celestine (Kate) ASQUITH (b. 16/10/1949, )</t>
  </si>
  <si>
    <t>Kate 2nd daughter of the Earl of OXFORD and ASQUITH.</t>
  </si>
  <si>
    <t>Henry of of Penningtons, 23 Rue d' Anjou 75008, paris. Educated Gordonstoun. Solicitor.</t>
  </si>
  <si>
    <t>Married at St Anthot, Dijon, daughter of Le Viscompte DE SAINT ANTHOT</t>
  </si>
  <si>
    <t>Rupert of Old Manor Cottage, Waddesdon, Aylesbury, Buckinghamshire  HP18 0LG. Educated Eton 1977-81 and Kings College, London.</t>
  </si>
  <si>
    <t xml:space="preserve">Tom of Foxbridge Farm, Kirdford, Billinghurst, Sussex. RH14 0LB. Educated Eton. </t>
  </si>
  <si>
    <t>Peter of Whealspeed House, Corbis Bay, St. Ives, Cornwall.</t>
  </si>
  <si>
    <t>Officer Cadet Royal Air Force. Killed in flying accident.</t>
  </si>
  <si>
    <t>Loyd Descendant Generation</t>
  </si>
  <si>
    <t>Blank</t>
  </si>
  <si>
    <t>90aa</t>
  </si>
  <si>
    <t>RANKIN</t>
  </si>
  <si>
    <t>MARSHAM-TOWNHEND</t>
  </si>
  <si>
    <t>Lachlan</t>
  </si>
  <si>
    <t>90ab</t>
  </si>
  <si>
    <t>James Henry (Jimmy) FOX (b. 14/06/1912, d. 01/11/1988)</t>
  </si>
  <si>
    <t xml:space="preserve">m. 12 Jan 1937 James Henry (Jimmy) (b. 14 Jun 1912, d. 1 Nov 1988) </t>
  </si>
  <si>
    <t xml:space="preserve">Jimmy of FRICS of Middleton House, Middleton Cheney, Banbury, Oxfordshire, and of 5 Mount Street, London, W1, only son of Captain Edward LANE FOX, Yorkshire Yeomanry. </t>
  </si>
  <si>
    <t>Educated Eton, and Magdalen College, Oxford.</t>
  </si>
  <si>
    <t>Married at Llanwrda, Lewis DANIEL or DAVIES of Caio, Carmarthenshire.</t>
  </si>
  <si>
    <t>Prudence Mary SPORBORG (b. 22/07/1942, d. )</t>
  </si>
  <si>
    <t>Divorced</t>
  </si>
  <si>
    <t>Educated Eton.</t>
  </si>
  <si>
    <t>Educated Eton. Gardens &amp; Landscape designer.</t>
  </si>
  <si>
    <t>Bruce J ELLIS (b. , )</t>
  </si>
  <si>
    <t>Baptised 6 July 1967 at St James’s, Piccadilly, London W1.</t>
  </si>
  <si>
    <t>Harriet (Hatty) MADDEN.</t>
  </si>
  <si>
    <t>Baptised 31 Oct 1972 at St John’s Wood Church, London NW8.</t>
  </si>
  <si>
    <t>Edward of Calcott Lodge, Heyford, Oxfordshire. Educated Eton.</t>
  </si>
  <si>
    <t>Janet Mary (Wendy) (b. 19/07/1941) only daughter of Commander Basil Edward Malcolm BALL DSC, Royal Navy.</t>
  </si>
  <si>
    <t>Baptised 21 Nov 1965 at All Saints’, Middleton Cheney, Banbury, Oxfordshire. Educated Wycombe Abbey and Bristol University.</t>
  </si>
  <si>
    <t>Giles B. TRENTHAM (b. 1958, d. 1988)</t>
  </si>
  <si>
    <t>Giles, son of David TRENTHAM, Captain Royal Navy. Divorced 1996</t>
  </si>
  <si>
    <t>Baptised 14 May 1967 at St Mary’s, Lower Heyford, Oxfordshire. Educated Hatherop Castle, Gloucestershire and in Paris.</t>
  </si>
  <si>
    <t>Duncan Paul Brendan MAILE (b. 29/05/1998, )</t>
  </si>
  <si>
    <t>Duncan  son of Donald George MAILE of Norwich, Norfolk.</t>
  </si>
  <si>
    <t>Baptised. 30 Nov 1969 at St Mary’s, Lower Heyford, Oxfordshire.</t>
  </si>
  <si>
    <t>Cyril Benoit Gabriel GASZTOWTT (b. 26/03/1965, )</t>
  </si>
  <si>
    <t>Cyril son of Benoit Leon Marie GASZTOWTT of Paris.</t>
  </si>
  <si>
    <t>Mark Alfred TENNYSON d'EYNCOURT (b. 16/04/1940, d. )</t>
  </si>
  <si>
    <t>Baptised 10 Jul 1977 at St Mary’s, Lower Heyford, Oxfordshire. Educated Eton and St Andrews University.</t>
  </si>
  <si>
    <t>Baptised Oct 1978 at the Queen’s Chapel of the Savoy, London WC2. Educated Eton and Taunton.</t>
  </si>
  <si>
    <t>Baptised 13 Jul 1980 at the Queen’s Chapel of the Savoy, London WC2. Educated Godolphin &amp; Latymer.</t>
  </si>
  <si>
    <t>LouIsa Caroline Mary FARRELL (b. 14/07/1949, d.)</t>
  </si>
  <si>
    <t>Louisa, daughter of Charles FARRELL.</t>
  </si>
  <si>
    <t xml:space="preserve">Educated Eton 1959-64 and Magdalen College, Oxford 1964-69. Weekly gardening correspondent, Financial Times from 1970. Fellow, New College, Oxford from 1977. Reader in Ancient History, Oxford from 1990. Publications: “Alexander the Great” 1973; “Variations on a Garden” 1974; “Search for Alexander” 1980; “Better Gardening” 1982; “Pagans and Christians” 1986; “The Unauthorised Version” 1991. </t>
  </si>
  <si>
    <t>Baptised 10 Aug 1973 at Hatley St George, Cambridgeshire. Educated Oxford High 1983-89, Westminster 1989-91 and Magdalen College, Oxford 1991-94. Joint Founder e-business ‘lastminute.com’ 1998.</t>
  </si>
  <si>
    <t>Baptised 20 Feb 1975 at Beckley, Oxfordshire. Educated Eton 1987-92 and Wadham College, Oxford 1992-96.</t>
  </si>
  <si>
    <t>Baptised at Stonehaven. Educated Downham.</t>
  </si>
  <si>
    <t>John Frances HOLMAN (b. 25/05/1924, d. )</t>
  </si>
  <si>
    <t>Married at Rudgwick, Sussex, John OBE of Rickarton House, Stonehaven, Kincardinshire and of 6A St Luke’s Street, London SW3, eldest son of Max HOLMAN of Hyes, Rudgwick, Sussex.</t>
  </si>
  <si>
    <t>Baptised at Rudgwick, Sussex. Educated Gordonstoun.</t>
  </si>
  <si>
    <t>Richard of Ury and Lockwood, of Glenton House, Rickarton, Stonehaven, Kincardinshire. Baptised at Rudgwick, Sussex. Educated Gordonstoun.</t>
  </si>
  <si>
    <t>(1) 20 Apr 1985 Saragh Evelyn WOOD (b. 25 Jul 1958, d. 7 May 1987, buried at Banchory). (2) 13 Apr 1996 Polly Sophia (b. 27/07/1958)</t>
  </si>
  <si>
    <t>Born in Aberdeen, bapt. at Banchory.</t>
  </si>
  <si>
    <t>1. Married Saragh at Kirkoswald; 2. Married Poly THOMPSON at Longparish, Hampshire, only daughter of Angus THOMSON.</t>
  </si>
  <si>
    <t>Baptised at Banchory.</t>
  </si>
  <si>
    <t>Baptised at Rudgwick, Sussex. Educated North Foreland Lodge, Basingstoke 1972-78.</t>
  </si>
  <si>
    <t>Charles STIRRUP (b. 06/02/1961, d.)</t>
  </si>
  <si>
    <t>Married at Kincardine-O-Neil, Charles (b. 6 Feb 1961) of 6 St Luke’s Street, London SW3, only son of John Hayward STIRRUP of Christmas Cottage, Simon’s Town, Cape, South Africa.</t>
  </si>
  <si>
    <t>Baptised at St Luke’s, Sydney Street, London SW3.</t>
  </si>
  <si>
    <t>Emma of Easter Friarton, Newport on Tay, Fife, DD6 8RB. Baptised at Rudgwick, Sussex. Educated Southover.</t>
  </si>
  <si>
    <t>Benjamin (Ben) COLE (b. 16/03/1963, )</t>
  </si>
  <si>
    <t>Married  at Banchory. Ben of Staplecross, Sussex.</t>
  </si>
  <si>
    <t>Baptised May 1993 in Edinburgh.</t>
  </si>
  <si>
    <t>Baptised Jan 1995 in Edinburgh.</t>
  </si>
  <si>
    <t>Michael Canning William John KEITH, 13th Earl of KINTORE. Baptised at St Columba’s, Pont Street, London SW1. Educated Eton 1952-56. Late Coldstream Guards.</t>
  </si>
  <si>
    <t>Mary Gaddis PLUM (b. 17/09/1943, d. )</t>
  </si>
  <si>
    <t>Married at the Guards’ Chapel, London SW1, Mary only daughter of the late Squadron Leader E.G. PLUM of Rumson, New Jersey, USA.</t>
  </si>
  <si>
    <t>James William Falconer KEITH, Lord INVERURIE, Master of KINTORE.</t>
  </si>
  <si>
    <t>Baptised at Keith Hall Church.</t>
  </si>
  <si>
    <t>The Hon Iona Delia Mary Gaddis KEITH. Baptised at Keith Hall Church.</t>
  </si>
  <si>
    <t>The Hon Alexander David BAIRD. Baptised at Shamley Green, Surrey. Educated Tabley House, Cheshire.</t>
  </si>
  <si>
    <t>Born in Alexandria, Egypt. Educated Southover Manor, East Sussex.</t>
  </si>
  <si>
    <t>Adopted Emily Kate NORMAN. Educated North Foreland Lodge and Manchester University (BA Hons 1998).</t>
  </si>
  <si>
    <t>(1) Married at St Paul’s Knightsbridge, London, Bryan Montagu elder son of Lieut Colonel Mark Richard NORMAN OBE, Hertfordshire Yeomanry of Moor Place, Much Hadham, Hertfordshire. (Divorced). (2) Married Ian RANKIN of 63 Marlborough Place, London, NW8. (Divorced).</t>
  </si>
  <si>
    <t>(1) Bryan Montagu NORMAN (b. 08/01/1939, d. ) (2) Feb 1980 Ian RANKIN (b. 19/12/1932, d. )</t>
  </si>
  <si>
    <t>Born at Queen Charlotte’s Hospital, London. Educated Eton and Manchester University.</t>
  </si>
  <si>
    <t>Born in Alexandria, Egypt. Educated Southover Manor, East Sussex and Farlington, West Sussex.</t>
  </si>
  <si>
    <t>(1) Piero STUDIATI BERNI (b. 22/02/1936, d.) (2) John Robert Stephenson CLARKE (b. 05/04/1918, d. 28/08/1993)</t>
  </si>
  <si>
    <t>(1) Married  in Switzerland, Piero STUDIATI BERNI of Molina di Quosa, Pisa, Italy. (2) 08/08/1945 at St Paul’s, Knightsbridge, London, John Robert Stephenson buried Highbrook Church, West Sussex) OBE, MC, Yugoslav Order of Service to the People with Silver Rays, Lieut Colonel, Scots Guards, Liveryman of Clothworkers’ Company, eldest son of Edmund Stephenson CLARKE of Pickwell, Bolney, West Sussex, RH17 5RE.</t>
  </si>
  <si>
    <t>Born at the Westminster Hospital, London. Educated Tabley House, Cheshire. Liveryman of Clothworkers’ Company.</t>
  </si>
  <si>
    <t>Esme Lavinia Louise RENNIE (b. 07/04/1950, d. )</t>
  </si>
  <si>
    <t>Married at the Guards’ Chapel, Birdcage Walk, London, (Divorced 2000).</t>
  </si>
  <si>
    <t xml:space="preserve">Born at St. Mary’s Hospital, Roehampton. Baptised Highbrook Church,West Sussex. Educated Downe House, Newbury and Newcastle University (BA Hons 1998). </t>
  </si>
  <si>
    <t>Born at St. Mary’s Hospital, Roehampton, bapt. Highbrook Church, West Sussex. Died 9 Apr 1980, buried at Highbrook Church, West Sussex.</t>
  </si>
  <si>
    <t>Born at St Mary’s Hospital, Roehampton. Baptised at Highbrook Church, West Sussex. Educated Downe House, Newbury.</t>
  </si>
  <si>
    <t>Born in Nairobi, Kenya. Baptised 3 Mar 1947 at Nairobi Cathedral by the Bishop of Mombasa.</t>
  </si>
  <si>
    <t>Veronica Ann WILSON (b. 30/11/1944, d.)</t>
  </si>
  <si>
    <t xml:space="preserve"> Veronica daughter of Captain Thomas Hugh Peter WILSON Royal Navy.</t>
  </si>
  <si>
    <t>Baptised 28 Sep 1980 at Canterbury Cathedral.</t>
  </si>
  <si>
    <t>Baptised 17 Apr 1983, at Canterbury Cathedral.</t>
  </si>
  <si>
    <t>Baptised 20 Jan 1985 at Canterbury Cathedral.</t>
  </si>
  <si>
    <t>Baptised 18 Apr 1993 at St Martin’s, Canterbury.</t>
  </si>
  <si>
    <t>Born at Woking. Baptised Nov 1948 at St Mary’s, Horsell, Woking.</t>
  </si>
  <si>
    <t>Married Sep 1970 at St. Jean do Malte, Monique, daughter of Louis MENU of Aix en Provence, France.</t>
  </si>
  <si>
    <t xml:space="preserve">Monique Marie-Noelle MENU (b. 29/12/1947, d. ) </t>
  </si>
  <si>
    <t>Baptised 17 Jul 1971 at the Roman Catholic Church, Farnham.</t>
  </si>
  <si>
    <t>Baptised Jul 1973 at the Cathedral, Aix en Provence.</t>
  </si>
  <si>
    <t>Baptised 15 Aug 1983 at the Parish Church, St Jean de Luz, France.</t>
  </si>
  <si>
    <t>Baptised 15 Aug 1985 at the Parish Church, St Jean de Luz, France.</t>
  </si>
  <si>
    <t>Born in Aden, South Arabia. Baptised 3 Jan 1952 at the Garrison Church, Aden.</t>
  </si>
  <si>
    <t>Born in Aden, South Arabia, bapt. 10 Feb 1954 at the Garrison Church, Aden.</t>
  </si>
  <si>
    <t>Robert McGegor ANDERSEN (b. 19/12/1965, )</t>
  </si>
  <si>
    <t>Baptised 16 May 1982 at Clyst St. George Church, Nr. Exeter, Devon.</t>
  </si>
  <si>
    <t>Baptised 24 May 1987 at Salisbury Cathedral.</t>
  </si>
  <si>
    <t>Major Hubert Guy Broughton KNIGHT (b. 09/04/1917, d.01/11/1993)</t>
  </si>
  <si>
    <t>Married at Lockinge by her uncle, the Rt Rev Philip LOYD, Major Hubert Guy Broughton KNIGHT, MC, late Coldstream Guards of Lockinge Manor, Wantage - Educated Eton and RMC Sandhurst.</t>
  </si>
  <si>
    <t>Henrietta of West Lockinge Farm, Wantage.</t>
  </si>
  <si>
    <t>Ce-Ce</t>
  </si>
  <si>
    <t>Sir Samuel George Armstrong VESTEY (b. 19 Mar 1941, d. )</t>
  </si>
  <si>
    <t>Married  Sir Samuel George Armstrong VESTEY, 3rd Baron VESTEY  of Stowell Park, Northleach, Gloucestershire. Educated Eton 1954-59.Lieutenant, Scots Guards 1960-63. Dir. Union International and other companies.</t>
  </si>
  <si>
    <t>Baptised at St Leonard’s, Stowell Park.</t>
  </si>
  <si>
    <t>Julian of D’Anvers house, Culworth, Northamptonshire. Educated Eton 1965-69. Commissioned Welsh Guards 1971. Served Northern Ireland 1972. Managing Director, Newsweek International, Hong Kong 1979-88. Harvard Business Review, Singapore 1988-96. Freelance publishing from 1997.</t>
  </si>
  <si>
    <t>Married in London, Fiona younger daughter of David TAYLOR of Haywards Heath, Sussex and formerly of Hong Kong.</t>
  </si>
  <si>
    <t>Fiona TAYLOR (b. 23 Aug 1955, )</t>
  </si>
  <si>
    <t>Baptised Sep 1991 at St Michael’s, Withington.</t>
  </si>
  <si>
    <t xml:space="preserve">Iona  of 70 Morrison Street, London SW11.  Educated Lawnside, Malvern. Secretary to the Rt Hon Jeremy Thorpe MP. Manageress, Tiger Tops Hotel, Nepal 1981-82. Travel industry 1983-89. Public relations 1989-91. Press Officer, Spink &amp; Sons 1991-98. MD Iona PR from 1998. </t>
  </si>
  <si>
    <t>Born 12 Sep 1956, died 15 Aug 1957.</t>
  </si>
  <si>
    <t>Commissioned Welsh Guards 1979. Served Northern Ireland 1979-80. Falklands Islands (Operation Corporate) 1982, 2nd in Command Support Company. Regimental Signals Officer 1982-84. Captain Jan 1985. OC HQ Company 1985. OC Household Division Centralised Courses, Guards Depot 1985. OC Guards Battle Camp, Thetford 1986. Transferred to Regular Army Reserve of Officers 1987. Merrill Lynch Capital Markets 1987-90. Robert Fleming &amp; Co from 1990. Seconded Jardine Fleming from 1993. Head of Investment Banking and Director, Jardine Fleming, India from 1997.</t>
  </si>
  <si>
    <t>Edward of Minehill House, Brailes, Banbury, OX15 5BJ. Educated Eton 1977-81. Royal Agricultural College, Cirencester 1983-5. ARCS 1987. Various property and financial services activities 1987-97. Stockbroker, Brewin Dolphin, Birmingham from 1998.</t>
  </si>
  <si>
    <t>Baptised 5 Jan 1996 at St George’s, Brailes, Warwickshire.</t>
  </si>
  <si>
    <t>Baptised 19 Apr 1998 at St George’s, Brailes, Warwickshire.</t>
  </si>
  <si>
    <t>Has safe keeping of old Welsh Bible with entries about LLOYD family in Carmarthenshire in 18th Century and other old family papers, and the blunderbuss belonging to Edward LOYD (1780-1863) for use by his coachman if attacked on the turnpikes.</t>
  </si>
  <si>
    <r>
      <t xml:space="preserve">Roddy of Kishore Vihar, Carmichael Road, Bombay, India, and of Foxcote Hill, Andoversford, Gloucestershire. Educated Eton 1972-77. Commissioned Welsh Guards 1979. Served Northern Ireland 1979-80. Falklands Islands (Operation Corporate) 1982, 2nd in Command Support Company. Regimental Signals Officer 1982-84. Captain Jan 1985. OC HQ Company 1985. OC Household Division Centralised Courses, Guards Depot 1985. OC Guards Battle Camp, Thetford 1986. Transferred to Regular Army Reserve of Officers 1987. Merrill Lynch Capital Markets 1987-90. Robert Fleming &amp; Co from 1990. Seconded Jardine Fleming from 1993. Head of Investment Banking and Director, Jardine Fleming, India from 1997. Markets. Officer Ven Order of St John 1998. Patron, No. III Maharashtra District, India, St John Ambulance 1997. </t>
    </r>
    <r>
      <rPr>
        <b/>
        <i/>
        <u/>
        <sz val="12"/>
        <color rgb="FF000000"/>
        <rFont val="Calibri (Body)"/>
      </rPr>
      <t>Has safe keeping of old Welsh Bible with entries about LLOYD family in Carmarthenshire in 18th Century and other old family papers, and the blunderbuss belonging to Edward LOYD (1780-1863) for use by his coachman if attacked on the turnpikes.</t>
    </r>
  </si>
  <si>
    <t>Baptised 15 May 1950 at St George’s, Hanover Square, London W1.</t>
  </si>
  <si>
    <t>Nicholas George Lawrence TIMPSON (b. 21/02/1941, d. )</t>
  </si>
  <si>
    <t>Nicholas of Ardington Croft, Wantage, Oxfordshire, son of Alastair TIMPSON (b. 23 May 1915, d. 18 Dec 1997) of Castle Combe, Wiltshire.</t>
  </si>
  <si>
    <t>Baptised 28 Oct 1974 at the Guards’ Chapel. Birdcage Walk, London.</t>
  </si>
  <si>
    <t>Baptised 27 Jul 1979 at All Saints’, Lockinge.</t>
  </si>
  <si>
    <t>Baptised Sep 1952 at Magherdroll Parish Church, Ballynahinch, co Down.</t>
  </si>
  <si>
    <t>John Armar LOWRY-CORRY (b. 04/09/1951, d. )</t>
  </si>
  <si>
    <t>Married John Armar LOWRY-CORRY, 8th Earl of BELMORE of The Garden House, Castle Coole, Enniskillen, co Fermanagh, BT74 6JY.</t>
  </si>
  <si>
    <t>Baptised Feb 1986 at Derryvullen Church, Enniskillen.</t>
  </si>
  <si>
    <t>Baptised Jul 1989 at Derryvullen Church, Enniskillen.</t>
  </si>
  <si>
    <t>Baptised Oct 1992 at Derryvullen Church, Enniskillen.</t>
  </si>
  <si>
    <t>Robert Ralph Scrymgeour HISCOX (b. 04/01/1943, d. )</t>
  </si>
  <si>
    <t>Married Robert of Rainscombe Park, Oare, Marlborough, Wiltshire, SN8 4HZ, son of Ralph HISCOX CBE of Scott’s Farm, Chobham, Surrey.</t>
  </si>
  <si>
    <t>Baptised 17 May 1987 at St George’s, Preschute, Marlborough,Wiltshire.</t>
  </si>
  <si>
    <t>Baptised 11 Mar 1990 at St George’s, Preschute, Marlborough, Wiltshire.</t>
  </si>
  <si>
    <t>Baptised 27 Jun 1993 at St George’s, Preschute, Marlborough, Wiltshire.</t>
  </si>
  <si>
    <t>Scott Buckingham REID (b. 24/12/1947, d. )</t>
  </si>
  <si>
    <t>Married Scott of 524 Purchase Street, Rye, New York, 10580, USA, son of Howard A REID of Bronxville, New York, USA.</t>
  </si>
  <si>
    <t>Baptised at St George’s, Preschute, Marlborough, Wiltshire.</t>
  </si>
  <si>
    <t>Baptised at Christ Church, Rye, New York.</t>
  </si>
  <si>
    <t>Baptised Dec 1959 at Magherdroll Parish Church, Ballynahinch, co Down.</t>
  </si>
  <si>
    <t>Christopher Aubrey Hamilton WILLS (b.1953, d. )</t>
  </si>
  <si>
    <t>Married Christopher of Litchfield Down, Whitchurch, Hampshire, elder son of Hon Victor Patrick Hamilton WILLS.</t>
  </si>
  <si>
    <t>Married Jonathan son of Brigadier Anthony Garnett HEYWOOD of Monkton House, Monkton Deverill, Wiltshire.</t>
  </si>
  <si>
    <t>Baptised at St John’s, Pewsey, Wiltshire.</t>
  </si>
  <si>
    <t>Tessa of 59 Wendell Road, London W12 9RS. Born at Queen Charlotte’s Hospital, London. Baptised 8 Sep 1956 at St Mary and All Saints’, Beaconsfield, Buckinghamshire. Educated St Mary’s, Calne, Wiltshire and Leeds 1975-79 (incl scholarship to University of Kuwait 1977-78) (BA 1st Cl Hons Arabic &amp; Theology 1979). Guildford College of Law 1986-88. Min of Defence 1980-86. Woodham Smith, Solicitors 1988-90. Solicitor of Supreme Court 1990. Solicitor, Taylor Joynson Garrett from 1993.</t>
  </si>
  <si>
    <t>Married at St Mary Abbots, London, W8, Miranda Grace (b. 14 Oct 1964 at St Mary’s Hospital, Paddington, London W2) only daughter of Robert Warren ELGIN of Brunswick Gardens, London, W8.</t>
  </si>
  <si>
    <t>Lindsay of Gartenstrasse 8b, 61476 Kronberg im Taunus, Germany. Born at Queen Charlotte’s Hospital, London. Baptised 9 Aug 1958 at St Mary and All Saints’, Beaconsfield, Buckinghamshire. Educated Eton 1971-76, Bristol 1977-80 (BA Hons History) and St Edmund Hall, Oxford 1980-83 (M Phil, Management Studies). MacMillan Publishers 1983-85. Burton Group 1985-87. Mercury Asset Management from 1987.</t>
  </si>
  <si>
    <t>Born at Frankfurt am Main, Germany. Baptised 11 Oct 1998 at St Mary Abbots, London W8.</t>
  </si>
  <si>
    <t>Celina of 10 St Peter’s Place, London, W9 2EE. Born 22 Sep 1960 at Queen Charlotte’s Hospital, London. Baptised 10 Dec 1960 at St Mary and All Saints’, Beaconsfield, Buckinghamshire. Educated St Mary’s, Calne, Wiltshire 1972-76 and Queen’s Gate School, London 1976-77. Picture Researcher, Octopus Books 1978-86. Picture Editor, Radio Times 1986-90. Picture Editor, The Economist from 1990.</t>
  </si>
  <si>
    <t>Baptised 3 Jun 1947 in London. Educated Eton 1960-65.</t>
  </si>
  <si>
    <t>Jane Ann (b. 05/04/1947, d. ) DICKSON</t>
  </si>
  <si>
    <t>Married at Symington, Ayrshire, Jane  eldest daughter of Colonel Seton DICKSON of Field House, Ayrshire.</t>
  </si>
  <si>
    <t>Baptised at Holy Trinity, Clapham Common, London.</t>
  </si>
  <si>
    <t>Baptised at Fryerning, Essex. Educated Downham, Hertfordshire.</t>
  </si>
  <si>
    <t>Christopher PILKINGTON (b. 05/02/1947, d. )</t>
  </si>
  <si>
    <t>Married Christopher  2nd son of T.D. PILKINGTON of Hyde Mill, Stow-on-the-Wold, Gloucestershire.</t>
  </si>
  <si>
    <t>Born in London. Baptised at St Michael’s, Chester Square, London.</t>
  </si>
  <si>
    <t>Born in London. Baptised 3 Dec 1973 at Cirencester Parish Church.</t>
  </si>
  <si>
    <t>Born in Salisbury. Baptised at St Andrew’s, Landford, Salisbury.</t>
  </si>
  <si>
    <t>Baptised at Fryerning, Essex. Educated Eton 1964-69.</t>
  </si>
  <si>
    <t>Married Diana Jane 2nd daughter of J N REES of St Asaph, North Wales.</t>
  </si>
  <si>
    <t>Diana Jane REES (b. 18/07/1954, d. )</t>
  </si>
  <si>
    <t>Born at Salisbury. Baptised at Damerham Parish Church, Fordingbridge.</t>
  </si>
  <si>
    <t>Born at Salisbury. Baptised at Hale Parish Church, Fordingbridge.</t>
  </si>
  <si>
    <t>Born at Salisbury. Baptised at Hale Parish Church, Fordingbridge.</t>
  </si>
  <si>
    <t>Baptised at Fryerning, Essex. Educated Eton 1969-73.</t>
  </si>
  <si>
    <t>Married at Bampton Church, Oxfordshire, Sarah only daughter of Harold A JENKINSON of Burton Abbotts, Black Bourton, Oxfordshire.</t>
  </si>
  <si>
    <t xml:space="preserve">Sarah JENKINSON (b. 24/02/1958, ) </t>
  </si>
  <si>
    <t>Born at Winchester. Baptised 7 Jul 1985 at St Mary’s, Bentworth, Alton, Hampshire.</t>
  </si>
  <si>
    <t>Born at Winchester.  Baptised 12 Apr 1989 at St Mary’s. Bentworth, Alton, Hampshire.</t>
  </si>
  <si>
    <t>Born at Winchester. Baptised 20 Sep 1992 at St Mary’s, Bentworth, Alton, Hampshire.</t>
  </si>
  <si>
    <t>The Hon Geva  of Clunie Cottage, Braemar, Aberdeenshire, AB35 5XQ. Baptised 14 Jan 1956 at St Margaret’s, Westminster, London.</t>
  </si>
  <si>
    <t>John Simon BLACKETT (16/09/1954, d. )</t>
  </si>
  <si>
    <t>Married at St Michael and Our Lady, Wragby, West Yorkshire, by the Bishop of Wakefield, John elder son of John Harold Booth (Pat) BLACKETT of Whalton, Morpeth, Northumberland.</t>
  </si>
  <si>
    <t>Born at Grantham General Hospital. Baptised 4 Dec 1988 at St Dennis’s, Aswarby, Lincolnshire.</t>
  </si>
  <si>
    <t>Lettie baptised 24 Nov 1991 at St Dennis’s, Aswarby, Lincolnshire.</t>
  </si>
  <si>
    <t>Baptised 13 Jun 1993 at St Dennis’s, Aswarby, Lincolnshire.</t>
  </si>
  <si>
    <t>Eve born at Grantham General Hospital. Baptised 14 Apr 1990 at St Dennis’s, Aswarby, Lincolnshire.</t>
  </si>
  <si>
    <t xml:space="preserve">Charles Rowland Andrew WINN, 6th Baron ST OSWALD of Nostell Priory, Wakefield, West Yorkshire, WF4 1QE and of The Lodge, Terrington, Yorkshire. </t>
  </si>
  <si>
    <t>Louise Alexandra SCOTT (b. 3 Jan 1958, d. )</t>
  </si>
  <si>
    <t>Married at St Michael and Our Lady, Wragby, West Yorkshire by the Bishop of Wakefield, Louise Alexandra, daughter of Stewart SCOTT of Holly Tree House, Thorpe Bassett, Malton, North Yorkshire.</t>
  </si>
  <si>
    <t>The Hon Rowland Charles Sebastian Henry (Rowley) WINN. Born at Harrogate, Yorkshire. Baptised 23 Nov 1986 at St Michael and Our Lady, Wragby, West Yorkshire by the Bishop of Wakefield.</t>
  </si>
  <si>
    <t>The Hon Henrietta Sophia Alexandra WINN baptised 19 Dec 1993 at St Michael and Our Lady, Wragby, West Yorkshire by the Bishop of Wakefield.</t>
  </si>
  <si>
    <t>Born at Medicine Hat, Alberta USA. Baptised May 1953 at Coeur d’Alene, Idaho, USA.</t>
  </si>
  <si>
    <t>Twin with his brother Michael</t>
  </si>
  <si>
    <t>Twin with his brother Mathew</t>
  </si>
  <si>
    <t>Baptised 1955 at St Thomas’s Parish Church, Coeur d’Alene, Idaho.</t>
  </si>
  <si>
    <t>Gary BITKER; Michael Allen SEALUND; (1) 22 Nov 1972 Daniel James THOMPSON (b. 08/05/1955). (Div).</t>
  </si>
  <si>
    <t>Baptised 1976 at St Joseph’s Cathedral Church, Otis Orchards, Washington. USA.</t>
  </si>
  <si>
    <t>Baptised 1973 at St Joseph’s Cathedral Church, Otis Orchards, Washington. USA.</t>
  </si>
  <si>
    <t>Baptised 1979 at Holy Family Church, Yakima, Washington. USA</t>
  </si>
  <si>
    <t>(1) Daniel James THOMPSON (b. 08/05/1955, ) (2) Gary BITKER (b. 29 Jul 1954). (Divorced 1982).</t>
  </si>
  <si>
    <t>(1) Edward F RUSSELL on 14 Feb 1975. (Divorced). (2) Douglas AMY (b. 02/09/1950, ) on 6 Mar 1979. (3) 17 Aug 1990 Michael Allen (Mike) SEALUND (b. 14/12/1950) of Bellingham, Washington. USA.</t>
  </si>
  <si>
    <t>Baptised 1956 at St Thomas’s Cathedral Church, Coeur d’Alene, Idaho. USA.</t>
  </si>
  <si>
    <t>(1) Jun 1977 Marcell Lee WATKINS. (Divorced). (2) 9 Feb 1980 Kim BAKER (b. 22/11/1955).</t>
  </si>
  <si>
    <t>Ted born at US Naval Hospital, Portsmouth, Virginia. Baptiased 1959 at Portsmouth, Virginia. US Navy, Senior Chief Petty Officer, retired 1998.</t>
  </si>
  <si>
    <t>(1) Janet SCHRODER (b. 21/08/1961). (Divorced 1995). (2) 16 Aug 1997 Teri TESCH (b. 30/04/1960).</t>
  </si>
  <si>
    <t>(2) Married  at Fox Island, Washington. USA.</t>
  </si>
  <si>
    <t>Born  at US Naval Hospital, San Diego, California. USA.</t>
  </si>
  <si>
    <t>Baptised 10 Jan 1971 at Holy Mary’s Cathedral Church, Opportunity, Washington. Teacher, Lewis &amp; Clarke Middle School, Yakima, Washington.</t>
  </si>
  <si>
    <t>Married Ronald CLINE of Yakima. Later divorced.</t>
  </si>
  <si>
    <t>poppycl@hotmail.com</t>
  </si>
  <si>
    <t>Nicholas CARTER (b. 25/01/1952, d. )</t>
  </si>
  <si>
    <t>Divorced 1984</t>
  </si>
  <si>
    <t>Lesley SAXTON (b. 31/05/1955, )</t>
  </si>
  <si>
    <t>Karen FULLER (b. 30/05/1961)</t>
  </si>
  <si>
    <t>Dianne McCARTHY (b. 16/09/1964, )</t>
  </si>
  <si>
    <t>Jennet</t>
  </si>
  <si>
    <t>Baptised 10 Jan 1965 at the Brompton Oratory, London SW7. Educated Mayfield Convent, Sussex.</t>
  </si>
  <si>
    <t>Baptised 8 Oct 1967 at St. Teresa’s, Trent Vale, Staffordshire. Educated Ampleforth, Manchester University (BA) and London University, School of Oriental &amp; African Studies (MA).</t>
  </si>
  <si>
    <t>Baptised 27 Aug 1961 at St Peter’s, Marlow. Educated Edinburgh Academy, King’s College, London (LLB), and Pantheon, Sorbonne, Paris (Maitrise en Droit). Partner Slaughter and May, London and Brussels.</t>
  </si>
  <si>
    <t>Beverley Margaret JOHNSON (b. 04/06/1962, )</t>
  </si>
  <si>
    <t>Born in Brussels.</t>
  </si>
  <si>
    <t>Baptised 16 Mar 1963 at St. Mary’s Cathedral, Edinburgh. Educated St Margaret’s Convent, Edinburgh and Brighton Polytechnic (BA).</t>
  </si>
  <si>
    <t>Baptised 18 Apr 1964 at Holy Cross, Edinburgh. Educated The Edinburgh Academy, Bath University (BSc), and Bristol University (MSc).</t>
  </si>
  <si>
    <t>Baptised 22 Oct 1966 at Holy Cross, Edinburgh. Educated St George’s, Edinburgh and St Andrew’s University (MA).</t>
  </si>
  <si>
    <t>Rolando Oscar CASTRO (b. 04/12/1965, )</t>
  </si>
  <si>
    <t>Married at Canterbury Registry Office, Oscar of Rio de Janeiro.</t>
  </si>
  <si>
    <t>Born at Loughborough, Leicestershire.</t>
  </si>
  <si>
    <t>Born at Kegworth, Leicestershire.</t>
  </si>
  <si>
    <t>Baptised at St Mary’s, Somerleyton. Educated Felixtowe College, and Cambridge Polytechnic/Anglia University (BA European Philosophy and Spanish).</t>
  </si>
  <si>
    <t>Mark CATOR (b. 30/10/1960, d. )</t>
  </si>
  <si>
    <t>Mark 2nd son of Francis CATOR of Ranworth, Norfolk.</t>
  </si>
  <si>
    <t>Baptised at St Mary’s, Somerleyton. Educated Runton Hill, and abroad.</t>
  </si>
  <si>
    <t>William (Sandy) SOAMES (b. 30/01/1960, )</t>
  </si>
  <si>
    <t>Sandy eldest son of Robin SOAMES of Toppesfield, Essex.</t>
  </si>
  <si>
    <t>Baptised at St Mary’s, Somerleyton. Educated St George’s, Ascot and Newcastle University (BA Geography).</t>
  </si>
  <si>
    <t>Bobby only son of Michael PAWSON</t>
  </si>
  <si>
    <t>Baptised at St Mary’s, Somerleyton. Educated Eton 1985-89 and Anglia University (BA History).</t>
  </si>
  <si>
    <t>Baptised at St Mary’s, Somerleyton. Educated Downe House, Newbury and Wimbledon College of Art (BA Theatre Design).</t>
  </si>
  <si>
    <t>Born and baptised 19 Jan 1970, died. 19 Jan 1970.</t>
  </si>
  <si>
    <t>Born at Chichester, Sussex. Baptised 28 Nov 1971 at Cockington, Torquay, Devon.</t>
  </si>
  <si>
    <t>Born at Chichester, Sussex. Baptised 1 Jul 1973 at St Peter’s, Selsey, Sussex.</t>
  </si>
  <si>
    <t>Born and baptised Feb 1979 at Mbabane, Swaziland.</t>
  </si>
  <si>
    <t>Born and baptised 11 Oct 1981 at St Mary’s, Stoke-by-Nayland, Suffolk.</t>
  </si>
  <si>
    <t>Born at St Albans City Hospital. Baptised 1 Sep 1991 at St Michael’s, St Albans, Hertfordshire.</t>
  </si>
  <si>
    <t>Born at Hemel Hempstead General Hospital. Baptised 6 Nov 1994 at St Michael’s, Hertfordshire</t>
  </si>
  <si>
    <t>Baptised 4 Feb 1999 at St Mary Abbots’, London W8.</t>
  </si>
  <si>
    <t>Twin with her sister, Violet. Baptised 22 Oct 1995 at St Peter and St Paul’s, Barkestone Le Vale, Leicestershire.</t>
  </si>
  <si>
    <t>Twin with her sister, Daisy. Baptised 22 Oct 1995 at St Peter and St Paul’s, Barkestone Le Vale, Leicestershire.</t>
  </si>
  <si>
    <t>Baptised 16 Jun 1998 at the Chapel of The Royal Hospital, Chelsea, London.</t>
  </si>
  <si>
    <t>Baptised 16 May 1996 at the Chapel of The Royal Hospital, Chelsea, London.</t>
  </si>
  <si>
    <t>Baptised 15 May 1988 at All Saints’, Lockinge.</t>
  </si>
  <si>
    <t>Baptised 19 Aug 1990 at All Saints’, Lockinge.</t>
  </si>
  <si>
    <t>Died in infancy.</t>
  </si>
  <si>
    <t>-</t>
  </si>
  <si>
    <t xml:space="preserve"> -</t>
  </si>
  <si>
    <t>WIFE/HUSBAND</t>
  </si>
  <si>
    <t>Married Anne at Llanfair-ar-y-bryn, Llandovery, daughter of John WILLIAM of Llanfair-ar-y-bryn, Llandovery. Anne buried 28 May 1801 at Cilycwm.</t>
  </si>
  <si>
    <t>Married at Llanwrda,Lewis  of Caio, Carmarthenshire, Yeoman, afterwards of Court Henry after her father’s death in 1800.</t>
  </si>
  <si>
    <t>Married Martha, daughter of Thomas KIRKMAN of Manchester, at Manchester Collegiate Church (later Manchester Cathedral). Martha died at 17 Marlborough Place, St John’s Wood, London, and is buried at Kensal Green.</t>
  </si>
  <si>
    <t>Sarah TAYLOR (b.5 Jul 1785, d. 19 Jan 1863)</t>
  </si>
  <si>
    <t>Harriet  WRIGHT (b. 1798/99, d. 6 Nov 1864)</t>
  </si>
  <si>
    <t>Henry Bombonus BENYON (b. 3 Mar 1806, d. 25 Feb 1849)</t>
  </si>
  <si>
    <t>Married Henry at the Collegiate Church, Manchester (later Manchester Cathedral). Henry buried with his daughter, Fanny, in a vault at Roundhay Church) of Roundhay Lodge, Leeds.</t>
  </si>
  <si>
    <t>Frances Harriet IRBY (b. 25 Feb 1817, d. 27 Jan 1902)</t>
  </si>
  <si>
    <t>Annie Hurst HAIG (b. 3 Oct 1816, d. 28 May 1885)</t>
  </si>
  <si>
    <t>Married at St George’s, Hanover Square, London. Frances eldest daughter of Rear Admiral The Hon Frederick Paul IRBY CB of Boyland Hall, Norfolk. Frances's mother, Frances WRIGHT, was Lady OVERSTONE’S sister.</t>
  </si>
  <si>
    <t>Thomas NORTH (b. 1809/10, d. 30 Oct 1886)</t>
  </si>
  <si>
    <t>James Dyce NICOL MP (b. 13 Aug 1805, d. 16 Nov 1872)</t>
  </si>
  <si>
    <t>James of Ballogie, Aberdeenshire and of 5 Hyde Park Terrace, London. James buried Birse Kirkyard.</t>
  </si>
  <si>
    <t>William ENTWISLE (b. 30 Sep 1809, d. 18 Aug 1865)</t>
  </si>
  <si>
    <t>Caroline Louisa FOSTER (b. 6 Aug 1825, d. 8 Feb 1900)</t>
  </si>
  <si>
    <t>Married at Ashton on Mersey, Cheshire, Caroline eldest daughter of John Frederic FOSTER (1795-1858) of Sale Priory, Cheshire and of Kempston, Bedfordshire. Louisa buried at Hawkhurst.</t>
  </si>
  <si>
    <t>Row Labels</t>
  </si>
  <si>
    <t>Grand Total</t>
  </si>
  <si>
    <t>Column Labels</t>
  </si>
  <si>
    <t>Girl</t>
  </si>
  <si>
    <t>Boy</t>
  </si>
  <si>
    <t>Chlid's Number</t>
  </si>
  <si>
    <t>Children with surname Loyd</t>
  </si>
  <si>
    <t>Father Loyd #</t>
  </si>
  <si>
    <t>Child Number</t>
  </si>
  <si>
    <t>Sarah Parfitt was the widow of William Parfitt</t>
  </si>
  <si>
    <t>Caroline Gertrude Walker VIVIAN (b. 1829, d. 28 Nov 1893)</t>
  </si>
  <si>
    <t>Married at St George’s, Hanover Square, London. Caroline daughter of the late John Henry VIVIAN MP of Singleton, Glamorgan. Caroline buried at Langleybury.</t>
  </si>
  <si>
    <t>James Sidney STOPFORD (b. 1807/08, d. 8 Jul 1885)</t>
  </si>
  <si>
    <t>Married at Little Houghton, Northamptonshire, Milly daughter of the Rev Christopher SMYTH of Little Houghton, Northamptonshire.</t>
  </si>
  <si>
    <t>Mary Douglas Reid (Minnie) AULD (b. 3 Aug 1850, d. May 1938)</t>
  </si>
  <si>
    <t>Married at St Mary and the Angels (Roman Catholic), Kensington, London, Minnie eldest daughter of T. K. AULD of 90 Portland Place, London, W1. Minnie buried with her husband at Brompton.</t>
  </si>
  <si>
    <t>Henrietta Louisa CLUTTERBUCK (b. 23 Jan 1856, d. 14 Jan 1931)</t>
  </si>
  <si>
    <t>Married at St. James’s, Piccadilly, London. Henrietta daughter of Edmund Lewis CLUTTERBUCK DL, JP of Hardenhuish Park, Chippenham, Wiltshire. Henrietta died at 60A Cadogan Square, buried at West Hendred, Berkshire.</t>
  </si>
  <si>
    <t>Frances Maria Jane FETHERSTONHAUGH (b. 10 Feb 1855, d. 6 May 1929)</t>
  </si>
  <si>
    <t>Married at Holy Trinity, Dublin. Frances daughter of William FETHERSTONHAUGH JP of Carrick, Co. Meath, Ireland. Frances died at Lealands House, Groombridge, Sussex.</t>
  </si>
  <si>
    <t>Millicent Blandinah KESTEVEN (b. 1850/51, d. 22 Jun 1945)</t>
  </si>
  <si>
    <t>Married at Holy Trinity, Waltham Cross, Hertfordshire. Millicent daughter of William Bedford KESTEVEN of The Cedars, Theobalds, Cheshunt, Hertfordshire. Died at Rugby, Warwickshire.</t>
  </si>
  <si>
    <t>George John COURTHOPE (b. 3 Mar 1848, d. 8 Sep 1910)</t>
  </si>
  <si>
    <t>Married at Hawkhurst. George of Whiligh, Ticehurst, Sussex and of Sprivers, Horsmonden, Kent, son of George Campion COURTHOPE (b. 1811, d. 1895).</t>
  </si>
  <si>
    <t>Isabella (Isabel) CURREY (b. 26 Apr 1855, d. 16 Jan 1926)</t>
  </si>
  <si>
    <t>Edward Hesketh GODDARD (b. 19 Oct 1855, d. Oct/Dec 1920)</t>
  </si>
  <si>
    <t>Edward Captain, Dorset Regiment and 3rd son of Ambrose GODDARD of The Lawn, Swindon, Wiltshire.</t>
  </si>
  <si>
    <t>Rebecca Olivia LEWIS (b.13 Aug 1860, d. 18 Mar 1927)</t>
  </si>
  <si>
    <t>Married Rebecca at British Vice Consulate, Pau, France, by her father, daughter of the Rt Rev John Travers LEWIS, (1825-1901) Archbishop of Ontario and Metropolitan of Canada. Rebecca born at Brockville, Canada, died at Lillesden Frith (also known as the Beeches) and buried at Hawkhurst.</t>
  </si>
  <si>
    <t xml:space="preserve">Emily Diana Maria BEAUMONT (b. 25 Dec 1860, d. 4 Jul 1956) </t>
  </si>
  <si>
    <t>Alfred HARDCASTLE (b. 30 Mar 1857, d. 1 Aug 1927)</t>
  </si>
  <si>
    <t>Married at St Lawrence’s, Hawkhurst, Alfred eldest son of Edward HARDCASTLE MP of New Lodge, Hawkhurst, Kent.</t>
  </si>
  <si>
    <t>George Halford D’OYLY (b. 21 Feb 1855, d. 21 Feb 1909)</t>
  </si>
  <si>
    <t>Mary Christobel CHARRINGTON (b. 18 Nov 1894, d. 9 Jan 1977)</t>
  </si>
  <si>
    <t>Kathleen Elizabeth Lilian DONOVAN (b. 21 Mar 1896, d. 7 Dec 1983)</t>
  </si>
  <si>
    <t>Kathleen only daughter of the Rev Sydney Charles DONOVAN MA (1894-1929), Rector of All Saints’, East Horndon, Essex.</t>
  </si>
  <si>
    <t>Ada Maud Keele GILES (b. 11 Apr 1884, d. 19 Jul 1955)</t>
  </si>
  <si>
    <t>Married at All Saints’, Woodham, Ada elder daughter of Trelawny B GILES of Grange Cottage, Horsell, Woking, Surrey.</t>
  </si>
  <si>
    <t>Dorothy WILLERT (b. 19 Jan 1886, d. 15 Jan 1966)</t>
  </si>
  <si>
    <t>Dorothy  only daughter of Paul Ferdinand WILLERT (1844-1912) of Headington Hill, Oxford. Dorothy is buried at Lockinge.</t>
  </si>
  <si>
    <t>His Honour Edwin Max KONSTAM (b. 6 Jun 1870, d. 7 Apr 1956)</t>
  </si>
  <si>
    <t>Olive Mary GLADSTONE (b. 7 May 1893, d. 7 Aug 1977)</t>
  </si>
  <si>
    <t>William Withers MOORE (b. 4 Aug 1855, d. 20 Feb 1944)</t>
  </si>
  <si>
    <t>Married William at St Peter &amp; St Paul (The Abbey) Bath. William died at Bath, Somerset and buried in Lansdown Cemetery, Bath as his second wife.</t>
  </si>
  <si>
    <t>Comdt. Baron Max, French Cavalry, only son of General LEWAL.</t>
  </si>
  <si>
    <t>James Norman WHEELER (b. 17 Apr 1882, d. 6 Jan 1966)</t>
  </si>
  <si>
    <t>Married Norman, at Wimborne Minster, Dorset, son of the Rev James WHEELER, Rector of Hampreston, Dorset. Norman educated Cambridge and St Thomas’s Hospital, London. World War I, RAMC. Physician and Ophthalmic Surgeon, Rugby.</t>
  </si>
  <si>
    <t>Mrs. Phyllis Marie ETESON (ARCHER) (b.3 Aug 1889, d. 29 Mar 1932)</t>
  </si>
  <si>
    <t>Charles MICKLEM (b. 17 Jan 1882, d. 26 Jan 1955)</t>
  </si>
  <si>
    <t>Charles son of Leonard MICKLEM of Abbots Mead, Elstree, Hertfordshire. Served in World War I with Royal Marine Artillery Howitzer Brigade (despatches twice). Major 1917. DSO 1918. Member London Stock Exchange. DL 1938, JP Surrey. High Sheriff of Surrey 1938.</t>
  </si>
  <si>
    <t>Lady Moyra youngest daughter of the Rt Hon St John Freemantle BRODRICK, 9th Viscount, later 1st Earl of MIDLETON KP.</t>
  </si>
  <si>
    <t>Lady Moyra BRODRICK (b.11 Jan 1897, d. 1 Apr 1982)</t>
  </si>
  <si>
    <t xml:space="preserve">Nora CARRUTHERS (b. 31 Mar 1907, d?) </t>
  </si>
  <si>
    <t>Nora eldest daughter of Edward M. CARRUTHERS of Kelowna, British Columbia, Canada. Nora married 2ndly 1939, Charles NESS (d. 18 Jan 1983) of Oslo, Norway and had further issue.</t>
  </si>
  <si>
    <t>Emily Charlotte Eileen OAKELEY (b. 28 Jan 1896, d. 8 May 1978)</t>
  </si>
  <si>
    <t>Emily MBE younger daughter of Captain Sir Charles John OAKELEY Bart: Queen’s Own Regiment, of Frittenden, Kent. cremated 17 May 1978 at Putney Vale, ashes interred 27 May 1978 in family grave at West Hendred.</t>
  </si>
  <si>
    <t>Married, at the Brompton Oratory, London SW7, Isabel 2nd daughter of Colonel John William Robinson PARKER CB, FSA, DL of Browsholme Hall, Clitheroe, Lancashire and of Alkincoats, Lancashire. Isabel buried with her husband at St Peter’s, Marlow.</t>
  </si>
  <si>
    <t>Anne born in Fulham, London, eldest daughter of Colin SMITHELLS of Chalfont St. Peter, Buckinghamshire.</t>
  </si>
  <si>
    <t>James Ian KEITH, Earl of KINTORE (b. 25 Jul 1908, d. 1 Oct 1989)</t>
  </si>
  <si>
    <t>Married, at St Peter’s, Eaton Square, London SW1, James of Glenton House, Rickarton, Stonehaven, Kincardinshire, 12th Earl, 3rd Bart:, s. as 2nd Viscount STONEHAVEN 1941, changed his name by Interlocutor Lyon Court 28 Jun 1947. s. his mother as chief of the name of KEITH 1974. Educated Eton 1921-26. Vice-Lieutenant for Kincardinshire, and an Asso. Inst. of Structural Engineers. Served in World War II as Major, Royal Marines.</t>
  </si>
  <si>
    <t>Robert TATTON-BROWN (b. 14 Sep 1913, d. 16 Apr 1990)</t>
  </si>
  <si>
    <t>Married at St. Mary’s, Horsell, Woking, Robert of Fisherton Mill House, Salisbury, Wiltshire, SP2 7RZ. Robert born in Rochester, Kent and baptised in Rochester Cathedral.</t>
  </si>
  <si>
    <t xml:space="preserve"> Alison Fraser PORTER (b. 21 Feb 1920, d. 6 Sep 2003)</t>
  </si>
  <si>
    <t>Major Hubert Guy Broughton KNIGHT MC (b. 9 Apr 1917, d. 1 Nov 1993)</t>
  </si>
  <si>
    <t>June Cecilia KEPPEL (b. 19 Jun 1924)</t>
  </si>
  <si>
    <t>Robert Edward Walker SALE (b. 26 Nov 1913, d. 11 Aug 1983)</t>
  </si>
  <si>
    <t>1=Child of Loyd</t>
  </si>
  <si>
    <t>101</t>
  </si>
  <si>
    <t>102</t>
  </si>
  <si>
    <t>103</t>
  </si>
  <si>
    <t>106</t>
  </si>
  <si>
    <t>107</t>
  </si>
  <si>
    <t>108</t>
  </si>
  <si>
    <t>109</t>
  </si>
  <si>
    <t>11</t>
  </si>
  <si>
    <t>110</t>
  </si>
  <si>
    <t>112</t>
  </si>
  <si>
    <t>115</t>
  </si>
  <si>
    <t>116</t>
  </si>
  <si>
    <t>123</t>
  </si>
  <si>
    <t>125</t>
  </si>
  <si>
    <t>128</t>
  </si>
  <si>
    <t>137</t>
  </si>
  <si>
    <t>141</t>
  </si>
  <si>
    <t>143</t>
  </si>
  <si>
    <t>152</t>
  </si>
  <si>
    <t>18</t>
  </si>
  <si>
    <t>19</t>
  </si>
  <si>
    <t>2</t>
  </si>
  <si>
    <t>36</t>
  </si>
  <si>
    <t>47</t>
  </si>
  <si>
    <t>63</t>
  </si>
  <si>
    <t>65</t>
  </si>
  <si>
    <t>70</t>
  </si>
  <si>
    <t>85</t>
  </si>
  <si>
    <t>88</t>
  </si>
  <si>
    <t>90</t>
  </si>
  <si>
    <t>92</t>
  </si>
  <si>
    <t>95</t>
  </si>
  <si>
    <t>97</t>
  </si>
  <si>
    <t>SELF</t>
  </si>
  <si>
    <t>Boy Total</t>
  </si>
  <si>
    <t>Girl Total</t>
  </si>
  <si>
    <t>Count of 1=Child of Loyd</t>
  </si>
  <si>
    <t>Married Sally, at St. Peter’s, Eaton Square, London, SW1, eldest daughter of John INGLIS of West Nisbet, Jedburgh, Roxburghshire.</t>
  </si>
  <si>
    <t>Married Joanna, at St Margaret’s , Westminster, London, only daughter of Captain Arthur Turberville SMITH-BINGHAM of Milburne Manor, Malmesbury, Wiltshire. (Div 1986).</t>
  </si>
  <si>
    <t>Married John, 6th Earl of CLANWILLIAM D.L. of Montalto, Ballynalinch, co Down and of Flat 7, 58 Cadogan Square, London SW1.</t>
  </si>
  <si>
    <t>Married, Philippa twin daughter of Sir Christopher Eden STEEL GCMG, MVO of Southrop Lodge, Lechlade, Gloucestershire.</t>
  </si>
  <si>
    <t>Anthonyloyd@gmail.com</t>
  </si>
  <si>
    <t>Derek Edward Anthony WINN, 5th Baron ST OSWALD (b. 9 Jul 1919, d. 18 Mar 1999)</t>
  </si>
  <si>
    <t>Married, 10 Jun 1954 at St Margaret’s, Westminster, London, Derek Edward Anthony WINN, 5th Baron ST OSWALD of Nostell Priory, Wakefield, West Yorkshire.</t>
  </si>
  <si>
    <t>Terrence (Terry) WALTON (b. 1 Nov 1932, d. 1 Apr 2000)</t>
  </si>
  <si>
    <t>Married at St Peter’s, Marlow, Leonard 3rd son of Robert Craig BOYCE of Glasgow. French Master, The Edinburgh Academy 1959-92.</t>
  </si>
  <si>
    <t>Married Rosie, at Stagshaw Chapel, Corbridge, Northumberland, daughter of John Joicey STRAKER of Stagshaw House, Corbridge, Northumberland.</t>
  </si>
  <si>
    <t>Married Mike, at Cockington, Torquay, Devon, of 22 West Street, Bridlington, North Humberside, YO15 3DX.</t>
  </si>
  <si>
    <t>Mary DAVIES (b. 6 Aug 1939, d. 17 Feb 1997)</t>
  </si>
  <si>
    <t xml:space="preserve">Anabel only daughter of the Hon Charles MORRISON MP. </t>
  </si>
  <si>
    <t>Terrence Eric BOSMAN (b. 5 Jan 1948, d. 21 Apr 1987)</t>
  </si>
  <si>
    <t>(1) Mary Jennifer CHARLTON (b. 15 Jul 1946, d. 10 Oct 1976)</t>
  </si>
  <si>
    <t>Jock Llewellyn HAWKEY (b. 1 Feb 1949, )</t>
  </si>
  <si>
    <t>Neil son of Jack PEMBERTON of Lakeside, Cardiff, South Wales.</t>
  </si>
  <si>
    <t>Arnold SAKOLINSKY (b. 18 Sep 1943, )</t>
  </si>
  <si>
    <t>Married Arnold at St. Peter and St. Paul’s, Aldeburgh, Suffolk.</t>
  </si>
  <si>
    <t>Jacqueline Mary HERMAN (b. 4 Nov 1955, )</t>
  </si>
  <si>
    <t>Jacqueline only daughter of J HERMAN of Chase, British Columbia.</t>
  </si>
  <si>
    <t>Karina Lesley BOYCE (b. 22 Apr 1954, )</t>
  </si>
  <si>
    <t>Brenda POW (b. 23 Aug 1964, )</t>
  </si>
  <si>
    <t>Brenda daughter of Ernest POW of Revelstoke, British Columbia.</t>
  </si>
  <si>
    <t>Cherry Margaret CORMACK (b 18 Sep 1956, )</t>
  </si>
  <si>
    <t>Adrian GELL (b. 11 Mar 1960, )</t>
  </si>
  <si>
    <t>Lynn  HAMILTON (b. 23 Feb 1962, )</t>
  </si>
  <si>
    <t>Nicholas Courcy ASHE (b. 19 Jan 1957, )</t>
  </si>
  <si>
    <t>Lady Tara Guinevere CRICHTON (b. 9 May 1967, )</t>
  </si>
  <si>
    <t>Married Lady Tara, at St Margaret’s, Westminster, London, youngest daughter of the 6th Earl of ERNE, of Crom Castle, Newtown Butler, co Fermanagh.</t>
  </si>
  <si>
    <t>Ellis Fitzroy WHITCOMB (b. 16 Oct 1962, )</t>
  </si>
  <si>
    <t>Fa</t>
  </si>
  <si>
    <t>Tony/Dodo</t>
  </si>
  <si>
    <t>Fetherstonhaugh</t>
  </si>
  <si>
    <t>Ernest</t>
  </si>
  <si>
    <t>Valerie</t>
  </si>
  <si>
    <t>Jos</t>
  </si>
  <si>
    <t>Doreen</t>
  </si>
  <si>
    <t>Geale</t>
  </si>
  <si>
    <t>Jim</t>
  </si>
  <si>
    <t>Porter</t>
  </si>
  <si>
    <t>The Hon Harriet</t>
  </si>
  <si>
    <t>Known as</t>
  </si>
  <si>
    <t>GFather's Loyd #</t>
  </si>
  <si>
    <t>G GFather's Loyd #</t>
  </si>
  <si>
    <t>GG GFather's Loyd #</t>
  </si>
  <si>
    <t>GGG GFather's Loyd #</t>
  </si>
  <si>
    <t>GGGG GFather's Loyd #</t>
  </si>
  <si>
    <t>GGGGG GFather's Loyd #</t>
  </si>
  <si>
    <t>Known as &amp; Dates</t>
  </si>
  <si>
    <t>Known as &amp; Loyd #</t>
  </si>
  <si>
    <t>Known as &amp; (Dates; &amp; Loyd #)</t>
  </si>
  <si>
    <t>Birth Full Name</t>
  </si>
  <si>
    <t>Sum of Loyd #</t>
  </si>
  <si>
    <t>Number of Grandchildren</t>
  </si>
  <si>
    <t>Weguelin</t>
  </si>
  <si>
    <t>Roddy</t>
  </si>
  <si>
    <t>Abell</t>
  </si>
  <si>
    <t>28/08/1985</t>
  </si>
  <si>
    <t>02/11/1900</t>
  </si>
  <si>
    <t>11/10/1902</t>
  </si>
  <si>
    <t>26/10/1982</t>
  </si>
  <si>
    <t>30/11/1982</t>
  </si>
  <si>
    <t>09/07/1985</t>
  </si>
  <si>
    <t>15/04/1985</t>
  </si>
  <si>
    <t>15/07/1978</t>
  </si>
  <si>
    <t>22/02/1976</t>
  </si>
  <si>
    <t>24/10/1957</t>
  </si>
  <si>
    <t>10/08/1955</t>
  </si>
  <si>
    <t>24/01/1983</t>
  </si>
  <si>
    <t>30/12/1982</t>
  </si>
  <si>
    <t>12/09/1986</t>
  </si>
  <si>
    <t>14/10/1982</t>
  </si>
  <si>
    <t>18/02/1987</t>
  </si>
  <si>
    <t>16/02/1929</t>
  </si>
  <si>
    <t>14/09/1959</t>
  </si>
  <si>
    <t>24/09/1958</t>
  </si>
  <si>
    <t>21/09/1931</t>
  </si>
  <si>
    <t>02/09/1958</t>
  </si>
  <si>
    <t>31/12/1986</t>
  </si>
  <si>
    <t>Lineage</t>
  </si>
  <si>
    <t>Number of siblings</t>
  </si>
  <si>
    <t>Siblings List</t>
  </si>
  <si>
    <t>Father's name (Known as, Dates, Loyd #)</t>
  </si>
  <si>
    <t>Siblings (Number &amp; List)</t>
  </si>
  <si>
    <t>Generations from Loyd</t>
  </si>
  <si>
    <t>Child</t>
  </si>
  <si>
    <t>Mother</t>
  </si>
  <si>
    <t>a</t>
  </si>
  <si>
    <t>b</t>
  </si>
  <si>
    <t>c</t>
  </si>
  <si>
    <t>d</t>
  </si>
  <si>
    <t>e</t>
  </si>
  <si>
    <t>f</t>
  </si>
  <si>
    <t>g</t>
  </si>
  <si>
    <t>h</t>
  </si>
  <si>
    <t>i</t>
  </si>
  <si>
    <t>j</t>
  </si>
  <si>
    <t>Child order number</t>
  </si>
  <si>
    <t>Sum of Child Number</t>
  </si>
  <si>
    <t>Number Children with surname Loyd</t>
  </si>
  <si>
    <t>Male Loyd Children Listed</t>
  </si>
  <si>
    <t>Full Birth Name, Dates, Loyd#</t>
  </si>
  <si>
    <t>Suki</t>
  </si>
  <si>
    <t>Known as name, Dates, Loyd#</t>
  </si>
  <si>
    <t>Grandchild</t>
  </si>
  <si>
    <t>Grandmother</t>
  </si>
  <si>
    <t>Grandchild Number</t>
  </si>
  <si>
    <t>Grandchild order number</t>
  </si>
  <si>
    <t>Sum of Grandchild Number</t>
  </si>
  <si>
    <t>Number grandchildren with grandparent surname Loyd</t>
  </si>
  <si>
    <t>Grandfather Loyd #</t>
  </si>
  <si>
    <t>Grandchildren of Female Loyds</t>
  </si>
  <si>
    <t>Children (Number and list)</t>
  </si>
  <si>
    <t>Father's Loyd Loyd #</t>
  </si>
  <si>
    <t>Fathers Fathers Loyd #</t>
  </si>
  <si>
    <t>Children of Female Loyds (for grandparents' list)</t>
  </si>
  <si>
    <t>NUMBER</t>
  </si>
  <si>
    <t>Grandparent</t>
  </si>
  <si>
    <t>Gparent Loyd #</t>
  </si>
  <si>
    <t>GChlid's Number</t>
  </si>
  <si>
    <t>Grandchildren (Number &amp; List) Part 1&amp;2</t>
  </si>
  <si>
    <t>Grandchildren (Number &amp; List) Part 3</t>
  </si>
  <si>
    <t>Grandchildren Full List</t>
  </si>
  <si>
    <t>Husband/Wife</t>
  </si>
  <si>
    <t>Loyd ###</t>
  </si>
  <si>
    <t>DSP?</t>
  </si>
  <si>
    <t>Sir Francis/Frank</t>
  </si>
  <si>
    <t>2002</t>
  </si>
  <si>
    <t>Frank HOYLE (b. 9 Oct 1920, d. 1 Jan 2006)</t>
  </si>
  <si>
    <t>Leonard Drummond BOYCE (b 24 May 1933, d. 27 Feb 2005)</t>
  </si>
  <si>
    <t>Savile William Francis CROSSLEY (b. 17 Sep 1928, d. 24 Jan 2012 )</t>
  </si>
  <si>
    <t xml:space="preserve">Anne SMITHELLS (b. 12 Mar 1921, d. 3 Aug 2010) </t>
  </si>
  <si>
    <t>Sally Elizabeth Jane INGLIS (b. 18 Jan 1931, d. 27 Aug 2020)</t>
  </si>
  <si>
    <t>Philippa Mary Emma STEEL (b. 5 Dec 1932, d. 27 Oct 2020)</t>
  </si>
  <si>
    <t>James Edward RUSSELL-STONEHAM</t>
  </si>
  <si>
    <t>143aa</t>
  </si>
  <si>
    <t>RUSSELL-STONEHAM</t>
  </si>
  <si>
    <t>Isla</t>
  </si>
  <si>
    <t>Delilah</t>
  </si>
  <si>
    <t>152b</t>
  </si>
  <si>
    <t>154a</t>
  </si>
  <si>
    <t>NEWING</t>
  </si>
  <si>
    <t>Otto</t>
  </si>
  <si>
    <t>Freddie</t>
  </si>
  <si>
    <t>154b</t>
  </si>
  <si>
    <t>154c</t>
  </si>
  <si>
    <t>Augustus</t>
  </si>
  <si>
    <t>Gus</t>
  </si>
  <si>
    <t>Albert</t>
  </si>
  <si>
    <t>LOYD (CHARLTON)</t>
  </si>
  <si>
    <t>John Matthew GRINDAL (b. 11 Mar 1976, )</t>
  </si>
  <si>
    <t>156a</t>
  </si>
  <si>
    <t>GRINDAL</t>
  </si>
  <si>
    <t>156b</t>
  </si>
  <si>
    <t>157a</t>
  </si>
  <si>
    <t>SIMMONDS</t>
  </si>
  <si>
    <t>157b</t>
  </si>
  <si>
    <t>Born at Royal Victoria Infirmary, Newcastle. Baptised 3 May 2014 at Stagshaw Chapel.</t>
  </si>
  <si>
    <t>Born at St Mary's Paddington. Baptised 17 Sep 2012</t>
  </si>
  <si>
    <t>KYLE</t>
  </si>
  <si>
    <t>158a</t>
  </si>
  <si>
    <t>Theodore</t>
  </si>
  <si>
    <t>Born at UCH, London. Baptised March 2011</t>
  </si>
  <si>
    <t>GARDENER</t>
  </si>
  <si>
    <t>159a</t>
  </si>
  <si>
    <t>159b</t>
  </si>
  <si>
    <t>Straker</t>
  </si>
  <si>
    <t>Born in Abu Dhabi.</t>
  </si>
  <si>
    <t>HAYNS</t>
  </si>
  <si>
    <t>161a</t>
  </si>
  <si>
    <t>Alexia</t>
  </si>
  <si>
    <t>161b</t>
  </si>
  <si>
    <t>Bickford</t>
  </si>
  <si>
    <t>Laura Mary MUSSELBROOK (b. 23 Sep 1981, )</t>
  </si>
  <si>
    <t>Musselbrook</t>
  </si>
  <si>
    <t>Rory</t>
  </si>
  <si>
    <t>Richard Benjamin LEASK (b. 28 July 1983, )</t>
  </si>
  <si>
    <t>LEASK</t>
  </si>
  <si>
    <t>164a</t>
  </si>
  <si>
    <t>Fredrick</t>
  </si>
  <si>
    <t>164b</t>
  </si>
  <si>
    <t>164c</t>
  </si>
  <si>
    <t>Hamish</t>
  </si>
  <si>
    <t>Cormack</t>
  </si>
  <si>
    <t>Born at Lincoln County Hospital</t>
  </si>
  <si>
    <t>Born in Bristol</t>
  </si>
  <si>
    <t>Davis</t>
  </si>
  <si>
    <t>Born in Abderdeen</t>
  </si>
  <si>
    <t>Roshan PURI (b. 11 Mar 1986, )</t>
  </si>
  <si>
    <t>165a</t>
  </si>
  <si>
    <t>PURI</t>
  </si>
  <si>
    <t>Leila</t>
  </si>
  <si>
    <t>Cherry</t>
  </si>
  <si>
    <t>165b</t>
  </si>
  <si>
    <t>Alana</t>
  </si>
  <si>
    <t>Kailash</t>
  </si>
  <si>
    <t>Born London.</t>
  </si>
  <si>
    <t>Willow</t>
  </si>
  <si>
    <t>168a</t>
  </si>
  <si>
    <t>Rudyard</t>
  </si>
  <si>
    <t>Wroughton</t>
  </si>
  <si>
    <t>170a</t>
  </si>
  <si>
    <t>Folliott</t>
  </si>
  <si>
    <t>Rosemary Joan (Rosie) MOIR (b. 23 Feb 1942, d. 12 Mar 1997)</t>
  </si>
  <si>
    <t>Sarah  JONES (b. 9 Sep 1759, d. 1 Oct 1821)</t>
  </si>
  <si>
    <t>Ivy Nina TWINING (b. 2 Aug 1884, d. 12 Jul 1950)</t>
  </si>
  <si>
    <t>The Hon Bettine Henrietta KNATCHBULL-HUGESSEN (b. 15 Sep 1888, d. 9 Aug 1967)</t>
  </si>
  <si>
    <t>Deirdre THOMPSON (b. 11 Apr 1936, d. 2004)</t>
  </si>
  <si>
    <t>Mary Jennifer CHARLTON (b. 15 Jul 1946, d. 10 Oct 1976)</t>
  </si>
  <si>
    <t>Anna Maria LEES (b. 15 Mar 1972, )</t>
  </si>
  <si>
    <t>Anne Maria LEES (b. 15 Mar 1972, )</t>
  </si>
  <si>
    <t>justtheonetoo@gmail.com</t>
  </si>
  <si>
    <t>julieweb3004@gmail.com</t>
  </si>
  <si>
    <t>williamloyd@uwclub.net</t>
  </si>
  <si>
    <t>tonyloyd@mac.com</t>
  </si>
  <si>
    <t>sophie.newing@gmail.com</t>
  </si>
  <si>
    <t>anthonyloyd@googlemail.com</t>
  </si>
  <si>
    <t> g.loydy@gmail.com</t>
  </si>
  <si>
    <t> rosie.loyd@gmail.com</t>
  </si>
  <si>
    <t>GGGGGG'Gparent #</t>
  </si>
  <si>
    <t>GGGGGG'Gparent Name</t>
  </si>
  <si>
    <t>GGGGGG GFather's Loyd #</t>
  </si>
  <si>
    <t>(blank)</t>
  </si>
  <si>
    <t>Deirdre Susan WELLS (b. 4 May 1951, )</t>
  </si>
  <si>
    <t>Kirsten Mary WROUGHTON (b. 12 Dec 1959, )</t>
  </si>
  <si>
    <t>Rosemary (Rosie) STRAKER (b. 19 Jan 1945, )</t>
  </si>
  <si>
    <t>Charlotte Ann HEDLEY (b. 13 Sep 1946, )</t>
  </si>
  <si>
    <t>Mrs Anabel Laura Dorothy STAPLETON (b. 31 Dec 1955, )</t>
  </si>
  <si>
    <t>Patricia Mary MACLEAN (b. 11 Feb 1929, )</t>
  </si>
  <si>
    <t>Phyllis Mary Porter TRINGHAM (b. 17 Sep 1907, )</t>
  </si>
  <si>
    <t xml:space="preserve">Nora CARRUTHERS (b. 31 Mar 1907, ) </t>
  </si>
  <si>
    <t>George Andrew Lang MILLER (b. 22 Nov 1944, )</t>
  </si>
  <si>
    <t>Anthony Havelock HUDSON (b. 25 Apr 1946, )</t>
  </si>
  <si>
    <t>Michael Herbert (Mike) CLULOW (b. 23 Sep 1944, )</t>
  </si>
  <si>
    <t>Cyril Eric DOWNES (b. 12 Nov 1930, )</t>
  </si>
  <si>
    <t>(1) Harold Arthur GRAHAM (b. 1922, )</t>
  </si>
  <si>
    <t>Malcolm Coit DUNLOP (b. 17 Feb 1927, )</t>
  </si>
  <si>
    <t>Joanna SMITH-BINGHAM (b. 17 Nov 1935, )</t>
  </si>
  <si>
    <t>Kit</t>
  </si>
  <si>
    <t>Residency</t>
  </si>
  <si>
    <t>England</t>
  </si>
  <si>
    <t>Age</t>
  </si>
  <si>
    <t>16/09/1900</t>
  </si>
  <si>
    <t>12/12/1942</t>
  </si>
  <si>
    <t>Contact</t>
  </si>
  <si>
    <t>14/12/1905</t>
  </si>
  <si>
    <t>25/11/1907</t>
  </si>
  <si>
    <t>09/08/1920</t>
  </si>
  <si>
    <t>04/08/1905</t>
  </si>
  <si>
    <t>01/12/1922</t>
  </si>
  <si>
    <t>09/08/1934</t>
  </si>
  <si>
    <t>08/09/1934</t>
  </si>
  <si>
    <t>23/10/1922</t>
  </si>
  <si>
    <t>21/09/1908</t>
  </si>
  <si>
    <t>19/03/1930</t>
  </si>
  <si>
    <t>17/09/1946</t>
  </si>
  <si>
    <t>30/06/1924</t>
  </si>
  <si>
    <t>10/05/1927</t>
  </si>
  <si>
    <t>29/08/1921</t>
  </si>
  <si>
    <t>25/06/1936</t>
  </si>
  <si>
    <t>08/07/1905</t>
  </si>
  <si>
    <t>29/06/1936</t>
  </si>
  <si>
    <t>06/11/1938</t>
  </si>
  <si>
    <t>27/12/1939</t>
  </si>
  <si>
    <t>18/06/1923</t>
  </si>
  <si>
    <t>03/12/1940</t>
  </si>
  <si>
    <t>21/02/1938</t>
  </si>
  <si>
    <t>21/06/1911</t>
  </si>
  <si>
    <t>17/08/1947</t>
  </si>
  <si>
    <t>21/09/1918</t>
  </si>
  <si>
    <t>06/02/1962</t>
  </si>
  <si>
    <t>13/02/1919</t>
  </si>
  <si>
    <t>01/02/1950</t>
  </si>
  <si>
    <t>04/11/1944</t>
  </si>
  <si>
    <t>23/09/1917</t>
  </si>
  <si>
    <t>11/01/1952</t>
  </si>
  <si>
    <t>09/08/1962</t>
  </si>
  <si>
    <t>02/02/1989</t>
  </si>
  <si>
    <t>12/03/1961</t>
  </si>
  <si>
    <t>25/06/1977</t>
  </si>
  <si>
    <t>25/09/1968</t>
  </si>
  <si>
    <t>13/06/1917</t>
  </si>
  <si>
    <t>14/04/1967</t>
  </si>
  <si>
    <t>27/10/1947</t>
  </si>
  <si>
    <t>18/01/1956</t>
  </si>
  <si>
    <t>17/01/1963</t>
  </si>
  <si>
    <t>14/11/1914</t>
  </si>
  <si>
    <t>01/07/1963</t>
  </si>
  <si>
    <t>11/09/1974</t>
  </si>
  <si>
    <t>11/11/1973</t>
  </si>
  <si>
    <t>12/11/1967</t>
  </si>
  <si>
    <t>01/12/1917</t>
  </si>
  <si>
    <t>25/05/1932</t>
  </si>
  <si>
    <t>17/09/1971</t>
  </si>
  <si>
    <t>19/03/1972</t>
  </si>
  <si>
    <t>28/09/1917</t>
  </si>
  <si>
    <t>19/04/1963</t>
  </si>
  <si>
    <t>11/10/1955</t>
  </si>
  <si>
    <t>04/06/1977</t>
  </si>
  <si>
    <t>02/09/2004</t>
  </si>
  <si>
    <t>02/07/2008</t>
  </si>
  <si>
    <t>03/10/1913</t>
  </si>
  <si>
    <t>10/01/2007</t>
  </si>
  <si>
    <t>13/12/2006</t>
  </si>
  <si>
    <t>21/08/1993</t>
  </si>
  <si>
    <t>27/10/1926</t>
  </si>
  <si>
    <t>22/07/1992</t>
  </si>
  <si>
    <t>10/04/2002</t>
  </si>
  <si>
    <t>10/05/2014</t>
  </si>
  <si>
    <t>01/01/2002</t>
  </si>
  <si>
    <t>07/01/1977</t>
  </si>
  <si>
    <t>04/10/2005</t>
  </si>
  <si>
    <t/>
  </si>
  <si>
    <t>12/06/1974</t>
  </si>
  <si>
    <t>14/07/2013</t>
  </si>
  <si>
    <t>22/01/2014</t>
  </si>
  <si>
    <t>30/04/2014</t>
  </si>
  <si>
    <t>12/12/1995</t>
  </si>
  <si>
    <t>07/02/2018</t>
  </si>
  <si>
    <t>22/08/2018</t>
  </si>
  <si>
    <t>11/09/1996</t>
  </si>
  <si>
    <t>07/03/1975</t>
  </si>
  <si>
    <t>01/05/2016</t>
  </si>
  <si>
    <t>08/07/1994</t>
  </si>
  <si>
    <t>01/12/2018</t>
  </si>
  <si>
    <t>02/04/1942</t>
  </si>
  <si>
    <t>08/05/1954</t>
  </si>
  <si>
    <t>01/04/1996</t>
  </si>
  <si>
    <t>Female</t>
  </si>
  <si>
    <t>Male</t>
  </si>
  <si>
    <t>(1) Married Saragh at Kirkoswald; (2) Married Poly THOMPSON at Longparish, Hampshire, only daughter of Angus THOMSON.</t>
  </si>
  <si>
    <t>Original List  Order #</t>
  </si>
  <si>
    <t>Born at Winchester, Hampshire. Issue: Michael Alwyn Karel DREWE</t>
  </si>
  <si>
    <t>Book Background Order #</t>
  </si>
  <si>
    <t>Birth Name</t>
  </si>
  <si>
    <t>Male/Female</t>
  </si>
  <si>
    <t>First</t>
  </si>
  <si>
    <t>Second</t>
  </si>
  <si>
    <t>Third</t>
  </si>
  <si>
    <t>Generation from William</t>
  </si>
  <si>
    <t>Fourth</t>
  </si>
  <si>
    <t>Fifth</t>
  </si>
  <si>
    <t>Sixth</t>
  </si>
  <si>
    <t>Seventh</t>
  </si>
  <si>
    <t>Eighth</t>
  </si>
  <si>
    <t>Generation from William (#1)</t>
  </si>
  <si>
    <t>Marriage</t>
  </si>
  <si>
    <t>107ab</t>
  </si>
  <si>
    <t>107ac</t>
  </si>
  <si>
    <t>140a</t>
  </si>
  <si>
    <t>140b</t>
  </si>
  <si>
    <t>18bbbcb</t>
  </si>
  <si>
    <t>18bbbcg</t>
  </si>
  <si>
    <t>1st</t>
  </si>
  <si>
    <t>2nd</t>
  </si>
  <si>
    <t>3rd</t>
  </si>
  <si>
    <t>4th</t>
  </si>
  <si>
    <t>5th</t>
  </si>
  <si>
    <t>6th</t>
  </si>
  <si>
    <t>7th</t>
  </si>
  <si>
    <t>8th</t>
  </si>
  <si>
    <t xml:space="preserve">Known as (generation from William #1 and ascendant Loyd #) </t>
  </si>
  <si>
    <t>Additional Information (inc M/F, DoB &amp; Other information)</t>
  </si>
  <si>
    <t>Birth and Death Dates</t>
  </si>
  <si>
    <t>Left 50 shillings in her  grandfather's will as was brother Lewis (#2a).</t>
  </si>
  <si>
    <t>Left 50 shillings in his grandfather's will as was sister Ann (#2b).</t>
  </si>
  <si>
    <t>Margaret of Bryngwenlais Cottage, Cilycwm. Died 1982  at Llandovery Hospital buried in Cilycwm cemetery in her parents’ grave. Tombstone in Welsh.</t>
  </si>
  <si>
    <t>1852</t>
  </si>
  <si>
    <t>Date unknown</t>
  </si>
  <si>
    <t>1860 or 61</t>
  </si>
  <si>
    <t>1921</t>
  </si>
  <si>
    <t>1924</t>
  </si>
  <si>
    <t>1886</t>
  </si>
  <si>
    <t>2cabc</t>
  </si>
  <si>
    <t>2cabd</t>
  </si>
  <si>
    <t>2cabe</t>
  </si>
  <si>
    <t>1888</t>
  </si>
  <si>
    <t>1899</t>
  </si>
  <si>
    <t>09/03/1838</t>
  </si>
  <si>
    <t>Nat</t>
  </si>
  <si>
    <t>70cb</t>
  </si>
  <si>
    <t>70cc</t>
  </si>
  <si>
    <t>70cca</t>
  </si>
  <si>
    <t>107cd</t>
  </si>
  <si>
    <t>Seth</t>
  </si>
  <si>
    <t>Additional Biographical Information (Full Address)</t>
  </si>
  <si>
    <t>Additional Biographical Information (Short address)</t>
  </si>
  <si>
    <t>Countries lived in</t>
  </si>
  <si>
    <t>Lewis (0): c1690 - 1758</t>
  </si>
  <si>
    <t>Lewis (3): 1768 - 1858</t>
  </si>
  <si>
    <t>Thomas (6): 1775 - 1853</t>
  </si>
  <si>
    <t>William (10): 1809 - 1879</t>
  </si>
  <si>
    <t>Lewis (13): 1811 - 1891</t>
  </si>
  <si>
    <t>Annie (15): 1813 - 1834</t>
  </si>
  <si>
    <t>Edward (17): 1815 - 1815</t>
  </si>
  <si>
    <t>Kate (18): 1815 - 1905</t>
  </si>
  <si>
    <t>John (20): 1817 - 1818</t>
  </si>
  <si>
    <t>Lewis (21): 1819 - 1841</t>
  </si>
  <si>
    <t>Fanny (24): 1824 - 1856</t>
  </si>
  <si>
    <t>Henry (25): 1832 - 1833</t>
  </si>
  <si>
    <t>The Hon Harriet (26): 1837 - 1920</t>
  </si>
  <si>
    <t>William (27): 1843 - 1843</t>
  </si>
  <si>
    <t>Arthur (29): 1845 - 1930</t>
  </si>
  <si>
    <t>Archie (30): 1847 - 1922</t>
  </si>
  <si>
    <t>Mary (31): 1848 - 1930</t>
  </si>
  <si>
    <t>Frank (32): 1848 - 1934</t>
  </si>
  <si>
    <t>Alfred (33): 1849 - 1881</t>
  </si>
  <si>
    <t>Meg (43): 1859 - 1936</t>
  </si>
  <si>
    <t>Harry (44): 1861 - 1938</t>
  </si>
  <si>
    <t>Arthur (50): 1868 - 1911</t>
  </si>
  <si>
    <t>Lewis (51): 1875 - 1947</t>
  </si>
  <si>
    <t>Lewis (52): 1880 - 1918</t>
  </si>
  <si>
    <t>Robert (57): 1884 - 1917</t>
  </si>
  <si>
    <t>Rt Rev Philip (58): 1884 - 1952</t>
  </si>
  <si>
    <t>Reggie (61): 1886 - 1961</t>
  </si>
  <si>
    <t>Tony (67): 1889 - 1956</t>
  </si>
  <si>
    <t>Cecil (68): 1890 - 1963</t>
  </si>
  <si>
    <t>Geoffrey (69): 1890 - 1914</t>
  </si>
  <si>
    <t>Henry (72): 1891 - 1973</t>
  </si>
  <si>
    <t>Eric (73): 1891 - 1967</t>
  </si>
  <si>
    <t>Godfrey (75): 1893 - 1917</t>
  </si>
  <si>
    <t>Vivian (78): 1894 - 1972</t>
  </si>
  <si>
    <t>Alwyne (79): 1894 - 1917</t>
  </si>
  <si>
    <t>Reginald (81): 1885 - 1917</t>
  </si>
  <si>
    <t>Wilfred (82): 1896 - 1955</t>
  </si>
  <si>
    <t>Eddie (84): 1902 - 1942</t>
  </si>
  <si>
    <t>Anne (85): 1912 - 2004</t>
  </si>
  <si>
    <t>Peter (86): 1913 - 2008</t>
  </si>
  <si>
    <t>John (87): 1913 - 1913</t>
  </si>
  <si>
    <t>Delia (88): 1915 - 2007</t>
  </si>
  <si>
    <t>Averil (90): 1917 - 1993</t>
  </si>
  <si>
    <t>Martin (91): 1917 - 1926</t>
  </si>
  <si>
    <t>Daphne (92): 1917 - 1992</t>
  </si>
  <si>
    <t>Jill (93): 1920 - 2002</t>
  </si>
  <si>
    <t>Hester (95): 1920 - 2002</t>
  </si>
  <si>
    <t xml:space="preserve">Hester was the 2nd daughter of Arthur Thomas LOYD (1882-1944) of Lockinge, Wantage, Berkshire.Born 1 Dec 1920.  Died 2002                      </t>
  </si>
  <si>
    <t xml:space="preserve">Peter (98): 1922 - </t>
  </si>
  <si>
    <t>Larch (100): 1923 - 2013</t>
  </si>
  <si>
    <t>Lavinia (103): 1923 - 1995</t>
  </si>
  <si>
    <t xml:space="preserve">Denise (106): 1928 - </t>
  </si>
  <si>
    <t>Brenda (107): 1928 - 1996</t>
  </si>
  <si>
    <t xml:space="preserve">Joscelyn (108): 1931 - </t>
  </si>
  <si>
    <t xml:space="preserve">Margaret (109): 1932 - </t>
  </si>
  <si>
    <t xml:space="preserve">Jean (110): 1933 - </t>
  </si>
  <si>
    <t>Andrew (111): 1934 - 1975</t>
  </si>
  <si>
    <t>Una (112): 1936 - 2016</t>
  </si>
  <si>
    <t xml:space="preserve">Michael (114): 1938 - </t>
  </si>
  <si>
    <t xml:space="preserve">Peggy (116): 1939 - </t>
  </si>
  <si>
    <t xml:space="preserve">Patrick (117): 1942 - </t>
  </si>
  <si>
    <t>Patricia (118): 1942 - 1942</t>
  </si>
  <si>
    <t xml:space="preserve">Peter (119): 1942 - </t>
  </si>
  <si>
    <t xml:space="preserve">Caroline (120): 1947 - </t>
  </si>
  <si>
    <t xml:space="preserve">David (121): 1949 - </t>
  </si>
  <si>
    <t xml:space="preserve">Martin (122): 1949 - </t>
  </si>
  <si>
    <t xml:space="preserve">Janet (123): 1949 - </t>
  </si>
  <si>
    <t xml:space="preserve">Rob (124): 1949 - </t>
  </si>
  <si>
    <t xml:space="preserve">Rona (125): 1951 - </t>
  </si>
  <si>
    <t>Canada</t>
  </si>
  <si>
    <t xml:space="preserve">Paddy (126): 1951 - </t>
  </si>
  <si>
    <t xml:space="preserve">Vivian (127): 1951 - </t>
  </si>
  <si>
    <t xml:space="preserve">Julie (128): 1952 - </t>
  </si>
  <si>
    <t xml:space="preserve">Diana (129): 1952 - </t>
  </si>
  <si>
    <t xml:space="preserve">David (130): 1952 - </t>
  </si>
  <si>
    <t xml:space="preserve">Dominic (131): 1953 - </t>
  </si>
  <si>
    <t>Penelope (132): 1954 - 1954</t>
  </si>
  <si>
    <t xml:space="preserve">Jeremy (133): 1954 - </t>
  </si>
  <si>
    <t xml:space="preserve">William (134): 1955 - </t>
  </si>
  <si>
    <t xml:space="preserve">James (135): 1955 - </t>
  </si>
  <si>
    <t xml:space="preserve">Tim (136): 1957 - </t>
  </si>
  <si>
    <t xml:space="preserve">Henrietta (137): 1959 - </t>
  </si>
  <si>
    <t xml:space="preserve">Thomas (138): 1959 - </t>
  </si>
  <si>
    <t xml:space="preserve">Alex (139): 1959 - </t>
  </si>
  <si>
    <t xml:space="preserve">Virginia (140): 1961 - </t>
  </si>
  <si>
    <t xml:space="preserve">Alexandra (141): 1961 - </t>
  </si>
  <si>
    <t xml:space="preserve">Rick (142): 1962 - </t>
  </si>
  <si>
    <t xml:space="preserve">Harriet (143): 1962 - </t>
  </si>
  <si>
    <t xml:space="preserve">Andrew (144): 1962 - </t>
  </si>
  <si>
    <t xml:space="preserve">Tony (145): 1963 - </t>
  </si>
  <si>
    <t xml:space="preserve">Charles (146): 1963 - </t>
  </si>
  <si>
    <t xml:space="preserve">Susannah (147): 1965 - </t>
  </si>
  <si>
    <t>Francis (148): 1966 - 1996</t>
  </si>
  <si>
    <t xml:space="preserve">Anthony (149): 1966 - </t>
  </si>
  <si>
    <t xml:space="preserve">James (150): 1966 - </t>
  </si>
  <si>
    <t xml:space="preserve">Elspeth (151): 1967 - </t>
  </si>
  <si>
    <t xml:space="preserve">Mary (152): 1967 - </t>
  </si>
  <si>
    <t xml:space="preserve">Richard (153): 1968 - </t>
  </si>
  <si>
    <t xml:space="preserve">Sophie (154): 1969 - </t>
  </si>
  <si>
    <t xml:space="preserve">William (155): 1973 - </t>
  </si>
  <si>
    <t xml:space="preserve">Amy (156): 1975 - </t>
  </si>
  <si>
    <t xml:space="preserve">Tessa (157): 1975 - </t>
  </si>
  <si>
    <t xml:space="preserve">Chloe (158): 1977 - </t>
  </si>
  <si>
    <t xml:space="preserve">Daisy (159): 1979 - </t>
  </si>
  <si>
    <t xml:space="preserve">John (160): 1982 - </t>
  </si>
  <si>
    <t xml:space="preserve">Molly (161): 1982 - </t>
  </si>
  <si>
    <t xml:space="preserve">David (162): 1984 - </t>
  </si>
  <si>
    <t xml:space="preserve">Harriet (163): 1984 - </t>
  </si>
  <si>
    <t xml:space="preserve">Poppy (164): 1984 - </t>
  </si>
  <si>
    <t xml:space="preserve">Rose (165): 1986 - </t>
  </si>
  <si>
    <t xml:space="preserve">Gareth (166): 1988 - </t>
  </si>
  <si>
    <t xml:space="preserve">Ben (167): 1988 - </t>
  </si>
  <si>
    <t xml:space="preserve">Camilla (168): 1988 - </t>
  </si>
  <si>
    <t xml:space="preserve">Jamie (169): 1988 - </t>
  </si>
  <si>
    <t xml:space="preserve">Sophie (170): 1989 - </t>
  </si>
  <si>
    <t xml:space="preserve">Rupert (171): 1990 - </t>
  </si>
  <si>
    <t xml:space="preserve">Florina (172): 1991 - </t>
  </si>
  <si>
    <t xml:space="preserve">Curtis (173): 1992 - </t>
  </si>
  <si>
    <t xml:space="preserve">Tabitha (174): 1992 - </t>
  </si>
  <si>
    <t xml:space="preserve">Christopher (175): 1993 - </t>
  </si>
  <si>
    <t xml:space="preserve">Sam (176): 1994 - </t>
  </si>
  <si>
    <t xml:space="preserve">Spencer (177): 1995 - </t>
  </si>
  <si>
    <t xml:space="preserve">Will (178): 1996 - </t>
  </si>
  <si>
    <t xml:space="preserve">Josh (179): 1996 - </t>
  </si>
  <si>
    <t xml:space="preserve">George (180): 1998 - </t>
  </si>
  <si>
    <t xml:space="preserve">Eliza (181): 1999 - </t>
  </si>
  <si>
    <t xml:space="preserve">Rosanna (182): 2000 - </t>
  </si>
  <si>
    <t xml:space="preserve">Matilda (183): 2006 - </t>
  </si>
  <si>
    <t xml:space="preserve">Delilah (184): 2006 - </t>
  </si>
  <si>
    <t xml:space="preserve">Katherine (185): 2007 - </t>
  </si>
  <si>
    <t xml:space="preserve">Henry (186): 2010 - </t>
  </si>
  <si>
    <t xml:space="preserve">Olivia (187): 2014 - </t>
  </si>
  <si>
    <t xml:space="preserve">Archibald (188): 2017 - </t>
  </si>
  <si>
    <t xml:space="preserve">Rory (189): 2019 - </t>
  </si>
  <si>
    <t>Daisy (190): 2021-</t>
  </si>
  <si>
    <t>England &amp; Rhodesia</t>
  </si>
  <si>
    <t>Wales</t>
  </si>
  <si>
    <t>Wales &amp; England</t>
  </si>
  <si>
    <t>Scotland</t>
  </si>
  <si>
    <t>England, Africa, Italy &amp; Burma (Myanmar)</t>
  </si>
  <si>
    <t>England &amp; Thailand</t>
  </si>
  <si>
    <t>England &amp; Scotland</t>
  </si>
  <si>
    <t>England, France &amp; Switzerland</t>
  </si>
  <si>
    <t>DOD Entered</t>
  </si>
  <si>
    <t>Unknown</t>
  </si>
  <si>
    <t xml:space="preserve">Served in World War I, Lieut Colonel Royal Sussex Regiment, wounded, despatches, MC. MP for Rye, Sussex (C) 1906-45. DL and JP for Sussex. Bart: 1925. Privy Counsellor 1937. Raised to Peerage 1945 as (1st &amp; last) Baron COURTHOPE of WHILIGH. </t>
  </si>
  <si>
    <t>(1) Hilda, baptised at Muree, Punjab, India, daughter of Major General Henry Pelham CLOSE.  (2) Married 5 Sep 1944 in Crypt of House of Commons, Margaret daughter of Frederick BARRY of Westbury, Wiltshire. Roddy SALE (97d) has a portrait of Hilda, in March 1890, aged 16 by Russian artist Leon Spink. Portrait at Whiligh until 1980.</t>
  </si>
  <si>
    <t xml:space="preserve">Born at Lillesden, Hawkhurst, Kent. Died at Sprivers, Horsmonden, Kent, buried 5 Apr 1966 at Wadhurst, Sussex. Left house and hundred acres surrounding it to the National Trust in his will. Roddy SALE (97d) has Robert’s diaries and a copy of a portrait of Mary Foster which was left to the NT at Sprivers.
</t>
  </si>
  <si>
    <t>Baptised 10 Aug 1973 at Hatley St George, Cambridgeshire. Educated Oxford High 1983-89, Westminster 1989-91 and Magdalen College, Oxford 1991-94. Joint Founder e-business ‘lastminute.com’ 1998. Martha created CBE in 2013 and created a Life Baroness.</t>
  </si>
  <si>
    <t>The Honourable Martha A. Beaumont.</t>
  </si>
  <si>
    <t>Edward and Sarah buried together in Feltham Cemetery. d. 8 Mar 1906.</t>
  </si>
  <si>
    <t>24/09/1913</t>
  </si>
  <si>
    <t>07/01/1903</t>
  </si>
  <si>
    <t>19/08/1914</t>
  </si>
  <si>
    <t>14/04/1916</t>
  </si>
  <si>
    <t>Jane was the eldest daughter of William LLOYD (1729-1800: #1) of Court Henry, Cilycwm, Carmarthenshire. b. 29 Oct 1765, bapt. 4 or 9 Nov 1765 at Llanwrda.  Died 11 may 1832, buried at Cilycwm.</t>
  </si>
  <si>
    <t xml:space="preserve">Catherine was the 2nd daughter of William LLOYD (1729-1800: #1) of Court Henry, Cilycwm, Carmarthenshire Born 19th February 1772, Baptised 25 Feb 1772 at Llanwrda. Died, unmarried, 9 Dec 1798, buried 12 Dec 1798 at Cilycwm.                                                                                     </t>
  </si>
  <si>
    <t xml:space="preserve">Gwenllian was the 3rd and youngest daughter of William LLOYD (1729-1800: #1) of Court Henry, Cilycwm, Carmarthenshire. Born 19 Oct 1777, bapt. 22 or 23 Oct 1777 at Llanwrda. Died, buried 12 Oct 1779 at Llanwrda. </t>
  </si>
  <si>
    <t xml:space="preserve">Eliza was the elder daughter of William  (1770-1828: #4) of 7 Bread Street, Cheapside, London EC2. Born 30 Nov 1810. Died (unmarried) 3 Oct 1861 at 30 Leinster Square, London W2.                                                                                     </t>
  </si>
  <si>
    <t xml:space="preserve">Lewis lived at 20 Hyde Park Gardens, London SW7 and at  Monk’s Orchard, West Wickham, Kent. Eldest son of Edward (1780-1863: #8) of Coombe House, Coombe Lane, Croydon, Surrey. Born 10 Aug 1811, bapt. 4 Sept 1811 at St Ann’s, Manchester. Educated Eton and Trinity College, Cambridge. Banker in the London house of Jones Loyd &amp; Co. JP Surrey. High Sheriff 1863. Commissioner of Lieutenancy for the City of London. Founded the church of St John the Evangelist, Waterloo Road, Cheetham, Manchester at a cost of £20,000 and endowed benefice with income of £200 per annum. d.s.p. 19 Jul 1891, buried at Addington, Nr. Croydon, Surrey. Will dated 1885. Estate £598,798. Roddy SALE (97d), in 2021, has IRBY family tree (from Lewis). Frank Sale (1995 - :#97ea) visited the church, which transferred to the New Testament but has a revisionary clause that if the church should close then the property reverts to the Loyd estate. Roddy also has portrait of Lewis (1811 - 1891: #13) as a young man.                           </t>
  </si>
  <si>
    <t xml:space="preserve">Ann (Annie) was the 2nd daughter of Edward (1780-1863: #8) of Coombe House, Coombe Lane, Croydon, Surrey. Born 26 Feb 1813. Died (unmarried ) 10 Sep 1834.                                                                                     </t>
  </si>
  <si>
    <t xml:space="preserve">Maria was the younger daughter of William (1770-1828: #4) of 7 Bread Street, Cheapside, London EC2. b. 17 Feb 1814. m. 18 Dec 1847 at Marylebone Church, London, Thomas NORTH (b. 1809/10, d. 30 Oct 1886 at Northcote, Frant) of Loders, Bridport, Dorset. Moved to Northcote, Frant Road, Frant, Sussex in 1868. d.s.p. 16 Sep 1900 at Northcote, buried at Tunbridge Wells.                                                                                    </t>
  </si>
  <si>
    <t xml:space="preserve">Edward was 3rd son of William (1770-1828: #4) of 7 Bread Street, Cheapside, London EC2. Born 2 Jul 1815.Died  23 Jul 1815, buried at Bunhill Fields, London, in family grave (plan 15, grave no. 223).                                                                                     </t>
  </si>
  <si>
    <t>Kate was the 3rd daughter of Edward (1780-1863: #8). Born 26 Aug 1815.  Died 14 Dec 1905, buried Birse Kirkyard.</t>
  </si>
  <si>
    <t xml:space="preserve">Hannah lived atThe Oaks, Sunningdale, Ascot, Berkshire (in her widowhood) and was the 4th daughter of Edward  (1780-1863: #8). Born 9 Feb 1817.  Died  25 Nov 1907, buried at Sunningdale.                                                              </t>
  </si>
  <si>
    <t xml:space="preserve">John was the 4th son of William (1770-1828: #4) of 7 Bread Street, Cheapside, London EC2. Born  3 Oct 1817. Died 13 Apr 1818, buried at Bunhill Fields, London in family grave (plan 15, grave no. 223).                                                                                     </t>
  </si>
  <si>
    <t xml:space="preserve">Lewis was the 5th and youngest son of William (1770-1828: #4) of 7 Bread Street, Cheapside, London EC2. Born 29 Apr 1819. Educated Harrow. Four years a clerk on the London Stock Exchange. Contracted consumption. Died 7 Jul 1841, buried at Bunhill Fields, London, in family grave (plan 15, grave no. 223). Some of the volumes of the classics, his Harrow school books are in possession of Peter Haig LOYD (1922 - ).                                                                                  </t>
  </si>
  <si>
    <t xml:space="preserve">Fanny was the 5th and youngest daughter of Edward (1780-1863: #8). Born 24 Nov 1824.  d.s.p. 20 Sep 1856. 23. Her surviving husband married a second time, 12 Mar 1868, to Catherine Mary (d. 1884) daughter of Sir Thomas Wuthen WALLER.                                                                                 </t>
  </si>
  <si>
    <t xml:space="preserve">Henry was the only son of Samuel Jones LOYD, Baron OVERSTONE (1796-1883: #9). Born 20 Dec 1832. Died 31 Mar 1833, buried at Overstone.                                                                                     </t>
  </si>
  <si>
    <t xml:space="preserve">William was the eldest son of Thomas (1812-1857: #14) . Born 17 Jan 1843. Died 30 May 1843 in India.                                                                                     </t>
  </si>
  <si>
    <t xml:space="preserve">Mary lived at Cwrt Henri* Hawkhurst, Kent and was the eldest daughter of Edward (1820-1890: #22). Born 5 Mar 1848 at Prestwich Lodge, Manchester, bapt. 26 Apr 1848 at Prestwich Church. d. (unmarried) 15 Jun 1930, buried at Hawkhurst. * (After her death, the house reverted to its original name os "Stoneden".)                                                                                  </t>
  </si>
  <si>
    <t xml:space="preserve">Alfred was the 6th son of Thomas  (1812-1857: #14). Born 16 Oct 1849 at Landour, India. Royal Artillery 23 Jul 1870-9 Apr 1880. Captain. Served in India.Died (unmarried) 20 Apr 1881 at Sheerness, Kent.                                                                                    </t>
  </si>
  <si>
    <t xml:space="preserve">Lewis lived at Withybrook, Wolvey and Grandborough, Warwickshire and of Coldham, Cambridgeshire. He was the eldest son of William  (1821-1885: #23). Born 14 Nov 1852. Educated Eton 1866-69. DL, JP Warwickshire and Cambridgeshire. JP Co. Tipperary. Lieutenant, Grenadier Guards 1872-83. Served in Egyptian War 1882. Director L &amp; NW Railway from 1885. MP for Chatham 1892-95. Lieut Colonel and Hon. Colonel 2 Vol. Battalion, Warwickshire Regiment 1888-94. Brig General commanding South Midland Vol. Inf. Brigade from 1894. Died 21 Sep 1908. Left Overstone Park by Lord Overstone but with the use of it by Lady Wantage in her lifetime. He had earlier sold his interest in it to Mallaby-Deeley, hence the property was sold post 1920.  Issue : 2 sons, 1 daughter.
                                                          </t>
  </si>
  <si>
    <t>Elinor was the 2nd daughter of Edward (1820-1890: #22). Born 18 Jan 1853 at Prestwich Lodge, Manchester, bapt. 17 Feb 1853 at Prestwich Lodge (privately), christened 22 Apr 1853 at Prestwich Church. Died Dec 1895 at Sprivers, Horsmonden, Kent, buried at Horsmomden, Kent.</t>
  </si>
  <si>
    <t xml:space="preserve">Gertrude was the eldest daughter of William  (1821-1885: #23) of Langleybury, Nr. Watford, Hertfordshire. b. 24 Sep 1854. Died (unmarried) 30 Jun 1924, buried at Kings Langley, Hertfordshire.                                                                                     </t>
  </si>
  <si>
    <t xml:space="preserve">Fa was the 3rd daughter of Edward (1820-1890: #22). Born 8 Feb 1855 at Prestwich Lodge, Manchester, bapt. 3 Apr 1855 at Hawkhurst, Kent. Died (unmarried) 10 May 1927, buried on 14 May 1927 at Northwood Cemetery, Cowes, Isle of Wight (grave no. 6359).                                                                                    </t>
  </si>
  <si>
    <t xml:space="preserve">Harriet was the 2nd daughter of William (1821-1885: #23) of Langleybury, Nr. Watford, Hertfordshire. Born 17 Jan 1856. Died (unmarried) 29 Aug 1921, buried at Kings Langley, Hertfordshire.                                                                                </t>
  </si>
  <si>
    <t xml:space="preserve">Dulcie was the 3rd daughter of William (1821-1885: #23). Born 6 Oct 1858.  Died 8 Jul 1905.                                                                                </t>
  </si>
  <si>
    <t xml:space="preserve">Caroline was the 5th and youngest daughter of Edward (1820-1890: #22). Born 10 Jul 1864 at Prestwich Lodge, Manchester, bapt. 30 Aug 1864 at Prestwich Church. Died 3 Dec 1940.                 </t>
  </si>
  <si>
    <t xml:space="preserve">Caroline was the 4th daughter of William (1821-1885: #23). Born 2 Apr 1865. Died 21 Feb 1938.                                                                                </t>
  </si>
  <si>
    <t xml:space="preserve">Mary was the  5th and youngest daughter of William (1821-1885: #23). Born 19 Jan 1867. Died 19 Jan 1867.                                                                                     </t>
  </si>
  <si>
    <t xml:space="preserve">Lewis lived at 18 Tite Street, Chelsea, London SW3. eldest son of The Rev Lewis (1844-1905: #28).Born 27 Sep 1875 at Abington Rectory, Northampton. Educated Eton 1889-94 and Trinity College, Cambridge (BA). . Barrister-at-Law, Inner Temple 1901 Midland Circuit. Department of the Treasury Solicitor 1917-36 and 1939-46. Author of “The Origins of some Anglo-Norman Families,” published by Harleian Society 1951. Compiled “A Short Account of the Family of LLOYD of Dugoedydd, Cwm-y-to fach and Court Henry, Camarthenshire, Wales” 1911, and family tree showing roots back to Thomas LLOYD of Dugoedydd 1914. (See pull-out copy at end of Loyd Book 2000). Died (unmarried) 17 Aug 1947.                                                                                 </t>
  </si>
  <si>
    <t xml:space="preserve">Robert was the younger son of Lewis  (1852-1908: #35) of Withybrook, Wolvey, etc.Born 11 May 1884. Died (unmarried) 23 Sep 1917.                                                                                     </t>
  </si>
  <si>
    <t xml:space="preserve">Philip lived in Nasik, Deccan, India and St Albans, Hertfordshire. He was the 3rd and youngest son of the Rev Lewis (1844-1905: #28). Born 8 Jul 1884 at Northampton. Educated Eton 1897-1903, Scholar Kings College, Cambridge, (BA 1906, MA 1911) and Cuddesdon Theological College 1909-10. Deacon 1910. Priest 1911. Curate of St Mary the Virgin of Eton, Hackney Wick, London 1910-12. Vice-principal, Cuddesdon Theological College 1912-15. Missionary of SPG at Miri, India 1915-17 and Ahmednagar, India 1919-21 and 1922-25. Domestic Chaplain to Bishop of Bombay 1917-25. Assistant Bishop of Bombay 1925-29. Bishop of Nasik, Deccan 1929-44. Bishop of St Albans 1944-50. Died (unmarried) 11 Jan 1952 at Bournemouth, buried 15 Jan 1952 in the same grave as his brother, Lewis Christopher LOYD (1875-1947) in a London graveyard. Biography by R.P. STACEY WADDY, published by A.R. Mowbray &amp; Co. 1954. Philip baptised Robert Sale (c1913, in Bombay, India) later the husband on Audrey Loyd (1922 – 2013: #97).                                                                                                        </t>
  </si>
  <si>
    <t xml:space="preserve">Evelyn lived at Tormore, Ardvasar, Skye and was the eldest daughter of Frederic (1856-1936: #41). Born 17 Apr 1885. Died (unmarried) 9 Aug 1962 at Tormore, buried at Kilmore, Sleat.                                                                                    </t>
  </si>
  <si>
    <t xml:space="preserve">Kitty lived at  44, Cranmer Court, Sloane Avenue, London SW3 and was the only daughter of the Rev Lewis (1844-1905: #28). Born 26 Oct 1885. d.s.p. 2 Feb 1989, buried at Brookwood Cemetery. Portrait by Philip LASZLO de LOMBOS was last in possession of Christopher Lewis LOYD (1923-2013).                                                                                </t>
  </si>
  <si>
    <t xml:space="preserve">Reggie lived at Downs House, East Hendred, Berkshire and was the eldest son of Archie (1847-1922: #30). Born 21 May 1886 at 18 Radnor Place, London W2, bapt. 24 Jun 1886 at St John’s, Paddington. Educated Eton 1899-1904 and Trinity College, Cambridge (BA 1908). Served in World War I in France as Captain, Remount Service. Died (unmarried) 12 Mar 1961 at Oxford, buried 17 Mar 1961 at West Hendred, Berkshire.                                                                                 </t>
  </si>
  <si>
    <t xml:space="preserve">Mary was the 2nd daughter of Frederic  (1856-1936: #41) of Shaw Hill House, Melksham, Wiltshire and of Albyns, Romford, Essex. Born 23 Nov 1887. Died  15 Sep 1968 in Skye, buried in Lansdown Cemetery, Bath.                                                </t>
  </si>
  <si>
    <t xml:space="preserve">Gertrude was the only daughter of Lewis (1852-1908: #35) Born 22 Dec 1887.  Died in childbirth 13 Jun 1917.                                                                                    </t>
  </si>
  <si>
    <t xml:space="preserve">Melicent was the only daughter of Edward  (1851-1922: #34). Born 4 Feb 1889.  Died 14 Apr 1967 at St Mawes, Cornwall, buried at St. Just-in-Roseland, Cornwall.                                                   </t>
  </si>
  <si>
    <t xml:space="preserve">Cecil was the eldest son of Llewellyn (1861-1939: #45). Born 20 Jan 1890 Educated Eton 1904-08. Served in World War 1 as Lieutenant, 5th Battalion, The East Kent Regiment (The Buffs), RFC and Royal Air Force (Technical Officer. Died 17 Jan 1963 at Southmoor House, Draycott Moor, Kingston Bagpuize, Oxfordshire, cremated, ashes interred at Hawkhurst, Kent.  Issue: 1 son, 1 daughter (twins)                                                                                   </t>
  </si>
  <si>
    <t xml:space="preserve">Geoffrey was the 3rd son of Archie  (1847-1922: #30). Born 22 Jan 1890 at 60A Cadogan Square, London, bapt. 28 Mar 1890 at St. Saviour’s, Walton Street, London SW3. Educated Eton 1905-08 and  Served in World War I in France as 2nd Lieutenant, Scots Guards, attd 2 Div Cyclist Company. Chev. Legion of Honour (7 Sep 1914), (despatches). Lieutenant (posthumously). Wounded before Ypres 13 Nov 1914.Died (unmarried) 14 Nov 1914 of his wounds, buried at the communal cemetery, Poperinghe, Belgium. Grave Ref. I.B.4. Small portrait by Catherine OULESS and his war diary in possession of Peter Haig LOYD (1922- )  a copy is lodged with the Imperial War Museum, London. His signet ring was in possession of Geoffrey Haig LOYD (1926-2018).                                                                               </t>
  </si>
  <si>
    <t>Diana was the only daughter of William (1863-1923: #46). Born 1 May 1890 at 46 Beaufort Gardens, London SW3. Died 1 July 1963</t>
  </si>
  <si>
    <t xml:space="preserve">Eric lived at Lillesden, Hawkhurst, Kent before moving to Montreal, Canada and was the 2nd son of Llewellyn (1861-1939: #45). Born 26 Apr 1891 in Eastbourne. Educated Eton 1905-09 and Christ Church, Oxford 1909-10. Served in World War I in France as Lieutenant, Royal Sussex Regiment and Royal Irish Dragoon Guards. Flight Lieutenant, Royal Flying Corps. Prisoner of war. Went to Montreal in 1927. Lieutenant, Royal Canadian Naval Volunteer Reserve (Navy Intelligence)in World War II. d.s.p. 12 Nov 1967 in a fire in his flat in Montreal. </t>
  </si>
  <si>
    <t xml:space="preserve">Cecily was youngest daughter of Frederic (1856-1936: #41). Born 3 Jun 1891. Died. 3 Jun 1891, buried at All Saints’, Little Munden, Hertfordshire. buried at All Saints’, Little Munden, Hertfordshire.                                                                                </t>
  </si>
  <si>
    <t xml:space="preserve">Godfrey was eldest son of William (1863-1923: #46). Born 10 Mar 1893. Served in World War I as Captain, Kings Royal Rifle Corps MC (Posthumously). Died (unmarried) 1 Dec 1917 of wounds received in action, buried at Tincourt New British cemetery, France. Grave Ref. III.D.5.                                                                                    </t>
  </si>
  <si>
    <t xml:space="preserve">Alwyne was the 3rd and youngest son of Llewellyn (1861-1939: #45). Born 12 Jul 1894. Educated Eton 1907-13. Served in World War I in France as Lieutenant, 5th Battalion, East Kent Regiment (The Buffs) and Captain, Flight Commander RFC. killed in action (unmarried) 28 Sep 1917, buried at the military cemetery, Poperinghe, Belgium.                                                                                    </t>
  </si>
  <si>
    <t xml:space="preserve">Reginald was the 3rd and youngest son of Edward (1861-1938: #44) Born 20 Jun 1895. Educated Eton 1909-14. Served in World War I in France as Captain, Coldstream Guards MC. k. in action at Gonnelieu (unmarried) 1 Dec 1917, buried at Metz-en-Couture communal cemetery, British extension, France. Grave Ref. II.I.15.                                                                                    </t>
  </si>
  <si>
    <t xml:space="preserve">Wilfred was the 3rd son of William (1863-1923: #46)  Born 14 Jul 1896. Captain, Royal Engineers MC. Died (unmarried) 11 Oct 1955.                                                                                    </t>
  </si>
  <si>
    <t xml:space="preserve">Ruby was the only daughter of Llewellyn (1861-1939: #45) of Lillesden House, Hawkhurst, Kent. Born 11 May 1898. Joint headmistress, Mercers School, Hawkhurst, Kent, 1946-59. Died (unmarried) 4 Jun 1977, cremated, ashes interred at Hawkhurst, Kent.                                                                                    </t>
  </si>
  <si>
    <t xml:space="preserve">Edward (Eddie) was the 4th and youngest son of William (1863-1923: #46). Born 22 May 1902. Educated Eton 1916-18. Died (unmarried) 12 Dec 1942 after a long illness.                                                                                     </t>
  </si>
  <si>
    <t>Anne was the eldest daughter of Arthur  (1882-1944: #56). Born 14 Oct 1912 in London.Died 2 Sep 2004.</t>
  </si>
  <si>
    <t xml:space="preserve">John was the eldest son of Arthur (1882-1944: #56). Born 17 Oct 1913. Educated Eton 1926-32. Served in World War II as Captain, Coldstream Guards. Wounded North Africa.Died (unmarried) 3 Oct 1943 at Lockinge, buried at Lockinge.                                                                                    </t>
  </si>
  <si>
    <t xml:space="preserve">Delia lived at 16 Garden Wood, Inchmarlo, Banchory, AB31 4AW and was the only daughter of William (1889-1947: #66). Born 12 Sep 1915. bapt. at Shamley Green, Surrey. Educated Tabley House, Cheshire. Died 10 Jan 2007                            </t>
  </si>
  <si>
    <t xml:space="preserve">Averil was the only child of Lewis (1880-1918: #52). Born 24 Mar 1917. Died 21 Aug 1993, buried Highbrook Church, West Sussex in same grave as her 2nd husband - John Robert Stephenson CLARKE                                          </t>
  </si>
  <si>
    <t xml:space="preserve">Martin was the 2nd son of Arthur (1882-1944: #56). Born 17 Aug 1917. Died 27 Oct 1926, buried at Lockinge.                                                                                     </t>
  </si>
  <si>
    <t xml:space="preserve">Daphne was the only daughter of Alfred (1882-1919: #54). Born 26 Nov 1917 at Prestwick, Ayrshire, bapt. 19 Jan 1918 at St Martin’s Prestwick.  Died 22 Jul 1992.                                           </t>
  </si>
  <si>
    <t xml:space="preserve">Jill lived at 3 Ashlawn, The Green, Benenden, Cranbrook, Kent, TN17 4DL and was the only daughter of Cecil (1890-1963: #68). Born 26 Mar 1920 (twin with her brother, Alwyne) at St. Margaret's Cross, Hawkhurst. bapt. 2 May 1920 at St Laurence, Hawkhurst, Kent by her uncle the Rev Frank ETESON. Worked in Rhodesia and for the National Trust, Devon.  Died 10 April 2002 at Berkley Residential Home, Tunbrige Wells. Cremated 18 Api 2002. Ashes buried in Benenden Churchyard 20 Jul 2002. Welsh Slate tablet inscribed, "In loving memory of Jill Loyd 26 March 1920-10 April 2002"                                                                                 </t>
  </si>
  <si>
    <t xml:space="preserve">Audrey lived at Dowdeswell Home Farm, Andoversford, Gloucestershire, GL54 4LX and was the only child of Edward  (1881-1962: #53). Born 28 May 1922. Had safe keeping of old Welsh Bible with entries about LLOYD family in Carmarthenshire in 18th Century and other old family papers, and the blunderbuss belonging to Edward LOYD (1780-1863) for use by his coachman if attacked on the turnpikes. Died 4 Oct 2005                                          </t>
  </si>
  <si>
    <t xml:space="preserve">Catherine was the 3rd and youngest daughter of Arthur (1882-194: #56). Born 1 Jun 1923 (twin with her youngest brother, Christopher).   Died 22 Jan 2014.                      </t>
  </si>
  <si>
    <t xml:space="preserve">Zelda was the only child of Robert (1887-1977: #62). Born 10 Dec 1923 at Weymouth Street, London, bapt. 9 Feb 1924 at St Ann’s, Bowden Hill, Nr. Chippenham, Wiltshire. World War II with British Red Cross Society. Died 30 April 2014, Beconsfield.        </t>
  </si>
  <si>
    <t xml:space="preserve">Lavinia was the only daughter of  Sir Henry  (1891-1973: #72). Born 21 Dec 1923. Died 12 Dec 1995. Buried at Peper Harow, Godalming, Surrey.                                       </t>
  </si>
  <si>
    <t xml:space="preserve">Denise lives at 36 Broad Street, Ludlow, Shropshire, SY8 1NL and is the only daughter of Wilfrid (1893-1971:  #77). Born 15 Nov 1928 at 36 Chester Square, bapt. 20 Jan 1929 at St Michael’s, Chester Square.                                                     </t>
  </si>
  <si>
    <t xml:space="preserve">Wooie lived at 4409 Benjamin Drive, Yakima, Washington, 98908, USA and was the only daughter of Edward (1893-1932: #76). Born 27 Nov 1928 at Rutland, British Columbia, bapt. Dec 1928 at Kelowna, British Columbia. Educated Vernon, British Columbia, Banff, Alberta, Victoria, British Columbia and Business College, Medicine Hat, Alberta, Canada.  Died 11 September 1996              </t>
  </si>
  <si>
    <t xml:space="preserve">Margaret lives at  8 Bristol House, 80A Southampton Row, London WC1B 4BA and is the elder daughter of Eric (1894-1963: #80). Born 1 Mar 1932, bapt. 8 Apr 1982 at the Brompton Oratory, London SW7. Educated Holy Child Convent, Harrogate.       </t>
  </si>
  <si>
    <t xml:space="preserve">Jean lives at 15 Church Lane, Westbere, Canterbury, Kent, CT2 0HA and is the younger daughter of Eric (1894-1963: #80). Born 31 Aug 1933, bapt. 29 Sep 1933 at the Brompton Oratory, London SW7. Educated Holy Child Convent, Harrogate and Reading University (BA). </t>
  </si>
  <si>
    <t xml:space="preserve">Andrew was the 3rd and youngest son of Wilfrid (1893-1971: #77). Born 12 Aug 1934 at 36 Chester Square, bapt. 15 Nov 1934 at St Michael’s, Chester Square by the Dean of Lincoln. Had Downs Syndrome. d. (unmarried) 7 Mar 1975.                                                                                    </t>
  </si>
  <si>
    <t xml:space="preserve">Una (Deen) was the 2nd daughter of Lewis (1882-1950: #55). Born 24 Feb 1936 at Rue de Conde, Saint-Jean-Les-Deux-Jumeaux, France, bapt. 16 Apr 1936 at the English Church of St. George, Paris. Died 1 May 2006                                                                           </t>
  </si>
  <si>
    <t xml:space="preserve">Belinda was the elder daughter of Vivian (1894-1972: #98). Born 6 Jul 1939. OBE 1997. Died in Lowestoft 1 December 2018. </t>
  </si>
  <si>
    <t xml:space="preserve">Peggy is the 3rd daughter of Lewis (1882-1950: #55). Born 18 Nov 1939 at Norwich, bapt. 14 Jan 1940 at St Mary’s, Martham, Norfolk. </t>
  </si>
  <si>
    <t xml:space="preserve">Patricia was the 4th and youngest daughter of Lewis (1882-1950: #55). Born 29 Mar 1942 (twin with her brother,Patrick) in Norwich. Died 2 Apr 1942 in Norwich.                                                                                     </t>
  </si>
  <si>
    <t xml:space="preserve">Caroline lives at 3 Whittingstall Mansions, Whittingstall Road, London SW6 4EE and is the only daughter of Edward (1921-1977: #96) of 10 Cadogan Square, London SW1. Born 16 Jan 1947, bapt. 19 Mar 1947 at St Peter’s, Eaton Square, London SW1. Educated Brondesbury-at-Stocks, Tring, Hertfordshire. Drivers Jonas 1973-78. United Friendly 1978-85. Business Space 1985-86. Business Support Officer, Finance &amp; Leasing Association from Dec 1986.                                                                                  </t>
  </si>
  <si>
    <t xml:space="preserve">David lives at Mildenhall House, Mildenhall, Marlborough, Wiltshire and is the only son of Edward (1921-1977: #96). Born 4 Jan 1949, bapt. 19 Mar 1949 at St Peter’s, Eaton Square, London SW1. Educated Eton 1962-67. FCA 1973. Peat Marwick Mitchell 1974-78. Kleinwort Benson from 1978. MD Dresdner Kleinwort Benson, Hong Kong 1997-99. Corporate Finance Director, Kleinwort Benson from 1999. </t>
  </si>
  <si>
    <t xml:space="preserve">Martin lives at  4/2 Trevor Road, Newport Beach, New South Wales 2088, Australia and is the elder son of Geoffrey (1926-2018: #105). Born 18 Feb 1949 at Mowbray, Capetown, South Africa, bapt. at Cape Town Cathedral. Educated Dean Close, Cheltenham.                                                                                 </t>
  </si>
  <si>
    <t xml:space="preserve">Janet lives at The Corner House, Stoke-by-Nayland, Suffolk, CO6 4SE and is elder daughter of Sir Francis (1916-2006: #89). Born 1 May 1949 at Nyeri, Kenya, bapt. 18 Sep 1949 at Fort Hall, Kenya. Educated Kenya High, Nairobi and Queen Anne’s, Caversham.  </t>
  </si>
  <si>
    <t xml:space="preserve">Rona lives at 103 650 Lexington Drive, Kelowna, British Columbia, Canada and is the only daughter of Norman (1913-2008: #86). Born 24 Feb 1951 at Kelowna, British Columbia, bapt. 6 Jun 1951 at St. Mary’s, East Kelowna, British Columbia. British Columbia Institute of Technology 1970-74. X-ray technologist retiring in 2000.                                                                           </t>
  </si>
  <si>
    <t xml:space="preserve">Paddy lives near Chiangmai, Thailand and previously at 48 Ravenscourt Road, Hammersmith, London W6 OUG. He is the 2nd son of Alwyne (1920-2014: #94). Born 5 Jun 1951 at St. George’s Wood, Haslemere, Surrey, bapt. 25 Aug 1951 at St Cuthbert’s, Wood Green, London by his grandfather, the Rev Robert PORTER. Educated Brentwood. Partner-Angela Vernon since 1977. Freeman of Goldsmiths’ Company 1973. FSVA 1973. FIAS(TP) 1976. FB Eng 1993. FRICS 2000. Chartered &amp; Corporate Surveyor. Corporate Building Engineer.                                                                                  </t>
  </si>
  <si>
    <t xml:space="preserve">Vivian lives in Little Chessell, Calbourne, Isle of Wight, PO30 4JP and is the younger son of Vivian (1894-1972: #78). Born 11 Nov 1951 at 27 Welbeck Street, London W1, bapt. 13 Apr 1952 at Clyne Castle Chapel, Swansea by the Archdeacon of Gower. Educated Eton 1965-67. Director of group of marine related private companies. Member Royal Yacht Squadron from 1976.                                                                                    </t>
  </si>
  <si>
    <t xml:space="preserve">Julie lives in West Dorset and is the eldest daughter of Peter (1922- : #98). Born 30 Apr 1952 in Gloucester, bapt. 8 Feb 1953 at Christchurch, Pembroke, Malta. Educated Headington, Oxford and Kent University (BA). Christian Aid 1975-81. Freelance journalist and broadcaster 1981-89. Head of Religious Broadcasting World Service 1989-90.                                                                            </t>
  </si>
  <si>
    <t xml:space="preserve">Diana lives in Canada is the younger daughter of Sir Francis (1916-2006: #89). Born 13 May 1952 in Nairobi, Kenya, bapt. Jul 1952 at Fort Hall, Kenya. Educated Hawnes School, Bedford. </t>
  </si>
  <si>
    <t xml:space="preserve">Penny was the 2nd daughter of Peter (1922- : #98 ). Born and bapt. 8 May 1954. Died 8 May 1954 at St. Mary’s Hospital, Portsmouth, Hampshire.                                                                                     </t>
  </si>
  <si>
    <t xml:space="preserve">Jeremy lives at 16 Prospect Quay, 98 Point Pleasant, London SW18 1PR is the younger son of Geoffrey (1926-2018: #105). Born 4 Jul 1954, bapt. Aug 1954 at St Peter’s, Seaview, Isle of Wight. Educated Nautical College, Pangbourne.  Account Exec, Michael Rice 1974-79. Dir, RTI Productions 1976-89. Dir, Project Art from 1978. Operations Dir, Capital Radio 1986-90. First Oxfordshire (Fox) Radio from 1988. M.D. Capital Radio 1990-92. Dir, Carlton Television 1992-94. CEO Pickwick Group 1994-96. Dep Ch, Blackwell Group 1996-99. Dir, Hamdon Entertainment USA from 1996.                                                                               </t>
  </si>
  <si>
    <t xml:space="preserve">William lives 9 Gyffarde Street, Taunton, Somerset, TA1 1JX. Elder Son of Peter (1922-  : #98). Born 6 Jun 1955, bapt. 17 Sep 1955 at St Mary’s, South Hayling, Hampshire. Hydrographic Office, Ministry of Defence (Navy) 1972-2015 (Retired after 43 years service)                                                                                    </t>
  </si>
  <si>
    <t>Henrietta lives in Hammersmith Grove, London W6 7HG and is the only daughter of Peter (1923-1974: #99). Born 31 Jan 1959 at 27 Welbeck Street, London W1, bapt. at St Peter’s, Eaton Square, London SW1. Educated Hatherop Castle, Cirencester, Gloucestershire 1971-77.  Director, Cazenove &amp; Loyd Safaris from 1993.</t>
  </si>
  <si>
    <t xml:space="preserve">Thomas lives at Betterton Farm, Ardington, Nr Wantage, Oxfordshire. Elder son of Larch (1923-2013:  #100). Born 21 Feb 1959, bapt. at All Saints’, Lockinge. Educated Harrow.                                                                               </t>
  </si>
  <si>
    <t xml:space="preserve">Alex lives at Olde Farm, Banham, Norfolk, previously of 40 Truro Road, London N22 8EL and is the 5th son of Alwyne  (1920-2014: #94). Born 19 Mar 1959 at Burton-on-Trent Infirmary, bapt. 17 May 1959 at St Aiden’s, Shobnall, Burton-on-Trent by the Rev Harold SPRIGGS.  Marine Engineer, Royal Navy 1978-1987. Building Administrator, Data Logic 1987-92. Facilities Manager, Chesterton/Workplace Management from 1992. Freeman of Goldsmiths’ Company 1981. Assc BIFM 1990.                                                                                </t>
  </si>
  <si>
    <t xml:space="preserve">Ginie lives in Devon, previously of The Old Vicarage, Vale Farm, Barkestone Le Vale, Leicestershire, NG13 0JA and is the younger daughter of Vivian (1894-1972: #78). Born 27 Aug 1961 at Princess Christian Nursing Home, Windsor, Berkshire, bapt. at the Parish Church, Old Sunningdale, Berkshire. Educated Bedgebury Park, Goudhurst, Kent 1974-77, Winkfield Place Domestic Science College 1978-79 (Dip Floristry &amp; Cooking) and Clarendon College, Nottingham (TEFL).                                                         </t>
  </si>
  <si>
    <t xml:space="preserve">Alexandra is the elder daughter of Sir Julian (1926-2018: #104). Born 14 Oct 1961, bapt. 26 Nov 1961 at Raveningham, Norwich, Norfolk. Lady-in-waiting to HRH The Princess of Wales 1986-97.                                                                               </t>
  </si>
  <si>
    <t xml:space="preserve">Andrew lives at Orchard House, Eastfield, Melrose, Roxburghshire, TD6 9HG and is only son of Peter (1923-1974: #99). Born 1 Nov 1962 in London, bapt. 3 Apr 1963 at Thame, Oxfordshire. Educated Blundells 1976-81 and Westminster College, London 1984-87 (HND Hotel &amp; Catering). Connaught Hotel, London 1983. Party Ingredients, London 1984. Dukes Hotel, London 1984-85. Dorchester Hotel, London 1987-88. Hotel Intercontinental, London 1988-89. Mayfair Intercontinental, London 1889-91. House Manager for private employers in Canada and USA 1991-97. Estate Manager for private employers in USA 1997-98.                                                                                  </t>
  </si>
  <si>
    <t xml:space="preserve">Tony lives at Maple House, Pangbourne Road, Upper Basildon RG8 8LN and is the younger son of Peter (1922 - : #98). Born 5 Feb 1963 at the Westminster Hospital, London SW1, bapt. 21 Apr 1963 at St Jude-on-the-Hill, Hampstead Garden Suburb, London NW11. Educated University College School, Keble College, Oxford (BA Maths 1984), and University College, London (MSc Computer Science 1985). Computer Consultant, Logica from 1985.  m. 6 Oct 2000 Sarah Anne (b. 2 Oct 1959) only daughter of Gordon WHITELY of Exeter, Devon.                                                                                 </t>
  </si>
  <si>
    <t xml:space="preserve">Susannah lives at La Joie, La Passee, St Sampsons, Guernsey, Channel Islands and is the elder daughter of Patrick (1942 - : #117). Born 29 Sep 1965 at Kettering, Northamptonshire.                                                                                      </t>
  </si>
  <si>
    <t xml:space="preserve">Francis was the younger son of Sir Julian (1926-2018: #104) Born 31 Mar 1966. Died 1 Apr 1966.                                                                                     </t>
  </si>
  <si>
    <t xml:space="preserve">Elspeth is the younger daughter of Patrick (1942 - : #117). Born 31 May 1967 at Northampton.                                                                                </t>
  </si>
  <si>
    <t xml:space="preserve">Mary is the younger daughter of Sir Julian  (1926-2018 : #104) Born 8 Jun 1967, bapt. 6 Aug 1967 at St Peter and St Paul’s, West Newton, Norfolk.                                                                              </t>
  </si>
  <si>
    <t xml:space="preserve">Richard is the only son of Patrick (1942 - : #153 ). Born 26 Jun 1968 at Northampton. </t>
  </si>
  <si>
    <t xml:space="preserve">Sophie lives in Parkville, Victoria, Australia, previously of West Londonand is the 3rd and youngest daughter of Peter (1942 -  :  #119). Born 10 Jun 1969 at the Middlesex Hospital, Mortimer Street, London W1, bapt. 1 Nov 1969 at St.Jude-on-the-Hill, Hampstead Garden Suburb, London NW11. Educated South Hamstead Jnr Sch 1974-81, North London Collegiate 1981-87 and Edinburgh University (BSc Geography 1991). m. 19 Jul 2003 Shaun Jason NEWING of Wollongong, NSW, Australia. (Fredde and Gus attend Melbourne Grammar School.) Captain, Great Britain Junior Synchronised Swimming Team 1986. Andersen Consulting 1992-1996. Sumitomo Bank 1996-98. Credit Suisse First Boston Bank from 1998. Moved to Melbourne in 2004. ANZ, AMP, National Australian Bank, Judo Bank 2020-present.                                                                                   </t>
  </si>
  <si>
    <t xml:space="preserve">William lives at Hesleyside Hall, Hexham, Northumberland, previously at  111 Wandsworth Bridge Road, London SW6 2LE. Only son of Peter (1942 -  :  #119). Born 15 Apr 1973, bapt. 6 May 1973 at Pathhead, Midlothian. Educated Ampleforth and Newcastle University (BSc Agricultural Economics 1995). Angela Mortimer from 1998-2000, Morgan Stanley 2000-2005,Farmer 2005-, Director Hesleyside Huts 2010-, Knight of Malta 1997.                                                                               </t>
  </si>
  <si>
    <t>Amy lives at Manor Farm, Catthorpe, Lutterworth, perviously of 121 Dawes Road, London SW6 7DU. Eldest daughter of Peter (1942 -  :  #119). Born 4 Mar 1975, bapt. 12 Mar 1975 at Saltillo, Mexico. Educated Queen Margarets, York and University of Northumbria (BA History of Art 1997). Phillips Auctioneers from 1998-2001, Sotherby's 2001-2005. Teacher Thomas's School, Kensington-2013, Bilton Grange School 2013, Dame of Malta 2006.</t>
  </si>
  <si>
    <t xml:space="preserve">Tessa lives in Hayden Bridge, Hexham and is the eldest daughter of John (1938 -  : #114). Born 31 Jul 1975, bapt. 21 Sep 1975 at Stagshaw Chapel, Corbridge, Northumberland. Educated University of Northumbria (BA Business Studies) and RMA Sandhurst.  Captain Royal Engineers. Retired Seo 2005, PA Consultancy 2005-2012.                                            </t>
  </si>
  <si>
    <t xml:space="preserve">Chloe lives in Tanglewood, Bolney, Sussex and is the 2nd daughter of John (1938 -  : #114). Born 31 Aug 1977, bapt. 19 Sep 1977 at Stagshaw Chapel, Corbridge, Northumberland. Educated Edinburgh University (MA Hon Geography) m. 31 May 2008 at Stagshaw Chapel, Corbridge, Northumberland to Timothy KYLE the eldest son of Air Vice Marshal Richard KYLE of Pursers Place, Marefield, East Sussex.                                                                                  </t>
  </si>
  <si>
    <t xml:space="preserve">Daisy lives at Staward Manor, Langley-on-Tyne, Hexham and is the 3rd and youngest daughter of John (1938 - : #114). Born 19 Aug 1979, bapt. 9 Sep 1979 at Stagshaw Chapel, Corbridge, Northumberland. Educated  Worcester College, Oxford (MA 2000) RADA and Kings College, London (MA 2005), UCL Instiitute of Education (PhD 2011) Lecturer Higher Colleges of Technology, Abu Dhabi 2011-2014. Lecturere UCL Institute of Education and Goldsmiths University of London from 2005.  Issue: (1) Thomas Philip Loyd GARDENER b. 15 May 2010 in Abu Dhabi (2) Alice Daphne Straker GARDENER b. 9 Mar 2013 in Abu Dhabi.                                                                                   </t>
  </si>
  <si>
    <t xml:space="preserve">John lives in Lausanne, Vaud, Switzerland, previously of Paris, France and is the eldest son of Dominic (1953 - : #131). Born 18 Jan 1982 at St Peter’s Hospital, Chertsey, Surrey, bapt. 18 Apr 1982 at St Andrew’s, Goldsworth Park, Woking, Surrey in the local school. Educated Boston Grammar, England 1993-2000. University of Warwick (Bsc Hons Mathematics-Operational Research-Statistics-Economics [with Intercalated year] 2000-2004) Paris1 Panthéon-Sorbonne, France [Erasmus exchange programme 2002-2003)  Chartered Accountant (ACA Institute of Chartered Accountants in England and Wales 2008, Certified Internal Auditor 2015, Certified Fraud Examiner 2012. DofE Gold Award 2002, Freeman of City of London and Member of Goldsmiths 2003,  Chartered Accounts Paris, France 2004-09, OECD Paris, France 2011-17, HSBC 2018-20, UEFA , Nyon, Switzerland 2020 -                                                                              </t>
  </si>
  <si>
    <t xml:space="preserve">David lives at 75, Chipstead Valley Road, Coulsdon, South London and is the 2nd son of Dominic (1953 - :  #131) . Born  6 Apr 1984 at St Peter’s Hospital, Chertsey, Surrey, bapt. 29 Jul 1984 at St Andrew’s, Goldsworth Park, Woking, Surrey in the local school. Educated Tower Road Primary 1990-95, Giles School, Old Leeke, Lincolnshire 1995-2002, Kent Institute of Art and Design (KIAD) (BA Hons Architecture 2002-05), Kingston University London (Diploma in Architecture 2007-09, Post Graduate Diploma in Architecture 2010-11) Co-Director Owen Loyd Architects 2021.  Issue: 2 sons                                                                                    </t>
  </si>
  <si>
    <t xml:space="preserve">Harriet at 2 The Square, Low Newton-by-the-sea, Alnwick, Northumberland and is the  3rd and youngest daughter of Peter (1942 - : #119). Born 18 May 1984, bapt. 21 Jul 1984 at Hesleyside, Bellingham, Northumberland. Educated Queen Margarets, York.  m. 18 Apr 2009 at St Oswald's, Bellingham, Northumberland Simon John DINSMORE the eldest son of The Revd Stephen DINSMORE of SOMA.                                                                                    </t>
  </si>
  <si>
    <t xml:space="preserve">Poppy lives in Elgin, Scotland and is the eldest daughter of Tim (1957 - : #136).  Born 16 Dec 1984 at Princess Anne Maternity Hospital, Southampton. Educated New Hinksley Primary, Oxford Girls High GDST, Durham University, St Mary's College (BSc Geography) Northumbrian Universities Air Squadron 2003-2006, graduated Initial Officer Training Course 2007,Tornado GR4 Weapons Systems Officer 617 Sqn, 12(B) Sqn, 31 Sqn, Served in Afghanistan, Iraq, Syria.  RAF 2006- Issue: 3 sons                                                                      </t>
  </si>
  <si>
    <t xml:space="preserve">Rose lives in Tunbridge Wells, Kent and is the 2nd daughter of Tim (1957 -  :  #136). Born 7 Jul 1986 at Princess Anne Maternity Hospital, Southampton. Educated Headington, Oxford.University of Liverpool (BSc Hons Physiotherapy) Issue: 2 daughters                                                                                     </t>
  </si>
  <si>
    <t xml:space="preserve">Gareth lives in Vancouver and is the only son of David (1952 - :  #130) . Born 24 Jan 1988, bapt. 16 Oct 1988 at Benvoulin Heritage Church. Canada Mortgage and Housing Corp.                                                                                      </t>
  </si>
  <si>
    <t xml:space="preserve">Jamie lives in Perth, Australia and is the elder son of David  (1949 - :#121) of Mildenhall House, Mildenhall, Marlborough, Wiltshire. Born 1 Sep 1988 at the Portland Hospital, Great Portland Street, London W1, bapt. 26 Jan 1989 at the Guards Chapel, Birdcage Walk, London SW1. Education Bryanston School, Nottingham University.                                                                                 </t>
  </si>
  <si>
    <t xml:space="preserve">Rupert lives in london and is the younger son of David  (1949 - : #121). Born 8 Feb 1990 at the Portland Hospital, Great Portland Street, London W1, bapt. 15 Jul 1990 at Wedhampton, Wiltshire.  Education Bryanston School, Nottingham University, University of Law.                                                                                    </t>
  </si>
  <si>
    <t xml:space="preserve">Florina lives in London is the 3rd and youngest daughter of Tim (1957 - : #136). Born 25 Dec 1991 at John Radcliffe Hospital, Oxfor. Education Headington School, Oxford, Newcastle University (BA Politics)                                                                                      </t>
  </si>
  <si>
    <t xml:space="preserve">Tabitha lives in South West London and is the only daughter of David  (1949 - : #121) Born 14 Nov 1992 in London, bapt. 18 Apr 1993 at St Michael &amp; All Angels’, Urchfont, Wiltshire. Education Bryanston School, Buckingham University.                                                                                    </t>
  </si>
  <si>
    <t xml:space="preserve">Christopher is the only son of Thomas (1959 - :  #138). Born. 23 Jan 1993, bapt. at All Saints’, Lockinge.                                                                                      </t>
  </si>
  <si>
    <t xml:space="preserve">Spencer lives in Kelowna, British Columbria, Canada and is the younger son of James (1955 - :  #135)  Born 10 Jul 1995. University Degree in Microbiology.                                                                                  </t>
  </si>
  <si>
    <t xml:space="preserve">Will is the only son of James  (1966 - : #150) Born 21 Dec 1996, bapt. 27 Apr 1997 at All Saints’, Lockinge.                                                                                      </t>
  </si>
  <si>
    <t xml:space="preserve">George is the only son of Charles (1963 - :  #146) Born 19 Nov 1998 at Ipswich, Suffolk, bapt. 14 Mar 1999 at St Mary of Grace, Aspall, Suffolk.                                                                                      </t>
  </si>
  <si>
    <t xml:space="preserve">Eliza is the only daughter of James (1966 - : #150) Born 3 Feb 1999, bapt. 30 May 1999 at All Saints’, Lockinge.                                                                                      </t>
  </si>
  <si>
    <t xml:space="preserve">Rosie lives in Woodbridge, Suffolk is the only daughter of Charles  (1963 - : #146) Born 22 Jul 2000 Educated Woobridge Snr School, Uppingham School (2013-2018) , Nottingham University (Studying Spanish and Contemporary Chinese 2019-present) Interests Tennis, Cricket, Languages, Travelling.                                                                                  </t>
  </si>
  <si>
    <t xml:space="preserve">Josh lives in Brixton, South London and is the younger son of Rick (1962 - : #142 ). Born 28 Dec 1996 at Epsom Hospital, Surrey.  Education: Mosman Primary Sydney, Australia; Tiffin Grammar School, Kingston-upon-Thames (2008-2015); University of Cambrige, Sidney Sussex College (BA Natural Sciences [Psychology, Neurobiology ,Behaviour] 2016-2019), (MSci  Natural Sciences [Systems Biology] 2019/20.) Produced of first all-female 'Footlight Presents' 2020. Operations. Associate Beauhurst 2021-                                                                                </t>
  </si>
  <si>
    <t xml:space="preserve">Sam is the elder son of Rick (1962 - :  #142). Born 1 Jan 1994 at Epsom Hospital, Surrey.  Education: Mosman Primary/High Sydney, Australia; Esher High &amp; Tiffin Grammar Kingston; University of Exeter (BA Hons Philosophy 2012-15). Founded Currikula 2015-2019, Directed Play at Haymarket Theatre 2013, Author of "The Ultimate Essay Guide Book 2018". Freeman of Goldsmiths 2021. In 2021, Sam lives in Dubai.                                                                      </t>
  </si>
  <si>
    <t xml:space="preserve">In 2021 of Whisselwell Heights, Bovey Tracey, Newton Abbot, Devon TQ13 9LB; previoulsy of Wisteria Cottage, Coombe Meadow, Bovey Tracey, Newton Abbot, Devon. Eldest son of Alwyne Eteson LOYD (1920 - 2014: #94). Born  5 Jul 1949 at St. George’s Wood, Haslemere, Surrey.  Baptised  7 Oct 1949 at St. Cuthbert’s, Wood Green, London, by his grandfather, the Rev Robert PORTER. Educated Brentwood and Member of the Association of Residential Letting Agents (MARLA) until retired. Freeman of Goldsmiths’ Company 1973. Guitar player/composer. Book published 1973, "Rob Loyd Folio of  Graduated Guitar Solos". Career: 1966-1968 RNIB – Talking Books Sound Department; 1968-1988 London Weekend Television (LWT)  – Sound Department; 1988-2015 worked in property/property management.
	                                                                                                                                    </t>
  </si>
  <si>
    <t>England &amp; Australia</t>
  </si>
  <si>
    <t>England, Australia &amp; Dubai</t>
  </si>
  <si>
    <t xml:space="preserve">Meg was the 4th daughter of Edward (1820-1890: #22). Born 2 Aug 1859 at Prestwich Lodge, Manchester, bapt. 19 Sep 1859 at Prestwich Church. Died (unmarried) 29 Jun 1936, buried at Hawkhurst. Roddy SALE (97d) has Meg’s diaries from the estate of Alwyne Loyd (1920 -2014: #94).
</t>
  </si>
  <si>
    <t>Alison Fraser PORTER (b. 21 Feb 1920, d. 6 Sep 2003)</t>
  </si>
  <si>
    <t>Katharine Layzell (b. 13 Mar 1924, d. 26 Oct 1981)</t>
  </si>
  <si>
    <t>Isabel Mary Beatrix PARKER (b. 22 Feb 1903, d. 13 Jan 1992)</t>
  </si>
  <si>
    <t>Neil PEMBERTON (b.20 Mar 1953, ). Divorced 2001.</t>
  </si>
  <si>
    <t>Married Duncan, at St Peter’s, Wolferton, King’s Lynn, Norfolk, younger son of Sir Hugh BYATT of Leargnahension, Tarbert, Argyll.</t>
  </si>
  <si>
    <t>Jenny CARTWRIGHT (b. 19 Feb 1967, ). Divorced 2020.</t>
  </si>
  <si>
    <t>Vanessa Anne HARVEY (b. 1 Jul 1969, ) Divorced 2015.</t>
  </si>
  <si>
    <t>19/06/1845</t>
  </si>
  <si>
    <t xml:space="preserve">Holly, elder daughter of Neil and Kate TURNER of Lincolnshire. </t>
  </si>
  <si>
    <t>Angela Vernon (b. 27 Sep 1937, )</t>
  </si>
  <si>
    <t>Ginie</t>
  </si>
  <si>
    <t>robloyd@icloud.com</t>
  </si>
  <si>
    <t>Letty</t>
  </si>
  <si>
    <t>Rose Campbell</t>
  </si>
  <si>
    <t>Duncan Campbell</t>
  </si>
  <si>
    <t>Sir Thomas Anthony GORE-BROWN (b. 20 Jun 1918, d. 7 Sep 1988)</t>
  </si>
  <si>
    <t>Violet Gweneth Henderson</t>
  </si>
  <si>
    <t>Married  Sir Samuel George Armstrong VESTEY, 3rd Baron VESTEY  of Stowell Park, Northleach, Gloucestershire. Educated Eton 1954-59.Lieutenant, Scots Guards 1960-63. Dir. Union International and other companies. Died 4 Feb 2021.</t>
  </si>
  <si>
    <t>Married at St Giles’ Cathedral, Edinburgh, William elder son of Dr John BERRY CBE &amp; the Hon. Bride (née Fremantle) Berry of Tayfield, Newport-on-Tay, Fife.</t>
  </si>
  <si>
    <t>Twin with her brother Nigel. Educated Godolphin, Salisbury and Edinburgh and Aberdeen Universities.</t>
  </si>
  <si>
    <t>Dr Megan Louise BASTICK PhD.</t>
  </si>
  <si>
    <t>Married Megan on 29/12/2007 at Yellow Point, Tasmania, Australia.</t>
  </si>
  <si>
    <t>Catriona Hermione CAMPBELL.</t>
  </si>
  <si>
    <t>Married Catriona 12/04/2008 in Oban Argyll.</t>
  </si>
  <si>
    <t>Educated Fettes and Bristol University (BA Hons Music).</t>
  </si>
  <si>
    <t>18bbabaa</t>
  </si>
  <si>
    <t>Born in Geneva.</t>
  </si>
  <si>
    <t>18bbabab</t>
  </si>
  <si>
    <t>Mungo</t>
  </si>
  <si>
    <t>18bbabba</t>
  </si>
  <si>
    <t>Ursula</t>
  </si>
  <si>
    <t>Hermione</t>
  </si>
  <si>
    <t>Grace</t>
  </si>
  <si>
    <t>18bbabbb</t>
  </si>
  <si>
    <t>Oran</t>
  </si>
  <si>
    <t xml:space="preserve">Educated Oundle and King’s College, Cambridge. Entered Foreign Office and Diplomatic Service 1935. UK Delegation to OEEC, Paris 1956-59. Minister at HM Embassy, Tokyo 1959-62. HM Ambassador, Cameroon 1963-66. UK Rep, Econ and Social Council, United Nations 1966-68. HM Ambassador, Tunisia 1968-70. OBE 1948. CMG 1955. KCMG 1965. Ashes interred St Peter &amp; St Paul, Blockley, Gloucestershire. </t>
  </si>
  <si>
    <t>Grizel Margaret CLERK RATTRAY (b. 09/06/1913, d. 04/11/2003)</t>
  </si>
  <si>
    <t>Susan Voase ADDERLEY (b. 05/08/1949, )</t>
  </si>
  <si>
    <t xml:space="preserve">Alan lives in Perthshire. Educated Rugby and St Andrews. Chartered Accountant, Touche Ross. Director Douglas Deakin Young 1980-2005, Director Duncan Lawrie Asset Management 2005-2017. </t>
  </si>
  <si>
    <t>Nick</t>
  </si>
  <si>
    <t>Aimee Fiona Ann BAIRD (b04/12/1985, )</t>
  </si>
  <si>
    <t>Aimee only daughter of James Baird of Southon House, Marden, Kent. Married St Michael &amp; All Angels, Marden.</t>
  </si>
  <si>
    <t xml:space="preserve">Nick lives SW London. Educated at Rugby (scholar) and Edinburgh University. Chartered Accountant PwC. </t>
  </si>
  <si>
    <t>Harriet lives in SW London. Educated Rugby and Edinburgh Napier. Nursery School Teacher.</t>
  </si>
  <si>
    <t>18bbadaa</t>
  </si>
  <si>
    <t>Aimee</t>
  </si>
  <si>
    <t>18bbadab</t>
  </si>
  <si>
    <t>18bbadac</t>
  </si>
  <si>
    <t>Mary Rose</t>
  </si>
  <si>
    <t>Baptised 16 Jun 1998 at the Chapel of The Royal Hospital, Chelsea, London. Harry died in a swimming accident whilst working for the summer at the Peligoni Club in Greece on 6 August 2017.</t>
  </si>
  <si>
    <t>England, Aden, South Arabia, Yemen and Kenya</t>
  </si>
  <si>
    <t>Husband/WIFE/Partner</t>
  </si>
  <si>
    <t>Baptised 17 Jul 1971 at the Roman Catholic Church, Farnham. Olivia &amp; Robert never married. Robert is the father of Octavia Kenya (11.3.1999) and Augustus Eden (22.6.2003).</t>
  </si>
  <si>
    <t>92bab</t>
  </si>
  <si>
    <t>92bba</t>
  </si>
  <si>
    <t>92bbb</t>
  </si>
  <si>
    <t>92bbc</t>
  </si>
  <si>
    <t>Felix</t>
  </si>
  <si>
    <t>Edgar</t>
  </si>
  <si>
    <t>Marius</t>
  </si>
  <si>
    <t>Cesar</t>
  </si>
  <si>
    <t>Fabien</t>
  </si>
  <si>
    <t xml:space="preserve">Oliver BOURNE (born 19/06/1980, ) </t>
  </si>
  <si>
    <t>Married Oliver on 19/06/2010 at St Jean de Malte church, Aix en Provence, France.</t>
  </si>
  <si>
    <t>Baptised 15 Aug 1983 at the Parish Church, St Jean de Luz, France. 
Children: Rose Henrietta BOURNE (b. 18/04/2014, ), Basil Louis BOURNE (b. 30/01/2016, ), Stanley Eden (b. 04/07/2018, ), Montague Alfred BOURNE (b. 23/11/2020, ).</t>
  </si>
  <si>
    <t>92bca</t>
  </si>
  <si>
    <t>BOURNE</t>
  </si>
  <si>
    <t>92bcb</t>
  </si>
  <si>
    <t>92bcc</t>
  </si>
  <si>
    <t>Solene Claire Monique Marie de Rancourt de Mimerand (b. 17/10/1984, )</t>
  </si>
  <si>
    <t>Marrid Solene on 02/07/2011 at at St Jean de Malte church, Aix en Provence, France.</t>
  </si>
  <si>
    <t>Baptised 15 Aug 1985 at the Parish Church, St Jean de Luz, France. 
Children: Alice Clementine Mary TATTON-BROWN (b. 20.10.2013, ), 
Théodore Eden Louis TATTON-BROWN (b. 09/06/2018, ), 
Oscar Arthur Alexandre TATTON-BROWN (b. 12/02/2021, )</t>
  </si>
  <si>
    <t>92bda</t>
  </si>
  <si>
    <t>92bdb</t>
  </si>
  <si>
    <t>92bdc</t>
  </si>
  <si>
    <t>Théodore</t>
  </si>
  <si>
    <t>Alexandre</t>
  </si>
  <si>
    <t>163a</t>
  </si>
  <si>
    <t xml:space="preserve">
Thomas</t>
  </si>
  <si>
    <t>163b</t>
  </si>
  <si>
    <t xml:space="preserve">Charlotte </t>
  </si>
  <si>
    <t>109ba</t>
  </si>
  <si>
    <t>Leo</t>
  </si>
  <si>
    <t>Giap</t>
  </si>
  <si>
    <t>Chui</t>
  </si>
  <si>
    <t xml:space="preserve">Bao </t>
  </si>
  <si>
    <t>Hai</t>
  </si>
  <si>
    <t>Nam</t>
  </si>
  <si>
    <t>109bb</t>
  </si>
  <si>
    <t>109bc</t>
  </si>
  <si>
    <t>109bd</t>
  </si>
  <si>
    <t>Xuyen</t>
  </si>
  <si>
    <t>Mai</t>
  </si>
  <si>
    <t>Baptised 27 Aug 1961 at St Peter’s, Marlow. Educated Edinburgh Academy, King’s College, London (LLB), and Panthéon-Sorbonne, Paris (Maitrise en Droit). Partner Slaughter and May, London and Brussels.</t>
  </si>
  <si>
    <t>Laura Jane MIDDLETON (b. ,)</t>
  </si>
  <si>
    <t>110aaa</t>
  </si>
  <si>
    <t>Rowan</t>
  </si>
  <si>
    <t>110ca</t>
  </si>
  <si>
    <t>Born in Rio de Janerio</t>
  </si>
  <si>
    <t>110db</t>
  </si>
  <si>
    <t>BOYCE de CASTRO</t>
  </si>
  <si>
    <t>Matheus</t>
  </si>
  <si>
    <t>Educated Eton and Edinburgh University (MA Hons 1st class) and Oxford Brookes (MSc in Development Practice).</t>
  </si>
  <si>
    <t>Antonia Catherine WHITE (b. 23/07/1966, )</t>
  </si>
  <si>
    <t>Tess</t>
  </si>
  <si>
    <t>Born at Ipswich, Suffolk. Lives in East London</t>
  </si>
  <si>
    <t>Born at Ipswich, Suffolk. Lives in Godmanchester.</t>
  </si>
  <si>
    <t>Charles (Charlie) Christopher Stephen TALBOT</t>
  </si>
  <si>
    <t>Lara BAILEY</t>
  </si>
  <si>
    <t>123aa</t>
  </si>
  <si>
    <t>TALBOT</t>
  </si>
  <si>
    <t>Eva</t>
  </si>
  <si>
    <t>Evie</t>
  </si>
  <si>
    <t>Born at Homerton Hospital, London.</t>
  </si>
  <si>
    <t>123ab</t>
  </si>
  <si>
    <t>Arlo</t>
  </si>
  <si>
    <t>Victoria Clare BROWN</t>
  </si>
  <si>
    <t>Married Victoria on 14 June 2014 at St Mary’s Church, Godmanchester, Cambridgeshire.</t>
  </si>
  <si>
    <t>Married Charlie on 02/09/2006 at St Mary’s Church, Stoke by Nayland, Suffolk.</t>
  </si>
  <si>
    <t>123ba</t>
  </si>
  <si>
    <t>123bb</t>
  </si>
  <si>
    <t>123bc</t>
  </si>
  <si>
    <t>Rufus</t>
  </si>
  <si>
    <t>Mali</t>
  </si>
  <si>
    <t>Born at Stratford-upon-Avon. Lives in Portugal.</t>
  </si>
  <si>
    <t>Born at Chelsea &amp; Westminster Hospital, London.</t>
  </si>
  <si>
    <t>Hal</t>
  </si>
  <si>
    <t>Layzell</t>
  </si>
  <si>
    <t>Born at Porch Farmhouse, Godmanchester.</t>
  </si>
  <si>
    <t>Rocky</t>
  </si>
  <si>
    <t>CORVINO</t>
  </si>
  <si>
    <t>Died at Ballogie. Buried at Christ Church, Kincardine O’Neil. Aberdeenshire.</t>
  </si>
  <si>
    <t>Died at Tunbridge Wells, Kent. Buried at Brookwood.</t>
  </si>
  <si>
    <t>Educated Harrow. Served in World War I 1915-16. Served Gallipoli and Salonika. Commanded 30th Brigade, 10th [Irish Division]. Colonel 3 Bn The Rifle Bde. CBE 1916. Brig General. Died at St Jean de Luz.</t>
  </si>
  <si>
    <t>Mary Gaddis PLUM (b. 17/09/1943, d. c2006)</t>
  </si>
  <si>
    <t>Michael Canning William John KEITH, 13th Earl of KINTORE. Baptised at St Columba’s, Pont Street, London SW1. Educated Eton 1952-56. Late Coldstream Guards. Died 2004.</t>
  </si>
  <si>
    <t>Buried at Compton, Winchester.</t>
  </si>
  <si>
    <t>Aberdeenshire. Educated Eton and Christ Church Oxford. Served WW1 with Argyll and Sutherland Highlanders. Awarded OBE. Died at Ballogie. Buried at Christ Church, Kincardine O’Neil.</t>
  </si>
  <si>
    <t>b. Date unknown, d. 29/02/1908.</t>
  </si>
  <si>
    <t>Diana Neame FINN (b. 13/03/1914, d. 18/02/1991)</t>
  </si>
  <si>
    <t>Educated Oundle and RMC Sandhurst. Changed name to NICOL on inheriting Ballogie Nov 1941. 18bbb John Nicol. Commissioned 1931, Oxfordshire and Buckinghamshire Light Infantry. Retired as Lieutenant Colonel 1946. DSO, MBE. Died  at Ballogie. Buried at Christ Church, Kincardine O’Neil.</t>
  </si>
  <si>
    <t>Educated Oundle and RMC Sandhurst. Lieut Colonel, Royal Fusiliers. MBE 1942. MC 1944. Died in London 2008. Ashes scattered at Ballogie.</t>
  </si>
  <si>
    <t>(1) Wendy Grace Isabel WHITESIDE (b. 25/11/1957, d 02/04/1987). (2) 26/08/1993 Felicity WARLOW-HARRY (b. 06/05/1950, )</t>
  </si>
  <si>
    <t>Educated Rugby, Magdalene College, Cambridge, and Edinburgh University. Commissioned 1966, Scots Guards. Retired as Major 1979. Solicitor. Author of Till The Trumpet Sounds Again – The Scots Guards 1914-1919 in their Own words [2016] and Miles Barne’s Diary – A Suffolk Countryman at War [2017].</t>
  </si>
  <si>
    <t>Malcolm lives in Ballogie, Aboyne, Aberdeenshire. Educated Rugby &amp; Durham University. Estate Manager, Ballogie Estate.</t>
  </si>
  <si>
    <t>95baa</t>
  </si>
  <si>
    <t>95bab</t>
  </si>
  <si>
    <t>Married 29/09/2012.</t>
  </si>
  <si>
    <t>Edward Cookson</t>
  </si>
  <si>
    <t>95bba</t>
  </si>
  <si>
    <t>95bbc</t>
  </si>
  <si>
    <t>Cosima </t>
  </si>
  <si>
    <t>95bbb</t>
  </si>
  <si>
    <t>95bca</t>
  </si>
  <si>
    <t>Lyra</t>
  </si>
  <si>
    <t>Sir Samuel George Armstrong VESTEY (b. 19 Mar 1941, d. 04 Feb 2021). Samuel Vestey Master of the Horse and Lord-in Waiting and was award the GCVO and GCStJ (Lord Prior of St John) medals</t>
  </si>
  <si>
    <t>Married 12/02/1986.</t>
  </si>
  <si>
    <t>Married 01/05/1988.</t>
  </si>
  <si>
    <t>Married Simon at St Michael and Our Lady, Wragby, West Yorkshire, by the Bishop of Wakefield, John elder son of John Harold Booth (Pat) BLACKETT of Whalton, Morpeth, Northumberland.</t>
  </si>
  <si>
    <t>The Hon Geva lives in Braemar, Aberdeenshire. Baptised 14 Jan 1956 at St Margaret’s, Westminster, London.</t>
  </si>
  <si>
    <t>Edward John HOLLAND (b. , d.)</t>
  </si>
  <si>
    <t>106aaa</t>
  </si>
  <si>
    <t>Married Edward, 2nd son of Liam Holland of Co. Laois, Ireland, 14/05/2016.</t>
  </si>
  <si>
    <t>Jonathan George Mercer TELFORD</t>
  </si>
  <si>
    <t>Married Jonathan, eldest son of Richard Telford of Exton, Devon, 23/07/2021.</t>
  </si>
  <si>
    <t>Richard WEST</t>
  </si>
  <si>
    <r>
      <t xml:space="preserve">Married Richard, </t>
    </r>
    <r>
      <rPr>
        <u/>
        <sz val="11"/>
        <color rgb="FF000000"/>
        <rFont val="Calibri"/>
        <family val="2"/>
      </rPr>
      <t> </t>
    </r>
    <r>
      <rPr>
        <sz val="11"/>
        <color rgb="FF000000"/>
        <rFont val="Calibri"/>
        <family val="2"/>
      </rPr>
      <t>eldest son of Murray West of West Sussex, on 10/10/2020.</t>
    </r>
  </si>
  <si>
    <t>Baptised at Stonehaven. Educated Downham. Diana now lives in Kincardine O’Neill.</t>
  </si>
  <si>
    <t>Veronica Ann WILSON (b. 30/11/1944, d. 02/03/2012)</t>
  </si>
  <si>
    <t>Anna MASON (b. 17/01/1981, )</t>
  </si>
  <si>
    <t>Married in Salisbury Cathedral, Wiltshire on 20/05/2006.</t>
  </si>
  <si>
    <t>92aaa</t>
  </si>
  <si>
    <t>92aab</t>
  </si>
  <si>
    <t>Jake</t>
  </si>
  <si>
    <t>Zachery</t>
  </si>
  <si>
    <t>Finn</t>
  </si>
  <si>
    <t>David BATTEY (b. 24/06/1980, )</t>
  </si>
  <si>
    <t>Married in Salisbury Cathedral, Wiltshire on 03/09/2011.</t>
  </si>
  <si>
    <t>BATTEY</t>
  </si>
  <si>
    <t>92aca</t>
  </si>
  <si>
    <t>92acb</t>
  </si>
  <si>
    <t>Maia</t>
  </si>
  <si>
    <t>Cara</t>
  </si>
  <si>
    <t>Kaur</t>
  </si>
  <si>
    <t xml:space="preserve"> 06/10/1983</t>
  </si>
  <si>
    <t>Update by repasting the childe column and rerunniung the table to the right</t>
  </si>
  <si>
    <t>CHECK ALL ENTRIES SHOULD BE 0")</t>
  </si>
  <si>
    <t>Augustin</t>
  </si>
  <si>
    <t>Married at Marylebone Church, London, Thomas  of Loders, Bridport, Dorset. Moved to Northcote, Frant Road, Frant, Sussex in 1868. Thomas died at Northcote, Frant.</t>
  </si>
  <si>
    <t>Married at St Peter’s, Eaton Square, London SW1, June eldest daughter of the late Lieut Colonel Arnold Ramsay KEPPEL, Kings Own Yorkshire Light Infantry. June married secondly on 16 Jun 1990 Alexander (Sandy) FLETCHER of The Old Vicarage, Wighill, Tadcaster, North Yorkshire, LS24 8BQ.</t>
  </si>
  <si>
    <t>Married Anthony,at the Guards’ Chapel, Birdcage Walk, London SW1, elder son of Havelock Henry Trevor HUDSON of The Old Rectory, Stanford Dingley, Berkshire. (Divorced 1973).</t>
  </si>
  <si>
    <t>John, youngest son of Michael Graham GRINDAL of Manor Farm , Catthorpe, Lutterworth, Leicestershie.</t>
  </si>
  <si>
    <t xml:space="preserve"> William only son of Harry SIMMONDS of Oswaldkirk, North Yorshire.</t>
  </si>
  <si>
    <t>Henry, younger son of Andrew HAYNS of Stretton Rutland.</t>
  </si>
  <si>
    <t xml:space="preserve"> Married Oliver at St Mary's Church Fawley, Hampshire.</t>
  </si>
  <si>
    <t>Married Benjamin at St Mary's Church Fawley, Hampshire.</t>
  </si>
  <si>
    <t>loyddavid@hotmail.coM</t>
  </si>
  <si>
    <t xml:space="preserve"> </t>
  </si>
  <si>
    <t>Anne WILLIAM (b. 1738 , d. 24 May 1801)</t>
  </si>
  <si>
    <t>Civil partner  -  Kuei Lin HSU (Male, b 26/07/1965, )</t>
  </si>
  <si>
    <t>Twin with his sister Elizabeth. Educated Rugby and Clare College, Cambridge. Chartered Accountant. Peat, Marwick &amp; Mitchell. Shell UK. Retired 1997. Awarded MBE in 2015 for services to the Internationals Lesbian and Gay Rights' movement.</t>
  </si>
  <si>
    <r>
      <t xml:space="preserve">John </t>
    </r>
    <r>
      <rPr>
        <u/>
        <sz val="12"/>
        <color theme="1"/>
        <rFont val="Calibri (Body)"/>
      </rPr>
      <t>Simon</t>
    </r>
    <r>
      <rPr>
        <sz val="12"/>
        <color theme="1"/>
        <rFont val="Calibri"/>
        <family val="2"/>
        <scheme val="minor"/>
      </rPr>
      <t xml:space="preserve"> BLACKETT (16/09/1954, )</t>
    </r>
  </si>
  <si>
    <t>Diana Jane REES (b. 18/07/1954, )</t>
  </si>
  <si>
    <t>Christopher PILKINGTON (b. 05/02/1947, )</t>
  </si>
  <si>
    <t>Jane Ann (b. 05/04/1947, ) DICKSON</t>
  </si>
  <si>
    <t>Louise Alexandra SCOTT (b. 3 Jan 1958, )</t>
  </si>
  <si>
    <t>Christopher Aubrey Hamilton WILLS (b.1953, )</t>
  </si>
  <si>
    <t>Scott Buckingham REID (b. 24/12/1947, )</t>
  </si>
  <si>
    <t>Robert Ralph Scrymgeour HISCOX (b. 04/01/1943, )</t>
  </si>
  <si>
    <t>Anna Yen ON (b. 30/11/1978, )</t>
  </si>
  <si>
    <t>07866852007</t>
  </si>
  <si>
    <t>Tess lives in London. Born at Queen Charlotte’s Hospital, London. Baptised 8 Sep 1956 at St Mary and All Saints’, Beaconsfield, Buckinghamshire. Educated St Mary’s, Calne, Wiltshire; Universities of Leeds (1975-79) and Kuwait.  Guildford College of Law 1986-88.  Solicitor of the Supreme Court from 1990. SEN tutor from 2006.</t>
  </si>
  <si>
    <t>Holly Kristina TURNER (b. 10 Jan 1988, )</t>
  </si>
  <si>
    <t xml:space="preserve">Annie was the only daughter of Thomas (1812-1857: #14). Born 1 Jul 1853 at Broadstairs, Kent. Died (unmarried) 17 Sep 1946 at Tunbridge Wells, Kent. Although little has been recorded about her, family letters indicate that she nursed her mother assiduously in the weeks before her death in 1885 and it seems she was a kind and caring person (see note to Alwyne (1920 -2014: #94)). She is reputed to have been the last surviving person to receive a pension from the Indian Mutiny.                                                                                    </t>
  </si>
  <si>
    <t>Original</t>
  </si>
  <si>
    <t xml:space="preserve"> - </t>
  </si>
  <si>
    <t>Died in childhood.</t>
  </si>
  <si>
    <t>Educated Henrietta Barnett 1984-91 and Nottingham University 1991-95 (BA).  Assistant Supervisor Ground Staff, Air France 1995-98. Sales Manager, Lagrange Holidays from 1998.</t>
  </si>
  <si>
    <t>Born in Aden, South Arabia, baptised 10 Feb 1954 at the Garrison Church, Aden.</t>
  </si>
  <si>
    <t>Born at St. Mary’s Hospital, Roehampton, baptised  Highbrook Church, West Sussex. Died 9 Apr 1980, buried at Highbrook Church, West Sussex.</t>
  </si>
  <si>
    <t>Born in Aberdeen, baptised  at Banchory.</t>
  </si>
  <si>
    <t>Photo</t>
  </si>
  <si>
    <t>1=yes; 2=Died Young</t>
  </si>
  <si>
    <t>Photo Provider #</t>
  </si>
  <si>
    <t>(LOYD)</t>
  </si>
  <si>
    <t>CHARLTON</t>
  </si>
  <si>
    <t>Helena</t>
  </si>
  <si>
    <t>Veronica Elizabeth HAYNES (b. 4 Dec 1926, )</t>
  </si>
  <si>
    <t>Harriet, daughter of Ichabod WRIGHT of Mapperley Hall, Nottinghamshire. Buried at Lockinge, Nr. Wantage. Harriet Wright’s sister married Fredrick Paul IRBY ( Jan 1866). Their daughter later married Lewis Loyd (1811 - 1891: #13). The Wright’s also related to Foster-Harter, a cousin through Caroline Foster Loyd (1864 -1940: #47).</t>
  </si>
  <si>
    <t>England &amp; India</t>
  </si>
  <si>
    <t xml:space="preserve">James, 5th son of the Rev the Hon Richard Bruce STOPFORD. James survived Fanny by almost 30 years and  married a second time, 12 Mar 1868, to Catherine Mary (d. 1884) daughter of Sir Thomas Wuthen WALLER.  James  died at The Oaks, Sunninghill. </t>
  </si>
  <si>
    <t>India, England and Ireland</t>
  </si>
  <si>
    <t>India, Eastern Europe &amp; England</t>
  </si>
  <si>
    <t>India and England</t>
  </si>
  <si>
    <t>England and Egypt</t>
  </si>
  <si>
    <t>18/01/1853</t>
  </si>
  <si>
    <t>Suzanne DUNCAN (b. 25 Aug 1928, )</t>
  </si>
  <si>
    <t>BIRTH MONTH</t>
  </si>
  <si>
    <t>BIRTH DAY</t>
  </si>
  <si>
    <t>DEATH MONTH</t>
  </si>
  <si>
    <t>DEATH DAY</t>
  </si>
  <si>
    <t>01/04/1966</t>
  </si>
  <si>
    <t>03/10/1943</t>
  </si>
  <si>
    <t>13/05/2022</t>
  </si>
  <si>
    <t>HOLLAND</t>
  </si>
  <si>
    <t>106aab</t>
  </si>
  <si>
    <t>106aba</t>
  </si>
  <si>
    <t>TELFORD</t>
  </si>
  <si>
    <t>England and USA</t>
  </si>
  <si>
    <t>England, France and Egypt</t>
  </si>
  <si>
    <t>England and India</t>
  </si>
  <si>
    <t>England and France</t>
  </si>
  <si>
    <t>England and Scotland</t>
  </si>
  <si>
    <t>England and Australia</t>
  </si>
  <si>
    <t>England and Canada</t>
  </si>
  <si>
    <t>England, France and Canada</t>
  </si>
  <si>
    <t>England, France and some Balkan states.</t>
  </si>
  <si>
    <t>Canada and England</t>
  </si>
  <si>
    <t>England and North Africa</t>
  </si>
  <si>
    <t>FROM Fergus Dunlop (#102b)</t>
  </si>
  <si>
    <t>Canada and USA</t>
  </si>
  <si>
    <t>France</t>
  </si>
  <si>
    <t>England and Oman</t>
  </si>
  <si>
    <t>England and Malta</t>
  </si>
  <si>
    <t>Janet Bosman</t>
  </si>
  <si>
    <t>Needs replacing</t>
  </si>
  <si>
    <t>England, India and Burma</t>
  </si>
  <si>
    <t>England and Hong Kong</t>
  </si>
  <si>
    <t>England, USA and Canada</t>
  </si>
  <si>
    <t>Sarah only daughter of Gordon Hedley WHITLEY of Exter Devon.</t>
  </si>
  <si>
    <t>England, Bosnia, Afghanistan, Sierra Leone and Kosovo</t>
  </si>
  <si>
    <t>Shaun of Wollongong, NSW, Australia.</t>
  </si>
  <si>
    <t>Mexico and England</t>
  </si>
  <si>
    <t>Married Timothy at Stagshaw Chapel, Corbridge, Northumberland, eldest son of Air Vice Marshall RICKARD, of Pursers Place, Marefield, East Sussex.</t>
  </si>
  <si>
    <t>England, Scotland, Afghanistan, Iraq and Syria</t>
  </si>
  <si>
    <t xml:space="preserve">Archie (188): 2017 - </t>
  </si>
  <si>
    <t xml:space="preserve">Daisy is the younger daughter of Ben (1988 - : #167). Born </t>
  </si>
  <si>
    <t xml:space="preserve">Archie is the elder son of David (1988 - : #162). Born </t>
  </si>
  <si>
    <t xml:space="preserve">Rory is the younger son of David (1988 - : #162). Born </t>
  </si>
  <si>
    <t xml:space="preserve">Olivia is the elder daughter of Ben (1988 - : #167). Born </t>
  </si>
  <si>
    <t>loydthreepwood@gmail.com</t>
  </si>
  <si>
    <t>102bb</t>
  </si>
  <si>
    <t>Born at Hoechst General Hospital, Frankfurt am Main, Germany. Baptised 11 Oct 1998 at St Mary
Abbots, London W8. Educated: Ladies College, Guernsey 2011-14; Canford School, Dorset (scholar) 2014-16; Brasenose, Oxford 2016-2019, (BA Hons Med Science); Green Templeton, Oxford from 2020 (for BM BCh), various papers published.</t>
  </si>
  <si>
    <t>Born at Portland Hospital, London W1. Baptised 05/11/2000 at St Mary Abbots, London W8. Educated: Eton 2013-2018; Durham 2018-2022 (M Eng Hons). Jaguar Land Rover (drivetrains) from 2022.</t>
  </si>
  <si>
    <t>Martha KIRKMAN (b. 17 Nov 1775, d. 4 Feb 1857)</t>
  </si>
  <si>
    <t>Married Sarah, 3rd daughter of Joseph TAYLOR of Lion Fold, Blackley, Lancashire. at Manchester Collegiate Church (later Manchester Cathedral). Sarah baptised, 7 Aug 1785, at Blackley Chapel. Buried at Addington, near  Croydon. Sarah’s mother married again, after Joseph Taylor, Thomas Henshaw who set up the Henshaw Trust which still exists in 2022 after  Sarah left £20k to the Henshaw Trust in her will.</t>
  </si>
  <si>
    <t>Married at Agra, Annie, daughter of Captain James HAIG (b. c1768, d. 11 Sep 1832 buried at St Paul’s, Bedford) of Bedford, 3rd in descent from Anthony, 21st Laird of Bemersyde. Owing to a carriage accident Annie was unable to accompany her husband to India on his last return there and thus survived the Mutiny. Annie died at Riola, Vergato, Florence, Italy, buried 1 Jun 1885 in Protestant Cemetery, Florence. Annie's Estate £2,971.  After leaving the Royal Navy with the rank of Lieutenant, James HAIG bought a small ship and, putting a skipper and crew on board, traded with her, and other ships like her, for many years in the East Indies. When he married, he bought a house in the Crescent, then being built, in Bedford where his children grew up, the boys going to Bedford School). Portraits of James Haig and his wife, Maria, were in possession of the Rev Lewis Haig (1844-1905: #28), then Bishop Philip Henry (1884-1952: #58) who gave them to Reggie (1886- 1961: #61), who, in turn, left them as part of his estate to Peter (1922-2022: #98). “All my childhood I remember a portrait my Father had of James Haig,.....I remember my Father told us small children not to shoot our arrows at his portrait when we were all shooting madly, and James looked at us so sternly!” - in a letter from Kitty (1885-1989: #60) dated 4 Nov 1987 to Peter (1922- 2022: #98).</t>
  </si>
  <si>
    <t>Robert James LINDSAY (b. 16 Apr 1832, d. 10 Jan 1901)</t>
  </si>
  <si>
    <t>Married at St Martin’s in the Fields, London. Robert, educated Eton (1846-50). Lieut Colonel, Scots Fusiliers Guards, 2nd son of Lieut General James LINDSAY of Balcarres, Co. Fife and Anne, daughter of Sir Coutts TROTTER, Bart of Westville, Lincolnshire. Robert had served in the Crimea War 1854-55, greatly distinguishing himself in the defence of the Queen’s Colour at Alma, and in command of his company at Inkerman. Awarded Victoria Cross 24 Feb 1857. Retired from Army 1859. (Mentioned in Pan Books - “Battles of the Crimea War”). On his marriage he assumed the surname of LOYD LINDSAY. MP for Berkshire 1865-85. Founded British Red Cross Society 1870. Lord Lieutenant and JP for Berkshire 1886-1901. Equerry to HRH The Prince of Wales 1874 (later Edward VII). Financial Secretary to War Office 1877-80. Created KCB 1881. Raised to Peerage as Baron WANTAGE of Lockinge 1885. Founder and Director of the Wantage Tramway. Ran from Wantage Road GWR to Wantage 1873. Tramway finally dissolved 1947. (See “The Wantage Tramway” Abbey Press, Abington 1958.)  Robert buried at Ardington, Nr. Lockinge.</t>
  </si>
  <si>
    <t>Emily Harriet (Milly) SMYTH (b. 30 Aug 1852, d. 25 Feb 1911)</t>
  </si>
  <si>
    <t>Lady Mary Sophia HELY-HUTCHINSON (b. 22 Sep 1853, d. 30 Jul 1936)</t>
  </si>
  <si>
    <t>Married at St George’s, Hanover Square, London, Mary eldest daughter of the 4th Earl of DONOUGHMORE.</t>
  </si>
  <si>
    <t>Married at St. James’s, Piccadilly, London. Isabel youngest daughter of Frederick CURREY FLS, FRS, Barrister-at-Law. Isabel died at Shaw Hill House and is buried at Shaw.</t>
  </si>
  <si>
    <t>Married: (1) 26 Jul 1888 the Hon Clementina Georgina (b. 13 Jan 1868, d. 1 Sep 1929) 5th daughter of Charles BROWNLOW, 2nd Baron LURGAN KP (1831-82) of Brownlow House, Lurgan, co Armagh. Lord-in-Waiting to HM Queen Victoria. (2) 16 Feb 1931, Mrs. Clementina Elizabeth Charlotte VILLIERS (b. 07/1870, d. 6 Feb 1933) daughter of Colonel Ernest VILLIERS and widow of Montague Whittington PRICE, DL of 67 Eaton Place, London SW1. (3) 19 Mar 1936 at St Saviour’s, Walton Street, London, Mrs Ruth Ethel Fuller ACLAND- HOOD (b. 1870, d. 23 Nov 1955) 3rd daughter of the late Major Hugh Francis Lethbridge ASTLEY JP, and widow of Harry ACLAND- HOOD.</t>
  </si>
  <si>
    <t>Diana 2nd daughter of Henry Frederick BEAUMONT DL of Whitley Beaumont, Yorkshire. Diana died at Whitley, Priory Road, Sunningdale, Chobham, Surrey.</t>
  </si>
  <si>
    <t>Married, near Ashford in Kent, George, a Major in the Devon Regiment, and son of the Rev Charles John D’OYLY of Great Chart.</t>
  </si>
  <si>
    <t>Kathleen Agnes HEATH (b. 9 Sep 1872, d. 28 Oct 1913)</t>
  </si>
  <si>
    <t>Married, at St Nicholas’, Strood, Kent, Kathleen daughter of Richard HEATH of Strood, Kent. Kathleen was born in Strood, Kent and died at Bute Street Hospital, Vancouver, British Columbia, Canada.</t>
  </si>
  <si>
    <t>Married Mary youngest daughter of Colonel Francis CHARRINGTON CMG, Staffordshire Regiment, of Pishiobury Park, Hertfordshire. Mary Christobel later married: Secondly, 8 Jun 1920 Lieut Colonel Frank KING DSO, OBE, 4th Hussars. (Div 1925); Thirdly, Oct 1925 Ralph Lambton STOBART MC (d. Mar 1942); &amp;  Fourthly 3 Jun 1946 Jack Sidney SMITH of Chatley Wood, Ringwood, Hampshire.</t>
  </si>
  <si>
    <t>(1) Ilma May MONTAGUE (b. 1878/79, )</t>
  </si>
  <si>
    <t>Married (1) Ilma at St Giles Register Office, London. (2) 11 Dec 1935 at the British Consulate, Paris, Alice Selina MYHILL (b. 1 Nov 1909, ). Alice, (aka "Lovely"), daughter of Charles MYHILL of Martham, Norfolk. Later Alice married secondly 18 Jun 1955 Robert Reginald ARKELL-LOYD (b. , d. 11 Mar 1977). Reginald of Greystone, Teignmouth, Devon, formerly ARKEL, changed his name by deed poll in 1955 to ARKELL-LOYD.</t>
  </si>
  <si>
    <t>Married, at St Peter’s, Eaton Square, London SW1, Edwin son of H. KONSTAM of 64, Gloucester Place, Portman Square, London W1. Edwin CBE, KC, County Court Judge 1932-45, born in Islington and buried at Brookwood Cemetery.</t>
  </si>
  <si>
    <t>The Hon Bettine Henrietta 2nd daughter of Edward KNATCHBULL-HUGESSEN, 2nd Baron BRABOURNE.</t>
  </si>
  <si>
    <t>Married at Kensington Registry Office, Mrs. Phyllis Marie youngest daughter of Surgeon-General Alfred ETESON CB, MD, IA. Phyllis born in Watford, divorced wife of Goodwyn Luddington ARCHER. Phyllis died at 53 Clarendon Road, London W11 and buried in Kensington Cemetery, Hanwell, Uxbridge Road, London W7.</t>
  </si>
  <si>
    <t>Married (1) Ivy, at Walhachin, British Columbia, 2nd daughter of the Rev R. TWINING, Vicar of Woodfield, Salisbury, Wiltshire. Married (2) Florence Wilson (known as Daisy) BASKETT (b. 16 Jun 1882, d. 29 Jun 1969) 2nd daughter of the Rev H. BASKETT, Vicar of St. Andrews, Donhead, Wiltshire.</t>
  </si>
  <si>
    <t>(1) Married at the Chapel Royal of the Savoy, London WC2, Alice daughter of Captain Thomas SCOTT-ANDERSON, Royal Navy of Newchannelkirk, Lauderdale, Berwickshire, and widow of Lamb (Marquise) O’BRYEN. (Divorced). (2) Married 8 Aug 1957 in Montreal, his cousin Norah Deane (d. 7 Jan 1965) daughter of Charles Edward McKIEL of Montreal, Canada and widow of Archie F. BAILLIE.</t>
  </si>
  <si>
    <t>Married (1) 19 Nov 1924 Enid Beatrice younger daughter of John Henry COBB of St. James’s Court, London SW1. (Div). Married (2) 7 Jan 1937 Phyllis Mary Porter daughter of Colonel Archibald Montgomery TRINGHAM OBE, DSO of Fallowfield, Puttenham, Nr. Guildford, Surrey. (Divorced). Married (3) 29 Nov 1950 Veronica Elizabeth  daughter of Hugh Arthur HAYNES.</t>
  </si>
  <si>
    <t>James Henry (known as Jimmy) FRICS (b. 14 Jun 1912, d. 1 Nov 1988)</t>
  </si>
  <si>
    <t>Jimmy of Middleton House, Middleton Cheney, Banbury, Oxfordshire, and of 5 Mount Street, London, W1, only son of Captain Edward LANE FOX, Yorkshire Yeomanry. Educated Eton, and Magdalen College, Oxford.</t>
  </si>
  <si>
    <t>(1) Married  at All Saints’ Cathedral, Cairo, Tommy Captain, Scots Guards, younger son of Hugh Sydney MARSHAM-TOWNSHEND JP of Scadbury Park, Chislehurst, Kent. Tommy died of his wounds. Issue two daughters. (2) 8 Aug 1945 at St Paul’s, Knightsbridge, London, John OBE, MC, Yugoslav Order of Service to the People with Silver Rays, Lieut Colonel, Scots Guards, Liveryman of Clothworkers’ Company, eldest son of Edmund Stephenson CLARKE of Pickwell, Bolney, West Sussex, RH17 5RE.  Issue one son. John buried Highbrook Church, West Sussex.</t>
  </si>
  <si>
    <t>Married Alison, at St. Cuthbert’s, Wood Green, London, by her father, youngest daughter of the Rev Robert B. PORTER, Robert a missionary in West China 1907-34. Alison born in China.</t>
  </si>
  <si>
    <t>Hester married at Lockinge, by her uncle, the Rt Rev Philip LOYD, Major Hubert, late Coldstream Guards of Lockinge Manor, Wantage. Educated Eton and RMC Sandhurst.</t>
  </si>
  <si>
    <t>Robert, baptised in Bombay by the Rev, later the Rt Rev, Philip (1884 - 1952: #58) Bishop of Nasik and Bishop of St Albans, MC, Lieut Colonel, Welsh Guards, son of the late Edward Little SALE of Brownshill Court, Painswick, Gloucestershire. Late Collector of Bombay and of Belgaum, Indian Civil Service.</t>
  </si>
  <si>
    <t>(1) Married 8 Apr 1950 at Tewkesbury Abbey, Suzanne only child of Eric McLeod DUNCAN of The Croft, The Leigh, Nr. Cheltenham, Gloucestershire. (Issue 1 son &amp; 2 daughters - divorced 1957). (2) Married 26 Aug 1961 at Chelsea Registry Office, Rosie elder daughter of Dr John Hay MOIR of Worplesdon, Surrey. Cremated 18 Mar 1997. (Issue 1 son &amp; 1 daughter). (3) 10 Oct 1998 at Burgh House, Hampstead, London NW3, Rosemary, elder daughter of Flight Lieutenant David Moore CROOK (b. 24 Nov 1914, d. 18 Dec 1944 flying) DFC 1 Nov 1940 of Glenwood, Edgerton, Huddersfield, Yorkshire. David served in World War II in Battle of Britain in 609 Squadron. David Crook, author of "Spitfire Pilot", Faber and Faber 1942.</t>
  </si>
  <si>
    <t>John Charles Edmund Carson MEADE (b. 6 Jun 1914, d. 30 Mar 1989) 6th Earl of CLANWILLIAM</t>
  </si>
  <si>
    <t>Married at St. Peter’s, Eaton Square, London, Sir Thomas (Kt. 1980) of The Old Rectory, Lydlinch, Sturminster Newton, Dorset, Major, Grenadier Guards, younger son of Colonel Sir Eric GORE-BROWNE DSO, OBE, TD of Glaston House, Rutland.</t>
  </si>
  <si>
    <t>(1) Patricia Mary MACLEAN (b. 11 Feb 1929, d. 1 Mar 2001).  .</t>
  </si>
  <si>
    <t>Married (1) Patricia, at St Michael’s, Chester Square, daughter of John Eric MACLEAN of Christchurch, Hampshire. (2 sons) (Div 1967). (2) Dawn  BAIRD  (b. 3 Jun 1927, d. 5 Aug 2010 ) on 1 Mar 1968, only child of Major Robert Douglas BAIRD MC, The Rifle Brigade, of Sorrel, Hale Purlieu, Fordingbridge, Hampshire.</t>
  </si>
  <si>
    <t>(1) Brenda married at Medicine Hat, Alberta, Harold 3rd son of Arthur GRAHAM of Medicine Hat, Alberta. (Div Jun 1953.) (2)  Married on 7 Aug 1954 at Coeur d’Alene, Idaho, USA, William (Bill) Elmo Jr. (b. 8 Jan 1930, ) eldest son of William Elmo ORR of New Mexico Territory.</t>
  </si>
  <si>
    <t>Married at Torquay, Frank of 1A Victoria Street, Lytham, Lancashire, FY8 5DU, son of Francis HOYLE.</t>
  </si>
  <si>
    <t>Margaret married, at Kensington Registry Office, Terry only son of Eric Samuel WALTON of Greenfield, Stafford.</t>
  </si>
  <si>
    <t>Married, at Loughborough Registry Office, Cyril of Home Farm, Wicklewood, Norfolk. (Div. Jan 1977).</t>
  </si>
  <si>
    <t xml:space="preserve">(1) Deirdre THOMPSON (b. 11 Apr 1936, ) </t>
  </si>
  <si>
    <t>(1) Deirdre younger daughter of Walter Hugh THOMPSON. (2) 27 Oct 1975 Lieselotte (Lilo) BRANDSTETTER (b. 15 Nov 1944, ) eldest daughter of Theodor BRANDSTETTER of Klagenfurt, Austria.</t>
  </si>
  <si>
    <t>Married at All Saints’, Grendon, West Atherstone, Warwickshire, Mary,  daughter of Morgan DAVIES of Lodge Farm, Ratcliffe Culey, Atherstone, Warwickshire. Mary born at Tamworth, Staffordshire.</t>
  </si>
  <si>
    <t>(1) Married Jill, on 19 Dec 1974, eldest daughter of Charles Deloitte DAVIS of Mosman, NSW. Divorced  9 Apr 2002. (2) Married, 26 Apr 2003, Wendy Louise KERRANS (b. 29 Jan 1957, ) daughter of Hugh and Jean  KERRANS of Sydney, New South Wales, Australia.</t>
  </si>
  <si>
    <t>Janet married, at the Chapel of St. Augustine, London House for Overseas Graduates, Mecklenburgh Square, London WC1, Terrence 2nd son of Vernon James BOSMAN of Johannesburg, South Africa.</t>
  </si>
  <si>
    <t>Rob married, at St Mary’s, Wimbledon, London SW19, Deirdre only daughter of Alexander WELLS of Winwick, Cheshire.</t>
  </si>
  <si>
    <t>Rona married Jock  4th son of Francis H HAWKEY of 1360 Bel Air Avenue, Kelowna, British Columbia. Jock was a chemist and metallurgist specialising in water technology.</t>
  </si>
  <si>
    <t>Paddy's partner, since 1977,  (unmarried) Beryl Margaret Vernon (known as Angela) daughter of Frank Douglas Vernon (b. 1 Jan 1899, d. 19 Jul 1965) and Dorothy Muriel Vernon (b. 16 June 1914, d. 13 Jul 1975).</t>
  </si>
  <si>
    <t>Married  at St James’s, Finchampstead, Berkshire, Karina Lesley, younger daughter of Ronald Ransome BOYCE (b. 1920, d. 1997) and Joy Willis (b, 1922, d. 2021) of Welton-by-Lincoln. Karina educated Gipsy Hill College, Kingston University (Cert Ed 1976, B.Ed. 1976).</t>
  </si>
  <si>
    <t xml:space="preserve">(1) Married Sally, 6 Oct 1983, at Chelsea Registry Office, only daughter of Duncan ROBERTSON of Phoenix House, Beadlam, Nawton, North Yorkshire. (2) Married Anne Margaret FLETCHER (b. 26 May 1967, ) on 11 Jan 2009, at Davaar, Te Anau, New Zealand. youngest daughter of Ian and Margaret FLECTHER of Otatara, Invercargill, New Zealand.
</t>
  </si>
  <si>
    <t>Married at St Michael &amp; All Angels’, Beaconsfield, Cherry elder daughter of Alan &amp; Margaret CORMACK of Beaconsfield in Buckinghamshire. Educated UMIST (BSc Hons European Studies 1979) and Southampton University (PGCE 1982).</t>
  </si>
  <si>
    <t>Married at St Andrew’s, Kelso, Roxburghshire, Adrian elder son of Anthony GELL of Enville, Worcestershire.</t>
  </si>
  <si>
    <t>Married Kirsten at St Mary the Virgin, Fawley, Nr Wantage,  elder daughter of Philip WROUGHTON of Woolley Park, Wantage, Oxfordshire. (2) Married Alexandra Leese MUIR (b. 1959,) on 4 Oct 2006.</t>
  </si>
  <si>
    <t xml:space="preserve">Kirsten Mary WROUGHTON (b. 12 Dec 1959, ). </t>
  </si>
  <si>
    <t>Magdalene Mary (Dalene) McSHANE (b. 22 Jul 1956, )</t>
  </si>
  <si>
    <t>Married at Kings Park, Perth, Western Australia, Dalene, youngest daughter of James Patrick (b. 1912, d. 1988) and Frances McSHANE of Clounden, Co. Durham. Education BA(Hons) Sociology &amp; Social Policy; Post Grad Qualification in Social Work; MA Sociology; MEd in Higher Education and PhD in Sociological Concepts.</t>
  </si>
  <si>
    <t>Married at  St Peter and St Paul’s, Barkestone Le Vale, Leicestershire, George, known as Andrew, son of George William MILLER (b. 11 Feb 1909, ) of Cherry Tree Farm, Plungar, Leicestershire. Andrew born at Cherry Tree Farm and George born at Beech Farm, Shellford, Nottinghamshire.</t>
  </si>
  <si>
    <t>Duncan Ian Arthur Campbell BYATT (b. 24 Jan 1962, )</t>
  </si>
  <si>
    <t xml:space="preserve">Married at All Saints’ Lockinge, by the Rev R G FOSTER, Nicholas elder son of John ASHE of Cross Farm House, Cleverton, Chippenham, Wiltshire. </t>
  </si>
  <si>
    <t>Sarah Ann WHITLEY (b. 2 Oct 1959, )</t>
  </si>
  <si>
    <t>Married, at St Peter and St Paul’s, Godalming, Surrey, Jenny elder daughter of Julian CARTWRIGHT of Godalming, Surrey.</t>
  </si>
  <si>
    <t>(1) Lady Sophia daughter of James Hamilton, 5th Duke of Abercorn, and Sacha Hamilton, Duchess of Abercorn. (Div. 2005). (2) Harriet Louise MELLOR in 2007.</t>
  </si>
  <si>
    <t>Married, at St Mary Magdalene, Sandringham, King’s Lynn, Norfolk, Ellis of Old Palace Cottage, Hatfield Park, Hatfield, Hertfordshire, only son of Stuart WHITCOMB of Hatfield Park.</t>
  </si>
  <si>
    <t>Married, at Capelles Methodist Church, St Sampsons, Guernsey, Vanessa elder daughter of David John HARVEY of Coutanchez, St Sampsons, Guernsey.</t>
  </si>
  <si>
    <t xml:space="preserve">Married, at St Oswalds, Bellingham, Northumberland, Anne youngest daughter of Anthony David LEES of Preston-on-Wye Herefordshire. </t>
  </si>
  <si>
    <t>Robert youngest son of Nichoasl GARDENER of North Allerton, N. Yorkshire.</t>
  </si>
  <si>
    <t>Married at St  Vedast-elias- Foster Church, City of London, Laura elder daughter of Bob Fredrick (1949 - 2019) and Lynn Mary (1947 - ) MUSSELBROOK.</t>
  </si>
  <si>
    <t>Married, at St Oswald's, Bellingham, Northumberland Simon, eldest son of the Reverend Stephen DINSMORE of Samoa.</t>
  </si>
  <si>
    <t>Married at St Mary the Virgin Church, Iffley, Oxford, Richard younger son of Peter and Christine LEASK.</t>
  </si>
  <si>
    <t xml:space="preserve">Married, at Dorchester Abbey, Dorchester on Thames, Oxfordshire, Roshan (Rosh), younger son of Shammy and Sheila PURI. </t>
  </si>
  <si>
    <t>KIA</t>
  </si>
  <si>
    <t>DSP</t>
  </si>
  <si>
    <t>IoW</t>
  </si>
  <si>
    <t>Janet's sister</t>
  </si>
  <si>
    <t>Peter 98's son</t>
  </si>
  <si>
    <t>Alice SCOTT-ANDERSON (b. ?, d. ?)</t>
  </si>
  <si>
    <t>Enid Beatrice COBB (b. 25 Feb 1900, d. 18 Jun 1990).</t>
  </si>
  <si>
    <t xml:space="preserve">Katharine LAYZELL (b. 13 Mar 1924, d. 26 Oct 1981) </t>
  </si>
  <si>
    <t>(1) Sarah  JONES 7 (b. 9 Sep 1759, d. 1 Oct 1821).</t>
  </si>
  <si>
    <t>(1) 11 Nov 1793 Sarah (b. 9 Sep 1759, d. 1 Oct 1821) at Broughton New Hall, daughter of John JONES (1713-75) banker and Tea dealer of Manchester and founder of the King Street Bank. Sarah buried at Cross Street Chapel, Manchester. (2) Married Mrs. Mary CHAMPION (d. 1 Feb 1835) on 21 Jan 1823.</t>
  </si>
  <si>
    <t>(1) The Hon Clementina Georgina BROWNLOW (b. 13 Jan 1868, d. 1 Sep 1929)</t>
  </si>
  <si>
    <t>(1) Ivy Nina TWINING (b. 2 Aug 1884, d. 12 Jul 1950).</t>
  </si>
  <si>
    <t>(1) Suzanne DUNCAN (b. 25 Aug 1928, ).</t>
  </si>
  <si>
    <t xml:space="preserve">(1) Mrs. Sally Irene LLOYD (b. 17 Dec 1946, d. 19 Aug 2006). </t>
  </si>
  <si>
    <t>(1) Lady Sophia HAMILTON</t>
  </si>
  <si>
    <t>Baptised 19 Apr 1998 at St George’s, Brailes, Warwickshire. Educated Tudor Hall School, 2010-16 (Head Girl). Nursery School teacher 2017-18; Interior Designer 2019-21, Executive Assistant at Key4Life Charity 2022 to date.</t>
  </si>
  <si>
    <t>97ec</t>
  </si>
  <si>
    <t>Baptised 5 Jan 1996 at St George’s, Brailes, Warwickshire. Educated: Maidwell Hall 2003-2008; Harrow School 2008-2013; University of Manchester (BA Politics) 2014-2017. Joined HBA Media in 2017. Managing Director of HBA Media 2020 to date. HBA Media is the leading owner of media rights for the world's top international flat horse races.</t>
  </si>
  <si>
    <t>FINAL AGE</t>
  </si>
  <si>
    <t>AGE IF LIVING</t>
  </si>
  <si>
    <t>First of Generation</t>
  </si>
  <si>
    <t>Last of Generation</t>
  </si>
  <si>
    <t>Year</t>
  </si>
  <si>
    <t>Size</t>
  </si>
  <si>
    <t>Lewis Lloyd</t>
  </si>
  <si>
    <t>Thomas Lloyd</t>
  </si>
  <si>
    <t>William Lloyd</t>
  </si>
  <si>
    <t>Commonwealth of England &amp; Interregnum</t>
  </si>
  <si>
    <t>Charles II</t>
  </si>
  <si>
    <t>James II</t>
  </si>
  <si>
    <t>Mary II</t>
  </si>
  <si>
    <t>William IV</t>
  </si>
  <si>
    <t>William III</t>
  </si>
  <si>
    <t>George II</t>
  </si>
  <si>
    <t>George III</t>
  </si>
  <si>
    <t>George IV</t>
  </si>
  <si>
    <t>Edward VII</t>
  </si>
  <si>
    <t>George V</t>
  </si>
  <si>
    <t>Edward VIII</t>
  </si>
  <si>
    <t>Elizabeth II</t>
  </si>
  <si>
    <t>First Steam Train Journey</t>
  </si>
  <si>
    <t>Anne 1702</t>
  </si>
  <si>
    <t>Victoria 1837</t>
  </si>
  <si>
    <t>Bell Telephone (1876)  &amp; Edison Light Bulb (1879)</t>
  </si>
  <si>
    <t>Edward VIII 1936</t>
  </si>
  <si>
    <t>George VI 1936</t>
  </si>
  <si>
    <t>Peter LOYD (#98) died</t>
  </si>
  <si>
    <t>George I 1714</t>
  </si>
  <si>
    <t>William 300 Years</t>
  </si>
  <si>
    <t xml:space="preserve">Yeoman of Cwm-y-to fach and afterwards (1795) of Court Henry [1]  Lord OVERSTONE in 1881 for £1,000. in the parish of Cilycwm, Carmarthenshire. 3rd and youngest son of Lewis LLOYD [2] (c. 1690-1758) of Cwm-y-to fach in the parish of Llanwrda. bapt. 20 Sep 1729 at Llanwrda. Died 13 May 1800, buried 16 May 1800 at Cilycwm. Will dated 8 July 1799, proved 24 May 1800 at Carmarthen.Original in National Library of Wales, Aberystwyth. Churchwarden Llanwrda 1766 and 1791 Tombstone in Cilycwm Churchyard. Issue: 4 sons, 3 daughters. Footnote: [1]  Court Henry (spelt CWRT HENRY on first Ordnance Survey maps printed in 1865) was sold by Lord Overstone in 1881 for £1,000. [2] Lewis Lloyd died 24 Aug 1758, buried 25 or 26 Aug 1758 at Llanwrda. Lewis' will dated 8 Jan 1757, proved 10 Jul 1760, total assets £12-3 shillings. Original in the National Library of Wales, Aberystwyth (Testators’ Wills index St David’s Diocese).                                                                    </t>
  </si>
  <si>
    <t xml:space="preserve">Lewis lived at 43 Lothbury, London and of Overstone Park, Northamptonshire. Eldest son of William LLOYD (1729-1800: #1) of Court Henry, Cilycwm, Carmarthenshire. Born 1 Jan 1768, bapt. 5 Jan 1768 at Llanwrda. Educated at Mr. David PRICE’s [5]  school at Llanycrwys near Lampeter and at the Presbyterian Academy of Carmarthen, Swansea (1785-89). Rode to Manchester in Sep 1789. Entered Manchester Unitarian College. Appointed Tutor in Belle Lettres at Manchester 1790-92. Became Supply Preacher at Dob Lane Chapel, Failsworth, Manchester [6]. Also preached at Blackley where he met his future wife, Sarah Jones. Lewis joined the Bank before relocating to the London branch as partner with Daniel, Jones, Barker, Loyd &amp; Co. 1793. Jones, Loyd, Hulme &amp; Co. 1798. Jones, Loyd &amp; Co. 1808. Retired from Bank 1844. Changed the family name to LOYD about 1795. Obtained the grant of arms 10 Apr 1835 on his appointment as High Sheriff of Northamptonshire, and registered it at the College of Arms in the name of his father in order to include his brothers and their descendants. Died 13 May 1858 at Overstone, buried at Overstone. Will dated 21 Nov 1843. Estate left to Lord OVERSTONE:- Land £1,172,091, Securities £701,102, Personal effects £5,639. Issue: (1st wife) 1 son (who later became Lord OVERSTONE). Portrait by Eden Upton EDDIS in possession of Christopher Lewis LOYD (1923-2013 ). Able and far-sighted to a degree, this extraordinary man (Lewis LOYD), of whom unfortunately not very much is known, was endowed with a biting wit; when, in 1828, Frys &amp; Chapman - Joseph Fry was the husband of the great reformer Mrs Fry (Elizabeth Gurney) - had to close its doors, he told a Quaker client who had been wise enough previously to withdraw his money and to entrust it to a “more sophisticated house”, “Thou wer’t right, Friend; it is wiser to place thy money with a rich sinner than with a poor saint”. - the Overstone Library, Reading University.  Footnotes: [5] When David PRICE’s youngest son, Lewis, died in London, his old pupil, Lewis LOYD, was at his bedside. [6] “At the time in question.....to get to Dob Lane Chapel from the College was quite a journey. Lewis Loyd made his way to it Sunday by Sunday, upon the identical little white pony which had carried him from Carmarthenshire to Manchester, trotting, not along a wearily-extended street, but between hedgerows and pastures. It was a wild and rebellious little animal, and until the time for its master’s return to Dawson Street in the evening, was turned into a meadow belonging to a Mr Barrett, a leading man at Dob Lane Chapel, and at whose house Lewis Loyd was usually the welcome guest. Another leading member of the Dob Lane congregation was a Mr Samuel Taylor, a merchant in Princess Street, whose residence was at Moston. It was from this old gentleman, if tradition be trustworthy, that Lewis Loyd received his first lessons in the inestimable and immortal science of how to get rich. Mr Taylor seems to have discovered very early that Lewis had a remarkable gift for figures and accounts. He certainly led him on to a realization of his native powers. Probably it was Mr Taylor who, after service one fine morning, presented the young preacher with a bank note in acknowledgment of the excellent way in which he acquitted himself in the pulpit. Money in those days was a scarce article with the budding Croesus. His salary, it is said, was £40 a year. He thanked the donor cordially, and added that on the same terms he would gladly pray for him every Sunday of the year. Whether it was at this particular period, or a trifle later, that Lewis Loyd was engaged in writing his tract upon Original Sin, there is no evidence to show. (The tract in question was one of a series of ‘Letters to the Inhabitants of Wigan occasioned by the Rev Mr Tawell’s Discourse on the Divinity of Jesus Christ, 1791’. The volume, which is rare, consists of one hundred and sixty 12mo pages, twelve of which are Lewis Loyd’s.)” - Grindon p 58-59. Roddy SALE (97d), in 2021, has portrait of Samuel &amp; William Jones (1746 – 1819) of Greenhill and William Jones (1757 – 1821) who owned Wolvey in Warwickshire (left to Lord Overstone).                                              </t>
  </si>
  <si>
    <t xml:space="preserve">William lived at 7 Bread Street, Cheapside and later of 13 Portland Place, Clapham Road, London. 2nd son of William LLOYD (1729-1800: #1) of Court Henry, Cilycwm, Carmarthenshire. Born 7 May 1770, bapt. 11 or 14 May 1770 at Llanwrda.  Warehouseman. He was the only one of the four brothers who was unsuccessful in business. The diaries of his son, William Kirkman LOYD (1809-1879), recorded that in 1867 he received from his father’s solicitor various old papers connected with his father’s affairs which he destroyed in 1871 thus removing evidence of the extent of his father’s debts [8].  Died 17 Aug 1828, buried 25 Aug 1828 at Bunhill Fields, London EC1 in family grave (plan 15, grave no. 223). His gold watch is in possession of John Michael LOYD (1938- ). Issue: 5 sons, 2 daughters. Footnote: [8] In Oct 1864, Lord OVERSTONE (Samuel Jones LOYD 1796-1883) wrote “He carried on a concern of his own in which he was uniformly unsuccessful, and thus became the cause of much anxiety and serious loss to the other members of the family. ....to save the name of the family from dishonour it became necessary to discharge his trading debts - about £45,000 - and this burden was borne by the prosperous members of the family in the proportion in which they then shared the profits of the Banking business - ie My Father, Myself, and Mr Edwd Loyd - each one third” - O’Brien p 1053.                                                           </t>
  </si>
  <si>
    <t xml:space="preserve">Thomas lived at Ardwick Terrace, Manchester. 3rd son of William LLOYD (1729-1800: #1) of Court Henry, Cilycwm, Carmarthenshire. b. 5 Jun 1775, bapt. 8 Jun 1775 at Llanwrda. He head of the Cannon Street calico printers, Loyd &amp; Price in 1823, afterwards Loyd, Buchan &amp; Welsh. d. (unmarried) 28 Jan 1853 leaving property worth either £80,000 including £5,000 or more to his relations in Wales [9] or £35,000 10. will dated 29 Nov 1845, proved 23 Jun 1853 P.C.C. “Never was there a more good-humoured or friendly man than Thomas Loyd. A bachelor to the end of his days - chatty, frank and communicative - he delighted in company and sensible conversation, and had no objection, like Cato of old, to warm his cold chastity every evening with mellow wine.” - Grindon p 89. Footnote: [9]  according to Grindon  10 according to O'Brien.                                                                       </t>
  </si>
  <si>
    <t>Edward lived in King Street, Manchester, of Greenhill, [11] Cheetham Hill, Manchester and later of Coombe House, Coombe Lane, Croydon, Surrey. 4th and youngest son of William LLOYD (1729-1800) of Court Henry, Cilycwm, Carmarthenshire.Born 30 Jan 1780, bapt. 3 Feb 1780 at Llanwrda. Educated probably at Mr. David PRICE’s school at Llanycrwys near Lampeter for a schoolmaster. Came to Manchester and entered Bank as a clerk, became head cashier and then partner. Member of Billiard Club and Broughton Archers.[12] Became senior partner, Manchester branch, Jones Loyds Bank at 35 King Street, Manchester in 1821. Notable collector of modern English water colours and Dutch old masters. d. 30 Jan 1863 at Coombe House, buried at Addington, Nr. Croydon. Estate worth £600,000. Will dated 9 Apr 1855, proved 18 Mar 1863 P.P.R. Issue: 3 sons, 5 daughters. Footnote: [11]  Greenhill, Cheetham Hill, Manchester was built, and lived in, by Samuel JONES who died 17 Mar 1819. It was then taken over by his partner at the bank, Edward LOYD, who lived there until he retired to Croydon in 1848. By 1877 the house had disappeared.Edward LOYD also owned the manor and huge estate of Minshull Vernon near Nantwich in Cheshire, although he never live there himself. Some of the property was occupied by his wife’s relatives, and he was the joint benefactor of the church of St Peter, Leighton-cum-Minshull. Vernon Manor was rebuilt in 1849 to a design by Sir Gilbert Scott. On his death he left the estate to his eldest son, Lewis LOYD (1811–91) who, in turn, on his death left it and other property in Cheshire to his nephew, Edward Henry LOYD (1861–1938). [12] “Mr Loyd’s devotedness to the bank was equalled by his attachment to his home ....he rarely allowed himself to be absent for more than a day or two. He was a member of the Billiard Club, but found his chief enjoyment in connection with that famous old body, the Broughton Archers. ... composed exclusively of gentlemen, the admission being almost as strict as to the Billiard Club..... all men who represented the weight and influence of the town. A meeting short of Edward Loyd perhaps was never known ... because ... on the archery ground he divested himself of all his cares, smoothed his ruffled plumage, and warmed and refreshed the very atmosphere with his boundless ‘bonhomie’. He was accustomed to present the club as often as needed with an aum (fifteen dozen) of hock ... Of this celebrated club Mr Edward Loyd may truthfully be declared to have been the life and soul ... as a member ... he did most to render it one of the most charming that ever existed. He was one of the muster upon the lawn at Holland House on the occasion of that celebrated festival when the Broughton Archers acted as body guard to the Queen.” Grindon p 153-57.  “After the death of William Jones  [the son of John Jones (1713– 75)] and brother of Sarah, wife of Lewis Loyd (1768–1858) in 1821, the King Street bank fell under the control, purely and solely, of Mr Edward Loyd who splendid management continued unbroken for the long period of twenty-seven years. [On 25 December 1848] the Manchester business was separated from the Metropolitan one, the ancient appellation of William Jones Loyd and co., disappeared; Mr Loyd, sixty-eight, retired, and the responsibilities in Manchester were distributed amount four new partners–Mr Loyd’s son [Edward Lloyd (1820 –90),] Mr William Entwisle, Mr Henry Barrett Bury and Mr Thomas Barlow Jervis. “On his retirement from the bank, Mr Loyd removed to Croydon, Surrey. His departure from Manchester touched a larger circle than has ever been affected in our town by the loss of the single member of the community. No man was better known or more generally respected. The many years he was accustomed to making his way to the bank with regularity so extract, riding a little brown pony, familiarly known along the road as “Jacob Faithful”, that is passing any given corner suffice to tell the time of day. Later on, disliking everything that savoured of show and vanity, he exchanged a pony for an unpretentious shut-up carriage. He never failed to enter the bank at 9 am, and never left in the evening until the books were all made up and the cash was balanced to the uttermost penny. Many a time he had not scrupled to go in late to a dinner party, even at his own table, rather than neglect his duties at the desk. This did not come of any unworthy ‘amor nummi ; in Edward Loyd there was not the slightest taint of avarice; it was purely out of love of order and precision. This also rendered him indifferent to speculation, the desire to get rich by leaps, which, being a disorderly thing, he constantly discouraged……in his conduct towards others he was always kindly and amicable; he knew not what it was to be contentious, and sought, whenever the occasion arose, to promote peace. Grindon p 150 –53. ”In person Mr Edward Loyd was…well made, and compact. He had a fair, round, rosy, ample face, a fine old last–century castor countenance, a beautifully clear completion, a baldhead, and lucid grey eyes. Come upon him wherever you might, he always had the air of gentlemen – a certain refined simplicity tinged with stateliness." Grindon Page P 157. Roddy SALE (97d) has portrait of Sarah Taylor (daughter of Joseph Taylor) who married Edward Loyd (#8). Sarah’s mother married again, after Joseph Taylor, Thomas Henshaw who set up the Henshaw Trust which still exists today (2021) and Sarah left £20k to the Henshaw Trust in her will.  
In Sprivers, owned by the National Trust, is a portrait bust of Edward Loyd (#8) which was left to the NT by Robert Courthope (1891 – 1966: #36g). Bust reproduced by Roddy SALE (97d) in India and has a copy in Gloucestershire.</t>
  </si>
  <si>
    <t>Samuel, the 1st and last Baron OVERSTONE of Overstone and Fotheringhay both in the county of Northamptonshire, of Overstone Park [13] , Northamptonshire and of 2 Carlton Gardens, London SW1. Only son of Lewis LOYD (1768-1858: #3) Banker of 43 Lothbury, London and of Overstone Park, Northamptonshire. Born 25 Sep 1796 at 43 Lothbury. Educated Eton 1808/09-13 and Trinity College, Cambridge (MA 1818). Oxford (Hon DCL 1864). Partner in Jones Loyds Bank 1817. MP for Hythe 1819-26. Partner in Jones Loyds Bank 1817. MP for Hythe 1819-26.Exchequer Bill (subsequently Public Works Loan) Commissioner 1831-75. Witness before Bank Charter Committee 1832. ‘Reflections and Further Reflections’ published 1837. Witness before Bank Charter Committee 1832. ‘Reflections and Further Reflections’ published 1837. Hand Loom Weavers Commissioner 1837-40. Appeared before Select Committee on Postage 1838. Articles published. Appeared before Committee on Banks of Issue 1840. Writer for Morning Chronicle 1840-1841. Appeared before Committee on Bills of Exchange 1841. Joined Anti Corn Law League 1843. Chairman of British Association for the relief of the Extreme Distress in Ireland and Scotland 1846-49. Commissioner for the Great Exhibition 1850. Raised to Peerage 5 Mar 1850. 14 Lord Overgold is now Lord Overstone’ - Grindon p 168. Trustee of National Gallery 1850. Senator of London University 1850-77. Letters to The Times signed ‘Mercator’ 1855-57.  14 His elevation to the peerage gave rise to the following lines: ‘The Banker Lord must have his name destroyed; The peerage must be pure, no peer a (l)Loyd; No longer by his City title known -  Exchequer Bill (subsequently Public Works Loan) Commissioner 1831-75. Witness before Bank Charter Committee 1832. ‘Reflections and Further Reflections’ published 1837. Hand Loom Weavers Commissioner 1837-40. Appeared before Select Committee on Postage 1838. Articles published. Appeared before Committee on Banks of Issue 1840. Writer for Morning Chronicle 1840-1841. Appeared before Committee on Bills of Exchange 1841. Joined Anti Corn Law League 1843. Chairman of British Association for the relief of the Extreme Distress in Ireland and Scotland 1846-49. Commissioner for the Great Exhibition 1850. Raised to Peerage 5 Mar 1850 [14], Trustee of National Gallery 1850. Senator of London University 1850-77. Letters to The Times signed ‘Mercator’ 1855-57. Decimal Coinage Commissioner 1855-60. Consulted by government over future of Act of 1844. Appeared before Committee on Bank Acts 1857. Active in opposition to GLADSTONE’s financial policy 1860. Member of Volunteer Commission 1862. Resigns from Senate of London University 1883. By c1881, Lord OVERSTONE was in receipt of an income that was equivalent to 0.02 per cent of total United Kingdom taxable income, and his investments in land comprised 0.1 per cent of the total land area of Britain. Although he was, therefore, the possessor of one of the largest fortunes of his day, he gave away considerable sums of money (averaging one-third of his total expenditure between 1863 and 1882) to relatives [15] , friends and employees as well as to established charities. d. 17 Nov 1883 at 2 Carlton Gardens, buried at Lockinge, leaving Securities £2,188,084, and Landed Property £3,114,262 (much settled on his son-in-law before his death). Issue: 1 son, 1 daughter. Portrait by Frank HOLL in possession of Christopher Lewis LOYD (1923-2013). “The chief of the new commercial aristocracy is supposed to be Lord Overstone, one of the wealthiest subjects in the world, his fortune being estimated at five millions” - Great Governing Families of England 1865. Footnote: [13] The building of the present large house was started in 1861 at the wish of Lady Overstone in place of the previous house which Lewis LOYD (1768-1858) bought from the Kipling family. Three and a half years later Lady Overstone died and Lord Overstone disliked the new house so much that he lived almost entirely with his daughter and son-in-law at Lockinge and at 2 Carlton Gardens where his daughter and son-in-law also continued to live after Lord Overstone’s death [14] His elevation to the peerage gave rise to the following lines: ‘The Banker Lord must have his name destroyed; The peerage must be pure, no peer a (l)Loyd; No longer by his City title known - Lord Overgold is now Lord Overstone’ - Grindon p 168. [15] His “papers contain many details of the extensive financial support which he gave to Mrs T K Loyd [widow of Thomas Kirkman LOYD (1812-57)] and her children. He seems to have supported them, paid for their education, and launched them on their careers” - O’Brien p 1057, footnote. Roddy SALE (97d), in 2021, has portrait of Sarah Taylor (daughter of Joseph Taylor) who married Edward Loyd (#8). Sarah’s mother married again, after Joseph Taylor, Thomas Henshaw who set up the Henshaw Trust which still exists today (2021) and Sarah left £20k to the Henshaw Trust in her will.</t>
  </si>
  <si>
    <t xml:space="preserve">Thomas of Humeerpoor [17] , North West Provinces, India. 2nd son of William  (1770-1828: #4) of 7 Bread Street, Cheapside, London EC2. b. 10 Oct 1812 at Cheapside. Educated Haileybury 1831-32. Joined Bengal Civil Service 1833. Magistrate and Collector of Humeerpoor. Killed in Indian Mutiny 19 Jun 1857 at Humeerpoor. His wife Annie [18], daughter of Captain James HAIG [19] , survived the mutiny. Issue: 7 sons, 1 daughter. Original portrait in possession of John Michael LOYD (1938- ). Copy of a document in writing of Thomas Kirkman LOYD dated one week before his murder by the Sepoys in the Indian Mutiny: - “In case of my death I make my watch [20] a present to Gungah-Sahale, my Serishtadar, for faithful service since I have been in the district. My watch-chain and two seals, one with my crest, and one with “Annie” on it, I wish, if preserved, to go to my family; the chain and crest[ 2]1 to my son Arthur (as I know my brother Lewis’s watch is intended for my dear son Lewis) and the “Annie” seal to my dear little daughter. My father’s snuff-box to be dear little Archie’s, and the little cross and chain Annie’s, and all the other little things that may escape to be divided amongst my dear children, whom with my dearest wife may God preserve for ever and ever. We have authentic information that the whole English population of Allahabad have been destroyed and we expect our fate to be the same ere very long. I trust I die with no enmity in my heart towards any one, and I pray God to forgive me all my sins and to accept me thro’ the alone merits of His dear Son our Saviour Jesus Christ. (Signed) T.K.LOYD Humeerpore 12th June 1857” Footnote: [17] Or ‘Humeerpore’. Now Hamirpur, Uttar Pradesh, India. [18] Owing to a carriage accident she was unable to accompany her husband to India on his last return there, and thus survived the Mutiny. [19] Portraits of  Captain James HAIG and his wife, Maria, were in possession of the Rev Lewis Haig LOYD (1844-1905), then of Bishop Philip Henry LOYD (1884-1952) who gave them to Reginald Arthur LOYD (1886- 1961), who, in turn, left them as part of his estate to Peter Haig LOYD (1922- ). “All my childhood I remember a portrait my Father had of James Haig,....I remember my Father told us small children not to shoot our arrows at his portrait when we were all shooting madly, and James looked at us so sternly!” - in a letter from Mary Beatrix LOYD (1885-1989)[Kitty KONSTAM] dated 4 Nov 1987 to Peter Haig LOYD (1922- ). [20] Apparently his Serishtadar (or servant) held him in such high regard that he returned his gold watch to the family and it is now in the possession of Christopher Lewis LOYD (1923-2013). [21] Now in the possession of John Michael LOYD (1938- ).                                           </t>
  </si>
  <si>
    <t xml:space="preserve">Edward lived at Prestwich Lodge, Manchester and later at Lillesden House [22], Hawkhurst, Kent. 2nd son of Edward (1780-1863: #8). Born 19 Apr 1820, bapt. 6 Nov 1820 at St Anne’s, Manchester. Educated Eton and Trinity College, Cambridge. Banker of Jones Loyd &amp; Co. of King Street, Manchester. Lieut Colonel 1st Manchester R.V. 1863-67. DL, JP Lancashire. JP Kent. High Sheriff 1876. The patron and benefactor of All Saint’s, Gurnard, Nr. Cowes, Isle of Wight, consecrated 9 Jun 1893, contributed £250 before his death towards the total cost of £1,347. Member Royal Yacht Squadron 1866-90. d. 21 Dec 1890, buried at Hawkhurst. Will dated 1888. Estate £140,294. Issue: 2 sons, 5 daughters. Portraits of him and his wife, his gold repeater watch and picture of one of his yachts, “Day Dream” (92 ton Yawl) owned 1866-70, are in possession of Patrick William Geale LOYD (1951- ). Footnote: [22] Edward bought Lillesden estate of some 500 acres in 1854, pulled down the old Elizabethan house and built a new mansion finished in 1855. LOYD Crest and his monogram over doors. “COMING OF AGE AT LILLESDEN PARK - On Thursday last [26 April 1877], the eldest son [Frederick Edward LOYD (1856-1936)] of Lieutenant-Colonel, Edward Loyd, of Lillesden came of age, and there were great rejoicings. Lieutenant-Colonel Loyd and the members of his family are greatly beloved for their kind and generous deeds, and all classes in the neighbourhood appeared to vie with each other in evincing an interest in the event, and in testifying their good wishes for the health and happiness of the heir of Lillesden and all the members of his family. At an early hour the bells of the parish church sent forth a merry peal, and in the course of the morning a deputation of the tradesmen and inhabitants of the village paid a visit to Lillesden for the purpose of presenting an illuminated address to the hero of the day. This address contained suitable congratulations, and earnest hopes for his future health and happiness. It is needless almost to say that the deputation met with a very cordial reception, and after the presentation, which was preceded by a few appropriate remarks from the spokesman of the party, Mr Loyd thanked them for the interest they had manifested in him, and expressed his appreciation of the kindness of his visitors. Throughout the village there were great rejoicings, and the school children were very liberally entertained with buns, oranges, and other similar commodities which gladden the juvenile heart. The workpeople on Col. Loyd’s estate were regaled with an excellent dinner at the Eight Bells Inn, and, under the presidency of Mr Lansdell, a most enjoyable evening was spent. A fine fat bullock, well known on the farm, and rejoicing in the name of “King Koffee”, was killed in celebration of the coming of age, and a great portion of the meat gratuitously distributed. A large exhibition of bunting was to be observed at the Moor, and in other parts of the neighbourhood, and one enthusiastic tradesman, as the shades of evening crept on, illuminated the district with coloured fire, and despatched balloons on an aerial voyage. A large and distinguished company were entertained at the mansion, for whose amusement ample provision was made during the day, and in the evening a grand ball was held. The orchestra was occupied by Mr E. Johnson’s popular quadrille band from Tunbridge Wells, which played in first class style. The party included.......” etc. - report in local press. Roddy SALE (97d), in 2021, has a copy of a portrait bust of Edward (1820 – 1890: #22). The West Window in the Holy Trinity Church Cowes, Isle of Wight, is dedicated to Edward Loyd with a memorial on the left (north?) wall to his wife Caroline Louisa Foster (1825 – 1900). Behind the church is Thornhill (Edwards IoW residence), overlooking the Royal Yacht Squadron. Roddy also has a copy of a memoire of Lord Wantage written by his wife.
</t>
  </si>
  <si>
    <t xml:space="preserve">William of Langleybury, Nr. Watford, Hertfordshire and of 93 Eaton Place, London SW1 was the 3rd and youngest son of Edward (1780-1863: #8). Born 2 Aug 1821, bapt. 13 May 1822 at the Collegiate Church Manchester (later Manchester Cathedral). Educated Eton and Trinity College, Cambridge (BA 1843, MA 1846). Member of the London house of Jones Loyd &amp; Co. JP, DL for Hertfordshire. High Sheriff 1861. Built the church of St Paul, Langleybury 1864. Dies 28 Aug 1885, buried at Langleybury. Estate £347,726. Issue : 4 sons, 5 daughters.                                                                                 </t>
  </si>
  <si>
    <t xml:space="preserve">Lady WANTAGE of Lockinge House [24] Wantage, and of 2 Carlton Gardens, London SW1 was the only daughter of Samuel Jones LOYD, Baron OVERSTONE (1796-1883: #9). b. 30 Jun 1837. Sarah d.s.p. 9 Aug 1920, buried at Ardington, Nr Lockinge. Estate £768,587. Portrait by Philip LASZLO de LOMBOS in possession of Christopher Lewis LOYD (1923-2013). Footnote: [24]  built 1773, was given by Lord Overstone to his daughter Harriet and son-in-law after their marriage.                                                                             </t>
  </si>
  <si>
    <t xml:space="preserve">Lewis was the 2nd son of Thomas (1812-1857: #14) . Born 28 Mar 1844 at Simla, India. Educated MA. Rector of Abington, Northamptonshire 1870-77. Vicar of St Laurence, Northampton 1877-85. Vicar of Wing, Buckinghamshire 1885. Rector of Orlingbury, Northamptonshire. d. 4 Aug 1905, at Grange Gardens, Eastbourne, buried at Wing, Buckinghamshire. Issue: 3 sons, 1 daughter.                                                                                  </t>
  </si>
  <si>
    <t xml:space="preserve">Arthur lived at 42 Thurloe Square, London SW7 and was 3rd son of Thomas  (1812-1857: #14) . Born 28 Sep 1845 at Agra, India. Educated St Clare, Kent and RMC Sandhurst.  Cornet 21st Hussars Jul 1865. Joined Regt at Umballa, Punjab, India Oct 1865. Lieutenant Oct 1868. Adjutant May 1873-Dec 1877. Captain Dec 1877. Major Jul 1881. Retired Feb 1884. Recalled to serve in Boer War as Remount Officer. Commanded Advance Remount Depot, Pretoria 1900. Despatches. Lieut Colonel Nov 1900. Ornithologist. [27] Died 19 Mar 1930 at 42 Thurloe Square, buried with his grandmother, Maria Haig, at Brompton (grave no. 4844). Issue: 1 son. Footnote: [27] He was a keen amateur ornithologist with many references to birds in his letters from a very young age. Most of his diaries, in the possession of Margaret Beatrix Mary LOYD (1932- ) [Margaret WALTON], contain descriptions of birds. In 1894, he produced a beautiful, leather bound, hand written book “Bird Notes” with pen and ink diagrams of the anatomy of birds, which is now in the possession of John Michael LOYD (1938- ). [Margaret WALTON], contain descriptions of birds. In 1894, he produced a beautiful, leather bound, hand written book “Bird Notes” with pen and ink diagrams of the anatomy of birds, which is now in the possession of John Michael LOYD (1938- ). Brigadier Clive Simpson, one of our foremost authorities on British Birds, reviewing the book in 1995, wrote of “ the wonder of the reader at the meticulous care of the author; the beauty of his penmanship; the artistry of his ‘Synoptical Tables of Subdivisions’, with their subtle changes in the signs of the lettering and their clever construction. Above all, the reader becomes aware of the author’s love of his subject and his determination to make his book as beautiful as the birds of which he writes. The book is a work of art and should be recognized as such.”  “He and his wife never settled down until Eric [Eric William LOYD (1894-1963)] was born. They had always lived itinerant lives, he in the Army in India, England and Ireland and Minnie in Ceylon and then Mexico. [They visited many countries together between 1887 and 1893 including North Africa, Egypt, Turkey and Norway]. The story goes that early in 1894 Minnie, then aged 43, complained to a friend that they were about to embark on another voyage and she was pregnant again - having up to that time had 9 miscarriages! The friend insisted on her consulting a doctor with the result that she was made to rest for 9 months and my father was born in September 1894. They then bought a house near Salisbury ...” - Margaret Beatrix Mary LOYD (1932- ) [Margaret WALTON].                                                                  </t>
  </si>
  <si>
    <t xml:space="preserve">Archie lived at Downs House [28], East Hendred, Berkshire and of 60A Cadogan Square, London SW1. 4th son of Thomas (1812-1857: #14) . Born 22 Jan 1847 at Agra, India. Educated St Clare, Kent and Brighton College. Passed 3rd in open competition for Indian Civil Service, and Prize-man in English Law. Indian Civil Service 1867-69. Barrister-at-Law, Middle Temple 1868. QC 1892 (later KC on the death of Queen Victoria). Northern, and later, Midland Circuit, and Leicester and Northampton Sessions. Bencher 1894. Lent Reader 1907. MP for North Berkshire (Abingdon Division) 1895-1905 and 1916-18. Vice-Chairman, Council of the British Red Cross Society 29 . DL, JP, CA Berkshire. Died 1 Dec 1922 at 60A Cadogan Square, buried 4 Dec 1922 at West Hendred, Berkshire. Portraits by Catherine OULESS of him and his wife in possession of Peter Haig LOYD (1922- ). Issue: 4 sons. Archie Kirkman Loyd was actively involved in the work of the Red Cross Society from its foundation in 1870 by Lord Wantage with whom, in the law vacations, he often travelled abroad on Red Cross work. During the armistice (Feb 1871) in the Franco-German war, in response to the call for special diet for the besieged, he entered Paris with a large quantity of port wine and lime juice to overcome scurvy, and then purchased quantities of vegetables for the hospitals. In 1876 he travelled with Lord Wantage through Serbia and Turkey, and was present at the decisive battle of Alexinatz. Returning from then purchased quantities of vegetables for the hospitals. In 1876 he travelled with Lord Wantage through Serbia and Turkey, and was present at the decisive battle of Alexinatz. Returning from Constantinople, he established a temporary hospital at Scutari in Albania. In 1877, when Russia and Turkey were at war, he took thirteen tons of medicines and surgical appliances to Roumania and, after an adventurous journey, reached the Russian Emperor’s headquarters at Gorni-Studen, near Plevna where he was presented to the Czar who commanded that every facility should be given to him for carrying out his mission - the journal of the British Red Cross Society, Vol 1 No. 5 May 1914. Footnote: [28] Lord WANTAGE had lent to Archie Hodcott, West Ilsley, Berkshire in 1891 and built on the west wing for him which he had used as his country retreat until 1899. Lord WANTAGE then lent him Downs House which Lady WANTAGE conveyed to him in 1912.  29 Wrote “An outline of the History of the British Red Cross Society 1870-1914” published by The Abbey Press, Oct 1917.                                                             </t>
  </si>
  <si>
    <t xml:space="preserve">Frank lived at Lealands House, Groombridge, Sussex and was the 5th son of Thomas (1812-1857: #14). Born 13 Aug 1848 at Mussoorie, India.  55th Regiment, The Royal Inniskelling Fusiliers, 13 Jan 1868-30 Nov 1880. Adjutant 55 Rifles, 1 Nov 1879-30 Nov 1880. 108th Regiment, the Cheshire Militia 1 Dec 1880-Jun 1888. Lieut Colonel. JP for Sussex 1895. Died 9 Aug 1934 at Jevington Gardens, Eastbourne, Sussex. Issue: 2 sons.                                                                                 </t>
  </si>
  <si>
    <t xml:space="preserve">Ted lived at Spencer House, Aylesbury, Buckinghamshire and was the  7th and youngest son of Thomas (1812-1857: #14). Born 6 Aug 1851 at 17, Marlborough Place, St John’s Wood, London. He joined the 28th Regiment, 1st Glosters, from 6 Jul 1870. Retired with rank of Captain.Died 23 Oct 1922 at Broadstairs, Kent. Issue : 2 sons, 1 daughter.                                                                                 </t>
  </si>
  <si>
    <t xml:space="preserve">Frederic lived ot Monk’s Orchard, West Wickham, Kent until 1924 and then at Albyns, Romford, Essex and then of Shaw Hill House, Melksham, Wiltshire. He was the elder son of Edward (1820-1890: #22). Born 26 Apr 1856 at Prestwich Lodge, Manchester, bapt. 2 Jul 1856 at Prestwich Church. Educated Eton 1870-73 and Trinity College, Cambridge. Barrister-at-Law, Inner Temple 1889. JP Surrey, Hertfordshire 1892 and Essex 1902. d. 25 Jun 1936 at Shaw Hill House, buried at Shaw, Wiltshire. Issue: 2 sons, 3 daughters.                                                                               </t>
  </si>
  <si>
    <t>Edward lived at Langleybury, Nr. Watford, Hertfordshire and was the 2nd son of William (1821-1885: #23). Born 2 Apr 1861. Educated Eton 1874-78 and Trinity College, Cambridge.  DL. Alderman, Hertfordshire County Council. JP, High Sheriff 1894. Major, Hertfordshire Imp. Yeomanry 1891-1902. Chairman, Colne Valley Water Company. Director, Guardian Assurance. d. 6 Nov 1938.  Issue: (1st wife) 3 sons. Edward left the MINSHULL VERNON estate by Lewis (1844 – 1905: #28) (sold?). Roddy SALE (#97d) visited in 2021 and saw the Loyd window in the church.</t>
  </si>
  <si>
    <t xml:space="preserve">Llewellyn lived at Lillesden House 31 , Hawkhurst, Kent and was the younger son of Edward (1820-1890: #22). Born 30 Jun 1861 at Prestwich Lodge, Manchester, bapt. 7 Aug 1861 at Prestwich Church. Educated Eton 1875-77 and Christ Church, Oxford 1881. JP Kent. Member Royal Yacht Squadron 1892-1939. Yacht SS ‘Lotus’ (70 tons) owned 1890-1906. d. 27 Dec 1939 at Lillesden Frith 32 , buried at Hawkhurst, Kent. Issue: 3 sons, 1 daughter. Footnote: 32 Llewellyn sold Lillesden House circa 1923-25 and it became first a boys Preparatory school and then a girls school until 1998, when it was sold. All the land of the 500 acre estate had been sold by his death. The house is now a grade II listed building and, by 1999, was being lived in and returned to a private house and estate. 32 (also known as The Beeches). Llewellyn is featured in a group portrait (c1910) in the Royal Yacht Squadron at Cowes, by Kaiser Wilhelm II.                                                 </t>
  </si>
  <si>
    <t xml:space="preserve">William lived at Stonehill, Bagshot, Surrey and of Ovington House, Ovington Gardens, London SW3 and was the 3rd son of William (1821-1885: #23). Born 30 Sep 1863. Educated Eton 1876-80.  JP Berkshire. Captain 2nd Vol Battalion, Welsh Regiment 1883-92. Died 18 Jun 1923. Issue : 4 sons, 1 daughter.                                                                                 </t>
  </si>
  <si>
    <t xml:space="preserve">Arthur lived at Idaho 33, Ringwood, Hampshire. 4th and youngest son of William (1821-1885: #23). Born 20 Jul 1868 at 77 Eaton Square, London, SW1. Educated Eton 1881-84.  Captain, 2 Vol. Battalion, Warwickshire Regiment 1891-96. 4 Vol. Battalion, Hampshire Regiment 1897-1900. d.s.p. 21 Jun 1911 of pneumonia in Las Palmas. Footnote: 33 Idahao was a log house designed by the Architect, Kirtland CUTTER, of Spokane, USA and built in 1897 among pinewoods south of the town.                                                                                 </t>
  </si>
  <si>
    <t xml:space="preserve">Lewis was the elder son of Frederick (1856-1936: #41). He lived firstly at Monk's Orchard, Kent and then Albyns, Romford, Essex and then at Shaw Hill House, Melksham, Wiltshire.Born 6 Oct 1880. Educated Eton 1894-98 and Trinity College, Cambridge. Barrister-at-Law, Inner Temple 1906. Served in World War I in Gallipoli as Major, Lovat’s Scouts, attached Worcestershire Yeomanry. Died 21 Sep 1918 at 12 Landsdowne Road, Dublin, of Influenza and Pneumonia. Issue : 1 daughter.                                                                                </t>
  </si>
  <si>
    <t xml:space="preserve">Edward lived at Haughton House, Churchill, Oxfordshire and was the younger son of Frederic (1856-1936: #41). Born 23 Dec 1881. Educated Eton 1895-99 and Trinity College, Cambridge (BA 1903, MA 1906).  DL, JP, CC. Barrister-at-Law, Inner Temple 1906. Served in World War I in France as Corporal, Royal Scots Greys and later as Major, Warwickshire Yeomanry. Died 6 Feb 1962. Issue : 1 daughter.                                                                            </t>
  </si>
  <si>
    <t xml:space="preserve">Alfred lived at Lealands House, Groombridge, Sussex and was the elder son of Frank  (1848-1934: #32). Born 10 Feb 1882. Educated Eton 1895-98 and RMC Sandhurst.  Royal Sussex Regiment. Boer War 1901-02 Queen’s Medal and 4 clasps. Captain 1910. Major 1916-19. Served in World War I in France as Brigade Major. Died 13 Feb 1919 at Greystones Military Hospital, Blackpool, Lancashire of heart failure following influenza. Issue : 1 son, 1 daughter.                                                                                 </t>
  </si>
  <si>
    <t xml:space="preserve">Lewis was the elder son of Lewis  (1852-1908: #35) of Withybrook, Wolvey etc.Born 17 Apr 1882. Educated Eton 1896-99 and Christ Church, Oxford.  Served in World War I in France and Egypt as Air Mechanic and later as Lieutenant Royal Air Force. Died 1 Feb 1950, buried at Teignmouth, Devon. Issue : (2nd wife) 1 son, 4 daughters.                                                                                 </t>
  </si>
  <si>
    <t xml:space="preserve">Arthur lived at Lockinge House, Wantage, Berkshire and was the 2nd son of the Rev Lewis (1844-1905: #28). Born 19 Apr 1882. Educated Eton 1895-1900 and Hertford College, Oxford (BA 1904, MA 1918). m. 24 Jul 1911 Dorothy (b. 19 Jan 1886, d. 15 Jan 1966, buried at Lockinge) only daughter of Paul Ferdinand WILLERT (1844-1912) of Headington Hill, Oxford. Egyptian Public Service 1905-18. OBE 1908. Secretary to Lord MILNER, Egyptian Commissioner 1919. JP 1921. MP for Abingdon 1921-23. Ecclesiastical Commissioner 1923. DL 1926. High Sheriff 1927. Lord Lieutenant 1935. Vice-Chairman County Council 1931-38. Chairman County Council 1938. Hon Colonel 80th AA Regiment (TA). Warden of Bradfield College 1938-44. Died 4 Nov 1944, buried at Lockinge. Estate £1,157,484. Issue : 3 sons, 3 daughters.                                                                              </t>
  </si>
  <si>
    <t xml:space="preserve">Bobby lived at Kings Walden, Windsor, Berkshire and was the 2nd son of Archie (1847-1922: #30). Born 16 Sep 1887 at Lockinge House, Wantage, Berkshire, bapt. 27 Oct 1887 at Lockinge. Educated Eton 1900-05 and Magdelen College, Oxford (BA 1911, MA 1924). Served in World War I in France as Lieutenant 16th Lancers att. RE Signal Service (despatches 3 times). MC 1916. OBE 1919. Major, The Life Guards. Served in World War II as 2nd in Command 152nd Officer Cadet Training Unit 1939-42. Chairman Gardner’s Trust for the Blind, Princess Louise Hospital for Children 1937-40 and the London Foot Hospital. Knight of St John 1950. Almoner 1948. Died 25 Jun 1977 at Wexham Park Hospital, Slough, Berkshire, buried 6 Jul 1977 at West Hendred, Berkshire. Issue : 1 daughter.                                                                           </t>
  </si>
  <si>
    <t xml:space="preserve">William lived at Upper House, Shamley Green, Guildford, Surrey and was the eldest son of Edward  (1861-1938: #44 ) Born 7 May 1889. Died 27 Oct 1947. Issue: 2 sons, 1 daughter.                                                                                  </t>
  </si>
  <si>
    <t xml:space="preserve">FrancIs was the younger son of Frank (1848-1934: #32). Born 26 May 1889. Served in World War I as Captain [1], Sherwood Foresters - (wounded-convalaesced at Polesden Lacey 2 ), Foreign Office and King’s Messenger. Secretary to Sir Ronald CROSS, High Commissioner, Australia 1943. Died (unmarried) 18 Jan 1956 at Grange Cottage, Horsell, Woking, Surrey. Footnote: [1] Wounded, 10 July 1915, bullet wound to right leg [shattered], transported by trawler to hospital ship - Army records. 2 Frances spent a  few months convalescing  Polesden Lacey (now National Trust) from June 1915 until late 1916 Margaret Greville opened Polesden Lacey as a convalescent hospital for officers. Having experienced the horrors of war: wounded in the trenches of Ypres, and Loos, subjected to gas attacks, shrapnel wounds and trauma; Polesden Lacey provided a brief respite and a nostalgic glimpse of the privileged world many of these young men had inhabited before the war.They would have been through quite a journey from the dressing stations on the Western Front, to casualty clearing stations and base hospitals in France, before finally being evacuated to hospitals in the UK including King Edward VII hospital in London.More than 80 soldiers spent time at Polesden recovering from their wounds after being evacuated from the front line. While some had minor injuries and may have only stayed briefly at Polesden, others were learning to live with amputations or permanent damage to their lungs and so stayed longer. [ Signature of Francis F. Loyd seen in the 1915-1916 patient 'visitors book' at a 'Great War Centenary Exhibition' at Polesden Lacey  in October 2016 by Dominic Loyd #131)                                                                     </t>
  </si>
  <si>
    <t xml:space="preserve">Arthur lived at 450 Cadder Avenue, British Columbia, Canada and was the elder son of Edward (1851-1922: #34). Born 16 Nov 1890. Educated Marlborough.  President, British Columbia Tree Fruits Limited 1940-55. Member, Canadian Horticultural Council. MBE 1946. Died 11 Sep 1974, buried at Kelowna, British Columbia. Issue: (1st wife) 1 son.                                                                            </t>
  </si>
  <si>
    <t xml:space="preserve">Henry (Budget) lived at Mettingham Pines, Bungay, Suffolk and was the 2nd son of Edward (1861-1938: #44). Born 21 Feb 1891. Educated Eton 1904-09 and RMC Sandhurst. Served in World War I in France as Captain Coldstream Guards and Lieut Colonel Staff (wounded 4 times) (despatches 3 times). Commanded 3rd Battalion, Coldstream Guards 1929-32. Officer Commanding Coldstream Guards Regiment 1932-34. GSO 1934-36. Brigadier, General Staff, British Troops, Egypt 1936-38. Commanded 1st Infantry Brigade (Guards) 1938-39. Served in World War II. Commanded 2nd division 1939-40. Chief of General Staff, Home Forces 1941-42. GOC-in-C Southern Command 1942-43. GOC London District 1944-47. Colonel, Coldstream Guards 1945-66. AdC General to HM King George VI 1946-47. MC 1915, DSO 1918, CB 1941, KCB 1943, KCVO 1947, GCVO 1965, Croix de Guerre (France), Comdr. Legion Merit (USA), Gd Offr. Order of Orange, Nassau with Swords (Netherlands). Retired 1947. DL 1954 Norfolk. Died 11 Nov 1973. Issue: 1 son, 1 daughter.                                                                           </t>
  </si>
  <si>
    <t xml:space="preserve">Edward was the younger son of Edward (1851-1922: #34). Born 14 Mar 1893. Educated Marlborough. Served in World War I as 2nd Lieutenant Royal Irish Rifles (despatches 1917). Captain 11th/12th Bengal Cavalry. Late Probyns Horse T.A. Major British Columbia Dragoons. MC. Arrived in Kelowna in 1923. Orchardist 1923-30. Hotel Manager 1930-32. Died 25 May 1932 at Kelowna, British Columbia after a car accident. Issue: 1 daughter.                                                                                  </t>
  </si>
  <si>
    <t xml:space="preserve">Wilfred lived at 36 Chester Square, London SW1 and later of Oakhill, Seaview, Isle of Wight. He was 4th and youngest son of Archie (1847-1922: #30). Born 13 Sep 1893 at Hodcott, West Ilsley, Berkshire, bapt. 19 Nov 1893 at West Ilsley. Educated privately and Trinity College, Cambridge. Served in World War I 1914-19. Enlisted as Corporal, Despatch Rider. Served in 1st battle of Ypres. Lieutenant RTO 1915. Captain, Royal Engineers. Member, London Stock Exchange 1922-28. Chairman, Young Conservatives Union 1933-39. Died 17 Sep 1971 at Oakhill, Seaview, Isle of Wight, cremated 22 Sep 1971 at Newport, Isle of Wight, ashes interred in family grave at West Hendred. Issue: 3 sons, 1 daughter.                                                                                 </t>
  </si>
  <si>
    <t xml:space="preserve">Vivian lived at Cowarth Park Farm, Sunningdale, Berkshire and was the 2nd son of William (1863-1923: #46). Born 13 May 1894. Educated Wellington. Served in World War I as Captain RFA. In partnership with John CARTON, responsible for the Carden Loyd carrier used by the Army during World War II. Died 19 Mar 1972 at Princess Christian Nursing Home, Windsor. Issue: (2nd wife) 1 son, 1 daughter. (3rd wife) 1 son, 1 daughter.                                                                             </t>
  </si>
  <si>
    <t xml:space="preserve">Eric lived at The Dene, Riverwoods, Marlow, Buckinghamshire and of 42 Thurloe Square, London SW7 and was the only son of Arthur (1845-1930: #29). Born 29 Sep 1894, bapt. 9 Nov 1894 at St. James’s, Spanish Place, London W1. Educated Eton 1908-12 and Magdalen College, Oxford. Served in World War I in France and Balkans. Captain, Green Howards 1914-26. (Wounded Loos 1915) (despatches). Att. MGC. Selonica and South Russia 1916-19. Served in World War II as Captain Staff, War Office and Royal Hospital, Chelsea.Died 19 Apr 1963, buried at St Peter’s, Marlow. Issue: 2 sons, 2 daughters.                                                                            </t>
  </si>
  <si>
    <t xml:space="preserve">Peter lived at 450 Cadder Avenue, Kelowna, British Columbia, V1Y 5N3, Canada and was the only child of Arthur (1890-1974: #71). Born 12 Aug 1913 at Walhachin, British Columbia. Educated Kelowna. Daimler Motor Works, Coventry 1933-36. Served in World War II as Squadron Leader, Royal Air Force. Pilot RAF Coastal Command 1936-1945. Irrigation Engineer, British Columbia 1948-72. Died 2 Jul 2008 Issue: 2 sons, 1 daughter.                                                                                  </t>
  </si>
  <si>
    <t xml:space="preserve">Frank lived at 53 Park Road, Aldeburgh Suffolk, IP15 5EN and was the only son of Alfred (1882-1919: #54). Born 5 Sep 1916 at Berkhamstead, Hertfordshire, bapt. 23 Sep 1916 at Fryth Cottage, Berkhampstead. Educated Eton 1930-35 and Trinity College, Oxford (MA). MBE 1951, OBE 1954, CMG, 1961, KCMG 1965. District Officer, Kenya 1939. Military Service East Africa 1940-42. Private Secretary to Governor of Kenya 1942-45. District Commissioner 1945-56. Commonwealth Fund Fellowship to USA 1953-54. Provincial Commissioner 1956-62. Permanent Secretary Governor’s Office 1962-63. HM Commissioner for Swaziland 1964-68. Director London House for Overseas Graduates 1969-79. Chairman Oxfam Africa Committee 1979-85. Died 13 Dec 2006 Issue: (1st wife) 2 daughters.                                                                            </t>
  </si>
  <si>
    <t xml:space="preserve">Alwyne lived at Stag Cottage, 17 Kings Road, Teddington, Middlesex, TW11 0QB and was the only son of Cecil (1890-1963: #68). Born 26 Mar 1920 (twin with his sister, Jill) at St Margaret's Cross, Hawkhurst. bapt. 2 May 1920 at St Laurence, Hawkhurst, Kent by his uncle the Rev Frank ETESON. Educated Repton. Served in World War II in Africa, Italy and Burma (despatches). Major, Royal Engineers, TD 1950, ERD 1961, MCIT 1949. Retired from Emergency Reserve 1961. In Brewing industry. Liveryman of Goldsmith’s Company 17 Oct 1945 by special grant, as ward of George Loyd, Baron COURTHOPE (see No. 36) the Prime Warden of the Goldsmiths’ Company 1943-44. Died 10 May 2014  After their mother’s early death in 1932 at the age of 42, he and his twin sister were sent to live at Whiligh as Wards of Sir George [later Lord] COURTHOPE [see No. 36] where they experienced some resentment from Lady COURTHOPE and her two daughters. On occasions, delicate family matters were discussed in their presence such as the misdemeanours of their grandfather, Llewellyn Foster LOYD (1861-1939), in ruining his estate and being bailed out of his debts by his sister, Caroline Foster LOYD (1864-1940) [Mrs Hardcastle], all of which caused them considerable distress. However, one Christmas at Whiligh, they received a surprise present of £20 from an unnamed LOYD relative in Tunbridge Wells, which kindness they have never forgotten. Her name was not mentioned but it must have been Annie LOYD (1853-1946) who would have been told of their situation by their guardian. Issue: 6 sons.                                                                            </t>
  </si>
  <si>
    <t>Edward lived at 10 Cadogan Square, London SW1. Elder son of William (1889-1947: #66). Born 21 Feb 1921. Educated Eton 1934-38. Served in World War II in North Africa. Captain, Coldstream Guards. Prisoner of war. Died 7 Jan 1977, buried at Langleybury, Hertfordshire. Issue: 1 son, 1 daughter.</t>
  </si>
  <si>
    <t xml:space="preserve">Peter (98): 1922 - 2022 </t>
  </si>
  <si>
    <t xml:space="preserve">Peter lives in North London and is the eldest son of Wilfrid (1893-1971: #77). Born 9 Oct 1922 at Frittenden, Kent, bapt. 9 Dec 1922 at St Michael’s, Chester Square. Educated Eton 1936-40. Served in World War II in Home Fleet in HMS Belfast, and on land in India and Burma. Captain, Royal Marines. Adjutant and Troop Commander, 42 Commando Royal Marines 1943-45. OC Royal Marines HMS Nigeria 1945-47. Retired from Royal Marines 1958. Imperial Chemical Industries, Plastics Division 1958-61. BTR Industries 1961-66. Industrial Society 1966-74. Director, British Institute of Management 1974-84. FMS 1966, FBIM 1974 (now FIMgt), FIIM 1979. Yachtmaster (Offshore) 1976. Loyd Family Archivist producing a THE LOYD FAMILY, "Who's  Who", first published in 1985 and updated with THE LOYD FAMILY a "Who's Who" in date of birth order from William LLOYD (1729-1800) in 2000. Issue: (1st wife) 1 son, 2 daughters. (2nd wife) 1 son, 1 daughter.                                                                 </t>
  </si>
  <si>
    <t xml:space="preserve">Peter lived at Towersey Manor, Thame, Oxfordshire and was the younger son of William (1889-1947: #66). Born 18 Apr 1923. Educated Eton 1936-40. . Served in World War II as Captain, Coldstream Guards and later as Major, Coldstream Guards. Died 12 Jun 1974. Issue: 1 son, 1 daughter.                                                                                 </t>
  </si>
  <si>
    <t xml:space="preserve">Larch lived at Lockinge, Wantage, Oxfordshire, OX12 8QL. 3rd and was youngest son of Arthur (1882-1944: #56). Born 1 Jun1923 (twin with his youngest sister, Catherine ). Educated Eton 1936-42 and Kings College, Cambridge (BA 1949. MA).  Served in World War II 1942-45 as Captain, Coldstream Guards, MC 1944. FRICS, DL 1954, JP 1950, High Sheriff 1961. Member Jockey Club. Trustee of Wallace Collection 1973-90. Died 14 Jul 2013 Issue: 2 sons, 1 daughter.                                                                                  </t>
  </si>
  <si>
    <t xml:space="preserve">Sir Julian lived at Laycocks, Sandringham, Norfolk, and later of Perrystone Cottage, Burnham Market, King’s Lynn, Norfolk, PE31 8HA.  He was the only son of Sir Henry (1891-1973: #72). Born 25 May 1926. Educated Eton 1939-44 and Magdalene College, Cambridge (BA 1952. MA 1955). Served in World War II as Lieutenant, Coldstream Guards. He was partner with Savills Norwich between 1955 and 1964. He was agent to HM the Queen at Sandringham 1964-1991. FRICS 1960. He was appointed Commander, Royal Victorian Order (CVO) in 1979. He held the office of Deputy Lieutenant (DL) of Norfolk in 1983. He was appointed Knight Commander, Royal Victorian Order (KCVO) in 1991. Died 7 February 2018 Issue: 2 sons, 2 daughters.                                                                               </t>
  </si>
  <si>
    <t xml:space="preserve">Geoffrey lived at Remenham House, Ocle Pychard, Herefordshire, HR1 3RB and was the 2nd son of Wifrid (1893-1971: #77). Born 17 Jun 1926 at 36 Chester Square, bapt. 27 Jul 1926 at St Michael’s, Chester Square. Educated Eton 1939-43.   Cape Times (South Africa) 1948-51. London School of Printing &amp; Graphic Arts. Bowater Paper Corp. 1957-66. Tyler Smith &amp; Co. 1967-8. H. P. Bulmer 1968-70. Chairman &amp; MD Hereford Herbs 1970-89. Vice-President British Herb Trade Association from 1980. Chairman Herefordshire Fine Foods Marketing Grp. 1988-97. Chairman National Speciality Food &amp; Drink Committee 1990-1. Council British Speciality Foods 1990-97. Chairman &amp; MD Burley Marketing Associates from 1989. AIMSM 1961, AAMA 1964, MIM 1969. MBE 1997. Issue: (1st wife) 2 sons.                                                                               </t>
  </si>
  <si>
    <t>Joscelyn is the eldest daughter of Lewis (1882-1950: #55). Born 1 Dec 1931 at 12 Rue de Boileau, Paris, bapt. 1932 at the English Church of St. George, Paris.  Joscelyn's husband, Frank Hoyle, died 1 Jan 2006</t>
  </si>
  <si>
    <t xml:space="preserve">Willie lived at Cowarth Park Farm, Sunningdale, Berkshire and later of Pink Hill Farm, Eynsham, Oxfordshire and was the elder son of Vivian (1894-1972: #113). Born 23 Dec 1937. Educated Eton 1951-55.  Major, Life Guards. Author of 'Challengers and Chargers', a history of The Life Guards 1945-1992, and of 'A Lurcher in the House'. Died  8 Jul 1994. Issue: (1st wife) 1 son.                                                                              </t>
  </si>
  <si>
    <t xml:space="preserve">Michael lives at Threepwood Farmhouse, Haydon Bridge, Northumberland, NE47 6AL and is the elder son of Eric (1894-1963: #80). Born 28 Aug 1938, bapt. 27 Sep 1938 at St Peter’s, Marlow. Educated Ampleforth and RMA Sandhurst. Captain, Royal Dragoons 1958-69. Courage Breweries 1969-77. Lieut Colonel, Sultan of Oman’s Forces and Secretary to Defence Committee, Government of Oman 1977-81. Farmer from 1981. JP 1984. High Sheriff 1993. Issue: 3 daughters.                                                                                </t>
  </si>
  <si>
    <t xml:space="preserve">Patrick lives at Abbotsford, 3 Le Hurel, La Greve, Vale, Guernsey, Channel Islands and is the only son of Lewis (1882-1950: #55). Born 29 Mar 1942 (twin with his youngest sister, Patricia) in Norwich, bapt. 10 Jun 1942 at St. Mary’s, Martham, Norfolk. Issue: 1 son, 2 daughters.                                                                                   </t>
  </si>
  <si>
    <t xml:space="preserve">Peter lives at Mantle Hill, Hesleyside, Bellingham, Hexham, Northumberland, NE48 2LB and is the younger son of Eric  (1894-1963: #80). Born 8 Sep 1942, bapt. 28 Sep 1942 at St Hubert’s, Dunsopbridge, Lancashire. Educated Ampleforth and RMA Sandhurst. Captain, Royal Scots Greys 1962-71. Scottish &amp; Newcastle Breweries 1971-78. MD Christopher &amp; Co 1978-84. Farmer and independent wine merchant from 1984. Chairman Orders of St John Care Trust 2007-13, High Sheriff 2013, Knight of Malta (Grand Cross) 1980. Issue: (1st wife) 1 son, 1 daughter. (2nd wife) 2 daughters.                                                                                </t>
  </si>
  <si>
    <t xml:space="preserve">David lives at 2185 Abbott Street, Kelowna, British Columbia, Canada. Elder son of Norman (1913-2008: #86). Born 26 Jun 1952 in Kelowna, British Columbia, bapt. 5 Oct 1952 at St. Michael’s, Kelowna, British Columbia. Educated Kelowna and University of Victoria, British Columbia (BA History). Dip Ed. Issue: 1 son.                                                                                 </t>
  </si>
  <si>
    <t xml:space="preserve">Dominic lives at 126 Princess Anne Road, Boston, Lincolnshire, PE21 9AQ and is the 3rd son of Alwyne (1920-2014: #94). Born 17 Mar 1953 at St George’s Wood, Haslemere, Surrey, bapt. 25 Sep 1953 at St Deny’s, Sleaford, Lincolnshire by the Rev Brian BECKWORTH. Educated Fyfield School, Essex and Gipsy Hill College, Kingston University (Cert Ed 1975. Dip Maths 1984). Educated Gipsy Hill College, Kingston University (Cert Ed 1976). Teacher, Eastwick Primary School, Great Bookham, Surrey 1975-79. Hammond Primary School, Bagshot, Surrey 1979-83. Deputy head teacher, Beaufort School, Woking, Surrey 1983-87. Head teacher, St Paul’s School, Addlestone, Surrey 1987-90. Headteacher, Tower Road School, Boston, Lincolnshire 1990-2014, Heateacher Consultant 2004-2006, NAHT President - Lincolnshire Branch 2008-2012, Freeman of Goldsmiths’ Company 1974. Issue: 3 sons.                                                                           </t>
  </si>
  <si>
    <t xml:space="preserve">James lives in Verde Vista, Kelowna, British Columbia V1X 4K4, Canada and is the younger son of Norman (1913-2008: #86). Born 23 Aug 1955 at Kelowna, British Columbia, bapt. 5 Apr 1956 at St Mary’s, Oyama, British Columbia. Educated Kelowna. Professional Ski Instructor and Resort Sales Director. Issue: 2 sons.                                                                              </t>
  </si>
  <si>
    <t xml:space="preserve">Tim lives in Perthshire, Scotland, previuosly of 286 Iffley Road, Oxford, OX4 4AA and is the 4th son of Alwyne (1920-2014: #94). Born  4 Jun 1957 at Burton-on-Trent Maternity Home, bapt. 29 Sep 1957 at St Aiden’s, Shobnall, Burton-on-Trent by the Rev Harold SPRIGGS. Educated Manchester (BA Econ Hons. 1978) and Warwick (Cert Bus Admin 1988). Freeman of Goldsmiths’ Company 1978. Issue: 3 daughters.                                                                                </t>
  </si>
  <si>
    <t xml:space="preserve">Rick lives at 14 Park Road, East Molesey, Surrey, KT8 9LE. 6th and is the youngest son of Alwyne (1920-2014: #94) . Born 26 Mar 1962 at St John’s Hospital, Chelmsford, Essex, bapt. 17 Jun 1962 at St Thomas the Martyr, Brentwood, Essex, by Canon James WILLARD. Educated York (BSc Maths Hons. 1983), Loughborough (PGCE Maths &amp; PE 1986) and Birkbeck College, London (Appd Stats &amp; Operational Research MSc 1992). Teacher, Farnborough Sixth Form College 1986-89. Statistician, Defence Analytical Services Agency 1989-95. Social Researcher, SIA 1995-96. Company Statistician, British Market Research Bureau from 1996. C Stat 1996. Member of Market Research Society. Freeman of Goldsmiths’ Company 1984. Parent Governor, Orchard School, East Molesey, Surrey from 1998. Issue: 2 sons.                                                                               </t>
  </si>
  <si>
    <t xml:space="preserve">Harriet is the only daughter of Larch (1923-2013: #100). Born  20 Jun 1962, bapt. at All Saints’, Lockinge. m. 19 Oct 1985 at All Saints’, Lockinge by the Rev R G FOSTER. Issue:                                                                            </t>
  </si>
  <si>
    <t xml:space="preserve">Charles is the elder son of Sir Julian  (1926-2018: #104). Born 20 Mar 1963, bapt. 25 May 1963 at Raveningham Church, Norwich, Norfolk.  Page of Honour to HM The Queen 1976-79, Assistant Agent to Chatsworth Settlement Trustees 1986-89, Cluttons, Berkeley Square, London 1989-1992, 1992- Strutt and Parker, Ipswich. Memberships of I Zingari, MCC and Liveryman of the Worshipful Company of Fishmongers. Interests: Cricket, Flyfishing. Issue: 1 son 1 daughter                                                                                    </t>
  </si>
  <si>
    <t xml:space="preserve">Anthony is the only son of Willie (1937-1994: #113). Born 12 Sep 1966. Educated Eton 1980-82; St Mary's College, Guildford and RMA Sandhurst. Lieut, Royal Green Jackets 1986-1991. Served in Northern Ireland and Gulf War. m. (1) 7 Sep 2002 Lady Sofia HAMILTON daughter of daughter of James Hamilton, 5th Duke of Abercorn, and Sacha Hamilton, Duchess of Abercorn. (Div. 2005) m. (2) 2007 Harriet Louise MELLOR. Journalist. Freelance war correspondent for The Times from 1993 to present. Lived in Bosnia to cover the war in the former Yugoslavia. Also covered other wars including Chechnya, Afghanistan, Sierra Leone and Kosovo. Author of ‘my war gone by, I miss it so’, Doubleday 1999.   Issue:( 2nd Wife)  Delilah b. 1 Aug 2006.                                                                              </t>
  </si>
  <si>
    <t xml:space="preserve">James lives at St Andrew’s Cottage, Donhead St Andrew, Shaftesbury, Dorset, SP7 9LQ and is the younger son of Larch  (1923-2013:  #100). Born 15 Sep 1966, bapt. 15 Nov 1966 at All Saints’, Lockinge. Educated Kings, Bruton. m. 27 Nov 1993 at St Margaret’s, Westminster, London, Lady Tara Guinevere CRICHTON (b. 9 May 1967) youngest daughter of the 6th Earl of ERNE, of Crom Castle, Newtown Butler, co Fermanagh. Issue: 1 son, 1 daughter.                                                                                   </t>
  </si>
  <si>
    <t xml:space="preserve">Molly lives at The Barns, Manor Road, Stretton, Rutland and is the 2nd daughter of Peter (1942 -  :  #119). Born 7 Apr 1982, bapt. 22 May 1982 at St Mary Magdalene’s, Wandsworth, London. Educated Queen Margarets, York. Rutland Kinesiology 2019-, Dame of Malta 2014 Issue:                                                                                </t>
  </si>
  <si>
    <t xml:space="preserve">Ben lives at 71 Grimsby Road, Louth, Lincolnshire and is the 3rd and youngest son of Dominic  (1953 - : #131) Born 11 Mar 1988 at St Peter’s Hospital, Chertsey, Surrey, bapt. 10 Jul 1988 at St Andrew’s, Goldsworth Park, Woking, Surrey in the local school. Education Tower Road Primary, Giles School Old Leake, University of Herfordshire (BA Hons [1st] 3D Animation 2006-09),m. Holly Katherine TURNER Media Support Teacher 2010-11, Lincolnshire Police 2012. Issue: 2 daughters                                                                                </t>
  </si>
  <si>
    <t xml:space="preserve">Camilla is the elder daughter of Thomas (1959 - : #138).  Born 31 May 1988, bapt. at St Mary the Virgin, Fawley, Nr Wantage.  Issue: 1 son                                                                                  </t>
  </si>
  <si>
    <t xml:space="preserve">Sophie is the younger daughter of Thomas (1959 - : #138 ). Born 2 Dec 1989, bapt. at All Saints' Lockinge.                                                                                </t>
  </si>
  <si>
    <t xml:space="preserve">Curtis lives in Kelowna, British Columbria, Canada and is the elder son of James (1955 - :  #135)  Verda Vista, Kelowna, British Columbia V1X 4K4. Born 4 Jan 1992. m. as of  12 Aug 2022 Andrea Devan KIRKHAM (b. 11 Nov 1991). College Degree in Business.                                                                                   </t>
  </si>
  <si>
    <t>Matilda is the elder daughter of William (1973 - #155) Born 12 Feb 2006</t>
  </si>
  <si>
    <t>Delilah is the only daughter of Anthony (1966 - #149) Born 1 Aug 2006</t>
  </si>
  <si>
    <t>Katherine is the younger daughter of William (1973 - #155) Born 5 July 2007</t>
  </si>
  <si>
    <t>Henry is the only son of William (1973 - #155) Born 6 Jan 2010</t>
  </si>
  <si>
    <t>Stats for Book</t>
  </si>
  <si>
    <t>Total</t>
  </si>
  <si>
    <t>Span of Generation</t>
  </si>
  <si>
    <t>Life Expectancy</t>
  </si>
  <si>
    <t>All LOYDS</t>
  </si>
  <si>
    <t>Males</t>
  </si>
  <si>
    <t>Females</t>
  </si>
  <si>
    <t>48 (42)</t>
  </si>
  <si>
    <t>59 (44)</t>
  </si>
  <si>
    <t>LE (UK) in YEAR</t>
  </si>
  <si>
    <t>57 (45)</t>
  </si>
  <si>
    <t>65 (48)</t>
  </si>
  <si>
    <t>58 (60)</t>
  </si>
  <si>
    <t>65 (64)</t>
  </si>
  <si>
    <t>LE Male Loyds</t>
  </si>
  <si>
    <t>LE Female Loyds</t>
  </si>
  <si>
    <t>71* (67)</t>
  </si>
  <si>
    <t>78* (73)</t>
  </si>
  <si>
    <t>Average Children / Loyd</t>
  </si>
  <si>
    <t>POWELL </t>
  </si>
  <si>
    <t>168b</t>
  </si>
  <si>
    <t>Sofia</t>
  </si>
  <si>
    <t>Berners</t>
  </si>
  <si>
    <t>Benjamin Randulph Berners POWELL (b. , )</t>
  </si>
  <si>
    <t>Oliver Michael Folliott POWELL (b. , )</t>
  </si>
  <si>
    <t>List # with children/ grandchlidren etc</t>
  </si>
  <si>
    <t>Declined</t>
  </si>
  <si>
    <t>Married Savile, 3rd Baron SOMERLEYTON of Somerleyton Hall, Lowestoft, Suffolk, NR32 5QQ. Saville Educated Eton 1942-46; Captain, Coldstream Guards; Co. Councillor, East Suffolk 1967-73; DL, JP, Master of the Horse, and a Lord in Waiting to HM The Queen from 1978. Director East Anglian Water Co.</t>
  </si>
  <si>
    <t>England, Kenya, Swaziland (later called Eswatini)</t>
  </si>
  <si>
    <t>England &amp; New Zealand.</t>
  </si>
  <si>
    <t>Married Olive, at St Anne’s, Bowden Hill, Wiltshire, 2nd daughter of Sir John Evelyn GLADSTONE Bart: DL, JP of Bowden Park, Chippenham, Wiltshire. Olive Mary died at Kings Walden, Windsor, Berkshire, buried 19 Aug 1977 at West Hendred, Berkshire.</t>
  </si>
  <si>
    <t>----- Forwarded message -----</t>
  </si>
  <si>
    <t>From: Michael Loyd &lt;michael@loydthreepwood.com&gt;</t>
  </si>
  <si>
    <r>
      <t>To:</t>
    </r>
    <r>
      <rPr>
        <sz val="13"/>
        <color rgb="FF26282A"/>
        <rFont val="Helvetica Neue"/>
        <family val="2"/>
      </rPr>
      <t> "</t>
    </r>
    <r>
      <rPr>
        <sz val="13"/>
        <color rgb="FF0078D4"/>
        <rFont val="Helvetica Neue"/>
        <family val="2"/>
      </rPr>
      <t>roddysale@yahoo.co.uk</t>
    </r>
    <r>
      <rPr>
        <sz val="13"/>
        <color rgb="FF26282A"/>
        <rFont val="Helvetica Neue"/>
        <family val="2"/>
      </rPr>
      <t>" &lt;</t>
    </r>
    <r>
      <rPr>
        <sz val="13"/>
        <color rgb="FF0078D4"/>
        <rFont val="Helvetica Neue"/>
        <family val="2"/>
      </rPr>
      <t>roddysale@yahoo.co.uk</t>
    </r>
    <r>
      <rPr>
        <sz val="13"/>
        <color rgb="FF26282A"/>
        <rFont val="Helvetica Neue"/>
        <family val="2"/>
      </rPr>
      <t>&gt;</t>
    </r>
  </si>
  <si>
    <r>
      <t>Sent:</t>
    </r>
    <r>
      <rPr>
        <sz val="13"/>
        <color rgb="FF26282A"/>
        <rFont val="Helvetica Neue"/>
        <family val="2"/>
      </rPr>
      <t> Wednesday, 1 June 2022, 10:52:25 BST</t>
    </r>
  </si>
  <si>
    <t>Subject: new email address is loydthreepwood@gmail.com</t>
  </si>
  <si>
    <t>My email address is changing to loydthreepwood@gmail.com</t>
  </si>
  <si>
    <t>&lt;mailto:loydthreepwood@gmail.com&gt; </t>
  </si>
  <si>
    <t xml:space="preserve">Julian of D’Anvers house, Culworth, Northamptonshire. Educated Eton College 1965 - 1969. Welsh Guards 1970 – 1974. Asia 1978 – 1996: Commercial director, Newsweek, Harvard Business Review. UK 1996 to present: financial advisory at Lancea Partners London and arranging funding for litigation – access to justice for claimants.
</t>
  </si>
  <si>
    <t>Married in London, Fiona younger daughter of David TAYLOR of Haywards Heath, Sussex and formerly of Hong Kong. Educated Southampton (BSc Geography). Asia: Esprit International and Strait Approach. Non-executive director, Royal Collection Trust. Retail consultant to country houses and museums.</t>
  </si>
  <si>
    <t>Baptised Sep 1991 at St Michael’s, Withington. Educated: Shrewsbury School 2004 - 2009; and Exeter (BSc, Human Bioscience, 2010 - 2013). Career: EY, Chartered accountant 2013 - 2018; UBS, healthcare M&amp;A 2018 onwards.</t>
  </si>
  <si>
    <t>Baptised Mar 1996 at St Michael’s, Withington. Educated: Eton College 2009 - 2014; &amp; Oxford (MSc, Physics, 2014 - 2018). Tsing Hua University in Beijing, Mandarin 2018 - 2019. Lazard, investment banking, 2019 to present</t>
  </si>
  <si>
    <t xml:space="preserve">Iona  of 70 Morrison Street, London SW11.  Educated Lawnside, Malvern. Secretary to the Rt Hon Jeremy Thorpe MP. Manageress, Tiger Tops Hotel, Nepal 1981-82. Travel industry 1983-89. Public relations 1989-91. Press Officer, Spink &amp; Sons 1991-98. MD Iona PR from 1998 for artists, galleries and exhibitions. </t>
  </si>
  <si>
    <r>
      <t xml:space="preserve">Roddy lives in Gloucestershire. Educated Eton 1972-77. Commissioned Welsh Guards 1979. Served Northern Ireland 1979-80. Falklands Islands (Operation Corporate) 1982, 2nd in Command Support Company. Regimental Signals Officer 1982-84. Captain Jan 1985. OC HQ Company 1985. OC Household Division Centralised Courses, Guards Depot 1985. OC Guards Battle Camp, Thetford 1986. Transferred to Regular Army Reserve of Officers 1987. Merrill Lynch Capital Markets 1987-90. Robert Fleming &amp; Co from 1990. Seconded Jardine Fleming from 1993. Head of Investment Banking and Director, Jardine Fleming, India from 1997 to 2002. Consultant in India 2003-2019 Markets. Comd Ven Order of St John 1998. Patron, No. III Maharashtra District, India, St John Ambulance 1997. Head of  Investment Banking and Director of Jardine Fleming, Chase, JP Morgan until 2002. Council Member Royal Commonwealth Ex Services League.  Chairman Ex Services Association Bombay. Co-Owner Ray of Light, winner of Poona Derby 2000. Patron of elephant polo team Bombay Light Horse 2003, 2004. Refounded Old Etonian Association of Indian Sub-Continent - 1998. Publisher of Lord Curzon Speeches in India - 2006. </t>
    </r>
    <r>
      <rPr>
        <sz val="12"/>
        <color rgb="FF000000"/>
        <rFont val="Calibri (Body)"/>
      </rPr>
      <t>Has safe keeping of old Welsh Bible with entries about LLOYD family in Carmarthenshire in 18th Century and other old family papers, and the blunderbuss belonging to Edward LOYD (1780-1863) for use by his coachman if attacked on the turnpikes.</t>
    </r>
    <r>
      <rPr>
        <sz val="12"/>
        <color rgb="FF000000"/>
        <rFont val="Calibri"/>
        <family val="2"/>
        <scheme val="minor"/>
      </rPr>
      <t xml:space="preserve"> Roddy has Loyd deeds relating to bank and a school grammar book of Latin syntax owned by Edward (1780—1863: #8).</t>
    </r>
  </si>
  <si>
    <t>Educated: Tudor Hall School 2014-2020, University of Edinburgh 2020 to date reading English Literature.</t>
  </si>
  <si>
    <t>Connie</t>
  </si>
  <si>
    <t>connect #117</t>
  </si>
  <si>
    <t>Do asked Alex #141</t>
  </si>
  <si>
    <t>Ginny #140</t>
  </si>
  <si>
    <t>Do picture of book/tree something</t>
  </si>
  <si>
    <t>Jim, Rona etc's grandfather</t>
  </si>
  <si>
    <t>James #150 - Do on it</t>
  </si>
  <si>
    <t>92a Tim TB ask pic of his mum</t>
  </si>
  <si>
    <t>Do on the case</t>
  </si>
  <si>
    <t>Arthur lived at Lockinge House, Wantage, Berkshire and was the 2nd son of the Rev Lewis (1844 -1905: #28). Born 19 Apr 1882. Educated Eton 1895-1900 and Hertford College, Oxford (BA 1904, MA 1918). Career: Egyptian Public Service 1905-18. OBE 1908. Secretary to Lord MILNER, Egyptian Commissioner 1919. JP 1921. MP for Abingdon 1921-23. Ecclesiastical Commissioner 1923. DL 1926. High Sheriff 1927. Lord Lieutenant 1935. Vice-Chairman County Council 1931-38. Chairman County Council 1938. Hon Colonel 80th AA Regiment (TA). Warden of Bradfield College 1938-44 and there is a boys’ house named ‘Loyd’ at the school. Died 4 Nov 1944, buried at Lockinge. Estate £1,157,484. Issue: 3 sons, 3 daughters.</t>
  </si>
  <si>
    <t>Elfi Helene Artero (b. 19/12/1974, )</t>
  </si>
  <si>
    <t>Ted born at US Naval Hospital, Portsmouth, Virginia. Baptised 1959 at Portsmouth, Virginia. US Navy, Senior Chief Petty Officer, retired 1998.</t>
  </si>
  <si>
    <t>Baptised Jul 1973 at the Cathedral, Aix en Provence. Ben married Elfi on10.08.2002 at St Jean Baptiste church, St Jean de Luz, France. Children: Twins Felix Edgar Oliver and Marius Cesar Fabien TATTON-BROWN born 07/10/2004 and Poppy May TATTON-BROWN 12/09/2008.</t>
  </si>
  <si>
    <t>(1) Jill Deloitte DAVIS (b. 19 Nov 1948, d. 3 Jun 2014).</t>
  </si>
  <si>
    <t>Married at All Hallows, Bispham, Lancashire, Lynn only daughter of Andrew William and Beryl HAMILTON. Education: York (BSc Hons Biochemistry 1983); Kingston (MA Creative Writing 2012); UCA (PhD Critical &amp; Creative Writing, 2021). Career: Medical education, medical writing and the creation of fictional works to address misperceptions and stigma around illness. In 2022, Lynn added Loyd as her middle name to become Lynn Loyd HAMILTON.</t>
  </si>
  <si>
    <t>NOT USED</t>
  </si>
  <si>
    <t>Jane (b. , d. 26/11/1761)</t>
  </si>
  <si>
    <t>DINSMORE</t>
  </si>
  <si>
    <t>Cherry Margaret CORMACK (b. 18 Sep 1956, )</t>
  </si>
  <si>
    <t>Lynn HAMILTON (b. 23 Feb 1962, )</t>
  </si>
  <si>
    <t>Edward was 3rd son of William (1770–1828: #4) of 7 Bread Street, Cheapside, London EC2. Born 2 Jul 1815. Died in infancy on 23 Jul 1815; buried at Bunhill Fields, London, in the family grave (plan 15, grave no. 223).</t>
  </si>
  <si>
    <t>Lewis was the 2nd son of Thomas (1812–1857: #14) . Born 28 Mar 1844 at Simla, India. Educated MA. Rector of Abington, Northamptonshire 1870-77. Vicar of St Laurence, Northampton 1877-85. Vicar of Wing, Buckinghamshire 1885. Rector of Orlingbury, Northamptonshire. Died 4 Aug 1905, at Grange Gardens, Eastbourne; buried at Wing, Buckinghamshire. Issue: 3 sons, 1 daughter.</t>
  </si>
  <si>
    <t>Frank lived at Lealands House, Groombridge, Sussex and was the 5th son of Thomas (1812–1857: #14). Born 13 Aug 1848 at Mussoorie, India.  55th Regiment, The Royal Inniskelling Fusiliers, 13 Jan 1868-30 Nov 1880. Adjutant 55 Rifles, 1 Nov 1879-30 Nov 1880. 108th Regiment, the Cheshire Militia 1 Dec 1880-Jun 1888. Lieut Colonel. JP for Sussex 1895. Died 9 Aug 1934 at Jevington Gardens, Eastbourne, Sussex. Issue: 2 sons.</t>
  </si>
  <si>
    <t>Ted lived at Spencer House, Aylesbury, Buckinghamshire and was the  7th and youngest son of Thomas (1812–1857: #14). Born 6 Aug 1851 at 17, Marlborough Place, St John’s Wood, London. He joined the 28th Regiment, 1st Glosters, from 6 Jul 1870. Retired with rank of Captain. Died 23 Oct 1922 at Broadstairs, Kent. Issue: 2 sons, 1 daughter.</t>
  </si>
  <si>
    <t>Dulcie was the 3rd daughter of William (1821–1885: #23). Born 6 Oct 1858.  Died 8 Jul 1905.</t>
  </si>
  <si>
    <t>William lived at Stonehill, Bagshot, Surrey and of Ovington House, Ovington Gardens, London SW3 and was the 3rd son of William (1821–1885: #23). Born 30 Sep 1863. Educated Eton 1876-80.  JP Berkshire. Captain 2nd Vol Battalion, Welsh Regiment 1883-92. Died 18 Jun 1923. Issue: 4 sons, 1 daughter.</t>
  </si>
  <si>
    <t>Caroline was the 4th daughter of William (1821–1885: #23). Born 2 Apr 1865. Died 21 Feb 1938.</t>
  </si>
  <si>
    <t>Edward lived at Haughton House, Churchill, Oxfordshire and was the younger son of Frederic (1856–1936: #41). Born 23 Dec 1881. Educated Eton 1895-99 and Trinity College, Cambridge (BA 1903, MA 1906).  Career: DL, JP, CC. Barrister-at-Law, Inner Temple 1906. Served in World War I in France as Corporal, Royal Scots Greys and later as Major, Warwickshire Yeomanry. Died 6 Feb 1962. Issue: 1 daughter.</t>
  </si>
  <si>
    <t>William lived at Upper House, Shamley Green, Guildford, Surrey and was the eldest son of Edward (1861–1938: #44 ). Born 7 May 1889. Died 27 Oct 1947. Issue: 2 sons, 1 daughter.</t>
  </si>
  <si>
    <t>Cecil was the eldest son of Llewellyn (1861–1939: #45). Born 20 Jan 1890. Educated Eton 1904-08. Served in World War 1 as Lieutenant, 5th Battalion, The East Kent Regiment (The Buffs), RFC and Royal Air Force Technical Officer. Died 17 Jan 1963 at Southmoor House, Draycott Moor, Kingston Bagpuize, Oxfordshire. Cremated, ashes interred at Hawkhurst, Kent.  Issue: 1 son, 1 daughter (twins).</t>
  </si>
  <si>
    <t>Arthur lived at 450 Cadder Avenue, British Columbia, Canada and was the elder son of Edward (1851–1922: #34). Born 16 Nov 1890. Educated Marlborough.  President, British Columbia Tree Fruits Limited 1940-55. Member, Canadian Horticultural Council. MBE 1946. Died 11 Sep 1974. Buried at Kelowna, British Columbia. Issue: (1st wife) 1 son.</t>
  </si>
  <si>
    <t>Henry, known as Charles and nicknamed "Budget", lived at Mettingham Pines, Bungay, Suffolk and was the 2nd son of Edward (1861–1938: #44). Born 21 Feb 1891. Educated Eton 1904-09 and RMC Sandhurst. Served in World War I in France as Captain Coldstream Guards and Lieut Colonel Staff (wounded 4 times) (despatches 3 times). Commanded 3rd Battalion, Coldstream Guards 1929-32. Officer Commanding Coldstream Guards Regiment 1932-34. GSO 1934-36. Brigadier, General Staff, British Troops, Egypt 1936-38. Commanded 1st Infantry Brigade (Guards) 1938-39. Served in World War II. Commanded 2nd division 1939-40. Chief of General Staff, Home Forces 1941-42. GOC-in-C Southern Command 1942-43. GOC London District 1944-47. Colonel, Coldstream Guards 1945-66. AdC General to HM King George VI 1946-47. MC 1915, DSO 1918, CB 1941, KCB 1943, KCVO 1947, GCVO 1965, Croix de Guerre (France), Comdr. Legion Merit (USA), Gd Offr. Order of Orange, Nassau with Swords (Netherlands). Retired 1947. DL 1954 Norfolk. Died 11 Nov 1973. Issue: 1 son, 1 daughter.</t>
  </si>
  <si>
    <t>Edward was the younger son of Edward (1851–1922: #34). Born 14 Mar 1893. Educated Marlborough. Served in World War I as 2nd Lieutenant Royal Irish Rifles (despatches 1917). Captain 11th/12th Bengal Cavalry. Late Probyns Horse T.A. Major British Columbia Dragoons. MC. Arrived in Kelowna in 1923. Career: Orchardist 1923-30. Hotel Manager 1930-32. Died 25 May 1932 at Kelowna, British Columbia after a car accident. Issue: 1 daughter.</t>
  </si>
  <si>
    <t>Wilfred lived at 36 Chester Square, London SW1 and later of Oakhill, Seaview, Isle of Wight. He was 4th and youngest son of Archie (1847–1922: #30). Born 13 Sep 1893 at Hodcott, West Ilsley, Berkshire. Baptised 19 Nov 1893 at West Ilsley. Educated privately and Trinity College, Cambridge. Served in World War I 1914-19. Enlisted as Corporal, Despatch Rider. Served in 1st battle of Ypres. Lieutenant RTO 1915. Captain, Royal Engineers. Member, London Stock Exchange 1922-28. Chairman, Young Conservatives Union 1933-39. Died 17 Sep 1971 at Oakhill, Seaview, Isle of Wight.  Cremated 22 Sep 1971 at Newport, Isle of Wight. Ashes interred in family grave at West Hendred. Issue: 3 sons, 1 daughter.</t>
  </si>
  <si>
    <t>Eric lived at The Dene, Riverwoods, Marlow, Buckinghamshire and previously of Thurloe Square, London SW7 and was the only son of Arthur (1845–1930: #29). Born 29 Sep 1894, baptised 9 Nov 1894 at St. James’s, Spanish Place, London W1. Educated Eton 1908-12 and Magdalen College, Oxford. Served in World War I in France and Balkans. Captain, Green Howards 1914-26. (Wounded Loos 1915) (despatches). Att. MGC. Selonica and South Russia 1916-19. Served in World War II as Captain Staff, War Office and Royal Hospital, Chelsea. Died 19 Apr 1963, buried at St Peter’s, Marlow. Issue: 2 sons, 2 daughters.</t>
  </si>
  <si>
    <t>Peter lived at 450 Cadder Avenue, Kelowna, British Columbia, V1Y 5N3, Canada and was the only child of Arthur (1890–1974: #71). Born 12 Aug 1913 at Walhachin, British Columbia. Educated Kelowna. Served in World War II as Squadron Leader, Royal Air Force. Pilot RAF Coastal Command 1936-1945. Career:  Daimler Motor Works, Coventry 1933-36; Irrigation Engineer, British Columbia 1948-72. Died 2 Jul 2008 Issue: 2 sons, 1 daughter.</t>
  </si>
  <si>
    <t>Frank lived at 53 Park Road, Aldeburgh Suffolk and was the only son of Alfred (1882–1919: #54). Born 5 Sep 1916 at Berkhamstead, Hertfordshire, baptised 23 Sep 1916 at Fryth Cottage, Berkhampstead. Educated Eton 1930-35 and Trinity College, Oxford (MA). MBE 1951, OBE 1954, CMG, 1961, KCMG 1965. District Officer, Kenya 1939. Military Service East Africa 1940-42. Private Secretary to Governor of Kenya 1942-45. District Commissioner 1945-56. Commonwealth Fund Fellowship to USA 1953-54. Provincial Commissioner 1956-62. Permanent Secretary Governor’s Office 1962-63. HM Commissioner for Swaziland 1964-68. Director London House for Overseas Graduates 1969-79. Chairman Oxfam Africa Committee 1979-85. Died 13 Dec 2006. Issue: (1st wife) 2 daughters.</t>
  </si>
  <si>
    <t>Martin was the 2nd son of Arthur (1882–1944: #56). Born 17 Aug 1917. Died in childhood on 27 Oct 1926. Buried at Lockinge.</t>
  </si>
  <si>
    <t>Edward lived at 10 Cadogan Square, London SW1. Elder son of William (1889–1947: #66). Born 21 Feb 1921. Educated Eton 1934-38. Served in World War II in North Africa. Captain, Coldstream Guards. Prisoner of war. Died 7 Jan 1977, buried at Langleybury, Hertfordshire. Issue: 1 son, 1 daughter.</t>
  </si>
  <si>
    <t xml:space="preserve">Peter lived at Towersey Manor, Thame, Oxfordshire and was the younger son of William (1889–1947: #66). Born 18 Apr 1923. Educated Eton 1936-40. . Served in World War II as Captain, Coldstream Guards and later as Major, Coldstream Guards. Died 12 Jun 1974. Issue: 1 son, 1 daughter. </t>
  </si>
  <si>
    <t>Christopher lived at Lockinge, Wantage, Oxfordshire, and was the 3rd and youngest son of Arthur (1882–1944: #56). Born 1 Jun 1923 (twin with his youngest sister, Catherine). Educated Eton 1936-42 and Kings College, Cambridge (BA 1949. MA).  Served in World War II 1942-45 as Captain, Coldstream Guards, MC 1944. FRICS, DL 1954, JP 1950, High Sheriff 1961. Member Jockey Club. Trustee of Wallace Collection 1973-90. Died 14 Jul 2013. Issue: 2 sons, 1 daughter.</t>
  </si>
  <si>
    <t>Catherine was the 3rd and youngest daughter of Arthur (1882–1944: #56). Born 1 Jun 1923 (twin with her youngest brother, Christopher). Died 22 Jan 2014.Issue: 6 daughters</t>
  </si>
  <si>
    <t xml:space="preserve">Geoffrey lived at Remenham House, Ocle Pychard, Herefordshire, HR1 3RB and was the 2nd son of Wifrid (1893–1971: #77). Born 17 Jun 1926 at 36 Chester Square. Baptised 27 Jul 1926 at St Michael’s, Chester Square. Educated Eton 1939-43. Career: Cape Times (South Africa) 1948-51. London School of Printing &amp; Graphic Arts. Bowater Paper Corp. 1957-66. Tyler Smith &amp; Co. 1967-8. H. P. Bulmer 1968-70. Chairman &amp; MD Hereford Herbs 1970-89. Vice-President British Herb Trade Association from 1980. Chairman Herefordshire Fine Foods Marketing Grp. 1988-97. Chairman National Speciality Food &amp; Drink Committee 1990-1. Council British Speciality Foods 1990-97. Chairman &amp; MD Burley Marketing Associates from 1989. AIMSM 1961, AAMA 1964, MIM 1969. MBE 1997. Issue: (1st wife) 2 sons.       </t>
  </si>
  <si>
    <t>Willie lived at Cowarth Park Farm, Sunningdale, Berkshire and later of Pink Hill Farm, Eynsham, Oxfordshire and was the elder son of Vivian (1894–1972: #113). Born 23 Dec 1937. Educated Eton 1951-55. Major, Life Guards. Author of 'Challengers and Chargers', a history of The Life Guards 1945-1992, and of 'A Lurcher in the House'. Died  8 Jul 1994. Issue: (1st wife) 1 son.</t>
  </si>
  <si>
    <t>Michael lives in Haydon Bridge, Northumberland and is the elder son of Eric (1894–1963: #80). Born 28 Aug 1938. Baptised 27 Sep 1938 at St Peter’s, Marlow. Educated Ampleforth and RMA Sandhurst. Career: Captain, Royal Dragoons 1958-69. Courage Breweries 1969-77. Lieut Colonel, Sultan of Oman’s Forces and Secretary to Defence Committee, Government of Oman 1977-81. Farmer from 1981. JP 1984. High Sheriff 1993. Issue: 3 daughters.</t>
  </si>
  <si>
    <t>Patricia was the 4th and youngest daughter of Lewis (1882–1950: #55). Born 29 Mar 1942 (twin with her brother, Patrick) in Norwich. Died in infancy on 2 Apr 1942 in Norwich.</t>
  </si>
  <si>
    <t>Peter lives in Hexham, Northumberland and is the younger son of Eric (1894–1963: #80). Born 8 Sep 1942. Baptised 28 Sep 1942 at St Hubert’s, Dunsopbridge, Lancashire. Educated Ampleforth and RMA Sandhurst. Career: Captain, Royal Scots Greys 1962-71. Scottish &amp; Newcastle Breweries 1971-78. MD Christopher &amp; Co 1978-84. Farmer and independent wine merchant from 1984. Chairman Orders of St John Care Trust 2007-13, High Sheriff 2013, Knight of Malta (Grand Cross) 1980. Issue: (1st wife) 1 son, 1 daughter. (2nd wife) 2 daughters. Contact email: mantlehill@aol.com</t>
  </si>
  <si>
    <t>Vivian lives in Calbourne, Isle of Wight and is the younger son of Vivian (1894–1972: #78). Born 11 Nov 1951 at 27 Welbeck Street, London W1, baptised 13 Apr 1952 at Clyne Castle Chapel, Swansea by the Archdeacon of Gower. Educated Eton 1965-67. Career: Director of group of marine related private companies. Member Royal Yacht Squadron from 1976.</t>
  </si>
  <si>
    <t>Henrietta lives in West London  and is the only daughter of Peter (1923–1974: #99). Born 31 Jan 1959 at 27 Welbeck Street, London W1. Baptised at St Peter’s, Eaton Square, London SW1. Education: Hatherop Castle, Cirencester, Gloucestershire 1971-77.  Career: Director, Cazenove &amp; Loyd Safaris from 1993. Issue: 1 daughter</t>
  </si>
  <si>
    <t>Ginie lives in Devon, previously of Barkestone Le Vale, Leicestershire and is the younger daughter of Vivian (1894–1972: #78). Born 27 Aug 1961 at Princess Christian Nursing Home, Windsor, Berkshire. Baptised at the Parish Church, Old Sunningdale, Berkshire. Educatation: Bedgebury Park, Goudhurst, Kent 1974-77; Winkfield Place Domestic Science College 1978-79 (Dip Floristry &amp; Cooking) and Clarendon College, Nottingham (TEFL).</t>
  </si>
  <si>
    <t>Andrew lives in Roxburghshire and is only son of Peter (1923–1974: #99). Born 1 Nov 1962 in London. Baptised 3 Apr 1963 at Thame, Oxfordshire. Education: Blundells 1976-81 and Westminster College, London 1984-87 (HND Hotel &amp; Catering). Career: Connaught Hotel, London 1983; Party Ingredients, London 1984; Dukes Hotel, London 1984-85; Dorchester Hotel, London 1987-88; Hotel Intercontinental, London 1988-89; Mayfair Intercontinental, London 1889-91; House Manager for private employers in Canada and USA 1991-97; Estate Manager for private employers in USA 1997-98.</t>
  </si>
  <si>
    <t>Lewis lived at Withybrook, Wolvey and Grandborough, Warwickshire and at Coldham, Cambridgeshire. He was the eldest son of William  (1821–1885: #23). Born 14 Nov 1852. Educated Eton 1866-69. DL, JP Warwickshire and Cambridgeshire. JP Co. Tipperary. Lieutenant, Grenadier Guards 1872-83. Served in Egyptian War 1882. Director L &amp; NW Railway from 1885. MP for Chatham 1892-95. Lt. Colonel and Hon. Colonel–2 Vol. Battalion, Warwickshire Regiment 1888-94. Brigadier General commanding South Midland Vol. Inf. Brigade from 1894. Died 21 Sep 1908. Lewis was left Overstone Park by Lord Overstone but Lady Wantage was allowed to use it during her lifetime. He had earlier sold his interest in it to Sir Harry Mallaby-Deeley (1863–1937), hence the property was sold post 1920.  Issue: 2 sons, 1 daughter.</t>
  </si>
  <si>
    <t>Janet lives in Stoke-by-Nayland, Suffolk  and is elder daughter of Sir Francis (1916–2006: #89). Born 1 May 1949 at Nyeri, Kenya. Baptised 18 Sep 1949 at Fort Hall, Kenya. Educated Kenya High, Nairobi and Queen Anne’s, Caversham.Issue: 1 daughter, 1 son. Email address: janetbosman@icloud.com</t>
  </si>
  <si>
    <t>Paddy lives near Chiangmai, Thailand and previously in Hammersmith, London. He is the 2nd son of Alwyne (1920–2014: #94). Born 5 Jun 1951 at St. George’s Wood, Haslemere, Surrey. Baptised 25 Aug 1951 at St Cuthbert’s, Wood Green, London by his grandfather, the Rev Robert PORTER. Educated/Qualifications: Brentwood. FSVA 1973. FIAS(TP) 1976. FB Eng 1993. FRICS 2000. Career: Chartered &amp; Corporate Surveyor. Corporate Building Engineer (Retired). Paddy retired from his Estate Business in 2008 to build a house (Eagle Peak) where he lives, with his partner Angela, in the mountains of Chiang Dao in the province of Chiangmai, Thailand. Freeman of Goldsmiths’ Company 1973.</t>
  </si>
  <si>
    <t>Diana lives in Canada is the younger daughter of Sir Francis (1916–2006: #89). Born 13 May 1952 in Nairobi, Kenya. Baptised Jul 1952 at Fort Hall, Kenya. Educated Hawnes School, Bedford. Email addres: dmsako@shaw.ca</t>
  </si>
  <si>
    <t>David lives in  Kelowna, British Columbia, Canada. Elder son of Norman (1913–2008: #86). Born 26 Jun 1952 in Kelowna, British Columbia. Baptised 5 Oct 1952 at St. Michael’s, Kelowna, British Columbia. Educated Kelowna and University of Victoria, British Columbia (BA History). Dip Ed. Issue: 1 son.</t>
  </si>
  <si>
    <t>Penny was the 2nd daughter of Peter (1922–2022: #98). Born and baptised 8 May 1954. Died in infancy on 8 May 1954 at St. Mary’s Hospital, Portsmouth, Hampshire.</t>
  </si>
  <si>
    <t>Jeremy lives in London and is the younger son of Geoffrey (1926–2018: #105). Baptised Aug 1954 at St Peter’s, Seaview, Isle of Wight. Educated Nautical College, Pangbourne. Career: Account Exec, Michael Rice 1974-79; Dir, RTI Productions 1976-89; Dir, Project Art from 1978; Operations Dir, Capital Radio 1986-90; First Oxfordshire (Fox) Radio from 1988; MD Capital Radio 1990-99;. Dir, Carlton Television 1992-94; CEO Pickwick Group 1994-96; Dep Ch, Blackwell Group 1996-99; Dir, Hamdon Entertainment USA from 1996.</t>
  </si>
  <si>
    <t>William lives in Taunton, Somerset. Elder Son of Peter (1922–2022: #98). Born 6 Jun 1955. Baptised 17 Sep 1955 at St Mary’s, South Hayling, Hampshire. Career: Hydrographic Office, Ministry of Defence (Navy) 1972-2015 (Retired after 43 years service).</t>
  </si>
  <si>
    <t>Jim lives in Kelowna, British Columbia, Canada and is the younger son of Norman (1913–2008: #86). Born 23 Aug 1955 at Kelowna, British Columbia. Baptised 5 Apr 1956 at St Mary’s, Oyama, British Columbia. Educated Kelowna. Career: Professional Ski Instructor and Resort Sales Director. Issue: 2 sons.</t>
  </si>
  <si>
    <t xml:space="preserve">Thomas lives in Lockinge, nr Wantage, Oxfordshire. Elder son of Christopher (1923–2013:  #100). Born 21 Feb 1959. Baptised at All Saints’, Lockinge. Educated Harrow. </t>
  </si>
  <si>
    <t xml:space="preserve">Alex lives in Banham, Norfolk, previously of North London and is the 5th son of Alwyne (1920–2014: #94). Born 19 Mar 1959 at Burton-on-Trent Infirmary. Baptised 17 May 1959 at St Aiden’s, Shobnall, Burton-on-Trent by the Rev Harold SPRIGGS.  Career: Marine Engineer, Royal Navy 1978-1987; Building Administrator, Data Logic 1987-92; Facilities Manager, Chesterton/Workplace Management from 1992–2014; from 2015, Owner and proprietor, Olde Farm Holiday Cottages. Freeman of Goldsmiths’ Company 1981. Assc BIFM 1990. Alex holds a NEBOSH certficate, a qualification in Occupational Health and Safety.
</t>
  </si>
  <si>
    <t>Alexandra is the elder daughter of Sir Julian (1926–2018: #104). Born 14 Oct 1961. Baptised 26 Nov 1961 at Raveningham, Norwich, Norfolk. Lady-in-waiting to HRH The Princess of Wales 1986-97. Issue: 1 daughter, 1 son. Contact email: ambyatt@gmail.com</t>
  </si>
  <si>
    <t>Harriet is the only daughter of Christopher (1923–2013: #100). Born  20 Jun 1962. Baptised at All Saints’, Lockinge. Issue: 1 daughter, 1 son.</t>
  </si>
  <si>
    <t>Tony lives in Upper Basildon and is the younger son of Peter (1922–2022: #98). Born 5 Feb 1963 at the Westminster Hospital, London SW1. Baptised 21 Apr 1963 at St Jude-on-the-Hill, Hampstead Garden Suburb, London NW11. Education:  University College School, Keble College, Oxford (BA Maths 1984), and University College, London (MSc Computer Science 1985). Computer Consultant, Logica from 1985.</t>
  </si>
  <si>
    <t>Charles is the elder son of Sir Julian (1926–2018: #104). Born 20 Mar 1963. Baptised 25 May 1963 at Raveningham Church, Norwich, Norfolk.  Education: Heatherdown Prep School, Harrow School (1976–1980), Royal Agricultural College, Cirencester (1983–1986). Career: Assistant Agent to Chatsworth Settlement Trustees 1986-89; Cluttons, Berkeley Square, London 1989-1992; Strutt and Parker, Ipswich 1992 onwards. Page of Honour to HM The Queen 1976-79; Member of Royal Institution of Chartered Surveyors (1989). Memberships of I Zingari, MCC and Liveryman of the Worshipful Company of Fishmongers. Interests: Cricket, Flyfishing. Issue: 1 son, 1 daughter.</t>
  </si>
  <si>
    <t>James lives in Shaftesbury, Dorset and is the younger son of Christopher (1923–2013: #100). Born 15 Sep 1966. Baptised 15 Nov 1966 at All Saints’, Lockinge. Educated Kings, Bruton. Issue: 1 son, 1 daughter.</t>
  </si>
  <si>
    <t>Sophie lives in Victoria, Australia, previously of West London and is the 3rd and youngest daughter of Peter (1922–2022: #98). Born 10 Jun 1969 at the Middlesex Hospital, Mortimer Street, London W1. Baptised 1 Nov 1969 at St.Jude-on-the-Hill, Hampstead Garden Suburb, London NW11. Education: South Hampstead Junior 1974-81, North London Collegiate 1981-87 and Edinburgh University (BSc Hons, Geography 1991).  Career: Andersen Consulting 1992-1996. Sumitomo Bank 1996-98. Credit Suisse first Boston Bank from 1998–2004. Moved to Melbourne in 2004. ANZ, AMP, National Australia Bank, Judo Bank 2020-present. Captain, Great Britain Junior Synchronised Swimming Team 1986. Issue: 3 sons</t>
  </si>
  <si>
    <t>Susannah lives at St Sampsons, Guernsey, Channel Islands and is the elder daughter of Patrick (1942– : #117). Born 29 Sep 1965 at Kettering, Northamptonshire.</t>
  </si>
  <si>
    <t>Elspeth is the younger daughter of Patrick (1942– : #117). Born 31 May 1967 at Northampton.</t>
  </si>
  <si>
    <t>Richard is the only son of Patrick (1942– : #153). Born 26 Jun 1968 at Northampton.</t>
  </si>
  <si>
    <t>John lives in Lausanne, Switzerland, previously of Paris, France and is the eldest son of Dominic (1953– : #131). Born 18 Jan 1982 at St Peter’s Hospital, Chertsey, Surrey. Baptised 18 Apr 1982 at St Andrew’s, Goldsworth Park, Woking, Surrey in the local school. Education:  Boston Grammar, England 1993-2000; University of Warwick (BSc Hons Mathematics-Operational Research-Statistics-Economics [with Intercalated year] 2000-2004) Paris1 Panthéon-Sorbonne, France [Erasmus exchange programme 2002-2003). Career: Chartered Accountant (ACA Institute of Chartered Accountants in England and Wales 2008, Certified Internal Auditor 2015, Certified Fraud Examiner 2021. Duke of Edinburgh Gold Award 2002, Freeman of the City of London and  Freeman of Goldsmiths’ Company 2003. Employment: Chartered Accountants Paris, France 2004-09, OECD Paris, France 2011-17, HSBC Paris, France 2018-20, UEFA Nyon, Switzerland 2020 – . Interests: sports, languages, travel.</t>
  </si>
  <si>
    <t xml:space="preserve">David lives in South London and is the 2nd son of Dominic (1953– : #131) . Born 6 Apr 1984 at St Peter’s Hospital, Chertsey, Surrey. Baptised 29 Jul 1984 at St Andrew’s, Goldsworth Park, Woking, Surrey in the local school. Education: Tower Road Primary 1990-95; Giles School, Old Leeke, Lincolnshire 1995-2002; Kent Institute of Art and Design (KIAD) (BA Hons Architecture 2002-05); Kingston University London (Diploma in Architecture 2007-09); Post Graduate Diploma in Architecture 2010-11). Career: Co-Director Owen Loyd Architects 2021. Chartered Member of the Royal Institute of British Architects (RIBA), 2013. Freeman of the City of London and the Goldsmiths' Company, 2012. Issue: 2 sons. </t>
  </si>
  <si>
    <t xml:space="preserve">Harriet lives in Low Newton-by-the-Sea, Northumberland and is the 3rd and youngest daughter of Peter (1942– : #119). Born 18 May 1984.  Baptised 21 Jul 1984 at Hesleyside, Bellingham, Northumberland. Education: Queen Margarets, York. </t>
  </si>
  <si>
    <t>Gareth lives in Vancouver and is the only son of David (1952– : #130). Born 24 Jan 1988. Baptised 16 Oct 1988 at Benvoulin Heritage Church. Career: Canada Mortgage and Housing Corp.</t>
  </si>
  <si>
    <t>Jamie lives in Perth, Australia and is the elder son of David  (1949– : #121) of Mildenhall House, Mildenhall, Marlborough, Wiltshire. Born 1 Sep 1988 at the Portland Hospital, Great Portland Street, London W1. Baptised 26 Jan 1989 at the Guards Chapel, Birdcage Walk, London SW1. Education: Bryanston School and Nottingham University.</t>
  </si>
  <si>
    <t xml:space="preserve">Rupert lives in London and is the younger son of David  (1949– : #121). Born 8 Feb 1990 at the Portland Hospital, Great Portland Street, London W1. Baptised 15 Jul 1990 at Wedhampton, Wiltshire. Education: Bryanston School, Nottingham University, University of Law. </t>
  </si>
  <si>
    <t>Florina lives in London is the 3rd and youngest daughter of Tim (1957– : #136). Born 25 Dec 1991 at John Radcliffe Hospital, Oxford. Education: Headington School, Oxford and Newcastle University (BA Politics, 2014). Post graduation Florina has worked in PR and communications at various companies in Bristol, London and Edinburgh. Interests: Triathlons and have completed a half ironman.</t>
  </si>
  <si>
    <t>Curtis lives in Kelowna, British Columbria, Canada and is the elder son of James (1955– : #135). Born 4 Jan 1992.</t>
  </si>
  <si>
    <t>Tabitha lives in South West London and is the only daughter of David (1949– : #121). Born 14 Nov 1992 in London. Baptised 18 Apr 1993 at St Michael &amp; All Angels’, Urchfont, Wiltshire. Education: Bryanston School and Buckingham University.</t>
  </si>
  <si>
    <t>Kit is the only son of Thomas (1959– : #138). Born 23 Jan 1993. Baptised at All Saints’, Lockinge.</t>
  </si>
  <si>
    <t>Spencer lives in Kelowna, British Columbria, Canada and is the younger son of James (1955– : #135)  Born 10 Jul 1995. University Degree in Microbiology.</t>
  </si>
  <si>
    <t>William is the only son of James (1966– : #150). Born 21 Dec 1996. Baptised 27 Apr 1997 at All Saints’, Lockinge.</t>
  </si>
  <si>
    <t>Josh lives in Brixton, South London and is the younger son of Rick (1962– : #142). Born 28 Dec 1996 at Epsom Hospital, Surrey.  Education: Mosman Primary, NSW Australia; Tiffin School, Kingston-upon-Thames (2008-2015); University of Cambrige, Sidney Sussex College (BA Natural Sciences [Psychology, Neurobiology, Behaviour] 2016-2019]; (MSci Natural Sciences [Systems Biology] 2019/20). Produced of first all-female 'Footlight Presents' 2020 . Operations Associate Beauhurst from 2021.</t>
  </si>
  <si>
    <t xml:space="preserve">Eliza is the only daughter of James (1966– : #150). Born 3 Feb 1999. Baptised 30 May 1999 at All Saints’, Lockinge.                                                                                      </t>
  </si>
  <si>
    <t>Rosie lives in Suffolk and is the only daughter of Charles (1963– : #146). Born 22 Jul 2000. Educated Woodbridge Snr School, Uppingham School (2013-2018); Nottingham University (Studying Spanish and Contemporary Chinese 2019-present). Interests; Tennis, Cricket, Languages, Travelling.</t>
  </si>
  <si>
    <t>Olivia is the elder daughter of Ben (1988– : #167). Born 11 Feb 2014 at Grimsby Hospital. Baptised 24 Aug 2014 at St Peter's Church, Raithby. Olivia lives in Lincolnshire. Education: Oliva attends primary school and particularly enjoys writing, art, maths and science. Interests: tennis, swimming and reading and would like to be an author as well as a marine biologist when she is older.</t>
  </si>
  <si>
    <t>Archie is the elder son of David (1988– : #162). Born 26 May 2017 at Epsom Hospital, Surrey. Baptised 18 Nov 2018 at St Andrew's Church, Coulsdon. Archie lives in South London.</t>
  </si>
  <si>
    <t>Rory is the younger son of David (1988– : #162). Born 13 Oct 2019 at Epsom Hospital, Surrey. Baptised 8 May 2022 at St Andrew's Church, Coulsdon. Rory lives in South London.</t>
  </si>
  <si>
    <t>Daisy is the younger daughter of Ben (1988– : #167). Born 12 Oct 2021 at Grimsby Hospital and lives in Lincolshire.</t>
  </si>
  <si>
    <t>Jane was the eldest daughter of William LLOYD (1729–1800: #1) of Court Henry, Cilycwm, Carmarthenshire. b. 29 Oct 1765, baptised  4 or 9 Nov 1765 at Llanwrda.  Died 11 May 1832, buried at Cilycwm. Issue: 2 sons 1 daughter.</t>
  </si>
  <si>
    <r>
      <t xml:space="preserve">William lived at 7 Bread Street, Cheapside and later of 13 Portland Place, Clapham Road, London. 2nd son of William LLOYD (1729–1800: #1) of Court Henry, Cilycwm, Carmarthenshire. Born 7 May 1770, baptised  11 or 14 May 1770 at Llanwrda.  Warehouseman. He was the only one of the four brothers who was unsuccessful in business. The diaries of his son, William Kirkman LOYD (1809-1879: #10), recorded that in 1867 he received from his father’s solicitor various old papers connected with his father’s affairs which he destroyed in 1871 thus removing evidence of the extent of his father’s debts [8]. Died 17 Aug 1828, buried 25 Aug 1828 at Bunhill Fields, London EC1 in family grave (plan 15, grave no. 223). His gold watch is in possession of John Michael LOYD (1938- ). Issue: 5 sons, 2 daughters. </t>
    </r>
    <r>
      <rPr>
        <i/>
        <sz val="10"/>
        <color rgb="FF000000"/>
        <rFont val="Calibri"/>
        <family val="2"/>
      </rPr>
      <t>Footnote: [8] In Oct 1864, Lord OVERSTONE (Samuel Jones LOYD 1796-1883) wrote “He carried on a concern of his own in which he was uniformly unsuccessful, and thus became the cause of much anxiety and serious loss to the other members of the family. ....To save the name of the family from dishonour it became necessary to discharge his trading debts - about £45,000 - and this burden was borne by the prosperous members of the family in the proportion in which they then shared the profits of the Banking business - ie My Father (#3), Myself (#9), and Mr Edw[ar]d Loyd (#8) - each one third” - O’Brien page 1053.</t>
    </r>
  </si>
  <si>
    <r>
      <t xml:space="preserve">Thomas lived at Ardwick Terrace, Manchester. 3rd son of William LLOYD (1729–1800: #1) of Court Henry, Cilycwm, Carmarthenshire. Born 5 Jun 1775, and baptised  8 Jun 1775 at Llanwrda. Thomas became head of the Cannon Street calico printers, Loyd &amp; Price in 1823, and  afterwards Loyd, Buchan &amp; Welsh. Died, unmarried, 28 Jan 1853 leaving property worth either, £80,000 [9] including at least £5,000 to his relations in Wales, or £35,000 [10]. Will dated 29 Nov 1845, proved 23 Jun 1853 P.C.C. “Never was there a more good-humoured or friendly man than Thomas Loyd. A bachelor to the end of his days - chatty, frank and communicative - he delighted in company and sensible conversation, and had no objection, like Cato of old, to warm his cold chastity every evening with mellow wine.” - Grindon page 89. </t>
    </r>
    <r>
      <rPr>
        <i/>
        <sz val="10"/>
        <color rgb="FF000000"/>
        <rFont val="Calibri"/>
        <family val="2"/>
      </rPr>
      <t>Footnotes: [9] According to Grindon. [10] According to O'Brien.</t>
    </r>
  </si>
  <si>
    <t xml:space="preserve">Eldest son of William LOYD (1770 - 1828: #4) of 7 Bread Street, Cheapside, London EC2.Born 9 Oct 1809. Educated at the Charterhouse in London. Appointed a student at Addiscombe, the East India Company’s military college in Surrey in Jan 1824. Commissioned 2nd Lieutenant 18 Dec 1825. Sailed for Madras 8 Mar 1826, arrived 12 Jul 1826 (aged 16). Joined 3rd Battalion, Madras Artillery. Promoted Lieutenant 6 Aug 1827. Acting Staff Officer 1828/29. Adjutant, 2nd Battalion Sep 1831-Jan 1835. D Troop, Horse Brigade Jan 1835-Oct 1838. Appointed to Artillery of Nizam of Hyderbad Oct 1838. Gazetted Captain 1840. Active Service in 1841, 1849 and 1851. Gazetted Major Nov 1851. Active service in 1853. Retired with rank of Lieut Colonel, Madras Artillery 1854. Departed India 30 Aug 1854. Arrived London after 28 years service 20 Oct 1854. Became guardian of the seven young children of his brother Thomas Kirkman LOYD (1812-57), killed in Indian Mutiny. He lived at: 17 Marlborough Place, St John’s Wood, London NW8. 1854-57; Brighton and elsewhere. 1857-60; 30 Leinster Square, London W2. 1860-64; 7 Gloucester Place, London. 1864-66; 45 Dover St, London W1. 1866-74; 7 Broadwater Down, Tunbridge Wells, Kent. 1874-79. William died (unmarried) 14 Jun 1879, buried 21 Jun 1879 in Tunbridge Wells Cemetery. Portrait by Eden Upton EDDIS previously in possession of Peter (1922–2022: #98). “After the Colonel had served continuously in the tropics for more than a quarter of a century, his health began to fail. In the autumn of 1853 he was granted, on medical recommendation, eight months leave of absence for the purpose of taking a sea voyage, and obtaining a change of air which, it was hoped, would restore his health. On the 1st November 1853 he started his eight months’ sick leave, and saw a railway train for the first time in his life at Bombay in the middle of the month. From Bombay he went to Ceylon where he met his brother, T K Loyd - my grandfather. They travelled together by sea to Calcutta where “After the Colonel had served continuously in the tropics for more than a quarter of a century, his health began to fail. In the autumn of 1853 he was granted, on medical recommendation, eight months leave of absence for the purpose of taking a sea voyage, and obtaining a change of air which, it was hoped, would restore his health. On the 1st November 1853 he started his eight months’ sick leave, and saw a railway train for the first time in his life at Bombay in the middle of the month. From Bombay he went to Ceylon where he met his brother, T K Loyd - my grandfather. They travelled together by sea to Calcutta where they remained for a short time. The Colonel returned alone by sea to Bombay, and went from there to Mahabaleshwar where he remained for three months. “As might perhaps be expected, this continued sojourn in the tropics failed to restore him to health, and he had to leave India. He retired from the service with the rank and pension of Lieut Colonel. On August 30th 1854, he left Bombay by steamship for Suez. Thence he proceeded by the overland route to Alexandria where he embarked on an Austrian Lloyd steamer for Trieste. From there he travelled, by Venice, across Europe by train and diligence, reaching London on October 20th 1854 after twenty-eight years’ absence. To return to England in middle life with impaired health after an uninterrupted spell of service in India, seems to have been quite usual in those days. “In order to understand properly the Colonel’s papers it is necessary to go back a little. His father, William Loyd, was the only one of the four brothers who came from Wales in search of fortune to fail in business [as a result of which] his brothers had assisted him and his family. When the Colonel returned from India, his surviving uncles were old men, and their sons and daughters thoroughly well established in England. His English diaries are very interesting because he moved about so much and had so many friends. - 10 - “One of the points which impresses...is the genius he possessed for enjoying the friendship of people of widely varying circumstances and interests. In spite of troubles and bereavements, not very good health and the inherent loneliness of the man with no family of his own, he must have had some very happy times - discovering his native Islands, constantly staying in the country houses of his relatives and friends, frequently travelling abroad, hunting and shooting a little in England, always helping those around him and delighting in their affection, and meeting through the Overstones and others much that was distinguished and interesting in English life. For his mind, informed by wide reading and by constant travel, his delightful personality and his innate goodness gave him the key to many worlds. “The Colonel never married; and the chief concern of his life became the guardianship of the seven children of his brother, my grandfather, who perished in the Indian Mutiny, leaving a widow and young family. The Colonel assumed a father’s responsibility to them and carried out this labour of love with unswerving devotion and unselfishness. In return he possessed their deep affection and lived to see them grow up and start in the professions he was at such pains to help them enter. “Lord Overstone and his cousins stood behind the little group with their “One of the points which impresses...is the genius he possessed for enjoying the friendship of people of widely varying circumstances and interests. In spite of troubles and bereavements, not very good health and the inherent loneliness of the man with no family of his own, he must have had some very happy times - discovering his native Islands, constantly staying in the country houses of his relatives and friends, frequently travelling abroad, hunting and shooting a little in England, always helping those around him and delighting in their affection, and meeting through the Overstones and others much that was distinguished and interesting in English life. For his mind, informed by wide reading and by constant travel, his delightful personality and his innate goodness gave him the key to many worlds. “The Colonel never married; and the chief concern of his life became the guardianship of the seven children of his brother, my grandfather, who perished in the Indian Mutiny, leaving a widow and young family. The Colonel assumed a father’s responsibility to them and carried out this labour of love with unswerving devotion and unselfishness. In return he possessed their deep affection and lived to see them grow up and start in the professions he was at such pains to help them enter. “Lord Overstone and his cousins stood behind the little group with their wise and generous support. The very difficult and delicate task of negotiating between the young family of his dead brother and his wealthy cousins devolved upon the Colonel. It is impossible to read [his] diaries without noticing the exceeding kindness of these cousins to the Colonel’s ‘wards’; not only financially but in other ways as well. All [these] circumstances....combined to save the Colonel from the lonely years in England that so often awaited men who had spent their youth and their health in India. His restlessness is manifested by his frequent changes of abode, as well as by his love of movement” - from notes of Reginald Arthur LOYD (1886-1961). Harriet Wright’s sister married Fredrick Paul IRBY ( Jan 1866). Their daughter later married Lewis Loyd (#13). The Wright’s also related to Foster-Harter, a cousin through Caroline Foster Loyd (1864 -1940: #47).                        </t>
  </si>
  <si>
    <t xml:space="preserve">Sarah was the eldest daughter of Edward (1780-1863: #8) of Coombe House, Coombe Lane, Croydon, Surrey. Born 30 May 1810.  Died 15 Jun 1858, buried at Hollington, Nr. Hastings, Sussex. Roddy SALE (97d), in 2021, has portrait of Sarah BENYON (1839–1863: #11b).                                </t>
  </si>
  <si>
    <t>Sarah was the eldest daughter of Edward (1780–1863: #8) of Coombe House, Coombe Lane, Croydon, Surrey. Born 30 May 1810.  Died 15 Jun 1858, buried at Hollington, Nr. Hastings, Sussex. Roddy SALE (#97d), in 2022, has portrait of Sarah BENYON (1839 – 1863: #11b). Issue: 3 daughters, 2 sons.</t>
  </si>
  <si>
    <r>
      <t xml:space="preserve">Thomas of Humeerpoor [17], North West Provinces, India. 2nd son of William (1770–1828: #4) of 7 Bread Street, Cheapside, London EC2. Born 10 Oct 1812 at Cheapside. Educated Haileybury 1831-32. Career: Joined Bengal Civil Service 1833. Magistrate and Collector of Humeerpoor. Killed in Indian Mutiny 19 Jun 1857 at Humeerpoor. His wife Annie [18], daughter of Captain James HAIG [19], survived the mutiny. Issue: 7 sons, 1 daughter. Original portrait in possession of Michael (1938– : #114). Copy of a document in writing of Thomas Kirkman LOYD dated one week before his murder by the Sepoys in the Indian Mutiny:  “In case of my death I make my watch [20] a present to Gungah-Sahale, my Serishtadar, for faithful service since I have been in the district. My watch-chain and two seals, one with my crest, and one with “Annie” on it, I wish, if preserved, to go to my family; the chain and crest [21] to my son Arthur (as I know my brother Lewis’s (1819–1841: #21) watch is intended for my dear son Lewis (1844–1905: #28)) and the “Annie” seal to my dear little daughter Annie (1853–1946: #37). My father’s snuff-box to be dear little Archie’s (1847–1922: #30), and the little cross and chain Annie’s (#37), and all the other little things that may escape to be divided amongst my dear children, whom with my dearest wife may God preserve for ever and ever. We have authentic information that the whole English population of Allahabad have been destroyed and we expect our fate to be the same here very long. I trust I die with no enmity in my heart towards anyone, and I pray God to forgive me all my sins and to accept me thro’ the alone merits of His dear Son our Saviour Jesus Christ. (Signed) T. K. LOYD Humeerpore 12 Jun 1857.” </t>
    </r>
    <r>
      <rPr>
        <i/>
        <sz val="10"/>
        <color rgb="FF000000"/>
        <rFont val="Calibri"/>
        <family val="2"/>
      </rPr>
      <t>Footnote: [17] Or ‘Humeerpore’. Now Hamirpur, Uttar Pradesh, India. [18]  Owing to a carriage accident she was unable to accompany her husband to India on his last return there, and thus survived the Mutiny. [19] Portraits of  Captain James HAIG and his wife, Maria, were in possession of the Rev Lewis (1844–1905: #28), then of Bishop Philip (1884–1952: #58) who gave them to Reginald (1886- 1961: #61), who, in turn, left them as part of his estate to Peter (1922–2022: #98). Now in possession of William (1973– : #155).  “All my childhood I remember a portrait my Father had of James Haig,....I remember my Father told us small children not to shoot our arrows at his portrait when we were all shooting madly, and James looked at us so sternly!” In a letter from Mary Beatrix LOYD (1885-1989: #60)[Kitty KONSTAM] dated 4 Nov 1987 to Peter (1922–2022: #98). [20] Apparently his Serishtadar (or servant) held him in such high regard that he returned his gold watch to the family and was in the possession of Christopher Lewis LOYD (1923–2013: #100) and is now in the possession of Michael (1938– : #114).</t>
    </r>
  </si>
  <si>
    <t>Kate was the 3rd daughter of Edward (1780–1863: #8). Born 26 Aug 1815.  Died 14 Dec 1905; buried at Birse Kirkyard. Issue: 2 daughters, 3 sons.</t>
  </si>
  <si>
    <t>William  of Rusholme House, Manchester. Hannah's husband William was born in Manchester and the fourth son of Richard Entwisle. He became an honorary Doctor of Civil Law at the University of Oxford in 1844, and was also a chairman of the Manchester and Leeds Railway Company, and a partner at banking firm Loyd, Entwisle, Bury and Jervis, now part of the Royal Bank of Scotland.</t>
  </si>
  <si>
    <t>Hannah lived at The Oaks, Sunningdale, Ascot, Berkshire (in her widowhood) and was the 4th daughter of Edward  (1780–1863: #8). Born 9 Feb 1817. Died  25 Nov 1907 and is buried at Sunningdale. Issue: 4 sons, 1 daughter.</t>
  </si>
  <si>
    <t>William of Langleybury, near Watford, Hertfordshire and of 93 Eaton Place, London SW1 was the 3rd and youngest son of Edward (1780–1863: #8). Born 2 Aug 1821, baptised 13 May 1822 at the Collegiate Church Manchester (later Manchester Cathedral). Educated Eton and Trinity College, Cambridge (BA 1843, MA 1846). Member of the London house of Jones Loyd &amp; Co. JP, DL for Hertfordshire. High Sheriff 1861. Built the church of St Paul, Langleybury 1864. Died 28 Aug 1885; buried at Langleybury. Estate £347,726. Issue: 4 sons, 5 daughters.</t>
  </si>
  <si>
    <r>
      <t xml:space="preserve">Mary lived at Cwrt Henri [30] Hawkhurst, Kent and was the eldest daughter of Edward (1820–1890: #22). Born 5 Mar 1848 at Prestwich Lodge, Manchester, baptised 26 Apr 1848 at Prestwich Church. Died, unmarried, 15 Jun 1930, buried at Hawkhurst. </t>
    </r>
    <r>
      <rPr>
        <i/>
        <sz val="12"/>
        <color rgb="FF000000"/>
        <rFont val="Calibri"/>
        <family val="2"/>
      </rPr>
      <t>Footnote: [30] After her death, the house reverted to its original name of "Stoneden".</t>
    </r>
  </si>
  <si>
    <t xml:space="preserve">Meg was the 4th daughter of Edward (1820–1890: #22). Born 2 Aug 1859 at Prestwich Lodge, Manchester. Baptised 19 Sep 1859 at Prestwich Church. Died, unmarried, 29 Jun 1936, buried at Hawkhurst. Roddy SALE (#97d) has Meg’s diaries from the estate of Alwyne (1920–2014: #94). Issue: 1 daughter.
</t>
  </si>
  <si>
    <t>Edward lived at Langleybury, near Watford, Hertfordshire and was the 2nd son of William (1821–1885: #23). Educated Eton 1874-78 and Trinity College, Cambridge. DL. Alderman, Hertfordshire County Council. JP, High Sheriff 1894. Major, Hertfordshire Imp. Yeomanry 1891-1902. Chairman, Colne Valley Water Company. Director, Guardian Assurance. Died 6 Nov 1938. Issue: (1st wife) 3 sons. Edward left the MINSHULL VERNON estate by Lewis (1844–1905: #28). Roddy SALE (#97d) visited in 2021 and saw the Loyd window in the church.</t>
  </si>
  <si>
    <r>
      <t xml:space="preserve">Llewellyn lived at Lillesden House [31], Hawkhurst, Kent and was the younger son of Edward (1820–1890: #22). Born 30 Jun 1861 at Prestwich Lodge, Manchester. Baptised 7 Aug 1861 at Prestwich Church. Educated Eton 1875-77 and Christ Church, Oxford 1881. JP Kent. Member Royal Yacht Squadron 1892-1939. Yacht SS ‘Lotus’ (70 tons) owned 1890-1906. Died, 27 Dec 1939, at Lillesden Frith (also known as The Beeches) and buried at Hawkhurst, Kent. Issue: 3 sons, 1 daughter. Llewellyn is featured in a group portrait (c1910) in the Royal Yacht Squadron at Cowes, next to Kaiser Wilhelm II. Paddy (1951– : #126) has the portrait of Llewellyn in RYS attire and Llewellyn's house, 'Thornhill' on the Isle of Wight, has now been converted into apartments. </t>
    </r>
    <r>
      <rPr>
        <i/>
        <sz val="12"/>
        <color rgb="FF000000"/>
        <rFont val="Calibri"/>
        <family val="2"/>
      </rPr>
      <t>Footnote: [31] Llewellyn sold Lillesden House c1923-25 and it became: first a boys Preparatory school and then a girls school until 1998, when it was sold. All the land of the 500 acre estate had been sold by his death. The house is a grade II listed building and, by 1999, was being lived in and returned to a private house before being converted into luxury apartments in 2018.</t>
    </r>
  </si>
  <si>
    <t>Caroline was the 5th and youngest daughter of Edward (1820–1890: #22). Born 10 Jul 1864 at Prestwich Lodge, Manchester. Baptised 30 Aug 1864 at Prestwich Church. Died 3 Dec 1940. Issue: 2 sons.</t>
  </si>
  <si>
    <r>
      <t xml:space="preserve">Lewis was the elder son of Frederic (1856–1936: #41). He lived firstly at Monk's Orchard, Kent and then Albyns, Romford, Essex and then at Shaw Hill House, Melksham, Wiltshire. Born 6 Oct 1880. Educated Eton 1894-98 and Trinity College, Cambridge. Career: Barrister-at-Law, Inner Temple 1906. Served in WWI in Gallipoli as Major, Lovat’s Scouts, attached Worcestershire Yeomanry. Died 21 Sep 1918 at 12 Landsdowne Road, Dublin, of influenza (1) and pneumonia. Issue: 1 daughter. </t>
    </r>
    <r>
      <rPr>
        <i/>
        <sz val="12"/>
        <color rgb="FF000000"/>
        <rFont val="Calibri"/>
        <family val="2"/>
      </rPr>
      <t>Footnote: (1) The 1918 influenza pandemic was the most severe pandemic in recent history. It was caused by an H1N1 virus with genes of avian origin. Although there is not universal consensus regarding where the virus originated, it spread worldwide during 1918-1919.  In the United States, it was first identified in military personnel in spring 1918. It is estimated that about 500 million people or one-third of the world’s population became infected with this virus. The number of deaths was estimated to be at least 50 million worldwide</t>
    </r>
  </si>
  <si>
    <t>Alfred lived at Lealands House, Groombridge, Sussex and was the elder son of Frank (1848–1934: #32). Born 10 Feb 1882. Educated Eton 1895-98 and RMC Sandhurst.  Royal Sussex Regiment. Boer War 1901-02 Queen’s Medal and 4 clasps. Captain 1910. Major 1916-19. Served in WWI in France as Brigade Major. Died 13 Feb 1919 at Greystones Military Hospital, Blackpool, Lancashire of heart failure following influenza. Issue: 1 son, 1 daughter.</t>
  </si>
  <si>
    <r>
      <t xml:space="preserve">Reggie lived at Downs House, East Hendred, Berkshire and was the eldest son of Archie (1847–1922: #30). Born 21 May 1886 at 18 Radnor Place, London W2. Baptised 24 Jun 1886 at St John’s, Paddington. Educated Eton 1899-1904 and Trinity College, Cambridge (BA 1908). Served in World War I in France and England as Captain, Remount Service. Inherited Downs House on the death  of his father. The Downs  landholding was expanded but later sold. Transcribed and privately published his brother, Geoffrey’s (1890–1914: #69), war diary, in 1935. Died (unmarried) 12 Mar 1961 at Oxford. Buried 17 Mar 1961 at West Hendred, Berkshire. As of 2022, his library of books is held by Peter (1942– : #119). </t>
    </r>
    <r>
      <rPr>
        <u/>
        <sz val="12"/>
        <color rgb="FF000000"/>
        <rFont val="Calibri"/>
        <family val="2"/>
      </rPr>
      <t>Photo:</t>
    </r>
    <r>
      <rPr>
        <sz val="12"/>
        <color rgb="FF000000"/>
        <rFont val="Calibri"/>
        <family val="2"/>
      </rPr>
      <t xml:space="preserve"> Reggie Loyd outside St Anne's, Bowden Hill on March 18th 1919, as Best Man at wedding of his brother, Bobbie, to Olive Gladstone
</t>
    </r>
  </si>
  <si>
    <r>
      <t xml:space="preserve">Bobby lived at Kings Walden, Windsor, Berkshire and was the 2nd son of Archie (1847–1922: #30). Born 16 Sep 1887 at Lockinge House, Wantage, Berkshire, baptised 27 Oct 1887 at Lockinge. Educated Eton 1900-05 and Magdelen College, Oxford (BA 1911, MA 1924). Commissioned 28th January 1911 as Lieutenant 16th (Queens) Lancers, seconded in February 1914 to the 1st Cavalry Brigade as Signals Officer, mobilised 4th August 1914, one of the Old Contemptibles, Battle of Mons 23rd August 1914, Battle of the Marne, 5th September 1914, etc., (despatches 3 times). MC 1916. Military OBE 1919. Major, 1st Life Guards (1920–1934). Served in World War II as 2nd in Command 152nd Officer Cadet Training Unit, Catterick, Yorkshire, 1939-42. Trustee, Gardner’s Trust for the Blind (1942, Chairman 1956-1974), Princess Louise Hospital for Children, (Chairman 1937-40); and the London Foot Hospital, (Trustee 1936, Chairman 1947-8). Knight of St John 1950. Almoner 1948. Grand Master’s Order of Service to Freemasonry 1953. Died 25 Jun 1977 at Wexham Park Hospital, Slough, Berkshire. Buried 6 Jul 1977 at West Hendred, Berkshire. Issue: 1 daughter. </t>
    </r>
    <r>
      <rPr>
        <u/>
        <sz val="12"/>
        <color rgb="FF000000"/>
        <rFont val="Calibri"/>
        <family val="2"/>
      </rPr>
      <t>Photo:</t>
    </r>
    <r>
      <rPr>
        <sz val="12"/>
        <color rgb="FF000000"/>
        <rFont val="Calibri"/>
        <family val="2"/>
      </rPr>
      <t xml:space="preserve"> Robert Lindsay Loyd (Bobbie) in 16th (Queen’s) Lancers uniform with medal ribbon, late 1918/early 1919, photo by Elliot and Fry.</t>
    </r>
  </si>
  <si>
    <t xml:space="preserve">Mary was the 2nd daughter of Frederic  (1856–1936: #41) of Shaw Hill House, Melksham, Wiltshire and of Albyns, Romford, Essex. Born 23 Nov 1887. Died 15 Sep 1968 in Skye. Buried in Lansdown Cemetery, Bath. Issue: 1 son, 2 daughters.                                     </t>
  </si>
  <si>
    <t>Melicent was the only daughter of Edward  (1851–1922: #34). Born 4 Feb 1889.  Died 14 Apr 1967 at St Mawes, Cornwall, buried at St. Just-in-Roseland, Cornwall. Issue: 2 daughters, 1 son.</t>
  </si>
  <si>
    <t>Anne was the eldest daughter of Arthur (1882–1944: #56). Born 14 Oct 1912 in London. Died 2 Sep 2004. Issue: 3 sons, 1 daughter.</t>
  </si>
  <si>
    <t>Delia lived at 16 Garden Wood, Inchmarlo, Banchory, Scotland and was the only daughter of William (1889–1947: #66). Born 12 Sep 1915. Baptised at Shamley Green, Surrey. Educated Tabley House, Cheshire. Died 10 Jan 2007. Issue: 1 daughter, 2 sons.</t>
  </si>
  <si>
    <t>Daphne was the only daughter of Alfred (1882–1919: #54). Born 26 Nov 1917 at Prestwick, Ayrshire. Baptised 19 Jan 1918 at St Martin’s Prestwick.  Died 22 Jul 1992. Issue: 2 sons, 2 daughters.</t>
  </si>
  <si>
    <t>Audrey lived at Dowdeswell Home Farm, Andoversford, Gloucestershire and was the only child of Edward (1881–1962: #53). Born 28 May 1922. Had safe keeping of old Welsh Bible with entries about LLOYD family in Carmarthenshire in 18th Century and other old family papers, and the blunderbuss belonging to Edward (1780–1863: #8) for use by his coachman if attacked on the turnpikes. Died 4 Oct 2005. Issue: 1 daughter, 3 sons</t>
  </si>
  <si>
    <t xml:space="preserve">Alwyne lived at Stag Cottage, 17 Kings Road, Teddington, Middlesex and was the only son of Cecil (1890–1963: #68). Born 26 Mar 1920 (twin with his sister, Jill) at St Margaret's Cross, Hawkhurst. Baptised 2 May 1920 at St Laurence, Hawkhurst, Kent by his uncle the Rev Frank ETESON. Educated Repton. Served in World War II in Africa, Italy and Burma (despatches). Major, Royal Engineers, TD 1950, ERD 1961, MCIT 1949. Retired from Emergency Reserve 1961. Career: In Brewing industry including Ind Coope and Guinness. Liveryman of Goldsmith’s Company 17 Oct 1945 by special grant, as ward of George Loyd, Baron COURTHOPE (1887–1955: #36a) the Prime Warden of the Goldsmiths’ Company 1943-44. After their mother’s early death in 1932 at the age of 42, Alwyne and his twin sister Jill were sent to live at Whiligh as Wards of Sir George [later Lord] COURTHOPE (1887–1955: #36a) where they experienced some resentment from Lady COURTHOPE and her two daughters. On occasions, delicate family matters were discussed in their presence such as the misdemeanours of their grandfather, Llewellyn (1861-1939: #45), his ruining of his estate and being bailed out of his debts by his sister, Caroline Foster LOYD (1864-1940: #47) [later Mrs Alfred Hardcastle], all of which caused them considerable distress. However, one Christmas at Whiligh, they received a surprise present of £20 from an unnamed LOYD relative in Tunbridge Wells, which kindness they have never forgot. Her name was not mentioned but it must have been Annie (1853–1946: #37) who would have been told of their situation by their guardian. After taking early retirement in 1978, Alwyne worked as an active volunteer in many areas of the local community including Teddington Hospital but his favourite time was spent at Hampton Court Palace as a volunteer guide in the Royal Chapel. In the 1980s after he met Peter (#98) he provided siginficant support, as a keen Loyd Family Archivist, in the publishing of  THE LOYD FAMILY, "Who's  Who", first  in 1985 and later updated in 2000 with THE LOYD FAMILY a "Who's Who" in date of birth order from William (1729–1800: #1). Alwyne died on 10 May 2014 unexpectedly at a residential home, Willowmeade, in East Molesey. Alwyne's friend Reverend Denis Mulliner, Chaplin at Hampton Court Palace, led Alwyne's memorial service in the Royal Chapel following his funeral at the parish church of St James In Hampton Hill and burial, alongside his wife Alison, in Teddington Cemetery which was attended by family and close friends. Issue: 6 sons. </t>
  </si>
  <si>
    <t>Hester was the 2nd daughter of Arthur (1882–1944: #56) of Lockinge, Wantage, Berkshire. Born 1 Dec 1920.  Died 2002. Issue: 2 daughters.</t>
  </si>
  <si>
    <t>Lavinia was the only daughter of  Sir Henry (1891–1973: #72). Born 21 Dec 1923. Died 12 Dec 1995. Buried at Peper Harow, Godalming, Surrey. Issue: 3 Sons, 1 daughter.</t>
  </si>
  <si>
    <t>Sir Julian lived at Laycocks, Sandringham, Norfolk, and later of Perrystone Cottage, Burnham Market, King’s Lynn, Norfolk and was the only son of Sir Henry (1891–1973: #72). Born 25 May 1926. Educated Eton 1939-44 and Magdalene College, Cambridge (BA 1952,  MA 1955). Served in World War II as Lieutenant, Coldstream Guards. Career: Partner with Savills Norwich between 1955 and 1964. Agent to HM the Queen at Sandringham 1964-1991. FRICS 1960. He was appointed Commander, Royal Victorian Order (CVO) in 1979. Held the office of Deputy Lieutenant (DL) of Norfolk in 1983. Appointed Knight Commander, Royal Victorian Order (KCVO) in 1991. Issue: 2 sons, 2 daughters.</t>
  </si>
  <si>
    <t>Denise lives in Ludlow, Shropshire and is the only daughter of Wilfrid (1893-1971:  #77). Born 15 Nov 1928 at 36 Chester Square. Baptised 20 Jan 1929 at St Michael’s, Chester Square. Issue: 1 daughter, 1 son.</t>
  </si>
  <si>
    <t>Joscelyn is the eldest daughter of Lewis (1882–1950: #55). Born 1 Dec 1931 at 12 Rue de Boileau, Paris. Baptised 1932 at the English Church of St. George, Paris. Issue: 1 daughter, 3 sons.</t>
  </si>
  <si>
    <t>Margaret lives in Central London and is the elder daughter of Eric (1894–1963: #80). Born 1 Mar 1932. Baptised 8 Apr 1982 at the Brompton Oratory, London SW7. Educated Holy Child Convent, Harrogate. Issue: 1 daughter, 1 son.</t>
  </si>
  <si>
    <t>Jean lives in Canterbury, Kent and is the younger daughter of Eric (1894–1963: #80). Born 31 Aug 1933. Baptised 29 Sep 1933 at the Brompton Oratory, London SW7. Educated Holy Child Convent, Harrogate and Reading University (BA). Issue: 2 sons, 2 daughters.</t>
  </si>
  <si>
    <t xml:space="preserve">Deen was the 2nd daughter of Lewis (1882–1950: #55). Born 24 Feb 1936 at Rue de Conde, Saint-Jean-Les-Deux-Jumeaux, France. Baptised 16 Apr 1936 at the English Church of St. George, Paris. Died 1 May 2006. Issue: 2 sons, 2 daughters.                  </t>
  </si>
  <si>
    <t>Belinda was the elder daughter of Vivian (1894–1972: #98). Born 6 Jul 1939. OBE 1997. Died 1 Dec 2018 in Lowestoft. Issue: 4 daughters, 1 son.</t>
  </si>
  <si>
    <t>Peggy is the 3rd daughter of Lewis (1882–1950: #55). Born 18 Nov 1939 at Norwich. Baptised 14 Jan 1940 at St Mary’s, Martham, Norfolk. Issue: 1 sons, 2 daughters.</t>
  </si>
  <si>
    <t>David lives in Marlborough, Wiltshire and is the only son of Edward (1921–1977: #96). Born 4 Jan 1949, baptised 19 Mar 1949 at St Peter’s, Eaton Square, London SW1. Educated Eton 1962-67. FCA 1973. Career: Peat Marwick Mitchell 1974-78. Kleinwort Benson from 1978. MD Dresdner Kleinwort Benson, Hong Kong 1997-99. Corporate Finance Director, Kleinwort Benson from 1999. Issue: 2 sons, 1 daughter.</t>
  </si>
  <si>
    <t>Martin now lives in Wales having lived in New South Wales in Australia and is the elder son of Geoffrey (1926–2018: #105). Born 18 Feb 1949 at Mowbray, Capetown, South Africa, baptised at Cape Town Cathedral. Educated Dean Close, Cheltenham.</t>
  </si>
  <si>
    <t>Rona lives in Kelowna, British Columbia, Canada and is the only daughter of Norman (1913–2008: #86). Born 24 Feb 1951 at Kelowna, British Columbia. Baptised 6 Jun 1951 at St. Mary’s, East Kelowna, British Columbia. Career: British Columbia Institute of Technology 1970-74. X-ray technologist retired in 2000. Issue: 1 son, 1 daughter.</t>
  </si>
  <si>
    <t>Julie lives in West Dorset and is the eldest daughter of Peter (1922–2022: #98). Born 30 Apr 1952 in Gloucester. Baptised 8 Feb 1953 at Christchurch, Pembroke, Malta. Education: Headington, Oxford and Kent University (BA). Career: Christian Aid 1975-81. Freelance journalist and broadcaster 1981-89. Head of Religious Broadcasting World Service 1989-90. Issue: 2 daughters</t>
  </si>
  <si>
    <t xml:space="preserve">Tim lives in Perthshire, Scotland, previously of Iffley Road, Oxford and is the 4th son of Alwyne (1920–2014: #94). Born  4 Jun 1957 at Burton-on-Trent Maternity Home. Baptised 29 Sep 1957 at St Aiden’s, Shobnall, Burton-on-Trent by the Rev Harold SPRIGGS. Education:  Manchester (BA Econ Hons. 1978) and Warwick (Cert Bus Admin 1988). Freeman of Goldsmiths’ Company 1978. Issue: 3 daughters. </t>
  </si>
  <si>
    <t>Rick lives in East Molesey, Surrey and is the youngest son of Alwyne (1920–2014: #94) . Born 26 Mar 1962 at St John’s Hospital, Chelmsford, Essex. Baptised 17 Jun 1962 at St Thomas the Martyr, Brentwood, Essex, by Canon James WILLARD. Education/Qualifications: York (BSc Maths, 1983); Loughborough (PGCE Maths &amp; PE, 1986); and Birkbeck College, London (MSc Applied Stats, 1992). CStat (1996); Market Research Society. Career: Teacher, Farnborough Sixth Form (1986-89); Statistician, Defence Analytical Services Agency (1989-95). Social Researcher, SIA 1995-96. Company Statistician, British Market Research Bureau (1996-2002);  Statistician/Researcher, ACNielsen Sydney (2003-06); Statistician/R&amp;D Global Analyst, Nielsen (2006-16); Founder &amp; Consultant, Change by Numbers Ltd (2017 - ). Freeman of Goldsmiths’ Company 1984. Parent Governor, Orchard School, East Molesey (1998-2002); VI guide runner (2015-20); Chairman WSS Charity Epsom (2018-19). Co-editor "Loyd Who's Who" 2022 with his brother Dominic (1953– : #131). Issue: 2 sons. Contact email: rick@changebynumbers.com</t>
  </si>
  <si>
    <t xml:space="preserve">Francis was the younger son of Sir Julian (1926-2018: #104) Born 31 Mar 1966. Died, in infancy, 1 Apr 1966.                                                                        </t>
  </si>
  <si>
    <t>Anthony is the only son of Willie (1937–1994: #113). Born 12 Sep 1966. Educated Eton 1980-82; St Mary's College, Guildford and RMA Sandhurst. Career: Lieut, Royal Green Jackets 1986-1991. Served in Northern Ireland and Gulf War. Journalist. Freelance war correspondent for The Times from 1993 to present. Lived in Bosnia to cover the war in the former Yugoslavia. Also covered other wars including Chechnya, Afghanistan, Sierra Leone and Kosovo. Author of ‘my war gone by, I miss it so’, Doubleday 1999. Issue: (2nd Wife)  1 daughter.</t>
  </si>
  <si>
    <t>Mary Rose is the younger daughter of Sir Julian (1926–2018: #104). Born 8 Jun 1967. Baptised 6 Aug 1967 at St Peter and St Paul’s, West Newton, Norfolk. Issue: 1 daughter, 1 son.</t>
  </si>
  <si>
    <t>William lives in Bellingham, Northumberland, previously of Wandsworth Bridge Road, London. Only son of Peter (1942–  : #119). Born 15 Apr 1973. Baptised 6 May 1973 at Pathhead, Midlothian. Education: Ampleforth and Newcastle University (BSc Agricultural Economics 1995). Career: Angela Mortimer from 1998-2000; Morgan Stanley 2000-2005; Farmer 2005 - ; Director Hesleyside Huts 2010 - ; Knight of Malta 1997. Portraits of William (1809–1879: #10) and Thomas (1812–1857: #14) by Eden Upton EDDIS are in possession of William (#155). William has created a LOYD library at Hesleyside to house some 800 LOYD books collected by Reggie (1886–1961: #61); portraits of Lord Overstone (1796–1883: #9), William (1809–1879: #10), Captain James HAIG (b. 1768, d. 1832) and Maria (1814–1900: #16) and numerous LOYD items of historical interest. Issue: 2 daughters, 1 son</t>
  </si>
  <si>
    <t>Amy lives in Catthorpe, Leicestershire. Eldest daughter of Peter (1942– :  #119). Born 4 Mar 1975. Baptised 12 Mar 1975 at Saltillo, Mexico. Education:  Queen Margarets, York and University of Northumbria (BA History of Art 1997). Career: Phillips Auctioneers from 1998-2001, Sotherby's 2001-2005. Teacher Thomas's School, Kensington-2013, Bilton Grange School 2013, Dame of Malta 2006. Issue: 1 son, 1 daughter.</t>
  </si>
  <si>
    <t>Tessa lives in Hayden Bridge, Hexham and is the eldest daughter of John (1938– : #114). Born 31 Jul 1975. Baptised 21 Sep 1975 at Stagshaw Chapel, Corbridge, Northumberland. Educated University of Northumbria (BA Business Studies) and RMA Sandhurst. Career:  Captain Royal Engineers. Retired SEO 2005. PA Consultancy 2005-2012. Issue: 1 son, 1 daughter.</t>
  </si>
  <si>
    <t>Chloe lives in Sussex and is the 2nd daughter of John (1938– : #114). Born 31 Aug 1977. Baptised 19 Sep 1977 at Stagshaw Chapel, Corbridge, Northumberland. Educated: Edinburgh University (MA Hon Geography). Issue: 1 daughter.</t>
  </si>
  <si>
    <t>Daisy lives in Langley-on-Tyne, Hexham and is the 3rd and youngest daughter of John (1938– : #114). Born 19 Aug 1979. Baptised 9 Sep 1979 at Stagshaw Chapel, Corbridge, Northumberland. Education:  Worcester College, Oxford (MA 2000); RADA; Kings College, London (MA 2005); UCL Instiitute of Education (PhD, 2011). Career: Lecturer Higher Colleges of Technology, Abu Dhabi 2011-2014; Lecturer UCL Institute of Education and Goldsmiths University of London from 2005.  Issue: 1 son, 1 daughter.</t>
  </si>
  <si>
    <t xml:space="preserve">Molly lives in Stretton, Rutland and is the 2nd daughter of Peter (1942–  :  #119). Born 7 Apr 1982, baptised 22 May 1982 at St Mary Magdalene’s, Wandsworth, London. Education: Queen Margarets, York. Rutland Kinesiology 2019-, Dame of Malta 2014. Issue:  1 daughter, 1 son.                                                                         </t>
  </si>
  <si>
    <t>Poppy lives in Scotland and is the eldest daughter of Tim (1957– : #136).  Born 16 Dec 1984 at Princess Anne Maternity Hospital, Southampton. Education: New Hinksley Primary, Oxford High School GDST, Durham University, St Mary's College (BSc Geography). Northumbrian Universities Air Squadron 2003-2006. Career: RAF - graduated Initial Officer Training Course 2007; Tornado GR4 Weapons Systems Officer 617 Sqn, 12(B) Sqn, 31 Sqn, Served in Afghanistan, Iraq, Syria. RAF 2006- . Issue: 3 sons.</t>
  </si>
  <si>
    <t>Rose lives in Kent and is the 2nd daughter of Tim (1957–  :  #136). Born 7 Jul 1986 at Princess Anne Maternity Hospital, Southampton. Education: Headington, Oxford and University of Liverpool (BSc Hons Physiotherapy). Issue: 2 daughters.</t>
  </si>
  <si>
    <t>Ben lives in Lincolnshire and is the 3rd and youngest son of Dominic (1953– : #131). Born 11 Mar 1988 at St Peters Hospital, Chertsey, Surrey. Baptised 10 Jul 1988 at St Andrews, Goldsworth Park, Woking, Surrey in the local school. Education: Tower Road Primary, Giles Secondary school, Boston. University of Herfordshire (BA Hons first class) 3D Animation. Career: Civil Service. Issue 2 daughters.</t>
  </si>
  <si>
    <t>Camilla is the elder daughter of Thomas (1959– : #138).  Born 31 May 1988. Baptised at St Mary the Virgin, Fawley, Nr Wantage.  Issue: 1 son, 1 daughter.</t>
  </si>
  <si>
    <t xml:space="preserve">Sophie is the younger daughter of Thomas (1959– : #138). Born 2 Dec 1989. Baptised at All Saints' Lockinge. Issue: 1 son.                                                                          </t>
  </si>
  <si>
    <t>George is the only son of Charles (1963– : #146). Born 19 Nov 1998 at Ipswich, Suffolk. Baptised 14 Mar 1999 at St Mary of Grace, Aspall, Suffolk. Education: Royal Hospital School, Holbrook; Uppingham School (2012–2017); Oxford Brookes University, BSc Criminology. Interests Cricket, Fishing and Shooting.</t>
  </si>
  <si>
    <t>Matilda is the elder daughter of William (1973– : #155). Born 12 Feb 2006.</t>
  </si>
  <si>
    <t>Delilah is the only daughter of Anthony (1966– : #149). Born 1 Aug 2006.</t>
  </si>
  <si>
    <t>Katherine is the younger daughter of William (1973– : #155). Born 5 July 2007.</t>
  </si>
  <si>
    <t>Henry is the only son of William (1973– : #155). Born 6 Jan 2010.</t>
  </si>
  <si>
    <t>John was the 4th son of William (1770–1828: #4) of 7 Bread Street, Cheapside, London EC2. Born  3 Oct 1817. Died in infancy on 13 Apr 1818; buried at Bunhill Fields, London in family grave (plan 15, grave no. 223).</t>
  </si>
  <si>
    <t>Henry was the only son of Samuel (Baron OVERSTONE) (1796–1883: #9). Born 20 Dec 1832. Died in infancy on 31 Mar 1833; buried at Overstone.</t>
  </si>
  <si>
    <t>Mary was the 5th and youngest daughter of William (1821–1885: #23). Born 19 Jan 1867. Died in infancy on 19 Jan 1867.</t>
  </si>
  <si>
    <t>Diana was the only daughter of William (1863–1923: #46). Born 1 May 1890 at 46 Beaufort Gardens, London SW3. Died 1 July 1963. Issue: 4 daughters, 2 sons.</t>
  </si>
  <si>
    <t xml:space="preserve">Cecily was youngest daughter of Frederic (1856–1936: #41). Born 3 Jun 1891. Died in infancy 3 Jun 1891. Buried at All Saints’, Little Munden, Hertfordshire.                                                           </t>
  </si>
  <si>
    <t>John (87): 1913 - 1943</t>
  </si>
  <si>
    <t>Averil was the only child of Lewis (1880–1918: #52). Born 24 Mar 1917. Died 21 Aug 1993, buried Highbrook Church, West Sussex in same grave as her 2nd husband, John Robert Stephenson CLARKE. Issue: 2 daughters, 1 son.</t>
  </si>
  <si>
    <t>Wooie lived at 4409 Benjamin Drive, Yakima, Washington, 98908, USA and was the only daughter of Edward (1893–1932: #76). Born 27 Nov 1928 at Rutland, British Columbia. Baptised Dec 1928 at Kelowna, British Columbia. Educated Vernon, British Columbia, Banff, Alberta, Victoria, British Columbia and Business College, Medicine Hat, Alberta, Canada. Issue: 3 daughters, 2 sons.</t>
  </si>
  <si>
    <r>
      <t xml:space="preserve">Yeoman of Cwm-y-to fach and afterwards (1795) of Court Henry </t>
    </r>
    <r>
      <rPr>
        <sz val="10"/>
        <color rgb="FF000000"/>
        <rFont val="Calibri"/>
        <family val="2"/>
      </rPr>
      <t>[1]</t>
    </r>
    <r>
      <rPr>
        <sz val="12"/>
        <color rgb="FF000000"/>
        <rFont val="Calibri"/>
        <family val="2"/>
      </rPr>
      <t xml:space="preserve"> in the parish of Cilycwm, Carmarthenshire. 3rd and youngest son of Lewis LLOYD (c.1690–1758: #0) [2]  of Cwm-y-to fach in the parish of Llanwrda. Baptised 20 Sep 1729 at Llanwrda. Died 13 May 1800. Buried 16 May 1800 at Cilycwm. Issue: 3 daughters, 4 sons. Will dated 8 July 1799, proved 24 May 1800 at Carmarthen. Original in National Library of Wales, Aberystwyth. Churchwarden Llanwrda 1766 and 1791 Tombstone in Cilycwm Churchyard. Issue: 4 sons, 3 daughters. </t>
    </r>
    <r>
      <rPr>
        <i/>
        <sz val="10"/>
        <color rgb="FF000000"/>
        <rFont val="Calibri"/>
        <family val="2"/>
      </rPr>
      <t xml:space="preserve">Footnote: [1] Court Henry (spelt CWRT HENRY on first Ordnance Survey maps printed in 1865) was sold by Lord Overstone in 1881 for £1,000. [2] Lewis Lloyd died 24 Aug 1758. Buried 25 or 26 Aug 1758 at Llanwrda. Lewis' will dated 8 Jan 1757, proved 10 Jul 1760. Total assets £12-3 shillings. Original in the National Library of Wales, Aberystwyth (Testators’ Wills index St David’s Diocese).                               </t>
    </r>
    <r>
      <rPr>
        <sz val="12"/>
        <color rgb="FF000000"/>
        <rFont val="Calibri"/>
        <family val="2"/>
      </rPr>
      <t xml:space="preserve">                                     </t>
    </r>
  </si>
  <si>
    <r>
      <t xml:space="preserve">Lewis lived at 43 Lothbury, London and of Overstone Park, Northamptonshire. Eldest son of William LLOYD (1729–1800: #1) of Court Henry, Cilycwm, Carmarthenshire. Born 1 Jan 1768, baptised  5 Jan 1768 at Llanwrda. Educated at Mr. David PRICE’s school [5] at Llanycrwys near Lampeter and at the Presbyterian Academy of Carmarthen, Swansea (1785-89). Rode to Manchester in September 1789. Entered Manchester Unitarian College. Appointed Tutor in Belle Letters at Manchester 1790-92. Became Supply Preacher at Dob Lane Chapel, Failsworth, Manchester [6]. Also preached at Blackley where he met his future wife, Sarah Jones. Lewis joined the Bank before relocating to the London branch as partner with Daniel, Jones, Barker, Loyd &amp; Co. 1793. Jones, Loyd, Hulme &amp; Co. 1798. Jones, Loyd &amp; Co. 1808. Retired from Bank 1844. Changed the family name to LOYD about 1795. Obtained the grant of arms 10 Apr 1835 on his appointment as High Sheriff of Northamptonshire, and registered it at the College of Arms in the name of his father in order to include his brothers and their descendants. Died 13 May 1858 at Overstone, buried at Overstone. Will dated 21 Nov 1843. Estate left to Lord OVERSTONE:- Land £1,172,091, Securities £701,102, Personal effects £5,639. Issue: (1st wife) 1 son (who later became Lord OVERSTONE). Portrait by Eden Upton EDDIS in possession of Christopher Lewis LOYD (1923–2013: #100). Able and far-sighted to a degree, this extraordinary man (Lewis LOYD), of whom unfortunately not very much is known, was endowed with a biting wit; when, in 1828, Frys &amp; Chapman - Joseph Fry was the husband of the great reformer Mrs Elizabeth Fry (nee Gurney) - had to close its doors, he told a Quaker client who had been wise enough previously to withdraw his money and to entrust it to a “more sophisticated house”, “Thou wer’t right, friend: it is wiser to place thy money with a rich sinner than with a poor saint.” Overstone Library, Reading University.  </t>
    </r>
    <r>
      <rPr>
        <i/>
        <sz val="10"/>
        <color rgb="FF000000"/>
        <rFont val="Calibri"/>
        <family val="2"/>
      </rPr>
      <t>Footnotes: [5] When David PRICE’s youngest son, Lewis, died in London, his old pupil, Lewis LOYD, was at his bedside. [6] “At the time in question.....to get to Dob Lane Chapel from the College was quite a journey. Lewis Loyd made his way to it Sunday by Sunday, upon the identical little white pony which had carried him from Carmarthenshire to Manchester, trotting, not along a wearily-extended street, but between hedgerows and pastures. It was a wild and rebellious little animal, and until the time for its master’s return to Dawson Street in the evening, was turned into a meadow belonging to a Mr Barrett, a leading man at Dob Lane Chapel, and at whose house Lewis Loyd was usually the welcome guest. Another leading member of the Dob Lane congregation was a Mr Samuel Taylor, a merchant in Princess Street, whose residence was at Moston. It was from this old gentleman, if tradition be trustworthy, that Lewis Loyd received his first lessons in the inestimable and immortal science of how to get rich. Mr Taylor seems to have discovered very early that Lewis had a remarkable gift for figures and accounts. He certainly led him on to a realization of his native powers. Probably it was Mr Taylor who, after service one fine morning, presented the young preacher with a bank note in acknowledgment of the excellent way in which he acquitted himself in the pulpit. Money in those days was a scarce article with the budding Croesus. His salary, it is said, was £40 a year. He thanked the donor cordially, and added that on the same terms he would gladly pray for him every Sunday of the year. Whether it was at this particular period, or a trifle later, that Lewis Loyd was engaged in writing his tract upon Original Sin, there is no evidence to show. (The tract in question was one of a series of ‘Letters to the Inhabitants of Wigan occasioned by the Rev Mr Tawell’s Discourse on the Divinity of Jesus Christ, 1791’. The volume, which is rare, consists of one hundred and sixty pages (size 12mo), twelve of which are Lewis Loyd’s.)” - Grindon p 58-59. Roddy SALE (#97d), in 2021, has portrait of Samuel &amp; William Jones (1746 – 1819) of Greenhill and William Jones (1757 – 1821) who owned Wolvey in Warwickshire (left to Lord Overstone).</t>
    </r>
  </si>
  <si>
    <t>Gwenllian was the 3rd and youngest daughter of William LLOYD (1729-1800: #1) of Court Henry, Cilycwm, Carmarthenshire. Born 19 Oct 1777, and baptised  22 or 23 Oct 1777 at Llanwrda. Died 12 Oct 1779. Buried at Llanwrda.</t>
  </si>
  <si>
    <t>At different times Edward lived in King Street, Manchester, at Greenhill, Cheetham Hill, Manchester [11] and later at Coombe House, Coombe Lane, Croydon, Surrey. 4th and youngest son of William LLOYD (1729–1800: #1) of Court Henry, Cilycwm, Carmarthenshire. Born 30 Jan 1780 and baptised  3 Feb 1780 at Llanwrda. Educated probably at Mr. David PRICE’s school at Llanycrwys near Lampeter for a schoolmaster. Came to Manchester and entered Bank as a clerk, became head cashier and then partner. Member of the Billiard Club and Broughton Archers.[12] Became senior partner, Manchester branch, Jones Loyds Bank at 35 King Street, Manchester in 1821. Notable collector of modern English water colours and Dutch old masters. Died 30 Jan 1863 at Coombe House, buried at Addington, near Croydon. Estate worth £600,000. Will dated 9 Apr 1855, proved 18 Mar 1863 P.P.R.. Issue: 3 sons, 5 daughters. Roddy SALE (97d), in 2022, has portrait of Sarah Taylor (daughter of Joseph Taylor) who married Edward Loyd (#8). Footnote: [11]  Greenhill, Cheetham Hill, Manchester was built, and lived in, by Samuel JONES who died 17 Mar 1819. It was then taken over by his partner at the bank, Edward LOYD, who lived there until he retired to Croydon in 1848. By 1877 the house had disappeared. Edward LOYD also owned the manor and huge estate of Minshull Vernon, near Nantwich in Cheshire, although he never live there himself. Some of the property was occupied by his wife’s relatives, and he was the joint benefactor of the church of St Peter, Leighton-cum-Minshull. Vernon Manor was rebuilt in 1849 to a design by Sir Gilbert Scott. On his death Edward  left the estate to his eldest son, Lewis LOYD (1811–91: #13) who, in turn, on his death left it and other property in Cheshire to his grandson, Edward Henry LOYD (1861–1938: #44) who was also known as Harry. [12] “Mr Loyd’s devotedness to the bank was equalled by his attachment to his home ....he rarely allowed himself to be absent for more than a day or two. He was a member of the Billiard Club, but found his chief enjoyment in connection with that famous old body, the Broughton Archers. ... composed exclusively of gentlemen, the admission being almost as strict as to the Billiard Club..... all men who represented the weight and influence of the town. A meeting short of Edward Loyd perhaps was never known ... because ... on the archery ground he divested himself of all his cares, smoothed his ruffled plumage, and warmed and refreshed the very atmosphere with his boundless ‘bonhomie’. He was accustomed to present the club as often as needed with an aum (fifteen dozen) of hock ... Of this celebrated club Mr Edward Loyd may truthfully be declared to have been the life and soul ... as a member ... he did most to render it one of the most charming that ever existed. He was one of the muster upon the lawn at Holland House on the occasion of that celebrated festival when the Broughton Archers acted as body guard to the Queen.” Grindon page 153-57.  “After the death of William Jones  [the son of John Jones (1713–75)] and brother of Sarah, wife of Lewis Loyd (1768–1858: #3) in 1821, the King Street bank fell under the control, purely and solely, of Mr Edward Loyd who splendid management continued unbroken for the long period of twenty-seven years. [On 25 December 1848] the Manchester business was separated from the Metropolitan one, the ancient appellation of William Jones Loyd and co., disappeared; Mr Loyd, 68, retired, and the [his] responsibilities in Manchester were distributed amongst four new partners: Mr Loyd’s son Edward (1820 –90: #22), Mr William Entwisle, Mr Henry Barrett Bury and Mr Thomas Barlow Jervis. “On his retirement from the bank, Mr Loyd removed to Croydon in Surrey. His departure from Manchester touched a larger circle than has ever been affected in our town by the loss of the single member of the community. No man was better known or more generally respected. The many years he was accustomed to making his way to the bank with regularity so exact, riding a little brown pony, familiarly known along the road as “Jacob Faithful”, that his passing any given corner suffice to tell the time of day. Later on, disliking everything that savoured of show and vanity, he exchanged a pony for an unpretentious shut-up carriage. He never failed to enter the bank at 9am, and never left in the evening until the books were all made up and the cash was balanced to the uttermost penny. Many a time he had not scrupled to go in late to a dinner party, even at his own table, rather than neglect his duties at the desk. This did not come of any unworthy ‘amor nummi ; in Edward Loyd there was not the slightest taint of avarice; it was purely out of love of order and precision. This also rendered him indifferent to speculation, the desire to get rich by leaps, which, being a disorderly thing, he constantly discouraged……in his conduct towards others he was always kindly and amicable; he knew not what it was to be contentious, and sought, whenever the occasion arose, to promote peace. Grindon p 150 –53. ”In person Mr Edward Loyd was…well made, and compact. He had a fair, round, rosy, ample face, a fine old last–century castor countenance, a beautifully clear complexion, a baldhead, and lucid grey eyes. Come upon him wherever you might, he always had the air of a gentlemen – a certain refined simplicity tinged with stateliness." Grindon Page P 157.</t>
  </si>
  <si>
    <r>
      <t xml:space="preserve">Arthur lived at 42 Thurloe Square, London SW7 and was 3rd son of Thomas  (1812–1857: #14) . Born 28 Sep 1845 at Agra, India. Educated St Clare, Kent and RMC Sandhurst.  Cornet 21st Hussars Jul 1865. Joined Regt at Umballa, Punjab, India Oct 1865. Lieutenant Oct 1868. Adjutant May 1873-Dec 1877. Captain Dec 1877. Major Jul 1881. Retired Feb 1884. Recalled to serve in Boer War as Remount Officer. Commanded Advance Remount Depot, Pretoria 1900. Despatches. Lieut Colonel Nov 1900. Ornithologist.  [27] Died 19 Mar 1930 at 42 Thurloe Square, buried with his grandmother, Maria Haig, at Brompton (grave no. 4844). Issue: 1 son. </t>
    </r>
    <r>
      <rPr>
        <i/>
        <sz val="12"/>
        <color rgb="FF000000"/>
        <rFont val="Calibri"/>
        <family val="2"/>
      </rPr>
      <t>Footnote: [27] He was a keen amateur ornithologist with many references to birds in his letters from a very young age. Most of his diaries, in the possession of Margaret (1932– : #109), later Margaret WALTON, contain descriptions of birds. In 1894, he produced a beautiful, leather bound, hand written book “Bird Notes” with pen and ink diagrams of the anatomy of birds, which is now in the possession of Michael (1938– : #114). Brigadier Clive Simpson, one of our foremost authorities on British Birds, reviewing the book in 1995, wrote of “the wonder of the reader at the meticulous care of the author; the beauty of his penmanship; the artistry of his ‘Synoptical Tables of Subdivisions’, with their subtle changes in the signs of the lettering and their clever construction. Above all, the reader becomes aware of the author’s love of his subject and his determination to make his book as beautiful as the birds of which he writes. The book is a work of art and should be recognized as such.”  “He (Arthur] and his wife never settled down until Eric (1894-1963: #80) was born. They had always lived itinerant lives, he in the Army in India, England and Ireland and Minnie in Ceylon and then Mexico. They visited many countries together between 1887 and 1893 including North Africa, Egypt, Turkey and Norway. The story goes that early in 1894 Minnie, then aged 43, complained to a friend that they were about to embark on another voyage and she was pregnant again - having up to that time had nine miscarriages! The friend insisted on her consulting a doctor with the result that she was made to rest for nine months and my father was born in September 1894. They then bought a house near Salisbury ...” Margaret (1932– : #109), later Margaret WALTON.</t>
    </r>
  </si>
  <si>
    <r>
      <t xml:space="preserve">Archie lived at Downs House [28], East Hendred, Berkshire and of 60A Cadogan Square, London SW1. 4th son of Thomas (1812–1857: #14). Born 22 Jan 1847 at Agra, India. Educated St Clare, Kent and Brighton College. Passed 3rd in open competition for Indian Civil Service, and Prize-man in English Law. Indian Civil Service 1867-69. Barrister-at-Law, Middle Temple 1868. QC 1892 (later KC on the death of Queen Victoria). Northern, and later, Midland Circuit, and Leicester and Northampton Sessions. Bencher 1894. Lent Reader 1907. MP for North Berkshire (Abingdon Division) 1895-1905 and 1916-18. Vice-Chairman, Council of the British Red Cross Society [29]. DL, JP, CA Berkshire. Died 1 Dec 1922 at 60A Cadogan Square, buried 4 Dec 1922 at West Hendred, Berkshire. Two portraits by Catherine OULESS of him (1913) and his wife (1914) passed from Reggie (1886–1961: #61) in 1961 to Peter (1922–2022: #98) and to Fergus DUNLOP  (1958– :#102b) in 2013. Issue: 4 sons. Archie Kirkman Loyd was actively involved in the work of the Red Cross Society from its foundation in 1870 by Lord Wantage, husband of The Hon Harriet (#26), with whom, in the law vacations, he often travelled abroad on Red Cross work. "During the armistice (Feb 1871) in the Franco-German war, in response to the call for special diet for the besieged, he entered Paris with a large quantity of port wine and lime juice to overcome scurvy, and then purchased quantities of vegetables for the hospitals. In 1876 he travelled with Lord Wantage through Serbia and Turkey, and was present at the decisive battle of Alexinatz. Returning from Constantinople, he established a temporary hospital at Scutari in Albania. In 1877, when Russia and Turkey were at war, he took thirteen tons of medicines and surgical appliances to Romania and, after an adventurous journey, reached the Russian Emperor’s headquarters at Gorni-Studen, near Plevna where he was presented to the Czar who commanded that every facility should be given to him for carrying out his mission" - the journal of the British Red Cross Society, Vol 1 No. 5 May 1914. </t>
    </r>
    <r>
      <rPr>
        <i/>
        <sz val="12"/>
        <color rgb="FF000000"/>
        <rFont val="Calibri"/>
        <family val="2"/>
      </rPr>
      <t>Footnote: [28] Lord WANTAGE had lent to Archie Hodcott, West Ilsley, Berkshire in 1891 and built on the west wing for him which he had used as his country retreat until 1899. Lord WANTAGE then lent him Downs House which Lady WANTAGE conveyed to him in 1912. (29) Wrote “An outline of the History of the British Red Cross Society 1870-1914” published by The Abbey Press, Oct 1917.</t>
    </r>
  </si>
  <si>
    <r>
      <t xml:space="preserve">Elinor was the 2nd daughter of Edward (1820–1890: #22). Born 18 Jan 1853 at Prestwich Lodge, Manchester, baptised 17 Feb 1853 at Prestwich Lodge (privately), christened 22 Apr 1853 at Prestwich Church. Following her marriage to George COURTHOPE, Elinor lived at the Whiligh estate [1] Sussex where she gave birth to 8 children. Elinor died Dec 1895 at Sprivers, (later a National Trust property) Horsmonden and buried at Horsmonden, Kent. </t>
    </r>
    <r>
      <rPr>
        <i/>
        <sz val="12"/>
        <color rgb="FF000000"/>
        <rFont val="Calibri"/>
        <family val="2"/>
      </rPr>
      <t xml:space="preserve">Footnote: [1] Whiligh was the home of the Courthope family. Most of the extensive estate straddling Wadhurst and Ticehurst parishes was used for timber production. In a remarkable feat of continuity oaks from the estate were used, both to build the roof of the Hall of the Palace of Westminster in the 14th century and to rebuild it again after bombing raids during WWII. </t>
    </r>
  </si>
  <si>
    <t>Frederic lived at Monk’s Orchard [1] West Wickham, Kent until 1924; then at Albyns, Romford, Essex and then of Shaw Hill House, Melksham, Wiltshire. He was the elder son of Edward (1820–1890: #22). Born 26 Apr 1856 at Prestwich Lodge, Manchester, baptised 2 Jul 1856 at Prestwich Church. Educated Eton 1870-73 and Trinity College, Cambridge. Barrister-at-Law, Inner Temple 1889. JP Surrey, Hertfordshire 1892 and Essex 1902. Died 25 Jun 1936 at Shaw Hill House, buried at Shaw, Wiltshire. Issue: 2 sons, 3 daughters. Footnote: [1] Under the provision of his father's will, Frederick's younger brother Llewellyn (#45) would only inherit Lillesden estate if Frederic inherited Monks Orchard, Beckenham estate from his uncle Lewis (#13) who also left £600,000, half of which went to Frederic and the other to his nephew, Edward (#44).</t>
  </si>
  <si>
    <t>Lewis was the elder son of Lewis (1852–1908: #35) of Withybrook, Wolvey, Warwickshire . Born 17 Apr 1882. Educated Eton 1896-99 and Christ Church, Oxford.  Served in World War I in France and Egypt as Air Mechanic and later as Lieutenant Royal Air Force. Died 1 Feb 1950, buried at Teignmouth, Devon. Issue: (2nd wife) 1 son, 4 daughters.</t>
  </si>
  <si>
    <t>Geoffrey was the 3rd son of Archie (1847–1922: #30). Born 22 Jan 1890 at 60A Cadogan Square, London, baptised 28 Mar 1890 at St. Saviour’s, Walton Street, London SW3. Educated Eton 1905-08 and Served in World War I in France as 2nd Lieutenant, Scots Guards, attended 2 Divisional Cyclist Company. Chev. Legion of Honour (7 Sep 1914), (despatches). Lieutenant (posthumously). Wounded before Ypres 13 Nov 1914. Died (unmarried) 14 Nov 1914 of his wounds, attended by his brother, Bobbie (1887–1977: #62), buried at the town cemetery, Poperinghe, Belgium. Grave Ref. I.B.4. A small portrait by Catherine OULESS passed from his brother, Reggie (1886–1961: #61) to Peter (1922–2022: #98) in 1961; and to Celina DUNLOP (1960– : #102c)  in 2013, his signet ring, given to his namesake, Geoffrey (1926–2018: #105), was lost in a car park, and a replica was made subsequently. A campaign chest of Geoffrey’s effects was assembled by Reggie and Bobbie, containing papers and artefacts including: the original manuscript of his war diary running to 12 Nov 1914; shell fragments from the Aisne (his fatal wound was from a shrapnel burst overhead); photographs of Geoffrey at different ages, some with his father or brothers; and his Scots Guards map bag. This chest passed to Zelda (1923–2014: #102) in 1977, and to Celina in 2014 who donated it to Eton’s Macnaughten Library in 2020 on the 106th anniversary of Geoffrey’s death. The curator called it ‘the richest WW1 archive in the collection’. A transcript of the war diary is lodged with the Imperial War Museum, London.</t>
  </si>
  <si>
    <t>Buried at Ticehurst, Sussex 23 Jun 1980. OBE 1963. DL East Sussex. Chairman East Sussex CC 1967-70. One time Joint Master of Eridge hunt. Last of the Whiligh COURTHOPES who owned the estate for 467 years 1513-1980.</t>
  </si>
  <si>
    <r>
      <t xml:space="preserve">Samuel, the 1st and last Baron OVERSTONE of Overstone and Fotheringhay both in the county of Northamptonshire, of Overstone Park [13], Northamptonshire, and of 2 Carlton Gardens, London SW1. Only son of Lewis LOYD (1768–1858: #3) of 43 Lothbury, London and of Overstone Park, Northamptonshire. Born 25 Sep 1796 at 43 Lothbury. Educated: Eton 1808/09-13 and Trinity College, Cambridge (MA 1818). Oxford (Hon DCL 1864). Career: Partner in Jones Loyds Bank 1817. MP for Hythe 1819-26. Partner in Jones Loyds Bank 1817. MP for Hythe 1819-26. Exchequer Bill (subsequently Public Works Loan) Commissioner 1831-75. Witness before Bank Charter Committee 1832. ‘Reflections and Further Reflections’ published 1837. Witness before Bank Charter Committee 1832. ‘Reflections and Further Reflections’ published 1837. Hand Loom Weavers Commissioner 1837-40. Appeared before Select Committee on Postage 1838. Articles published. Appeared before Committee on Banks of Issue 1840. Writer for Morning Chronicle 1840-1841. Appeared before Committee on Bills of Exchange 1841. Joined Anti Corn Law League 1843. Chairman of British Association for the relief of the Extreme Distress in Ireland and Scotland 1846-49. Commissioner for the Great Exhibition 1850. Raised to Peerage 5 Mar 1850 [14]. Trustee of National Gallery 1850. Senator of London University 1850-77. Letters to The Times signed ‘Mercator’ 1855-57. Exchequer Bill (subsequently Public Works Loan) Commissioner 1831-75. Decimal Coinage Commissioner 1855-60. Consulted by government over future of Act of 1844. Appeared before Committee on Bank Acts 1857. Active in opposition to GLADSTONE’s financial policy 1860. Member of Volunteer Commission 1862. Resigns from Senate of London University 1883. By c1881, Lord OVERSTONE was in receipt of an income that was equivalent to 0.02 per cent of total United Kingdom taxable income, and his investments in land comprised 0.1 per cent of the total land area of Britain. Although he was, therefore, the possessor of one of the largest fortunes of his day, he gave away considerable sums of money (averaging one-third of his total expenditure between 1863 and 1882) to relatives [15], friends and employees as well as to established charities. Died 17 Nov 1883 at 2 Carlton Gardens, London and buried at Lockinge, leaving Securities of £2,188,084, and Landed Property £3,114,262 (much settled on his son-in-law before his death). Issue: 1 son, 1 daughter. Portrait by Frank HOLL in possession of Christopher (1923–2013: #100) and subsequently with Thomas (1959– : #138). “The chief of the new commercial aristocracy is supposed to be Lord Overstone, one of the wealthiest subjects in the world, his fortune being estimated at five millions” - Great Governing Families of England 1865. </t>
    </r>
    <r>
      <rPr>
        <i/>
        <sz val="10"/>
        <color rgb="FF000000"/>
        <rFont val="Calibri"/>
        <family val="2"/>
      </rPr>
      <t xml:space="preserve">Footnotes: [13] The building of the present large house was started in 1861 at the wish of Lady Overstone in place of the previous house which Lewis (1768–1858: #3) bought from the Kipling family. Three and a half years later Lady Overstone died and Lord Overstone disliked the new house so much that he lived almost entirely with his daughter and son-in-law at Lockinge and at 2 Carlton Gardens where his daughter and son-in-law also continued to live after Lord Overstone’s death. [14] Samuel's elevation to the peerage gave rise to the following lines: ‘The Banker Lord must have his name destroyed; The peerage must be pure, no peer a (l)Loyd; No longer by his City title known - Lord Overgold is now Lord Overstone’ - Grindon page 168. [15] His “papers contain many details of the extensive financial support which he gave to Mrs T K Loyd [widow of Thomas Kirkman LOYD (1812-57)] and her children. He seems to have supported them, paid for their education, and launched them on their careers” - O’Brien page 1057. </t>
    </r>
  </si>
  <si>
    <r>
      <t xml:space="preserve">Edward lived at Prestwich Lodge, Manchester and later at Lillesden House [22], Hawkhurst, Kent. 2nd son of Edward (1780–1863: #8). Born 19 Apr 1820 and baptised 6 Nov 1820 at St Anne’s, Manchester. Education: Eton and Trinity College, Cambridge. Career: Banker of Jones Loyd &amp; Co. of King Street, Manchester. Lt. Colonel 1st Manchester R.V. during 1863-67. DL, JP Lancashire. JP Kent. High Sheriff in 1876. The patron and benefactor of All Saint’s, Gurnard, Nr. Cowes, Isle of Wight, consecrated 9 Jun 1893, contributed £250 before his death towards the total cost of £1,347. Member Royal Yacht Squadron 1866-90. Died 21 Dec 1890; buried at Hawkhurst. Will dated 1888. Estate £140,294. Issue: 2 sons, 5 daughters. Portraits of him and his wife, his gold repeater watch and picture of one of his yachts, “Day Dream” (92 ton Yawl) that Edward owned between 1866 and 1870, are in the possession of Paddy (1951– : #126). Roddy SALE (#97d), in 2021, has a copy of a portrait bust of Edward (1820–1890: #22). The West Window in the Holy Trinity Church Cowes, Isle of Wight, is dedicated to Edward (1820–1890: #22) with a memorial on the left (north?) wall to his wife Caroline Louisa Foster (1825–1900). Behind the church is Thornhill (Edward's IoW residence), overlooking the Royal Yacht Squadron. </t>
    </r>
    <r>
      <rPr>
        <i/>
        <sz val="10"/>
        <color rgb="FF000000"/>
        <rFont val="Calibri"/>
        <family val="2"/>
      </rPr>
      <t>Footnote: [22] Edward bought Lillesden estate of some 500 acres in 1854, pulled down the old Elizabethan house and built a new mansion finished in 1855. LOYD Crest and his monogram over the doors. “COMING OF AGE AT LILLESDEN PARK - On Thursday last [26 April 1877], the eldest son [Frederick Edward LOYD (1856-1936)] of Lieutenant-Colonel, Edward Loyd, of Lillesden came of age, and there were great rejoicings. Lieutenant-Colonel Loyd and the members of his family are greatly beloved for their kind and generous deeds, and all classes in the neighbourhood appeared to vie with each other in evincing an interest in the event, and in testifying their good wishes for the health and happiness of the heir of Lillesden and all the members of his family. At an early hour the bells of the parish church sent forth a merry peal, and in the course of the morning a deputation of the tradesmen and inhabitants of the village paid a visit to Lillesden for the purpose of presenting an illuminated address to the hero of the day. This address contained suitable congratulations, and earnest hopes for his future health and happiness. It is almost needless to say that the deputation met with a very cordial reception, and after the presentation, which was preceded by a few appropriate remarks from the spokesman of the party, Mr Loyd thanked them for the interest they had manifested in him, and expressed his appreciation of the kindness of his visitors. Throughout the village there were great rejoicings, and the school children were very liberally entertained with buns, oranges, and other similar commodities which gladden the juvenile heart. The workpeople on Col. Loyd’s estate were regaled with an excellent dinner at the Eight Bells Inn, and, under the presidency of Mr Lansdell, a most enjoyable evening was spent. A fine fat bullock, well known on the farm, and rejoicing in the name of “King Koffee”, was killed in celebration of the coming of age, and a great portion of the meat gratuitously distributed. A large exhibition of bunting was to be observed at the Moor, and in other parts of the neighbourhood, and one enthusiastic tradesman, as the shades of evening crept on, illuminated the district with coloured fire, and despatched balloons on an aerial voyage. A large and distinguished company were entertained at the mansion, for whose amusement ample provision was made during the day, and in the evening a grand ball was held. The orchestra was occupied by Mr E. Johnson’s popular quadrille band from Tunbridge Wells, which played in first class style. The party included.......” etc. - report in local press.</t>
    </r>
  </si>
  <si>
    <t>William was the eldest son of Thomas (1812–1857: #14). Born 17 Jan 1843. Died in infancy on 30 May 1843 in India.</t>
  </si>
  <si>
    <t>Married at St. Mark’s, North Audley Street, London, Malcolm (OBE 1997) of Ravenswood, 81 Gregories Road, Beaconsfield, Buckinghamshire, HP9 1HN, son of Andrew Fergus DUNLOP OBE of Purton Corner, Purton Lane, Farnham Royal, Buckinghamshire.</t>
  </si>
  <si>
    <t>Zelda was the only child of Robert (1887–1977: #62). Born 10 Dec 1923 at Weymouth Street, London. Baptised 9 Feb 1924 at St Anne’s, Bowden Hill, Nr. Chippenham, Wiltshire. Educated by governesses at home, Kings Walden, Kings Road, Windsor until aged 17; Domestic Science at Errolston, Ascot (1941). Court circle at Windsor Castle with the two princesses, 1941-45, e.g. Princess Elizabeth’s 18th birthday ball 5th May 1944. British Red Cross Society: nursing at Queensmead, Windsor (1942-45) - rehabilitation for bombed-out civilians and returning Allied PoWs; administrative - Foreign Relations Department, Wimbourne House, London SW1 (1945-47). Travelled with her father to USA and Canada 1947, Brazil and the Argentine 1949. Inherited Bowden Park, north Wiltshire, her mother’s childhood home, 1955 and sold. Patron, St Anne’s, Bowden Hill 1962-2014. Died 30 April 2014, Beaconsfield, and buried at St Anne’s. Issue: 2 daughters, 1 son.</t>
  </si>
  <si>
    <t>Lindsay, known as Fergus, of Fosse André, St Peter Port, Guernsey. Born at Queen Charlotte’s Hospital, London. Baptised 9 Aug 1958 at St Mary and All Saints’, Beaconsfield, Buckinghamshire. Educated Eton 1971-76, Bristol 1977-80 (BA Hons History) and St Edmund Hall, Oxford 1980-83 (M Phil, Management Studies). Macmillan Publishers 1983-85. Burton Group 1985-87. Mercury Asset Management (now BlackRock) London 1987-1997, Frankfurt 1997-2001. From 2002, investment company directorships in Munich, Jersey and Guernsey. UK: Fellow, Institute of Directors, 2016. Patron, St Anne’s, Bowden Hill from 2014 (founding Co-ordinator, Friends of St Anne’s from 2021). Guernsey: Founding Co-ordinator, Bus Users Guernsey from 2009. Constable (chair), St Saviour’s Parish, 2010-13, Campaign lead in referendum on electoral reform, 2018, Church Property Management Board, 2018-22. Author of ‘Borderline Pass’ (2020) and ‘The Lady With No Name’ (2021).</t>
  </si>
  <si>
    <t>Celina of 10 St Peter’s Place, London, W9 2EE. Born 22 Sep 1960 at Queen Charlotte’s Hospital, London. Baptised 10 Dec 1960 at St Mary and All Saints’, Beaconsfield, Buckinghamshire. Educated St Mary’s, Calne, Wiltshire 1972-76 and Queen’s Gate School, London 1976-77. Picture Researcher, Octopus Books 1978-86. Picture Editor, Radio Times 1986-90. Picture Editor, The Economist 1990-2019.</t>
  </si>
  <si>
    <t>13/06/2022</t>
  </si>
  <si>
    <t>(1) Married Mary, at St Oswald’s, Bellingham, Northumberland. Mary eldest daughter of Major Frederick John CHARLTON of Hesleyside Hall, Bellingham, Northumberland. Died as result of a train accident in Mexico. (2) Married Charlotte Ann HEDLEY (b. 13 Sep 1946, ) on 22 May 1981 at Farm Street, London, only daughter of Timothy Grant HEDLEY of Berwick House, Lympne, Kent.</t>
  </si>
  <si>
    <t>Patrick lives in Guernsey, Channel Islands and is the only son of Lewis (1882–1950: #55). Born 29 Mar 1942 (twin with his youngest sister, Patricia) in Norwich. Baptised 10 Jun 1942 at St. Mary’s, Martham, Norfolk. Issue: 2 daughters, 1 son.</t>
  </si>
  <si>
    <t>James Robert HUNT (b. 19 May 1976, )</t>
  </si>
  <si>
    <t>James is the son of Thomas and Ann HUNT.</t>
  </si>
  <si>
    <t>Richard is the son of Peter Thomas LUFF and Elizabeth Lihou.</t>
  </si>
  <si>
    <t>June Cecilia KEPPEL (b. 19 Jun 1924, d. 7 May 2008)</t>
  </si>
  <si>
    <t>Rob lives in Devon; previously of Wisteria Cottage, Coombe Meadow, Bovey Tracey, Newton Abbot, Devon. Eldest son of Alwyne Eteson LOYD (1920–2014: #94). Born 5 Jul 1949 at St. George’s Wood, Haslemere, Surrey. Baptised 7 Oct 1949 at St. Cuthbert’s, Wood Green, London, by his grandfather, the Rev Robert PORTER. Educated Brentwood and Member of the Association of Residential Letting Agents (MARLA) until retired. Freeman of Goldsmiths’ Company 1973. Guitar player/composer. Book published 1973 - "Rob Loyd Folio of Graduated Guitar Solos". Semi- finalist in two categories UK Songrwriting Contest 2021.  Career: 1966-1968 RNIB – Talking Books Sound Department; 1968-1988 London Weekend Television (LWT) – Sound Department; 1988-2015 worked in property/property management. Email: robloyd@icloud.com.</t>
  </si>
  <si>
    <r>
      <t xml:space="preserve">Alwyne was the 3rd and youngest son of Llewellyn (1861–1939: #45). Born 12 Jul 1894. Educated Eton 1907-13. Served in World War I in France. Alwyne  joined the 5th Buffs (East Kent Regiment) as Lieutenant on the outbreak of war, transferring to the RFC and joined 25 squadron on 22 June 1916, aged 21, claiming his first two victories. While serving with 25 Squadron he became a close friend of Arthur Tedder, who later became Marshal of the Royal Air Force]. Alwyne subsequently served in 22 Squadron, and after a rest, joined 32 Squadron in mid 1917, becoming Captain and Flight Commander [1] before he claimed his final four victories to become an 'Ace' .[2] Alwyne was killed in action, 28 September 1917, when his A9211 DH5 aircraft was shot down by anti-aircraft fire at 1pm (caught in enemy barrage), during offensive patrol, over Zillebeke Lake, Belgium.The village of Zillebeke is located about one and a half miles south-east of Ypres, and there is a lake of the same name nearby. Alwyne died at the age of 23 and is buried in Lijssenthoek Military Cemetery, Poperinge, Belgium  (Grave reference XXV - J – 1)  [Website: www.lijssenthoek.be]   </t>
    </r>
    <r>
      <rPr>
        <i/>
        <sz val="10"/>
        <color rgb="FF000000"/>
        <rFont val="Calibri"/>
        <family val="2"/>
      </rPr>
      <t>Footnote: [1]   Article from the Old Hawkhurst News (Volume 3) dated 1917. The officer commanding his squadron in France, in a letter to his father writes:  “He was second in command of the squadron and would shortly be promoted squadron commander. He was considered to be the best pilot and during his last battle kept the squadron together by his leadership and bravery. He was the life and sole of the men and it impossible to say how much he is missed.” [2] Historically, a flying ace was defined as a military aviator credited with shooting down five or more enemy aircraft during aerial combat.</t>
    </r>
    <r>
      <rPr>
        <sz val="12"/>
        <color rgb="FF000000"/>
        <rFont val="Calibri"/>
        <family val="2"/>
      </rPr>
      <t xml:space="preserve"> Rob (1949– : #124) is in possession of Alwyne's original flying manual, which was a war service publication, and an undated painting he did of a couple of racing cars.</t>
    </r>
  </si>
  <si>
    <t>William's Chidren #</t>
  </si>
  <si>
    <t>Number of children</t>
  </si>
  <si>
    <t>Anthony - Do one last contact</t>
  </si>
  <si>
    <t>Do one last email</t>
  </si>
  <si>
    <t>with Ant #149</t>
  </si>
  <si>
    <t>Vivian lived at Cowarth Park Farm, Sunningdale, Berkshire and was the 2nd son of William (1863–1923: #46). Born 13 May 1894. Educated Wellington. Served in World War I and was commissioned as a Second Lieutenant in the 4th Home Counties (Cinque Ports) Brigade, Royal Field Artillery on 1 May 1913. He served in India from 1914–1916 and Mesopotamia from 1916, where he contracted tuberculosis, which was the reason for his subsequent health problems. He ended the war as a Captain. Career: He founded his own company, Vivian Loyd &amp; Co  as an engineer and later in partnership with John CARDEN, he was responsible for the Carden Loyd carrier used by the Army during World War II. In August 1938, they presented a prototype of a low-cost light tracked artillery tractor and it was subsequently ordered by the British army and during the war, more than 26,000 units were built –2,790 from Loyd’s factory. After the war, he built crawler tractors and agricultural machinery. Vivian died 19 Mar 1972 at Princess Christian Nursing Home, Windsor. Issue: (2nd wife) 1 son, 1 daughter. (3rd wife) 1 son, 1 daughter.</t>
  </si>
  <si>
    <t>South Africa, England, Australia &amp; Wales</t>
  </si>
  <si>
    <t>Shaun Jason NEWING (b.13 Aug 1973, )</t>
  </si>
  <si>
    <t>Richard Thomas LUFF (b. 3 Apr 1971, )</t>
  </si>
  <si>
    <t>Andrea Devan KIRKHAM (b. 11 Nov 1991).</t>
  </si>
  <si>
    <t>Married in Osoyoos British Columbia.</t>
  </si>
  <si>
    <t>Engaged to be married to Naomi Lydia NICHOLL in December 2022. Naomi is the daughter of Stephen Nicholl, of London, and his wife Eloise Price.</t>
  </si>
  <si>
    <t>Catherine was the 2nd daughter of William LLOYD (1729–1800: #1) of Court Henry, Cilycwm, Carmarthenshire. Born 19th Feb 1772, and baptised 25 Feb 1772 at Llanwrda. Died, unmarried, 9 Dec 1798, buried 12 Dec 1798 at Cilycwm. DSP</t>
  </si>
  <si>
    <t>Eldest son of William LOYD (1770–1828: #4) of 7 Bread Street, Cheapside, London EC2. Born 9 Oct 1809. Educated at the Charterhouse in London. Appointed a student at Addiscombe, the East India Company’s military college in Surrey in Jan 1824. Commissioned 2nd Lieutenant 18 Dec 1825. Sailed for Madras 8 Mar 1826, arrived 12 Jul 1826 (aged 16). Joined 3rd Battalion, Madras Artillery. Promoted Lieutenant 6 Aug 1827. Acting Staff Officer 1828/29. Adjutant, 2nd Battalion Sep 1831-Jan 1835. D Troop, Horse Brigade Jan 1835-Oct 1838. Appointed to Artillery of Nizam of Hyderabad Oct 1838. Gazetted Captain 1840. Active Service in 1841, 1849 and 1851. Gazetted Major Nov 1851. Active service in 1853. Retired with rank of Lieut Colonel, Madras Artillery 1854. Departed India 30 Aug 1854. Arrived London after 28 years service 20 Oct 1854. Became guardian of the seven young children of his brother Thomas Kirkman LOYD (1812–57: #14), killed in Indian Mutiny. He lived at: 17 Marlborough Place, St John’s Wood, London NW8. 1854-57; Brighton and elsewhere (1857-1860; 30 Leinster Square, London W2. (1860-64); 7 Gloucester Place, London. (1864-66); 45 Dover St, London W1. (1866-74); 7 Broadwater Down, Tunbridge Wells, Kent. (1874-79). William died, unmarried, 14 Jun 1879 and was buried 21 Jun 1879 in the Tunbridge Wells Cemetery. DSP Portrait by Eden Upton EDDIS in possession of Peter Haig LOYD (1922–2022: #98) until passed to William (1973– : #155). “After the Colonel had served continuously in the tropics for more than a quarter of a century, his health began to fail. In the autumn of 1853 he was granted, on medical recommendation, eight months leave of absence for the purpose of taking a sea voyage, and obtaining a change of air which, it was hoped, would restore his health. On the 1 Nov 1853 he started his eight months’ sick leave, and saw a railway train for the first time in his life at Bombay in the middle of the month. From Bombay he went to Ceylon where he met his brother, T K Loyd - my grandfather. They travelled together by sea to Calcutta where they remained for a short time. The Colonel returned alone by sea to Bombay, and went from there to Mahabaleshwar where he remained for three months. As might perhaps be expected, this continued sojourn in the tropics failed to restore him to health, and he had to leave India. He retired from the service with the rank and pension of a Lieut. Colonel. On 30 Aug 1854, he left Bombay by steamship for Suez. Thence he proceeded by the overland route to Alexandria where he embarked on an Austrian Lloyd steamer for Trieste. From there he travelled, by Venice, across Europe by train and diligence, reaching London on 20 Oct 1854 after twenty-eight years’ absence. To return to England in middle life with impaired health after an uninterrupted spell of service in India, seems to have been quite usual in those days. In order to understand properly the Colonel’s papers it is necessary to go back a little. His father, William (1809–1879: #4), was the only one of the four brothers who came from Wales in search of fortune to fail in business [and as a result of which] his brothers had assisted him and his family. When the Colonel returned from India, his surviving uncles were old men, and their sons and daughters thoroughly well established in England. His English diaries are very interesting because he moved about so much and had so many friends. One of the points which impresses...is the genius he possessed for enjoying the friendship of people of widely varying circumstances and interests. In spite of troubles and bereavements, not very good health and the inherent loneliness of the man with no family of his own, he must have had some very happy times: discovering his native Islands; constantly staying in the country houses of his relatives and friends; frequently travelling abroad; hunting and shooting a little in England; always helping those around him and delighting in their affection; and meeting through the Overstones and others much that was distinguished and interesting in English life. For his mind, informed by wide reading and by constant travel, his delightful personality and his innate goodness gave him the key to many worlds. The Colonel never married and the chief concern of his life became the guardianship of the seven children of his brother, my grandfather, who perished in the Indian Mutiny, leaving a widow and young family. The Colonel assumed a father’s responsibility to them and carried out this labour of love with unswerving devotion and unselfishness. In return he possessed their deep affection and lived to see them grow up and start in the professions he was at such pains to help them enter. Lord Overstone and his cousins stood behind the little group with their wise and generous support. The very difficult and delicate task of negotiating between the young family of his dead brother and his wealthy cousins devolved upon the Colonel. It is impossible to read [his] diaries without noticing the exceeding kindness of these cousins to the Colonel’s ‘wards’; not only financially but in other ways as well. All [these] circumstances....combined to save the Colonel from the lonely years in England that so often awaited men who had spent their youth and their health in India. His restlessness is manifested by his frequent changes of abode, as well as by his love of movement” - from notes of Reggie (1886–1961: #61).</t>
  </si>
  <si>
    <t xml:space="preserve">Eliza was the elder daughter of William  (1770–1828: #4) of 7 Bread Street, Cheapside, London EC2. Born 30 Nov 1810. Died, unmarried, 3 Oct 1861 at 30 Leinster Square, London W2. DSP   </t>
  </si>
  <si>
    <t>Lewis lived at 20 Hyde Park Gardens, London SW7 and at Monk’s Orchard, West Wickham, Kent. Eldest son of Edward (1780–1863: #8) of Coombe House, Coombe Lane, Croydon, Surrey. Born 10 Aug 1811 and baptised  4 Sept 1811 at St Ann’s, Manchester. Educated: Eton and Trinity College, Cambridge. Career: Banker in the London house of Jones Loyd &amp; Co. JP Surrey. High Sheriff 1863. Commissioner of Lieutenancy for the City of London. Founded the church of St John the Evangelist, Waterloo Road, Cheetham, Manchester at a cost of £20,000 and endowed benefice with income of £200 per annum. Died 19 Jul 1891, buried at Addington, Nr. Croydon, Surrey. DSP Will dated 1885. Estate £598,798. Roddy SALE (#97d), in 2022, has IRBY family tree (from Lewis). Frank Sale (#97ea) visited the church, which transferred to the New Testament, but has a revisionary clause that if the church should close then the property reverts to the Loyd estate. Roddy also has portrait of Lewis as a young man.</t>
  </si>
  <si>
    <t>Ann also known as Annie was the 2nd daughter of Edward (1780–1863: #8) of Coombe House, Coombe Lane, Croydon, Surrey. Born 26 Feb 1813. Died, unmarried, 10 Sep 1834. DSP</t>
  </si>
  <si>
    <t>Maria was the younger daughter of William (1770–1828: #4) of 7 Bread Street, Cheapside, London EC2. Born 17 Feb 1814. Moved to  Northcote, Frant Road, Frant, Sussex in 1868 two years after the death of her husband Thomas. Died, 16 Sep 1900 at Northcote and buried at Tunbridge Wells. DSP</t>
  </si>
  <si>
    <t>Lewis was the 5th and youngest son of William (1770–1828: #4) of 7 Bread Street, Cheapside, London EC2. Born 29 Apr 1819. Educated Harrow. Four years a clerk on the London Stock Exchange. Contracted consumption. Died 7 Jul 1841 and buried at Bunhill Fields, London, in family grave (plan 15, grave no. 223). Some of the volumes of the classics, his Harrow school books were in possession of Peter (1922–2022: #98). DSP</t>
  </si>
  <si>
    <t xml:space="preserve">Fanny was the 5th and youngest daughter of Edward (1780–1863: #8). Born 24 Nov 1824.  DSP 20 Sep 1856. 23. DSP                                                              </t>
  </si>
  <si>
    <t xml:space="preserve">Lady WANTAGE of Lockinge House [24] Wantage, and of 2 Carlton Gardens, London SW1 was the only daughter of Samuel Jones LOYD, Baron OVERSTONE (1796–1883: #9). Born 30 Jun 1837. Harriet DSP on 9 Aug 1920 and is buried at Ardington, near Lockinge. DSP Estate £768,587. Portrait by Philip LASZLO de LOMBOS in possession of Christopher (1923-2013: #100). Footnote: [24] Lockinge House, built 1773, was given by Lord Overstone to his daughter Harriet and son-in-law after their marriage. After her husband Robert died in 1901 Harriet wrote a book entitled  'Lord Wantage, V.C.; K.C.B. - A Memoir' which was published in 1907.  A copy is in the possession of Dominic (1953– : #131) and Roddy SALE ((397d) also has a copy of a memoire of Lord Wantage written by his wife The Hon Harriet (1837–1920: #26). </t>
  </si>
  <si>
    <t>Alfred was the 6th son of Thomas (1812–1857: #14). Born 16 Oct 1849 at Landour, India. Royal Artillery Captain 23 Jul 1870 to 9 Apr 1880.  Served in India. Died, unmarried, 20 Apr 1881 at Sheerness, Kent. DSP</t>
  </si>
  <si>
    <t>Annie was the only daughter of Thomas (1812–1857: #14). Born 1 Jul 1853 at Broadstairs, Kent. Although little has been recorded about her, family letters indicate that she nursed her mother assiduously in the weeks before her death in 1885 and it seems she was a kind and caring person - see biography for Alwyne (1920–2014: #94). She is reputed to have been the last surviving person to receive a pension from the Indian Mutiny. Died, unmarried, 17 Sep 1946 at Tunbridge Wells, Kent. DSP</t>
  </si>
  <si>
    <t>Gertrude was the eldest daughter of William  (1821–1885: #23) of Langleybury, near Watford, Hertfordshire. Born 24 Sep 1854. Died, unmarried, 30 Jun 1924, buried at Kings Langley, Hertfordshire. DSP</t>
  </si>
  <si>
    <t>Fa was the 3rd daughter of Edward (1820–1890: #22). Born 8 Feb 1855 at Prestwich Lodge, Manchester, baptised 3 Apr 1855 at Hawkhurst, Kent. Died, unmarried, 10 May 1927; buried on 14 May 1927 at Northwood Cemetery, Cowes, Isle of Wight (grave no. 6359). DSP</t>
  </si>
  <si>
    <t>Harriet was the 2nd daughter of William (1821–1885: #23) of Langleybury, near Watford, Hertfordshire. Born 17 Jan 1856. Died, unmarried, 29 Aug 1921, buried at Kings Langley, Hertfordshire. DSP</t>
  </si>
  <si>
    <t>Arthur lived at Idaho [33], Ringwood, Hampshire. 4th and youngest son of William (1821–1885: #23). Born 20 Jul 1868 at 77 Eaton Square, London, SW1. Educated Eton 1881-84.  Captain, 2 Vol. Battalion, Warwickshire Regiment 1891-96. 4 Vol. Battalion, Hampshire Regiment 1897-1900. Died 21 Jun 1911 of pneumonia in Las Palmas. DSP Footnote: [33] Idaho was a log house designed by the Architect, Kirtland CUTTER, of Spokane, USA and built in 1897 among pinewoods south of the town.</t>
  </si>
  <si>
    <t>Lewis lived at 18 Tite Street, Chelsea, London SW3. eldest son of The Rev Lewis (1844–1905: #28). Born 27 Sep 1875 at Abington Rectory, Northampton. Educated Eton 1889-94 and Trinity College, Cambridge (BA). Career: Barrister-at-Law, Inner Temple 1901 Midland Circuit; Department of the Treasury Solicitor 1917-36 and 1939-46. Author of, “The Origins of some Anglo-Norman Families,” published by Harleian Society 1951. Compiled “A Short Account of the Family of LLOYD of Dugoedydd, Cwm-y-to fach and Court Henry, Camarthenshire, Wales” 1911; and the family tree showing roots back to Thomas LLOYD (1653–1736: #-1) of Dugoedydd 1914. (See pull-out copy at end of Loyd Book in 2000). Died, unmarried, 17 Aug 1947. DSP Lewis created the original family tree of 1914 showing our roots to Wales going back to Thomas LLOYD of Dugoedydd, which provided the basis for much of the later work for the editions of the "Loyd Who's Who."</t>
  </si>
  <si>
    <t>Robert was the younger son of Lewis (1852–1908: #35) of Withybrook, Wolvey, etc. Born 11 May 1884. Died, unmarried, 23 Sep 1917. DSP</t>
  </si>
  <si>
    <t>Philip lived in Nasik, Deccan, India and St Albans, Hertfordshire. He was the 3rd and youngest son of the Rev Lewis (1844–1905: #28). Born 8 Jul 1884 at Northampton. Educated Eton 1897-1903, Scholar Kings College, Cambridge, (BA 1906, MA 1911) and Cuddesdon Theological College 1909-10. Career: Deacon 1910. Priest 1911. Curate of St Mary the Virgin of Eton, Hackney Wick, London 1910-12. Vice-principal, Cuddesdon Theological College 1912-15. Missionary of SPG at Miri, India 1915-17 and Ahmednagar, India 1919-21 and 1922-25. Domestic Chaplain to Bishop of Bombay 1917-25. Assistant Bishop of Bombay 1925-29. Bishop of Nasik, Deccan 1929-44. Bishop of St Albans 1944-50. Died, unmarried, 11 Jan 1952 at Bournemouth, buried 15 Jan 1952 in the same grave as his brother, Lewis (1875-1947: #51) in a London graveyard. DSP Biography by R.P. STACEY WADDY, published by A.R. Mowbray &amp; Co. 1954. Philip baptised Robert Sale (c1913, in Bombay, India) who later became the husband of Audrey (1922–2013: #97).</t>
  </si>
  <si>
    <t>Evelyn lived at Tormore, Ardvasar, Skye and was the eldest daughter of Frederic (1856–1936: #41). Born 17 Apr 1885. Died, unmarried, 9 Aug 1962 at Tormore, buried at Kilmore, Sleat. DSP</t>
  </si>
  <si>
    <t>Kitty lived at  44, Cranmer Court, Sloane Avenue, London SW3 and was the only daughter of the Rev Lewis (1844–1905: #28). Born 26 Oct 1885. Died 2 Feb 1989, buried at Brookwood Cemetery. DSP Portrait by Philip LASZLO de LOMBOS was last in possession of Christopher (1923–2013: #100).</t>
  </si>
  <si>
    <t>Gertrude was the only daughter of Lewis (1852–1908: #35). Born 22 Dec 1887. Died in childbirth 13 Jun 1917. DSP</t>
  </si>
  <si>
    <t>Francis was the younger son of Frank (1848–1934: #32). Born 26 May 1889. Served in World War I as Captain [1], Sherwood Foresters - (wounded-convalesced at Polesden Lacey [2]), Foreign Office and King’s Messenger. Secretary to Sir Ronald CROSS, High Commissioner, Australia 1943. Died, unmarried, 18 Jan 1956 at Grange Cottage, Horsell, Woking, Surrey. Signature of Francis F. Loyd seen in the 1915-1916 patient 'visitors book' at a 'Great War Centenary Exhibition' at Polesden Lacey in October 2016 by Dominic (1953– : #131). DSP Footnote: [1] Wounded, 10 July 1915, bullet wound to right leg [shattered], transported by trawler to hospital ship - source Army records. [2] Frances spent a few months recovering at Polesden Lacey (now National Trust). Between June 1915 until late 1916, the owner, Margaret Greville, opened Polesden Lacey as a convalescent hospital for officers. Having experienced the horrors of war: wounded in the trenches of Ypres, and Loos, subjected to gas attacks, shrapnel wounds and trauma; Polesden Lacey provided a brief respite and a nostalgic glimpse of the privileged world many of these young men had inhabited before the war. They would have been through quite a journey from the dressing stations on the Western Front, to casualty clearing stations and base hospitals in France, before finally being evacuated to hospitals in the UK including King Edward VII hospital in London. More than 80 soldiers spent time at Polesden recovering from their wounds after being evacuated from the front line. While some had minor injuries and may have only stayed briefly at Polesden, others were learning to live with amputations or permanent damage to their lungs and so stayed longer.</t>
  </si>
  <si>
    <t xml:space="preserve">Eric lived at Lillesden, Hawkhurst, Kent before moving to Montreal, Canada and was the 2nd son of Llewellyn (1861–1939: #45). Born 26 Apr 1891 in Eastbourne. Educated Eton 1905-09 and Christ Church, Oxford 1909-10. He served in World War I in France as a Lieutenant, Royal Sussex Regiment and Royal Irish Dragoon Guards. He was seconded to the Royal Flying Corps as a Flight Lieutenant in Nov 1917. He became a prisoner of war and finally repatriated back to England 19 Dec 1918. Eric emigrated to Montrea, Canada in 1927. He served as a Lieutenant, Royal Canadian Naval Volunteer Reserve (Navy Intelligence) in WWII from 1942. He was Secretary of the Last Post Fund for the buriel of old soldiers. Eric died 12 Nov 1967 in a fire in his flat in Montreal. DSP </t>
  </si>
  <si>
    <t>Godfrey was eldest son of William (1863–1923: #46). Born 10 Mar 1893. Served in World War I as Captain, Kings Royal Rifle Corps MC (Posthumously). Died, unmarried, 1 Dec 1917 of wounds received in action. Buried at Tincourt New British cemetery, France. Grave Ref. III.D.5. DSP</t>
  </si>
  <si>
    <t>Reginald was the 3rd and youngest son of Edward (1861–1938: #44) Born 20 Jun 1895. Educated Eton 1909-14. Served in World War I in France as Captain, Coldstream Guards MC. Killed in action at Gonnelieu 1 Dec 1917. Buried at Metz-en-Couture communal cemetery, British extension, France. Grave Ref. II.I.15. Died unmarried and DSP</t>
  </si>
  <si>
    <t>Wilfred was the 3rd son of William (1863–1923: #46). Born 14 Jul 1896. Captain, Royal Engineers MC. "Gazette Issue No. 30251 – Military Cross. His Majesty the King has been graciously pleased to confer the Military Cross on the undermentioned Officers and Warrant Officers in recognition of their gallantry and devotion to duty In the Field. For conspicuous gallantry and devotion to duty whilst consolidating positions. He showed great gallantry and determination, carrying on his work in spite of heavy hostile shelling, and setting a splendid example by his disregard for his personal safety. His work on all occasions has been excellent." Wilfred died, unmarried, 11 Oct 1955. DSP</t>
  </si>
  <si>
    <t>Ruby was the only daughter of Llewellyn (1861–1939: #45) of Lillesden House, Hawkhurst, Kent. Born 11 May 1898. Ruby was educated by governesses at home. At the outbreak of the Great War, the family home Lillesden, was used as a Red Cross Hospital between 1914-16 for Belgium soldiers and Ruby remembered running around, as a 16 year old helping the patients along with her mother Rebecca.  During this time Ruby took many photographs including pictures of the recouperating soldiers. Career: Joint headmistress, Mercers School, Hawkhurst, Kent, 1946-59. Ruby died unmarried on 4 Jun 1977 and was cremated and her ashes interred at Hawkhurst, Kent. DSP Ruby was affectionally known as 'Ruby-the-hat-Loyd' by her nephew and great nephews as she always wore a hat whenever they visited. Dominic (1953– : #131) great-nephew, has her photo album of life at Lillesden in 1916.</t>
  </si>
  <si>
    <t>Edward, aka Eddie, was the 4th and youngest son of William (1863–1923: #46). Born 22 May 1902. Educated Eton 1916-18. Died, unmarried, 12 Dec 1942 after a long illness. DSP</t>
  </si>
  <si>
    <t>John was the eldest son of Arthur (1882–1944: #56). Born 17 Oct 1913. Educated Eton 1926-32. Served in World War II as Captain, Coldstream Guards. Wounded North Africa. Died, unmarried, 3 Oct 1943 at Lockinge. Buried at Lockinge. DSP</t>
  </si>
  <si>
    <t>Jill lived at 3 Ashlawn, The Green, Benenden, Cranbrook, Kent and was the only daughter of Cecil (1890–1963: #68). Born 26 Mar 1920 (twin with her brother, Alwyne) at St. Margaret's Cross, Hawkhurst. Baptised 2 May 1920 at St Laurence, Hawkhurst, Kent by her uncle the Rev Frank ETESON. Educated at Wadhurst College, East Sussex and secretarial college in London.  At the start of WW2, in 1939, Jill joined the Red Cross and cooked in hospitals. Later in the war she enlisted in the Auxiliary Territorial Service (ATS) and learnt to drive all sorts of vehicles. Career:  Jill worked in Rhodesia and on her return to England was personal secretary to the National Trust Manager for Devon and Cornwall.  On retirement, Jill first moved ‘back’ to Whiigh where she and her twin brother Alwyne had been sent, as teenagers, to live at Whiligh as Wards of Sir George [later Lord] COURTHOPE (1887–1955: #36a). Jill lived in the Old Stables before moving to Beneden where she enjoyed entertaining her nephews and great nephews. Died 10 April 2002 at Berkley Residential Home, Tunbrige Wells. Cremated 18 Apr 2002. Ashes buried in Benenden Churchyard 20 Jul 2002. Welsh Slate tablet inscribed, "In loving memory of Jill Loyd 26 March 1920-10 April 2002". DSP</t>
  </si>
  <si>
    <t>Andrew was the 3rd and youngest son of Wilfrid (1893–1971: #77). Born 12 Aug 1934 at 36 Chester Square, baptised 15 Nov 1934 at St Michael’s, Chester Square by the Dean of Lincoln. Andrew had Down's syndrome. Died, unmarried, 7 Mar 1975. DSP</t>
  </si>
  <si>
    <t xml:space="preserve">Caroline lived in SW London and is the only daughter of Edward (1921–1977: #96) of 10 Cadogan Square, London SW1. Born 16 Jan 1947. Baptised 19 Mar 1947 at St Peter’s, Eaton Square, London SW1. Educated Brondesbury-at-Stocks, Tring, Hertfordshire. Career: Drivers Jonas 1973-78. United Friendly 1978-85. Business Space 1985-86. Business Support Officer, Finance &amp; Leasing Association from Dec 1986. DSP                           </t>
  </si>
  <si>
    <t>DSP 5 Oct 1938, buried at St Thomas’s, Aboyne, Aberdeenshire.</t>
  </si>
  <si>
    <t>Henry HAYNS (b. 11 Jan 1982, )</t>
  </si>
  <si>
    <t>William H. S. SIMMONDS (b. 29 Nov 1974, )</t>
  </si>
  <si>
    <t>Robert GARDENER (b. 25 Oct 1978, )</t>
  </si>
  <si>
    <t>Simon John DINSMORE (b. 2 Mar 1982, )</t>
  </si>
  <si>
    <t>Timothy KYLE (b. 9 Oct 1973, )</t>
  </si>
  <si>
    <t>Carrie</t>
  </si>
  <si>
    <t>Mark HOPKINS</t>
  </si>
  <si>
    <t>Christopher MURRAY</t>
  </si>
  <si>
    <t>Saragh</t>
  </si>
  <si>
    <t>Married Christopher at Nanyki, Kenya.</t>
  </si>
  <si>
    <t>Ellie COLLINS (b. 4 Aug 1994, )</t>
  </si>
  <si>
    <t>Sam and Ellie announced their engagement in August 2022. Ellie is the only daughter of Tim and Sarah COLLINS (neé  NICHOLS) orginally from Poole, Dorset.</t>
  </si>
  <si>
    <t>Sam lives in Dubai and is the elder son of Rick (1962– : #142). Born at Epsom Hospital, Surrey. Education: Mosman Primary/High NSW, Australia; Esher High &amp; Tiffin School Kingston; University of Exeter (BA Hons Philosophy, 2015). Co-directed a play at Haymarket Theatre, London 2013. Freeman of Goldsmiths 2021. Career: Co-Founder Currikula (2015–2019); Co-Author of "The Ultimate Essay Guide Book 2018"; Founder of Antler Digital (2019– ). </t>
  </si>
  <si>
    <t>Lewis LOYD</t>
  </si>
  <si>
    <t>Lewis Lloyd (c1690 –1758; #0) Thomas Lloyd (1642–1725: #-1)</t>
  </si>
  <si>
    <t>Thomas Lloyd (1642–1725: #-1)</t>
  </si>
  <si>
    <t>Lewis Lloyd (c1690–1758: #0)</t>
  </si>
  <si>
    <t>Alive=0</t>
  </si>
  <si>
    <t>Born in Perth. Gold Medal at Sydney 2000 in Men's Rowing Eight.</t>
  </si>
  <si>
    <t>04/10/1894</t>
  </si>
  <si>
    <t>Killed in action aboard the seriously damaged HMS Indomitable on operation Pedestal. Commemoration: Bay 4, Panel 1 LEE-ON-SOLENT MEMORIAL Hampshire United Kingdom.</t>
  </si>
  <si>
    <t>85 copies</t>
  </si>
  <si>
    <t>110 copies</t>
  </si>
  <si>
    <t>Total Cost</t>
  </si>
  <si>
    <t># of Copies</t>
  </si>
  <si>
    <t>Unit Prices</t>
  </si>
  <si>
    <t>Order 83 (at 110 cost)</t>
  </si>
  <si>
    <t>Mark up</t>
  </si>
  <si>
    <t>Charged price</t>
  </si>
  <si>
    <t>Revenue</t>
  </si>
  <si>
    <t>Margin</t>
  </si>
  <si>
    <t xml:space="preserve">(1) Married at St Paul’s, Kiambu, Kenya, Katharine 3rd and youngest daughter of Lieut Colonel Stanley Charles LAYZELL MC of Mwatati, Kenya. Issue two daughters. (2) Married 7 Sep 1984 at St Edmund’s Catholic Church, Bury St Edmunds, Suffolk, Mrs Monica MURRAY BROWN (b. 1 Nov 1919, d. 2004 ) widow of Lieut Colonel Charles Russell MURRAY BROWN DSO of Worlington, Suffolk and 2nd daughter of John Lloyd Herman MEWBURN of Calgary, Alberta, Canada. </t>
  </si>
  <si>
    <t>Kenya, Swaziland (now Eswatini), South Africa and England</t>
  </si>
  <si>
    <t>Kenya, Swaziland (now Eswatini), England and Canada</t>
  </si>
  <si>
    <t>Dominic lives in Boston, Lincolnshire and is the 3rd son of Alwyne (1920–2014: #94). Born 17 Mar 1953 at St George’s Wood, Haslemere, Surrey, baptised 25 Sep 1953 at St Deny’s, Sleaford, Lincolnshire by the Rev Brian BECKWORTH. Education: Fyfield School, Essex;  and Kingston University, Gipsy Hill College, (B Ed. 1975, Cert Ed 1975); and Roehampton University, (Dip Maths 1984). Career: Teacher, Eastwick Primary School, Great Bookham, Surrey 1975-79; Hammond Primary School, Bagshot, Surrey 1979-83; Deputy head teacher, Beaufort School, Woking, Surrey 1983-87; Head teacher, St Paul’s School, Addlestone, Surrey 1987-90; Headteacher, Tower Road School, Boston, Lincolnshire 1990-2014; Headteacher Consultant 2004-2006; NAHT President - Lincolnshire Branch 2008-2012. Freeman of Goldsmiths’ Company 1974. Issue: 3 sons. Co-editor "Loyd Who's Who" 2022 with his brother Rick (1962– : #142). Contact email: dominicloyd@btinternet.com</t>
  </si>
  <si>
    <t>Thomas (Tommy) MARSHAM-TOWNSHEND (b. 26 Dec 1915, d. 24 Jan 1944).</t>
  </si>
  <si>
    <t>Peter lived in North London and was the eldest son of Wilfrid (1893–1971: #77). Born 9 Oct 1922 at Frittenden, Kent. Baptised 9 Dec 1922 at St Michael’s, Chester Square. Educated Eton 1936-40. Served in World War II in Home Fleet in HMS Belfast, and on land in India and Burma. Captain, Royal Marines. Adjutant and Troop Commander, 42 Commando Royal Marines 1943-45. OC Royal Marines HMS Nigeria 1945-47. Retired from Royal Marines 1958. Imperial Chemical Industries, Plastics Division 1958-61. BTR Industries 1961-66. Industrial Society 1966-74. Director, British Institute of Management 1974-84. FMS 1966, FBIM 1974 (now FIMgt), FIIM 1979. Yachtmaster (Offshore) 1976. Loyd Family Archivist producing a Loyd book series: THE LOYD FAMILY, "Who's Who", first edition published in 1985; and then updated in 2000 with the second edition entitled, “THE LOYD FAMILY – A "Who's Who" in date of birth order from William LLOYD (1729-1800) to the present day.” Peter died 13 May 2022 in the Royal Free Hospital and his funeral service was held at Hampstead Parish Church, Hampstead, London on 27 May 2022. Issue: (1st wife) 1 son, 2 daughters. (2nd wife) 1 son, 1 daughter.</t>
  </si>
  <si>
    <t>Anne WILLIAM (b. 1738, d. 24 May 1801)</t>
  </si>
  <si>
    <t>Jenny CARTWRIGHT (b. 19 Feb 1967, )</t>
  </si>
  <si>
    <t xml:space="preserve">Emily Harriet (Milly) SMYTH (b. 30 Aug 1852, d. 25 Feb 1911) </t>
  </si>
  <si>
    <t>The Hon Clementina Georgina BROWNLOW (b. 13 Jan 1868, d. 1 Sep 1929)</t>
  </si>
  <si>
    <t>Alice Selina (Lovely) MYHILL (b. 1 Nov 1909, )</t>
  </si>
  <si>
    <t>Harriet Louise MELLOR (b. , )</t>
  </si>
  <si>
    <t>Mrs. Phyllis Marie ARCHER (nee ETESON) (b.3 Aug 1889, d. 29 Mar 1932)</t>
  </si>
  <si>
    <t>0_W</t>
  </si>
  <si>
    <t>1_W</t>
  </si>
  <si>
    <t>3_W</t>
  </si>
  <si>
    <t>4_W</t>
  </si>
  <si>
    <t>8_W</t>
  </si>
  <si>
    <t>9_W</t>
  </si>
  <si>
    <t>14_W</t>
  </si>
  <si>
    <t>22_W</t>
  </si>
  <si>
    <t>23_W</t>
  </si>
  <si>
    <t>28_W</t>
  </si>
  <si>
    <t>41_W</t>
  </si>
  <si>
    <t>32_W</t>
  </si>
  <si>
    <t>35_W</t>
  </si>
  <si>
    <t>30_W</t>
  </si>
  <si>
    <t>34_W</t>
  </si>
  <si>
    <t>44_W</t>
  </si>
  <si>
    <t>45_W</t>
  </si>
  <si>
    <t>46_W</t>
  </si>
  <si>
    <t>29_W</t>
  </si>
  <si>
    <t>56_W</t>
  </si>
  <si>
    <t>71_W</t>
  </si>
  <si>
    <t>66_W</t>
  </si>
  <si>
    <t>54_W</t>
  </si>
  <si>
    <t>52_W</t>
  </si>
  <si>
    <t>68_W</t>
  </si>
  <si>
    <t>53_W</t>
  </si>
  <si>
    <t>77_W</t>
  </si>
  <si>
    <t>62_W</t>
  </si>
  <si>
    <t>72_W</t>
  </si>
  <si>
    <t>76_W</t>
  </si>
  <si>
    <t>55_W</t>
  </si>
  <si>
    <t>80_W</t>
  </si>
  <si>
    <t>78_W1</t>
  </si>
  <si>
    <t>96_W</t>
  </si>
  <si>
    <t>105_W</t>
  </si>
  <si>
    <t>89_W</t>
  </si>
  <si>
    <t>94_W</t>
  </si>
  <si>
    <t>86_W</t>
  </si>
  <si>
    <t>78_W2</t>
  </si>
  <si>
    <t>98_W1</t>
  </si>
  <si>
    <t>99_W</t>
  </si>
  <si>
    <t>100_W</t>
  </si>
  <si>
    <t>104_W</t>
  </si>
  <si>
    <t>98_W2</t>
  </si>
  <si>
    <t>117_W</t>
  </si>
  <si>
    <t>113_W</t>
  </si>
  <si>
    <t>119_W1</t>
  </si>
  <si>
    <t>114_W</t>
  </si>
  <si>
    <t>131_W</t>
  </si>
  <si>
    <t>119_W2</t>
  </si>
  <si>
    <t>136_W</t>
  </si>
  <si>
    <t>130_W</t>
  </si>
  <si>
    <t>138_W</t>
  </si>
  <si>
    <t>121_W</t>
  </si>
  <si>
    <t>135_W</t>
  </si>
  <si>
    <t>142_W</t>
  </si>
  <si>
    <t>150_W</t>
  </si>
  <si>
    <t>146_W</t>
  </si>
  <si>
    <t>155_W</t>
  </si>
  <si>
    <t>149_W</t>
  </si>
  <si>
    <t>167_W</t>
  </si>
  <si>
    <t>162_W</t>
  </si>
  <si>
    <t>Mothers' Loyd #</t>
  </si>
  <si>
    <t>-1_W</t>
  </si>
  <si>
    <t>Sex</t>
  </si>
  <si>
    <t>Marriage Details</t>
  </si>
  <si>
    <t>Deceased</t>
  </si>
  <si>
    <t>5 – Gwenllian Lloyd (1719 - c1800) Edward Lloyd (1721 - 1751) Elizabeth Lloyd (1726 - 1777) Jane Lloyd (recorded living in 1766) Catherine Lloyd (recorded living in 1766)</t>
  </si>
  <si>
    <t>LOYD FATHER #</t>
  </si>
  <si>
    <t># of CHILDREN</t>
  </si>
  <si>
    <t>LOYD Father Number</t>
  </si>
  <si>
    <t>Number of Siblings</t>
  </si>
  <si>
    <t>Children of LOYD Fathers</t>
  </si>
  <si>
    <t>LOYD Fathers</t>
  </si>
  <si>
    <t>ADD NEW BORN LOYDS IN GREEN AREA</t>
  </si>
  <si>
    <t>CHILDREN'S NUMBERS</t>
  </si>
  <si>
    <t>5 – Gwenllian Lloyd (1719 – c1800) Edward Lloyd (1721–1751) Elizabeth Lloyd (1726–1777) Jane Lloyd (recorded living in 1766) Catherine Lloyd (recorded living in 1766)</t>
  </si>
  <si>
    <t>THIS COLUMN, WITH A LOYD # FOR VLOOKUP, IS TO BE ADDED TO THE 'LOYD BOOK 2022' PRINT SHEET</t>
  </si>
  <si>
    <t>FORMULAS IN RED, TEXT IN YELLOW. CELLS TO BE EDITTED ARE IN GREEN</t>
  </si>
  <si>
    <t>Zander</t>
  </si>
  <si>
    <t>Stillborn</t>
  </si>
  <si>
    <t>LOYD #</t>
  </si>
  <si>
    <t>1729</t>
  </si>
  <si>
    <t>1800</t>
  </si>
  <si>
    <t>1768</t>
  </si>
  <si>
    <t>1770</t>
  </si>
  <si>
    <t>1828</t>
  </si>
  <si>
    <t>1775</t>
  </si>
  <si>
    <t>1780</t>
  </si>
  <si>
    <t>1863</t>
  </si>
  <si>
    <t>1796</t>
  </si>
  <si>
    <t>1883</t>
  </si>
  <si>
    <t>1809</t>
  </si>
  <si>
    <t>1879</t>
  </si>
  <si>
    <t>1811</t>
  </si>
  <si>
    <t>1812</t>
  </si>
  <si>
    <t>1857</t>
  </si>
  <si>
    <t>1818</t>
  </si>
  <si>
    <t>1819</t>
  </si>
  <si>
    <t>1841</t>
  </si>
  <si>
    <t>1820</t>
  </si>
  <si>
    <t>1821</t>
  </si>
  <si>
    <t>1833</t>
  </si>
  <si>
    <t>1843</t>
  </si>
  <si>
    <t>1844</t>
  </si>
  <si>
    <t>1845</t>
  </si>
  <si>
    <t>1847</t>
  </si>
  <si>
    <t>1849</t>
  </si>
  <si>
    <t>1881</t>
  </si>
  <si>
    <t>1851</t>
  </si>
  <si>
    <t>1868</t>
  </si>
  <si>
    <t>1875</t>
  </si>
  <si>
    <t>1880</t>
  </si>
  <si>
    <t>1882</t>
  </si>
  <si>
    <t>1884</t>
  </si>
  <si>
    <t>1893</t>
  </si>
  <si>
    <t>1896</t>
  </si>
  <si>
    <t>20-09-1729</t>
  </si>
  <si>
    <t>29-10-1765</t>
  </si>
  <si>
    <t>01-01-1768</t>
  </si>
  <si>
    <t>07-05-1770</t>
  </si>
  <si>
    <t>19-02-1772</t>
  </si>
  <si>
    <t>05-06-1775</t>
  </si>
  <si>
    <t>19-10-1777</t>
  </si>
  <si>
    <t>30-01-1780</t>
  </si>
  <si>
    <t>25-09-1796</t>
  </si>
  <si>
    <t>09-10-1809</t>
  </si>
  <si>
    <t>30-05-1810</t>
  </si>
  <si>
    <t>30-11-1810</t>
  </si>
  <si>
    <t>10-08-1811</t>
  </si>
  <si>
    <t>10-10-1812</t>
  </si>
  <si>
    <t>26-02-1813</t>
  </si>
  <si>
    <t>17-02-1814</t>
  </si>
  <si>
    <t>02-07-1815</t>
  </si>
  <si>
    <t>26-08-1815</t>
  </si>
  <si>
    <t>09-02-1817</t>
  </si>
  <si>
    <t>03-10-1817</t>
  </si>
  <si>
    <t>29-04-1819</t>
  </si>
  <si>
    <t>19-04-1820</t>
  </si>
  <si>
    <t>02-08-1821</t>
  </si>
  <si>
    <t>24-11-1824</t>
  </si>
  <si>
    <t>20-12-1832</t>
  </si>
  <si>
    <t>30-06-1837</t>
  </si>
  <si>
    <t>17-01-1843</t>
  </si>
  <si>
    <t>28-03-1844</t>
  </si>
  <si>
    <t>28-09-1845</t>
  </si>
  <si>
    <t>22-01-1847</t>
  </si>
  <si>
    <t>05-03-1848</t>
  </si>
  <si>
    <t>13-08-1848</t>
  </si>
  <si>
    <t>16-10-1849</t>
  </si>
  <si>
    <t>06-08-1851</t>
  </si>
  <si>
    <t>14-11-1852</t>
  </si>
  <si>
    <t>01-07-1853</t>
  </si>
  <si>
    <t>24-09-1854</t>
  </si>
  <si>
    <t>08-02-1855</t>
  </si>
  <si>
    <t>17-01-1856</t>
  </si>
  <si>
    <t>26-04-1856</t>
  </si>
  <si>
    <t>06-10-1858</t>
  </si>
  <si>
    <t>02-08-1859</t>
  </si>
  <si>
    <t>02-04-1861</t>
  </si>
  <si>
    <t>30-06-1861</t>
  </si>
  <si>
    <t>30-09-1863</t>
  </si>
  <si>
    <t>10-07-1864</t>
  </si>
  <si>
    <t>02-04-1865</t>
  </si>
  <si>
    <t>19-01-1867</t>
  </si>
  <si>
    <t>20-07-1868</t>
  </si>
  <si>
    <t>27-09-1875</t>
  </si>
  <si>
    <t>06-10-1880</t>
  </si>
  <si>
    <t>23-12-1881</t>
  </si>
  <si>
    <t>10-02-1882</t>
  </si>
  <si>
    <t>17-04-1882</t>
  </si>
  <si>
    <t>19-04-1882</t>
  </si>
  <si>
    <t>11-05-1884</t>
  </si>
  <si>
    <t>08-07-1884</t>
  </si>
  <si>
    <t>17-04-1885</t>
  </si>
  <si>
    <t>26-10-1885</t>
  </si>
  <si>
    <t>21-05-1886</t>
  </si>
  <si>
    <t>16-09-1887</t>
  </si>
  <si>
    <t>23-11-1887</t>
  </si>
  <si>
    <t>22-12-1887</t>
  </si>
  <si>
    <t>04-02-1889</t>
  </si>
  <si>
    <t>07-05-1889</t>
  </si>
  <si>
    <t>26-05-1889</t>
  </si>
  <si>
    <t>20-01-1890</t>
  </si>
  <si>
    <t>01-05-1890</t>
  </si>
  <si>
    <t>16-11-1890</t>
  </si>
  <si>
    <t>21-02-1891</t>
  </si>
  <si>
    <t>26-04-1891</t>
  </si>
  <si>
    <t>03-06-1891</t>
  </si>
  <si>
    <t>10-03-1893</t>
  </si>
  <si>
    <t>14-03-1893</t>
  </si>
  <si>
    <t>13-09-1893</t>
  </si>
  <si>
    <t>13-05-1894</t>
  </si>
  <si>
    <t>12-07-1894</t>
  </si>
  <si>
    <t>28-09-1894</t>
  </si>
  <si>
    <t>20-06-1885</t>
  </si>
  <si>
    <t>14-07-1896</t>
  </si>
  <si>
    <t>11-05-1898</t>
  </si>
  <si>
    <t>18-01-1853</t>
  </si>
  <si>
    <t>Jan</t>
  </si>
  <si>
    <t>Feb</t>
  </si>
  <si>
    <t>Mar</t>
  </si>
  <si>
    <t>Apr</t>
  </si>
  <si>
    <t>Jun</t>
  </si>
  <si>
    <t>Jul</t>
  </si>
  <si>
    <t>Aug</t>
  </si>
  <si>
    <t>Sep</t>
  </si>
  <si>
    <t>Oct</t>
  </si>
  <si>
    <t>Nov</t>
  </si>
  <si>
    <t>Dec</t>
  </si>
  <si>
    <t>B'DAY</t>
  </si>
  <si>
    <t>B'MONTH #</t>
  </si>
  <si>
    <t>B'YEAR</t>
  </si>
  <si>
    <t>B'MONTH ALPHA</t>
  </si>
  <si>
    <t>B'DATE DISPLAY</t>
  </si>
  <si>
    <t>D'DAY</t>
  </si>
  <si>
    <t>D'MONTH #</t>
  </si>
  <si>
    <t>D'YEAR</t>
  </si>
  <si>
    <t>D'MONTH ALPHA</t>
  </si>
  <si>
    <t>22-05-1902</t>
  </si>
  <si>
    <t>14-10-1912</t>
  </si>
  <si>
    <t>12-08-1913</t>
  </si>
  <si>
    <t>17-10-1913</t>
  </si>
  <si>
    <t>12-09-1915</t>
  </si>
  <si>
    <t>15-09-1916</t>
  </si>
  <si>
    <t>24-03-1917</t>
  </si>
  <si>
    <t>17-08-1917</t>
  </si>
  <si>
    <t>26-11-1917</t>
  </si>
  <si>
    <t>26-03-1920</t>
  </si>
  <si>
    <t>01-12-1920</t>
  </si>
  <si>
    <t>21-02-1921</t>
  </si>
  <si>
    <t>28-05-1922</t>
  </si>
  <si>
    <t>09-10-1922</t>
  </si>
  <si>
    <t>18-04-1923</t>
  </si>
  <si>
    <t>01-06-1923</t>
  </si>
  <si>
    <t>10-12-1923</t>
  </si>
  <si>
    <t>21-12-1923</t>
  </si>
  <si>
    <t>25-05-1926</t>
  </si>
  <si>
    <t>17-06-1926</t>
  </si>
  <si>
    <t>24-01-1988</t>
  </si>
  <si>
    <t>11-03-1988</t>
  </si>
  <si>
    <t>31-05-1988</t>
  </si>
  <si>
    <t>01-09-1988</t>
  </si>
  <si>
    <t>02-12-1989</t>
  </si>
  <si>
    <t>08-02-1990</t>
  </si>
  <si>
    <t>25-12-1991</t>
  </si>
  <si>
    <t>04-01-1992</t>
  </si>
  <si>
    <t>14-11-1992</t>
  </si>
  <si>
    <t>23-01-1993</t>
  </si>
  <si>
    <t>01-01-1994</t>
  </si>
  <si>
    <t>10-07-1995</t>
  </si>
  <si>
    <t>21-12-1996</t>
  </si>
  <si>
    <t>28-12-1996</t>
  </si>
  <si>
    <t>19-11-1998</t>
  </si>
  <si>
    <t>03-02-1999</t>
  </si>
  <si>
    <t>22-07-2000</t>
  </si>
  <si>
    <t>13-02-2006</t>
  </si>
  <si>
    <t>01-08-2006</t>
  </si>
  <si>
    <t>05-07-2007</t>
  </si>
  <si>
    <t>06-01-2010</t>
  </si>
  <si>
    <t>11-02-2014</t>
  </si>
  <si>
    <t>26-05-2017</t>
  </si>
  <si>
    <t>13-10-2019</t>
  </si>
  <si>
    <t>12-10-2021</t>
  </si>
  <si>
    <t>15-11-1928</t>
  </si>
  <si>
    <t>27-11-1928</t>
  </si>
  <si>
    <t>01-12-1931</t>
  </si>
  <si>
    <t>01-03-1932</t>
  </si>
  <si>
    <t>31-08-1933</t>
  </si>
  <si>
    <t>12-08-1934</t>
  </si>
  <si>
    <t>23-12-1937</t>
  </si>
  <si>
    <t>28-08-1938</t>
  </si>
  <si>
    <t>06-07-1939</t>
  </si>
  <si>
    <t>18-11-1939</t>
  </si>
  <si>
    <t>29-03-1942</t>
  </si>
  <si>
    <t>08-09-1942</t>
  </si>
  <si>
    <t>16-01-1947</t>
  </si>
  <si>
    <t>18-02-1949</t>
  </si>
  <si>
    <t>01-05-1949</t>
  </si>
  <si>
    <t>05-07-1949</t>
  </si>
  <si>
    <t>24-02-1951</t>
  </si>
  <si>
    <t>05-06-1951</t>
  </si>
  <si>
    <t>11-11-1951</t>
  </si>
  <si>
    <t>30-04-1952</t>
  </si>
  <si>
    <t>13-05-1952</t>
  </si>
  <si>
    <t>26-06-1952</t>
  </si>
  <si>
    <t>17-03-1953</t>
  </si>
  <si>
    <t>08-05-1954</t>
  </si>
  <si>
    <t>06-06-1955</t>
  </si>
  <si>
    <t>23-08-1955</t>
  </si>
  <si>
    <t>04-06-1957</t>
  </si>
  <si>
    <t>31-01-1959</t>
  </si>
  <si>
    <t>19-03-1959</t>
  </si>
  <si>
    <t>27-08-1961</t>
  </si>
  <si>
    <t>14-10-1961</t>
  </si>
  <si>
    <t>26-03-1962</t>
  </si>
  <si>
    <t>20-06-1962</t>
  </si>
  <si>
    <t>01-11-1962</t>
  </si>
  <si>
    <t>05-02-1963</t>
  </si>
  <si>
    <t>20-03-1963</t>
  </si>
  <si>
    <t>29-09-1965</t>
  </si>
  <si>
    <t>31-03-1966</t>
  </si>
  <si>
    <t>12-09-1966</t>
  </si>
  <si>
    <t>15-09-1966</t>
  </si>
  <si>
    <t>31-05-1967</t>
  </si>
  <si>
    <t>08-06-1967</t>
  </si>
  <si>
    <t>26-06-1968</t>
  </si>
  <si>
    <t>10-06-1969</t>
  </si>
  <si>
    <t>15-04-1973</t>
  </si>
  <si>
    <t>04-03-1975</t>
  </si>
  <si>
    <t>31-08-1977</t>
  </si>
  <si>
    <t>19-08-1979</t>
  </si>
  <si>
    <t>18-01-1982</t>
  </si>
  <si>
    <t>07-04-1982</t>
  </si>
  <si>
    <t>06-04-1984</t>
  </si>
  <si>
    <t>18-05-1984</t>
  </si>
  <si>
    <t>16-12-1984</t>
  </si>
  <si>
    <t>24-02-1936</t>
  </si>
  <si>
    <t>04-01-1949</t>
  </si>
  <si>
    <t>04-07-1954</t>
  </si>
  <si>
    <t>21-02-1959</t>
  </si>
  <si>
    <t>31-07-1975</t>
  </si>
  <si>
    <t>07-07-1986</t>
  </si>
  <si>
    <t>D'DATE DISPLAY</t>
  </si>
  <si>
    <t>M'DAY</t>
  </si>
  <si>
    <t>M'MONTH #</t>
  </si>
  <si>
    <t>M'YEAR</t>
  </si>
  <si>
    <t>M'MONTH ALPHA</t>
  </si>
  <si>
    <t>M'DATE DISPLAY</t>
  </si>
  <si>
    <t>10/07/1901</t>
  </si>
  <si>
    <t>20/10/1914</t>
  </si>
  <si>
    <t>05/07/1919</t>
  </si>
  <si>
    <t>30/01/1915</t>
  </si>
  <si>
    <t>20/12/1901</t>
  </si>
  <si>
    <t>24/07/1911</t>
  </si>
  <si>
    <t>27/09/1918</t>
  </si>
  <si>
    <t>18/03/1919</t>
  </si>
  <si>
    <t>15/06/1925</t>
  </si>
  <si>
    <t>19/06/1912</t>
  </si>
  <si>
    <t>11/05/1912</t>
  </si>
  <si>
    <t>29/05/1919</t>
  </si>
  <si>
    <t>10/11/1920</t>
  </si>
  <si>
    <t>01/10/1912</t>
  </si>
  <si>
    <t>29/07/1922</t>
  </si>
  <si>
    <t>01/06/1923</t>
  </si>
  <si>
    <t>03/07/1926</t>
  </si>
  <si>
    <t>31/12/1921</t>
  </si>
  <si>
    <t>19/11/1924</t>
  </si>
  <si>
    <t>28/05/1931</t>
  </si>
  <si>
    <t>12/01/1937</t>
  </si>
  <si>
    <t>15/04/1950</t>
  </si>
  <si>
    <t>05/03/1935</t>
  </si>
  <si>
    <t>16/03/1946</t>
  </si>
  <si>
    <t>22/01/1940</t>
  </si>
  <si>
    <t>25/08/1945</t>
  </si>
  <si>
    <t>08/07/1944</t>
  </si>
  <si>
    <t>06/02/1946</t>
  </si>
  <si>
    <t>05/05/1951</t>
  </si>
  <si>
    <t>08/04/1950</t>
  </si>
  <si>
    <t>04/03/1958</t>
  </si>
  <si>
    <t>17/12/1957</t>
  </si>
  <si>
    <t>01/12/1948</t>
  </si>
  <si>
    <t>28/07/1948</t>
  </si>
  <si>
    <t>10/06/1954</t>
  </si>
  <si>
    <t>24/04/1948</t>
  </si>
  <si>
    <t>25/01/1951</t>
  </si>
  <si>
    <t>19/12/1963</t>
  </si>
  <si>
    <t>15/03/1966</t>
  </si>
  <si>
    <t>10/10/1962</t>
  </si>
  <si>
    <t>08/09/1973</t>
  </si>
  <si>
    <t>14/10/1963</t>
  </si>
  <si>
    <t>02/10/1964</t>
  </si>
  <si>
    <t>09/01/1971</t>
  </si>
  <si>
    <t>02/05/1968</t>
  </si>
  <si>
    <t>02/11/1985</t>
  </si>
  <si>
    <t>19/12/1974</t>
  </si>
  <si>
    <t>24/11/1973</t>
  </si>
  <si>
    <t>30/03/1978</t>
  </si>
  <si>
    <t>28/08/1971</t>
  </si>
  <si>
    <t>16/09/1988</t>
  </si>
  <si>
    <t>09/07/1983</t>
  </si>
  <si>
    <t>24/07/1976</t>
  </si>
  <si>
    <t>06/10/1983</t>
  </si>
  <si>
    <t>22/07/2018</t>
  </si>
  <si>
    <t>20/07/2019</t>
  </si>
  <si>
    <t>19/12/2020</t>
  </si>
  <si>
    <t>11/08/2022</t>
  </si>
  <si>
    <t>27/11/1993</t>
  </si>
  <si>
    <t>21/09/2002</t>
  </si>
  <si>
    <t>29/04/1995</t>
  </si>
  <si>
    <t>20/04/1991</t>
  </si>
  <si>
    <t>09/05/1981</t>
  </si>
  <si>
    <t>03/06/1995</t>
  </si>
  <si>
    <t>09/09/1989</t>
  </si>
  <si>
    <t>19/10/1985</t>
  </si>
  <si>
    <t>06/08/2011</t>
  </si>
  <si>
    <t>18/08/2012</t>
  </si>
  <si>
    <t>15/12/1984</t>
  </si>
  <si>
    <t>24/12/1996</t>
  </si>
  <si>
    <t>21/03/1992</t>
  </si>
  <si>
    <t>11/02/1995</t>
  </si>
  <si>
    <t>14/09/1996</t>
  </si>
  <si>
    <t>12/05/2006</t>
  </si>
  <si>
    <t>12/10/1996</t>
  </si>
  <si>
    <t>19/07/2003</t>
  </si>
  <si>
    <t>07/12/2012</t>
  </si>
  <si>
    <t>31/05/2008</t>
  </si>
  <si>
    <t>08/12/2007</t>
  </si>
  <si>
    <t>16/07/2016</t>
  </si>
  <si>
    <t>18/04/2009</t>
  </si>
  <si>
    <t>03/09/2011</t>
  </si>
  <si>
    <t>16/04/1907</t>
  </si>
  <si>
    <t>18/06/1948</t>
  </si>
  <si>
    <t>27/03/1954</t>
  </si>
  <si>
    <t>03/01/1946</t>
  </si>
  <si>
    <t>20/10/1960</t>
  </si>
  <si>
    <t>19/04/1969</t>
  </si>
  <si>
    <t>06/10/2000</t>
  </si>
  <si>
    <t>10/09/2005</t>
  </si>
  <si>
    <t>21/06/2014</t>
  </si>
  <si>
    <t>08/09/1959</t>
  </si>
  <si>
    <t>GFather Loyd #</t>
  </si>
  <si>
    <t>GG Father Loyd #</t>
  </si>
  <si>
    <t>GGG Father Loyd #</t>
  </si>
  <si>
    <t>GGGG Father Loyd #</t>
  </si>
  <si>
    <t>GGGGG Father Loyd #</t>
  </si>
  <si>
    <t>Lineage Reference</t>
  </si>
  <si>
    <t>William LLOYD  (1729–1800) known posthumously as William LOYD</t>
  </si>
  <si>
    <t>Lewis LLOYD (1690–1759: #0)</t>
  </si>
  <si>
    <t>Not Known</t>
  </si>
  <si>
    <t>Gwenllian (b. c1693, d. c1774)</t>
  </si>
  <si>
    <t>Father #</t>
  </si>
  <si>
    <t>Grandfather #</t>
  </si>
  <si>
    <t>Grandfather Name</t>
  </si>
  <si>
    <t>Ambrose William GODDARD (1892– )</t>
  </si>
  <si>
    <t>Audrey Haig WHEELER (1913– )</t>
  </si>
  <si>
    <t>Norma Monica Haig WHEELER (1924– )</t>
  </si>
  <si>
    <t>Basil Norman Haig WHEELER (1926– )</t>
  </si>
  <si>
    <t>Dora Margaret MICKLEM (1924– )</t>
  </si>
  <si>
    <t>Anne Gertrude MICKLEM (1925– )</t>
  </si>
  <si>
    <t>Thomas Charles Weguelin MICKLEM (1926– )</t>
  </si>
  <si>
    <t>Elizabeth Paula MICKLEM (1929– )</t>
  </si>
  <si>
    <t>Edward James LANE FOX (1939– )</t>
  </si>
  <si>
    <t>Jenny LANE FOX (1944– )</t>
  </si>
  <si>
    <t>Robin James LANE FOX (1946– )</t>
  </si>
  <si>
    <t>Lady Diana Elizabeth Virginia Sydney BAIRD (1937– )</t>
  </si>
  <si>
    <t>The Hon Alexander David BAIRD (1946– )</t>
  </si>
  <si>
    <t>June MARSHAM-TOWNHEND (1942– )</t>
  </si>
  <si>
    <t>Susan MARSHAM-TOWNHEND (1944– )</t>
  </si>
  <si>
    <t>Jonathan Edmund Stephenson CLARKE (1950– )</t>
  </si>
  <si>
    <t>Timothy William Trelawny TATTON-BROWN (1947– )</t>
  </si>
  <si>
    <t>Giles Eden TATTON-BROWN (1948– )</t>
  </si>
  <si>
    <t>Anthea Mary TATTON-BROWN (1951– )</t>
  </si>
  <si>
    <t>Frances Maud TATTON-BROWN (1954– )</t>
  </si>
  <si>
    <t>Henrietta Catherine KNIGHT (1946– )</t>
  </si>
  <si>
    <t>Julian Edward Loyd SALE (1951– )</t>
  </si>
  <si>
    <t>Iona Marian SALE (1954– )</t>
  </si>
  <si>
    <t>Roderick Peter Abell SALE (1959– )</t>
  </si>
  <si>
    <t>Edward John Andrew SALE (1963– )</t>
  </si>
  <si>
    <t>Lady Selina Catherine MEADE (1950– )</t>
  </si>
  <si>
    <t>Lady Mary Jane MEADE (1952– )</t>
  </si>
  <si>
    <t>Lady Julia Elizabeth MEADE (1953– )</t>
  </si>
  <si>
    <t>Lady Laura Louise MEADE (1957– )</t>
  </si>
  <si>
    <t>Lady Katherine Anne MEADE (1959– )</t>
  </si>
  <si>
    <t>Lady Sophia Hester MEADE (1963– )</t>
  </si>
  <si>
    <t>Teressa Mary DUNLOP (1956– )</t>
  </si>
  <si>
    <t>Lindsay Fergus DUNLOP (1958– )</t>
  </si>
  <si>
    <t>Celina Elizabeth DUNLOP (1960– )</t>
  </si>
  <si>
    <t>James Anthony GORE-BROWNE (1947– )</t>
  </si>
  <si>
    <t>Georgina Mary GORE-BROWNE (1949– )</t>
  </si>
  <si>
    <t>Patrick Robert GORE-BROWNE (1956– )</t>
  </si>
  <si>
    <t>The Hon Geva Charlotte Caroline WINN (1955– )</t>
  </si>
  <si>
    <t>Charles Rowland Andrew WINN (1959– )</t>
  </si>
  <si>
    <t>Lorraine Mary GRAHAM (1951– )</t>
  </si>
  <si>
    <t>Nora Ann ORR (1955– )</t>
  </si>
  <si>
    <t>Michael Kirkman Loyd ORR (1956– )</t>
  </si>
  <si>
    <t>Edward William ORR (1959– )</t>
  </si>
  <si>
    <t>Heather Lynn ORR (1970– )</t>
  </si>
  <si>
    <t>Frances Mary HOYLE (1953– )</t>
  </si>
  <si>
    <t>Richard William Lewis HOYLE (1956– )</t>
  </si>
  <si>
    <t>David John HOYLE (1961– )</t>
  </si>
  <si>
    <t>Peter James HOYLE (1963– )</t>
  </si>
  <si>
    <t>Jennet WALTON (1964– )</t>
  </si>
  <si>
    <t>Timothy WALTON (1967– )</t>
  </si>
  <si>
    <t>John Drummond BOYCE (1961– )</t>
  </si>
  <si>
    <t>Joanna Mary BOYCE (1963– )</t>
  </si>
  <si>
    <t>Robert Eric BOYCE (1964– )</t>
  </si>
  <si>
    <t>Paula Margaret BOYCE (1966– )</t>
  </si>
  <si>
    <t>Kevin John DOWNES (1958– )</t>
  </si>
  <si>
    <t>Lynda Carol DOWNES (1960– )</t>
  </si>
  <si>
    <t>Graeme Richard DOWNES (1961– )</t>
  </si>
  <si>
    <t>Lesley Karen DOWNES (1963– )</t>
  </si>
  <si>
    <t>The Hon Isabel Alicia Clare CROSSLEY (1964– )</t>
  </si>
  <si>
    <t>The Hon Camilla Mary Lara CROSSLEY (1967– )</t>
  </si>
  <si>
    <t>The Hon Alicia Phyllis Belinda CROSSLEY (1969– )</t>
  </si>
  <si>
    <t>The Hon Hugh Francis Savile CROSSLEY (1971– )</t>
  </si>
  <si>
    <t>The Hon Bridget Vivian CROSSLEY (1974– )</t>
  </si>
  <si>
    <t>Kate CLULOW (1971– )</t>
  </si>
  <si>
    <t>Clare CLULOW (1973– )</t>
  </si>
  <si>
    <t>Katharine Jane Loyd BOSMAN (1978– )</t>
  </si>
  <si>
    <t>Adam Terrence Loyd BOSMAN (1980– )</t>
  </si>
  <si>
    <t>Bryan Patrick HAWKEY (1976– )</t>
  </si>
  <si>
    <t>Allison Mary HAWKEY (1978– )</t>
  </si>
  <si>
    <t>Chloe Louise PEMBERTON (1991– )</t>
  </si>
  <si>
    <t>Kate Isobel PEMBERTON (1993– )</t>
  </si>
  <si>
    <t>Honor Constance Virginia GELL (1998– )</t>
  </si>
  <si>
    <t>Daisy Elizabeth MILLER (1995– )</t>
  </si>
  <si>
    <t>Violet Emma MILLER (1995– )</t>
  </si>
  <si>
    <t>Letitia May Rose Campbell BYATT (1996– )</t>
  </si>
  <si>
    <t>Emily Harriert ASHE (1988– )</t>
  </si>
  <si>
    <t>Charles Windham ASHE (1990– )</t>
  </si>
  <si>
    <t>Clementine WHITCOMB (1999– )</t>
  </si>
  <si>
    <t>Augustin WHITCOMB (2001– )</t>
  </si>
  <si>
    <t>Frederick Otto NEWING (2006– )</t>
  </si>
  <si>
    <t>Henry Augustus NEWING (2008– )</t>
  </si>
  <si>
    <t>Michael Peter GRINDAL (2014– )</t>
  </si>
  <si>
    <t>Dorothy Mary Jennifer GRINDAL (2016– )</t>
  </si>
  <si>
    <t>Henry John Loyd SIMMONDS (2012– )</t>
  </si>
  <si>
    <t>Emily Mary Loyd SIMMONDS (2014– )</t>
  </si>
  <si>
    <t>Theodore Richard KYLE (2010– )</t>
  </si>
  <si>
    <t>Thomas Philip Loyd GARDENER (2010– )</t>
  </si>
  <si>
    <t>Alice Daphne Straker GARDENER (2013– )</t>
  </si>
  <si>
    <t>Alexia Charlotte HAYNS (2014– )</t>
  </si>
  <si>
    <t>Edward Loyd Bickford HAYNS (2016– )</t>
  </si>
  <si>
    <t xml:space="preserve">
Thomas Stephen DINSMORE (2012– )</t>
  </si>
  <si>
    <t>Mary Charlotte DINSMORE (2014– )</t>
  </si>
  <si>
    <t>Fredrick Peter Loyd LEASK (2016– )</t>
  </si>
  <si>
    <t>Hamish Alexander Cormack LEASK (2018– )</t>
  </si>
  <si>
    <t>Otto Angus Davis LEASK (2020– )</t>
  </si>
  <si>
    <t>Leila Cherry PURI (2017– )</t>
  </si>
  <si>
    <t>Alana Kailash PURI (2019– )</t>
  </si>
  <si>
    <t>Nicholas Rudyard Wroughton POWELL (2020– )</t>
  </si>
  <si>
    <t>Florence Sofia Berners POWELL (2022– )</t>
  </si>
  <si>
    <t>Angus Thomas Folliott POWELL (2021– )</t>
  </si>
  <si>
    <t>Edward John Brierly HARDCASTLE (1923– )</t>
  </si>
  <si>
    <t>Priscilla Brierly HARDCASTLE (1954– )</t>
  </si>
  <si>
    <t>Arthur William MOORE (1950– )</t>
  </si>
  <si>
    <t>Gareth Allen MOORE (1985– )</t>
  </si>
  <si>
    <t>Vanessa Chantal WHEELER (1971– )</t>
  </si>
  <si>
    <t>Karen Natalie WHEELER (1973– )</t>
  </si>
  <si>
    <t>William Richard Charles SHEARER (1951– )</t>
  </si>
  <si>
    <t>Rosemary Diana Esther SHEARER (1952– )</t>
  </si>
  <si>
    <t>Andrew John Micklem SHEARER (1960– )</t>
  </si>
  <si>
    <t>Charles Peter MELITUS (1955– )</t>
  </si>
  <si>
    <t>Caroline Margaret Paula MELITUS (1959– )</t>
  </si>
  <si>
    <t>Arthur Hugo Micklem PAGE (1951– )</t>
  </si>
  <si>
    <t>John Nathaniel Micklem PAGE (1953– )</t>
  </si>
  <si>
    <t>Henry Charles Micklem PAGE (1953– )</t>
  </si>
  <si>
    <t>Rupert James Oliver PAGE (1963– )</t>
  </si>
  <si>
    <t>Philippa Rhona MICKLEM (1958– )</t>
  </si>
  <si>
    <t>Jeremy Charles Cracroft MICKLEM (1961– )</t>
  </si>
  <si>
    <t>Sylvia Diana MICKLEM (1964– )</t>
  </si>
  <si>
    <t>Charlotte Mary LANE FOX (1967– )</t>
  </si>
  <si>
    <t>Oliver James LANE FOX (1968– )</t>
  </si>
  <si>
    <t>Sophie Anne LANE FOX (1972– )</t>
  </si>
  <si>
    <t>Lucy Jane LANE FOX (1965– )</t>
  </si>
  <si>
    <t>Serena Mary LANE FOX (1967– )</t>
  </si>
  <si>
    <t>Emily Laura LANE FOX (1969– )</t>
  </si>
  <si>
    <t>Charles James LANE FOX (1977– )</t>
  </si>
  <si>
    <t>James Alfred Louis TENNYSON d'EYNCOURT (1978– )</t>
  </si>
  <si>
    <t>Frances Rosemary Amaryllis TENNYSON d'EYNCOURT (1980– )</t>
  </si>
  <si>
    <t>Martha LANE FOX (1973– )</t>
  </si>
  <si>
    <t>Henry James LANE FOX (1974– )</t>
  </si>
  <si>
    <t>Richard Ian HOLMAN (1958– )</t>
  </si>
  <si>
    <t>Edward HOLMAN (1960– )</t>
  </si>
  <si>
    <t>Georgina Mary HOLMAN (1964– )</t>
  </si>
  <si>
    <t>Emma Charlotte HOLMAN (1966– )</t>
  </si>
  <si>
    <t>James William Falconer KEITH (1976– )</t>
  </si>
  <si>
    <t>The Honourable Iona Delia Mary Gaddis KEITH (1978– )</t>
  </si>
  <si>
    <t>Emily Kate NORMAN (1975– )</t>
  </si>
  <si>
    <t>Lachlan John RANKIN (1980– )</t>
  </si>
  <si>
    <t>Cesare STUDIATI BERNI (1972– )</t>
  </si>
  <si>
    <t>Viola STUDIATI BERNI (1975– )</t>
  </si>
  <si>
    <t>Georgina Louise Stephenson CLARKE (1976– )</t>
  </si>
  <si>
    <t>Marina Rose Stephenson CLARKE (1982– )</t>
  </si>
  <si>
    <t>Hugh Trelawny TATTON-BROWN (1980– )</t>
  </si>
  <si>
    <t>Miranda Emily Jean TATTON-BROWN (1983– )</t>
  </si>
  <si>
    <t>Lucy Ann TATTON-BROWN (1984– )</t>
  </si>
  <si>
    <t>Robert William Loyd TATTON-BROWN (1993– )</t>
  </si>
  <si>
    <t>Olivia Daphne Noelle TATTON-BROWN (1971– )</t>
  </si>
  <si>
    <t>Benjamin Robert Louis TATTON-BROWN (1973– )</t>
  </si>
  <si>
    <t>Daisy Maud TATTON-BROWN (1983– )</t>
  </si>
  <si>
    <t>Gregory Mark Eden TATTON-BROWN (1985– )</t>
  </si>
  <si>
    <t>Jonathan William Robert SURTEES (1982– )</t>
  </si>
  <si>
    <t>Rosamund Daphne Patricia SURTEES (1987– )</t>
  </si>
  <si>
    <t>THE Hon William Guy VESTEY (1983– )</t>
  </si>
  <si>
    <t>THE Hon Arthur George VESTEY (1985– )</t>
  </si>
  <si>
    <t>The Hon Mary Henrietta VESTEY (1992– )</t>
  </si>
  <si>
    <t>Alexander Robert Loyd SALE (1991– )</t>
  </si>
  <si>
    <t>Oliver Edward David SALE (1995– )</t>
  </si>
  <si>
    <t>Frank Thomas Arthur SALE (1995– )</t>
  </si>
  <si>
    <t>Constancy Nancy SALE (1997– )</t>
  </si>
  <si>
    <t>Grace Alice SALE (2002– )</t>
  </si>
  <si>
    <t>Lawrence Rupert John TIMPSON (1974– )</t>
  </si>
  <si>
    <t>Catherine Selina Alexandra TIMPSON (1979– )</t>
  </si>
  <si>
    <t>Viscount John Armar Galbraith LOWRY-CORRY (1985– )</t>
  </si>
  <si>
    <t>The Hon Montagu Gilford George LOWRY-CORRY (1989– )</t>
  </si>
  <si>
    <t>Lady Martha Catherine LOWRY-CORRY (1992– )</t>
  </si>
  <si>
    <t>Milo Edmund HISCOX (1987– )</t>
  </si>
  <si>
    <t>Henry Charles HISCOX (1989– )</t>
  </si>
  <si>
    <t>Sydney John HISCOX (1993– )</t>
  </si>
  <si>
    <t>Nicholas John Howard REID (1982– )</t>
  </si>
  <si>
    <t>Amelia Louise Catherine REID (1984– )</t>
  </si>
  <si>
    <t>Clementine Julia REID (1988– )</t>
  </si>
  <si>
    <t>Thomas Robert Hamilton WILLS (1991– )</t>
  </si>
  <si>
    <t>George Edmund Hamilton WILLS (1993– )</t>
  </si>
  <si>
    <t>Laura Felicity Hamilton WILLS (1996– )</t>
  </si>
  <si>
    <t>Richard Garnett HEYWOOD (1993– )</t>
  </si>
  <si>
    <t>Alec Garnett HEYWOOD (1996– )</t>
  </si>
  <si>
    <t>Ella Genevieve Elgin DUNLOP (1998– )</t>
  </si>
  <si>
    <t>Marina Harriet GORE-BROWNE (1984– )</t>
  </si>
  <si>
    <t>Frederick Henry GORE-BROWNE (1987– )</t>
  </si>
  <si>
    <t>Harry Alastair GORE-BROWNE (1988– )</t>
  </si>
  <si>
    <t>Edward Thomas PILKINGTON (1971– )</t>
  </si>
  <si>
    <t>Lucinda Mary PILKINGTON (1973– )</t>
  </si>
  <si>
    <t>Nicholas James PILKINGTON (1976– )</t>
  </si>
  <si>
    <t>Claire Georgina PILKINGTON (1979– )</t>
  </si>
  <si>
    <t>William Thomas GORE-BROWNE (1988– )</t>
  </si>
  <si>
    <t>Heather Caroline Mona GORE-BROWNE (1990– )</t>
  </si>
  <si>
    <t>Rose Elizabeth Lavinia GORE-BROWNE (1991– )</t>
  </si>
  <si>
    <t>Sophie Mary GORE-BROWNE (1985– )</t>
  </si>
  <si>
    <t>Elizabeth Clare GORE-BROWNE (1988– )</t>
  </si>
  <si>
    <t>Georgina Sarah GORE-BROWNE (1992– )</t>
  </si>
  <si>
    <t>Helena Charlotte Rose BLACKETT (1988– )</t>
  </si>
  <si>
    <t>Camilla Harriet Eve BLACKETT (1989– )</t>
  </si>
  <si>
    <t>Letitia Sarah Alice BLACKETT (1991– )</t>
  </si>
  <si>
    <t>Annabel Victoria Louisa BLACKETT (1993– )</t>
  </si>
  <si>
    <t>The Hon Rowland Charles Sebastian Henry WINN (1986– )</t>
  </si>
  <si>
    <t>The Hon Henrietta Sophia Alexandra WINN (1993– )</t>
  </si>
  <si>
    <t>Edward Allen RUSSELL (1976– )</t>
  </si>
  <si>
    <t>Mathew Howard AMY (1981– )</t>
  </si>
  <si>
    <t>Michael William AMY (1981– )</t>
  </si>
  <si>
    <t>Jonathon Glen AMY (1983– )</t>
  </si>
  <si>
    <t>Christopher Allen THOMPSON (1973– )</t>
  </si>
  <si>
    <t>George William THOMPSON (1976– )</t>
  </si>
  <si>
    <t>Jeremy James THOMPSON (1979– )</t>
  </si>
  <si>
    <t>Charitie Lee ORR (1978– )</t>
  </si>
  <si>
    <t>Audrey Dawn ORR (1980– )</t>
  </si>
  <si>
    <t>Michael Travis Kirkman ORR (1984– )</t>
  </si>
  <si>
    <t>Seth Edward ORR (1986– )</t>
  </si>
  <si>
    <t>Brandy Marie ORR (1979– )</t>
  </si>
  <si>
    <t>Timothy James ORR (1980– )</t>
  </si>
  <si>
    <t>Daniel John CARTER (1976– )</t>
  </si>
  <si>
    <t>Simon Peter CARTER (1982– )</t>
  </si>
  <si>
    <t>Matthew Christopher Richard HOYLE (1982– )</t>
  </si>
  <si>
    <t>Darren Andrew HOYLE (1985– )</t>
  </si>
  <si>
    <t>Tanya Louise HOYLE (1985– )</t>
  </si>
  <si>
    <t>Toby Chui Bao WALTON (2008– )</t>
  </si>
  <si>
    <t>Leo Giap WALTON (2012– )</t>
  </si>
  <si>
    <t>Benjamin Hai Nam WALTON (2013– )</t>
  </si>
  <si>
    <t>Isabel Xuyen Mai WALTON (2016– )</t>
  </si>
  <si>
    <t>Christopher Drummond BOYCE (1990– )</t>
  </si>
  <si>
    <t>Andrew Alexander BOYCE (1991– )</t>
  </si>
  <si>
    <t>Hannah Catherine BOYCE (2011– )</t>
  </si>
  <si>
    <t>Karina Boyce BOYCE de CASTRO (1999– )</t>
  </si>
  <si>
    <t>Matheus Drummond BOYCE de CASTRO (2002– )</t>
  </si>
  <si>
    <t>Benjamin CATOR (1988– )</t>
  </si>
  <si>
    <t>Lara CATOR (1992– )</t>
  </si>
  <si>
    <t>Oscar CATOR (1996– )</t>
  </si>
  <si>
    <t>Milo SOAMES (1995– )</t>
  </si>
  <si>
    <t>Tommy SOAMES (1997– )</t>
  </si>
  <si>
    <t>Mary Alicia Claire SOAMES (1999– )</t>
  </si>
  <si>
    <t>Eva Charlotte Loyd TALBOT (2012– )</t>
  </si>
  <si>
    <t>Arlo Terrence Peter TALBOT (2015– )</t>
  </si>
  <si>
    <t>Rufus Mali CORVINO (2005– )</t>
  </si>
  <si>
    <t>Hal Alfred Layzell BOSMAN (2017– )</t>
  </si>
  <si>
    <t>Rocky Terrence BOSMAN (2020– )</t>
  </si>
  <si>
    <t>Alice Isla RUSSELL-STONEHAM (2020– )</t>
  </si>
  <si>
    <t>Elizabeth Clare POWELL (1942– )</t>
  </si>
  <si>
    <t>Margaret Ann POWELL (1944– )</t>
  </si>
  <si>
    <t>Mary Jean HARDCASTLE (1951– )</t>
  </si>
  <si>
    <t>John Michael HARDCASTLE (1953– )</t>
  </si>
  <si>
    <t>Anthony David HARDCASTLE (1954– )</t>
  </si>
  <si>
    <t>Martin Christopher DREWE (1951– )</t>
  </si>
  <si>
    <t>Gillian Frances DREWE (1953– )</t>
  </si>
  <si>
    <t>Charles Loyd DREWE (1957– )</t>
  </si>
  <si>
    <t>Alistair William MOORE (1991– )</t>
  </si>
  <si>
    <t>Henry Charles Anthony SHEARER (1981– )</t>
  </si>
  <si>
    <t>Emma Jane SHEARER (1986– )</t>
  </si>
  <si>
    <t>Christopher John ANDREY (1982– )</t>
  </si>
  <si>
    <t>Amanda Charlotte ANDREY (1987– )</t>
  </si>
  <si>
    <t>Zoe Adele MELITUS (1979– )</t>
  </si>
  <si>
    <t>Jonathan Peter MELITUS (1988– )</t>
  </si>
  <si>
    <t>Sophia Caroline CHALDECOTT (1989– )</t>
  </si>
  <si>
    <t>Lucy Maria CHALDECOTT (1992– )</t>
  </si>
  <si>
    <t>Thomas Owen CHALDECOTT (1999– )</t>
  </si>
  <si>
    <t>George Arthur Louis PAGE (1998– )</t>
  </si>
  <si>
    <t>Simeon Nathaniel Benjamin GOW (1990– )</t>
  </si>
  <si>
    <t>Christopher Gavin Thomas GOW (1996– )</t>
  </si>
  <si>
    <t>Joanna Louise GOW (1998– )</t>
  </si>
  <si>
    <t>Matilda Prudence ELLIS (1995– )</t>
  </si>
  <si>
    <t>Tabitha Hope ELLIS (1997– )</t>
  </si>
  <si>
    <t>Esme Grace G LANE FOX (1998– )</t>
  </si>
  <si>
    <t>Georgia Rose LANE FOX (2000– )</t>
  </si>
  <si>
    <t>Lily Joanna GASZTOWTT (1997– )</t>
  </si>
  <si>
    <t>Louise Saragh HOLMAN-BAIRD (1986– )</t>
  </si>
  <si>
    <t>Angus John HOLMAN-BAIRD (1997– )</t>
  </si>
  <si>
    <t>Amelia Jo HOLMAN-BAIRD (1998– )</t>
  </si>
  <si>
    <t>William John STIRRUP (1992– )</t>
  </si>
  <si>
    <t>Timothy Charles STIRRUP (1994– )</t>
  </si>
  <si>
    <t>Isabelle Diana STIRRUP (1997– )</t>
  </si>
  <si>
    <t>Sophie Charlotte COLE (1992– )</t>
  </si>
  <si>
    <t>Patrick James COLE (1994– )</t>
  </si>
  <si>
    <t>Jake Michael TATTON-BROWN (2016– )</t>
  </si>
  <si>
    <t>Zachery Finn TATTON-BROWN (2016– )</t>
  </si>
  <si>
    <t>Maia Veronica Kaur BATTEY (2014– )</t>
  </si>
  <si>
    <t>Cara Ann Rose BATTEY (2017– )</t>
  </si>
  <si>
    <t>Octavia Kenya ANDERSEN (1999– )</t>
  </si>
  <si>
    <t>Augustus Eden ANDERSEN (2003– )</t>
  </si>
  <si>
    <t>Felix Edgar Oliver TATTON-BROWN (2004– )</t>
  </si>
  <si>
    <t>Marius Cesar Fabien TATTON-BROWN (2004– )</t>
  </si>
  <si>
    <t>Poppy May TATTON-BROWN (2008– )</t>
  </si>
  <si>
    <t>Rose Henrietta BOURNE (2014– )</t>
  </si>
  <si>
    <t>Basil Louis BOURNE (2016– )</t>
  </si>
  <si>
    <t>Montague Alfred BOURNE (2020– )</t>
  </si>
  <si>
    <t>Alice Clementine Mary TATTON-BROWN (2013– )</t>
  </si>
  <si>
    <t>Théodore Eden Louis TATTON-BROWN (2018– )</t>
  </si>
  <si>
    <t>Oscar Arthur Alexandre TATTON-BROWN (2021– )</t>
  </si>
  <si>
    <t>Ella Victoria VESTEY (2015– )</t>
  </si>
  <si>
    <t>Samuel Oscar Mark VESTEY (2018– )</t>
  </si>
  <si>
    <t>Frank William VESTEY (2016– )</t>
  </si>
  <si>
    <t>Cosima Dora VESTEY (2018– )</t>
  </si>
  <si>
    <t>Daisy Celia VESTEY (2021– )</t>
  </si>
  <si>
    <t>Lyra Celia VESTEY (2021– )</t>
  </si>
  <si>
    <t>Frederick John Wilfred HOLLAND (2019– )</t>
  </si>
  <si>
    <t>Rupert Leo James TELFORD (2022– )</t>
  </si>
  <si>
    <t>Rowan Emily BOYCE (2021– )</t>
  </si>
  <si>
    <t>Alice Muriel Loyd PROTHEROE (1886– )</t>
  </si>
  <si>
    <t>Robert Paul Redston WARNER (later RAMSAY) (1945– )</t>
  </si>
  <si>
    <t>Elizabeth Margery WARNER (1947– )</t>
  </si>
  <si>
    <t>Nigel George WARNER (1947– )</t>
  </si>
  <si>
    <t>Alan Tristram Nicholas WARNER (1949– )</t>
  </si>
  <si>
    <t>Randall Lewis NICOL (1947– )</t>
  </si>
  <si>
    <t>Andrew Harry NICOL (1949– )</t>
  </si>
  <si>
    <t>Malcolm James NICOL (1953– )</t>
  </si>
  <si>
    <t>Robert Andrew SCOTT-DEMPSTER (1967– )</t>
  </si>
  <si>
    <t>Clare Ann SCOTT-DEMPSTER (1969– )</t>
  </si>
  <si>
    <t>Harry Colin SCOTT-DEMPSTER (1985– )</t>
  </si>
  <si>
    <t>Jane Margaret LINDSAY (1966– )</t>
  </si>
  <si>
    <t>Richard Stephen LINDSAY (1969– )</t>
  </si>
  <si>
    <t>Charles Ludovic LINDSAY (1974– )</t>
  </si>
  <si>
    <t>Andrew James Ronald LINDSAY (1977– )</t>
  </si>
  <si>
    <t>Florence Mary HALLETT (1977– )</t>
  </si>
  <si>
    <t>Lillian Alice HALLETT (1980– )</t>
  </si>
  <si>
    <t>Linda Constance Elizabeth HARDCASTLE (1979– )</t>
  </si>
  <si>
    <t>Susan Jean Alexandra HARDCASTLE (1980– )</t>
  </si>
  <si>
    <t>David Robert Edwin HARDCASTLE (1982– )</t>
  </si>
  <si>
    <t>Michael Alwyn Karel DREWE (1987– )</t>
  </si>
  <si>
    <t>Sheila Evelyn PROTHEROE (1924– )</t>
  </si>
  <si>
    <t>Beryl Mary Loyd APPS (1925– )</t>
  </si>
  <si>
    <t>Gilbert Aubrey Warner RAMSAY (1980– )</t>
  </si>
  <si>
    <t>Sophie Charlotte RAMSAY (1982– )</t>
  </si>
  <si>
    <t>Adam Alexander RAMSAY (1985– )</t>
  </si>
  <si>
    <t>George Finlay RAMSAY (1988– )</t>
  </si>
  <si>
    <t>John BERRY (1976– )</t>
  </si>
  <si>
    <t>Robert BERRY (1978– )</t>
  </si>
  <si>
    <t>Nicholas Redston WARNER (1985– )</t>
  </si>
  <si>
    <t>Harriet Voase WARNER (1988– )</t>
  </si>
  <si>
    <t>Helen Louise NICOL (1982– )</t>
  </si>
  <si>
    <t>Lucinda Rachel NICOL (1984– )</t>
  </si>
  <si>
    <t>James Peter Robert NICOL (1991– )</t>
  </si>
  <si>
    <t>Abigail Elizabeth NICOL (1985– )</t>
  </si>
  <si>
    <t>Jennifer Catherine NICOL (1985– )</t>
  </si>
  <si>
    <t>Alice Mary Rose NICOL (1988– )</t>
  </si>
  <si>
    <t>Catherine Margaret NICOL (1990– )</t>
  </si>
  <si>
    <t>Elisabeth Iona NICOL (1990– )</t>
  </si>
  <si>
    <t>Lydia Clare Diana NICOL (1992– )</t>
  </si>
  <si>
    <t>Patrick William John Perry NICOL (1995– )</t>
  </si>
  <si>
    <t>Lorne Robert SCOTT-DEMPSTER (1998– )</t>
  </si>
  <si>
    <t>Cosmo Stephen Buckle GRAHAM (1995– )</t>
  </si>
  <si>
    <t>Ludovic James Buckle GRAHAM (1997– )</t>
  </si>
  <si>
    <t>Oscar James Montague LINDSAY (1998– )</t>
  </si>
  <si>
    <t>William BERRY (2008– )</t>
  </si>
  <si>
    <t>Mungo James BERRY (2010– )</t>
  </si>
  <si>
    <t>Ursula Hermione Grace BERRY (2010– )</t>
  </si>
  <si>
    <t>Arthur Oran James BERRY (2013– )</t>
  </si>
  <si>
    <t>Camilla Rose Aimee WARNER (2017– )</t>
  </si>
  <si>
    <t>William Peter Redston WARNER (2018– )</t>
  </si>
  <si>
    <t>Oliver James Robert WARNER (2020– )</t>
  </si>
  <si>
    <t>Lewis DAVIES or DANIEL (Unknown–Unknown)</t>
  </si>
  <si>
    <t>Ann DAVIES or DANIEL (Unknown–Unknown)</t>
  </si>
  <si>
    <t>William DAVIES or DANIEL (1800–1832)</t>
  </si>
  <si>
    <t>Emma BENYON (1838–1913)</t>
  </si>
  <si>
    <t>Sarah BENYON (1839–1863)</t>
  </si>
  <si>
    <t>Henry BENYON (1841–1861)</t>
  </si>
  <si>
    <t>Fanny BENYON (1842–1845)</t>
  </si>
  <si>
    <t>Edward Loyd BENYON (1845–1903)</t>
  </si>
  <si>
    <t>Margaret Dyce NICOL (1844–1927)</t>
  </si>
  <si>
    <t>William Edward NICOL (1846–1914)</t>
  </si>
  <si>
    <t>James Dyce NICOL (1848–1938)</t>
  </si>
  <si>
    <t>Sarah Loyd NICOL (1854–1943)</t>
  </si>
  <si>
    <t>Lewis Loyd NICOL (1858–1935)</t>
  </si>
  <si>
    <t>William ENTWISLE (1839–1860)</t>
  </si>
  <si>
    <t>Richard ENTWISLE (1840–1894)</t>
  </si>
  <si>
    <t>Frederica Frances ENTWISLE (1842–1916)</t>
  </si>
  <si>
    <t>Bernard Henry ENTWISLE (1847–1877)</t>
  </si>
  <si>
    <t>Edward Loyd ENTWISLE (1852–1881)</t>
  </si>
  <si>
    <t>George Loyd COURTHOPE (1877–1955)</t>
  </si>
  <si>
    <t>Alexander COURTHOPE (1878–1892)</t>
  </si>
  <si>
    <t>John Edward COURTHOPE (1882–1954)</t>
  </si>
  <si>
    <t>Barbara Frances COURTHOPE (1883–1972)</t>
  </si>
  <si>
    <t>Elinor Joan COURTHOPE (1886–1974)</t>
  </si>
  <si>
    <t>Richard Foster COURTHOPE (1888–1889)</t>
  </si>
  <si>
    <t>Robert COURTHOPE (1891–1966)</t>
  </si>
  <si>
    <t>Margery COURTHOPE (1893–1901)</t>
  </si>
  <si>
    <t>Alfred Edward Loyd HARDCASTLE (1893–1955)</t>
  </si>
  <si>
    <t>Canon Joseph Anthony Loyd HARDCASTLE (1899–1972)</t>
  </si>
  <si>
    <t>Louisa Mabell D'OYLY (1904–1983)</t>
  </si>
  <si>
    <t>Frederic Withers Loyd MOORE (1926–2019)</t>
  </si>
  <si>
    <t>Emma Isabel MOORE (1929–2020)</t>
  </si>
  <si>
    <t>Veronica Ashwell MOORE (1930–1934)</t>
  </si>
  <si>
    <t>Cynthia Violet MICKLEM (1921–1990)</t>
  </si>
  <si>
    <t>Nathaniel Henry Stirling MICKLEM (1931–1950)</t>
  </si>
  <si>
    <t>Martin James LANE FOX (1938–2016)</t>
  </si>
  <si>
    <t>Michael Canning William John KEITH (1939–2004)</t>
  </si>
  <si>
    <t>Celia Elizabeth KNIGHT (1949–2020)</t>
  </si>
  <si>
    <t>Charles Robert SALE (1956–1957)</t>
  </si>
  <si>
    <t>David Charles GORE-BROWNE (1952–2012)</t>
  </si>
  <si>
    <t>Carl CLULOW (1970–1970)</t>
  </si>
  <si>
    <t>Henry Hew Duncan Campbell BYATT (1998–2017)</t>
  </si>
  <si>
    <t>Albert NEWING (2015–2015)</t>
  </si>
  <si>
    <t>William DAVIES (Date unknown–1908)</t>
  </si>
  <si>
    <t>Catherine DAVIES (1829–1866)</t>
  </si>
  <si>
    <t>Malcolm William Prout NICOL (1879–1891)</t>
  </si>
  <si>
    <t>Margery Catherine NICOL (1880–1963)</t>
  </si>
  <si>
    <t>Randall James NICOL (1882–1941)</t>
  </si>
  <si>
    <t>Dorothy Ada NICOL (1885–1964)</t>
  </si>
  <si>
    <t>Violet Dyce Norah NICOL (1887–1957)</t>
  </si>
  <si>
    <t>The Hon Hilda Beryl COURTHOPE (1900–1974)</t>
  </si>
  <si>
    <t>The Hon Elinor Daphne COURTHOPE (1902–1980)</t>
  </si>
  <si>
    <t>Elinor Mary POWELL (1911–1997)</t>
  </si>
  <si>
    <t>John Henry Courthope POWELL (1913–1944)</t>
  </si>
  <si>
    <t>Philippa Francesca Stephenson CLARKE (1980–1980)</t>
  </si>
  <si>
    <t>Robin Oscar BOYCE (1997–2019)</t>
  </si>
  <si>
    <t>William DAVIES (1860/61–1943)</t>
  </si>
  <si>
    <t>The REV Roderick Loyd PROTHEROE (1852–1905)</t>
  </si>
  <si>
    <t>The REV William Loyd PROTHEROE (1855–1915)</t>
  </si>
  <si>
    <t>Sir Edward Redston WARNER (1991–2002)</t>
  </si>
  <si>
    <t>John Wilmot WARNER (later NICOL) (1912–2008)</t>
  </si>
  <si>
    <t>Peter Eric Henry WARNER (1915–2003)</t>
  </si>
  <si>
    <t>Brenda DUGDALE (1911–1987)</t>
  </si>
  <si>
    <t>Isabel Eleanor MOORE (1989–2021)</t>
  </si>
  <si>
    <t>Zander Edward William HOLLAND (2022–2022)</t>
  </si>
  <si>
    <t>Margaret Elizabeth DAVIES (1897–1982)</t>
  </si>
  <si>
    <t>Canon William Loyd Musgrave PROTHEROE (1885–1962)</t>
  </si>
  <si>
    <t>Edward Loyd Musgrave PROTHEROE (1888–1905)</t>
  </si>
  <si>
    <t>Roderick Norman Loyd PROTHEROE (1890–1905)</t>
  </si>
  <si>
    <t>Norah Evelyn Loyd PROTHEROE (1899–1905)</t>
  </si>
  <si>
    <t>William Loyd PROTHEROE (1921–1942)</t>
  </si>
  <si>
    <t>Johnathan Michael NICOL (1987–1988)</t>
  </si>
  <si>
    <t>Mother's Loyd #</t>
  </si>
  <si>
    <t>Concat Prep</t>
  </si>
  <si>
    <t>Count of Mother's Loyd #</t>
  </si>
  <si>
    <t>check</t>
  </si>
  <si>
    <t>Book Reference Full Name</t>
  </si>
  <si>
    <t>Book Reference Known As Name</t>
  </si>
  <si>
    <t>Mother's LOYD #</t>
  </si>
  <si>
    <t>LOYD Parent Number</t>
  </si>
  <si>
    <t>Parent LOYD #</t>
  </si>
  <si>
    <t>Ranked of LOYDs Numbers who are Parents</t>
  </si>
  <si>
    <t>d.s.p.</t>
  </si>
  <si>
    <t>William (1821–1885: #23)</t>
  </si>
  <si>
    <t xml:space="preserve"> Archie (1847–1922: #30)</t>
  </si>
  <si>
    <t xml:space="preserve"> Frank (1848–1934: #32)</t>
  </si>
  <si>
    <t xml:space="preserve"> Harry (1861–1938: #44)</t>
  </si>
  <si>
    <t xml:space="preserve"> Llewellyn (1861–1939: #45)</t>
  </si>
  <si>
    <t xml:space="preserve"> William (1863–1923: #46)</t>
  </si>
  <si>
    <t xml:space="preserve"> Caroline (1864–1940: #47)</t>
  </si>
  <si>
    <t xml:space="preserve"> Caroline (1865–1938: #48) </t>
  </si>
  <si>
    <t>Mary (1867–1867: #49)</t>
  </si>
  <si>
    <t>Samuel (1796–1883: #9)</t>
  </si>
  <si>
    <t>8</t>
  </si>
  <si>
    <t>31</t>
  </si>
  <si>
    <t>14</t>
  </si>
  <si>
    <t>5</t>
  </si>
  <si>
    <t>13</t>
  </si>
  <si>
    <t>6</t>
  </si>
  <si>
    <t>4</t>
  </si>
  <si>
    <t>10</t>
  </si>
  <si>
    <t>3</t>
  </si>
  <si>
    <t>15</t>
  </si>
  <si>
    <t>7</t>
  </si>
  <si>
    <t>12</t>
  </si>
  <si>
    <t>9</t>
  </si>
  <si>
    <t>1</t>
  </si>
  <si>
    <t>16</t>
  </si>
  <si>
    <t>Henry (1832–1833: #25)</t>
  </si>
  <si>
    <t>Ted (1851–1922: #34)</t>
  </si>
  <si>
    <t>Annie (1813–1834: #15)</t>
  </si>
  <si>
    <t>Thomas (1812–1857: #14)</t>
  </si>
  <si>
    <t>Lewis (1811–1891: #13)</t>
  </si>
  <si>
    <t>Eliza (1810–1861: #12)</t>
  </si>
  <si>
    <t>Sarah (1810–1858: #11)</t>
  </si>
  <si>
    <t>William (1809–1879: #10)</t>
  </si>
  <si>
    <t>Maria (1814–1900: #16)</t>
  </si>
  <si>
    <t>Edward (1815–1815: #17)</t>
  </si>
  <si>
    <t>Kate (1815–1905: #18)</t>
  </si>
  <si>
    <t>Hannah (1817–1907: #19)</t>
  </si>
  <si>
    <t>John (1817–1818: #20)</t>
  </si>
  <si>
    <t>Lewis (1819–1841: #21)</t>
  </si>
  <si>
    <t>Edward (1820–1890: #22)</t>
  </si>
  <si>
    <t>Fanny (1824–1856: #24)</t>
  </si>
  <si>
    <t>William DAVIES (Date unknown–1908: #2aa)</t>
  </si>
  <si>
    <t>Catherine DAVIES (1829–1866: #2ca)</t>
  </si>
  <si>
    <t>–</t>
  </si>
  <si>
    <t>Arthur (1845–1930: #29)</t>
  </si>
  <si>
    <t>The Rev Lewis (1844–1905: #28)</t>
  </si>
  <si>
    <t>Ann DAVIES or DANIEL (Unknown–Unknown: #2b)</t>
  </si>
  <si>
    <t>Alfred (1849–1881: #33)</t>
  </si>
  <si>
    <t>Harriet (1856–1921: #40)</t>
  </si>
  <si>
    <t>Reggie (1886–1961: #61)</t>
  </si>
  <si>
    <t>Frederic (1856–1936: #41)</t>
  </si>
  <si>
    <t>Dulcie (1858–1905: #42)</t>
  </si>
  <si>
    <t>Meg (1859–1936: #43)</t>
  </si>
  <si>
    <t>Arthur (1868–1911: #50)</t>
  </si>
  <si>
    <t>Lewis (1852–1908: #35)</t>
  </si>
  <si>
    <t>Elinor (1853–1895: #36)</t>
  </si>
  <si>
    <t>Gertrude (1854–1924: #38)</t>
  </si>
  <si>
    <t>Fa (1855–1927: #39)</t>
  </si>
  <si>
    <t>Mary (1848–1934: #31)</t>
  </si>
  <si>
    <t>William (1843–1843: #27)</t>
  </si>
  <si>
    <t>Lewis (1875–1947: #51)</t>
  </si>
  <si>
    <t>Alfred (1882–1919: #54)</t>
  </si>
  <si>
    <t>Tommy (1882–1944: #56)</t>
  </si>
  <si>
    <t>Rt Rev Philip (1884–1952: #58)</t>
  </si>
  <si>
    <t>Kitty (1885–1989: #60)</t>
  </si>
  <si>
    <t>Bobby (1887–1977: #62)</t>
  </si>
  <si>
    <t>Nan (1889–1967: #65)</t>
  </si>
  <si>
    <t>Tony/Dodo (1889–1956: #67)</t>
  </si>
  <si>
    <t>Geoffrey (1890–1914: #69)</t>
  </si>
  <si>
    <t>Arthur (1890–1974: #71)</t>
  </si>
  <si>
    <t>Edward (1893–1932: #76)</t>
  </si>
  <si>
    <t>Wilfrid (1893–1971: #77)</t>
  </si>
  <si>
    <t>Malcolm NICOL (1879–1891: #18ba)</t>
  </si>
  <si>
    <t>Margery NICOL (1880–1963: #18bb)</t>
  </si>
  <si>
    <t>Randall NICOL (1882–1941: #18bc)</t>
  </si>
  <si>
    <t>Dorothy NICOL (1885–1964: #18bd)</t>
  </si>
  <si>
    <t>Violet NICOL (1887–1957: #18ea)</t>
  </si>
  <si>
    <t>Lewis (1880–1918: #52)</t>
  </si>
  <si>
    <t>Edward (1881–1962: #53)</t>
  </si>
  <si>
    <t>Evelyn (1885–1962: #59)</t>
  </si>
  <si>
    <t>Mary (1887–1968: #63)</t>
  </si>
  <si>
    <t>Cecil (1890–1963: #68)</t>
  </si>
  <si>
    <t>Eric (1891–1967: #73)</t>
  </si>
  <si>
    <t>Cecily (1891–1891: #74)</t>
  </si>
  <si>
    <t>Alwyne (1894–1917: #79)</t>
  </si>
  <si>
    <t>Ruby (1898–1977: #83)</t>
  </si>
  <si>
    <t>Dick (1882–1950: #55)</t>
  </si>
  <si>
    <t>Anne (1912–2004: #85)</t>
  </si>
  <si>
    <t>John (1913–1943: #87)</t>
  </si>
  <si>
    <t>Martin (1917–1926: #91)</t>
  </si>
  <si>
    <t>Hester (1920–2002: #95)</t>
  </si>
  <si>
    <t>Christopher (1923–2013: #100)</t>
  </si>
  <si>
    <t>Margaret (1932–: #109)</t>
  </si>
  <si>
    <t>Jean (1933–: #110)</t>
  </si>
  <si>
    <t>Michael (1938–: #114)</t>
  </si>
  <si>
    <t>Peter (1922–2022: #98)</t>
  </si>
  <si>
    <t>Zelda (1923–2014: #102)</t>
  </si>
  <si>
    <t>Geoffrey (1926–2018: #105)</t>
  </si>
  <si>
    <t>Denise (1928–: #106)</t>
  </si>
  <si>
    <t>Sir Francis/Frank (1916–2006: #89)</t>
  </si>
  <si>
    <t>Peter (1913–2008: #86)</t>
  </si>
  <si>
    <t>Wooie (1928–1996: #107)</t>
  </si>
  <si>
    <t>Jos (1931–: #108)</t>
  </si>
  <si>
    <t>Deen (1936–2016: #112)</t>
  </si>
  <si>
    <t>Peggy (1939–: #116)</t>
  </si>
  <si>
    <t>Patrick (1942–: #117)</t>
  </si>
  <si>
    <t>Patricia (1942–1942: #118)</t>
  </si>
  <si>
    <t>4–Beryl COURTHOPE (1900–1974: #36aa)</t>
  </si>
  <si>
    <t>Daphne COURTHOPE (1902–1980: #36ab)</t>
  </si>
  <si>
    <t>Elinor POWELL (1911–1997: #36da)</t>
  </si>
  <si>
    <t>John POWELL (1913–1944: #36db)</t>
  </si>
  <si>
    <t>Averil (1917–1993: #90)</t>
  </si>
  <si>
    <t>Audrey (1922–2005: #97)</t>
  </si>
  <si>
    <t>Willie (1937–1994: #113)</t>
  </si>
  <si>
    <t>Belinda (1939–2018: #115)</t>
  </si>
  <si>
    <t>Vivian (1951–: #127)</t>
  </si>
  <si>
    <t>Ginie (1961–: #140)</t>
  </si>
  <si>
    <t>Delia (1915–2007: #88)</t>
  </si>
  <si>
    <t>Edward (1921–1977: #96)</t>
  </si>
  <si>
    <t>Peter (1923–1974: #99)</t>
  </si>
  <si>
    <t>Lavinia (1923–1995: #103)</t>
  </si>
  <si>
    <t>Jill (1920–2002: #93)</t>
  </si>
  <si>
    <t>Lewis DAVIES or DANIEL (Unknown–Unknown: #2a)</t>
  </si>
  <si>
    <t>Emma BENYON (1838–1913: #11a)</t>
  </si>
  <si>
    <t>Sarah BENYON (1839–1863: #11b)</t>
  </si>
  <si>
    <t>Henry BENYON (1841–1861: #11c)</t>
  </si>
  <si>
    <t>Fanny BENYON (1842–1845: #11d)</t>
  </si>
  <si>
    <t>Edward BENYON (1845–1903: #11e)</t>
  </si>
  <si>
    <t>Margaret NICOL (1844–1927: #18a)</t>
  </si>
  <si>
    <t>William NICOL (1846–1914: #18b)</t>
  </si>
  <si>
    <t>James NICOL (1848–1938: #18c)</t>
  </si>
  <si>
    <t>Sarah NICOL (1854–1943: #18d)</t>
  </si>
  <si>
    <t>Lewis NICOL (1858–1935: #18e)</t>
  </si>
  <si>
    <t>William ENTWISLE (1839–1860: #19a)</t>
  </si>
  <si>
    <t>Richard ENTWISLE (1840–1894: #19b)</t>
  </si>
  <si>
    <t>Frederica ENTWISLE (1842–1916: #19c)</t>
  </si>
  <si>
    <t>Bernard ENTWISLE (1847–1877: #19d)</t>
  </si>
  <si>
    <t>Edward ENTWISLE (1852–1881: #19e)</t>
  </si>
  <si>
    <t>George COURTHOPE (1877–1955: #36a)</t>
  </si>
  <si>
    <t>Alexander COURTHOPE (1878–1892: #36b)</t>
  </si>
  <si>
    <t>John COURTHOPE (1882–1954: #36c)</t>
  </si>
  <si>
    <t>Barbara COURTHOPE (1883–1972: #36d)</t>
  </si>
  <si>
    <t>Elinor COURTHOPE (1886–1974: #36e)</t>
  </si>
  <si>
    <t>Richard COURTHOPE (1888–1889: #36f)</t>
  </si>
  <si>
    <t>Robert COURTHOPE (1891–1966: #36g)</t>
  </si>
  <si>
    <t>Margery COURTHOPE (1893–1901: #36h)</t>
  </si>
  <si>
    <t>Loyd HARDCASTLE (1893–1955: #47a)</t>
  </si>
  <si>
    <t>Canon Joseph HARDCASTLE (1899–1972: #47b)</t>
  </si>
  <si>
    <t>Audrey WHEELER (1913–: #65a)</t>
  </si>
  <si>
    <t>Norma WHEELER (1924–: #65b)</t>
  </si>
  <si>
    <t>Basil WHEELER (1926–: #65c)</t>
  </si>
  <si>
    <t>Loyd MOORE (1926–2019: #63a)</t>
  </si>
  <si>
    <t>Isabel MOORE (1929–2020: #63b)</t>
  </si>
  <si>
    <t>Veronica MOORE (1930–1934: #63c)</t>
  </si>
  <si>
    <t>Cynthia MICKLEM (1921–1990: #70a)</t>
  </si>
  <si>
    <t>Anne MICKLEM (1925–: #70c)</t>
  </si>
  <si>
    <t>Tom MICKLEM (1926–: #70d)</t>
  </si>
  <si>
    <t>Elizabeth MICKLEM (1929–: #70e)</t>
  </si>
  <si>
    <t>Nathaniel MICKLEM (1931–1950: #70f)</t>
  </si>
  <si>
    <t xml:space="preserve">The Hon Harriet (1837–1920: #26) </t>
  </si>
  <si>
    <t xml:space="preserve">Annie (1853–1946: #37) </t>
  </si>
  <si>
    <t xml:space="preserve">Eric (1894–1963: #80) </t>
  </si>
  <si>
    <t xml:space="preserve">Catherine (1923–2014: #101) </t>
  </si>
  <si>
    <t xml:space="preserve">Peter (1942–: #119) </t>
  </si>
  <si>
    <t xml:space="preserve">Andrew (1934–1975: #111) </t>
  </si>
  <si>
    <t xml:space="preserve">Daphne (1917–1992: #92) </t>
  </si>
  <si>
    <t xml:space="preserve">Sir Julian (1926–2018: #104) </t>
  </si>
  <si>
    <t xml:space="preserve">Alwyne (1920–2014: #94) </t>
  </si>
  <si>
    <t xml:space="preserve">Dora MICKLEM (1924–: #70b) </t>
  </si>
  <si>
    <t xml:space="preserve">William DAVIES or DANIEL (1800–1832: #2c) </t>
  </si>
  <si>
    <t>Priscilla HARDCASTLE (1954–: #47ab)</t>
  </si>
  <si>
    <t>John HARDCASTLE (1923–: #47aa)</t>
  </si>
  <si>
    <t>Suki MARSHAM–TOWNHEND (1944–: #90b)</t>
  </si>
  <si>
    <t>Jonathan CLARKE (1950–: #90c)</t>
  </si>
  <si>
    <t>June MARSHAM–TOWNHEND (1942–: #90a)</t>
  </si>
  <si>
    <t>Julian SALE (1951–: #97a)</t>
  </si>
  <si>
    <t>Iona SALE (1954–: #97b)</t>
  </si>
  <si>
    <t>Charles SALE (1956–1957: #97c)</t>
  </si>
  <si>
    <t>Roddy SALE (1959–: #97d)</t>
  </si>
  <si>
    <t>Edward SALE (1963–: #97e)</t>
  </si>
  <si>
    <t>Janet (1949–: #123)</t>
  </si>
  <si>
    <t>Diana (1952–: #129)</t>
  </si>
  <si>
    <t>Tim TATTON–BROWN (1947–: #92a)</t>
  </si>
  <si>
    <t>Giles TATTON–BROWN (1948–: #92b)</t>
  </si>
  <si>
    <t>Anthea TATTON–BROWN (1951–: #92c)</t>
  </si>
  <si>
    <t>Fanny TATTON–BROWN (1954–: #92d)</t>
  </si>
  <si>
    <t>Susannah (1965–: #147)</t>
  </si>
  <si>
    <t>Elspeth (1967–: #151)</t>
  </si>
  <si>
    <t>Richard (1968–: #153)</t>
  </si>
  <si>
    <t>Frances HOYLE (1953–: #108a)</t>
  </si>
  <si>
    <t>Richard HOYLE (1956–: #108b)</t>
  </si>
  <si>
    <t>David HOYLE (1961–: #108c)</t>
  </si>
  <si>
    <t>Peter HOYLE (1963–: #108d)</t>
  </si>
  <si>
    <t>Kevin DOWNES (1958–: #112a)</t>
  </si>
  <si>
    <t>Lynda DOWNES (1960–: #112b)</t>
  </si>
  <si>
    <t>Graeme DOWNES (1961–: #112c)</t>
  </si>
  <si>
    <t>Lesley DOWNES (1963–: #112d)</t>
  </si>
  <si>
    <t>Carl CLULOW (1970–1970: #116a)</t>
  </si>
  <si>
    <t>Kate CLULOW (1971–: #116b)</t>
  </si>
  <si>
    <t>Clare CLULOW (1973–: #116c)</t>
  </si>
  <si>
    <t>Thomas (1959–: #138)</t>
  </si>
  <si>
    <t>Harriet (1962–: #143)</t>
  </si>
  <si>
    <t>James (1966–: #150)</t>
  </si>
  <si>
    <t>Martin LANE FOX (1938–2016: #85a)</t>
  </si>
  <si>
    <t>Edward LANE FOX (1939–: #85b)</t>
  </si>
  <si>
    <t>Jenny LANE FOX (1944–: #85c)</t>
  </si>
  <si>
    <t>Robin LANE FOX (1946–: #85d)</t>
  </si>
  <si>
    <t>Henrietta KNIGHT (1946–: #95a)</t>
  </si>
  <si>
    <t>Ce–Ce KNIGHT (1949–2020: #95b)</t>
  </si>
  <si>
    <t>Lady Selina MEADE (1950–: #101a)</t>
  </si>
  <si>
    <t>Lady Mary MEADE (1952–: #101b)</t>
  </si>
  <si>
    <t>Lady Julia MEADE (1953–: #101c)</t>
  </si>
  <si>
    <t>Lady Laura MEADE (1957–: #101d)</t>
  </si>
  <si>
    <t>Lady Katherine MEADE (1959–: #101e)</t>
  </si>
  <si>
    <t>Lady Sophia MEADE (1963–: #101f)</t>
  </si>
  <si>
    <t>Tess DUNLOP (1956–: #102a)</t>
  </si>
  <si>
    <t>Fergus DUNLOP (1958–: #102b)</t>
  </si>
  <si>
    <t xml:space="preserve">Celina DUNLOP (1960–: #102c) </t>
  </si>
  <si>
    <t>Arthur MOORE (1950–: #63aa)</t>
  </si>
  <si>
    <t>Gareth MOORE (1985–: #63ab)</t>
  </si>
  <si>
    <t>Vanessa WHEELER (1971–: #65ca)</t>
  </si>
  <si>
    <t>Karen WHEELER (1973–: #65cb)</t>
  </si>
  <si>
    <t>Caroline (1947–2022: #120)</t>
  </si>
  <si>
    <t>David (1949–: #121)</t>
  </si>
  <si>
    <t>Henrietta (1959–: #137)</t>
  </si>
  <si>
    <t>Andrew (1962–: #144)</t>
  </si>
  <si>
    <t>Lady Diana BAIRD (1937–: #88a)</t>
  </si>
  <si>
    <t>Michael KEITH (1939–2004: #88b)</t>
  </si>
  <si>
    <t xml:space="preserve">The Hon Alexander BAIRD (1946–: #88c) </t>
  </si>
  <si>
    <t>Rob (1949–: #124)</t>
  </si>
  <si>
    <t>Paddy (1951–: #126)</t>
  </si>
  <si>
    <t>Dominic (1953–: #131)</t>
  </si>
  <si>
    <t>Tim (1957–: #136)</t>
  </si>
  <si>
    <t>Alex (1959–: #139)</t>
  </si>
  <si>
    <t xml:space="preserve">Rick (1962–: #142) </t>
  </si>
  <si>
    <t>William SHEARER (1951–: #70aa)</t>
  </si>
  <si>
    <t>Rosemary SHEARER (1952–: #70ab)</t>
  </si>
  <si>
    <t>Andrew SHEARER (1960–: #70ac)</t>
  </si>
  <si>
    <t>Peter MELITUS (1955–: #70ba)</t>
  </si>
  <si>
    <t>Caroline MELITUS (1959–: #70bb)</t>
  </si>
  <si>
    <t>Hugo PAGE (1951–: #70ca)</t>
  </si>
  <si>
    <t>Nat PAGE (1953–: #70cb)</t>
  </si>
  <si>
    <t>Henry PAGE (1953–: #70cc)</t>
  </si>
  <si>
    <t>Rupert PAGE (1963–: #70cd)</t>
  </si>
  <si>
    <t>Philippa MICKLEM (1958–: #70da)</t>
  </si>
  <si>
    <t>Jeremy MICKLEM (1961–: #70db)</t>
  </si>
  <si>
    <t xml:space="preserve">Sylvie MICKLEM (1964–: #70dc) </t>
  </si>
  <si>
    <t>Rona (1951–: #125)</t>
  </si>
  <si>
    <t>David (1952–: #130)</t>
  </si>
  <si>
    <t xml:space="preserve">Jim (1955–: #135) </t>
  </si>
  <si>
    <t>Alexandra (1961–: #141)</t>
  </si>
  <si>
    <t>Charles (1963–: #146)</t>
  </si>
  <si>
    <t>Toby (1966–1966: #148)</t>
  </si>
  <si>
    <t>Mary Rose (1967–: #152)</t>
  </si>
  <si>
    <t>James GORE–BROWNE (1947–: #103a)</t>
  </si>
  <si>
    <t>Georgina GORE–BROWNE (1949–: #103b)</t>
  </si>
  <si>
    <t>David GORE–BROWNE (1952–2012: #103c)</t>
  </si>
  <si>
    <t>Patrick GORE–BROWNE (1956–: #103d)</t>
  </si>
  <si>
    <t>Lorraine GRAHAM (1951–: #107a)</t>
  </si>
  <si>
    <t>Nora ORR (1955–: #107b)</t>
  </si>
  <si>
    <t>Michael ORR (1956–: #107c)</t>
  </si>
  <si>
    <t>Ted ORR (1959–: #107d)</t>
  </si>
  <si>
    <t>Heather ORR (1970–: #107e)</t>
  </si>
  <si>
    <t>Martin (1949–: #122)</t>
  </si>
  <si>
    <t>Julie (1952–: #128)</t>
  </si>
  <si>
    <t>Penelope (1954–1954: #132)</t>
  </si>
  <si>
    <t>Jeremy (1954–: #133)</t>
  </si>
  <si>
    <t>William (1955–: #134)</t>
  </si>
  <si>
    <t>Tony (1963–: #145)</t>
  </si>
  <si>
    <t>Sophie (1969–: #154)</t>
  </si>
  <si>
    <t>The Hon Geva WINN (1955–: #106a)</t>
  </si>
  <si>
    <t>Charles WINN (1959–: #106b)</t>
  </si>
  <si>
    <t>Anthony (1966–: #149)</t>
  </si>
  <si>
    <t>The Hon Isabel CROSSLEY (1964–: #115a)</t>
  </si>
  <si>
    <t>The Hon Camilla CROSSLEY (1967–: #115b)</t>
  </si>
  <si>
    <t>The Hon Alicia CROSSLEY (1969–: #115c)</t>
  </si>
  <si>
    <t>The Hon Hugh CROSSLEY (1971–: #115d)</t>
  </si>
  <si>
    <t>The Hon Bridget CROSSLEY (1974–: #115e)</t>
  </si>
  <si>
    <t>Daisy MILLER (1995–: #140a)</t>
  </si>
  <si>
    <t xml:space="preserve">Violet MILLER (1995–: #140b) </t>
  </si>
  <si>
    <t>William (1973–: #155)</t>
  </si>
  <si>
    <t>Amy (1975–: #156)</t>
  </si>
  <si>
    <t>Tess (1975–: #157)</t>
  </si>
  <si>
    <t>Chloe (1977–: #158)</t>
  </si>
  <si>
    <t>Daisy (1979–: #159)</t>
  </si>
  <si>
    <t>Molly (1982–: #161)</t>
  </si>
  <si>
    <t>Harriet (1984–: #163)</t>
  </si>
  <si>
    <t>Jennet WALTON (1964–: #109a)</t>
  </si>
  <si>
    <t>Timothy WALTON (1967–: #109b)</t>
  </si>
  <si>
    <t>John BOYCE (1961–: #110a)</t>
  </si>
  <si>
    <t>Joanna BOYCE (1963–: #110b)</t>
  </si>
  <si>
    <t xml:space="preserve"> Robert BOYCE (1964–: #110c)</t>
  </si>
  <si>
    <t>Paula BOYCE (1966–: #110d)</t>
  </si>
  <si>
    <t>Charlotte LANE FOX (1967–: #85aa)</t>
  </si>
  <si>
    <t>Oliver LANE FOX (1968–: #85ab)</t>
  </si>
  <si>
    <t>Sophie LANE FOX (1972–: #85ac)</t>
  </si>
  <si>
    <t>Lucy LANE FOX (1965–: #85ba)</t>
  </si>
  <si>
    <t>Serena LANE FOX (1967–: #85bb)</t>
  </si>
  <si>
    <t>Emily LANE FOX (1969–: #85bc)</t>
  </si>
  <si>
    <t>Charles LANE FOX (1977–: #85bd)</t>
  </si>
  <si>
    <t xml:space="preserve"> James TENNYSON d'EYNCOURT (1978–: #85ca)</t>
  </si>
  <si>
    <t>Frances TENNYSON d'EYNCOURT (1980–: #85cb)</t>
  </si>
  <si>
    <t>Martha LANE FOX (1973–: #85da)</t>
  </si>
  <si>
    <t>Henry LANE FOX (1974–: #85db)</t>
  </si>
  <si>
    <t>Gareth (1988–: #166)</t>
  </si>
  <si>
    <t>Curtis (1992–: #173)</t>
  </si>
  <si>
    <t>Spencer (1995–: #177)</t>
  </si>
  <si>
    <t>Bryan HAWKEY (1976–: #125a)</t>
  </si>
  <si>
    <t>Allison HAWKEY (1978–: #125b)</t>
  </si>
  <si>
    <t>Richard HOLMAN (1958–: #88aa)</t>
  </si>
  <si>
    <t>Edward HOLMAN (1960–: #88ab)</t>
  </si>
  <si>
    <t>Georgina HOLMAN (1964–: #88ac)</t>
  </si>
  <si>
    <t>Emma HOLMAN (1966–: #88ad)</t>
  </si>
  <si>
    <t>James KEITH (1976–: #88ba)</t>
  </si>
  <si>
    <t>The Honourable Iona KEITH (1978–: #88ca)</t>
  </si>
  <si>
    <t>Katharine BOSMAN (1978–: #123a)</t>
  </si>
  <si>
    <t>Adam BOSMAN (1980–: #123b)</t>
  </si>
  <si>
    <t>Emily NORMAN (1975–: #90aa)</t>
  </si>
  <si>
    <t>Lachlan RANKIN (1980–: #90ab)</t>
  </si>
  <si>
    <t>Cesare STUDIATI BERNI (1972–: #90ba)</t>
  </si>
  <si>
    <t>Viola STUDIATI BERNI (1975–: #90bb)</t>
  </si>
  <si>
    <t>Georgina CLARKE (1976–: #90ca)</t>
  </si>
  <si>
    <t>Philippa CLARKE (1980–1980: #90cb)</t>
  </si>
  <si>
    <t>Marina CLARKE (1982–: #90cc)</t>
  </si>
  <si>
    <t>Hugh TATTON–BROWN (1980–: #92aa)</t>
  </si>
  <si>
    <t>Miranda TATTON–BROWN (1983–: #92ab)</t>
  </si>
  <si>
    <t>Lucy TATTON–BROWN (1984–: #92ac)</t>
  </si>
  <si>
    <t>Robert TATTON–BROWN (1993–: #92ad)</t>
  </si>
  <si>
    <t>Olivia TATTON–BROWN (1971–: #92ba)</t>
  </si>
  <si>
    <t>Ben TATTON–BROWN (1973–: #92bb)</t>
  </si>
  <si>
    <t>Daisy TATTON–BROWN (1983–: #92bc)</t>
  </si>
  <si>
    <t>Gregory TATTON–BROWN (1985–: #92bd)</t>
  </si>
  <si>
    <t>Jonathan SURTEES (1982–: #92da)</t>
  </si>
  <si>
    <t xml:space="preserve">Rosamund SURTEES (1987–: #92db) </t>
  </si>
  <si>
    <t>John (1982–: #160)</t>
  </si>
  <si>
    <t>David (1984–: #162)</t>
  </si>
  <si>
    <t>Poppy (1984–: #164)</t>
  </si>
  <si>
    <t>Rose (1986–: #165)</t>
  </si>
  <si>
    <t>Ben (1988–: #167)</t>
  </si>
  <si>
    <t>Florina (1991–: #172)</t>
  </si>
  <si>
    <t>Sam (1994–: #176)</t>
  </si>
  <si>
    <t xml:space="preserve">Josh (1996–: #179) </t>
  </si>
  <si>
    <t>THE Hon William VESTEY (1983–: #95ba)</t>
  </si>
  <si>
    <t>THE Hon Arthur VESTEY (1985–: #95bb)</t>
  </si>
  <si>
    <t>The Hon Mary VESTEY (1992–: #95bc)</t>
  </si>
  <si>
    <t>James (1988–: #169)</t>
  </si>
  <si>
    <t>Rupert (1990–: #171)</t>
  </si>
  <si>
    <t xml:space="preserve">Tabitha (1992–: #174) </t>
  </si>
  <si>
    <t>Alexander SALE (1991–: #97aa)</t>
  </si>
  <si>
    <t>Oliver SALE (1995–: #97ab)</t>
  </si>
  <si>
    <t>Frank SALE (1995–: #97ea)</t>
  </si>
  <si>
    <t>Connie SALE (1997–: #97eb)</t>
  </si>
  <si>
    <t>Grace SALE (2002–0: #97ec)</t>
  </si>
  <si>
    <t>Chloe PEMBERTON (1991–: #128a)</t>
  </si>
  <si>
    <t>Kate PEMBERTON (1993–: #128b)</t>
  </si>
  <si>
    <t>Freddie NEWING (2006–: #154a)</t>
  </si>
  <si>
    <t>Gus NEWING (2008–: #154b)</t>
  </si>
  <si>
    <t>Albert NEWING (2015–2015: #154c)</t>
  </si>
  <si>
    <t xml:space="preserve">Honor GELL (1998–: #137a) </t>
  </si>
  <si>
    <t>Camilla (1988–: #168)</t>
  </si>
  <si>
    <t>Sophie (1989–: #170)</t>
  </si>
  <si>
    <t>Kit (1993–: #175)</t>
  </si>
  <si>
    <t>William (1996–: #178)</t>
  </si>
  <si>
    <t>Eliza (1999–: #181)</t>
  </si>
  <si>
    <t>Emily ASHE (1988–: #143a)</t>
  </si>
  <si>
    <t>Charles ASHE (1990–: #143b)</t>
  </si>
  <si>
    <t>Lawrence TIMPSON (1974–: #101aa)</t>
  </si>
  <si>
    <t>Catherine TIMPSON (1979–: #101ab)</t>
  </si>
  <si>
    <t>Viscount John LOWRY–CORRY (1985–: #101ba)</t>
  </si>
  <si>
    <t>The Hon Montagu LOWRY–CORRY (1989–: #101bb)</t>
  </si>
  <si>
    <t>Lady Martha LOWRY–CORRY (1992–: #101bc)</t>
  </si>
  <si>
    <t>Milo HISCOX (1987–: #101ca)</t>
  </si>
  <si>
    <t>Henry HISCOX (1989–: #101cb)</t>
  </si>
  <si>
    <t>Sydney HISCOX (1993–: #101cc)</t>
  </si>
  <si>
    <t>Nicholas REID (1982–: #101da)</t>
  </si>
  <si>
    <t>Amelia REID (1984–: #101db)</t>
  </si>
  <si>
    <t>Clementine REID (1988–: #101dc)</t>
  </si>
  <si>
    <t>Thomas WILLS (1991–: #101ea)</t>
  </si>
  <si>
    <t>George WILLS (1993–: #101eb)</t>
  </si>
  <si>
    <t>Laura WILLS (1996–: #101ec)</t>
  </si>
  <si>
    <t>Richard HEYWOOD (1993–: #101fa)</t>
  </si>
  <si>
    <t>Alec HEYWOOD (1996–: #101fb)</t>
  </si>
  <si>
    <t>Ella DUNLOP (1998–: #102ba)</t>
  </si>
  <si>
    <t>John DUNLOP (2000–0: #102bb)</t>
  </si>
  <si>
    <t>Marina GORE–BROWNE (1984–: #103aa)</t>
  </si>
  <si>
    <t>Frederick GORE–BROWNE (1987–: #103ab)</t>
  </si>
  <si>
    <t>Harry GORE–BROWNE (1988–: #103ac)</t>
  </si>
  <si>
    <t>Edward PILKINGTON (1971–: #103ba)</t>
  </si>
  <si>
    <t>Lucy PILKINGTON (1973–: #103bb)</t>
  </si>
  <si>
    <t>Nicholas PILKINGTON (1976–: #103bc)</t>
  </si>
  <si>
    <t>Claire PILKINGTON (1979–: #103bd)</t>
  </si>
  <si>
    <t>William GORE–BROWNE (1988–: #103ca)</t>
  </si>
  <si>
    <t xml:space="preserve">Heather GORE–BROWNE (1990–: #103cb) </t>
  </si>
  <si>
    <t>Rose GORE–BROWNE (1991–: #103cc)</t>
  </si>
  <si>
    <t>Sophie GORE–BROWNE (1985–: #103da)</t>
  </si>
  <si>
    <t>Elizabeth GORE–BROWNE (1988–: #103db)</t>
  </si>
  <si>
    <t>Georgina GORE–BROWNE (1992–: #103dc)</t>
  </si>
  <si>
    <t>Charlotte BLACKETT (1988–: #106aa)</t>
  </si>
  <si>
    <t>Eve BLACKETT (1989–: #106ab)</t>
  </si>
  <si>
    <t>Lettie BLACKETT (1991–: #106ac)</t>
  </si>
  <si>
    <t>Annabel BLACKETT (1993–: #106ad)</t>
  </si>
  <si>
    <t>The Hon Rowland WINN (1986–: #106ba)</t>
  </si>
  <si>
    <t>The Hon Henrietta WINN (1993–: #106bb)</t>
  </si>
  <si>
    <t>Edward RUSSELL (1976–: #107aa)</t>
  </si>
  <si>
    <t>Mathew AMY (1981–: #107ab)</t>
  </si>
  <si>
    <t>Michael AMY (1981–: #107ac)</t>
  </si>
  <si>
    <t>Jonathon AMY (1983–: #107ad)</t>
  </si>
  <si>
    <t>Christopher THOMPSON (1973–: #107ba)</t>
  </si>
  <si>
    <t>George THOMPSON (1976–: #107bb)</t>
  </si>
  <si>
    <t>Jeremy THOMPSON (1979–: #107bc)</t>
  </si>
  <si>
    <t>Charitie ORR (1978–: #107ca)</t>
  </si>
  <si>
    <t>Audrey ORR (1980–: #107cb)</t>
  </si>
  <si>
    <t>Michael ORR (1984–: #107cc)</t>
  </si>
  <si>
    <t>Seth ORR (1986–: #107cd)</t>
  </si>
  <si>
    <t>Brandy ORR (1979–: #107da)</t>
  </si>
  <si>
    <t xml:space="preserve">Timothy ORR (1980–: #107db) </t>
  </si>
  <si>
    <t>Leo WALTON (2012–: #109bb)</t>
  </si>
  <si>
    <t>Benjamin WALTON (2013–: #109bc)</t>
  </si>
  <si>
    <t>Isabel WALTON (2016–: #109bd)</t>
  </si>
  <si>
    <t>Christopher BOYCE (1990–: #110aa)</t>
  </si>
  <si>
    <t>Andrew BOYCE (1991–: #110ab)</t>
  </si>
  <si>
    <t>Robin BOYCE (1997–2019: #110ac)</t>
  </si>
  <si>
    <t>Hannah BOYCE (2011–: #110ca)</t>
  </si>
  <si>
    <t>Karina BOYCE de CASTRO (1999–: #110da)</t>
  </si>
  <si>
    <t>Matheus BOYCE de CASTRO (2002–0: #110db)</t>
  </si>
  <si>
    <t xml:space="preserve">Delilah (2006–: #184) </t>
  </si>
  <si>
    <t>Henry SIMMONDS (2012–: #157a)</t>
  </si>
  <si>
    <t>Emily SIMMONDS (2014–: #157b)</t>
  </si>
  <si>
    <t>Theodore KYLE (2010–: #158a)</t>
  </si>
  <si>
    <t>Thomas GARDENER (2010–: #159a)</t>
  </si>
  <si>
    <t>Alice GARDENER (2013–: #159b)</t>
  </si>
  <si>
    <t>Benjamin CATOR (1988–: #115aa)</t>
  </si>
  <si>
    <t>Lara CATOR (1992–: #115ab)</t>
  </si>
  <si>
    <t>Oscar CATOR (1996–: #115ac)</t>
  </si>
  <si>
    <t>Milo SOAMES (1995–: #115ba)</t>
  </si>
  <si>
    <t>Tommy SOAMES (1997–: #115bb)</t>
  </si>
  <si>
    <t>Mary SOAMES (1999–: #115bc)</t>
  </si>
  <si>
    <t>Matilda (2006–: #183)</t>
  </si>
  <si>
    <t>Katherine (2007–: #185)</t>
  </si>
  <si>
    <t>Henry (2010–: #186)</t>
  </si>
  <si>
    <t>Peter GRINDAL (2014–: #156a)</t>
  </si>
  <si>
    <t>Dorothy GRINDAL (2016–: #156b)</t>
  </si>
  <si>
    <t>Alexia HAYNS (2014–: #161a)</t>
  </si>
  <si>
    <t xml:space="preserve">Edward HAYNS (2016–: #161b) </t>
  </si>
  <si>
    <t>Thomas DINSMORE (2012 - :  #163a)</t>
  </si>
  <si>
    <t>Mary DINSMORE (2014 - :  #163b)</t>
  </si>
  <si>
    <t>Evie TALBOT (2012–: #123aa)</t>
  </si>
  <si>
    <t>Arlo TALBOT (2015–: #123ab)</t>
  </si>
  <si>
    <t>Rufus CORVINO (2005–: #123ba)</t>
  </si>
  <si>
    <t>Hal BOSMAN (2017–: #123bb)</t>
  </si>
  <si>
    <t>Rocky BOSMAN (2020–: #123bc)</t>
  </si>
  <si>
    <t>Olivia (2014–: #187)</t>
  </si>
  <si>
    <t>Archie (2017–: #188)</t>
  </si>
  <si>
    <t>Rory (2019–: #189)</t>
  </si>
  <si>
    <t xml:space="preserve">Daisy (2021–: #190) </t>
  </si>
  <si>
    <t>Freddie LEASK (2016–: #164a)</t>
  </si>
  <si>
    <t>Hamish LEASK (2018–: #164b)</t>
  </si>
  <si>
    <t>Otto LEASK (2020–: #164c)</t>
  </si>
  <si>
    <t>Leila PURI (2017–: #165a)</t>
  </si>
  <si>
    <t>Alana PURI (2019–: #165b)</t>
  </si>
  <si>
    <t>Nicholas POWELL (2020–: #168a)</t>
  </si>
  <si>
    <t>Florence POWELL (2022–: #168b)</t>
  </si>
  <si>
    <t>Angus POWELL (2021–: #170a)</t>
  </si>
  <si>
    <t xml:space="preserve">Alice RUSSELL–STONEHAM (2020–: #143aa) </t>
  </si>
  <si>
    <t>Toby WALTON (2008–: #109ba)</t>
  </si>
  <si>
    <t>Daniel CARTER (1976–: #108aa)</t>
  </si>
  <si>
    <t>Simon CARTER (1982–: #108ab)</t>
  </si>
  <si>
    <t>Matthew HOYLE (1982–: #108ba)</t>
  </si>
  <si>
    <t>Darren HOYLE (1985–: #108bb)</t>
  </si>
  <si>
    <t>Tanya HOYLE (1985–: #108ca)</t>
  </si>
  <si>
    <t>George (1998–: #180)</t>
  </si>
  <si>
    <t>Rosanna (2000–: #182)</t>
  </si>
  <si>
    <t>Letty BYATT (1996–: #141a)</t>
  </si>
  <si>
    <t>Harry BYATT (1998–2017: #141b)</t>
  </si>
  <si>
    <t>Clementine WHITCOMB (1999–: #152a)</t>
  </si>
  <si>
    <t>Augustin WHITCOMB (2001–: #152b)</t>
  </si>
  <si>
    <t>Robert (1884–1917: #57)</t>
  </si>
  <si>
    <t>Wilfred (1896–1955: #82)</t>
  </si>
  <si>
    <t>Eddie (1902–1942: #84)</t>
  </si>
  <si>
    <t>Ambrose GODDARD (1892–: #42a)</t>
  </si>
  <si>
    <t>Mabell D'OYLY (1904–1983: #48a)</t>
  </si>
  <si>
    <t>Gertrude (1887–1917: #64)</t>
  </si>
  <si>
    <t>William (1889–1947: #66)</t>
  </si>
  <si>
    <t>Diana (1890–1963: #70)</t>
  </si>
  <si>
    <t>Charles (1891–1973: #72)</t>
  </si>
  <si>
    <t>Godfrey (1893–1917: #75)</t>
  </si>
  <si>
    <t>Vivian (1894–1972: #78)</t>
  </si>
  <si>
    <t>Reginald (1885–1917: #81)</t>
  </si>
  <si>
    <t>Thomas LLOYD (1642–1725: #-1)</t>
  </si>
  <si>
    <t>10or11-03-1725or26</t>
  </si>
  <si>
    <t>1725 or 1726</t>
  </si>
  <si>
    <t>1806 or 1807</t>
  </si>
  <si>
    <t>SUMMARY OF DATA NEEDED FOR BOOK - LOYD PAGES</t>
  </si>
  <si>
    <t>BIRTH NAME</t>
  </si>
  <si>
    <t>KNOWN AS</t>
  </si>
  <si>
    <t>SEX</t>
  </si>
  <si>
    <t>GENERATION</t>
  </si>
  <si>
    <t>FATHER NAME, DATES &amp; LOYD#</t>
  </si>
  <si>
    <t>MOTHER</t>
  </si>
  <si>
    <t>Husbands</t>
  </si>
  <si>
    <t>Mothers' List (This is a one-to-many relationship between child and Mother)</t>
  </si>
  <si>
    <t>MOTHER'S DETAILS &amp; WIFE DETAILS</t>
  </si>
  <si>
    <t>Mothers/Wife's LOYD #</t>
  </si>
  <si>
    <t>LOYD SEX</t>
  </si>
  <si>
    <t>HUSBAND OF LOYD</t>
  </si>
  <si>
    <t>EDIT/UPDATE DETAILS BELOW IN COLUMN C</t>
  </si>
  <si>
    <t>HUSBANDS LIST</t>
  </si>
  <si>
    <t>LOYD PARTNER: WIFE OR HUSBAND</t>
  </si>
  <si>
    <t>PARTNER'S WIFE OR HUSBAND. WIFE (BLUE) HUSBAND (ORANGE)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</si>
</sst>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d\-mmm\-yyyy"/>
    <numFmt numFmtId="166" formatCode="0.0%"/>
    <numFmt numFmtId="167" formatCode="&quot;£&quot;#,##0.00"/>
    <numFmt numFmtId="168" formatCode="&quot;£&quot;#,##0"/>
  </numFmts>
  <fonts count="34">
    <font>
      <sz val="12"/>
      <color theme="1"/>
      <name val="Calibri"/>
      <family val="2"/>
      <scheme val="minor"/>
    </font>
    <font>
      <b/>
      <sz val="12"/>
      <color theme="1"/>
      <name val="Calibri"/>
      <family val="2"/>
      <scheme val="minor"/>
    </font>
    <font>
      <sz val="14"/>
      <color rgb="FF000000"/>
      <name val="Times"/>
      <family val="1"/>
    </font>
    <font>
      <sz val="14"/>
      <color rgb="FF000000"/>
      <name val="Calibri"/>
      <family val="2"/>
      <scheme val="minor"/>
    </font>
    <font>
      <b/>
      <sz val="14"/>
      <color rgb="FF000000"/>
      <name val="Calibri"/>
      <family val="2"/>
      <scheme val="minor"/>
    </font>
    <font>
      <sz val="12"/>
      <color rgb="FF000000"/>
      <name val="Calibri"/>
      <family val="2"/>
      <scheme val="minor"/>
    </font>
    <font>
      <u/>
      <sz val="12"/>
      <color theme="1"/>
      <name val="Calibri (Body)"/>
    </font>
    <font>
      <sz val="12"/>
      <color rgb="FF000000"/>
      <name val="Times"/>
      <family val="1"/>
    </font>
    <font>
      <b/>
      <sz val="12"/>
      <color rgb="FF000000"/>
      <name val="Calibri"/>
      <family val="2"/>
      <scheme val="minor"/>
    </font>
    <font>
      <b/>
      <i/>
      <u/>
      <sz val="12"/>
      <color rgb="FF000000"/>
      <name val="Calibri (Body)"/>
    </font>
    <font>
      <sz val="8"/>
      <name val="Calibri"/>
      <family val="2"/>
      <scheme val="minor"/>
    </font>
    <font>
      <b/>
      <sz val="10"/>
      <color theme="1"/>
      <name val="Calibri"/>
      <family val="2"/>
      <scheme val="minor"/>
    </font>
    <font>
      <sz val="10"/>
      <color theme="1"/>
      <name val="Calibri"/>
      <family val="2"/>
      <scheme val="minor"/>
    </font>
    <font>
      <b/>
      <sz val="12"/>
      <color rgb="FF000000"/>
      <name val="Calibri"/>
      <family val="2"/>
    </font>
    <font>
      <sz val="12"/>
      <color theme="1"/>
      <name val="Calibri"/>
      <family val="2"/>
    </font>
    <font>
      <sz val="11"/>
      <color rgb="FF000000"/>
      <name val="Calibri"/>
      <family val="2"/>
    </font>
    <font>
      <u/>
      <sz val="11"/>
      <color rgb="FF000000"/>
      <name val="Calibri"/>
      <family val="2"/>
    </font>
    <font>
      <u/>
      <sz val="12"/>
      <color theme="1"/>
      <name val="Calibri"/>
      <family val="2"/>
      <scheme val="minor"/>
    </font>
    <font>
      <sz val="14"/>
      <color theme="1"/>
      <name val="Calibri"/>
      <family val="2"/>
      <scheme val="minor"/>
    </font>
    <font>
      <u/>
      <sz val="12"/>
      <color theme="10"/>
      <name val="Calibri"/>
      <family val="2"/>
      <scheme val="minor"/>
    </font>
    <font>
      <sz val="12"/>
      <color rgb="FF000000"/>
      <name val="Calibri"/>
      <family val="2"/>
    </font>
    <font>
      <sz val="10"/>
      <color rgb="FF000000"/>
      <name val="Calibri"/>
      <family val="2"/>
    </font>
    <font>
      <i/>
      <sz val="10"/>
      <color rgb="FF000000"/>
      <name val="Calibri"/>
      <family val="2"/>
    </font>
    <font>
      <b/>
      <i/>
      <sz val="12"/>
      <color theme="1"/>
      <name val="Calibri"/>
      <family val="2"/>
      <scheme val="minor"/>
    </font>
    <font>
      <sz val="12"/>
      <color theme="1"/>
      <name val="Calibri"/>
      <family val="2"/>
      <scheme val="minor"/>
    </font>
    <font>
      <sz val="13"/>
      <color rgb="FF26282A"/>
      <name val="Helvetica Neue"/>
      <family val="2"/>
    </font>
    <font>
      <b/>
      <sz val="13"/>
      <color rgb="FF26282A"/>
      <name val="Helvetica Neue"/>
      <family val="2"/>
    </font>
    <font>
      <sz val="13"/>
      <color rgb="FF0078D4"/>
      <name val="Helvetica Neue"/>
      <family val="2"/>
    </font>
    <font>
      <sz val="12"/>
      <color rgb="FF000000"/>
      <name val="Calibri (Body)"/>
    </font>
    <font>
      <i/>
      <sz val="12"/>
      <color rgb="FF000000"/>
      <name val="Calibri"/>
      <family val="2"/>
    </font>
    <font>
      <u/>
      <sz val="12"/>
      <color rgb="FF000000"/>
      <name val="Calibri"/>
      <family val="2"/>
    </font>
    <font>
      <sz val="10"/>
      <color rgb="FF000000"/>
      <name val="Verdana"/>
      <family val="2"/>
    </font>
    <font>
      <b/>
      <sz val="14"/>
      <color theme="1"/>
      <name val="Calibri"/>
      <family val="2"/>
      <scheme val="minor"/>
    </font>
    <font>
      <sz val="10"/>
      <color rgb="FF000000"/>
      <name val="Tahoma"/>
      <family val="2"/>
    </font>
  </fonts>
  <fills count="1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7"/>
        <bgColor indexed="64"/>
      </patternFill>
    </fill>
    <fill>
      <patternFill patternType="solid">
        <fgColor rgb="FF00B0F0"/>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rgb="FF00B050"/>
        <bgColor indexed="64"/>
      </patternFill>
    </fill>
    <fill>
      <patternFill patternType="solid">
        <fgColor rgb="FFFFFF00"/>
        <bgColor rgb="FF000000"/>
      </patternFill>
    </fill>
    <fill>
      <patternFill patternType="solid">
        <fgColor rgb="FF92D050"/>
        <bgColor rgb="FF000000"/>
      </patternFill>
    </fill>
    <fill>
      <patternFill patternType="solid">
        <fgColor rgb="FFD9E1F2"/>
        <bgColor rgb="FFD9E1F2"/>
      </patternFill>
    </fill>
    <fill>
      <patternFill patternType="solid">
        <fgColor rgb="FF92D050"/>
        <bgColor rgb="FFD9E1F2"/>
      </patternFill>
    </fill>
  </fills>
  <borders count="2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8EA9DB"/>
      </bottom>
      <diagonal/>
    </border>
  </borders>
  <cellStyleXfs count="3">
    <xf numFmtId="0" fontId="0" fillId="0" borderId="0"/>
    <xf numFmtId="0" fontId="19" fillId="0" borderId="0" applyNumberFormat="0" applyFill="0" applyBorder="0" applyAlignment="0" applyProtection="0"/>
    <xf numFmtId="9" fontId="24" fillId="0" borderId="0" applyFont="0" applyFill="0" applyBorder="0" applyAlignment="0" applyProtection="0"/>
  </cellStyleXfs>
  <cellXfs count="379">
    <xf numFmtId="0" fontId="0" fillId="0" borderId="0" xfId="0"/>
    <xf numFmtId="0" fontId="2" fillId="0" borderId="0" xfId="0" applyFont="1"/>
    <xf numFmtId="0" fontId="3" fillId="0" borderId="0" xfId="0" applyFont="1"/>
    <xf numFmtId="14" fontId="0" fillId="0" borderId="0" xfId="0" applyNumberFormat="1"/>
    <xf numFmtId="0" fontId="4" fillId="0" borderId="0" xfId="0" applyFont="1"/>
    <xf numFmtId="0" fontId="0" fillId="0" borderId="0" xfId="0" applyAlignment="1">
      <alignment wrapText="1"/>
    </xf>
    <xf numFmtId="0" fontId="3" fillId="0" borderId="0" xfId="0" applyFont="1" applyAlignment="1">
      <alignment wrapText="1"/>
    </xf>
    <xf numFmtId="14" fontId="0" fillId="0" borderId="0" xfId="0" applyNumberFormat="1" applyAlignment="1">
      <alignment wrapText="1"/>
    </xf>
    <xf numFmtId="164" fontId="0" fillId="0" borderId="0" xfId="0" applyNumberFormat="1" applyAlignment="1">
      <alignment wrapText="1"/>
    </xf>
    <xf numFmtId="2" fontId="0" fillId="0" borderId="0" xfId="0" applyNumberFormat="1"/>
    <xf numFmtId="164" fontId="0" fillId="0" borderId="0" xfId="0" quotePrefix="1" applyNumberFormat="1" applyAlignment="1">
      <alignment wrapText="1"/>
    </xf>
    <xf numFmtId="0" fontId="0" fillId="0" borderId="0" xfId="0" quotePrefix="1" applyAlignment="1">
      <alignment wrapText="1"/>
    </xf>
    <xf numFmtId="1" fontId="0" fillId="2" borderId="1" xfId="0" applyNumberFormat="1" applyFill="1" applyBorder="1" applyAlignment="1">
      <alignment horizontal="right" indent="2"/>
    </xf>
    <xf numFmtId="1" fontId="0" fillId="2" borderId="3" xfId="0" applyNumberFormat="1" applyFill="1" applyBorder="1" applyAlignment="1">
      <alignment horizontal="right" indent="2"/>
    </xf>
    <xf numFmtId="1" fontId="0" fillId="2" borderId="5" xfId="0" applyNumberFormat="1" applyFill="1" applyBorder="1" applyAlignment="1">
      <alignment horizontal="right" indent="2"/>
    </xf>
    <xf numFmtId="0" fontId="0" fillId="3" borderId="2" xfId="0" applyFill="1" applyBorder="1"/>
    <xf numFmtId="0" fontId="0" fillId="3" borderId="3" xfId="0" applyFill="1" applyBorder="1"/>
    <xf numFmtId="0" fontId="0" fillId="3" borderId="4" xfId="0" applyFill="1" applyBorder="1"/>
    <xf numFmtId="0" fontId="0" fillId="3" borderId="6" xfId="0" applyFill="1" applyBorder="1"/>
    <xf numFmtId="2" fontId="0" fillId="2" borderId="7" xfId="0" applyNumberFormat="1" applyFill="1" applyBorder="1"/>
    <xf numFmtId="2" fontId="0" fillId="2" borderId="0" xfId="0" applyNumberFormat="1" applyFill="1"/>
    <xf numFmtId="1" fontId="0" fillId="3" borderId="3" xfId="0" applyNumberFormat="1" applyFill="1" applyBorder="1"/>
    <xf numFmtId="0" fontId="0" fillId="0" borderId="2" xfId="0" applyBorder="1"/>
    <xf numFmtId="0" fontId="0" fillId="0" borderId="4" xfId="0" applyBorder="1"/>
    <xf numFmtId="164" fontId="0" fillId="0" borderId="4" xfId="0" applyNumberFormat="1" applyBorder="1" applyAlignment="1">
      <alignment wrapText="1"/>
    </xf>
    <xf numFmtId="0" fontId="0" fillId="0" borderId="4" xfId="0" applyBorder="1" applyAlignment="1">
      <alignment wrapText="1"/>
    </xf>
    <xf numFmtId="0" fontId="0" fillId="0" borderId="6" xfId="0" applyBorder="1"/>
    <xf numFmtId="0" fontId="0" fillId="5" borderId="1" xfId="0" applyFill="1" applyBorder="1"/>
    <xf numFmtId="0" fontId="0" fillId="5" borderId="2" xfId="0" applyFill="1" applyBorder="1"/>
    <xf numFmtId="0" fontId="0" fillId="7" borderId="1" xfId="0" applyFill="1" applyBorder="1"/>
    <xf numFmtId="0" fontId="0" fillId="8" borderId="1" xfId="0" applyFill="1" applyBorder="1"/>
    <xf numFmtId="0" fontId="0" fillId="0" borderId="0" xfId="0" applyAlignment="1">
      <alignment horizontal="left" vertical="center"/>
    </xf>
    <xf numFmtId="0" fontId="0" fillId="0" borderId="0" xfId="0" applyAlignment="1">
      <alignment horizontal="right"/>
    </xf>
    <xf numFmtId="0" fontId="1" fillId="0" borderId="0" xfId="0" applyFont="1" applyAlignment="1">
      <alignment wrapText="1"/>
    </xf>
    <xf numFmtId="0" fontId="4" fillId="0" borderId="0" xfId="0" applyFont="1" applyAlignment="1">
      <alignment wrapText="1"/>
    </xf>
    <xf numFmtId="2" fontId="1" fillId="0" borderId="0" xfId="0" applyNumberFormat="1" applyFont="1" applyAlignment="1">
      <alignment wrapText="1"/>
    </xf>
    <xf numFmtId="0" fontId="1" fillId="0" borderId="0" xfId="0" applyFont="1" applyAlignment="1">
      <alignment horizontal="center" vertical="center" wrapText="1"/>
    </xf>
    <xf numFmtId="0" fontId="0" fillId="4" borderId="2" xfId="0" applyFill="1" applyBorder="1"/>
    <xf numFmtId="0" fontId="0" fillId="4" borderId="3" xfId="0" applyFill="1" applyBorder="1"/>
    <xf numFmtId="0" fontId="0" fillId="6" borderId="1" xfId="0" applyFill="1" applyBorder="1"/>
    <xf numFmtId="0" fontId="0" fillId="6" borderId="7" xfId="0" applyFill="1" applyBorder="1"/>
    <xf numFmtId="0" fontId="0" fillId="7" borderId="7" xfId="0" applyFill="1" applyBorder="1"/>
    <xf numFmtId="0" fontId="0" fillId="0" borderId="7" xfId="0" applyBorder="1"/>
    <xf numFmtId="0" fontId="0" fillId="8" borderId="2" xfId="0" applyFill="1" applyBorder="1"/>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3" borderId="12" xfId="0" applyFill="1" applyBorder="1"/>
    <xf numFmtId="0" fontId="0" fillId="0" borderId="2"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0" borderId="0" xfId="0" applyFont="1"/>
    <xf numFmtId="0" fontId="0" fillId="0" borderId="0" xfId="0" quotePrefix="1"/>
    <xf numFmtId="164" fontId="0" fillId="0" borderId="0" xfId="0" applyNumberFormat="1"/>
    <xf numFmtId="0" fontId="0" fillId="2" borderId="2" xfId="0" applyFill="1" applyBorder="1"/>
    <xf numFmtId="0" fontId="0" fillId="2" borderId="4" xfId="0" applyFill="1" applyBorder="1"/>
    <xf numFmtId="0" fontId="0" fillId="2" borderId="6" xfId="0" applyFill="1" applyBorder="1"/>
    <xf numFmtId="0" fontId="0" fillId="2" borderId="12" xfId="0" applyFill="1" applyBorder="1"/>
    <xf numFmtId="0" fontId="0" fillId="9" borderId="2" xfId="0" applyFill="1" applyBorder="1"/>
    <xf numFmtId="0" fontId="0" fillId="9" borderId="4" xfId="0" applyFill="1" applyBorder="1"/>
    <xf numFmtId="0" fontId="0" fillId="9" borderId="6" xfId="0" applyFill="1" applyBorder="1"/>
    <xf numFmtId="0" fontId="0" fillId="9" borderId="12" xfId="0" applyFill="1" applyBorder="1"/>
    <xf numFmtId="0" fontId="5" fillId="0" borderId="0" xfId="0" applyFont="1"/>
    <xf numFmtId="0" fontId="0" fillId="0" borderId="0" xfId="0" applyAlignment="1">
      <alignment horizontal="left"/>
    </xf>
    <xf numFmtId="0" fontId="1" fillId="0" borderId="0" xfId="0" applyFont="1" applyAlignment="1">
      <alignment horizontal="left" vertical="center"/>
    </xf>
    <xf numFmtId="2" fontId="1" fillId="0" borderId="0" xfId="0" applyNumberFormat="1" applyFont="1"/>
    <xf numFmtId="164" fontId="1" fillId="0" borderId="0" xfId="0" applyNumberFormat="1" applyFont="1" applyAlignment="1">
      <alignment wrapText="1"/>
    </xf>
    <xf numFmtId="164" fontId="1" fillId="0" borderId="0" xfId="0" applyNumberFormat="1" applyFont="1"/>
    <xf numFmtId="1" fontId="1" fillId="2" borderId="3" xfId="0" applyNumberFormat="1" applyFont="1" applyFill="1" applyBorder="1" applyAlignment="1">
      <alignment horizontal="right" indent="2"/>
    </xf>
    <xf numFmtId="2" fontId="1" fillId="2" borderId="0" xfId="0" applyNumberFormat="1" applyFont="1" applyFill="1"/>
    <xf numFmtId="0" fontId="1" fillId="3" borderId="3" xfId="0" applyFont="1" applyFill="1" applyBorder="1"/>
    <xf numFmtId="0" fontId="1" fillId="3" borderId="4" xfId="0" applyFont="1" applyFill="1" applyBorder="1"/>
    <xf numFmtId="0" fontId="1" fillId="0" borderId="4" xfId="0" applyFont="1" applyBorder="1"/>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2" borderId="9"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3" borderId="12" xfId="0" applyFill="1" applyBorder="1" applyAlignment="1">
      <alignment horizontal="center" vertical="center"/>
    </xf>
    <xf numFmtId="0" fontId="0" fillId="9" borderId="4" xfId="0" applyFill="1" applyBorder="1" applyAlignment="1">
      <alignment horizontal="center" vertical="center"/>
    </xf>
    <xf numFmtId="0" fontId="0" fillId="9" borderId="6" xfId="0" applyFill="1" applyBorder="1" applyAlignment="1">
      <alignment horizontal="center" vertical="center"/>
    </xf>
    <xf numFmtId="0" fontId="0" fillId="9" borderId="12" xfId="0" applyFill="1" applyBorder="1" applyAlignment="1">
      <alignment horizontal="center" vertical="center"/>
    </xf>
    <xf numFmtId="0" fontId="0" fillId="9" borderId="2" xfId="0" applyFill="1" applyBorder="1" applyAlignment="1">
      <alignment horizontal="center" vertical="center"/>
    </xf>
    <xf numFmtId="0" fontId="1" fillId="0" borderId="9" xfId="0" applyFont="1" applyBorder="1" applyAlignment="1">
      <alignment horizontal="center" vertical="center" wrapText="1"/>
    </xf>
    <xf numFmtId="14" fontId="0" fillId="0" borderId="0" xfId="0" quotePrefix="1" applyNumberFormat="1"/>
    <xf numFmtId="14" fontId="0" fillId="0" borderId="16" xfId="0" applyNumberFormat="1" applyBorder="1"/>
    <xf numFmtId="0" fontId="1" fillId="0" borderId="0" xfId="0" applyFont="1" applyAlignment="1">
      <alignment horizontal="left" vertical="center" wrapText="1"/>
    </xf>
    <xf numFmtId="1" fontId="0" fillId="2" borderId="3" xfId="0" applyNumberFormat="1" applyFill="1" applyBorder="1" applyAlignment="1">
      <alignment horizontal="left" indent="2"/>
    </xf>
    <xf numFmtId="0" fontId="0" fillId="0" borderId="0" xfId="0" applyAlignment="1">
      <alignment vertical="center"/>
    </xf>
    <xf numFmtId="0" fontId="0" fillId="0" borderId="0" xfId="0" applyAlignment="1">
      <alignment horizontal="center" vertical="center" wrapText="1"/>
    </xf>
    <xf numFmtId="1" fontId="0" fillId="0" borderId="0" xfId="0" applyNumberFormat="1"/>
    <xf numFmtId="0" fontId="7" fillId="0" borderId="0" xfId="0" applyFont="1"/>
    <xf numFmtId="0" fontId="0" fillId="2" borderId="0" xfId="0" applyFill="1"/>
    <xf numFmtId="0" fontId="8" fillId="0" borderId="0" xfId="0" applyFont="1"/>
    <xf numFmtId="0" fontId="0" fillId="0" borderId="0" xfId="0" applyAlignment="1">
      <alignment vertical="center" wrapText="1"/>
    </xf>
    <xf numFmtId="0" fontId="3" fillId="0" borderId="0" xfId="0" applyFont="1" applyAlignment="1">
      <alignment horizontal="left" vertical="center"/>
    </xf>
    <xf numFmtId="164" fontId="0" fillId="0" borderId="0" xfId="0" applyNumberFormat="1" applyAlignment="1">
      <alignment horizontal="left" vertical="center" wrapText="1"/>
    </xf>
    <xf numFmtId="1" fontId="0" fillId="2" borderId="3" xfId="0" applyNumberFormat="1" applyFill="1" applyBorder="1" applyAlignment="1">
      <alignment horizontal="left" vertical="center"/>
    </xf>
    <xf numFmtId="0" fontId="0" fillId="0" borderId="4" xfId="0" applyBorder="1" applyAlignment="1">
      <alignment horizontal="left" vertical="center"/>
    </xf>
    <xf numFmtId="0" fontId="0" fillId="0" borderId="0" xfId="0" applyAlignment="1">
      <alignment horizontal="left" vertical="center" wrapText="1"/>
    </xf>
    <xf numFmtId="0" fontId="0" fillId="0" borderId="0" xfId="0" pivotButton="1"/>
    <xf numFmtId="1" fontId="0" fillId="2" borderId="2" xfId="0" applyNumberFormat="1" applyFill="1" applyBorder="1"/>
    <xf numFmtId="1" fontId="0" fillId="3" borderId="1" xfId="0" applyNumberFormat="1" applyFill="1" applyBorder="1" applyAlignment="1">
      <alignment horizontal="center"/>
    </xf>
    <xf numFmtId="14" fontId="1" fillId="0" borderId="0" xfId="0" applyNumberFormat="1" applyFont="1"/>
    <xf numFmtId="0" fontId="1" fillId="0" borderId="0" xfId="0" applyFont="1" applyAlignment="1">
      <alignment vertical="center" wrapText="1"/>
    </xf>
    <xf numFmtId="0" fontId="0" fillId="0" borderId="0" xfId="0" applyAlignment="1">
      <alignment horizontal="center" vertical="center"/>
    </xf>
    <xf numFmtId="0" fontId="0" fillId="0" borderId="0" xfId="0" applyAlignment="1">
      <alignment horizontal="right" vertical="center" indent="3"/>
    </xf>
    <xf numFmtId="1" fontId="0" fillId="3" borderId="1" xfId="0" applyNumberFormat="1" applyFill="1" applyBorder="1" applyAlignment="1">
      <alignment vertical="center"/>
    </xf>
    <xf numFmtId="1" fontId="0" fillId="3" borderId="3" xfId="0" applyNumberFormat="1" applyFill="1" applyBorder="1" applyAlignment="1">
      <alignment vertical="center"/>
    </xf>
    <xf numFmtId="0" fontId="0" fillId="3" borderId="3" xfId="0" applyFill="1" applyBorder="1" applyAlignment="1">
      <alignment vertical="center"/>
    </xf>
    <xf numFmtId="0" fontId="0" fillId="3" borderId="3" xfId="0" applyFill="1" applyBorder="1" applyAlignment="1">
      <alignment vertical="center" wrapText="1"/>
    </xf>
    <xf numFmtId="0" fontId="0" fillId="3" borderId="5" xfId="0" applyFill="1" applyBorder="1" applyAlignment="1">
      <alignment vertical="center"/>
    </xf>
    <xf numFmtId="14" fontId="0" fillId="0" borderId="0" xfId="0" quotePrefix="1" applyNumberFormat="1" applyAlignment="1">
      <alignment wrapText="1"/>
    </xf>
    <xf numFmtId="1" fontId="0" fillId="0" borderId="0" xfId="0" applyNumberFormat="1" applyAlignment="1">
      <alignment horizontal="center" vertical="center"/>
    </xf>
    <xf numFmtId="1" fontId="0" fillId="0" borderId="0" xfId="0" applyNumberFormat="1" applyAlignment="1">
      <alignment horizontal="left" vertical="center"/>
    </xf>
    <xf numFmtId="0" fontId="1" fillId="0" borderId="0" xfId="0" applyFont="1" applyAlignment="1">
      <alignment horizontal="center" vertical="center"/>
    </xf>
    <xf numFmtId="0" fontId="0" fillId="0" borderId="0" xfId="0" applyAlignment="1">
      <alignment horizontal="right" vertical="center" wrapText="1"/>
    </xf>
    <xf numFmtId="0" fontId="1" fillId="0" borderId="0" xfId="0" applyFont="1" applyAlignment="1">
      <alignment horizontal="right" vertical="center" indent="3"/>
    </xf>
    <xf numFmtId="1" fontId="0" fillId="0" borderId="0" xfId="0" applyNumberFormat="1" applyAlignment="1">
      <alignment horizontal="center" vertical="center" wrapText="1"/>
    </xf>
    <xf numFmtId="14" fontId="0" fillId="0" borderId="0" xfId="0" applyNumberFormat="1" applyAlignment="1">
      <alignment horizontal="center" vertical="center"/>
    </xf>
    <xf numFmtId="1" fontId="0" fillId="0" borderId="0" xfId="0" applyNumberFormat="1" applyAlignment="1">
      <alignment horizontal="left" vertical="center" wrapText="1"/>
    </xf>
    <xf numFmtId="14" fontId="0" fillId="0" borderId="0" xfId="0" applyNumberFormat="1" applyAlignment="1">
      <alignment horizontal="right" vertical="center" indent="2"/>
    </xf>
    <xf numFmtId="1" fontId="1" fillId="0" borderId="0" xfId="0" applyNumberFormat="1" applyFont="1"/>
    <xf numFmtId="0" fontId="0" fillId="3" borderId="0" xfId="0" applyFill="1"/>
    <xf numFmtId="0" fontId="3" fillId="3" borderId="0" xfId="0" applyFont="1" applyFill="1"/>
    <xf numFmtId="2" fontId="0" fillId="3" borderId="0" xfId="0" applyNumberFormat="1" applyFill="1"/>
    <xf numFmtId="0" fontId="0" fillId="3" borderId="0" xfId="0" applyFill="1" applyAlignment="1">
      <alignment wrapText="1"/>
    </xf>
    <xf numFmtId="14" fontId="0" fillId="3" borderId="0" xfId="0" applyNumberFormat="1" applyFill="1"/>
    <xf numFmtId="1" fontId="0" fillId="0" borderId="0" xfId="0" applyNumberFormat="1" applyAlignment="1">
      <alignment horizontal="right" vertical="center"/>
    </xf>
    <xf numFmtId="0" fontId="0" fillId="0" borderId="0" xfId="0" applyAlignment="1">
      <alignment horizontal="right" vertical="center"/>
    </xf>
    <xf numFmtId="14" fontId="0" fillId="0" borderId="0" xfId="0" applyNumberFormat="1" applyAlignment="1">
      <alignment horizontal="right" vertical="center"/>
    </xf>
    <xf numFmtId="0" fontId="1" fillId="0" borderId="0" xfId="0" applyFont="1" applyAlignment="1">
      <alignment vertical="center"/>
    </xf>
    <xf numFmtId="0" fontId="0" fillId="0" borderId="0" xfId="0" applyAlignment="1">
      <alignment horizontal="right" vertical="center" indent="2"/>
    </xf>
    <xf numFmtId="1" fontId="1" fillId="0" borderId="0" xfId="0" applyNumberFormat="1" applyFont="1" applyAlignment="1">
      <alignment horizontal="left" wrapText="1" indent="2"/>
    </xf>
    <xf numFmtId="0" fontId="1" fillId="3" borderId="0" xfId="0" applyFont="1" applyFill="1" applyAlignment="1">
      <alignment horizontal="center" vertical="center"/>
    </xf>
    <xf numFmtId="0" fontId="0" fillId="0" borderId="0" xfId="0" applyAlignment="1">
      <alignment horizontal="center"/>
    </xf>
    <xf numFmtId="14" fontId="0" fillId="0" borderId="0" xfId="0" applyNumberFormat="1" applyAlignment="1">
      <alignment vertical="center"/>
    </xf>
    <xf numFmtId="0" fontId="1" fillId="0" borderId="0" xfId="0" applyFont="1" applyAlignment="1">
      <alignment horizontal="left" vertical="center" wrapText="1" indent="3"/>
    </xf>
    <xf numFmtId="0" fontId="0" fillId="9" borderId="0" xfId="0" applyFill="1" applyAlignment="1">
      <alignment vertical="center" wrapText="1"/>
    </xf>
    <xf numFmtId="0" fontId="12" fillId="0" borderId="18" xfId="0" applyFont="1" applyBorder="1" applyAlignment="1">
      <alignment horizontal="left" vertical="center" wrapText="1"/>
    </xf>
    <xf numFmtId="1" fontId="0" fillId="2" borderId="3" xfId="0" applyNumberFormat="1" applyFill="1" applyBorder="1" applyAlignment="1">
      <alignment horizontal="left" wrapText="1"/>
    </xf>
    <xf numFmtId="2" fontId="0" fillId="0" borderId="0" xfId="0" applyNumberFormat="1" applyAlignment="1">
      <alignment wrapText="1"/>
    </xf>
    <xf numFmtId="1" fontId="0" fillId="3" borderId="3" xfId="0" applyNumberFormat="1" applyFill="1" applyBorder="1" applyAlignment="1">
      <alignment wrapText="1"/>
    </xf>
    <xf numFmtId="0" fontId="0" fillId="3" borderId="4" xfId="0" applyFill="1" applyBorder="1" applyAlignment="1">
      <alignment wrapText="1"/>
    </xf>
    <xf numFmtId="1" fontId="0" fillId="0" borderId="0" xfId="0" applyNumberFormat="1" applyAlignment="1">
      <alignment wrapText="1"/>
    </xf>
    <xf numFmtId="0" fontId="5" fillId="0" borderId="0" xfId="0" applyFont="1" applyAlignment="1">
      <alignment wrapText="1"/>
    </xf>
    <xf numFmtId="1" fontId="0" fillId="2" borderId="3" xfId="0" applyNumberFormat="1" applyFill="1" applyBorder="1" applyAlignment="1">
      <alignment horizontal="right" wrapText="1"/>
    </xf>
    <xf numFmtId="14" fontId="0" fillId="0" borderId="16" xfId="0" applyNumberFormat="1" applyBorder="1" applyAlignment="1">
      <alignment wrapText="1"/>
    </xf>
    <xf numFmtId="0" fontId="0" fillId="3" borderId="3" xfId="0" applyFill="1" applyBorder="1" applyAlignment="1">
      <alignment wrapText="1"/>
    </xf>
    <xf numFmtId="0" fontId="0" fillId="0" borderId="0" xfId="0" applyAlignment="1">
      <alignment horizontal="left" wrapText="1"/>
    </xf>
    <xf numFmtId="0" fontId="3" fillId="3" borderId="0" xfId="0" applyFont="1" applyFill="1" applyAlignment="1">
      <alignment wrapText="1"/>
    </xf>
    <xf numFmtId="2" fontId="0" fillId="3" borderId="0" xfId="0" applyNumberFormat="1" applyFill="1" applyAlignment="1">
      <alignment wrapText="1"/>
    </xf>
    <xf numFmtId="14" fontId="0" fillId="3" borderId="0" xfId="0" applyNumberFormat="1" applyFill="1" applyAlignment="1">
      <alignment wrapText="1"/>
    </xf>
    <xf numFmtId="0" fontId="5" fillId="0" borderId="0" xfId="0" applyFont="1" applyAlignment="1">
      <alignment vertical="center" wrapText="1"/>
    </xf>
    <xf numFmtId="0" fontId="3" fillId="0" borderId="0" xfId="0" applyFont="1" applyAlignment="1">
      <alignment vertical="center" wrapText="1"/>
    </xf>
    <xf numFmtId="0" fontId="0" fillId="2" borderId="0" xfId="0" applyFill="1" applyAlignment="1">
      <alignment vertical="center" wrapText="1"/>
    </xf>
    <xf numFmtId="0" fontId="7" fillId="0" borderId="0" xfId="0" applyFont="1" applyAlignment="1">
      <alignment vertical="center" wrapText="1"/>
    </xf>
    <xf numFmtId="14" fontId="0" fillId="0" borderId="0" xfId="0" applyNumberFormat="1" applyAlignment="1">
      <alignment vertical="center" wrapText="1"/>
    </xf>
    <xf numFmtId="0" fontId="0" fillId="3" borderId="0" xfId="0" applyFill="1" applyAlignment="1">
      <alignment vertical="center" wrapText="1"/>
    </xf>
    <xf numFmtId="0" fontId="13" fillId="0" borderId="0" xfId="0" applyFont="1"/>
    <xf numFmtId="0" fontId="13" fillId="0" borderId="0" xfId="0" applyFont="1" applyAlignment="1">
      <alignment horizontal="center" wrapText="1"/>
    </xf>
    <xf numFmtId="0" fontId="14" fillId="0" borderId="0" xfId="0" applyFont="1"/>
    <xf numFmtId="0" fontId="14" fillId="0" borderId="0" xfId="0" applyFont="1" applyAlignment="1">
      <alignment horizontal="left" vertical="center"/>
    </xf>
    <xf numFmtId="0" fontId="1" fillId="9" borderId="0" xfId="0" applyFont="1" applyFill="1" applyAlignment="1">
      <alignment wrapText="1"/>
    </xf>
    <xf numFmtId="0" fontId="1" fillId="9" borderId="0" xfId="0" applyFont="1" applyFill="1" applyAlignment="1">
      <alignment horizontal="center" vertical="center" wrapText="1"/>
    </xf>
    <xf numFmtId="0" fontId="0" fillId="9" borderId="0" xfId="0" applyFill="1"/>
    <xf numFmtId="1" fontId="0" fillId="9" borderId="0" xfId="0" applyNumberFormat="1" applyFill="1"/>
    <xf numFmtId="1" fontId="0" fillId="9" borderId="3" xfId="0" applyNumberFormat="1" applyFill="1" applyBorder="1"/>
    <xf numFmtId="0" fontId="0" fillId="9" borderId="3" xfId="0" applyFill="1" applyBorder="1"/>
    <xf numFmtId="14" fontId="0" fillId="3" borderId="4" xfId="0" applyNumberFormat="1" applyFill="1" applyBorder="1" applyAlignment="1">
      <alignment wrapText="1"/>
    </xf>
    <xf numFmtId="14" fontId="0" fillId="2" borderId="0" xfId="0" applyNumberFormat="1" applyFill="1" applyAlignment="1">
      <alignment wrapText="1"/>
    </xf>
    <xf numFmtId="14" fontId="1" fillId="0" borderId="0" xfId="0" applyNumberFormat="1" applyFont="1" applyAlignment="1">
      <alignment horizontal="center" vertical="center" wrapText="1"/>
    </xf>
    <xf numFmtId="0" fontId="0" fillId="10" borderId="0" xfId="0" applyFill="1"/>
    <xf numFmtId="0" fontId="0" fillId="3" borderId="3" xfId="0" applyFill="1" applyBorder="1" applyAlignment="1">
      <alignment horizontal="right" wrapText="1"/>
    </xf>
    <xf numFmtId="1" fontId="0" fillId="2" borderId="0" xfId="0" applyNumberFormat="1" applyFill="1" applyAlignment="1">
      <alignment horizontal="right" wrapText="1"/>
    </xf>
    <xf numFmtId="1" fontId="0" fillId="2" borderId="0" xfId="0" applyNumberFormat="1" applyFill="1" applyAlignment="1">
      <alignment horizontal="left" wrapText="1"/>
    </xf>
    <xf numFmtId="1" fontId="0" fillId="3" borderId="0" xfId="0" applyNumberFormat="1" applyFill="1" applyAlignment="1">
      <alignment wrapText="1"/>
    </xf>
    <xf numFmtId="0" fontId="0" fillId="11" borderId="0" xfId="0" applyFill="1" applyAlignment="1">
      <alignment wrapText="1"/>
    </xf>
    <xf numFmtId="0" fontId="0" fillId="9" borderId="0" xfId="0" applyFill="1" applyAlignment="1">
      <alignment wrapText="1"/>
    </xf>
    <xf numFmtId="14" fontId="0" fillId="9" borderId="0" xfId="0" quotePrefix="1" applyNumberFormat="1" applyFill="1" applyAlignment="1">
      <alignment wrapText="1"/>
    </xf>
    <xf numFmtId="165" fontId="1" fillId="0" borderId="0" xfId="0" applyNumberFormat="1" applyFont="1" applyAlignment="1">
      <alignment horizontal="left" vertical="center"/>
    </xf>
    <xf numFmtId="165" fontId="1" fillId="0" borderId="0" xfId="0" applyNumberFormat="1" applyFont="1" applyAlignment="1">
      <alignment horizontal="right" vertical="center" indent="2"/>
    </xf>
    <xf numFmtId="0" fontId="11" fillId="0" borderId="17" xfId="0" applyFont="1" applyBorder="1" applyAlignment="1">
      <alignment horizontal="left" vertical="center" wrapText="1"/>
    </xf>
    <xf numFmtId="0" fontId="0" fillId="2" borderId="0" xfId="0" applyFill="1" applyAlignment="1">
      <alignment wrapText="1"/>
    </xf>
    <xf numFmtId="0" fontId="15" fillId="0" borderId="0" xfId="0" applyFont="1" applyAlignment="1">
      <alignment vertical="center"/>
    </xf>
    <xf numFmtId="0" fontId="1" fillId="9" borderId="0" xfId="0" applyFont="1" applyFill="1"/>
    <xf numFmtId="1" fontId="1" fillId="0" borderId="0" xfId="0" applyNumberFormat="1" applyFont="1" applyAlignment="1">
      <alignment horizontal="left" vertical="center"/>
    </xf>
    <xf numFmtId="1" fontId="1" fillId="0" borderId="0" xfId="0" applyNumberFormat="1" applyFont="1" applyAlignment="1">
      <alignment horizontal="left" vertical="center" wrapText="1"/>
    </xf>
    <xf numFmtId="165" fontId="0" fillId="0" borderId="0" xfId="0" applyNumberFormat="1" applyAlignment="1">
      <alignment horizontal="left" vertical="center"/>
    </xf>
    <xf numFmtId="0" fontId="0" fillId="2" borderId="0" xfId="0" applyFill="1" applyAlignment="1">
      <alignment vertical="center"/>
    </xf>
    <xf numFmtId="0" fontId="0" fillId="2" borderId="0" xfId="0" applyFill="1" applyAlignment="1">
      <alignment horizontal="left" vertical="center"/>
    </xf>
    <xf numFmtId="14" fontId="17" fillId="3" borderId="4" xfId="0" applyNumberFormat="1" applyFont="1" applyFill="1" applyBorder="1" applyAlignment="1">
      <alignment wrapText="1"/>
    </xf>
    <xf numFmtId="0" fontId="19" fillId="0" borderId="0" xfId="1"/>
    <xf numFmtId="14" fontId="0" fillId="2" borderId="0" xfId="0" applyNumberFormat="1" applyFill="1"/>
    <xf numFmtId="0" fontId="20" fillId="0" borderId="0" xfId="0" applyFont="1"/>
    <xf numFmtId="0" fontId="20" fillId="0" borderId="0" xfId="0" applyFont="1" applyAlignment="1">
      <alignment wrapText="1"/>
    </xf>
    <xf numFmtId="0" fontId="14" fillId="0" borderId="0" xfId="0" applyFont="1" applyAlignment="1">
      <alignment vertical="center"/>
    </xf>
    <xf numFmtId="0" fontId="20" fillId="0" borderId="0" xfId="0" applyFont="1" applyAlignment="1">
      <alignment horizontal="left" vertical="center"/>
    </xf>
    <xf numFmtId="0" fontId="20" fillId="0" borderId="0" xfId="0" applyFont="1" applyAlignment="1">
      <alignment horizontal="left" vertical="center" wrapText="1"/>
    </xf>
    <xf numFmtId="0" fontId="20" fillId="12" borderId="0" xfId="0" applyFont="1" applyFill="1" applyAlignment="1">
      <alignment horizontal="left" vertical="center" wrapText="1"/>
    </xf>
    <xf numFmtId="0" fontId="14" fillId="12" borderId="0" xfId="0" applyFont="1" applyFill="1"/>
    <xf numFmtId="2" fontId="0" fillId="0" borderId="0" xfId="0" applyNumberFormat="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23" fillId="0" borderId="0" xfId="0" applyFont="1" applyAlignment="1">
      <alignment horizontal="center" vertical="center"/>
    </xf>
    <xf numFmtId="0" fontId="0" fillId="0" borderId="8" xfId="0" applyBorder="1" applyAlignment="1">
      <alignment horizontal="center" vertical="center"/>
    </xf>
    <xf numFmtId="0" fontId="0" fillId="0" borderId="10" xfId="0" applyBorder="1"/>
    <xf numFmtId="0" fontId="0" fillId="0" borderId="11" xfId="0" applyBorder="1"/>
    <xf numFmtId="0" fontId="0" fillId="0" borderId="11" xfId="0" applyBorder="1" applyAlignment="1">
      <alignment horizontal="center" vertical="center"/>
    </xf>
    <xf numFmtId="0" fontId="0" fillId="0" borderId="9" xfId="0" applyBorder="1" applyAlignment="1">
      <alignment horizontal="center" vertical="center"/>
    </xf>
    <xf numFmtId="0" fontId="23" fillId="0" borderId="14" xfId="0" applyFont="1" applyBorder="1" applyAlignment="1">
      <alignment horizontal="center" vertical="center"/>
    </xf>
    <xf numFmtId="0" fontId="0" fillId="0" borderId="15" xfId="0" applyBorder="1"/>
    <xf numFmtId="0" fontId="0" fillId="0" borderId="14" xfId="0" applyBorder="1" applyAlignment="1">
      <alignment horizontal="center" vertical="center"/>
    </xf>
    <xf numFmtId="0" fontId="0" fillId="0" borderId="15" xfId="0" applyBorder="1" applyAlignment="1">
      <alignment horizontal="center" vertical="center"/>
    </xf>
    <xf numFmtId="0" fontId="0" fillId="0" borderId="9" xfId="0" applyBorder="1"/>
    <xf numFmtId="0" fontId="0" fillId="0" borderId="14" xfId="0" applyBorder="1"/>
    <xf numFmtId="0" fontId="0" fillId="0" borderId="12" xfId="0" applyBorder="1"/>
    <xf numFmtId="2" fontId="0" fillId="0" borderId="4" xfId="0" applyNumberFormat="1" applyBorder="1" applyAlignment="1">
      <alignment horizontal="center" vertical="center"/>
    </xf>
    <xf numFmtId="0" fontId="0" fillId="0" borderId="5" xfId="0" applyBorder="1" applyAlignment="1">
      <alignment horizontal="center" vertical="center"/>
    </xf>
    <xf numFmtId="2" fontId="0" fillId="0" borderId="8" xfId="0" applyNumberFormat="1" applyBorder="1" applyAlignment="1">
      <alignment horizontal="center" vertical="center"/>
    </xf>
    <xf numFmtId="2" fontId="0" fillId="0" borderId="6" xfId="0" applyNumberFormat="1" applyBorder="1" applyAlignment="1">
      <alignment horizontal="center" vertical="center"/>
    </xf>
    <xf numFmtId="2" fontId="0" fillId="0" borderId="14" xfId="0" applyNumberFormat="1" applyBorder="1" applyAlignment="1">
      <alignment horizontal="center"/>
    </xf>
    <xf numFmtId="2" fontId="0" fillId="0" borderId="14" xfId="0" applyNumberFormat="1" applyBorder="1" applyAlignment="1">
      <alignment horizontal="center" vertical="center"/>
    </xf>
    <xf numFmtId="2" fontId="0" fillId="0" borderId="15" xfId="0" applyNumberFormat="1" applyBorder="1" applyAlignment="1">
      <alignment horizontal="center" vertical="center"/>
    </xf>
    <xf numFmtId="0" fontId="0" fillId="0" borderId="13" xfId="0" applyBorder="1" applyAlignment="1">
      <alignment horizontal="center" vertical="center"/>
    </xf>
    <xf numFmtId="0" fontId="0" fillId="0" borderId="13" xfId="0" applyBorder="1"/>
    <xf numFmtId="0" fontId="25" fillId="0" borderId="0" xfId="0" applyFont="1"/>
    <xf numFmtId="0" fontId="26" fillId="0" borderId="0" xfId="0" applyFont="1"/>
    <xf numFmtId="0" fontId="13" fillId="13" borderId="0" xfId="0" applyFont="1" applyFill="1" applyAlignment="1">
      <alignment horizontal="center" wrapText="1"/>
    </xf>
    <xf numFmtId="0" fontId="13" fillId="13" borderId="0" xfId="0" applyFont="1" applyFill="1" applyAlignment="1">
      <alignment horizontal="center" vertical="center"/>
    </xf>
    <xf numFmtId="0" fontId="20" fillId="13" borderId="0" xfId="0" applyFont="1" applyFill="1" applyAlignment="1">
      <alignment wrapText="1"/>
    </xf>
    <xf numFmtId="0" fontId="14" fillId="13" borderId="0" xfId="0" applyFont="1" applyFill="1" applyAlignment="1">
      <alignment vertical="center"/>
    </xf>
    <xf numFmtId="0" fontId="20" fillId="13" borderId="0" xfId="0" applyFont="1" applyFill="1" applyAlignment="1">
      <alignment horizontal="left" vertical="center" wrapText="1"/>
    </xf>
    <xf numFmtId="0" fontId="14" fillId="13" borderId="0" xfId="0" applyFont="1" applyFill="1" applyAlignment="1">
      <alignment horizontal="left" vertical="center"/>
    </xf>
    <xf numFmtId="0" fontId="14" fillId="13" borderId="0" xfId="0" applyFont="1" applyFill="1" applyAlignment="1">
      <alignment horizontal="left" vertical="center" wrapText="1"/>
    </xf>
    <xf numFmtId="0" fontId="20" fillId="3" borderId="0" xfId="0" applyFont="1" applyFill="1" applyAlignment="1">
      <alignment horizontal="left" vertical="center" wrapText="1"/>
    </xf>
    <xf numFmtId="0" fontId="14" fillId="3" borderId="0" xfId="0" applyFont="1" applyFill="1" applyAlignment="1">
      <alignment horizontal="left" vertical="center"/>
    </xf>
    <xf numFmtId="0" fontId="12" fillId="0" borderId="17" xfId="0" applyFont="1" applyBorder="1" applyAlignment="1">
      <alignment horizontal="left" vertical="center" wrapText="1"/>
    </xf>
    <xf numFmtId="0" fontId="11" fillId="0" borderId="17" xfId="0" applyFont="1" applyBorder="1" applyAlignment="1">
      <alignment horizontal="center" vertical="center" wrapText="1"/>
    </xf>
    <xf numFmtId="9" fontId="0" fillId="0" borderId="0" xfId="2" applyFont="1"/>
    <xf numFmtId="166" fontId="0" fillId="0" borderId="0" xfId="2" applyNumberFormat="1" applyFont="1" applyAlignment="1">
      <alignment horizontal="center" vertical="center"/>
    </xf>
    <xf numFmtId="0" fontId="14" fillId="13" borderId="0" xfId="0" applyFont="1" applyFill="1" applyAlignment="1">
      <alignment vertical="center" wrapText="1"/>
    </xf>
    <xf numFmtId="0" fontId="31" fillId="0" borderId="0" xfId="0" applyFont="1"/>
    <xf numFmtId="0" fontId="14" fillId="0" borderId="0" xfId="0" applyFont="1" applyAlignment="1">
      <alignment vertical="center" wrapText="1"/>
    </xf>
    <xf numFmtId="167" fontId="0" fillId="0" borderId="0" xfId="0" applyNumberFormat="1"/>
    <xf numFmtId="168" fontId="0" fillId="0" borderId="0" xfId="0" applyNumberFormat="1"/>
    <xf numFmtId="9" fontId="0" fillId="0" borderId="0" xfId="2" applyFont="1" applyAlignment="1">
      <alignment horizontal="center" vertical="center"/>
    </xf>
    <xf numFmtId="0" fontId="18" fillId="0" borderId="0" xfId="0" applyFont="1"/>
    <xf numFmtId="0" fontId="0" fillId="0" borderId="5" xfId="0" applyBorder="1" applyAlignment="1">
      <alignment vertical="center"/>
    </xf>
    <xf numFmtId="0" fontId="0" fillId="0" borderId="3" xfId="0" applyBorder="1"/>
    <xf numFmtId="0" fontId="0" fillId="0" borderId="1" xfId="0" applyBorder="1"/>
    <xf numFmtId="0" fontId="1" fillId="0" borderId="0" xfId="0" quotePrefix="1" applyFont="1" applyAlignment="1">
      <alignment wrapText="1"/>
    </xf>
    <xf numFmtId="0" fontId="1" fillId="10" borderId="0" xfId="0" applyFont="1" applyFill="1" applyAlignment="1">
      <alignment horizontal="center" vertical="center" wrapText="1"/>
    </xf>
    <xf numFmtId="0" fontId="1" fillId="10" borderId="0" xfId="0" applyFont="1" applyFill="1" applyAlignment="1">
      <alignment wrapText="1"/>
    </xf>
    <xf numFmtId="0" fontId="4" fillId="0" borderId="0" xfId="0" applyFont="1" applyAlignment="1">
      <alignment horizontal="center" vertical="center" wrapText="1"/>
    </xf>
    <xf numFmtId="2" fontId="1" fillId="0" borderId="0" xfId="0" applyNumberFormat="1" applyFont="1" applyAlignment="1">
      <alignment horizontal="center" vertical="center" wrapText="1"/>
    </xf>
    <xf numFmtId="164" fontId="0" fillId="0" borderId="0" xfId="0" applyNumberFormat="1" applyAlignment="1">
      <alignment horizontal="center" vertical="center" wrapText="1"/>
    </xf>
    <xf numFmtId="0" fontId="1" fillId="2" borderId="0" xfId="0" applyFont="1" applyFill="1" applyAlignment="1">
      <alignment horizontal="center" vertical="center" wrapText="1"/>
    </xf>
    <xf numFmtId="0" fontId="0" fillId="10" borderId="0" xfId="0" applyFill="1" applyAlignment="1">
      <alignment horizontal="left" vertical="center"/>
    </xf>
    <xf numFmtId="0" fontId="0" fillId="10" borderId="0" xfId="0" applyFill="1" applyAlignment="1">
      <alignment wrapText="1"/>
    </xf>
    <xf numFmtId="0" fontId="5" fillId="0" borderId="0" xfId="0" applyFont="1" applyAlignment="1">
      <alignment horizontal="left" vertical="center"/>
    </xf>
    <xf numFmtId="0" fontId="5" fillId="0" borderId="0" xfId="0" applyFont="1" applyAlignment="1">
      <alignment horizontal="right" vertical="center" indent="4"/>
    </xf>
    <xf numFmtId="0" fontId="0" fillId="0" borderId="0" xfId="0" applyAlignment="1">
      <alignment horizontal="right" vertical="center" indent="4"/>
    </xf>
    <xf numFmtId="0" fontId="8" fillId="14" borderId="19" xfId="0" applyFont="1" applyFill="1" applyBorder="1" applyAlignment="1">
      <alignment horizontal="center" vertical="center"/>
    </xf>
    <xf numFmtId="0" fontId="8" fillId="14" borderId="0" xfId="0" applyFont="1" applyFill="1" applyAlignment="1">
      <alignment wrapText="1"/>
    </xf>
    <xf numFmtId="0" fontId="8" fillId="14" borderId="0" xfId="0" applyFont="1" applyFill="1" applyAlignment="1">
      <alignment horizontal="center" vertical="center"/>
    </xf>
    <xf numFmtId="0" fontId="5" fillId="0" borderId="0" xfId="0" applyFont="1" applyAlignment="1">
      <alignment horizontal="center" vertical="center"/>
    </xf>
    <xf numFmtId="0" fontId="5" fillId="14" borderId="0" xfId="0" applyFont="1" applyFill="1" applyAlignment="1">
      <alignment horizontal="center" vertical="center"/>
    </xf>
    <xf numFmtId="0" fontId="8" fillId="15" borderId="0" xfId="0" applyFont="1" applyFill="1" applyAlignment="1">
      <alignment wrapText="1"/>
    </xf>
    <xf numFmtId="0" fontId="8" fillId="15" borderId="19" xfId="0" applyFont="1" applyFill="1" applyBorder="1" applyAlignment="1">
      <alignment horizontal="center" vertical="center"/>
    </xf>
    <xf numFmtId="0" fontId="5" fillId="3" borderId="0" xfId="0" applyFont="1" applyFill="1" applyAlignment="1">
      <alignment horizontal="right" vertical="center" indent="4"/>
    </xf>
    <xf numFmtId="0" fontId="0" fillId="3" borderId="0" xfId="0" applyFill="1" applyAlignment="1">
      <alignment horizontal="right" vertical="center" indent="4"/>
    </xf>
    <xf numFmtId="0" fontId="0" fillId="3" borderId="0" xfId="0" applyFill="1" applyAlignment="1">
      <alignment horizontal="right"/>
    </xf>
    <xf numFmtId="0" fontId="8" fillId="15" borderId="0" xfId="0" applyFont="1" applyFill="1"/>
    <xf numFmtId="0" fontId="1" fillId="3" borderId="9" xfId="0" applyFont="1" applyFill="1" applyBorder="1" applyAlignment="1">
      <alignment horizontal="center" vertical="center" wrapText="1"/>
    </xf>
    <xf numFmtId="0" fontId="0" fillId="10" borderId="0" xfId="0" applyFill="1" applyAlignment="1">
      <alignment horizontal="center" vertical="center" wrapText="1"/>
    </xf>
    <xf numFmtId="0" fontId="0" fillId="10" borderId="0" xfId="0" applyFill="1" applyAlignment="1">
      <alignment horizontal="right" vertical="center" indent="3"/>
    </xf>
    <xf numFmtId="0" fontId="3" fillId="0" borderId="0" xfId="0" applyFont="1" applyAlignment="1">
      <alignment vertical="center"/>
    </xf>
    <xf numFmtId="0" fontId="18"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horizontal="right" vertical="center" indent="3"/>
    </xf>
    <xf numFmtId="0" fontId="13" fillId="0" borderId="0" xfId="0" applyFont="1" applyAlignment="1">
      <alignment horizontal="center" vertical="center"/>
    </xf>
    <xf numFmtId="0" fontId="14" fillId="0" borderId="0" xfId="0" applyFont="1" applyAlignment="1">
      <alignment horizontal="center" vertical="center"/>
    </xf>
    <xf numFmtId="0" fontId="0" fillId="10" borderId="0" xfId="0" applyFill="1" applyAlignment="1">
      <alignment horizontal="left" vertical="center" wrapText="1"/>
    </xf>
    <xf numFmtId="0" fontId="0" fillId="10" borderId="0" xfId="0" applyFill="1" applyAlignment="1">
      <alignment horizontal="left" vertical="center" indent="3"/>
    </xf>
    <xf numFmtId="0" fontId="0" fillId="0" borderId="0" xfId="0" applyAlignment="1">
      <alignment horizontal="left" vertical="center" indent="3"/>
    </xf>
    <xf numFmtId="0" fontId="5" fillId="3" borderId="0" xfId="0" applyFont="1" applyFill="1" applyAlignment="1">
      <alignment horizontal="center" vertical="center"/>
    </xf>
    <xf numFmtId="1" fontId="1" fillId="0" borderId="0" xfId="0" applyNumberFormat="1" applyFont="1" applyAlignment="1">
      <alignment horizontal="center" vertical="center"/>
    </xf>
    <xf numFmtId="1" fontId="1" fillId="0" borderId="0" xfId="0" applyNumberFormat="1" applyFont="1" applyAlignment="1">
      <alignment horizontal="center"/>
    </xf>
    <xf numFmtId="1" fontId="0" fillId="0" borderId="0" xfId="0" applyNumberFormat="1" applyAlignment="1">
      <alignment horizontal="left" wrapText="1"/>
    </xf>
    <xf numFmtId="1" fontId="0" fillId="0" borderId="0" xfId="0" applyNumberFormat="1" applyAlignment="1">
      <alignment vertical="center" wrapText="1"/>
    </xf>
    <xf numFmtId="0" fontId="18" fillId="0" borderId="0" xfId="0" applyFont="1" applyAlignment="1">
      <alignment horizontal="right" vertical="center" indent="2"/>
    </xf>
    <xf numFmtId="1" fontId="18" fillId="0" borderId="0" xfId="0" applyNumberFormat="1" applyFont="1" applyAlignment="1">
      <alignment horizontal="right" vertical="center" wrapText="1"/>
    </xf>
    <xf numFmtId="0" fontId="18" fillId="0" borderId="0" xfId="0" applyFont="1" applyAlignment="1">
      <alignment horizontal="center" vertical="center"/>
    </xf>
    <xf numFmtId="1" fontId="18" fillId="0" borderId="0" xfId="0" applyNumberFormat="1" applyFont="1" applyAlignment="1">
      <alignment horizontal="center" vertical="center" wrapText="1"/>
    </xf>
    <xf numFmtId="0" fontId="18" fillId="0" borderId="0" xfId="0" applyFont="1" applyAlignment="1">
      <alignment horizontal="right" vertical="center"/>
    </xf>
    <xf numFmtId="49" fontId="18" fillId="0" borderId="0" xfId="0" applyNumberFormat="1" applyFont="1" applyAlignment="1">
      <alignment vertical="center" wrapText="1"/>
    </xf>
    <xf numFmtId="14" fontId="18" fillId="0" borderId="0" xfId="0" applyNumberFormat="1" applyFont="1" applyAlignment="1">
      <alignment vertical="center" wrapText="1"/>
    </xf>
    <xf numFmtId="164" fontId="18" fillId="0" borderId="0" xfId="0" applyNumberFormat="1" applyFont="1" applyAlignment="1">
      <alignment vertical="center" wrapText="1"/>
    </xf>
    <xf numFmtId="0" fontId="32" fillId="0" borderId="0" xfId="0" applyFont="1" applyAlignment="1">
      <alignment horizontal="center" vertical="center" wrapText="1"/>
    </xf>
    <xf numFmtId="164" fontId="18" fillId="0" borderId="0" xfId="0" applyNumberFormat="1" applyFont="1" applyAlignment="1">
      <alignment horizontal="center" vertical="center" wrapText="1"/>
    </xf>
    <xf numFmtId="0" fontId="32" fillId="10" borderId="0" xfId="0" applyFont="1" applyFill="1" applyAlignment="1">
      <alignment horizontal="center" vertical="center" wrapText="1"/>
    </xf>
    <xf numFmtId="0" fontId="32" fillId="2" borderId="0" xfId="0" applyFont="1" applyFill="1" applyAlignment="1">
      <alignment horizontal="center" vertical="center" wrapText="1"/>
    </xf>
    <xf numFmtId="1" fontId="18" fillId="10" borderId="0" xfId="0" applyNumberFormat="1" applyFont="1" applyFill="1" applyAlignment="1">
      <alignment horizontal="center" vertical="center" wrapText="1"/>
    </xf>
    <xf numFmtId="0" fontId="18" fillId="0" borderId="0" xfId="0" applyFont="1" applyAlignment="1">
      <alignment horizontal="left" vertical="center" wrapText="1"/>
    </xf>
    <xf numFmtId="0" fontId="18" fillId="0" borderId="0" xfId="0" applyFont="1" applyAlignment="1">
      <alignment vertical="center" wrapText="1"/>
    </xf>
    <xf numFmtId="0" fontId="32" fillId="0" borderId="0" xfId="0" applyFont="1" applyAlignment="1">
      <alignment wrapText="1"/>
    </xf>
    <xf numFmtId="164" fontId="18" fillId="0" borderId="0" xfId="0" applyNumberFormat="1" applyFont="1" applyAlignment="1">
      <alignment wrapText="1"/>
    </xf>
    <xf numFmtId="0" fontId="18" fillId="10" borderId="0" xfId="0" applyFont="1" applyFill="1" applyAlignment="1">
      <alignment vertical="center"/>
    </xf>
    <xf numFmtId="14" fontId="18" fillId="0" borderId="0" xfId="0" applyNumberFormat="1" applyFont="1"/>
    <xf numFmtId="14" fontId="18" fillId="2" borderId="0" xfId="0" applyNumberFormat="1" applyFont="1" applyFill="1"/>
    <xf numFmtId="1" fontId="18" fillId="0" borderId="0" xfId="0" applyNumberFormat="1" applyFont="1" applyAlignment="1">
      <alignment horizontal="center" vertical="center"/>
    </xf>
    <xf numFmtId="164" fontId="18" fillId="0" borderId="0" xfId="0" quotePrefix="1" applyNumberFormat="1" applyFont="1" applyAlignment="1">
      <alignment vertical="center" wrapText="1"/>
    </xf>
    <xf numFmtId="0" fontId="18" fillId="2" borderId="0" xfId="0" applyFont="1" applyFill="1" applyAlignment="1">
      <alignment vertical="center"/>
    </xf>
    <xf numFmtId="0" fontId="32" fillId="0" borderId="0" xfId="0" applyFont="1" applyAlignment="1">
      <alignment horizontal="right" vertical="center" wrapText="1" indent="3"/>
    </xf>
    <xf numFmtId="0" fontId="18" fillId="0" borderId="0" xfId="0" applyFont="1" applyAlignment="1">
      <alignment horizontal="left" vertical="center"/>
    </xf>
    <xf numFmtId="14" fontId="18" fillId="0" borderId="0" xfId="0" applyNumberFormat="1" applyFont="1" applyAlignment="1">
      <alignment vertical="center"/>
    </xf>
    <xf numFmtId="14" fontId="18" fillId="0" borderId="0" xfId="0" quotePrefix="1" applyNumberFormat="1" applyFont="1" applyAlignment="1">
      <alignment vertical="center"/>
    </xf>
    <xf numFmtId="0" fontId="18" fillId="0" borderId="0" xfId="0" applyFont="1" applyAlignment="1">
      <alignment horizontal="center" vertical="center" wrapText="1"/>
    </xf>
    <xf numFmtId="14" fontId="18" fillId="0" borderId="0" xfId="0" quotePrefix="1" applyNumberFormat="1" applyFont="1" applyAlignment="1">
      <alignment vertical="center" wrapText="1"/>
    </xf>
    <xf numFmtId="0" fontId="18" fillId="0" borderId="0" xfId="0" quotePrefix="1" applyFont="1" applyAlignment="1">
      <alignment vertical="center"/>
    </xf>
    <xf numFmtId="0" fontId="18" fillId="0" borderId="0" xfId="0" applyFont="1" applyAlignment="1">
      <alignment horizontal="right" vertical="center" indent="7"/>
    </xf>
    <xf numFmtId="1" fontId="18" fillId="0" borderId="0" xfId="0" applyNumberFormat="1" applyFont="1"/>
    <xf numFmtId="0" fontId="18" fillId="0" borderId="0" xfId="0" applyFont="1" applyAlignment="1">
      <alignment horizontal="left" wrapText="1"/>
    </xf>
    <xf numFmtId="0" fontId="18" fillId="0" borderId="0" xfId="0" applyFont="1" applyAlignment="1">
      <alignment horizontal="right" vertical="center" wrapText="1"/>
    </xf>
    <xf numFmtId="1" fontId="18" fillId="9" borderId="0" xfId="0" applyNumberFormat="1" applyFont="1" applyFill="1" applyAlignment="1">
      <alignment horizontal="center" vertical="center" wrapText="1"/>
    </xf>
    <xf numFmtId="0" fontId="32" fillId="0" borderId="0" xfId="0" applyFont="1" applyAlignment="1">
      <alignment horizontal="center" vertical="center"/>
    </xf>
    <xf numFmtId="164" fontId="32" fillId="0" borderId="0" xfId="0" applyNumberFormat="1" applyFont="1" applyAlignment="1">
      <alignment horizontal="center" vertical="center" wrapText="1"/>
    </xf>
    <xf numFmtId="164" fontId="32" fillId="10" borderId="0" xfId="0" applyNumberFormat="1" applyFont="1" applyFill="1" applyAlignment="1">
      <alignment horizontal="center" vertical="center" wrapText="1"/>
    </xf>
    <xf numFmtId="164" fontId="18" fillId="10" borderId="0" xfId="0" applyNumberFormat="1" applyFont="1" applyFill="1" applyAlignment="1">
      <alignment horizontal="center" vertical="center" wrapText="1"/>
    </xf>
    <xf numFmtId="0" fontId="32" fillId="10" borderId="0" xfId="0" applyFont="1" applyFill="1" applyAlignment="1">
      <alignment wrapText="1"/>
    </xf>
    <xf numFmtId="164" fontId="18" fillId="10" borderId="0" xfId="0" applyNumberFormat="1" applyFont="1" applyFill="1" applyAlignment="1">
      <alignment wrapText="1"/>
    </xf>
    <xf numFmtId="1" fontId="18" fillId="10" borderId="0" xfId="0" applyNumberFormat="1" applyFont="1" applyFill="1" applyAlignment="1">
      <alignment horizontal="right" vertical="center" wrapText="1" indent="2"/>
    </xf>
    <xf numFmtId="0" fontId="18" fillId="10" borderId="0" xfId="0" applyFont="1" applyFill="1" applyAlignment="1">
      <alignment horizontal="center" vertical="center"/>
    </xf>
    <xf numFmtId="1" fontId="18" fillId="10" borderId="0" xfId="0" applyNumberFormat="1" applyFont="1" applyFill="1" applyAlignment="1">
      <alignment horizontal="right" vertical="center" wrapText="1"/>
    </xf>
    <xf numFmtId="0" fontId="18" fillId="10" borderId="0" xfId="0" applyFont="1" applyFill="1"/>
    <xf numFmtId="1" fontId="18" fillId="10" borderId="0" xfId="0" applyNumberFormat="1" applyFont="1" applyFill="1" applyAlignment="1">
      <alignment horizontal="left" vertical="center" wrapText="1"/>
    </xf>
    <xf numFmtId="1" fontId="18" fillId="10" borderId="0" xfId="0" applyNumberFormat="1" applyFont="1" applyFill="1" applyAlignment="1">
      <alignment horizontal="right" vertical="center" wrapText="1" indent="3"/>
    </xf>
    <xf numFmtId="14" fontId="18" fillId="10" borderId="0" xfId="0" applyNumberFormat="1" applyFont="1" applyFill="1" applyAlignment="1">
      <alignment horizontal="center" vertical="center"/>
    </xf>
    <xf numFmtId="1" fontId="18" fillId="10" borderId="0" xfId="0" applyNumberFormat="1" applyFont="1" applyFill="1" applyAlignment="1">
      <alignment horizontal="right" vertical="center" indent="2"/>
    </xf>
    <xf numFmtId="0" fontId="18" fillId="10" borderId="0" xfId="0" applyFont="1" applyFill="1" applyAlignment="1">
      <alignment horizontal="left" vertical="center" wrapText="1"/>
    </xf>
    <xf numFmtId="0" fontId="18" fillId="10" borderId="0" xfId="0" applyFont="1" applyFill="1" applyAlignment="1">
      <alignment vertical="center" wrapText="1"/>
    </xf>
    <xf numFmtId="1" fontId="18" fillId="10" borderId="0" xfId="0" applyNumberFormat="1" applyFont="1" applyFill="1" applyAlignment="1">
      <alignment horizontal="left" vertical="center"/>
    </xf>
    <xf numFmtId="0" fontId="32" fillId="10" borderId="0" xfId="0" quotePrefix="1" applyFont="1" applyFill="1" applyAlignment="1">
      <alignment wrapText="1"/>
    </xf>
    <xf numFmtId="0" fontId="32" fillId="10" borderId="0" xfId="0" applyFont="1" applyFill="1" applyAlignment="1">
      <alignment vertical="center" wrapText="1"/>
    </xf>
    <xf numFmtId="0" fontId="18" fillId="0" borderId="0" xfId="0" applyFont="1" applyFill="1"/>
    <xf numFmtId="0" fontId="32" fillId="0" borderId="0" xfId="0" applyFont="1" applyAlignment="1">
      <alignment horizontal="right" vertical="center" wrapText="1" indent="2"/>
    </xf>
    <xf numFmtId="1" fontId="32" fillId="10" borderId="0" xfId="0" applyNumberFormat="1" applyFont="1" applyFill="1" applyAlignment="1">
      <alignment horizontal="center" vertical="center" wrapText="1"/>
    </xf>
    <xf numFmtId="0" fontId="32" fillId="10" borderId="0" xfId="0" applyFont="1" applyFill="1" applyAlignment="1">
      <alignment horizontal="center" wrapText="1"/>
    </xf>
    <xf numFmtId="1" fontId="32" fillId="10" borderId="0" xfId="0" applyNumberFormat="1" applyFont="1" applyFill="1" applyAlignment="1">
      <alignment horizontal="right" vertical="center" wrapText="1" indent="2"/>
    </xf>
    <xf numFmtId="0" fontId="32" fillId="10" borderId="0" xfId="0" applyFont="1" applyFill="1" applyAlignment="1">
      <alignment horizontal="right" vertical="center" wrapText="1" indent="3"/>
    </xf>
    <xf numFmtId="1" fontId="32" fillId="10" borderId="0" xfId="0" applyNumberFormat="1" applyFont="1" applyFill="1" applyAlignment="1">
      <alignment horizontal="left" vertical="center" wrapText="1"/>
    </xf>
    <xf numFmtId="0" fontId="32" fillId="0" borderId="0" xfId="0" applyFont="1" applyAlignment="1">
      <alignment vertical="center"/>
    </xf>
    <xf numFmtId="1" fontId="18" fillId="0" borderId="0" xfId="0" applyNumberFormat="1" applyFont="1" applyAlignment="1">
      <alignment horizontal="right" vertical="center" indent="4"/>
    </xf>
    <xf numFmtId="164" fontId="18" fillId="0" borderId="0" xfId="0" applyNumberFormat="1" applyFont="1" applyAlignment="1">
      <alignment vertical="center"/>
    </xf>
    <xf numFmtId="164" fontId="32" fillId="0" borderId="0" xfId="0" applyNumberFormat="1" applyFont="1" applyAlignment="1">
      <alignment horizontal="center" vertical="center"/>
    </xf>
    <xf numFmtId="164" fontId="18" fillId="0" borderId="0" xfId="0" applyNumberFormat="1" applyFont="1" applyAlignment="1">
      <alignment horizontal="center" vertical="center"/>
    </xf>
    <xf numFmtId="0" fontId="32" fillId="10" borderId="0" xfId="0" applyFont="1" applyFill="1" applyAlignment="1">
      <alignment horizontal="right" vertical="center" wrapText="1" indent="6"/>
    </xf>
    <xf numFmtId="0" fontId="32" fillId="0" borderId="0" xfId="0" applyFont="1" applyFill="1" applyAlignment="1">
      <alignment horizontal="left" vertical="center" wrapText="1"/>
    </xf>
    <xf numFmtId="0" fontId="18" fillId="0" borderId="0" xfId="0" applyFont="1" applyFill="1" applyAlignment="1">
      <alignment horizontal="left" vertical="center" wrapText="1"/>
    </xf>
    <xf numFmtId="0" fontId="0" fillId="0" borderId="0" xfId="0" applyFont="1" applyAlignment="1">
      <alignment vertical="center"/>
    </xf>
    <xf numFmtId="0" fontId="0" fillId="0" borderId="0" xfId="0" applyFont="1" applyAlignment="1">
      <alignment horizontal="left" vertical="center"/>
    </xf>
    <xf numFmtId="0" fontId="1" fillId="0" borderId="0" xfId="0" applyFont="1" applyFill="1" applyAlignment="1">
      <alignment vertical="center"/>
    </xf>
    <xf numFmtId="0" fontId="0" fillId="0" borderId="0" xfId="0" quotePrefix="1" applyFill="1" applyAlignment="1">
      <alignment vertical="center"/>
    </xf>
    <xf numFmtId="0" fontId="0" fillId="0" borderId="0" xfId="0" applyFill="1" applyAlignment="1">
      <alignment horizontal="left" vertical="center"/>
    </xf>
    <xf numFmtId="0" fontId="18" fillId="0" borderId="0" xfId="0" applyFont="1" applyFill="1" applyAlignment="1">
      <alignment horizontal="right" vertical="center" wrapText="1" indent="4"/>
    </xf>
    <xf numFmtId="0" fontId="0" fillId="10" borderId="0" xfId="0" applyFill="1" applyAlignment="1">
      <alignment horizontal="center" vertical="center"/>
    </xf>
    <xf numFmtId="0" fontId="1" fillId="0" borderId="0" xfId="0" applyFont="1" applyFill="1" applyAlignment="1">
      <alignment horizontal="left" vertical="center"/>
    </xf>
  </cellXfs>
  <cellStyles count="3">
    <cellStyle name="Hyperlink" xfId="1" builtinId="8"/>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70" baseline="0">
                <a:solidFill>
                  <a:schemeClr val="dk1">
                    <a:lumMod val="50000"/>
                    <a:lumOff val="50000"/>
                  </a:schemeClr>
                </a:solidFill>
                <a:latin typeface="+mn-lt"/>
                <a:ea typeface="+mn-ea"/>
                <a:cs typeface="+mn-cs"/>
              </a:defRPr>
            </a:pPr>
            <a:r>
              <a:rPr lang="en-GB" b="1"/>
              <a:t>SPAN</a:t>
            </a:r>
            <a:r>
              <a:rPr lang="en-GB" b="1" baseline="0"/>
              <a:t> OF LOYD GENERATIONS 1650</a:t>
            </a:r>
            <a:r>
              <a:rPr lang="en-US" sz="1600" b="1" i="0" u="none" strike="noStrike" baseline="0">
                <a:effectLst/>
              </a:rPr>
              <a:t>–</a:t>
            </a:r>
            <a:r>
              <a:rPr lang="en-GB" b="1" baseline="0"/>
              <a:t>2022</a:t>
            </a:r>
          </a:p>
          <a:p>
            <a:pPr>
              <a:defRPr b="1"/>
            </a:pPr>
            <a:endParaRPr lang="en-GB" b="1" baseline="0"/>
          </a:p>
          <a:p>
            <a:pPr>
              <a:defRPr b="1"/>
            </a:pPr>
            <a:endParaRPr lang="en-GB" b="1" baseline="0"/>
          </a:p>
          <a:p>
            <a:pPr>
              <a:defRPr b="1"/>
            </a:pPr>
            <a:endParaRPr lang="en-GB" b="1" baseline="0"/>
          </a:p>
          <a:p>
            <a:pPr>
              <a:defRPr b="1"/>
            </a:pPr>
            <a:endParaRPr lang="en-GB" b="1" baseline="0"/>
          </a:p>
          <a:p>
            <a:pPr>
              <a:defRPr b="1"/>
            </a:pPr>
            <a:endParaRPr lang="en-GB" b="1" baseline="0"/>
          </a:p>
          <a:p>
            <a:pPr>
              <a:defRPr b="1"/>
            </a:pPr>
            <a:endParaRPr lang="en-GB" b="1" baseline="0"/>
          </a:p>
          <a:p>
            <a:pPr>
              <a:defRPr b="1"/>
            </a:pPr>
            <a:endParaRPr lang="en-GB" b="1" baseline="0"/>
          </a:p>
          <a:p>
            <a:pPr>
              <a:defRPr b="1"/>
            </a:pPr>
            <a:r>
              <a:rPr lang="en-GB" sz="1600" b="1" i="0" u="none" strike="noStrike" baseline="0">
                <a:effectLst/>
              </a:rPr>
              <a:t>'Open' g</a:t>
            </a:r>
            <a:r>
              <a:rPr lang="en-GB" b="1"/>
              <a:t>enerations</a:t>
            </a:r>
            <a:r>
              <a:rPr lang="en-GB" b="1" baseline="0"/>
              <a:t> still have members alive today,</a:t>
            </a:r>
          </a:p>
          <a:p>
            <a:pPr>
              <a:defRPr b="1"/>
            </a:pPr>
            <a:r>
              <a:rPr lang="en-GB" sz="1600" b="1" i="0" u="none" strike="noStrike" baseline="0">
                <a:effectLst/>
              </a:rPr>
              <a:t>whereas generations labelled with '</a:t>
            </a:r>
            <a:r>
              <a:rPr lang="en-GB" b="1" baseline="0"/>
              <a:t>End' all members are deceased. </a:t>
            </a:r>
            <a:endParaRPr lang="en-GB" b="1"/>
          </a:p>
        </c:rich>
      </c:tx>
      <c:layout>
        <c:manualLayout>
          <c:xMode val="edge"/>
          <c:yMode val="edge"/>
          <c:x val="5.9344307038230217E-2"/>
          <c:y val="2.2931032219805341E-2"/>
        </c:manualLayout>
      </c:layout>
      <c:overlay val="1"/>
      <c:spPr>
        <a:noFill/>
        <a:ln>
          <a:noFill/>
        </a:ln>
        <a:effectLst/>
      </c:spPr>
      <c:txPr>
        <a:bodyPr rot="0" spcFirstLastPara="1" vertOverflow="ellipsis" vert="horz" wrap="square" anchor="ctr" anchorCtr="1"/>
        <a:lstStyle/>
        <a:p>
          <a:pPr>
            <a:defRPr sz="1600" b="1"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2"/>
          <c:order val="0"/>
          <c:tx>
            <c:strRef>
              <c:f>'Generations&amp;Photos- CostsAT1'!$L$32</c:f>
              <c:strCache>
                <c:ptCount val="1"/>
                <c:pt idx="0">
                  <c:v>Year</c:v>
                </c:pt>
              </c:strCache>
            </c:strRef>
          </c:tx>
          <c:spPr>
            <a:ln w="25400">
              <a:noFill/>
            </a:ln>
            <a:effectLst/>
          </c:spPr>
          <c:marker>
            <c:symbol val="circle"/>
            <c:size val="4"/>
            <c:spPr>
              <a:solidFill>
                <a:schemeClr val="accent3"/>
              </a:solidFill>
              <a:ln w="9525" cap="flat" cmpd="sng" algn="ctr">
                <a:solidFill>
                  <a:schemeClr val="accent3"/>
                </a:solidFill>
                <a:round/>
              </a:ln>
              <a:effectLst/>
            </c:spPr>
          </c:marker>
          <c:xVal>
            <c:numRef>
              <c:f>'Generations&amp;Photos- CostsAT1'!$L$33:$L$295</c:f>
              <c:numCache>
                <c:formatCode>General</c:formatCode>
                <c:ptCount val="263"/>
                <c:pt idx="0">
                  <c:v>1765</c:v>
                </c:pt>
                <c:pt idx="1">
                  <c:v>1796</c:v>
                </c:pt>
                <c:pt idx="2">
                  <c:v>1832</c:v>
                </c:pt>
                <c:pt idx="3">
                  <c:v>1875</c:v>
                </c:pt>
                <c:pt idx="4">
                  <c:v>1912</c:v>
                </c:pt>
                <c:pt idx="5">
                  <c:v>1948</c:v>
                </c:pt>
                <c:pt idx="6">
                  <c:v>1982</c:v>
                </c:pt>
                <c:pt idx="7">
                  <c:v>2014</c:v>
                </c:pt>
                <c:pt idx="8">
                  <c:v>1729</c:v>
                </c:pt>
                <c:pt idx="9">
                  <c:v>1690</c:v>
                </c:pt>
                <c:pt idx="10">
                  <c:v>1653</c:v>
                </c:pt>
                <c:pt idx="11">
                  <c:v>1650</c:v>
                </c:pt>
                <c:pt idx="12">
                  <c:v>1660</c:v>
                </c:pt>
                <c:pt idx="13">
                  <c:v>1685</c:v>
                </c:pt>
                <c:pt idx="14">
                  <c:v>1689</c:v>
                </c:pt>
                <c:pt idx="15">
                  <c:v>1694</c:v>
                </c:pt>
                <c:pt idx="16">
                  <c:v>1804</c:v>
                </c:pt>
                <c:pt idx="17">
                  <c:v>2029</c:v>
                </c:pt>
                <c:pt idx="18">
                  <c:v>1727</c:v>
                </c:pt>
                <c:pt idx="19">
                  <c:v>1760</c:v>
                </c:pt>
                <c:pt idx="20">
                  <c:v>1820</c:v>
                </c:pt>
                <c:pt idx="21">
                  <c:v>1830</c:v>
                </c:pt>
                <c:pt idx="22">
                  <c:v>1876</c:v>
                </c:pt>
                <c:pt idx="23">
                  <c:v>1901</c:v>
                </c:pt>
                <c:pt idx="24">
                  <c:v>1910</c:v>
                </c:pt>
                <c:pt idx="25">
                  <c:v>1989</c:v>
                </c:pt>
                <c:pt idx="26">
                  <c:v>2022</c:v>
                </c:pt>
                <c:pt idx="27">
                  <c:v>1952</c:v>
                </c:pt>
                <c:pt idx="28">
                  <c:v>1765</c:v>
                </c:pt>
                <c:pt idx="29">
                  <c:v>1766</c:v>
                </c:pt>
                <c:pt idx="30">
                  <c:v>1767</c:v>
                </c:pt>
                <c:pt idx="31">
                  <c:v>1768</c:v>
                </c:pt>
                <c:pt idx="32">
                  <c:v>1769</c:v>
                </c:pt>
                <c:pt idx="33">
                  <c:v>1770</c:v>
                </c:pt>
                <c:pt idx="34">
                  <c:v>1771</c:v>
                </c:pt>
                <c:pt idx="35">
                  <c:v>1772</c:v>
                </c:pt>
                <c:pt idx="36">
                  <c:v>1773</c:v>
                </c:pt>
                <c:pt idx="37">
                  <c:v>1774</c:v>
                </c:pt>
                <c:pt idx="38">
                  <c:v>1775</c:v>
                </c:pt>
                <c:pt idx="39">
                  <c:v>1776</c:v>
                </c:pt>
                <c:pt idx="40">
                  <c:v>1777</c:v>
                </c:pt>
                <c:pt idx="41">
                  <c:v>1778</c:v>
                </c:pt>
                <c:pt idx="42">
                  <c:v>1779</c:v>
                </c:pt>
                <c:pt idx="43">
                  <c:v>1780</c:v>
                </c:pt>
                <c:pt idx="44">
                  <c:v>1796</c:v>
                </c:pt>
                <c:pt idx="45">
                  <c:v>1797</c:v>
                </c:pt>
                <c:pt idx="46">
                  <c:v>1798</c:v>
                </c:pt>
                <c:pt idx="47">
                  <c:v>1799</c:v>
                </c:pt>
                <c:pt idx="48">
                  <c:v>1800</c:v>
                </c:pt>
                <c:pt idx="49">
                  <c:v>1801</c:v>
                </c:pt>
                <c:pt idx="50">
                  <c:v>1802</c:v>
                </c:pt>
                <c:pt idx="51">
                  <c:v>1803</c:v>
                </c:pt>
                <c:pt idx="52">
                  <c:v>1804</c:v>
                </c:pt>
                <c:pt idx="53">
                  <c:v>1805</c:v>
                </c:pt>
                <c:pt idx="54">
                  <c:v>1806</c:v>
                </c:pt>
                <c:pt idx="55">
                  <c:v>1807</c:v>
                </c:pt>
                <c:pt idx="56">
                  <c:v>1808</c:v>
                </c:pt>
                <c:pt idx="57">
                  <c:v>1809</c:v>
                </c:pt>
                <c:pt idx="58">
                  <c:v>1810</c:v>
                </c:pt>
                <c:pt idx="59">
                  <c:v>1811</c:v>
                </c:pt>
                <c:pt idx="60">
                  <c:v>1812</c:v>
                </c:pt>
                <c:pt idx="61">
                  <c:v>1813</c:v>
                </c:pt>
                <c:pt idx="62">
                  <c:v>1814</c:v>
                </c:pt>
                <c:pt idx="63">
                  <c:v>1815</c:v>
                </c:pt>
                <c:pt idx="64">
                  <c:v>1816</c:v>
                </c:pt>
                <c:pt idx="65">
                  <c:v>1817</c:v>
                </c:pt>
                <c:pt idx="66">
                  <c:v>1818</c:v>
                </c:pt>
                <c:pt idx="67">
                  <c:v>1819</c:v>
                </c:pt>
                <c:pt idx="68">
                  <c:v>1820</c:v>
                </c:pt>
                <c:pt idx="69">
                  <c:v>1821</c:v>
                </c:pt>
                <c:pt idx="70">
                  <c:v>1822</c:v>
                </c:pt>
                <c:pt idx="71">
                  <c:v>1823</c:v>
                </c:pt>
                <c:pt idx="72">
                  <c:v>1824</c:v>
                </c:pt>
                <c:pt idx="73">
                  <c:v>1832</c:v>
                </c:pt>
                <c:pt idx="74">
                  <c:v>1833</c:v>
                </c:pt>
                <c:pt idx="75">
                  <c:v>1834</c:v>
                </c:pt>
                <c:pt idx="76">
                  <c:v>1835</c:v>
                </c:pt>
                <c:pt idx="77">
                  <c:v>1836</c:v>
                </c:pt>
                <c:pt idx="78">
                  <c:v>1837</c:v>
                </c:pt>
                <c:pt idx="79">
                  <c:v>1838</c:v>
                </c:pt>
                <c:pt idx="80">
                  <c:v>1839</c:v>
                </c:pt>
                <c:pt idx="81">
                  <c:v>1840</c:v>
                </c:pt>
                <c:pt idx="82">
                  <c:v>1841</c:v>
                </c:pt>
                <c:pt idx="83">
                  <c:v>1842</c:v>
                </c:pt>
                <c:pt idx="84">
                  <c:v>1843</c:v>
                </c:pt>
                <c:pt idx="85">
                  <c:v>1844</c:v>
                </c:pt>
                <c:pt idx="86">
                  <c:v>1845</c:v>
                </c:pt>
                <c:pt idx="87">
                  <c:v>1846</c:v>
                </c:pt>
                <c:pt idx="88">
                  <c:v>1847</c:v>
                </c:pt>
                <c:pt idx="89">
                  <c:v>1848</c:v>
                </c:pt>
                <c:pt idx="90">
                  <c:v>1849</c:v>
                </c:pt>
                <c:pt idx="91">
                  <c:v>1850</c:v>
                </c:pt>
                <c:pt idx="92">
                  <c:v>1851</c:v>
                </c:pt>
                <c:pt idx="93">
                  <c:v>1852</c:v>
                </c:pt>
                <c:pt idx="94">
                  <c:v>1853</c:v>
                </c:pt>
                <c:pt idx="95">
                  <c:v>1854</c:v>
                </c:pt>
                <c:pt idx="96">
                  <c:v>1855</c:v>
                </c:pt>
                <c:pt idx="97">
                  <c:v>1856</c:v>
                </c:pt>
                <c:pt idx="98">
                  <c:v>1857</c:v>
                </c:pt>
                <c:pt idx="99">
                  <c:v>1858</c:v>
                </c:pt>
                <c:pt idx="100">
                  <c:v>1859</c:v>
                </c:pt>
                <c:pt idx="101">
                  <c:v>1860</c:v>
                </c:pt>
                <c:pt idx="102">
                  <c:v>1861</c:v>
                </c:pt>
                <c:pt idx="103">
                  <c:v>1862</c:v>
                </c:pt>
                <c:pt idx="104">
                  <c:v>1863</c:v>
                </c:pt>
                <c:pt idx="105">
                  <c:v>1864</c:v>
                </c:pt>
                <c:pt idx="106">
                  <c:v>1865</c:v>
                </c:pt>
                <c:pt idx="107">
                  <c:v>1866</c:v>
                </c:pt>
                <c:pt idx="108">
                  <c:v>1867</c:v>
                </c:pt>
                <c:pt idx="109">
                  <c:v>1868</c:v>
                </c:pt>
                <c:pt idx="110">
                  <c:v>1875</c:v>
                </c:pt>
                <c:pt idx="111">
                  <c:v>1876</c:v>
                </c:pt>
                <c:pt idx="112">
                  <c:v>1877</c:v>
                </c:pt>
                <c:pt idx="113">
                  <c:v>1878</c:v>
                </c:pt>
                <c:pt idx="114">
                  <c:v>1879</c:v>
                </c:pt>
                <c:pt idx="115">
                  <c:v>1880</c:v>
                </c:pt>
                <c:pt idx="116">
                  <c:v>1881</c:v>
                </c:pt>
                <c:pt idx="117">
                  <c:v>1882</c:v>
                </c:pt>
                <c:pt idx="118">
                  <c:v>1883</c:v>
                </c:pt>
                <c:pt idx="119">
                  <c:v>1884</c:v>
                </c:pt>
                <c:pt idx="120">
                  <c:v>1885</c:v>
                </c:pt>
                <c:pt idx="121">
                  <c:v>1886</c:v>
                </c:pt>
                <c:pt idx="122">
                  <c:v>1887</c:v>
                </c:pt>
                <c:pt idx="123">
                  <c:v>1888</c:v>
                </c:pt>
                <c:pt idx="124">
                  <c:v>1889</c:v>
                </c:pt>
                <c:pt idx="125">
                  <c:v>1890</c:v>
                </c:pt>
                <c:pt idx="126">
                  <c:v>1891</c:v>
                </c:pt>
                <c:pt idx="127">
                  <c:v>1892</c:v>
                </c:pt>
                <c:pt idx="128">
                  <c:v>1893</c:v>
                </c:pt>
                <c:pt idx="129">
                  <c:v>1894</c:v>
                </c:pt>
                <c:pt idx="130">
                  <c:v>1895</c:v>
                </c:pt>
                <c:pt idx="131">
                  <c:v>1896</c:v>
                </c:pt>
                <c:pt idx="132">
                  <c:v>1897</c:v>
                </c:pt>
                <c:pt idx="133">
                  <c:v>1898</c:v>
                </c:pt>
                <c:pt idx="134">
                  <c:v>1899</c:v>
                </c:pt>
                <c:pt idx="135">
                  <c:v>1900</c:v>
                </c:pt>
                <c:pt idx="136">
                  <c:v>1901</c:v>
                </c:pt>
                <c:pt idx="137">
                  <c:v>1902</c:v>
                </c:pt>
                <c:pt idx="138">
                  <c:v>1912</c:v>
                </c:pt>
                <c:pt idx="139">
                  <c:v>1913</c:v>
                </c:pt>
                <c:pt idx="140">
                  <c:v>1914</c:v>
                </c:pt>
                <c:pt idx="141">
                  <c:v>1915</c:v>
                </c:pt>
                <c:pt idx="142">
                  <c:v>1916</c:v>
                </c:pt>
                <c:pt idx="143">
                  <c:v>1917</c:v>
                </c:pt>
                <c:pt idx="144">
                  <c:v>1918</c:v>
                </c:pt>
                <c:pt idx="145">
                  <c:v>1919</c:v>
                </c:pt>
                <c:pt idx="146">
                  <c:v>1920</c:v>
                </c:pt>
                <c:pt idx="147">
                  <c:v>1921</c:v>
                </c:pt>
                <c:pt idx="148">
                  <c:v>1922</c:v>
                </c:pt>
                <c:pt idx="149">
                  <c:v>1923</c:v>
                </c:pt>
                <c:pt idx="150">
                  <c:v>1924</c:v>
                </c:pt>
                <c:pt idx="151">
                  <c:v>1925</c:v>
                </c:pt>
                <c:pt idx="152">
                  <c:v>1926</c:v>
                </c:pt>
                <c:pt idx="153">
                  <c:v>1927</c:v>
                </c:pt>
                <c:pt idx="154">
                  <c:v>1928</c:v>
                </c:pt>
                <c:pt idx="155">
                  <c:v>1929</c:v>
                </c:pt>
                <c:pt idx="156">
                  <c:v>1930</c:v>
                </c:pt>
                <c:pt idx="157">
                  <c:v>1931</c:v>
                </c:pt>
                <c:pt idx="158">
                  <c:v>1932</c:v>
                </c:pt>
                <c:pt idx="159">
                  <c:v>1933</c:v>
                </c:pt>
                <c:pt idx="160">
                  <c:v>1934</c:v>
                </c:pt>
                <c:pt idx="161">
                  <c:v>1935</c:v>
                </c:pt>
                <c:pt idx="162">
                  <c:v>1936</c:v>
                </c:pt>
                <c:pt idx="163">
                  <c:v>1937</c:v>
                </c:pt>
                <c:pt idx="164">
                  <c:v>1938</c:v>
                </c:pt>
                <c:pt idx="165">
                  <c:v>1939</c:v>
                </c:pt>
                <c:pt idx="166">
                  <c:v>1940</c:v>
                </c:pt>
                <c:pt idx="167">
                  <c:v>1941</c:v>
                </c:pt>
                <c:pt idx="168">
                  <c:v>1942</c:v>
                </c:pt>
                <c:pt idx="169">
                  <c:v>1943</c:v>
                </c:pt>
                <c:pt idx="170">
                  <c:v>1944</c:v>
                </c:pt>
                <c:pt idx="171">
                  <c:v>1945</c:v>
                </c:pt>
                <c:pt idx="172">
                  <c:v>1946</c:v>
                </c:pt>
                <c:pt idx="173">
                  <c:v>1947</c:v>
                </c:pt>
                <c:pt idx="174">
                  <c:v>1948</c:v>
                </c:pt>
                <c:pt idx="175">
                  <c:v>1949</c:v>
                </c:pt>
                <c:pt idx="176">
                  <c:v>1950</c:v>
                </c:pt>
                <c:pt idx="177">
                  <c:v>1951</c:v>
                </c:pt>
                <c:pt idx="178">
                  <c:v>1952</c:v>
                </c:pt>
                <c:pt idx="179">
                  <c:v>1953</c:v>
                </c:pt>
                <c:pt idx="180">
                  <c:v>1954</c:v>
                </c:pt>
                <c:pt idx="181">
                  <c:v>1955</c:v>
                </c:pt>
                <c:pt idx="182">
                  <c:v>1956</c:v>
                </c:pt>
                <c:pt idx="183">
                  <c:v>1957</c:v>
                </c:pt>
                <c:pt idx="184">
                  <c:v>1958</c:v>
                </c:pt>
                <c:pt idx="185">
                  <c:v>1959</c:v>
                </c:pt>
                <c:pt idx="186">
                  <c:v>1960</c:v>
                </c:pt>
                <c:pt idx="187">
                  <c:v>1961</c:v>
                </c:pt>
                <c:pt idx="188">
                  <c:v>1947</c:v>
                </c:pt>
                <c:pt idx="189">
                  <c:v>1948</c:v>
                </c:pt>
                <c:pt idx="190">
                  <c:v>1949</c:v>
                </c:pt>
                <c:pt idx="191">
                  <c:v>1950</c:v>
                </c:pt>
                <c:pt idx="192">
                  <c:v>1951</c:v>
                </c:pt>
                <c:pt idx="193">
                  <c:v>1952</c:v>
                </c:pt>
                <c:pt idx="194">
                  <c:v>1953</c:v>
                </c:pt>
                <c:pt idx="195">
                  <c:v>1954</c:v>
                </c:pt>
                <c:pt idx="196">
                  <c:v>1955</c:v>
                </c:pt>
                <c:pt idx="197">
                  <c:v>1956</c:v>
                </c:pt>
                <c:pt idx="198">
                  <c:v>1957</c:v>
                </c:pt>
                <c:pt idx="199">
                  <c:v>1958</c:v>
                </c:pt>
                <c:pt idx="200">
                  <c:v>1959</c:v>
                </c:pt>
                <c:pt idx="201">
                  <c:v>1960</c:v>
                </c:pt>
                <c:pt idx="202">
                  <c:v>1961</c:v>
                </c:pt>
                <c:pt idx="203">
                  <c:v>1962</c:v>
                </c:pt>
                <c:pt idx="204">
                  <c:v>1963</c:v>
                </c:pt>
                <c:pt idx="205">
                  <c:v>1964</c:v>
                </c:pt>
                <c:pt idx="206">
                  <c:v>1965</c:v>
                </c:pt>
                <c:pt idx="207">
                  <c:v>1966</c:v>
                </c:pt>
                <c:pt idx="208">
                  <c:v>1967</c:v>
                </c:pt>
                <c:pt idx="209">
                  <c:v>1968</c:v>
                </c:pt>
                <c:pt idx="210">
                  <c:v>1969</c:v>
                </c:pt>
                <c:pt idx="211">
                  <c:v>1970</c:v>
                </c:pt>
                <c:pt idx="212">
                  <c:v>1971</c:v>
                </c:pt>
                <c:pt idx="213">
                  <c:v>1972</c:v>
                </c:pt>
                <c:pt idx="214">
                  <c:v>1973</c:v>
                </c:pt>
                <c:pt idx="215">
                  <c:v>1974</c:v>
                </c:pt>
                <c:pt idx="216">
                  <c:v>1975</c:v>
                </c:pt>
                <c:pt idx="217">
                  <c:v>1976</c:v>
                </c:pt>
                <c:pt idx="218">
                  <c:v>1977</c:v>
                </c:pt>
                <c:pt idx="219">
                  <c:v>1978</c:v>
                </c:pt>
                <c:pt idx="220">
                  <c:v>1979</c:v>
                </c:pt>
                <c:pt idx="221">
                  <c:v>1980</c:v>
                </c:pt>
                <c:pt idx="222">
                  <c:v>1981</c:v>
                </c:pt>
                <c:pt idx="223">
                  <c:v>1982</c:v>
                </c:pt>
                <c:pt idx="224">
                  <c:v>1983</c:v>
                </c:pt>
                <c:pt idx="225">
                  <c:v>1984</c:v>
                </c:pt>
                <c:pt idx="226">
                  <c:v>1982</c:v>
                </c:pt>
                <c:pt idx="227">
                  <c:v>1983</c:v>
                </c:pt>
                <c:pt idx="228">
                  <c:v>1984</c:v>
                </c:pt>
                <c:pt idx="229">
                  <c:v>1985</c:v>
                </c:pt>
                <c:pt idx="230">
                  <c:v>1986</c:v>
                </c:pt>
                <c:pt idx="231">
                  <c:v>1987</c:v>
                </c:pt>
                <c:pt idx="232">
                  <c:v>1988</c:v>
                </c:pt>
                <c:pt idx="233">
                  <c:v>1989</c:v>
                </c:pt>
                <c:pt idx="234">
                  <c:v>1990</c:v>
                </c:pt>
                <c:pt idx="235">
                  <c:v>1991</c:v>
                </c:pt>
                <c:pt idx="236">
                  <c:v>1992</c:v>
                </c:pt>
                <c:pt idx="237">
                  <c:v>1993</c:v>
                </c:pt>
                <c:pt idx="238">
                  <c:v>1994</c:v>
                </c:pt>
                <c:pt idx="239">
                  <c:v>1995</c:v>
                </c:pt>
                <c:pt idx="240">
                  <c:v>1996</c:v>
                </c:pt>
                <c:pt idx="241">
                  <c:v>1997</c:v>
                </c:pt>
                <c:pt idx="242">
                  <c:v>1998</c:v>
                </c:pt>
                <c:pt idx="243">
                  <c:v>1999</c:v>
                </c:pt>
                <c:pt idx="244">
                  <c:v>2000</c:v>
                </c:pt>
                <c:pt idx="245">
                  <c:v>2001</c:v>
                </c:pt>
                <c:pt idx="246">
                  <c:v>2002</c:v>
                </c:pt>
                <c:pt idx="247">
                  <c:v>2003</c:v>
                </c:pt>
                <c:pt idx="248">
                  <c:v>2004</c:v>
                </c:pt>
                <c:pt idx="249">
                  <c:v>2005</c:v>
                </c:pt>
                <c:pt idx="250">
                  <c:v>2006</c:v>
                </c:pt>
                <c:pt idx="251">
                  <c:v>2007</c:v>
                </c:pt>
                <c:pt idx="252">
                  <c:v>2008</c:v>
                </c:pt>
                <c:pt idx="253">
                  <c:v>2009</c:v>
                </c:pt>
                <c:pt idx="254">
                  <c:v>2010</c:v>
                </c:pt>
                <c:pt idx="255">
                  <c:v>2014</c:v>
                </c:pt>
                <c:pt idx="256">
                  <c:v>2015</c:v>
                </c:pt>
                <c:pt idx="257">
                  <c:v>2016</c:v>
                </c:pt>
                <c:pt idx="258">
                  <c:v>2017</c:v>
                </c:pt>
                <c:pt idx="259">
                  <c:v>2018</c:v>
                </c:pt>
                <c:pt idx="260">
                  <c:v>2019</c:v>
                </c:pt>
                <c:pt idx="261">
                  <c:v>2020</c:v>
                </c:pt>
                <c:pt idx="262">
                  <c:v>2021</c:v>
                </c:pt>
              </c:numCache>
            </c:numRef>
          </c:xVal>
          <c:yVal>
            <c:numRef>
              <c:f>'Generations&amp;Photos- CostsAT1'!$M$33:$M$295</c:f>
              <c:numCache>
                <c:formatCode>General</c:formatCode>
                <c:ptCount val="263"/>
                <c:pt idx="0">
                  <c:v>1</c:v>
                </c:pt>
                <c:pt idx="1">
                  <c:v>2</c:v>
                </c:pt>
                <c:pt idx="2">
                  <c:v>3</c:v>
                </c:pt>
                <c:pt idx="3">
                  <c:v>4</c:v>
                </c:pt>
                <c:pt idx="4">
                  <c:v>5</c:v>
                </c:pt>
                <c:pt idx="5">
                  <c:v>6</c:v>
                </c:pt>
                <c:pt idx="6">
                  <c:v>7</c:v>
                </c:pt>
                <c:pt idx="7">
                  <c:v>8</c:v>
                </c:pt>
                <c:pt idx="8">
                  <c:v>0</c:v>
                </c:pt>
                <c:pt idx="9">
                  <c:v>-1</c:v>
                </c:pt>
                <c:pt idx="10">
                  <c:v>-2</c:v>
                </c:pt>
                <c:pt idx="11">
                  <c:v>-2.5</c:v>
                </c:pt>
                <c:pt idx="12">
                  <c:v>9.5</c:v>
                </c:pt>
                <c:pt idx="13">
                  <c:v>9.5</c:v>
                </c:pt>
                <c:pt idx="14">
                  <c:v>-1.5</c:v>
                </c:pt>
                <c:pt idx="15">
                  <c:v>10</c:v>
                </c:pt>
                <c:pt idx="16">
                  <c:v>1.7</c:v>
                </c:pt>
                <c:pt idx="17">
                  <c:v>8.6999999999999993</c:v>
                </c:pt>
                <c:pt idx="18">
                  <c:v>-0.5</c:v>
                </c:pt>
                <c:pt idx="19">
                  <c:v>0.7</c:v>
                </c:pt>
                <c:pt idx="20">
                  <c:v>9.5</c:v>
                </c:pt>
                <c:pt idx="21">
                  <c:v>2.7</c:v>
                </c:pt>
                <c:pt idx="22">
                  <c:v>3.7</c:v>
                </c:pt>
                <c:pt idx="23">
                  <c:v>9.5</c:v>
                </c:pt>
                <c:pt idx="24">
                  <c:v>4.7</c:v>
                </c:pt>
                <c:pt idx="25">
                  <c:v>6.7</c:v>
                </c:pt>
                <c:pt idx="26">
                  <c:v>7.5</c:v>
                </c:pt>
                <c:pt idx="27">
                  <c:v>5.7</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6</c:v>
                </c:pt>
                <c:pt idx="189">
                  <c:v>6</c:v>
                </c:pt>
                <c:pt idx="190">
                  <c:v>6</c:v>
                </c:pt>
                <c:pt idx="191">
                  <c:v>6</c:v>
                </c:pt>
                <c:pt idx="192">
                  <c:v>6</c:v>
                </c:pt>
                <c:pt idx="193">
                  <c:v>6</c:v>
                </c:pt>
                <c:pt idx="194">
                  <c:v>6</c:v>
                </c:pt>
                <c:pt idx="195">
                  <c:v>6</c:v>
                </c:pt>
                <c:pt idx="196">
                  <c:v>6</c:v>
                </c:pt>
                <c:pt idx="197">
                  <c:v>6</c:v>
                </c:pt>
                <c:pt idx="198">
                  <c:v>6</c:v>
                </c:pt>
                <c:pt idx="199">
                  <c:v>6</c:v>
                </c:pt>
                <c:pt idx="200">
                  <c:v>6</c:v>
                </c:pt>
                <c:pt idx="201">
                  <c:v>6</c:v>
                </c:pt>
                <c:pt idx="202">
                  <c:v>6</c:v>
                </c:pt>
                <c:pt idx="203">
                  <c:v>6</c:v>
                </c:pt>
                <c:pt idx="204">
                  <c:v>6</c:v>
                </c:pt>
                <c:pt idx="205">
                  <c:v>6</c:v>
                </c:pt>
                <c:pt idx="206">
                  <c:v>6</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c:v>
                </c:pt>
                <c:pt idx="221">
                  <c:v>6</c:v>
                </c:pt>
                <c:pt idx="222">
                  <c:v>6</c:v>
                </c:pt>
                <c:pt idx="223">
                  <c:v>6</c:v>
                </c:pt>
                <c:pt idx="224">
                  <c:v>6</c:v>
                </c:pt>
                <c:pt idx="225">
                  <c:v>6</c:v>
                </c:pt>
                <c:pt idx="226">
                  <c:v>7</c:v>
                </c:pt>
                <c:pt idx="227">
                  <c:v>7</c:v>
                </c:pt>
                <c:pt idx="228">
                  <c:v>7</c:v>
                </c:pt>
                <c:pt idx="229">
                  <c:v>7</c:v>
                </c:pt>
                <c:pt idx="230">
                  <c:v>7</c:v>
                </c:pt>
                <c:pt idx="231">
                  <c:v>7</c:v>
                </c:pt>
                <c:pt idx="232">
                  <c:v>7</c:v>
                </c:pt>
                <c:pt idx="233">
                  <c:v>7</c:v>
                </c:pt>
                <c:pt idx="234">
                  <c:v>7</c:v>
                </c:pt>
                <c:pt idx="235">
                  <c:v>7</c:v>
                </c:pt>
                <c:pt idx="236">
                  <c:v>7</c:v>
                </c:pt>
                <c:pt idx="237">
                  <c:v>7</c:v>
                </c:pt>
                <c:pt idx="238">
                  <c:v>7</c:v>
                </c:pt>
                <c:pt idx="239">
                  <c:v>7</c:v>
                </c:pt>
                <c:pt idx="240">
                  <c:v>7</c:v>
                </c:pt>
                <c:pt idx="241">
                  <c:v>7</c:v>
                </c:pt>
                <c:pt idx="242">
                  <c:v>7</c:v>
                </c:pt>
                <c:pt idx="243">
                  <c:v>7</c:v>
                </c:pt>
                <c:pt idx="244">
                  <c:v>7</c:v>
                </c:pt>
                <c:pt idx="245">
                  <c:v>7</c:v>
                </c:pt>
                <c:pt idx="246">
                  <c:v>7</c:v>
                </c:pt>
                <c:pt idx="247">
                  <c:v>7</c:v>
                </c:pt>
                <c:pt idx="248">
                  <c:v>7</c:v>
                </c:pt>
                <c:pt idx="249">
                  <c:v>7</c:v>
                </c:pt>
                <c:pt idx="250">
                  <c:v>7</c:v>
                </c:pt>
                <c:pt idx="251">
                  <c:v>7</c:v>
                </c:pt>
                <c:pt idx="252">
                  <c:v>7</c:v>
                </c:pt>
                <c:pt idx="253">
                  <c:v>7</c:v>
                </c:pt>
                <c:pt idx="254">
                  <c:v>7</c:v>
                </c:pt>
                <c:pt idx="255">
                  <c:v>8</c:v>
                </c:pt>
                <c:pt idx="256">
                  <c:v>8</c:v>
                </c:pt>
                <c:pt idx="257">
                  <c:v>8</c:v>
                </c:pt>
                <c:pt idx="258">
                  <c:v>8</c:v>
                </c:pt>
                <c:pt idx="259">
                  <c:v>8</c:v>
                </c:pt>
                <c:pt idx="260">
                  <c:v>8</c:v>
                </c:pt>
                <c:pt idx="261">
                  <c:v>8</c:v>
                </c:pt>
                <c:pt idx="262">
                  <c:v>8</c:v>
                </c:pt>
              </c:numCache>
            </c:numRef>
          </c:yVal>
          <c:smooth val="0"/>
          <c:extLst>
            <c:ext xmlns:c16="http://schemas.microsoft.com/office/drawing/2014/chart" uri="{C3380CC4-5D6E-409C-BE32-E72D297353CC}">
              <c16:uniqueId val="{0000001B-9555-A544-BB7E-C7151BB91EA6}"/>
            </c:ext>
          </c:extLst>
        </c:ser>
        <c:ser>
          <c:idx val="3"/>
          <c:order val="1"/>
          <c:tx>
            <c:strRef>
              <c:f>'Generations&amp;Photos- CostsAT1'!$L$32</c:f>
              <c:strCache>
                <c:ptCount val="1"/>
                <c:pt idx="0">
                  <c:v>Year</c:v>
                </c:pt>
              </c:strCache>
            </c:strRef>
          </c:tx>
          <c:spPr>
            <a:ln w="25400">
              <a:noFill/>
            </a:ln>
            <a:effectLst/>
          </c:spPr>
          <c:marker>
            <c:symbol val="circle"/>
            <c:size val="4"/>
            <c:spPr>
              <a:solidFill>
                <a:schemeClr val="accent4"/>
              </a:solidFill>
              <a:ln w="9525" cap="flat" cmpd="sng" algn="ctr">
                <a:solidFill>
                  <a:schemeClr val="accent4"/>
                </a:solidFill>
                <a:round/>
              </a:ln>
              <a:effectLst/>
            </c:spPr>
          </c:marker>
          <c:xVal>
            <c:numRef>
              <c:f>'Generations&amp;Photos- CostsAT1'!$L$33:$L$295</c:f>
              <c:numCache>
                <c:formatCode>General</c:formatCode>
                <c:ptCount val="263"/>
                <c:pt idx="0">
                  <c:v>1765</c:v>
                </c:pt>
                <c:pt idx="1">
                  <c:v>1796</c:v>
                </c:pt>
                <c:pt idx="2">
                  <c:v>1832</c:v>
                </c:pt>
                <c:pt idx="3">
                  <c:v>1875</c:v>
                </c:pt>
                <c:pt idx="4">
                  <c:v>1912</c:v>
                </c:pt>
                <c:pt idx="5">
                  <c:v>1948</c:v>
                </c:pt>
                <c:pt idx="6">
                  <c:v>1982</c:v>
                </c:pt>
                <c:pt idx="7">
                  <c:v>2014</c:v>
                </c:pt>
                <c:pt idx="8">
                  <c:v>1729</c:v>
                </c:pt>
                <c:pt idx="9">
                  <c:v>1690</c:v>
                </c:pt>
                <c:pt idx="10">
                  <c:v>1653</c:v>
                </c:pt>
                <c:pt idx="11">
                  <c:v>1650</c:v>
                </c:pt>
                <c:pt idx="12">
                  <c:v>1660</c:v>
                </c:pt>
                <c:pt idx="13">
                  <c:v>1685</c:v>
                </c:pt>
                <c:pt idx="14">
                  <c:v>1689</c:v>
                </c:pt>
                <c:pt idx="15">
                  <c:v>1694</c:v>
                </c:pt>
                <c:pt idx="16">
                  <c:v>1804</c:v>
                </c:pt>
                <c:pt idx="17">
                  <c:v>2029</c:v>
                </c:pt>
                <c:pt idx="18">
                  <c:v>1727</c:v>
                </c:pt>
                <c:pt idx="19">
                  <c:v>1760</c:v>
                </c:pt>
                <c:pt idx="20">
                  <c:v>1820</c:v>
                </c:pt>
                <c:pt idx="21">
                  <c:v>1830</c:v>
                </c:pt>
                <c:pt idx="22">
                  <c:v>1876</c:v>
                </c:pt>
                <c:pt idx="23">
                  <c:v>1901</c:v>
                </c:pt>
                <c:pt idx="24">
                  <c:v>1910</c:v>
                </c:pt>
                <c:pt idx="25">
                  <c:v>1989</c:v>
                </c:pt>
                <c:pt idx="26">
                  <c:v>2022</c:v>
                </c:pt>
                <c:pt idx="27">
                  <c:v>1952</c:v>
                </c:pt>
                <c:pt idx="28">
                  <c:v>1765</c:v>
                </c:pt>
                <c:pt idx="29">
                  <c:v>1766</c:v>
                </c:pt>
                <c:pt idx="30">
                  <c:v>1767</c:v>
                </c:pt>
                <c:pt idx="31">
                  <c:v>1768</c:v>
                </c:pt>
                <c:pt idx="32">
                  <c:v>1769</c:v>
                </c:pt>
                <c:pt idx="33">
                  <c:v>1770</c:v>
                </c:pt>
                <c:pt idx="34">
                  <c:v>1771</c:v>
                </c:pt>
                <c:pt idx="35">
                  <c:v>1772</c:v>
                </c:pt>
                <c:pt idx="36">
                  <c:v>1773</c:v>
                </c:pt>
                <c:pt idx="37">
                  <c:v>1774</c:v>
                </c:pt>
                <c:pt idx="38">
                  <c:v>1775</c:v>
                </c:pt>
                <c:pt idx="39">
                  <c:v>1776</c:v>
                </c:pt>
                <c:pt idx="40">
                  <c:v>1777</c:v>
                </c:pt>
                <c:pt idx="41">
                  <c:v>1778</c:v>
                </c:pt>
                <c:pt idx="42">
                  <c:v>1779</c:v>
                </c:pt>
                <c:pt idx="43">
                  <c:v>1780</c:v>
                </c:pt>
                <c:pt idx="44">
                  <c:v>1796</c:v>
                </c:pt>
                <c:pt idx="45">
                  <c:v>1797</c:v>
                </c:pt>
                <c:pt idx="46">
                  <c:v>1798</c:v>
                </c:pt>
                <c:pt idx="47">
                  <c:v>1799</c:v>
                </c:pt>
                <c:pt idx="48">
                  <c:v>1800</c:v>
                </c:pt>
                <c:pt idx="49">
                  <c:v>1801</c:v>
                </c:pt>
                <c:pt idx="50">
                  <c:v>1802</c:v>
                </c:pt>
                <c:pt idx="51">
                  <c:v>1803</c:v>
                </c:pt>
                <c:pt idx="52">
                  <c:v>1804</c:v>
                </c:pt>
                <c:pt idx="53">
                  <c:v>1805</c:v>
                </c:pt>
                <c:pt idx="54">
                  <c:v>1806</c:v>
                </c:pt>
                <c:pt idx="55">
                  <c:v>1807</c:v>
                </c:pt>
                <c:pt idx="56">
                  <c:v>1808</c:v>
                </c:pt>
                <c:pt idx="57">
                  <c:v>1809</c:v>
                </c:pt>
                <c:pt idx="58">
                  <c:v>1810</c:v>
                </c:pt>
                <c:pt idx="59">
                  <c:v>1811</c:v>
                </c:pt>
                <c:pt idx="60">
                  <c:v>1812</c:v>
                </c:pt>
                <c:pt idx="61">
                  <c:v>1813</c:v>
                </c:pt>
                <c:pt idx="62">
                  <c:v>1814</c:v>
                </c:pt>
                <c:pt idx="63">
                  <c:v>1815</c:v>
                </c:pt>
                <c:pt idx="64">
                  <c:v>1816</c:v>
                </c:pt>
                <c:pt idx="65">
                  <c:v>1817</c:v>
                </c:pt>
                <c:pt idx="66">
                  <c:v>1818</c:v>
                </c:pt>
                <c:pt idx="67">
                  <c:v>1819</c:v>
                </c:pt>
                <c:pt idx="68">
                  <c:v>1820</c:v>
                </c:pt>
                <c:pt idx="69">
                  <c:v>1821</c:v>
                </c:pt>
                <c:pt idx="70">
                  <c:v>1822</c:v>
                </c:pt>
                <c:pt idx="71">
                  <c:v>1823</c:v>
                </c:pt>
                <c:pt idx="72">
                  <c:v>1824</c:v>
                </c:pt>
                <c:pt idx="73">
                  <c:v>1832</c:v>
                </c:pt>
                <c:pt idx="74">
                  <c:v>1833</c:v>
                </c:pt>
                <c:pt idx="75">
                  <c:v>1834</c:v>
                </c:pt>
                <c:pt idx="76">
                  <c:v>1835</c:v>
                </c:pt>
                <c:pt idx="77">
                  <c:v>1836</c:v>
                </c:pt>
                <c:pt idx="78">
                  <c:v>1837</c:v>
                </c:pt>
                <c:pt idx="79">
                  <c:v>1838</c:v>
                </c:pt>
                <c:pt idx="80">
                  <c:v>1839</c:v>
                </c:pt>
                <c:pt idx="81">
                  <c:v>1840</c:v>
                </c:pt>
                <c:pt idx="82">
                  <c:v>1841</c:v>
                </c:pt>
                <c:pt idx="83">
                  <c:v>1842</c:v>
                </c:pt>
                <c:pt idx="84">
                  <c:v>1843</c:v>
                </c:pt>
                <c:pt idx="85">
                  <c:v>1844</c:v>
                </c:pt>
                <c:pt idx="86">
                  <c:v>1845</c:v>
                </c:pt>
                <c:pt idx="87">
                  <c:v>1846</c:v>
                </c:pt>
                <c:pt idx="88">
                  <c:v>1847</c:v>
                </c:pt>
                <c:pt idx="89">
                  <c:v>1848</c:v>
                </c:pt>
                <c:pt idx="90">
                  <c:v>1849</c:v>
                </c:pt>
                <c:pt idx="91">
                  <c:v>1850</c:v>
                </c:pt>
                <c:pt idx="92">
                  <c:v>1851</c:v>
                </c:pt>
                <c:pt idx="93">
                  <c:v>1852</c:v>
                </c:pt>
                <c:pt idx="94">
                  <c:v>1853</c:v>
                </c:pt>
                <c:pt idx="95">
                  <c:v>1854</c:v>
                </c:pt>
                <c:pt idx="96">
                  <c:v>1855</c:v>
                </c:pt>
                <c:pt idx="97">
                  <c:v>1856</c:v>
                </c:pt>
                <c:pt idx="98">
                  <c:v>1857</c:v>
                </c:pt>
                <c:pt idx="99">
                  <c:v>1858</c:v>
                </c:pt>
                <c:pt idx="100">
                  <c:v>1859</c:v>
                </c:pt>
                <c:pt idx="101">
                  <c:v>1860</c:v>
                </c:pt>
                <c:pt idx="102">
                  <c:v>1861</c:v>
                </c:pt>
                <c:pt idx="103">
                  <c:v>1862</c:v>
                </c:pt>
                <c:pt idx="104">
                  <c:v>1863</c:v>
                </c:pt>
                <c:pt idx="105">
                  <c:v>1864</c:v>
                </c:pt>
                <c:pt idx="106">
                  <c:v>1865</c:v>
                </c:pt>
                <c:pt idx="107">
                  <c:v>1866</c:v>
                </c:pt>
                <c:pt idx="108">
                  <c:v>1867</c:v>
                </c:pt>
                <c:pt idx="109">
                  <c:v>1868</c:v>
                </c:pt>
                <c:pt idx="110">
                  <c:v>1875</c:v>
                </c:pt>
                <c:pt idx="111">
                  <c:v>1876</c:v>
                </c:pt>
                <c:pt idx="112">
                  <c:v>1877</c:v>
                </c:pt>
                <c:pt idx="113">
                  <c:v>1878</c:v>
                </c:pt>
                <c:pt idx="114">
                  <c:v>1879</c:v>
                </c:pt>
                <c:pt idx="115">
                  <c:v>1880</c:v>
                </c:pt>
                <c:pt idx="116">
                  <c:v>1881</c:v>
                </c:pt>
                <c:pt idx="117">
                  <c:v>1882</c:v>
                </c:pt>
                <c:pt idx="118">
                  <c:v>1883</c:v>
                </c:pt>
                <c:pt idx="119">
                  <c:v>1884</c:v>
                </c:pt>
                <c:pt idx="120">
                  <c:v>1885</c:v>
                </c:pt>
                <c:pt idx="121">
                  <c:v>1886</c:v>
                </c:pt>
                <c:pt idx="122">
                  <c:v>1887</c:v>
                </c:pt>
                <c:pt idx="123">
                  <c:v>1888</c:v>
                </c:pt>
                <c:pt idx="124">
                  <c:v>1889</c:v>
                </c:pt>
                <c:pt idx="125">
                  <c:v>1890</c:v>
                </c:pt>
                <c:pt idx="126">
                  <c:v>1891</c:v>
                </c:pt>
                <c:pt idx="127">
                  <c:v>1892</c:v>
                </c:pt>
                <c:pt idx="128">
                  <c:v>1893</c:v>
                </c:pt>
                <c:pt idx="129">
                  <c:v>1894</c:v>
                </c:pt>
                <c:pt idx="130">
                  <c:v>1895</c:v>
                </c:pt>
                <c:pt idx="131">
                  <c:v>1896</c:v>
                </c:pt>
                <c:pt idx="132">
                  <c:v>1897</c:v>
                </c:pt>
                <c:pt idx="133">
                  <c:v>1898</c:v>
                </c:pt>
                <c:pt idx="134">
                  <c:v>1899</c:v>
                </c:pt>
                <c:pt idx="135">
                  <c:v>1900</c:v>
                </c:pt>
                <c:pt idx="136">
                  <c:v>1901</c:v>
                </c:pt>
                <c:pt idx="137">
                  <c:v>1902</c:v>
                </c:pt>
                <c:pt idx="138">
                  <c:v>1912</c:v>
                </c:pt>
                <c:pt idx="139">
                  <c:v>1913</c:v>
                </c:pt>
                <c:pt idx="140">
                  <c:v>1914</c:v>
                </c:pt>
                <c:pt idx="141">
                  <c:v>1915</c:v>
                </c:pt>
                <c:pt idx="142">
                  <c:v>1916</c:v>
                </c:pt>
                <c:pt idx="143">
                  <c:v>1917</c:v>
                </c:pt>
                <c:pt idx="144">
                  <c:v>1918</c:v>
                </c:pt>
                <c:pt idx="145">
                  <c:v>1919</c:v>
                </c:pt>
                <c:pt idx="146">
                  <c:v>1920</c:v>
                </c:pt>
                <c:pt idx="147">
                  <c:v>1921</c:v>
                </c:pt>
                <c:pt idx="148">
                  <c:v>1922</c:v>
                </c:pt>
                <c:pt idx="149">
                  <c:v>1923</c:v>
                </c:pt>
                <c:pt idx="150">
                  <c:v>1924</c:v>
                </c:pt>
                <c:pt idx="151">
                  <c:v>1925</c:v>
                </c:pt>
                <c:pt idx="152">
                  <c:v>1926</c:v>
                </c:pt>
                <c:pt idx="153">
                  <c:v>1927</c:v>
                </c:pt>
                <c:pt idx="154">
                  <c:v>1928</c:v>
                </c:pt>
                <c:pt idx="155">
                  <c:v>1929</c:v>
                </c:pt>
                <c:pt idx="156">
                  <c:v>1930</c:v>
                </c:pt>
                <c:pt idx="157">
                  <c:v>1931</c:v>
                </c:pt>
                <c:pt idx="158">
                  <c:v>1932</c:v>
                </c:pt>
                <c:pt idx="159">
                  <c:v>1933</c:v>
                </c:pt>
                <c:pt idx="160">
                  <c:v>1934</c:v>
                </c:pt>
                <c:pt idx="161">
                  <c:v>1935</c:v>
                </c:pt>
                <c:pt idx="162">
                  <c:v>1936</c:v>
                </c:pt>
                <c:pt idx="163">
                  <c:v>1937</c:v>
                </c:pt>
                <c:pt idx="164">
                  <c:v>1938</c:v>
                </c:pt>
                <c:pt idx="165">
                  <c:v>1939</c:v>
                </c:pt>
                <c:pt idx="166">
                  <c:v>1940</c:v>
                </c:pt>
                <c:pt idx="167">
                  <c:v>1941</c:v>
                </c:pt>
                <c:pt idx="168">
                  <c:v>1942</c:v>
                </c:pt>
                <c:pt idx="169">
                  <c:v>1943</c:v>
                </c:pt>
                <c:pt idx="170">
                  <c:v>1944</c:v>
                </c:pt>
                <c:pt idx="171">
                  <c:v>1945</c:v>
                </c:pt>
                <c:pt idx="172">
                  <c:v>1946</c:v>
                </c:pt>
                <c:pt idx="173">
                  <c:v>1947</c:v>
                </c:pt>
                <c:pt idx="174">
                  <c:v>1948</c:v>
                </c:pt>
                <c:pt idx="175">
                  <c:v>1949</c:v>
                </c:pt>
                <c:pt idx="176">
                  <c:v>1950</c:v>
                </c:pt>
                <c:pt idx="177">
                  <c:v>1951</c:v>
                </c:pt>
                <c:pt idx="178">
                  <c:v>1952</c:v>
                </c:pt>
                <c:pt idx="179">
                  <c:v>1953</c:v>
                </c:pt>
                <c:pt idx="180">
                  <c:v>1954</c:v>
                </c:pt>
                <c:pt idx="181">
                  <c:v>1955</c:v>
                </c:pt>
                <c:pt idx="182">
                  <c:v>1956</c:v>
                </c:pt>
                <c:pt idx="183">
                  <c:v>1957</c:v>
                </c:pt>
                <c:pt idx="184">
                  <c:v>1958</c:v>
                </c:pt>
                <c:pt idx="185">
                  <c:v>1959</c:v>
                </c:pt>
                <c:pt idx="186">
                  <c:v>1960</c:v>
                </c:pt>
                <c:pt idx="187">
                  <c:v>1961</c:v>
                </c:pt>
                <c:pt idx="188">
                  <c:v>1947</c:v>
                </c:pt>
                <c:pt idx="189">
                  <c:v>1948</c:v>
                </c:pt>
                <c:pt idx="190">
                  <c:v>1949</c:v>
                </c:pt>
                <c:pt idx="191">
                  <c:v>1950</c:v>
                </c:pt>
                <c:pt idx="192">
                  <c:v>1951</c:v>
                </c:pt>
                <c:pt idx="193">
                  <c:v>1952</c:v>
                </c:pt>
                <c:pt idx="194">
                  <c:v>1953</c:v>
                </c:pt>
                <c:pt idx="195">
                  <c:v>1954</c:v>
                </c:pt>
                <c:pt idx="196">
                  <c:v>1955</c:v>
                </c:pt>
                <c:pt idx="197">
                  <c:v>1956</c:v>
                </c:pt>
                <c:pt idx="198">
                  <c:v>1957</c:v>
                </c:pt>
                <c:pt idx="199">
                  <c:v>1958</c:v>
                </c:pt>
                <c:pt idx="200">
                  <c:v>1959</c:v>
                </c:pt>
                <c:pt idx="201">
                  <c:v>1960</c:v>
                </c:pt>
                <c:pt idx="202">
                  <c:v>1961</c:v>
                </c:pt>
                <c:pt idx="203">
                  <c:v>1962</c:v>
                </c:pt>
                <c:pt idx="204">
                  <c:v>1963</c:v>
                </c:pt>
                <c:pt idx="205">
                  <c:v>1964</c:v>
                </c:pt>
                <c:pt idx="206">
                  <c:v>1965</c:v>
                </c:pt>
                <c:pt idx="207">
                  <c:v>1966</c:v>
                </c:pt>
                <c:pt idx="208">
                  <c:v>1967</c:v>
                </c:pt>
                <c:pt idx="209">
                  <c:v>1968</c:v>
                </c:pt>
                <c:pt idx="210">
                  <c:v>1969</c:v>
                </c:pt>
                <c:pt idx="211">
                  <c:v>1970</c:v>
                </c:pt>
                <c:pt idx="212">
                  <c:v>1971</c:v>
                </c:pt>
                <c:pt idx="213">
                  <c:v>1972</c:v>
                </c:pt>
                <c:pt idx="214">
                  <c:v>1973</c:v>
                </c:pt>
                <c:pt idx="215">
                  <c:v>1974</c:v>
                </c:pt>
                <c:pt idx="216">
                  <c:v>1975</c:v>
                </c:pt>
                <c:pt idx="217">
                  <c:v>1976</c:v>
                </c:pt>
                <c:pt idx="218">
                  <c:v>1977</c:v>
                </c:pt>
                <c:pt idx="219">
                  <c:v>1978</c:v>
                </c:pt>
                <c:pt idx="220">
                  <c:v>1979</c:v>
                </c:pt>
                <c:pt idx="221">
                  <c:v>1980</c:v>
                </c:pt>
                <c:pt idx="222">
                  <c:v>1981</c:v>
                </c:pt>
                <c:pt idx="223">
                  <c:v>1982</c:v>
                </c:pt>
                <c:pt idx="224">
                  <c:v>1983</c:v>
                </c:pt>
                <c:pt idx="225">
                  <c:v>1984</c:v>
                </c:pt>
                <c:pt idx="226">
                  <c:v>1982</c:v>
                </c:pt>
                <c:pt idx="227">
                  <c:v>1983</c:v>
                </c:pt>
                <c:pt idx="228">
                  <c:v>1984</c:v>
                </c:pt>
                <c:pt idx="229">
                  <c:v>1985</c:v>
                </c:pt>
                <c:pt idx="230">
                  <c:v>1986</c:v>
                </c:pt>
                <c:pt idx="231">
                  <c:v>1987</c:v>
                </c:pt>
                <c:pt idx="232">
                  <c:v>1988</c:v>
                </c:pt>
                <c:pt idx="233">
                  <c:v>1989</c:v>
                </c:pt>
                <c:pt idx="234">
                  <c:v>1990</c:v>
                </c:pt>
                <c:pt idx="235">
                  <c:v>1991</c:v>
                </c:pt>
                <c:pt idx="236">
                  <c:v>1992</c:v>
                </c:pt>
                <c:pt idx="237">
                  <c:v>1993</c:v>
                </c:pt>
                <c:pt idx="238">
                  <c:v>1994</c:v>
                </c:pt>
                <c:pt idx="239">
                  <c:v>1995</c:v>
                </c:pt>
                <c:pt idx="240">
                  <c:v>1996</c:v>
                </c:pt>
                <c:pt idx="241">
                  <c:v>1997</c:v>
                </c:pt>
                <c:pt idx="242">
                  <c:v>1998</c:v>
                </c:pt>
                <c:pt idx="243">
                  <c:v>1999</c:v>
                </c:pt>
                <c:pt idx="244">
                  <c:v>2000</c:v>
                </c:pt>
                <c:pt idx="245">
                  <c:v>2001</c:v>
                </c:pt>
                <c:pt idx="246">
                  <c:v>2002</c:v>
                </c:pt>
                <c:pt idx="247">
                  <c:v>2003</c:v>
                </c:pt>
                <c:pt idx="248">
                  <c:v>2004</c:v>
                </c:pt>
                <c:pt idx="249">
                  <c:v>2005</c:v>
                </c:pt>
                <c:pt idx="250">
                  <c:v>2006</c:v>
                </c:pt>
                <c:pt idx="251">
                  <c:v>2007</c:v>
                </c:pt>
                <c:pt idx="252">
                  <c:v>2008</c:v>
                </c:pt>
                <c:pt idx="253">
                  <c:v>2009</c:v>
                </c:pt>
                <c:pt idx="254">
                  <c:v>2010</c:v>
                </c:pt>
                <c:pt idx="255">
                  <c:v>2014</c:v>
                </c:pt>
                <c:pt idx="256">
                  <c:v>2015</c:v>
                </c:pt>
                <c:pt idx="257">
                  <c:v>2016</c:v>
                </c:pt>
                <c:pt idx="258">
                  <c:v>2017</c:v>
                </c:pt>
                <c:pt idx="259">
                  <c:v>2018</c:v>
                </c:pt>
                <c:pt idx="260">
                  <c:v>2019</c:v>
                </c:pt>
                <c:pt idx="261">
                  <c:v>2020</c:v>
                </c:pt>
                <c:pt idx="262">
                  <c:v>2021</c:v>
                </c:pt>
              </c:numCache>
            </c:numRef>
          </c:xVal>
          <c:yVal>
            <c:numRef>
              <c:f>'Generations&amp;Photos- CostsAT1'!$M$33:$M$295</c:f>
              <c:numCache>
                <c:formatCode>General</c:formatCode>
                <c:ptCount val="263"/>
                <c:pt idx="0">
                  <c:v>1</c:v>
                </c:pt>
                <c:pt idx="1">
                  <c:v>2</c:v>
                </c:pt>
                <c:pt idx="2">
                  <c:v>3</c:v>
                </c:pt>
                <c:pt idx="3">
                  <c:v>4</c:v>
                </c:pt>
                <c:pt idx="4">
                  <c:v>5</c:v>
                </c:pt>
                <c:pt idx="5">
                  <c:v>6</c:v>
                </c:pt>
                <c:pt idx="6">
                  <c:v>7</c:v>
                </c:pt>
                <c:pt idx="7">
                  <c:v>8</c:v>
                </c:pt>
                <c:pt idx="8">
                  <c:v>0</c:v>
                </c:pt>
                <c:pt idx="9">
                  <c:v>-1</c:v>
                </c:pt>
                <c:pt idx="10">
                  <c:v>-2</c:v>
                </c:pt>
                <c:pt idx="11">
                  <c:v>-2.5</c:v>
                </c:pt>
                <c:pt idx="12">
                  <c:v>9.5</c:v>
                </c:pt>
                <c:pt idx="13">
                  <c:v>9.5</c:v>
                </c:pt>
                <c:pt idx="14">
                  <c:v>-1.5</c:v>
                </c:pt>
                <c:pt idx="15">
                  <c:v>10</c:v>
                </c:pt>
                <c:pt idx="16">
                  <c:v>1.7</c:v>
                </c:pt>
                <c:pt idx="17">
                  <c:v>8.6999999999999993</c:v>
                </c:pt>
                <c:pt idx="18">
                  <c:v>-0.5</c:v>
                </c:pt>
                <c:pt idx="19">
                  <c:v>0.7</c:v>
                </c:pt>
                <c:pt idx="20">
                  <c:v>9.5</c:v>
                </c:pt>
                <c:pt idx="21">
                  <c:v>2.7</c:v>
                </c:pt>
                <c:pt idx="22">
                  <c:v>3.7</c:v>
                </c:pt>
                <c:pt idx="23">
                  <c:v>9.5</c:v>
                </c:pt>
                <c:pt idx="24">
                  <c:v>4.7</c:v>
                </c:pt>
                <c:pt idx="25">
                  <c:v>6.7</c:v>
                </c:pt>
                <c:pt idx="26">
                  <c:v>7.5</c:v>
                </c:pt>
                <c:pt idx="27">
                  <c:v>5.7</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6</c:v>
                </c:pt>
                <c:pt idx="189">
                  <c:v>6</c:v>
                </c:pt>
                <c:pt idx="190">
                  <c:v>6</c:v>
                </c:pt>
                <c:pt idx="191">
                  <c:v>6</c:v>
                </c:pt>
                <c:pt idx="192">
                  <c:v>6</c:v>
                </c:pt>
                <c:pt idx="193">
                  <c:v>6</c:v>
                </c:pt>
                <c:pt idx="194">
                  <c:v>6</c:v>
                </c:pt>
                <c:pt idx="195">
                  <c:v>6</c:v>
                </c:pt>
                <c:pt idx="196">
                  <c:v>6</c:v>
                </c:pt>
                <c:pt idx="197">
                  <c:v>6</c:v>
                </c:pt>
                <c:pt idx="198">
                  <c:v>6</c:v>
                </c:pt>
                <c:pt idx="199">
                  <c:v>6</c:v>
                </c:pt>
                <c:pt idx="200">
                  <c:v>6</c:v>
                </c:pt>
                <c:pt idx="201">
                  <c:v>6</c:v>
                </c:pt>
                <c:pt idx="202">
                  <c:v>6</c:v>
                </c:pt>
                <c:pt idx="203">
                  <c:v>6</c:v>
                </c:pt>
                <c:pt idx="204">
                  <c:v>6</c:v>
                </c:pt>
                <c:pt idx="205">
                  <c:v>6</c:v>
                </c:pt>
                <c:pt idx="206">
                  <c:v>6</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c:v>
                </c:pt>
                <c:pt idx="221">
                  <c:v>6</c:v>
                </c:pt>
                <c:pt idx="222">
                  <c:v>6</c:v>
                </c:pt>
                <c:pt idx="223">
                  <c:v>6</c:v>
                </c:pt>
                <c:pt idx="224">
                  <c:v>6</c:v>
                </c:pt>
                <c:pt idx="225">
                  <c:v>6</c:v>
                </c:pt>
                <c:pt idx="226">
                  <c:v>7</c:v>
                </c:pt>
                <c:pt idx="227">
                  <c:v>7</c:v>
                </c:pt>
                <c:pt idx="228">
                  <c:v>7</c:v>
                </c:pt>
                <c:pt idx="229">
                  <c:v>7</c:v>
                </c:pt>
                <c:pt idx="230">
                  <c:v>7</c:v>
                </c:pt>
                <c:pt idx="231">
                  <c:v>7</c:v>
                </c:pt>
                <c:pt idx="232">
                  <c:v>7</c:v>
                </c:pt>
                <c:pt idx="233">
                  <c:v>7</c:v>
                </c:pt>
                <c:pt idx="234">
                  <c:v>7</c:v>
                </c:pt>
                <c:pt idx="235">
                  <c:v>7</c:v>
                </c:pt>
                <c:pt idx="236">
                  <c:v>7</c:v>
                </c:pt>
                <c:pt idx="237">
                  <c:v>7</c:v>
                </c:pt>
                <c:pt idx="238">
                  <c:v>7</c:v>
                </c:pt>
                <c:pt idx="239">
                  <c:v>7</c:v>
                </c:pt>
                <c:pt idx="240">
                  <c:v>7</c:v>
                </c:pt>
                <c:pt idx="241">
                  <c:v>7</c:v>
                </c:pt>
                <c:pt idx="242">
                  <c:v>7</c:v>
                </c:pt>
                <c:pt idx="243">
                  <c:v>7</c:v>
                </c:pt>
                <c:pt idx="244">
                  <c:v>7</c:v>
                </c:pt>
                <c:pt idx="245">
                  <c:v>7</c:v>
                </c:pt>
                <c:pt idx="246">
                  <c:v>7</c:v>
                </c:pt>
                <c:pt idx="247">
                  <c:v>7</c:v>
                </c:pt>
                <c:pt idx="248">
                  <c:v>7</c:v>
                </c:pt>
                <c:pt idx="249">
                  <c:v>7</c:v>
                </c:pt>
                <c:pt idx="250">
                  <c:v>7</c:v>
                </c:pt>
                <c:pt idx="251">
                  <c:v>7</c:v>
                </c:pt>
                <c:pt idx="252">
                  <c:v>7</c:v>
                </c:pt>
                <c:pt idx="253">
                  <c:v>7</c:v>
                </c:pt>
                <c:pt idx="254">
                  <c:v>7</c:v>
                </c:pt>
                <c:pt idx="255">
                  <c:v>8</c:v>
                </c:pt>
                <c:pt idx="256">
                  <c:v>8</c:v>
                </c:pt>
                <c:pt idx="257">
                  <c:v>8</c:v>
                </c:pt>
                <c:pt idx="258">
                  <c:v>8</c:v>
                </c:pt>
                <c:pt idx="259">
                  <c:v>8</c:v>
                </c:pt>
                <c:pt idx="260">
                  <c:v>8</c:v>
                </c:pt>
                <c:pt idx="261">
                  <c:v>8</c:v>
                </c:pt>
                <c:pt idx="262">
                  <c:v>8</c:v>
                </c:pt>
              </c:numCache>
            </c:numRef>
          </c:yVal>
          <c:smooth val="0"/>
          <c:extLst>
            <c:ext xmlns:c16="http://schemas.microsoft.com/office/drawing/2014/chart" uri="{C3380CC4-5D6E-409C-BE32-E72D297353CC}">
              <c16:uniqueId val="{0000001C-9555-A544-BB7E-C7151BB91EA6}"/>
            </c:ext>
          </c:extLst>
        </c:ser>
        <c:ser>
          <c:idx val="1"/>
          <c:order val="2"/>
          <c:tx>
            <c:strRef>
              <c:f>'Generations&amp;Photos- CostsAT1'!$L$32</c:f>
              <c:strCache>
                <c:ptCount val="1"/>
                <c:pt idx="0">
                  <c:v>Year</c:v>
                </c:pt>
              </c:strCache>
            </c:strRef>
          </c:tx>
          <c:spPr>
            <a:ln w="25400">
              <a:noFill/>
            </a:ln>
            <a:effectLst/>
          </c:spPr>
          <c:marker>
            <c:symbol val="circle"/>
            <c:size val="4"/>
            <c:spPr>
              <a:solidFill>
                <a:schemeClr val="accent2"/>
              </a:solidFill>
              <a:ln w="9525" cap="flat" cmpd="sng" algn="ctr">
                <a:solidFill>
                  <a:schemeClr val="accent2"/>
                </a:solidFill>
                <a:round/>
              </a:ln>
              <a:effectLst/>
            </c:spPr>
          </c:marker>
          <c:xVal>
            <c:numRef>
              <c:f>'Generations&amp;Photos- CostsAT1'!$L$33:$L$295</c:f>
              <c:numCache>
                <c:formatCode>General</c:formatCode>
                <c:ptCount val="263"/>
                <c:pt idx="0">
                  <c:v>1765</c:v>
                </c:pt>
                <c:pt idx="1">
                  <c:v>1796</c:v>
                </c:pt>
                <c:pt idx="2">
                  <c:v>1832</c:v>
                </c:pt>
                <c:pt idx="3">
                  <c:v>1875</c:v>
                </c:pt>
                <c:pt idx="4">
                  <c:v>1912</c:v>
                </c:pt>
                <c:pt idx="5">
                  <c:v>1948</c:v>
                </c:pt>
                <c:pt idx="6">
                  <c:v>1982</c:v>
                </c:pt>
                <c:pt idx="7">
                  <c:v>2014</c:v>
                </c:pt>
                <c:pt idx="8">
                  <c:v>1729</c:v>
                </c:pt>
                <c:pt idx="9">
                  <c:v>1690</c:v>
                </c:pt>
                <c:pt idx="10">
                  <c:v>1653</c:v>
                </c:pt>
                <c:pt idx="11">
                  <c:v>1650</c:v>
                </c:pt>
                <c:pt idx="12">
                  <c:v>1660</c:v>
                </c:pt>
                <c:pt idx="13">
                  <c:v>1685</c:v>
                </c:pt>
                <c:pt idx="14">
                  <c:v>1689</c:v>
                </c:pt>
                <c:pt idx="15">
                  <c:v>1694</c:v>
                </c:pt>
                <c:pt idx="16">
                  <c:v>1804</c:v>
                </c:pt>
                <c:pt idx="17">
                  <c:v>2029</c:v>
                </c:pt>
                <c:pt idx="18">
                  <c:v>1727</c:v>
                </c:pt>
                <c:pt idx="19">
                  <c:v>1760</c:v>
                </c:pt>
                <c:pt idx="20">
                  <c:v>1820</c:v>
                </c:pt>
                <c:pt idx="21">
                  <c:v>1830</c:v>
                </c:pt>
                <c:pt idx="22">
                  <c:v>1876</c:v>
                </c:pt>
                <c:pt idx="23">
                  <c:v>1901</c:v>
                </c:pt>
                <c:pt idx="24">
                  <c:v>1910</c:v>
                </c:pt>
                <c:pt idx="25">
                  <c:v>1989</c:v>
                </c:pt>
                <c:pt idx="26">
                  <c:v>2022</c:v>
                </c:pt>
                <c:pt idx="27">
                  <c:v>1952</c:v>
                </c:pt>
                <c:pt idx="28">
                  <c:v>1765</c:v>
                </c:pt>
                <c:pt idx="29">
                  <c:v>1766</c:v>
                </c:pt>
                <c:pt idx="30">
                  <c:v>1767</c:v>
                </c:pt>
                <c:pt idx="31">
                  <c:v>1768</c:v>
                </c:pt>
                <c:pt idx="32">
                  <c:v>1769</c:v>
                </c:pt>
                <c:pt idx="33">
                  <c:v>1770</c:v>
                </c:pt>
                <c:pt idx="34">
                  <c:v>1771</c:v>
                </c:pt>
                <c:pt idx="35">
                  <c:v>1772</c:v>
                </c:pt>
                <c:pt idx="36">
                  <c:v>1773</c:v>
                </c:pt>
                <c:pt idx="37">
                  <c:v>1774</c:v>
                </c:pt>
                <c:pt idx="38">
                  <c:v>1775</c:v>
                </c:pt>
                <c:pt idx="39">
                  <c:v>1776</c:v>
                </c:pt>
                <c:pt idx="40">
                  <c:v>1777</c:v>
                </c:pt>
                <c:pt idx="41">
                  <c:v>1778</c:v>
                </c:pt>
                <c:pt idx="42">
                  <c:v>1779</c:v>
                </c:pt>
                <c:pt idx="43">
                  <c:v>1780</c:v>
                </c:pt>
                <c:pt idx="44">
                  <c:v>1796</c:v>
                </c:pt>
                <c:pt idx="45">
                  <c:v>1797</c:v>
                </c:pt>
                <c:pt idx="46">
                  <c:v>1798</c:v>
                </c:pt>
                <c:pt idx="47">
                  <c:v>1799</c:v>
                </c:pt>
                <c:pt idx="48">
                  <c:v>1800</c:v>
                </c:pt>
                <c:pt idx="49">
                  <c:v>1801</c:v>
                </c:pt>
                <c:pt idx="50">
                  <c:v>1802</c:v>
                </c:pt>
                <c:pt idx="51">
                  <c:v>1803</c:v>
                </c:pt>
                <c:pt idx="52">
                  <c:v>1804</c:v>
                </c:pt>
                <c:pt idx="53">
                  <c:v>1805</c:v>
                </c:pt>
                <c:pt idx="54">
                  <c:v>1806</c:v>
                </c:pt>
                <c:pt idx="55">
                  <c:v>1807</c:v>
                </c:pt>
                <c:pt idx="56">
                  <c:v>1808</c:v>
                </c:pt>
                <c:pt idx="57">
                  <c:v>1809</c:v>
                </c:pt>
                <c:pt idx="58">
                  <c:v>1810</c:v>
                </c:pt>
                <c:pt idx="59">
                  <c:v>1811</c:v>
                </c:pt>
                <c:pt idx="60">
                  <c:v>1812</c:v>
                </c:pt>
                <c:pt idx="61">
                  <c:v>1813</c:v>
                </c:pt>
                <c:pt idx="62">
                  <c:v>1814</c:v>
                </c:pt>
                <c:pt idx="63">
                  <c:v>1815</c:v>
                </c:pt>
                <c:pt idx="64">
                  <c:v>1816</c:v>
                </c:pt>
                <c:pt idx="65">
                  <c:v>1817</c:v>
                </c:pt>
                <c:pt idx="66">
                  <c:v>1818</c:v>
                </c:pt>
                <c:pt idx="67">
                  <c:v>1819</c:v>
                </c:pt>
                <c:pt idx="68">
                  <c:v>1820</c:v>
                </c:pt>
                <c:pt idx="69">
                  <c:v>1821</c:v>
                </c:pt>
                <c:pt idx="70">
                  <c:v>1822</c:v>
                </c:pt>
                <c:pt idx="71">
                  <c:v>1823</c:v>
                </c:pt>
                <c:pt idx="72">
                  <c:v>1824</c:v>
                </c:pt>
                <c:pt idx="73">
                  <c:v>1832</c:v>
                </c:pt>
                <c:pt idx="74">
                  <c:v>1833</c:v>
                </c:pt>
                <c:pt idx="75">
                  <c:v>1834</c:v>
                </c:pt>
                <c:pt idx="76">
                  <c:v>1835</c:v>
                </c:pt>
                <c:pt idx="77">
                  <c:v>1836</c:v>
                </c:pt>
                <c:pt idx="78">
                  <c:v>1837</c:v>
                </c:pt>
                <c:pt idx="79">
                  <c:v>1838</c:v>
                </c:pt>
                <c:pt idx="80">
                  <c:v>1839</c:v>
                </c:pt>
                <c:pt idx="81">
                  <c:v>1840</c:v>
                </c:pt>
                <c:pt idx="82">
                  <c:v>1841</c:v>
                </c:pt>
                <c:pt idx="83">
                  <c:v>1842</c:v>
                </c:pt>
                <c:pt idx="84">
                  <c:v>1843</c:v>
                </c:pt>
                <c:pt idx="85">
                  <c:v>1844</c:v>
                </c:pt>
                <c:pt idx="86">
                  <c:v>1845</c:v>
                </c:pt>
                <c:pt idx="87">
                  <c:v>1846</c:v>
                </c:pt>
                <c:pt idx="88">
                  <c:v>1847</c:v>
                </c:pt>
                <c:pt idx="89">
                  <c:v>1848</c:v>
                </c:pt>
                <c:pt idx="90">
                  <c:v>1849</c:v>
                </c:pt>
                <c:pt idx="91">
                  <c:v>1850</c:v>
                </c:pt>
                <c:pt idx="92">
                  <c:v>1851</c:v>
                </c:pt>
                <c:pt idx="93">
                  <c:v>1852</c:v>
                </c:pt>
                <c:pt idx="94">
                  <c:v>1853</c:v>
                </c:pt>
                <c:pt idx="95">
                  <c:v>1854</c:v>
                </c:pt>
                <c:pt idx="96">
                  <c:v>1855</c:v>
                </c:pt>
                <c:pt idx="97">
                  <c:v>1856</c:v>
                </c:pt>
                <c:pt idx="98">
                  <c:v>1857</c:v>
                </c:pt>
                <c:pt idx="99">
                  <c:v>1858</c:v>
                </c:pt>
                <c:pt idx="100">
                  <c:v>1859</c:v>
                </c:pt>
                <c:pt idx="101">
                  <c:v>1860</c:v>
                </c:pt>
                <c:pt idx="102">
                  <c:v>1861</c:v>
                </c:pt>
                <c:pt idx="103">
                  <c:v>1862</c:v>
                </c:pt>
                <c:pt idx="104">
                  <c:v>1863</c:v>
                </c:pt>
                <c:pt idx="105">
                  <c:v>1864</c:v>
                </c:pt>
                <c:pt idx="106">
                  <c:v>1865</c:v>
                </c:pt>
                <c:pt idx="107">
                  <c:v>1866</c:v>
                </c:pt>
                <c:pt idx="108">
                  <c:v>1867</c:v>
                </c:pt>
                <c:pt idx="109">
                  <c:v>1868</c:v>
                </c:pt>
                <c:pt idx="110">
                  <c:v>1875</c:v>
                </c:pt>
                <c:pt idx="111">
                  <c:v>1876</c:v>
                </c:pt>
                <c:pt idx="112">
                  <c:v>1877</c:v>
                </c:pt>
                <c:pt idx="113">
                  <c:v>1878</c:v>
                </c:pt>
                <c:pt idx="114">
                  <c:v>1879</c:v>
                </c:pt>
                <c:pt idx="115">
                  <c:v>1880</c:v>
                </c:pt>
                <c:pt idx="116">
                  <c:v>1881</c:v>
                </c:pt>
                <c:pt idx="117">
                  <c:v>1882</c:v>
                </c:pt>
                <c:pt idx="118">
                  <c:v>1883</c:v>
                </c:pt>
                <c:pt idx="119">
                  <c:v>1884</c:v>
                </c:pt>
                <c:pt idx="120">
                  <c:v>1885</c:v>
                </c:pt>
                <c:pt idx="121">
                  <c:v>1886</c:v>
                </c:pt>
                <c:pt idx="122">
                  <c:v>1887</c:v>
                </c:pt>
                <c:pt idx="123">
                  <c:v>1888</c:v>
                </c:pt>
                <c:pt idx="124">
                  <c:v>1889</c:v>
                </c:pt>
                <c:pt idx="125">
                  <c:v>1890</c:v>
                </c:pt>
                <c:pt idx="126">
                  <c:v>1891</c:v>
                </c:pt>
                <c:pt idx="127">
                  <c:v>1892</c:v>
                </c:pt>
                <c:pt idx="128">
                  <c:v>1893</c:v>
                </c:pt>
                <c:pt idx="129">
                  <c:v>1894</c:v>
                </c:pt>
                <c:pt idx="130">
                  <c:v>1895</c:v>
                </c:pt>
                <c:pt idx="131">
                  <c:v>1896</c:v>
                </c:pt>
                <c:pt idx="132">
                  <c:v>1897</c:v>
                </c:pt>
                <c:pt idx="133">
                  <c:v>1898</c:v>
                </c:pt>
                <c:pt idx="134">
                  <c:v>1899</c:v>
                </c:pt>
                <c:pt idx="135">
                  <c:v>1900</c:v>
                </c:pt>
                <c:pt idx="136">
                  <c:v>1901</c:v>
                </c:pt>
                <c:pt idx="137">
                  <c:v>1902</c:v>
                </c:pt>
                <c:pt idx="138">
                  <c:v>1912</c:v>
                </c:pt>
                <c:pt idx="139">
                  <c:v>1913</c:v>
                </c:pt>
                <c:pt idx="140">
                  <c:v>1914</c:v>
                </c:pt>
                <c:pt idx="141">
                  <c:v>1915</c:v>
                </c:pt>
                <c:pt idx="142">
                  <c:v>1916</c:v>
                </c:pt>
                <c:pt idx="143">
                  <c:v>1917</c:v>
                </c:pt>
                <c:pt idx="144">
                  <c:v>1918</c:v>
                </c:pt>
                <c:pt idx="145">
                  <c:v>1919</c:v>
                </c:pt>
                <c:pt idx="146">
                  <c:v>1920</c:v>
                </c:pt>
                <c:pt idx="147">
                  <c:v>1921</c:v>
                </c:pt>
                <c:pt idx="148">
                  <c:v>1922</c:v>
                </c:pt>
                <c:pt idx="149">
                  <c:v>1923</c:v>
                </c:pt>
                <c:pt idx="150">
                  <c:v>1924</c:v>
                </c:pt>
                <c:pt idx="151">
                  <c:v>1925</c:v>
                </c:pt>
                <c:pt idx="152">
                  <c:v>1926</c:v>
                </c:pt>
                <c:pt idx="153">
                  <c:v>1927</c:v>
                </c:pt>
                <c:pt idx="154">
                  <c:v>1928</c:v>
                </c:pt>
                <c:pt idx="155">
                  <c:v>1929</c:v>
                </c:pt>
                <c:pt idx="156">
                  <c:v>1930</c:v>
                </c:pt>
                <c:pt idx="157">
                  <c:v>1931</c:v>
                </c:pt>
                <c:pt idx="158">
                  <c:v>1932</c:v>
                </c:pt>
                <c:pt idx="159">
                  <c:v>1933</c:v>
                </c:pt>
                <c:pt idx="160">
                  <c:v>1934</c:v>
                </c:pt>
                <c:pt idx="161">
                  <c:v>1935</c:v>
                </c:pt>
                <c:pt idx="162">
                  <c:v>1936</c:v>
                </c:pt>
                <c:pt idx="163">
                  <c:v>1937</c:v>
                </c:pt>
                <c:pt idx="164">
                  <c:v>1938</c:v>
                </c:pt>
                <c:pt idx="165">
                  <c:v>1939</c:v>
                </c:pt>
                <c:pt idx="166">
                  <c:v>1940</c:v>
                </c:pt>
                <c:pt idx="167">
                  <c:v>1941</c:v>
                </c:pt>
                <c:pt idx="168">
                  <c:v>1942</c:v>
                </c:pt>
                <c:pt idx="169">
                  <c:v>1943</c:v>
                </c:pt>
                <c:pt idx="170">
                  <c:v>1944</c:v>
                </c:pt>
                <c:pt idx="171">
                  <c:v>1945</c:v>
                </c:pt>
                <c:pt idx="172">
                  <c:v>1946</c:v>
                </c:pt>
                <c:pt idx="173">
                  <c:v>1947</c:v>
                </c:pt>
                <c:pt idx="174">
                  <c:v>1948</c:v>
                </c:pt>
                <c:pt idx="175">
                  <c:v>1949</c:v>
                </c:pt>
                <c:pt idx="176">
                  <c:v>1950</c:v>
                </c:pt>
                <c:pt idx="177">
                  <c:v>1951</c:v>
                </c:pt>
                <c:pt idx="178">
                  <c:v>1952</c:v>
                </c:pt>
                <c:pt idx="179">
                  <c:v>1953</c:v>
                </c:pt>
                <c:pt idx="180">
                  <c:v>1954</c:v>
                </c:pt>
                <c:pt idx="181">
                  <c:v>1955</c:v>
                </c:pt>
                <c:pt idx="182">
                  <c:v>1956</c:v>
                </c:pt>
                <c:pt idx="183">
                  <c:v>1957</c:v>
                </c:pt>
                <c:pt idx="184">
                  <c:v>1958</c:v>
                </c:pt>
                <c:pt idx="185">
                  <c:v>1959</c:v>
                </c:pt>
                <c:pt idx="186">
                  <c:v>1960</c:v>
                </c:pt>
                <c:pt idx="187">
                  <c:v>1961</c:v>
                </c:pt>
                <c:pt idx="188">
                  <c:v>1947</c:v>
                </c:pt>
                <c:pt idx="189">
                  <c:v>1948</c:v>
                </c:pt>
                <c:pt idx="190">
                  <c:v>1949</c:v>
                </c:pt>
                <c:pt idx="191">
                  <c:v>1950</c:v>
                </c:pt>
                <c:pt idx="192">
                  <c:v>1951</c:v>
                </c:pt>
                <c:pt idx="193">
                  <c:v>1952</c:v>
                </c:pt>
                <c:pt idx="194">
                  <c:v>1953</c:v>
                </c:pt>
                <c:pt idx="195">
                  <c:v>1954</c:v>
                </c:pt>
                <c:pt idx="196">
                  <c:v>1955</c:v>
                </c:pt>
                <c:pt idx="197">
                  <c:v>1956</c:v>
                </c:pt>
                <c:pt idx="198">
                  <c:v>1957</c:v>
                </c:pt>
                <c:pt idx="199">
                  <c:v>1958</c:v>
                </c:pt>
                <c:pt idx="200">
                  <c:v>1959</c:v>
                </c:pt>
                <c:pt idx="201">
                  <c:v>1960</c:v>
                </c:pt>
                <c:pt idx="202">
                  <c:v>1961</c:v>
                </c:pt>
                <c:pt idx="203">
                  <c:v>1962</c:v>
                </c:pt>
                <c:pt idx="204">
                  <c:v>1963</c:v>
                </c:pt>
                <c:pt idx="205">
                  <c:v>1964</c:v>
                </c:pt>
                <c:pt idx="206">
                  <c:v>1965</c:v>
                </c:pt>
                <c:pt idx="207">
                  <c:v>1966</c:v>
                </c:pt>
                <c:pt idx="208">
                  <c:v>1967</c:v>
                </c:pt>
                <c:pt idx="209">
                  <c:v>1968</c:v>
                </c:pt>
                <c:pt idx="210">
                  <c:v>1969</c:v>
                </c:pt>
                <c:pt idx="211">
                  <c:v>1970</c:v>
                </c:pt>
                <c:pt idx="212">
                  <c:v>1971</c:v>
                </c:pt>
                <c:pt idx="213">
                  <c:v>1972</c:v>
                </c:pt>
                <c:pt idx="214">
                  <c:v>1973</c:v>
                </c:pt>
                <c:pt idx="215">
                  <c:v>1974</c:v>
                </c:pt>
                <c:pt idx="216">
                  <c:v>1975</c:v>
                </c:pt>
                <c:pt idx="217">
                  <c:v>1976</c:v>
                </c:pt>
                <c:pt idx="218">
                  <c:v>1977</c:v>
                </c:pt>
                <c:pt idx="219">
                  <c:v>1978</c:v>
                </c:pt>
                <c:pt idx="220">
                  <c:v>1979</c:v>
                </c:pt>
                <c:pt idx="221">
                  <c:v>1980</c:v>
                </c:pt>
                <c:pt idx="222">
                  <c:v>1981</c:v>
                </c:pt>
                <c:pt idx="223">
                  <c:v>1982</c:v>
                </c:pt>
                <c:pt idx="224">
                  <c:v>1983</c:v>
                </c:pt>
                <c:pt idx="225">
                  <c:v>1984</c:v>
                </c:pt>
                <c:pt idx="226">
                  <c:v>1982</c:v>
                </c:pt>
                <c:pt idx="227">
                  <c:v>1983</c:v>
                </c:pt>
                <c:pt idx="228">
                  <c:v>1984</c:v>
                </c:pt>
                <c:pt idx="229">
                  <c:v>1985</c:v>
                </c:pt>
                <c:pt idx="230">
                  <c:v>1986</c:v>
                </c:pt>
                <c:pt idx="231">
                  <c:v>1987</c:v>
                </c:pt>
                <c:pt idx="232">
                  <c:v>1988</c:v>
                </c:pt>
                <c:pt idx="233">
                  <c:v>1989</c:v>
                </c:pt>
                <c:pt idx="234">
                  <c:v>1990</c:v>
                </c:pt>
                <c:pt idx="235">
                  <c:v>1991</c:v>
                </c:pt>
                <c:pt idx="236">
                  <c:v>1992</c:v>
                </c:pt>
                <c:pt idx="237">
                  <c:v>1993</c:v>
                </c:pt>
                <c:pt idx="238">
                  <c:v>1994</c:v>
                </c:pt>
                <c:pt idx="239">
                  <c:v>1995</c:v>
                </c:pt>
                <c:pt idx="240">
                  <c:v>1996</c:v>
                </c:pt>
                <c:pt idx="241">
                  <c:v>1997</c:v>
                </c:pt>
                <c:pt idx="242">
                  <c:v>1998</c:v>
                </c:pt>
                <c:pt idx="243">
                  <c:v>1999</c:v>
                </c:pt>
                <c:pt idx="244">
                  <c:v>2000</c:v>
                </c:pt>
                <c:pt idx="245">
                  <c:v>2001</c:v>
                </c:pt>
                <c:pt idx="246">
                  <c:v>2002</c:v>
                </c:pt>
                <c:pt idx="247">
                  <c:v>2003</c:v>
                </c:pt>
                <c:pt idx="248">
                  <c:v>2004</c:v>
                </c:pt>
                <c:pt idx="249">
                  <c:v>2005</c:v>
                </c:pt>
                <c:pt idx="250">
                  <c:v>2006</c:v>
                </c:pt>
                <c:pt idx="251">
                  <c:v>2007</c:v>
                </c:pt>
                <c:pt idx="252">
                  <c:v>2008</c:v>
                </c:pt>
                <c:pt idx="253">
                  <c:v>2009</c:v>
                </c:pt>
                <c:pt idx="254">
                  <c:v>2010</c:v>
                </c:pt>
                <c:pt idx="255">
                  <c:v>2014</c:v>
                </c:pt>
                <c:pt idx="256">
                  <c:v>2015</c:v>
                </c:pt>
                <c:pt idx="257">
                  <c:v>2016</c:v>
                </c:pt>
                <c:pt idx="258">
                  <c:v>2017</c:v>
                </c:pt>
                <c:pt idx="259">
                  <c:v>2018</c:v>
                </c:pt>
                <c:pt idx="260">
                  <c:v>2019</c:v>
                </c:pt>
                <c:pt idx="261">
                  <c:v>2020</c:v>
                </c:pt>
                <c:pt idx="262">
                  <c:v>2021</c:v>
                </c:pt>
              </c:numCache>
            </c:numRef>
          </c:xVal>
          <c:yVal>
            <c:numRef>
              <c:f>'Generations&amp;Photos- CostsAT1'!$M$33:$M$295</c:f>
              <c:numCache>
                <c:formatCode>General</c:formatCode>
                <c:ptCount val="263"/>
                <c:pt idx="0">
                  <c:v>1</c:v>
                </c:pt>
                <c:pt idx="1">
                  <c:v>2</c:v>
                </c:pt>
                <c:pt idx="2">
                  <c:v>3</c:v>
                </c:pt>
                <c:pt idx="3">
                  <c:v>4</c:v>
                </c:pt>
                <c:pt idx="4">
                  <c:v>5</c:v>
                </c:pt>
                <c:pt idx="5">
                  <c:v>6</c:v>
                </c:pt>
                <c:pt idx="6">
                  <c:v>7</c:v>
                </c:pt>
                <c:pt idx="7">
                  <c:v>8</c:v>
                </c:pt>
                <c:pt idx="8">
                  <c:v>0</c:v>
                </c:pt>
                <c:pt idx="9">
                  <c:v>-1</c:v>
                </c:pt>
                <c:pt idx="10">
                  <c:v>-2</c:v>
                </c:pt>
                <c:pt idx="11">
                  <c:v>-2.5</c:v>
                </c:pt>
                <c:pt idx="12">
                  <c:v>9.5</c:v>
                </c:pt>
                <c:pt idx="13">
                  <c:v>9.5</c:v>
                </c:pt>
                <c:pt idx="14">
                  <c:v>-1.5</c:v>
                </c:pt>
                <c:pt idx="15">
                  <c:v>10</c:v>
                </c:pt>
                <c:pt idx="16">
                  <c:v>1.7</c:v>
                </c:pt>
                <c:pt idx="17">
                  <c:v>8.6999999999999993</c:v>
                </c:pt>
                <c:pt idx="18">
                  <c:v>-0.5</c:v>
                </c:pt>
                <c:pt idx="19">
                  <c:v>0.7</c:v>
                </c:pt>
                <c:pt idx="20">
                  <c:v>9.5</c:v>
                </c:pt>
                <c:pt idx="21">
                  <c:v>2.7</c:v>
                </c:pt>
                <c:pt idx="22">
                  <c:v>3.7</c:v>
                </c:pt>
                <c:pt idx="23">
                  <c:v>9.5</c:v>
                </c:pt>
                <c:pt idx="24">
                  <c:v>4.7</c:v>
                </c:pt>
                <c:pt idx="25">
                  <c:v>6.7</c:v>
                </c:pt>
                <c:pt idx="26">
                  <c:v>7.5</c:v>
                </c:pt>
                <c:pt idx="27">
                  <c:v>5.7</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6</c:v>
                </c:pt>
                <c:pt idx="189">
                  <c:v>6</c:v>
                </c:pt>
                <c:pt idx="190">
                  <c:v>6</c:v>
                </c:pt>
                <c:pt idx="191">
                  <c:v>6</c:v>
                </c:pt>
                <c:pt idx="192">
                  <c:v>6</c:v>
                </c:pt>
                <c:pt idx="193">
                  <c:v>6</c:v>
                </c:pt>
                <c:pt idx="194">
                  <c:v>6</c:v>
                </c:pt>
                <c:pt idx="195">
                  <c:v>6</c:v>
                </c:pt>
                <c:pt idx="196">
                  <c:v>6</c:v>
                </c:pt>
                <c:pt idx="197">
                  <c:v>6</c:v>
                </c:pt>
                <c:pt idx="198">
                  <c:v>6</c:v>
                </c:pt>
                <c:pt idx="199">
                  <c:v>6</c:v>
                </c:pt>
                <c:pt idx="200">
                  <c:v>6</c:v>
                </c:pt>
                <c:pt idx="201">
                  <c:v>6</c:v>
                </c:pt>
                <c:pt idx="202">
                  <c:v>6</c:v>
                </c:pt>
                <c:pt idx="203">
                  <c:v>6</c:v>
                </c:pt>
                <c:pt idx="204">
                  <c:v>6</c:v>
                </c:pt>
                <c:pt idx="205">
                  <c:v>6</c:v>
                </c:pt>
                <c:pt idx="206">
                  <c:v>6</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c:v>
                </c:pt>
                <c:pt idx="221">
                  <c:v>6</c:v>
                </c:pt>
                <c:pt idx="222">
                  <c:v>6</c:v>
                </c:pt>
                <c:pt idx="223">
                  <c:v>6</c:v>
                </c:pt>
                <c:pt idx="224">
                  <c:v>6</c:v>
                </c:pt>
                <c:pt idx="225">
                  <c:v>6</c:v>
                </c:pt>
                <c:pt idx="226">
                  <c:v>7</c:v>
                </c:pt>
                <c:pt idx="227">
                  <c:v>7</c:v>
                </c:pt>
                <c:pt idx="228">
                  <c:v>7</c:v>
                </c:pt>
                <c:pt idx="229">
                  <c:v>7</c:v>
                </c:pt>
                <c:pt idx="230">
                  <c:v>7</c:v>
                </c:pt>
                <c:pt idx="231">
                  <c:v>7</c:v>
                </c:pt>
                <c:pt idx="232">
                  <c:v>7</c:v>
                </c:pt>
                <c:pt idx="233">
                  <c:v>7</c:v>
                </c:pt>
                <c:pt idx="234">
                  <c:v>7</c:v>
                </c:pt>
                <c:pt idx="235">
                  <c:v>7</c:v>
                </c:pt>
                <c:pt idx="236">
                  <c:v>7</c:v>
                </c:pt>
                <c:pt idx="237">
                  <c:v>7</c:v>
                </c:pt>
                <c:pt idx="238">
                  <c:v>7</c:v>
                </c:pt>
                <c:pt idx="239">
                  <c:v>7</c:v>
                </c:pt>
                <c:pt idx="240">
                  <c:v>7</c:v>
                </c:pt>
                <c:pt idx="241">
                  <c:v>7</c:v>
                </c:pt>
                <c:pt idx="242">
                  <c:v>7</c:v>
                </c:pt>
                <c:pt idx="243">
                  <c:v>7</c:v>
                </c:pt>
                <c:pt idx="244">
                  <c:v>7</c:v>
                </c:pt>
                <c:pt idx="245">
                  <c:v>7</c:v>
                </c:pt>
                <c:pt idx="246">
                  <c:v>7</c:v>
                </c:pt>
                <c:pt idx="247">
                  <c:v>7</c:v>
                </c:pt>
                <c:pt idx="248">
                  <c:v>7</c:v>
                </c:pt>
                <c:pt idx="249">
                  <c:v>7</c:v>
                </c:pt>
                <c:pt idx="250">
                  <c:v>7</c:v>
                </c:pt>
                <c:pt idx="251">
                  <c:v>7</c:v>
                </c:pt>
                <c:pt idx="252">
                  <c:v>7</c:v>
                </c:pt>
                <c:pt idx="253">
                  <c:v>7</c:v>
                </c:pt>
                <c:pt idx="254">
                  <c:v>7</c:v>
                </c:pt>
                <c:pt idx="255">
                  <c:v>8</c:v>
                </c:pt>
                <c:pt idx="256">
                  <c:v>8</c:v>
                </c:pt>
                <c:pt idx="257">
                  <c:v>8</c:v>
                </c:pt>
                <c:pt idx="258">
                  <c:v>8</c:v>
                </c:pt>
                <c:pt idx="259">
                  <c:v>8</c:v>
                </c:pt>
                <c:pt idx="260">
                  <c:v>8</c:v>
                </c:pt>
                <c:pt idx="261">
                  <c:v>8</c:v>
                </c:pt>
                <c:pt idx="262">
                  <c:v>8</c:v>
                </c:pt>
              </c:numCache>
            </c:numRef>
          </c:yVal>
          <c:smooth val="0"/>
          <c:extLst>
            <c:ext xmlns:c16="http://schemas.microsoft.com/office/drawing/2014/chart" uri="{C3380CC4-5D6E-409C-BE32-E72D297353CC}">
              <c16:uniqueId val="{00000001-9555-A544-BB7E-C7151BB91EA6}"/>
            </c:ext>
          </c:extLst>
        </c:ser>
        <c:ser>
          <c:idx val="0"/>
          <c:order val="3"/>
          <c:tx>
            <c:strRef>
              <c:f>'Generations&amp;Photos- CostsAT1'!$L$32</c:f>
              <c:strCache>
                <c:ptCount val="1"/>
                <c:pt idx="0">
                  <c:v>Year</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'Generations&amp;Photos- CostsAT1'!$L$33:$L$295</c:f>
              <c:numCache>
                <c:formatCode>General</c:formatCode>
                <c:ptCount val="263"/>
                <c:pt idx="0">
                  <c:v>1765</c:v>
                </c:pt>
                <c:pt idx="1">
                  <c:v>1796</c:v>
                </c:pt>
                <c:pt idx="2">
                  <c:v>1832</c:v>
                </c:pt>
                <c:pt idx="3">
                  <c:v>1875</c:v>
                </c:pt>
                <c:pt idx="4">
                  <c:v>1912</c:v>
                </c:pt>
                <c:pt idx="5">
                  <c:v>1948</c:v>
                </c:pt>
                <c:pt idx="6">
                  <c:v>1982</c:v>
                </c:pt>
                <c:pt idx="7">
                  <c:v>2014</c:v>
                </c:pt>
                <c:pt idx="8">
                  <c:v>1729</c:v>
                </c:pt>
                <c:pt idx="9">
                  <c:v>1690</c:v>
                </c:pt>
                <c:pt idx="10">
                  <c:v>1653</c:v>
                </c:pt>
                <c:pt idx="11">
                  <c:v>1650</c:v>
                </c:pt>
                <c:pt idx="12">
                  <c:v>1660</c:v>
                </c:pt>
                <c:pt idx="13">
                  <c:v>1685</c:v>
                </c:pt>
                <c:pt idx="14">
                  <c:v>1689</c:v>
                </c:pt>
                <c:pt idx="15">
                  <c:v>1694</c:v>
                </c:pt>
                <c:pt idx="16">
                  <c:v>1804</c:v>
                </c:pt>
                <c:pt idx="17">
                  <c:v>2029</c:v>
                </c:pt>
                <c:pt idx="18">
                  <c:v>1727</c:v>
                </c:pt>
                <c:pt idx="19">
                  <c:v>1760</c:v>
                </c:pt>
                <c:pt idx="20">
                  <c:v>1820</c:v>
                </c:pt>
                <c:pt idx="21">
                  <c:v>1830</c:v>
                </c:pt>
                <c:pt idx="22">
                  <c:v>1876</c:v>
                </c:pt>
                <c:pt idx="23">
                  <c:v>1901</c:v>
                </c:pt>
                <c:pt idx="24">
                  <c:v>1910</c:v>
                </c:pt>
                <c:pt idx="25">
                  <c:v>1989</c:v>
                </c:pt>
                <c:pt idx="26">
                  <c:v>2022</c:v>
                </c:pt>
                <c:pt idx="27">
                  <c:v>1952</c:v>
                </c:pt>
                <c:pt idx="28">
                  <c:v>1765</c:v>
                </c:pt>
                <c:pt idx="29">
                  <c:v>1766</c:v>
                </c:pt>
                <c:pt idx="30">
                  <c:v>1767</c:v>
                </c:pt>
                <c:pt idx="31">
                  <c:v>1768</c:v>
                </c:pt>
                <c:pt idx="32">
                  <c:v>1769</c:v>
                </c:pt>
                <c:pt idx="33">
                  <c:v>1770</c:v>
                </c:pt>
                <c:pt idx="34">
                  <c:v>1771</c:v>
                </c:pt>
                <c:pt idx="35">
                  <c:v>1772</c:v>
                </c:pt>
                <c:pt idx="36">
                  <c:v>1773</c:v>
                </c:pt>
                <c:pt idx="37">
                  <c:v>1774</c:v>
                </c:pt>
                <c:pt idx="38">
                  <c:v>1775</c:v>
                </c:pt>
                <c:pt idx="39">
                  <c:v>1776</c:v>
                </c:pt>
                <c:pt idx="40">
                  <c:v>1777</c:v>
                </c:pt>
                <c:pt idx="41">
                  <c:v>1778</c:v>
                </c:pt>
                <c:pt idx="42">
                  <c:v>1779</c:v>
                </c:pt>
                <c:pt idx="43">
                  <c:v>1780</c:v>
                </c:pt>
                <c:pt idx="44">
                  <c:v>1796</c:v>
                </c:pt>
                <c:pt idx="45">
                  <c:v>1797</c:v>
                </c:pt>
                <c:pt idx="46">
                  <c:v>1798</c:v>
                </c:pt>
                <c:pt idx="47">
                  <c:v>1799</c:v>
                </c:pt>
                <c:pt idx="48">
                  <c:v>1800</c:v>
                </c:pt>
                <c:pt idx="49">
                  <c:v>1801</c:v>
                </c:pt>
                <c:pt idx="50">
                  <c:v>1802</c:v>
                </c:pt>
                <c:pt idx="51">
                  <c:v>1803</c:v>
                </c:pt>
                <c:pt idx="52">
                  <c:v>1804</c:v>
                </c:pt>
                <c:pt idx="53">
                  <c:v>1805</c:v>
                </c:pt>
                <c:pt idx="54">
                  <c:v>1806</c:v>
                </c:pt>
                <c:pt idx="55">
                  <c:v>1807</c:v>
                </c:pt>
                <c:pt idx="56">
                  <c:v>1808</c:v>
                </c:pt>
                <c:pt idx="57">
                  <c:v>1809</c:v>
                </c:pt>
                <c:pt idx="58">
                  <c:v>1810</c:v>
                </c:pt>
                <c:pt idx="59">
                  <c:v>1811</c:v>
                </c:pt>
                <c:pt idx="60">
                  <c:v>1812</c:v>
                </c:pt>
                <c:pt idx="61">
                  <c:v>1813</c:v>
                </c:pt>
                <c:pt idx="62">
                  <c:v>1814</c:v>
                </c:pt>
                <c:pt idx="63">
                  <c:v>1815</c:v>
                </c:pt>
                <c:pt idx="64">
                  <c:v>1816</c:v>
                </c:pt>
                <c:pt idx="65">
                  <c:v>1817</c:v>
                </c:pt>
                <c:pt idx="66">
                  <c:v>1818</c:v>
                </c:pt>
                <c:pt idx="67">
                  <c:v>1819</c:v>
                </c:pt>
                <c:pt idx="68">
                  <c:v>1820</c:v>
                </c:pt>
                <c:pt idx="69">
                  <c:v>1821</c:v>
                </c:pt>
                <c:pt idx="70">
                  <c:v>1822</c:v>
                </c:pt>
                <c:pt idx="71">
                  <c:v>1823</c:v>
                </c:pt>
                <c:pt idx="72">
                  <c:v>1824</c:v>
                </c:pt>
                <c:pt idx="73">
                  <c:v>1832</c:v>
                </c:pt>
                <c:pt idx="74">
                  <c:v>1833</c:v>
                </c:pt>
                <c:pt idx="75">
                  <c:v>1834</c:v>
                </c:pt>
                <c:pt idx="76">
                  <c:v>1835</c:v>
                </c:pt>
                <c:pt idx="77">
                  <c:v>1836</c:v>
                </c:pt>
                <c:pt idx="78">
                  <c:v>1837</c:v>
                </c:pt>
                <c:pt idx="79">
                  <c:v>1838</c:v>
                </c:pt>
                <c:pt idx="80">
                  <c:v>1839</c:v>
                </c:pt>
                <c:pt idx="81">
                  <c:v>1840</c:v>
                </c:pt>
                <c:pt idx="82">
                  <c:v>1841</c:v>
                </c:pt>
                <c:pt idx="83">
                  <c:v>1842</c:v>
                </c:pt>
                <c:pt idx="84">
                  <c:v>1843</c:v>
                </c:pt>
                <c:pt idx="85">
                  <c:v>1844</c:v>
                </c:pt>
                <c:pt idx="86">
                  <c:v>1845</c:v>
                </c:pt>
                <c:pt idx="87">
                  <c:v>1846</c:v>
                </c:pt>
                <c:pt idx="88">
                  <c:v>1847</c:v>
                </c:pt>
                <c:pt idx="89">
                  <c:v>1848</c:v>
                </c:pt>
                <c:pt idx="90">
                  <c:v>1849</c:v>
                </c:pt>
                <c:pt idx="91">
                  <c:v>1850</c:v>
                </c:pt>
                <c:pt idx="92">
                  <c:v>1851</c:v>
                </c:pt>
                <c:pt idx="93">
                  <c:v>1852</c:v>
                </c:pt>
                <c:pt idx="94">
                  <c:v>1853</c:v>
                </c:pt>
                <c:pt idx="95">
                  <c:v>1854</c:v>
                </c:pt>
                <c:pt idx="96">
                  <c:v>1855</c:v>
                </c:pt>
                <c:pt idx="97">
                  <c:v>1856</c:v>
                </c:pt>
                <c:pt idx="98">
                  <c:v>1857</c:v>
                </c:pt>
                <c:pt idx="99">
                  <c:v>1858</c:v>
                </c:pt>
                <c:pt idx="100">
                  <c:v>1859</c:v>
                </c:pt>
                <c:pt idx="101">
                  <c:v>1860</c:v>
                </c:pt>
                <c:pt idx="102">
                  <c:v>1861</c:v>
                </c:pt>
                <c:pt idx="103">
                  <c:v>1862</c:v>
                </c:pt>
                <c:pt idx="104">
                  <c:v>1863</c:v>
                </c:pt>
                <c:pt idx="105">
                  <c:v>1864</c:v>
                </c:pt>
                <c:pt idx="106">
                  <c:v>1865</c:v>
                </c:pt>
                <c:pt idx="107">
                  <c:v>1866</c:v>
                </c:pt>
                <c:pt idx="108">
                  <c:v>1867</c:v>
                </c:pt>
                <c:pt idx="109">
                  <c:v>1868</c:v>
                </c:pt>
                <c:pt idx="110">
                  <c:v>1875</c:v>
                </c:pt>
                <c:pt idx="111">
                  <c:v>1876</c:v>
                </c:pt>
                <c:pt idx="112">
                  <c:v>1877</c:v>
                </c:pt>
                <c:pt idx="113">
                  <c:v>1878</c:v>
                </c:pt>
                <c:pt idx="114">
                  <c:v>1879</c:v>
                </c:pt>
                <c:pt idx="115">
                  <c:v>1880</c:v>
                </c:pt>
                <c:pt idx="116">
                  <c:v>1881</c:v>
                </c:pt>
                <c:pt idx="117">
                  <c:v>1882</c:v>
                </c:pt>
                <c:pt idx="118">
                  <c:v>1883</c:v>
                </c:pt>
                <c:pt idx="119">
                  <c:v>1884</c:v>
                </c:pt>
                <c:pt idx="120">
                  <c:v>1885</c:v>
                </c:pt>
                <c:pt idx="121">
                  <c:v>1886</c:v>
                </c:pt>
                <c:pt idx="122">
                  <c:v>1887</c:v>
                </c:pt>
                <c:pt idx="123">
                  <c:v>1888</c:v>
                </c:pt>
                <c:pt idx="124">
                  <c:v>1889</c:v>
                </c:pt>
                <c:pt idx="125">
                  <c:v>1890</c:v>
                </c:pt>
                <c:pt idx="126">
                  <c:v>1891</c:v>
                </c:pt>
                <c:pt idx="127">
                  <c:v>1892</c:v>
                </c:pt>
                <c:pt idx="128">
                  <c:v>1893</c:v>
                </c:pt>
                <c:pt idx="129">
                  <c:v>1894</c:v>
                </c:pt>
                <c:pt idx="130">
                  <c:v>1895</c:v>
                </c:pt>
                <c:pt idx="131">
                  <c:v>1896</c:v>
                </c:pt>
                <c:pt idx="132">
                  <c:v>1897</c:v>
                </c:pt>
                <c:pt idx="133">
                  <c:v>1898</c:v>
                </c:pt>
                <c:pt idx="134">
                  <c:v>1899</c:v>
                </c:pt>
                <c:pt idx="135">
                  <c:v>1900</c:v>
                </c:pt>
                <c:pt idx="136">
                  <c:v>1901</c:v>
                </c:pt>
                <c:pt idx="137">
                  <c:v>1902</c:v>
                </c:pt>
                <c:pt idx="138">
                  <c:v>1912</c:v>
                </c:pt>
                <c:pt idx="139">
                  <c:v>1913</c:v>
                </c:pt>
                <c:pt idx="140">
                  <c:v>1914</c:v>
                </c:pt>
                <c:pt idx="141">
                  <c:v>1915</c:v>
                </c:pt>
                <c:pt idx="142">
                  <c:v>1916</c:v>
                </c:pt>
                <c:pt idx="143">
                  <c:v>1917</c:v>
                </c:pt>
                <c:pt idx="144">
                  <c:v>1918</c:v>
                </c:pt>
                <c:pt idx="145">
                  <c:v>1919</c:v>
                </c:pt>
                <c:pt idx="146">
                  <c:v>1920</c:v>
                </c:pt>
                <c:pt idx="147">
                  <c:v>1921</c:v>
                </c:pt>
                <c:pt idx="148">
                  <c:v>1922</c:v>
                </c:pt>
                <c:pt idx="149">
                  <c:v>1923</c:v>
                </c:pt>
                <c:pt idx="150">
                  <c:v>1924</c:v>
                </c:pt>
                <c:pt idx="151">
                  <c:v>1925</c:v>
                </c:pt>
                <c:pt idx="152">
                  <c:v>1926</c:v>
                </c:pt>
                <c:pt idx="153">
                  <c:v>1927</c:v>
                </c:pt>
                <c:pt idx="154">
                  <c:v>1928</c:v>
                </c:pt>
                <c:pt idx="155">
                  <c:v>1929</c:v>
                </c:pt>
                <c:pt idx="156">
                  <c:v>1930</c:v>
                </c:pt>
                <c:pt idx="157">
                  <c:v>1931</c:v>
                </c:pt>
                <c:pt idx="158">
                  <c:v>1932</c:v>
                </c:pt>
                <c:pt idx="159">
                  <c:v>1933</c:v>
                </c:pt>
                <c:pt idx="160">
                  <c:v>1934</c:v>
                </c:pt>
                <c:pt idx="161">
                  <c:v>1935</c:v>
                </c:pt>
                <c:pt idx="162">
                  <c:v>1936</c:v>
                </c:pt>
                <c:pt idx="163">
                  <c:v>1937</c:v>
                </c:pt>
                <c:pt idx="164">
                  <c:v>1938</c:v>
                </c:pt>
                <c:pt idx="165">
                  <c:v>1939</c:v>
                </c:pt>
                <c:pt idx="166">
                  <c:v>1940</c:v>
                </c:pt>
                <c:pt idx="167">
                  <c:v>1941</c:v>
                </c:pt>
                <c:pt idx="168">
                  <c:v>1942</c:v>
                </c:pt>
                <c:pt idx="169">
                  <c:v>1943</c:v>
                </c:pt>
                <c:pt idx="170">
                  <c:v>1944</c:v>
                </c:pt>
                <c:pt idx="171">
                  <c:v>1945</c:v>
                </c:pt>
                <c:pt idx="172">
                  <c:v>1946</c:v>
                </c:pt>
                <c:pt idx="173">
                  <c:v>1947</c:v>
                </c:pt>
                <c:pt idx="174">
                  <c:v>1948</c:v>
                </c:pt>
                <c:pt idx="175">
                  <c:v>1949</c:v>
                </c:pt>
                <c:pt idx="176">
                  <c:v>1950</c:v>
                </c:pt>
                <c:pt idx="177">
                  <c:v>1951</c:v>
                </c:pt>
                <c:pt idx="178">
                  <c:v>1952</c:v>
                </c:pt>
                <c:pt idx="179">
                  <c:v>1953</c:v>
                </c:pt>
                <c:pt idx="180">
                  <c:v>1954</c:v>
                </c:pt>
                <c:pt idx="181">
                  <c:v>1955</c:v>
                </c:pt>
                <c:pt idx="182">
                  <c:v>1956</c:v>
                </c:pt>
                <c:pt idx="183">
                  <c:v>1957</c:v>
                </c:pt>
                <c:pt idx="184">
                  <c:v>1958</c:v>
                </c:pt>
                <c:pt idx="185">
                  <c:v>1959</c:v>
                </c:pt>
                <c:pt idx="186">
                  <c:v>1960</c:v>
                </c:pt>
                <c:pt idx="187">
                  <c:v>1961</c:v>
                </c:pt>
                <c:pt idx="188">
                  <c:v>1947</c:v>
                </c:pt>
                <c:pt idx="189">
                  <c:v>1948</c:v>
                </c:pt>
                <c:pt idx="190">
                  <c:v>1949</c:v>
                </c:pt>
                <c:pt idx="191">
                  <c:v>1950</c:v>
                </c:pt>
                <c:pt idx="192">
                  <c:v>1951</c:v>
                </c:pt>
                <c:pt idx="193">
                  <c:v>1952</c:v>
                </c:pt>
                <c:pt idx="194">
                  <c:v>1953</c:v>
                </c:pt>
                <c:pt idx="195">
                  <c:v>1954</c:v>
                </c:pt>
                <c:pt idx="196">
                  <c:v>1955</c:v>
                </c:pt>
                <c:pt idx="197">
                  <c:v>1956</c:v>
                </c:pt>
                <c:pt idx="198">
                  <c:v>1957</c:v>
                </c:pt>
                <c:pt idx="199">
                  <c:v>1958</c:v>
                </c:pt>
                <c:pt idx="200">
                  <c:v>1959</c:v>
                </c:pt>
                <c:pt idx="201">
                  <c:v>1960</c:v>
                </c:pt>
                <c:pt idx="202">
                  <c:v>1961</c:v>
                </c:pt>
                <c:pt idx="203">
                  <c:v>1962</c:v>
                </c:pt>
                <c:pt idx="204">
                  <c:v>1963</c:v>
                </c:pt>
                <c:pt idx="205">
                  <c:v>1964</c:v>
                </c:pt>
                <c:pt idx="206">
                  <c:v>1965</c:v>
                </c:pt>
                <c:pt idx="207">
                  <c:v>1966</c:v>
                </c:pt>
                <c:pt idx="208">
                  <c:v>1967</c:v>
                </c:pt>
                <c:pt idx="209">
                  <c:v>1968</c:v>
                </c:pt>
                <c:pt idx="210">
                  <c:v>1969</c:v>
                </c:pt>
                <c:pt idx="211">
                  <c:v>1970</c:v>
                </c:pt>
                <c:pt idx="212">
                  <c:v>1971</c:v>
                </c:pt>
                <c:pt idx="213">
                  <c:v>1972</c:v>
                </c:pt>
                <c:pt idx="214">
                  <c:v>1973</c:v>
                </c:pt>
                <c:pt idx="215">
                  <c:v>1974</c:v>
                </c:pt>
                <c:pt idx="216">
                  <c:v>1975</c:v>
                </c:pt>
                <c:pt idx="217">
                  <c:v>1976</c:v>
                </c:pt>
                <c:pt idx="218">
                  <c:v>1977</c:v>
                </c:pt>
                <c:pt idx="219">
                  <c:v>1978</c:v>
                </c:pt>
                <c:pt idx="220">
                  <c:v>1979</c:v>
                </c:pt>
                <c:pt idx="221">
                  <c:v>1980</c:v>
                </c:pt>
                <c:pt idx="222">
                  <c:v>1981</c:v>
                </c:pt>
                <c:pt idx="223">
                  <c:v>1982</c:v>
                </c:pt>
                <c:pt idx="224">
                  <c:v>1983</c:v>
                </c:pt>
                <c:pt idx="225">
                  <c:v>1984</c:v>
                </c:pt>
                <c:pt idx="226">
                  <c:v>1982</c:v>
                </c:pt>
                <c:pt idx="227">
                  <c:v>1983</c:v>
                </c:pt>
                <c:pt idx="228">
                  <c:v>1984</c:v>
                </c:pt>
                <c:pt idx="229">
                  <c:v>1985</c:v>
                </c:pt>
                <c:pt idx="230">
                  <c:v>1986</c:v>
                </c:pt>
                <c:pt idx="231">
                  <c:v>1987</c:v>
                </c:pt>
                <c:pt idx="232">
                  <c:v>1988</c:v>
                </c:pt>
                <c:pt idx="233">
                  <c:v>1989</c:v>
                </c:pt>
                <c:pt idx="234">
                  <c:v>1990</c:v>
                </c:pt>
                <c:pt idx="235">
                  <c:v>1991</c:v>
                </c:pt>
                <c:pt idx="236">
                  <c:v>1992</c:v>
                </c:pt>
                <c:pt idx="237">
                  <c:v>1993</c:v>
                </c:pt>
                <c:pt idx="238">
                  <c:v>1994</c:v>
                </c:pt>
                <c:pt idx="239">
                  <c:v>1995</c:v>
                </c:pt>
                <c:pt idx="240">
                  <c:v>1996</c:v>
                </c:pt>
                <c:pt idx="241">
                  <c:v>1997</c:v>
                </c:pt>
                <c:pt idx="242">
                  <c:v>1998</c:v>
                </c:pt>
                <c:pt idx="243">
                  <c:v>1999</c:v>
                </c:pt>
                <c:pt idx="244">
                  <c:v>2000</c:v>
                </c:pt>
                <c:pt idx="245">
                  <c:v>2001</c:v>
                </c:pt>
                <c:pt idx="246">
                  <c:v>2002</c:v>
                </c:pt>
                <c:pt idx="247">
                  <c:v>2003</c:v>
                </c:pt>
                <c:pt idx="248">
                  <c:v>2004</c:v>
                </c:pt>
                <c:pt idx="249">
                  <c:v>2005</c:v>
                </c:pt>
                <c:pt idx="250">
                  <c:v>2006</c:v>
                </c:pt>
                <c:pt idx="251">
                  <c:v>2007</c:v>
                </c:pt>
                <c:pt idx="252">
                  <c:v>2008</c:v>
                </c:pt>
                <c:pt idx="253">
                  <c:v>2009</c:v>
                </c:pt>
                <c:pt idx="254">
                  <c:v>2010</c:v>
                </c:pt>
                <c:pt idx="255">
                  <c:v>2014</c:v>
                </c:pt>
                <c:pt idx="256">
                  <c:v>2015</c:v>
                </c:pt>
                <c:pt idx="257">
                  <c:v>2016</c:v>
                </c:pt>
                <c:pt idx="258">
                  <c:v>2017</c:v>
                </c:pt>
                <c:pt idx="259">
                  <c:v>2018</c:v>
                </c:pt>
                <c:pt idx="260">
                  <c:v>2019</c:v>
                </c:pt>
                <c:pt idx="261">
                  <c:v>2020</c:v>
                </c:pt>
                <c:pt idx="262">
                  <c:v>2021</c:v>
                </c:pt>
              </c:numCache>
            </c:numRef>
          </c:xVal>
          <c:yVal>
            <c:numRef>
              <c:f>'Generations&amp;Photos- CostsAT1'!$M$33:$M$295</c:f>
              <c:numCache>
                <c:formatCode>General</c:formatCode>
                <c:ptCount val="263"/>
                <c:pt idx="0">
                  <c:v>1</c:v>
                </c:pt>
                <c:pt idx="1">
                  <c:v>2</c:v>
                </c:pt>
                <c:pt idx="2">
                  <c:v>3</c:v>
                </c:pt>
                <c:pt idx="3">
                  <c:v>4</c:v>
                </c:pt>
                <c:pt idx="4">
                  <c:v>5</c:v>
                </c:pt>
                <c:pt idx="5">
                  <c:v>6</c:v>
                </c:pt>
                <c:pt idx="6">
                  <c:v>7</c:v>
                </c:pt>
                <c:pt idx="7">
                  <c:v>8</c:v>
                </c:pt>
                <c:pt idx="8">
                  <c:v>0</c:v>
                </c:pt>
                <c:pt idx="9">
                  <c:v>-1</c:v>
                </c:pt>
                <c:pt idx="10">
                  <c:v>-2</c:v>
                </c:pt>
                <c:pt idx="11">
                  <c:v>-2.5</c:v>
                </c:pt>
                <c:pt idx="12">
                  <c:v>9.5</c:v>
                </c:pt>
                <c:pt idx="13">
                  <c:v>9.5</c:v>
                </c:pt>
                <c:pt idx="14">
                  <c:v>-1.5</c:v>
                </c:pt>
                <c:pt idx="15">
                  <c:v>10</c:v>
                </c:pt>
                <c:pt idx="16">
                  <c:v>1.7</c:v>
                </c:pt>
                <c:pt idx="17">
                  <c:v>8.6999999999999993</c:v>
                </c:pt>
                <c:pt idx="18">
                  <c:v>-0.5</c:v>
                </c:pt>
                <c:pt idx="19">
                  <c:v>0.7</c:v>
                </c:pt>
                <c:pt idx="20">
                  <c:v>9.5</c:v>
                </c:pt>
                <c:pt idx="21">
                  <c:v>2.7</c:v>
                </c:pt>
                <c:pt idx="22">
                  <c:v>3.7</c:v>
                </c:pt>
                <c:pt idx="23">
                  <c:v>9.5</c:v>
                </c:pt>
                <c:pt idx="24">
                  <c:v>4.7</c:v>
                </c:pt>
                <c:pt idx="25">
                  <c:v>6.7</c:v>
                </c:pt>
                <c:pt idx="26">
                  <c:v>7.5</c:v>
                </c:pt>
                <c:pt idx="27">
                  <c:v>5.7</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6</c:v>
                </c:pt>
                <c:pt idx="189">
                  <c:v>6</c:v>
                </c:pt>
                <c:pt idx="190">
                  <c:v>6</c:v>
                </c:pt>
                <c:pt idx="191">
                  <c:v>6</c:v>
                </c:pt>
                <c:pt idx="192">
                  <c:v>6</c:v>
                </c:pt>
                <c:pt idx="193">
                  <c:v>6</c:v>
                </c:pt>
                <c:pt idx="194">
                  <c:v>6</c:v>
                </c:pt>
                <c:pt idx="195">
                  <c:v>6</c:v>
                </c:pt>
                <c:pt idx="196">
                  <c:v>6</c:v>
                </c:pt>
                <c:pt idx="197">
                  <c:v>6</c:v>
                </c:pt>
                <c:pt idx="198">
                  <c:v>6</c:v>
                </c:pt>
                <c:pt idx="199">
                  <c:v>6</c:v>
                </c:pt>
                <c:pt idx="200">
                  <c:v>6</c:v>
                </c:pt>
                <c:pt idx="201">
                  <c:v>6</c:v>
                </c:pt>
                <c:pt idx="202">
                  <c:v>6</c:v>
                </c:pt>
                <c:pt idx="203">
                  <c:v>6</c:v>
                </c:pt>
                <c:pt idx="204">
                  <c:v>6</c:v>
                </c:pt>
                <c:pt idx="205">
                  <c:v>6</c:v>
                </c:pt>
                <c:pt idx="206">
                  <c:v>6</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c:v>
                </c:pt>
                <c:pt idx="221">
                  <c:v>6</c:v>
                </c:pt>
                <c:pt idx="222">
                  <c:v>6</c:v>
                </c:pt>
                <c:pt idx="223">
                  <c:v>6</c:v>
                </c:pt>
                <c:pt idx="224">
                  <c:v>6</c:v>
                </c:pt>
                <c:pt idx="225">
                  <c:v>6</c:v>
                </c:pt>
                <c:pt idx="226">
                  <c:v>7</c:v>
                </c:pt>
                <c:pt idx="227">
                  <c:v>7</c:v>
                </c:pt>
                <c:pt idx="228">
                  <c:v>7</c:v>
                </c:pt>
                <c:pt idx="229">
                  <c:v>7</c:v>
                </c:pt>
                <c:pt idx="230">
                  <c:v>7</c:v>
                </c:pt>
                <c:pt idx="231">
                  <c:v>7</c:v>
                </c:pt>
                <c:pt idx="232">
                  <c:v>7</c:v>
                </c:pt>
                <c:pt idx="233">
                  <c:v>7</c:v>
                </c:pt>
                <c:pt idx="234">
                  <c:v>7</c:v>
                </c:pt>
                <c:pt idx="235">
                  <c:v>7</c:v>
                </c:pt>
                <c:pt idx="236">
                  <c:v>7</c:v>
                </c:pt>
                <c:pt idx="237">
                  <c:v>7</c:v>
                </c:pt>
                <c:pt idx="238">
                  <c:v>7</c:v>
                </c:pt>
                <c:pt idx="239">
                  <c:v>7</c:v>
                </c:pt>
                <c:pt idx="240">
                  <c:v>7</c:v>
                </c:pt>
                <c:pt idx="241">
                  <c:v>7</c:v>
                </c:pt>
                <c:pt idx="242">
                  <c:v>7</c:v>
                </c:pt>
                <c:pt idx="243">
                  <c:v>7</c:v>
                </c:pt>
                <c:pt idx="244">
                  <c:v>7</c:v>
                </c:pt>
                <c:pt idx="245">
                  <c:v>7</c:v>
                </c:pt>
                <c:pt idx="246">
                  <c:v>7</c:v>
                </c:pt>
                <c:pt idx="247">
                  <c:v>7</c:v>
                </c:pt>
                <c:pt idx="248">
                  <c:v>7</c:v>
                </c:pt>
                <c:pt idx="249">
                  <c:v>7</c:v>
                </c:pt>
                <c:pt idx="250">
                  <c:v>7</c:v>
                </c:pt>
                <c:pt idx="251">
                  <c:v>7</c:v>
                </c:pt>
                <c:pt idx="252">
                  <c:v>7</c:v>
                </c:pt>
                <c:pt idx="253">
                  <c:v>7</c:v>
                </c:pt>
                <c:pt idx="254">
                  <c:v>7</c:v>
                </c:pt>
                <c:pt idx="255">
                  <c:v>8</c:v>
                </c:pt>
                <c:pt idx="256">
                  <c:v>8</c:v>
                </c:pt>
                <c:pt idx="257">
                  <c:v>8</c:v>
                </c:pt>
                <c:pt idx="258">
                  <c:v>8</c:v>
                </c:pt>
                <c:pt idx="259">
                  <c:v>8</c:v>
                </c:pt>
                <c:pt idx="260">
                  <c:v>8</c:v>
                </c:pt>
                <c:pt idx="261">
                  <c:v>8</c:v>
                </c:pt>
                <c:pt idx="262">
                  <c:v>8</c:v>
                </c:pt>
              </c:numCache>
            </c:numRef>
          </c:yVal>
          <c:smooth val="0"/>
          <c:extLst>
            <c:ext xmlns:c16="http://schemas.microsoft.com/office/drawing/2014/chart" uri="{C3380CC4-5D6E-409C-BE32-E72D297353CC}">
              <c16:uniqueId val="{0000001A-9555-A544-BB7E-C7151BB91EA6}"/>
            </c:ext>
          </c:extLst>
        </c:ser>
        <c:dLbls>
          <c:showLegendKey val="0"/>
          <c:showVal val="0"/>
          <c:showCatName val="0"/>
          <c:showSerName val="0"/>
          <c:showPercent val="0"/>
          <c:showBubbleSize val="0"/>
        </c:dLbls>
        <c:axId val="364001072"/>
        <c:axId val="364032976"/>
      </c:scatterChart>
      <c:valAx>
        <c:axId val="364001072"/>
        <c:scaling>
          <c:orientation val="minMax"/>
          <c:max val="2100"/>
          <c:min val="1650"/>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dk1">
                        <a:lumMod val="50000"/>
                        <a:lumOff val="50000"/>
                      </a:schemeClr>
                    </a:solidFill>
                    <a:latin typeface="+mn-lt"/>
                    <a:ea typeface="+mn-ea"/>
                    <a:cs typeface="+mn-cs"/>
                  </a:defRPr>
                </a:pPr>
                <a:r>
                  <a:rPr lang="en-GB" sz="1400"/>
                  <a:t>YEAR</a:t>
                </a:r>
              </a:p>
            </c:rich>
          </c:tx>
          <c:layout>
            <c:manualLayout>
              <c:xMode val="edge"/>
              <c:yMode val="edge"/>
              <c:x val="0.48247221364076781"/>
              <c:y val="0.7330886117261038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64032976"/>
        <c:crosses val="autoZero"/>
        <c:crossBetween val="midCat"/>
      </c:valAx>
      <c:valAx>
        <c:axId val="364032976"/>
        <c:scaling>
          <c:orientation val="minMax"/>
          <c:max val="9"/>
          <c:min val="-3"/>
        </c:scaling>
        <c:delete val="1"/>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50000"/>
                        <a:lumOff val="50000"/>
                      </a:schemeClr>
                    </a:solidFill>
                    <a:latin typeface="+mn-lt"/>
                    <a:ea typeface="+mn-ea"/>
                    <a:cs typeface="+mn-cs"/>
                  </a:defRPr>
                </a:pPr>
                <a:r>
                  <a:rPr lang="en-GB" sz="1400"/>
                  <a:t>Generation</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crossAx val="364001072"/>
        <c:crosses val="autoZero"/>
        <c:crossBetween val="midCat"/>
        <c:majorUnit val="1"/>
      </c:valAx>
      <c:spPr>
        <a:noFill/>
        <a:ln>
          <a:noFill/>
        </a:ln>
        <a:effectLst/>
      </c:spPr>
    </c:plotArea>
    <c:plotVisOnly val="1"/>
    <c:dispBlanksAs val="gap"/>
    <c:showDLblsOverMax val="0"/>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1" Type="http://schemas.openxmlformats.org/officeDocument/2006/relationships/customXml" Target="../ink/ink20.xml"/><Relationship Id="rId170" Type="http://schemas.openxmlformats.org/officeDocument/2006/relationships/customXml" Target="../ink/ink169.xml"/><Relationship Id="rId268" Type="http://schemas.openxmlformats.org/officeDocument/2006/relationships/customXml" Target="../ink/ink267.xml"/><Relationship Id="rId475" Type="http://schemas.openxmlformats.org/officeDocument/2006/relationships/customXml" Target="../ink/ink474.xml"/><Relationship Id="rId682" Type="http://schemas.openxmlformats.org/officeDocument/2006/relationships/customXml" Target="../ink/ink681.xml"/><Relationship Id="rId128" Type="http://schemas.openxmlformats.org/officeDocument/2006/relationships/customXml" Target="../ink/ink127.xml"/><Relationship Id="rId335" Type="http://schemas.openxmlformats.org/officeDocument/2006/relationships/customXml" Target="../ink/ink334.xml"/><Relationship Id="rId542" Type="http://schemas.openxmlformats.org/officeDocument/2006/relationships/customXml" Target="../ink/ink541.xml"/><Relationship Id="rId987" Type="http://schemas.openxmlformats.org/officeDocument/2006/relationships/customXml" Target="../ink/ink986.xml"/><Relationship Id="rId402" Type="http://schemas.openxmlformats.org/officeDocument/2006/relationships/customXml" Target="../ink/ink401.xml"/><Relationship Id="rId847" Type="http://schemas.openxmlformats.org/officeDocument/2006/relationships/customXml" Target="../ink/ink846.xml"/><Relationship Id="rId1032" Type="http://schemas.openxmlformats.org/officeDocument/2006/relationships/customXml" Target="../ink/ink1031.xml"/><Relationship Id="rId707" Type="http://schemas.openxmlformats.org/officeDocument/2006/relationships/customXml" Target="../ink/ink706.xml"/><Relationship Id="rId914" Type="http://schemas.openxmlformats.org/officeDocument/2006/relationships/customXml" Target="../ink/ink913.xml"/><Relationship Id="rId43" Type="http://schemas.openxmlformats.org/officeDocument/2006/relationships/customXml" Target="../ink/ink42.xml"/><Relationship Id="rId192" Type="http://schemas.openxmlformats.org/officeDocument/2006/relationships/customXml" Target="../ink/ink191.xml"/><Relationship Id="rId497" Type="http://schemas.openxmlformats.org/officeDocument/2006/relationships/customXml" Target="../ink/ink496.xml"/><Relationship Id="rId357" Type="http://schemas.openxmlformats.org/officeDocument/2006/relationships/customXml" Target="../ink/ink356.xml"/><Relationship Id="rId217" Type="http://schemas.openxmlformats.org/officeDocument/2006/relationships/customXml" Target="../ink/ink216.xml"/><Relationship Id="rId564" Type="http://schemas.openxmlformats.org/officeDocument/2006/relationships/customXml" Target="../ink/ink563.xml"/><Relationship Id="rId771" Type="http://schemas.openxmlformats.org/officeDocument/2006/relationships/customXml" Target="../ink/ink770.xml"/><Relationship Id="rId869" Type="http://schemas.openxmlformats.org/officeDocument/2006/relationships/customXml" Target="../ink/ink868.xml"/><Relationship Id="rId424" Type="http://schemas.openxmlformats.org/officeDocument/2006/relationships/customXml" Target="../ink/ink423.xml"/><Relationship Id="rId631" Type="http://schemas.openxmlformats.org/officeDocument/2006/relationships/customXml" Target="../ink/ink630.xml"/><Relationship Id="rId729" Type="http://schemas.openxmlformats.org/officeDocument/2006/relationships/customXml" Target="../ink/ink728.xml"/><Relationship Id="rId1054" Type="http://schemas.openxmlformats.org/officeDocument/2006/relationships/customXml" Target="../ink/ink1053.xml"/><Relationship Id="rId936" Type="http://schemas.openxmlformats.org/officeDocument/2006/relationships/customXml" Target="../ink/ink935.xml"/><Relationship Id="rId1121" Type="http://schemas.openxmlformats.org/officeDocument/2006/relationships/customXml" Target="../ink/ink1120.xml"/><Relationship Id="rId65" Type="http://schemas.openxmlformats.org/officeDocument/2006/relationships/customXml" Target="../ink/ink64.xml"/><Relationship Id="rId281" Type="http://schemas.openxmlformats.org/officeDocument/2006/relationships/customXml" Target="../ink/ink280.xml"/><Relationship Id="rId141" Type="http://schemas.openxmlformats.org/officeDocument/2006/relationships/customXml" Target="../ink/ink140.xml"/><Relationship Id="rId379" Type="http://schemas.openxmlformats.org/officeDocument/2006/relationships/customXml" Target="../ink/ink378.xml"/><Relationship Id="rId586" Type="http://schemas.openxmlformats.org/officeDocument/2006/relationships/customXml" Target="../ink/ink585.xml"/><Relationship Id="rId793" Type="http://schemas.openxmlformats.org/officeDocument/2006/relationships/customXml" Target="../ink/ink792.xml"/><Relationship Id="rId7" Type="http://schemas.openxmlformats.org/officeDocument/2006/relationships/customXml" Target="../ink/ink6.xml"/><Relationship Id="rId239" Type="http://schemas.openxmlformats.org/officeDocument/2006/relationships/customXml" Target="../ink/ink238.xml"/><Relationship Id="rId446" Type="http://schemas.openxmlformats.org/officeDocument/2006/relationships/customXml" Target="../ink/ink445.xml"/><Relationship Id="rId653" Type="http://schemas.openxmlformats.org/officeDocument/2006/relationships/customXml" Target="../ink/ink652.xml"/><Relationship Id="rId1076" Type="http://schemas.openxmlformats.org/officeDocument/2006/relationships/customXml" Target="../ink/ink1075.xml"/><Relationship Id="rId306" Type="http://schemas.openxmlformats.org/officeDocument/2006/relationships/customXml" Target="../ink/ink305.xml"/><Relationship Id="rId860" Type="http://schemas.openxmlformats.org/officeDocument/2006/relationships/customXml" Target="../ink/ink859.xml"/><Relationship Id="rId958" Type="http://schemas.openxmlformats.org/officeDocument/2006/relationships/customXml" Target="../ink/ink957.xml"/><Relationship Id="rId87" Type="http://schemas.openxmlformats.org/officeDocument/2006/relationships/customXml" Target="../ink/ink86.xml"/><Relationship Id="rId513" Type="http://schemas.openxmlformats.org/officeDocument/2006/relationships/customXml" Target="../ink/ink512.xml"/><Relationship Id="rId720" Type="http://schemas.openxmlformats.org/officeDocument/2006/relationships/customXml" Target="../ink/ink719.xml"/><Relationship Id="rId818" Type="http://schemas.openxmlformats.org/officeDocument/2006/relationships/customXml" Target="../ink/ink817.xml"/><Relationship Id="rId1003" Type="http://schemas.openxmlformats.org/officeDocument/2006/relationships/customXml" Target="../ink/ink1002.xml"/><Relationship Id="rId14" Type="http://schemas.openxmlformats.org/officeDocument/2006/relationships/customXml" Target="../ink/ink13.xml"/><Relationship Id="rId163" Type="http://schemas.openxmlformats.org/officeDocument/2006/relationships/customXml" Target="../ink/ink162.xml"/><Relationship Id="rId370" Type="http://schemas.openxmlformats.org/officeDocument/2006/relationships/customXml" Target="../ink/ink369.xml"/><Relationship Id="rId230" Type="http://schemas.openxmlformats.org/officeDocument/2006/relationships/customXml" Target="../ink/ink229.xml"/><Relationship Id="rId468" Type="http://schemas.openxmlformats.org/officeDocument/2006/relationships/customXml" Target="../ink/ink467.xml"/><Relationship Id="rId675" Type="http://schemas.openxmlformats.org/officeDocument/2006/relationships/customXml" Target="../ink/ink674.xml"/><Relationship Id="rId882" Type="http://schemas.openxmlformats.org/officeDocument/2006/relationships/customXml" Target="../ink/ink881.xml"/><Relationship Id="rId1098" Type="http://schemas.openxmlformats.org/officeDocument/2006/relationships/customXml" Target="../ink/ink1097.xml"/><Relationship Id="rId328" Type="http://schemas.openxmlformats.org/officeDocument/2006/relationships/customXml" Target="../ink/ink327.xml"/><Relationship Id="rId535" Type="http://schemas.openxmlformats.org/officeDocument/2006/relationships/customXml" Target="../ink/ink534.xml"/><Relationship Id="rId742" Type="http://schemas.openxmlformats.org/officeDocument/2006/relationships/customXml" Target="../ink/ink741.xml"/><Relationship Id="rId602" Type="http://schemas.openxmlformats.org/officeDocument/2006/relationships/customXml" Target="../ink/ink601.xml"/><Relationship Id="rId1025" Type="http://schemas.openxmlformats.org/officeDocument/2006/relationships/customXml" Target="../ink/ink1024.xml"/><Relationship Id="rId907" Type="http://schemas.openxmlformats.org/officeDocument/2006/relationships/customXml" Target="../ink/ink906.xml"/><Relationship Id="rId36" Type="http://schemas.openxmlformats.org/officeDocument/2006/relationships/customXml" Target="../ink/ink35.xml"/><Relationship Id="rId339" Type="http://schemas.openxmlformats.org/officeDocument/2006/relationships/customXml" Target="../ink/ink338.xml"/><Relationship Id="rId546" Type="http://schemas.openxmlformats.org/officeDocument/2006/relationships/customXml" Target="../ink/ink545.xml"/><Relationship Id="rId753" Type="http://schemas.openxmlformats.org/officeDocument/2006/relationships/customXml" Target="../ink/ink752.xml"/><Relationship Id="rId101" Type="http://schemas.openxmlformats.org/officeDocument/2006/relationships/customXml" Target="../ink/ink100.xml"/><Relationship Id="rId185" Type="http://schemas.openxmlformats.org/officeDocument/2006/relationships/customXml" Target="../ink/ink184.xml"/><Relationship Id="rId406" Type="http://schemas.openxmlformats.org/officeDocument/2006/relationships/customXml" Target="../ink/ink405.xml"/><Relationship Id="rId960" Type="http://schemas.openxmlformats.org/officeDocument/2006/relationships/customXml" Target="../ink/ink959.xml"/><Relationship Id="rId1036" Type="http://schemas.openxmlformats.org/officeDocument/2006/relationships/customXml" Target="../ink/ink1035.xml"/><Relationship Id="rId392" Type="http://schemas.openxmlformats.org/officeDocument/2006/relationships/customXml" Target="../ink/ink391.xml"/><Relationship Id="rId613" Type="http://schemas.openxmlformats.org/officeDocument/2006/relationships/customXml" Target="../ink/ink612.xml"/><Relationship Id="rId697" Type="http://schemas.openxmlformats.org/officeDocument/2006/relationships/customXml" Target="../ink/ink696.xml"/><Relationship Id="rId820" Type="http://schemas.openxmlformats.org/officeDocument/2006/relationships/customXml" Target="../ink/ink819.xml"/><Relationship Id="rId918" Type="http://schemas.openxmlformats.org/officeDocument/2006/relationships/customXml" Target="../ink/ink917.xml"/><Relationship Id="rId252" Type="http://schemas.openxmlformats.org/officeDocument/2006/relationships/customXml" Target="../ink/ink251.xml"/><Relationship Id="rId1103" Type="http://schemas.openxmlformats.org/officeDocument/2006/relationships/customXml" Target="../ink/ink1102.xml"/><Relationship Id="rId47" Type="http://schemas.openxmlformats.org/officeDocument/2006/relationships/customXml" Target="../ink/ink46.xml"/><Relationship Id="rId112" Type="http://schemas.openxmlformats.org/officeDocument/2006/relationships/customXml" Target="../ink/ink111.xml"/><Relationship Id="rId557" Type="http://schemas.openxmlformats.org/officeDocument/2006/relationships/customXml" Target="../ink/ink556.xml"/><Relationship Id="rId764" Type="http://schemas.openxmlformats.org/officeDocument/2006/relationships/customXml" Target="../ink/ink763.xml"/><Relationship Id="rId971" Type="http://schemas.openxmlformats.org/officeDocument/2006/relationships/customXml" Target="../ink/ink970.xml"/><Relationship Id="rId196" Type="http://schemas.openxmlformats.org/officeDocument/2006/relationships/customXml" Target="../ink/ink195.xml"/><Relationship Id="rId417" Type="http://schemas.openxmlformats.org/officeDocument/2006/relationships/customXml" Target="../ink/ink416.xml"/><Relationship Id="rId624" Type="http://schemas.openxmlformats.org/officeDocument/2006/relationships/customXml" Target="../ink/ink623.xml"/><Relationship Id="rId831" Type="http://schemas.openxmlformats.org/officeDocument/2006/relationships/customXml" Target="../ink/ink830.xml"/><Relationship Id="rId1047" Type="http://schemas.openxmlformats.org/officeDocument/2006/relationships/customXml" Target="../ink/ink1046.xml"/><Relationship Id="rId263" Type="http://schemas.openxmlformats.org/officeDocument/2006/relationships/customXml" Target="../ink/ink262.xml"/><Relationship Id="rId470" Type="http://schemas.openxmlformats.org/officeDocument/2006/relationships/customXml" Target="../ink/ink469.xml"/><Relationship Id="rId929" Type="http://schemas.openxmlformats.org/officeDocument/2006/relationships/customXml" Target="../ink/ink928.xml"/><Relationship Id="rId1114" Type="http://schemas.openxmlformats.org/officeDocument/2006/relationships/customXml" Target="../ink/ink1113.xml"/><Relationship Id="rId58" Type="http://schemas.openxmlformats.org/officeDocument/2006/relationships/customXml" Target="../ink/ink57.xml"/><Relationship Id="rId123" Type="http://schemas.openxmlformats.org/officeDocument/2006/relationships/customXml" Target="../ink/ink122.xml"/><Relationship Id="rId330" Type="http://schemas.openxmlformats.org/officeDocument/2006/relationships/customXml" Target="../ink/ink329.xml"/><Relationship Id="rId568" Type="http://schemas.openxmlformats.org/officeDocument/2006/relationships/customXml" Target="../ink/ink567.xml"/><Relationship Id="rId775" Type="http://schemas.openxmlformats.org/officeDocument/2006/relationships/customXml" Target="../ink/ink774.xml"/><Relationship Id="rId982" Type="http://schemas.openxmlformats.org/officeDocument/2006/relationships/customXml" Target="../ink/ink981.xml"/><Relationship Id="rId428" Type="http://schemas.openxmlformats.org/officeDocument/2006/relationships/customXml" Target="../ink/ink427.xml"/><Relationship Id="rId635" Type="http://schemas.openxmlformats.org/officeDocument/2006/relationships/customXml" Target="../ink/ink634.xml"/><Relationship Id="rId842" Type="http://schemas.openxmlformats.org/officeDocument/2006/relationships/customXml" Target="../ink/ink841.xml"/><Relationship Id="rId1058" Type="http://schemas.openxmlformats.org/officeDocument/2006/relationships/customXml" Target="../ink/ink1057.xml"/><Relationship Id="rId274" Type="http://schemas.openxmlformats.org/officeDocument/2006/relationships/customXml" Target="../ink/ink273.xml"/><Relationship Id="rId481" Type="http://schemas.openxmlformats.org/officeDocument/2006/relationships/customXml" Target="../ink/ink480.xml"/><Relationship Id="rId702" Type="http://schemas.openxmlformats.org/officeDocument/2006/relationships/customXml" Target="../ink/ink701.xml"/><Relationship Id="rId1125" Type="http://schemas.openxmlformats.org/officeDocument/2006/relationships/customXml" Target="../ink/ink1124.xml"/><Relationship Id="rId69" Type="http://schemas.openxmlformats.org/officeDocument/2006/relationships/customXml" Target="../ink/ink68.xml"/><Relationship Id="rId134" Type="http://schemas.openxmlformats.org/officeDocument/2006/relationships/customXml" Target="../ink/ink133.xml"/><Relationship Id="rId579" Type="http://schemas.openxmlformats.org/officeDocument/2006/relationships/customXml" Target="../ink/ink578.xml"/><Relationship Id="rId786" Type="http://schemas.openxmlformats.org/officeDocument/2006/relationships/customXml" Target="../ink/ink785.xml"/><Relationship Id="rId993" Type="http://schemas.openxmlformats.org/officeDocument/2006/relationships/customXml" Target="../ink/ink992.xml"/><Relationship Id="rId341" Type="http://schemas.openxmlformats.org/officeDocument/2006/relationships/customXml" Target="../ink/ink340.xml"/><Relationship Id="rId439" Type="http://schemas.openxmlformats.org/officeDocument/2006/relationships/customXml" Target="../ink/ink438.xml"/><Relationship Id="rId646" Type="http://schemas.openxmlformats.org/officeDocument/2006/relationships/customXml" Target="../ink/ink645.xml"/><Relationship Id="rId1069" Type="http://schemas.openxmlformats.org/officeDocument/2006/relationships/customXml" Target="../ink/ink1068.xml"/><Relationship Id="rId201" Type="http://schemas.openxmlformats.org/officeDocument/2006/relationships/customXml" Target="../ink/ink200.xml"/><Relationship Id="rId285" Type="http://schemas.openxmlformats.org/officeDocument/2006/relationships/customXml" Target="../ink/ink284.xml"/><Relationship Id="rId506" Type="http://schemas.openxmlformats.org/officeDocument/2006/relationships/customXml" Target="../ink/ink505.xml"/><Relationship Id="rId853" Type="http://schemas.openxmlformats.org/officeDocument/2006/relationships/customXml" Target="../ink/ink852.xml"/><Relationship Id="rId1136" Type="http://schemas.openxmlformats.org/officeDocument/2006/relationships/customXml" Target="../ink/ink1135.xml"/><Relationship Id="rId492" Type="http://schemas.openxmlformats.org/officeDocument/2006/relationships/customXml" Target="../ink/ink491.xml"/><Relationship Id="rId713" Type="http://schemas.openxmlformats.org/officeDocument/2006/relationships/customXml" Target="../ink/ink712.xml"/><Relationship Id="rId797" Type="http://schemas.openxmlformats.org/officeDocument/2006/relationships/customXml" Target="../ink/ink796.xml"/><Relationship Id="rId920" Type="http://schemas.openxmlformats.org/officeDocument/2006/relationships/customXml" Target="../ink/ink919.xml"/><Relationship Id="rId145" Type="http://schemas.openxmlformats.org/officeDocument/2006/relationships/customXml" Target="../ink/ink144.xml"/><Relationship Id="rId352" Type="http://schemas.openxmlformats.org/officeDocument/2006/relationships/customXml" Target="../ink/ink351.xml"/><Relationship Id="rId212" Type="http://schemas.openxmlformats.org/officeDocument/2006/relationships/customXml" Target="../ink/ink211.xml"/><Relationship Id="rId657" Type="http://schemas.openxmlformats.org/officeDocument/2006/relationships/customXml" Target="../ink/ink656.xml"/><Relationship Id="rId864" Type="http://schemas.openxmlformats.org/officeDocument/2006/relationships/customXml" Target="../ink/ink863.xml"/><Relationship Id="rId296" Type="http://schemas.openxmlformats.org/officeDocument/2006/relationships/customXml" Target="../ink/ink295.xml"/><Relationship Id="rId517" Type="http://schemas.openxmlformats.org/officeDocument/2006/relationships/customXml" Target="../ink/ink516.xml"/><Relationship Id="rId724" Type="http://schemas.openxmlformats.org/officeDocument/2006/relationships/customXml" Target="../ink/ink723.xml"/><Relationship Id="rId931" Type="http://schemas.openxmlformats.org/officeDocument/2006/relationships/customXml" Target="../ink/ink930.xml"/><Relationship Id="rId60" Type="http://schemas.openxmlformats.org/officeDocument/2006/relationships/customXml" Target="../ink/ink59.xml"/><Relationship Id="rId156" Type="http://schemas.openxmlformats.org/officeDocument/2006/relationships/customXml" Target="../ink/ink155.xml"/><Relationship Id="rId363" Type="http://schemas.openxmlformats.org/officeDocument/2006/relationships/customXml" Target="../ink/ink362.xml"/><Relationship Id="rId570" Type="http://schemas.openxmlformats.org/officeDocument/2006/relationships/customXml" Target="../ink/ink569.xml"/><Relationship Id="rId1007" Type="http://schemas.openxmlformats.org/officeDocument/2006/relationships/customXml" Target="../ink/ink1006.xml"/><Relationship Id="rId223" Type="http://schemas.openxmlformats.org/officeDocument/2006/relationships/customXml" Target="../ink/ink222.xml"/><Relationship Id="rId430" Type="http://schemas.openxmlformats.org/officeDocument/2006/relationships/customXml" Target="../ink/ink429.xml"/><Relationship Id="rId668" Type="http://schemas.openxmlformats.org/officeDocument/2006/relationships/customXml" Target="../ink/ink667.xml"/><Relationship Id="rId875" Type="http://schemas.openxmlformats.org/officeDocument/2006/relationships/customXml" Target="../ink/ink874.xml"/><Relationship Id="rId1060" Type="http://schemas.openxmlformats.org/officeDocument/2006/relationships/customXml" Target="../ink/ink1059.xml"/><Relationship Id="rId18" Type="http://schemas.openxmlformats.org/officeDocument/2006/relationships/customXml" Target="../ink/ink17.xml"/><Relationship Id="rId528" Type="http://schemas.openxmlformats.org/officeDocument/2006/relationships/customXml" Target="../ink/ink527.xml"/><Relationship Id="rId735" Type="http://schemas.openxmlformats.org/officeDocument/2006/relationships/customXml" Target="../ink/ink734.xml"/><Relationship Id="rId942" Type="http://schemas.openxmlformats.org/officeDocument/2006/relationships/customXml" Target="../ink/ink941.xml"/><Relationship Id="rId167" Type="http://schemas.openxmlformats.org/officeDocument/2006/relationships/customXml" Target="../ink/ink166.xml"/><Relationship Id="rId374" Type="http://schemas.openxmlformats.org/officeDocument/2006/relationships/customXml" Target="../ink/ink373.xml"/><Relationship Id="rId581" Type="http://schemas.openxmlformats.org/officeDocument/2006/relationships/customXml" Target="../ink/ink580.xml"/><Relationship Id="rId1018" Type="http://schemas.openxmlformats.org/officeDocument/2006/relationships/customXml" Target="../ink/ink1017.xml"/><Relationship Id="rId71" Type="http://schemas.openxmlformats.org/officeDocument/2006/relationships/customXml" Target="../ink/ink70.xml"/><Relationship Id="rId234" Type="http://schemas.openxmlformats.org/officeDocument/2006/relationships/customXml" Target="../ink/ink233.xml"/><Relationship Id="rId679" Type="http://schemas.openxmlformats.org/officeDocument/2006/relationships/customXml" Target="../ink/ink678.xml"/><Relationship Id="rId802" Type="http://schemas.openxmlformats.org/officeDocument/2006/relationships/customXml" Target="../ink/ink801.xml"/><Relationship Id="rId886" Type="http://schemas.openxmlformats.org/officeDocument/2006/relationships/customXml" Target="../ink/ink885.xml"/><Relationship Id="rId2" Type="http://schemas.openxmlformats.org/officeDocument/2006/relationships/image" Target="../media/image1.png"/><Relationship Id="rId29" Type="http://schemas.openxmlformats.org/officeDocument/2006/relationships/customXml" Target="../ink/ink28.xml"/><Relationship Id="rId441" Type="http://schemas.openxmlformats.org/officeDocument/2006/relationships/customXml" Target="../ink/ink440.xml"/><Relationship Id="rId539" Type="http://schemas.openxmlformats.org/officeDocument/2006/relationships/customXml" Target="../ink/ink538.xml"/><Relationship Id="rId746" Type="http://schemas.openxmlformats.org/officeDocument/2006/relationships/customXml" Target="../ink/ink745.xml"/><Relationship Id="rId1071" Type="http://schemas.openxmlformats.org/officeDocument/2006/relationships/customXml" Target="../ink/ink1070.xml"/><Relationship Id="rId178" Type="http://schemas.openxmlformats.org/officeDocument/2006/relationships/customXml" Target="../ink/ink177.xml"/><Relationship Id="rId301" Type="http://schemas.openxmlformats.org/officeDocument/2006/relationships/customXml" Target="../ink/ink300.xml"/><Relationship Id="rId953" Type="http://schemas.openxmlformats.org/officeDocument/2006/relationships/customXml" Target="../ink/ink952.xml"/><Relationship Id="rId1029" Type="http://schemas.openxmlformats.org/officeDocument/2006/relationships/customXml" Target="../ink/ink1028.xml"/><Relationship Id="rId82" Type="http://schemas.openxmlformats.org/officeDocument/2006/relationships/customXml" Target="../ink/ink81.xml"/><Relationship Id="rId385" Type="http://schemas.openxmlformats.org/officeDocument/2006/relationships/customXml" Target="../ink/ink384.xml"/><Relationship Id="rId592" Type="http://schemas.openxmlformats.org/officeDocument/2006/relationships/customXml" Target="../ink/ink591.xml"/><Relationship Id="rId606" Type="http://schemas.openxmlformats.org/officeDocument/2006/relationships/customXml" Target="../ink/ink605.xml"/><Relationship Id="rId813" Type="http://schemas.openxmlformats.org/officeDocument/2006/relationships/customXml" Target="../ink/ink812.xml"/><Relationship Id="rId245" Type="http://schemas.openxmlformats.org/officeDocument/2006/relationships/customXml" Target="../ink/ink244.xml"/><Relationship Id="rId452" Type="http://schemas.openxmlformats.org/officeDocument/2006/relationships/customXml" Target="../ink/ink451.xml"/><Relationship Id="rId897" Type="http://schemas.openxmlformats.org/officeDocument/2006/relationships/customXml" Target="../ink/ink896.xml"/><Relationship Id="rId1082" Type="http://schemas.openxmlformats.org/officeDocument/2006/relationships/customXml" Target="../ink/ink1081.xml"/><Relationship Id="rId105" Type="http://schemas.openxmlformats.org/officeDocument/2006/relationships/customXml" Target="../ink/ink104.xml"/><Relationship Id="rId312" Type="http://schemas.openxmlformats.org/officeDocument/2006/relationships/customXml" Target="../ink/ink311.xml"/><Relationship Id="rId757" Type="http://schemas.openxmlformats.org/officeDocument/2006/relationships/customXml" Target="../ink/ink756.xml"/><Relationship Id="rId964" Type="http://schemas.openxmlformats.org/officeDocument/2006/relationships/customXml" Target="../ink/ink963.xml"/><Relationship Id="rId93" Type="http://schemas.openxmlformats.org/officeDocument/2006/relationships/customXml" Target="../ink/ink92.xml"/><Relationship Id="rId189" Type="http://schemas.openxmlformats.org/officeDocument/2006/relationships/customXml" Target="../ink/ink188.xml"/><Relationship Id="rId396" Type="http://schemas.openxmlformats.org/officeDocument/2006/relationships/customXml" Target="../ink/ink395.xml"/><Relationship Id="rId617" Type="http://schemas.openxmlformats.org/officeDocument/2006/relationships/customXml" Target="../ink/ink616.xml"/><Relationship Id="rId824" Type="http://schemas.openxmlformats.org/officeDocument/2006/relationships/customXml" Target="../ink/ink823.xml"/><Relationship Id="rId256" Type="http://schemas.openxmlformats.org/officeDocument/2006/relationships/customXml" Target="../ink/ink255.xml"/><Relationship Id="rId463" Type="http://schemas.openxmlformats.org/officeDocument/2006/relationships/customXml" Target="../ink/ink462.xml"/><Relationship Id="rId670" Type="http://schemas.openxmlformats.org/officeDocument/2006/relationships/customXml" Target="../ink/ink669.xml"/><Relationship Id="rId1093" Type="http://schemas.openxmlformats.org/officeDocument/2006/relationships/customXml" Target="../ink/ink1092.xml"/><Relationship Id="rId1107" Type="http://schemas.openxmlformats.org/officeDocument/2006/relationships/customXml" Target="../ink/ink1106.xml"/><Relationship Id="rId116" Type="http://schemas.openxmlformats.org/officeDocument/2006/relationships/customXml" Target="../ink/ink115.xml"/><Relationship Id="rId323" Type="http://schemas.openxmlformats.org/officeDocument/2006/relationships/customXml" Target="../ink/ink322.xml"/><Relationship Id="rId530" Type="http://schemas.openxmlformats.org/officeDocument/2006/relationships/customXml" Target="../ink/ink529.xml"/><Relationship Id="rId768" Type="http://schemas.openxmlformats.org/officeDocument/2006/relationships/customXml" Target="../ink/ink767.xml"/><Relationship Id="rId975" Type="http://schemas.openxmlformats.org/officeDocument/2006/relationships/customXml" Target="../ink/ink974.xml"/><Relationship Id="rId20" Type="http://schemas.openxmlformats.org/officeDocument/2006/relationships/customXml" Target="../ink/ink19.xml"/><Relationship Id="rId628" Type="http://schemas.openxmlformats.org/officeDocument/2006/relationships/customXml" Target="../ink/ink627.xml"/><Relationship Id="rId835" Type="http://schemas.openxmlformats.org/officeDocument/2006/relationships/customXml" Target="../ink/ink834.xml"/><Relationship Id="rId267" Type="http://schemas.openxmlformats.org/officeDocument/2006/relationships/customXml" Target="../ink/ink266.xml"/><Relationship Id="rId474" Type="http://schemas.openxmlformats.org/officeDocument/2006/relationships/customXml" Target="../ink/ink473.xml"/><Relationship Id="rId1020" Type="http://schemas.openxmlformats.org/officeDocument/2006/relationships/customXml" Target="../ink/ink1019.xml"/><Relationship Id="rId1118" Type="http://schemas.openxmlformats.org/officeDocument/2006/relationships/customXml" Target="../ink/ink1117.xml"/><Relationship Id="rId127" Type="http://schemas.openxmlformats.org/officeDocument/2006/relationships/customXml" Target="../ink/ink126.xml"/><Relationship Id="rId681" Type="http://schemas.openxmlformats.org/officeDocument/2006/relationships/customXml" Target="../ink/ink680.xml"/><Relationship Id="rId779" Type="http://schemas.openxmlformats.org/officeDocument/2006/relationships/customXml" Target="../ink/ink778.xml"/><Relationship Id="rId902" Type="http://schemas.openxmlformats.org/officeDocument/2006/relationships/customXml" Target="../ink/ink901.xml"/><Relationship Id="rId986" Type="http://schemas.openxmlformats.org/officeDocument/2006/relationships/customXml" Target="../ink/ink985.xml"/><Relationship Id="rId31" Type="http://schemas.openxmlformats.org/officeDocument/2006/relationships/customXml" Target="../ink/ink30.xml"/><Relationship Id="rId334" Type="http://schemas.openxmlformats.org/officeDocument/2006/relationships/customXml" Target="../ink/ink333.xml"/><Relationship Id="rId541" Type="http://schemas.openxmlformats.org/officeDocument/2006/relationships/customXml" Target="../ink/ink540.xml"/><Relationship Id="rId639" Type="http://schemas.openxmlformats.org/officeDocument/2006/relationships/customXml" Target="../ink/ink638.xml"/><Relationship Id="rId180" Type="http://schemas.openxmlformats.org/officeDocument/2006/relationships/customXml" Target="../ink/ink179.xml"/><Relationship Id="rId278" Type="http://schemas.openxmlformats.org/officeDocument/2006/relationships/customXml" Target="../ink/ink277.xml"/><Relationship Id="rId401" Type="http://schemas.openxmlformats.org/officeDocument/2006/relationships/customXml" Target="../ink/ink400.xml"/><Relationship Id="rId846" Type="http://schemas.openxmlformats.org/officeDocument/2006/relationships/customXml" Target="../ink/ink845.xml"/><Relationship Id="rId1031" Type="http://schemas.openxmlformats.org/officeDocument/2006/relationships/customXml" Target="../ink/ink1030.xml"/><Relationship Id="rId1129" Type="http://schemas.openxmlformats.org/officeDocument/2006/relationships/customXml" Target="../ink/ink1128.xml"/><Relationship Id="rId485" Type="http://schemas.openxmlformats.org/officeDocument/2006/relationships/customXml" Target="../ink/ink484.xml"/><Relationship Id="rId692" Type="http://schemas.openxmlformats.org/officeDocument/2006/relationships/customXml" Target="../ink/ink691.xml"/><Relationship Id="rId706" Type="http://schemas.openxmlformats.org/officeDocument/2006/relationships/customXml" Target="../ink/ink705.xml"/><Relationship Id="rId913" Type="http://schemas.openxmlformats.org/officeDocument/2006/relationships/customXml" Target="../ink/ink912.xml"/><Relationship Id="rId42" Type="http://schemas.openxmlformats.org/officeDocument/2006/relationships/customXml" Target="../ink/ink41.xml"/><Relationship Id="rId138" Type="http://schemas.openxmlformats.org/officeDocument/2006/relationships/customXml" Target="../ink/ink137.xml"/><Relationship Id="rId345" Type="http://schemas.openxmlformats.org/officeDocument/2006/relationships/customXml" Target="../ink/ink344.xml"/><Relationship Id="rId552" Type="http://schemas.openxmlformats.org/officeDocument/2006/relationships/customXml" Target="../ink/ink551.xml"/><Relationship Id="rId997" Type="http://schemas.openxmlformats.org/officeDocument/2006/relationships/customXml" Target="../ink/ink996.xml"/><Relationship Id="rId191" Type="http://schemas.openxmlformats.org/officeDocument/2006/relationships/customXml" Target="../ink/ink190.xml"/><Relationship Id="rId205" Type="http://schemas.openxmlformats.org/officeDocument/2006/relationships/customXml" Target="../ink/ink204.xml"/><Relationship Id="rId412" Type="http://schemas.openxmlformats.org/officeDocument/2006/relationships/customXml" Target="../ink/ink411.xml"/><Relationship Id="rId857" Type="http://schemas.openxmlformats.org/officeDocument/2006/relationships/customXml" Target="../ink/ink856.xml"/><Relationship Id="rId1042" Type="http://schemas.openxmlformats.org/officeDocument/2006/relationships/customXml" Target="../ink/ink1041.xml"/><Relationship Id="rId289" Type="http://schemas.openxmlformats.org/officeDocument/2006/relationships/customXml" Target="../ink/ink288.xml"/><Relationship Id="rId496" Type="http://schemas.openxmlformats.org/officeDocument/2006/relationships/customXml" Target="../ink/ink495.xml"/><Relationship Id="rId717" Type="http://schemas.openxmlformats.org/officeDocument/2006/relationships/customXml" Target="../ink/ink716.xml"/><Relationship Id="rId924" Type="http://schemas.openxmlformats.org/officeDocument/2006/relationships/customXml" Target="../ink/ink923.xml"/><Relationship Id="rId53" Type="http://schemas.openxmlformats.org/officeDocument/2006/relationships/customXml" Target="../ink/ink52.xml"/><Relationship Id="rId149" Type="http://schemas.openxmlformats.org/officeDocument/2006/relationships/customXml" Target="../ink/ink148.xml"/><Relationship Id="rId356" Type="http://schemas.openxmlformats.org/officeDocument/2006/relationships/customXml" Target="../ink/ink355.xml"/><Relationship Id="rId563" Type="http://schemas.openxmlformats.org/officeDocument/2006/relationships/customXml" Target="../ink/ink562.xml"/><Relationship Id="rId770" Type="http://schemas.openxmlformats.org/officeDocument/2006/relationships/customXml" Target="../ink/ink769.xml"/><Relationship Id="rId216" Type="http://schemas.openxmlformats.org/officeDocument/2006/relationships/customXml" Target="../ink/ink215.xml"/><Relationship Id="rId423" Type="http://schemas.openxmlformats.org/officeDocument/2006/relationships/customXml" Target="../ink/ink422.xml"/><Relationship Id="rId868" Type="http://schemas.openxmlformats.org/officeDocument/2006/relationships/customXml" Target="../ink/ink867.xml"/><Relationship Id="rId1053" Type="http://schemas.openxmlformats.org/officeDocument/2006/relationships/customXml" Target="../ink/ink1052.xml"/><Relationship Id="rId630" Type="http://schemas.openxmlformats.org/officeDocument/2006/relationships/customXml" Target="../ink/ink629.xml"/><Relationship Id="rId728" Type="http://schemas.openxmlformats.org/officeDocument/2006/relationships/customXml" Target="../ink/ink727.xml"/><Relationship Id="rId935" Type="http://schemas.openxmlformats.org/officeDocument/2006/relationships/customXml" Target="../ink/ink934.xml"/><Relationship Id="rId64" Type="http://schemas.openxmlformats.org/officeDocument/2006/relationships/customXml" Target="../ink/ink63.xml"/><Relationship Id="rId367" Type="http://schemas.openxmlformats.org/officeDocument/2006/relationships/customXml" Target="../ink/ink366.xml"/><Relationship Id="rId574" Type="http://schemas.openxmlformats.org/officeDocument/2006/relationships/customXml" Target="../ink/ink573.xml"/><Relationship Id="rId1120" Type="http://schemas.openxmlformats.org/officeDocument/2006/relationships/customXml" Target="../ink/ink1119.xml"/><Relationship Id="rId227" Type="http://schemas.openxmlformats.org/officeDocument/2006/relationships/customXml" Target="../ink/ink226.xml"/><Relationship Id="rId781" Type="http://schemas.openxmlformats.org/officeDocument/2006/relationships/customXml" Target="../ink/ink780.xml"/><Relationship Id="rId879" Type="http://schemas.openxmlformats.org/officeDocument/2006/relationships/customXml" Target="../ink/ink878.xml"/><Relationship Id="rId434" Type="http://schemas.openxmlformats.org/officeDocument/2006/relationships/customXml" Target="../ink/ink433.xml"/><Relationship Id="rId641" Type="http://schemas.openxmlformats.org/officeDocument/2006/relationships/customXml" Target="../ink/ink640.xml"/><Relationship Id="rId739" Type="http://schemas.openxmlformats.org/officeDocument/2006/relationships/customXml" Target="../ink/ink738.xml"/><Relationship Id="rId1064" Type="http://schemas.openxmlformats.org/officeDocument/2006/relationships/customXml" Target="../ink/ink1063.xml"/><Relationship Id="rId280" Type="http://schemas.openxmlformats.org/officeDocument/2006/relationships/customXml" Target="../ink/ink279.xml"/><Relationship Id="rId501" Type="http://schemas.openxmlformats.org/officeDocument/2006/relationships/customXml" Target="../ink/ink500.xml"/><Relationship Id="rId946" Type="http://schemas.openxmlformats.org/officeDocument/2006/relationships/customXml" Target="../ink/ink945.xml"/><Relationship Id="rId1131" Type="http://schemas.openxmlformats.org/officeDocument/2006/relationships/customXml" Target="../ink/ink1130.xml"/><Relationship Id="rId75" Type="http://schemas.openxmlformats.org/officeDocument/2006/relationships/customXml" Target="../ink/ink74.xml"/><Relationship Id="rId140" Type="http://schemas.openxmlformats.org/officeDocument/2006/relationships/customXml" Target="../ink/ink139.xml"/><Relationship Id="rId378" Type="http://schemas.openxmlformats.org/officeDocument/2006/relationships/customXml" Target="../ink/ink377.xml"/><Relationship Id="rId585" Type="http://schemas.openxmlformats.org/officeDocument/2006/relationships/customXml" Target="../ink/ink584.xml"/><Relationship Id="rId792" Type="http://schemas.openxmlformats.org/officeDocument/2006/relationships/customXml" Target="../ink/ink791.xml"/><Relationship Id="rId806" Type="http://schemas.openxmlformats.org/officeDocument/2006/relationships/customXml" Target="../ink/ink805.xml"/><Relationship Id="rId6" Type="http://schemas.openxmlformats.org/officeDocument/2006/relationships/customXml" Target="../ink/ink5.xml"/><Relationship Id="rId238" Type="http://schemas.openxmlformats.org/officeDocument/2006/relationships/customXml" Target="../ink/ink237.xml"/><Relationship Id="rId445" Type="http://schemas.openxmlformats.org/officeDocument/2006/relationships/customXml" Target="../ink/ink444.xml"/><Relationship Id="rId652" Type="http://schemas.openxmlformats.org/officeDocument/2006/relationships/customXml" Target="../ink/ink651.xml"/><Relationship Id="rId1075" Type="http://schemas.openxmlformats.org/officeDocument/2006/relationships/customXml" Target="../ink/ink1074.xml"/><Relationship Id="rId291" Type="http://schemas.openxmlformats.org/officeDocument/2006/relationships/customXml" Target="../ink/ink290.xml"/><Relationship Id="rId305" Type="http://schemas.openxmlformats.org/officeDocument/2006/relationships/customXml" Target="../ink/ink304.xml"/><Relationship Id="rId512" Type="http://schemas.openxmlformats.org/officeDocument/2006/relationships/customXml" Target="../ink/ink511.xml"/><Relationship Id="rId957" Type="http://schemas.openxmlformats.org/officeDocument/2006/relationships/customXml" Target="../ink/ink956.xml"/><Relationship Id="rId86" Type="http://schemas.openxmlformats.org/officeDocument/2006/relationships/customXml" Target="../ink/ink85.xml"/><Relationship Id="rId151" Type="http://schemas.openxmlformats.org/officeDocument/2006/relationships/customXml" Target="../ink/ink150.xml"/><Relationship Id="rId389" Type="http://schemas.openxmlformats.org/officeDocument/2006/relationships/customXml" Target="../ink/ink388.xml"/><Relationship Id="rId596" Type="http://schemas.openxmlformats.org/officeDocument/2006/relationships/customXml" Target="../ink/ink595.xml"/><Relationship Id="rId817" Type="http://schemas.openxmlformats.org/officeDocument/2006/relationships/customXml" Target="../ink/ink816.xml"/><Relationship Id="rId1002" Type="http://schemas.openxmlformats.org/officeDocument/2006/relationships/customXml" Target="../ink/ink1001.xml"/><Relationship Id="rId249" Type="http://schemas.openxmlformats.org/officeDocument/2006/relationships/customXml" Target="../ink/ink248.xml"/><Relationship Id="rId456" Type="http://schemas.openxmlformats.org/officeDocument/2006/relationships/customXml" Target="../ink/ink455.xml"/><Relationship Id="rId663" Type="http://schemas.openxmlformats.org/officeDocument/2006/relationships/customXml" Target="../ink/ink662.xml"/><Relationship Id="rId870" Type="http://schemas.openxmlformats.org/officeDocument/2006/relationships/customXml" Target="../ink/ink869.xml"/><Relationship Id="rId1086" Type="http://schemas.openxmlformats.org/officeDocument/2006/relationships/customXml" Target="../ink/ink1085.xml"/><Relationship Id="rId13" Type="http://schemas.openxmlformats.org/officeDocument/2006/relationships/customXml" Target="../ink/ink12.xml"/><Relationship Id="rId109" Type="http://schemas.openxmlformats.org/officeDocument/2006/relationships/customXml" Target="../ink/ink108.xml"/><Relationship Id="rId316" Type="http://schemas.openxmlformats.org/officeDocument/2006/relationships/customXml" Target="../ink/ink315.xml"/><Relationship Id="rId523" Type="http://schemas.openxmlformats.org/officeDocument/2006/relationships/customXml" Target="../ink/ink522.xml"/><Relationship Id="rId968" Type="http://schemas.openxmlformats.org/officeDocument/2006/relationships/customXml" Target="../ink/ink967.xml"/><Relationship Id="rId97" Type="http://schemas.openxmlformats.org/officeDocument/2006/relationships/customXml" Target="../ink/ink96.xml"/><Relationship Id="rId730" Type="http://schemas.openxmlformats.org/officeDocument/2006/relationships/customXml" Target="../ink/ink729.xml"/><Relationship Id="rId828" Type="http://schemas.openxmlformats.org/officeDocument/2006/relationships/customXml" Target="../ink/ink827.xml"/><Relationship Id="rId1013" Type="http://schemas.openxmlformats.org/officeDocument/2006/relationships/customXml" Target="../ink/ink1012.xml"/><Relationship Id="rId162" Type="http://schemas.openxmlformats.org/officeDocument/2006/relationships/customXml" Target="../ink/ink161.xml"/><Relationship Id="rId467" Type="http://schemas.openxmlformats.org/officeDocument/2006/relationships/customXml" Target="../ink/ink466.xml"/><Relationship Id="rId1097" Type="http://schemas.openxmlformats.org/officeDocument/2006/relationships/customXml" Target="../ink/ink1096.xml"/><Relationship Id="rId674" Type="http://schemas.openxmlformats.org/officeDocument/2006/relationships/customXml" Target="../ink/ink673.xml"/><Relationship Id="rId881" Type="http://schemas.openxmlformats.org/officeDocument/2006/relationships/customXml" Target="../ink/ink880.xml"/><Relationship Id="rId979" Type="http://schemas.openxmlformats.org/officeDocument/2006/relationships/customXml" Target="../ink/ink978.xml"/><Relationship Id="rId24" Type="http://schemas.openxmlformats.org/officeDocument/2006/relationships/customXml" Target="../ink/ink23.xml"/><Relationship Id="rId327" Type="http://schemas.openxmlformats.org/officeDocument/2006/relationships/customXml" Target="../ink/ink326.xml"/><Relationship Id="rId534" Type="http://schemas.openxmlformats.org/officeDocument/2006/relationships/customXml" Target="../ink/ink533.xml"/><Relationship Id="rId741" Type="http://schemas.openxmlformats.org/officeDocument/2006/relationships/customXml" Target="../ink/ink740.xml"/><Relationship Id="rId839" Type="http://schemas.openxmlformats.org/officeDocument/2006/relationships/customXml" Target="../ink/ink838.xml"/><Relationship Id="rId173" Type="http://schemas.openxmlformats.org/officeDocument/2006/relationships/customXml" Target="../ink/ink172.xml"/><Relationship Id="rId380" Type="http://schemas.openxmlformats.org/officeDocument/2006/relationships/customXml" Target="../ink/ink379.xml"/><Relationship Id="rId601" Type="http://schemas.openxmlformats.org/officeDocument/2006/relationships/customXml" Target="../ink/ink600.xml"/><Relationship Id="rId1024" Type="http://schemas.openxmlformats.org/officeDocument/2006/relationships/customXml" Target="../ink/ink1023.xml"/><Relationship Id="rId240" Type="http://schemas.openxmlformats.org/officeDocument/2006/relationships/customXml" Target="../ink/ink239.xml"/><Relationship Id="rId478" Type="http://schemas.openxmlformats.org/officeDocument/2006/relationships/customXml" Target="../ink/ink477.xml"/><Relationship Id="rId685" Type="http://schemas.openxmlformats.org/officeDocument/2006/relationships/customXml" Target="../ink/ink684.xml"/><Relationship Id="rId892" Type="http://schemas.openxmlformats.org/officeDocument/2006/relationships/customXml" Target="../ink/ink891.xml"/><Relationship Id="rId906" Type="http://schemas.openxmlformats.org/officeDocument/2006/relationships/customXml" Target="../ink/ink905.xml"/><Relationship Id="rId35" Type="http://schemas.openxmlformats.org/officeDocument/2006/relationships/customXml" Target="../ink/ink34.xml"/><Relationship Id="rId100" Type="http://schemas.openxmlformats.org/officeDocument/2006/relationships/customXml" Target="../ink/ink99.xml"/><Relationship Id="rId338" Type="http://schemas.openxmlformats.org/officeDocument/2006/relationships/customXml" Target="../ink/ink337.xml"/><Relationship Id="rId545" Type="http://schemas.openxmlformats.org/officeDocument/2006/relationships/customXml" Target="../ink/ink544.xml"/><Relationship Id="rId752" Type="http://schemas.openxmlformats.org/officeDocument/2006/relationships/customXml" Target="../ink/ink751.xml"/><Relationship Id="rId184" Type="http://schemas.openxmlformats.org/officeDocument/2006/relationships/customXml" Target="../ink/ink183.xml"/><Relationship Id="rId391" Type="http://schemas.openxmlformats.org/officeDocument/2006/relationships/customXml" Target="../ink/ink390.xml"/><Relationship Id="rId405" Type="http://schemas.openxmlformats.org/officeDocument/2006/relationships/customXml" Target="../ink/ink404.xml"/><Relationship Id="rId612" Type="http://schemas.openxmlformats.org/officeDocument/2006/relationships/customXml" Target="../ink/ink611.xml"/><Relationship Id="rId1035" Type="http://schemas.openxmlformats.org/officeDocument/2006/relationships/customXml" Target="../ink/ink1034.xml"/><Relationship Id="rId251" Type="http://schemas.openxmlformats.org/officeDocument/2006/relationships/customXml" Target="../ink/ink250.xml"/><Relationship Id="rId489" Type="http://schemas.openxmlformats.org/officeDocument/2006/relationships/customXml" Target="../ink/ink488.xml"/><Relationship Id="rId696" Type="http://schemas.openxmlformats.org/officeDocument/2006/relationships/customXml" Target="../ink/ink695.xml"/><Relationship Id="rId917" Type="http://schemas.openxmlformats.org/officeDocument/2006/relationships/customXml" Target="../ink/ink916.xml"/><Relationship Id="rId1102" Type="http://schemas.openxmlformats.org/officeDocument/2006/relationships/customXml" Target="../ink/ink1101.xml"/><Relationship Id="rId46" Type="http://schemas.openxmlformats.org/officeDocument/2006/relationships/customXml" Target="../ink/ink45.xml"/><Relationship Id="rId349" Type="http://schemas.openxmlformats.org/officeDocument/2006/relationships/customXml" Target="../ink/ink348.xml"/><Relationship Id="rId556" Type="http://schemas.openxmlformats.org/officeDocument/2006/relationships/customXml" Target="../ink/ink555.xml"/><Relationship Id="rId763" Type="http://schemas.openxmlformats.org/officeDocument/2006/relationships/customXml" Target="../ink/ink762.xml"/><Relationship Id="rId111" Type="http://schemas.openxmlformats.org/officeDocument/2006/relationships/customXml" Target="../ink/ink110.xml"/><Relationship Id="rId195" Type="http://schemas.openxmlformats.org/officeDocument/2006/relationships/customXml" Target="../ink/ink194.xml"/><Relationship Id="rId209" Type="http://schemas.openxmlformats.org/officeDocument/2006/relationships/customXml" Target="../ink/ink208.xml"/><Relationship Id="rId416" Type="http://schemas.openxmlformats.org/officeDocument/2006/relationships/customXml" Target="../ink/ink415.xml"/><Relationship Id="rId970" Type="http://schemas.openxmlformats.org/officeDocument/2006/relationships/customXml" Target="../ink/ink969.xml"/><Relationship Id="rId1046" Type="http://schemas.openxmlformats.org/officeDocument/2006/relationships/customXml" Target="../ink/ink1045.xml"/><Relationship Id="rId623" Type="http://schemas.openxmlformats.org/officeDocument/2006/relationships/customXml" Target="../ink/ink622.xml"/><Relationship Id="rId830" Type="http://schemas.openxmlformats.org/officeDocument/2006/relationships/customXml" Target="../ink/ink829.xml"/><Relationship Id="rId928" Type="http://schemas.openxmlformats.org/officeDocument/2006/relationships/customXml" Target="../ink/ink927.xml"/><Relationship Id="rId57" Type="http://schemas.openxmlformats.org/officeDocument/2006/relationships/customXml" Target="../ink/ink56.xml"/><Relationship Id="rId262" Type="http://schemas.openxmlformats.org/officeDocument/2006/relationships/customXml" Target="../ink/ink261.xml"/><Relationship Id="rId567" Type="http://schemas.openxmlformats.org/officeDocument/2006/relationships/customXml" Target="../ink/ink566.xml"/><Relationship Id="rId1113" Type="http://schemas.openxmlformats.org/officeDocument/2006/relationships/customXml" Target="../ink/ink1112.xml"/><Relationship Id="rId122" Type="http://schemas.openxmlformats.org/officeDocument/2006/relationships/customXml" Target="../ink/ink121.xml"/><Relationship Id="rId774" Type="http://schemas.openxmlformats.org/officeDocument/2006/relationships/customXml" Target="../ink/ink773.xml"/><Relationship Id="rId981" Type="http://schemas.openxmlformats.org/officeDocument/2006/relationships/customXml" Target="../ink/ink980.xml"/><Relationship Id="rId1057" Type="http://schemas.openxmlformats.org/officeDocument/2006/relationships/customXml" Target="../ink/ink1056.xml"/><Relationship Id="rId427" Type="http://schemas.openxmlformats.org/officeDocument/2006/relationships/customXml" Target="../ink/ink426.xml"/><Relationship Id="rId634" Type="http://schemas.openxmlformats.org/officeDocument/2006/relationships/customXml" Target="../ink/ink633.xml"/><Relationship Id="rId841" Type="http://schemas.openxmlformats.org/officeDocument/2006/relationships/customXml" Target="../ink/ink840.xml"/><Relationship Id="rId273" Type="http://schemas.openxmlformats.org/officeDocument/2006/relationships/customXml" Target="../ink/ink272.xml"/><Relationship Id="rId480" Type="http://schemas.openxmlformats.org/officeDocument/2006/relationships/customXml" Target="../ink/ink479.xml"/><Relationship Id="rId701" Type="http://schemas.openxmlformats.org/officeDocument/2006/relationships/customXml" Target="../ink/ink700.xml"/><Relationship Id="rId939" Type="http://schemas.openxmlformats.org/officeDocument/2006/relationships/customXml" Target="../ink/ink938.xml"/><Relationship Id="rId1124" Type="http://schemas.openxmlformats.org/officeDocument/2006/relationships/customXml" Target="../ink/ink1123.xml"/><Relationship Id="rId68" Type="http://schemas.openxmlformats.org/officeDocument/2006/relationships/customXml" Target="../ink/ink67.xml"/><Relationship Id="rId133" Type="http://schemas.openxmlformats.org/officeDocument/2006/relationships/customXml" Target="../ink/ink132.xml"/><Relationship Id="rId340" Type="http://schemas.openxmlformats.org/officeDocument/2006/relationships/customXml" Target="../ink/ink339.xml"/><Relationship Id="rId578" Type="http://schemas.openxmlformats.org/officeDocument/2006/relationships/customXml" Target="../ink/ink577.xml"/><Relationship Id="rId785" Type="http://schemas.openxmlformats.org/officeDocument/2006/relationships/customXml" Target="../ink/ink784.xml"/><Relationship Id="rId992" Type="http://schemas.openxmlformats.org/officeDocument/2006/relationships/customXml" Target="../ink/ink991.xml"/><Relationship Id="rId200" Type="http://schemas.openxmlformats.org/officeDocument/2006/relationships/customXml" Target="../ink/ink199.xml"/><Relationship Id="rId438" Type="http://schemas.openxmlformats.org/officeDocument/2006/relationships/customXml" Target="../ink/ink437.xml"/><Relationship Id="rId645" Type="http://schemas.openxmlformats.org/officeDocument/2006/relationships/customXml" Target="../ink/ink644.xml"/><Relationship Id="rId852" Type="http://schemas.openxmlformats.org/officeDocument/2006/relationships/customXml" Target="../ink/ink851.xml"/><Relationship Id="rId1068" Type="http://schemas.openxmlformats.org/officeDocument/2006/relationships/customXml" Target="../ink/ink1067.xml"/><Relationship Id="rId284" Type="http://schemas.openxmlformats.org/officeDocument/2006/relationships/customXml" Target="../ink/ink283.xml"/><Relationship Id="rId491" Type="http://schemas.openxmlformats.org/officeDocument/2006/relationships/customXml" Target="../ink/ink490.xml"/><Relationship Id="rId505" Type="http://schemas.openxmlformats.org/officeDocument/2006/relationships/customXml" Target="../ink/ink504.xml"/><Relationship Id="rId712" Type="http://schemas.openxmlformats.org/officeDocument/2006/relationships/customXml" Target="../ink/ink711.xml"/><Relationship Id="rId1135" Type="http://schemas.openxmlformats.org/officeDocument/2006/relationships/customXml" Target="../ink/ink1134.xml"/><Relationship Id="rId79" Type="http://schemas.openxmlformats.org/officeDocument/2006/relationships/customXml" Target="../ink/ink78.xml"/><Relationship Id="rId144" Type="http://schemas.openxmlformats.org/officeDocument/2006/relationships/customXml" Target="../ink/ink143.xml"/><Relationship Id="rId589" Type="http://schemas.openxmlformats.org/officeDocument/2006/relationships/customXml" Target="../ink/ink588.xml"/><Relationship Id="rId796" Type="http://schemas.openxmlformats.org/officeDocument/2006/relationships/customXml" Target="../ink/ink795.xml"/><Relationship Id="rId351" Type="http://schemas.openxmlformats.org/officeDocument/2006/relationships/customXml" Target="../ink/ink350.xml"/><Relationship Id="rId449" Type="http://schemas.openxmlformats.org/officeDocument/2006/relationships/customXml" Target="../ink/ink448.xml"/><Relationship Id="rId656" Type="http://schemas.openxmlformats.org/officeDocument/2006/relationships/customXml" Target="../ink/ink655.xml"/><Relationship Id="rId863" Type="http://schemas.openxmlformats.org/officeDocument/2006/relationships/customXml" Target="../ink/ink862.xml"/><Relationship Id="rId1079" Type="http://schemas.openxmlformats.org/officeDocument/2006/relationships/customXml" Target="../ink/ink1078.xml"/><Relationship Id="rId211" Type="http://schemas.openxmlformats.org/officeDocument/2006/relationships/customXml" Target="../ink/ink210.xml"/><Relationship Id="rId295" Type="http://schemas.openxmlformats.org/officeDocument/2006/relationships/customXml" Target="../ink/ink294.xml"/><Relationship Id="rId309" Type="http://schemas.openxmlformats.org/officeDocument/2006/relationships/customXml" Target="../ink/ink308.xml"/><Relationship Id="rId516" Type="http://schemas.openxmlformats.org/officeDocument/2006/relationships/customXml" Target="../ink/ink515.xml"/><Relationship Id="rId723" Type="http://schemas.openxmlformats.org/officeDocument/2006/relationships/customXml" Target="../ink/ink722.xml"/><Relationship Id="rId930" Type="http://schemas.openxmlformats.org/officeDocument/2006/relationships/customXml" Target="../ink/ink929.xml"/><Relationship Id="rId1006" Type="http://schemas.openxmlformats.org/officeDocument/2006/relationships/customXml" Target="../ink/ink1005.xml"/><Relationship Id="rId155" Type="http://schemas.openxmlformats.org/officeDocument/2006/relationships/customXml" Target="../ink/ink154.xml"/><Relationship Id="rId362" Type="http://schemas.openxmlformats.org/officeDocument/2006/relationships/customXml" Target="../ink/ink361.xml"/><Relationship Id="rId222" Type="http://schemas.openxmlformats.org/officeDocument/2006/relationships/customXml" Target="../ink/ink221.xml"/><Relationship Id="rId667" Type="http://schemas.openxmlformats.org/officeDocument/2006/relationships/customXml" Target="../ink/ink666.xml"/><Relationship Id="rId874" Type="http://schemas.openxmlformats.org/officeDocument/2006/relationships/customXml" Target="../ink/ink873.xml"/><Relationship Id="rId17" Type="http://schemas.openxmlformats.org/officeDocument/2006/relationships/customXml" Target="../ink/ink16.xml"/><Relationship Id="rId527" Type="http://schemas.openxmlformats.org/officeDocument/2006/relationships/customXml" Target="../ink/ink526.xml"/><Relationship Id="rId734" Type="http://schemas.openxmlformats.org/officeDocument/2006/relationships/customXml" Target="../ink/ink733.xml"/><Relationship Id="rId941" Type="http://schemas.openxmlformats.org/officeDocument/2006/relationships/customXml" Target="../ink/ink940.xml"/><Relationship Id="rId70" Type="http://schemas.openxmlformats.org/officeDocument/2006/relationships/customXml" Target="../ink/ink69.xml"/><Relationship Id="rId166" Type="http://schemas.openxmlformats.org/officeDocument/2006/relationships/customXml" Target="../ink/ink165.xml"/><Relationship Id="rId373" Type="http://schemas.openxmlformats.org/officeDocument/2006/relationships/customXml" Target="../ink/ink372.xml"/><Relationship Id="rId580" Type="http://schemas.openxmlformats.org/officeDocument/2006/relationships/customXml" Target="../ink/ink579.xml"/><Relationship Id="rId801" Type="http://schemas.openxmlformats.org/officeDocument/2006/relationships/customXml" Target="../ink/ink800.xml"/><Relationship Id="rId1017" Type="http://schemas.openxmlformats.org/officeDocument/2006/relationships/customXml" Target="../ink/ink1016.xml"/><Relationship Id="rId1" Type="http://schemas.openxmlformats.org/officeDocument/2006/relationships/customXml" Target="../ink/ink1.xml"/><Relationship Id="rId233" Type="http://schemas.openxmlformats.org/officeDocument/2006/relationships/customXml" Target="../ink/ink232.xml"/><Relationship Id="rId440" Type="http://schemas.openxmlformats.org/officeDocument/2006/relationships/customXml" Target="../ink/ink439.xml"/><Relationship Id="rId678" Type="http://schemas.openxmlformats.org/officeDocument/2006/relationships/customXml" Target="../ink/ink677.xml"/><Relationship Id="rId885" Type="http://schemas.openxmlformats.org/officeDocument/2006/relationships/customXml" Target="../ink/ink884.xml"/><Relationship Id="rId1070" Type="http://schemas.openxmlformats.org/officeDocument/2006/relationships/customXml" Target="../ink/ink1069.xml"/><Relationship Id="rId28" Type="http://schemas.openxmlformats.org/officeDocument/2006/relationships/customXml" Target="../ink/ink27.xml"/><Relationship Id="rId300" Type="http://schemas.openxmlformats.org/officeDocument/2006/relationships/customXml" Target="../ink/ink299.xml"/><Relationship Id="rId538" Type="http://schemas.openxmlformats.org/officeDocument/2006/relationships/customXml" Target="../ink/ink537.xml"/><Relationship Id="rId745" Type="http://schemas.openxmlformats.org/officeDocument/2006/relationships/customXml" Target="../ink/ink744.xml"/><Relationship Id="rId952" Type="http://schemas.openxmlformats.org/officeDocument/2006/relationships/customXml" Target="../ink/ink951.xml"/><Relationship Id="rId81" Type="http://schemas.openxmlformats.org/officeDocument/2006/relationships/customXml" Target="../ink/ink80.xml"/><Relationship Id="rId177" Type="http://schemas.openxmlformats.org/officeDocument/2006/relationships/customXml" Target="../ink/ink176.xml"/><Relationship Id="rId384" Type="http://schemas.openxmlformats.org/officeDocument/2006/relationships/customXml" Target="../ink/ink383.xml"/><Relationship Id="rId591" Type="http://schemas.openxmlformats.org/officeDocument/2006/relationships/customXml" Target="../ink/ink590.xml"/><Relationship Id="rId605" Type="http://schemas.openxmlformats.org/officeDocument/2006/relationships/customXml" Target="../ink/ink604.xml"/><Relationship Id="rId812" Type="http://schemas.openxmlformats.org/officeDocument/2006/relationships/customXml" Target="../ink/ink811.xml"/><Relationship Id="rId1028" Type="http://schemas.openxmlformats.org/officeDocument/2006/relationships/customXml" Target="../ink/ink1027.xml"/><Relationship Id="rId244" Type="http://schemas.openxmlformats.org/officeDocument/2006/relationships/customXml" Target="../ink/ink243.xml"/><Relationship Id="rId689" Type="http://schemas.openxmlformats.org/officeDocument/2006/relationships/customXml" Target="../ink/ink688.xml"/><Relationship Id="rId896" Type="http://schemas.openxmlformats.org/officeDocument/2006/relationships/customXml" Target="../ink/ink895.xml"/><Relationship Id="rId1081" Type="http://schemas.openxmlformats.org/officeDocument/2006/relationships/customXml" Target="../ink/ink1080.xml"/><Relationship Id="rId39" Type="http://schemas.openxmlformats.org/officeDocument/2006/relationships/customXml" Target="../ink/ink38.xml"/><Relationship Id="rId451" Type="http://schemas.openxmlformats.org/officeDocument/2006/relationships/customXml" Target="../ink/ink450.xml"/><Relationship Id="rId549" Type="http://schemas.openxmlformats.org/officeDocument/2006/relationships/customXml" Target="../ink/ink548.xml"/><Relationship Id="rId756" Type="http://schemas.openxmlformats.org/officeDocument/2006/relationships/customXml" Target="../ink/ink755.xml"/><Relationship Id="rId104" Type="http://schemas.openxmlformats.org/officeDocument/2006/relationships/customXml" Target="../ink/ink103.xml"/><Relationship Id="rId188" Type="http://schemas.openxmlformats.org/officeDocument/2006/relationships/customXml" Target="../ink/ink187.xml"/><Relationship Id="rId311" Type="http://schemas.openxmlformats.org/officeDocument/2006/relationships/customXml" Target="../ink/ink310.xml"/><Relationship Id="rId395" Type="http://schemas.openxmlformats.org/officeDocument/2006/relationships/customXml" Target="../ink/ink394.xml"/><Relationship Id="rId409" Type="http://schemas.openxmlformats.org/officeDocument/2006/relationships/customXml" Target="../ink/ink408.xml"/><Relationship Id="rId963" Type="http://schemas.openxmlformats.org/officeDocument/2006/relationships/customXml" Target="../ink/ink962.xml"/><Relationship Id="rId1039" Type="http://schemas.openxmlformats.org/officeDocument/2006/relationships/customXml" Target="../ink/ink1038.xml"/><Relationship Id="rId92" Type="http://schemas.openxmlformats.org/officeDocument/2006/relationships/customXml" Target="../ink/ink91.xml"/><Relationship Id="rId616" Type="http://schemas.openxmlformats.org/officeDocument/2006/relationships/customXml" Target="../ink/ink615.xml"/><Relationship Id="rId823" Type="http://schemas.openxmlformats.org/officeDocument/2006/relationships/customXml" Target="../ink/ink822.xml"/><Relationship Id="rId255" Type="http://schemas.openxmlformats.org/officeDocument/2006/relationships/customXml" Target="../ink/ink254.xml"/><Relationship Id="rId462" Type="http://schemas.openxmlformats.org/officeDocument/2006/relationships/customXml" Target="../ink/ink461.xml"/><Relationship Id="rId1092" Type="http://schemas.openxmlformats.org/officeDocument/2006/relationships/customXml" Target="../ink/ink1091.xml"/><Relationship Id="rId1106" Type="http://schemas.openxmlformats.org/officeDocument/2006/relationships/customXml" Target="../ink/ink1105.xml"/><Relationship Id="rId115" Type="http://schemas.openxmlformats.org/officeDocument/2006/relationships/customXml" Target="../ink/ink114.xml"/><Relationship Id="rId322" Type="http://schemas.openxmlformats.org/officeDocument/2006/relationships/customXml" Target="../ink/ink321.xml"/><Relationship Id="rId767" Type="http://schemas.openxmlformats.org/officeDocument/2006/relationships/customXml" Target="../ink/ink766.xml"/><Relationship Id="rId974" Type="http://schemas.openxmlformats.org/officeDocument/2006/relationships/customXml" Target="../ink/ink973.xml"/><Relationship Id="rId199" Type="http://schemas.openxmlformats.org/officeDocument/2006/relationships/customXml" Target="../ink/ink198.xml"/><Relationship Id="rId627" Type="http://schemas.openxmlformats.org/officeDocument/2006/relationships/customXml" Target="../ink/ink626.xml"/><Relationship Id="rId834" Type="http://schemas.openxmlformats.org/officeDocument/2006/relationships/customXml" Target="../ink/ink833.xml"/><Relationship Id="rId266" Type="http://schemas.openxmlformats.org/officeDocument/2006/relationships/customXml" Target="../ink/ink265.xml"/><Relationship Id="rId473" Type="http://schemas.openxmlformats.org/officeDocument/2006/relationships/customXml" Target="../ink/ink472.xml"/><Relationship Id="rId680" Type="http://schemas.openxmlformats.org/officeDocument/2006/relationships/customXml" Target="../ink/ink679.xml"/><Relationship Id="rId901" Type="http://schemas.openxmlformats.org/officeDocument/2006/relationships/customXml" Target="../ink/ink900.xml"/><Relationship Id="rId1117" Type="http://schemas.openxmlformats.org/officeDocument/2006/relationships/customXml" Target="../ink/ink1116.xml"/><Relationship Id="rId30" Type="http://schemas.openxmlformats.org/officeDocument/2006/relationships/customXml" Target="../ink/ink29.xml"/><Relationship Id="rId126" Type="http://schemas.openxmlformats.org/officeDocument/2006/relationships/customXml" Target="../ink/ink125.xml"/><Relationship Id="rId333" Type="http://schemas.openxmlformats.org/officeDocument/2006/relationships/customXml" Target="../ink/ink332.xml"/><Relationship Id="rId540" Type="http://schemas.openxmlformats.org/officeDocument/2006/relationships/customXml" Target="../ink/ink539.xml"/><Relationship Id="rId778" Type="http://schemas.openxmlformats.org/officeDocument/2006/relationships/customXml" Target="../ink/ink777.xml"/><Relationship Id="rId985" Type="http://schemas.openxmlformats.org/officeDocument/2006/relationships/customXml" Target="../ink/ink984.xml"/><Relationship Id="rId638" Type="http://schemas.openxmlformats.org/officeDocument/2006/relationships/customXml" Target="../ink/ink637.xml"/><Relationship Id="rId845" Type="http://schemas.openxmlformats.org/officeDocument/2006/relationships/customXml" Target="../ink/ink844.xml"/><Relationship Id="rId1030" Type="http://schemas.openxmlformats.org/officeDocument/2006/relationships/customXml" Target="../ink/ink1029.xml"/><Relationship Id="rId277" Type="http://schemas.openxmlformats.org/officeDocument/2006/relationships/customXml" Target="../ink/ink276.xml"/><Relationship Id="rId400" Type="http://schemas.openxmlformats.org/officeDocument/2006/relationships/customXml" Target="../ink/ink399.xml"/><Relationship Id="rId484" Type="http://schemas.openxmlformats.org/officeDocument/2006/relationships/customXml" Target="../ink/ink483.xml"/><Relationship Id="rId705" Type="http://schemas.openxmlformats.org/officeDocument/2006/relationships/customXml" Target="../ink/ink704.xml"/><Relationship Id="rId1128" Type="http://schemas.openxmlformats.org/officeDocument/2006/relationships/customXml" Target="../ink/ink1127.xml"/><Relationship Id="rId137" Type="http://schemas.openxmlformats.org/officeDocument/2006/relationships/customXml" Target="../ink/ink136.xml"/><Relationship Id="rId344" Type="http://schemas.openxmlformats.org/officeDocument/2006/relationships/customXml" Target="../ink/ink343.xml"/><Relationship Id="rId691" Type="http://schemas.openxmlformats.org/officeDocument/2006/relationships/customXml" Target="../ink/ink690.xml"/><Relationship Id="rId789" Type="http://schemas.openxmlformats.org/officeDocument/2006/relationships/customXml" Target="../ink/ink788.xml"/><Relationship Id="rId912" Type="http://schemas.openxmlformats.org/officeDocument/2006/relationships/customXml" Target="../ink/ink911.xml"/><Relationship Id="rId996" Type="http://schemas.openxmlformats.org/officeDocument/2006/relationships/customXml" Target="../ink/ink995.xml"/><Relationship Id="rId41" Type="http://schemas.openxmlformats.org/officeDocument/2006/relationships/customXml" Target="../ink/ink40.xml"/><Relationship Id="rId551" Type="http://schemas.openxmlformats.org/officeDocument/2006/relationships/customXml" Target="../ink/ink550.xml"/><Relationship Id="rId649" Type="http://schemas.openxmlformats.org/officeDocument/2006/relationships/customXml" Target="../ink/ink648.xml"/><Relationship Id="rId856" Type="http://schemas.openxmlformats.org/officeDocument/2006/relationships/customXml" Target="../ink/ink855.xml"/><Relationship Id="rId190" Type="http://schemas.openxmlformats.org/officeDocument/2006/relationships/customXml" Target="../ink/ink189.xml"/><Relationship Id="rId204" Type="http://schemas.openxmlformats.org/officeDocument/2006/relationships/customXml" Target="../ink/ink203.xml"/><Relationship Id="rId288" Type="http://schemas.openxmlformats.org/officeDocument/2006/relationships/customXml" Target="../ink/ink287.xml"/><Relationship Id="rId411" Type="http://schemas.openxmlformats.org/officeDocument/2006/relationships/customXml" Target="../ink/ink410.xml"/><Relationship Id="rId509" Type="http://schemas.openxmlformats.org/officeDocument/2006/relationships/customXml" Target="../ink/ink508.xml"/><Relationship Id="rId1041" Type="http://schemas.openxmlformats.org/officeDocument/2006/relationships/customXml" Target="../ink/ink1040.xml"/><Relationship Id="rId495" Type="http://schemas.openxmlformats.org/officeDocument/2006/relationships/customXml" Target="../ink/ink494.xml"/><Relationship Id="rId716" Type="http://schemas.openxmlformats.org/officeDocument/2006/relationships/customXml" Target="../ink/ink715.xml"/><Relationship Id="rId923" Type="http://schemas.openxmlformats.org/officeDocument/2006/relationships/customXml" Target="../ink/ink922.xml"/><Relationship Id="rId52" Type="http://schemas.openxmlformats.org/officeDocument/2006/relationships/customXml" Target="../ink/ink51.xml"/><Relationship Id="rId148" Type="http://schemas.openxmlformats.org/officeDocument/2006/relationships/customXml" Target="../ink/ink147.xml"/><Relationship Id="rId355" Type="http://schemas.openxmlformats.org/officeDocument/2006/relationships/customXml" Target="../ink/ink354.xml"/><Relationship Id="rId562" Type="http://schemas.openxmlformats.org/officeDocument/2006/relationships/customXml" Target="../ink/ink561.xml"/><Relationship Id="rId215" Type="http://schemas.openxmlformats.org/officeDocument/2006/relationships/customXml" Target="../ink/ink214.xml"/><Relationship Id="rId422" Type="http://schemas.openxmlformats.org/officeDocument/2006/relationships/customXml" Target="../ink/ink421.xml"/><Relationship Id="rId867" Type="http://schemas.openxmlformats.org/officeDocument/2006/relationships/customXml" Target="../ink/ink866.xml"/><Relationship Id="rId1052" Type="http://schemas.openxmlformats.org/officeDocument/2006/relationships/customXml" Target="../ink/ink1051.xml"/><Relationship Id="rId299" Type="http://schemas.openxmlformats.org/officeDocument/2006/relationships/customXml" Target="../ink/ink298.xml"/><Relationship Id="rId727" Type="http://schemas.openxmlformats.org/officeDocument/2006/relationships/customXml" Target="../ink/ink726.xml"/><Relationship Id="rId934" Type="http://schemas.openxmlformats.org/officeDocument/2006/relationships/customXml" Target="../ink/ink933.xml"/><Relationship Id="rId63" Type="http://schemas.openxmlformats.org/officeDocument/2006/relationships/customXml" Target="../ink/ink62.xml"/><Relationship Id="rId159" Type="http://schemas.openxmlformats.org/officeDocument/2006/relationships/customXml" Target="../ink/ink158.xml"/><Relationship Id="rId366" Type="http://schemas.openxmlformats.org/officeDocument/2006/relationships/customXml" Target="../ink/ink365.xml"/><Relationship Id="rId573" Type="http://schemas.openxmlformats.org/officeDocument/2006/relationships/customXml" Target="../ink/ink572.xml"/><Relationship Id="rId780" Type="http://schemas.openxmlformats.org/officeDocument/2006/relationships/customXml" Target="../ink/ink779.xml"/><Relationship Id="rId226" Type="http://schemas.openxmlformats.org/officeDocument/2006/relationships/customXml" Target="../ink/ink225.xml"/><Relationship Id="rId433" Type="http://schemas.openxmlformats.org/officeDocument/2006/relationships/customXml" Target="../ink/ink432.xml"/><Relationship Id="rId878" Type="http://schemas.openxmlformats.org/officeDocument/2006/relationships/customXml" Target="../ink/ink877.xml"/><Relationship Id="rId1063" Type="http://schemas.openxmlformats.org/officeDocument/2006/relationships/customXml" Target="../ink/ink1062.xml"/><Relationship Id="rId640" Type="http://schemas.openxmlformats.org/officeDocument/2006/relationships/customXml" Target="../ink/ink639.xml"/><Relationship Id="rId738" Type="http://schemas.openxmlformats.org/officeDocument/2006/relationships/customXml" Target="../ink/ink737.xml"/><Relationship Id="rId945" Type="http://schemas.openxmlformats.org/officeDocument/2006/relationships/customXml" Target="../ink/ink944.xml"/><Relationship Id="rId74" Type="http://schemas.openxmlformats.org/officeDocument/2006/relationships/customXml" Target="../ink/ink73.xml"/><Relationship Id="rId377" Type="http://schemas.openxmlformats.org/officeDocument/2006/relationships/customXml" Target="../ink/ink376.xml"/><Relationship Id="rId500" Type="http://schemas.openxmlformats.org/officeDocument/2006/relationships/customXml" Target="../ink/ink499.xml"/><Relationship Id="rId584" Type="http://schemas.openxmlformats.org/officeDocument/2006/relationships/customXml" Target="../ink/ink583.xml"/><Relationship Id="rId805" Type="http://schemas.openxmlformats.org/officeDocument/2006/relationships/customXml" Target="../ink/ink804.xml"/><Relationship Id="rId1130" Type="http://schemas.openxmlformats.org/officeDocument/2006/relationships/customXml" Target="../ink/ink1129.xml"/><Relationship Id="rId5" Type="http://schemas.openxmlformats.org/officeDocument/2006/relationships/customXml" Target="../ink/ink4.xml"/><Relationship Id="rId237" Type="http://schemas.openxmlformats.org/officeDocument/2006/relationships/customXml" Target="../ink/ink236.xml"/><Relationship Id="rId791" Type="http://schemas.openxmlformats.org/officeDocument/2006/relationships/customXml" Target="../ink/ink790.xml"/><Relationship Id="rId889" Type="http://schemas.openxmlformats.org/officeDocument/2006/relationships/customXml" Target="../ink/ink888.xml"/><Relationship Id="rId1074" Type="http://schemas.openxmlformats.org/officeDocument/2006/relationships/customXml" Target="../ink/ink1073.xml"/><Relationship Id="rId444" Type="http://schemas.openxmlformats.org/officeDocument/2006/relationships/customXml" Target="../ink/ink443.xml"/><Relationship Id="rId651" Type="http://schemas.openxmlformats.org/officeDocument/2006/relationships/customXml" Target="../ink/ink650.xml"/><Relationship Id="rId749" Type="http://schemas.openxmlformats.org/officeDocument/2006/relationships/customXml" Target="../ink/ink748.xml"/><Relationship Id="rId290" Type="http://schemas.openxmlformats.org/officeDocument/2006/relationships/customXml" Target="../ink/ink289.xml"/><Relationship Id="rId304" Type="http://schemas.openxmlformats.org/officeDocument/2006/relationships/customXml" Target="../ink/ink303.xml"/><Relationship Id="rId388" Type="http://schemas.openxmlformats.org/officeDocument/2006/relationships/customXml" Target="../ink/ink387.xml"/><Relationship Id="rId511" Type="http://schemas.openxmlformats.org/officeDocument/2006/relationships/customXml" Target="../ink/ink510.xml"/><Relationship Id="rId609" Type="http://schemas.openxmlformats.org/officeDocument/2006/relationships/customXml" Target="../ink/ink608.xml"/><Relationship Id="rId956" Type="http://schemas.openxmlformats.org/officeDocument/2006/relationships/customXml" Target="../ink/ink955.xml"/><Relationship Id="rId85" Type="http://schemas.openxmlformats.org/officeDocument/2006/relationships/customXml" Target="../ink/ink84.xml"/><Relationship Id="rId150" Type="http://schemas.openxmlformats.org/officeDocument/2006/relationships/customXml" Target="../ink/ink149.xml"/><Relationship Id="rId595" Type="http://schemas.openxmlformats.org/officeDocument/2006/relationships/customXml" Target="../ink/ink594.xml"/><Relationship Id="rId816" Type="http://schemas.openxmlformats.org/officeDocument/2006/relationships/customXml" Target="../ink/ink815.xml"/><Relationship Id="rId1001" Type="http://schemas.openxmlformats.org/officeDocument/2006/relationships/customXml" Target="../ink/ink1000.xml"/><Relationship Id="rId248" Type="http://schemas.openxmlformats.org/officeDocument/2006/relationships/customXml" Target="../ink/ink247.xml"/><Relationship Id="rId455" Type="http://schemas.openxmlformats.org/officeDocument/2006/relationships/customXml" Target="../ink/ink454.xml"/><Relationship Id="rId662" Type="http://schemas.openxmlformats.org/officeDocument/2006/relationships/customXml" Target="../ink/ink661.xml"/><Relationship Id="rId1085" Type="http://schemas.openxmlformats.org/officeDocument/2006/relationships/customXml" Target="../ink/ink1084.xml"/><Relationship Id="rId12" Type="http://schemas.openxmlformats.org/officeDocument/2006/relationships/customXml" Target="../ink/ink11.xml"/><Relationship Id="rId108" Type="http://schemas.openxmlformats.org/officeDocument/2006/relationships/customXml" Target="../ink/ink107.xml"/><Relationship Id="rId315" Type="http://schemas.openxmlformats.org/officeDocument/2006/relationships/customXml" Target="../ink/ink314.xml"/><Relationship Id="rId522" Type="http://schemas.openxmlformats.org/officeDocument/2006/relationships/customXml" Target="../ink/ink521.xml"/><Relationship Id="rId967" Type="http://schemas.openxmlformats.org/officeDocument/2006/relationships/customXml" Target="../ink/ink966.xml"/><Relationship Id="rId96" Type="http://schemas.openxmlformats.org/officeDocument/2006/relationships/customXml" Target="../ink/ink95.xml"/><Relationship Id="rId161" Type="http://schemas.openxmlformats.org/officeDocument/2006/relationships/customXml" Target="../ink/ink160.xml"/><Relationship Id="rId399" Type="http://schemas.openxmlformats.org/officeDocument/2006/relationships/customXml" Target="../ink/ink398.xml"/><Relationship Id="rId827" Type="http://schemas.openxmlformats.org/officeDocument/2006/relationships/customXml" Target="../ink/ink826.xml"/><Relationship Id="rId1012" Type="http://schemas.openxmlformats.org/officeDocument/2006/relationships/customXml" Target="../ink/ink1011.xml"/><Relationship Id="rId259" Type="http://schemas.openxmlformats.org/officeDocument/2006/relationships/customXml" Target="../ink/ink258.xml"/><Relationship Id="rId466" Type="http://schemas.openxmlformats.org/officeDocument/2006/relationships/customXml" Target="../ink/ink465.xml"/><Relationship Id="rId673" Type="http://schemas.openxmlformats.org/officeDocument/2006/relationships/customXml" Target="../ink/ink672.xml"/><Relationship Id="rId880" Type="http://schemas.openxmlformats.org/officeDocument/2006/relationships/customXml" Target="../ink/ink879.xml"/><Relationship Id="rId1096" Type="http://schemas.openxmlformats.org/officeDocument/2006/relationships/customXml" Target="../ink/ink1095.xml"/><Relationship Id="rId23" Type="http://schemas.openxmlformats.org/officeDocument/2006/relationships/customXml" Target="../ink/ink22.xml"/><Relationship Id="rId119" Type="http://schemas.openxmlformats.org/officeDocument/2006/relationships/customXml" Target="../ink/ink118.xml"/><Relationship Id="rId326" Type="http://schemas.openxmlformats.org/officeDocument/2006/relationships/customXml" Target="../ink/ink325.xml"/><Relationship Id="rId533" Type="http://schemas.openxmlformats.org/officeDocument/2006/relationships/customXml" Target="../ink/ink532.xml"/><Relationship Id="rId978" Type="http://schemas.openxmlformats.org/officeDocument/2006/relationships/customXml" Target="../ink/ink977.xml"/><Relationship Id="rId740" Type="http://schemas.openxmlformats.org/officeDocument/2006/relationships/customXml" Target="../ink/ink739.xml"/><Relationship Id="rId838" Type="http://schemas.openxmlformats.org/officeDocument/2006/relationships/customXml" Target="../ink/ink837.xml"/><Relationship Id="rId1023" Type="http://schemas.openxmlformats.org/officeDocument/2006/relationships/customXml" Target="../ink/ink1022.xml"/><Relationship Id="rId172" Type="http://schemas.openxmlformats.org/officeDocument/2006/relationships/customXml" Target="../ink/ink171.xml"/><Relationship Id="rId477" Type="http://schemas.openxmlformats.org/officeDocument/2006/relationships/customXml" Target="../ink/ink476.xml"/><Relationship Id="rId600" Type="http://schemas.openxmlformats.org/officeDocument/2006/relationships/customXml" Target="../ink/ink599.xml"/><Relationship Id="rId684" Type="http://schemas.openxmlformats.org/officeDocument/2006/relationships/customXml" Target="../ink/ink683.xml"/><Relationship Id="rId337" Type="http://schemas.openxmlformats.org/officeDocument/2006/relationships/customXml" Target="../ink/ink336.xml"/><Relationship Id="rId891" Type="http://schemas.openxmlformats.org/officeDocument/2006/relationships/customXml" Target="../ink/ink890.xml"/><Relationship Id="rId905" Type="http://schemas.openxmlformats.org/officeDocument/2006/relationships/customXml" Target="../ink/ink904.xml"/><Relationship Id="rId989" Type="http://schemas.openxmlformats.org/officeDocument/2006/relationships/customXml" Target="../ink/ink988.xml"/><Relationship Id="rId34" Type="http://schemas.openxmlformats.org/officeDocument/2006/relationships/customXml" Target="../ink/ink33.xml"/><Relationship Id="rId544" Type="http://schemas.openxmlformats.org/officeDocument/2006/relationships/customXml" Target="../ink/ink543.xml"/><Relationship Id="rId751" Type="http://schemas.openxmlformats.org/officeDocument/2006/relationships/customXml" Target="../ink/ink750.xml"/><Relationship Id="rId849" Type="http://schemas.openxmlformats.org/officeDocument/2006/relationships/customXml" Target="../ink/ink848.xml"/><Relationship Id="rId183" Type="http://schemas.openxmlformats.org/officeDocument/2006/relationships/customXml" Target="../ink/ink182.xml"/><Relationship Id="rId390" Type="http://schemas.openxmlformats.org/officeDocument/2006/relationships/customXml" Target="../ink/ink389.xml"/><Relationship Id="rId404" Type="http://schemas.openxmlformats.org/officeDocument/2006/relationships/customXml" Target="../ink/ink403.xml"/><Relationship Id="rId611" Type="http://schemas.openxmlformats.org/officeDocument/2006/relationships/customXml" Target="../ink/ink610.xml"/><Relationship Id="rId1034" Type="http://schemas.openxmlformats.org/officeDocument/2006/relationships/customXml" Target="../ink/ink1033.xml"/><Relationship Id="rId250" Type="http://schemas.openxmlformats.org/officeDocument/2006/relationships/customXml" Target="../ink/ink249.xml"/><Relationship Id="rId488" Type="http://schemas.openxmlformats.org/officeDocument/2006/relationships/customXml" Target="../ink/ink487.xml"/><Relationship Id="rId695" Type="http://schemas.openxmlformats.org/officeDocument/2006/relationships/customXml" Target="../ink/ink694.xml"/><Relationship Id="rId709" Type="http://schemas.openxmlformats.org/officeDocument/2006/relationships/customXml" Target="../ink/ink708.xml"/><Relationship Id="rId916" Type="http://schemas.openxmlformats.org/officeDocument/2006/relationships/customXml" Target="../ink/ink915.xml"/><Relationship Id="rId1101" Type="http://schemas.openxmlformats.org/officeDocument/2006/relationships/customXml" Target="../ink/ink1100.xml"/><Relationship Id="rId45" Type="http://schemas.openxmlformats.org/officeDocument/2006/relationships/customXml" Target="../ink/ink44.xml"/><Relationship Id="rId110" Type="http://schemas.openxmlformats.org/officeDocument/2006/relationships/customXml" Target="../ink/ink109.xml"/><Relationship Id="rId348" Type="http://schemas.openxmlformats.org/officeDocument/2006/relationships/customXml" Target="../ink/ink347.xml"/><Relationship Id="rId555" Type="http://schemas.openxmlformats.org/officeDocument/2006/relationships/customXml" Target="../ink/ink554.xml"/><Relationship Id="rId762" Type="http://schemas.openxmlformats.org/officeDocument/2006/relationships/customXml" Target="../ink/ink761.xml"/><Relationship Id="rId194" Type="http://schemas.openxmlformats.org/officeDocument/2006/relationships/customXml" Target="../ink/ink193.xml"/><Relationship Id="rId208" Type="http://schemas.openxmlformats.org/officeDocument/2006/relationships/customXml" Target="../ink/ink207.xml"/><Relationship Id="rId415" Type="http://schemas.openxmlformats.org/officeDocument/2006/relationships/customXml" Target="../ink/ink414.xml"/><Relationship Id="rId622" Type="http://schemas.openxmlformats.org/officeDocument/2006/relationships/customXml" Target="../ink/ink621.xml"/><Relationship Id="rId1045" Type="http://schemas.openxmlformats.org/officeDocument/2006/relationships/customXml" Target="../ink/ink1044.xml"/><Relationship Id="rId261" Type="http://schemas.openxmlformats.org/officeDocument/2006/relationships/customXml" Target="../ink/ink260.xml"/><Relationship Id="rId499" Type="http://schemas.openxmlformats.org/officeDocument/2006/relationships/customXml" Target="../ink/ink498.xml"/><Relationship Id="rId927" Type="http://schemas.openxmlformats.org/officeDocument/2006/relationships/customXml" Target="../ink/ink926.xml"/><Relationship Id="rId1112" Type="http://schemas.openxmlformats.org/officeDocument/2006/relationships/customXml" Target="../ink/ink1111.xml"/><Relationship Id="rId56" Type="http://schemas.openxmlformats.org/officeDocument/2006/relationships/customXml" Target="../ink/ink55.xml"/><Relationship Id="rId359" Type="http://schemas.openxmlformats.org/officeDocument/2006/relationships/customXml" Target="../ink/ink358.xml"/><Relationship Id="rId566" Type="http://schemas.openxmlformats.org/officeDocument/2006/relationships/customXml" Target="../ink/ink565.xml"/><Relationship Id="rId773" Type="http://schemas.openxmlformats.org/officeDocument/2006/relationships/customXml" Target="../ink/ink772.xml"/><Relationship Id="rId121" Type="http://schemas.openxmlformats.org/officeDocument/2006/relationships/customXml" Target="../ink/ink120.xml"/><Relationship Id="rId219" Type="http://schemas.openxmlformats.org/officeDocument/2006/relationships/customXml" Target="../ink/ink218.xml"/><Relationship Id="rId426" Type="http://schemas.openxmlformats.org/officeDocument/2006/relationships/customXml" Target="../ink/ink425.xml"/><Relationship Id="rId633" Type="http://schemas.openxmlformats.org/officeDocument/2006/relationships/customXml" Target="../ink/ink632.xml"/><Relationship Id="rId980" Type="http://schemas.openxmlformats.org/officeDocument/2006/relationships/customXml" Target="../ink/ink979.xml"/><Relationship Id="rId1056" Type="http://schemas.openxmlformats.org/officeDocument/2006/relationships/customXml" Target="../ink/ink1055.xml"/><Relationship Id="rId840" Type="http://schemas.openxmlformats.org/officeDocument/2006/relationships/customXml" Target="../ink/ink839.xml"/><Relationship Id="rId938" Type="http://schemas.openxmlformats.org/officeDocument/2006/relationships/customXml" Target="../ink/ink937.xml"/><Relationship Id="rId67" Type="http://schemas.openxmlformats.org/officeDocument/2006/relationships/customXml" Target="../ink/ink66.xml"/><Relationship Id="rId272" Type="http://schemas.openxmlformats.org/officeDocument/2006/relationships/customXml" Target="../ink/ink271.xml"/><Relationship Id="rId577" Type="http://schemas.openxmlformats.org/officeDocument/2006/relationships/customXml" Target="../ink/ink576.xml"/><Relationship Id="rId700" Type="http://schemas.openxmlformats.org/officeDocument/2006/relationships/customXml" Target="../ink/ink699.xml"/><Relationship Id="rId1123" Type="http://schemas.openxmlformats.org/officeDocument/2006/relationships/customXml" Target="../ink/ink1122.xml"/><Relationship Id="rId132" Type="http://schemas.openxmlformats.org/officeDocument/2006/relationships/customXml" Target="../ink/ink131.xml"/><Relationship Id="rId784" Type="http://schemas.openxmlformats.org/officeDocument/2006/relationships/customXml" Target="../ink/ink783.xml"/><Relationship Id="rId991" Type="http://schemas.openxmlformats.org/officeDocument/2006/relationships/customXml" Target="../ink/ink990.xml"/><Relationship Id="rId1067" Type="http://schemas.openxmlformats.org/officeDocument/2006/relationships/customXml" Target="../ink/ink1066.xml"/><Relationship Id="rId437" Type="http://schemas.openxmlformats.org/officeDocument/2006/relationships/customXml" Target="../ink/ink436.xml"/><Relationship Id="rId644" Type="http://schemas.openxmlformats.org/officeDocument/2006/relationships/customXml" Target="../ink/ink643.xml"/><Relationship Id="rId851" Type="http://schemas.openxmlformats.org/officeDocument/2006/relationships/customXml" Target="../ink/ink850.xml"/><Relationship Id="rId283" Type="http://schemas.openxmlformats.org/officeDocument/2006/relationships/customXml" Target="../ink/ink282.xml"/><Relationship Id="rId490" Type="http://schemas.openxmlformats.org/officeDocument/2006/relationships/customXml" Target="../ink/ink489.xml"/><Relationship Id="rId504" Type="http://schemas.openxmlformats.org/officeDocument/2006/relationships/customXml" Target="../ink/ink503.xml"/><Relationship Id="rId711" Type="http://schemas.openxmlformats.org/officeDocument/2006/relationships/customXml" Target="../ink/ink710.xml"/><Relationship Id="rId949" Type="http://schemas.openxmlformats.org/officeDocument/2006/relationships/customXml" Target="../ink/ink948.xml"/><Relationship Id="rId1134" Type="http://schemas.openxmlformats.org/officeDocument/2006/relationships/customXml" Target="../ink/ink1133.xml"/><Relationship Id="rId78" Type="http://schemas.openxmlformats.org/officeDocument/2006/relationships/customXml" Target="../ink/ink77.xml"/><Relationship Id="rId143" Type="http://schemas.openxmlformats.org/officeDocument/2006/relationships/customXml" Target="../ink/ink142.xml"/><Relationship Id="rId350" Type="http://schemas.openxmlformats.org/officeDocument/2006/relationships/customXml" Target="../ink/ink349.xml"/><Relationship Id="rId588" Type="http://schemas.openxmlformats.org/officeDocument/2006/relationships/customXml" Target="../ink/ink587.xml"/><Relationship Id="rId795" Type="http://schemas.openxmlformats.org/officeDocument/2006/relationships/customXml" Target="../ink/ink794.xml"/><Relationship Id="rId809" Type="http://schemas.openxmlformats.org/officeDocument/2006/relationships/customXml" Target="../ink/ink808.xml"/><Relationship Id="rId9" Type="http://schemas.openxmlformats.org/officeDocument/2006/relationships/customXml" Target="../ink/ink8.xml"/><Relationship Id="rId210" Type="http://schemas.openxmlformats.org/officeDocument/2006/relationships/customXml" Target="../ink/ink209.xml"/><Relationship Id="rId448" Type="http://schemas.openxmlformats.org/officeDocument/2006/relationships/customXml" Target="../ink/ink447.xml"/><Relationship Id="rId655" Type="http://schemas.openxmlformats.org/officeDocument/2006/relationships/customXml" Target="../ink/ink654.xml"/><Relationship Id="rId862" Type="http://schemas.openxmlformats.org/officeDocument/2006/relationships/customXml" Target="../ink/ink861.xml"/><Relationship Id="rId1078" Type="http://schemas.openxmlformats.org/officeDocument/2006/relationships/customXml" Target="../ink/ink1077.xml"/><Relationship Id="rId294" Type="http://schemas.openxmlformats.org/officeDocument/2006/relationships/customXml" Target="../ink/ink293.xml"/><Relationship Id="rId308" Type="http://schemas.openxmlformats.org/officeDocument/2006/relationships/customXml" Target="../ink/ink307.xml"/><Relationship Id="rId515" Type="http://schemas.openxmlformats.org/officeDocument/2006/relationships/customXml" Target="../ink/ink514.xml"/><Relationship Id="rId722" Type="http://schemas.openxmlformats.org/officeDocument/2006/relationships/customXml" Target="../ink/ink721.xml"/><Relationship Id="rId89" Type="http://schemas.openxmlformats.org/officeDocument/2006/relationships/customXml" Target="../ink/ink88.xml"/><Relationship Id="rId154" Type="http://schemas.openxmlformats.org/officeDocument/2006/relationships/customXml" Target="../ink/ink153.xml"/><Relationship Id="rId361" Type="http://schemas.openxmlformats.org/officeDocument/2006/relationships/customXml" Target="../ink/ink360.xml"/><Relationship Id="rId599" Type="http://schemas.openxmlformats.org/officeDocument/2006/relationships/customXml" Target="../ink/ink598.xml"/><Relationship Id="rId1005" Type="http://schemas.openxmlformats.org/officeDocument/2006/relationships/customXml" Target="../ink/ink1004.xml"/><Relationship Id="rId459" Type="http://schemas.openxmlformats.org/officeDocument/2006/relationships/customXml" Target="../ink/ink458.xml"/><Relationship Id="rId666" Type="http://schemas.openxmlformats.org/officeDocument/2006/relationships/customXml" Target="../ink/ink665.xml"/><Relationship Id="rId873" Type="http://schemas.openxmlformats.org/officeDocument/2006/relationships/customXml" Target="../ink/ink872.xml"/><Relationship Id="rId1089" Type="http://schemas.openxmlformats.org/officeDocument/2006/relationships/customXml" Target="../ink/ink1088.xml"/><Relationship Id="rId16" Type="http://schemas.openxmlformats.org/officeDocument/2006/relationships/customXml" Target="../ink/ink15.xml"/><Relationship Id="rId221" Type="http://schemas.openxmlformats.org/officeDocument/2006/relationships/customXml" Target="../ink/ink220.xml"/><Relationship Id="rId319" Type="http://schemas.openxmlformats.org/officeDocument/2006/relationships/customXml" Target="../ink/ink318.xml"/><Relationship Id="rId526" Type="http://schemas.openxmlformats.org/officeDocument/2006/relationships/customXml" Target="../ink/ink525.xml"/><Relationship Id="rId733" Type="http://schemas.openxmlformats.org/officeDocument/2006/relationships/customXml" Target="../ink/ink732.xml"/><Relationship Id="rId940" Type="http://schemas.openxmlformats.org/officeDocument/2006/relationships/customXml" Target="../ink/ink939.xml"/><Relationship Id="rId1016" Type="http://schemas.openxmlformats.org/officeDocument/2006/relationships/customXml" Target="../ink/ink1015.xml"/><Relationship Id="rId165" Type="http://schemas.openxmlformats.org/officeDocument/2006/relationships/customXml" Target="../ink/ink164.xml"/><Relationship Id="rId372" Type="http://schemas.openxmlformats.org/officeDocument/2006/relationships/customXml" Target="../ink/ink371.xml"/><Relationship Id="rId677" Type="http://schemas.openxmlformats.org/officeDocument/2006/relationships/customXml" Target="../ink/ink676.xml"/><Relationship Id="rId800" Type="http://schemas.openxmlformats.org/officeDocument/2006/relationships/customXml" Target="../ink/ink799.xml"/><Relationship Id="rId232" Type="http://schemas.openxmlformats.org/officeDocument/2006/relationships/customXml" Target="../ink/ink231.xml"/><Relationship Id="rId884" Type="http://schemas.openxmlformats.org/officeDocument/2006/relationships/customXml" Target="../ink/ink883.xml"/><Relationship Id="rId27" Type="http://schemas.openxmlformats.org/officeDocument/2006/relationships/customXml" Target="../ink/ink26.xml"/><Relationship Id="rId537" Type="http://schemas.openxmlformats.org/officeDocument/2006/relationships/customXml" Target="../ink/ink536.xml"/><Relationship Id="rId744" Type="http://schemas.openxmlformats.org/officeDocument/2006/relationships/customXml" Target="../ink/ink743.xml"/><Relationship Id="rId951" Type="http://schemas.openxmlformats.org/officeDocument/2006/relationships/customXml" Target="../ink/ink950.xml"/><Relationship Id="rId80" Type="http://schemas.openxmlformats.org/officeDocument/2006/relationships/customXml" Target="../ink/ink79.xml"/><Relationship Id="rId176" Type="http://schemas.openxmlformats.org/officeDocument/2006/relationships/customXml" Target="../ink/ink175.xml"/><Relationship Id="rId383" Type="http://schemas.openxmlformats.org/officeDocument/2006/relationships/customXml" Target="../ink/ink382.xml"/><Relationship Id="rId590" Type="http://schemas.openxmlformats.org/officeDocument/2006/relationships/customXml" Target="../ink/ink589.xml"/><Relationship Id="rId604" Type="http://schemas.openxmlformats.org/officeDocument/2006/relationships/customXml" Target="../ink/ink603.xml"/><Relationship Id="rId811" Type="http://schemas.openxmlformats.org/officeDocument/2006/relationships/customXml" Target="../ink/ink810.xml"/><Relationship Id="rId1027" Type="http://schemas.openxmlformats.org/officeDocument/2006/relationships/customXml" Target="../ink/ink1026.xml"/><Relationship Id="rId243" Type="http://schemas.openxmlformats.org/officeDocument/2006/relationships/customXml" Target="../ink/ink242.xml"/><Relationship Id="rId450" Type="http://schemas.openxmlformats.org/officeDocument/2006/relationships/customXml" Target="../ink/ink449.xml"/><Relationship Id="rId688" Type="http://schemas.openxmlformats.org/officeDocument/2006/relationships/customXml" Target="../ink/ink687.xml"/><Relationship Id="rId895" Type="http://schemas.openxmlformats.org/officeDocument/2006/relationships/customXml" Target="../ink/ink894.xml"/><Relationship Id="rId909" Type="http://schemas.openxmlformats.org/officeDocument/2006/relationships/customXml" Target="../ink/ink908.xml"/><Relationship Id="rId1080" Type="http://schemas.openxmlformats.org/officeDocument/2006/relationships/customXml" Target="../ink/ink1079.xml"/><Relationship Id="rId38" Type="http://schemas.openxmlformats.org/officeDocument/2006/relationships/customXml" Target="../ink/ink37.xml"/><Relationship Id="rId103" Type="http://schemas.openxmlformats.org/officeDocument/2006/relationships/customXml" Target="../ink/ink102.xml"/><Relationship Id="rId310" Type="http://schemas.openxmlformats.org/officeDocument/2006/relationships/customXml" Target="../ink/ink309.xml"/><Relationship Id="rId548" Type="http://schemas.openxmlformats.org/officeDocument/2006/relationships/customXml" Target="../ink/ink547.xml"/><Relationship Id="rId755" Type="http://schemas.openxmlformats.org/officeDocument/2006/relationships/customXml" Target="../ink/ink754.xml"/><Relationship Id="rId962" Type="http://schemas.openxmlformats.org/officeDocument/2006/relationships/customXml" Target="../ink/ink961.xml"/><Relationship Id="rId91" Type="http://schemas.openxmlformats.org/officeDocument/2006/relationships/customXml" Target="../ink/ink90.xml"/><Relationship Id="rId187" Type="http://schemas.openxmlformats.org/officeDocument/2006/relationships/customXml" Target="../ink/ink186.xml"/><Relationship Id="rId394" Type="http://schemas.openxmlformats.org/officeDocument/2006/relationships/customXml" Target="../ink/ink393.xml"/><Relationship Id="rId408" Type="http://schemas.openxmlformats.org/officeDocument/2006/relationships/customXml" Target="../ink/ink407.xml"/><Relationship Id="rId615" Type="http://schemas.openxmlformats.org/officeDocument/2006/relationships/customXml" Target="../ink/ink614.xml"/><Relationship Id="rId822" Type="http://schemas.openxmlformats.org/officeDocument/2006/relationships/customXml" Target="../ink/ink821.xml"/><Relationship Id="rId1038" Type="http://schemas.openxmlformats.org/officeDocument/2006/relationships/customXml" Target="../ink/ink1037.xml"/><Relationship Id="rId254" Type="http://schemas.openxmlformats.org/officeDocument/2006/relationships/customXml" Target="../ink/ink253.xml"/><Relationship Id="rId699" Type="http://schemas.openxmlformats.org/officeDocument/2006/relationships/customXml" Target="../ink/ink698.xml"/><Relationship Id="rId1091" Type="http://schemas.openxmlformats.org/officeDocument/2006/relationships/customXml" Target="../ink/ink1090.xml"/><Relationship Id="rId1105" Type="http://schemas.openxmlformats.org/officeDocument/2006/relationships/customXml" Target="../ink/ink1104.xml"/><Relationship Id="rId49" Type="http://schemas.openxmlformats.org/officeDocument/2006/relationships/customXml" Target="../ink/ink48.xml"/><Relationship Id="rId114" Type="http://schemas.openxmlformats.org/officeDocument/2006/relationships/customXml" Target="../ink/ink113.xml"/><Relationship Id="rId461" Type="http://schemas.openxmlformats.org/officeDocument/2006/relationships/customXml" Target="../ink/ink460.xml"/><Relationship Id="rId559" Type="http://schemas.openxmlformats.org/officeDocument/2006/relationships/customXml" Target="../ink/ink558.xml"/><Relationship Id="rId766" Type="http://schemas.openxmlformats.org/officeDocument/2006/relationships/customXml" Target="../ink/ink765.xml"/><Relationship Id="rId198" Type="http://schemas.openxmlformats.org/officeDocument/2006/relationships/customXml" Target="../ink/ink197.xml"/><Relationship Id="rId321" Type="http://schemas.openxmlformats.org/officeDocument/2006/relationships/customXml" Target="../ink/ink320.xml"/><Relationship Id="rId419" Type="http://schemas.openxmlformats.org/officeDocument/2006/relationships/customXml" Target="../ink/ink418.xml"/><Relationship Id="rId626" Type="http://schemas.openxmlformats.org/officeDocument/2006/relationships/customXml" Target="../ink/ink625.xml"/><Relationship Id="rId973" Type="http://schemas.openxmlformats.org/officeDocument/2006/relationships/customXml" Target="../ink/ink972.xml"/><Relationship Id="rId1049" Type="http://schemas.openxmlformats.org/officeDocument/2006/relationships/customXml" Target="../ink/ink1048.xml"/><Relationship Id="rId833" Type="http://schemas.openxmlformats.org/officeDocument/2006/relationships/customXml" Target="../ink/ink832.xml"/><Relationship Id="rId1116" Type="http://schemas.openxmlformats.org/officeDocument/2006/relationships/customXml" Target="../ink/ink1115.xml"/><Relationship Id="rId265" Type="http://schemas.openxmlformats.org/officeDocument/2006/relationships/customXml" Target="../ink/ink264.xml"/><Relationship Id="rId472" Type="http://schemas.openxmlformats.org/officeDocument/2006/relationships/customXml" Target="../ink/ink471.xml"/><Relationship Id="rId900" Type="http://schemas.openxmlformats.org/officeDocument/2006/relationships/customXml" Target="../ink/ink899.xml"/><Relationship Id="rId125" Type="http://schemas.openxmlformats.org/officeDocument/2006/relationships/customXml" Target="../ink/ink124.xml"/><Relationship Id="rId332" Type="http://schemas.openxmlformats.org/officeDocument/2006/relationships/customXml" Target="../ink/ink331.xml"/><Relationship Id="rId777" Type="http://schemas.openxmlformats.org/officeDocument/2006/relationships/customXml" Target="../ink/ink776.xml"/><Relationship Id="rId984" Type="http://schemas.openxmlformats.org/officeDocument/2006/relationships/customXml" Target="../ink/ink983.xml"/><Relationship Id="rId637" Type="http://schemas.openxmlformats.org/officeDocument/2006/relationships/customXml" Target="../ink/ink636.xml"/><Relationship Id="rId844" Type="http://schemas.openxmlformats.org/officeDocument/2006/relationships/customXml" Target="../ink/ink843.xml"/><Relationship Id="rId276" Type="http://schemas.openxmlformats.org/officeDocument/2006/relationships/customXml" Target="../ink/ink275.xml"/><Relationship Id="rId483" Type="http://schemas.openxmlformats.org/officeDocument/2006/relationships/customXml" Target="../ink/ink482.xml"/><Relationship Id="rId690" Type="http://schemas.openxmlformats.org/officeDocument/2006/relationships/customXml" Target="../ink/ink689.xml"/><Relationship Id="rId704" Type="http://schemas.openxmlformats.org/officeDocument/2006/relationships/customXml" Target="../ink/ink703.xml"/><Relationship Id="rId911" Type="http://schemas.openxmlformats.org/officeDocument/2006/relationships/customXml" Target="../ink/ink910.xml"/><Relationship Id="rId1127" Type="http://schemas.openxmlformats.org/officeDocument/2006/relationships/customXml" Target="../ink/ink1126.xml"/><Relationship Id="rId40" Type="http://schemas.openxmlformats.org/officeDocument/2006/relationships/customXml" Target="../ink/ink39.xml"/><Relationship Id="rId136" Type="http://schemas.openxmlformats.org/officeDocument/2006/relationships/customXml" Target="../ink/ink135.xml"/><Relationship Id="rId343" Type="http://schemas.openxmlformats.org/officeDocument/2006/relationships/customXml" Target="../ink/ink342.xml"/><Relationship Id="rId550" Type="http://schemas.openxmlformats.org/officeDocument/2006/relationships/customXml" Target="../ink/ink549.xml"/><Relationship Id="rId788" Type="http://schemas.openxmlformats.org/officeDocument/2006/relationships/customXml" Target="../ink/ink787.xml"/><Relationship Id="rId995" Type="http://schemas.openxmlformats.org/officeDocument/2006/relationships/customXml" Target="../ink/ink994.xml"/><Relationship Id="rId203" Type="http://schemas.openxmlformats.org/officeDocument/2006/relationships/customXml" Target="../ink/ink202.xml"/><Relationship Id="rId648" Type="http://schemas.openxmlformats.org/officeDocument/2006/relationships/customXml" Target="../ink/ink647.xml"/><Relationship Id="rId855" Type="http://schemas.openxmlformats.org/officeDocument/2006/relationships/customXml" Target="../ink/ink854.xml"/><Relationship Id="rId1040" Type="http://schemas.openxmlformats.org/officeDocument/2006/relationships/customXml" Target="../ink/ink1039.xml"/><Relationship Id="rId287" Type="http://schemas.openxmlformats.org/officeDocument/2006/relationships/customXml" Target="../ink/ink286.xml"/><Relationship Id="rId410" Type="http://schemas.openxmlformats.org/officeDocument/2006/relationships/customXml" Target="../ink/ink409.xml"/><Relationship Id="rId494" Type="http://schemas.openxmlformats.org/officeDocument/2006/relationships/customXml" Target="../ink/ink493.xml"/><Relationship Id="rId508" Type="http://schemas.openxmlformats.org/officeDocument/2006/relationships/customXml" Target="../ink/ink507.xml"/><Relationship Id="rId715" Type="http://schemas.openxmlformats.org/officeDocument/2006/relationships/customXml" Target="../ink/ink714.xml"/><Relationship Id="rId922" Type="http://schemas.openxmlformats.org/officeDocument/2006/relationships/customXml" Target="../ink/ink921.xml"/><Relationship Id="rId1138" Type="http://schemas.openxmlformats.org/officeDocument/2006/relationships/customXml" Target="../ink/ink1137.xml"/><Relationship Id="rId147" Type="http://schemas.openxmlformats.org/officeDocument/2006/relationships/customXml" Target="../ink/ink146.xml"/><Relationship Id="rId354" Type="http://schemas.openxmlformats.org/officeDocument/2006/relationships/customXml" Target="../ink/ink353.xml"/><Relationship Id="rId799" Type="http://schemas.openxmlformats.org/officeDocument/2006/relationships/customXml" Target="../ink/ink798.xml"/><Relationship Id="rId51" Type="http://schemas.openxmlformats.org/officeDocument/2006/relationships/customXml" Target="../ink/ink50.xml"/><Relationship Id="rId561" Type="http://schemas.openxmlformats.org/officeDocument/2006/relationships/customXml" Target="../ink/ink560.xml"/><Relationship Id="rId659" Type="http://schemas.openxmlformats.org/officeDocument/2006/relationships/customXml" Target="../ink/ink658.xml"/><Relationship Id="rId866" Type="http://schemas.openxmlformats.org/officeDocument/2006/relationships/customXml" Target="../ink/ink865.xml"/><Relationship Id="rId214" Type="http://schemas.openxmlformats.org/officeDocument/2006/relationships/customXml" Target="../ink/ink213.xml"/><Relationship Id="rId298" Type="http://schemas.openxmlformats.org/officeDocument/2006/relationships/customXml" Target="../ink/ink297.xml"/><Relationship Id="rId421" Type="http://schemas.openxmlformats.org/officeDocument/2006/relationships/customXml" Target="../ink/ink420.xml"/><Relationship Id="rId519" Type="http://schemas.openxmlformats.org/officeDocument/2006/relationships/customXml" Target="../ink/ink518.xml"/><Relationship Id="rId1051" Type="http://schemas.openxmlformats.org/officeDocument/2006/relationships/customXml" Target="../ink/ink1050.xml"/><Relationship Id="rId158" Type="http://schemas.openxmlformats.org/officeDocument/2006/relationships/customXml" Target="../ink/ink157.xml"/><Relationship Id="rId726" Type="http://schemas.openxmlformats.org/officeDocument/2006/relationships/customXml" Target="../ink/ink725.xml"/><Relationship Id="rId933" Type="http://schemas.openxmlformats.org/officeDocument/2006/relationships/customXml" Target="../ink/ink932.xml"/><Relationship Id="rId1009" Type="http://schemas.openxmlformats.org/officeDocument/2006/relationships/customXml" Target="../ink/ink1008.xml"/><Relationship Id="rId62" Type="http://schemas.openxmlformats.org/officeDocument/2006/relationships/customXml" Target="../ink/ink61.xml"/><Relationship Id="rId365" Type="http://schemas.openxmlformats.org/officeDocument/2006/relationships/customXml" Target="../ink/ink364.xml"/><Relationship Id="rId572" Type="http://schemas.openxmlformats.org/officeDocument/2006/relationships/customXml" Target="../ink/ink571.xml"/><Relationship Id="rId225" Type="http://schemas.openxmlformats.org/officeDocument/2006/relationships/customXml" Target="../ink/ink224.xml"/><Relationship Id="rId432" Type="http://schemas.openxmlformats.org/officeDocument/2006/relationships/customXml" Target="../ink/ink431.xml"/><Relationship Id="rId877" Type="http://schemas.openxmlformats.org/officeDocument/2006/relationships/customXml" Target="../ink/ink876.xml"/><Relationship Id="rId1062" Type="http://schemas.openxmlformats.org/officeDocument/2006/relationships/customXml" Target="../ink/ink1061.xml"/><Relationship Id="rId737" Type="http://schemas.openxmlformats.org/officeDocument/2006/relationships/customXml" Target="../ink/ink736.xml"/><Relationship Id="rId944" Type="http://schemas.openxmlformats.org/officeDocument/2006/relationships/customXml" Target="../ink/ink943.xml"/><Relationship Id="rId73" Type="http://schemas.openxmlformats.org/officeDocument/2006/relationships/customXml" Target="../ink/ink72.xml"/><Relationship Id="rId169" Type="http://schemas.openxmlformats.org/officeDocument/2006/relationships/customXml" Target="../ink/ink168.xml"/><Relationship Id="rId376" Type="http://schemas.openxmlformats.org/officeDocument/2006/relationships/customXml" Target="../ink/ink375.xml"/><Relationship Id="rId583" Type="http://schemas.openxmlformats.org/officeDocument/2006/relationships/customXml" Target="../ink/ink582.xml"/><Relationship Id="rId790" Type="http://schemas.openxmlformats.org/officeDocument/2006/relationships/customXml" Target="../ink/ink789.xml"/><Relationship Id="rId804" Type="http://schemas.openxmlformats.org/officeDocument/2006/relationships/customXml" Target="../ink/ink803.xml"/><Relationship Id="rId4" Type="http://schemas.openxmlformats.org/officeDocument/2006/relationships/customXml" Target="../ink/ink3.xml"/><Relationship Id="rId236" Type="http://schemas.openxmlformats.org/officeDocument/2006/relationships/customXml" Target="../ink/ink235.xml"/><Relationship Id="rId443" Type="http://schemas.openxmlformats.org/officeDocument/2006/relationships/customXml" Target="../ink/ink442.xml"/><Relationship Id="rId650" Type="http://schemas.openxmlformats.org/officeDocument/2006/relationships/customXml" Target="../ink/ink649.xml"/><Relationship Id="rId888" Type="http://schemas.openxmlformats.org/officeDocument/2006/relationships/customXml" Target="../ink/ink887.xml"/><Relationship Id="rId1073" Type="http://schemas.openxmlformats.org/officeDocument/2006/relationships/customXml" Target="../ink/ink1072.xml"/><Relationship Id="rId303" Type="http://schemas.openxmlformats.org/officeDocument/2006/relationships/customXml" Target="../ink/ink302.xml"/><Relationship Id="rId748" Type="http://schemas.openxmlformats.org/officeDocument/2006/relationships/customXml" Target="../ink/ink747.xml"/><Relationship Id="rId955" Type="http://schemas.openxmlformats.org/officeDocument/2006/relationships/customXml" Target="../ink/ink954.xml"/><Relationship Id="rId84" Type="http://schemas.openxmlformats.org/officeDocument/2006/relationships/customXml" Target="../ink/ink83.xml"/><Relationship Id="rId387" Type="http://schemas.openxmlformats.org/officeDocument/2006/relationships/customXml" Target="../ink/ink386.xml"/><Relationship Id="rId510" Type="http://schemas.openxmlformats.org/officeDocument/2006/relationships/customXml" Target="../ink/ink509.xml"/><Relationship Id="rId594" Type="http://schemas.openxmlformats.org/officeDocument/2006/relationships/customXml" Target="../ink/ink593.xml"/><Relationship Id="rId608" Type="http://schemas.openxmlformats.org/officeDocument/2006/relationships/customXml" Target="../ink/ink607.xml"/><Relationship Id="rId815" Type="http://schemas.openxmlformats.org/officeDocument/2006/relationships/customXml" Target="../ink/ink814.xml"/><Relationship Id="rId247" Type="http://schemas.openxmlformats.org/officeDocument/2006/relationships/customXml" Target="../ink/ink246.xml"/><Relationship Id="rId899" Type="http://schemas.openxmlformats.org/officeDocument/2006/relationships/customXml" Target="../ink/ink898.xml"/><Relationship Id="rId1000" Type="http://schemas.openxmlformats.org/officeDocument/2006/relationships/customXml" Target="../ink/ink999.xml"/><Relationship Id="rId1084" Type="http://schemas.openxmlformats.org/officeDocument/2006/relationships/customXml" Target="../ink/ink1083.xml"/><Relationship Id="rId107" Type="http://schemas.openxmlformats.org/officeDocument/2006/relationships/customXml" Target="../ink/ink106.xml"/><Relationship Id="rId454" Type="http://schemas.openxmlformats.org/officeDocument/2006/relationships/customXml" Target="../ink/ink453.xml"/><Relationship Id="rId661" Type="http://schemas.openxmlformats.org/officeDocument/2006/relationships/customXml" Target="../ink/ink660.xml"/><Relationship Id="rId759" Type="http://schemas.openxmlformats.org/officeDocument/2006/relationships/customXml" Target="../ink/ink758.xml"/><Relationship Id="rId966" Type="http://schemas.openxmlformats.org/officeDocument/2006/relationships/customXml" Target="../ink/ink965.xml"/><Relationship Id="rId11" Type="http://schemas.openxmlformats.org/officeDocument/2006/relationships/customXml" Target="../ink/ink10.xml"/><Relationship Id="rId314" Type="http://schemas.openxmlformats.org/officeDocument/2006/relationships/customXml" Target="../ink/ink313.xml"/><Relationship Id="rId398" Type="http://schemas.openxmlformats.org/officeDocument/2006/relationships/customXml" Target="../ink/ink397.xml"/><Relationship Id="rId521" Type="http://schemas.openxmlformats.org/officeDocument/2006/relationships/customXml" Target="../ink/ink520.xml"/><Relationship Id="rId619" Type="http://schemas.openxmlformats.org/officeDocument/2006/relationships/customXml" Target="../ink/ink618.xml"/><Relationship Id="rId95" Type="http://schemas.openxmlformats.org/officeDocument/2006/relationships/customXml" Target="../ink/ink94.xml"/><Relationship Id="rId160" Type="http://schemas.openxmlformats.org/officeDocument/2006/relationships/customXml" Target="../ink/ink159.xml"/><Relationship Id="rId826" Type="http://schemas.openxmlformats.org/officeDocument/2006/relationships/customXml" Target="../ink/ink825.xml"/><Relationship Id="rId1011" Type="http://schemas.openxmlformats.org/officeDocument/2006/relationships/customXml" Target="../ink/ink1010.xml"/><Relationship Id="rId1109" Type="http://schemas.openxmlformats.org/officeDocument/2006/relationships/customXml" Target="../ink/ink1108.xml"/><Relationship Id="rId258" Type="http://schemas.openxmlformats.org/officeDocument/2006/relationships/customXml" Target="../ink/ink257.xml"/><Relationship Id="rId465" Type="http://schemas.openxmlformats.org/officeDocument/2006/relationships/customXml" Target="../ink/ink464.xml"/><Relationship Id="rId672" Type="http://schemas.openxmlformats.org/officeDocument/2006/relationships/customXml" Target="../ink/ink671.xml"/><Relationship Id="rId1095" Type="http://schemas.openxmlformats.org/officeDocument/2006/relationships/customXml" Target="../ink/ink1094.xml"/><Relationship Id="rId22" Type="http://schemas.openxmlformats.org/officeDocument/2006/relationships/customXml" Target="../ink/ink21.xml"/><Relationship Id="rId118" Type="http://schemas.openxmlformats.org/officeDocument/2006/relationships/customXml" Target="../ink/ink117.xml"/><Relationship Id="rId325" Type="http://schemas.openxmlformats.org/officeDocument/2006/relationships/customXml" Target="../ink/ink324.xml"/><Relationship Id="rId532" Type="http://schemas.openxmlformats.org/officeDocument/2006/relationships/customXml" Target="../ink/ink531.xml"/><Relationship Id="rId977" Type="http://schemas.openxmlformats.org/officeDocument/2006/relationships/customXml" Target="../ink/ink976.xml"/><Relationship Id="rId171" Type="http://schemas.openxmlformats.org/officeDocument/2006/relationships/customXml" Target="../ink/ink170.xml"/><Relationship Id="rId837" Type="http://schemas.openxmlformats.org/officeDocument/2006/relationships/customXml" Target="../ink/ink836.xml"/><Relationship Id="rId1022" Type="http://schemas.openxmlformats.org/officeDocument/2006/relationships/customXml" Target="../ink/ink1021.xml"/><Relationship Id="rId269" Type="http://schemas.openxmlformats.org/officeDocument/2006/relationships/customXml" Target="../ink/ink268.xml"/><Relationship Id="rId476" Type="http://schemas.openxmlformats.org/officeDocument/2006/relationships/customXml" Target="../ink/ink475.xml"/><Relationship Id="rId683" Type="http://schemas.openxmlformats.org/officeDocument/2006/relationships/customXml" Target="../ink/ink682.xml"/><Relationship Id="rId890" Type="http://schemas.openxmlformats.org/officeDocument/2006/relationships/customXml" Target="../ink/ink889.xml"/><Relationship Id="rId904" Type="http://schemas.openxmlformats.org/officeDocument/2006/relationships/customXml" Target="../ink/ink903.xml"/><Relationship Id="rId33" Type="http://schemas.openxmlformats.org/officeDocument/2006/relationships/customXml" Target="../ink/ink32.xml"/><Relationship Id="rId129" Type="http://schemas.openxmlformats.org/officeDocument/2006/relationships/customXml" Target="../ink/ink128.xml"/><Relationship Id="rId336" Type="http://schemas.openxmlformats.org/officeDocument/2006/relationships/customXml" Target="../ink/ink335.xml"/><Relationship Id="rId543" Type="http://schemas.openxmlformats.org/officeDocument/2006/relationships/customXml" Target="../ink/ink542.xml"/><Relationship Id="rId988" Type="http://schemas.openxmlformats.org/officeDocument/2006/relationships/customXml" Target="../ink/ink987.xml"/><Relationship Id="rId182" Type="http://schemas.openxmlformats.org/officeDocument/2006/relationships/customXml" Target="../ink/ink181.xml"/><Relationship Id="rId403" Type="http://schemas.openxmlformats.org/officeDocument/2006/relationships/customXml" Target="../ink/ink402.xml"/><Relationship Id="rId750" Type="http://schemas.openxmlformats.org/officeDocument/2006/relationships/customXml" Target="../ink/ink749.xml"/><Relationship Id="rId848" Type="http://schemas.openxmlformats.org/officeDocument/2006/relationships/customXml" Target="../ink/ink847.xml"/><Relationship Id="rId1033" Type="http://schemas.openxmlformats.org/officeDocument/2006/relationships/customXml" Target="../ink/ink1032.xml"/><Relationship Id="rId487" Type="http://schemas.openxmlformats.org/officeDocument/2006/relationships/customXml" Target="../ink/ink486.xml"/><Relationship Id="rId610" Type="http://schemas.openxmlformats.org/officeDocument/2006/relationships/customXml" Target="../ink/ink609.xml"/><Relationship Id="rId694" Type="http://schemas.openxmlformats.org/officeDocument/2006/relationships/customXml" Target="../ink/ink693.xml"/><Relationship Id="rId708" Type="http://schemas.openxmlformats.org/officeDocument/2006/relationships/customXml" Target="../ink/ink707.xml"/><Relationship Id="rId915" Type="http://schemas.openxmlformats.org/officeDocument/2006/relationships/customXml" Target="../ink/ink914.xml"/><Relationship Id="rId347" Type="http://schemas.openxmlformats.org/officeDocument/2006/relationships/customXml" Target="../ink/ink346.xml"/><Relationship Id="rId999" Type="http://schemas.openxmlformats.org/officeDocument/2006/relationships/customXml" Target="../ink/ink998.xml"/><Relationship Id="rId1100" Type="http://schemas.openxmlformats.org/officeDocument/2006/relationships/customXml" Target="../ink/ink1099.xml"/><Relationship Id="rId44" Type="http://schemas.openxmlformats.org/officeDocument/2006/relationships/customXml" Target="../ink/ink43.xml"/><Relationship Id="rId554" Type="http://schemas.openxmlformats.org/officeDocument/2006/relationships/customXml" Target="../ink/ink553.xml"/><Relationship Id="rId761" Type="http://schemas.openxmlformats.org/officeDocument/2006/relationships/customXml" Target="../ink/ink760.xml"/><Relationship Id="rId859" Type="http://schemas.openxmlformats.org/officeDocument/2006/relationships/customXml" Target="../ink/ink858.xml"/><Relationship Id="rId193" Type="http://schemas.openxmlformats.org/officeDocument/2006/relationships/customXml" Target="../ink/ink192.xml"/><Relationship Id="rId207" Type="http://schemas.openxmlformats.org/officeDocument/2006/relationships/customXml" Target="../ink/ink206.xml"/><Relationship Id="rId414" Type="http://schemas.openxmlformats.org/officeDocument/2006/relationships/customXml" Target="../ink/ink413.xml"/><Relationship Id="rId498" Type="http://schemas.openxmlformats.org/officeDocument/2006/relationships/customXml" Target="../ink/ink497.xml"/><Relationship Id="rId621" Type="http://schemas.openxmlformats.org/officeDocument/2006/relationships/customXml" Target="../ink/ink620.xml"/><Relationship Id="rId1044" Type="http://schemas.openxmlformats.org/officeDocument/2006/relationships/customXml" Target="../ink/ink1043.xml"/><Relationship Id="rId260" Type="http://schemas.openxmlformats.org/officeDocument/2006/relationships/customXml" Target="../ink/ink259.xml"/><Relationship Id="rId719" Type="http://schemas.openxmlformats.org/officeDocument/2006/relationships/customXml" Target="../ink/ink718.xml"/><Relationship Id="rId926" Type="http://schemas.openxmlformats.org/officeDocument/2006/relationships/customXml" Target="../ink/ink925.xml"/><Relationship Id="rId1111" Type="http://schemas.openxmlformats.org/officeDocument/2006/relationships/customXml" Target="../ink/ink1110.xml"/><Relationship Id="rId55" Type="http://schemas.openxmlformats.org/officeDocument/2006/relationships/customXml" Target="../ink/ink54.xml"/><Relationship Id="rId120" Type="http://schemas.openxmlformats.org/officeDocument/2006/relationships/customXml" Target="../ink/ink119.xml"/><Relationship Id="rId358" Type="http://schemas.openxmlformats.org/officeDocument/2006/relationships/customXml" Target="../ink/ink357.xml"/><Relationship Id="rId565" Type="http://schemas.openxmlformats.org/officeDocument/2006/relationships/customXml" Target="../ink/ink564.xml"/><Relationship Id="rId772" Type="http://schemas.openxmlformats.org/officeDocument/2006/relationships/customXml" Target="../ink/ink771.xml"/><Relationship Id="rId218" Type="http://schemas.openxmlformats.org/officeDocument/2006/relationships/customXml" Target="../ink/ink217.xml"/><Relationship Id="rId425" Type="http://schemas.openxmlformats.org/officeDocument/2006/relationships/customXml" Target="../ink/ink424.xml"/><Relationship Id="rId632" Type="http://schemas.openxmlformats.org/officeDocument/2006/relationships/customXml" Target="../ink/ink631.xml"/><Relationship Id="rId1055" Type="http://schemas.openxmlformats.org/officeDocument/2006/relationships/customXml" Target="../ink/ink1054.xml"/><Relationship Id="rId271" Type="http://schemas.openxmlformats.org/officeDocument/2006/relationships/customXml" Target="../ink/ink270.xml"/><Relationship Id="rId937" Type="http://schemas.openxmlformats.org/officeDocument/2006/relationships/customXml" Target="../ink/ink936.xml"/><Relationship Id="rId1122" Type="http://schemas.openxmlformats.org/officeDocument/2006/relationships/customXml" Target="../ink/ink1121.xml"/><Relationship Id="rId66" Type="http://schemas.openxmlformats.org/officeDocument/2006/relationships/customXml" Target="../ink/ink65.xml"/><Relationship Id="rId131" Type="http://schemas.openxmlformats.org/officeDocument/2006/relationships/customXml" Target="../ink/ink130.xml"/><Relationship Id="rId369" Type="http://schemas.openxmlformats.org/officeDocument/2006/relationships/customXml" Target="../ink/ink368.xml"/><Relationship Id="rId576" Type="http://schemas.openxmlformats.org/officeDocument/2006/relationships/customXml" Target="../ink/ink575.xml"/><Relationship Id="rId783" Type="http://schemas.openxmlformats.org/officeDocument/2006/relationships/customXml" Target="../ink/ink782.xml"/><Relationship Id="rId990" Type="http://schemas.openxmlformats.org/officeDocument/2006/relationships/customXml" Target="../ink/ink989.xml"/><Relationship Id="rId229" Type="http://schemas.openxmlformats.org/officeDocument/2006/relationships/customXml" Target="../ink/ink228.xml"/><Relationship Id="rId436" Type="http://schemas.openxmlformats.org/officeDocument/2006/relationships/customXml" Target="../ink/ink435.xml"/><Relationship Id="rId643" Type="http://schemas.openxmlformats.org/officeDocument/2006/relationships/customXml" Target="../ink/ink642.xml"/><Relationship Id="rId1066" Type="http://schemas.openxmlformats.org/officeDocument/2006/relationships/customXml" Target="../ink/ink1065.xml"/><Relationship Id="rId850" Type="http://schemas.openxmlformats.org/officeDocument/2006/relationships/customXml" Target="../ink/ink849.xml"/><Relationship Id="rId948" Type="http://schemas.openxmlformats.org/officeDocument/2006/relationships/customXml" Target="../ink/ink947.xml"/><Relationship Id="rId1133" Type="http://schemas.openxmlformats.org/officeDocument/2006/relationships/customXml" Target="../ink/ink1132.xml"/><Relationship Id="rId77" Type="http://schemas.openxmlformats.org/officeDocument/2006/relationships/customXml" Target="../ink/ink76.xml"/><Relationship Id="rId282" Type="http://schemas.openxmlformats.org/officeDocument/2006/relationships/customXml" Target="../ink/ink281.xml"/><Relationship Id="rId503" Type="http://schemas.openxmlformats.org/officeDocument/2006/relationships/customXml" Target="../ink/ink502.xml"/><Relationship Id="rId587" Type="http://schemas.openxmlformats.org/officeDocument/2006/relationships/customXml" Target="../ink/ink586.xml"/><Relationship Id="rId710" Type="http://schemas.openxmlformats.org/officeDocument/2006/relationships/customXml" Target="../ink/ink709.xml"/><Relationship Id="rId808" Type="http://schemas.openxmlformats.org/officeDocument/2006/relationships/customXml" Target="../ink/ink807.xml"/><Relationship Id="rId8" Type="http://schemas.openxmlformats.org/officeDocument/2006/relationships/customXml" Target="../ink/ink7.xml"/><Relationship Id="rId142" Type="http://schemas.openxmlformats.org/officeDocument/2006/relationships/customXml" Target="../ink/ink141.xml"/><Relationship Id="rId447" Type="http://schemas.openxmlformats.org/officeDocument/2006/relationships/customXml" Target="../ink/ink446.xml"/><Relationship Id="rId794" Type="http://schemas.openxmlformats.org/officeDocument/2006/relationships/customXml" Target="../ink/ink793.xml"/><Relationship Id="rId1077" Type="http://schemas.openxmlformats.org/officeDocument/2006/relationships/customXml" Target="../ink/ink1076.xml"/><Relationship Id="rId654" Type="http://schemas.openxmlformats.org/officeDocument/2006/relationships/customXml" Target="../ink/ink653.xml"/><Relationship Id="rId861" Type="http://schemas.openxmlformats.org/officeDocument/2006/relationships/customXml" Target="../ink/ink860.xml"/><Relationship Id="rId959" Type="http://schemas.openxmlformats.org/officeDocument/2006/relationships/customXml" Target="../ink/ink958.xml"/><Relationship Id="rId293" Type="http://schemas.openxmlformats.org/officeDocument/2006/relationships/customXml" Target="../ink/ink292.xml"/><Relationship Id="rId307" Type="http://schemas.openxmlformats.org/officeDocument/2006/relationships/customXml" Target="../ink/ink306.xml"/><Relationship Id="rId514" Type="http://schemas.openxmlformats.org/officeDocument/2006/relationships/customXml" Target="../ink/ink513.xml"/><Relationship Id="rId721" Type="http://schemas.openxmlformats.org/officeDocument/2006/relationships/customXml" Target="../ink/ink720.xml"/><Relationship Id="rId88" Type="http://schemas.openxmlformats.org/officeDocument/2006/relationships/customXml" Target="../ink/ink87.xml"/><Relationship Id="rId153" Type="http://schemas.openxmlformats.org/officeDocument/2006/relationships/customXml" Target="../ink/ink152.xml"/><Relationship Id="rId360" Type="http://schemas.openxmlformats.org/officeDocument/2006/relationships/customXml" Target="../ink/ink359.xml"/><Relationship Id="rId598" Type="http://schemas.openxmlformats.org/officeDocument/2006/relationships/customXml" Target="../ink/ink597.xml"/><Relationship Id="rId819" Type="http://schemas.openxmlformats.org/officeDocument/2006/relationships/customXml" Target="../ink/ink818.xml"/><Relationship Id="rId1004" Type="http://schemas.openxmlformats.org/officeDocument/2006/relationships/customXml" Target="../ink/ink1003.xml"/><Relationship Id="rId220" Type="http://schemas.openxmlformats.org/officeDocument/2006/relationships/customXml" Target="../ink/ink219.xml"/><Relationship Id="rId458" Type="http://schemas.openxmlformats.org/officeDocument/2006/relationships/customXml" Target="../ink/ink457.xml"/><Relationship Id="rId665" Type="http://schemas.openxmlformats.org/officeDocument/2006/relationships/customXml" Target="../ink/ink664.xml"/><Relationship Id="rId872" Type="http://schemas.openxmlformats.org/officeDocument/2006/relationships/customXml" Target="../ink/ink871.xml"/><Relationship Id="rId1088" Type="http://schemas.openxmlformats.org/officeDocument/2006/relationships/customXml" Target="../ink/ink1087.xml"/><Relationship Id="rId15" Type="http://schemas.openxmlformats.org/officeDocument/2006/relationships/customXml" Target="../ink/ink14.xml"/><Relationship Id="rId318" Type="http://schemas.openxmlformats.org/officeDocument/2006/relationships/customXml" Target="../ink/ink317.xml"/><Relationship Id="rId525" Type="http://schemas.openxmlformats.org/officeDocument/2006/relationships/customXml" Target="../ink/ink524.xml"/><Relationship Id="rId732" Type="http://schemas.openxmlformats.org/officeDocument/2006/relationships/customXml" Target="../ink/ink731.xml"/><Relationship Id="rId99" Type="http://schemas.openxmlformats.org/officeDocument/2006/relationships/customXml" Target="../ink/ink98.xml"/><Relationship Id="rId164" Type="http://schemas.openxmlformats.org/officeDocument/2006/relationships/customXml" Target="../ink/ink163.xml"/><Relationship Id="rId371" Type="http://schemas.openxmlformats.org/officeDocument/2006/relationships/customXml" Target="../ink/ink370.xml"/><Relationship Id="rId1015" Type="http://schemas.openxmlformats.org/officeDocument/2006/relationships/customXml" Target="../ink/ink1014.xml"/><Relationship Id="rId469" Type="http://schemas.openxmlformats.org/officeDocument/2006/relationships/customXml" Target="../ink/ink468.xml"/><Relationship Id="rId676" Type="http://schemas.openxmlformats.org/officeDocument/2006/relationships/customXml" Target="../ink/ink675.xml"/><Relationship Id="rId883" Type="http://schemas.openxmlformats.org/officeDocument/2006/relationships/customXml" Target="../ink/ink882.xml"/><Relationship Id="rId1099" Type="http://schemas.openxmlformats.org/officeDocument/2006/relationships/customXml" Target="../ink/ink1098.xml"/><Relationship Id="rId26" Type="http://schemas.openxmlformats.org/officeDocument/2006/relationships/customXml" Target="../ink/ink25.xml"/><Relationship Id="rId231" Type="http://schemas.openxmlformats.org/officeDocument/2006/relationships/customXml" Target="../ink/ink230.xml"/><Relationship Id="rId329" Type="http://schemas.openxmlformats.org/officeDocument/2006/relationships/customXml" Target="../ink/ink328.xml"/><Relationship Id="rId536" Type="http://schemas.openxmlformats.org/officeDocument/2006/relationships/customXml" Target="../ink/ink535.xml"/><Relationship Id="rId175" Type="http://schemas.openxmlformats.org/officeDocument/2006/relationships/customXml" Target="../ink/ink174.xml"/><Relationship Id="rId743" Type="http://schemas.openxmlformats.org/officeDocument/2006/relationships/customXml" Target="../ink/ink742.xml"/><Relationship Id="rId950" Type="http://schemas.openxmlformats.org/officeDocument/2006/relationships/customXml" Target="../ink/ink949.xml"/><Relationship Id="rId1026" Type="http://schemas.openxmlformats.org/officeDocument/2006/relationships/customXml" Target="../ink/ink1025.xml"/><Relationship Id="rId382" Type="http://schemas.openxmlformats.org/officeDocument/2006/relationships/customXml" Target="../ink/ink381.xml"/><Relationship Id="rId603" Type="http://schemas.openxmlformats.org/officeDocument/2006/relationships/customXml" Target="../ink/ink602.xml"/><Relationship Id="rId687" Type="http://schemas.openxmlformats.org/officeDocument/2006/relationships/customXml" Target="../ink/ink686.xml"/><Relationship Id="rId810" Type="http://schemas.openxmlformats.org/officeDocument/2006/relationships/customXml" Target="../ink/ink809.xml"/><Relationship Id="rId908" Type="http://schemas.openxmlformats.org/officeDocument/2006/relationships/customXml" Target="../ink/ink907.xml"/><Relationship Id="rId242" Type="http://schemas.openxmlformats.org/officeDocument/2006/relationships/customXml" Target="../ink/ink241.xml"/><Relationship Id="rId894" Type="http://schemas.openxmlformats.org/officeDocument/2006/relationships/customXml" Target="../ink/ink893.xml"/><Relationship Id="rId37" Type="http://schemas.openxmlformats.org/officeDocument/2006/relationships/customXml" Target="../ink/ink36.xml"/><Relationship Id="rId102" Type="http://schemas.openxmlformats.org/officeDocument/2006/relationships/customXml" Target="../ink/ink101.xml"/><Relationship Id="rId547" Type="http://schemas.openxmlformats.org/officeDocument/2006/relationships/customXml" Target="../ink/ink546.xml"/><Relationship Id="rId754" Type="http://schemas.openxmlformats.org/officeDocument/2006/relationships/customXml" Target="../ink/ink753.xml"/><Relationship Id="rId961" Type="http://schemas.openxmlformats.org/officeDocument/2006/relationships/customXml" Target="../ink/ink960.xml"/><Relationship Id="rId90" Type="http://schemas.openxmlformats.org/officeDocument/2006/relationships/customXml" Target="../ink/ink89.xml"/><Relationship Id="rId186" Type="http://schemas.openxmlformats.org/officeDocument/2006/relationships/customXml" Target="../ink/ink185.xml"/><Relationship Id="rId393" Type="http://schemas.openxmlformats.org/officeDocument/2006/relationships/customXml" Target="../ink/ink392.xml"/><Relationship Id="rId407" Type="http://schemas.openxmlformats.org/officeDocument/2006/relationships/customXml" Target="../ink/ink406.xml"/><Relationship Id="rId614" Type="http://schemas.openxmlformats.org/officeDocument/2006/relationships/customXml" Target="../ink/ink613.xml"/><Relationship Id="rId821" Type="http://schemas.openxmlformats.org/officeDocument/2006/relationships/customXml" Target="../ink/ink820.xml"/><Relationship Id="rId1037" Type="http://schemas.openxmlformats.org/officeDocument/2006/relationships/customXml" Target="../ink/ink1036.xml"/><Relationship Id="rId253" Type="http://schemas.openxmlformats.org/officeDocument/2006/relationships/customXml" Target="../ink/ink252.xml"/><Relationship Id="rId460" Type="http://schemas.openxmlformats.org/officeDocument/2006/relationships/customXml" Target="../ink/ink459.xml"/><Relationship Id="rId698" Type="http://schemas.openxmlformats.org/officeDocument/2006/relationships/customXml" Target="../ink/ink697.xml"/><Relationship Id="rId919" Type="http://schemas.openxmlformats.org/officeDocument/2006/relationships/customXml" Target="../ink/ink918.xml"/><Relationship Id="rId1090" Type="http://schemas.openxmlformats.org/officeDocument/2006/relationships/customXml" Target="../ink/ink1089.xml"/><Relationship Id="rId1104" Type="http://schemas.openxmlformats.org/officeDocument/2006/relationships/customXml" Target="../ink/ink1103.xml"/><Relationship Id="rId48" Type="http://schemas.openxmlformats.org/officeDocument/2006/relationships/customXml" Target="../ink/ink47.xml"/><Relationship Id="rId113" Type="http://schemas.openxmlformats.org/officeDocument/2006/relationships/customXml" Target="../ink/ink112.xml"/><Relationship Id="rId320" Type="http://schemas.openxmlformats.org/officeDocument/2006/relationships/customXml" Target="../ink/ink319.xml"/><Relationship Id="rId558" Type="http://schemas.openxmlformats.org/officeDocument/2006/relationships/customXml" Target="../ink/ink557.xml"/><Relationship Id="rId765" Type="http://schemas.openxmlformats.org/officeDocument/2006/relationships/customXml" Target="../ink/ink764.xml"/><Relationship Id="rId972" Type="http://schemas.openxmlformats.org/officeDocument/2006/relationships/customXml" Target="../ink/ink971.xml"/><Relationship Id="rId197" Type="http://schemas.openxmlformats.org/officeDocument/2006/relationships/customXml" Target="../ink/ink196.xml"/><Relationship Id="rId418" Type="http://schemas.openxmlformats.org/officeDocument/2006/relationships/customXml" Target="../ink/ink417.xml"/><Relationship Id="rId625" Type="http://schemas.openxmlformats.org/officeDocument/2006/relationships/customXml" Target="../ink/ink624.xml"/><Relationship Id="rId832" Type="http://schemas.openxmlformats.org/officeDocument/2006/relationships/customXml" Target="../ink/ink831.xml"/><Relationship Id="rId1048" Type="http://schemas.openxmlformats.org/officeDocument/2006/relationships/customXml" Target="../ink/ink1047.xml"/><Relationship Id="rId264" Type="http://schemas.openxmlformats.org/officeDocument/2006/relationships/customXml" Target="../ink/ink263.xml"/><Relationship Id="rId471" Type="http://schemas.openxmlformats.org/officeDocument/2006/relationships/customXml" Target="../ink/ink470.xml"/><Relationship Id="rId1115" Type="http://schemas.openxmlformats.org/officeDocument/2006/relationships/customXml" Target="../ink/ink1114.xml"/><Relationship Id="rId59" Type="http://schemas.openxmlformats.org/officeDocument/2006/relationships/customXml" Target="../ink/ink58.xml"/><Relationship Id="rId124" Type="http://schemas.openxmlformats.org/officeDocument/2006/relationships/customXml" Target="../ink/ink123.xml"/><Relationship Id="rId569" Type="http://schemas.openxmlformats.org/officeDocument/2006/relationships/customXml" Target="../ink/ink568.xml"/><Relationship Id="rId776" Type="http://schemas.openxmlformats.org/officeDocument/2006/relationships/customXml" Target="../ink/ink775.xml"/><Relationship Id="rId983" Type="http://schemas.openxmlformats.org/officeDocument/2006/relationships/customXml" Target="../ink/ink982.xml"/><Relationship Id="rId331" Type="http://schemas.openxmlformats.org/officeDocument/2006/relationships/customXml" Target="../ink/ink330.xml"/><Relationship Id="rId429" Type="http://schemas.openxmlformats.org/officeDocument/2006/relationships/customXml" Target="../ink/ink428.xml"/><Relationship Id="rId636" Type="http://schemas.openxmlformats.org/officeDocument/2006/relationships/customXml" Target="../ink/ink635.xml"/><Relationship Id="rId1059" Type="http://schemas.openxmlformats.org/officeDocument/2006/relationships/customXml" Target="../ink/ink1058.xml"/><Relationship Id="rId843" Type="http://schemas.openxmlformats.org/officeDocument/2006/relationships/customXml" Target="../ink/ink842.xml"/><Relationship Id="rId1126" Type="http://schemas.openxmlformats.org/officeDocument/2006/relationships/customXml" Target="../ink/ink1125.xml"/><Relationship Id="rId275" Type="http://schemas.openxmlformats.org/officeDocument/2006/relationships/customXml" Target="../ink/ink274.xml"/><Relationship Id="rId482" Type="http://schemas.openxmlformats.org/officeDocument/2006/relationships/customXml" Target="../ink/ink481.xml"/><Relationship Id="rId703" Type="http://schemas.openxmlformats.org/officeDocument/2006/relationships/customXml" Target="../ink/ink702.xml"/><Relationship Id="rId910" Type="http://schemas.openxmlformats.org/officeDocument/2006/relationships/customXml" Target="../ink/ink909.xml"/><Relationship Id="rId135" Type="http://schemas.openxmlformats.org/officeDocument/2006/relationships/customXml" Target="../ink/ink134.xml"/><Relationship Id="rId342" Type="http://schemas.openxmlformats.org/officeDocument/2006/relationships/customXml" Target="../ink/ink341.xml"/><Relationship Id="rId787" Type="http://schemas.openxmlformats.org/officeDocument/2006/relationships/customXml" Target="../ink/ink786.xml"/><Relationship Id="rId994" Type="http://schemas.openxmlformats.org/officeDocument/2006/relationships/customXml" Target="../ink/ink993.xml"/><Relationship Id="rId202" Type="http://schemas.openxmlformats.org/officeDocument/2006/relationships/customXml" Target="../ink/ink201.xml"/><Relationship Id="rId647" Type="http://schemas.openxmlformats.org/officeDocument/2006/relationships/customXml" Target="../ink/ink646.xml"/><Relationship Id="rId854" Type="http://schemas.openxmlformats.org/officeDocument/2006/relationships/customXml" Target="../ink/ink853.xml"/><Relationship Id="rId286" Type="http://schemas.openxmlformats.org/officeDocument/2006/relationships/customXml" Target="../ink/ink285.xml"/><Relationship Id="rId493" Type="http://schemas.openxmlformats.org/officeDocument/2006/relationships/customXml" Target="../ink/ink492.xml"/><Relationship Id="rId507" Type="http://schemas.openxmlformats.org/officeDocument/2006/relationships/customXml" Target="../ink/ink506.xml"/><Relationship Id="rId714" Type="http://schemas.openxmlformats.org/officeDocument/2006/relationships/customXml" Target="../ink/ink713.xml"/><Relationship Id="rId921" Type="http://schemas.openxmlformats.org/officeDocument/2006/relationships/customXml" Target="../ink/ink920.xml"/><Relationship Id="rId1137" Type="http://schemas.openxmlformats.org/officeDocument/2006/relationships/customXml" Target="../ink/ink1136.xml"/><Relationship Id="rId50" Type="http://schemas.openxmlformats.org/officeDocument/2006/relationships/customXml" Target="../ink/ink49.xml"/><Relationship Id="rId146" Type="http://schemas.openxmlformats.org/officeDocument/2006/relationships/customXml" Target="../ink/ink145.xml"/><Relationship Id="rId353" Type="http://schemas.openxmlformats.org/officeDocument/2006/relationships/customXml" Target="../ink/ink352.xml"/><Relationship Id="rId560" Type="http://schemas.openxmlformats.org/officeDocument/2006/relationships/customXml" Target="../ink/ink559.xml"/><Relationship Id="rId798" Type="http://schemas.openxmlformats.org/officeDocument/2006/relationships/customXml" Target="../ink/ink797.xml"/><Relationship Id="rId213" Type="http://schemas.openxmlformats.org/officeDocument/2006/relationships/customXml" Target="../ink/ink212.xml"/><Relationship Id="rId420" Type="http://schemas.openxmlformats.org/officeDocument/2006/relationships/customXml" Target="../ink/ink419.xml"/><Relationship Id="rId658" Type="http://schemas.openxmlformats.org/officeDocument/2006/relationships/customXml" Target="../ink/ink657.xml"/><Relationship Id="rId865" Type="http://schemas.openxmlformats.org/officeDocument/2006/relationships/customXml" Target="../ink/ink864.xml"/><Relationship Id="rId1050" Type="http://schemas.openxmlformats.org/officeDocument/2006/relationships/customXml" Target="../ink/ink1049.xml"/><Relationship Id="rId297" Type="http://schemas.openxmlformats.org/officeDocument/2006/relationships/customXml" Target="../ink/ink296.xml"/><Relationship Id="rId518" Type="http://schemas.openxmlformats.org/officeDocument/2006/relationships/customXml" Target="../ink/ink517.xml"/><Relationship Id="rId725" Type="http://schemas.openxmlformats.org/officeDocument/2006/relationships/customXml" Target="../ink/ink724.xml"/><Relationship Id="rId932" Type="http://schemas.openxmlformats.org/officeDocument/2006/relationships/customXml" Target="../ink/ink931.xml"/><Relationship Id="rId157" Type="http://schemas.openxmlformats.org/officeDocument/2006/relationships/customXml" Target="../ink/ink156.xml"/><Relationship Id="rId364" Type="http://schemas.openxmlformats.org/officeDocument/2006/relationships/customXml" Target="../ink/ink363.xml"/><Relationship Id="rId1008" Type="http://schemas.openxmlformats.org/officeDocument/2006/relationships/customXml" Target="../ink/ink1007.xml"/><Relationship Id="rId61" Type="http://schemas.openxmlformats.org/officeDocument/2006/relationships/customXml" Target="../ink/ink60.xml"/><Relationship Id="rId571" Type="http://schemas.openxmlformats.org/officeDocument/2006/relationships/customXml" Target="../ink/ink570.xml"/><Relationship Id="rId669" Type="http://schemas.openxmlformats.org/officeDocument/2006/relationships/customXml" Target="../ink/ink668.xml"/><Relationship Id="rId876" Type="http://schemas.openxmlformats.org/officeDocument/2006/relationships/customXml" Target="../ink/ink875.xml"/><Relationship Id="rId19" Type="http://schemas.openxmlformats.org/officeDocument/2006/relationships/customXml" Target="../ink/ink18.xml"/><Relationship Id="rId224" Type="http://schemas.openxmlformats.org/officeDocument/2006/relationships/customXml" Target="../ink/ink223.xml"/><Relationship Id="rId431" Type="http://schemas.openxmlformats.org/officeDocument/2006/relationships/customXml" Target="../ink/ink430.xml"/><Relationship Id="rId529" Type="http://schemas.openxmlformats.org/officeDocument/2006/relationships/customXml" Target="../ink/ink528.xml"/><Relationship Id="rId736" Type="http://schemas.openxmlformats.org/officeDocument/2006/relationships/customXml" Target="../ink/ink735.xml"/><Relationship Id="rId1061" Type="http://schemas.openxmlformats.org/officeDocument/2006/relationships/customXml" Target="../ink/ink1060.xml"/><Relationship Id="rId168" Type="http://schemas.openxmlformats.org/officeDocument/2006/relationships/customXml" Target="../ink/ink167.xml"/><Relationship Id="rId943" Type="http://schemas.openxmlformats.org/officeDocument/2006/relationships/customXml" Target="../ink/ink942.xml"/><Relationship Id="rId1019" Type="http://schemas.openxmlformats.org/officeDocument/2006/relationships/customXml" Target="../ink/ink1018.xml"/><Relationship Id="rId72" Type="http://schemas.openxmlformats.org/officeDocument/2006/relationships/customXml" Target="../ink/ink71.xml"/><Relationship Id="rId375" Type="http://schemas.openxmlformats.org/officeDocument/2006/relationships/customXml" Target="../ink/ink374.xml"/><Relationship Id="rId582" Type="http://schemas.openxmlformats.org/officeDocument/2006/relationships/customXml" Target="../ink/ink581.xml"/><Relationship Id="rId803" Type="http://schemas.openxmlformats.org/officeDocument/2006/relationships/customXml" Target="../ink/ink802.xml"/><Relationship Id="rId3" Type="http://schemas.openxmlformats.org/officeDocument/2006/relationships/customXml" Target="../ink/ink2.xml"/><Relationship Id="rId235" Type="http://schemas.openxmlformats.org/officeDocument/2006/relationships/customXml" Target="../ink/ink234.xml"/><Relationship Id="rId442" Type="http://schemas.openxmlformats.org/officeDocument/2006/relationships/customXml" Target="../ink/ink441.xml"/><Relationship Id="rId887" Type="http://schemas.openxmlformats.org/officeDocument/2006/relationships/customXml" Target="../ink/ink886.xml"/><Relationship Id="rId1072" Type="http://schemas.openxmlformats.org/officeDocument/2006/relationships/customXml" Target="../ink/ink1071.xml"/><Relationship Id="rId302" Type="http://schemas.openxmlformats.org/officeDocument/2006/relationships/customXml" Target="../ink/ink301.xml"/><Relationship Id="rId747" Type="http://schemas.openxmlformats.org/officeDocument/2006/relationships/customXml" Target="../ink/ink746.xml"/><Relationship Id="rId954" Type="http://schemas.openxmlformats.org/officeDocument/2006/relationships/customXml" Target="../ink/ink953.xml"/><Relationship Id="rId83" Type="http://schemas.openxmlformats.org/officeDocument/2006/relationships/customXml" Target="../ink/ink82.xml"/><Relationship Id="rId179" Type="http://schemas.openxmlformats.org/officeDocument/2006/relationships/customXml" Target="../ink/ink178.xml"/><Relationship Id="rId386" Type="http://schemas.openxmlformats.org/officeDocument/2006/relationships/customXml" Target="../ink/ink385.xml"/><Relationship Id="rId593" Type="http://schemas.openxmlformats.org/officeDocument/2006/relationships/customXml" Target="../ink/ink592.xml"/><Relationship Id="rId607" Type="http://schemas.openxmlformats.org/officeDocument/2006/relationships/customXml" Target="../ink/ink606.xml"/><Relationship Id="rId814" Type="http://schemas.openxmlformats.org/officeDocument/2006/relationships/customXml" Target="../ink/ink813.xml"/><Relationship Id="rId246" Type="http://schemas.openxmlformats.org/officeDocument/2006/relationships/customXml" Target="../ink/ink245.xml"/><Relationship Id="rId453" Type="http://schemas.openxmlformats.org/officeDocument/2006/relationships/customXml" Target="../ink/ink452.xml"/><Relationship Id="rId660" Type="http://schemas.openxmlformats.org/officeDocument/2006/relationships/customXml" Target="../ink/ink659.xml"/><Relationship Id="rId898" Type="http://schemas.openxmlformats.org/officeDocument/2006/relationships/customXml" Target="../ink/ink897.xml"/><Relationship Id="rId1083" Type="http://schemas.openxmlformats.org/officeDocument/2006/relationships/customXml" Target="../ink/ink1082.xml"/><Relationship Id="rId106" Type="http://schemas.openxmlformats.org/officeDocument/2006/relationships/customXml" Target="../ink/ink105.xml"/><Relationship Id="rId313" Type="http://schemas.openxmlformats.org/officeDocument/2006/relationships/customXml" Target="../ink/ink312.xml"/><Relationship Id="rId758" Type="http://schemas.openxmlformats.org/officeDocument/2006/relationships/customXml" Target="../ink/ink757.xml"/><Relationship Id="rId965" Type="http://schemas.openxmlformats.org/officeDocument/2006/relationships/customXml" Target="../ink/ink964.xml"/><Relationship Id="rId10" Type="http://schemas.openxmlformats.org/officeDocument/2006/relationships/customXml" Target="../ink/ink9.xml"/><Relationship Id="rId94" Type="http://schemas.openxmlformats.org/officeDocument/2006/relationships/customXml" Target="../ink/ink93.xml"/><Relationship Id="rId397" Type="http://schemas.openxmlformats.org/officeDocument/2006/relationships/customXml" Target="../ink/ink396.xml"/><Relationship Id="rId520" Type="http://schemas.openxmlformats.org/officeDocument/2006/relationships/customXml" Target="../ink/ink519.xml"/><Relationship Id="rId618" Type="http://schemas.openxmlformats.org/officeDocument/2006/relationships/customXml" Target="../ink/ink617.xml"/><Relationship Id="rId825" Type="http://schemas.openxmlformats.org/officeDocument/2006/relationships/customXml" Target="../ink/ink824.xml"/><Relationship Id="rId257" Type="http://schemas.openxmlformats.org/officeDocument/2006/relationships/customXml" Target="../ink/ink256.xml"/><Relationship Id="rId464" Type="http://schemas.openxmlformats.org/officeDocument/2006/relationships/customXml" Target="../ink/ink463.xml"/><Relationship Id="rId1010" Type="http://schemas.openxmlformats.org/officeDocument/2006/relationships/customXml" Target="../ink/ink1009.xml"/><Relationship Id="rId1094" Type="http://schemas.openxmlformats.org/officeDocument/2006/relationships/customXml" Target="../ink/ink1093.xml"/><Relationship Id="rId1108" Type="http://schemas.openxmlformats.org/officeDocument/2006/relationships/customXml" Target="../ink/ink1107.xml"/><Relationship Id="rId117" Type="http://schemas.openxmlformats.org/officeDocument/2006/relationships/customXml" Target="../ink/ink116.xml"/><Relationship Id="rId671" Type="http://schemas.openxmlformats.org/officeDocument/2006/relationships/customXml" Target="../ink/ink670.xml"/><Relationship Id="rId769" Type="http://schemas.openxmlformats.org/officeDocument/2006/relationships/customXml" Target="../ink/ink768.xml"/><Relationship Id="rId976" Type="http://schemas.openxmlformats.org/officeDocument/2006/relationships/customXml" Target="../ink/ink975.xml"/><Relationship Id="rId324" Type="http://schemas.openxmlformats.org/officeDocument/2006/relationships/customXml" Target="../ink/ink323.xml"/><Relationship Id="rId531" Type="http://schemas.openxmlformats.org/officeDocument/2006/relationships/customXml" Target="../ink/ink530.xml"/><Relationship Id="rId629" Type="http://schemas.openxmlformats.org/officeDocument/2006/relationships/customXml" Target="../ink/ink628.xml"/><Relationship Id="rId836" Type="http://schemas.openxmlformats.org/officeDocument/2006/relationships/customXml" Target="../ink/ink835.xml"/><Relationship Id="rId1021" Type="http://schemas.openxmlformats.org/officeDocument/2006/relationships/customXml" Target="../ink/ink1020.xml"/><Relationship Id="rId1119" Type="http://schemas.openxmlformats.org/officeDocument/2006/relationships/customXml" Target="../ink/ink1118.xml"/><Relationship Id="rId903" Type="http://schemas.openxmlformats.org/officeDocument/2006/relationships/customXml" Target="../ink/ink902.xml"/><Relationship Id="rId32" Type="http://schemas.openxmlformats.org/officeDocument/2006/relationships/customXml" Target="../ink/ink31.xml"/><Relationship Id="rId181" Type="http://schemas.openxmlformats.org/officeDocument/2006/relationships/customXml" Target="../ink/ink180.xml"/><Relationship Id="rId279" Type="http://schemas.openxmlformats.org/officeDocument/2006/relationships/customXml" Target="../ink/ink278.xml"/><Relationship Id="rId486" Type="http://schemas.openxmlformats.org/officeDocument/2006/relationships/customXml" Target="../ink/ink485.xml"/><Relationship Id="rId693" Type="http://schemas.openxmlformats.org/officeDocument/2006/relationships/customXml" Target="../ink/ink692.xml"/><Relationship Id="rId139" Type="http://schemas.openxmlformats.org/officeDocument/2006/relationships/customXml" Target="../ink/ink138.xml"/><Relationship Id="rId346" Type="http://schemas.openxmlformats.org/officeDocument/2006/relationships/customXml" Target="../ink/ink345.xml"/><Relationship Id="rId553" Type="http://schemas.openxmlformats.org/officeDocument/2006/relationships/customXml" Target="../ink/ink552.xml"/><Relationship Id="rId760" Type="http://schemas.openxmlformats.org/officeDocument/2006/relationships/customXml" Target="../ink/ink759.xml"/><Relationship Id="rId998" Type="http://schemas.openxmlformats.org/officeDocument/2006/relationships/customXml" Target="../ink/ink997.xml"/><Relationship Id="rId206" Type="http://schemas.openxmlformats.org/officeDocument/2006/relationships/customXml" Target="../ink/ink205.xml"/><Relationship Id="rId413" Type="http://schemas.openxmlformats.org/officeDocument/2006/relationships/customXml" Target="../ink/ink412.xml"/><Relationship Id="rId858" Type="http://schemas.openxmlformats.org/officeDocument/2006/relationships/customXml" Target="../ink/ink857.xml"/><Relationship Id="rId1043" Type="http://schemas.openxmlformats.org/officeDocument/2006/relationships/customXml" Target="../ink/ink1042.xml"/><Relationship Id="rId620" Type="http://schemas.openxmlformats.org/officeDocument/2006/relationships/customXml" Target="../ink/ink619.xml"/><Relationship Id="rId718" Type="http://schemas.openxmlformats.org/officeDocument/2006/relationships/customXml" Target="../ink/ink717.xml"/><Relationship Id="rId925" Type="http://schemas.openxmlformats.org/officeDocument/2006/relationships/customXml" Target="../ink/ink924.xml"/><Relationship Id="rId1110" Type="http://schemas.openxmlformats.org/officeDocument/2006/relationships/customXml" Target="../ink/ink1109.xml"/><Relationship Id="rId54" Type="http://schemas.openxmlformats.org/officeDocument/2006/relationships/customXml" Target="../ink/ink53.xml"/><Relationship Id="rId270" Type="http://schemas.openxmlformats.org/officeDocument/2006/relationships/customXml" Target="../ink/ink269.xml"/><Relationship Id="rId130" Type="http://schemas.openxmlformats.org/officeDocument/2006/relationships/customXml" Target="../ink/ink129.xml"/><Relationship Id="rId368" Type="http://schemas.openxmlformats.org/officeDocument/2006/relationships/customXml" Target="../ink/ink367.xml"/><Relationship Id="rId575" Type="http://schemas.openxmlformats.org/officeDocument/2006/relationships/customXml" Target="../ink/ink574.xml"/><Relationship Id="rId782" Type="http://schemas.openxmlformats.org/officeDocument/2006/relationships/customXml" Target="../ink/ink781.xml"/><Relationship Id="rId228" Type="http://schemas.openxmlformats.org/officeDocument/2006/relationships/customXml" Target="../ink/ink227.xml"/><Relationship Id="rId435" Type="http://schemas.openxmlformats.org/officeDocument/2006/relationships/customXml" Target="../ink/ink434.xml"/><Relationship Id="rId642" Type="http://schemas.openxmlformats.org/officeDocument/2006/relationships/customXml" Target="../ink/ink641.xml"/><Relationship Id="rId1065" Type="http://schemas.openxmlformats.org/officeDocument/2006/relationships/customXml" Target="../ink/ink1064.xml"/><Relationship Id="rId502" Type="http://schemas.openxmlformats.org/officeDocument/2006/relationships/customXml" Target="../ink/ink501.xml"/><Relationship Id="rId947" Type="http://schemas.openxmlformats.org/officeDocument/2006/relationships/customXml" Target="../ink/ink946.xml"/><Relationship Id="rId1132" Type="http://schemas.openxmlformats.org/officeDocument/2006/relationships/customXml" Target="../ink/ink1131.xml"/><Relationship Id="rId76" Type="http://schemas.openxmlformats.org/officeDocument/2006/relationships/customXml" Target="../ink/ink75.xml"/><Relationship Id="rId807" Type="http://schemas.openxmlformats.org/officeDocument/2006/relationships/customXml" Target="../ink/ink806.xml"/><Relationship Id="rId292" Type="http://schemas.openxmlformats.org/officeDocument/2006/relationships/customXml" Target="../ink/ink291.xml"/><Relationship Id="rId597" Type="http://schemas.openxmlformats.org/officeDocument/2006/relationships/customXml" Target="../ink/ink596.xml"/><Relationship Id="rId152" Type="http://schemas.openxmlformats.org/officeDocument/2006/relationships/customXml" Target="../ink/ink151.xml"/><Relationship Id="rId457" Type="http://schemas.openxmlformats.org/officeDocument/2006/relationships/customXml" Target="../ink/ink456.xml"/><Relationship Id="rId1087" Type="http://schemas.openxmlformats.org/officeDocument/2006/relationships/customXml" Target="../ink/ink1086.xml"/><Relationship Id="rId664" Type="http://schemas.openxmlformats.org/officeDocument/2006/relationships/customXml" Target="../ink/ink663.xml"/><Relationship Id="rId871" Type="http://schemas.openxmlformats.org/officeDocument/2006/relationships/customXml" Target="../ink/ink870.xml"/><Relationship Id="rId969" Type="http://schemas.openxmlformats.org/officeDocument/2006/relationships/customXml" Target="../ink/ink968.xml"/><Relationship Id="rId317" Type="http://schemas.openxmlformats.org/officeDocument/2006/relationships/customXml" Target="../ink/ink316.xml"/><Relationship Id="rId524" Type="http://schemas.openxmlformats.org/officeDocument/2006/relationships/customXml" Target="../ink/ink523.xml"/><Relationship Id="rId731" Type="http://schemas.openxmlformats.org/officeDocument/2006/relationships/customXml" Target="../ink/ink730.xml"/><Relationship Id="rId98" Type="http://schemas.openxmlformats.org/officeDocument/2006/relationships/customXml" Target="../ink/ink97.xml"/><Relationship Id="rId829" Type="http://schemas.openxmlformats.org/officeDocument/2006/relationships/customXml" Target="../ink/ink828.xml"/><Relationship Id="rId1014" Type="http://schemas.openxmlformats.org/officeDocument/2006/relationships/customXml" Target="../ink/ink1013.xml"/><Relationship Id="rId25" Type="http://schemas.openxmlformats.org/officeDocument/2006/relationships/customXml" Target="../ink/ink24.xml"/><Relationship Id="rId174" Type="http://schemas.openxmlformats.org/officeDocument/2006/relationships/customXml" Target="../ink/ink173.xml"/><Relationship Id="rId381" Type="http://schemas.openxmlformats.org/officeDocument/2006/relationships/customXml" Target="../ink/ink380.xml"/><Relationship Id="rId241" Type="http://schemas.openxmlformats.org/officeDocument/2006/relationships/customXml" Target="../ink/ink240.xml"/><Relationship Id="rId479" Type="http://schemas.openxmlformats.org/officeDocument/2006/relationships/customXml" Target="../ink/ink478.xml"/><Relationship Id="rId686" Type="http://schemas.openxmlformats.org/officeDocument/2006/relationships/customXml" Target="../ink/ink685.xml"/><Relationship Id="rId893" Type="http://schemas.openxmlformats.org/officeDocument/2006/relationships/customXml" Target="../ink/ink89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3</xdr:row>
      <xdr:rowOff>265220</xdr:rowOff>
    </xdr:from>
    <xdr:to>
      <xdr:col>15</xdr:col>
      <xdr:colOff>0</xdr:colOff>
      <xdr:row>3</xdr:row>
      <xdr:rowOff>265220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008B270-C7C3-6F45-6E76-60C05D9873E8}"/>
                </a:ext>
              </a:extLst>
            </xdr14:cNvPr>
            <xdr14:cNvContentPartPr/>
          </xdr14:nvContentPartPr>
          <xdr14:nvPr macro=""/>
          <xdr14:xfrm>
            <a:off x="12846960" y="1192320"/>
            <a:ext cx="360" cy="360"/>
          </xdr14:xfrm>
        </xdr:contentPart>
      </mc:Choice>
      <mc:Fallback xmlns="">
        <xdr:pic>
          <xdr:nvPicPr>
            <xdr:cNvPr id="2" name="Ink 1">
              <a:extLst>
                <a:ext uri="{FF2B5EF4-FFF2-40B4-BE49-F238E27FC236}">
                  <a16:creationId xmlns:a16="http://schemas.microsoft.com/office/drawing/2014/main" id="{7008B270-C7C3-6F45-6E76-60C05D9873E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twoCellAnchor>
  <xdr:twoCellAnchor editAs="oneCell">
    <xdr:from>
      <xdr:col>15</xdr:col>
      <xdr:colOff>0</xdr:colOff>
      <xdr:row>3</xdr:row>
      <xdr:rowOff>316340</xdr:rowOff>
    </xdr:from>
    <xdr:to>
      <xdr:col>15</xdr:col>
      <xdr:colOff>0</xdr:colOff>
      <xdr:row>3</xdr:row>
      <xdr:rowOff>316340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CC79F12-5239-42FA-0650-10F4B41C9B31}"/>
                </a:ext>
              </a:extLst>
            </xdr14:cNvPr>
            <xdr14:cNvContentPartPr/>
          </xdr14:nvContentPartPr>
          <xdr14:nvPr macro=""/>
          <xdr14:xfrm>
            <a:off x="12866040" y="1243440"/>
            <a:ext cx="360" cy="360"/>
          </xdr14:xfrm>
        </xdr:contentPart>
      </mc:Choice>
      <mc:Fallback xmlns="">
        <xdr:pic>
          <xdr:nvPicPr>
            <xdr:cNvPr id="3" name="Ink 2">
              <a:extLst>
                <a:ext uri="{FF2B5EF4-FFF2-40B4-BE49-F238E27FC236}">
                  <a16:creationId xmlns:a16="http://schemas.microsoft.com/office/drawing/2014/main" id="{8CC79F12-5239-42FA-0650-10F4B41C9B3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twoCellAnchor>
  <xdr:twoCellAnchor editAs="oneCell">
    <xdr:from>
      <xdr:col>15</xdr:col>
      <xdr:colOff>0</xdr:colOff>
      <xdr:row>3</xdr:row>
      <xdr:rowOff>439460</xdr:rowOff>
    </xdr:from>
    <xdr:to>
      <xdr:col>15</xdr:col>
      <xdr:colOff>0</xdr:colOff>
      <xdr:row>3</xdr:row>
      <xdr:rowOff>439460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6D0FDDC6-B995-9B6D-9D8F-5845B5491C49}"/>
                </a:ext>
              </a:extLst>
            </xdr14:cNvPr>
            <xdr14:cNvContentPartPr/>
          </xdr14:nvContentPartPr>
          <xdr14:nvPr macro=""/>
          <xdr14:xfrm>
            <a:off x="12973680" y="1366560"/>
            <a:ext cx="360" cy="360"/>
          </xdr14:xfrm>
        </xdr:contentPart>
      </mc:Choice>
      <mc:Fallback xmlns="">
        <xdr:pic>
          <xdr:nvPicPr>
            <xdr:cNvPr id="4" name="Ink 3">
              <a:extLst>
                <a:ext uri="{FF2B5EF4-FFF2-40B4-BE49-F238E27FC236}">
                  <a16:creationId xmlns:a16="http://schemas.microsoft.com/office/drawing/2014/main" id="{6D0FDDC6-B995-9B6D-9D8F-5845B5491C4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twoCellAnchor>
  <xdr:oneCellAnchor>
    <xdr:from>
      <xdr:col>15</xdr:col>
      <xdr:colOff>0</xdr:colOff>
      <xdr:row>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45EDDE87-D450-9549-A1A8-8D3C8D06D45B}"/>
                </a:ext>
              </a:extLst>
            </xdr14:cNvPr>
            <xdr14:cNvContentPartPr/>
          </xdr14:nvContentPartPr>
          <xdr14:nvPr macro=""/>
          <xdr14:xfrm>
            <a:off x="12846960" y="1192320"/>
            <a:ext cx="360" cy="360"/>
          </xdr14:xfrm>
        </xdr:contentPart>
      </mc:Choice>
      <mc:Fallback xmlns="">
        <xdr:pic>
          <xdr:nvPicPr>
            <xdr:cNvPr id="5" name="Ink 4">
              <a:extLst>
                <a:ext uri="{FF2B5EF4-FFF2-40B4-BE49-F238E27FC236}">
                  <a16:creationId xmlns:a16="http://schemas.microsoft.com/office/drawing/2014/main" id="{45EDDE87-D450-9549-A1A8-8D3C8D06D45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a16="http://schemas.microsoft.com/office/drawing/2014/main" id="{D19E3690-5157-D64D-A8D5-B756EEC8585C}"/>
                </a:ext>
              </a:extLst>
            </xdr14:cNvPr>
            <xdr14:cNvContentPartPr/>
          </xdr14:nvContentPartPr>
          <xdr14:nvPr macro=""/>
          <xdr14:xfrm>
            <a:off x="12866040" y="1243440"/>
            <a:ext cx="360" cy="360"/>
          </xdr14:xfrm>
        </xdr:contentPart>
      </mc:Choice>
      <mc:Fallback xmlns="">
        <xdr:pic>
          <xdr:nvPicPr>
            <xdr:cNvPr id="6" name="Ink 5">
              <a:extLst>
                <a:ext uri="{FF2B5EF4-FFF2-40B4-BE49-F238E27FC236}">
                  <a16:creationId xmlns:a16="http://schemas.microsoft.com/office/drawing/2014/main" id="{D19E3690-5157-D64D-A8D5-B756EEC8585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a16="http://schemas.microsoft.com/office/drawing/2014/main" id="{83D2CC6A-0F20-AE4A-BA22-BB4AC1546378}"/>
                </a:ext>
              </a:extLst>
            </xdr14:cNvPr>
            <xdr14:cNvContentPartPr/>
          </xdr14:nvContentPartPr>
          <xdr14:nvPr macro=""/>
          <xdr14:xfrm>
            <a:off x="12973680" y="1366560"/>
            <a:ext cx="360" cy="360"/>
          </xdr14:xfrm>
        </xdr:contentPart>
      </mc:Choice>
      <mc:Fallback xmlns="">
        <xdr:pic>
          <xdr:nvPicPr>
            <xdr:cNvPr id="7" name="Ink 6">
              <a:extLst>
                <a:ext uri="{FF2B5EF4-FFF2-40B4-BE49-F238E27FC236}">
                  <a16:creationId xmlns:a16="http://schemas.microsoft.com/office/drawing/2014/main" id="{83D2CC6A-0F20-AE4A-BA22-BB4AC154637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a16="http://schemas.microsoft.com/office/drawing/2014/main" id="{5A481AC0-436D-0A4C-A6C2-62DB80E05F92}"/>
                </a:ext>
              </a:extLst>
            </xdr14:cNvPr>
            <xdr14:cNvContentPartPr/>
          </xdr14:nvContentPartPr>
          <xdr14:nvPr macro=""/>
          <xdr14:xfrm>
            <a:off x="12846960" y="1192320"/>
            <a:ext cx="360" cy="360"/>
          </xdr14:xfrm>
        </xdr:contentPart>
      </mc:Choice>
      <mc:Fallback xmlns="">
        <xdr:pic>
          <xdr:nvPicPr>
            <xdr:cNvPr id="8" name="Ink 7">
              <a:extLst>
                <a:ext uri="{FF2B5EF4-FFF2-40B4-BE49-F238E27FC236}">
                  <a16:creationId xmlns:a16="http://schemas.microsoft.com/office/drawing/2014/main" id="{5A481AC0-436D-0A4C-A6C2-62DB80E05F9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a16="http://schemas.microsoft.com/office/drawing/2014/main" id="{64AC3492-1C73-464E-8AD1-7378A8E40709}"/>
                </a:ext>
              </a:extLst>
            </xdr14:cNvPr>
            <xdr14:cNvContentPartPr/>
          </xdr14:nvContentPartPr>
          <xdr14:nvPr macro=""/>
          <xdr14:xfrm>
            <a:off x="12866040" y="1243440"/>
            <a:ext cx="360" cy="360"/>
          </xdr14:xfrm>
        </xdr:contentPart>
      </mc:Choice>
      <mc:Fallback xmlns="">
        <xdr:pic>
          <xdr:nvPicPr>
            <xdr:cNvPr id="9" name="Ink 8">
              <a:extLst>
                <a:ext uri="{FF2B5EF4-FFF2-40B4-BE49-F238E27FC236}">
                  <a16:creationId xmlns:a16="http://schemas.microsoft.com/office/drawing/2014/main" id="{64AC3492-1C73-464E-8AD1-7378A8E4070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ADFEDCA0-68C1-244E-8457-9E9B0427A609}"/>
                </a:ext>
              </a:extLst>
            </xdr14:cNvPr>
            <xdr14:cNvContentPartPr/>
          </xdr14:nvContentPartPr>
          <xdr14:nvPr macro=""/>
          <xdr14:xfrm>
            <a:off x="12973680" y="1366560"/>
            <a:ext cx="360" cy="360"/>
          </xdr14:xfrm>
        </xdr:contentPart>
      </mc:Choice>
      <mc:Fallback xmlns="">
        <xdr:pic>
          <xdr:nvPicPr>
            <xdr:cNvPr id="10" name="Ink 9">
              <a:extLst>
                <a:ext uri="{FF2B5EF4-FFF2-40B4-BE49-F238E27FC236}">
                  <a16:creationId xmlns:a16="http://schemas.microsoft.com/office/drawing/2014/main" id="{ADFEDCA0-68C1-244E-8457-9E9B0427A60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a16="http://schemas.microsoft.com/office/drawing/2014/main" id="{165898C1-9159-9242-9E29-BFBE996753EC}"/>
                </a:ext>
              </a:extLst>
            </xdr14:cNvPr>
            <xdr14:cNvContentPartPr/>
          </xdr14:nvContentPartPr>
          <xdr14:nvPr macro=""/>
          <xdr14:xfrm>
            <a:off x="12846960" y="1192320"/>
            <a:ext cx="360" cy="360"/>
          </xdr14:xfrm>
        </xdr:contentPart>
      </mc:Choice>
      <mc:Fallback xmlns="">
        <xdr:pic>
          <xdr:nvPicPr>
            <xdr:cNvPr id="11" name="Ink 10">
              <a:extLst>
                <a:ext uri="{FF2B5EF4-FFF2-40B4-BE49-F238E27FC236}">
                  <a16:creationId xmlns:a16="http://schemas.microsoft.com/office/drawing/2014/main" id="{165898C1-9159-9242-9E29-BFBE996753E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140C97B5-7A78-A04F-862A-3962CAEE474D}"/>
                </a:ext>
              </a:extLst>
            </xdr14:cNvPr>
            <xdr14:cNvContentPartPr/>
          </xdr14:nvContentPartPr>
          <xdr14:nvPr macro=""/>
          <xdr14:xfrm>
            <a:off x="12866040" y="1243440"/>
            <a:ext cx="360" cy="360"/>
          </xdr14:xfrm>
        </xdr:contentPart>
      </mc:Choice>
      <mc:Fallback xmlns="">
        <xdr:pic>
          <xdr:nvPicPr>
            <xdr:cNvPr id="12" name="Ink 11">
              <a:extLst>
                <a:ext uri="{FF2B5EF4-FFF2-40B4-BE49-F238E27FC236}">
                  <a16:creationId xmlns:a16="http://schemas.microsoft.com/office/drawing/2014/main" id="{140C97B5-7A78-A04F-862A-3962CAEE474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a16="http://schemas.microsoft.com/office/drawing/2014/main" id="{BFF41696-1D48-BF42-90E0-1903815919C2}"/>
                </a:ext>
              </a:extLst>
            </xdr14:cNvPr>
            <xdr14:cNvContentPartPr/>
          </xdr14:nvContentPartPr>
          <xdr14:nvPr macro=""/>
          <xdr14:xfrm>
            <a:off x="12973680" y="1366560"/>
            <a:ext cx="360" cy="360"/>
          </xdr14:xfrm>
        </xdr:contentPart>
      </mc:Choice>
      <mc:Fallback xmlns="">
        <xdr:pic>
          <xdr:nvPicPr>
            <xdr:cNvPr id="13" name="Ink 12">
              <a:extLst>
                <a:ext uri="{FF2B5EF4-FFF2-40B4-BE49-F238E27FC236}">
                  <a16:creationId xmlns:a16="http://schemas.microsoft.com/office/drawing/2014/main" id="{BFF41696-1D48-BF42-90E0-1903815919C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a16="http://schemas.microsoft.com/office/drawing/2014/main" id="{090074D0-37AF-9641-88DE-4F84CF39BCB8}"/>
                </a:ext>
              </a:extLst>
            </xdr14:cNvPr>
            <xdr14:cNvContentPartPr/>
          </xdr14:nvContentPartPr>
          <xdr14:nvPr macro=""/>
          <xdr14:xfrm>
            <a:off x="12846960" y="1192320"/>
            <a:ext cx="360" cy="360"/>
          </xdr14:xfrm>
        </xdr:contentPart>
      </mc:Choice>
      <mc:Fallback xmlns="">
        <xdr:pic>
          <xdr:nvPicPr>
            <xdr:cNvPr id="14" name="Ink 13">
              <a:extLst>
                <a:ext uri="{FF2B5EF4-FFF2-40B4-BE49-F238E27FC236}">
                  <a16:creationId xmlns:a16="http://schemas.microsoft.com/office/drawing/2014/main" id="{090074D0-37AF-9641-88DE-4F84CF39BCB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a16="http://schemas.microsoft.com/office/drawing/2014/main" id="{6B806D01-A079-0541-9C4F-0C938BFE100B}"/>
                </a:ext>
              </a:extLst>
            </xdr14:cNvPr>
            <xdr14:cNvContentPartPr/>
          </xdr14:nvContentPartPr>
          <xdr14:nvPr macro=""/>
          <xdr14:xfrm>
            <a:off x="12866040" y="1243440"/>
            <a:ext cx="360" cy="360"/>
          </xdr14:xfrm>
        </xdr:contentPart>
      </mc:Choice>
      <mc:Fallback xmlns="">
        <xdr:pic>
          <xdr:nvPicPr>
            <xdr:cNvPr id="15" name="Ink 14">
              <a:extLst>
                <a:ext uri="{FF2B5EF4-FFF2-40B4-BE49-F238E27FC236}">
                  <a16:creationId xmlns:a16="http://schemas.microsoft.com/office/drawing/2014/main" id="{6B806D01-A079-0541-9C4F-0C938BFE100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a16="http://schemas.microsoft.com/office/drawing/2014/main" id="{30D150C3-FF65-0E49-8554-59FFB5C55D41}"/>
                </a:ext>
              </a:extLst>
            </xdr14:cNvPr>
            <xdr14:cNvContentPartPr/>
          </xdr14:nvContentPartPr>
          <xdr14:nvPr macro=""/>
          <xdr14:xfrm>
            <a:off x="12973680" y="1366560"/>
            <a:ext cx="360" cy="360"/>
          </xdr14:xfrm>
        </xdr:contentPart>
      </mc:Choice>
      <mc:Fallback xmlns="">
        <xdr:pic>
          <xdr:nvPicPr>
            <xdr:cNvPr id="16" name="Ink 15">
              <a:extLst>
                <a:ext uri="{FF2B5EF4-FFF2-40B4-BE49-F238E27FC236}">
                  <a16:creationId xmlns:a16="http://schemas.microsoft.com/office/drawing/2014/main" id="{30D150C3-FF65-0E49-8554-59FFB5C55D4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a16="http://schemas.microsoft.com/office/drawing/2014/main" id="{84DE6EE3-0329-4F41-B881-460D0F254F2B}"/>
                </a:ext>
              </a:extLst>
            </xdr14:cNvPr>
            <xdr14:cNvContentPartPr/>
          </xdr14:nvContentPartPr>
          <xdr14:nvPr macro=""/>
          <xdr14:xfrm>
            <a:off x="12846960" y="1192320"/>
            <a:ext cx="360" cy="360"/>
          </xdr14:xfrm>
        </xdr:contentPart>
      </mc:Choice>
      <mc:Fallback xmlns="">
        <xdr:pic>
          <xdr:nvPicPr>
            <xdr:cNvPr id="17" name="Ink 16">
              <a:extLst>
                <a:ext uri="{FF2B5EF4-FFF2-40B4-BE49-F238E27FC236}">
                  <a16:creationId xmlns:a16="http://schemas.microsoft.com/office/drawing/2014/main" id="{84DE6EE3-0329-4F41-B881-460D0F254F2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Ink 17">
              <a:extLst>
                <a:ext uri="{FF2B5EF4-FFF2-40B4-BE49-F238E27FC236}">
                  <a16:creationId xmlns:a16="http://schemas.microsoft.com/office/drawing/2014/main" id="{272A8BBC-A14A-1C4A-A715-D94F1E5258AB}"/>
                </a:ext>
              </a:extLst>
            </xdr14:cNvPr>
            <xdr14:cNvContentPartPr/>
          </xdr14:nvContentPartPr>
          <xdr14:nvPr macro=""/>
          <xdr14:xfrm>
            <a:off x="12866040" y="1243440"/>
            <a:ext cx="360" cy="360"/>
          </xdr14:xfrm>
        </xdr:contentPart>
      </mc:Choice>
      <mc:Fallback xmlns="">
        <xdr:pic>
          <xdr:nvPicPr>
            <xdr:cNvPr id="18" name="Ink 17">
              <a:extLst>
                <a:ext uri="{FF2B5EF4-FFF2-40B4-BE49-F238E27FC236}">
                  <a16:creationId xmlns:a16="http://schemas.microsoft.com/office/drawing/2014/main" id="{272A8BBC-A14A-1C4A-A715-D94F1E5258A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9" name="Ink 18">
              <a:extLst>
                <a:ext uri="{FF2B5EF4-FFF2-40B4-BE49-F238E27FC236}">
                  <a16:creationId xmlns:a16="http://schemas.microsoft.com/office/drawing/2014/main" id="{CCB73C4B-B616-2749-9107-4C3EAD95E575}"/>
                </a:ext>
              </a:extLst>
            </xdr14:cNvPr>
            <xdr14:cNvContentPartPr/>
          </xdr14:nvContentPartPr>
          <xdr14:nvPr macro=""/>
          <xdr14:xfrm>
            <a:off x="12973680" y="1366560"/>
            <a:ext cx="360" cy="360"/>
          </xdr14:xfrm>
        </xdr:contentPart>
      </mc:Choice>
      <mc:Fallback xmlns="">
        <xdr:pic>
          <xdr:nvPicPr>
            <xdr:cNvPr id="19" name="Ink 18">
              <a:extLst>
                <a:ext uri="{FF2B5EF4-FFF2-40B4-BE49-F238E27FC236}">
                  <a16:creationId xmlns:a16="http://schemas.microsoft.com/office/drawing/2014/main" id="{CCB73C4B-B616-2749-9107-4C3EAD95E57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0" name="Ink 19">
              <a:extLst>
                <a:ext uri="{FF2B5EF4-FFF2-40B4-BE49-F238E27FC236}">
                  <a16:creationId xmlns:a16="http://schemas.microsoft.com/office/drawing/2014/main" id="{24F100F7-675A-1647-9D2A-8677F007DFEB}"/>
                </a:ext>
              </a:extLst>
            </xdr14:cNvPr>
            <xdr14:cNvContentPartPr/>
          </xdr14:nvContentPartPr>
          <xdr14:nvPr macro=""/>
          <xdr14:xfrm>
            <a:off x="12846960" y="1192320"/>
            <a:ext cx="360" cy="360"/>
          </xdr14:xfrm>
        </xdr:contentPart>
      </mc:Choice>
      <mc:Fallback xmlns="">
        <xdr:pic>
          <xdr:nvPicPr>
            <xdr:cNvPr id="20" name="Ink 19">
              <a:extLst>
                <a:ext uri="{FF2B5EF4-FFF2-40B4-BE49-F238E27FC236}">
                  <a16:creationId xmlns:a16="http://schemas.microsoft.com/office/drawing/2014/main" id="{24F100F7-675A-1647-9D2A-8677F007DFE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Ink 20">
              <a:extLst>
                <a:ext uri="{FF2B5EF4-FFF2-40B4-BE49-F238E27FC236}">
                  <a16:creationId xmlns:a16="http://schemas.microsoft.com/office/drawing/2014/main" id="{F580C188-1173-7D47-BED0-76291D56C90E}"/>
                </a:ext>
              </a:extLst>
            </xdr14:cNvPr>
            <xdr14:cNvContentPartPr/>
          </xdr14:nvContentPartPr>
          <xdr14:nvPr macro=""/>
          <xdr14:xfrm>
            <a:off x="12866040" y="1243440"/>
            <a:ext cx="360" cy="360"/>
          </xdr14:xfrm>
        </xdr:contentPart>
      </mc:Choice>
      <mc:Fallback xmlns="">
        <xdr:pic>
          <xdr:nvPicPr>
            <xdr:cNvPr id="21" name="Ink 20">
              <a:extLst>
                <a:ext uri="{FF2B5EF4-FFF2-40B4-BE49-F238E27FC236}">
                  <a16:creationId xmlns:a16="http://schemas.microsoft.com/office/drawing/2014/main" id="{F580C188-1173-7D47-BED0-76291D56C90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2" name="Ink 21">
              <a:extLst>
                <a:ext uri="{FF2B5EF4-FFF2-40B4-BE49-F238E27FC236}">
                  <a16:creationId xmlns:a16="http://schemas.microsoft.com/office/drawing/2014/main" id="{CC0F2432-33E1-D847-89CB-CD3FC226DDCF}"/>
                </a:ext>
              </a:extLst>
            </xdr14:cNvPr>
            <xdr14:cNvContentPartPr/>
          </xdr14:nvContentPartPr>
          <xdr14:nvPr macro=""/>
          <xdr14:xfrm>
            <a:off x="12973680" y="1366560"/>
            <a:ext cx="360" cy="360"/>
          </xdr14:xfrm>
        </xdr:contentPart>
      </mc:Choice>
      <mc:Fallback xmlns="">
        <xdr:pic>
          <xdr:nvPicPr>
            <xdr:cNvPr id="22" name="Ink 21">
              <a:extLst>
                <a:ext uri="{FF2B5EF4-FFF2-40B4-BE49-F238E27FC236}">
                  <a16:creationId xmlns:a16="http://schemas.microsoft.com/office/drawing/2014/main" id="{CC0F2432-33E1-D847-89CB-CD3FC226DDC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3" name="Ink 22">
              <a:extLst>
                <a:ext uri="{FF2B5EF4-FFF2-40B4-BE49-F238E27FC236}">
                  <a16:creationId xmlns:a16="http://schemas.microsoft.com/office/drawing/2014/main" id="{D30B76D4-6145-E24E-A81E-516814668F23}"/>
                </a:ext>
              </a:extLst>
            </xdr14:cNvPr>
            <xdr14:cNvContentPartPr/>
          </xdr14:nvContentPartPr>
          <xdr14:nvPr macro=""/>
          <xdr14:xfrm>
            <a:off x="12846960" y="1192320"/>
            <a:ext cx="360" cy="360"/>
          </xdr14:xfrm>
        </xdr:contentPart>
      </mc:Choice>
      <mc:Fallback xmlns="">
        <xdr:pic>
          <xdr:nvPicPr>
            <xdr:cNvPr id="23" name="Ink 22">
              <a:extLst>
                <a:ext uri="{FF2B5EF4-FFF2-40B4-BE49-F238E27FC236}">
                  <a16:creationId xmlns:a16="http://schemas.microsoft.com/office/drawing/2014/main" id="{D30B76D4-6145-E24E-A81E-516814668F2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Ink 23">
              <a:extLst>
                <a:ext uri="{FF2B5EF4-FFF2-40B4-BE49-F238E27FC236}">
                  <a16:creationId xmlns:a16="http://schemas.microsoft.com/office/drawing/2014/main" id="{0D7697BF-DD2E-B34F-B1DF-A52812567436}"/>
                </a:ext>
              </a:extLst>
            </xdr14:cNvPr>
            <xdr14:cNvContentPartPr/>
          </xdr14:nvContentPartPr>
          <xdr14:nvPr macro=""/>
          <xdr14:xfrm>
            <a:off x="12866040" y="1243440"/>
            <a:ext cx="360" cy="360"/>
          </xdr14:xfrm>
        </xdr:contentPart>
      </mc:Choice>
      <mc:Fallback xmlns="">
        <xdr:pic>
          <xdr:nvPicPr>
            <xdr:cNvPr id="24" name="Ink 23">
              <a:extLst>
                <a:ext uri="{FF2B5EF4-FFF2-40B4-BE49-F238E27FC236}">
                  <a16:creationId xmlns:a16="http://schemas.microsoft.com/office/drawing/2014/main" id="{0D7697BF-DD2E-B34F-B1DF-A5281256743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5" name="Ink 24">
              <a:extLst>
                <a:ext uri="{FF2B5EF4-FFF2-40B4-BE49-F238E27FC236}">
                  <a16:creationId xmlns:a16="http://schemas.microsoft.com/office/drawing/2014/main" id="{CF5BE701-E1D7-C54D-BDFB-2FA5E8D2267A}"/>
                </a:ext>
              </a:extLst>
            </xdr14:cNvPr>
            <xdr14:cNvContentPartPr/>
          </xdr14:nvContentPartPr>
          <xdr14:nvPr macro=""/>
          <xdr14:xfrm>
            <a:off x="12973680" y="1366560"/>
            <a:ext cx="360" cy="360"/>
          </xdr14:xfrm>
        </xdr:contentPart>
      </mc:Choice>
      <mc:Fallback xmlns="">
        <xdr:pic>
          <xdr:nvPicPr>
            <xdr:cNvPr id="25" name="Ink 24">
              <a:extLst>
                <a:ext uri="{FF2B5EF4-FFF2-40B4-BE49-F238E27FC236}">
                  <a16:creationId xmlns:a16="http://schemas.microsoft.com/office/drawing/2014/main" id="{CF5BE701-E1D7-C54D-BDFB-2FA5E8D2267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6" name="Ink 25">
              <a:extLst>
                <a:ext uri="{FF2B5EF4-FFF2-40B4-BE49-F238E27FC236}">
                  <a16:creationId xmlns:a16="http://schemas.microsoft.com/office/drawing/2014/main" id="{63FA2FB3-539C-704A-A5E0-DE27960C357C}"/>
                </a:ext>
              </a:extLst>
            </xdr14:cNvPr>
            <xdr14:cNvContentPartPr/>
          </xdr14:nvContentPartPr>
          <xdr14:nvPr macro=""/>
          <xdr14:xfrm>
            <a:off x="12846960" y="1192320"/>
            <a:ext cx="360" cy="360"/>
          </xdr14:xfrm>
        </xdr:contentPart>
      </mc:Choice>
      <mc:Fallback xmlns="">
        <xdr:pic>
          <xdr:nvPicPr>
            <xdr:cNvPr id="26" name="Ink 25">
              <a:extLst>
                <a:ext uri="{FF2B5EF4-FFF2-40B4-BE49-F238E27FC236}">
                  <a16:creationId xmlns:a16="http://schemas.microsoft.com/office/drawing/2014/main" id="{63FA2FB3-539C-704A-A5E0-DE27960C357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7" name="Ink 26">
              <a:extLst>
                <a:ext uri="{FF2B5EF4-FFF2-40B4-BE49-F238E27FC236}">
                  <a16:creationId xmlns:a16="http://schemas.microsoft.com/office/drawing/2014/main" id="{7D99C0AD-DAD6-694C-A220-35117C20A277}"/>
                </a:ext>
              </a:extLst>
            </xdr14:cNvPr>
            <xdr14:cNvContentPartPr/>
          </xdr14:nvContentPartPr>
          <xdr14:nvPr macro=""/>
          <xdr14:xfrm>
            <a:off x="12866040" y="1243440"/>
            <a:ext cx="360" cy="360"/>
          </xdr14:xfrm>
        </xdr:contentPart>
      </mc:Choice>
      <mc:Fallback xmlns="">
        <xdr:pic>
          <xdr:nvPicPr>
            <xdr:cNvPr id="27" name="Ink 26">
              <a:extLst>
                <a:ext uri="{FF2B5EF4-FFF2-40B4-BE49-F238E27FC236}">
                  <a16:creationId xmlns:a16="http://schemas.microsoft.com/office/drawing/2014/main" id="{7D99C0AD-DAD6-694C-A220-35117C20A27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8" name="Ink 27">
              <a:extLst>
                <a:ext uri="{FF2B5EF4-FFF2-40B4-BE49-F238E27FC236}">
                  <a16:creationId xmlns:a16="http://schemas.microsoft.com/office/drawing/2014/main" id="{17834979-3FB5-1447-80D3-0042E5B853A6}"/>
                </a:ext>
              </a:extLst>
            </xdr14:cNvPr>
            <xdr14:cNvContentPartPr/>
          </xdr14:nvContentPartPr>
          <xdr14:nvPr macro=""/>
          <xdr14:xfrm>
            <a:off x="12973680" y="1366560"/>
            <a:ext cx="360" cy="360"/>
          </xdr14:xfrm>
        </xdr:contentPart>
      </mc:Choice>
      <mc:Fallback xmlns="">
        <xdr:pic>
          <xdr:nvPicPr>
            <xdr:cNvPr id="28" name="Ink 27">
              <a:extLst>
                <a:ext uri="{FF2B5EF4-FFF2-40B4-BE49-F238E27FC236}">
                  <a16:creationId xmlns:a16="http://schemas.microsoft.com/office/drawing/2014/main" id="{17834979-3FB5-1447-80D3-0042E5B853A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9" name="Ink 28">
              <a:extLst>
                <a:ext uri="{FF2B5EF4-FFF2-40B4-BE49-F238E27FC236}">
                  <a16:creationId xmlns:a16="http://schemas.microsoft.com/office/drawing/2014/main" id="{CF3AA920-4038-1A45-8AD4-12DBCFEBA795}"/>
                </a:ext>
              </a:extLst>
            </xdr14:cNvPr>
            <xdr14:cNvContentPartPr/>
          </xdr14:nvContentPartPr>
          <xdr14:nvPr macro=""/>
          <xdr14:xfrm>
            <a:off x="12846960" y="1192320"/>
            <a:ext cx="360" cy="360"/>
          </xdr14:xfrm>
        </xdr:contentPart>
      </mc:Choice>
      <mc:Fallback xmlns="">
        <xdr:pic>
          <xdr:nvPicPr>
            <xdr:cNvPr id="29" name="Ink 28">
              <a:extLst>
                <a:ext uri="{FF2B5EF4-FFF2-40B4-BE49-F238E27FC236}">
                  <a16:creationId xmlns:a16="http://schemas.microsoft.com/office/drawing/2014/main" id="{CF3AA920-4038-1A45-8AD4-12DBCFEBA79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0" name="Ink 29">
              <a:extLst>
                <a:ext uri="{FF2B5EF4-FFF2-40B4-BE49-F238E27FC236}">
                  <a16:creationId xmlns:a16="http://schemas.microsoft.com/office/drawing/2014/main" id="{A9014646-E0FF-0A46-862C-55E287748669}"/>
                </a:ext>
              </a:extLst>
            </xdr14:cNvPr>
            <xdr14:cNvContentPartPr/>
          </xdr14:nvContentPartPr>
          <xdr14:nvPr macro=""/>
          <xdr14:xfrm>
            <a:off x="12866040" y="1243440"/>
            <a:ext cx="360" cy="360"/>
          </xdr14:xfrm>
        </xdr:contentPart>
      </mc:Choice>
      <mc:Fallback xmlns="">
        <xdr:pic>
          <xdr:nvPicPr>
            <xdr:cNvPr id="30" name="Ink 29">
              <a:extLst>
                <a:ext uri="{FF2B5EF4-FFF2-40B4-BE49-F238E27FC236}">
                  <a16:creationId xmlns:a16="http://schemas.microsoft.com/office/drawing/2014/main" id="{A9014646-E0FF-0A46-862C-55E28774866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1" name="Ink 30">
              <a:extLst>
                <a:ext uri="{FF2B5EF4-FFF2-40B4-BE49-F238E27FC236}">
                  <a16:creationId xmlns:a16="http://schemas.microsoft.com/office/drawing/2014/main" id="{B9FCEC11-0179-D444-AF6F-942147733C88}"/>
                </a:ext>
              </a:extLst>
            </xdr14:cNvPr>
            <xdr14:cNvContentPartPr/>
          </xdr14:nvContentPartPr>
          <xdr14:nvPr macro=""/>
          <xdr14:xfrm>
            <a:off x="12973680" y="1366560"/>
            <a:ext cx="360" cy="360"/>
          </xdr14:xfrm>
        </xdr:contentPart>
      </mc:Choice>
      <mc:Fallback xmlns="">
        <xdr:pic>
          <xdr:nvPicPr>
            <xdr:cNvPr id="31" name="Ink 30">
              <a:extLst>
                <a:ext uri="{FF2B5EF4-FFF2-40B4-BE49-F238E27FC236}">
                  <a16:creationId xmlns:a16="http://schemas.microsoft.com/office/drawing/2014/main" id="{B9FCEC11-0179-D444-AF6F-942147733C8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2" name="Ink 31">
              <a:extLst>
                <a:ext uri="{FF2B5EF4-FFF2-40B4-BE49-F238E27FC236}">
                  <a16:creationId xmlns:a16="http://schemas.microsoft.com/office/drawing/2014/main" id="{9AE6C12E-3859-D94D-9A42-97D57871BB84}"/>
                </a:ext>
              </a:extLst>
            </xdr14:cNvPr>
            <xdr14:cNvContentPartPr/>
          </xdr14:nvContentPartPr>
          <xdr14:nvPr macro=""/>
          <xdr14:xfrm>
            <a:off x="12846960" y="1192320"/>
            <a:ext cx="360" cy="360"/>
          </xdr14:xfrm>
        </xdr:contentPart>
      </mc:Choice>
      <mc:Fallback xmlns="">
        <xdr:pic>
          <xdr:nvPicPr>
            <xdr:cNvPr id="32" name="Ink 31">
              <a:extLst>
                <a:ext uri="{FF2B5EF4-FFF2-40B4-BE49-F238E27FC236}">
                  <a16:creationId xmlns:a16="http://schemas.microsoft.com/office/drawing/2014/main" id="{9AE6C12E-3859-D94D-9A42-97D57871BB8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3" name="Ink 32">
              <a:extLst>
                <a:ext uri="{FF2B5EF4-FFF2-40B4-BE49-F238E27FC236}">
                  <a16:creationId xmlns:a16="http://schemas.microsoft.com/office/drawing/2014/main" id="{0B8461B5-F2B2-0F4B-86F7-D691BE4FA2FA}"/>
                </a:ext>
              </a:extLst>
            </xdr14:cNvPr>
            <xdr14:cNvContentPartPr/>
          </xdr14:nvContentPartPr>
          <xdr14:nvPr macro=""/>
          <xdr14:xfrm>
            <a:off x="12866040" y="1243440"/>
            <a:ext cx="360" cy="360"/>
          </xdr14:xfrm>
        </xdr:contentPart>
      </mc:Choice>
      <mc:Fallback xmlns="">
        <xdr:pic>
          <xdr:nvPicPr>
            <xdr:cNvPr id="33" name="Ink 32">
              <a:extLst>
                <a:ext uri="{FF2B5EF4-FFF2-40B4-BE49-F238E27FC236}">
                  <a16:creationId xmlns:a16="http://schemas.microsoft.com/office/drawing/2014/main" id="{0B8461B5-F2B2-0F4B-86F7-D691BE4FA2F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4" name="Ink 33">
              <a:extLst>
                <a:ext uri="{FF2B5EF4-FFF2-40B4-BE49-F238E27FC236}">
                  <a16:creationId xmlns:a16="http://schemas.microsoft.com/office/drawing/2014/main" id="{682C56AD-DB1F-994E-8EC3-E3B84BECEDA1}"/>
                </a:ext>
              </a:extLst>
            </xdr14:cNvPr>
            <xdr14:cNvContentPartPr/>
          </xdr14:nvContentPartPr>
          <xdr14:nvPr macro=""/>
          <xdr14:xfrm>
            <a:off x="12973680" y="1366560"/>
            <a:ext cx="360" cy="360"/>
          </xdr14:xfrm>
        </xdr:contentPart>
      </mc:Choice>
      <mc:Fallback xmlns="">
        <xdr:pic>
          <xdr:nvPicPr>
            <xdr:cNvPr id="34" name="Ink 33">
              <a:extLst>
                <a:ext uri="{FF2B5EF4-FFF2-40B4-BE49-F238E27FC236}">
                  <a16:creationId xmlns:a16="http://schemas.microsoft.com/office/drawing/2014/main" id="{682C56AD-DB1F-994E-8EC3-E3B84BECEDA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5" name="Ink 34">
              <a:extLst>
                <a:ext uri="{FF2B5EF4-FFF2-40B4-BE49-F238E27FC236}">
                  <a16:creationId xmlns:a16="http://schemas.microsoft.com/office/drawing/2014/main" id="{2EAAFBF7-3238-534F-A051-1F5A750FEBA8}"/>
                </a:ext>
              </a:extLst>
            </xdr14:cNvPr>
            <xdr14:cNvContentPartPr/>
          </xdr14:nvContentPartPr>
          <xdr14:nvPr macro=""/>
          <xdr14:xfrm>
            <a:off x="12846960" y="1192320"/>
            <a:ext cx="360" cy="360"/>
          </xdr14:xfrm>
        </xdr:contentPart>
      </mc:Choice>
      <mc:Fallback xmlns="">
        <xdr:pic>
          <xdr:nvPicPr>
            <xdr:cNvPr id="35" name="Ink 34">
              <a:extLst>
                <a:ext uri="{FF2B5EF4-FFF2-40B4-BE49-F238E27FC236}">
                  <a16:creationId xmlns:a16="http://schemas.microsoft.com/office/drawing/2014/main" id="{2EAAFBF7-3238-534F-A051-1F5A750FEBA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6" name="Ink 35">
              <a:extLst>
                <a:ext uri="{FF2B5EF4-FFF2-40B4-BE49-F238E27FC236}">
                  <a16:creationId xmlns:a16="http://schemas.microsoft.com/office/drawing/2014/main" id="{55D13A96-F71E-034A-AF9A-F1EDFEC2015C}"/>
                </a:ext>
              </a:extLst>
            </xdr14:cNvPr>
            <xdr14:cNvContentPartPr/>
          </xdr14:nvContentPartPr>
          <xdr14:nvPr macro=""/>
          <xdr14:xfrm>
            <a:off x="12866040" y="1243440"/>
            <a:ext cx="360" cy="360"/>
          </xdr14:xfrm>
        </xdr:contentPart>
      </mc:Choice>
      <mc:Fallback xmlns="">
        <xdr:pic>
          <xdr:nvPicPr>
            <xdr:cNvPr id="36" name="Ink 35">
              <a:extLst>
                <a:ext uri="{FF2B5EF4-FFF2-40B4-BE49-F238E27FC236}">
                  <a16:creationId xmlns:a16="http://schemas.microsoft.com/office/drawing/2014/main" id="{55D13A96-F71E-034A-AF9A-F1EDFEC2015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7" name="Ink 36">
              <a:extLst>
                <a:ext uri="{FF2B5EF4-FFF2-40B4-BE49-F238E27FC236}">
                  <a16:creationId xmlns:a16="http://schemas.microsoft.com/office/drawing/2014/main" id="{B530920B-09D2-434D-99C0-063CFDA4518A}"/>
                </a:ext>
              </a:extLst>
            </xdr14:cNvPr>
            <xdr14:cNvContentPartPr/>
          </xdr14:nvContentPartPr>
          <xdr14:nvPr macro=""/>
          <xdr14:xfrm>
            <a:off x="12973680" y="1366560"/>
            <a:ext cx="360" cy="360"/>
          </xdr14:xfrm>
        </xdr:contentPart>
      </mc:Choice>
      <mc:Fallback xmlns="">
        <xdr:pic>
          <xdr:nvPicPr>
            <xdr:cNvPr id="37" name="Ink 36">
              <a:extLst>
                <a:ext uri="{FF2B5EF4-FFF2-40B4-BE49-F238E27FC236}">
                  <a16:creationId xmlns:a16="http://schemas.microsoft.com/office/drawing/2014/main" id="{B530920B-09D2-434D-99C0-063CFDA4518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38" name="Ink 37">
              <a:extLst>
                <a:ext uri="{FF2B5EF4-FFF2-40B4-BE49-F238E27FC236}">
                  <a16:creationId xmlns:a16="http://schemas.microsoft.com/office/drawing/2014/main" id="{9FDAE3F6-A558-4C46-838F-48D947F473B3}"/>
                </a:ext>
              </a:extLst>
            </xdr14:cNvPr>
            <xdr14:cNvContentPartPr/>
          </xdr14:nvContentPartPr>
          <xdr14:nvPr macro=""/>
          <xdr14:xfrm>
            <a:off x="12846960" y="1192320"/>
            <a:ext cx="360" cy="360"/>
          </xdr14:xfrm>
        </xdr:contentPart>
      </mc:Choice>
      <mc:Fallback xmlns="">
        <xdr:pic>
          <xdr:nvPicPr>
            <xdr:cNvPr id="38" name="Ink 37">
              <a:extLst>
                <a:ext uri="{FF2B5EF4-FFF2-40B4-BE49-F238E27FC236}">
                  <a16:creationId xmlns:a16="http://schemas.microsoft.com/office/drawing/2014/main" id="{9FDAE3F6-A558-4C46-838F-48D947F473B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39" name="Ink 38">
              <a:extLst>
                <a:ext uri="{FF2B5EF4-FFF2-40B4-BE49-F238E27FC236}">
                  <a16:creationId xmlns:a16="http://schemas.microsoft.com/office/drawing/2014/main" id="{AE4217BC-5EE2-6648-AFA3-352BAA3A5AEF}"/>
                </a:ext>
              </a:extLst>
            </xdr14:cNvPr>
            <xdr14:cNvContentPartPr/>
          </xdr14:nvContentPartPr>
          <xdr14:nvPr macro=""/>
          <xdr14:xfrm>
            <a:off x="12866040" y="1243440"/>
            <a:ext cx="360" cy="360"/>
          </xdr14:xfrm>
        </xdr:contentPart>
      </mc:Choice>
      <mc:Fallback xmlns="">
        <xdr:pic>
          <xdr:nvPicPr>
            <xdr:cNvPr id="39" name="Ink 38">
              <a:extLst>
                <a:ext uri="{FF2B5EF4-FFF2-40B4-BE49-F238E27FC236}">
                  <a16:creationId xmlns:a16="http://schemas.microsoft.com/office/drawing/2014/main" id="{AE4217BC-5EE2-6648-AFA3-352BAA3A5AE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40" name="Ink 39">
              <a:extLst>
                <a:ext uri="{FF2B5EF4-FFF2-40B4-BE49-F238E27FC236}">
                  <a16:creationId xmlns:a16="http://schemas.microsoft.com/office/drawing/2014/main" id="{394CEA4D-65C8-9B4A-86DF-266F8B7F8324}"/>
                </a:ext>
              </a:extLst>
            </xdr14:cNvPr>
            <xdr14:cNvContentPartPr/>
          </xdr14:nvContentPartPr>
          <xdr14:nvPr macro=""/>
          <xdr14:xfrm>
            <a:off x="12973680" y="1366560"/>
            <a:ext cx="360" cy="360"/>
          </xdr14:xfrm>
        </xdr:contentPart>
      </mc:Choice>
      <mc:Fallback xmlns="">
        <xdr:pic>
          <xdr:nvPicPr>
            <xdr:cNvPr id="40" name="Ink 39">
              <a:extLst>
                <a:ext uri="{FF2B5EF4-FFF2-40B4-BE49-F238E27FC236}">
                  <a16:creationId xmlns:a16="http://schemas.microsoft.com/office/drawing/2014/main" id="{394CEA4D-65C8-9B4A-86DF-266F8B7F832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41" name="Ink 40">
              <a:extLst>
                <a:ext uri="{FF2B5EF4-FFF2-40B4-BE49-F238E27FC236}">
                  <a16:creationId xmlns:a16="http://schemas.microsoft.com/office/drawing/2014/main" id="{8678993A-6694-C94C-9121-298F338ABBD3}"/>
                </a:ext>
              </a:extLst>
            </xdr14:cNvPr>
            <xdr14:cNvContentPartPr/>
          </xdr14:nvContentPartPr>
          <xdr14:nvPr macro=""/>
          <xdr14:xfrm>
            <a:off x="12846960" y="1192320"/>
            <a:ext cx="360" cy="360"/>
          </xdr14:xfrm>
        </xdr:contentPart>
      </mc:Choice>
      <mc:Fallback xmlns="">
        <xdr:pic>
          <xdr:nvPicPr>
            <xdr:cNvPr id="41" name="Ink 40">
              <a:extLst>
                <a:ext uri="{FF2B5EF4-FFF2-40B4-BE49-F238E27FC236}">
                  <a16:creationId xmlns:a16="http://schemas.microsoft.com/office/drawing/2014/main" id="{8678993A-6694-C94C-9121-298F338ABBD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42" name="Ink 41">
              <a:extLst>
                <a:ext uri="{FF2B5EF4-FFF2-40B4-BE49-F238E27FC236}">
                  <a16:creationId xmlns:a16="http://schemas.microsoft.com/office/drawing/2014/main" id="{400D1359-4718-1E4C-A4B0-BB582320A111}"/>
                </a:ext>
              </a:extLst>
            </xdr14:cNvPr>
            <xdr14:cNvContentPartPr/>
          </xdr14:nvContentPartPr>
          <xdr14:nvPr macro=""/>
          <xdr14:xfrm>
            <a:off x="12866040" y="1243440"/>
            <a:ext cx="360" cy="360"/>
          </xdr14:xfrm>
        </xdr:contentPart>
      </mc:Choice>
      <mc:Fallback xmlns="">
        <xdr:pic>
          <xdr:nvPicPr>
            <xdr:cNvPr id="42" name="Ink 41">
              <a:extLst>
                <a:ext uri="{FF2B5EF4-FFF2-40B4-BE49-F238E27FC236}">
                  <a16:creationId xmlns:a16="http://schemas.microsoft.com/office/drawing/2014/main" id="{400D1359-4718-1E4C-A4B0-BB582320A11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3" name="Ink 42">
              <a:extLst>
                <a:ext uri="{FF2B5EF4-FFF2-40B4-BE49-F238E27FC236}">
                  <a16:creationId xmlns:a16="http://schemas.microsoft.com/office/drawing/2014/main" id="{EA2C8D5A-C66B-564A-B1B4-0C4E25ED4F6A}"/>
                </a:ext>
              </a:extLst>
            </xdr14:cNvPr>
            <xdr14:cNvContentPartPr/>
          </xdr14:nvContentPartPr>
          <xdr14:nvPr macro=""/>
          <xdr14:xfrm>
            <a:off x="12973680" y="1366560"/>
            <a:ext cx="360" cy="360"/>
          </xdr14:xfrm>
        </xdr:contentPart>
      </mc:Choice>
      <mc:Fallback xmlns="">
        <xdr:pic>
          <xdr:nvPicPr>
            <xdr:cNvPr id="43" name="Ink 42">
              <a:extLst>
                <a:ext uri="{FF2B5EF4-FFF2-40B4-BE49-F238E27FC236}">
                  <a16:creationId xmlns:a16="http://schemas.microsoft.com/office/drawing/2014/main" id="{EA2C8D5A-C66B-564A-B1B4-0C4E25ED4F6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44" name="Ink 43">
              <a:extLst>
                <a:ext uri="{FF2B5EF4-FFF2-40B4-BE49-F238E27FC236}">
                  <a16:creationId xmlns:a16="http://schemas.microsoft.com/office/drawing/2014/main" id="{101BA63F-D617-1242-9B47-F1B8FE22D71E}"/>
                </a:ext>
              </a:extLst>
            </xdr14:cNvPr>
            <xdr14:cNvContentPartPr/>
          </xdr14:nvContentPartPr>
          <xdr14:nvPr macro=""/>
          <xdr14:xfrm>
            <a:off x="12846960" y="1192320"/>
            <a:ext cx="360" cy="360"/>
          </xdr14:xfrm>
        </xdr:contentPart>
      </mc:Choice>
      <mc:Fallback xmlns="">
        <xdr:pic>
          <xdr:nvPicPr>
            <xdr:cNvPr id="44" name="Ink 43">
              <a:extLst>
                <a:ext uri="{FF2B5EF4-FFF2-40B4-BE49-F238E27FC236}">
                  <a16:creationId xmlns:a16="http://schemas.microsoft.com/office/drawing/2014/main" id="{101BA63F-D617-1242-9B47-F1B8FE22D71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45" name="Ink 44">
              <a:extLst>
                <a:ext uri="{FF2B5EF4-FFF2-40B4-BE49-F238E27FC236}">
                  <a16:creationId xmlns:a16="http://schemas.microsoft.com/office/drawing/2014/main" id="{2A109C3F-C132-DC43-B44B-D17A0410D3A3}"/>
                </a:ext>
              </a:extLst>
            </xdr14:cNvPr>
            <xdr14:cNvContentPartPr/>
          </xdr14:nvContentPartPr>
          <xdr14:nvPr macro=""/>
          <xdr14:xfrm>
            <a:off x="12866040" y="1243440"/>
            <a:ext cx="360" cy="360"/>
          </xdr14:xfrm>
        </xdr:contentPart>
      </mc:Choice>
      <mc:Fallback xmlns="">
        <xdr:pic>
          <xdr:nvPicPr>
            <xdr:cNvPr id="45" name="Ink 44">
              <a:extLst>
                <a:ext uri="{FF2B5EF4-FFF2-40B4-BE49-F238E27FC236}">
                  <a16:creationId xmlns:a16="http://schemas.microsoft.com/office/drawing/2014/main" id="{2A109C3F-C132-DC43-B44B-D17A0410D3A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46" name="Ink 45">
              <a:extLst>
                <a:ext uri="{FF2B5EF4-FFF2-40B4-BE49-F238E27FC236}">
                  <a16:creationId xmlns:a16="http://schemas.microsoft.com/office/drawing/2014/main" id="{C5D49DAF-401E-7F46-8A77-CCFF7ABA7565}"/>
                </a:ext>
              </a:extLst>
            </xdr14:cNvPr>
            <xdr14:cNvContentPartPr/>
          </xdr14:nvContentPartPr>
          <xdr14:nvPr macro=""/>
          <xdr14:xfrm>
            <a:off x="12973680" y="1366560"/>
            <a:ext cx="360" cy="360"/>
          </xdr14:xfrm>
        </xdr:contentPart>
      </mc:Choice>
      <mc:Fallback xmlns="">
        <xdr:pic>
          <xdr:nvPicPr>
            <xdr:cNvPr id="46" name="Ink 45">
              <a:extLst>
                <a:ext uri="{FF2B5EF4-FFF2-40B4-BE49-F238E27FC236}">
                  <a16:creationId xmlns:a16="http://schemas.microsoft.com/office/drawing/2014/main" id="{C5D49DAF-401E-7F46-8A77-CCFF7ABA756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47" name="Ink 46">
              <a:extLst>
                <a:ext uri="{FF2B5EF4-FFF2-40B4-BE49-F238E27FC236}">
                  <a16:creationId xmlns:a16="http://schemas.microsoft.com/office/drawing/2014/main" id="{95274411-32FB-CB41-8B4F-770B62AEF2A7}"/>
                </a:ext>
              </a:extLst>
            </xdr14:cNvPr>
            <xdr14:cNvContentPartPr/>
          </xdr14:nvContentPartPr>
          <xdr14:nvPr macro=""/>
          <xdr14:xfrm>
            <a:off x="12846960" y="1192320"/>
            <a:ext cx="360" cy="360"/>
          </xdr14:xfrm>
        </xdr:contentPart>
      </mc:Choice>
      <mc:Fallback xmlns="">
        <xdr:pic>
          <xdr:nvPicPr>
            <xdr:cNvPr id="47" name="Ink 46">
              <a:extLst>
                <a:ext uri="{FF2B5EF4-FFF2-40B4-BE49-F238E27FC236}">
                  <a16:creationId xmlns:a16="http://schemas.microsoft.com/office/drawing/2014/main" id="{95274411-32FB-CB41-8B4F-770B62AEF2A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48" name="Ink 47">
              <a:extLst>
                <a:ext uri="{FF2B5EF4-FFF2-40B4-BE49-F238E27FC236}">
                  <a16:creationId xmlns:a16="http://schemas.microsoft.com/office/drawing/2014/main" id="{BB1CF101-476E-E44D-BC80-2434CBFCD0E4}"/>
                </a:ext>
              </a:extLst>
            </xdr14:cNvPr>
            <xdr14:cNvContentPartPr/>
          </xdr14:nvContentPartPr>
          <xdr14:nvPr macro=""/>
          <xdr14:xfrm>
            <a:off x="12866040" y="1243440"/>
            <a:ext cx="360" cy="360"/>
          </xdr14:xfrm>
        </xdr:contentPart>
      </mc:Choice>
      <mc:Fallback xmlns="">
        <xdr:pic>
          <xdr:nvPicPr>
            <xdr:cNvPr id="48" name="Ink 47">
              <a:extLst>
                <a:ext uri="{FF2B5EF4-FFF2-40B4-BE49-F238E27FC236}">
                  <a16:creationId xmlns:a16="http://schemas.microsoft.com/office/drawing/2014/main" id="{BB1CF101-476E-E44D-BC80-2434CBFCD0E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49" name="Ink 48">
              <a:extLst>
                <a:ext uri="{FF2B5EF4-FFF2-40B4-BE49-F238E27FC236}">
                  <a16:creationId xmlns:a16="http://schemas.microsoft.com/office/drawing/2014/main" id="{11DFDFDD-B2CD-2441-A32C-9971AAFB2D10}"/>
                </a:ext>
              </a:extLst>
            </xdr14:cNvPr>
            <xdr14:cNvContentPartPr/>
          </xdr14:nvContentPartPr>
          <xdr14:nvPr macro=""/>
          <xdr14:xfrm>
            <a:off x="12973680" y="1366560"/>
            <a:ext cx="360" cy="360"/>
          </xdr14:xfrm>
        </xdr:contentPart>
      </mc:Choice>
      <mc:Fallback xmlns="">
        <xdr:pic>
          <xdr:nvPicPr>
            <xdr:cNvPr id="49" name="Ink 48">
              <a:extLst>
                <a:ext uri="{FF2B5EF4-FFF2-40B4-BE49-F238E27FC236}">
                  <a16:creationId xmlns:a16="http://schemas.microsoft.com/office/drawing/2014/main" id="{11DFDFDD-B2CD-2441-A32C-9971AAFB2D1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50" name="Ink 49">
              <a:extLst>
                <a:ext uri="{FF2B5EF4-FFF2-40B4-BE49-F238E27FC236}">
                  <a16:creationId xmlns:a16="http://schemas.microsoft.com/office/drawing/2014/main" id="{BED9C006-861D-FF4D-ACBB-5C2A72DB73DF}"/>
                </a:ext>
              </a:extLst>
            </xdr14:cNvPr>
            <xdr14:cNvContentPartPr/>
          </xdr14:nvContentPartPr>
          <xdr14:nvPr macro=""/>
          <xdr14:xfrm>
            <a:off x="12846960" y="1192320"/>
            <a:ext cx="360" cy="360"/>
          </xdr14:xfrm>
        </xdr:contentPart>
      </mc:Choice>
      <mc:Fallback xmlns="">
        <xdr:pic>
          <xdr:nvPicPr>
            <xdr:cNvPr id="50" name="Ink 49">
              <a:extLst>
                <a:ext uri="{FF2B5EF4-FFF2-40B4-BE49-F238E27FC236}">
                  <a16:creationId xmlns:a16="http://schemas.microsoft.com/office/drawing/2014/main" id="{BED9C006-861D-FF4D-ACBB-5C2A72DB73D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51" name="Ink 50">
              <a:extLst>
                <a:ext uri="{FF2B5EF4-FFF2-40B4-BE49-F238E27FC236}">
                  <a16:creationId xmlns:a16="http://schemas.microsoft.com/office/drawing/2014/main" id="{0344B035-38BC-3544-859D-D99163BA554C}"/>
                </a:ext>
              </a:extLst>
            </xdr14:cNvPr>
            <xdr14:cNvContentPartPr/>
          </xdr14:nvContentPartPr>
          <xdr14:nvPr macro=""/>
          <xdr14:xfrm>
            <a:off x="12866040" y="1243440"/>
            <a:ext cx="360" cy="360"/>
          </xdr14:xfrm>
        </xdr:contentPart>
      </mc:Choice>
      <mc:Fallback xmlns="">
        <xdr:pic>
          <xdr:nvPicPr>
            <xdr:cNvPr id="51" name="Ink 50">
              <a:extLst>
                <a:ext uri="{FF2B5EF4-FFF2-40B4-BE49-F238E27FC236}">
                  <a16:creationId xmlns:a16="http://schemas.microsoft.com/office/drawing/2014/main" id="{0344B035-38BC-3544-859D-D99163BA554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52" name="Ink 51">
              <a:extLst>
                <a:ext uri="{FF2B5EF4-FFF2-40B4-BE49-F238E27FC236}">
                  <a16:creationId xmlns:a16="http://schemas.microsoft.com/office/drawing/2014/main" id="{4D38CF24-FA0F-6442-82AD-10B7F28BD2B9}"/>
                </a:ext>
              </a:extLst>
            </xdr14:cNvPr>
            <xdr14:cNvContentPartPr/>
          </xdr14:nvContentPartPr>
          <xdr14:nvPr macro=""/>
          <xdr14:xfrm>
            <a:off x="12973680" y="1366560"/>
            <a:ext cx="360" cy="360"/>
          </xdr14:xfrm>
        </xdr:contentPart>
      </mc:Choice>
      <mc:Fallback xmlns="">
        <xdr:pic>
          <xdr:nvPicPr>
            <xdr:cNvPr id="52" name="Ink 51">
              <a:extLst>
                <a:ext uri="{FF2B5EF4-FFF2-40B4-BE49-F238E27FC236}">
                  <a16:creationId xmlns:a16="http://schemas.microsoft.com/office/drawing/2014/main" id="{4D38CF24-FA0F-6442-82AD-10B7F28BD2B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53" name="Ink 52">
              <a:extLst>
                <a:ext uri="{FF2B5EF4-FFF2-40B4-BE49-F238E27FC236}">
                  <a16:creationId xmlns:a16="http://schemas.microsoft.com/office/drawing/2014/main" id="{2F084BEC-B114-9E46-9B51-930020783A29}"/>
                </a:ext>
              </a:extLst>
            </xdr14:cNvPr>
            <xdr14:cNvContentPartPr/>
          </xdr14:nvContentPartPr>
          <xdr14:nvPr macro=""/>
          <xdr14:xfrm>
            <a:off x="12846960" y="1192320"/>
            <a:ext cx="360" cy="360"/>
          </xdr14:xfrm>
        </xdr:contentPart>
      </mc:Choice>
      <mc:Fallback xmlns="">
        <xdr:pic>
          <xdr:nvPicPr>
            <xdr:cNvPr id="53" name="Ink 52">
              <a:extLst>
                <a:ext uri="{FF2B5EF4-FFF2-40B4-BE49-F238E27FC236}">
                  <a16:creationId xmlns:a16="http://schemas.microsoft.com/office/drawing/2014/main" id="{2F084BEC-B114-9E46-9B51-930020783A2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54" name="Ink 53">
              <a:extLst>
                <a:ext uri="{FF2B5EF4-FFF2-40B4-BE49-F238E27FC236}">
                  <a16:creationId xmlns:a16="http://schemas.microsoft.com/office/drawing/2014/main" id="{9C7FB163-3A70-094D-9F2E-088A27171D71}"/>
                </a:ext>
              </a:extLst>
            </xdr14:cNvPr>
            <xdr14:cNvContentPartPr/>
          </xdr14:nvContentPartPr>
          <xdr14:nvPr macro=""/>
          <xdr14:xfrm>
            <a:off x="12866040" y="1243440"/>
            <a:ext cx="360" cy="360"/>
          </xdr14:xfrm>
        </xdr:contentPart>
      </mc:Choice>
      <mc:Fallback xmlns="">
        <xdr:pic>
          <xdr:nvPicPr>
            <xdr:cNvPr id="54" name="Ink 53">
              <a:extLst>
                <a:ext uri="{FF2B5EF4-FFF2-40B4-BE49-F238E27FC236}">
                  <a16:creationId xmlns:a16="http://schemas.microsoft.com/office/drawing/2014/main" id="{9C7FB163-3A70-094D-9F2E-088A27171D7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55" name="Ink 54">
              <a:extLst>
                <a:ext uri="{FF2B5EF4-FFF2-40B4-BE49-F238E27FC236}">
                  <a16:creationId xmlns:a16="http://schemas.microsoft.com/office/drawing/2014/main" id="{508A18B5-C66D-7E40-84C4-DFCF7E6333E4}"/>
                </a:ext>
              </a:extLst>
            </xdr14:cNvPr>
            <xdr14:cNvContentPartPr/>
          </xdr14:nvContentPartPr>
          <xdr14:nvPr macro=""/>
          <xdr14:xfrm>
            <a:off x="12973680" y="1366560"/>
            <a:ext cx="360" cy="360"/>
          </xdr14:xfrm>
        </xdr:contentPart>
      </mc:Choice>
      <mc:Fallback xmlns="">
        <xdr:pic>
          <xdr:nvPicPr>
            <xdr:cNvPr id="55" name="Ink 54">
              <a:extLst>
                <a:ext uri="{FF2B5EF4-FFF2-40B4-BE49-F238E27FC236}">
                  <a16:creationId xmlns:a16="http://schemas.microsoft.com/office/drawing/2014/main" id="{508A18B5-C66D-7E40-84C4-DFCF7E6333E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56" name="Ink 55">
              <a:extLst>
                <a:ext uri="{FF2B5EF4-FFF2-40B4-BE49-F238E27FC236}">
                  <a16:creationId xmlns:a16="http://schemas.microsoft.com/office/drawing/2014/main" id="{895D7B41-7E52-2F45-B50C-FDFC960FB04C}"/>
                </a:ext>
              </a:extLst>
            </xdr14:cNvPr>
            <xdr14:cNvContentPartPr/>
          </xdr14:nvContentPartPr>
          <xdr14:nvPr macro=""/>
          <xdr14:xfrm>
            <a:off x="12846960" y="1192320"/>
            <a:ext cx="360" cy="360"/>
          </xdr14:xfrm>
        </xdr:contentPart>
      </mc:Choice>
      <mc:Fallback xmlns="">
        <xdr:pic>
          <xdr:nvPicPr>
            <xdr:cNvPr id="56" name="Ink 55">
              <a:extLst>
                <a:ext uri="{FF2B5EF4-FFF2-40B4-BE49-F238E27FC236}">
                  <a16:creationId xmlns:a16="http://schemas.microsoft.com/office/drawing/2014/main" id="{895D7B41-7E52-2F45-B50C-FDFC960FB04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57" name="Ink 56">
              <a:extLst>
                <a:ext uri="{FF2B5EF4-FFF2-40B4-BE49-F238E27FC236}">
                  <a16:creationId xmlns:a16="http://schemas.microsoft.com/office/drawing/2014/main" id="{A8FF8BA9-BEAD-F941-97FF-F3B8D20E9AD5}"/>
                </a:ext>
              </a:extLst>
            </xdr14:cNvPr>
            <xdr14:cNvContentPartPr/>
          </xdr14:nvContentPartPr>
          <xdr14:nvPr macro=""/>
          <xdr14:xfrm>
            <a:off x="12866040" y="1243440"/>
            <a:ext cx="360" cy="360"/>
          </xdr14:xfrm>
        </xdr:contentPart>
      </mc:Choice>
      <mc:Fallback xmlns="">
        <xdr:pic>
          <xdr:nvPicPr>
            <xdr:cNvPr id="57" name="Ink 56">
              <a:extLst>
                <a:ext uri="{FF2B5EF4-FFF2-40B4-BE49-F238E27FC236}">
                  <a16:creationId xmlns:a16="http://schemas.microsoft.com/office/drawing/2014/main" id="{A8FF8BA9-BEAD-F941-97FF-F3B8D20E9AD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58" name="Ink 57">
              <a:extLst>
                <a:ext uri="{FF2B5EF4-FFF2-40B4-BE49-F238E27FC236}">
                  <a16:creationId xmlns:a16="http://schemas.microsoft.com/office/drawing/2014/main" id="{2F0BAFFA-1E76-4249-AC50-2E0986E0E33C}"/>
                </a:ext>
              </a:extLst>
            </xdr14:cNvPr>
            <xdr14:cNvContentPartPr/>
          </xdr14:nvContentPartPr>
          <xdr14:nvPr macro=""/>
          <xdr14:xfrm>
            <a:off x="12973680" y="1366560"/>
            <a:ext cx="360" cy="360"/>
          </xdr14:xfrm>
        </xdr:contentPart>
      </mc:Choice>
      <mc:Fallback xmlns="">
        <xdr:pic>
          <xdr:nvPicPr>
            <xdr:cNvPr id="58" name="Ink 57">
              <a:extLst>
                <a:ext uri="{FF2B5EF4-FFF2-40B4-BE49-F238E27FC236}">
                  <a16:creationId xmlns:a16="http://schemas.microsoft.com/office/drawing/2014/main" id="{2F0BAFFA-1E76-4249-AC50-2E0986E0E33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59" name="Ink 58">
              <a:extLst>
                <a:ext uri="{FF2B5EF4-FFF2-40B4-BE49-F238E27FC236}">
                  <a16:creationId xmlns:a16="http://schemas.microsoft.com/office/drawing/2014/main" id="{FB6F29BD-86A6-414C-A831-1F2B213C420C}"/>
                </a:ext>
              </a:extLst>
            </xdr14:cNvPr>
            <xdr14:cNvContentPartPr/>
          </xdr14:nvContentPartPr>
          <xdr14:nvPr macro=""/>
          <xdr14:xfrm>
            <a:off x="12846960" y="1192320"/>
            <a:ext cx="360" cy="360"/>
          </xdr14:xfrm>
        </xdr:contentPart>
      </mc:Choice>
      <mc:Fallback xmlns="">
        <xdr:pic>
          <xdr:nvPicPr>
            <xdr:cNvPr id="59" name="Ink 58">
              <a:extLst>
                <a:ext uri="{FF2B5EF4-FFF2-40B4-BE49-F238E27FC236}">
                  <a16:creationId xmlns:a16="http://schemas.microsoft.com/office/drawing/2014/main" id="{FB6F29BD-86A6-414C-A831-1F2B213C420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60" name="Ink 59">
              <a:extLst>
                <a:ext uri="{FF2B5EF4-FFF2-40B4-BE49-F238E27FC236}">
                  <a16:creationId xmlns:a16="http://schemas.microsoft.com/office/drawing/2014/main" id="{3C50E4B5-CC03-0E4A-A95C-F049D8AF1C03}"/>
                </a:ext>
              </a:extLst>
            </xdr14:cNvPr>
            <xdr14:cNvContentPartPr/>
          </xdr14:nvContentPartPr>
          <xdr14:nvPr macro=""/>
          <xdr14:xfrm>
            <a:off x="12866040" y="1243440"/>
            <a:ext cx="360" cy="360"/>
          </xdr14:xfrm>
        </xdr:contentPart>
      </mc:Choice>
      <mc:Fallback xmlns="">
        <xdr:pic>
          <xdr:nvPicPr>
            <xdr:cNvPr id="60" name="Ink 59">
              <a:extLst>
                <a:ext uri="{FF2B5EF4-FFF2-40B4-BE49-F238E27FC236}">
                  <a16:creationId xmlns:a16="http://schemas.microsoft.com/office/drawing/2014/main" id="{3C50E4B5-CC03-0E4A-A95C-F049D8AF1C0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61" name="Ink 60">
              <a:extLst>
                <a:ext uri="{FF2B5EF4-FFF2-40B4-BE49-F238E27FC236}">
                  <a16:creationId xmlns:a16="http://schemas.microsoft.com/office/drawing/2014/main" id="{B310D41C-D8F4-5249-959D-9B0002A9D6D5}"/>
                </a:ext>
              </a:extLst>
            </xdr14:cNvPr>
            <xdr14:cNvContentPartPr/>
          </xdr14:nvContentPartPr>
          <xdr14:nvPr macro=""/>
          <xdr14:xfrm>
            <a:off x="12973680" y="1366560"/>
            <a:ext cx="360" cy="360"/>
          </xdr14:xfrm>
        </xdr:contentPart>
      </mc:Choice>
      <mc:Fallback xmlns="">
        <xdr:pic>
          <xdr:nvPicPr>
            <xdr:cNvPr id="61" name="Ink 60">
              <a:extLst>
                <a:ext uri="{FF2B5EF4-FFF2-40B4-BE49-F238E27FC236}">
                  <a16:creationId xmlns:a16="http://schemas.microsoft.com/office/drawing/2014/main" id="{B310D41C-D8F4-5249-959D-9B0002A9D6D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62" name="Ink 61">
              <a:extLst>
                <a:ext uri="{FF2B5EF4-FFF2-40B4-BE49-F238E27FC236}">
                  <a16:creationId xmlns:a16="http://schemas.microsoft.com/office/drawing/2014/main" id="{D2AF1396-0826-E348-A15D-EC485D2A6DB9}"/>
                </a:ext>
              </a:extLst>
            </xdr14:cNvPr>
            <xdr14:cNvContentPartPr/>
          </xdr14:nvContentPartPr>
          <xdr14:nvPr macro=""/>
          <xdr14:xfrm>
            <a:off x="12846960" y="1192320"/>
            <a:ext cx="360" cy="360"/>
          </xdr14:xfrm>
        </xdr:contentPart>
      </mc:Choice>
      <mc:Fallback xmlns="">
        <xdr:pic>
          <xdr:nvPicPr>
            <xdr:cNvPr id="62" name="Ink 61">
              <a:extLst>
                <a:ext uri="{FF2B5EF4-FFF2-40B4-BE49-F238E27FC236}">
                  <a16:creationId xmlns:a16="http://schemas.microsoft.com/office/drawing/2014/main" id="{D2AF1396-0826-E348-A15D-EC485D2A6DB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63" name="Ink 62">
              <a:extLst>
                <a:ext uri="{FF2B5EF4-FFF2-40B4-BE49-F238E27FC236}">
                  <a16:creationId xmlns:a16="http://schemas.microsoft.com/office/drawing/2014/main" id="{E217688E-8CF2-7A4D-81FC-4013784B3A46}"/>
                </a:ext>
              </a:extLst>
            </xdr14:cNvPr>
            <xdr14:cNvContentPartPr/>
          </xdr14:nvContentPartPr>
          <xdr14:nvPr macro=""/>
          <xdr14:xfrm>
            <a:off x="12866040" y="1243440"/>
            <a:ext cx="360" cy="360"/>
          </xdr14:xfrm>
        </xdr:contentPart>
      </mc:Choice>
      <mc:Fallback xmlns="">
        <xdr:pic>
          <xdr:nvPicPr>
            <xdr:cNvPr id="63" name="Ink 62">
              <a:extLst>
                <a:ext uri="{FF2B5EF4-FFF2-40B4-BE49-F238E27FC236}">
                  <a16:creationId xmlns:a16="http://schemas.microsoft.com/office/drawing/2014/main" id="{E217688E-8CF2-7A4D-81FC-4013784B3A4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64" name="Ink 63">
              <a:extLst>
                <a:ext uri="{FF2B5EF4-FFF2-40B4-BE49-F238E27FC236}">
                  <a16:creationId xmlns:a16="http://schemas.microsoft.com/office/drawing/2014/main" id="{8BAD5630-3850-C440-9EBD-885A379FD37A}"/>
                </a:ext>
              </a:extLst>
            </xdr14:cNvPr>
            <xdr14:cNvContentPartPr/>
          </xdr14:nvContentPartPr>
          <xdr14:nvPr macro=""/>
          <xdr14:xfrm>
            <a:off x="12973680" y="1366560"/>
            <a:ext cx="360" cy="360"/>
          </xdr14:xfrm>
        </xdr:contentPart>
      </mc:Choice>
      <mc:Fallback xmlns="">
        <xdr:pic>
          <xdr:nvPicPr>
            <xdr:cNvPr id="64" name="Ink 63">
              <a:extLst>
                <a:ext uri="{FF2B5EF4-FFF2-40B4-BE49-F238E27FC236}">
                  <a16:creationId xmlns:a16="http://schemas.microsoft.com/office/drawing/2014/main" id="{8BAD5630-3850-C440-9EBD-885A379FD37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65" name="Ink 64">
              <a:extLst>
                <a:ext uri="{FF2B5EF4-FFF2-40B4-BE49-F238E27FC236}">
                  <a16:creationId xmlns:a16="http://schemas.microsoft.com/office/drawing/2014/main" id="{5B2DB53E-48B8-CB40-B558-E5A458094D10}"/>
                </a:ext>
              </a:extLst>
            </xdr14:cNvPr>
            <xdr14:cNvContentPartPr/>
          </xdr14:nvContentPartPr>
          <xdr14:nvPr macro=""/>
          <xdr14:xfrm>
            <a:off x="12846960" y="1192320"/>
            <a:ext cx="360" cy="360"/>
          </xdr14:xfrm>
        </xdr:contentPart>
      </mc:Choice>
      <mc:Fallback xmlns="">
        <xdr:pic>
          <xdr:nvPicPr>
            <xdr:cNvPr id="65" name="Ink 64">
              <a:extLst>
                <a:ext uri="{FF2B5EF4-FFF2-40B4-BE49-F238E27FC236}">
                  <a16:creationId xmlns:a16="http://schemas.microsoft.com/office/drawing/2014/main" id="{5B2DB53E-48B8-CB40-B558-E5A458094D1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66" name="Ink 65">
              <a:extLst>
                <a:ext uri="{FF2B5EF4-FFF2-40B4-BE49-F238E27FC236}">
                  <a16:creationId xmlns:a16="http://schemas.microsoft.com/office/drawing/2014/main" id="{749407A5-57BE-5F4C-9E98-AD14A61A18F5}"/>
                </a:ext>
              </a:extLst>
            </xdr14:cNvPr>
            <xdr14:cNvContentPartPr/>
          </xdr14:nvContentPartPr>
          <xdr14:nvPr macro=""/>
          <xdr14:xfrm>
            <a:off x="12866040" y="1243440"/>
            <a:ext cx="360" cy="360"/>
          </xdr14:xfrm>
        </xdr:contentPart>
      </mc:Choice>
      <mc:Fallback xmlns="">
        <xdr:pic>
          <xdr:nvPicPr>
            <xdr:cNvPr id="66" name="Ink 65">
              <a:extLst>
                <a:ext uri="{FF2B5EF4-FFF2-40B4-BE49-F238E27FC236}">
                  <a16:creationId xmlns:a16="http://schemas.microsoft.com/office/drawing/2014/main" id="{749407A5-57BE-5F4C-9E98-AD14A61A18F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67" name="Ink 66">
              <a:extLst>
                <a:ext uri="{FF2B5EF4-FFF2-40B4-BE49-F238E27FC236}">
                  <a16:creationId xmlns:a16="http://schemas.microsoft.com/office/drawing/2014/main" id="{0EE69C58-9DB0-5A4D-BD83-1E5BFE3390BB}"/>
                </a:ext>
              </a:extLst>
            </xdr14:cNvPr>
            <xdr14:cNvContentPartPr/>
          </xdr14:nvContentPartPr>
          <xdr14:nvPr macro=""/>
          <xdr14:xfrm>
            <a:off x="12973680" y="1366560"/>
            <a:ext cx="360" cy="360"/>
          </xdr14:xfrm>
        </xdr:contentPart>
      </mc:Choice>
      <mc:Fallback xmlns="">
        <xdr:pic>
          <xdr:nvPicPr>
            <xdr:cNvPr id="67" name="Ink 66">
              <a:extLst>
                <a:ext uri="{FF2B5EF4-FFF2-40B4-BE49-F238E27FC236}">
                  <a16:creationId xmlns:a16="http://schemas.microsoft.com/office/drawing/2014/main" id="{0EE69C58-9DB0-5A4D-BD83-1E5BFE3390B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68" name="Ink 67">
              <a:extLst>
                <a:ext uri="{FF2B5EF4-FFF2-40B4-BE49-F238E27FC236}">
                  <a16:creationId xmlns:a16="http://schemas.microsoft.com/office/drawing/2014/main" id="{C289CE11-13C3-2845-AE33-27959CC41F22}"/>
                </a:ext>
              </a:extLst>
            </xdr14:cNvPr>
            <xdr14:cNvContentPartPr/>
          </xdr14:nvContentPartPr>
          <xdr14:nvPr macro=""/>
          <xdr14:xfrm>
            <a:off x="12846960" y="1192320"/>
            <a:ext cx="360" cy="360"/>
          </xdr14:xfrm>
        </xdr:contentPart>
      </mc:Choice>
      <mc:Fallback xmlns="">
        <xdr:pic>
          <xdr:nvPicPr>
            <xdr:cNvPr id="68" name="Ink 67">
              <a:extLst>
                <a:ext uri="{FF2B5EF4-FFF2-40B4-BE49-F238E27FC236}">
                  <a16:creationId xmlns:a16="http://schemas.microsoft.com/office/drawing/2014/main" id="{C289CE11-13C3-2845-AE33-27959CC41F2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69" name="Ink 68">
              <a:extLst>
                <a:ext uri="{FF2B5EF4-FFF2-40B4-BE49-F238E27FC236}">
                  <a16:creationId xmlns:a16="http://schemas.microsoft.com/office/drawing/2014/main" id="{BF95B4B2-CE58-9647-BCFB-FD97210E5341}"/>
                </a:ext>
              </a:extLst>
            </xdr14:cNvPr>
            <xdr14:cNvContentPartPr/>
          </xdr14:nvContentPartPr>
          <xdr14:nvPr macro=""/>
          <xdr14:xfrm>
            <a:off x="12866040" y="1243440"/>
            <a:ext cx="360" cy="360"/>
          </xdr14:xfrm>
        </xdr:contentPart>
      </mc:Choice>
      <mc:Fallback xmlns="">
        <xdr:pic>
          <xdr:nvPicPr>
            <xdr:cNvPr id="69" name="Ink 68">
              <a:extLst>
                <a:ext uri="{FF2B5EF4-FFF2-40B4-BE49-F238E27FC236}">
                  <a16:creationId xmlns:a16="http://schemas.microsoft.com/office/drawing/2014/main" id="{BF95B4B2-CE58-9647-BCFB-FD97210E534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70" name="Ink 69">
              <a:extLst>
                <a:ext uri="{FF2B5EF4-FFF2-40B4-BE49-F238E27FC236}">
                  <a16:creationId xmlns:a16="http://schemas.microsoft.com/office/drawing/2014/main" id="{BA2B493D-0B48-E746-84A7-E8AEE7DB0C3A}"/>
                </a:ext>
              </a:extLst>
            </xdr14:cNvPr>
            <xdr14:cNvContentPartPr/>
          </xdr14:nvContentPartPr>
          <xdr14:nvPr macro=""/>
          <xdr14:xfrm>
            <a:off x="12973680" y="1366560"/>
            <a:ext cx="360" cy="360"/>
          </xdr14:xfrm>
        </xdr:contentPart>
      </mc:Choice>
      <mc:Fallback xmlns="">
        <xdr:pic>
          <xdr:nvPicPr>
            <xdr:cNvPr id="70" name="Ink 69">
              <a:extLst>
                <a:ext uri="{FF2B5EF4-FFF2-40B4-BE49-F238E27FC236}">
                  <a16:creationId xmlns:a16="http://schemas.microsoft.com/office/drawing/2014/main" id="{BA2B493D-0B48-E746-84A7-E8AEE7DB0C3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71" name="Ink 70">
              <a:extLst>
                <a:ext uri="{FF2B5EF4-FFF2-40B4-BE49-F238E27FC236}">
                  <a16:creationId xmlns:a16="http://schemas.microsoft.com/office/drawing/2014/main" id="{DA02EC29-4D13-6A49-80E0-D6074AD3C266}"/>
                </a:ext>
              </a:extLst>
            </xdr14:cNvPr>
            <xdr14:cNvContentPartPr/>
          </xdr14:nvContentPartPr>
          <xdr14:nvPr macro=""/>
          <xdr14:xfrm>
            <a:off x="12846960" y="1192320"/>
            <a:ext cx="360" cy="360"/>
          </xdr14:xfrm>
        </xdr:contentPart>
      </mc:Choice>
      <mc:Fallback xmlns="">
        <xdr:pic>
          <xdr:nvPicPr>
            <xdr:cNvPr id="71" name="Ink 70">
              <a:extLst>
                <a:ext uri="{FF2B5EF4-FFF2-40B4-BE49-F238E27FC236}">
                  <a16:creationId xmlns:a16="http://schemas.microsoft.com/office/drawing/2014/main" id="{DA02EC29-4D13-6A49-80E0-D6074AD3C26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72" name="Ink 71">
              <a:extLst>
                <a:ext uri="{FF2B5EF4-FFF2-40B4-BE49-F238E27FC236}">
                  <a16:creationId xmlns:a16="http://schemas.microsoft.com/office/drawing/2014/main" id="{AE95AE72-0159-9347-AE2B-5292CE4E9E52}"/>
                </a:ext>
              </a:extLst>
            </xdr14:cNvPr>
            <xdr14:cNvContentPartPr/>
          </xdr14:nvContentPartPr>
          <xdr14:nvPr macro=""/>
          <xdr14:xfrm>
            <a:off x="12866040" y="1243440"/>
            <a:ext cx="360" cy="360"/>
          </xdr14:xfrm>
        </xdr:contentPart>
      </mc:Choice>
      <mc:Fallback xmlns="">
        <xdr:pic>
          <xdr:nvPicPr>
            <xdr:cNvPr id="72" name="Ink 71">
              <a:extLst>
                <a:ext uri="{FF2B5EF4-FFF2-40B4-BE49-F238E27FC236}">
                  <a16:creationId xmlns:a16="http://schemas.microsoft.com/office/drawing/2014/main" id="{AE95AE72-0159-9347-AE2B-5292CE4E9E5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73" name="Ink 72">
              <a:extLst>
                <a:ext uri="{FF2B5EF4-FFF2-40B4-BE49-F238E27FC236}">
                  <a16:creationId xmlns:a16="http://schemas.microsoft.com/office/drawing/2014/main" id="{0BBEF787-69F0-AB42-8187-D77B22FA50CF}"/>
                </a:ext>
              </a:extLst>
            </xdr14:cNvPr>
            <xdr14:cNvContentPartPr/>
          </xdr14:nvContentPartPr>
          <xdr14:nvPr macro=""/>
          <xdr14:xfrm>
            <a:off x="12973680" y="1366560"/>
            <a:ext cx="360" cy="360"/>
          </xdr14:xfrm>
        </xdr:contentPart>
      </mc:Choice>
      <mc:Fallback xmlns="">
        <xdr:pic>
          <xdr:nvPicPr>
            <xdr:cNvPr id="73" name="Ink 72">
              <a:extLst>
                <a:ext uri="{FF2B5EF4-FFF2-40B4-BE49-F238E27FC236}">
                  <a16:creationId xmlns:a16="http://schemas.microsoft.com/office/drawing/2014/main" id="{0BBEF787-69F0-AB42-8187-D77B22FA50C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74" name="Ink 73">
              <a:extLst>
                <a:ext uri="{FF2B5EF4-FFF2-40B4-BE49-F238E27FC236}">
                  <a16:creationId xmlns:a16="http://schemas.microsoft.com/office/drawing/2014/main" id="{212725C6-E41E-8447-80CA-886B5C28BCC4}"/>
                </a:ext>
              </a:extLst>
            </xdr14:cNvPr>
            <xdr14:cNvContentPartPr/>
          </xdr14:nvContentPartPr>
          <xdr14:nvPr macro=""/>
          <xdr14:xfrm>
            <a:off x="12846960" y="1192320"/>
            <a:ext cx="360" cy="360"/>
          </xdr14:xfrm>
        </xdr:contentPart>
      </mc:Choice>
      <mc:Fallback xmlns="">
        <xdr:pic>
          <xdr:nvPicPr>
            <xdr:cNvPr id="74" name="Ink 73">
              <a:extLst>
                <a:ext uri="{FF2B5EF4-FFF2-40B4-BE49-F238E27FC236}">
                  <a16:creationId xmlns:a16="http://schemas.microsoft.com/office/drawing/2014/main" id="{212725C6-E41E-8447-80CA-886B5C28BCC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75" name="Ink 74">
              <a:extLst>
                <a:ext uri="{FF2B5EF4-FFF2-40B4-BE49-F238E27FC236}">
                  <a16:creationId xmlns:a16="http://schemas.microsoft.com/office/drawing/2014/main" id="{B2A4F3A6-4D8E-EC49-9167-8529254531FB}"/>
                </a:ext>
              </a:extLst>
            </xdr14:cNvPr>
            <xdr14:cNvContentPartPr/>
          </xdr14:nvContentPartPr>
          <xdr14:nvPr macro=""/>
          <xdr14:xfrm>
            <a:off x="12866040" y="1243440"/>
            <a:ext cx="360" cy="360"/>
          </xdr14:xfrm>
        </xdr:contentPart>
      </mc:Choice>
      <mc:Fallback xmlns="">
        <xdr:pic>
          <xdr:nvPicPr>
            <xdr:cNvPr id="75" name="Ink 74">
              <a:extLst>
                <a:ext uri="{FF2B5EF4-FFF2-40B4-BE49-F238E27FC236}">
                  <a16:creationId xmlns:a16="http://schemas.microsoft.com/office/drawing/2014/main" id="{B2A4F3A6-4D8E-EC49-9167-8529254531F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76" name="Ink 75">
              <a:extLst>
                <a:ext uri="{FF2B5EF4-FFF2-40B4-BE49-F238E27FC236}">
                  <a16:creationId xmlns:a16="http://schemas.microsoft.com/office/drawing/2014/main" id="{C8B19273-39FB-654C-AB0E-2D9B5ECFBF87}"/>
                </a:ext>
              </a:extLst>
            </xdr14:cNvPr>
            <xdr14:cNvContentPartPr/>
          </xdr14:nvContentPartPr>
          <xdr14:nvPr macro=""/>
          <xdr14:xfrm>
            <a:off x="12973680" y="1366560"/>
            <a:ext cx="360" cy="360"/>
          </xdr14:xfrm>
        </xdr:contentPart>
      </mc:Choice>
      <mc:Fallback xmlns="">
        <xdr:pic>
          <xdr:nvPicPr>
            <xdr:cNvPr id="76" name="Ink 75">
              <a:extLst>
                <a:ext uri="{FF2B5EF4-FFF2-40B4-BE49-F238E27FC236}">
                  <a16:creationId xmlns:a16="http://schemas.microsoft.com/office/drawing/2014/main" id="{C8B19273-39FB-654C-AB0E-2D9B5ECFBF8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77" name="Ink 76">
              <a:extLst>
                <a:ext uri="{FF2B5EF4-FFF2-40B4-BE49-F238E27FC236}">
                  <a16:creationId xmlns:a16="http://schemas.microsoft.com/office/drawing/2014/main" id="{D156FB27-7646-EC43-BCD0-2020EE7FD67F}"/>
                </a:ext>
              </a:extLst>
            </xdr14:cNvPr>
            <xdr14:cNvContentPartPr/>
          </xdr14:nvContentPartPr>
          <xdr14:nvPr macro=""/>
          <xdr14:xfrm>
            <a:off x="12846960" y="1192320"/>
            <a:ext cx="360" cy="360"/>
          </xdr14:xfrm>
        </xdr:contentPart>
      </mc:Choice>
      <mc:Fallback xmlns="">
        <xdr:pic>
          <xdr:nvPicPr>
            <xdr:cNvPr id="77" name="Ink 76">
              <a:extLst>
                <a:ext uri="{FF2B5EF4-FFF2-40B4-BE49-F238E27FC236}">
                  <a16:creationId xmlns:a16="http://schemas.microsoft.com/office/drawing/2014/main" id="{D156FB27-7646-EC43-BCD0-2020EE7FD67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78" name="Ink 77">
              <a:extLst>
                <a:ext uri="{FF2B5EF4-FFF2-40B4-BE49-F238E27FC236}">
                  <a16:creationId xmlns:a16="http://schemas.microsoft.com/office/drawing/2014/main" id="{22F360F5-D0B4-5247-8606-04D25843C1E5}"/>
                </a:ext>
              </a:extLst>
            </xdr14:cNvPr>
            <xdr14:cNvContentPartPr/>
          </xdr14:nvContentPartPr>
          <xdr14:nvPr macro=""/>
          <xdr14:xfrm>
            <a:off x="12866040" y="1243440"/>
            <a:ext cx="360" cy="360"/>
          </xdr14:xfrm>
        </xdr:contentPart>
      </mc:Choice>
      <mc:Fallback xmlns="">
        <xdr:pic>
          <xdr:nvPicPr>
            <xdr:cNvPr id="78" name="Ink 77">
              <a:extLst>
                <a:ext uri="{FF2B5EF4-FFF2-40B4-BE49-F238E27FC236}">
                  <a16:creationId xmlns:a16="http://schemas.microsoft.com/office/drawing/2014/main" id="{22F360F5-D0B4-5247-8606-04D25843C1E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79" name="Ink 78">
              <a:extLst>
                <a:ext uri="{FF2B5EF4-FFF2-40B4-BE49-F238E27FC236}">
                  <a16:creationId xmlns:a16="http://schemas.microsoft.com/office/drawing/2014/main" id="{93687D70-9B5E-AD40-B3BD-698EF7CF9499}"/>
                </a:ext>
              </a:extLst>
            </xdr14:cNvPr>
            <xdr14:cNvContentPartPr/>
          </xdr14:nvContentPartPr>
          <xdr14:nvPr macro=""/>
          <xdr14:xfrm>
            <a:off x="12973680" y="1366560"/>
            <a:ext cx="360" cy="360"/>
          </xdr14:xfrm>
        </xdr:contentPart>
      </mc:Choice>
      <mc:Fallback xmlns="">
        <xdr:pic>
          <xdr:nvPicPr>
            <xdr:cNvPr id="79" name="Ink 78">
              <a:extLst>
                <a:ext uri="{FF2B5EF4-FFF2-40B4-BE49-F238E27FC236}">
                  <a16:creationId xmlns:a16="http://schemas.microsoft.com/office/drawing/2014/main" id="{93687D70-9B5E-AD40-B3BD-698EF7CF949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80" name="Ink 79">
              <a:extLst>
                <a:ext uri="{FF2B5EF4-FFF2-40B4-BE49-F238E27FC236}">
                  <a16:creationId xmlns:a16="http://schemas.microsoft.com/office/drawing/2014/main" id="{28F7AFFE-9DFF-DD41-B17E-1395DADC8460}"/>
                </a:ext>
              </a:extLst>
            </xdr14:cNvPr>
            <xdr14:cNvContentPartPr/>
          </xdr14:nvContentPartPr>
          <xdr14:nvPr macro=""/>
          <xdr14:xfrm>
            <a:off x="12846960" y="1192320"/>
            <a:ext cx="360" cy="360"/>
          </xdr14:xfrm>
        </xdr:contentPart>
      </mc:Choice>
      <mc:Fallback xmlns="">
        <xdr:pic>
          <xdr:nvPicPr>
            <xdr:cNvPr id="80" name="Ink 79">
              <a:extLst>
                <a:ext uri="{FF2B5EF4-FFF2-40B4-BE49-F238E27FC236}">
                  <a16:creationId xmlns:a16="http://schemas.microsoft.com/office/drawing/2014/main" id="{28F7AFFE-9DFF-DD41-B17E-1395DADC846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81" name="Ink 80">
              <a:extLst>
                <a:ext uri="{FF2B5EF4-FFF2-40B4-BE49-F238E27FC236}">
                  <a16:creationId xmlns:a16="http://schemas.microsoft.com/office/drawing/2014/main" id="{6FCDC029-98C7-A74C-B57F-0A39EEA5F228}"/>
                </a:ext>
              </a:extLst>
            </xdr14:cNvPr>
            <xdr14:cNvContentPartPr/>
          </xdr14:nvContentPartPr>
          <xdr14:nvPr macro=""/>
          <xdr14:xfrm>
            <a:off x="12866040" y="1243440"/>
            <a:ext cx="360" cy="360"/>
          </xdr14:xfrm>
        </xdr:contentPart>
      </mc:Choice>
      <mc:Fallback xmlns="">
        <xdr:pic>
          <xdr:nvPicPr>
            <xdr:cNvPr id="81" name="Ink 80">
              <a:extLst>
                <a:ext uri="{FF2B5EF4-FFF2-40B4-BE49-F238E27FC236}">
                  <a16:creationId xmlns:a16="http://schemas.microsoft.com/office/drawing/2014/main" id="{6FCDC029-98C7-A74C-B57F-0A39EEA5F22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82" name="Ink 81">
              <a:extLst>
                <a:ext uri="{FF2B5EF4-FFF2-40B4-BE49-F238E27FC236}">
                  <a16:creationId xmlns:a16="http://schemas.microsoft.com/office/drawing/2014/main" id="{6A19FD9E-6536-1C41-A391-8FE998256A4C}"/>
                </a:ext>
              </a:extLst>
            </xdr14:cNvPr>
            <xdr14:cNvContentPartPr/>
          </xdr14:nvContentPartPr>
          <xdr14:nvPr macro=""/>
          <xdr14:xfrm>
            <a:off x="12973680" y="1366560"/>
            <a:ext cx="360" cy="360"/>
          </xdr14:xfrm>
        </xdr:contentPart>
      </mc:Choice>
      <mc:Fallback xmlns="">
        <xdr:pic>
          <xdr:nvPicPr>
            <xdr:cNvPr id="82" name="Ink 81">
              <a:extLst>
                <a:ext uri="{FF2B5EF4-FFF2-40B4-BE49-F238E27FC236}">
                  <a16:creationId xmlns:a16="http://schemas.microsoft.com/office/drawing/2014/main" id="{6A19FD9E-6536-1C41-A391-8FE998256A4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83" name="Ink 82">
              <a:extLst>
                <a:ext uri="{FF2B5EF4-FFF2-40B4-BE49-F238E27FC236}">
                  <a16:creationId xmlns:a16="http://schemas.microsoft.com/office/drawing/2014/main" id="{B27E2B21-AF6E-5247-8216-282E41E402E6}"/>
                </a:ext>
              </a:extLst>
            </xdr14:cNvPr>
            <xdr14:cNvContentPartPr/>
          </xdr14:nvContentPartPr>
          <xdr14:nvPr macro=""/>
          <xdr14:xfrm>
            <a:off x="12846960" y="1192320"/>
            <a:ext cx="360" cy="360"/>
          </xdr14:xfrm>
        </xdr:contentPart>
      </mc:Choice>
      <mc:Fallback xmlns="">
        <xdr:pic>
          <xdr:nvPicPr>
            <xdr:cNvPr id="83" name="Ink 82">
              <a:extLst>
                <a:ext uri="{FF2B5EF4-FFF2-40B4-BE49-F238E27FC236}">
                  <a16:creationId xmlns:a16="http://schemas.microsoft.com/office/drawing/2014/main" id="{B27E2B21-AF6E-5247-8216-282E41E402E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84" name="Ink 83">
              <a:extLst>
                <a:ext uri="{FF2B5EF4-FFF2-40B4-BE49-F238E27FC236}">
                  <a16:creationId xmlns:a16="http://schemas.microsoft.com/office/drawing/2014/main" id="{267AFDDA-2A9E-B543-8006-FC5EA09B08A9}"/>
                </a:ext>
              </a:extLst>
            </xdr14:cNvPr>
            <xdr14:cNvContentPartPr/>
          </xdr14:nvContentPartPr>
          <xdr14:nvPr macro=""/>
          <xdr14:xfrm>
            <a:off x="12866040" y="1243440"/>
            <a:ext cx="360" cy="360"/>
          </xdr14:xfrm>
        </xdr:contentPart>
      </mc:Choice>
      <mc:Fallback xmlns="">
        <xdr:pic>
          <xdr:nvPicPr>
            <xdr:cNvPr id="84" name="Ink 83">
              <a:extLst>
                <a:ext uri="{FF2B5EF4-FFF2-40B4-BE49-F238E27FC236}">
                  <a16:creationId xmlns:a16="http://schemas.microsoft.com/office/drawing/2014/main" id="{267AFDDA-2A9E-B543-8006-FC5EA09B08A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85" name="Ink 84">
              <a:extLst>
                <a:ext uri="{FF2B5EF4-FFF2-40B4-BE49-F238E27FC236}">
                  <a16:creationId xmlns:a16="http://schemas.microsoft.com/office/drawing/2014/main" id="{D2223FD4-8D51-EB4C-88DB-C5ACC278CFA5}"/>
                </a:ext>
              </a:extLst>
            </xdr14:cNvPr>
            <xdr14:cNvContentPartPr/>
          </xdr14:nvContentPartPr>
          <xdr14:nvPr macro=""/>
          <xdr14:xfrm>
            <a:off x="12973680" y="1366560"/>
            <a:ext cx="360" cy="360"/>
          </xdr14:xfrm>
        </xdr:contentPart>
      </mc:Choice>
      <mc:Fallback xmlns="">
        <xdr:pic>
          <xdr:nvPicPr>
            <xdr:cNvPr id="85" name="Ink 84">
              <a:extLst>
                <a:ext uri="{FF2B5EF4-FFF2-40B4-BE49-F238E27FC236}">
                  <a16:creationId xmlns:a16="http://schemas.microsoft.com/office/drawing/2014/main" id="{D2223FD4-8D51-EB4C-88DB-C5ACC278CFA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86" name="Ink 85">
              <a:extLst>
                <a:ext uri="{FF2B5EF4-FFF2-40B4-BE49-F238E27FC236}">
                  <a16:creationId xmlns:a16="http://schemas.microsoft.com/office/drawing/2014/main" id="{C6892867-FB54-B845-AB8E-7FB2BCE60E19}"/>
                </a:ext>
              </a:extLst>
            </xdr14:cNvPr>
            <xdr14:cNvContentPartPr/>
          </xdr14:nvContentPartPr>
          <xdr14:nvPr macro=""/>
          <xdr14:xfrm>
            <a:off x="12846960" y="1192320"/>
            <a:ext cx="360" cy="360"/>
          </xdr14:xfrm>
        </xdr:contentPart>
      </mc:Choice>
      <mc:Fallback xmlns="">
        <xdr:pic>
          <xdr:nvPicPr>
            <xdr:cNvPr id="86" name="Ink 85">
              <a:extLst>
                <a:ext uri="{FF2B5EF4-FFF2-40B4-BE49-F238E27FC236}">
                  <a16:creationId xmlns:a16="http://schemas.microsoft.com/office/drawing/2014/main" id="{C6892867-FB54-B845-AB8E-7FB2BCE60E1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87" name="Ink 86">
              <a:extLst>
                <a:ext uri="{FF2B5EF4-FFF2-40B4-BE49-F238E27FC236}">
                  <a16:creationId xmlns:a16="http://schemas.microsoft.com/office/drawing/2014/main" id="{FCD53820-0FDE-1A4E-98D1-45BAAE362CC9}"/>
                </a:ext>
              </a:extLst>
            </xdr14:cNvPr>
            <xdr14:cNvContentPartPr/>
          </xdr14:nvContentPartPr>
          <xdr14:nvPr macro=""/>
          <xdr14:xfrm>
            <a:off x="12866040" y="1243440"/>
            <a:ext cx="360" cy="360"/>
          </xdr14:xfrm>
        </xdr:contentPart>
      </mc:Choice>
      <mc:Fallback xmlns="">
        <xdr:pic>
          <xdr:nvPicPr>
            <xdr:cNvPr id="87" name="Ink 86">
              <a:extLst>
                <a:ext uri="{FF2B5EF4-FFF2-40B4-BE49-F238E27FC236}">
                  <a16:creationId xmlns:a16="http://schemas.microsoft.com/office/drawing/2014/main" id="{FCD53820-0FDE-1A4E-98D1-45BAAE362CC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88" name="Ink 87">
              <a:extLst>
                <a:ext uri="{FF2B5EF4-FFF2-40B4-BE49-F238E27FC236}">
                  <a16:creationId xmlns:a16="http://schemas.microsoft.com/office/drawing/2014/main" id="{ABBBB0D9-9ED8-9049-A453-55F41F1AF813}"/>
                </a:ext>
              </a:extLst>
            </xdr14:cNvPr>
            <xdr14:cNvContentPartPr/>
          </xdr14:nvContentPartPr>
          <xdr14:nvPr macro=""/>
          <xdr14:xfrm>
            <a:off x="12973680" y="1366560"/>
            <a:ext cx="360" cy="360"/>
          </xdr14:xfrm>
        </xdr:contentPart>
      </mc:Choice>
      <mc:Fallback xmlns="">
        <xdr:pic>
          <xdr:nvPicPr>
            <xdr:cNvPr id="88" name="Ink 87">
              <a:extLst>
                <a:ext uri="{FF2B5EF4-FFF2-40B4-BE49-F238E27FC236}">
                  <a16:creationId xmlns:a16="http://schemas.microsoft.com/office/drawing/2014/main" id="{ABBBB0D9-9ED8-9049-A453-55F41F1AF81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89" name="Ink 88">
              <a:extLst>
                <a:ext uri="{FF2B5EF4-FFF2-40B4-BE49-F238E27FC236}">
                  <a16:creationId xmlns:a16="http://schemas.microsoft.com/office/drawing/2014/main" id="{677CE2CA-ADDA-6149-A565-1475AC6DDD3D}"/>
                </a:ext>
              </a:extLst>
            </xdr14:cNvPr>
            <xdr14:cNvContentPartPr/>
          </xdr14:nvContentPartPr>
          <xdr14:nvPr macro=""/>
          <xdr14:xfrm>
            <a:off x="12846960" y="1192320"/>
            <a:ext cx="360" cy="360"/>
          </xdr14:xfrm>
        </xdr:contentPart>
      </mc:Choice>
      <mc:Fallback xmlns="">
        <xdr:pic>
          <xdr:nvPicPr>
            <xdr:cNvPr id="89" name="Ink 88">
              <a:extLst>
                <a:ext uri="{FF2B5EF4-FFF2-40B4-BE49-F238E27FC236}">
                  <a16:creationId xmlns:a16="http://schemas.microsoft.com/office/drawing/2014/main" id="{677CE2CA-ADDA-6149-A565-1475AC6DDD3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90" name="Ink 89">
              <a:extLst>
                <a:ext uri="{FF2B5EF4-FFF2-40B4-BE49-F238E27FC236}">
                  <a16:creationId xmlns:a16="http://schemas.microsoft.com/office/drawing/2014/main" id="{9134901F-5499-094C-A597-47AE292903AB}"/>
                </a:ext>
              </a:extLst>
            </xdr14:cNvPr>
            <xdr14:cNvContentPartPr/>
          </xdr14:nvContentPartPr>
          <xdr14:nvPr macro=""/>
          <xdr14:xfrm>
            <a:off x="12866040" y="1243440"/>
            <a:ext cx="360" cy="360"/>
          </xdr14:xfrm>
        </xdr:contentPart>
      </mc:Choice>
      <mc:Fallback xmlns="">
        <xdr:pic>
          <xdr:nvPicPr>
            <xdr:cNvPr id="90" name="Ink 89">
              <a:extLst>
                <a:ext uri="{FF2B5EF4-FFF2-40B4-BE49-F238E27FC236}">
                  <a16:creationId xmlns:a16="http://schemas.microsoft.com/office/drawing/2014/main" id="{9134901F-5499-094C-A597-47AE292903A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91" name="Ink 90">
              <a:extLst>
                <a:ext uri="{FF2B5EF4-FFF2-40B4-BE49-F238E27FC236}">
                  <a16:creationId xmlns:a16="http://schemas.microsoft.com/office/drawing/2014/main" id="{398F13F0-3A4E-8F47-9F12-B10FBBD2DD44}"/>
                </a:ext>
              </a:extLst>
            </xdr14:cNvPr>
            <xdr14:cNvContentPartPr/>
          </xdr14:nvContentPartPr>
          <xdr14:nvPr macro=""/>
          <xdr14:xfrm>
            <a:off x="12973680" y="1366560"/>
            <a:ext cx="360" cy="360"/>
          </xdr14:xfrm>
        </xdr:contentPart>
      </mc:Choice>
      <mc:Fallback xmlns="">
        <xdr:pic>
          <xdr:nvPicPr>
            <xdr:cNvPr id="91" name="Ink 90">
              <a:extLst>
                <a:ext uri="{FF2B5EF4-FFF2-40B4-BE49-F238E27FC236}">
                  <a16:creationId xmlns:a16="http://schemas.microsoft.com/office/drawing/2014/main" id="{398F13F0-3A4E-8F47-9F12-B10FBBD2DD4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92" name="Ink 91">
              <a:extLst>
                <a:ext uri="{FF2B5EF4-FFF2-40B4-BE49-F238E27FC236}">
                  <a16:creationId xmlns:a16="http://schemas.microsoft.com/office/drawing/2014/main" id="{4F7B448E-8494-0042-8C8B-3F525D51040B}"/>
                </a:ext>
              </a:extLst>
            </xdr14:cNvPr>
            <xdr14:cNvContentPartPr/>
          </xdr14:nvContentPartPr>
          <xdr14:nvPr macro=""/>
          <xdr14:xfrm>
            <a:off x="12846960" y="1192320"/>
            <a:ext cx="360" cy="360"/>
          </xdr14:xfrm>
        </xdr:contentPart>
      </mc:Choice>
      <mc:Fallback xmlns="">
        <xdr:pic>
          <xdr:nvPicPr>
            <xdr:cNvPr id="92" name="Ink 91">
              <a:extLst>
                <a:ext uri="{FF2B5EF4-FFF2-40B4-BE49-F238E27FC236}">
                  <a16:creationId xmlns:a16="http://schemas.microsoft.com/office/drawing/2014/main" id="{4F7B448E-8494-0042-8C8B-3F525D51040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93" name="Ink 92">
              <a:extLst>
                <a:ext uri="{FF2B5EF4-FFF2-40B4-BE49-F238E27FC236}">
                  <a16:creationId xmlns:a16="http://schemas.microsoft.com/office/drawing/2014/main" id="{BBF3C1AC-130A-674D-842E-764787FBCDA2}"/>
                </a:ext>
              </a:extLst>
            </xdr14:cNvPr>
            <xdr14:cNvContentPartPr/>
          </xdr14:nvContentPartPr>
          <xdr14:nvPr macro=""/>
          <xdr14:xfrm>
            <a:off x="12866040" y="1243440"/>
            <a:ext cx="360" cy="360"/>
          </xdr14:xfrm>
        </xdr:contentPart>
      </mc:Choice>
      <mc:Fallback xmlns="">
        <xdr:pic>
          <xdr:nvPicPr>
            <xdr:cNvPr id="93" name="Ink 92">
              <a:extLst>
                <a:ext uri="{FF2B5EF4-FFF2-40B4-BE49-F238E27FC236}">
                  <a16:creationId xmlns:a16="http://schemas.microsoft.com/office/drawing/2014/main" id="{BBF3C1AC-130A-674D-842E-764787FBCDA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94" name="Ink 93">
              <a:extLst>
                <a:ext uri="{FF2B5EF4-FFF2-40B4-BE49-F238E27FC236}">
                  <a16:creationId xmlns:a16="http://schemas.microsoft.com/office/drawing/2014/main" id="{CB0D4250-26AA-514A-9FE7-50CA00239462}"/>
                </a:ext>
              </a:extLst>
            </xdr14:cNvPr>
            <xdr14:cNvContentPartPr/>
          </xdr14:nvContentPartPr>
          <xdr14:nvPr macro=""/>
          <xdr14:xfrm>
            <a:off x="12973680" y="1366560"/>
            <a:ext cx="360" cy="360"/>
          </xdr14:xfrm>
        </xdr:contentPart>
      </mc:Choice>
      <mc:Fallback xmlns="">
        <xdr:pic>
          <xdr:nvPicPr>
            <xdr:cNvPr id="94" name="Ink 93">
              <a:extLst>
                <a:ext uri="{FF2B5EF4-FFF2-40B4-BE49-F238E27FC236}">
                  <a16:creationId xmlns:a16="http://schemas.microsoft.com/office/drawing/2014/main" id="{CB0D4250-26AA-514A-9FE7-50CA0023946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95" name="Ink 94">
              <a:extLst>
                <a:ext uri="{FF2B5EF4-FFF2-40B4-BE49-F238E27FC236}">
                  <a16:creationId xmlns:a16="http://schemas.microsoft.com/office/drawing/2014/main" id="{5E2826F1-6B69-8346-9DAD-596F3CDE0507}"/>
                </a:ext>
              </a:extLst>
            </xdr14:cNvPr>
            <xdr14:cNvContentPartPr/>
          </xdr14:nvContentPartPr>
          <xdr14:nvPr macro=""/>
          <xdr14:xfrm>
            <a:off x="12846960" y="1192320"/>
            <a:ext cx="360" cy="360"/>
          </xdr14:xfrm>
        </xdr:contentPart>
      </mc:Choice>
      <mc:Fallback xmlns="">
        <xdr:pic>
          <xdr:nvPicPr>
            <xdr:cNvPr id="95" name="Ink 94">
              <a:extLst>
                <a:ext uri="{FF2B5EF4-FFF2-40B4-BE49-F238E27FC236}">
                  <a16:creationId xmlns:a16="http://schemas.microsoft.com/office/drawing/2014/main" id="{5E2826F1-6B69-8346-9DAD-596F3CDE050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96" name="Ink 95">
              <a:extLst>
                <a:ext uri="{FF2B5EF4-FFF2-40B4-BE49-F238E27FC236}">
                  <a16:creationId xmlns:a16="http://schemas.microsoft.com/office/drawing/2014/main" id="{B1B571ED-B733-2940-86C9-D329B15E184E}"/>
                </a:ext>
              </a:extLst>
            </xdr14:cNvPr>
            <xdr14:cNvContentPartPr/>
          </xdr14:nvContentPartPr>
          <xdr14:nvPr macro=""/>
          <xdr14:xfrm>
            <a:off x="12866040" y="1243440"/>
            <a:ext cx="360" cy="360"/>
          </xdr14:xfrm>
        </xdr:contentPart>
      </mc:Choice>
      <mc:Fallback xmlns="">
        <xdr:pic>
          <xdr:nvPicPr>
            <xdr:cNvPr id="96" name="Ink 95">
              <a:extLst>
                <a:ext uri="{FF2B5EF4-FFF2-40B4-BE49-F238E27FC236}">
                  <a16:creationId xmlns:a16="http://schemas.microsoft.com/office/drawing/2014/main" id="{B1B571ED-B733-2940-86C9-D329B15E184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97" name="Ink 96">
              <a:extLst>
                <a:ext uri="{FF2B5EF4-FFF2-40B4-BE49-F238E27FC236}">
                  <a16:creationId xmlns:a16="http://schemas.microsoft.com/office/drawing/2014/main" id="{F8E5072D-02EE-E445-862E-10444E85C880}"/>
                </a:ext>
              </a:extLst>
            </xdr14:cNvPr>
            <xdr14:cNvContentPartPr/>
          </xdr14:nvContentPartPr>
          <xdr14:nvPr macro=""/>
          <xdr14:xfrm>
            <a:off x="12973680" y="1366560"/>
            <a:ext cx="360" cy="360"/>
          </xdr14:xfrm>
        </xdr:contentPart>
      </mc:Choice>
      <mc:Fallback xmlns="">
        <xdr:pic>
          <xdr:nvPicPr>
            <xdr:cNvPr id="97" name="Ink 96">
              <a:extLst>
                <a:ext uri="{FF2B5EF4-FFF2-40B4-BE49-F238E27FC236}">
                  <a16:creationId xmlns:a16="http://schemas.microsoft.com/office/drawing/2014/main" id="{F8E5072D-02EE-E445-862E-10444E85C88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98" name="Ink 97">
              <a:extLst>
                <a:ext uri="{FF2B5EF4-FFF2-40B4-BE49-F238E27FC236}">
                  <a16:creationId xmlns:a16="http://schemas.microsoft.com/office/drawing/2014/main" id="{74B43744-D866-EC4C-BC83-A8ACB332A472}"/>
                </a:ext>
              </a:extLst>
            </xdr14:cNvPr>
            <xdr14:cNvContentPartPr/>
          </xdr14:nvContentPartPr>
          <xdr14:nvPr macro=""/>
          <xdr14:xfrm>
            <a:off x="12846960" y="1192320"/>
            <a:ext cx="360" cy="360"/>
          </xdr14:xfrm>
        </xdr:contentPart>
      </mc:Choice>
      <mc:Fallback xmlns="">
        <xdr:pic>
          <xdr:nvPicPr>
            <xdr:cNvPr id="98" name="Ink 97">
              <a:extLst>
                <a:ext uri="{FF2B5EF4-FFF2-40B4-BE49-F238E27FC236}">
                  <a16:creationId xmlns:a16="http://schemas.microsoft.com/office/drawing/2014/main" id="{74B43744-D866-EC4C-BC83-A8ACB332A47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99" name="Ink 98">
              <a:extLst>
                <a:ext uri="{FF2B5EF4-FFF2-40B4-BE49-F238E27FC236}">
                  <a16:creationId xmlns:a16="http://schemas.microsoft.com/office/drawing/2014/main" id="{279CCB6F-C238-E04A-8650-118C9E0935E9}"/>
                </a:ext>
              </a:extLst>
            </xdr14:cNvPr>
            <xdr14:cNvContentPartPr/>
          </xdr14:nvContentPartPr>
          <xdr14:nvPr macro=""/>
          <xdr14:xfrm>
            <a:off x="12866040" y="1243440"/>
            <a:ext cx="360" cy="360"/>
          </xdr14:xfrm>
        </xdr:contentPart>
      </mc:Choice>
      <mc:Fallback xmlns="">
        <xdr:pic>
          <xdr:nvPicPr>
            <xdr:cNvPr id="99" name="Ink 98">
              <a:extLst>
                <a:ext uri="{FF2B5EF4-FFF2-40B4-BE49-F238E27FC236}">
                  <a16:creationId xmlns:a16="http://schemas.microsoft.com/office/drawing/2014/main" id="{279CCB6F-C238-E04A-8650-118C9E0935E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0" name="Ink 99">
              <a:extLst>
                <a:ext uri="{FF2B5EF4-FFF2-40B4-BE49-F238E27FC236}">
                  <a16:creationId xmlns:a16="http://schemas.microsoft.com/office/drawing/2014/main" id="{DFF6E560-5016-774F-B2BB-5E640C8B3CBF}"/>
                </a:ext>
              </a:extLst>
            </xdr14:cNvPr>
            <xdr14:cNvContentPartPr/>
          </xdr14:nvContentPartPr>
          <xdr14:nvPr macro=""/>
          <xdr14:xfrm>
            <a:off x="12973680" y="1366560"/>
            <a:ext cx="360" cy="360"/>
          </xdr14:xfrm>
        </xdr:contentPart>
      </mc:Choice>
      <mc:Fallback xmlns="">
        <xdr:pic>
          <xdr:nvPicPr>
            <xdr:cNvPr id="100" name="Ink 99">
              <a:extLst>
                <a:ext uri="{FF2B5EF4-FFF2-40B4-BE49-F238E27FC236}">
                  <a16:creationId xmlns:a16="http://schemas.microsoft.com/office/drawing/2014/main" id="{DFF6E560-5016-774F-B2BB-5E640C8B3CB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1" name="Ink 100">
              <a:extLst>
                <a:ext uri="{FF2B5EF4-FFF2-40B4-BE49-F238E27FC236}">
                  <a16:creationId xmlns:a16="http://schemas.microsoft.com/office/drawing/2014/main" id="{22987C27-90A4-2543-8B41-4C1D5BA06758}"/>
                </a:ext>
              </a:extLst>
            </xdr14:cNvPr>
            <xdr14:cNvContentPartPr/>
          </xdr14:nvContentPartPr>
          <xdr14:nvPr macro=""/>
          <xdr14:xfrm>
            <a:off x="12846960" y="1192320"/>
            <a:ext cx="360" cy="360"/>
          </xdr14:xfrm>
        </xdr:contentPart>
      </mc:Choice>
      <mc:Fallback xmlns="">
        <xdr:pic>
          <xdr:nvPicPr>
            <xdr:cNvPr id="101" name="Ink 100">
              <a:extLst>
                <a:ext uri="{FF2B5EF4-FFF2-40B4-BE49-F238E27FC236}">
                  <a16:creationId xmlns:a16="http://schemas.microsoft.com/office/drawing/2014/main" id="{22987C27-90A4-2543-8B41-4C1D5BA0675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2" name="Ink 101">
              <a:extLst>
                <a:ext uri="{FF2B5EF4-FFF2-40B4-BE49-F238E27FC236}">
                  <a16:creationId xmlns:a16="http://schemas.microsoft.com/office/drawing/2014/main" id="{B936A717-6489-7842-93D7-A5D5E6FE327B}"/>
                </a:ext>
              </a:extLst>
            </xdr14:cNvPr>
            <xdr14:cNvContentPartPr/>
          </xdr14:nvContentPartPr>
          <xdr14:nvPr macro=""/>
          <xdr14:xfrm>
            <a:off x="12866040" y="1243440"/>
            <a:ext cx="360" cy="360"/>
          </xdr14:xfrm>
        </xdr:contentPart>
      </mc:Choice>
      <mc:Fallback xmlns="">
        <xdr:pic>
          <xdr:nvPicPr>
            <xdr:cNvPr id="102" name="Ink 101">
              <a:extLst>
                <a:ext uri="{FF2B5EF4-FFF2-40B4-BE49-F238E27FC236}">
                  <a16:creationId xmlns:a16="http://schemas.microsoft.com/office/drawing/2014/main" id="{B936A717-6489-7842-93D7-A5D5E6FE327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3" name="Ink 102">
              <a:extLst>
                <a:ext uri="{FF2B5EF4-FFF2-40B4-BE49-F238E27FC236}">
                  <a16:creationId xmlns:a16="http://schemas.microsoft.com/office/drawing/2014/main" id="{2D566BD9-4C29-F64B-B57A-910DC7047F35}"/>
                </a:ext>
              </a:extLst>
            </xdr14:cNvPr>
            <xdr14:cNvContentPartPr/>
          </xdr14:nvContentPartPr>
          <xdr14:nvPr macro=""/>
          <xdr14:xfrm>
            <a:off x="12973680" y="1366560"/>
            <a:ext cx="360" cy="360"/>
          </xdr14:xfrm>
        </xdr:contentPart>
      </mc:Choice>
      <mc:Fallback xmlns="">
        <xdr:pic>
          <xdr:nvPicPr>
            <xdr:cNvPr id="103" name="Ink 102">
              <a:extLst>
                <a:ext uri="{FF2B5EF4-FFF2-40B4-BE49-F238E27FC236}">
                  <a16:creationId xmlns:a16="http://schemas.microsoft.com/office/drawing/2014/main" id="{2D566BD9-4C29-F64B-B57A-910DC7047F3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4" name="Ink 103">
              <a:extLst>
                <a:ext uri="{FF2B5EF4-FFF2-40B4-BE49-F238E27FC236}">
                  <a16:creationId xmlns:a16="http://schemas.microsoft.com/office/drawing/2014/main" id="{75CBC09E-EB0B-CA4F-8FD7-5AA2C810CEBE}"/>
                </a:ext>
              </a:extLst>
            </xdr14:cNvPr>
            <xdr14:cNvContentPartPr/>
          </xdr14:nvContentPartPr>
          <xdr14:nvPr macro=""/>
          <xdr14:xfrm>
            <a:off x="12846960" y="1192320"/>
            <a:ext cx="360" cy="360"/>
          </xdr14:xfrm>
        </xdr:contentPart>
      </mc:Choice>
      <mc:Fallback xmlns="">
        <xdr:pic>
          <xdr:nvPicPr>
            <xdr:cNvPr id="104" name="Ink 103">
              <a:extLst>
                <a:ext uri="{FF2B5EF4-FFF2-40B4-BE49-F238E27FC236}">
                  <a16:creationId xmlns:a16="http://schemas.microsoft.com/office/drawing/2014/main" id="{75CBC09E-EB0B-CA4F-8FD7-5AA2C810CEB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5" name="Ink 104">
              <a:extLst>
                <a:ext uri="{FF2B5EF4-FFF2-40B4-BE49-F238E27FC236}">
                  <a16:creationId xmlns:a16="http://schemas.microsoft.com/office/drawing/2014/main" id="{DDFBB5B4-8FE7-AE4F-AD5C-ADEA5113BC62}"/>
                </a:ext>
              </a:extLst>
            </xdr14:cNvPr>
            <xdr14:cNvContentPartPr/>
          </xdr14:nvContentPartPr>
          <xdr14:nvPr macro=""/>
          <xdr14:xfrm>
            <a:off x="12866040" y="1243440"/>
            <a:ext cx="360" cy="360"/>
          </xdr14:xfrm>
        </xdr:contentPart>
      </mc:Choice>
      <mc:Fallback xmlns="">
        <xdr:pic>
          <xdr:nvPicPr>
            <xdr:cNvPr id="105" name="Ink 104">
              <a:extLst>
                <a:ext uri="{FF2B5EF4-FFF2-40B4-BE49-F238E27FC236}">
                  <a16:creationId xmlns:a16="http://schemas.microsoft.com/office/drawing/2014/main" id="{DDFBB5B4-8FE7-AE4F-AD5C-ADEA5113BC6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6" name="Ink 105">
              <a:extLst>
                <a:ext uri="{FF2B5EF4-FFF2-40B4-BE49-F238E27FC236}">
                  <a16:creationId xmlns:a16="http://schemas.microsoft.com/office/drawing/2014/main" id="{E1010541-AAB0-D447-87F4-7D6D76238B87}"/>
                </a:ext>
              </a:extLst>
            </xdr14:cNvPr>
            <xdr14:cNvContentPartPr/>
          </xdr14:nvContentPartPr>
          <xdr14:nvPr macro=""/>
          <xdr14:xfrm>
            <a:off x="12973680" y="1366560"/>
            <a:ext cx="360" cy="360"/>
          </xdr14:xfrm>
        </xdr:contentPart>
      </mc:Choice>
      <mc:Fallback xmlns="">
        <xdr:pic>
          <xdr:nvPicPr>
            <xdr:cNvPr id="106" name="Ink 105">
              <a:extLst>
                <a:ext uri="{FF2B5EF4-FFF2-40B4-BE49-F238E27FC236}">
                  <a16:creationId xmlns:a16="http://schemas.microsoft.com/office/drawing/2014/main" id="{E1010541-AAB0-D447-87F4-7D6D76238B8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7" name="Ink 106">
              <a:extLst>
                <a:ext uri="{FF2B5EF4-FFF2-40B4-BE49-F238E27FC236}">
                  <a16:creationId xmlns:a16="http://schemas.microsoft.com/office/drawing/2014/main" id="{C417E118-7B02-2848-8F6D-AFF5F2AC5BA7}"/>
                </a:ext>
              </a:extLst>
            </xdr14:cNvPr>
            <xdr14:cNvContentPartPr/>
          </xdr14:nvContentPartPr>
          <xdr14:nvPr macro=""/>
          <xdr14:xfrm>
            <a:off x="12846960" y="1192320"/>
            <a:ext cx="360" cy="360"/>
          </xdr14:xfrm>
        </xdr:contentPart>
      </mc:Choice>
      <mc:Fallback xmlns="">
        <xdr:pic>
          <xdr:nvPicPr>
            <xdr:cNvPr id="107" name="Ink 106">
              <a:extLst>
                <a:ext uri="{FF2B5EF4-FFF2-40B4-BE49-F238E27FC236}">
                  <a16:creationId xmlns:a16="http://schemas.microsoft.com/office/drawing/2014/main" id="{C417E118-7B02-2848-8F6D-AFF5F2AC5BA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 name="Ink 107">
              <a:extLst>
                <a:ext uri="{FF2B5EF4-FFF2-40B4-BE49-F238E27FC236}">
                  <a16:creationId xmlns:a16="http://schemas.microsoft.com/office/drawing/2014/main" id="{BE33811B-968B-FC43-AF7D-4ED2598F2874}"/>
                </a:ext>
              </a:extLst>
            </xdr14:cNvPr>
            <xdr14:cNvContentPartPr/>
          </xdr14:nvContentPartPr>
          <xdr14:nvPr macro=""/>
          <xdr14:xfrm>
            <a:off x="12866040" y="1243440"/>
            <a:ext cx="360" cy="360"/>
          </xdr14:xfrm>
        </xdr:contentPart>
      </mc:Choice>
      <mc:Fallback xmlns="">
        <xdr:pic>
          <xdr:nvPicPr>
            <xdr:cNvPr id="108" name="Ink 107">
              <a:extLst>
                <a:ext uri="{FF2B5EF4-FFF2-40B4-BE49-F238E27FC236}">
                  <a16:creationId xmlns:a16="http://schemas.microsoft.com/office/drawing/2014/main" id="{BE33811B-968B-FC43-AF7D-4ED2598F287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9" name="Ink 108">
              <a:extLst>
                <a:ext uri="{FF2B5EF4-FFF2-40B4-BE49-F238E27FC236}">
                  <a16:creationId xmlns:a16="http://schemas.microsoft.com/office/drawing/2014/main" id="{A13B2F24-73D5-7D45-8A32-E6D5F442A4D8}"/>
                </a:ext>
              </a:extLst>
            </xdr14:cNvPr>
            <xdr14:cNvContentPartPr/>
          </xdr14:nvContentPartPr>
          <xdr14:nvPr macro=""/>
          <xdr14:xfrm>
            <a:off x="12973680" y="1366560"/>
            <a:ext cx="360" cy="360"/>
          </xdr14:xfrm>
        </xdr:contentPart>
      </mc:Choice>
      <mc:Fallback xmlns="">
        <xdr:pic>
          <xdr:nvPicPr>
            <xdr:cNvPr id="109" name="Ink 108">
              <a:extLst>
                <a:ext uri="{FF2B5EF4-FFF2-40B4-BE49-F238E27FC236}">
                  <a16:creationId xmlns:a16="http://schemas.microsoft.com/office/drawing/2014/main" id="{A13B2F24-73D5-7D45-8A32-E6D5F442A4D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10" name="Ink 109">
              <a:extLst>
                <a:ext uri="{FF2B5EF4-FFF2-40B4-BE49-F238E27FC236}">
                  <a16:creationId xmlns:a16="http://schemas.microsoft.com/office/drawing/2014/main" id="{C701F6E1-B8D8-AD41-8ADC-6995BEBE25C0}"/>
                </a:ext>
              </a:extLst>
            </xdr14:cNvPr>
            <xdr14:cNvContentPartPr/>
          </xdr14:nvContentPartPr>
          <xdr14:nvPr macro=""/>
          <xdr14:xfrm>
            <a:off x="12846960" y="1192320"/>
            <a:ext cx="360" cy="360"/>
          </xdr14:xfrm>
        </xdr:contentPart>
      </mc:Choice>
      <mc:Fallback xmlns="">
        <xdr:pic>
          <xdr:nvPicPr>
            <xdr:cNvPr id="110" name="Ink 109">
              <a:extLst>
                <a:ext uri="{FF2B5EF4-FFF2-40B4-BE49-F238E27FC236}">
                  <a16:creationId xmlns:a16="http://schemas.microsoft.com/office/drawing/2014/main" id="{C701F6E1-B8D8-AD41-8ADC-6995BEBE25C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11" name="Ink 110">
              <a:extLst>
                <a:ext uri="{FF2B5EF4-FFF2-40B4-BE49-F238E27FC236}">
                  <a16:creationId xmlns:a16="http://schemas.microsoft.com/office/drawing/2014/main" id="{C6FC08D3-999F-994E-83A7-883E746B9B3D}"/>
                </a:ext>
              </a:extLst>
            </xdr14:cNvPr>
            <xdr14:cNvContentPartPr/>
          </xdr14:nvContentPartPr>
          <xdr14:nvPr macro=""/>
          <xdr14:xfrm>
            <a:off x="12866040" y="1243440"/>
            <a:ext cx="360" cy="360"/>
          </xdr14:xfrm>
        </xdr:contentPart>
      </mc:Choice>
      <mc:Fallback xmlns="">
        <xdr:pic>
          <xdr:nvPicPr>
            <xdr:cNvPr id="111" name="Ink 110">
              <a:extLst>
                <a:ext uri="{FF2B5EF4-FFF2-40B4-BE49-F238E27FC236}">
                  <a16:creationId xmlns:a16="http://schemas.microsoft.com/office/drawing/2014/main" id="{C6FC08D3-999F-994E-83A7-883E746B9B3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12" name="Ink 111">
              <a:extLst>
                <a:ext uri="{FF2B5EF4-FFF2-40B4-BE49-F238E27FC236}">
                  <a16:creationId xmlns:a16="http://schemas.microsoft.com/office/drawing/2014/main" id="{26894AC9-7D82-EA40-B12B-CD2EC8D32F85}"/>
                </a:ext>
              </a:extLst>
            </xdr14:cNvPr>
            <xdr14:cNvContentPartPr/>
          </xdr14:nvContentPartPr>
          <xdr14:nvPr macro=""/>
          <xdr14:xfrm>
            <a:off x="12973680" y="1366560"/>
            <a:ext cx="360" cy="360"/>
          </xdr14:xfrm>
        </xdr:contentPart>
      </mc:Choice>
      <mc:Fallback xmlns="">
        <xdr:pic>
          <xdr:nvPicPr>
            <xdr:cNvPr id="112" name="Ink 111">
              <a:extLst>
                <a:ext uri="{FF2B5EF4-FFF2-40B4-BE49-F238E27FC236}">
                  <a16:creationId xmlns:a16="http://schemas.microsoft.com/office/drawing/2014/main" id="{26894AC9-7D82-EA40-B12B-CD2EC8D32F8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3" name="Ink 112">
              <a:extLst>
                <a:ext uri="{FF2B5EF4-FFF2-40B4-BE49-F238E27FC236}">
                  <a16:creationId xmlns:a16="http://schemas.microsoft.com/office/drawing/2014/main" id="{92C31FD6-EBA6-BC47-9A7D-3C1ED6816568}"/>
                </a:ext>
              </a:extLst>
            </xdr14:cNvPr>
            <xdr14:cNvContentPartPr/>
          </xdr14:nvContentPartPr>
          <xdr14:nvPr macro=""/>
          <xdr14:xfrm>
            <a:off x="12846960" y="1192320"/>
            <a:ext cx="360" cy="360"/>
          </xdr14:xfrm>
        </xdr:contentPart>
      </mc:Choice>
      <mc:Fallback xmlns="">
        <xdr:pic>
          <xdr:nvPicPr>
            <xdr:cNvPr id="113" name="Ink 112">
              <a:extLst>
                <a:ext uri="{FF2B5EF4-FFF2-40B4-BE49-F238E27FC236}">
                  <a16:creationId xmlns:a16="http://schemas.microsoft.com/office/drawing/2014/main" id="{92C31FD6-EBA6-BC47-9A7D-3C1ED681656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4" name="Ink 113">
              <a:extLst>
                <a:ext uri="{FF2B5EF4-FFF2-40B4-BE49-F238E27FC236}">
                  <a16:creationId xmlns:a16="http://schemas.microsoft.com/office/drawing/2014/main" id="{21001823-0314-B34E-AFFC-E0D5DE9ED194}"/>
                </a:ext>
              </a:extLst>
            </xdr14:cNvPr>
            <xdr14:cNvContentPartPr/>
          </xdr14:nvContentPartPr>
          <xdr14:nvPr macro=""/>
          <xdr14:xfrm>
            <a:off x="12866040" y="1243440"/>
            <a:ext cx="360" cy="360"/>
          </xdr14:xfrm>
        </xdr:contentPart>
      </mc:Choice>
      <mc:Fallback xmlns="">
        <xdr:pic>
          <xdr:nvPicPr>
            <xdr:cNvPr id="114" name="Ink 113">
              <a:extLst>
                <a:ext uri="{FF2B5EF4-FFF2-40B4-BE49-F238E27FC236}">
                  <a16:creationId xmlns:a16="http://schemas.microsoft.com/office/drawing/2014/main" id="{21001823-0314-B34E-AFFC-E0D5DE9ED19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5" name="Ink 114">
              <a:extLst>
                <a:ext uri="{FF2B5EF4-FFF2-40B4-BE49-F238E27FC236}">
                  <a16:creationId xmlns:a16="http://schemas.microsoft.com/office/drawing/2014/main" id="{F67CBE91-62D6-6C47-9F28-E91F653E8D31}"/>
                </a:ext>
              </a:extLst>
            </xdr14:cNvPr>
            <xdr14:cNvContentPartPr/>
          </xdr14:nvContentPartPr>
          <xdr14:nvPr macro=""/>
          <xdr14:xfrm>
            <a:off x="12973680" y="1366560"/>
            <a:ext cx="360" cy="360"/>
          </xdr14:xfrm>
        </xdr:contentPart>
      </mc:Choice>
      <mc:Fallback xmlns="">
        <xdr:pic>
          <xdr:nvPicPr>
            <xdr:cNvPr id="115" name="Ink 114">
              <a:extLst>
                <a:ext uri="{FF2B5EF4-FFF2-40B4-BE49-F238E27FC236}">
                  <a16:creationId xmlns:a16="http://schemas.microsoft.com/office/drawing/2014/main" id="{F67CBE91-62D6-6C47-9F28-E91F653E8D3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6" name="Ink 115">
              <a:extLst>
                <a:ext uri="{FF2B5EF4-FFF2-40B4-BE49-F238E27FC236}">
                  <a16:creationId xmlns:a16="http://schemas.microsoft.com/office/drawing/2014/main" id="{96117B8B-4763-CE45-AA30-F6689CA2675A}"/>
                </a:ext>
              </a:extLst>
            </xdr14:cNvPr>
            <xdr14:cNvContentPartPr/>
          </xdr14:nvContentPartPr>
          <xdr14:nvPr macro=""/>
          <xdr14:xfrm>
            <a:off x="12846960" y="1192320"/>
            <a:ext cx="360" cy="360"/>
          </xdr14:xfrm>
        </xdr:contentPart>
      </mc:Choice>
      <mc:Fallback xmlns="">
        <xdr:pic>
          <xdr:nvPicPr>
            <xdr:cNvPr id="116" name="Ink 115">
              <a:extLst>
                <a:ext uri="{FF2B5EF4-FFF2-40B4-BE49-F238E27FC236}">
                  <a16:creationId xmlns:a16="http://schemas.microsoft.com/office/drawing/2014/main" id="{96117B8B-4763-CE45-AA30-F6689CA2675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7" name="Ink 116">
              <a:extLst>
                <a:ext uri="{FF2B5EF4-FFF2-40B4-BE49-F238E27FC236}">
                  <a16:creationId xmlns:a16="http://schemas.microsoft.com/office/drawing/2014/main" id="{9B85B298-F493-E949-A3B4-123BCF634A57}"/>
                </a:ext>
              </a:extLst>
            </xdr14:cNvPr>
            <xdr14:cNvContentPartPr/>
          </xdr14:nvContentPartPr>
          <xdr14:nvPr macro=""/>
          <xdr14:xfrm>
            <a:off x="12866040" y="1243440"/>
            <a:ext cx="360" cy="360"/>
          </xdr14:xfrm>
        </xdr:contentPart>
      </mc:Choice>
      <mc:Fallback xmlns="">
        <xdr:pic>
          <xdr:nvPicPr>
            <xdr:cNvPr id="117" name="Ink 116">
              <a:extLst>
                <a:ext uri="{FF2B5EF4-FFF2-40B4-BE49-F238E27FC236}">
                  <a16:creationId xmlns:a16="http://schemas.microsoft.com/office/drawing/2014/main" id="{9B85B298-F493-E949-A3B4-123BCF634A5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8" name="Ink 117">
              <a:extLst>
                <a:ext uri="{FF2B5EF4-FFF2-40B4-BE49-F238E27FC236}">
                  <a16:creationId xmlns:a16="http://schemas.microsoft.com/office/drawing/2014/main" id="{E16DCE26-2518-A248-8F18-C6E1F99F3B35}"/>
                </a:ext>
              </a:extLst>
            </xdr14:cNvPr>
            <xdr14:cNvContentPartPr/>
          </xdr14:nvContentPartPr>
          <xdr14:nvPr macro=""/>
          <xdr14:xfrm>
            <a:off x="12973680" y="1366560"/>
            <a:ext cx="360" cy="360"/>
          </xdr14:xfrm>
        </xdr:contentPart>
      </mc:Choice>
      <mc:Fallback xmlns="">
        <xdr:pic>
          <xdr:nvPicPr>
            <xdr:cNvPr id="118" name="Ink 117">
              <a:extLst>
                <a:ext uri="{FF2B5EF4-FFF2-40B4-BE49-F238E27FC236}">
                  <a16:creationId xmlns:a16="http://schemas.microsoft.com/office/drawing/2014/main" id="{E16DCE26-2518-A248-8F18-C6E1F99F3B3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9" name="Ink 118">
              <a:extLst>
                <a:ext uri="{FF2B5EF4-FFF2-40B4-BE49-F238E27FC236}">
                  <a16:creationId xmlns:a16="http://schemas.microsoft.com/office/drawing/2014/main" id="{0F5634D9-2C63-4F40-966A-C7A36F899CB0}"/>
                </a:ext>
              </a:extLst>
            </xdr14:cNvPr>
            <xdr14:cNvContentPartPr/>
          </xdr14:nvContentPartPr>
          <xdr14:nvPr macro=""/>
          <xdr14:xfrm>
            <a:off x="12846960" y="1192320"/>
            <a:ext cx="360" cy="360"/>
          </xdr14:xfrm>
        </xdr:contentPart>
      </mc:Choice>
      <mc:Fallback xmlns="">
        <xdr:pic>
          <xdr:nvPicPr>
            <xdr:cNvPr id="119" name="Ink 118">
              <a:extLst>
                <a:ext uri="{FF2B5EF4-FFF2-40B4-BE49-F238E27FC236}">
                  <a16:creationId xmlns:a16="http://schemas.microsoft.com/office/drawing/2014/main" id="{0F5634D9-2C63-4F40-966A-C7A36F899CB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20" name="Ink 119">
              <a:extLst>
                <a:ext uri="{FF2B5EF4-FFF2-40B4-BE49-F238E27FC236}">
                  <a16:creationId xmlns:a16="http://schemas.microsoft.com/office/drawing/2014/main" id="{051FB4DC-A47A-2549-A81F-FFBC493CD03D}"/>
                </a:ext>
              </a:extLst>
            </xdr14:cNvPr>
            <xdr14:cNvContentPartPr/>
          </xdr14:nvContentPartPr>
          <xdr14:nvPr macro=""/>
          <xdr14:xfrm>
            <a:off x="12866040" y="1243440"/>
            <a:ext cx="360" cy="360"/>
          </xdr14:xfrm>
        </xdr:contentPart>
      </mc:Choice>
      <mc:Fallback xmlns="">
        <xdr:pic>
          <xdr:nvPicPr>
            <xdr:cNvPr id="120" name="Ink 119">
              <a:extLst>
                <a:ext uri="{FF2B5EF4-FFF2-40B4-BE49-F238E27FC236}">
                  <a16:creationId xmlns:a16="http://schemas.microsoft.com/office/drawing/2014/main" id="{051FB4DC-A47A-2549-A81F-FFBC493CD03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21" name="Ink 120">
              <a:extLst>
                <a:ext uri="{FF2B5EF4-FFF2-40B4-BE49-F238E27FC236}">
                  <a16:creationId xmlns:a16="http://schemas.microsoft.com/office/drawing/2014/main" id="{0B908390-E2D9-8840-AC65-7E771778DB4F}"/>
                </a:ext>
              </a:extLst>
            </xdr14:cNvPr>
            <xdr14:cNvContentPartPr/>
          </xdr14:nvContentPartPr>
          <xdr14:nvPr macro=""/>
          <xdr14:xfrm>
            <a:off x="12973680" y="1366560"/>
            <a:ext cx="360" cy="360"/>
          </xdr14:xfrm>
        </xdr:contentPart>
      </mc:Choice>
      <mc:Fallback xmlns="">
        <xdr:pic>
          <xdr:nvPicPr>
            <xdr:cNvPr id="121" name="Ink 120">
              <a:extLst>
                <a:ext uri="{FF2B5EF4-FFF2-40B4-BE49-F238E27FC236}">
                  <a16:creationId xmlns:a16="http://schemas.microsoft.com/office/drawing/2014/main" id="{0B908390-E2D9-8840-AC65-7E771778DB4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22" name="Ink 121">
              <a:extLst>
                <a:ext uri="{FF2B5EF4-FFF2-40B4-BE49-F238E27FC236}">
                  <a16:creationId xmlns:a16="http://schemas.microsoft.com/office/drawing/2014/main" id="{1A37A8AC-5B22-5D4A-92B8-3089D82F334F}"/>
                </a:ext>
              </a:extLst>
            </xdr14:cNvPr>
            <xdr14:cNvContentPartPr/>
          </xdr14:nvContentPartPr>
          <xdr14:nvPr macro=""/>
          <xdr14:xfrm>
            <a:off x="12846960" y="1192320"/>
            <a:ext cx="360" cy="360"/>
          </xdr14:xfrm>
        </xdr:contentPart>
      </mc:Choice>
      <mc:Fallback xmlns="">
        <xdr:pic>
          <xdr:nvPicPr>
            <xdr:cNvPr id="122" name="Ink 121">
              <a:extLst>
                <a:ext uri="{FF2B5EF4-FFF2-40B4-BE49-F238E27FC236}">
                  <a16:creationId xmlns:a16="http://schemas.microsoft.com/office/drawing/2014/main" id="{1A37A8AC-5B22-5D4A-92B8-3089D82F334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23" name="Ink 122">
              <a:extLst>
                <a:ext uri="{FF2B5EF4-FFF2-40B4-BE49-F238E27FC236}">
                  <a16:creationId xmlns:a16="http://schemas.microsoft.com/office/drawing/2014/main" id="{9F1C8CFE-772C-2B45-82C2-0634C92CDDCF}"/>
                </a:ext>
              </a:extLst>
            </xdr14:cNvPr>
            <xdr14:cNvContentPartPr/>
          </xdr14:nvContentPartPr>
          <xdr14:nvPr macro=""/>
          <xdr14:xfrm>
            <a:off x="12866040" y="1243440"/>
            <a:ext cx="360" cy="360"/>
          </xdr14:xfrm>
        </xdr:contentPart>
      </mc:Choice>
      <mc:Fallback xmlns="">
        <xdr:pic>
          <xdr:nvPicPr>
            <xdr:cNvPr id="123" name="Ink 122">
              <a:extLst>
                <a:ext uri="{FF2B5EF4-FFF2-40B4-BE49-F238E27FC236}">
                  <a16:creationId xmlns:a16="http://schemas.microsoft.com/office/drawing/2014/main" id="{9F1C8CFE-772C-2B45-82C2-0634C92CDDC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24" name="Ink 123">
              <a:extLst>
                <a:ext uri="{FF2B5EF4-FFF2-40B4-BE49-F238E27FC236}">
                  <a16:creationId xmlns:a16="http://schemas.microsoft.com/office/drawing/2014/main" id="{A4C12367-BC9F-F94E-A1A1-F1037F6A5DE7}"/>
                </a:ext>
              </a:extLst>
            </xdr14:cNvPr>
            <xdr14:cNvContentPartPr/>
          </xdr14:nvContentPartPr>
          <xdr14:nvPr macro=""/>
          <xdr14:xfrm>
            <a:off x="12973680" y="1366560"/>
            <a:ext cx="360" cy="360"/>
          </xdr14:xfrm>
        </xdr:contentPart>
      </mc:Choice>
      <mc:Fallback xmlns="">
        <xdr:pic>
          <xdr:nvPicPr>
            <xdr:cNvPr id="124" name="Ink 123">
              <a:extLst>
                <a:ext uri="{FF2B5EF4-FFF2-40B4-BE49-F238E27FC236}">
                  <a16:creationId xmlns:a16="http://schemas.microsoft.com/office/drawing/2014/main" id="{A4C12367-BC9F-F94E-A1A1-F1037F6A5DE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25" name="Ink 124">
              <a:extLst>
                <a:ext uri="{FF2B5EF4-FFF2-40B4-BE49-F238E27FC236}">
                  <a16:creationId xmlns:a16="http://schemas.microsoft.com/office/drawing/2014/main" id="{927456CD-A6B8-C24D-87C0-49874506012E}"/>
                </a:ext>
              </a:extLst>
            </xdr14:cNvPr>
            <xdr14:cNvContentPartPr/>
          </xdr14:nvContentPartPr>
          <xdr14:nvPr macro=""/>
          <xdr14:xfrm>
            <a:off x="12846960" y="1192320"/>
            <a:ext cx="360" cy="360"/>
          </xdr14:xfrm>
        </xdr:contentPart>
      </mc:Choice>
      <mc:Fallback xmlns="">
        <xdr:pic>
          <xdr:nvPicPr>
            <xdr:cNvPr id="125" name="Ink 124">
              <a:extLst>
                <a:ext uri="{FF2B5EF4-FFF2-40B4-BE49-F238E27FC236}">
                  <a16:creationId xmlns:a16="http://schemas.microsoft.com/office/drawing/2014/main" id="{927456CD-A6B8-C24D-87C0-49874506012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26" name="Ink 125">
              <a:extLst>
                <a:ext uri="{FF2B5EF4-FFF2-40B4-BE49-F238E27FC236}">
                  <a16:creationId xmlns:a16="http://schemas.microsoft.com/office/drawing/2014/main" id="{41121196-150B-C04B-9B0D-A58924AA241C}"/>
                </a:ext>
              </a:extLst>
            </xdr14:cNvPr>
            <xdr14:cNvContentPartPr/>
          </xdr14:nvContentPartPr>
          <xdr14:nvPr macro=""/>
          <xdr14:xfrm>
            <a:off x="12866040" y="1243440"/>
            <a:ext cx="360" cy="360"/>
          </xdr14:xfrm>
        </xdr:contentPart>
      </mc:Choice>
      <mc:Fallback xmlns="">
        <xdr:pic>
          <xdr:nvPicPr>
            <xdr:cNvPr id="126" name="Ink 125">
              <a:extLst>
                <a:ext uri="{FF2B5EF4-FFF2-40B4-BE49-F238E27FC236}">
                  <a16:creationId xmlns:a16="http://schemas.microsoft.com/office/drawing/2014/main" id="{41121196-150B-C04B-9B0D-A58924AA241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27" name="Ink 126">
              <a:extLst>
                <a:ext uri="{FF2B5EF4-FFF2-40B4-BE49-F238E27FC236}">
                  <a16:creationId xmlns:a16="http://schemas.microsoft.com/office/drawing/2014/main" id="{E61E0A9E-DCA1-824A-B349-88D60D034D0C}"/>
                </a:ext>
              </a:extLst>
            </xdr14:cNvPr>
            <xdr14:cNvContentPartPr/>
          </xdr14:nvContentPartPr>
          <xdr14:nvPr macro=""/>
          <xdr14:xfrm>
            <a:off x="12973680" y="1366560"/>
            <a:ext cx="360" cy="360"/>
          </xdr14:xfrm>
        </xdr:contentPart>
      </mc:Choice>
      <mc:Fallback xmlns="">
        <xdr:pic>
          <xdr:nvPicPr>
            <xdr:cNvPr id="127" name="Ink 126">
              <a:extLst>
                <a:ext uri="{FF2B5EF4-FFF2-40B4-BE49-F238E27FC236}">
                  <a16:creationId xmlns:a16="http://schemas.microsoft.com/office/drawing/2014/main" id="{E61E0A9E-DCA1-824A-B349-88D60D034D0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28" name="Ink 127">
              <a:extLst>
                <a:ext uri="{FF2B5EF4-FFF2-40B4-BE49-F238E27FC236}">
                  <a16:creationId xmlns:a16="http://schemas.microsoft.com/office/drawing/2014/main" id="{2ECE3CAC-BDA4-324F-9872-0BE1017CAC1B}"/>
                </a:ext>
              </a:extLst>
            </xdr14:cNvPr>
            <xdr14:cNvContentPartPr/>
          </xdr14:nvContentPartPr>
          <xdr14:nvPr macro=""/>
          <xdr14:xfrm>
            <a:off x="12846960" y="1192320"/>
            <a:ext cx="360" cy="360"/>
          </xdr14:xfrm>
        </xdr:contentPart>
      </mc:Choice>
      <mc:Fallback xmlns="">
        <xdr:pic>
          <xdr:nvPicPr>
            <xdr:cNvPr id="128" name="Ink 127">
              <a:extLst>
                <a:ext uri="{FF2B5EF4-FFF2-40B4-BE49-F238E27FC236}">
                  <a16:creationId xmlns:a16="http://schemas.microsoft.com/office/drawing/2014/main" id="{2ECE3CAC-BDA4-324F-9872-0BE1017CAC1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29" name="Ink 128">
              <a:extLst>
                <a:ext uri="{FF2B5EF4-FFF2-40B4-BE49-F238E27FC236}">
                  <a16:creationId xmlns:a16="http://schemas.microsoft.com/office/drawing/2014/main" id="{4AD0833A-956C-D94D-8C95-A41ACF830EF9}"/>
                </a:ext>
              </a:extLst>
            </xdr14:cNvPr>
            <xdr14:cNvContentPartPr/>
          </xdr14:nvContentPartPr>
          <xdr14:nvPr macro=""/>
          <xdr14:xfrm>
            <a:off x="12866040" y="1243440"/>
            <a:ext cx="360" cy="360"/>
          </xdr14:xfrm>
        </xdr:contentPart>
      </mc:Choice>
      <mc:Fallback xmlns="">
        <xdr:pic>
          <xdr:nvPicPr>
            <xdr:cNvPr id="129" name="Ink 128">
              <a:extLst>
                <a:ext uri="{FF2B5EF4-FFF2-40B4-BE49-F238E27FC236}">
                  <a16:creationId xmlns:a16="http://schemas.microsoft.com/office/drawing/2014/main" id="{4AD0833A-956C-D94D-8C95-A41ACF830EF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30" name="Ink 129">
              <a:extLst>
                <a:ext uri="{FF2B5EF4-FFF2-40B4-BE49-F238E27FC236}">
                  <a16:creationId xmlns:a16="http://schemas.microsoft.com/office/drawing/2014/main" id="{B5007AD2-EAD6-9741-886C-C5A488F32825}"/>
                </a:ext>
              </a:extLst>
            </xdr14:cNvPr>
            <xdr14:cNvContentPartPr/>
          </xdr14:nvContentPartPr>
          <xdr14:nvPr macro=""/>
          <xdr14:xfrm>
            <a:off x="12973680" y="1366560"/>
            <a:ext cx="360" cy="360"/>
          </xdr14:xfrm>
        </xdr:contentPart>
      </mc:Choice>
      <mc:Fallback xmlns="">
        <xdr:pic>
          <xdr:nvPicPr>
            <xdr:cNvPr id="130" name="Ink 129">
              <a:extLst>
                <a:ext uri="{FF2B5EF4-FFF2-40B4-BE49-F238E27FC236}">
                  <a16:creationId xmlns:a16="http://schemas.microsoft.com/office/drawing/2014/main" id="{B5007AD2-EAD6-9741-886C-C5A488F3282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31" name="Ink 130">
              <a:extLst>
                <a:ext uri="{FF2B5EF4-FFF2-40B4-BE49-F238E27FC236}">
                  <a16:creationId xmlns:a16="http://schemas.microsoft.com/office/drawing/2014/main" id="{36703278-26DA-FD4D-996E-073D87AA0E98}"/>
                </a:ext>
              </a:extLst>
            </xdr14:cNvPr>
            <xdr14:cNvContentPartPr/>
          </xdr14:nvContentPartPr>
          <xdr14:nvPr macro=""/>
          <xdr14:xfrm>
            <a:off x="12846960" y="1192320"/>
            <a:ext cx="360" cy="360"/>
          </xdr14:xfrm>
        </xdr:contentPart>
      </mc:Choice>
      <mc:Fallback xmlns="">
        <xdr:pic>
          <xdr:nvPicPr>
            <xdr:cNvPr id="131" name="Ink 130">
              <a:extLst>
                <a:ext uri="{FF2B5EF4-FFF2-40B4-BE49-F238E27FC236}">
                  <a16:creationId xmlns:a16="http://schemas.microsoft.com/office/drawing/2014/main" id="{36703278-26DA-FD4D-996E-073D87AA0E9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32" name="Ink 131">
              <a:extLst>
                <a:ext uri="{FF2B5EF4-FFF2-40B4-BE49-F238E27FC236}">
                  <a16:creationId xmlns:a16="http://schemas.microsoft.com/office/drawing/2014/main" id="{97041030-27AB-D349-A191-89CCC80AD32F}"/>
                </a:ext>
              </a:extLst>
            </xdr14:cNvPr>
            <xdr14:cNvContentPartPr/>
          </xdr14:nvContentPartPr>
          <xdr14:nvPr macro=""/>
          <xdr14:xfrm>
            <a:off x="12866040" y="1243440"/>
            <a:ext cx="360" cy="360"/>
          </xdr14:xfrm>
        </xdr:contentPart>
      </mc:Choice>
      <mc:Fallback xmlns="">
        <xdr:pic>
          <xdr:nvPicPr>
            <xdr:cNvPr id="132" name="Ink 131">
              <a:extLst>
                <a:ext uri="{FF2B5EF4-FFF2-40B4-BE49-F238E27FC236}">
                  <a16:creationId xmlns:a16="http://schemas.microsoft.com/office/drawing/2014/main" id="{97041030-27AB-D349-A191-89CCC80AD32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33" name="Ink 132">
              <a:extLst>
                <a:ext uri="{FF2B5EF4-FFF2-40B4-BE49-F238E27FC236}">
                  <a16:creationId xmlns:a16="http://schemas.microsoft.com/office/drawing/2014/main" id="{387CF549-858D-1B4C-899A-87223919EF63}"/>
                </a:ext>
              </a:extLst>
            </xdr14:cNvPr>
            <xdr14:cNvContentPartPr/>
          </xdr14:nvContentPartPr>
          <xdr14:nvPr macro=""/>
          <xdr14:xfrm>
            <a:off x="12973680" y="1366560"/>
            <a:ext cx="360" cy="360"/>
          </xdr14:xfrm>
        </xdr:contentPart>
      </mc:Choice>
      <mc:Fallback xmlns="">
        <xdr:pic>
          <xdr:nvPicPr>
            <xdr:cNvPr id="133" name="Ink 132">
              <a:extLst>
                <a:ext uri="{FF2B5EF4-FFF2-40B4-BE49-F238E27FC236}">
                  <a16:creationId xmlns:a16="http://schemas.microsoft.com/office/drawing/2014/main" id="{387CF549-858D-1B4C-899A-87223919EF6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34" name="Ink 133">
              <a:extLst>
                <a:ext uri="{FF2B5EF4-FFF2-40B4-BE49-F238E27FC236}">
                  <a16:creationId xmlns:a16="http://schemas.microsoft.com/office/drawing/2014/main" id="{BC5A84C8-172B-F544-893E-2E62F75E284A}"/>
                </a:ext>
              </a:extLst>
            </xdr14:cNvPr>
            <xdr14:cNvContentPartPr/>
          </xdr14:nvContentPartPr>
          <xdr14:nvPr macro=""/>
          <xdr14:xfrm>
            <a:off x="12846960" y="1192320"/>
            <a:ext cx="360" cy="360"/>
          </xdr14:xfrm>
        </xdr:contentPart>
      </mc:Choice>
      <mc:Fallback xmlns="">
        <xdr:pic>
          <xdr:nvPicPr>
            <xdr:cNvPr id="134" name="Ink 133">
              <a:extLst>
                <a:ext uri="{FF2B5EF4-FFF2-40B4-BE49-F238E27FC236}">
                  <a16:creationId xmlns:a16="http://schemas.microsoft.com/office/drawing/2014/main" id="{BC5A84C8-172B-F544-893E-2E62F75E284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35" name="Ink 134">
              <a:extLst>
                <a:ext uri="{FF2B5EF4-FFF2-40B4-BE49-F238E27FC236}">
                  <a16:creationId xmlns:a16="http://schemas.microsoft.com/office/drawing/2014/main" id="{AC0145D3-F02E-F246-AB8E-FE363170245F}"/>
                </a:ext>
              </a:extLst>
            </xdr14:cNvPr>
            <xdr14:cNvContentPartPr/>
          </xdr14:nvContentPartPr>
          <xdr14:nvPr macro=""/>
          <xdr14:xfrm>
            <a:off x="12866040" y="1243440"/>
            <a:ext cx="360" cy="360"/>
          </xdr14:xfrm>
        </xdr:contentPart>
      </mc:Choice>
      <mc:Fallback xmlns="">
        <xdr:pic>
          <xdr:nvPicPr>
            <xdr:cNvPr id="135" name="Ink 134">
              <a:extLst>
                <a:ext uri="{FF2B5EF4-FFF2-40B4-BE49-F238E27FC236}">
                  <a16:creationId xmlns:a16="http://schemas.microsoft.com/office/drawing/2014/main" id="{AC0145D3-F02E-F246-AB8E-FE363170245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36" name="Ink 135">
              <a:extLst>
                <a:ext uri="{FF2B5EF4-FFF2-40B4-BE49-F238E27FC236}">
                  <a16:creationId xmlns:a16="http://schemas.microsoft.com/office/drawing/2014/main" id="{16584AED-1810-9A41-8415-B832B9E3320F}"/>
                </a:ext>
              </a:extLst>
            </xdr14:cNvPr>
            <xdr14:cNvContentPartPr/>
          </xdr14:nvContentPartPr>
          <xdr14:nvPr macro=""/>
          <xdr14:xfrm>
            <a:off x="12973680" y="1366560"/>
            <a:ext cx="360" cy="360"/>
          </xdr14:xfrm>
        </xdr:contentPart>
      </mc:Choice>
      <mc:Fallback xmlns="">
        <xdr:pic>
          <xdr:nvPicPr>
            <xdr:cNvPr id="136" name="Ink 135">
              <a:extLst>
                <a:ext uri="{FF2B5EF4-FFF2-40B4-BE49-F238E27FC236}">
                  <a16:creationId xmlns:a16="http://schemas.microsoft.com/office/drawing/2014/main" id="{16584AED-1810-9A41-8415-B832B9E3320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37" name="Ink 136">
              <a:extLst>
                <a:ext uri="{FF2B5EF4-FFF2-40B4-BE49-F238E27FC236}">
                  <a16:creationId xmlns:a16="http://schemas.microsoft.com/office/drawing/2014/main" id="{1EF02922-8886-114A-BCE9-173AC89AB95E}"/>
                </a:ext>
              </a:extLst>
            </xdr14:cNvPr>
            <xdr14:cNvContentPartPr/>
          </xdr14:nvContentPartPr>
          <xdr14:nvPr macro=""/>
          <xdr14:xfrm>
            <a:off x="12846960" y="1192320"/>
            <a:ext cx="360" cy="360"/>
          </xdr14:xfrm>
        </xdr:contentPart>
      </mc:Choice>
      <mc:Fallback xmlns="">
        <xdr:pic>
          <xdr:nvPicPr>
            <xdr:cNvPr id="137" name="Ink 136">
              <a:extLst>
                <a:ext uri="{FF2B5EF4-FFF2-40B4-BE49-F238E27FC236}">
                  <a16:creationId xmlns:a16="http://schemas.microsoft.com/office/drawing/2014/main" id="{1EF02922-8886-114A-BCE9-173AC89AB95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38" name="Ink 137">
              <a:extLst>
                <a:ext uri="{FF2B5EF4-FFF2-40B4-BE49-F238E27FC236}">
                  <a16:creationId xmlns:a16="http://schemas.microsoft.com/office/drawing/2014/main" id="{9F7300EE-E5D0-E34B-9F13-4D9618814432}"/>
                </a:ext>
              </a:extLst>
            </xdr14:cNvPr>
            <xdr14:cNvContentPartPr/>
          </xdr14:nvContentPartPr>
          <xdr14:nvPr macro=""/>
          <xdr14:xfrm>
            <a:off x="12866040" y="1243440"/>
            <a:ext cx="360" cy="360"/>
          </xdr14:xfrm>
        </xdr:contentPart>
      </mc:Choice>
      <mc:Fallback xmlns="">
        <xdr:pic>
          <xdr:nvPicPr>
            <xdr:cNvPr id="138" name="Ink 137">
              <a:extLst>
                <a:ext uri="{FF2B5EF4-FFF2-40B4-BE49-F238E27FC236}">
                  <a16:creationId xmlns:a16="http://schemas.microsoft.com/office/drawing/2014/main" id="{9F7300EE-E5D0-E34B-9F13-4D961881443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39" name="Ink 138">
              <a:extLst>
                <a:ext uri="{FF2B5EF4-FFF2-40B4-BE49-F238E27FC236}">
                  <a16:creationId xmlns:a16="http://schemas.microsoft.com/office/drawing/2014/main" id="{6DB26C93-E9E1-D945-B5CC-09BBF04FD1C9}"/>
                </a:ext>
              </a:extLst>
            </xdr14:cNvPr>
            <xdr14:cNvContentPartPr/>
          </xdr14:nvContentPartPr>
          <xdr14:nvPr macro=""/>
          <xdr14:xfrm>
            <a:off x="12973680" y="1366560"/>
            <a:ext cx="360" cy="360"/>
          </xdr14:xfrm>
        </xdr:contentPart>
      </mc:Choice>
      <mc:Fallback xmlns="">
        <xdr:pic>
          <xdr:nvPicPr>
            <xdr:cNvPr id="139" name="Ink 138">
              <a:extLst>
                <a:ext uri="{FF2B5EF4-FFF2-40B4-BE49-F238E27FC236}">
                  <a16:creationId xmlns:a16="http://schemas.microsoft.com/office/drawing/2014/main" id="{6DB26C93-E9E1-D945-B5CC-09BBF04FD1C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40" name="Ink 139">
              <a:extLst>
                <a:ext uri="{FF2B5EF4-FFF2-40B4-BE49-F238E27FC236}">
                  <a16:creationId xmlns:a16="http://schemas.microsoft.com/office/drawing/2014/main" id="{714C34AE-BB6E-0C44-B76C-BFF1F41C0EE5}"/>
                </a:ext>
              </a:extLst>
            </xdr14:cNvPr>
            <xdr14:cNvContentPartPr/>
          </xdr14:nvContentPartPr>
          <xdr14:nvPr macro=""/>
          <xdr14:xfrm>
            <a:off x="12846960" y="1192320"/>
            <a:ext cx="360" cy="360"/>
          </xdr14:xfrm>
        </xdr:contentPart>
      </mc:Choice>
      <mc:Fallback xmlns="">
        <xdr:pic>
          <xdr:nvPicPr>
            <xdr:cNvPr id="140" name="Ink 139">
              <a:extLst>
                <a:ext uri="{FF2B5EF4-FFF2-40B4-BE49-F238E27FC236}">
                  <a16:creationId xmlns:a16="http://schemas.microsoft.com/office/drawing/2014/main" id="{714C34AE-BB6E-0C44-B76C-BFF1F41C0EE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41" name="Ink 140">
              <a:extLst>
                <a:ext uri="{FF2B5EF4-FFF2-40B4-BE49-F238E27FC236}">
                  <a16:creationId xmlns:a16="http://schemas.microsoft.com/office/drawing/2014/main" id="{0C5DC473-132F-F842-A1D1-18ADAB541402}"/>
                </a:ext>
              </a:extLst>
            </xdr14:cNvPr>
            <xdr14:cNvContentPartPr/>
          </xdr14:nvContentPartPr>
          <xdr14:nvPr macro=""/>
          <xdr14:xfrm>
            <a:off x="12866040" y="1243440"/>
            <a:ext cx="360" cy="360"/>
          </xdr14:xfrm>
        </xdr:contentPart>
      </mc:Choice>
      <mc:Fallback xmlns="">
        <xdr:pic>
          <xdr:nvPicPr>
            <xdr:cNvPr id="141" name="Ink 140">
              <a:extLst>
                <a:ext uri="{FF2B5EF4-FFF2-40B4-BE49-F238E27FC236}">
                  <a16:creationId xmlns:a16="http://schemas.microsoft.com/office/drawing/2014/main" id="{0C5DC473-132F-F842-A1D1-18ADAB54140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42" name="Ink 141">
              <a:extLst>
                <a:ext uri="{FF2B5EF4-FFF2-40B4-BE49-F238E27FC236}">
                  <a16:creationId xmlns:a16="http://schemas.microsoft.com/office/drawing/2014/main" id="{47E8FE39-7085-7344-AB05-7B8FECFFCB0E}"/>
                </a:ext>
              </a:extLst>
            </xdr14:cNvPr>
            <xdr14:cNvContentPartPr/>
          </xdr14:nvContentPartPr>
          <xdr14:nvPr macro=""/>
          <xdr14:xfrm>
            <a:off x="12973680" y="1366560"/>
            <a:ext cx="360" cy="360"/>
          </xdr14:xfrm>
        </xdr:contentPart>
      </mc:Choice>
      <mc:Fallback xmlns="">
        <xdr:pic>
          <xdr:nvPicPr>
            <xdr:cNvPr id="142" name="Ink 141">
              <a:extLst>
                <a:ext uri="{FF2B5EF4-FFF2-40B4-BE49-F238E27FC236}">
                  <a16:creationId xmlns:a16="http://schemas.microsoft.com/office/drawing/2014/main" id="{47E8FE39-7085-7344-AB05-7B8FECFFCB0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43" name="Ink 142">
              <a:extLst>
                <a:ext uri="{FF2B5EF4-FFF2-40B4-BE49-F238E27FC236}">
                  <a16:creationId xmlns:a16="http://schemas.microsoft.com/office/drawing/2014/main" id="{66EB46D3-C082-7949-8771-9CEBB4B26062}"/>
                </a:ext>
              </a:extLst>
            </xdr14:cNvPr>
            <xdr14:cNvContentPartPr/>
          </xdr14:nvContentPartPr>
          <xdr14:nvPr macro=""/>
          <xdr14:xfrm>
            <a:off x="12846960" y="1192320"/>
            <a:ext cx="360" cy="360"/>
          </xdr14:xfrm>
        </xdr:contentPart>
      </mc:Choice>
      <mc:Fallback xmlns="">
        <xdr:pic>
          <xdr:nvPicPr>
            <xdr:cNvPr id="143" name="Ink 142">
              <a:extLst>
                <a:ext uri="{FF2B5EF4-FFF2-40B4-BE49-F238E27FC236}">
                  <a16:creationId xmlns:a16="http://schemas.microsoft.com/office/drawing/2014/main" id="{66EB46D3-C082-7949-8771-9CEBB4B2606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44" name="Ink 143">
              <a:extLst>
                <a:ext uri="{FF2B5EF4-FFF2-40B4-BE49-F238E27FC236}">
                  <a16:creationId xmlns:a16="http://schemas.microsoft.com/office/drawing/2014/main" id="{AAF58590-31DA-024B-AC46-78F032960CE7}"/>
                </a:ext>
              </a:extLst>
            </xdr14:cNvPr>
            <xdr14:cNvContentPartPr/>
          </xdr14:nvContentPartPr>
          <xdr14:nvPr macro=""/>
          <xdr14:xfrm>
            <a:off x="12866040" y="1243440"/>
            <a:ext cx="360" cy="360"/>
          </xdr14:xfrm>
        </xdr:contentPart>
      </mc:Choice>
      <mc:Fallback xmlns="">
        <xdr:pic>
          <xdr:nvPicPr>
            <xdr:cNvPr id="144" name="Ink 143">
              <a:extLst>
                <a:ext uri="{FF2B5EF4-FFF2-40B4-BE49-F238E27FC236}">
                  <a16:creationId xmlns:a16="http://schemas.microsoft.com/office/drawing/2014/main" id="{AAF58590-31DA-024B-AC46-78F032960CE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45" name="Ink 144">
              <a:extLst>
                <a:ext uri="{FF2B5EF4-FFF2-40B4-BE49-F238E27FC236}">
                  <a16:creationId xmlns:a16="http://schemas.microsoft.com/office/drawing/2014/main" id="{368F7ECC-0B9F-AF4B-AA87-CF0E2A174769}"/>
                </a:ext>
              </a:extLst>
            </xdr14:cNvPr>
            <xdr14:cNvContentPartPr/>
          </xdr14:nvContentPartPr>
          <xdr14:nvPr macro=""/>
          <xdr14:xfrm>
            <a:off x="12973680" y="1366560"/>
            <a:ext cx="360" cy="360"/>
          </xdr14:xfrm>
        </xdr:contentPart>
      </mc:Choice>
      <mc:Fallback xmlns="">
        <xdr:pic>
          <xdr:nvPicPr>
            <xdr:cNvPr id="145" name="Ink 144">
              <a:extLst>
                <a:ext uri="{FF2B5EF4-FFF2-40B4-BE49-F238E27FC236}">
                  <a16:creationId xmlns:a16="http://schemas.microsoft.com/office/drawing/2014/main" id="{368F7ECC-0B9F-AF4B-AA87-CF0E2A17476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46" name="Ink 145">
              <a:extLst>
                <a:ext uri="{FF2B5EF4-FFF2-40B4-BE49-F238E27FC236}">
                  <a16:creationId xmlns:a16="http://schemas.microsoft.com/office/drawing/2014/main" id="{C26C5811-9E54-FF4F-B415-7819A2D536F1}"/>
                </a:ext>
              </a:extLst>
            </xdr14:cNvPr>
            <xdr14:cNvContentPartPr/>
          </xdr14:nvContentPartPr>
          <xdr14:nvPr macro=""/>
          <xdr14:xfrm>
            <a:off x="12846960" y="1192320"/>
            <a:ext cx="360" cy="360"/>
          </xdr14:xfrm>
        </xdr:contentPart>
      </mc:Choice>
      <mc:Fallback xmlns="">
        <xdr:pic>
          <xdr:nvPicPr>
            <xdr:cNvPr id="146" name="Ink 145">
              <a:extLst>
                <a:ext uri="{FF2B5EF4-FFF2-40B4-BE49-F238E27FC236}">
                  <a16:creationId xmlns:a16="http://schemas.microsoft.com/office/drawing/2014/main" id="{C26C5811-9E54-FF4F-B415-7819A2D536F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47" name="Ink 146">
              <a:extLst>
                <a:ext uri="{FF2B5EF4-FFF2-40B4-BE49-F238E27FC236}">
                  <a16:creationId xmlns:a16="http://schemas.microsoft.com/office/drawing/2014/main" id="{F4699AB2-A26B-9C46-9E09-50EF0B3216A5}"/>
                </a:ext>
              </a:extLst>
            </xdr14:cNvPr>
            <xdr14:cNvContentPartPr/>
          </xdr14:nvContentPartPr>
          <xdr14:nvPr macro=""/>
          <xdr14:xfrm>
            <a:off x="12866040" y="1243440"/>
            <a:ext cx="360" cy="360"/>
          </xdr14:xfrm>
        </xdr:contentPart>
      </mc:Choice>
      <mc:Fallback xmlns="">
        <xdr:pic>
          <xdr:nvPicPr>
            <xdr:cNvPr id="147" name="Ink 146">
              <a:extLst>
                <a:ext uri="{FF2B5EF4-FFF2-40B4-BE49-F238E27FC236}">
                  <a16:creationId xmlns:a16="http://schemas.microsoft.com/office/drawing/2014/main" id="{F4699AB2-A26B-9C46-9E09-50EF0B3216A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48" name="Ink 147">
              <a:extLst>
                <a:ext uri="{FF2B5EF4-FFF2-40B4-BE49-F238E27FC236}">
                  <a16:creationId xmlns:a16="http://schemas.microsoft.com/office/drawing/2014/main" id="{18FDE836-EEA5-EC42-A677-09862907A6F6}"/>
                </a:ext>
              </a:extLst>
            </xdr14:cNvPr>
            <xdr14:cNvContentPartPr/>
          </xdr14:nvContentPartPr>
          <xdr14:nvPr macro=""/>
          <xdr14:xfrm>
            <a:off x="12973680" y="1366560"/>
            <a:ext cx="360" cy="360"/>
          </xdr14:xfrm>
        </xdr:contentPart>
      </mc:Choice>
      <mc:Fallback xmlns="">
        <xdr:pic>
          <xdr:nvPicPr>
            <xdr:cNvPr id="148" name="Ink 147">
              <a:extLst>
                <a:ext uri="{FF2B5EF4-FFF2-40B4-BE49-F238E27FC236}">
                  <a16:creationId xmlns:a16="http://schemas.microsoft.com/office/drawing/2014/main" id="{18FDE836-EEA5-EC42-A677-09862907A6F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49" name="Ink 148">
              <a:extLst>
                <a:ext uri="{FF2B5EF4-FFF2-40B4-BE49-F238E27FC236}">
                  <a16:creationId xmlns:a16="http://schemas.microsoft.com/office/drawing/2014/main" id="{50B95FF0-3177-A94B-9E62-AA23E861C88D}"/>
                </a:ext>
              </a:extLst>
            </xdr14:cNvPr>
            <xdr14:cNvContentPartPr/>
          </xdr14:nvContentPartPr>
          <xdr14:nvPr macro=""/>
          <xdr14:xfrm>
            <a:off x="12846960" y="1192320"/>
            <a:ext cx="360" cy="360"/>
          </xdr14:xfrm>
        </xdr:contentPart>
      </mc:Choice>
      <mc:Fallback xmlns="">
        <xdr:pic>
          <xdr:nvPicPr>
            <xdr:cNvPr id="149" name="Ink 148">
              <a:extLst>
                <a:ext uri="{FF2B5EF4-FFF2-40B4-BE49-F238E27FC236}">
                  <a16:creationId xmlns:a16="http://schemas.microsoft.com/office/drawing/2014/main" id="{50B95FF0-3177-A94B-9E62-AA23E861C88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50" name="Ink 149">
              <a:extLst>
                <a:ext uri="{FF2B5EF4-FFF2-40B4-BE49-F238E27FC236}">
                  <a16:creationId xmlns:a16="http://schemas.microsoft.com/office/drawing/2014/main" id="{AD15A004-242B-E049-BBDF-AA6CF28DEE70}"/>
                </a:ext>
              </a:extLst>
            </xdr14:cNvPr>
            <xdr14:cNvContentPartPr/>
          </xdr14:nvContentPartPr>
          <xdr14:nvPr macro=""/>
          <xdr14:xfrm>
            <a:off x="12866040" y="1243440"/>
            <a:ext cx="360" cy="360"/>
          </xdr14:xfrm>
        </xdr:contentPart>
      </mc:Choice>
      <mc:Fallback xmlns="">
        <xdr:pic>
          <xdr:nvPicPr>
            <xdr:cNvPr id="150" name="Ink 149">
              <a:extLst>
                <a:ext uri="{FF2B5EF4-FFF2-40B4-BE49-F238E27FC236}">
                  <a16:creationId xmlns:a16="http://schemas.microsoft.com/office/drawing/2014/main" id="{AD15A004-242B-E049-BBDF-AA6CF28DEE7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51" name="Ink 150">
              <a:extLst>
                <a:ext uri="{FF2B5EF4-FFF2-40B4-BE49-F238E27FC236}">
                  <a16:creationId xmlns:a16="http://schemas.microsoft.com/office/drawing/2014/main" id="{FB1CDEA6-3C0C-6B46-A651-772D62DA0A60}"/>
                </a:ext>
              </a:extLst>
            </xdr14:cNvPr>
            <xdr14:cNvContentPartPr/>
          </xdr14:nvContentPartPr>
          <xdr14:nvPr macro=""/>
          <xdr14:xfrm>
            <a:off x="12973680" y="1366560"/>
            <a:ext cx="360" cy="360"/>
          </xdr14:xfrm>
        </xdr:contentPart>
      </mc:Choice>
      <mc:Fallback xmlns="">
        <xdr:pic>
          <xdr:nvPicPr>
            <xdr:cNvPr id="151" name="Ink 150">
              <a:extLst>
                <a:ext uri="{FF2B5EF4-FFF2-40B4-BE49-F238E27FC236}">
                  <a16:creationId xmlns:a16="http://schemas.microsoft.com/office/drawing/2014/main" id="{FB1CDEA6-3C0C-6B46-A651-772D62DA0A6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52" name="Ink 151">
              <a:extLst>
                <a:ext uri="{FF2B5EF4-FFF2-40B4-BE49-F238E27FC236}">
                  <a16:creationId xmlns:a16="http://schemas.microsoft.com/office/drawing/2014/main" id="{F4CF816B-8BB0-9842-93C9-56D13150A8F0}"/>
                </a:ext>
              </a:extLst>
            </xdr14:cNvPr>
            <xdr14:cNvContentPartPr/>
          </xdr14:nvContentPartPr>
          <xdr14:nvPr macro=""/>
          <xdr14:xfrm>
            <a:off x="12846960" y="1192320"/>
            <a:ext cx="360" cy="360"/>
          </xdr14:xfrm>
        </xdr:contentPart>
      </mc:Choice>
      <mc:Fallback xmlns="">
        <xdr:pic>
          <xdr:nvPicPr>
            <xdr:cNvPr id="152" name="Ink 151">
              <a:extLst>
                <a:ext uri="{FF2B5EF4-FFF2-40B4-BE49-F238E27FC236}">
                  <a16:creationId xmlns:a16="http://schemas.microsoft.com/office/drawing/2014/main" id="{F4CF816B-8BB0-9842-93C9-56D13150A8F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53" name="Ink 152">
              <a:extLst>
                <a:ext uri="{FF2B5EF4-FFF2-40B4-BE49-F238E27FC236}">
                  <a16:creationId xmlns:a16="http://schemas.microsoft.com/office/drawing/2014/main" id="{52DB28E5-2837-5E4B-B205-E00115E61C9C}"/>
                </a:ext>
              </a:extLst>
            </xdr14:cNvPr>
            <xdr14:cNvContentPartPr/>
          </xdr14:nvContentPartPr>
          <xdr14:nvPr macro=""/>
          <xdr14:xfrm>
            <a:off x="12866040" y="1243440"/>
            <a:ext cx="360" cy="360"/>
          </xdr14:xfrm>
        </xdr:contentPart>
      </mc:Choice>
      <mc:Fallback xmlns="">
        <xdr:pic>
          <xdr:nvPicPr>
            <xdr:cNvPr id="153" name="Ink 152">
              <a:extLst>
                <a:ext uri="{FF2B5EF4-FFF2-40B4-BE49-F238E27FC236}">
                  <a16:creationId xmlns:a16="http://schemas.microsoft.com/office/drawing/2014/main" id="{52DB28E5-2837-5E4B-B205-E00115E61C9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54" name="Ink 153">
              <a:extLst>
                <a:ext uri="{FF2B5EF4-FFF2-40B4-BE49-F238E27FC236}">
                  <a16:creationId xmlns:a16="http://schemas.microsoft.com/office/drawing/2014/main" id="{0657E060-9A3A-DE47-B416-E7C3C7ECDDD7}"/>
                </a:ext>
              </a:extLst>
            </xdr14:cNvPr>
            <xdr14:cNvContentPartPr/>
          </xdr14:nvContentPartPr>
          <xdr14:nvPr macro=""/>
          <xdr14:xfrm>
            <a:off x="12973680" y="1366560"/>
            <a:ext cx="360" cy="360"/>
          </xdr14:xfrm>
        </xdr:contentPart>
      </mc:Choice>
      <mc:Fallback xmlns="">
        <xdr:pic>
          <xdr:nvPicPr>
            <xdr:cNvPr id="154" name="Ink 153">
              <a:extLst>
                <a:ext uri="{FF2B5EF4-FFF2-40B4-BE49-F238E27FC236}">
                  <a16:creationId xmlns:a16="http://schemas.microsoft.com/office/drawing/2014/main" id="{0657E060-9A3A-DE47-B416-E7C3C7ECDDD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55" name="Ink 154">
              <a:extLst>
                <a:ext uri="{FF2B5EF4-FFF2-40B4-BE49-F238E27FC236}">
                  <a16:creationId xmlns:a16="http://schemas.microsoft.com/office/drawing/2014/main" id="{F1F24AFF-4BBE-C349-864F-4ED94CCF1920}"/>
                </a:ext>
              </a:extLst>
            </xdr14:cNvPr>
            <xdr14:cNvContentPartPr/>
          </xdr14:nvContentPartPr>
          <xdr14:nvPr macro=""/>
          <xdr14:xfrm>
            <a:off x="12846960" y="1192320"/>
            <a:ext cx="360" cy="360"/>
          </xdr14:xfrm>
        </xdr:contentPart>
      </mc:Choice>
      <mc:Fallback xmlns="">
        <xdr:pic>
          <xdr:nvPicPr>
            <xdr:cNvPr id="155" name="Ink 154">
              <a:extLst>
                <a:ext uri="{FF2B5EF4-FFF2-40B4-BE49-F238E27FC236}">
                  <a16:creationId xmlns:a16="http://schemas.microsoft.com/office/drawing/2014/main" id="{F1F24AFF-4BBE-C349-864F-4ED94CCF192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56" name="Ink 155">
              <a:extLst>
                <a:ext uri="{FF2B5EF4-FFF2-40B4-BE49-F238E27FC236}">
                  <a16:creationId xmlns:a16="http://schemas.microsoft.com/office/drawing/2014/main" id="{B6442C9D-652B-9D4D-AEDE-B020A270534B}"/>
                </a:ext>
              </a:extLst>
            </xdr14:cNvPr>
            <xdr14:cNvContentPartPr/>
          </xdr14:nvContentPartPr>
          <xdr14:nvPr macro=""/>
          <xdr14:xfrm>
            <a:off x="12866040" y="1243440"/>
            <a:ext cx="360" cy="360"/>
          </xdr14:xfrm>
        </xdr:contentPart>
      </mc:Choice>
      <mc:Fallback xmlns="">
        <xdr:pic>
          <xdr:nvPicPr>
            <xdr:cNvPr id="156" name="Ink 155">
              <a:extLst>
                <a:ext uri="{FF2B5EF4-FFF2-40B4-BE49-F238E27FC236}">
                  <a16:creationId xmlns:a16="http://schemas.microsoft.com/office/drawing/2014/main" id="{B6442C9D-652B-9D4D-AEDE-B020A270534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157" name="Ink 156">
              <a:extLst>
                <a:ext uri="{FF2B5EF4-FFF2-40B4-BE49-F238E27FC236}">
                  <a16:creationId xmlns:a16="http://schemas.microsoft.com/office/drawing/2014/main" id="{DC1EF88D-AA86-1A44-A319-87F4E758361B}"/>
                </a:ext>
              </a:extLst>
            </xdr14:cNvPr>
            <xdr14:cNvContentPartPr/>
          </xdr14:nvContentPartPr>
          <xdr14:nvPr macro=""/>
          <xdr14:xfrm>
            <a:off x="12973680" y="1366560"/>
            <a:ext cx="360" cy="360"/>
          </xdr14:xfrm>
        </xdr:contentPart>
      </mc:Choice>
      <mc:Fallback xmlns="">
        <xdr:pic>
          <xdr:nvPicPr>
            <xdr:cNvPr id="157" name="Ink 156">
              <a:extLst>
                <a:ext uri="{FF2B5EF4-FFF2-40B4-BE49-F238E27FC236}">
                  <a16:creationId xmlns:a16="http://schemas.microsoft.com/office/drawing/2014/main" id="{DC1EF88D-AA86-1A44-A319-87F4E758361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8">
          <xdr14:nvContentPartPr>
            <xdr14:cNvPr id="158" name="Ink 157">
              <a:extLst>
                <a:ext uri="{FF2B5EF4-FFF2-40B4-BE49-F238E27FC236}">
                  <a16:creationId xmlns:a16="http://schemas.microsoft.com/office/drawing/2014/main" id="{5DBEE5FB-8BE8-3149-9CCA-D87E8D6CF022}"/>
                </a:ext>
              </a:extLst>
            </xdr14:cNvPr>
            <xdr14:cNvContentPartPr/>
          </xdr14:nvContentPartPr>
          <xdr14:nvPr macro=""/>
          <xdr14:xfrm>
            <a:off x="12846960" y="1192320"/>
            <a:ext cx="360" cy="360"/>
          </xdr14:xfrm>
        </xdr:contentPart>
      </mc:Choice>
      <mc:Fallback xmlns="">
        <xdr:pic>
          <xdr:nvPicPr>
            <xdr:cNvPr id="158" name="Ink 157">
              <a:extLst>
                <a:ext uri="{FF2B5EF4-FFF2-40B4-BE49-F238E27FC236}">
                  <a16:creationId xmlns:a16="http://schemas.microsoft.com/office/drawing/2014/main" id="{5DBEE5FB-8BE8-3149-9CCA-D87E8D6CF02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159" name="Ink 158">
              <a:extLst>
                <a:ext uri="{FF2B5EF4-FFF2-40B4-BE49-F238E27FC236}">
                  <a16:creationId xmlns:a16="http://schemas.microsoft.com/office/drawing/2014/main" id="{246E6677-113B-7F4F-AF43-2EA980CD17CC}"/>
                </a:ext>
              </a:extLst>
            </xdr14:cNvPr>
            <xdr14:cNvContentPartPr/>
          </xdr14:nvContentPartPr>
          <xdr14:nvPr macro=""/>
          <xdr14:xfrm>
            <a:off x="12866040" y="1243440"/>
            <a:ext cx="360" cy="360"/>
          </xdr14:xfrm>
        </xdr:contentPart>
      </mc:Choice>
      <mc:Fallback xmlns="">
        <xdr:pic>
          <xdr:nvPicPr>
            <xdr:cNvPr id="159" name="Ink 158">
              <a:extLst>
                <a:ext uri="{FF2B5EF4-FFF2-40B4-BE49-F238E27FC236}">
                  <a16:creationId xmlns:a16="http://schemas.microsoft.com/office/drawing/2014/main" id="{246E6677-113B-7F4F-AF43-2EA980CD17C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0">
          <xdr14:nvContentPartPr>
            <xdr14:cNvPr id="160" name="Ink 159">
              <a:extLst>
                <a:ext uri="{FF2B5EF4-FFF2-40B4-BE49-F238E27FC236}">
                  <a16:creationId xmlns:a16="http://schemas.microsoft.com/office/drawing/2014/main" id="{090BAC88-3507-B144-A1C7-F7730A1E682D}"/>
                </a:ext>
              </a:extLst>
            </xdr14:cNvPr>
            <xdr14:cNvContentPartPr/>
          </xdr14:nvContentPartPr>
          <xdr14:nvPr macro=""/>
          <xdr14:xfrm>
            <a:off x="12973680" y="1366560"/>
            <a:ext cx="360" cy="360"/>
          </xdr14:xfrm>
        </xdr:contentPart>
      </mc:Choice>
      <mc:Fallback xmlns="">
        <xdr:pic>
          <xdr:nvPicPr>
            <xdr:cNvPr id="160" name="Ink 159">
              <a:extLst>
                <a:ext uri="{FF2B5EF4-FFF2-40B4-BE49-F238E27FC236}">
                  <a16:creationId xmlns:a16="http://schemas.microsoft.com/office/drawing/2014/main" id="{090BAC88-3507-B144-A1C7-F7730A1E682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161" name="Ink 160">
              <a:extLst>
                <a:ext uri="{FF2B5EF4-FFF2-40B4-BE49-F238E27FC236}">
                  <a16:creationId xmlns:a16="http://schemas.microsoft.com/office/drawing/2014/main" id="{B696C255-E483-5541-B205-B2FEF0898DA9}"/>
                </a:ext>
              </a:extLst>
            </xdr14:cNvPr>
            <xdr14:cNvContentPartPr/>
          </xdr14:nvContentPartPr>
          <xdr14:nvPr macro=""/>
          <xdr14:xfrm>
            <a:off x="12846960" y="1192320"/>
            <a:ext cx="360" cy="360"/>
          </xdr14:xfrm>
        </xdr:contentPart>
      </mc:Choice>
      <mc:Fallback xmlns="">
        <xdr:pic>
          <xdr:nvPicPr>
            <xdr:cNvPr id="161" name="Ink 160">
              <a:extLst>
                <a:ext uri="{FF2B5EF4-FFF2-40B4-BE49-F238E27FC236}">
                  <a16:creationId xmlns:a16="http://schemas.microsoft.com/office/drawing/2014/main" id="{B696C255-E483-5541-B205-B2FEF0898DA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2">
          <xdr14:nvContentPartPr>
            <xdr14:cNvPr id="162" name="Ink 161">
              <a:extLst>
                <a:ext uri="{FF2B5EF4-FFF2-40B4-BE49-F238E27FC236}">
                  <a16:creationId xmlns:a16="http://schemas.microsoft.com/office/drawing/2014/main" id="{8F7A44E3-1A26-674C-B6F5-77C58DCB6BD9}"/>
                </a:ext>
              </a:extLst>
            </xdr14:cNvPr>
            <xdr14:cNvContentPartPr/>
          </xdr14:nvContentPartPr>
          <xdr14:nvPr macro=""/>
          <xdr14:xfrm>
            <a:off x="12866040" y="1243440"/>
            <a:ext cx="360" cy="360"/>
          </xdr14:xfrm>
        </xdr:contentPart>
      </mc:Choice>
      <mc:Fallback xmlns="">
        <xdr:pic>
          <xdr:nvPicPr>
            <xdr:cNvPr id="162" name="Ink 161">
              <a:extLst>
                <a:ext uri="{FF2B5EF4-FFF2-40B4-BE49-F238E27FC236}">
                  <a16:creationId xmlns:a16="http://schemas.microsoft.com/office/drawing/2014/main" id="{8F7A44E3-1A26-674C-B6F5-77C58DCB6BD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163" name="Ink 162">
              <a:extLst>
                <a:ext uri="{FF2B5EF4-FFF2-40B4-BE49-F238E27FC236}">
                  <a16:creationId xmlns:a16="http://schemas.microsoft.com/office/drawing/2014/main" id="{4C117B4D-E908-9442-B1E3-5FC0230D96CA}"/>
                </a:ext>
              </a:extLst>
            </xdr14:cNvPr>
            <xdr14:cNvContentPartPr/>
          </xdr14:nvContentPartPr>
          <xdr14:nvPr macro=""/>
          <xdr14:xfrm>
            <a:off x="12973680" y="1366560"/>
            <a:ext cx="360" cy="360"/>
          </xdr14:xfrm>
        </xdr:contentPart>
      </mc:Choice>
      <mc:Fallback xmlns="">
        <xdr:pic>
          <xdr:nvPicPr>
            <xdr:cNvPr id="163" name="Ink 162">
              <a:extLst>
                <a:ext uri="{FF2B5EF4-FFF2-40B4-BE49-F238E27FC236}">
                  <a16:creationId xmlns:a16="http://schemas.microsoft.com/office/drawing/2014/main" id="{4C117B4D-E908-9442-B1E3-5FC0230D96C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4">
          <xdr14:nvContentPartPr>
            <xdr14:cNvPr id="164" name="Ink 163">
              <a:extLst>
                <a:ext uri="{FF2B5EF4-FFF2-40B4-BE49-F238E27FC236}">
                  <a16:creationId xmlns:a16="http://schemas.microsoft.com/office/drawing/2014/main" id="{49AC4745-1197-7D4C-81F7-307FFCA97602}"/>
                </a:ext>
              </a:extLst>
            </xdr14:cNvPr>
            <xdr14:cNvContentPartPr/>
          </xdr14:nvContentPartPr>
          <xdr14:nvPr macro=""/>
          <xdr14:xfrm>
            <a:off x="12846960" y="1192320"/>
            <a:ext cx="360" cy="360"/>
          </xdr14:xfrm>
        </xdr:contentPart>
      </mc:Choice>
      <mc:Fallback xmlns="">
        <xdr:pic>
          <xdr:nvPicPr>
            <xdr:cNvPr id="164" name="Ink 163">
              <a:extLst>
                <a:ext uri="{FF2B5EF4-FFF2-40B4-BE49-F238E27FC236}">
                  <a16:creationId xmlns:a16="http://schemas.microsoft.com/office/drawing/2014/main" id="{49AC4745-1197-7D4C-81F7-307FFCA9760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165" name="Ink 164">
              <a:extLst>
                <a:ext uri="{FF2B5EF4-FFF2-40B4-BE49-F238E27FC236}">
                  <a16:creationId xmlns:a16="http://schemas.microsoft.com/office/drawing/2014/main" id="{A6F28BA8-1B88-704E-A0D9-9443980C4884}"/>
                </a:ext>
              </a:extLst>
            </xdr14:cNvPr>
            <xdr14:cNvContentPartPr/>
          </xdr14:nvContentPartPr>
          <xdr14:nvPr macro=""/>
          <xdr14:xfrm>
            <a:off x="12866040" y="1243440"/>
            <a:ext cx="360" cy="360"/>
          </xdr14:xfrm>
        </xdr:contentPart>
      </mc:Choice>
      <mc:Fallback xmlns="">
        <xdr:pic>
          <xdr:nvPicPr>
            <xdr:cNvPr id="165" name="Ink 164">
              <a:extLst>
                <a:ext uri="{FF2B5EF4-FFF2-40B4-BE49-F238E27FC236}">
                  <a16:creationId xmlns:a16="http://schemas.microsoft.com/office/drawing/2014/main" id="{A6F28BA8-1B88-704E-A0D9-9443980C488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6">
          <xdr14:nvContentPartPr>
            <xdr14:cNvPr id="166" name="Ink 165">
              <a:extLst>
                <a:ext uri="{FF2B5EF4-FFF2-40B4-BE49-F238E27FC236}">
                  <a16:creationId xmlns:a16="http://schemas.microsoft.com/office/drawing/2014/main" id="{1F8C9003-2238-6743-85E1-8D95E26927FD}"/>
                </a:ext>
              </a:extLst>
            </xdr14:cNvPr>
            <xdr14:cNvContentPartPr/>
          </xdr14:nvContentPartPr>
          <xdr14:nvPr macro=""/>
          <xdr14:xfrm>
            <a:off x="12973680" y="1366560"/>
            <a:ext cx="360" cy="360"/>
          </xdr14:xfrm>
        </xdr:contentPart>
      </mc:Choice>
      <mc:Fallback xmlns="">
        <xdr:pic>
          <xdr:nvPicPr>
            <xdr:cNvPr id="166" name="Ink 165">
              <a:extLst>
                <a:ext uri="{FF2B5EF4-FFF2-40B4-BE49-F238E27FC236}">
                  <a16:creationId xmlns:a16="http://schemas.microsoft.com/office/drawing/2014/main" id="{1F8C9003-2238-6743-85E1-8D95E26927F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167" name="Ink 166">
              <a:extLst>
                <a:ext uri="{FF2B5EF4-FFF2-40B4-BE49-F238E27FC236}">
                  <a16:creationId xmlns:a16="http://schemas.microsoft.com/office/drawing/2014/main" id="{FE575EDB-30F7-8F40-BDE0-B76053FD20D9}"/>
                </a:ext>
              </a:extLst>
            </xdr14:cNvPr>
            <xdr14:cNvContentPartPr/>
          </xdr14:nvContentPartPr>
          <xdr14:nvPr macro=""/>
          <xdr14:xfrm>
            <a:off x="12846960" y="1192320"/>
            <a:ext cx="360" cy="360"/>
          </xdr14:xfrm>
        </xdr:contentPart>
      </mc:Choice>
      <mc:Fallback xmlns="">
        <xdr:pic>
          <xdr:nvPicPr>
            <xdr:cNvPr id="167" name="Ink 166">
              <a:extLst>
                <a:ext uri="{FF2B5EF4-FFF2-40B4-BE49-F238E27FC236}">
                  <a16:creationId xmlns:a16="http://schemas.microsoft.com/office/drawing/2014/main" id="{FE575EDB-30F7-8F40-BDE0-B76053FD20D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8">
          <xdr14:nvContentPartPr>
            <xdr14:cNvPr id="168" name="Ink 167">
              <a:extLst>
                <a:ext uri="{FF2B5EF4-FFF2-40B4-BE49-F238E27FC236}">
                  <a16:creationId xmlns:a16="http://schemas.microsoft.com/office/drawing/2014/main" id="{C64065D9-E7AC-7E46-98A6-F160E08352BB}"/>
                </a:ext>
              </a:extLst>
            </xdr14:cNvPr>
            <xdr14:cNvContentPartPr/>
          </xdr14:nvContentPartPr>
          <xdr14:nvPr macro=""/>
          <xdr14:xfrm>
            <a:off x="12866040" y="1243440"/>
            <a:ext cx="360" cy="360"/>
          </xdr14:xfrm>
        </xdr:contentPart>
      </mc:Choice>
      <mc:Fallback xmlns="">
        <xdr:pic>
          <xdr:nvPicPr>
            <xdr:cNvPr id="168" name="Ink 167">
              <a:extLst>
                <a:ext uri="{FF2B5EF4-FFF2-40B4-BE49-F238E27FC236}">
                  <a16:creationId xmlns:a16="http://schemas.microsoft.com/office/drawing/2014/main" id="{C64065D9-E7AC-7E46-98A6-F160E08352B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169" name="Ink 168">
              <a:extLst>
                <a:ext uri="{FF2B5EF4-FFF2-40B4-BE49-F238E27FC236}">
                  <a16:creationId xmlns:a16="http://schemas.microsoft.com/office/drawing/2014/main" id="{DF6EA4FE-59B2-6648-93E7-8A903BCE90CF}"/>
                </a:ext>
              </a:extLst>
            </xdr14:cNvPr>
            <xdr14:cNvContentPartPr/>
          </xdr14:nvContentPartPr>
          <xdr14:nvPr macro=""/>
          <xdr14:xfrm>
            <a:off x="12973680" y="1366560"/>
            <a:ext cx="360" cy="360"/>
          </xdr14:xfrm>
        </xdr:contentPart>
      </mc:Choice>
      <mc:Fallback xmlns="">
        <xdr:pic>
          <xdr:nvPicPr>
            <xdr:cNvPr id="169" name="Ink 168">
              <a:extLst>
                <a:ext uri="{FF2B5EF4-FFF2-40B4-BE49-F238E27FC236}">
                  <a16:creationId xmlns:a16="http://schemas.microsoft.com/office/drawing/2014/main" id="{DF6EA4FE-59B2-6648-93E7-8A903BCE90C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0">
          <xdr14:nvContentPartPr>
            <xdr14:cNvPr id="170" name="Ink 169">
              <a:extLst>
                <a:ext uri="{FF2B5EF4-FFF2-40B4-BE49-F238E27FC236}">
                  <a16:creationId xmlns:a16="http://schemas.microsoft.com/office/drawing/2014/main" id="{ABD44FF2-0F15-1B4F-8F9F-B9521E347EBF}"/>
                </a:ext>
              </a:extLst>
            </xdr14:cNvPr>
            <xdr14:cNvContentPartPr/>
          </xdr14:nvContentPartPr>
          <xdr14:nvPr macro=""/>
          <xdr14:xfrm>
            <a:off x="12846960" y="1192320"/>
            <a:ext cx="360" cy="360"/>
          </xdr14:xfrm>
        </xdr:contentPart>
      </mc:Choice>
      <mc:Fallback xmlns="">
        <xdr:pic>
          <xdr:nvPicPr>
            <xdr:cNvPr id="170" name="Ink 169">
              <a:extLst>
                <a:ext uri="{FF2B5EF4-FFF2-40B4-BE49-F238E27FC236}">
                  <a16:creationId xmlns:a16="http://schemas.microsoft.com/office/drawing/2014/main" id="{ABD44FF2-0F15-1B4F-8F9F-B9521E347EB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171" name="Ink 170">
              <a:extLst>
                <a:ext uri="{FF2B5EF4-FFF2-40B4-BE49-F238E27FC236}">
                  <a16:creationId xmlns:a16="http://schemas.microsoft.com/office/drawing/2014/main" id="{8BEE3604-3671-9147-9D1F-D980DDBA9864}"/>
                </a:ext>
              </a:extLst>
            </xdr14:cNvPr>
            <xdr14:cNvContentPartPr/>
          </xdr14:nvContentPartPr>
          <xdr14:nvPr macro=""/>
          <xdr14:xfrm>
            <a:off x="12866040" y="1243440"/>
            <a:ext cx="360" cy="360"/>
          </xdr14:xfrm>
        </xdr:contentPart>
      </mc:Choice>
      <mc:Fallback xmlns="">
        <xdr:pic>
          <xdr:nvPicPr>
            <xdr:cNvPr id="171" name="Ink 170">
              <a:extLst>
                <a:ext uri="{FF2B5EF4-FFF2-40B4-BE49-F238E27FC236}">
                  <a16:creationId xmlns:a16="http://schemas.microsoft.com/office/drawing/2014/main" id="{8BEE3604-3671-9147-9D1F-D980DDBA986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2">
          <xdr14:nvContentPartPr>
            <xdr14:cNvPr id="172" name="Ink 171">
              <a:extLst>
                <a:ext uri="{FF2B5EF4-FFF2-40B4-BE49-F238E27FC236}">
                  <a16:creationId xmlns:a16="http://schemas.microsoft.com/office/drawing/2014/main" id="{9A5DFD23-6454-324C-B676-239AB50B9CAF}"/>
                </a:ext>
              </a:extLst>
            </xdr14:cNvPr>
            <xdr14:cNvContentPartPr/>
          </xdr14:nvContentPartPr>
          <xdr14:nvPr macro=""/>
          <xdr14:xfrm>
            <a:off x="12973680" y="1366560"/>
            <a:ext cx="360" cy="360"/>
          </xdr14:xfrm>
        </xdr:contentPart>
      </mc:Choice>
      <mc:Fallback xmlns="">
        <xdr:pic>
          <xdr:nvPicPr>
            <xdr:cNvPr id="172" name="Ink 171">
              <a:extLst>
                <a:ext uri="{FF2B5EF4-FFF2-40B4-BE49-F238E27FC236}">
                  <a16:creationId xmlns:a16="http://schemas.microsoft.com/office/drawing/2014/main" id="{9A5DFD23-6454-324C-B676-239AB50B9CA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173" name="Ink 172">
              <a:extLst>
                <a:ext uri="{FF2B5EF4-FFF2-40B4-BE49-F238E27FC236}">
                  <a16:creationId xmlns:a16="http://schemas.microsoft.com/office/drawing/2014/main" id="{623E8E5C-AA68-B94C-A806-C678F037DE04}"/>
                </a:ext>
              </a:extLst>
            </xdr14:cNvPr>
            <xdr14:cNvContentPartPr/>
          </xdr14:nvContentPartPr>
          <xdr14:nvPr macro=""/>
          <xdr14:xfrm>
            <a:off x="12846960" y="1192320"/>
            <a:ext cx="360" cy="360"/>
          </xdr14:xfrm>
        </xdr:contentPart>
      </mc:Choice>
      <mc:Fallback xmlns="">
        <xdr:pic>
          <xdr:nvPicPr>
            <xdr:cNvPr id="173" name="Ink 172">
              <a:extLst>
                <a:ext uri="{FF2B5EF4-FFF2-40B4-BE49-F238E27FC236}">
                  <a16:creationId xmlns:a16="http://schemas.microsoft.com/office/drawing/2014/main" id="{623E8E5C-AA68-B94C-A806-C678F037DE0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4">
          <xdr14:nvContentPartPr>
            <xdr14:cNvPr id="174" name="Ink 173">
              <a:extLst>
                <a:ext uri="{FF2B5EF4-FFF2-40B4-BE49-F238E27FC236}">
                  <a16:creationId xmlns:a16="http://schemas.microsoft.com/office/drawing/2014/main" id="{4651D76A-1682-004D-AC7A-DFB83015E37D}"/>
                </a:ext>
              </a:extLst>
            </xdr14:cNvPr>
            <xdr14:cNvContentPartPr/>
          </xdr14:nvContentPartPr>
          <xdr14:nvPr macro=""/>
          <xdr14:xfrm>
            <a:off x="12866040" y="1243440"/>
            <a:ext cx="360" cy="360"/>
          </xdr14:xfrm>
        </xdr:contentPart>
      </mc:Choice>
      <mc:Fallback xmlns="">
        <xdr:pic>
          <xdr:nvPicPr>
            <xdr:cNvPr id="174" name="Ink 173">
              <a:extLst>
                <a:ext uri="{FF2B5EF4-FFF2-40B4-BE49-F238E27FC236}">
                  <a16:creationId xmlns:a16="http://schemas.microsoft.com/office/drawing/2014/main" id="{4651D76A-1682-004D-AC7A-DFB83015E37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175" name="Ink 174">
              <a:extLst>
                <a:ext uri="{FF2B5EF4-FFF2-40B4-BE49-F238E27FC236}">
                  <a16:creationId xmlns:a16="http://schemas.microsoft.com/office/drawing/2014/main" id="{CE3D8322-0726-1D4E-AAFB-4880C6854388}"/>
                </a:ext>
              </a:extLst>
            </xdr14:cNvPr>
            <xdr14:cNvContentPartPr/>
          </xdr14:nvContentPartPr>
          <xdr14:nvPr macro=""/>
          <xdr14:xfrm>
            <a:off x="12973680" y="1366560"/>
            <a:ext cx="360" cy="360"/>
          </xdr14:xfrm>
        </xdr:contentPart>
      </mc:Choice>
      <mc:Fallback xmlns="">
        <xdr:pic>
          <xdr:nvPicPr>
            <xdr:cNvPr id="175" name="Ink 174">
              <a:extLst>
                <a:ext uri="{FF2B5EF4-FFF2-40B4-BE49-F238E27FC236}">
                  <a16:creationId xmlns:a16="http://schemas.microsoft.com/office/drawing/2014/main" id="{CE3D8322-0726-1D4E-AAFB-4880C685438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6">
          <xdr14:nvContentPartPr>
            <xdr14:cNvPr id="176" name="Ink 175">
              <a:extLst>
                <a:ext uri="{FF2B5EF4-FFF2-40B4-BE49-F238E27FC236}">
                  <a16:creationId xmlns:a16="http://schemas.microsoft.com/office/drawing/2014/main" id="{6AAAC685-C9AD-D443-AE39-B723AA304721}"/>
                </a:ext>
              </a:extLst>
            </xdr14:cNvPr>
            <xdr14:cNvContentPartPr/>
          </xdr14:nvContentPartPr>
          <xdr14:nvPr macro=""/>
          <xdr14:xfrm>
            <a:off x="12846960" y="1192320"/>
            <a:ext cx="360" cy="360"/>
          </xdr14:xfrm>
        </xdr:contentPart>
      </mc:Choice>
      <mc:Fallback xmlns="">
        <xdr:pic>
          <xdr:nvPicPr>
            <xdr:cNvPr id="176" name="Ink 175">
              <a:extLst>
                <a:ext uri="{FF2B5EF4-FFF2-40B4-BE49-F238E27FC236}">
                  <a16:creationId xmlns:a16="http://schemas.microsoft.com/office/drawing/2014/main" id="{6AAAC685-C9AD-D443-AE39-B723AA30472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177" name="Ink 176">
              <a:extLst>
                <a:ext uri="{FF2B5EF4-FFF2-40B4-BE49-F238E27FC236}">
                  <a16:creationId xmlns:a16="http://schemas.microsoft.com/office/drawing/2014/main" id="{B58606DF-4181-E14B-A906-EE0929314F89}"/>
                </a:ext>
              </a:extLst>
            </xdr14:cNvPr>
            <xdr14:cNvContentPartPr/>
          </xdr14:nvContentPartPr>
          <xdr14:nvPr macro=""/>
          <xdr14:xfrm>
            <a:off x="12866040" y="1243440"/>
            <a:ext cx="360" cy="360"/>
          </xdr14:xfrm>
        </xdr:contentPart>
      </mc:Choice>
      <mc:Fallback xmlns="">
        <xdr:pic>
          <xdr:nvPicPr>
            <xdr:cNvPr id="177" name="Ink 176">
              <a:extLst>
                <a:ext uri="{FF2B5EF4-FFF2-40B4-BE49-F238E27FC236}">
                  <a16:creationId xmlns:a16="http://schemas.microsoft.com/office/drawing/2014/main" id="{B58606DF-4181-E14B-A906-EE0929314F8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8">
          <xdr14:nvContentPartPr>
            <xdr14:cNvPr id="178" name="Ink 177">
              <a:extLst>
                <a:ext uri="{FF2B5EF4-FFF2-40B4-BE49-F238E27FC236}">
                  <a16:creationId xmlns:a16="http://schemas.microsoft.com/office/drawing/2014/main" id="{63CD9A27-2D46-8F4E-8B66-E0BBA66BA253}"/>
                </a:ext>
              </a:extLst>
            </xdr14:cNvPr>
            <xdr14:cNvContentPartPr/>
          </xdr14:nvContentPartPr>
          <xdr14:nvPr macro=""/>
          <xdr14:xfrm>
            <a:off x="12973680" y="1366560"/>
            <a:ext cx="360" cy="360"/>
          </xdr14:xfrm>
        </xdr:contentPart>
      </mc:Choice>
      <mc:Fallback xmlns="">
        <xdr:pic>
          <xdr:nvPicPr>
            <xdr:cNvPr id="178" name="Ink 177">
              <a:extLst>
                <a:ext uri="{FF2B5EF4-FFF2-40B4-BE49-F238E27FC236}">
                  <a16:creationId xmlns:a16="http://schemas.microsoft.com/office/drawing/2014/main" id="{63CD9A27-2D46-8F4E-8B66-E0BBA66BA25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179" name="Ink 178">
              <a:extLst>
                <a:ext uri="{FF2B5EF4-FFF2-40B4-BE49-F238E27FC236}">
                  <a16:creationId xmlns:a16="http://schemas.microsoft.com/office/drawing/2014/main" id="{7AA15F41-055E-A442-A283-680F675EDB2E}"/>
                </a:ext>
              </a:extLst>
            </xdr14:cNvPr>
            <xdr14:cNvContentPartPr/>
          </xdr14:nvContentPartPr>
          <xdr14:nvPr macro=""/>
          <xdr14:xfrm>
            <a:off x="12846960" y="1192320"/>
            <a:ext cx="360" cy="360"/>
          </xdr14:xfrm>
        </xdr:contentPart>
      </mc:Choice>
      <mc:Fallback xmlns="">
        <xdr:pic>
          <xdr:nvPicPr>
            <xdr:cNvPr id="179" name="Ink 178">
              <a:extLst>
                <a:ext uri="{FF2B5EF4-FFF2-40B4-BE49-F238E27FC236}">
                  <a16:creationId xmlns:a16="http://schemas.microsoft.com/office/drawing/2014/main" id="{7AA15F41-055E-A442-A283-680F675EDB2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0">
          <xdr14:nvContentPartPr>
            <xdr14:cNvPr id="180" name="Ink 179">
              <a:extLst>
                <a:ext uri="{FF2B5EF4-FFF2-40B4-BE49-F238E27FC236}">
                  <a16:creationId xmlns:a16="http://schemas.microsoft.com/office/drawing/2014/main" id="{C4D8D27E-7684-1D40-A0ED-885E80F82A66}"/>
                </a:ext>
              </a:extLst>
            </xdr14:cNvPr>
            <xdr14:cNvContentPartPr/>
          </xdr14:nvContentPartPr>
          <xdr14:nvPr macro=""/>
          <xdr14:xfrm>
            <a:off x="12866040" y="1243440"/>
            <a:ext cx="360" cy="360"/>
          </xdr14:xfrm>
        </xdr:contentPart>
      </mc:Choice>
      <mc:Fallback xmlns="">
        <xdr:pic>
          <xdr:nvPicPr>
            <xdr:cNvPr id="180" name="Ink 179">
              <a:extLst>
                <a:ext uri="{FF2B5EF4-FFF2-40B4-BE49-F238E27FC236}">
                  <a16:creationId xmlns:a16="http://schemas.microsoft.com/office/drawing/2014/main" id="{C4D8D27E-7684-1D40-A0ED-885E80F82A6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181" name="Ink 180">
              <a:extLst>
                <a:ext uri="{FF2B5EF4-FFF2-40B4-BE49-F238E27FC236}">
                  <a16:creationId xmlns:a16="http://schemas.microsoft.com/office/drawing/2014/main" id="{9143DC3E-C7F1-F84A-9254-95EC9482AD36}"/>
                </a:ext>
              </a:extLst>
            </xdr14:cNvPr>
            <xdr14:cNvContentPartPr/>
          </xdr14:nvContentPartPr>
          <xdr14:nvPr macro=""/>
          <xdr14:xfrm>
            <a:off x="12973680" y="1366560"/>
            <a:ext cx="360" cy="360"/>
          </xdr14:xfrm>
        </xdr:contentPart>
      </mc:Choice>
      <mc:Fallback xmlns="">
        <xdr:pic>
          <xdr:nvPicPr>
            <xdr:cNvPr id="181" name="Ink 180">
              <a:extLst>
                <a:ext uri="{FF2B5EF4-FFF2-40B4-BE49-F238E27FC236}">
                  <a16:creationId xmlns:a16="http://schemas.microsoft.com/office/drawing/2014/main" id="{9143DC3E-C7F1-F84A-9254-95EC9482AD3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2">
          <xdr14:nvContentPartPr>
            <xdr14:cNvPr id="182" name="Ink 181">
              <a:extLst>
                <a:ext uri="{FF2B5EF4-FFF2-40B4-BE49-F238E27FC236}">
                  <a16:creationId xmlns:a16="http://schemas.microsoft.com/office/drawing/2014/main" id="{10699370-FC4C-704B-87D2-B5679ADED16C}"/>
                </a:ext>
              </a:extLst>
            </xdr14:cNvPr>
            <xdr14:cNvContentPartPr/>
          </xdr14:nvContentPartPr>
          <xdr14:nvPr macro=""/>
          <xdr14:xfrm>
            <a:off x="12846960" y="1192320"/>
            <a:ext cx="360" cy="360"/>
          </xdr14:xfrm>
        </xdr:contentPart>
      </mc:Choice>
      <mc:Fallback xmlns="">
        <xdr:pic>
          <xdr:nvPicPr>
            <xdr:cNvPr id="182" name="Ink 181">
              <a:extLst>
                <a:ext uri="{FF2B5EF4-FFF2-40B4-BE49-F238E27FC236}">
                  <a16:creationId xmlns:a16="http://schemas.microsoft.com/office/drawing/2014/main" id="{10699370-FC4C-704B-87D2-B5679ADED16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183" name="Ink 182">
              <a:extLst>
                <a:ext uri="{FF2B5EF4-FFF2-40B4-BE49-F238E27FC236}">
                  <a16:creationId xmlns:a16="http://schemas.microsoft.com/office/drawing/2014/main" id="{A8CED553-0558-5244-B75A-7DB140831716}"/>
                </a:ext>
              </a:extLst>
            </xdr14:cNvPr>
            <xdr14:cNvContentPartPr/>
          </xdr14:nvContentPartPr>
          <xdr14:nvPr macro=""/>
          <xdr14:xfrm>
            <a:off x="12866040" y="1243440"/>
            <a:ext cx="360" cy="360"/>
          </xdr14:xfrm>
        </xdr:contentPart>
      </mc:Choice>
      <mc:Fallback xmlns="">
        <xdr:pic>
          <xdr:nvPicPr>
            <xdr:cNvPr id="183" name="Ink 182">
              <a:extLst>
                <a:ext uri="{FF2B5EF4-FFF2-40B4-BE49-F238E27FC236}">
                  <a16:creationId xmlns:a16="http://schemas.microsoft.com/office/drawing/2014/main" id="{A8CED553-0558-5244-B75A-7DB14083171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4">
          <xdr14:nvContentPartPr>
            <xdr14:cNvPr id="184" name="Ink 183">
              <a:extLst>
                <a:ext uri="{FF2B5EF4-FFF2-40B4-BE49-F238E27FC236}">
                  <a16:creationId xmlns:a16="http://schemas.microsoft.com/office/drawing/2014/main" id="{77825C13-1036-6149-A14D-5AB8C80A7241}"/>
                </a:ext>
              </a:extLst>
            </xdr14:cNvPr>
            <xdr14:cNvContentPartPr/>
          </xdr14:nvContentPartPr>
          <xdr14:nvPr macro=""/>
          <xdr14:xfrm>
            <a:off x="12973680" y="1366560"/>
            <a:ext cx="360" cy="360"/>
          </xdr14:xfrm>
        </xdr:contentPart>
      </mc:Choice>
      <mc:Fallback xmlns="">
        <xdr:pic>
          <xdr:nvPicPr>
            <xdr:cNvPr id="184" name="Ink 183">
              <a:extLst>
                <a:ext uri="{FF2B5EF4-FFF2-40B4-BE49-F238E27FC236}">
                  <a16:creationId xmlns:a16="http://schemas.microsoft.com/office/drawing/2014/main" id="{77825C13-1036-6149-A14D-5AB8C80A724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185" name="Ink 184">
              <a:extLst>
                <a:ext uri="{FF2B5EF4-FFF2-40B4-BE49-F238E27FC236}">
                  <a16:creationId xmlns:a16="http://schemas.microsoft.com/office/drawing/2014/main" id="{9A3824DE-898F-9740-9FEC-F9CCA9BD668E}"/>
                </a:ext>
              </a:extLst>
            </xdr14:cNvPr>
            <xdr14:cNvContentPartPr/>
          </xdr14:nvContentPartPr>
          <xdr14:nvPr macro=""/>
          <xdr14:xfrm>
            <a:off x="12846960" y="1192320"/>
            <a:ext cx="360" cy="360"/>
          </xdr14:xfrm>
        </xdr:contentPart>
      </mc:Choice>
      <mc:Fallback xmlns="">
        <xdr:pic>
          <xdr:nvPicPr>
            <xdr:cNvPr id="185" name="Ink 184">
              <a:extLst>
                <a:ext uri="{FF2B5EF4-FFF2-40B4-BE49-F238E27FC236}">
                  <a16:creationId xmlns:a16="http://schemas.microsoft.com/office/drawing/2014/main" id="{9A3824DE-898F-9740-9FEC-F9CCA9BD668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6">
          <xdr14:nvContentPartPr>
            <xdr14:cNvPr id="186" name="Ink 185">
              <a:extLst>
                <a:ext uri="{FF2B5EF4-FFF2-40B4-BE49-F238E27FC236}">
                  <a16:creationId xmlns:a16="http://schemas.microsoft.com/office/drawing/2014/main" id="{FAFEBDAB-C0EF-9A43-AFEA-813E63BBA485}"/>
                </a:ext>
              </a:extLst>
            </xdr14:cNvPr>
            <xdr14:cNvContentPartPr/>
          </xdr14:nvContentPartPr>
          <xdr14:nvPr macro=""/>
          <xdr14:xfrm>
            <a:off x="12866040" y="1243440"/>
            <a:ext cx="360" cy="360"/>
          </xdr14:xfrm>
        </xdr:contentPart>
      </mc:Choice>
      <mc:Fallback xmlns="">
        <xdr:pic>
          <xdr:nvPicPr>
            <xdr:cNvPr id="186" name="Ink 185">
              <a:extLst>
                <a:ext uri="{FF2B5EF4-FFF2-40B4-BE49-F238E27FC236}">
                  <a16:creationId xmlns:a16="http://schemas.microsoft.com/office/drawing/2014/main" id="{FAFEBDAB-C0EF-9A43-AFEA-813E63BBA48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187" name="Ink 186">
              <a:extLst>
                <a:ext uri="{FF2B5EF4-FFF2-40B4-BE49-F238E27FC236}">
                  <a16:creationId xmlns:a16="http://schemas.microsoft.com/office/drawing/2014/main" id="{9867FA7A-0DB2-0B4E-8BB6-46F8937DE89F}"/>
                </a:ext>
              </a:extLst>
            </xdr14:cNvPr>
            <xdr14:cNvContentPartPr/>
          </xdr14:nvContentPartPr>
          <xdr14:nvPr macro=""/>
          <xdr14:xfrm>
            <a:off x="12973680" y="1366560"/>
            <a:ext cx="360" cy="360"/>
          </xdr14:xfrm>
        </xdr:contentPart>
      </mc:Choice>
      <mc:Fallback xmlns="">
        <xdr:pic>
          <xdr:nvPicPr>
            <xdr:cNvPr id="187" name="Ink 186">
              <a:extLst>
                <a:ext uri="{FF2B5EF4-FFF2-40B4-BE49-F238E27FC236}">
                  <a16:creationId xmlns:a16="http://schemas.microsoft.com/office/drawing/2014/main" id="{9867FA7A-0DB2-0B4E-8BB6-46F8937DE89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8">
          <xdr14:nvContentPartPr>
            <xdr14:cNvPr id="188" name="Ink 187">
              <a:extLst>
                <a:ext uri="{FF2B5EF4-FFF2-40B4-BE49-F238E27FC236}">
                  <a16:creationId xmlns:a16="http://schemas.microsoft.com/office/drawing/2014/main" id="{DADCAC1A-3498-6C47-9680-26773AED5F74}"/>
                </a:ext>
              </a:extLst>
            </xdr14:cNvPr>
            <xdr14:cNvContentPartPr/>
          </xdr14:nvContentPartPr>
          <xdr14:nvPr macro=""/>
          <xdr14:xfrm>
            <a:off x="12846960" y="1192320"/>
            <a:ext cx="360" cy="360"/>
          </xdr14:xfrm>
        </xdr:contentPart>
      </mc:Choice>
      <mc:Fallback xmlns="">
        <xdr:pic>
          <xdr:nvPicPr>
            <xdr:cNvPr id="188" name="Ink 187">
              <a:extLst>
                <a:ext uri="{FF2B5EF4-FFF2-40B4-BE49-F238E27FC236}">
                  <a16:creationId xmlns:a16="http://schemas.microsoft.com/office/drawing/2014/main" id="{DADCAC1A-3498-6C47-9680-26773AED5F7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189" name="Ink 188">
              <a:extLst>
                <a:ext uri="{FF2B5EF4-FFF2-40B4-BE49-F238E27FC236}">
                  <a16:creationId xmlns:a16="http://schemas.microsoft.com/office/drawing/2014/main" id="{FC3B0D9C-0D19-9E44-BC9B-14ECC960C81D}"/>
                </a:ext>
              </a:extLst>
            </xdr14:cNvPr>
            <xdr14:cNvContentPartPr/>
          </xdr14:nvContentPartPr>
          <xdr14:nvPr macro=""/>
          <xdr14:xfrm>
            <a:off x="12866040" y="1243440"/>
            <a:ext cx="360" cy="360"/>
          </xdr14:xfrm>
        </xdr:contentPart>
      </mc:Choice>
      <mc:Fallback xmlns="">
        <xdr:pic>
          <xdr:nvPicPr>
            <xdr:cNvPr id="189" name="Ink 188">
              <a:extLst>
                <a:ext uri="{FF2B5EF4-FFF2-40B4-BE49-F238E27FC236}">
                  <a16:creationId xmlns:a16="http://schemas.microsoft.com/office/drawing/2014/main" id="{FC3B0D9C-0D19-9E44-BC9B-14ECC960C81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0">
          <xdr14:nvContentPartPr>
            <xdr14:cNvPr id="190" name="Ink 189">
              <a:extLst>
                <a:ext uri="{FF2B5EF4-FFF2-40B4-BE49-F238E27FC236}">
                  <a16:creationId xmlns:a16="http://schemas.microsoft.com/office/drawing/2014/main" id="{5B602D60-76A4-5C47-91F6-2CF1E09CB916}"/>
                </a:ext>
              </a:extLst>
            </xdr14:cNvPr>
            <xdr14:cNvContentPartPr/>
          </xdr14:nvContentPartPr>
          <xdr14:nvPr macro=""/>
          <xdr14:xfrm>
            <a:off x="12973680" y="1366560"/>
            <a:ext cx="360" cy="360"/>
          </xdr14:xfrm>
        </xdr:contentPart>
      </mc:Choice>
      <mc:Fallback xmlns="">
        <xdr:pic>
          <xdr:nvPicPr>
            <xdr:cNvPr id="190" name="Ink 189">
              <a:extLst>
                <a:ext uri="{FF2B5EF4-FFF2-40B4-BE49-F238E27FC236}">
                  <a16:creationId xmlns:a16="http://schemas.microsoft.com/office/drawing/2014/main" id="{5B602D60-76A4-5C47-91F6-2CF1E09CB91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191" name="Ink 190">
              <a:extLst>
                <a:ext uri="{FF2B5EF4-FFF2-40B4-BE49-F238E27FC236}">
                  <a16:creationId xmlns:a16="http://schemas.microsoft.com/office/drawing/2014/main" id="{996F5ED1-2222-654E-B70A-89D789957022}"/>
                </a:ext>
              </a:extLst>
            </xdr14:cNvPr>
            <xdr14:cNvContentPartPr/>
          </xdr14:nvContentPartPr>
          <xdr14:nvPr macro=""/>
          <xdr14:xfrm>
            <a:off x="12846960" y="1192320"/>
            <a:ext cx="360" cy="360"/>
          </xdr14:xfrm>
        </xdr:contentPart>
      </mc:Choice>
      <mc:Fallback xmlns="">
        <xdr:pic>
          <xdr:nvPicPr>
            <xdr:cNvPr id="191" name="Ink 190">
              <a:extLst>
                <a:ext uri="{FF2B5EF4-FFF2-40B4-BE49-F238E27FC236}">
                  <a16:creationId xmlns:a16="http://schemas.microsoft.com/office/drawing/2014/main" id="{996F5ED1-2222-654E-B70A-89D78995702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2">
          <xdr14:nvContentPartPr>
            <xdr14:cNvPr id="192" name="Ink 191">
              <a:extLst>
                <a:ext uri="{FF2B5EF4-FFF2-40B4-BE49-F238E27FC236}">
                  <a16:creationId xmlns:a16="http://schemas.microsoft.com/office/drawing/2014/main" id="{FB594CAE-5911-6F47-9029-F756474E9733}"/>
                </a:ext>
              </a:extLst>
            </xdr14:cNvPr>
            <xdr14:cNvContentPartPr/>
          </xdr14:nvContentPartPr>
          <xdr14:nvPr macro=""/>
          <xdr14:xfrm>
            <a:off x="12866040" y="1243440"/>
            <a:ext cx="360" cy="360"/>
          </xdr14:xfrm>
        </xdr:contentPart>
      </mc:Choice>
      <mc:Fallback xmlns="">
        <xdr:pic>
          <xdr:nvPicPr>
            <xdr:cNvPr id="192" name="Ink 191">
              <a:extLst>
                <a:ext uri="{FF2B5EF4-FFF2-40B4-BE49-F238E27FC236}">
                  <a16:creationId xmlns:a16="http://schemas.microsoft.com/office/drawing/2014/main" id="{FB594CAE-5911-6F47-9029-F756474E973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193" name="Ink 192">
              <a:extLst>
                <a:ext uri="{FF2B5EF4-FFF2-40B4-BE49-F238E27FC236}">
                  <a16:creationId xmlns:a16="http://schemas.microsoft.com/office/drawing/2014/main" id="{67049699-14E4-104B-9CAE-8085F726D6F6}"/>
                </a:ext>
              </a:extLst>
            </xdr14:cNvPr>
            <xdr14:cNvContentPartPr/>
          </xdr14:nvContentPartPr>
          <xdr14:nvPr macro=""/>
          <xdr14:xfrm>
            <a:off x="12973680" y="1366560"/>
            <a:ext cx="360" cy="360"/>
          </xdr14:xfrm>
        </xdr:contentPart>
      </mc:Choice>
      <mc:Fallback xmlns="">
        <xdr:pic>
          <xdr:nvPicPr>
            <xdr:cNvPr id="193" name="Ink 192">
              <a:extLst>
                <a:ext uri="{FF2B5EF4-FFF2-40B4-BE49-F238E27FC236}">
                  <a16:creationId xmlns:a16="http://schemas.microsoft.com/office/drawing/2014/main" id="{67049699-14E4-104B-9CAE-8085F726D6F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4">
          <xdr14:nvContentPartPr>
            <xdr14:cNvPr id="194" name="Ink 193">
              <a:extLst>
                <a:ext uri="{FF2B5EF4-FFF2-40B4-BE49-F238E27FC236}">
                  <a16:creationId xmlns:a16="http://schemas.microsoft.com/office/drawing/2014/main" id="{80684C31-E359-024F-955E-F3E3F19D3EE8}"/>
                </a:ext>
              </a:extLst>
            </xdr14:cNvPr>
            <xdr14:cNvContentPartPr/>
          </xdr14:nvContentPartPr>
          <xdr14:nvPr macro=""/>
          <xdr14:xfrm>
            <a:off x="12846960" y="1192320"/>
            <a:ext cx="360" cy="360"/>
          </xdr14:xfrm>
        </xdr:contentPart>
      </mc:Choice>
      <mc:Fallback xmlns="">
        <xdr:pic>
          <xdr:nvPicPr>
            <xdr:cNvPr id="194" name="Ink 193">
              <a:extLst>
                <a:ext uri="{FF2B5EF4-FFF2-40B4-BE49-F238E27FC236}">
                  <a16:creationId xmlns:a16="http://schemas.microsoft.com/office/drawing/2014/main" id="{80684C31-E359-024F-955E-F3E3F19D3EE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195" name="Ink 194">
              <a:extLst>
                <a:ext uri="{FF2B5EF4-FFF2-40B4-BE49-F238E27FC236}">
                  <a16:creationId xmlns:a16="http://schemas.microsoft.com/office/drawing/2014/main" id="{592253B3-B400-7848-AFAB-2CE3FBA5BCF0}"/>
                </a:ext>
              </a:extLst>
            </xdr14:cNvPr>
            <xdr14:cNvContentPartPr/>
          </xdr14:nvContentPartPr>
          <xdr14:nvPr macro=""/>
          <xdr14:xfrm>
            <a:off x="12866040" y="1243440"/>
            <a:ext cx="360" cy="360"/>
          </xdr14:xfrm>
        </xdr:contentPart>
      </mc:Choice>
      <mc:Fallback xmlns="">
        <xdr:pic>
          <xdr:nvPicPr>
            <xdr:cNvPr id="195" name="Ink 194">
              <a:extLst>
                <a:ext uri="{FF2B5EF4-FFF2-40B4-BE49-F238E27FC236}">
                  <a16:creationId xmlns:a16="http://schemas.microsoft.com/office/drawing/2014/main" id="{592253B3-B400-7848-AFAB-2CE3FBA5BCF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6">
          <xdr14:nvContentPartPr>
            <xdr14:cNvPr id="196" name="Ink 195">
              <a:extLst>
                <a:ext uri="{FF2B5EF4-FFF2-40B4-BE49-F238E27FC236}">
                  <a16:creationId xmlns:a16="http://schemas.microsoft.com/office/drawing/2014/main" id="{F4ACE0DB-8D63-924D-8024-01838315ECE6}"/>
                </a:ext>
              </a:extLst>
            </xdr14:cNvPr>
            <xdr14:cNvContentPartPr/>
          </xdr14:nvContentPartPr>
          <xdr14:nvPr macro=""/>
          <xdr14:xfrm>
            <a:off x="12973680" y="1366560"/>
            <a:ext cx="360" cy="360"/>
          </xdr14:xfrm>
        </xdr:contentPart>
      </mc:Choice>
      <mc:Fallback xmlns="">
        <xdr:pic>
          <xdr:nvPicPr>
            <xdr:cNvPr id="196" name="Ink 195">
              <a:extLst>
                <a:ext uri="{FF2B5EF4-FFF2-40B4-BE49-F238E27FC236}">
                  <a16:creationId xmlns:a16="http://schemas.microsoft.com/office/drawing/2014/main" id="{F4ACE0DB-8D63-924D-8024-01838315ECE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197" name="Ink 196">
              <a:extLst>
                <a:ext uri="{FF2B5EF4-FFF2-40B4-BE49-F238E27FC236}">
                  <a16:creationId xmlns:a16="http://schemas.microsoft.com/office/drawing/2014/main" id="{2CA4BC83-E57E-8347-A005-4BF4C9DC641B}"/>
                </a:ext>
              </a:extLst>
            </xdr14:cNvPr>
            <xdr14:cNvContentPartPr/>
          </xdr14:nvContentPartPr>
          <xdr14:nvPr macro=""/>
          <xdr14:xfrm>
            <a:off x="12846960" y="1192320"/>
            <a:ext cx="360" cy="360"/>
          </xdr14:xfrm>
        </xdr:contentPart>
      </mc:Choice>
      <mc:Fallback xmlns="">
        <xdr:pic>
          <xdr:nvPicPr>
            <xdr:cNvPr id="197" name="Ink 196">
              <a:extLst>
                <a:ext uri="{FF2B5EF4-FFF2-40B4-BE49-F238E27FC236}">
                  <a16:creationId xmlns:a16="http://schemas.microsoft.com/office/drawing/2014/main" id="{2CA4BC83-E57E-8347-A005-4BF4C9DC641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8">
          <xdr14:nvContentPartPr>
            <xdr14:cNvPr id="198" name="Ink 197">
              <a:extLst>
                <a:ext uri="{FF2B5EF4-FFF2-40B4-BE49-F238E27FC236}">
                  <a16:creationId xmlns:a16="http://schemas.microsoft.com/office/drawing/2014/main" id="{E089B3C3-97E9-E545-B4E2-A3611F08B170}"/>
                </a:ext>
              </a:extLst>
            </xdr14:cNvPr>
            <xdr14:cNvContentPartPr/>
          </xdr14:nvContentPartPr>
          <xdr14:nvPr macro=""/>
          <xdr14:xfrm>
            <a:off x="12866040" y="1243440"/>
            <a:ext cx="360" cy="360"/>
          </xdr14:xfrm>
        </xdr:contentPart>
      </mc:Choice>
      <mc:Fallback xmlns="">
        <xdr:pic>
          <xdr:nvPicPr>
            <xdr:cNvPr id="198" name="Ink 197">
              <a:extLst>
                <a:ext uri="{FF2B5EF4-FFF2-40B4-BE49-F238E27FC236}">
                  <a16:creationId xmlns:a16="http://schemas.microsoft.com/office/drawing/2014/main" id="{E089B3C3-97E9-E545-B4E2-A3611F08B17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199" name="Ink 198">
              <a:extLst>
                <a:ext uri="{FF2B5EF4-FFF2-40B4-BE49-F238E27FC236}">
                  <a16:creationId xmlns:a16="http://schemas.microsoft.com/office/drawing/2014/main" id="{8C95641B-29A1-EF4E-9DB3-DA1EE252C84D}"/>
                </a:ext>
              </a:extLst>
            </xdr14:cNvPr>
            <xdr14:cNvContentPartPr/>
          </xdr14:nvContentPartPr>
          <xdr14:nvPr macro=""/>
          <xdr14:xfrm>
            <a:off x="12973680" y="1366560"/>
            <a:ext cx="360" cy="360"/>
          </xdr14:xfrm>
        </xdr:contentPart>
      </mc:Choice>
      <mc:Fallback xmlns="">
        <xdr:pic>
          <xdr:nvPicPr>
            <xdr:cNvPr id="199" name="Ink 198">
              <a:extLst>
                <a:ext uri="{FF2B5EF4-FFF2-40B4-BE49-F238E27FC236}">
                  <a16:creationId xmlns:a16="http://schemas.microsoft.com/office/drawing/2014/main" id="{8C95641B-29A1-EF4E-9DB3-DA1EE252C84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0">
          <xdr14:nvContentPartPr>
            <xdr14:cNvPr id="200" name="Ink 199">
              <a:extLst>
                <a:ext uri="{FF2B5EF4-FFF2-40B4-BE49-F238E27FC236}">
                  <a16:creationId xmlns:a16="http://schemas.microsoft.com/office/drawing/2014/main" id="{5E22192C-6B3C-1B47-9701-B4986F819C8C}"/>
                </a:ext>
              </a:extLst>
            </xdr14:cNvPr>
            <xdr14:cNvContentPartPr/>
          </xdr14:nvContentPartPr>
          <xdr14:nvPr macro=""/>
          <xdr14:xfrm>
            <a:off x="12846960" y="1192320"/>
            <a:ext cx="360" cy="360"/>
          </xdr14:xfrm>
        </xdr:contentPart>
      </mc:Choice>
      <mc:Fallback xmlns="">
        <xdr:pic>
          <xdr:nvPicPr>
            <xdr:cNvPr id="200" name="Ink 199">
              <a:extLst>
                <a:ext uri="{FF2B5EF4-FFF2-40B4-BE49-F238E27FC236}">
                  <a16:creationId xmlns:a16="http://schemas.microsoft.com/office/drawing/2014/main" id="{5E22192C-6B3C-1B47-9701-B4986F819C8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201" name="Ink 200">
              <a:extLst>
                <a:ext uri="{FF2B5EF4-FFF2-40B4-BE49-F238E27FC236}">
                  <a16:creationId xmlns:a16="http://schemas.microsoft.com/office/drawing/2014/main" id="{8E16A225-165F-214D-8934-5416B182F77C}"/>
                </a:ext>
              </a:extLst>
            </xdr14:cNvPr>
            <xdr14:cNvContentPartPr/>
          </xdr14:nvContentPartPr>
          <xdr14:nvPr macro=""/>
          <xdr14:xfrm>
            <a:off x="12866040" y="1243440"/>
            <a:ext cx="360" cy="360"/>
          </xdr14:xfrm>
        </xdr:contentPart>
      </mc:Choice>
      <mc:Fallback xmlns="">
        <xdr:pic>
          <xdr:nvPicPr>
            <xdr:cNvPr id="201" name="Ink 200">
              <a:extLst>
                <a:ext uri="{FF2B5EF4-FFF2-40B4-BE49-F238E27FC236}">
                  <a16:creationId xmlns:a16="http://schemas.microsoft.com/office/drawing/2014/main" id="{8E16A225-165F-214D-8934-5416B182F77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2">
          <xdr14:nvContentPartPr>
            <xdr14:cNvPr id="202" name="Ink 201">
              <a:extLst>
                <a:ext uri="{FF2B5EF4-FFF2-40B4-BE49-F238E27FC236}">
                  <a16:creationId xmlns:a16="http://schemas.microsoft.com/office/drawing/2014/main" id="{468025ED-657A-6644-8636-A5CE9030B23A}"/>
                </a:ext>
              </a:extLst>
            </xdr14:cNvPr>
            <xdr14:cNvContentPartPr/>
          </xdr14:nvContentPartPr>
          <xdr14:nvPr macro=""/>
          <xdr14:xfrm>
            <a:off x="12973680" y="1366560"/>
            <a:ext cx="360" cy="360"/>
          </xdr14:xfrm>
        </xdr:contentPart>
      </mc:Choice>
      <mc:Fallback xmlns="">
        <xdr:pic>
          <xdr:nvPicPr>
            <xdr:cNvPr id="202" name="Ink 201">
              <a:extLst>
                <a:ext uri="{FF2B5EF4-FFF2-40B4-BE49-F238E27FC236}">
                  <a16:creationId xmlns:a16="http://schemas.microsoft.com/office/drawing/2014/main" id="{468025ED-657A-6644-8636-A5CE9030B23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203" name="Ink 202">
              <a:extLst>
                <a:ext uri="{FF2B5EF4-FFF2-40B4-BE49-F238E27FC236}">
                  <a16:creationId xmlns:a16="http://schemas.microsoft.com/office/drawing/2014/main" id="{2EE959A9-0B19-9A48-BAF0-CA4005BD6385}"/>
                </a:ext>
              </a:extLst>
            </xdr14:cNvPr>
            <xdr14:cNvContentPartPr/>
          </xdr14:nvContentPartPr>
          <xdr14:nvPr macro=""/>
          <xdr14:xfrm>
            <a:off x="12846960" y="1192320"/>
            <a:ext cx="360" cy="360"/>
          </xdr14:xfrm>
        </xdr:contentPart>
      </mc:Choice>
      <mc:Fallback xmlns="">
        <xdr:pic>
          <xdr:nvPicPr>
            <xdr:cNvPr id="203" name="Ink 202">
              <a:extLst>
                <a:ext uri="{FF2B5EF4-FFF2-40B4-BE49-F238E27FC236}">
                  <a16:creationId xmlns:a16="http://schemas.microsoft.com/office/drawing/2014/main" id="{2EE959A9-0B19-9A48-BAF0-CA4005BD638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4">
          <xdr14:nvContentPartPr>
            <xdr14:cNvPr id="204" name="Ink 203">
              <a:extLst>
                <a:ext uri="{FF2B5EF4-FFF2-40B4-BE49-F238E27FC236}">
                  <a16:creationId xmlns:a16="http://schemas.microsoft.com/office/drawing/2014/main" id="{9F56BCF1-409D-2445-B4C9-B6C3E389CDB9}"/>
                </a:ext>
              </a:extLst>
            </xdr14:cNvPr>
            <xdr14:cNvContentPartPr/>
          </xdr14:nvContentPartPr>
          <xdr14:nvPr macro=""/>
          <xdr14:xfrm>
            <a:off x="12866040" y="1243440"/>
            <a:ext cx="360" cy="360"/>
          </xdr14:xfrm>
        </xdr:contentPart>
      </mc:Choice>
      <mc:Fallback xmlns="">
        <xdr:pic>
          <xdr:nvPicPr>
            <xdr:cNvPr id="204" name="Ink 203">
              <a:extLst>
                <a:ext uri="{FF2B5EF4-FFF2-40B4-BE49-F238E27FC236}">
                  <a16:creationId xmlns:a16="http://schemas.microsoft.com/office/drawing/2014/main" id="{9F56BCF1-409D-2445-B4C9-B6C3E389CDB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205" name="Ink 204">
              <a:extLst>
                <a:ext uri="{FF2B5EF4-FFF2-40B4-BE49-F238E27FC236}">
                  <a16:creationId xmlns:a16="http://schemas.microsoft.com/office/drawing/2014/main" id="{66A92561-FDF1-634D-8E11-085CB756DB56}"/>
                </a:ext>
              </a:extLst>
            </xdr14:cNvPr>
            <xdr14:cNvContentPartPr/>
          </xdr14:nvContentPartPr>
          <xdr14:nvPr macro=""/>
          <xdr14:xfrm>
            <a:off x="12973680" y="1366560"/>
            <a:ext cx="360" cy="360"/>
          </xdr14:xfrm>
        </xdr:contentPart>
      </mc:Choice>
      <mc:Fallback xmlns="">
        <xdr:pic>
          <xdr:nvPicPr>
            <xdr:cNvPr id="205" name="Ink 204">
              <a:extLst>
                <a:ext uri="{FF2B5EF4-FFF2-40B4-BE49-F238E27FC236}">
                  <a16:creationId xmlns:a16="http://schemas.microsoft.com/office/drawing/2014/main" id="{66A92561-FDF1-634D-8E11-085CB756DB5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6">
          <xdr14:nvContentPartPr>
            <xdr14:cNvPr id="206" name="Ink 205">
              <a:extLst>
                <a:ext uri="{FF2B5EF4-FFF2-40B4-BE49-F238E27FC236}">
                  <a16:creationId xmlns:a16="http://schemas.microsoft.com/office/drawing/2014/main" id="{40DFF01A-29D1-934E-83C7-B176C8A1BD7F}"/>
                </a:ext>
              </a:extLst>
            </xdr14:cNvPr>
            <xdr14:cNvContentPartPr/>
          </xdr14:nvContentPartPr>
          <xdr14:nvPr macro=""/>
          <xdr14:xfrm>
            <a:off x="12846960" y="1192320"/>
            <a:ext cx="360" cy="360"/>
          </xdr14:xfrm>
        </xdr:contentPart>
      </mc:Choice>
      <mc:Fallback xmlns="">
        <xdr:pic>
          <xdr:nvPicPr>
            <xdr:cNvPr id="206" name="Ink 205">
              <a:extLst>
                <a:ext uri="{FF2B5EF4-FFF2-40B4-BE49-F238E27FC236}">
                  <a16:creationId xmlns:a16="http://schemas.microsoft.com/office/drawing/2014/main" id="{40DFF01A-29D1-934E-83C7-B176C8A1BD7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207" name="Ink 206">
              <a:extLst>
                <a:ext uri="{FF2B5EF4-FFF2-40B4-BE49-F238E27FC236}">
                  <a16:creationId xmlns:a16="http://schemas.microsoft.com/office/drawing/2014/main" id="{630839E8-FEA6-6D41-BA52-27D10B169AEC}"/>
                </a:ext>
              </a:extLst>
            </xdr14:cNvPr>
            <xdr14:cNvContentPartPr/>
          </xdr14:nvContentPartPr>
          <xdr14:nvPr macro=""/>
          <xdr14:xfrm>
            <a:off x="12866040" y="1243440"/>
            <a:ext cx="360" cy="360"/>
          </xdr14:xfrm>
        </xdr:contentPart>
      </mc:Choice>
      <mc:Fallback xmlns="">
        <xdr:pic>
          <xdr:nvPicPr>
            <xdr:cNvPr id="207" name="Ink 206">
              <a:extLst>
                <a:ext uri="{FF2B5EF4-FFF2-40B4-BE49-F238E27FC236}">
                  <a16:creationId xmlns:a16="http://schemas.microsoft.com/office/drawing/2014/main" id="{630839E8-FEA6-6D41-BA52-27D10B169AE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8">
          <xdr14:nvContentPartPr>
            <xdr14:cNvPr id="208" name="Ink 207">
              <a:extLst>
                <a:ext uri="{FF2B5EF4-FFF2-40B4-BE49-F238E27FC236}">
                  <a16:creationId xmlns:a16="http://schemas.microsoft.com/office/drawing/2014/main" id="{91A0AC7C-399A-304D-8E4D-FA74DB84611A}"/>
                </a:ext>
              </a:extLst>
            </xdr14:cNvPr>
            <xdr14:cNvContentPartPr/>
          </xdr14:nvContentPartPr>
          <xdr14:nvPr macro=""/>
          <xdr14:xfrm>
            <a:off x="12973680" y="1366560"/>
            <a:ext cx="360" cy="360"/>
          </xdr14:xfrm>
        </xdr:contentPart>
      </mc:Choice>
      <mc:Fallback xmlns="">
        <xdr:pic>
          <xdr:nvPicPr>
            <xdr:cNvPr id="208" name="Ink 207">
              <a:extLst>
                <a:ext uri="{FF2B5EF4-FFF2-40B4-BE49-F238E27FC236}">
                  <a16:creationId xmlns:a16="http://schemas.microsoft.com/office/drawing/2014/main" id="{91A0AC7C-399A-304D-8E4D-FA74DB84611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209" name="Ink 208">
              <a:extLst>
                <a:ext uri="{FF2B5EF4-FFF2-40B4-BE49-F238E27FC236}">
                  <a16:creationId xmlns:a16="http://schemas.microsoft.com/office/drawing/2014/main" id="{A8AAE4E5-A8C8-8F4C-AA4D-616C77A4C392}"/>
                </a:ext>
              </a:extLst>
            </xdr14:cNvPr>
            <xdr14:cNvContentPartPr/>
          </xdr14:nvContentPartPr>
          <xdr14:nvPr macro=""/>
          <xdr14:xfrm>
            <a:off x="12846960" y="1192320"/>
            <a:ext cx="360" cy="360"/>
          </xdr14:xfrm>
        </xdr:contentPart>
      </mc:Choice>
      <mc:Fallback xmlns="">
        <xdr:pic>
          <xdr:nvPicPr>
            <xdr:cNvPr id="209" name="Ink 208">
              <a:extLst>
                <a:ext uri="{FF2B5EF4-FFF2-40B4-BE49-F238E27FC236}">
                  <a16:creationId xmlns:a16="http://schemas.microsoft.com/office/drawing/2014/main" id="{A8AAE4E5-A8C8-8F4C-AA4D-616C77A4C39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0">
          <xdr14:nvContentPartPr>
            <xdr14:cNvPr id="210" name="Ink 209">
              <a:extLst>
                <a:ext uri="{FF2B5EF4-FFF2-40B4-BE49-F238E27FC236}">
                  <a16:creationId xmlns:a16="http://schemas.microsoft.com/office/drawing/2014/main" id="{B0629510-2F9D-3942-B0F0-DA44910D7A38}"/>
                </a:ext>
              </a:extLst>
            </xdr14:cNvPr>
            <xdr14:cNvContentPartPr/>
          </xdr14:nvContentPartPr>
          <xdr14:nvPr macro=""/>
          <xdr14:xfrm>
            <a:off x="12866040" y="1243440"/>
            <a:ext cx="360" cy="360"/>
          </xdr14:xfrm>
        </xdr:contentPart>
      </mc:Choice>
      <mc:Fallback xmlns="">
        <xdr:pic>
          <xdr:nvPicPr>
            <xdr:cNvPr id="210" name="Ink 209">
              <a:extLst>
                <a:ext uri="{FF2B5EF4-FFF2-40B4-BE49-F238E27FC236}">
                  <a16:creationId xmlns:a16="http://schemas.microsoft.com/office/drawing/2014/main" id="{B0629510-2F9D-3942-B0F0-DA44910D7A3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211" name="Ink 210">
              <a:extLst>
                <a:ext uri="{FF2B5EF4-FFF2-40B4-BE49-F238E27FC236}">
                  <a16:creationId xmlns:a16="http://schemas.microsoft.com/office/drawing/2014/main" id="{D5C6AAA0-BEB8-014A-88B2-044D6C36398B}"/>
                </a:ext>
              </a:extLst>
            </xdr14:cNvPr>
            <xdr14:cNvContentPartPr/>
          </xdr14:nvContentPartPr>
          <xdr14:nvPr macro=""/>
          <xdr14:xfrm>
            <a:off x="12973680" y="1366560"/>
            <a:ext cx="360" cy="360"/>
          </xdr14:xfrm>
        </xdr:contentPart>
      </mc:Choice>
      <mc:Fallback xmlns="">
        <xdr:pic>
          <xdr:nvPicPr>
            <xdr:cNvPr id="211" name="Ink 210">
              <a:extLst>
                <a:ext uri="{FF2B5EF4-FFF2-40B4-BE49-F238E27FC236}">
                  <a16:creationId xmlns:a16="http://schemas.microsoft.com/office/drawing/2014/main" id="{D5C6AAA0-BEB8-014A-88B2-044D6C36398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2">
          <xdr14:nvContentPartPr>
            <xdr14:cNvPr id="212" name="Ink 211">
              <a:extLst>
                <a:ext uri="{FF2B5EF4-FFF2-40B4-BE49-F238E27FC236}">
                  <a16:creationId xmlns:a16="http://schemas.microsoft.com/office/drawing/2014/main" id="{0FD428A1-19F0-D844-AAE9-6E3410A2E05B}"/>
                </a:ext>
              </a:extLst>
            </xdr14:cNvPr>
            <xdr14:cNvContentPartPr/>
          </xdr14:nvContentPartPr>
          <xdr14:nvPr macro=""/>
          <xdr14:xfrm>
            <a:off x="12846960" y="1192320"/>
            <a:ext cx="360" cy="360"/>
          </xdr14:xfrm>
        </xdr:contentPart>
      </mc:Choice>
      <mc:Fallback xmlns="">
        <xdr:pic>
          <xdr:nvPicPr>
            <xdr:cNvPr id="212" name="Ink 211">
              <a:extLst>
                <a:ext uri="{FF2B5EF4-FFF2-40B4-BE49-F238E27FC236}">
                  <a16:creationId xmlns:a16="http://schemas.microsoft.com/office/drawing/2014/main" id="{0FD428A1-19F0-D844-AAE9-6E3410A2E05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213" name="Ink 212">
              <a:extLst>
                <a:ext uri="{FF2B5EF4-FFF2-40B4-BE49-F238E27FC236}">
                  <a16:creationId xmlns:a16="http://schemas.microsoft.com/office/drawing/2014/main" id="{BEE0F3E9-2114-9944-94EC-16B0E4B4315E}"/>
                </a:ext>
              </a:extLst>
            </xdr14:cNvPr>
            <xdr14:cNvContentPartPr/>
          </xdr14:nvContentPartPr>
          <xdr14:nvPr macro=""/>
          <xdr14:xfrm>
            <a:off x="12866040" y="1243440"/>
            <a:ext cx="360" cy="360"/>
          </xdr14:xfrm>
        </xdr:contentPart>
      </mc:Choice>
      <mc:Fallback xmlns="">
        <xdr:pic>
          <xdr:nvPicPr>
            <xdr:cNvPr id="213" name="Ink 212">
              <a:extLst>
                <a:ext uri="{FF2B5EF4-FFF2-40B4-BE49-F238E27FC236}">
                  <a16:creationId xmlns:a16="http://schemas.microsoft.com/office/drawing/2014/main" id="{BEE0F3E9-2114-9944-94EC-16B0E4B4315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4">
          <xdr14:nvContentPartPr>
            <xdr14:cNvPr id="214" name="Ink 213">
              <a:extLst>
                <a:ext uri="{FF2B5EF4-FFF2-40B4-BE49-F238E27FC236}">
                  <a16:creationId xmlns:a16="http://schemas.microsoft.com/office/drawing/2014/main" id="{26E1E638-208C-5A4A-BA9B-DDF9294D21B4}"/>
                </a:ext>
              </a:extLst>
            </xdr14:cNvPr>
            <xdr14:cNvContentPartPr/>
          </xdr14:nvContentPartPr>
          <xdr14:nvPr macro=""/>
          <xdr14:xfrm>
            <a:off x="12973680" y="1366560"/>
            <a:ext cx="360" cy="360"/>
          </xdr14:xfrm>
        </xdr:contentPart>
      </mc:Choice>
      <mc:Fallback xmlns="">
        <xdr:pic>
          <xdr:nvPicPr>
            <xdr:cNvPr id="214" name="Ink 213">
              <a:extLst>
                <a:ext uri="{FF2B5EF4-FFF2-40B4-BE49-F238E27FC236}">
                  <a16:creationId xmlns:a16="http://schemas.microsoft.com/office/drawing/2014/main" id="{26E1E638-208C-5A4A-BA9B-DDF9294D21B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215" name="Ink 214">
              <a:extLst>
                <a:ext uri="{FF2B5EF4-FFF2-40B4-BE49-F238E27FC236}">
                  <a16:creationId xmlns:a16="http://schemas.microsoft.com/office/drawing/2014/main" id="{56CE82AC-7C5E-1C49-8E00-92938FFAF500}"/>
                </a:ext>
              </a:extLst>
            </xdr14:cNvPr>
            <xdr14:cNvContentPartPr/>
          </xdr14:nvContentPartPr>
          <xdr14:nvPr macro=""/>
          <xdr14:xfrm>
            <a:off x="12846960" y="1192320"/>
            <a:ext cx="360" cy="360"/>
          </xdr14:xfrm>
        </xdr:contentPart>
      </mc:Choice>
      <mc:Fallback xmlns="">
        <xdr:pic>
          <xdr:nvPicPr>
            <xdr:cNvPr id="215" name="Ink 214">
              <a:extLst>
                <a:ext uri="{FF2B5EF4-FFF2-40B4-BE49-F238E27FC236}">
                  <a16:creationId xmlns:a16="http://schemas.microsoft.com/office/drawing/2014/main" id="{56CE82AC-7C5E-1C49-8E00-92938FFAF50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6">
          <xdr14:nvContentPartPr>
            <xdr14:cNvPr id="216" name="Ink 215">
              <a:extLst>
                <a:ext uri="{FF2B5EF4-FFF2-40B4-BE49-F238E27FC236}">
                  <a16:creationId xmlns:a16="http://schemas.microsoft.com/office/drawing/2014/main" id="{19217772-72F7-E14C-9339-DB8A152A0316}"/>
                </a:ext>
              </a:extLst>
            </xdr14:cNvPr>
            <xdr14:cNvContentPartPr/>
          </xdr14:nvContentPartPr>
          <xdr14:nvPr macro=""/>
          <xdr14:xfrm>
            <a:off x="12866040" y="1243440"/>
            <a:ext cx="360" cy="360"/>
          </xdr14:xfrm>
        </xdr:contentPart>
      </mc:Choice>
      <mc:Fallback xmlns="">
        <xdr:pic>
          <xdr:nvPicPr>
            <xdr:cNvPr id="216" name="Ink 215">
              <a:extLst>
                <a:ext uri="{FF2B5EF4-FFF2-40B4-BE49-F238E27FC236}">
                  <a16:creationId xmlns:a16="http://schemas.microsoft.com/office/drawing/2014/main" id="{19217772-72F7-E14C-9339-DB8A152A031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217" name="Ink 216">
              <a:extLst>
                <a:ext uri="{FF2B5EF4-FFF2-40B4-BE49-F238E27FC236}">
                  <a16:creationId xmlns:a16="http://schemas.microsoft.com/office/drawing/2014/main" id="{0726EFA9-959E-1242-835F-CC67CE2F4345}"/>
                </a:ext>
              </a:extLst>
            </xdr14:cNvPr>
            <xdr14:cNvContentPartPr/>
          </xdr14:nvContentPartPr>
          <xdr14:nvPr macro=""/>
          <xdr14:xfrm>
            <a:off x="12973680" y="1366560"/>
            <a:ext cx="360" cy="360"/>
          </xdr14:xfrm>
        </xdr:contentPart>
      </mc:Choice>
      <mc:Fallback xmlns="">
        <xdr:pic>
          <xdr:nvPicPr>
            <xdr:cNvPr id="217" name="Ink 216">
              <a:extLst>
                <a:ext uri="{FF2B5EF4-FFF2-40B4-BE49-F238E27FC236}">
                  <a16:creationId xmlns:a16="http://schemas.microsoft.com/office/drawing/2014/main" id="{0726EFA9-959E-1242-835F-CC67CE2F434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8">
          <xdr14:nvContentPartPr>
            <xdr14:cNvPr id="218" name="Ink 217">
              <a:extLst>
                <a:ext uri="{FF2B5EF4-FFF2-40B4-BE49-F238E27FC236}">
                  <a16:creationId xmlns:a16="http://schemas.microsoft.com/office/drawing/2014/main" id="{74ECF498-C0DC-AB42-8D32-C810CAB5BDEB}"/>
                </a:ext>
              </a:extLst>
            </xdr14:cNvPr>
            <xdr14:cNvContentPartPr/>
          </xdr14:nvContentPartPr>
          <xdr14:nvPr macro=""/>
          <xdr14:xfrm>
            <a:off x="12846960" y="1192320"/>
            <a:ext cx="360" cy="360"/>
          </xdr14:xfrm>
        </xdr:contentPart>
      </mc:Choice>
      <mc:Fallback xmlns="">
        <xdr:pic>
          <xdr:nvPicPr>
            <xdr:cNvPr id="218" name="Ink 217">
              <a:extLst>
                <a:ext uri="{FF2B5EF4-FFF2-40B4-BE49-F238E27FC236}">
                  <a16:creationId xmlns:a16="http://schemas.microsoft.com/office/drawing/2014/main" id="{74ECF498-C0DC-AB42-8D32-C810CAB5BDE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219" name="Ink 218">
              <a:extLst>
                <a:ext uri="{FF2B5EF4-FFF2-40B4-BE49-F238E27FC236}">
                  <a16:creationId xmlns:a16="http://schemas.microsoft.com/office/drawing/2014/main" id="{4553E0DA-DFEF-4542-A847-697B50F6CD69}"/>
                </a:ext>
              </a:extLst>
            </xdr14:cNvPr>
            <xdr14:cNvContentPartPr/>
          </xdr14:nvContentPartPr>
          <xdr14:nvPr macro=""/>
          <xdr14:xfrm>
            <a:off x="12866040" y="1243440"/>
            <a:ext cx="360" cy="360"/>
          </xdr14:xfrm>
        </xdr:contentPart>
      </mc:Choice>
      <mc:Fallback xmlns="">
        <xdr:pic>
          <xdr:nvPicPr>
            <xdr:cNvPr id="219" name="Ink 218">
              <a:extLst>
                <a:ext uri="{FF2B5EF4-FFF2-40B4-BE49-F238E27FC236}">
                  <a16:creationId xmlns:a16="http://schemas.microsoft.com/office/drawing/2014/main" id="{4553E0DA-DFEF-4542-A847-697B50F6CD6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0">
          <xdr14:nvContentPartPr>
            <xdr14:cNvPr id="220" name="Ink 219">
              <a:extLst>
                <a:ext uri="{FF2B5EF4-FFF2-40B4-BE49-F238E27FC236}">
                  <a16:creationId xmlns:a16="http://schemas.microsoft.com/office/drawing/2014/main" id="{9FDBE184-A037-FB4F-8C8F-811BFE0C01F6}"/>
                </a:ext>
              </a:extLst>
            </xdr14:cNvPr>
            <xdr14:cNvContentPartPr/>
          </xdr14:nvContentPartPr>
          <xdr14:nvPr macro=""/>
          <xdr14:xfrm>
            <a:off x="12973680" y="1366560"/>
            <a:ext cx="360" cy="360"/>
          </xdr14:xfrm>
        </xdr:contentPart>
      </mc:Choice>
      <mc:Fallback xmlns="">
        <xdr:pic>
          <xdr:nvPicPr>
            <xdr:cNvPr id="220" name="Ink 219">
              <a:extLst>
                <a:ext uri="{FF2B5EF4-FFF2-40B4-BE49-F238E27FC236}">
                  <a16:creationId xmlns:a16="http://schemas.microsoft.com/office/drawing/2014/main" id="{9FDBE184-A037-FB4F-8C8F-811BFE0C01F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221" name="Ink 220">
              <a:extLst>
                <a:ext uri="{FF2B5EF4-FFF2-40B4-BE49-F238E27FC236}">
                  <a16:creationId xmlns:a16="http://schemas.microsoft.com/office/drawing/2014/main" id="{F9C8EB0E-76B6-BE41-940D-0CCF30C846AC}"/>
                </a:ext>
              </a:extLst>
            </xdr14:cNvPr>
            <xdr14:cNvContentPartPr/>
          </xdr14:nvContentPartPr>
          <xdr14:nvPr macro=""/>
          <xdr14:xfrm>
            <a:off x="12846960" y="1192320"/>
            <a:ext cx="360" cy="360"/>
          </xdr14:xfrm>
        </xdr:contentPart>
      </mc:Choice>
      <mc:Fallback xmlns="">
        <xdr:pic>
          <xdr:nvPicPr>
            <xdr:cNvPr id="221" name="Ink 220">
              <a:extLst>
                <a:ext uri="{FF2B5EF4-FFF2-40B4-BE49-F238E27FC236}">
                  <a16:creationId xmlns:a16="http://schemas.microsoft.com/office/drawing/2014/main" id="{F9C8EB0E-76B6-BE41-940D-0CCF30C846A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2">
          <xdr14:nvContentPartPr>
            <xdr14:cNvPr id="222" name="Ink 221">
              <a:extLst>
                <a:ext uri="{FF2B5EF4-FFF2-40B4-BE49-F238E27FC236}">
                  <a16:creationId xmlns:a16="http://schemas.microsoft.com/office/drawing/2014/main" id="{F42EC806-268D-5040-9EE6-EC2D1B4FC184}"/>
                </a:ext>
              </a:extLst>
            </xdr14:cNvPr>
            <xdr14:cNvContentPartPr/>
          </xdr14:nvContentPartPr>
          <xdr14:nvPr macro=""/>
          <xdr14:xfrm>
            <a:off x="12866040" y="1243440"/>
            <a:ext cx="360" cy="360"/>
          </xdr14:xfrm>
        </xdr:contentPart>
      </mc:Choice>
      <mc:Fallback xmlns="">
        <xdr:pic>
          <xdr:nvPicPr>
            <xdr:cNvPr id="222" name="Ink 221">
              <a:extLst>
                <a:ext uri="{FF2B5EF4-FFF2-40B4-BE49-F238E27FC236}">
                  <a16:creationId xmlns:a16="http://schemas.microsoft.com/office/drawing/2014/main" id="{F42EC806-268D-5040-9EE6-EC2D1B4FC18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223" name="Ink 222">
              <a:extLst>
                <a:ext uri="{FF2B5EF4-FFF2-40B4-BE49-F238E27FC236}">
                  <a16:creationId xmlns:a16="http://schemas.microsoft.com/office/drawing/2014/main" id="{B037D491-AF9E-954D-900C-CF4AC4BD9004}"/>
                </a:ext>
              </a:extLst>
            </xdr14:cNvPr>
            <xdr14:cNvContentPartPr/>
          </xdr14:nvContentPartPr>
          <xdr14:nvPr macro=""/>
          <xdr14:xfrm>
            <a:off x="12973680" y="1366560"/>
            <a:ext cx="360" cy="360"/>
          </xdr14:xfrm>
        </xdr:contentPart>
      </mc:Choice>
      <mc:Fallback xmlns="">
        <xdr:pic>
          <xdr:nvPicPr>
            <xdr:cNvPr id="223" name="Ink 222">
              <a:extLst>
                <a:ext uri="{FF2B5EF4-FFF2-40B4-BE49-F238E27FC236}">
                  <a16:creationId xmlns:a16="http://schemas.microsoft.com/office/drawing/2014/main" id="{B037D491-AF9E-954D-900C-CF4AC4BD900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4">
          <xdr14:nvContentPartPr>
            <xdr14:cNvPr id="224" name="Ink 223">
              <a:extLst>
                <a:ext uri="{FF2B5EF4-FFF2-40B4-BE49-F238E27FC236}">
                  <a16:creationId xmlns:a16="http://schemas.microsoft.com/office/drawing/2014/main" id="{7181B761-EF09-574D-B9CE-311006BC2F9E}"/>
                </a:ext>
              </a:extLst>
            </xdr14:cNvPr>
            <xdr14:cNvContentPartPr/>
          </xdr14:nvContentPartPr>
          <xdr14:nvPr macro=""/>
          <xdr14:xfrm>
            <a:off x="12846960" y="1192320"/>
            <a:ext cx="360" cy="360"/>
          </xdr14:xfrm>
        </xdr:contentPart>
      </mc:Choice>
      <mc:Fallback xmlns="">
        <xdr:pic>
          <xdr:nvPicPr>
            <xdr:cNvPr id="224" name="Ink 223">
              <a:extLst>
                <a:ext uri="{FF2B5EF4-FFF2-40B4-BE49-F238E27FC236}">
                  <a16:creationId xmlns:a16="http://schemas.microsoft.com/office/drawing/2014/main" id="{7181B761-EF09-574D-B9CE-311006BC2F9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225" name="Ink 224">
              <a:extLst>
                <a:ext uri="{FF2B5EF4-FFF2-40B4-BE49-F238E27FC236}">
                  <a16:creationId xmlns:a16="http://schemas.microsoft.com/office/drawing/2014/main" id="{98AB1C18-7C98-4144-8206-EB3DD1BF6440}"/>
                </a:ext>
              </a:extLst>
            </xdr14:cNvPr>
            <xdr14:cNvContentPartPr/>
          </xdr14:nvContentPartPr>
          <xdr14:nvPr macro=""/>
          <xdr14:xfrm>
            <a:off x="12866040" y="1243440"/>
            <a:ext cx="360" cy="360"/>
          </xdr14:xfrm>
        </xdr:contentPart>
      </mc:Choice>
      <mc:Fallback xmlns="">
        <xdr:pic>
          <xdr:nvPicPr>
            <xdr:cNvPr id="225" name="Ink 224">
              <a:extLst>
                <a:ext uri="{FF2B5EF4-FFF2-40B4-BE49-F238E27FC236}">
                  <a16:creationId xmlns:a16="http://schemas.microsoft.com/office/drawing/2014/main" id="{98AB1C18-7C98-4144-8206-EB3DD1BF644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6">
          <xdr14:nvContentPartPr>
            <xdr14:cNvPr id="226" name="Ink 225">
              <a:extLst>
                <a:ext uri="{FF2B5EF4-FFF2-40B4-BE49-F238E27FC236}">
                  <a16:creationId xmlns:a16="http://schemas.microsoft.com/office/drawing/2014/main" id="{FC305C31-F2BD-CC48-B06D-9D4849BBA5B4}"/>
                </a:ext>
              </a:extLst>
            </xdr14:cNvPr>
            <xdr14:cNvContentPartPr/>
          </xdr14:nvContentPartPr>
          <xdr14:nvPr macro=""/>
          <xdr14:xfrm>
            <a:off x="12973680" y="1366560"/>
            <a:ext cx="360" cy="360"/>
          </xdr14:xfrm>
        </xdr:contentPart>
      </mc:Choice>
      <mc:Fallback xmlns="">
        <xdr:pic>
          <xdr:nvPicPr>
            <xdr:cNvPr id="226" name="Ink 225">
              <a:extLst>
                <a:ext uri="{FF2B5EF4-FFF2-40B4-BE49-F238E27FC236}">
                  <a16:creationId xmlns:a16="http://schemas.microsoft.com/office/drawing/2014/main" id="{FC305C31-F2BD-CC48-B06D-9D4849BBA5B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227" name="Ink 226">
              <a:extLst>
                <a:ext uri="{FF2B5EF4-FFF2-40B4-BE49-F238E27FC236}">
                  <a16:creationId xmlns:a16="http://schemas.microsoft.com/office/drawing/2014/main" id="{DCAEA805-6363-7449-896C-BA0B3E097F31}"/>
                </a:ext>
              </a:extLst>
            </xdr14:cNvPr>
            <xdr14:cNvContentPartPr/>
          </xdr14:nvContentPartPr>
          <xdr14:nvPr macro=""/>
          <xdr14:xfrm>
            <a:off x="12846960" y="1192320"/>
            <a:ext cx="360" cy="360"/>
          </xdr14:xfrm>
        </xdr:contentPart>
      </mc:Choice>
      <mc:Fallback xmlns="">
        <xdr:pic>
          <xdr:nvPicPr>
            <xdr:cNvPr id="227" name="Ink 226">
              <a:extLst>
                <a:ext uri="{FF2B5EF4-FFF2-40B4-BE49-F238E27FC236}">
                  <a16:creationId xmlns:a16="http://schemas.microsoft.com/office/drawing/2014/main" id="{DCAEA805-6363-7449-896C-BA0B3E097F3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8">
          <xdr14:nvContentPartPr>
            <xdr14:cNvPr id="228" name="Ink 227">
              <a:extLst>
                <a:ext uri="{FF2B5EF4-FFF2-40B4-BE49-F238E27FC236}">
                  <a16:creationId xmlns:a16="http://schemas.microsoft.com/office/drawing/2014/main" id="{79804D25-0BE4-1A4A-9E9D-C0CEDFF67CC2}"/>
                </a:ext>
              </a:extLst>
            </xdr14:cNvPr>
            <xdr14:cNvContentPartPr/>
          </xdr14:nvContentPartPr>
          <xdr14:nvPr macro=""/>
          <xdr14:xfrm>
            <a:off x="12866040" y="1243440"/>
            <a:ext cx="360" cy="360"/>
          </xdr14:xfrm>
        </xdr:contentPart>
      </mc:Choice>
      <mc:Fallback xmlns="">
        <xdr:pic>
          <xdr:nvPicPr>
            <xdr:cNvPr id="228" name="Ink 227">
              <a:extLst>
                <a:ext uri="{FF2B5EF4-FFF2-40B4-BE49-F238E27FC236}">
                  <a16:creationId xmlns:a16="http://schemas.microsoft.com/office/drawing/2014/main" id="{79804D25-0BE4-1A4A-9E9D-C0CEDFF67CC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229" name="Ink 228">
              <a:extLst>
                <a:ext uri="{FF2B5EF4-FFF2-40B4-BE49-F238E27FC236}">
                  <a16:creationId xmlns:a16="http://schemas.microsoft.com/office/drawing/2014/main" id="{81D28498-D6DC-404C-B28A-DE8693C74AD3}"/>
                </a:ext>
              </a:extLst>
            </xdr14:cNvPr>
            <xdr14:cNvContentPartPr/>
          </xdr14:nvContentPartPr>
          <xdr14:nvPr macro=""/>
          <xdr14:xfrm>
            <a:off x="12973680" y="1366560"/>
            <a:ext cx="360" cy="360"/>
          </xdr14:xfrm>
        </xdr:contentPart>
      </mc:Choice>
      <mc:Fallback xmlns="">
        <xdr:pic>
          <xdr:nvPicPr>
            <xdr:cNvPr id="229" name="Ink 228">
              <a:extLst>
                <a:ext uri="{FF2B5EF4-FFF2-40B4-BE49-F238E27FC236}">
                  <a16:creationId xmlns:a16="http://schemas.microsoft.com/office/drawing/2014/main" id="{81D28498-D6DC-404C-B28A-DE8693C74AD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0">
          <xdr14:nvContentPartPr>
            <xdr14:cNvPr id="230" name="Ink 229">
              <a:extLst>
                <a:ext uri="{FF2B5EF4-FFF2-40B4-BE49-F238E27FC236}">
                  <a16:creationId xmlns:a16="http://schemas.microsoft.com/office/drawing/2014/main" id="{ECE84144-1924-C141-8B01-C54BC63C449E}"/>
                </a:ext>
              </a:extLst>
            </xdr14:cNvPr>
            <xdr14:cNvContentPartPr/>
          </xdr14:nvContentPartPr>
          <xdr14:nvPr macro=""/>
          <xdr14:xfrm>
            <a:off x="12846960" y="1192320"/>
            <a:ext cx="360" cy="360"/>
          </xdr14:xfrm>
        </xdr:contentPart>
      </mc:Choice>
      <mc:Fallback xmlns="">
        <xdr:pic>
          <xdr:nvPicPr>
            <xdr:cNvPr id="230" name="Ink 229">
              <a:extLst>
                <a:ext uri="{FF2B5EF4-FFF2-40B4-BE49-F238E27FC236}">
                  <a16:creationId xmlns:a16="http://schemas.microsoft.com/office/drawing/2014/main" id="{ECE84144-1924-C141-8B01-C54BC63C449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231" name="Ink 230">
              <a:extLst>
                <a:ext uri="{FF2B5EF4-FFF2-40B4-BE49-F238E27FC236}">
                  <a16:creationId xmlns:a16="http://schemas.microsoft.com/office/drawing/2014/main" id="{7019D988-3B81-E740-8B9A-1C612E5CA458}"/>
                </a:ext>
              </a:extLst>
            </xdr14:cNvPr>
            <xdr14:cNvContentPartPr/>
          </xdr14:nvContentPartPr>
          <xdr14:nvPr macro=""/>
          <xdr14:xfrm>
            <a:off x="12866040" y="1243440"/>
            <a:ext cx="360" cy="360"/>
          </xdr14:xfrm>
        </xdr:contentPart>
      </mc:Choice>
      <mc:Fallback xmlns="">
        <xdr:pic>
          <xdr:nvPicPr>
            <xdr:cNvPr id="231" name="Ink 230">
              <a:extLst>
                <a:ext uri="{FF2B5EF4-FFF2-40B4-BE49-F238E27FC236}">
                  <a16:creationId xmlns:a16="http://schemas.microsoft.com/office/drawing/2014/main" id="{7019D988-3B81-E740-8B9A-1C612E5CA45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2">
          <xdr14:nvContentPartPr>
            <xdr14:cNvPr id="232" name="Ink 231">
              <a:extLst>
                <a:ext uri="{FF2B5EF4-FFF2-40B4-BE49-F238E27FC236}">
                  <a16:creationId xmlns:a16="http://schemas.microsoft.com/office/drawing/2014/main" id="{B303CEA0-6F7D-B04F-B2D4-42BA41C18AA4}"/>
                </a:ext>
              </a:extLst>
            </xdr14:cNvPr>
            <xdr14:cNvContentPartPr/>
          </xdr14:nvContentPartPr>
          <xdr14:nvPr macro=""/>
          <xdr14:xfrm>
            <a:off x="12973680" y="1366560"/>
            <a:ext cx="360" cy="360"/>
          </xdr14:xfrm>
        </xdr:contentPart>
      </mc:Choice>
      <mc:Fallback xmlns="">
        <xdr:pic>
          <xdr:nvPicPr>
            <xdr:cNvPr id="232" name="Ink 231">
              <a:extLst>
                <a:ext uri="{FF2B5EF4-FFF2-40B4-BE49-F238E27FC236}">
                  <a16:creationId xmlns:a16="http://schemas.microsoft.com/office/drawing/2014/main" id="{B303CEA0-6F7D-B04F-B2D4-42BA41C18AA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233" name="Ink 232">
              <a:extLst>
                <a:ext uri="{FF2B5EF4-FFF2-40B4-BE49-F238E27FC236}">
                  <a16:creationId xmlns:a16="http://schemas.microsoft.com/office/drawing/2014/main" id="{E6D45F15-384B-7845-9686-2AE6E2844342}"/>
                </a:ext>
              </a:extLst>
            </xdr14:cNvPr>
            <xdr14:cNvContentPartPr/>
          </xdr14:nvContentPartPr>
          <xdr14:nvPr macro=""/>
          <xdr14:xfrm>
            <a:off x="12846960" y="1192320"/>
            <a:ext cx="360" cy="360"/>
          </xdr14:xfrm>
        </xdr:contentPart>
      </mc:Choice>
      <mc:Fallback xmlns="">
        <xdr:pic>
          <xdr:nvPicPr>
            <xdr:cNvPr id="233" name="Ink 232">
              <a:extLst>
                <a:ext uri="{FF2B5EF4-FFF2-40B4-BE49-F238E27FC236}">
                  <a16:creationId xmlns:a16="http://schemas.microsoft.com/office/drawing/2014/main" id="{E6D45F15-384B-7845-9686-2AE6E284434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4">
          <xdr14:nvContentPartPr>
            <xdr14:cNvPr id="234" name="Ink 233">
              <a:extLst>
                <a:ext uri="{FF2B5EF4-FFF2-40B4-BE49-F238E27FC236}">
                  <a16:creationId xmlns:a16="http://schemas.microsoft.com/office/drawing/2014/main" id="{FB775D77-77E8-4E4F-8605-A9E257C45830}"/>
                </a:ext>
              </a:extLst>
            </xdr14:cNvPr>
            <xdr14:cNvContentPartPr/>
          </xdr14:nvContentPartPr>
          <xdr14:nvPr macro=""/>
          <xdr14:xfrm>
            <a:off x="12866040" y="1243440"/>
            <a:ext cx="360" cy="360"/>
          </xdr14:xfrm>
        </xdr:contentPart>
      </mc:Choice>
      <mc:Fallback xmlns="">
        <xdr:pic>
          <xdr:nvPicPr>
            <xdr:cNvPr id="234" name="Ink 233">
              <a:extLst>
                <a:ext uri="{FF2B5EF4-FFF2-40B4-BE49-F238E27FC236}">
                  <a16:creationId xmlns:a16="http://schemas.microsoft.com/office/drawing/2014/main" id="{FB775D77-77E8-4E4F-8605-A9E257C4583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235" name="Ink 234">
              <a:extLst>
                <a:ext uri="{FF2B5EF4-FFF2-40B4-BE49-F238E27FC236}">
                  <a16:creationId xmlns:a16="http://schemas.microsoft.com/office/drawing/2014/main" id="{BD6C99ED-FB0D-0147-B491-6B21B166EB1E}"/>
                </a:ext>
              </a:extLst>
            </xdr14:cNvPr>
            <xdr14:cNvContentPartPr/>
          </xdr14:nvContentPartPr>
          <xdr14:nvPr macro=""/>
          <xdr14:xfrm>
            <a:off x="12973680" y="1366560"/>
            <a:ext cx="360" cy="360"/>
          </xdr14:xfrm>
        </xdr:contentPart>
      </mc:Choice>
      <mc:Fallback xmlns="">
        <xdr:pic>
          <xdr:nvPicPr>
            <xdr:cNvPr id="235" name="Ink 234">
              <a:extLst>
                <a:ext uri="{FF2B5EF4-FFF2-40B4-BE49-F238E27FC236}">
                  <a16:creationId xmlns:a16="http://schemas.microsoft.com/office/drawing/2014/main" id="{BD6C99ED-FB0D-0147-B491-6B21B166EB1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6">
          <xdr14:nvContentPartPr>
            <xdr14:cNvPr id="236" name="Ink 235">
              <a:extLst>
                <a:ext uri="{FF2B5EF4-FFF2-40B4-BE49-F238E27FC236}">
                  <a16:creationId xmlns:a16="http://schemas.microsoft.com/office/drawing/2014/main" id="{6680FDB2-7C15-4C45-AC41-FE96F0FF136D}"/>
                </a:ext>
              </a:extLst>
            </xdr14:cNvPr>
            <xdr14:cNvContentPartPr/>
          </xdr14:nvContentPartPr>
          <xdr14:nvPr macro=""/>
          <xdr14:xfrm>
            <a:off x="12846960" y="1192320"/>
            <a:ext cx="360" cy="360"/>
          </xdr14:xfrm>
        </xdr:contentPart>
      </mc:Choice>
      <mc:Fallback xmlns="">
        <xdr:pic>
          <xdr:nvPicPr>
            <xdr:cNvPr id="236" name="Ink 235">
              <a:extLst>
                <a:ext uri="{FF2B5EF4-FFF2-40B4-BE49-F238E27FC236}">
                  <a16:creationId xmlns:a16="http://schemas.microsoft.com/office/drawing/2014/main" id="{6680FDB2-7C15-4C45-AC41-FE96F0FF136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237" name="Ink 236">
              <a:extLst>
                <a:ext uri="{FF2B5EF4-FFF2-40B4-BE49-F238E27FC236}">
                  <a16:creationId xmlns:a16="http://schemas.microsoft.com/office/drawing/2014/main" id="{80B64EB3-26E3-4B42-AFA2-980C40A4A327}"/>
                </a:ext>
              </a:extLst>
            </xdr14:cNvPr>
            <xdr14:cNvContentPartPr/>
          </xdr14:nvContentPartPr>
          <xdr14:nvPr macro=""/>
          <xdr14:xfrm>
            <a:off x="12866040" y="1243440"/>
            <a:ext cx="360" cy="360"/>
          </xdr14:xfrm>
        </xdr:contentPart>
      </mc:Choice>
      <mc:Fallback xmlns="">
        <xdr:pic>
          <xdr:nvPicPr>
            <xdr:cNvPr id="237" name="Ink 236">
              <a:extLst>
                <a:ext uri="{FF2B5EF4-FFF2-40B4-BE49-F238E27FC236}">
                  <a16:creationId xmlns:a16="http://schemas.microsoft.com/office/drawing/2014/main" id="{80B64EB3-26E3-4B42-AFA2-980C40A4A32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8">
          <xdr14:nvContentPartPr>
            <xdr14:cNvPr id="238" name="Ink 237">
              <a:extLst>
                <a:ext uri="{FF2B5EF4-FFF2-40B4-BE49-F238E27FC236}">
                  <a16:creationId xmlns:a16="http://schemas.microsoft.com/office/drawing/2014/main" id="{6943C9C9-4663-7248-A001-FBE3966156C0}"/>
                </a:ext>
              </a:extLst>
            </xdr14:cNvPr>
            <xdr14:cNvContentPartPr/>
          </xdr14:nvContentPartPr>
          <xdr14:nvPr macro=""/>
          <xdr14:xfrm>
            <a:off x="12973680" y="1366560"/>
            <a:ext cx="360" cy="360"/>
          </xdr14:xfrm>
        </xdr:contentPart>
      </mc:Choice>
      <mc:Fallback xmlns="">
        <xdr:pic>
          <xdr:nvPicPr>
            <xdr:cNvPr id="238" name="Ink 237">
              <a:extLst>
                <a:ext uri="{FF2B5EF4-FFF2-40B4-BE49-F238E27FC236}">
                  <a16:creationId xmlns:a16="http://schemas.microsoft.com/office/drawing/2014/main" id="{6943C9C9-4663-7248-A001-FBE3966156C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239" name="Ink 238">
              <a:extLst>
                <a:ext uri="{FF2B5EF4-FFF2-40B4-BE49-F238E27FC236}">
                  <a16:creationId xmlns:a16="http://schemas.microsoft.com/office/drawing/2014/main" id="{8B8207D6-20C5-6741-A413-65F5827D289D}"/>
                </a:ext>
              </a:extLst>
            </xdr14:cNvPr>
            <xdr14:cNvContentPartPr/>
          </xdr14:nvContentPartPr>
          <xdr14:nvPr macro=""/>
          <xdr14:xfrm>
            <a:off x="12846960" y="1192320"/>
            <a:ext cx="360" cy="360"/>
          </xdr14:xfrm>
        </xdr:contentPart>
      </mc:Choice>
      <mc:Fallback xmlns="">
        <xdr:pic>
          <xdr:nvPicPr>
            <xdr:cNvPr id="239" name="Ink 238">
              <a:extLst>
                <a:ext uri="{FF2B5EF4-FFF2-40B4-BE49-F238E27FC236}">
                  <a16:creationId xmlns:a16="http://schemas.microsoft.com/office/drawing/2014/main" id="{8B8207D6-20C5-6741-A413-65F5827D289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0">
          <xdr14:nvContentPartPr>
            <xdr14:cNvPr id="240" name="Ink 239">
              <a:extLst>
                <a:ext uri="{FF2B5EF4-FFF2-40B4-BE49-F238E27FC236}">
                  <a16:creationId xmlns:a16="http://schemas.microsoft.com/office/drawing/2014/main" id="{2FD7EFF2-10C1-B344-A094-886763440CF3}"/>
                </a:ext>
              </a:extLst>
            </xdr14:cNvPr>
            <xdr14:cNvContentPartPr/>
          </xdr14:nvContentPartPr>
          <xdr14:nvPr macro=""/>
          <xdr14:xfrm>
            <a:off x="12866040" y="1243440"/>
            <a:ext cx="360" cy="360"/>
          </xdr14:xfrm>
        </xdr:contentPart>
      </mc:Choice>
      <mc:Fallback xmlns="">
        <xdr:pic>
          <xdr:nvPicPr>
            <xdr:cNvPr id="240" name="Ink 239">
              <a:extLst>
                <a:ext uri="{FF2B5EF4-FFF2-40B4-BE49-F238E27FC236}">
                  <a16:creationId xmlns:a16="http://schemas.microsoft.com/office/drawing/2014/main" id="{2FD7EFF2-10C1-B344-A094-886763440CF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241" name="Ink 240">
              <a:extLst>
                <a:ext uri="{FF2B5EF4-FFF2-40B4-BE49-F238E27FC236}">
                  <a16:creationId xmlns:a16="http://schemas.microsoft.com/office/drawing/2014/main" id="{8464FE08-629F-D444-BBC1-DB43981C6A29}"/>
                </a:ext>
              </a:extLst>
            </xdr14:cNvPr>
            <xdr14:cNvContentPartPr/>
          </xdr14:nvContentPartPr>
          <xdr14:nvPr macro=""/>
          <xdr14:xfrm>
            <a:off x="12973680" y="1366560"/>
            <a:ext cx="360" cy="360"/>
          </xdr14:xfrm>
        </xdr:contentPart>
      </mc:Choice>
      <mc:Fallback xmlns="">
        <xdr:pic>
          <xdr:nvPicPr>
            <xdr:cNvPr id="241" name="Ink 240">
              <a:extLst>
                <a:ext uri="{FF2B5EF4-FFF2-40B4-BE49-F238E27FC236}">
                  <a16:creationId xmlns:a16="http://schemas.microsoft.com/office/drawing/2014/main" id="{8464FE08-629F-D444-BBC1-DB43981C6A2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2">
          <xdr14:nvContentPartPr>
            <xdr14:cNvPr id="242" name="Ink 241">
              <a:extLst>
                <a:ext uri="{FF2B5EF4-FFF2-40B4-BE49-F238E27FC236}">
                  <a16:creationId xmlns:a16="http://schemas.microsoft.com/office/drawing/2014/main" id="{6472C630-CEC0-7141-A7E6-E34CB5E11685}"/>
                </a:ext>
              </a:extLst>
            </xdr14:cNvPr>
            <xdr14:cNvContentPartPr/>
          </xdr14:nvContentPartPr>
          <xdr14:nvPr macro=""/>
          <xdr14:xfrm>
            <a:off x="12846960" y="1192320"/>
            <a:ext cx="360" cy="360"/>
          </xdr14:xfrm>
        </xdr:contentPart>
      </mc:Choice>
      <mc:Fallback xmlns="">
        <xdr:pic>
          <xdr:nvPicPr>
            <xdr:cNvPr id="242" name="Ink 241">
              <a:extLst>
                <a:ext uri="{FF2B5EF4-FFF2-40B4-BE49-F238E27FC236}">
                  <a16:creationId xmlns:a16="http://schemas.microsoft.com/office/drawing/2014/main" id="{6472C630-CEC0-7141-A7E6-E34CB5E1168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243" name="Ink 242">
              <a:extLst>
                <a:ext uri="{FF2B5EF4-FFF2-40B4-BE49-F238E27FC236}">
                  <a16:creationId xmlns:a16="http://schemas.microsoft.com/office/drawing/2014/main" id="{C162CF79-BB54-8C4D-81D4-1A869E326A68}"/>
                </a:ext>
              </a:extLst>
            </xdr14:cNvPr>
            <xdr14:cNvContentPartPr/>
          </xdr14:nvContentPartPr>
          <xdr14:nvPr macro=""/>
          <xdr14:xfrm>
            <a:off x="12866040" y="1243440"/>
            <a:ext cx="360" cy="360"/>
          </xdr14:xfrm>
        </xdr:contentPart>
      </mc:Choice>
      <mc:Fallback xmlns="">
        <xdr:pic>
          <xdr:nvPicPr>
            <xdr:cNvPr id="243" name="Ink 242">
              <a:extLst>
                <a:ext uri="{FF2B5EF4-FFF2-40B4-BE49-F238E27FC236}">
                  <a16:creationId xmlns:a16="http://schemas.microsoft.com/office/drawing/2014/main" id="{C162CF79-BB54-8C4D-81D4-1A869E326A6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4">
          <xdr14:nvContentPartPr>
            <xdr14:cNvPr id="244" name="Ink 243">
              <a:extLst>
                <a:ext uri="{FF2B5EF4-FFF2-40B4-BE49-F238E27FC236}">
                  <a16:creationId xmlns:a16="http://schemas.microsoft.com/office/drawing/2014/main" id="{12ABB8E7-7E4C-E54F-936B-32D241042D7A}"/>
                </a:ext>
              </a:extLst>
            </xdr14:cNvPr>
            <xdr14:cNvContentPartPr/>
          </xdr14:nvContentPartPr>
          <xdr14:nvPr macro=""/>
          <xdr14:xfrm>
            <a:off x="12973680" y="1366560"/>
            <a:ext cx="360" cy="360"/>
          </xdr14:xfrm>
        </xdr:contentPart>
      </mc:Choice>
      <mc:Fallback xmlns="">
        <xdr:pic>
          <xdr:nvPicPr>
            <xdr:cNvPr id="244" name="Ink 243">
              <a:extLst>
                <a:ext uri="{FF2B5EF4-FFF2-40B4-BE49-F238E27FC236}">
                  <a16:creationId xmlns:a16="http://schemas.microsoft.com/office/drawing/2014/main" id="{12ABB8E7-7E4C-E54F-936B-32D241042D7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245" name="Ink 244">
              <a:extLst>
                <a:ext uri="{FF2B5EF4-FFF2-40B4-BE49-F238E27FC236}">
                  <a16:creationId xmlns:a16="http://schemas.microsoft.com/office/drawing/2014/main" id="{0E3131D8-1F14-F548-AE0D-0F9E3C6A0711}"/>
                </a:ext>
              </a:extLst>
            </xdr14:cNvPr>
            <xdr14:cNvContentPartPr/>
          </xdr14:nvContentPartPr>
          <xdr14:nvPr macro=""/>
          <xdr14:xfrm>
            <a:off x="12846960" y="1192320"/>
            <a:ext cx="360" cy="360"/>
          </xdr14:xfrm>
        </xdr:contentPart>
      </mc:Choice>
      <mc:Fallback xmlns="">
        <xdr:pic>
          <xdr:nvPicPr>
            <xdr:cNvPr id="245" name="Ink 244">
              <a:extLst>
                <a:ext uri="{FF2B5EF4-FFF2-40B4-BE49-F238E27FC236}">
                  <a16:creationId xmlns:a16="http://schemas.microsoft.com/office/drawing/2014/main" id="{0E3131D8-1F14-F548-AE0D-0F9E3C6A071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6">
          <xdr14:nvContentPartPr>
            <xdr14:cNvPr id="246" name="Ink 245">
              <a:extLst>
                <a:ext uri="{FF2B5EF4-FFF2-40B4-BE49-F238E27FC236}">
                  <a16:creationId xmlns:a16="http://schemas.microsoft.com/office/drawing/2014/main" id="{953B5E77-1C87-394C-8861-8D6EA1548898}"/>
                </a:ext>
              </a:extLst>
            </xdr14:cNvPr>
            <xdr14:cNvContentPartPr/>
          </xdr14:nvContentPartPr>
          <xdr14:nvPr macro=""/>
          <xdr14:xfrm>
            <a:off x="12866040" y="1243440"/>
            <a:ext cx="360" cy="360"/>
          </xdr14:xfrm>
        </xdr:contentPart>
      </mc:Choice>
      <mc:Fallback xmlns="">
        <xdr:pic>
          <xdr:nvPicPr>
            <xdr:cNvPr id="246" name="Ink 245">
              <a:extLst>
                <a:ext uri="{FF2B5EF4-FFF2-40B4-BE49-F238E27FC236}">
                  <a16:creationId xmlns:a16="http://schemas.microsoft.com/office/drawing/2014/main" id="{953B5E77-1C87-394C-8861-8D6EA154889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247" name="Ink 246">
              <a:extLst>
                <a:ext uri="{FF2B5EF4-FFF2-40B4-BE49-F238E27FC236}">
                  <a16:creationId xmlns:a16="http://schemas.microsoft.com/office/drawing/2014/main" id="{36ED7FC9-14C4-4A43-A2F7-75A5A7D9312A}"/>
                </a:ext>
              </a:extLst>
            </xdr14:cNvPr>
            <xdr14:cNvContentPartPr/>
          </xdr14:nvContentPartPr>
          <xdr14:nvPr macro=""/>
          <xdr14:xfrm>
            <a:off x="12973680" y="1366560"/>
            <a:ext cx="360" cy="360"/>
          </xdr14:xfrm>
        </xdr:contentPart>
      </mc:Choice>
      <mc:Fallback xmlns="">
        <xdr:pic>
          <xdr:nvPicPr>
            <xdr:cNvPr id="247" name="Ink 246">
              <a:extLst>
                <a:ext uri="{FF2B5EF4-FFF2-40B4-BE49-F238E27FC236}">
                  <a16:creationId xmlns:a16="http://schemas.microsoft.com/office/drawing/2014/main" id="{36ED7FC9-14C4-4A43-A2F7-75A5A7D9312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8">
          <xdr14:nvContentPartPr>
            <xdr14:cNvPr id="248" name="Ink 247">
              <a:extLst>
                <a:ext uri="{FF2B5EF4-FFF2-40B4-BE49-F238E27FC236}">
                  <a16:creationId xmlns:a16="http://schemas.microsoft.com/office/drawing/2014/main" id="{7691028C-2EF6-A447-920B-1F40841C7FD9}"/>
                </a:ext>
              </a:extLst>
            </xdr14:cNvPr>
            <xdr14:cNvContentPartPr/>
          </xdr14:nvContentPartPr>
          <xdr14:nvPr macro=""/>
          <xdr14:xfrm>
            <a:off x="12846960" y="1192320"/>
            <a:ext cx="360" cy="360"/>
          </xdr14:xfrm>
        </xdr:contentPart>
      </mc:Choice>
      <mc:Fallback xmlns="">
        <xdr:pic>
          <xdr:nvPicPr>
            <xdr:cNvPr id="248" name="Ink 247">
              <a:extLst>
                <a:ext uri="{FF2B5EF4-FFF2-40B4-BE49-F238E27FC236}">
                  <a16:creationId xmlns:a16="http://schemas.microsoft.com/office/drawing/2014/main" id="{7691028C-2EF6-A447-920B-1F40841C7FD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249" name="Ink 248">
              <a:extLst>
                <a:ext uri="{FF2B5EF4-FFF2-40B4-BE49-F238E27FC236}">
                  <a16:creationId xmlns:a16="http://schemas.microsoft.com/office/drawing/2014/main" id="{4B615215-94D9-5044-AF6D-7F25F453535C}"/>
                </a:ext>
              </a:extLst>
            </xdr14:cNvPr>
            <xdr14:cNvContentPartPr/>
          </xdr14:nvContentPartPr>
          <xdr14:nvPr macro=""/>
          <xdr14:xfrm>
            <a:off x="12866040" y="1243440"/>
            <a:ext cx="360" cy="360"/>
          </xdr14:xfrm>
        </xdr:contentPart>
      </mc:Choice>
      <mc:Fallback xmlns="">
        <xdr:pic>
          <xdr:nvPicPr>
            <xdr:cNvPr id="249" name="Ink 248">
              <a:extLst>
                <a:ext uri="{FF2B5EF4-FFF2-40B4-BE49-F238E27FC236}">
                  <a16:creationId xmlns:a16="http://schemas.microsoft.com/office/drawing/2014/main" id="{4B615215-94D9-5044-AF6D-7F25F453535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0">
          <xdr14:nvContentPartPr>
            <xdr14:cNvPr id="250" name="Ink 249">
              <a:extLst>
                <a:ext uri="{FF2B5EF4-FFF2-40B4-BE49-F238E27FC236}">
                  <a16:creationId xmlns:a16="http://schemas.microsoft.com/office/drawing/2014/main" id="{2CD1A085-D7D0-4B41-BC2B-62D14D28B893}"/>
                </a:ext>
              </a:extLst>
            </xdr14:cNvPr>
            <xdr14:cNvContentPartPr/>
          </xdr14:nvContentPartPr>
          <xdr14:nvPr macro=""/>
          <xdr14:xfrm>
            <a:off x="12973680" y="1366560"/>
            <a:ext cx="360" cy="360"/>
          </xdr14:xfrm>
        </xdr:contentPart>
      </mc:Choice>
      <mc:Fallback xmlns="">
        <xdr:pic>
          <xdr:nvPicPr>
            <xdr:cNvPr id="250" name="Ink 249">
              <a:extLst>
                <a:ext uri="{FF2B5EF4-FFF2-40B4-BE49-F238E27FC236}">
                  <a16:creationId xmlns:a16="http://schemas.microsoft.com/office/drawing/2014/main" id="{2CD1A085-D7D0-4B41-BC2B-62D14D28B89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1">
          <xdr14:nvContentPartPr>
            <xdr14:cNvPr id="251" name="Ink 250">
              <a:extLst>
                <a:ext uri="{FF2B5EF4-FFF2-40B4-BE49-F238E27FC236}">
                  <a16:creationId xmlns:a16="http://schemas.microsoft.com/office/drawing/2014/main" id="{F36FC11A-5C84-7B47-BC02-3451274ED722}"/>
                </a:ext>
              </a:extLst>
            </xdr14:cNvPr>
            <xdr14:cNvContentPartPr/>
          </xdr14:nvContentPartPr>
          <xdr14:nvPr macro=""/>
          <xdr14:xfrm>
            <a:off x="12846960" y="1192320"/>
            <a:ext cx="360" cy="360"/>
          </xdr14:xfrm>
        </xdr:contentPart>
      </mc:Choice>
      <mc:Fallback xmlns="">
        <xdr:pic>
          <xdr:nvPicPr>
            <xdr:cNvPr id="251" name="Ink 250">
              <a:extLst>
                <a:ext uri="{FF2B5EF4-FFF2-40B4-BE49-F238E27FC236}">
                  <a16:creationId xmlns:a16="http://schemas.microsoft.com/office/drawing/2014/main" id="{F36FC11A-5C84-7B47-BC02-3451274ED72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2">
          <xdr14:nvContentPartPr>
            <xdr14:cNvPr id="252" name="Ink 251">
              <a:extLst>
                <a:ext uri="{FF2B5EF4-FFF2-40B4-BE49-F238E27FC236}">
                  <a16:creationId xmlns:a16="http://schemas.microsoft.com/office/drawing/2014/main" id="{1AC92CE4-D6CC-D142-849F-403CD0CD4595}"/>
                </a:ext>
              </a:extLst>
            </xdr14:cNvPr>
            <xdr14:cNvContentPartPr/>
          </xdr14:nvContentPartPr>
          <xdr14:nvPr macro=""/>
          <xdr14:xfrm>
            <a:off x="12866040" y="1243440"/>
            <a:ext cx="360" cy="360"/>
          </xdr14:xfrm>
        </xdr:contentPart>
      </mc:Choice>
      <mc:Fallback xmlns="">
        <xdr:pic>
          <xdr:nvPicPr>
            <xdr:cNvPr id="252" name="Ink 251">
              <a:extLst>
                <a:ext uri="{FF2B5EF4-FFF2-40B4-BE49-F238E27FC236}">
                  <a16:creationId xmlns:a16="http://schemas.microsoft.com/office/drawing/2014/main" id="{1AC92CE4-D6CC-D142-849F-403CD0CD459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3">
          <xdr14:nvContentPartPr>
            <xdr14:cNvPr id="253" name="Ink 252">
              <a:extLst>
                <a:ext uri="{FF2B5EF4-FFF2-40B4-BE49-F238E27FC236}">
                  <a16:creationId xmlns:a16="http://schemas.microsoft.com/office/drawing/2014/main" id="{CA4465DE-8303-A64F-B07A-EBA2F68A668E}"/>
                </a:ext>
              </a:extLst>
            </xdr14:cNvPr>
            <xdr14:cNvContentPartPr/>
          </xdr14:nvContentPartPr>
          <xdr14:nvPr macro=""/>
          <xdr14:xfrm>
            <a:off x="12973680" y="1366560"/>
            <a:ext cx="360" cy="360"/>
          </xdr14:xfrm>
        </xdr:contentPart>
      </mc:Choice>
      <mc:Fallback xmlns="">
        <xdr:pic>
          <xdr:nvPicPr>
            <xdr:cNvPr id="253" name="Ink 252">
              <a:extLst>
                <a:ext uri="{FF2B5EF4-FFF2-40B4-BE49-F238E27FC236}">
                  <a16:creationId xmlns:a16="http://schemas.microsoft.com/office/drawing/2014/main" id="{CA4465DE-8303-A64F-B07A-EBA2F68A668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4">
          <xdr14:nvContentPartPr>
            <xdr14:cNvPr id="254" name="Ink 253">
              <a:extLst>
                <a:ext uri="{FF2B5EF4-FFF2-40B4-BE49-F238E27FC236}">
                  <a16:creationId xmlns:a16="http://schemas.microsoft.com/office/drawing/2014/main" id="{0DFDC74F-3827-294B-A91E-D3B24B286440}"/>
                </a:ext>
              </a:extLst>
            </xdr14:cNvPr>
            <xdr14:cNvContentPartPr/>
          </xdr14:nvContentPartPr>
          <xdr14:nvPr macro=""/>
          <xdr14:xfrm>
            <a:off x="12846960" y="1192320"/>
            <a:ext cx="360" cy="360"/>
          </xdr14:xfrm>
        </xdr:contentPart>
      </mc:Choice>
      <mc:Fallback xmlns="">
        <xdr:pic>
          <xdr:nvPicPr>
            <xdr:cNvPr id="254" name="Ink 253">
              <a:extLst>
                <a:ext uri="{FF2B5EF4-FFF2-40B4-BE49-F238E27FC236}">
                  <a16:creationId xmlns:a16="http://schemas.microsoft.com/office/drawing/2014/main" id="{0DFDC74F-3827-294B-A91E-D3B24B28644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5">
          <xdr14:nvContentPartPr>
            <xdr14:cNvPr id="255" name="Ink 254">
              <a:extLst>
                <a:ext uri="{FF2B5EF4-FFF2-40B4-BE49-F238E27FC236}">
                  <a16:creationId xmlns:a16="http://schemas.microsoft.com/office/drawing/2014/main" id="{72730C0D-6FC9-304D-94D6-61CEE38C5289}"/>
                </a:ext>
              </a:extLst>
            </xdr14:cNvPr>
            <xdr14:cNvContentPartPr/>
          </xdr14:nvContentPartPr>
          <xdr14:nvPr macro=""/>
          <xdr14:xfrm>
            <a:off x="12866040" y="1243440"/>
            <a:ext cx="360" cy="360"/>
          </xdr14:xfrm>
        </xdr:contentPart>
      </mc:Choice>
      <mc:Fallback xmlns="">
        <xdr:pic>
          <xdr:nvPicPr>
            <xdr:cNvPr id="255" name="Ink 254">
              <a:extLst>
                <a:ext uri="{FF2B5EF4-FFF2-40B4-BE49-F238E27FC236}">
                  <a16:creationId xmlns:a16="http://schemas.microsoft.com/office/drawing/2014/main" id="{72730C0D-6FC9-304D-94D6-61CEE38C528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6">
          <xdr14:nvContentPartPr>
            <xdr14:cNvPr id="256" name="Ink 255">
              <a:extLst>
                <a:ext uri="{FF2B5EF4-FFF2-40B4-BE49-F238E27FC236}">
                  <a16:creationId xmlns:a16="http://schemas.microsoft.com/office/drawing/2014/main" id="{93EDA8D3-6630-4346-9AC0-92AEDA4C295E}"/>
                </a:ext>
              </a:extLst>
            </xdr14:cNvPr>
            <xdr14:cNvContentPartPr/>
          </xdr14:nvContentPartPr>
          <xdr14:nvPr macro=""/>
          <xdr14:xfrm>
            <a:off x="12973680" y="1366560"/>
            <a:ext cx="360" cy="360"/>
          </xdr14:xfrm>
        </xdr:contentPart>
      </mc:Choice>
      <mc:Fallback xmlns="">
        <xdr:pic>
          <xdr:nvPicPr>
            <xdr:cNvPr id="256" name="Ink 255">
              <a:extLst>
                <a:ext uri="{FF2B5EF4-FFF2-40B4-BE49-F238E27FC236}">
                  <a16:creationId xmlns:a16="http://schemas.microsoft.com/office/drawing/2014/main" id="{93EDA8D3-6630-4346-9AC0-92AEDA4C295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7">
          <xdr14:nvContentPartPr>
            <xdr14:cNvPr id="257" name="Ink 256">
              <a:extLst>
                <a:ext uri="{FF2B5EF4-FFF2-40B4-BE49-F238E27FC236}">
                  <a16:creationId xmlns:a16="http://schemas.microsoft.com/office/drawing/2014/main" id="{A0B5083A-3D50-0645-AFD9-0F8D442AF322}"/>
                </a:ext>
              </a:extLst>
            </xdr14:cNvPr>
            <xdr14:cNvContentPartPr/>
          </xdr14:nvContentPartPr>
          <xdr14:nvPr macro=""/>
          <xdr14:xfrm>
            <a:off x="12846960" y="1192320"/>
            <a:ext cx="360" cy="360"/>
          </xdr14:xfrm>
        </xdr:contentPart>
      </mc:Choice>
      <mc:Fallback xmlns="">
        <xdr:pic>
          <xdr:nvPicPr>
            <xdr:cNvPr id="257" name="Ink 256">
              <a:extLst>
                <a:ext uri="{FF2B5EF4-FFF2-40B4-BE49-F238E27FC236}">
                  <a16:creationId xmlns:a16="http://schemas.microsoft.com/office/drawing/2014/main" id="{A0B5083A-3D50-0645-AFD9-0F8D442AF32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8">
          <xdr14:nvContentPartPr>
            <xdr14:cNvPr id="258" name="Ink 257">
              <a:extLst>
                <a:ext uri="{FF2B5EF4-FFF2-40B4-BE49-F238E27FC236}">
                  <a16:creationId xmlns:a16="http://schemas.microsoft.com/office/drawing/2014/main" id="{17DB91EC-6D9B-5242-93C3-0C0F77F083EF}"/>
                </a:ext>
              </a:extLst>
            </xdr14:cNvPr>
            <xdr14:cNvContentPartPr/>
          </xdr14:nvContentPartPr>
          <xdr14:nvPr macro=""/>
          <xdr14:xfrm>
            <a:off x="12866040" y="1243440"/>
            <a:ext cx="360" cy="360"/>
          </xdr14:xfrm>
        </xdr:contentPart>
      </mc:Choice>
      <mc:Fallback xmlns="">
        <xdr:pic>
          <xdr:nvPicPr>
            <xdr:cNvPr id="258" name="Ink 257">
              <a:extLst>
                <a:ext uri="{FF2B5EF4-FFF2-40B4-BE49-F238E27FC236}">
                  <a16:creationId xmlns:a16="http://schemas.microsoft.com/office/drawing/2014/main" id="{17DB91EC-6D9B-5242-93C3-0C0F77F083E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9">
          <xdr14:nvContentPartPr>
            <xdr14:cNvPr id="259" name="Ink 258">
              <a:extLst>
                <a:ext uri="{FF2B5EF4-FFF2-40B4-BE49-F238E27FC236}">
                  <a16:creationId xmlns:a16="http://schemas.microsoft.com/office/drawing/2014/main" id="{C2831C3D-C435-8448-B7EA-1BB8EDDC446E}"/>
                </a:ext>
              </a:extLst>
            </xdr14:cNvPr>
            <xdr14:cNvContentPartPr/>
          </xdr14:nvContentPartPr>
          <xdr14:nvPr macro=""/>
          <xdr14:xfrm>
            <a:off x="12973680" y="1366560"/>
            <a:ext cx="360" cy="360"/>
          </xdr14:xfrm>
        </xdr:contentPart>
      </mc:Choice>
      <mc:Fallback xmlns="">
        <xdr:pic>
          <xdr:nvPicPr>
            <xdr:cNvPr id="259" name="Ink 258">
              <a:extLst>
                <a:ext uri="{FF2B5EF4-FFF2-40B4-BE49-F238E27FC236}">
                  <a16:creationId xmlns:a16="http://schemas.microsoft.com/office/drawing/2014/main" id="{C2831C3D-C435-8448-B7EA-1BB8EDDC446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0">
          <xdr14:nvContentPartPr>
            <xdr14:cNvPr id="260" name="Ink 259">
              <a:extLst>
                <a:ext uri="{FF2B5EF4-FFF2-40B4-BE49-F238E27FC236}">
                  <a16:creationId xmlns:a16="http://schemas.microsoft.com/office/drawing/2014/main" id="{8A1FF062-8E05-4649-8795-01139A2F0AE6}"/>
                </a:ext>
              </a:extLst>
            </xdr14:cNvPr>
            <xdr14:cNvContentPartPr/>
          </xdr14:nvContentPartPr>
          <xdr14:nvPr macro=""/>
          <xdr14:xfrm>
            <a:off x="12846960" y="1192320"/>
            <a:ext cx="360" cy="360"/>
          </xdr14:xfrm>
        </xdr:contentPart>
      </mc:Choice>
      <mc:Fallback xmlns="">
        <xdr:pic>
          <xdr:nvPicPr>
            <xdr:cNvPr id="260" name="Ink 259">
              <a:extLst>
                <a:ext uri="{FF2B5EF4-FFF2-40B4-BE49-F238E27FC236}">
                  <a16:creationId xmlns:a16="http://schemas.microsoft.com/office/drawing/2014/main" id="{8A1FF062-8E05-4649-8795-01139A2F0AE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1">
          <xdr14:nvContentPartPr>
            <xdr14:cNvPr id="261" name="Ink 260">
              <a:extLst>
                <a:ext uri="{FF2B5EF4-FFF2-40B4-BE49-F238E27FC236}">
                  <a16:creationId xmlns:a16="http://schemas.microsoft.com/office/drawing/2014/main" id="{75035C90-E9F0-1746-AE62-6CD59E02C2D4}"/>
                </a:ext>
              </a:extLst>
            </xdr14:cNvPr>
            <xdr14:cNvContentPartPr/>
          </xdr14:nvContentPartPr>
          <xdr14:nvPr macro=""/>
          <xdr14:xfrm>
            <a:off x="12866040" y="1243440"/>
            <a:ext cx="360" cy="360"/>
          </xdr14:xfrm>
        </xdr:contentPart>
      </mc:Choice>
      <mc:Fallback xmlns="">
        <xdr:pic>
          <xdr:nvPicPr>
            <xdr:cNvPr id="261" name="Ink 260">
              <a:extLst>
                <a:ext uri="{FF2B5EF4-FFF2-40B4-BE49-F238E27FC236}">
                  <a16:creationId xmlns:a16="http://schemas.microsoft.com/office/drawing/2014/main" id="{75035C90-E9F0-1746-AE62-6CD59E02C2D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2">
          <xdr14:nvContentPartPr>
            <xdr14:cNvPr id="262" name="Ink 261">
              <a:extLst>
                <a:ext uri="{FF2B5EF4-FFF2-40B4-BE49-F238E27FC236}">
                  <a16:creationId xmlns:a16="http://schemas.microsoft.com/office/drawing/2014/main" id="{AE498ABB-8DD5-1849-8AF8-048603493210}"/>
                </a:ext>
              </a:extLst>
            </xdr14:cNvPr>
            <xdr14:cNvContentPartPr/>
          </xdr14:nvContentPartPr>
          <xdr14:nvPr macro=""/>
          <xdr14:xfrm>
            <a:off x="12973680" y="1366560"/>
            <a:ext cx="360" cy="360"/>
          </xdr14:xfrm>
        </xdr:contentPart>
      </mc:Choice>
      <mc:Fallback xmlns="">
        <xdr:pic>
          <xdr:nvPicPr>
            <xdr:cNvPr id="262" name="Ink 261">
              <a:extLst>
                <a:ext uri="{FF2B5EF4-FFF2-40B4-BE49-F238E27FC236}">
                  <a16:creationId xmlns:a16="http://schemas.microsoft.com/office/drawing/2014/main" id="{AE498ABB-8DD5-1849-8AF8-04860349321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3">
          <xdr14:nvContentPartPr>
            <xdr14:cNvPr id="263" name="Ink 262">
              <a:extLst>
                <a:ext uri="{FF2B5EF4-FFF2-40B4-BE49-F238E27FC236}">
                  <a16:creationId xmlns:a16="http://schemas.microsoft.com/office/drawing/2014/main" id="{3E123F9A-88D1-604D-8123-FE4299D6A0DC}"/>
                </a:ext>
              </a:extLst>
            </xdr14:cNvPr>
            <xdr14:cNvContentPartPr/>
          </xdr14:nvContentPartPr>
          <xdr14:nvPr macro=""/>
          <xdr14:xfrm>
            <a:off x="12846960" y="1192320"/>
            <a:ext cx="360" cy="360"/>
          </xdr14:xfrm>
        </xdr:contentPart>
      </mc:Choice>
      <mc:Fallback xmlns="">
        <xdr:pic>
          <xdr:nvPicPr>
            <xdr:cNvPr id="263" name="Ink 262">
              <a:extLst>
                <a:ext uri="{FF2B5EF4-FFF2-40B4-BE49-F238E27FC236}">
                  <a16:creationId xmlns:a16="http://schemas.microsoft.com/office/drawing/2014/main" id="{3E123F9A-88D1-604D-8123-FE4299D6A0D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4">
          <xdr14:nvContentPartPr>
            <xdr14:cNvPr id="264" name="Ink 263">
              <a:extLst>
                <a:ext uri="{FF2B5EF4-FFF2-40B4-BE49-F238E27FC236}">
                  <a16:creationId xmlns:a16="http://schemas.microsoft.com/office/drawing/2014/main" id="{F977D330-79C1-5E4E-AAA8-E1FF42833E59}"/>
                </a:ext>
              </a:extLst>
            </xdr14:cNvPr>
            <xdr14:cNvContentPartPr/>
          </xdr14:nvContentPartPr>
          <xdr14:nvPr macro=""/>
          <xdr14:xfrm>
            <a:off x="12866040" y="1243440"/>
            <a:ext cx="360" cy="360"/>
          </xdr14:xfrm>
        </xdr:contentPart>
      </mc:Choice>
      <mc:Fallback xmlns="">
        <xdr:pic>
          <xdr:nvPicPr>
            <xdr:cNvPr id="264" name="Ink 263">
              <a:extLst>
                <a:ext uri="{FF2B5EF4-FFF2-40B4-BE49-F238E27FC236}">
                  <a16:creationId xmlns:a16="http://schemas.microsoft.com/office/drawing/2014/main" id="{F977D330-79C1-5E4E-AAA8-E1FF42833E5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5">
          <xdr14:nvContentPartPr>
            <xdr14:cNvPr id="265" name="Ink 264">
              <a:extLst>
                <a:ext uri="{FF2B5EF4-FFF2-40B4-BE49-F238E27FC236}">
                  <a16:creationId xmlns:a16="http://schemas.microsoft.com/office/drawing/2014/main" id="{2DB532E6-52CA-8347-BB9F-F02ABAE08790}"/>
                </a:ext>
              </a:extLst>
            </xdr14:cNvPr>
            <xdr14:cNvContentPartPr/>
          </xdr14:nvContentPartPr>
          <xdr14:nvPr macro=""/>
          <xdr14:xfrm>
            <a:off x="12973680" y="1366560"/>
            <a:ext cx="360" cy="360"/>
          </xdr14:xfrm>
        </xdr:contentPart>
      </mc:Choice>
      <mc:Fallback xmlns="">
        <xdr:pic>
          <xdr:nvPicPr>
            <xdr:cNvPr id="265" name="Ink 264">
              <a:extLst>
                <a:ext uri="{FF2B5EF4-FFF2-40B4-BE49-F238E27FC236}">
                  <a16:creationId xmlns:a16="http://schemas.microsoft.com/office/drawing/2014/main" id="{2DB532E6-52CA-8347-BB9F-F02ABAE0879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6">
          <xdr14:nvContentPartPr>
            <xdr14:cNvPr id="266" name="Ink 265">
              <a:extLst>
                <a:ext uri="{FF2B5EF4-FFF2-40B4-BE49-F238E27FC236}">
                  <a16:creationId xmlns:a16="http://schemas.microsoft.com/office/drawing/2014/main" id="{57E8C669-0E84-5740-B5BE-AC40D596F9DB}"/>
                </a:ext>
              </a:extLst>
            </xdr14:cNvPr>
            <xdr14:cNvContentPartPr/>
          </xdr14:nvContentPartPr>
          <xdr14:nvPr macro=""/>
          <xdr14:xfrm>
            <a:off x="12846960" y="1192320"/>
            <a:ext cx="360" cy="360"/>
          </xdr14:xfrm>
        </xdr:contentPart>
      </mc:Choice>
      <mc:Fallback xmlns="">
        <xdr:pic>
          <xdr:nvPicPr>
            <xdr:cNvPr id="266" name="Ink 265">
              <a:extLst>
                <a:ext uri="{FF2B5EF4-FFF2-40B4-BE49-F238E27FC236}">
                  <a16:creationId xmlns:a16="http://schemas.microsoft.com/office/drawing/2014/main" id="{57E8C669-0E84-5740-B5BE-AC40D596F9D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7">
          <xdr14:nvContentPartPr>
            <xdr14:cNvPr id="267" name="Ink 266">
              <a:extLst>
                <a:ext uri="{FF2B5EF4-FFF2-40B4-BE49-F238E27FC236}">
                  <a16:creationId xmlns:a16="http://schemas.microsoft.com/office/drawing/2014/main" id="{C4F0E897-C8BB-9D45-8A0E-5582E1897437}"/>
                </a:ext>
              </a:extLst>
            </xdr14:cNvPr>
            <xdr14:cNvContentPartPr/>
          </xdr14:nvContentPartPr>
          <xdr14:nvPr macro=""/>
          <xdr14:xfrm>
            <a:off x="12866040" y="1243440"/>
            <a:ext cx="360" cy="360"/>
          </xdr14:xfrm>
        </xdr:contentPart>
      </mc:Choice>
      <mc:Fallback xmlns="">
        <xdr:pic>
          <xdr:nvPicPr>
            <xdr:cNvPr id="267" name="Ink 266">
              <a:extLst>
                <a:ext uri="{FF2B5EF4-FFF2-40B4-BE49-F238E27FC236}">
                  <a16:creationId xmlns:a16="http://schemas.microsoft.com/office/drawing/2014/main" id="{C4F0E897-C8BB-9D45-8A0E-5582E189743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8">
          <xdr14:nvContentPartPr>
            <xdr14:cNvPr id="268" name="Ink 267">
              <a:extLst>
                <a:ext uri="{FF2B5EF4-FFF2-40B4-BE49-F238E27FC236}">
                  <a16:creationId xmlns:a16="http://schemas.microsoft.com/office/drawing/2014/main" id="{25B85018-4D0D-FB41-AAC7-5635D1EDE6F4}"/>
                </a:ext>
              </a:extLst>
            </xdr14:cNvPr>
            <xdr14:cNvContentPartPr/>
          </xdr14:nvContentPartPr>
          <xdr14:nvPr macro=""/>
          <xdr14:xfrm>
            <a:off x="12973680" y="1366560"/>
            <a:ext cx="360" cy="360"/>
          </xdr14:xfrm>
        </xdr:contentPart>
      </mc:Choice>
      <mc:Fallback xmlns="">
        <xdr:pic>
          <xdr:nvPicPr>
            <xdr:cNvPr id="268" name="Ink 267">
              <a:extLst>
                <a:ext uri="{FF2B5EF4-FFF2-40B4-BE49-F238E27FC236}">
                  <a16:creationId xmlns:a16="http://schemas.microsoft.com/office/drawing/2014/main" id="{25B85018-4D0D-FB41-AAC7-5635D1EDE6F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9">
          <xdr14:nvContentPartPr>
            <xdr14:cNvPr id="269" name="Ink 268">
              <a:extLst>
                <a:ext uri="{FF2B5EF4-FFF2-40B4-BE49-F238E27FC236}">
                  <a16:creationId xmlns:a16="http://schemas.microsoft.com/office/drawing/2014/main" id="{43FFE454-1CA0-BD4B-8091-03CB8022D2BD}"/>
                </a:ext>
              </a:extLst>
            </xdr14:cNvPr>
            <xdr14:cNvContentPartPr/>
          </xdr14:nvContentPartPr>
          <xdr14:nvPr macro=""/>
          <xdr14:xfrm>
            <a:off x="12846960" y="1192320"/>
            <a:ext cx="360" cy="360"/>
          </xdr14:xfrm>
        </xdr:contentPart>
      </mc:Choice>
      <mc:Fallback xmlns="">
        <xdr:pic>
          <xdr:nvPicPr>
            <xdr:cNvPr id="269" name="Ink 268">
              <a:extLst>
                <a:ext uri="{FF2B5EF4-FFF2-40B4-BE49-F238E27FC236}">
                  <a16:creationId xmlns:a16="http://schemas.microsoft.com/office/drawing/2014/main" id="{43FFE454-1CA0-BD4B-8091-03CB8022D2B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0">
          <xdr14:nvContentPartPr>
            <xdr14:cNvPr id="270" name="Ink 269">
              <a:extLst>
                <a:ext uri="{FF2B5EF4-FFF2-40B4-BE49-F238E27FC236}">
                  <a16:creationId xmlns:a16="http://schemas.microsoft.com/office/drawing/2014/main" id="{0A27B459-D780-DC4A-9144-742A97835CDE}"/>
                </a:ext>
              </a:extLst>
            </xdr14:cNvPr>
            <xdr14:cNvContentPartPr/>
          </xdr14:nvContentPartPr>
          <xdr14:nvPr macro=""/>
          <xdr14:xfrm>
            <a:off x="12866040" y="1243440"/>
            <a:ext cx="360" cy="360"/>
          </xdr14:xfrm>
        </xdr:contentPart>
      </mc:Choice>
      <mc:Fallback xmlns="">
        <xdr:pic>
          <xdr:nvPicPr>
            <xdr:cNvPr id="270" name="Ink 269">
              <a:extLst>
                <a:ext uri="{FF2B5EF4-FFF2-40B4-BE49-F238E27FC236}">
                  <a16:creationId xmlns:a16="http://schemas.microsoft.com/office/drawing/2014/main" id="{0A27B459-D780-DC4A-9144-742A97835CD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1">
          <xdr14:nvContentPartPr>
            <xdr14:cNvPr id="271" name="Ink 270">
              <a:extLst>
                <a:ext uri="{FF2B5EF4-FFF2-40B4-BE49-F238E27FC236}">
                  <a16:creationId xmlns:a16="http://schemas.microsoft.com/office/drawing/2014/main" id="{385ED3EB-FFD1-EC41-B56A-D1FF441602F9}"/>
                </a:ext>
              </a:extLst>
            </xdr14:cNvPr>
            <xdr14:cNvContentPartPr/>
          </xdr14:nvContentPartPr>
          <xdr14:nvPr macro=""/>
          <xdr14:xfrm>
            <a:off x="12973680" y="1366560"/>
            <a:ext cx="360" cy="360"/>
          </xdr14:xfrm>
        </xdr:contentPart>
      </mc:Choice>
      <mc:Fallback xmlns="">
        <xdr:pic>
          <xdr:nvPicPr>
            <xdr:cNvPr id="271" name="Ink 270">
              <a:extLst>
                <a:ext uri="{FF2B5EF4-FFF2-40B4-BE49-F238E27FC236}">
                  <a16:creationId xmlns:a16="http://schemas.microsoft.com/office/drawing/2014/main" id="{385ED3EB-FFD1-EC41-B56A-D1FF441602F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2">
          <xdr14:nvContentPartPr>
            <xdr14:cNvPr id="272" name="Ink 271">
              <a:extLst>
                <a:ext uri="{FF2B5EF4-FFF2-40B4-BE49-F238E27FC236}">
                  <a16:creationId xmlns:a16="http://schemas.microsoft.com/office/drawing/2014/main" id="{0C392C2C-F252-B942-AB0B-1021D41A4282}"/>
                </a:ext>
              </a:extLst>
            </xdr14:cNvPr>
            <xdr14:cNvContentPartPr/>
          </xdr14:nvContentPartPr>
          <xdr14:nvPr macro=""/>
          <xdr14:xfrm>
            <a:off x="12846960" y="1192320"/>
            <a:ext cx="360" cy="360"/>
          </xdr14:xfrm>
        </xdr:contentPart>
      </mc:Choice>
      <mc:Fallback xmlns="">
        <xdr:pic>
          <xdr:nvPicPr>
            <xdr:cNvPr id="272" name="Ink 271">
              <a:extLst>
                <a:ext uri="{FF2B5EF4-FFF2-40B4-BE49-F238E27FC236}">
                  <a16:creationId xmlns:a16="http://schemas.microsoft.com/office/drawing/2014/main" id="{0C392C2C-F252-B942-AB0B-1021D41A428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3">
          <xdr14:nvContentPartPr>
            <xdr14:cNvPr id="273" name="Ink 272">
              <a:extLst>
                <a:ext uri="{FF2B5EF4-FFF2-40B4-BE49-F238E27FC236}">
                  <a16:creationId xmlns:a16="http://schemas.microsoft.com/office/drawing/2014/main" id="{ABA10470-2B40-5C46-BA54-59763C13FFC1}"/>
                </a:ext>
              </a:extLst>
            </xdr14:cNvPr>
            <xdr14:cNvContentPartPr/>
          </xdr14:nvContentPartPr>
          <xdr14:nvPr macro=""/>
          <xdr14:xfrm>
            <a:off x="12866040" y="1243440"/>
            <a:ext cx="360" cy="360"/>
          </xdr14:xfrm>
        </xdr:contentPart>
      </mc:Choice>
      <mc:Fallback xmlns="">
        <xdr:pic>
          <xdr:nvPicPr>
            <xdr:cNvPr id="273" name="Ink 272">
              <a:extLst>
                <a:ext uri="{FF2B5EF4-FFF2-40B4-BE49-F238E27FC236}">
                  <a16:creationId xmlns:a16="http://schemas.microsoft.com/office/drawing/2014/main" id="{ABA10470-2B40-5C46-BA54-59763C13FFC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4">
          <xdr14:nvContentPartPr>
            <xdr14:cNvPr id="274" name="Ink 273">
              <a:extLst>
                <a:ext uri="{FF2B5EF4-FFF2-40B4-BE49-F238E27FC236}">
                  <a16:creationId xmlns:a16="http://schemas.microsoft.com/office/drawing/2014/main" id="{6B758874-1D76-D141-8756-705AD3A78D78}"/>
                </a:ext>
              </a:extLst>
            </xdr14:cNvPr>
            <xdr14:cNvContentPartPr/>
          </xdr14:nvContentPartPr>
          <xdr14:nvPr macro=""/>
          <xdr14:xfrm>
            <a:off x="12973680" y="1366560"/>
            <a:ext cx="360" cy="360"/>
          </xdr14:xfrm>
        </xdr:contentPart>
      </mc:Choice>
      <mc:Fallback xmlns="">
        <xdr:pic>
          <xdr:nvPicPr>
            <xdr:cNvPr id="274" name="Ink 273">
              <a:extLst>
                <a:ext uri="{FF2B5EF4-FFF2-40B4-BE49-F238E27FC236}">
                  <a16:creationId xmlns:a16="http://schemas.microsoft.com/office/drawing/2014/main" id="{6B758874-1D76-D141-8756-705AD3A78D7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5">
          <xdr14:nvContentPartPr>
            <xdr14:cNvPr id="275" name="Ink 274">
              <a:extLst>
                <a:ext uri="{FF2B5EF4-FFF2-40B4-BE49-F238E27FC236}">
                  <a16:creationId xmlns:a16="http://schemas.microsoft.com/office/drawing/2014/main" id="{9AEBB67F-B554-0A43-9E8A-92FB91623B45}"/>
                </a:ext>
              </a:extLst>
            </xdr14:cNvPr>
            <xdr14:cNvContentPartPr/>
          </xdr14:nvContentPartPr>
          <xdr14:nvPr macro=""/>
          <xdr14:xfrm>
            <a:off x="12846960" y="1192320"/>
            <a:ext cx="360" cy="360"/>
          </xdr14:xfrm>
        </xdr:contentPart>
      </mc:Choice>
      <mc:Fallback xmlns="">
        <xdr:pic>
          <xdr:nvPicPr>
            <xdr:cNvPr id="275" name="Ink 274">
              <a:extLst>
                <a:ext uri="{FF2B5EF4-FFF2-40B4-BE49-F238E27FC236}">
                  <a16:creationId xmlns:a16="http://schemas.microsoft.com/office/drawing/2014/main" id="{9AEBB67F-B554-0A43-9E8A-92FB91623B4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6">
          <xdr14:nvContentPartPr>
            <xdr14:cNvPr id="276" name="Ink 275">
              <a:extLst>
                <a:ext uri="{FF2B5EF4-FFF2-40B4-BE49-F238E27FC236}">
                  <a16:creationId xmlns:a16="http://schemas.microsoft.com/office/drawing/2014/main" id="{5DD78747-57DB-7343-846F-98010622A062}"/>
                </a:ext>
              </a:extLst>
            </xdr14:cNvPr>
            <xdr14:cNvContentPartPr/>
          </xdr14:nvContentPartPr>
          <xdr14:nvPr macro=""/>
          <xdr14:xfrm>
            <a:off x="12866040" y="1243440"/>
            <a:ext cx="360" cy="360"/>
          </xdr14:xfrm>
        </xdr:contentPart>
      </mc:Choice>
      <mc:Fallback xmlns="">
        <xdr:pic>
          <xdr:nvPicPr>
            <xdr:cNvPr id="276" name="Ink 275">
              <a:extLst>
                <a:ext uri="{FF2B5EF4-FFF2-40B4-BE49-F238E27FC236}">
                  <a16:creationId xmlns:a16="http://schemas.microsoft.com/office/drawing/2014/main" id="{5DD78747-57DB-7343-846F-98010622A06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7">
          <xdr14:nvContentPartPr>
            <xdr14:cNvPr id="277" name="Ink 276">
              <a:extLst>
                <a:ext uri="{FF2B5EF4-FFF2-40B4-BE49-F238E27FC236}">
                  <a16:creationId xmlns:a16="http://schemas.microsoft.com/office/drawing/2014/main" id="{18079E1F-7EC6-E64D-AA91-5E4BF8F1A505}"/>
                </a:ext>
              </a:extLst>
            </xdr14:cNvPr>
            <xdr14:cNvContentPartPr/>
          </xdr14:nvContentPartPr>
          <xdr14:nvPr macro=""/>
          <xdr14:xfrm>
            <a:off x="12973680" y="1366560"/>
            <a:ext cx="360" cy="360"/>
          </xdr14:xfrm>
        </xdr:contentPart>
      </mc:Choice>
      <mc:Fallback xmlns="">
        <xdr:pic>
          <xdr:nvPicPr>
            <xdr:cNvPr id="277" name="Ink 276">
              <a:extLst>
                <a:ext uri="{FF2B5EF4-FFF2-40B4-BE49-F238E27FC236}">
                  <a16:creationId xmlns:a16="http://schemas.microsoft.com/office/drawing/2014/main" id="{18079E1F-7EC6-E64D-AA91-5E4BF8F1A50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8">
          <xdr14:nvContentPartPr>
            <xdr14:cNvPr id="278" name="Ink 277">
              <a:extLst>
                <a:ext uri="{FF2B5EF4-FFF2-40B4-BE49-F238E27FC236}">
                  <a16:creationId xmlns:a16="http://schemas.microsoft.com/office/drawing/2014/main" id="{8CE5C3CA-E1EA-FB4D-A190-2A7BFEFBC1B5}"/>
                </a:ext>
              </a:extLst>
            </xdr14:cNvPr>
            <xdr14:cNvContentPartPr/>
          </xdr14:nvContentPartPr>
          <xdr14:nvPr macro=""/>
          <xdr14:xfrm>
            <a:off x="12846960" y="1192320"/>
            <a:ext cx="360" cy="360"/>
          </xdr14:xfrm>
        </xdr:contentPart>
      </mc:Choice>
      <mc:Fallback xmlns="">
        <xdr:pic>
          <xdr:nvPicPr>
            <xdr:cNvPr id="278" name="Ink 277">
              <a:extLst>
                <a:ext uri="{FF2B5EF4-FFF2-40B4-BE49-F238E27FC236}">
                  <a16:creationId xmlns:a16="http://schemas.microsoft.com/office/drawing/2014/main" id="{8CE5C3CA-E1EA-FB4D-A190-2A7BFEFBC1B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9">
          <xdr14:nvContentPartPr>
            <xdr14:cNvPr id="279" name="Ink 278">
              <a:extLst>
                <a:ext uri="{FF2B5EF4-FFF2-40B4-BE49-F238E27FC236}">
                  <a16:creationId xmlns:a16="http://schemas.microsoft.com/office/drawing/2014/main" id="{8B08D3F8-EAD0-A443-AB10-E1FAC7A83880}"/>
                </a:ext>
              </a:extLst>
            </xdr14:cNvPr>
            <xdr14:cNvContentPartPr/>
          </xdr14:nvContentPartPr>
          <xdr14:nvPr macro=""/>
          <xdr14:xfrm>
            <a:off x="12866040" y="1243440"/>
            <a:ext cx="360" cy="360"/>
          </xdr14:xfrm>
        </xdr:contentPart>
      </mc:Choice>
      <mc:Fallback xmlns="">
        <xdr:pic>
          <xdr:nvPicPr>
            <xdr:cNvPr id="279" name="Ink 278">
              <a:extLst>
                <a:ext uri="{FF2B5EF4-FFF2-40B4-BE49-F238E27FC236}">
                  <a16:creationId xmlns:a16="http://schemas.microsoft.com/office/drawing/2014/main" id="{8B08D3F8-EAD0-A443-AB10-E1FAC7A8388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0">
          <xdr14:nvContentPartPr>
            <xdr14:cNvPr id="280" name="Ink 279">
              <a:extLst>
                <a:ext uri="{FF2B5EF4-FFF2-40B4-BE49-F238E27FC236}">
                  <a16:creationId xmlns:a16="http://schemas.microsoft.com/office/drawing/2014/main" id="{0190CBD4-1ACA-C642-AB8A-08ADC3A23121}"/>
                </a:ext>
              </a:extLst>
            </xdr14:cNvPr>
            <xdr14:cNvContentPartPr/>
          </xdr14:nvContentPartPr>
          <xdr14:nvPr macro=""/>
          <xdr14:xfrm>
            <a:off x="12973680" y="1366560"/>
            <a:ext cx="360" cy="360"/>
          </xdr14:xfrm>
        </xdr:contentPart>
      </mc:Choice>
      <mc:Fallback xmlns="">
        <xdr:pic>
          <xdr:nvPicPr>
            <xdr:cNvPr id="280" name="Ink 279">
              <a:extLst>
                <a:ext uri="{FF2B5EF4-FFF2-40B4-BE49-F238E27FC236}">
                  <a16:creationId xmlns:a16="http://schemas.microsoft.com/office/drawing/2014/main" id="{0190CBD4-1ACA-C642-AB8A-08ADC3A2312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1">
          <xdr14:nvContentPartPr>
            <xdr14:cNvPr id="281" name="Ink 280">
              <a:extLst>
                <a:ext uri="{FF2B5EF4-FFF2-40B4-BE49-F238E27FC236}">
                  <a16:creationId xmlns:a16="http://schemas.microsoft.com/office/drawing/2014/main" id="{0A3F8039-F7E8-3247-9710-093E9E67158D}"/>
                </a:ext>
              </a:extLst>
            </xdr14:cNvPr>
            <xdr14:cNvContentPartPr/>
          </xdr14:nvContentPartPr>
          <xdr14:nvPr macro=""/>
          <xdr14:xfrm>
            <a:off x="12846960" y="1192320"/>
            <a:ext cx="360" cy="360"/>
          </xdr14:xfrm>
        </xdr:contentPart>
      </mc:Choice>
      <mc:Fallback xmlns="">
        <xdr:pic>
          <xdr:nvPicPr>
            <xdr:cNvPr id="281" name="Ink 280">
              <a:extLst>
                <a:ext uri="{FF2B5EF4-FFF2-40B4-BE49-F238E27FC236}">
                  <a16:creationId xmlns:a16="http://schemas.microsoft.com/office/drawing/2014/main" id="{0A3F8039-F7E8-3247-9710-093E9E67158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2">
          <xdr14:nvContentPartPr>
            <xdr14:cNvPr id="282" name="Ink 281">
              <a:extLst>
                <a:ext uri="{FF2B5EF4-FFF2-40B4-BE49-F238E27FC236}">
                  <a16:creationId xmlns:a16="http://schemas.microsoft.com/office/drawing/2014/main" id="{40415B9F-BED7-3E4A-9A8D-12B8BAB10E1F}"/>
                </a:ext>
              </a:extLst>
            </xdr14:cNvPr>
            <xdr14:cNvContentPartPr/>
          </xdr14:nvContentPartPr>
          <xdr14:nvPr macro=""/>
          <xdr14:xfrm>
            <a:off x="12866040" y="1243440"/>
            <a:ext cx="360" cy="360"/>
          </xdr14:xfrm>
        </xdr:contentPart>
      </mc:Choice>
      <mc:Fallback xmlns="">
        <xdr:pic>
          <xdr:nvPicPr>
            <xdr:cNvPr id="282" name="Ink 281">
              <a:extLst>
                <a:ext uri="{FF2B5EF4-FFF2-40B4-BE49-F238E27FC236}">
                  <a16:creationId xmlns:a16="http://schemas.microsoft.com/office/drawing/2014/main" id="{40415B9F-BED7-3E4A-9A8D-12B8BAB10E1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3">
          <xdr14:nvContentPartPr>
            <xdr14:cNvPr id="283" name="Ink 282">
              <a:extLst>
                <a:ext uri="{FF2B5EF4-FFF2-40B4-BE49-F238E27FC236}">
                  <a16:creationId xmlns:a16="http://schemas.microsoft.com/office/drawing/2014/main" id="{49899FBB-99A9-384F-9ABE-0C9157C25CD2}"/>
                </a:ext>
              </a:extLst>
            </xdr14:cNvPr>
            <xdr14:cNvContentPartPr/>
          </xdr14:nvContentPartPr>
          <xdr14:nvPr macro=""/>
          <xdr14:xfrm>
            <a:off x="12973680" y="1366560"/>
            <a:ext cx="360" cy="360"/>
          </xdr14:xfrm>
        </xdr:contentPart>
      </mc:Choice>
      <mc:Fallback xmlns="">
        <xdr:pic>
          <xdr:nvPicPr>
            <xdr:cNvPr id="283" name="Ink 282">
              <a:extLst>
                <a:ext uri="{FF2B5EF4-FFF2-40B4-BE49-F238E27FC236}">
                  <a16:creationId xmlns:a16="http://schemas.microsoft.com/office/drawing/2014/main" id="{49899FBB-99A9-384F-9ABE-0C9157C25CD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4">
          <xdr14:nvContentPartPr>
            <xdr14:cNvPr id="284" name="Ink 283">
              <a:extLst>
                <a:ext uri="{FF2B5EF4-FFF2-40B4-BE49-F238E27FC236}">
                  <a16:creationId xmlns:a16="http://schemas.microsoft.com/office/drawing/2014/main" id="{D59CB882-B217-F14A-AC52-4C4ECCF041D7}"/>
                </a:ext>
              </a:extLst>
            </xdr14:cNvPr>
            <xdr14:cNvContentPartPr/>
          </xdr14:nvContentPartPr>
          <xdr14:nvPr macro=""/>
          <xdr14:xfrm>
            <a:off x="12846960" y="1192320"/>
            <a:ext cx="360" cy="360"/>
          </xdr14:xfrm>
        </xdr:contentPart>
      </mc:Choice>
      <mc:Fallback xmlns="">
        <xdr:pic>
          <xdr:nvPicPr>
            <xdr:cNvPr id="284" name="Ink 283">
              <a:extLst>
                <a:ext uri="{FF2B5EF4-FFF2-40B4-BE49-F238E27FC236}">
                  <a16:creationId xmlns:a16="http://schemas.microsoft.com/office/drawing/2014/main" id="{D59CB882-B217-F14A-AC52-4C4ECCF041D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5">
          <xdr14:nvContentPartPr>
            <xdr14:cNvPr id="285" name="Ink 284">
              <a:extLst>
                <a:ext uri="{FF2B5EF4-FFF2-40B4-BE49-F238E27FC236}">
                  <a16:creationId xmlns:a16="http://schemas.microsoft.com/office/drawing/2014/main" id="{1C812822-4C78-C34A-8365-91DA1DDF6F42}"/>
                </a:ext>
              </a:extLst>
            </xdr14:cNvPr>
            <xdr14:cNvContentPartPr/>
          </xdr14:nvContentPartPr>
          <xdr14:nvPr macro=""/>
          <xdr14:xfrm>
            <a:off x="12866040" y="1243440"/>
            <a:ext cx="360" cy="360"/>
          </xdr14:xfrm>
        </xdr:contentPart>
      </mc:Choice>
      <mc:Fallback xmlns="">
        <xdr:pic>
          <xdr:nvPicPr>
            <xdr:cNvPr id="285" name="Ink 284">
              <a:extLst>
                <a:ext uri="{FF2B5EF4-FFF2-40B4-BE49-F238E27FC236}">
                  <a16:creationId xmlns:a16="http://schemas.microsoft.com/office/drawing/2014/main" id="{1C812822-4C78-C34A-8365-91DA1DDF6F4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6">
          <xdr14:nvContentPartPr>
            <xdr14:cNvPr id="286" name="Ink 285">
              <a:extLst>
                <a:ext uri="{FF2B5EF4-FFF2-40B4-BE49-F238E27FC236}">
                  <a16:creationId xmlns:a16="http://schemas.microsoft.com/office/drawing/2014/main" id="{2A70D648-DCB3-E746-B961-620186AD5849}"/>
                </a:ext>
              </a:extLst>
            </xdr14:cNvPr>
            <xdr14:cNvContentPartPr/>
          </xdr14:nvContentPartPr>
          <xdr14:nvPr macro=""/>
          <xdr14:xfrm>
            <a:off x="12973680" y="1366560"/>
            <a:ext cx="360" cy="360"/>
          </xdr14:xfrm>
        </xdr:contentPart>
      </mc:Choice>
      <mc:Fallback xmlns="">
        <xdr:pic>
          <xdr:nvPicPr>
            <xdr:cNvPr id="286" name="Ink 285">
              <a:extLst>
                <a:ext uri="{FF2B5EF4-FFF2-40B4-BE49-F238E27FC236}">
                  <a16:creationId xmlns:a16="http://schemas.microsoft.com/office/drawing/2014/main" id="{2A70D648-DCB3-E746-B961-620186AD584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7">
          <xdr14:nvContentPartPr>
            <xdr14:cNvPr id="287" name="Ink 286">
              <a:extLst>
                <a:ext uri="{FF2B5EF4-FFF2-40B4-BE49-F238E27FC236}">
                  <a16:creationId xmlns:a16="http://schemas.microsoft.com/office/drawing/2014/main" id="{A0F64EBA-32F3-8341-8959-49D8D27EB3C8}"/>
                </a:ext>
              </a:extLst>
            </xdr14:cNvPr>
            <xdr14:cNvContentPartPr/>
          </xdr14:nvContentPartPr>
          <xdr14:nvPr macro=""/>
          <xdr14:xfrm>
            <a:off x="12846960" y="1192320"/>
            <a:ext cx="360" cy="360"/>
          </xdr14:xfrm>
        </xdr:contentPart>
      </mc:Choice>
      <mc:Fallback xmlns="">
        <xdr:pic>
          <xdr:nvPicPr>
            <xdr:cNvPr id="287" name="Ink 286">
              <a:extLst>
                <a:ext uri="{FF2B5EF4-FFF2-40B4-BE49-F238E27FC236}">
                  <a16:creationId xmlns:a16="http://schemas.microsoft.com/office/drawing/2014/main" id="{A0F64EBA-32F3-8341-8959-49D8D27EB3C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8">
          <xdr14:nvContentPartPr>
            <xdr14:cNvPr id="288" name="Ink 287">
              <a:extLst>
                <a:ext uri="{FF2B5EF4-FFF2-40B4-BE49-F238E27FC236}">
                  <a16:creationId xmlns:a16="http://schemas.microsoft.com/office/drawing/2014/main" id="{AE4178A2-A60A-D241-A462-864CE4612F61}"/>
                </a:ext>
              </a:extLst>
            </xdr14:cNvPr>
            <xdr14:cNvContentPartPr/>
          </xdr14:nvContentPartPr>
          <xdr14:nvPr macro=""/>
          <xdr14:xfrm>
            <a:off x="12866040" y="1243440"/>
            <a:ext cx="360" cy="360"/>
          </xdr14:xfrm>
        </xdr:contentPart>
      </mc:Choice>
      <mc:Fallback xmlns="">
        <xdr:pic>
          <xdr:nvPicPr>
            <xdr:cNvPr id="288" name="Ink 287">
              <a:extLst>
                <a:ext uri="{FF2B5EF4-FFF2-40B4-BE49-F238E27FC236}">
                  <a16:creationId xmlns:a16="http://schemas.microsoft.com/office/drawing/2014/main" id="{AE4178A2-A60A-D241-A462-864CE4612F6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9">
          <xdr14:nvContentPartPr>
            <xdr14:cNvPr id="289" name="Ink 288">
              <a:extLst>
                <a:ext uri="{FF2B5EF4-FFF2-40B4-BE49-F238E27FC236}">
                  <a16:creationId xmlns:a16="http://schemas.microsoft.com/office/drawing/2014/main" id="{FB3AA5C1-CD2F-5845-B923-0DAF108F8323}"/>
                </a:ext>
              </a:extLst>
            </xdr14:cNvPr>
            <xdr14:cNvContentPartPr/>
          </xdr14:nvContentPartPr>
          <xdr14:nvPr macro=""/>
          <xdr14:xfrm>
            <a:off x="12973680" y="1366560"/>
            <a:ext cx="360" cy="360"/>
          </xdr14:xfrm>
        </xdr:contentPart>
      </mc:Choice>
      <mc:Fallback xmlns="">
        <xdr:pic>
          <xdr:nvPicPr>
            <xdr:cNvPr id="289" name="Ink 288">
              <a:extLst>
                <a:ext uri="{FF2B5EF4-FFF2-40B4-BE49-F238E27FC236}">
                  <a16:creationId xmlns:a16="http://schemas.microsoft.com/office/drawing/2014/main" id="{FB3AA5C1-CD2F-5845-B923-0DAF108F832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0">
          <xdr14:nvContentPartPr>
            <xdr14:cNvPr id="290" name="Ink 289">
              <a:extLst>
                <a:ext uri="{FF2B5EF4-FFF2-40B4-BE49-F238E27FC236}">
                  <a16:creationId xmlns:a16="http://schemas.microsoft.com/office/drawing/2014/main" id="{84BAF7B8-68A9-9A4B-BC11-502CCD8BA6BC}"/>
                </a:ext>
              </a:extLst>
            </xdr14:cNvPr>
            <xdr14:cNvContentPartPr/>
          </xdr14:nvContentPartPr>
          <xdr14:nvPr macro=""/>
          <xdr14:xfrm>
            <a:off x="12846960" y="1192320"/>
            <a:ext cx="360" cy="360"/>
          </xdr14:xfrm>
        </xdr:contentPart>
      </mc:Choice>
      <mc:Fallback xmlns="">
        <xdr:pic>
          <xdr:nvPicPr>
            <xdr:cNvPr id="290" name="Ink 289">
              <a:extLst>
                <a:ext uri="{FF2B5EF4-FFF2-40B4-BE49-F238E27FC236}">
                  <a16:creationId xmlns:a16="http://schemas.microsoft.com/office/drawing/2014/main" id="{84BAF7B8-68A9-9A4B-BC11-502CCD8BA6B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1">
          <xdr14:nvContentPartPr>
            <xdr14:cNvPr id="291" name="Ink 290">
              <a:extLst>
                <a:ext uri="{FF2B5EF4-FFF2-40B4-BE49-F238E27FC236}">
                  <a16:creationId xmlns:a16="http://schemas.microsoft.com/office/drawing/2014/main" id="{81EC19A3-1F41-3548-BAD7-EA011B8E0138}"/>
                </a:ext>
              </a:extLst>
            </xdr14:cNvPr>
            <xdr14:cNvContentPartPr/>
          </xdr14:nvContentPartPr>
          <xdr14:nvPr macro=""/>
          <xdr14:xfrm>
            <a:off x="12866040" y="1243440"/>
            <a:ext cx="360" cy="360"/>
          </xdr14:xfrm>
        </xdr:contentPart>
      </mc:Choice>
      <mc:Fallback xmlns="">
        <xdr:pic>
          <xdr:nvPicPr>
            <xdr:cNvPr id="291" name="Ink 290">
              <a:extLst>
                <a:ext uri="{FF2B5EF4-FFF2-40B4-BE49-F238E27FC236}">
                  <a16:creationId xmlns:a16="http://schemas.microsoft.com/office/drawing/2014/main" id="{81EC19A3-1F41-3548-BAD7-EA011B8E013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2">
          <xdr14:nvContentPartPr>
            <xdr14:cNvPr id="292" name="Ink 291">
              <a:extLst>
                <a:ext uri="{FF2B5EF4-FFF2-40B4-BE49-F238E27FC236}">
                  <a16:creationId xmlns:a16="http://schemas.microsoft.com/office/drawing/2014/main" id="{4FE737CB-69EA-354E-9A6B-82E6A3B0A10F}"/>
                </a:ext>
              </a:extLst>
            </xdr14:cNvPr>
            <xdr14:cNvContentPartPr/>
          </xdr14:nvContentPartPr>
          <xdr14:nvPr macro=""/>
          <xdr14:xfrm>
            <a:off x="12973680" y="1366560"/>
            <a:ext cx="360" cy="360"/>
          </xdr14:xfrm>
        </xdr:contentPart>
      </mc:Choice>
      <mc:Fallback xmlns="">
        <xdr:pic>
          <xdr:nvPicPr>
            <xdr:cNvPr id="292" name="Ink 291">
              <a:extLst>
                <a:ext uri="{FF2B5EF4-FFF2-40B4-BE49-F238E27FC236}">
                  <a16:creationId xmlns:a16="http://schemas.microsoft.com/office/drawing/2014/main" id="{4FE737CB-69EA-354E-9A6B-82E6A3B0A10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3">
          <xdr14:nvContentPartPr>
            <xdr14:cNvPr id="293" name="Ink 292">
              <a:extLst>
                <a:ext uri="{FF2B5EF4-FFF2-40B4-BE49-F238E27FC236}">
                  <a16:creationId xmlns:a16="http://schemas.microsoft.com/office/drawing/2014/main" id="{55ED9513-B2C4-D743-89AE-895262906E30}"/>
                </a:ext>
              </a:extLst>
            </xdr14:cNvPr>
            <xdr14:cNvContentPartPr/>
          </xdr14:nvContentPartPr>
          <xdr14:nvPr macro=""/>
          <xdr14:xfrm>
            <a:off x="12846960" y="1192320"/>
            <a:ext cx="360" cy="360"/>
          </xdr14:xfrm>
        </xdr:contentPart>
      </mc:Choice>
      <mc:Fallback xmlns="">
        <xdr:pic>
          <xdr:nvPicPr>
            <xdr:cNvPr id="293" name="Ink 292">
              <a:extLst>
                <a:ext uri="{FF2B5EF4-FFF2-40B4-BE49-F238E27FC236}">
                  <a16:creationId xmlns:a16="http://schemas.microsoft.com/office/drawing/2014/main" id="{55ED9513-B2C4-D743-89AE-895262906E3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4">
          <xdr14:nvContentPartPr>
            <xdr14:cNvPr id="294" name="Ink 293">
              <a:extLst>
                <a:ext uri="{FF2B5EF4-FFF2-40B4-BE49-F238E27FC236}">
                  <a16:creationId xmlns:a16="http://schemas.microsoft.com/office/drawing/2014/main" id="{9F733A2F-8DF0-4D43-9242-96FE5229ACDF}"/>
                </a:ext>
              </a:extLst>
            </xdr14:cNvPr>
            <xdr14:cNvContentPartPr/>
          </xdr14:nvContentPartPr>
          <xdr14:nvPr macro=""/>
          <xdr14:xfrm>
            <a:off x="12866040" y="1243440"/>
            <a:ext cx="360" cy="360"/>
          </xdr14:xfrm>
        </xdr:contentPart>
      </mc:Choice>
      <mc:Fallback xmlns="">
        <xdr:pic>
          <xdr:nvPicPr>
            <xdr:cNvPr id="294" name="Ink 293">
              <a:extLst>
                <a:ext uri="{FF2B5EF4-FFF2-40B4-BE49-F238E27FC236}">
                  <a16:creationId xmlns:a16="http://schemas.microsoft.com/office/drawing/2014/main" id="{9F733A2F-8DF0-4D43-9242-96FE5229ACD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5">
          <xdr14:nvContentPartPr>
            <xdr14:cNvPr id="295" name="Ink 294">
              <a:extLst>
                <a:ext uri="{FF2B5EF4-FFF2-40B4-BE49-F238E27FC236}">
                  <a16:creationId xmlns:a16="http://schemas.microsoft.com/office/drawing/2014/main" id="{222773AE-5E11-8644-A234-7069DB01EE4C}"/>
                </a:ext>
              </a:extLst>
            </xdr14:cNvPr>
            <xdr14:cNvContentPartPr/>
          </xdr14:nvContentPartPr>
          <xdr14:nvPr macro=""/>
          <xdr14:xfrm>
            <a:off x="12973680" y="1366560"/>
            <a:ext cx="360" cy="360"/>
          </xdr14:xfrm>
        </xdr:contentPart>
      </mc:Choice>
      <mc:Fallback xmlns="">
        <xdr:pic>
          <xdr:nvPicPr>
            <xdr:cNvPr id="295" name="Ink 294">
              <a:extLst>
                <a:ext uri="{FF2B5EF4-FFF2-40B4-BE49-F238E27FC236}">
                  <a16:creationId xmlns:a16="http://schemas.microsoft.com/office/drawing/2014/main" id="{222773AE-5E11-8644-A234-7069DB01EE4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6">
          <xdr14:nvContentPartPr>
            <xdr14:cNvPr id="296" name="Ink 295">
              <a:extLst>
                <a:ext uri="{FF2B5EF4-FFF2-40B4-BE49-F238E27FC236}">
                  <a16:creationId xmlns:a16="http://schemas.microsoft.com/office/drawing/2014/main" id="{0071BAB8-E152-7B49-A100-C830957204A4}"/>
                </a:ext>
              </a:extLst>
            </xdr14:cNvPr>
            <xdr14:cNvContentPartPr/>
          </xdr14:nvContentPartPr>
          <xdr14:nvPr macro=""/>
          <xdr14:xfrm>
            <a:off x="12846960" y="1192320"/>
            <a:ext cx="360" cy="360"/>
          </xdr14:xfrm>
        </xdr:contentPart>
      </mc:Choice>
      <mc:Fallback xmlns="">
        <xdr:pic>
          <xdr:nvPicPr>
            <xdr:cNvPr id="296" name="Ink 295">
              <a:extLst>
                <a:ext uri="{FF2B5EF4-FFF2-40B4-BE49-F238E27FC236}">
                  <a16:creationId xmlns:a16="http://schemas.microsoft.com/office/drawing/2014/main" id="{0071BAB8-E152-7B49-A100-C830957204A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7">
          <xdr14:nvContentPartPr>
            <xdr14:cNvPr id="297" name="Ink 296">
              <a:extLst>
                <a:ext uri="{FF2B5EF4-FFF2-40B4-BE49-F238E27FC236}">
                  <a16:creationId xmlns:a16="http://schemas.microsoft.com/office/drawing/2014/main" id="{C1A80F12-EDB3-0C4D-BDA8-8F74CF6B78A4}"/>
                </a:ext>
              </a:extLst>
            </xdr14:cNvPr>
            <xdr14:cNvContentPartPr/>
          </xdr14:nvContentPartPr>
          <xdr14:nvPr macro=""/>
          <xdr14:xfrm>
            <a:off x="12866040" y="1243440"/>
            <a:ext cx="360" cy="360"/>
          </xdr14:xfrm>
        </xdr:contentPart>
      </mc:Choice>
      <mc:Fallback xmlns="">
        <xdr:pic>
          <xdr:nvPicPr>
            <xdr:cNvPr id="297" name="Ink 296">
              <a:extLst>
                <a:ext uri="{FF2B5EF4-FFF2-40B4-BE49-F238E27FC236}">
                  <a16:creationId xmlns:a16="http://schemas.microsoft.com/office/drawing/2014/main" id="{C1A80F12-EDB3-0C4D-BDA8-8F74CF6B78A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8">
          <xdr14:nvContentPartPr>
            <xdr14:cNvPr id="298" name="Ink 297">
              <a:extLst>
                <a:ext uri="{FF2B5EF4-FFF2-40B4-BE49-F238E27FC236}">
                  <a16:creationId xmlns:a16="http://schemas.microsoft.com/office/drawing/2014/main" id="{FAC05CBF-8E15-E24A-B9F3-B0E0EFECF99A}"/>
                </a:ext>
              </a:extLst>
            </xdr14:cNvPr>
            <xdr14:cNvContentPartPr/>
          </xdr14:nvContentPartPr>
          <xdr14:nvPr macro=""/>
          <xdr14:xfrm>
            <a:off x="12973680" y="1366560"/>
            <a:ext cx="360" cy="360"/>
          </xdr14:xfrm>
        </xdr:contentPart>
      </mc:Choice>
      <mc:Fallback xmlns="">
        <xdr:pic>
          <xdr:nvPicPr>
            <xdr:cNvPr id="298" name="Ink 297">
              <a:extLst>
                <a:ext uri="{FF2B5EF4-FFF2-40B4-BE49-F238E27FC236}">
                  <a16:creationId xmlns:a16="http://schemas.microsoft.com/office/drawing/2014/main" id="{FAC05CBF-8E15-E24A-B9F3-B0E0EFECF99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9">
          <xdr14:nvContentPartPr>
            <xdr14:cNvPr id="299" name="Ink 298">
              <a:extLst>
                <a:ext uri="{FF2B5EF4-FFF2-40B4-BE49-F238E27FC236}">
                  <a16:creationId xmlns:a16="http://schemas.microsoft.com/office/drawing/2014/main" id="{1341867A-981A-4840-A366-D770C4C37A28}"/>
                </a:ext>
              </a:extLst>
            </xdr14:cNvPr>
            <xdr14:cNvContentPartPr/>
          </xdr14:nvContentPartPr>
          <xdr14:nvPr macro=""/>
          <xdr14:xfrm>
            <a:off x="12846960" y="1192320"/>
            <a:ext cx="360" cy="360"/>
          </xdr14:xfrm>
        </xdr:contentPart>
      </mc:Choice>
      <mc:Fallback xmlns="">
        <xdr:pic>
          <xdr:nvPicPr>
            <xdr:cNvPr id="299" name="Ink 298">
              <a:extLst>
                <a:ext uri="{FF2B5EF4-FFF2-40B4-BE49-F238E27FC236}">
                  <a16:creationId xmlns:a16="http://schemas.microsoft.com/office/drawing/2014/main" id="{1341867A-981A-4840-A366-D770C4C37A2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0">
          <xdr14:nvContentPartPr>
            <xdr14:cNvPr id="300" name="Ink 299">
              <a:extLst>
                <a:ext uri="{FF2B5EF4-FFF2-40B4-BE49-F238E27FC236}">
                  <a16:creationId xmlns:a16="http://schemas.microsoft.com/office/drawing/2014/main" id="{843E6128-1DF1-6A41-8402-53DC67ABDB93}"/>
                </a:ext>
              </a:extLst>
            </xdr14:cNvPr>
            <xdr14:cNvContentPartPr/>
          </xdr14:nvContentPartPr>
          <xdr14:nvPr macro=""/>
          <xdr14:xfrm>
            <a:off x="12866040" y="1243440"/>
            <a:ext cx="360" cy="360"/>
          </xdr14:xfrm>
        </xdr:contentPart>
      </mc:Choice>
      <mc:Fallback xmlns="">
        <xdr:pic>
          <xdr:nvPicPr>
            <xdr:cNvPr id="300" name="Ink 299">
              <a:extLst>
                <a:ext uri="{FF2B5EF4-FFF2-40B4-BE49-F238E27FC236}">
                  <a16:creationId xmlns:a16="http://schemas.microsoft.com/office/drawing/2014/main" id="{843E6128-1DF1-6A41-8402-53DC67ABDB9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1">
          <xdr14:nvContentPartPr>
            <xdr14:cNvPr id="301" name="Ink 300">
              <a:extLst>
                <a:ext uri="{FF2B5EF4-FFF2-40B4-BE49-F238E27FC236}">
                  <a16:creationId xmlns:a16="http://schemas.microsoft.com/office/drawing/2014/main" id="{C1880471-EA7E-3C4D-8847-32B4148E6778}"/>
                </a:ext>
              </a:extLst>
            </xdr14:cNvPr>
            <xdr14:cNvContentPartPr/>
          </xdr14:nvContentPartPr>
          <xdr14:nvPr macro=""/>
          <xdr14:xfrm>
            <a:off x="12973680" y="1366560"/>
            <a:ext cx="360" cy="360"/>
          </xdr14:xfrm>
        </xdr:contentPart>
      </mc:Choice>
      <mc:Fallback xmlns="">
        <xdr:pic>
          <xdr:nvPicPr>
            <xdr:cNvPr id="301" name="Ink 300">
              <a:extLst>
                <a:ext uri="{FF2B5EF4-FFF2-40B4-BE49-F238E27FC236}">
                  <a16:creationId xmlns:a16="http://schemas.microsoft.com/office/drawing/2014/main" id="{C1880471-EA7E-3C4D-8847-32B4148E677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2">
          <xdr14:nvContentPartPr>
            <xdr14:cNvPr id="302" name="Ink 301">
              <a:extLst>
                <a:ext uri="{FF2B5EF4-FFF2-40B4-BE49-F238E27FC236}">
                  <a16:creationId xmlns:a16="http://schemas.microsoft.com/office/drawing/2014/main" id="{6B936F02-09E9-9041-95A8-FA1A12E6E67A}"/>
                </a:ext>
              </a:extLst>
            </xdr14:cNvPr>
            <xdr14:cNvContentPartPr/>
          </xdr14:nvContentPartPr>
          <xdr14:nvPr macro=""/>
          <xdr14:xfrm>
            <a:off x="12846960" y="1192320"/>
            <a:ext cx="360" cy="360"/>
          </xdr14:xfrm>
        </xdr:contentPart>
      </mc:Choice>
      <mc:Fallback xmlns="">
        <xdr:pic>
          <xdr:nvPicPr>
            <xdr:cNvPr id="302" name="Ink 301">
              <a:extLst>
                <a:ext uri="{FF2B5EF4-FFF2-40B4-BE49-F238E27FC236}">
                  <a16:creationId xmlns:a16="http://schemas.microsoft.com/office/drawing/2014/main" id="{6B936F02-09E9-9041-95A8-FA1A12E6E67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3">
          <xdr14:nvContentPartPr>
            <xdr14:cNvPr id="303" name="Ink 302">
              <a:extLst>
                <a:ext uri="{FF2B5EF4-FFF2-40B4-BE49-F238E27FC236}">
                  <a16:creationId xmlns:a16="http://schemas.microsoft.com/office/drawing/2014/main" id="{9D6AD845-B03C-A347-9ECE-F466F817FEB6}"/>
                </a:ext>
              </a:extLst>
            </xdr14:cNvPr>
            <xdr14:cNvContentPartPr/>
          </xdr14:nvContentPartPr>
          <xdr14:nvPr macro=""/>
          <xdr14:xfrm>
            <a:off x="12866040" y="1243440"/>
            <a:ext cx="360" cy="360"/>
          </xdr14:xfrm>
        </xdr:contentPart>
      </mc:Choice>
      <mc:Fallback xmlns="">
        <xdr:pic>
          <xdr:nvPicPr>
            <xdr:cNvPr id="303" name="Ink 302">
              <a:extLst>
                <a:ext uri="{FF2B5EF4-FFF2-40B4-BE49-F238E27FC236}">
                  <a16:creationId xmlns:a16="http://schemas.microsoft.com/office/drawing/2014/main" id="{9D6AD845-B03C-A347-9ECE-F466F817FEB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4">
          <xdr14:nvContentPartPr>
            <xdr14:cNvPr id="304" name="Ink 303">
              <a:extLst>
                <a:ext uri="{FF2B5EF4-FFF2-40B4-BE49-F238E27FC236}">
                  <a16:creationId xmlns:a16="http://schemas.microsoft.com/office/drawing/2014/main" id="{18A92195-6508-844F-9F15-DCD78A64F0B4}"/>
                </a:ext>
              </a:extLst>
            </xdr14:cNvPr>
            <xdr14:cNvContentPartPr/>
          </xdr14:nvContentPartPr>
          <xdr14:nvPr macro=""/>
          <xdr14:xfrm>
            <a:off x="12973680" y="1366560"/>
            <a:ext cx="360" cy="360"/>
          </xdr14:xfrm>
        </xdr:contentPart>
      </mc:Choice>
      <mc:Fallback xmlns="">
        <xdr:pic>
          <xdr:nvPicPr>
            <xdr:cNvPr id="304" name="Ink 303">
              <a:extLst>
                <a:ext uri="{FF2B5EF4-FFF2-40B4-BE49-F238E27FC236}">
                  <a16:creationId xmlns:a16="http://schemas.microsoft.com/office/drawing/2014/main" id="{18A92195-6508-844F-9F15-DCD78A64F0B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5">
          <xdr14:nvContentPartPr>
            <xdr14:cNvPr id="305" name="Ink 304">
              <a:extLst>
                <a:ext uri="{FF2B5EF4-FFF2-40B4-BE49-F238E27FC236}">
                  <a16:creationId xmlns:a16="http://schemas.microsoft.com/office/drawing/2014/main" id="{1694535C-7E51-E044-8D82-21CC6F615143}"/>
                </a:ext>
              </a:extLst>
            </xdr14:cNvPr>
            <xdr14:cNvContentPartPr/>
          </xdr14:nvContentPartPr>
          <xdr14:nvPr macro=""/>
          <xdr14:xfrm>
            <a:off x="12846960" y="1192320"/>
            <a:ext cx="360" cy="360"/>
          </xdr14:xfrm>
        </xdr:contentPart>
      </mc:Choice>
      <mc:Fallback xmlns="">
        <xdr:pic>
          <xdr:nvPicPr>
            <xdr:cNvPr id="305" name="Ink 304">
              <a:extLst>
                <a:ext uri="{FF2B5EF4-FFF2-40B4-BE49-F238E27FC236}">
                  <a16:creationId xmlns:a16="http://schemas.microsoft.com/office/drawing/2014/main" id="{1694535C-7E51-E044-8D82-21CC6F61514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6">
          <xdr14:nvContentPartPr>
            <xdr14:cNvPr id="306" name="Ink 305">
              <a:extLst>
                <a:ext uri="{FF2B5EF4-FFF2-40B4-BE49-F238E27FC236}">
                  <a16:creationId xmlns:a16="http://schemas.microsoft.com/office/drawing/2014/main" id="{EE312DBA-420C-8E41-89FA-FC905F2F34AB}"/>
                </a:ext>
              </a:extLst>
            </xdr14:cNvPr>
            <xdr14:cNvContentPartPr/>
          </xdr14:nvContentPartPr>
          <xdr14:nvPr macro=""/>
          <xdr14:xfrm>
            <a:off x="12866040" y="1243440"/>
            <a:ext cx="360" cy="360"/>
          </xdr14:xfrm>
        </xdr:contentPart>
      </mc:Choice>
      <mc:Fallback xmlns="">
        <xdr:pic>
          <xdr:nvPicPr>
            <xdr:cNvPr id="306" name="Ink 305">
              <a:extLst>
                <a:ext uri="{FF2B5EF4-FFF2-40B4-BE49-F238E27FC236}">
                  <a16:creationId xmlns:a16="http://schemas.microsoft.com/office/drawing/2014/main" id="{EE312DBA-420C-8E41-89FA-FC905F2F34A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7">
          <xdr14:nvContentPartPr>
            <xdr14:cNvPr id="307" name="Ink 306">
              <a:extLst>
                <a:ext uri="{FF2B5EF4-FFF2-40B4-BE49-F238E27FC236}">
                  <a16:creationId xmlns:a16="http://schemas.microsoft.com/office/drawing/2014/main" id="{A8EB92D2-6F8D-2641-B60D-67BFCEDF0D0E}"/>
                </a:ext>
              </a:extLst>
            </xdr14:cNvPr>
            <xdr14:cNvContentPartPr/>
          </xdr14:nvContentPartPr>
          <xdr14:nvPr macro=""/>
          <xdr14:xfrm>
            <a:off x="12973680" y="1366560"/>
            <a:ext cx="360" cy="360"/>
          </xdr14:xfrm>
        </xdr:contentPart>
      </mc:Choice>
      <mc:Fallback xmlns="">
        <xdr:pic>
          <xdr:nvPicPr>
            <xdr:cNvPr id="307" name="Ink 306">
              <a:extLst>
                <a:ext uri="{FF2B5EF4-FFF2-40B4-BE49-F238E27FC236}">
                  <a16:creationId xmlns:a16="http://schemas.microsoft.com/office/drawing/2014/main" id="{A8EB92D2-6F8D-2641-B60D-67BFCEDF0D0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8">
          <xdr14:nvContentPartPr>
            <xdr14:cNvPr id="308" name="Ink 307">
              <a:extLst>
                <a:ext uri="{FF2B5EF4-FFF2-40B4-BE49-F238E27FC236}">
                  <a16:creationId xmlns:a16="http://schemas.microsoft.com/office/drawing/2014/main" id="{02C4221D-095F-6E49-B93D-3BB79F8A4BF9}"/>
                </a:ext>
              </a:extLst>
            </xdr14:cNvPr>
            <xdr14:cNvContentPartPr/>
          </xdr14:nvContentPartPr>
          <xdr14:nvPr macro=""/>
          <xdr14:xfrm>
            <a:off x="12846960" y="1192320"/>
            <a:ext cx="360" cy="360"/>
          </xdr14:xfrm>
        </xdr:contentPart>
      </mc:Choice>
      <mc:Fallback xmlns="">
        <xdr:pic>
          <xdr:nvPicPr>
            <xdr:cNvPr id="308" name="Ink 307">
              <a:extLst>
                <a:ext uri="{FF2B5EF4-FFF2-40B4-BE49-F238E27FC236}">
                  <a16:creationId xmlns:a16="http://schemas.microsoft.com/office/drawing/2014/main" id="{02C4221D-095F-6E49-B93D-3BB79F8A4BF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9">
          <xdr14:nvContentPartPr>
            <xdr14:cNvPr id="309" name="Ink 308">
              <a:extLst>
                <a:ext uri="{FF2B5EF4-FFF2-40B4-BE49-F238E27FC236}">
                  <a16:creationId xmlns:a16="http://schemas.microsoft.com/office/drawing/2014/main" id="{F582C72B-56D7-A247-AB67-96DCC6FA7E90}"/>
                </a:ext>
              </a:extLst>
            </xdr14:cNvPr>
            <xdr14:cNvContentPartPr/>
          </xdr14:nvContentPartPr>
          <xdr14:nvPr macro=""/>
          <xdr14:xfrm>
            <a:off x="12866040" y="1243440"/>
            <a:ext cx="360" cy="360"/>
          </xdr14:xfrm>
        </xdr:contentPart>
      </mc:Choice>
      <mc:Fallback xmlns="">
        <xdr:pic>
          <xdr:nvPicPr>
            <xdr:cNvPr id="309" name="Ink 308">
              <a:extLst>
                <a:ext uri="{FF2B5EF4-FFF2-40B4-BE49-F238E27FC236}">
                  <a16:creationId xmlns:a16="http://schemas.microsoft.com/office/drawing/2014/main" id="{F582C72B-56D7-A247-AB67-96DCC6FA7E9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0">
          <xdr14:nvContentPartPr>
            <xdr14:cNvPr id="310" name="Ink 309">
              <a:extLst>
                <a:ext uri="{FF2B5EF4-FFF2-40B4-BE49-F238E27FC236}">
                  <a16:creationId xmlns:a16="http://schemas.microsoft.com/office/drawing/2014/main" id="{06BE644F-E894-F349-A684-7DD9F1757FCE}"/>
                </a:ext>
              </a:extLst>
            </xdr14:cNvPr>
            <xdr14:cNvContentPartPr/>
          </xdr14:nvContentPartPr>
          <xdr14:nvPr macro=""/>
          <xdr14:xfrm>
            <a:off x="12973680" y="1366560"/>
            <a:ext cx="360" cy="360"/>
          </xdr14:xfrm>
        </xdr:contentPart>
      </mc:Choice>
      <mc:Fallback xmlns="">
        <xdr:pic>
          <xdr:nvPicPr>
            <xdr:cNvPr id="310" name="Ink 309">
              <a:extLst>
                <a:ext uri="{FF2B5EF4-FFF2-40B4-BE49-F238E27FC236}">
                  <a16:creationId xmlns:a16="http://schemas.microsoft.com/office/drawing/2014/main" id="{06BE644F-E894-F349-A684-7DD9F1757FC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1">
          <xdr14:nvContentPartPr>
            <xdr14:cNvPr id="311" name="Ink 310">
              <a:extLst>
                <a:ext uri="{FF2B5EF4-FFF2-40B4-BE49-F238E27FC236}">
                  <a16:creationId xmlns:a16="http://schemas.microsoft.com/office/drawing/2014/main" id="{84A61681-6692-6442-906A-68D463013D11}"/>
                </a:ext>
              </a:extLst>
            </xdr14:cNvPr>
            <xdr14:cNvContentPartPr/>
          </xdr14:nvContentPartPr>
          <xdr14:nvPr macro=""/>
          <xdr14:xfrm>
            <a:off x="12846960" y="1192320"/>
            <a:ext cx="360" cy="360"/>
          </xdr14:xfrm>
        </xdr:contentPart>
      </mc:Choice>
      <mc:Fallback xmlns="">
        <xdr:pic>
          <xdr:nvPicPr>
            <xdr:cNvPr id="311" name="Ink 310">
              <a:extLst>
                <a:ext uri="{FF2B5EF4-FFF2-40B4-BE49-F238E27FC236}">
                  <a16:creationId xmlns:a16="http://schemas.microsoft.com/office/drawing/2014/main" id="{84A61681-6692-6442-906A-68D463013D1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2">
          <xdr14:nvContentPartPr>
            <xdr14:cNvPr id="312" name="Ink 311">
              <a:extLst>
                <a:ext uri="{FF2B5EF4-FFF2-40B4-BE49-F238E27FC236}">
                  <a16:creationId xmlns:a16="http://schemas.microsoft.com/office/drawing/2014/main" id="{6910F57E-268F-964E-BAAE-9668DFB2B077}"/>
                </a:ext>
              </a:extLst>
            </xdr14:cNvPr>
            <xdr14:cNvContentPartPr/>
          </xdr14:nvContentPartPr>
          <xdr14:nvPr macro=""/>
          <xdr14:xfrm>
            <a:off x="12866040" y="1243440"/>
            <a:ext cx="360" cy="360"/>
          </xdr14:xfrm>
        </xdr:contentPart>
      </mc:Choice>
      <mc:Fallback xmlns="">
        <xdr:pic>
          <xdr:nvPicPr>
            <xdr:cNvPr id="312" name="Ink 311">
              <a:extLst>
                <a:ext uri="{FF2B5EF4-FFF2-40B4-BE49-F238E27FC236}">
                  <a16:creationId xmlns:a16="http://schemas.microsoft.com/office/drawing/2014/main" id="{6910F57E-268F-964E-BAAE-9668DFB2B07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3">
          <xdr14:nvContentPartPr>
            <xdr14:cNvPr id="313" name="Ink 312">
              <a:extLst>
                <a:ext uri="{FF2B5EF4-FFF2-40B4-BE49-F238E27FC236}">
                  <a16:creationId xmlns:a16="http://schemas.microsoft.com/office/drawing/2014/main" id="{36B18C59-1E23-044F-B1B5-61D784AF38EB}"/>
                </a:ext>
              </a:extLst>
            </xdr14:cNvPr>
            <xdr14:cNvContentPartPr/>
          </xdr14:nvContentPartPr>
          <xdr14:nvPr macro=""/>
          <xdr14:xfrm>
            <a:off x="12973680" y="1366560"/>
            <a:ext cx="360" cy="360"/>
          </xdr14:xfrm>
        </xdr:contentPart>
      </mc:Choice>
      <mc:Fallback xmlns="">
        <xdr:pic>
          <xdr:nvPicPr>
            <xdr:cNvPr id="313" name="Ink 312">
              <a:extLst>
                <a:ext uri="{FF2B5EF4-FFF2-40B4-BE49-F238E27FC236}">
                  <a16:creationId xmlns:a16="http://schemas.microsoft.com/office/drawing/2014/main" id="{36B18C59-1E23-044F-B1B5-61D784AF38E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4">
          <xdr14:nvContentPartPr>
            <xdr14:cNvPr id="314" name="Ink 313">
              <a:extLst>
                <a:ext uri="{FF2B5EF4-FFF2-40B4-BE49-F238E27FC236}">
                  <a16:creationId xmlns:a16="http://schemas.microsoft.com/office/drawing/2014/main" id="{277274FF-7513-F242-B12C-FC891A11E66E}"/>
                </a:ext>
              </a:extLst>
            </xdr14:cNvPr>
            <xdr14:cNvContentPartPr/>
          </xdr14:nvContentPartPr>
          <xdr14:nvPr macro=""/>
          <xdr14:xfrm>
            <a:off x="12846960" y="1192320"/>
            <a:ext cx="360" cy="360"/>
          </xdr14:xfrm>
        </xdr:contentPart>
      </mc:Choice>
      <mc:Fallback xmlns="">
        <xdr:pic>
          <xdr:nvPicPr>
            <xdr:cNvPr id="314" name="Ink 313">
              <a:extLst>
                <a:ext uri="{FF2B5EF4-FFF2-40B4-BE49-F238E27FC236}">
                  <a16:creationId xmlns:a16="http://schemas.microsoft.com/office/drawing/2014/main" id="{277274FF-7513-F242-B12C-FC891A11E66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5">
          <xdr14:nvContentPartPr>
            <xdr14:cNvPr id="315" name="Ink 314">
              <a:extLst>
                <a:ext uri="{FF2B5EF4-FFF2-40B4-BE49-F238E27FC236}">
                  <a16:creationId xmlns:a16="http://schemas.microsoft.com/office/drawing/2014/main" id="{92EA2081-F6B6-B241-BDE0-1A74235AAC16}"/>
                </a:ext>
              </a:extLst>
            </xdr14:cNvPr>
            <xdr14:cNvContentPartPr/>
          </xdr14:nvContentPartPr>
          <xdr14:nvPr macro=""/>
          <xdr14:xfrm>
            <a:off x="12866040" y="1243440"/>
            <a:ext cx="360" cy="360"/>
          </xdr14:xfrm>
        </xdr:contentPart>
      </mc:Choice>
      <mc:Fallback xmlns="">
        <xdr:pic>
          <xdr:nvPicPr>
            <xdr:cNvPr id="315" name="Ink 314">
              <a:extLst>
                <a:ext uri="{FF2B5EF4-FFF2-40B4-BE49-F238E27FC236}">
                  <a16:creationId xmlns:a16="http://schemas.microsoft.com/office/drawing/2014/main" id="{92EA2081-F6B6-B241-BDE0-1A74235AAC1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6">
          <xdr14:nvContentPartPr>
            <xdr14:cNvPr id="316" name="Ink 315">
              <a:extLst>
                <a:ext uri="{FF2B5EF4-FFF2-40B4-BE49-F238E27FC236}">
                  <a16:creationId xmlns:a16="http://schemas.microsoft.com/office/drawing/2014/main" id="{F6383E1B-22D3-8A4F-8F8F-C3B038B0998A}"/>
                </a:ext>
              </a:extLst>
            </xdr14:cNvPr>
            <xdr14:cNvContentPartPr/>
          </xdr14:nvContentPartPr>
          <xdr14:nvPr macro=""/>
          <xdr14:xfrm>
            <a:off x="12973680" y="1366560"/>
            <a:ext cx="360" cy="360"/>
          </xdr14:xfrm>
        </xdr:contentPart>
      </mc:Choice>
      <mc:Fallback xmlns="">
        <xdr:pic>
          <xdr:nvPicPr>
            <xdr:cNvPr id="316" name="Ink 315">
              <a:extLst>
                <a:ext uri="{FF2B5EF4-FFF2-40B4-BE49-F238E27FC236}">
                  <a16:creationId xmlns:a16="http://schemas.microsoft.com/office/drawing/2014/main" id="{F6383E1B-22D3-8A4F-8F8F-C3B038B0998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7">
          <xdr14:nvContentPartPr>
            <xdr14:cNvPr id="317" name="Ink 316">
              <a:extLst>
                <a:ext uri="{FF2B5EF4-FFF2-40B4-BE49-F238E27FC236}">
                  <a16:creationId xmlns:a16="http://schemas.microsoft.com/office/drawing/2014/main" id="{43D8322A-CD81-D549-9A7D-61DE5E809E5E}"/>
                </a:ext>
              </a:extLst>
            </xdr14:cNvPr>
            <xdr14:cNvContentPartPr/>
          </xdr14:nvContentPartPr>
          <xdr14:nvPr macro=""/>
          <xdr14:xfrm>
            <a:off x="12846960" y="1192320"/>
            <a:ext cx="360" cy="360"/>
          </xdr14:xfrm>
        </xdr:contentPart>
      </mc:Choice>
      <mc:Fallback xmlns="">
        <xdr:pic>
          <xdr:nvPicPr>
            <xdr:cNvPr id="317" name="Ink 316">
              <a:extLst>
                <a:ext uri="{FF2B5EF4-FFF2-40B4-BE49-F238E27FC236}">
                  <a16:creationId xmlns:a16="http://schemas.microsoft.com/office/drawing/2014/main" id="{43D8322A-CD81-D549-9A7D-61DE5E809E5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8">
          <xdr14:nvContentPartPr>
            <xdr14:cNvPr id="318" name="Ink 317">
              <a:extLst>
                <a:ext uri="{FF2B5EF4-FFF2-40B4-BE49-F238E27FC236}">
                  <a16:creationId xmlns:a16="http://schemas.microsoft.com/office/drawing/2014/main" id="{6FEFCCB7-56E3-BA47-A81A-1030382F6213}"/>
                </a:ext>
              </a:extLst>
            </xdr14:cNvPr>
            <xdr14:cNvContentPartPr/>
          </xdr14:nvContentPartPr>
          <xdr14:nvPr macro=""/>
          <xdr14:xfrm>
            <a:off x="12866040" y="1243440"/>
            <a:ext cx="360" cy="360"/>
          </xdr14:xfrm>
        </xdr:contentPart>
      </mc:Choice>
      <mc:Fallback xmlns="">
        <xdr:pic>
          <xdr:nvPicPr>
            <xdr:cNvPr id="318" name="Ink 317">
              <a:extLst>
                <a:ext uri="{FF2B5EF4-FFF2-40B4-BE49-F238E27FC236}">
                  <a16:creationId xmlns:a16="http://schemas.microsoft.com/office/drawing/2014/main" id="{6FEFCCB7-56E3-BA47-A81A-1030382F621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9">
          <xdr14:nvContentPartPr>
            <xdr14:cNvPr id="319" name="Ink 318">
              <a:extLst>
                <a:ext uri="{FF2B5EF4-FFF2-40B4-BE49-F238E27FC236}">
                  <a16:creationId xmlns:a16="http://schemas.microsoft.com/office/drawing/2014/main" id="{61AC5C11-EFAC-9241-9955-2B77A4D7EF0C}"/>
                </a:ext>
              </a:extLst>
            </xdr14:cNvPr>
            <xdr14:cNvContentPartPr/>
          </xdr14:nvContentPartPr>
          <xdr14:nvPr macro=""/>
          <xdr14:xfrm>
            <a:off x="12973680" y="1366560"/>
            <a:ext cx="360" cy="360"/>
          </xdr14:xfrm>
        </xdr:contentPart>
      </mc:Choice>
      <mc:Fallback xmlns="">
        <xdr:pic>
          <xdr:nvPicPr>
            <xdr:cNvPr id="319" name="Ink 318">
              <a:extLst>
                <a:ext uri="{FF2B5EF4-FFF2-40B4-BE49-F238E27FC236}">
                  <a16:creationId xmlns:a16="http://schemas.microsoft.com/office/drawing/2014/main" id="{61AC5C11-EFAC-9241-9955-2B77A4D7EF0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0">
          <xdr14:nvContentPartPr>
            <xdr14:cNvPr id="320" name="Ink 319">
              <a:extLst>
                <a:ext uri="{FF2B5EF4-FFF2-40B4-BE49-F238E27FC236}">
                  <a16:creationId xmlns:a16="http://schemas.microsoft.com/office/drawing/2014/main" id="{F3231F39-20B6-0F45-BB2A-F503D072126F}"/>
                </a:ext>
              </a:extLst>
            </xdr14:cNvPr>
            <xdr14:cNvContentPartPr/>
          </xdr14:nvContentPartPr>
          <xdr14:nvPr macro=""/>
          <xdr14:xfrm>
            <a:off x="12846960" y="1192320"/>
            <a:ext cx="360" cy="360"/>
          </xdr14:xfrm>
        </xdr:contentPart>
      </mc:Choice>
      <mc:Fallback xmlns="">
        <xdr:pic>
          <xdr:nvPicPr>
            <xdr:cNvPr id="320" name="Ink 319">
              <a:extLst>
                <a:ext uri="{FF2B5EF4-FFF2-40B4-BE49-F238E27FC236}">
                  <a16:creationId xmlns:a16="http://schemas.microsoft.com/office/drawing/2014/main" id="{F3231F39-20B6-0F45-BB2A-F503D072126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1">
          <xdr14:nvContentPartPr>
            <xdr14:cNvPr id="321" name="Ink 320">
              <a:extLst>
                <a:ext uri="{FF2B5EF4-FFF2-40B4-BE49-F238E27FC236}">
                  <a16:creationId xmlns:a16="http://schemas.microsoft.com/office/drawing/2014/main" id="{1B157EB8-BC2F-BB4C-B51F-92F4487D1C5D}"/>
                </a:ext>
              </a:extLst>
            </xdr14:cNvPr>
            <xdr14:cNvContentPartPr/>
          </xdr14:nvContentPartPr>
          <xdr14:nvPr macro=""/>
          <xdr14:xfrm>
            <a:off x="12866040" y="1243440"/>
            <a:ext cx="360" cy="360"/>
          </xdr14:xfrm>
        </xdr:contentPart>
      </mc:Choice>
      <mc:Fallback xmlns="">
        <xdr:pic>
          <xdr:nvPicPr>
            <xdr:cNvPr id="321" name="Ink 320">
              <a:extLst>
                <a:ext uri="{FF2B5EF4-FFF2-40B4-BE49-F238E27FC236}">
                  <a16:creationId xmlns:a16="http://schemas.microsoft.com/office/drawing/2014/main" id="{1B157EB8-BC2F-BB4C-B51F-92F4487D1C5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2">
          <xdr14:nvContentPartPr>
            <xdr14:cNvPr id="322" name="Ink 321">
              <a:extLst>
                <a:ext uri="{FF2B5EF4-FFF2-40B4-BE49-F238E27FC236}">
                  <a16:creationId xmlns:a16="http://schemas.microsoft.com/office/drawing/2014/main" id="{955EB47B-915E-4348-B432-6A723DE91185}"/>
                </a:ext>
              </a:extLst>
            </xdr14:cNvPr>
            <xdr14:cNvContentPartPr/>
          </xdr14:nvContentPartPr>
          <xdr14:nvPr macro=""/>
          <xdr14:xfrm>
            <a:off x="12973680" y="1366560"/>
            <a:ext cx="360" cy="360"/>
          </xdr14:xfrm>
        </xdr:contentPart>
      </mc:Choice>
      <mc:Fallback xmlns="">
        <xdr:pic>
          <xdr:nvPicPr>
            <xdr:cNvPr id="322" name="Ink 321">
              <a:extLst>
                <a:ext uri="{FF2B5EF4-FFF2-40B4-BE49-F238E27FC236}">
                  <a16:creationId xmlns:a16="http://schemas.microsoft.com/office/drawing/2014/main" id="{955EB47B-915E-4348-B432-6A723DE9118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3">
          <xdr14:nvContentPartPr>
            <xdr14:cNvPr id="323" name="Ink 322">
              <a:extLst>
                <a:ext uri="{FF2B5EF4-FFF2-40B4-BE49-F238E27FC236}">
                  <a16:creationId xmlns:a16="http://schemas.microsoft.com/office/drawing/2014/main" id="{63632B25-573B-0948-8138-D85F498F5FFB}"/>
                </a:ext>
              </a:extLst>
            </xdr14:cNvPr>
            <xdr14:cNvContentPartPr/>
          </xdr14:nvContentPartPr>
          <xdr14:nvPr macro=""/>
          <xdr14:xfrm>
            <a:off x="12846960" y="1192320"/>
            <a:ext cx="360" cy="360"/>
          </xdr14:xfrm>
        </xdr:contentPart>
      </mc:Choice>
      <mc:Fallback xmlns="">
        <xdr:pic>
          <xdr:nvPicPr>
            <xdr:cNvPr id="323" name="Ink 322">
              <a:extLst>
                <a:ext uri="{FF2B5EF4-FFF2-40B4-BE49-F238E27FC236}">
                  <a16:creationId xmlns:a16="http://schemas.microsoft.com/office/drawing/2014/main" id="{63632B25-573B-0948-8138-D85F498F5FF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4">
          <xdr14:nvContentPartPr>
            <xdr14:cNvPr id="324" name="Ink 323">
              <a:extLst>
                <a:ext uri="{FF2B5EF4-FFF2-40B4-BE49-F238E27FC236}">
                  <a16:creationId xmlns:a16="http://schemas.microsoft.com/office/drawing/2014/main" id="{4DF8CCC9-1A75-C340-A202-62B838C49C1A}"/>
                </a:ext>
              </a:extLst>
            </xdr14:cNvPr>
            <xdr14:cNvContentPartPr/>
          </xdr14:nvContentPartPr>
          <xdr14:nvPr macro=""/>
          <xdr14:xfrm>
            <a:off x="12866040" y="1243440"/>
            <a:ext cx="360" cy="360"/>
          </xdr14:xfrm>
        </xdr:contentPart>
      </mc:Choice>
      <mc:Fallback xmlns="">
        <xdr:pic>
          <xdr:nvPicPr>
            <xdr:cNvPr id="324" name="Ink 323">
              <a:extLst>
                <a:ext uri="{FF2B5EF4-FFF2-40B4-BE49-F238E27FC236}">
                  <a16:creationId xmlns:a16="http://schemas.microsoft.com/office/drawing/2014/main" id="{4DF8CCC9-1A75-C340-A202-62B838C49C1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5">
          <xdr14:nvContentPartPr>
            <xdr14:cNvPr id="325" name="Ink 324">
              <a:extLst>
                <a:ext uri="{FF2B5EF4-FFF2-40B4-BE49-F238E27FC236}">
                  <a16:creationId xmlns:a16="http://schemas.microsoft.com/office/drawing/2014/main" id="{1A660225-F4C9-6140-84FE-75B2D4DEC284}"/>
                </a:ext>
              </a:extLst>
            </xdr14:cNvPr>
            <xdr14:cNvContentPartPr/>
          </xdr14:nvContentPartPr>
          <xdr14:nvPr macro=""/>
          <xdr14:xfrm>
            <a:off x="12973680" y="1366560"/>
            <a:ext cx="360" cy="360"/>
          </xdr14:xfrm>
        </xdr:contentPart>
      </mc:Choice>
      <mc:Fallback xmlns="">
        <xdr:pic>
          <xdr:nvPicPr>
            <xdr:cNvPr id="325" name="Ink 324">
              <a:extLst>
                <a:ext uri="{FF2B5EF4-FFF2-40B4-BE49-F238E27FC236}">
                  <a16:creationId xmlns:a16="http://schemas.microsoft.com/office/drawing/2014/main" id="{1A660225-F4C9-6140-84FE-75B2D4DEC28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6">
          <xdr14:nvContentPartPr>
            <xdr14:cNvPr id="326" name="Ink 325">
              <a:extLst>
                <a:ext uri="{FF2B5EF4-FFF2-40B4-BE49-F238E27FC236}">
                  <a16:creationId xmlns:a16="http://schemas.microsoft.com/office/drawing/2014/main" id="{387408EA-9F6B-A347-828D-A11055964B45}"/>
                </a:ext>
              </a:extLst>
            </xdr14:cNvPr>
            <xdr14:cNvContentPartPr/>
          </xdr14:nvContentPartPr>
          <xdr14:nvPr macro=""/>
          <xdr14:xfrm>
            <a:off x="12846960" y="1192320"/>
            <a:ext cx="360" cy="360"/>
          </xdr14:xfrm>
        </xdr:contentPart>
      </mc:Choice>
      <mc:Fallback xmlns="">
        <xdr:pic>
          <xdr:nvPicPr>
            <xdr:cNvPr id="326" name="Ink 325">
              <a:extLst>
                <a:ext uri="{FF2B5EF4-FFF2-40B4-BE49-F238E27FC236}">
                  <a16:creationId xmlns:a16="http://schemas.microsoft.com/office/drawing/2014/main" id="{387408EA-9F6B-A347-828D-A11055964B4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7">
          <xdr14:nvContentPartPr>
            <xdr14:cNvPr id="327" name="Ink 326">
              <a:extLst>
                <a:ext uri="{FF2B5EF4-FFF2-40B4-BE49-F238E27FC236}">
                  <a16:creationId xmlns:a16="http://schemas.microsoft.com/office/drawing/2014/main" id="{56725503-46AE-6B45-A8B1-6EF853A436F3}"/>
                </a:ext>
              </a:extLst>
            </xdr14:cNvPr>
            <xdr14:cNvContentPartPr/>
          </xdr14:nvContentPartPr>
          <xdr14:nvPr macro=""/>
          <xdr14:xfrm>
            <a:off x="12866040" y="1243440"/>
            <a:ext cx="360" cy="360"/>
          </xdr14:xfrm>
        </xdr:contentPart>
      </mc:Choice>
      <mc:Fallback xmlns="">
        <xdr:pic>
          <xdr:nvPicPr>
            <xdr:cNvPr id="327" name="Ink 326">
              <a:extLst>
                <a:ext uri="{FF2B5EF4-FFF2-40B4-BE49-F238E27FC236}">
                  <a16:creationId xmlns:a16="http://schemas.microsoft.com/office/drawing/2014/main" id="{56725503-46AE-6B45-A8B1-6EF853A436F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8">
          <xdr14:nvContentPartPr>
            <xdr14:cNvPr id="328" name="Ink 327">
              <a:extLst>
                <a:ext uri="{FF2B5EF4-FFF2-40B4-BE49-F238E27FC236}">
                  <a16:creationId xmlns:a16="http://schemas.microsoft.com/office/drawing/2014/main" id="{A8D2E5A3-C17C-EA40-91F9-8C8B41301D26}"/>
                </a:ext>
              </a:extLst>
            </xdr14:cNvPr>
            <xdr14:cNvContentPartPr/>
          </xdr14:nvContentPartPr>
          <xdr14:nvPr macro=""/>
          <xdr14:xfrm>
            <a:off x="12973680" y="1366560"/>
            <a:ext cx="360" cy="360"/>
          </xdr14:xfrm>
        </xdr:contentPart>
      </mc:Choice>
      <mc:Fallback xmlns="">
        <xdr:pic>
          <xdr:nvPicPr>
            <xdr:cNvPr id="328" name="Ink 327">
              <a:extLst>
                <a:ext uri="{FF2B5EF4-FFF2-40B4-BE49-F238E27FC236}">
                  <a16:creationId xmlns:a16="http://schemas.microsoft.com/office/drawing/2014/main" id="{A8D2E5A3-C17C-EA40-91F9-8C8B41301D2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9">
          <xdr14:nvContentPartPr>
            <xdr14:cNvPr id="329" name="Ink 328">
              <a:extLst>
                <a:ext uri="{FF2B5EF4-FFF2-40B4-BE49-F238E27FC236}">
                  <a16:creationId xmlns:a16="http://schemas.microsoft.com/office/drawing/2014/main" id="{289D180D-6444-4841-9A78-7D338A3619CE}"/>
                </a:ext>
              </a:extLst>
            </xdr14:cNvPr>
            <xdr14:cNvContentPartPr/>
          </xdr14:nvContentPartPr>
          <xdr14:nvPr macro=""/>
          <xdr14:xfrm>
            <a:off x="12846960" y="1192320"/>
            <a:ext cx="360" cy="360"/>
          </xdr14:xfrm>
        </xdr:contentPart>
      </mc:Choice>
      <mc:Fallback xmlns="">
        <xdr:pic>
          <xdr:nvPicPr>
            <xdr:cNvPr id="329" name="Ink 328">
              <a:extLst>
                <a:ext uri="{FF2B5EF4-FFF2-40B4-BE49-F238E27FC236}">
                  <a16:creationId xmlns:a16="http://schemas.microsoft.com/office/drawing/2014/main" id="{289D180D-6444-4841-9A78-7D338A3619C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0">
          <xdr14:nvContentPartPr>
            <xdr14:cNvPr id="330" name="Ink 329">
              <a:extLst>
                <a:ext uri="{FF2B5EF4-FFF2-40B4-BE49-F238E27FC236}">
                  <a16:creationId xmlns:a16="http://schemas.microsoft.com/office/drawing/2014/main" id="{5AF0C974-5718-DD46-9008-7E8CD9E369EA}"/>
                </a:ext>
              </a:extLst>
            </xdr14:cNvPr>
            <xdr14:cNvContentPartPr/>
          </xdr14:nvContentPartPr>
          <xdr14:nvPr macro=""/>
          <xdr14:xfrm>
            <a:off x="12866040" y="1243440"/>
            <a:ext cx="360" cy="360"/>
          </xdr14:xfrm>
        </xdr:contentPart>
      </mc:Choice>
      <mc:Fallback xmlns="">
        <xdr:pic>
          <xdr:nvPicPr>
            <xdr:cNvPr id="330" name="Ink 329">
              <a:extLst>
                <a:ext uri="{FF2B5EF4-FFF2-40B4-BE49-F238E27FC236}">
                  <a16:creationId xmlns:a16="http://schemas.microsoft.com/office/drawing/2014/main" id="{5AF0C974-5718-DD46-9008-7E8CD9E369E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1">
          <xdr14:nvContentPartPr>
            <xdr14:cNvPr id="331" name="Ink 330">
              <a:extLst>
                <a:ext uri="{FF2B5EF4-FFF2-40B4-BE49-F238E27FC236}">
                  <a16:creationId xmlns:a16="http://schemas.microsoft.com/office/drawing/2014/main" id="{CDA2392B-5DAF-2F47-B663-930B81C2F496}"/>
                </a:ext>
              </a:extLst>
            </xdr14:cNvPr>
            <xdr14:cNvContentPartPr/>
          </xdr14:nvContentPartPr>
          <xdr14:nvPr macro=""/>
          <xdr14:xfrm>
            <a:off x="12973680" y="1366560"/>
            <a:ext cx="360" cy="360"/>
          </xdr14:xfrm>
        </xdr:contentPart>
      </mc:Choice>
      <mc:Fallback xmlns="">
        <xdr:pic>
          <xdr:nvPicPr>
            <xdr:cNvPr id="331" name="Ink 330">
              <a:extLst>
                <a:ext uri="{FF2B5EF4-FFF2-40B4-BE49-F238E27FC236}">
                  <a16:creationId xmlns:a16="http://schemas.microsoft.com/office/drawing/2014/main" id="{CDA2392B-5DAF-2F47-B663-930B81C2F49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2">
          <xdr14:nvContentPartPr>
            <xdr14:cNvPr id="332" name="Ink 331">
              <a:extLst>
                <a:ext uri="{FF2B5EF4-FFF2-40B4-BE49-F238E27FC236}">
                  <a16:creationId xmlns:a16="http://schemas.microsoft.com/office/drawing/2014/main" id="{C3971777-E22F-7C43-8FB9-68C4E03FE914}"/>
                </a:ext>
              </a:extLst>
            </xdr14:cNvPr>
            <xdr14:cNvContentPartPr/>
          </xdr14:nvContentPartPr>
          <xdr14:nvPr macro=""/>
          <xdr14:xfrm>
            <a:off x="12846960" y="1192320"/>
            <a:ext cx="360" cy="360"/>
          </xdr14:xfrm>
        </xdr:contentPart>
      </mc:Choice>
      <mc:Fallback xmlns="">
        <xdr:pic>
          <xdr:nvPicPr>
            <xdr:cNvPr id="332" name="Ink 331">
              <a:extLst>
                <a:ext uri="{FF2B5EF4-FFF2-40B4-BE49-F238E27FC236}">
                  <a16:creationId xmlns:a16="http://schemas.microsoft.com/office/drawing/2014/main" id="{C3971777-E22F-7C43-8FB9-68C4E03FE91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3">
          <xdr14:nvContentPartPr>
            <xdr14:cNvPr id="333" name="Ink 332">
              <a:extLst>
                <a:ext uri="{FF2B5EF4-FFF2-40B4-BE49-F238E27FC236}">
                  <a16:creationId xmlns:a16="http://schemas.microsoft.com/office/drawing/2014/main" id="{1E6BFE68-4022-1A4E-B5E3-CA7622545A94}"/>
                </a:ext>
              </a:extLst>
            </xdr14:cNvPr>
            <xdr14:cNvContentPartPr/>
          </xdr14:nvContentPartPr>
          <xdr14:nvPr macro=""/>
          <xdr14:xfrm>
            <a:off x="12866040" y="1243440"/>
            <a:ext cx="360" cy="360"/>
          </xdr14:xfrm>
        </xdr:contentPart>
      </mc:Choice>
      <mc:Fallback xmlns="">
        <xdr:pic>
          <xdr:nvPicPr>
            <xdr:cNvPr id="333" name="Ink 332">
              <a:extLst>
                <a:ext uri="{FF2B5EF4-FFF2-40B4-BE49-F238E27FC236}">
                  <a16:creationId xmlns:a16="http://schemas.microsoft.com/office/drawing/2014/main" id="{1E6BFE68-4022-1A4E-B5E3-CA7622545A9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4">
          <xdr14:nvContentPartPr>
            <xdr14:cNvPr id="334" name="Ink 333">
              <a:extLst>
                <a:ext uri="{FF2B5EF4-FFF2-40B4-BE49-F238E27FC236}">
                  <a16:creationId xmlns:a16="http://schemas.microsoft.com/office/drawing/2014/main" id="{84C96B3A-D422-7C4E-9BD3-04C260C823CB}"/>
                </a:ext>
              </a:extLst>
            </xdr14:cNvPr>
            <xdr14:cNvContentPartPr/>
          </xdr14:nvContentPartPr>
          <xdr14:nvPr macro=""/>
          <xdr14:xfrm>
            <a:off x="12973680" y="1366560"/>
            <a:ext cx="360" cy="360"/>
          </xdr14:xfrm>
        </xdr:contentPart>
      </mc:Choice>
      <mc:Fallback xmlns="">
        <xdr:pic>
          <xdr:nvPicPr>
            <xdr:cNvPr id="334" name="Ink 333">
              <a:extLst>
                <a:ext uri="{FF2B5EF4-FFF2-40B4-BE49-F238E27FC236}">
                  <a16:creationId xmlns:a16="http://schemas.microsoft.com/office/drawing/2014/main" id="{84C96B3A-D422-7C4E-9BD3-04C260C823C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5">
          <xdr14:nvContentPartPr>
            <xdr14:cNvPr id="335" name="Ink 334">
              <a:extLst>
                <a:ext uri="{FF2B5EF4-FFF2-40B4-BE49-F238E27FC236}">
                  <a16:creationId xmlns:a16="http://schemas.microsoft.com/office/drawing/2014/main" id="{718136AD-ACCD-5C47-B30B-2BF101648109}"/>
                </a:ext>
              </a:extLst>
            </xdr14:cNvPr>
            <xdr14:cNvContentPartPr/>
          </xdr14:nvContentPartPr>
          <xdr14:nvPr macro=""/>
          <xdr14:xfrm>
            <a:off x="12846960" y="1192320"/>
            <a:ext cx="360" cy="360"/>
          </xdr14:xfrm>
        </xdr:contentPart>
      </mc:Choice>
      <mc:Fallback xmlns="">
        <xdr:pic>
          <xdr:nvPicPr>
            <xdr:cNvPr id="335" name="Ink 334">
              <a:extLst>
                <a:ext uri="{FF2B5EF4-FFF2-40B4-BE49-F238E27FC236}">
                  <a16:creationId xmlns:a16="http://schemas.microsoft.com/office/drawing/2014/main" id="{718136AD-ACCD-5C47-B30B-2BF10164810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6">
          <xdr14:nvContentPartPr>
            <xdr14:cNvPr id="336" name="Ink 335">
              <a:extLst>
                <a:ext uri="{FF2B5EF4-FFF2-40B4-BE49-F238E27FC236}">
                  <a16:creationId xmlns:a16="http://schemas.microsoft.com/office/drawing/2014/main" id="{3B5DB0A2-191F-1C43-B3CA-B84904FDBD45}"/>
                </a:ext>
              </a:extLst>
            </xdr14:cNvPr>
            <xdr14:cNvContentPartPr/>
          </xdr14:nvContentPartPr>
          <xdr14:nvPr macro=""/>
          <xdr14:xfrm>
            <a:off x="12866040" y="1243440"/>
            <a:ext cx="360" cy="360"/>
          </xdr14:xfrm>
        </xdr:contentPart>
      </mc:Choice>
      <mc:Fallback xmlns="">
        <xdr:pic>
          <xdr:nvPicPr>
            <xdr:cNvPr id="336" name="Ink 335">
              <a:extLst>
                <a:ext uri="{FF2B5EF4-FFF2-40B4-BE49-F238E27FC236}">
                  <a16:creationId xmlns:a16="http://schemas.microsoft.com/office/drawing/2014/main" id="{3B5DB0A2-191F-1C43-B3CA-B84904FDBD4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7">
          <xdr14:nvContentPartPr>
            <xdr14:cNvPr id="337" name="Ink 336">
              <a:extLst>
                <a:ext uri="{FF2B5EF4-FFF2-40B4-BE49-F238E27FC236}">
                  <a16:creationId xmlns:a16="http://schemas.microsoft.com/office/drawing/2014/main" id="{8D255334-C4B0-6143-8FD3-AEC7EBC1EE1E}"/>
                </a:ext>
              </a:extLst>
            </xdr14:cNvPr>
            <xdr14:cNvContentPartPr/>
          </xdr14:nvContentPartPr>
          <xdr14:nvPr macro=""/>
          <xdr14:xfrm>
            <a:off x="12973680" y="1366560"/>
            <a:ext cx="360" cy="360"/>
          </xdr14:xfrm>
        </xdr:contentPart>
      </mc:Choice>
      <mc:Fallback xmlns="">
        <xdr:pic>
          <xdr:nvPicPr>
            <xdr:cNvPr id="337" name="Ink 336">
              <a:extLst>
                <a:ext uri="{FF2B5EF4-FFF2-40B4-BE49-F238E27FC236}">
                  <a16:creationId xmlns:a16="http://schemas.microsoft.com/office/drawing/2014/main" id="{8D255334-C4B0-6143-8FD3-AEC7EBC1EE1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8">
          <xdr14:nvContentPartPr>
            <xdr14:cNvPr id="338" name="Ink 337">
              <a:extLst>
                <a:ext uri="{FF2B5EF4-FFF2-40B4-BE49-F238E27FC236}">
                  <a16:creationId xmlns:a16="http://schemas.microsoft.com/office/drawing/2014/main" id="{62DA4DB8-D7FE-3146-981C-EB630FEEF43A}"/>
                </a:ext>
              </a:extLst>
            </xdr14:cNvPr>
            <xdr14:cNvContentPartPr/>
          </xdr14:nvContentPartPr>
          <xdr14:nvPr macro=""/>
          <xdr14:xfrm>
            <a:off x="12846960" y="1192320"/>
            <a:ext cx="360" cy="360"/>
          </xdr14:xfrm>
        </xdr:contentPart>
      </mc:Choice>
      <mc:Fallback xmlns="">
        <xdr:pic>
          <xdr:nvPicPr>
            <xdr:cNvPr id="338" name="Ink 337">
              <a:extLst>
                <a:ext uri="{FF2B5EF4-FFF2-40B4-BE49-F238E27FC236}">
                  <a16:creationId xmlns:a16="http://schemas.microsoft.com/office/drawing/2014/main" id="{62DA4DB8-D7FE-3146-981C-EB630FEEF43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9">
          <xdr14:nvContentPartPr>
            <xdr14:cNvPr id="339" name="Ink 338">
              <a:extLst>
                <a:ext uri="{FF2B5EF4-FFF2-40B4-BE49-F238E27FC236}">
                  <a16:creationId xmlns:a16="http://schemas.microsoft.com/office/drawing/2014/main" id="{A10AD80B-D41D-6646-89FA-3FB982B8103D}"/>
                </a:ext>
              </a:extLst>
            </xdr14:cNvPr>
            <xdr14:cNvContentPartPr/>
          </xdr14:nvContentPartPr>
          <xdr14:nvPr macro=""/>
          <xdr14:xfrm>
            <a:off x="12866040" y="1243440"/>
            <a:ext cx="360" cy="360"/>
          </xdr14:xfrm>
        </xdr:contentPart>
      </mc:Choice>
      <mc:Fallback xmlns="">
        <xdr:pic>
          <xdr:nvPicPr>
            <xdr:cNvPr id="339" name="Ink 338">
              <a:extLst>
                <a:ext uri="{FF2B5EF4-FFF2-40B4-BE49-F238E27FC236}">
                  <a16:creationId xmlns:a16="http://schemas.microsoft.com/office/drawing/2014/main" id="{A10AD80B-D41D-6646-89FA-3FB982B8103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0">
          <xdr14:nvContentPartPr>
            <xdr14:cNvPr id="340" name="Ink 339">
              <a:extLst>
                <a:ext uri="{FF2B5EF4-FFF2-40B4-BE49-F238E27FC236}">
                  <a16:creationId xmlns:a16="http://schemas.microsoft.com/office/drawing/2014/main" id="{EF9FD231-17C0-EE47-9D4C-A6909DDEA9A7}"/>
                </a:ext>
              </a:extLst>
            </xdr14:cNvPr>
            <xdr14:cNvContentPartPr/>
          </xdr14:nvContentPartPr>
          <xdr14:nvPr macro=""/>
          <xdr14:xfrm>
            <a:off x="12973680" y="1366560"/>
            <a:ext cx="360" cy="360"/>
          </xdr14:xfrm>
        </xdr:contentPart>
      </mc:Choice>
      <mc:Fallback xmlns="">
        <xdr:pic>
          <xdr:nvPicPr>
            <xdr:cNvPr id="340" name="Ink 339">
              <a:extLst>
                <a:ext uri="{FF2B5EF4-FFF2-40B4-BE49-F238E27FC236}">
                  <a16:creationId xmlns:a16="http://schemas.microsoft.com/office/drawing/2014/main" id="{EF9FD231-17C0-EE47-9D4C-A6909DDEA9A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1">
          <xdr14:nvContentPartPr>
            <xdr14:cNvPr id="341" name="Ink 340">
              <a:extLst>
                <a:ext uri="{FF2B5EF4-FFF2-40B4-BE49-F238E27FC236}">
                  <a16:creationId xmlns:a16="http://schemas.microsoft.com/office/drawing/2014/main" id="{9D5BBBC7-D44B-0542-88C0-0437429EAB42}"/>
                </a:ext>
              </a:extLst>
            </xdr14:cNvPr>
            <xdr14:cNvContentPartPr/>
          </xdr14:nvContentPartPr>
          <xdr14:nvPr macro=""/>
          <xdr14:xfrm>
            <a:off x="12846960" y="1192320"/>
            <a:ext cx="360" cy="360"/>
          </xdr14:xfrm>
        </xdr:contentPart>
      </mc:Choice>
      <mc:Fallback xmlns="">
        <xdr:pic>
          <xdr:nvPicPr>
            <xdr:cNvPr id="341" name="Ink 340">
              <a:extLst>
                <a:ext uri="{FF2B5EF4-FFF2-40B4-BE49-F238E27FC236}">
                  <a16:creationId xmlns:a16="http://schemas.microsoft.com/office/drawing/2014/main" id="{9D5BBBC7-D44B-0542-88C0-0437429EAB4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2">
          <xdr14:nvContentPartPr>
            <xdr14:cNvPr id="342" name="Ink 341">
              <a:extLst>
                <a:ext uri="{FF2B5EF4-FFF2-40B4-BE49-F238E27FC236}">
                  <a16:creationId xmlns:a16="http://schemas.microsoft.com/office/drawing/2014/main" id="{1A0D27C0-3605-304F-92DC-18A3CBF1C340}"/>
                </a:ext>
              </a:extLst>
            </xdr14:cNvPr>
            <xdr14:cNvContentPartPr/>
          </xdr14:nvContentPartPr>
          <xdr14:nvPr macro=""/>
          <xdr14:xfrm>
            <a:off x="12866040" y="1243440"/>
            <a:ext cx="360" cy="360"/>
          </xdr14:xfrm>
        </xdr:contentPart>
      </mc:Choice>
      <mc:Fallback xmlns="">
        <xdr:pic>
          <xdr:nvPicPr>
            <xdr:cNvPr id="342" name="Ink 341">
              <a:extLst>
                <a:ext uri="{FF2B5EF4-FFF2-40B4-BE49-F238E27FC236}">
                  <a16:creationId xmlns:a16="http://schemas.microsoft.com/office/drawing/2014/main" id="{1A0D27C0-3605-304F-92DC-18A3CBF1C34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3">
          <xdr14:nvContentPartPr>
            <xdr14:cNvPr id="343" name="Ink 342">
              <a:extLst>
                <a:ext uri="{FF2B5EF4-FFF2-40B4-BE49-F238E27FC236}">
                  <a16:creationId xmlns:a16="http://schemas.microsoft.com/office/drawing/2014/main" id="{35D9A66B-5025-A742-A70C-52831CB09937}"/>
                </a:ext>
              </a:extLst>
            </xdr14:cNvPr>
            <xdr14:cNvContentPartPr/>
          </xdr14:nvContentPartPr>
          <xdr14:nvPr macro=""/>
          <xdr14:xfrm>
            <a:off x="12973680" y="1366560"/>
            <a:ext cx="360" cy="360"/>
          </xdr14:xfrm>
        </xdr:contentPart>
      </mc:Choice>
      <mc:Fallback xmlns="">
        <xdr:pic>
          <xdr:nvPicPr>
            <xdr:cNvPr id="343" name="Ink 342">
              <a:extLst>
                <a:ext uri="{FF2B5EF4-FFF2-40B4-BE49-F238E27FC236}">
                  <a16:creationId xmlns:a16="http://schemas.microsoft.com/office/drawing/2014/main" id="{35D9A66B-5025-A742-A70C-52831CB0993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4">
          <xdr14:nvContentPartPr>
            <xdr14:cNvPr id="344" name="Ink 343">
              <a:extLst>
                <a:ext uri="{FF2B5EF4-FFF2-40B4-BE49-F238E27FC236}">
                  <a16:creationId xmlns:a16="http://schemas.microsoft.com/office/drawing/2014/main" id="{5110CAAE-071D-EB4D-BDCD-2749A4D8D2AE}"/>
                </a:ext>
              </a:extLst>
            </xdr14:cNvPr>
            <xdr14:cNvContentPartPr/>
          </xdr14:nvContentPartPr>
          <xdr14:nvPr macro=""/>
          <xdr14:xfrm>
            <a:off x="12846960" y="1192320"/>
            <a:ext cx="360" cy="360"/>
          </xdr14:xfrm>
        </xdr:contentPart>
      </mc:Choice>
      <mc:Fallback xmlns="">
        <xdr:pic>
          <xdr:nvPicPr>
            <xdr:cNvPr id="344" name="Ink 343">
              <a:extLst>
                <a:ext uri="{FF2B5EF4-FFF2-40B4-BE49-F238E27FC236}">
                  <a16:creationId xmlns:a16="http://schemas.microsoft.com/office/drawing/2014/main" id="{5110CAAE-071D-EB4D-BDCD-2749A4D8D2A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5">
          <xdr14:nvContentPartPr>
            <xdr14:cNvPr id="345" name="Ink 344">
              <a:extLst>
                <a:ext uri="{FF2B5EF4-FFF2-40B4-BE49-F238E27FC236}">
                  <a16:creationId xmlns:a16="http://schemas.microsoft.com/office/drawing/2014/main" id="{16C9EAC1-6A5E-F44E-8546-1CD69CC6126E}"/>
                </a:ext>
              </a:extLst>
            </xdr14:cNvPr>
            <xdr14:cNvContentPartPr/>
          </xdr14:nvContentPartPr>
          <xdr14:nvPr macro=""/>
          <xdr14:xfrm>
            <a:off x="12866040" y="1243440"/>
            <a:ext cx="360" cy="360"/>
          </xdr14:xfrm>
        </xdr:contentPart>
      </mc:Choice>
      <mc:Fallback xmlns="">
        <xdr:pic>
          <xdr:nvPicPr>
            <xdr:cNvPr id="345" name="Ink 344">
              <a:extLst>
                <a:ext uri="{FF2B5EF4-FFF2-40B4-BE49-F238E27FC236}">
                  <a16:creationId xmlns:a16="http://schemas.microsoft.com/office/drawing/2014/main" id="{16C9EAC1-6A5E-F44E-8546-1CD69CC6126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6">
          <xdr14:nvContentPartPr>
            <xdr14:cNvPr id="346" name="Ink 345">
              <a:extLst>
                <a:ext uri="{FF2B5EF4-FFF2-40B4-BE49-F238E27FC236}">
                  <a16:creationId xmlns:a16="http://schemas.microsoft.com/office/drawing/2014/main" id="{CD9FC30D-E805-1446-BC82-F64D0EC34A15}"/>
                </a:ext>
              </a:extLst>
            </xdr14:cNvPr>
            <xdr14:cNvContentPartPr/>
          </xdr14:nvContentPartPr>
          <xdr14:nvPr macro=""/>
          <xdr14:xfrm>
            <a:off x="12973680" y="1366560"/>
            <a:ext cx="360" cy="360"/>
          </xdr14:xfrm>
        </xdr:contentPart>
      </mc:Choice>
      <mc:Fallback xmlns="">
        <xdr:pic>
          <xdr:nvPicPr>
            <xdr:cNvPr id="346" name="Ink 345">
              <a:extLst>
                <a:ext uri="{FF2B5EF4-FFF2-40B4-BE49-F238E27FC236}">
                  <a16:creationId xmlns:a16="http://schemas.microsoft.com/office/drawing/2014/main" id="{CD9FC30D-E805-1446-BC82-F64D0EC34A1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7">
          <xdr14:nvContentPartPr>
            <xdr14:cNvPr id="347" name="Ink 346">
              <a:extLst>
                <a:ext uri="{FF2B5EF4-FFF2-40B4-BE49-F238E27FC236}">
                  <a16:creationId xmlns:a16="http://schemas.microsoft.com/office/drawing/2014/main" id="{4ADF3FC5-8B7E-594D-BC06-1232188B10D4}"/>
                </a:ext>
              </a:extLst>
            </xdr14:cNvPr>
            <xdr14:cNvContentPartPr/>
          </xdr14:nvContentPartPr>
          <xdr14:nvPr macro=""/>
          <xdr14:xfrm>
            <a:off x="12846960" y="1192320"/>
            <a:ext cx="360" cy="360"/>
          </xdr14:xfrm>
        </xdr:contentPart>
      </mc:Choice>
      <mc:Fallback xmlns="">
        <xdr:pic>
          <xdr:nvPicPr>
            <xdr:cNvPr id="347" name="Ink 346">
              <a:extLst>
                <a:ext uri="{FF2B5EF4-FFF2-40B4-BE49-F238E27FC236}">
                  <a16:creationId xmlns:a16="http://schemas.microsoft.com/office/drawing/2014/main" id="{4ADF3FC5-8B7E-594D-BC06-1232188B10D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8">
          <xdr14:nvContentPartPr>
            <xdr14:cNvPr id="348" name="Ink 347">
              <a:extLst>
                <a:ext uri="{FF2B5EF4-FFF2-40B4-BE49-F238E27FC236}">
                  <a16:creationId xmlns:a16="http://schemas.microsoft.com/office/drawing/2014/main" id="{8AA85E5E-9587-B44E-A69D-2F89E1D01674}"/>
                </a:ext>
              </a:extLst>
            </xdr14:cNvPr>
            <xdr14:cNvContentPartPr/>
          </xdr14:nvContentPartPr>
          <xdr14:nvPr macro=""/>
          <xdr14:xfrm>
            <a:off x="12866040" y="1243440"/>
            <a:ext cx="360" cy="360"/>
          </xdr14:xfrm>
        </xdr:contentPart>
      </mc:Choice>
      <mc:Fallback xmlns="">
        <xdr:pic>
          <xdr:nvPicPr>
            <xdr:cNvPr id="348" name="Ink 347">
              <a:extLst>
                <a:ext uri="{FF2B5EF4-FFF2-40B4-BE49-F238E27FC236}">
                  <a16:creationId xmlns:a16="http://schemas.microsoft.com/office/drawing/2014/main" id="{8AA85E5E-9587-B44E-A69D-2F89E1D0167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9">
          <xdr14:nvContentPartPr>
            <xdr14:cNvPr id="349" name="Ink 348">
              <a:extLst>
                <a:ext uri="{FF2B5EF4-FFF2-40B4-BE49-F238E27FC236}">
                  <a16:creationId xmlns:a16="http://schemas.microsoft.com/office/drawing/2014/main" id="{A7B631C7-4D4C-F342-978C-AC820D1C8697}"/>
                </a:ext>
              </a:extLst>
            </xdr14:cNvPr>
            <xdr14:cNvContentPartPr/>
          </xdr14:nvContentPartPr>
          <xdr14:nvPr macro=""/>
          <xdr14:xfrm>
            <a:off x="12973680" y="1366560"/>
            <a:ext cx="360" cy="360"/>
          </xdr14:xfrm>
        </xdr:contentPart>
      </mc:Choice>
      <mc:Fallback xmlns="">
        <xdr:pic>
          <xdr:nvPicPr>
            <xdr:cNvPr id="349" name="Ink 348">
              <a:extLst>
                <a:ext uri="{FF2B5EF4-FFF2-40B4-BE49-F238E27FC236}">
                  <a16:creationId xmlns:a16="http://schemas.microsoft.com/office/drawing/2014/main" id="{A7B631C7-4D4C-F342-978C-AC820D1C869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0">
          <xdr14:nvContentPartPr>
            <xdr14:cNvPr id="350" name="Ink 349">
              <a:extLst>
                <a:ext uri="{FF2B5EF4-FFF2-40B4-BE49-F238E27FC236}">
                  <a16:creationId xmlns:a16="http://schemas.microsoft.com/office/drawing/2014/main" id="{5DC9EE89-2206-F648-BDBA-BC8D88653C49}"/>
                </a:ext>
              </a:extLst>
            </xdr14:cNvPr>
            <xdr14:cNvContentPartPr/>
          </xdr14:nvContentPartPr>
          <xdr14:nvPr macro=""/>
          <xdr14:xfrm>
            <a:off x="12846960" y="1192320"/>
            <a:ext cx="360" cy="360"/>
          </xdr14:xfrm>
        </xdr:contentPart>
      </mc:Choice>
      <mc:Fallback xmlns="">
        <xdr:pic>
          <xdr:nvPicPr>
            <xdr:cNvPr id="350" name="Ink 349">
              <a:extLst>
                <a:ext uri="{FF2B5EF4-FFF2-40B4-BE49-F238E27FC236}">
                  <a16:creationId xmlns:a16="http://schemas.microsoft.com/office/drawing/2014/main" id="{5DC9EE89-2206-F648-BDBA-BC8D88653C4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1">
          <xdr14:nvContentPartPr>
            <xdr14:cNvPr id="351" name="Ink 350">
              <a:extLst>
                <a:ext uri="{FF2B5EF4-FFF2-40B4-BE49-F238E27FC236}">
                  <a16:creationId xmlns:a16="http://schemas.microsoft.com/office/drawing/2014/main" id="{28219185-1B5E-1842-81FF-964EFF63DCA1}"/>
                </a:ext>
              </a:extLst>
            </xdr14:cNvPr>
            <xdr14:cNvContentPartPr/>
          </xdr14:nvContentPartPr>
          <xdr14:nvPr macro=""/>
          <xdr14:xfrm>
            <a:off x="12866040" y="1243440"/>
            <a:ext cx="360" cy="360"/>
          </xdr14:xfrm>
        </xdr:contentPart>
      </mc:Choice>
      <mc:Fallback xmlns="">
        <xdr:pic>
          <xdr:nvPicPr>
            <xdr:cNvPr id="351" name="Ink 350">
              <a:extLst>
                <a:ext uri="{FF2B5EF4-FFF2-40B4-BE49-F238E27FC236}">
                  <a16:creationId xmlns:a16="http://schemas.microsoft.com/office/drawing/2014/main" id="{28219185-1B5E-1842-81FF-964EFF63DCA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2">
          <xdr14:nvContentPartPr>
            <xdr14:cNvPr id="352" name="Ink 351">
              <a:extLst>
                <a:ext uri="{FF2B5EF4-FFF2-40B4-BE49-F238E27FC236}">
                  <a16:creationId xmlns:a16="http://schemas.microsoft.com/office/drawing/2014/main" id="{C1E02365-D8C1-B14B-A523-DC08812C8781}"/>
                </a:ext>
              </a:extLst>
            </xdr14:cNvPr>
            <xdr14:cNvContentPartPr/>
          </xdr14:nvContentPartPr>
          <xdr14:nvPr macro=""/>
          <xdr14:xfrm>
            <a:off x="12973680" y="1366560"/>
            <a:ext cx="360" cy="360"/>
          </xdr14:xfrm>
        </xdr:contentPart>
      </mc:Choice>
      <mc:Fallback xmlns="">
        <xdr:pic>
          <xdr:nvPicPr>
            <xdr:cNvPr id="352" name="Ink 351">
              <a:extLst>
                <a:ext uri="{FF2B5EF4-FFF2-40B4-BE49-F238E27FC236}">
                  <a16:creationId xmlns:a16="http://schemas.microsoft.com/office/drawing/2014/main" id="{C1E02365-D8C1-B14B-A523-DC08812C878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3">
          <xdr14:nvContentPartPr>
            <xdr14:cNvPr id="353" name="Ink 352">
              <a:extLst>
                <a:ext uri="{FF2B5EF4-FFF2-40B4-BE49-F238E27FC236}">
                  <a16:creationId xmlns:a16="http://schemas.microsoft.com/office/drawing/2014/main" id="{639C6186-6EBB-7D44-AA14-69788E5D42B3}"/>
                </a:ext>
              </a:extLst>
            </xdr14:cNvPr>
            <xdr14:cNvContentPartPr/>
          </xdr14:nvContentPartPr>
          <xdr14:nvPr macro=""/>
          <xdr14:xfrm>
            <a:off x="12846960" y="1192320"/>
            <a:ext cx="360" cy="360"/>
          </xdr14:xfrm>
        </xdr:contentPart>
      </mc:Choice>
      <mc:Fallback xmlns="">
        <xdr:pic>
          <xdr:nvPicPr>
            <xdr:cNvPr id="353" name="Ink 352">
              <a:extLst>
                <a:ext uri="{FF2B5EF4-FFF2-40B4-BE49-F238E27FC236}">
                  <a16:creationId xmlns:a16="http://schemas.microsoft.com/office/drawing/2014/main" id="{639C6186-6EBB-7D44-AA14-69788E5D42B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4">
          <xdr14:nvContentPartPr>
            <xdr14:cNvPr id="354" name="Ink 353">
              <a:extLst>
                <a:ext uri="{FF2B5EF4-FFF2-40B4-BE49-F238E27FC236}">
                  <a16:creationId xmlns:a16="http://schemas.microsoft.com/office/drawing/2014/main" id="{1D08C154-E0C7-C64F-A43B-98CDE8B70845}"/>
                </a:ext>
              </a:extLst>
            </xdr14:cNvPr>
            <xdr14:cNvContentPartPr/>
          </xdr14:nvContentPartPr>
          <xdr14:nvPr macro=""/>
          <xdr14:xfrm>
            <a:off x="12866040" y="1243440"/>
            <a:ext cx="360" cy="360"/>
          </xdr14:xfrm>
        </xdr:contentPart>
      </mc:Choice>
      <mc:Fallback xmlns="">
        <xdr:pic>
          <xdr:nvPicPr>
            <xdr:cNvPr id="354" name="Ink 353">
              <a:extLst>
                <a:ext uri="{FF2B5EF4-FFF2-40B4-BE49-F238E27FC236}">
                  <a16:creationId xmlns:a16="http://schemas.microsoft.com/office/drawing/2014/main" id="{1D08C154-E0C7-C64F-A43B-98CDE8B7084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5">
          <xdr14:nvContentPartPr>
            <xdr14:cNvPr id="355" name="Ink 354">
              <a:extLst>
                <a:ext uri="{FF2B5EF4-FFF2-40B4-BE49-F238E27FC236}">
                  <a16:creationId xmlns:a16="http://schemas.microsoft.com/office/drawing/2014/main" id="{1AD2A95F-5753-E940-8C90-64AAAE74F8EE}"/>
                </a:ext>
              </a:extLst>
            </xdr14:cNvPr>
            <xdr14:cNvContentPartPr/>
          </xdr14:nvContentPartPr>
          <xdr14:nvPr macro=""/>
          <xdr14:xfrm>
            <a:off x="12973680" y="1366560"/>
            <a:ext cx="360" cy="360"/>
          </xdr14:xfrm>
        </xdr:contentPart>
      </mc:Choice>
      <mc:Fallback xmlns="">
        <xdr:pic>
          <xdr:nvPicPr>
            <xdr:cNvPr id="355" name="Ink 354">
              <a:extLst>
                <a:ext uri="{FF2B5EF4-FFF2-40B4-BE49-F238E27FC236}">
                  <a16:creationId xmlns:a16="http://schemas.microsoft.com/office/drawing/2014/main" id="{1AD2A95F-5753-E940-8C90-64AAAE74F8E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6">
          <xdr14:nvContentPartPr>
            <xdr14:cNvPr id="356" name="Ink 355">
              <a:extLst>
                <a:ext uri="{FF2B5EF4-FFF2-40B4-BE49-F238E27FC236}">
                  <a16:creationId xmlns:a16="http://schemas.microsoft.com/office/drawing/2014/main" id="{918807C0-6C68-274E-AB53-423ECEF95D0E}"/>
                </a:ext>
              </a:extLst>
            </xdr14:cNvPr>
            <xdr14:cNvContentPartPr/>
          </xdr14:nvContentPartPr>
          <xdr14:nvPr macro=""/>
          <xdr14:xfrm>
            <a:off x="12846960" y="1192320"/>
            <a:ext cx="360" cy="360"/>
          </xdr14:xfrm>
        </xdr:contentPart>
      </mc:Choice>
      <mc:Fallback xmlns="">
        <xdr:pic>
          <xdr:nvPicPr>
            <xdr:cNvPr id="356" name="Ink 355">
              <a:extLst>
                <a:ext uri="{FF2B5EF4-FFF2-40B4-BE49-F238E27FC236}">
                  <a16:creationId xmlns:a16="http://schemas.microsoft.com/office/drawing/2014/main" id="{918807C0-6C68-274E-AB53-423ECEF95D0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7">
          <xdr14:nvContentPartPr>
            <xdr14:cNvPr id="357" name="Ink 356">
              <a:extLst>
                <a:ext uri="{FF2B5EF4-FFF2-40B4-BE49-F238E27FC236}">
                  <a16:creationId xmlns:a16="http://schemas.microsoft.com/office/drawing/2014/main" id="{FDD183F0-23CF-EC40-B907-C11A144F06F6}"/>
                </a:ext>
              </a:extLst>
            </xdr14:cNvPr>
            <xdr14:cNvContentPartPr/>
          </xdr14:nvContentPartPr>
          <xdr14:nvPr macro=""/>
          <xdr14:xfrm>
            <a:off x="12866040" y="1243440"/>
            <a:ext cx="360" cy="360"/>
          </xdr14:xfrm>
        </xdr:contentPart>
      </mc:Choice>
      <mc:Fallback xmlns="">
        <xdr:pic>
          <xdr:nvPicPr>
            <xdr:cNvPr id="357" name="Ink 356">
              <a:extLst>
                <a:ext uri="{FF2B5EF4-FFF2-40B4-BE49-F238E27FC236}">
                  <a16:creationId xmlns:a16="http://schemas.microsoft.com/office/drawing/2014/main" id="{FDD183F0-23CF-EC40-B907-C11A144F06F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8">
          <xdr14:nvContentPartPr>
            <xdr14:cNvPr id="358" name="Ink 357">
              <a:extLst>
                <a:ext uri="{FF2B5EF4-FFF2-40B4-BE49-F238E27FC236}">
                  <a16:creationId xmlns:a16="http://schemas.microsoft.com/office/drawing/2014/main" id="{35E1C6F1-D3F8-144C-A0F3-8FA5BD529C0A}"/>
                </a:ext>
              </a:extLst>
            </xdr14:cNvPr>
            <xdr14:cNvContentPartPr/>
          </xdr14:nvContentPartPr>
          <xdr14:nvPr macro=""/>
          <xdr14:xfrm>
            <a:off x="12973680" y="1366560"/>
            <a:ext cx="360" cy="360"/>
          </xdr14:xfrm>
        </xdr:contentPart>
      </mc:Choice>
      <mc:Fallback xmlns="">
        <xdr:pic>
          <xdr:nvPicPr>
            <xdr:cNvPr id="358" name="Ink 357">
              <a:extLst>
                <a:ext uri="{FF2B5EF4-FFF2-40B4-BE49-F238E27FC236}">
                  <a16:creationId xmlns:a16="http://schemas.microsoft.com/office/drawing/2014/main" id="{35E1C6F1-D3F8-144C-A0F3-8FA5BD529C0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9">
          <xdr14:nvContentPartPr>
            <xdr14:cNvPr id="359" name="Ink 358">
              <a:extLst>
                <a:ext uri="{FF2B5EF4-FFF2-40B4-BE49-F238E27FC236}">
                  <a16:creationId xmlns:a16="http://schemas.microsoft.com/office/drawing/2014/main" id="{19DFFEF5-A0E9-E341-A4A4-EC18731112EE}"/>
                </a:ext>
              </a:extLst>
            </xdr14:cNvPr>
            <xdr14:cNvContentPartPr/>
          </xdr14:nvContentPartPr>
          <xdr14:nvPr macro=""/>
          <xdr14:xfrm>
            <a:off x="12846960" y="1192320"/>
            <a:ext cx="360" cy="360"/>
          </xdr14:xfrm>
        </xdr:contentPart>
      </mc:Choice>
      <mc:Fallback xmlns="">
        <xdr:pic>
          <xdr:nvPicPr>
            <xdr:cNvPr id="359" name="Ink 358">
              <a:extLst>
                <a:ext uri="{FF2B5EF4-FFF2-40B4-BE49-F238E27FC236}">
                  <a16:creationId xmlns:a16="http://schemas.microsoft.com/office/drawing/2014/main" id="{19DFFEF5-A0E9-E341-A4A4-EC18731112E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0">
          <xdr14:nvContentPartPr>
            <xdr14:cNvPr id="360" name="Ink 359">
              <a:extLst>
                <a:ext uri="{FF2B5EF4-FFF2-40B4-BE49-F238E27FC236}">
                  <a16:creationId xmlns:a16="http://schemas.microsoft.com/office/drawing/2014/main" id="{4C27DA39-263C-6D4A-A7CF-2992517195B6}"/>
                </a:ext>
              </a:extLst>
            </xdr14:cNvPr>
            <xdr14:cNvContentPartPr/>
          </xdr14:nvContentPartPr>
          <xdr14:nvPr macro=""/>
          <xdr14:xfrm>
            <a:off x="12866040" y="1243440"/>
            <a:ext cx="360" cy="360"/>
          </xdr14:xfrm>
        </xdr:contentPart>
      </mc:Choice>
      <mc:Fallback xmlns="">
        <xdr:pic>
          <xdr:nvPicPr>
            <xdr:cNvPr id="360" name="Ink 359">
              <a:extLst>
                <a:ext uri="{FF2B5EF4-FFF2-40B4-BE49-F238E27FC236}">
                  <a16:creationId xmlns:a16="http://schemas.microsoft.com/office/drawing/2014/main" id="{4C27DA39-263C-6D4A-A7CF-2992517195B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1">
          <xdr14:nvContentPartPr>
            <xdr14:cNvPr id="361" name="Ink 360">
              <a:extLst>
                <a:ext uri="{FF2B5EF4-FFF2-40B4-BE49-F238E27FC236}">
                  <a16:creationId xmlns:a16="http://schemas.microsoft.com/office/drawing/2014/main" id="{560CBDB4-D79B-8647-8DC7-B34AEC463E31}"/>
                </a:ext>
              </a:extLst>
            </xdr14:cNvPr>
            <xdr14:cNvContentPartPr/>
          </xdr14:nvContentPartPr>
          <xdr14:nvPr macro=""/>
          <xdr14:xfrm>
            <a:off x="12973680" y="1366560"/>
            <a:ext cx="360" cy="360"/>
          </xdr14:xfrm>
        </xdr:contentPart>
      </mc:Choice>
      <mc:Fallback xmlns="">
        <xdr:pic>
          <xdr:nvPicPr>
            <xdr:cNvPr id="361" name="Ink 360">
              <a:extLst>
                <a:ext uri="{FF2B5EF4-FFF2-40B4-BE49-F238E27FC236}">
                  <a16:creationId xmlns:a16="http://schemas.microsoft.com/office/drawing/2014/main" id="{560CBDB4-D79B-8647-8DC7-B34AEC463E3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2">
          <xdr14:nvContentPartPr>
            <xdr14:cNvPr id="362" name="Ink 361">
              <a:extLst>
                <a:ext uri="{FF2B5EF4-FFF2-40B4-BE49-F238E27FC236}">
                  <a16:creationId xmlns:a16="http://schemas.microsoft.com/office/drawing/2014/main" id="{D9D15824-AEC4-4049-BF89-AB49277F107E}"/>
                </a:ext>
              </a:extLst>
            </xdr14:cNvPr>
            <xdr14:cNvContentPartPr/>
          </xdr14:nvContentPartPr>
          <xdr14:nvPr macro=""/>
          <xdr14:xfrm>
            <a:off x="12846960" y="1192320"/>
            <a:ext cx="360" cy="360"/>
          </xdr14:xfrm>
        </xdr:contentPart>
      </mc:Choice>
      <mc:Fallback xmlns="">
        <xdr:pic>
          <xdr:nvPicPr>
            <xdr:cNvPr id="362" name="Ink 361">
              <a:extLst>
                <a:ext uri="{FF2B5EF4-FFF2-40B4-BE49-F238E27FC236}">
                  <a16:creationId xmlns:a16="http://schemas.microsoft.com/office/drawing/2014/main" id="{D9D15824-AEC4-4049-BF89-AB49277F107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3">
          <xdr14:nvContentPartPr>
            <xdr14:cNvPr id="363" name="Ink 362">
              <a:extLst>
                <a:ext uri="{FF2B5EF4-FFF2-40B4-BE49-F238E27FC236}">
                  <a16:creationId xmlns:a16="http://schemas.microsoft.com/office/drawing/2014/main" id="{364CD54F-335B-5F4E-8CBA-BD5869A6AFA0}"/>
                </a:ext>
              </a:extLst>
            </xdr14:cNvPr>
            <xdr14:cNvContentPartPr/>
          </xdr14:nvContentPartPr>
          <xdr14:nvPr macro=""/>
          <xdr14:xfrm>
            <a:off x="12866040" y="1243440"/>
            <a:ext cx="360" cy="360"/>
          </xdr14:xfrm>
        </xdr:contentPart>
      </mc:Choice>
      <mc:Fallback xmlns="">
        <xdr:pic>
          <xdr:nvPicPr>
            <xdr:cNvPr id="363" name="Ink 362">
              <a:extLst>
                <a:ext uri="{FF2B5EF4-FFF2-40B4-BE49-F238E27FC236}">
                  <a16:creationId xmlns:a16="http://schemas.microsoft.com/office/drawing/2014/main" id="{364CD54F-335B-5F4E-8CBA-BD5869A6AFA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4">
          <xdr14:nvContentPartPr>
            <xdr14:cNvPr id="364" name="Ink 363">
              <a:extLst>
                <a:ext uri="{FF2B5EF4-FFF2-40B4-BE49-F238E27FC236}">
                  <a16:creationId xmlns:a16="http://schemas.microsoft.com/office/drawing/2014/main" id="{8B263C79-2CC8-3F43-9D8D-EBC10C1CBD24}"/>
                </a:ext>
              </a:extLst>
            </xdr14:cNvPr>
            <xdr14:cNvContentPartPr/>
          </xdr14:nvContentPartPr>
          <xdr14:nvPr macro=""/>
          <xdr14:xfrm>
            <a:off x="12973680" y="1366560"/>
            <a:ext cx="360" cy="360"/>
          </xdr14:xfrm>
        </xdr:contentPart>
      </mc:Choice>
      <mc:Fallback xmlns="">
        <xdr:pic>
          <xdr:nvPicPr>
            <xdr:cNvPr id="364" name="Ink 363">
              <a:extLst>
                <a:ext uri="{FF2B5EF4-FFF2-40B4-BE49-F238E27FC236}">
                  <a16:creationId xmlns:a16="http://schemas.microsoft.com/office/drawing/2014/main" id="{8B263C79-2CC8-3F43-9D8D-EBC10C1CBD2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5">
          <xdr14:nvContentPartPr>
            <xdr14:cNvPr id="365" name="Ink 364">
              <a:extLst>
                <a:ext uri="{FF2B5EF4-FFF2-40B4-BE49-F238E27FC236}">
                  <a16:creationId xmlns:a16="http://schemas.microsoft.com/office/drawing/2014/main" id="{F66331B6-B378-7B4D-AA19-E0C4A9FE2C65}"/>
                </a:ext>
              </a:extLst>
            </xdr14:cNvPr>
            <xdr14:cNvContentPartPr/>
          </xdr14:nvContentPartPr>
          <xdr14:nvPr macro=""/>
          <xdr14:xfrm>
            <a:off x="12846960" y="1192320"/>
            <a:ext cx="360" cy="360"/>
          </xdr14:xfrm>
        </xdr:contentPart>
      </mc:Choice>
      <mc:Fallback xmlns="">
        <xdr:pic>
          <xdr:nvPicPr>
            <xdr:cNvPr id="365" name="Ink 364">
              <a:extLst>
                <a:ext uri="{FF2B5EF4-FFF2-40B4-BE49-F238E27FC236}">
                  <a16:creationId xmlns:a16="http://schemas.microsoft.com/office/drawing/2014/main" id="{F66331B6-B378-7B4D-AA19-E0C4A9FE2C6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6">
          <xdr14:nvContentPartPr>
            <xdr14:cNvPr id="366" name="Ink 365">
              <a:extLst>
                <a:ext uri="{FF2B5EF4-FFF2-40B4-BE49-F238E27FC236}">
                  <a16:creationId xmlns:a16="http://schemas.microsoft.com/office/drawing/2014/main" id="{B5414A92-073A-2D47-A11C-78996F5E5CC1}"/>
                </a:ext>
              </a:extLst>
            </xdr14:cNvPr>
            <xdr14:cNvContentPartPr/>
          </xdr14:nvContentPartPr>
          <xdr14:nvPr macro=""/>
          <xdr14:xfrm>
            <a:off x="12866040" y="1243440"/>
            <a:ext cx="360" cy="360"/>
          </xdr14:xfrm>
        </xdr:contentPart>
      </mc:Choice>
      <mc:Fallback xmlns="">
        <xdr:pic>
          <xdr:nvPicPr>
            <xdr:cNvPr id="366" name="Ink 365">
              <a:extLst>
                <a:ext uri="{FF2B5EF4-FFF2-40B4-BE49-F238E27FC236}">
                  <a16:creationId xmlns:a16="http://schemas.microsoft.com/office/drawing/2014/main" id="{B5414A92-073A-2D47-A11C-78996F5E5CC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7">
          <xdr14:nvContentPartPr>
            <xdr14:cNvPr id="367" name="Ink 366">
              <a:extLst>
                <a:ext uri="{FF2B5EF4-FFF2-40B4-BE49-F238E27FC236}">
                  <a16:creationId xmlns:a16="http://schemas.microsoft.com/office/drawing/2014/main" id="{BB781B55-8C67-1842-9F25-07CD48967602}"/>
                </a:ext>
              </a:extLst>
            </xdr14:cNvPr>
            <xdr14:cNvContentPartPr/>
          </xdr14:nvContentPartPr>
          <xdr14:nvPr macro=""/>
          <xdr14:xfrm>
            <a:off x="12973680" y="1366560"/>
            <a:ext cx="360" cy="360"/>
          </xdr14:xfrm>
        </xdr:contentPart>
      </mc:Choice>
      <mc:Fallback xmlns="">
        <xdr:pic>
          <xdr:nvPicPr>
            <xdr:cNvPr id="367" name="Ink 366">
              <a:extLst>
                <a:ext uri="{FF2B5EF4-FFF2-40B4-BE49-F238E27FC236}">
                  <a16:creationId xmlns:a16="http://schemas.microsoft.com/office/drawing/2014/main" id="{BB781B55-8C67-1842-9F25-07CD4896760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8">
          <xdr14:nvContentPartPr>
            <xdr14:cNvPr id="368" name="Ink 367">
              <a:extLst>
                <a:ext uri="{FF2B5EF4-FFF2-40B4-BE49-F238E27FC236}">
                  <a16:creationId xmlns:a16="http://schemas.microsoft.com/office/drawing/2014/main" id="{47365990-22B3-8F45-92FC-9D0F70E3CB8E}"/>
                </a:ext>
              </a:extLst>
            </xdr14:cNvPr>
            <xdr14:cNvContentPartPr/>
          </xdr14:nvContentPartPr>
          <xdr14:nvPr macro=""/>
          <xdr14:xfrm>
            <a:off x="12846960" y="1192320"/>
            <a:ext cx="360" cy="360"/>
          </xdr14:xfrm>
        </xdr:contentPart>
      </mc:Choice>
      <mc:Fallback xmlns="">
        <xdr:pic>
          <xdr:nvPicPr>
            <xdr:cNvPr id="368" name="Ink 367">
              <a:extLst>
                <a:ext uri="{FF2B5EF4-FFF2-40B4-BE49-F238E27FC236}">
                  <a16:creationId xmlns:a16="http://schemas.microsoft.com/office/drawing/2014/main" id="{47365990-22B3-8F45-92FC-9D0F70E3CB8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9">
          <xdr14:nvContentPartPr>
            <xdr14:cNvPr id="369" name="Ink 368">
              <a:extLst>
                <a:ext uri="{FF2B5EF4-FFF2-40B4-BE49-F238E27FC236}">
                  <a16:creationId xmlns:a16="http://schemas.microsoft.com/office/drawing/2014/main" id="{B1561F35-2B15-0F47-9009-E8665DB0AD83}"/>
                </a:ext>
              </a:extLst>
            </xdr14:cNvPr>
            <xdr14:cNvContentPartPr/>
          </xdr14:nvContentPartPr>
          <xdr14:nvPr macro=""/>
          <xdr14:xfrm>
            <a:off x="12866040" y="1243440"/>
            <a:ext cx="360" cy="360"/>
          </xdr14:xfrm>
        </xdr:contentPart>
      </mc:Choice>
      <mc:Fallback xmlns="">
        <xdr:pic>
          <xdr:nvPicPr>
            <xdr:cNvPr id="369" name="Ink 368">
              <a:extLst>
                <a:ext uri="{FF2B5EF4-FFF2-40B4-BE49-F238E27FC236}">
                  <a16:creationId xmlns:a16="http://schemas.microsoft.com/office/drawing/2014/main" id="{B1561F35-2B15-0F47-9009-E8665DB0AD8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0">
          <xdr14:nvContentPartPr>
            <xdr14:cNvPr id="370" name="Ink 369">
              <a:extLst>
                <a:ext uri="{FF2B5EF4-FFF2-40B4-BE49-F238E27FC236}">
                  <a16:creationId xmlns:a16="http://schemas.microsoft.com/office/drawing/2014/main" id="{FA87475D-3104-094F-8E73-E885734AF6DB}"/>
                </a:ext>
              </a:extLst>
            </xdr14:cNvPr>
            <xdr14:cNvContentPartPr/>
          </xdr14:nvContentPartPr>
          <xdr14:nvPr macro=""/>
          <xdr14:xfrm>
            <a:off x="12973680" y="1366560"/>
            <a:ext cx="360" cy="360"/>
          </xdr14:xfrm>
        </xdr:contentPart>
      </mc:Choice>
      <mc:Fallback xmlns="">
        <xdr:pic>
          <xdr:nvPicPr>
            <xdr:cNvPr id="370" name="Ink 369">
              <a:extLst>
                <a:ext uri="{FF2B5EF4-FFF2-40B4-BE49-F238E27FC236}">
                  <a16:creationId xmlns:a16="http://schemas.microsoft.com/office/drawing/2014/main" id="{FA87475D-3104-094F-8E73-E885734AF6D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1">
          <xdr14:nvContentPartPr>
            <xdr14:cNvPr id="371" name="Ink 370">
              <a:extLst>
                <a:ext uri="{FF2B5EF4-FFF2-40B4-BE49-F238E27FC236}">
                  <a16:creationId xmlns:a16="http://schemas.microsoft.com/office/drawing/2014/main" id="{7FC84BCB-6864-0345-A164-7260B1082B88}"/>
                </a:ext>
              </a:extLst>
            </xdr14:cNvPr>
            <xdr14:cNvContentPartPr/>
          </xdr14:nvContentPartPr>
          <xdr14:nvPr macro=""/>
          <xdr14:xfrm>
            <a:off x="12846960" y="1192320"/>
            <a:ext cx="360" cy="360"/>
          </xdr14:xfrm>
        </xdr:contentPart>
      </mc:Choice>
      <mc:Fallback xmlns="">
        <xdr:pic>
          <xdr:nvPicPr>
            <xdr:cNvPr id="371" name="Ink 370">
              <a:extLst>
                <a:ext uri="{FF2B5EF4-FFF2-40B4-BE49-F238E27FC236}">
                  <a16:creationId xmlns:a16="http://schemas.microsoft.com/office/drawing/2014/main" id="{7FC84BCB-6864-0345-A164-7260B1082B8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2">
          <xdr14:nvContentPartPr>
            <xdr14:cNvPr id="372" name="Ink 371">
              <a:extLst>
                <a:ext uri="{FF2B5EF4-FFF2-40B4-BE49-F238E27FC236}">
                  <a16:creationId xmlns:a16="http://schemas.microsoft.com/office/drawing/2014/main" id="{C292C62C-940C-9E45-9D4B-9AC68015F7C6}"/>
                </a:ext>
              </a:extLst>
            </xdr14:cNvPr>
            <xdr14:cNvContentPartPr/>
          </xdr14:nvContentPartPr>
          <xdr14:nvPr macro=""/>
          <xdr14:xfrm>
            <a:off x="12866040" y="1243440"/>
            <a:ext cx="360" cy="360"/>
          </xdr14:xfrm>
        </xdr:contentPart>
      </mc:Choice>
      <mc:Fallback xmlns="">
        <xdr:pic>
          <xdr:nvPicPr>
            <xdr:cNvPr id="372" name="Ink 371">
              <a:extLst>
                <a:ext uri="{FF2B5EF4-FFF2-40B4-BE49-F238E27FC236}">
                  <a16:creationId xmlns:a16="http://schemas.microsoft.com/office/drawing/2014/main" id="{C292C62C-940C-9E45-9D4B-9AC68015F7C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3">
          <xdr14:nvContentPartPr>
            <xdr14:cNvPr id="373" name="Ink 372">
              <a:extLst>
                <a:ext uri="{FF2B5EF4-FFF2-40B4-BE49-F238E27FC236}">
                  <a16:creationId xmlns:a16="http://schemas.microsoft.com/office/drawing/2014/main" id="{7E7CC06D-BF59-7346-AA4A-A601C8E80D59}"/>
                </a:ext>
              </a:extLst>
            </xdr14:cNvPr>
            <xdr14:cNvContentPartPr/>
          </xdr14:nvContentPartPr>
          <xdr14:nvPr macro=""/>
          <xdr14:xfrm>
            <a:off x="12973680" y="1366560"/>
            <a:ext cx="360" cy="360"/>
          </xdr14:xfrm>
        </xdr:contentPart>
      </mc:Choice>
      <mc:Fallback xmlns="">
        <xdr:pic>
          <xdr:nvPicPr>
            <xdr:cNvPr id="373" name="Ink 372">
              <a:extLst>
                <a:ext uri="{FF2B5EF4-FFF2-40B4-BE49-F238E27FC236}">
                  <a16:creationId xmlns:a16="http://schemas.microsoft.com/office/drawing/2014/main" id="{7E7CC06D-BF59-7346-AA4A-A601C8E80D5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4">
          <xdr14:nvContentPartPr>
            <xdr14:cNvPr id="374" name="Ink 373">
              <a:extLst>
                <a:ext uri="{FF2B5EF4-FFF2-40B4-BE49-F238E27FC236}">
                  <a16:creationId xmlns:a16="http://schemas.microsoft.com/office/drawing/2014/main" id="{529C0DE4-554E-A24B-8125-B92336D1E45A}"/>
                </a:ext>
              </a:extLst>
            </xdr14:cNvPr>
            <xdr14:cNvContentPartPr/>
          </xdr14:nvContentPartPr>
          <xdr14:nvPr macro=""/>
          <xdr14:xfrm>
            <a:off x="12846960" y="1192320"/>
            <a:ext cx="360" cy="360"/>
          </xdr14:xfrm>
        </xdr:contentPart>
      </mc:Choice>
      <mc:Fallback xmlns="">
        <xdr:pic>
          <xdr:nvPicPr>
            <xdr:cNvPr id="374" name="Ink 373">
              <a:extLst>
                <a:ext uri="{FF2B5EF4-FFF2-40B4-BE49-F238E27FC236}">
                  <a16:creationId xmlns:a16="http://schemas.microsoft.com/office/drawing/2014/main" id="{529C0DE4-554E-A24B-8125-B92336D1E45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5">
          <xdr14:nvContentPartPr>
            <xdr14:cNvPr id="375" name="Ink 374">
              <a:extLst>
                <a:ext uri="{FF2B5EF4-FFF2-40B4-BE49-F238E27FC236}">
                  <a16:creationId xmlns:a16="http://schemas.microsoft.com/office/drawing/2014/main" id="{99F144A6-6E90-E044-A24B-8D1E5AD80FA1}"/>
                </a:ext>
              </a:extLst>
            </xdr14:cNvPr>
            <xdr14:cNvContentPartPr/>
          </xdr14:nvContentPartPr>
          <xdr14:nvPr macro=""/>
          <xdr14:xfrm>
            <a:off x="12866040" y="1243440"/>
            <a:ext cx="360" cy="360"/>
          </xdr14:xfrm>
        </xdr:contentPart>
      </mc:Choice>
      <mc:Fallback xmlns="">
        <xdr:pic>
          <xdr:nvPicPr>
            <xdr:cNvPr id="375" name="Ink 374">
              <a:extLst>
                <a:ext uri="{FF2B5EF4-FFF2-40B4-BE49-F238E27FC236}">
                  <a16:creationId xmlns:a16="http://schemas.microsoft.com/office/drawing/2014/main" id="{99F144A6-6E90-E044-A24B-8D1E5AD80FA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6">
          <xdr14:nvContentPartPr>
            <xdr14:cNvPr id="376" name="Ink 375">
              <a:extLst>
                <a:ext uri="{FF2B5EF4-FFF2-40B4-BE49-F238E27FC236}">
                  <a16:creationId xmlns:a16="http://schemas.microsoft.com/office/drawing/2014/main" id="{B225F687-C4EA-354A-B352-06D97C80CBB9}"/>
                </a:ext>
              </a:extLst>
            </xdr14:cNvPr>
            <xdr14:cNvContentPartPr/>
          </xdr14:nvContentPartPr>
          <xdr14:nvPr macro=""/>
          <xdr14:xfrm>
            <a:off x="12973680" y="1366560"/>
            <a:ext cx="360" cy="360"/>
          </xdr14:xfrm>
        </xdr:contentPart>
      </mc:Choice>
      <mc:Fallback xmlns="">
        <xdr:pic>
          <xdr:nvPicPr>
            <xdr:cNvPr id="376" name="Ink 375">
              <a:extLst>
                <a:ext uri="{FF2B5EF4-FFF2-40B4-BE49-F238E27FC236}">
                  <a16:creationId xmlns:a16="http://schemas.microsoft.com/office/drawing/2014/main" id="{B225F687-C4EA-354A-B352-06D97C80CBB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7">
          <xdr14:nvContentPartPr>
            <xdr14:cNvPr id="377" name="Ink 376">
              <a:extLst>
                <a:ext uri="{FF2B5EF4-FFF2-40B4-BE49-F238E27FC236}">
                  <a16:creationId xmlns:a16="http://schemas.microsoft.com/office/drawing/2014/main" id="{A2FE4BF4-FE37-F241-B4B9-6C0693609D5D}"/>
                </a:ext>
              </a:extLst>
            </xdr14:cNvPr>
            <xdr14:cNvContentPartPr/>
          </xdr14:nvContentPartPr>
          <xdr14:nvPr macro=""/>
          <xdr14:xfrm>
            <a:off x="12846960" y="1192320"/>
            <a:ext cx="360" cy="360"/>
          </xdr14:xfrm>
        </xdr:contentPart>
      </mc:Choice>
      <mc:Fallback xmlns="">
        <xdr:pic>
          <xdr:nvPicPr>
            <xdr:cNvPr id="377" name="Ink 376">
              <a:extLst>
                <a:ext uri="{FF2B5EF4-FFF2-40B4-BE49-F238E27FC236}">
                  <a16:creationId xmlns:a16="http://schemas.microsoft.com/office/drawing/2014/main" id="{A2FE4BF4-FE37-F241-B4B9-6C0693609D5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8">
          <xdr14:nvContentPartPr>
            <xdr14:cNvPr id="378" name="Ink 377">
              <a:extLst>
                <a:ext uri="{FF2B5EF4-FFF2-40B4-BE49-F238E27FC236}">
                  <a16:creationId xmlns:a16="http://schemas.microsoft.com/office/drawing/2014/main" id="{55AE3899-C71B-BA4B-A0FA-9EDFB1447DF9}"/>
                </a:ext>
              </a:extLst>
            </xdr14:cNvPr>
            <xdr14:cNvContentPartPr/>
          </xdr14:nvContentPartPr>
          <xdr14:nvPr macro=""/>
          <xdr14:xfrm>
            <a:off x="12866040" y="1243440"/>
            <a:ext cx="360" cy="360"/>
          </xdr14:xfrm>
        </xdr:contentPart>
      </mc:Choice>
      <mc:Fallback xmlns="">
        <xdr:pic>
          <xdr:nvPicPr>
            <xdr:cNvPr id="378" name="Ink 377">
              <a:extLst>
                <a:ext uri="{FF2B5EF4-FFF2-40B4-BE49-F238E27FC236}">
                  <a16:creationId xmlns:a16="http://schemas.microsoft.com/office/drawing/2014/main" id="{55AE3899-C71B-BA4B-A0FA-9EDFB1447DF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9">
          <xdr14:nvContentPartPr>
            <xdr14:cNvPr id="379" name="Ink 378">
              <a:extLst>
                <a:ext uri="{FF2B5EF4-FFF2-40B4-BE49-F238E27FC236}">
                  <a16:creationId xmlns:a16="http://schemas.microsoft.com/office/drawing/2014/main" id="{87E2C655-42BB-4E4D-A72D-D8BBDE71D3A5}"/>
                </a:ext>
              </a:extLst>
            </xdr14:cNvPr>
            <xdr14:cNvContentPartPr/>
          </xdr14:nvContentPartPr>
          <xdr14:nvPr macro=""/>
          <xdr14:xfrm>
            <a:off x="12973680" y="1366560"/>
            <a:ext cx="360" cy="360"/>
          </xdr14:xfrm>
        </xdr:contentPart>
      </mc:Choice>
      <mc:Fallback xmlns="">
        <xdr:pic>
          <xdr:nvPicPr>
            <xdr:cNvPr id="379" name="Ink 378">
              <a:extLst>
                <a:ext uri="{FF2B5EF4-FFF2-40B4-BE49-F238E27FC236}">
                  <a16:creationId xmlns:a16="http://schemas.microsoft.com/office/drawing/2014/main" id="{87E2C655-42BB-4E4D-A72D-D8BBDE71D3A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0">
          <xdr14:nvContentPartPr>
            <xdr14:cNvPr id="380" name="Ink 379">
              <a:extLst>
                <a:ext uri="{FF2B5EF4-FFF2-40B4-BE49-F238E27FC236}">
                  <a16:creationId xmlns:a16="http://schemas.microsoft.com/office/drawing/2014/main" id="{D6B70D28-B78A-214D-A79C-5A7DDDE988DD}"/>
                </a:ext>
              </a:extLst>
            </xdr14:cNvPr>
            <xdr14:cNvContentPartPr/>
          </xdr14:nvContentPartPr>
          <xdr14:nvPr macro=""/>
          <xdr14:xfrm>
            <a:off x="12846960" y="1192320"/>
            <a:ext cx="360" cy="360"/>
          </xdr14:xfrm>
        </xdr:contentPart>
      </mc:Choice>
      <mc:Fallback xmlns="">
        <xdr:pic>
          <xdr:nvPicPr>
            <xdr:cNvPr id="380" name="Ink 379">
              <a:extLst>
                <a:ext uri="{FF2B5EF4-FFF2-40B4-BE49-F238E27FC236}">
                  <a16:creationId xmlns:a16="http://schemas.microsoft.com/office/drawing/2014/main" id="{D6B70D28-B78A-214D-A79C-5A7DDDE988D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1">
          <xdr14:nvContentPartPr>
            <xdr14:cNvPr id="381" name="Ink 380">
              <a:extLst>
                <a:ext uri="{FF2B5EF4-FFF2-40B4-BE49-F238E27FC236}">
                  <a16:creationId xmlns:a16="http://schemas.microsoft.com/office/drawing/2014/main" id="{9ADE98B8-3660-2C42-8938-E4516578DC62}"/>
                </a:ext>
              </a:extLst>
            </xdr14:cNvPr>
            <xdr14:cNvContentPartPr/>
          </xdr14:nvContentPartPr>
          <xdr14:nvPr macro=""/>
          <xdr14:xfrm>
            <a:off x="12866040" y="1243440"/>
            <a:ext cx="360" cy="360"/>
          </xdr14:xfrm>
        </xdr:contentPart>
      </mc:Choice>
      <mc:Fallback xmlns="">
        <xdr:pic>
          <xdr:nvPicPr>
            <xdr:cNvPr id="381" name="Ink 380">
              <a:extLst>
                <a:ext uri="{FF2B5EF4-FFF2-40B4-BE49-F238E27FC236}">
                  <a16:creationId xmlns:a16="http://schemas.microsoft.com/office/drawing/2014/main" id="{9ADE98B8-3660-2C42-8938-E4516578DC6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2">
          <xdr14:nvContentPartPr>
            <xdr14:cNvPr id="382" name="Ink 381">
              <a:extLst>
                <a:ext uri="{FF2B5EF4-FFF2-40B4-BE49-F238E27FC236}">
                  <a16:creationId xmlns:a16="http://schemas.microsoft.com/office/drawing/2014/main" id="{D763BF79-C97F-D24E-ABBF-972E007F5FDC}"/>
                </a:ext>
              </a:extLst>
            </xdr14:cNvPr>
            <xdr14:cNvContentPartPr/>
          </xdr14:nvContentPartPr>
          <xdr14:nvPr macro=""/>
          <xdr14:xfrm>
            <a:off x="12973680" y="1366560"/>
            <a:ext cx="360" cy="360"/>
          </xdr14:xfrm>
        </xdr:contentPart>
      </mc:Choice>
      <mc:Fallback xmlns="">
        <xdr:pic>
          <xdr:nvPicPr>
            <xdr:cNvPr id="382" name="Ink 381">
              <a:extLst>
                <a:ext uri="{FF2B5EF4-FFF2-40B4-BE49-F238E27FC236}">
                  <a16:creationId xmlns:a16="http://schemas.microsoft.com/office/drawing/2014/main" id="{D763BF79-C97F-D24E-ABBF-972E007F5FD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3">
          <xdr14:nvContentPartPr>
            <xdr14:cNvPr id="383" name="Ink 382">
              <a:extLst>
                <a:ext uri="{FF2B5EF4-FFF2-40B4-BE49-F238E27FC236}">
                  <a16:creationId xmlns:a16="http://schemas.microsoft.com/office/drawing/2014/main" id="{75093DBD-1BCE-0B45-A2C1-CDAB3169E117}"/>
                </a:ext>
              </a:extLst>
            </xdr14:cNvPr>
            <xdr14:cNvContentPartPr/>
          </xdr14:nvContentPartPr>
          <xdr14:nvPr macro=""/>
          <xdr14:xfrm>
            <a:off x="12846960" y="1192320"/>
            <a:ext cx="360" cy="360"/>
          </xdr14:xfrm>
        </xdr:contentPart>
      </mc:Choice>
      <mc:Fallback xmlns="">
        <xdr:pic>
          <xdr:nvPicPr>
            <xdr:cNvPr id="383" name="Ink 382">
              <a:extLst>
                <a:ext uri="{FF2B5EF4-FFF2-40B4-BE49-F238E27FC236}">
                  <a16:creationId xmlns:a16="http://schemas.microsoft.com/office/drawing/2014/main" id="{75093DBD-1BCE-0B45-A2C1-CDAB3169E11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4">
          <xdr14:nvContentPartPr>
            <xdr14:cNvPr id="384" name="Ink 383">
              <a:extLst>
                <a:ext uri="{FF2B5EF4-FFF2-40B4-BE49-F238E27FC236}">
                  <a16:creationId xmlns:a16="http://schemas.microsoft.com/office/drawing/2014/main" id="{10DF9FC7-05AD-7647-86AA-641F4590E048}"/>
                </a:ext>
              </a:extLst>
            </xdr14:cNvPr>
            <xdr14:cNvContentPartPr/>
          </xdr14:nvContentPartPr>
          <xdr14:nvPr macro=""/>
          <xdr14:xfrm>
            <a:off x="12866040" y="1243440"/>
            <a:ext cx="360" cy="360"/>
          </xdr14:xfrm>
        </xdr:contentPart>
      </mc:Choice>
      <mc:Fallback xmlns="">
        <xdr:pic>
          <xdr:nvPicPr>
            <xdr:cNvPr id="384" name="Ink 383">
              <a:extLst>
                <a:ext uri="{FF2B5EF4-FFF2-40B4-BE49-F238E27FC236}">
                  <a16:creationId xmlns:a16="http://schemas.microsoft.com/office/drawing/2014/main" id="{10DF9FC7-05AD-7647-86AA-641F4590E04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5">
          <xdr14:nvContentPartPr>
            <xdr14:cNvPr id="385" name="Ink 384">
              <a:extLst>
                <a:ext uri="{FF2B5EF4-FFF2-40B4-BE49-F238E27FC236}">
                  <a16:creationId xmlns:a16="http://schemas.microsoft.com/office/drawing/2014/main" id="{16EA287C-B389-4A4C-8E2A-D4667FD62CE7}"/>
                </a:ext>
              </a:extLst>
            </xdr14:cNvPr>
            <xdr14:cNvContentPartPr/>
          </xdr14:nvContentPartPr>
          <xdr14:nvPr macro=""/>
          <xdr14:xfrm>
            <a:off x="12973680" y="1366560"/>
            <a:ext cx="360" cy="360"/>
          </xdr14:xfrm>
        </xdr:contentPart>
      </mc:Choice>
      <mc:Fallback xmlns="">
        <xdr:pic>
          <xdr:nvPicPr>
            <xdr:cNvPr id="385" name="Ink 384">
              <a:extLst>
                <a:ext uri="{FF2B5EF4-FFF2-40B4-BE49-F238E27FC236}">
                  <a16:creationId xmlns:a16="http://schemas.microsoft.com/office/drawing/2014/main" id="{16EA287C-B389-4A4C-8E2A-D4667FD62CE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6">
          <xdr14:nvContentPartPr>
            <xdr14:cNvPr id="386" name="Ink 385">
              <a:extLst>
                <a:ext uri="{FF2B5EF4-FFF2-40B4-BE49-F238E27FC236}">
                  <a16:creationId xmlns:a16="http://schemas.microsoft.com/office/drawing/2014/main" id="{1C8FC0E5-E6E7-8849-85A9-2C9173AA4FB8}"/>
                </a:ext>
              </a:extLst>
            </xdr14:cNvPr>
            <xdr14:cNvContentPartPr/>
          </xdr14:nvContentPartPr>
          <xdr14:nvPr macro=""/>
          <xdr14:xfrm>
            <a:off x="12846960" y="1192320"/>
            <a:ext cx="360" cy="360"/>
          </xdr14:xfrm>
        </xdr:contentPart>
      </mc:Choice>
      <mc:Fallback xmlns="">
        <xdr:pic>
          <xdr:nvPicPr>
            <xdr:cNvPr id="386" name="Ink 385">
              <a:extLst>
                <a:ext uri="{FF2B5EF4-FFF2-40B4-BE49-F238E27FC236}">
                  <a16:creationId xmlns:a16="http://schemas.microsoft.com/office/drawing/2014/main" id="{1C8FC0E5-E6E7-8849-85A9-2C9173AA4FB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7">
          <xdr14:nvContentPartPr>
            <xdr14:cNvPr id="387" name="Ink 386">
              <a:extLst>
                <a:ext uri="{FF2B5EF4-FFF2-40B4-BE49-F238E27FC236}">
                  <a16:creationId xmlns:a16="http://schemas.microsoft.com/office/drawing/2014/main" id="{6C115528-AB29-B240-A1EB-7A004AD7F610}"/>
                </a:ext>
              </a:extLst>
            </xdr14:cNvPr>
            <xdr14:cNvContentPartPr/>
          </xdr14:nvContentPartPr>
          <xdr14:nvPr macro=""/>
          <xdr14:xfrm>
            <a:off x="12866040" y="1243440"/>
            <a:ext cx="360" cy="360"/>
          </xdr14:xfrm>
        </xdr:contentPart>
      </mc:Choice>
      <mc:Fallback xmlns="">
        <xdr:pic>
          <xdr:nvPicPr>
            <xdr:cNvPr id="387" name="Ink 386">
              <a:extLst>
                <a:ext uri="{FF2B5EF4-FFF2-40B4-BE49-F238E27FC236}">
                  <a16:creationId xmlns:a16="http://schemas.microsoft.com/office/drawing/2014/main" id="{6C115528-AB29-B240-A1EB-7A004AD7F61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8">
          <xdr14:nvContentPartPr>
            <xdr14:cNvPr id="388" name="Ink 387">
              <a:extLst>
                <a:ext uri="{FF2B5EF4-FFF2-40B4-BE49-F238E27FC236}">
                  <a16:creationId xmlns:a16="http://schemas.microsoft.com/office/drawing/2014/main" id="{BAEF6A12-75E9-4347-B79E-6F967B43DDD6}"/>
                </a:ext>
              </a:extLst>
            </xdr14:cNvPr>
            <xdr14:cNvContentPartPr/>
          </xdr14:nvContentPartPr>
          <xdr14:nvPr macro=""/>
          <xdr14:xfrm>
            <a:off x="12973680" y="1366560"/>
            <a:ext cx="360" cy="360"/>
          </xdr14:xfrm>
        </xdr:contentPart>
      </mc:Choice>
      <mc:Fallback xmlns="">
        <xdr:pic>
          <xdr:nvPicPr>
            <xdr:cNvPr id="388" name="Ink 387">
              <a:extLst>
                <a:ext uri="{FF2B5EF4-FFF2-40B4-BE49-F238E27FC236}">
                  <a16:creationId xmlns:a16="http://schemas.microsoft.com/office/drawing/2014/main" id="{BAEF6A12-75E9-4347-B79E-6F967B43DDD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9">
          <xdr14:nvContentPartPr>
            <xdr14:cNvPr id="389" name="Ink 388">
              <a:extLst>
                <a:ext uri="{FF2B5EF4-FFF2-40B4-BE49-F238E27FC236}">
                  <a16:creationId xmlns:a16="http://schemas.microsoft.com/office/drawing/2014/main" id="{5233606D-BCD5-C54A-808D-0FCC412ED87C}"/>
                </a:ext>
              </a:extLst>
            </xdr14:cNvPr>
            <xdr14:cNvContentPartPr/>
          </xdr14:nvContentPartPr>
          <xdr14:nvPr macro=""/>
          <xdr14:xfrm>
            <a:off x="12846960" y="1192320"/>
            <a:ext cx="360" cy="360"/>
          </xdr14:xfrm>
        </xdr:contentPart>
      </mc:Choice>
      <mc:Fallback xmlns="">
        <xdr:pic>
          <xdr:nvPicPr>
            <xdr:cNvPr id="389" name="Ink 388">
              <a:extLst>
                <a:ext uri="{FF2B5EF4-FFF2-40B4-BE49-F238E27FC236}">
                  <a16:creationId xmlns:a16="http://schemas.microsoft.com/office/drawing/2014/main" id="{5233606D-BCD5-C54A-808D-0FCC412ED87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0">
          <xdr14:nvContentPartPr>
            <xdr14:cNvPr id="390" name="Ink 389">
              <a:extLst>
                <a:ext uri="{FF2B5EF4-FFF2-40B4-BE49-F238E27FC236}">
                  <a16:creationId xmlns:a16="http://schemas.microsoft.com/office/drawing/2014/main" id="{FD54E289-C67B-FB4C-B73D-8655C313F4FC}"/>
                </a:ext>
              </a:extLst>
            </xdr14:cNvPr>
            <xdr14:cNvContentPartPr/>
          </xdr14:nvContentPartPr>
          <xdr14:nvPr macro=""/>
          <xdr14:xfrm>
            <a:off x="12866040" y="1243440"/>
            <a:ext cx="360" cy="360"/>
          </xdr14:xfrm>
        </xdr:contentPart>
      </mc:Choice>
      <mc:Fallback xmlns="">
        <xdr:pic>
          <xdr:nvPicPr>
            <xdr:cNvPr id="390" name="Ink 389">
              <a:extLst>
                <a:ext uri="{FF2B5EF4-FFF2-40B4-BE49-F238E27FC236}">
                  <a16:creationId xmlns:a16="http://schemas.microsoft.com/office/drawing/2014/main" id="{FD54E289-C67B-FB4C-B73D-8655C313F4F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1">
          <xdr14:nvContentPartPr>
            <xdr14:cNvPr id="391" name="Ink 390">
              <a:extLst>
                <a:ext uri="{FF2B5EF4-FFF2-40B4-BE49-F238E27FC236}">
                  <a16:creationId xmlns:a16="http://schemas.microsoft.com/office/drawing/2014/main" id="{38E05AA5-443E-2542-B23B-716D60DC2E3B}"/>
                </a:ext>
              </a:extLst>
            </xdr14:cNvPr>
            <xdr14:cNvContentPartPr/>
          </xdr14:nvContentPartPr>
          <xdr14:nvPr macro=""/>
          <xdr14:xfrm>
            <a:off x="12973680" y="1366560"/>
            <a:ext cx="360" cy="360"/>
          </xdr14:xfrm>
        </xdr:contentPart>
      </mc:Choice>
      <mc:Fallback xmlns="">
        <xdr:pic>
          <xdr:nvPicPr>
            <xdr:cNvPr id="391" name="Ink 390">
              <a:extLst>
                <a:ext uri="{FF2B5EF4-FFF2-40B4-BE49-F238E27FC236}">
                  <a16:creationId xmlns:a16="http://schemas.microsoft.com/office/drawing/2014/main" id="{38E05AA5-443E-2542-B23B-716D60DC2E3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2">
          <xdr14:nvContentPartPr>
            <xdr14:cNvPr id="392" name="Ink 391">
              <a:extLst>
                <a:ext uri="{FF2B5EF4-FFF2-40B4-BE49-F238E27FC236}">
                  <a16:creationId xmlns:a16="http://schemas.microsoft.com/office/drawing/2014/main" id="{7312AC77-81D8-F841-A66F-551A5B4F002D}"/>
                </a:ext>
              </a:extLst>
            </xdr14:cNvPr>
            <xdr14:cNvContentPartPr/>
          </xdr14:nvContentPartPr>
          <xdr14:nvPr macro=""/>
          <xdr14:xfrm>
            <a:off x="12846960" y="1192320"/>
            <a:ext cx="360" cy="360"/>
          </xdr14:xfrm>
        </xdr:contentPart>
      </mc:Choice>
      <mc:Fallback xmlns="">
        <xdr:pic>
          <xdr:nvPicPr>
            <xdr:cNvPr id="392" name="Ink 391">
              <a:extLst>
                <a:ext uri="{FF2B5EF4-FFF2-40B4-BE49-F238E27FC236}">
                  <a16:creationId xmlns:a16="http://schemas.microsoft.com/office/drawing/2014/main" id="{7312AC77-81D8-F841-A66F-551A5B4F002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3">
          <xdr14:nvContentPartPr>
            <xdr14:cNvPr id="393" name="Ink 392">
              <a:extLst>
                <a:ext uri="{FF2B5EF4-FFF2-40B4-BE49-F238E27FC236}">
                  <a16:creationId xmlns:a16="http://schemas.microsoft.com/office/drawing/2014/main" id="{89D6CC91-FBAB-AA4E-B1B6-48410AD50CD6}"/>
                </a:ext>
              </a:extLst>
            </xdr14:cNvPr>
            <xdr14:cNvContentPartPr/>
          </xdr14:nvContentPartPr>
          <xdr14:nvPr macro=""/>
          <xdr14:xfrm>
            <a:off x="12866040" y="1243440"/>
            <a:ext cx="360" cy="360"/>
          </xdr14:xfrm>
        </xdr:contentPart>
      </mc:Choice>
      <mc:Fallback xmlns="">
        <xdr:pic>
          <xdr:nvPicPr>
            <xdr:cNvPr id="393" name="Ink 392">
              <a:extLst>
                <a:ext uri="{FF2B5EF4-FFF2-40B4-BE49-F238E27FC236}">
                  <a16:creationId xmlns:a16="http://schemas.microsoft.com/office/drawing/2014/main" id="{89D6CC91-FBAB-AA4E-B1B6-48410AD50CD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4">
          <xdr14:nvContentPartPr>
            <xdr14:cNvPr id="394" name="Ink 393">
              <a:extLst>
                <a:ext uri="{FF2B5EF4-FFF2-40B4-BE49-F238E27FC236}">
                  <a16:creationId xmlns:a16="http://schemas.microsoft.com/office/drawing/2014/main" id="{A532FE48-0E8B-7647-BC9F-61C085DC7658}"/>
                </a:ext>
              </a:extLst>
            </xdr14:cNvPr>
            <xdr14:cNvContentPartPr/>
          </xdr14:nvContentPartPr>
          <xdr14:nvPr macro=""/>
          <xdr14:xfrm>
            <a:off x="12973680" y="1366560"/>
            <a:ext cx="360" cy="360"/>
          </xdr14:xfrm>
        </xdr:contentPart>
      </mc:Choice>
      <mc:Fallback xmlns="">
        <xdr:pic>
          <xdr:nvPicPr>
            <xdr:cNvPr id="394" name="Ink 393">
              <a:extLst>
                <a:ext uri="{FF2B5EF4-FFF2-40B4-BE49-F238E27FC236}">
                  <a16:creationId xmlns:a16="http://schemas.microsoft.com/office/drawing/2014/main" id="{A532FE48-0E8B-7647-BC9F-61C085DC765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5">
          <xdr14:nvContentPartPr>
            <xdr14:cNvPr id="395" name="Ink 394">
              <a:extLst>
                <a:ext uri="{FF2B5EF4-FFF2-40B4-BE49-F238E27FC236}">
                  <a16:creationId xmlns:a16="http://schemas.microsoft.com/office/drawing/2014/main" id="{5BA76826-90AF-E24C-B135-20836CA6E915}"/>
                </a:ext>
              </a:extLst>
            </xdr14:cNvPr>
            <xdr14:cNvContentPartPr/>
          </xdr14:nvContentPartPr>
          <xdr14:nvPr macro=""/>
          <xdr14:xfrm>
            <a:off x="12846960" y="1192320"/>
            <a:ext cx="360" cy="360"/>
          </xdr14:xfrm>
        </xdr:contentPart>
      </mc:Choice>
      <mc:Fallback xmlns="">
        <xdr:pic>
          <xdr:nvPicPr>
            <xdr:cNvPr id="395" name="Ink 394">
              <a:extLst>
                <a:ext uri="{FF2B5EF4-FFF2-40B4-BE49-F238E27FC236}">
                  <a16:creationId xmlns:a16="http://schemas.microsoft.com/office/drawing/2014/main" id="{5BA76826-90AF-E24C-B135-20836CA6E91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6">
          <xdr14:nvContentPartPr>
            <xdr14:cNvPr id="396" name="Ink 395">
              <a:extLst>
                <a:ext uri="{FF2B5EF4-FFF2-40B4-BE49-F238E27FC236}">
                  <a16:creationId xmlns:a16="http://schemas.microsoft.com/office/drawing/2014/main" id="{B5BDFCD8-34C3-384C-B9FA-F8FE6470DA8E}"/>
                </a:ext>
              </a:extLst>
            </xdr14:cNvPr>
            <xdr14:cNvContentPartPr/>
          </xdr14:nvContentPartPr>
          <xdr14:nvPr macro=""/>
          <xdr14:xfrm>
            <a:off x="12866040" y="1243440"/>
            <a:ext cx="360" cy="360"/>
          </xdr14:xfrm>
        </xdr:contentPart>
      </mc:Choice>
      <mc:Fallback xmlns="">
        <xdr:pic>
          <xdr:nvPicPr>
            <xdr:cNvPr id="396" name="Ink 395">
              <a:extLst>
                <a:ext uri="{FF2B5EF4-FFF2-40B4-BE49-F238E27FC236}">
                  <a16:creationId xmlns:a16="http://schemas.microsoft.com/office/drawing/2014/main" id="{B5BDFCD8-34C3-384C-B9FA-F8FE6470DA8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7">
          <xdr14:nvContentPartPr>
            <xdr14:cNvPr id="397" name="Ink 396">
              <a:extLst>
                <a:ext uri="{FF2B5EF4-FFF2-40B4-BE49-F238E27FC236}">
                  <a16:creationId xmlns:a16="http://schemas.microsoft.com/office/drawing/2014/main" id="{A4E9CFD4-F82F-6842-9EFB-48D96CFECE88}"/>
                </a:ext>
              </a:extLst>
            </xdr14:cNvPr>
            <xdr14:cNvContentPartPr/>
          </xdr14:nvContentPartPr>
          <xdr14:nvPr macro=""/>
          <xdr14:xfrm>
            <a:off x="12973680" y="1366560"/>
            <a:ext cx="360" cy="360"/>
          </xdr14:xfrm>
        </xdr:contentPart>
      </mc:Choice>
      <mc:Fallback xmlns="">
        <xdr:pic>
          <xdr:nvPicPr>
            <xdr:cNvPr id="397" name="Ink 396">
              <a:extLst>
                <a:ext uri="{FF2B5EF4-FFF2-40B4-BE49-F238E27FC236}">
                  <a16:creationId xmlns:a16="http://schemas.microsoft.com/office/drawing/2014/main" id="{A4E9CFD4-F82F-6842-9EFB-48D96CFECE8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8">
          <xdr14:nvContentPartPr>
            <xdr14:cNvPr id="398" name="Ink 397">
              <a:extLst>
                <a:ext uri="{FF2B5EF4-FFF2-40B4-BE49-F238E27FC236}">
                  <a16:creationId xmlns:a16="http://schemas.microsoft.com/office/drawing/2014/main" id="{54F9C9B5-284D-1D41-883F-AB1B453F708B}"/>
                </a:ext>
              </a:extLst>
            </xdr14:cNvPr>
            <xdr14:cNvContentPartPr/>
          </xdr14:nvContentPartPr>
          <xdr14:nvPr macro=""/>
          <xdr14:xfrm>
            <a:off x="12846960" y="1192320"/>
            <a:ext cx="360" cy="360"/>
          </xdr14:xfrm>
        </xdr:contentPart>
      </mc:Choice>
      <mc:Fallback xmlns="">
        <xdr:pic>
          <xdr:nvPicPr>
            <xdr:cNvPr id="398" name="Ink 397">
              <a:extLst>
                <a:ext uri="{FF2B5EF4-FFF2-40B4-BE49-F238E27FC236}">
                  <a16:creationId xmlns:a16="http://schemas.microsoft.com/office/drawing/2014/main" id="{54F9C9B5-284D-1D41-883F-AB1B453F708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9">
          <xdr14:nvContentPartPr>
            <xdr14:cNvPr id="399" name="Ink 398">
              <a:extLst>
                <a:ext uri="{FF2B5EF4-FFF2-40B4-BE49-F238E27FC236}">
                  <a16:creationId xmlns:a16="http://schemas.microsoft.com/office/drawing/2014/main" id="{C788702F-E4EA-044A-9339-918850F2E83E}"/>
                </a:ext>
              </a:extLst>
            </xdr14:cNvPr>
            <xdr14:cNvContentPartPr/>
          </xdr14:nvContentPartPr>
          <xdr14:nvPr macro=""/>
          <xdr14:xfrm>
            <a:off x="12866040" y="1243440"/>
            <a:ext cx="360" cy="360"/>
          </xdr14:xfrm>
        </xdr:contentPart>
      </mc:Choice>
      <mc:Fallback xmlns="">
        <xdr:pic>
          <xdr:nvPicPr>
            <xdr:cNvPr id="399" name="Ink 398">
              <a:extLst>
                <a:ext uri="{FF2B5EF4-FFF2-40B4-BE49-F238E27FC236}">
                  <a16:creationId xmlns:a16="http://schemas.microsoft.com/office/drawing/2014/main" id="{C788702F-E4EA-044A-9339-918850F2E83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0">
          <xdr14:nvContentPartPr>
            <xdr14:cNvPr id="400" name="Ink 399">
              <a:extLst>
                <a:ext uri="{FF2B5EF4-FFF2-40B4-BE49-F238E27FC236}">
                  <a16:creationId xmlns:a16="http://schemas.microsoft.com/office/drawing/2014/main" id="{BA651078-25DD-9545-B69B-64EE3EBD3FE5}"/>
                </a:ext>
              </a:extLst>
            </xdr14:cNvPr>
            <xdr14:cNvContentPartPr/>
          </xdr14:nvContentPartPr>
          <xdr14:nvPr macro=""/>
          <xdr14:xfrm>
            <a:off x="12973680" y="1366560"/>
            <a:ext cx="360" cy="360"/>
          </xdr14:xfrm>
        </xdr:contentPart>
      </mc:Choice>
      <mc:Fallback xmlns="">
        <xdr:pic>
          <xdr:nvPicPr>
            <xdr:cNvPr id="400" name="Ink 399">
              <a:extLst>
                <a:ext uri="{FF2B5EF4-FFF2-40B4-BE49-F238E27FC236}">
                  <a16:creationId xmlns:a16="http://schemas.microsoft.com/office/drawing/2014/main" id="{BA651078-25DD-9545-B69B-64EE3EBD3FE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1">
          <xdr14:nvContentPartPr>
            <xdr14:cNvPr id="401" name="Ink 400">
              <a:extLst>
                <a:ext uri="{FF2B5EF4-FFF2-40B4-BE49-F238E27FC236}">
                  <a16:creationId xmlns:a16="http://schemas.microsoft.com/office/drawing/2014/main" id="{0E947B6D-FBE3-FE47-BB65-33A521619FD8}"/>
                </a:ext>
              </a:extLst>
            </xdr14:cNvPr>
            <xdr14:cNvContentPartPr/>
          </xdr14:nvContentPartPr>
          <xdr14:nvPr macro=""/>
          <xdr14:xfrm>
            <a:off x="12846960" y="1192320"/>
            <a:ext cx="360" cy="360"/>
          </xdr14:xfrm>
        </xdr:contentPart>
      </mc:Choice>
      <mc:Fallback xmlns="">
        <xdr:pic>
          <xdr:nvPicPr>
            <xdr:cNvPr id="401" name="Ink 400">
              <a:extLst>
                <a:ext uri="{FF2B5EF4-FFF2-40B4-BE49-F238E27FC236}">
                  <a16:creationId xmlns:a16="http://schemas.microsoft.com/office/drawing/2014/main" id="{0E947B6D-FBE3-FE47-BB65-33A521619FD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2">
          <xdr14:nvContentPartPr>
            <xdr14:cNvPr id="402" name="Ink 401">
              <a:extLst>
                <a:ext uri="{FF2B5EF4-FFF2-40B4-BE49-F238E27FC236}">
                  <a16:creationId xmlns:a16="http://schemas.microsoft.com/office/drawing/2014/main" id="{AD08F53A-7E99-DF44-B8E0-B53122B9CA8C}"/>
                </a:ext>
              </a:extLst>
            </xdr14:cNvPr>
            <xdr14:cNvContentPartPr/>
          </xdr14:nvContentPartPr>
          <xdr14:nvPr macro=""/>
          <xdr14:xfrm>
            <a:off x="12866040" y="1243440"/>
            <a:ext cx="360" cy="360"/>
          </xdr14:xfrm>
        </xdr:contentPart>
      </mc:Choice>
      <mc:Fallback xmlns="">
        <xdr:pic>
          <xdr:nvPicPr>
            <xdr:cNvPr id="402" name="Ink 401">
              <a:extLst>
                <a:ext uri="{FF2B5EF4-FFF2-40B4-BE49-F238E27FC236}">
                  <a16:creationId xmlns:a16="http://schemas.microsoft.com/office/drawing/2014/main" id="{AD08F53A-7E99-DF44-B8E0-B53122B9CA8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3">
          <xdr14:nvContentPartPr>
            <xdr14:cNvPr id="403" name="Ink 402">
              <a:extLst>
                <a:ext uri="{FF2B5EF4-FFF2-40B4-BE49-F238E27FC236}">
                  <a16:creationId xmlns:a16="http://schemas.microsoft.com/office/drawing/2014/main" id="{1EB0AD23-387E-C449-B55F-9B1C1E180031}"/>
                </a:ext>
              </a:extLst>
            </xdr14:cNvPr>
            <xdr14:cNvContentPartPr/>
          </xdr14:nvContentPartPr>
          <xdr14:nvPr macro=""/>
          <xdr14:xfrm>
            <a:off x="12973680" y="1366560"/>
            <a:ext cx="360" cy="360"/>
          </xdr14:xfrm>
        </xdr:contentPart>
      </mc:Choice>
      <mc:Fallback xmlns="">
        <xdr:pic>
          <xdr:nvPicPr>
            <xdr:cNvPr id="403" name="Ink 402">
              <a:extLst>
                <a:ext uri="{FF2B5EF4-FFF2-40B4-BE49-F238E27FC236}">
                  <a16:creationId xmlns:a16="http://schemas.microsoft.com/office/drawing/2014/main" id="{1EB0AD23-387E-C449-B55F-9B1C1E18003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4">
          <xdr14:nvContentPartPr>
            <xdr14:cNvPr id="404" name="Ink 403">
              <a:extLst>
                <a:ext uri="{FF2B5EF4-FFF2-40B4-BE49-F238E27FC236}">
                  <a16:creationId xmlns:a16="http://schemas.microsoft.com/office/drawing/2014/main" id="{8A3163CF-8469-3A40-B640-002276188331}"/>
                </a:ext>
              </a:extLst>
            </xdr14:cNvPr>
            <xdr14:cNvContentPartPr/>
          </xdr14:nvContentPartPr>
          <xdr14:nvPr macro=""/>
          <xdr14:xfrm>
            <a:off x="12846960" y="1192320"/>
            <a:ext cx="360" cy="360"/>
          </xdr14:xfrm>
        </xdr:contentPart>
      </mc:Choice>
      <mc:Fallback xmlns="">
        <xdr:pic>
          <xdr:nvPicPr>
            <xdr:cNvPr id="404" name="Ink 403">
              <a:extLst>
                <a:ext uri="{FF2B5EF4-FFF2-40B4-BE49-F238E27FC236}">
                  <a16:creationId xmlns:a16="http://schemas.microsoft.com/office/drawing/2014/main" id="{8A3163CF-8469-3A40-B640-00227618833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5">
          <xdr14:nvContentPartPr>
            <xdr14:cNvPr id="405" name="Ink 404">
              <a:extLst>
                <a:ext uri="{FF2B5EF4-FFF2-40B4-BE49-F238E27FC236}">
                  <a16:creationId xmlns:a16="http://schemas.microsoft.com/office/drawing/2014/main" id="{7D5D7D94-E646-BE4A-83B7-95A5D65CE926}"/>
                </a:ext>
              </a:extLst>
            </xdr14:cNvPr>
            <xdr14:cNvContentPartPr/>
          </xdr14:nvContentPartPr>
          <xdr14:nvPr macro=""/>
          <xdr14:xfrm>
            <a:off x="12866040" y="1243440"/>
            <a:ext cx="360" cy="360"/>
          </xdr14:xfrm>
        </xdr:contentPart>
      </mc:Choice>
      <mc:Fallback xmlns="">
        <xdr:pic>
          <xdr:nvPicPr>
            <xdr:cNvPr id="405" name="Ink 404">
              <a:extLst>
                <a:ext uri="{FF2B5EF4-FFF2-40B4-BE49-F238E27FC236}">
                  <a16:creationId xmlns:a16="http://schemas.microsoft.com/office/drawing/2014/main" id="{7D5D7D94-E646-BE4A-83B7-95A5D65CE92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6">
          <xdr14:nvContentPartPr>
            <xdr14:cNvPr id="406" name="Ink 405">
              <a:extLst>
                <a:ext uri="{FF2B5EF4-FFF2-40B4-BE49-F238E27FC236}">
                  <a16:creationId xmlns:a16="http://schemas.microsoft.com/office/drawing/2014/main" id="{2B9205CF-104D-C34A-95D0-C87546A4896F}"/>
                </a:ext>
              </a:extLst>
            </xdr14:cNvPr>
            <xdr14:cNvContentPartPr/>
          </xdr14:nvContentPartPr>
          <xdr14:nvPr macro=""/>
          <xdr14:xfrm>
            <a:off x="12973680" y="1366560"/>
            <a:ext cx="360" cy="360"/>
          </xdr14:xfrm>
        </xdr:contentPart>
      </mc:Choice>
      <mc:Fallback xmlns="">
        <xdr:pic>
          <xdr:nvPicPr>
            <xdr:cNvPr id="406" name="Ink 405">
              <a:extLst>
                <a:ext uri="{FF2B5EF4-FFF2-40B4-BE49-F238E27FC236}">
                  <a16:creationId xmlns:a16="http://schemas.microsoft.com/office/drawing/2014/main" id="{2B9205CF-104D-C34A-95D0-C87546A4896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7">
          <xdr14:nvContentPartPr>
            <xdr14:cNvPr id="407" name="Ink 406">
              <a:extLst>
                <a:ext uri="{FF2B5EF4-FFF2-40B4-BE49-F238E27FC236}">
                  <a16:creationId xmlns:a16="http://schemas.microsoft.com/office/drawing/2014/main" id="{D09CE29B-155E-1D4B-A008-0DC13943B449}"/>
                </a:ext>
              </a:extLst>
            </xdr14:cNvPr>
            <xdr14:cNvContentPartPr/>
          </xdr14:nvContentPartPr>
          <xdr14:nvPr macro=""/>
          <xdr14:xfrm>
            <a:off x="12846960" y="1192320"/>
            <a:ext cx="360" cy="360"/>
          </xdr14:xfrm>
        </xdr:contentPart>
      </mc:Choice>
      <mc:Fallback xmlns="">
        <xdr:pic>
          <xdr:nvPicPr>
            <xdr:cNvPr id="407" name="Ink 406">
              <a:extLst>
                <a:ext uri="{FF2B5EF4-FFF2-40B4-BE49-F238E27FC236}">
                  <a16:creationId xmlns:a16="http://schemas.microsoft.com/office/drawing/2014/main" id="{D09CE29B-155E-1D4B-A008-0DC13943B44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8">
          <xdr14:nvContentPartPr>
            <xdr14:cNvPr id="408" name="Ink 407">
              <a:extLst>
                <a:ext uri="{FF2B5EF4-FFF2-40B4-BE49-F238E27FC236}">
                  <a16:creationId xmlns:a16="http://schemas.microsoft.com/office/drawing/2014/main" id="{394F4CEC-35F9-D24A-B0E0-6F4DC951153A}"/>
                </a:ext>
              </a:extLst>
            </xdr14:cNvPr>
            <xdr14:cNvContentPartPr/>
          </xdr14:nvContentPartPr>
          <xdr14:nvPr macro=""/>
          <xdr14:xfrm>
            <a:off x="12866040" y="1243440"/>
            <a:ext cx="360" cy="360"/>
          </xdr14:xfrm>
        </xdr:contentPart>
      </mc:Choice>
      <mc:Fallback xmlns="">
        <xdr:pic>
          <xdr:nvPicPr>
            <xdr:cNvPr id="408" name="Ink 407">
              <a:extLst>
                <a:ext uri="{FF2B5EF4-FFF2-40B4-BE49-F238E27FC236}">
                  <a16:creationId xmlns:a16="http://schemas.microsoft.com/office/drawing/2014/main" id="{394F4CEC-35F9-D24A-B0E0-6F4DC951153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9">
          <xdr14:nvContentPartPr>
            <xdr14:cNvPr id="409" name="Ink 408">
              <a:extLst>
                <a:ext uri="{FF2B5EF4-FFF2-40B4-BE49-F238E27FC236}">
                  <a16:creationId xmlns:a16="http://schemas.microsoft.com/office/drawing/2014/main" id="{B7E389E7-1617-4D45-A636-7F04BBD610C1}"/>
                </a:ext>
              </a:extLst>
            </xdr14:cNvPr>
            <xdr14:cNvContentPartPr/>
          </xdr14:nvContentPartPr>
          <xdr14:nvPr macro=""/>
          <xdr14:xfrm>
            <a:off x="12973680" y="1366560"/>
            <a:ext cx="360" cy="360"/>
          </xdr14:xfrm>
        </xdr:contentPart>
      </mc:Choice>
      <mc:Fallback xmlns="">
        <xdr:pic>
          <xdr:nvPicPr>
            <xdr:cNvPr id="409" name="Ink 408">
              <a:extLst>
                <a:ext uri="{FF2B5EF4-FFF2-40B4-BE49-F238E27FC236}">
                  <a16:creationId xmlns:a16="http://schemas.microsoft.com/office/drawing/2014/main" id="{B7E389E7-1617-4D45-A636-7F04BBD610C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0">
          <xdr14:nvContentPartPr>
            <xdr14:cNvPr id="410" name="Ink 409">
              <a:extLst>
                <a:ext uri="{FF2B5EF4-FFF2-40B4-BE49-F238E27FC236}">
                  <a16:creationId xmlns:a16="http://schemas.microsoft.com/office/drawing/2014/main" id="{830BE4DC-65F6-2846-85C7-B2A22F18D52B}"/>
                </a:ext>
              </a:extLst>
            </xdr14:cNvPr>
            <xdr14:cNvContentPartPr/>
          </xdr14:nvContentPartPr>
          <xdr14:nvPr macro=""/>
          <xdr14:xfrm>
            <a:off x="12846960" y="1192320"/>
            <a:ext cx="360" cy="360"/>
          </xdr14:xfrm>
        </xdr:contentPart>
      </mc:Choice>
      <mc:Fallback xmlns="">
        <xdr:pic>
          <xdr:nvPicPr>
            <xdr:cNvPr id="410" name="Ink 409">
              <a:extLst>
                <a:ext uri="{FF2B5EF4-FFF2-40B4-BE49-F238E27FC236}">
                  <a16:creationId xmlns:a16="http://schemas.microsoft.com/office/drawing/2014/main" id="{830BE4DC-65F6-2846-85C7-B2A22F18D52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1">
          <xdr14:nvContentPartPr>
            <xdr14:cNvPr id="411" name="Ink 410">
              <a:extLst>
                <a:ext uri="{FF2B5EF4-FFF2-40B4-BE49-F238E27FC236}">
                  <a16:creationId xmlns:a16="http://schemas.microsoft.com/office/drawing/2014/main" id="{F66517B8-7D16-BD42-8910-5C02558B9AEB}"/>
                </a:ext>
              </a:extLst>
            </xdr14:cNvPr>
            <xdr14:cNvContentPartPr/>
          </xdr14:nvContentPartPr>
          <xdr14:nvPr macro=""/>
          <xdr14:xfrm>
            <a:off x="12866040" y="1243440"/>
            <a:ext cx="360" cy="360"/>
          </xdr14:xfrm>
        </xdr:contentPart>
      </mc:Choice>
      <mc:Fallback xmlns="">
        <xdr:pic>
          <xdr:nvPicPr>
            <xdr:cNvPr id="411" name="Ink 410">
              <a:extLst>
                <a:ext uri="{FF2B5EF4-FFF2-40B4-BE49-F238E27FC236}">
                  <a16:creationId xmlns:a16="http://schemas.microsoft.com/office/drawing/2014/main" id="{F66517B8-7D16-BD42-8910-5C02558B9AE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2">
          <xdr14:nvContentPartPr>
            <xdr14:cNvPr id="412" name="Ink 411">
              <a:extLst>
                <a:ext uri="{FF2B5EF4-FFF2-40B4-BE49-F238E27FC236}">
                  <a16:creationId xmlns:a16="http://schemas.microsoft.com/office/drawing/2014/main" id="{1A8A9FB2-EA2A-2E40-924C-9B0EA51D4E49}"/>
                </a:ext>
              </a:extLst>
            </xdr14:cNvPr>
            <xdr14:cNvContentPartPr/>
          </xdr14:nvContentPartPr>
          <xdr14:nvPr macro=""/>
          <xdr14:xfrm>
            <a:off x="12973680" y="1366560"/>
            <a:ext cx="360" cy="360"/>
          </xdr14:xfrm>
        </xdr:contentPart>
      </mc:Choice>
      <mc:Fallback xmlns="">
        <xdr:pic>
          <xdr:nvPicPr>
            <xdr:cNvPr id="412" name="Ink 411">
              <a:extLst>
                <a:ext uri="{FF2B5EF4-FFF2-40B4-BE49-F238E27FC236}">
                  <a16:creationId xmlns:a16="http://schemas.microsoft.com/office/drawing/2014/main" id="{1A8A9FB2-EA2A-2E40-924C-9B0EA51D4E4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3">
          <xdr14:nvContentPartPr>
            <xdr14:cNvPr id="413" name="Ink 412">
              <a:extLst>
                <a:ext uri="{FF2B5EF4-FFF2-40B4-BE49-F238E27FC236}">
                  <a16:creationId xmlns:a16="http://schemas.microsoft.com/office/drawing/2014/main" id="{B67D7C96-0814-AF40-A214-20F9CBF9E528}"/>
                </a:ext>
              </a:extLst>
            </xdr14:cNvPr>
            <xdr14:cNvContentPartPr/>
          </xdr14:nvContentPartPr>
          <xdr14:nvPr macro=""/>
          <xdr14:xfrm>
            <a:off x="12846960" y="1192320"/>
            <a:ext cx="360" cy="360"/>
          </xdr14:xfrm>
        </xdr:contentPart>
      </mc:Choice>
      <mc:Fallback xmlns="">
        <xdr:pic>
          <xdr:nvPicPr>
            <xdr:cNvPr id="413" name="Ink 412">
              <a:extLst>
                <a:ext uri="{FF2B5EF4-FFF2-40B4-BE49-F238E27FC236}">
                  <a16:creationId xmlns:a16="http://schemas.microsoft.com/office/drawing/2014/main" id="{B67D7C96-0814-AF40-A214-20F9CBF9E52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4">
          <xdr14:nvContentPartPr>
            <xdr14:cNvPr id="414" name="Ink 413">
              <a:extLst>
                <a:ext uri="{FF2B5EF4-FFF2-40B4-BE49-F238E27FC236}">
                  <a16:creationId xmlns:a16="http://schemas.microsoft.com/office/drawing/2014/main" id="{222DC801-4468-7A49-9707-8666CC9E5598}"/>
                </a:ext>
              </a:extLst>
            </xdr14:cNvPr>
            <xdr14:cNvContentPartPr/>
          </xdr14:nvContentPartPr>
          <xdr14:nvPr macro=""/>
          <xdr14:xfrm>
            <a:off x="12866040" y="1243440"/>
            <a:ext cx="360" cy="360"/>
          </xdr14:xfrm>
        </xdr:contentPart>
      </mc:Choice>
      <mc:Fallback xmlns="">
        <xdr:pic>
          <xdr:nvPicPr>
            <xdr:cNvPr id="414" name="Ink 413">
              <a:extLst>
                <a:ext uri="{FF2B5EF4-FFF2-40B4-BE49-F238E27FC236}">
                  <a16:creationId xmlns:a16="http://schemas.microsoft.com/office/drawing/2014/main" id="{222DC801-4468-7A49-9707-8666CC9E559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5">
          <xdr14:nvContentPartPr>
            <xdr14:cNvPr id="415" name="Ink 414">
              <a:extLst>
                <a:ext uri="{FF2B5EF4-FFF2-40B4-BE49-F238E27FC236}">
                  <a16:creationId xmlns:a16="http://schemas.microsoft.com/office/drawing/2014/main" id="{2F932FDC-80AE-BC48-8C18-769D098965A3}"/>
                </a:ext>
              </a:extLst>
            </xdr14:cNvPr>
            <xdr14:cNvContentPartPr/>
          </xdr14:nvContentPartPr>
          <xdr14:nvPr macro=""/>
          <xdr14:xfrm>
            <a:off x="12973680" y="1366560"/>
            <a:ext cx="360" cy="360"/>
          </xdr14:xfrm>
        </xdr:contentPart>
      </mc:Choice>
      <mc:Fallback xmlns="">
        <xdr:pic>
          <xdr:nvPicPr>
            <xdr:cNvPr id="415" name="Ink 414">
              <a:extLst>
                <a:ext uri="{FF2B5EF4-FFF2-40B4-BE49-F238E27FC236}">
                  <a16:creationId xmlns:a16="http://schemas.microsoft.com/office/drawing/2014/main" id="{2F932FDC-80AE-BC48-8C18-769D098965A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6">
          <xdr14:nvContentPartPr>
            <xdr14:cNvPr id="416" name="Ink 415">
              <a:extLst>
                <a:ext uri="{FF2B5EF4-FFF2-40B4-BE49-F238E27FC236}">
                  <a16:creationId xmlns:a16="http://schemas.microsoft.com/office/drawing/2014/main" id="{F8E190E4-A533-4B45-BC9C-937581614451}"/>
                </a:ext>
              </a:extLst>
            </xdr14:cNvPr>
            <xdr14:cNvContentPartPr/>
          </xdr14:nvContentPartPr>
          <xdr14:nvPr macro=""/>
          <xdr14:xfrm>
            <a:off x="12846960" y="1192320"/>
            <a:ext cx="360" cy="360"/>
          </xdr14:xfrm>
        </xdr:contentPart>
      </mc:Choice>
      <mc:Fallback xmlns="">
        <xdr:pic>
          <xdr:nvPicPr>
            <xdr:cNvPr id="416" name="Ink 415">
              <a:extLst>
                <a:ext uri="{FF2B5EF4-FFF2-40B4-BE49-F238E27FC236}">
                  <a16:creationId xmlns:a16="http://schemas.microsoft.com/office/drawing/2014/main" id="{F8E190E4-A533-4B45-BC9C-93758161445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7">
          <xdr14:nvContentPartPr>
            <xdr14:cNvPr id="417" name="Ink 416">
              <a:extLst>
                <a:ext uri="{FF2B5EF4-FFF2-40B4-BE49-F238E27FC236}">
                  <a16:creationId xmlns:a16="http://schemas.microsoft.com/office/drawing/2014/main" id="{BBDE397F-9C07-3B40-A16C-8B8E5D48BD67}"/>
                </a:ext>
              </a:extLst>
            </xdr14:cNvPr>
            <xdr14:cNvContentPartPr/>
          </xdr14:nvContentPartPr>
          <xdr14:nvPr macro=""/>
          <xdr14:xfrm>
            <a:off x="12866040" y="1243440"/>
            <a:ext cx="360" cy="360"/>
          </xdr14:xfrm>
        </xdr:contentPart>
      </mc:Choice>
      <mc:Fallback xmlns="">
        <xdr:pic>
          <xdr:nvPicPr>
            <xdr:cNvPr id="417" name="Ink 416">
              <a:extLst>
                <a:ext uri="{FF2B5EF4-FFF2-40B4-BE49-F238E27FC236}">
                  <a16:creationId xmlns:a16="http://schemas.microsoft.com/office/drawing/2014/main" id="{BBDE397F-9C07-3B40-A16C-8B8E5D48BD6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8">
          <xdr14:nvContentPartPr>
            <xdr14:cNvPr id="418" name="Ink 417">
              <a:extLst>
                <a:ext uri="{FF2B5EF4-FFF2-40B4-BE49-F238E27FC236}">
                  <a16:creationId xmlns:a16="http://schemas.microsoft.com/office/drawing/2014/main" id="{054E23FD-D9BA-A94B-985F-EA974AE12D1D}"/>
                </a:ext>
              </a:extLst>
            </xdr14:cNvPr>
            <xdr14:cNvContentPartPr/>
          </xdr14:nvContentPartPr>
          <xdr14:nvPr macro=""/>
          <xdr14:xfrm>
            <a:off x="12973680" y="1366560"/>
            <a:ext cx="360" cy="360"/>
          </xdr14:xfrm>
        </xdr:contentPart>
      </mc:Choice>
      <mc:Fallback xmlns="">
        <xdr:pic>
          <xdr:nvPicPr>
            <xdr:cNvPr id="418" name="Ink 417">
              <a:extLst>
                <a:ext uri="{FF2B5EF4-FFF2-40B4-BE49-F238E27FC236}">
                  <a16:creationId xmlns:a16="http://schemas.microsoft.com/office/drawing/2014/main" id="{054E23FD-D9BA-A94B-985F-EA974AE12D1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9">
          <xdr14:nvContentPartPr>
            <xdr14:cNvPr id="419" name="Ink 418">
              <a:extLst>
                <a:ext uri="{FF2B5EF4-FFF2-40B4-BE49-F238E27FC236}">
                  <a16:creationId xmlns:a16="http://schemas.microsoft.com/office/drawing/2014/main" id="{B657B3DC-5A57-6645-AFAB-AB0298A5C0BC}"/>
                </a:ext>
              </a:extLst>
            </xdr14:cNvPr>
            <xdr14:cNvContentPartPr/>
          </xdr14:nvContentPartPr>
          <xdr14:nvPr macro=""/>
          <xdr14:xfrm>
            <a:off x="12846960" y="1192320"/>
            <a:ext cx="360" cy="360"/>
          </xdr14:xfrm>
        </xdr:contentPart>
      </mc:Choice>
      <mc:Fallback xmlns="">
        <xdr:pic>
          <xdr:nvPicPr>
            <xdr:cNvPr id="419" name="Ink 418">
              <a:extLst>
                <a:ext uri="{FF2B5EF4-FFF2-40B4-BE49-F238E27FC236}">
                  <a16:creationId xmlns:a16="http://schemas.microsoft.com/office/drawing/2014/main" id="{B657B3DC-5A57-6645-AFAB-AB0298A5C0B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0">
          <xdr14:nvContentPartPr>
            <xdr14:cNvPr id="420" name="Ink 419">
              <a:extLst>
                <a:ext uri="{FF2B5EF4-FFF2-40B4-BE49-F238E27FC236}">
                  <a16:creationId xmlns:a16="http://schemas.microsoft.com/office/drawing/2014/main" id="{FE19331F-19C7-8E48-8DA0-13594C7FB596}"/>
                </a:ext>
              </a:extLst>
            </xdr14:cNvPr>
            <xdr14:cNvContentPartPr/>
          </xdr14:nvContentPartPr>
          <xdr14:nvPr macro=""/>
          <xdr14:xfrm>
            <a:off x="12866040" y="1243440"/>
            <a:ext cx="360" cy="360"/>
          </xdr14:xfrm>
        </xdr:contentPart>
      </mc:Choice>
      <mc:Fallback xmlns="">
        <xdr:pic>
          <xdr:nvPicPr>
            <xdr:cNvPr id="420" name="Ink 419">
              <a:extLst>
                <a:ext uri="{FF2B5EF4-FFF2-40B4-BE49-F238E27FC236}">
                  <a16:creationId xmlns:a16="http://schemas.microsoft.com/office/drawing/2014/main" id="{FE19331F-19C7-8E48-8DA0-13594C7FB59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1">
          <xdr14:nvContentPartPr>
            <xdr14:cNvPr id="421" name="Ink 420">
              <a:extLst>
                <a:ext uri="{FF2B5EF4-FFF2-40B4-BE49-F238E27FC236}">
                  <a16:creationId xmlns:a16="http://schemas.microsoft.com/office/drawing/2014/main" id="{7AE7D6AF-ACC7-B249-AE51-C364DEFD58BA}"/>
                </a:ext>
              </a:extLst>
            </xdr14:cNvPr>
            <xdr14:cNvContentPartPr/>
          </xdr14:nvContentPartPr>
          <xdr14:nvPr macro=""/>
          <xdr14:xfrm>
            <a:off x="12973680" y="1366560"/>
            <a:ext cx="360" cy="360"/>
          </xdr14:xfrm>
        </xdr:contentPart>
      </mc:Choice>
      <mc:Fallback xmlns="">
        <xdr:pic>
          <xdr:nvPicPr>
            <xdr:cNvPr id="421" name="Ink 420">
              <a:extLst>
                <a:ext uri="{FF2B5EF4-FFF2-40B4-BE49-F238E27FC236}">
                  <a16:creationId xmlns:a16="http://schemas.microsoft.com/office/drawing/2014/main" id="{7AE7D6AF-ACC7-B249-AE51-C364DEFD58B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2">
          <xdr14:nvContentPartPr>
            <xdr14:cNvPr id="422" name="Ink 421">
              <a:extLst>
                <a:ext uri="{FF2B5EF4-FFF2-40B4-BE49-F238E27FC236}">
                  <a16:creationId xmlns:a16="http://schemas.microsoft.com/office/drawing/2014/main" id="{5AF8190C-511F-604F-824F-CCFEFFAA6552}"/>
                </a:ext>
              </a:extLst>
            </xdr14:cNvPr>
            <xdr14:cNvContentPartPr/>
          </xdr14:nvContentPartPr>
          <xdr14:nvPr macro=""/>
          <xdr14:xfrm>
            <a:off x="12846960" y="1192320"/>
            <a:ext cx="360" cy="360"/>
          </xdr14:xfrm>
        </xdr:contentPart>
      </mc:Choice>
      <mc:Fallback xmlns="">
        <xdr:pic>
          <xdr:nvPicPr>
            <xdr:cNvPr id="422" name="Ink 421">
              <a:extLst>
                <a:ext uri="{FF2B5EF4-FFF2-40B4-BE49-F238E27FC236}">
                  <a16:creationId xmlns:a16="http://schemas.microsoft.com/office/drawing/2014/main" id="{5AF8190C-511F-604F-824F-CCFEFFAA655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3">
          <xdr14:nvContentPartPr>
            <xdr14:cNvPr id="423" name="Ink 422">
              <a:extLst>
                <a:ext uri="{FF2B5EF4-FFF2-40B4-BE49-F238E27FC236}">
                  <a16:creationId xmlns:a16="http://schemas.microsoft.com/office/drawing/2014/main" id="{830F00C1-9DB1-7843-B7BA-354AE2FEC6E6}"/>
                </a:ext>
              </a:extLst>
            </xdr14:cNvPr>
            <xdr14:cNvContentPartPr/>
          </xdr14:nvContentPartPr>
          <xdr14:nvPr macro=""/>
          <xdr14:xfrm>
            <a:off x="12866040" y="1243440"/>
            <a:ext cx="360" cy="360"/>
          </xdr14:xfrm>
        </xdr:contentPart>
      </mc:Choice>
      <mc:Fallback xmlns="">
        <xdr:pic>
          <xdr:nvPicPr>
            <xdr:cNvPr id="423" name="Ink 422">
              <a:extLst>
                <a:ext uri="{FF2B5EF4-FFF2-40B4-BE49-F238E27FC236}">
                  <a16:creationId xmlns:a16="http://schemas.microsoft.com/office/drawing/2014/main" id="{830F00C1-9DB1-7843-B7BA-354AE2FEC6E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4">
          <xdr14:nvContentPartPr>
            <xdr14:cNvPr id="424" name="Ink 423">
              <a:extLst>
                <a:ext uri="{FF2B5EF4-FFF2-40B4-BE49-F238E27FC236}">
                  <a16:creationId xmlns:a16="http://schemas.microsoft.com/office/drawing/2014/main" id="{56695223-BBA9-A942-9F4F-7B829095B63C}"/>
                </a:ext>
              </a:extLst>
            </xdr14:cNvPr>
            <xdr14:cNvContentPartPr/>
          </xdr14:nvContentPartPr>
          <xdr14:nvPr macro=""/>
          <xdr14:xfrm>
            <a:off x="12973680" y="1366560"/>
            <a:ext cx="360" cy="360"/>
          </xdr14:xfrm>
        </xdr:contentPart>
      </mc:Choice>
      <mc:Fallback xmlns="">
        <xdr:pic>
          <xdr:nvPicPr>
            <xdr:cNvPr id="424" name="Ink 423">
              <a:extLst>
                <a:ext uri="{FF2B5EF4-FFF2-40B4-BE49-F238E27FC236}">
                  <a16:creationId xmlns:a16="http://schemas.microsoft.com/office/drawing/2014/main" id="{56695223-BBA9-A942-9F4F-7B829095B63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5">
          <xdr14:nvContentPartPr>
            <xdr14:cNvPr id="425" name="Ink 424">
              <a:extLst>
                <a:ext uri="{FF2B5EF4-FFF2-40B4-BE49-F238E27FC236}">
                  <a16:creationId xmlns:a16="http://schemas.microsoft.com/office/drawing/2014/main" id="{5DE05D74-6017-7444-B18D-C3713AFA9C6B}"/>
                </a:ext>
              </a:extLst>
            </xdr14:cNvPr>
            <xdr14:cNvContentPartPr/>
          </xdr14:nvContentPartPr>
          <xdr14:nvPr macro=""/>
          <xdr14:xfrm>
            <a:off x="12846960" y="1192320"/>
            <a:ext cx="360" cy="360"/>
          </xdr14:xfrm>
        </xdr:contentPart>
      </mc:Choice>
      <mc:Fallback xmlns="">
        <xdr:pic>
          <xdr:nvPicPr>
            <xdr:cNvPr id="425" name="Ink 424">
              <a:extLst>
                <a:ext uri="{FF2B5EF4-FFF2-40B4-BE49-F238E27FC236}">
                  <a16:creationId xmlns:a16="http://schemas.microsoft.com/office/drawing/2014/main" id="{5DE05D74-6017-7444-B18D-C3713AFA9C6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6">
          <xdr14:nvContentPartPr>
            <xdr14:cNvPr id="426" name="Ink 425">
              <a:extLst>
                <a:ext uri="{FF2B5EF4-FFF2-40B4-BE49-F238E27FC236}">
                  <a16:creationId xmlns:a16="http://schemas.microsoft.com/office/drawing/2014/main" id="{12628B1E-F439-144D-9B8C-D04A40A0A148}"/>
                </a:ext>
              </a:extLst>
            </xdr14:cNvPr>
            <xdr14:cNvContentPartPr/>
          </xdr14:nvContentPartPr>
          <xdr14:nvPr macro=""/>
          <xdr14:xfrm>
            <a:off x="12866040" y="1243440"/>
            <a:ext cx="360" cy="360"/>
          </xdr14:xfrm>
        </xdr:contentPart>
      </mc:Choice>
      <mc:Fallback xmlns="">
        <xdr:pic>
          <xdr:nvPicPr>
            <xdr:cNvPr id="426" name="Ink 425">
              <a:extLst>
                <a:ext uri="{FF2B5EF4-FFF2-40B4-BE49-F238E27FC236}">
                  <a16:creationId xmlns:a16="http://schemas.microsoft.com/office/drawing/2014/main" id="{12628B1E-F439-144D-9B8C-D04A40A0A14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7">
          <xdr14:nvContentPartPr>
            <xdr14:cNvPr id="427" name="Ink 426">
              <a:extLst>
                <a:ext uri="{FF2B5EF4-FFF2-40B4-BE49-F238E27FC236}">
                  <a16:creationId xmlns:a16="http://schemas.microsoft.com/office/drawing/2014/main" id="{88881FC3-4200-AD4F-AC48-9396BDCC520E}"/>
                </a:ext>
              </a:extLst>
            </xdr14:cNvPr>
            <xdr14:cNvContentPartPr/>
          </xdr14:nvContentPartPr>
          <xdr14:nvPr macro=""/>
          <xdr14:xfrm>
            <a:off x="12973680" y="1366560"/>
            <a:ext cx="360" cy="360"/>
          </xdr14:xfrm>
        </xdr:contentPart>
      </mc:Choice>
      <mc:Fallback xmlns="">
        <xdr:pic>
          <xdr:nvPicPr>
            <xdr:cNvPr id="427" name="Ink 426">
              <a:extLst>
                <a:ext uri="{FF2B5EF4-FFF2-40B4-BE49-F238E27FC236}">
                  <a16:creationId xmlns:a16="http://schemas.microsoft.com/office/drawing/2014/main" id="{88881FC3-4200-AD4F-AC48-9396BDCC520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8">
          <xdr14:nvContentPartPr>
            <xdr14:cNvPr id="428" name="Ink 427">
              <a:extLst>
                <a:ext uri="{FF2B5EF4-FFF2-40B4-BE49-F238E27FC236}">
                  <a16:creationId xmlns:a16="http://schemas.microsoft.com/office/drawing/2014/main" id="{ABA9C8B7-320D-C047-83E1-3464FABB6594}"/>
                </a:ext>
              </a:extLst>
            </xdr14:cNvPr>
            <xdr14:cNvContentPartPr/>
          </xdr14:nvContentPartPr>
          <xdr14:nvPr macro=""/>
          <xdr14:xfrm>
            <a:off x="12846960" y="1192320"/>
            <a:ext cx="360" cy="360"/>
          </xdr14:xfrm>
        </xdr:contentPart>
      </mc:Choice>
      <mc:Fallback xmlns="">
        <xdr:pic>
          <xdr:nvPicPr>
            <xdr:cNvPr id="428" name="Ink 427">
              <a:extLst>
                <a:ext uri="{FF2B5EF4-FFF2-40B4-BE49-F238E27FC236}">
                  <a16:creationId xmlns:a16="http://schemas.microsoft.com/office/drawing/2014/main" id="{ABA9C8B7-320D-C047-83E1-3464FABB659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9">
          <xdr14:nvContentPartPr>
            <xdr14:cNvPr id="429" name="Ink 428">
              <a:extLst>
                <a:ext uri="{FF2B5EF4-FFF2-40B4-BE49-F238E27FC236}">
                  <a16:creationId xmlns:a16="http://schemas.microsoft.com/office/drawing/2014/main" id="{78E49FBA-ABAB-3148-A0F6-9EC91F3744D0}"/>
                </a:ext>
              </a:extLst>
            </xdr14:cNvPr>
            <xdr14:cNvContentPartPr/>
          </xdr14:nvContentPartPr>
          <xdr14:nvPr macro=""/>
          <xdr14:xfrm>
            <a:off x="12866040" y="1243440"/>
            <a:ext cx="360" cy="360"/>
          </xdr14:xfrm>
        </xdr:contentPart>
      </mc:Choice>
      <mc:Fallback xmlns="">
        <xdr:pic>
          <xdr:nvPicPr>
            <xdr:cNvPr id="429" name="Ink 428">
              <a:extLst>
                <a:ext uri="{FF2B5EF4-FFF2-40B4-BE49-F238E27FC236}">
                  <a16:creationId xmlns:a16="http://schemas.microsoft.com/office/drawing/2014/main" id="{78E49FBA-ABAB-3148-A0F6-9EC91F3744D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0">
          <xdr14:nvContentPartPr>
            <xdr14:cNvPr id="430" name="Ink 429">
              <a:extLst>
                <a:ext uri="{FF2B5EF4-FFF2-40B4-BE49-F238E27FC236}">
                  <a16:creationId xmlns:a16="http://schemas.microsoft.com/office/drawing/2014/main" id="{DCDFC39E-C654-1A4B-9B42-2178E0C53600}"/>
                </a:ext>
              </a:extLst>
            </xdr14:cNvPr>
            <xdr14:cNvContentPartPr/>
          </xdr14:nvContentPartPr>
          <xdr14:nvPr macro=""/>
          <xdr14:xfrm>
            <a:off x="12973680" y="1366560"/>
            <a:ext cx="360" cy="360"/>
          </xdr14:xfrm>
        </xdr:contentPart>
      </mc:Choice>
      <mc:Fallback xmlns="">
        <xdr:pic>
          <xdr:nvPicPr>
            <xdr:cNvPr id="430" name="Ink 429">
              <a:extLst>
                <a:ext uri="{FF2B5EF4-FFF2-40B4-BE49-F238E27FC236}">
                  <a16:creationId xmlns:a16="http://schemas.microsoft.com/office/drawing/2014/main" id="{DCDFC39E-C654-1A4B-9B42-2178E0C5360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1">
          <xdr14:nvContentPartPr>
            <xdr14:cNvPr id="431" name="Ink 430">
              <a:extLst>
                <a:ext uri="{FF2B5EF4-FFF2-40B4-BE49-F238E27FC236}">
                  <a16:creationId xmlns:a16="http://schemas.microsoft.com/office/drawing/2014/main" id="{A10931E4-86B6-D44C-9DAB-B6960FFC1B7E}"/>
                </a:ext>
              </a:extLst>
            </xdr14:cNvPr>
            <xdr14:cNvContentPartPr/>
          </xdr14:nvContentPartPr>
          <xdr14:nvPr macro=""/>
          <xdr14:xfrm>
            <a:off x="12846960" y="1192320"/>
            <a:ext cx="360" cy="360"/>
          </xdr14:xfrm>
        </xdr:contentPart>
      </mc:Choice>
      <mc:Fallback xmlns="">
        <xdr:pic>
          <xdr:nvPicPr>
            <xdr:cNvPr id="431" name="Ink 430">
              <a:extLst>
                <a:ext uri="{FF2B5EF4-FFF2-40B4-BE49-F238E27FC236}">
                  <a16:creationId xmlns:a16="http://schemas.microsoft.com/office/drawing/2014/main" id="{A10931E4-86B6-D44C-9DAB-B6960FFC1B7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2">
          <xdr14:nvContentPartPr>
            <xdr14:cNvPr id="432" name="Ink 431">
              <a:extLst>
                <a:ext uri="{FF2B5EF4-FFF2-40B4-BE49-F238E27FC236}">
                  <a16:creationId xmlns:a16="http://schemas.microsoft.com/office/drawing/2014/main" id="{9201C31A-F8E4-A44E-B07D-568ECD77346B}"/>
                </a:ext>
              </a:extLst>
            </xdr14:cNvPr>
            <xdr14:cNvContentPartPr/>
          </xdr14:nvContentPartPr>
          <xdr14:nvPr macro=""/>
          <xdr14:xfrm>
            <a:off x="12866040" y="1243440"/>
            <a:ext cx="360" cy="360"/>
          </xdr14:xfrm>
        </xdr:contentPart>
      </mc:Choice>
      <mc:Fallback xmlns="">
        <xdr:pic>
          <xdr:nvPicPr>
            <xdr:cNvPr id="432" name="Ink 431">
              <a:extLst>
                <a:ext uri="{FF2B5EF4-FFF2-40B4-BE49-F238E27FC236}">
                  <a16:creationId xmlns:a16="http://schemas.microsoft.com/office/drawing/2014/main" id="{9201C31A-F8E4-A44E-B07D-568ECD77346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3">
          <xdr14:nvContentPartPr>
            <xdr14:cNvPr id="433" name="Ink 432">
              <a:extLst>
                <a:ext uri="{FF2B5EF4-FFF2-40B4-BE49-F238E27FC236}">
                  <a16:creationId xmlns:a16="http://schemas.microsoft.com/office/drawing/2014/main" id="{27F830EE-A0ED-8040-8DB4-4EFD7602DCA3}"/>
                </a:ext>
              </a:extLst>
            </xdr14:cNvPr>
            <xdr14:cNvContentPartPr/>
          </xdr14:nvContentPartPr>
          <xdr14:nvPr macro=""/>
          <xdr14:xfrm>
            <a:off x="12973680" y="1366560"/>
            <a:ext cx="360" cy="360"/>
          </xdr14:xfrm>
        </xdr:contentPart>
      </mc:Choice>
      <mc:Fallback xmlns="">
        <xdr:pic>
          <xdr:nvPicPr>
            <xdr:cNvPr id="433" name="Ink 432">
              <a:extLst>
                <a:ext uri="{FF2B5EF4-FFF2-40B4-BE49-F238E27FC236}">
                  <a16:creationId xmlns:a16="http://schemas.microsoft.com/office/drawing/2014/main" id="{27F830EE-A0ED-8040-8DB4-4EFD7602DCA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4">
          <xdr14:nvContentPartPr>
            <xdr14:cNvPr id="434" name="Ink 433">
              <a:extLst>
                <a:ext uri="{FF2B5EF4-FFF2-40B4-BE49-F238E27FC236}">
                  <a16:creationId xmlns:a16="http://schemas.microsoft.com/office/drawing/2014/main" id="{33CD45F0-CA0A-3744-91F0-B4ED8E30F7A9}"/>
                </a:ext>
              </a:extLst>
            </xdr14:cNvPr>
            <xdr14:cNvContentPartPr/>
          </xdr14:nvContentPartPr>
          <xdr14:nvPr macro=""/>
          <xdr14:xfrm>
            <a:off x="12846960" y="1192320"/>
            <a:ext cx="360" cy="360"/>
          </xdr14:xfrm>
        </xdr:contentPart>
      </mc:Choice>
      <mc:Fallback xmlns="">
        <xdr:pic>
          <xdr:nvPicPr>
            <xdr:cNvPr id="434" name="Ink 433">
              <a:extLst>
                <a:ext uri="{FF2B5EF4-FFF2-40B4-BE49-F238E27FC236}">
                  <a16:creationId xmlns:a16="http://schemas.microsoft.com/office/drawing/2014/main" id="{33CD45F0-CA0A-3744-91F0-B4ED8E30F7A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5">
          <xdr14:nvContentPartPr>
            <xdr14:cNvPr id="435" name="Ink 434">
              <a:extLst>
                <a:ext uri="{FF2B5EF4-FFF2-40B4-BE49-F238E27FC236}">
                  <a16:creationId xmlns:a16="http://schemas.microsoft.com/office/drawing/2014/main" id="{663100F3-4188-924B-88B4-1CE78464F9CF}"/>
                </a:ext>
              </a:extLst>
            </xdr14:cNvPr>
            <xdr14:cNvContentPartPr/>
          </xdr14:nvContentPartPr>
          <xdr14:nvPr macro=""/>
          <xdr14:xfrm>
            <a:off x="12866040" y="1243440"/>
            <a:ext cx="360" cy="360"/>
          </xdr14:xfrm>
        </xdr:contentPart>
      </mc:Choice>
      <mc:Fallback xmlns="">
        <xdr:pic>
          <xdr:nvPicPr>
            <xdr:cNvPr id="435" name="Ink 434">
              <a:extLst>
                <a:ext uri="{FF2B5EF4-FFF2-40B4-BE49-F238E27FC236}">
                  <a16:creationId xmlns:a16="http://schemas.microsoft.com/office/drawing/2014/main" id="{663100F3-4188-924B-88B4-1CE78464F9C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6">
          <xdr14:nvContentPartPr>
            <xdr14:cNvPr id="436" name="Ink 435">
              <a:extLst>
                <a:ext uri="{FF2B5EF4-FFF2-40B4-BE49-F238E27FC236}">
                  <a16:creationId xmlns:a16="http://schemas.microsoft.com/office/drawing/2014/main" id="{299FDA0D-89C5-0C43-9FE9-EC2052521E7F}"/>
                </a:ext>
              </a:extLst>
            </xdr14:cNvPr>
            <xdr14:cNvContentPartPr/>
          </xdr14:nvContentPartPr>
          <xdr14:nvPr macro=""/>
          <xdr14:xfrm>
            <a:off x="12973680" y="1366560"/>
            <a:ext cx="360" cy="360"/>
          </xdr14:xfrm>
        </xdr:contentPart>
      </mc:Choice>
      <mc:Fallback xmlns="">
        <xdr:pic>
          <xdr:nvPicPr>
            <xdr:cNvPr id="436" name="Ink 435">
              <a:extLst>
                <a:ext uri="{FF2B5EF4-FFF2-40B4-BE49-F238E27FC236}">
                  <a16:creationId xmlns:a16="http://schemas.microsoft.com/office/drawing/2014/main" id="{299FDA0D-89C5-0C43-9FE9-EC2052521E7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7">
          <xdr14:nvContentPartPr>
            <xdr14:cNvPr id="437" name="Ink 436">
              <a:extLst>
                <a:ext uri="{FF2B5EF4-FFF2-40B4-BE49-F238E27FC236}">
                  <a16:creationId xmlns:a16="http://schemas.microsoft.com/office/drawing/2014/main" id="{9BB833EC-844E-3C4D-9C99-07B96A3F8643}"/>
                </a:ext>
              </a:extLst>
            </xdr14:cNvPr>
            <xdr14:cNvContentPartPr/>
          </xdr14:nvContentPartPr>
          <xdr14:nvPr macro=""/>
          <xdr14:xfrm>
            <a:off x="12846960" y="1192320"/>
            <a:ext cx="360" cy="360"/>
          </xdr14:xfrm>
        </xdr:contentPart>
      </mc:Choice>
      <mc:Fallback xmlns="">
        <xdr:pic>
          <xdr:nvPicPr>
            <xdr:cNvPr id="437" name="Ink 436">
              <a:extLst>
                <a:ext uri="{FF2B5EF4-FFF2-40B4-BE49-F238E27FC236}">
                  <a16:creationId xmlns:a16="http://schemas.microsoft.com/office/drawing/2014/main" id="{9BB833EC-844E-3C4D-9C99-07B96A3F864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8">
          <xdr14:nvContentPartPr>
            <xdr14:cNvPr id="438" name="Ink 437">
              <a:extLst>
                <a:ext uri="{FF2B5EF4-FFF2-40B4-BE49-F238E27FC236}">
                  <a16:creationId xmlns:a16="http://schemas.microsoft.com/office/drawing/2014/main" id="{56FE48A7-25A0-0243-92CF-94E308411D09}"/>
                </a:ext>
              </a:extLst>
            </xdr14:cNvPr>
            <xdr14:cNvContentPartPr/>
          </xdr14:nvContentPartPr>
          <xdr14:nvPr macro=""/>
          <xdr14:xfrm>
            <a:off x="12866040" y="1243440"/>
            <a:ext cx="360" cy="360"/>
          </xdr14:xfrm>
        </xdr:contentPart>
      </mc:Choice>
      <mc:Fallback xmlns="">
        <xdr:pic>
          <xdr:nvPicPr>
            <xdr:cNvPr id="438" name="Ink 437">
              <a:extLst>
                <a:ext uri="{FF2B5EF4-FFF2-40B4-BE49-F238E27FC236}">
                  <a16:creationId xmlns:a16="http://schemas.microsoft.com/office/drawing/2014/main" id="{56FE48A7-25A0-0243-92CF-94E308411D0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9">
          <xdr14:nvContentPartPr>
            <xdr14:cNvPr id="439" name="Ink 438">
              <a:extLst>
                <a:ext uri="{FF2B5EF4-FFF2-40B4-BE49-F238E27FC236}">
                  <a16:creationId xmlns:a16="http://schemas.microsoft.com/office/drawing/2014/main" id="{C5ABCE7D-8793-8840-A0B9-E1D221153493}"/>
                </a:ext>
              </a:extLst>
            </xdr14:cNvPr>
            <xdr14:cNvContentPartPr/>
          </xdr14:nvContentPartPr>
          <xdr14:nvPr macro=""/>
          <xdr14:xfrm>
            <a:off x="12973680" y="1366560"/>
            <a:ext cx="360" cy="360"/>
          </xdr14:xfrm>
        </xdr:contentPart>
      </mc:Choice>
      <mc:Fallback xmlns="">
        <xdr:pic>
          <xdr:nvPicPr>
            <xdr:cNvPr id="439" name="Ink 438">
              <a:extLst>
                <a:ext uri="{FF2B5EF4-FFF2-40B4-BE49-F238E27FC236}">
                  <a16:creationId xmlns:a16="http://schemas.microsoft.com/office/drawing/2014/main" id="{C5ABCE7D-8793-8840-A0B9-E1D22115349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0">
          <xdr14:nvContentPartPr>
            <xdr14:cNvPr id="440" name="Ink 439">
              <a:extLst>
                <a:ext uri="{FF2B5EF4-FFF2-40B4-BE49-F238E27FC236}">
                  <a16:creationId xmlns:a16="http://schemas.microsoft.com/office/drawing/2014/main" id="{B40EA504-10C3-F14C-9C35-2C7B7568304F}"/>
                </a:ext>
              </a:extLst>
            </xdr14:cNvPr>
            <xdr14:cNvContentPartPr/>
          </xdr14:nvContentPartPr>
          <xdr14:nvPr macro=""/>
          <xdr14:xfrm>
            <a:off x="12846960" y="1192320"/>
            <a:ext cx="360" cy="360"/>
          </xdr14:xfrm>
        </xdr:contentPart>
      </mc:Choice>
      <mc:Fallback xmlns="">
        <xdr:pic>
          <xdr:nvPicPr>
            <xdr:cNvPr id="440" name="Ink 439">
              <a:extLst>
                <a:ext uri="{FF2B5EF4-FFF2-40B4-BE49-F238E27FC236}">
                  <a16:creationId xmlns:a16="http://schemas.microsoft.com/office/drawing/2014/main" id="{B40EA504-10C3-F14C-9C35-2C7B7568304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1">
          <xdr14:nvContentPartPr>
            <xdr14:cNvPr id="441" name="Ink 440">
              <a:extLst>
                <a:ext uri="{FF2B5EF4-FFF2-40B4-BE49-F238E27FC236}">
                  <a16:creationId xmlns:a16="http://schemas.microsoft.com/office/drawing/2014/main" id="{FAE40916-2B0E-EA41-B710-713DAA2159AB}"/>
                </a:ext>
              </a:extLst>
            </xdr14:cNvPr>
            <xdr14:cNvContentPartPr/>
          </xdr14:nvContentPartPr>
          <xdr14:nvPr macro=""/>
          <xdr14:xfrm>
            <a:off x="12866040" y="1243440"/>
            <a:ext cx="360" cy="360"/>
          </xdr14:xfrm>
        </xdr:contentPart>
      </mc:Choice>
      <mc:Fallback xmlns="">
        <xdr:pic>
          <xdr:nvPicPr>
            <xdr:cNvPr id="441" name="Ink 440">
              <a:extLst>
                <a:ext uri="{FF2B5EF4-FFF2-40B4-BE49-F238E27FC236}">
                  <a16:creationId xmlns:a16="http://schemas.microsoft.com/office/drawing/2014/main" id="{FAE40916-2B0E-EA41-B710-713DAA2159A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2">
          <xdr14:nvContentPartPr>
            <xdr14:cNvPr id="442" name="Ink 441">
              <a:extLst>
                <a:ext uri="{FF2B5EF4-FFF2-40B4-BE49-F238E27FC236}">
                  <a16:creationId xmlns:a16="http://schemas.microsoft.com/office/drawing/2014/main" id="{8712F94F-C0CF-8349-907C-9F2D85161BD0}"/>
                </a:ext>
              </a:extLst>
            </xdr14:cNvPr>
            <xdr14:cNvContentPartPr/>
          </xdr14:nvContentPartPr>
          <xdr14:nvPr macro=""/>
          <xdr14:xfrm>
            <a:off x="12973680" y="1366560"/>
            <a:ext cx="360" cy="360"/>
          </xdr14:xfrm>
        </xdr:contentPart>
      </mc:Choice>
      <mc:Fallback xmlns="">
        <xdr:pic>
          <xdr:nvPicPr>
            <xdr:cNvPr id="442" name="Ink 441">
              <a:extLst>
                <a:ext uri="{FF2B5EF4-FFF2-40B4-BE49-F238E27FC236}">
                  <a16:creationId xmlns:a16="http://schemas.microsoft.com/office/drawing/2014/main" id="{8712F94F-C0CF-8349-907C-9F2D85161BD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3">
          <xdr14:nvContentPartPr>
            <xdr14:cNvPr id="443" name="Ink 442">
              <a:extLst>
                <a:ext uri="{FF2B5EF4-FFF2-40B4-BE49-F238E27FC236}">
                  <a16:creationId xmlns:a16="http://schemas.microsoft.com/office/drawing/2014/main" id="{A2A86601-80CD-F540-923E-C794DA692ABF}"/>
                </a:ext>
              </a:extLst>
            </xdr14:cNvPr>
            <xdr14:cNvContentPartPr/>
          </xdr14:nvContentPartPr>
          <xdr14:nvPr macro=""/>
          <xdr14:xfrm>
            <a:off x="12846960" y="1192320"/>
            <a:ext cx="360" cy="360"/>
          </xdr14:xfrm>
        </xdr:contentPart>
      </mc:Choice>
      <mc:Fallback xmlns="">
        <xdr:pic>
          <xdr:nvPicPr>
            <xdr:cNvPr id="443" name="Ink 442">
              <a:extLst>
                <a:ext uri="{FF2B5EF4-FFF2-40B4-BE49-F238E27FC236}">
                  <a16:creationId xmlns:a16="http://schemas.microsoft.com/office/drawing/2014/main" id="{A2A86601-80CD-F540-923E-C794DA692AB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4">
          <xdr14:nvContentPartPr>
            <xdr14:cNvPr id="444" name="Ink 443">
              <a:extLst>
                <a:ext uri="{FF2B5EF4-FFF2-40B4-BE49-F238E27FC236}">
                  <a16:creationId xmlns:a16="http://schemas.microsoft.com/office/drawing/2014/main" id="{E649BD8D-35DB-8B4D-B4B8-AB84D90F6BBD}"/>
                </a:ext>
              </a:extLst>
            </xdr14:cNvPr>
            <xdr14:cNvContentPartPr/>
          </xdr14:nvContentPartPr>
          <xdr14:nvPr macro=""/>
          <xdr14:xfrm>
            <a:off x="12866040" y="1243440"/>
            <a:ext cx="360" cy="360"/>
          </xdr14:xfrm>
        </xdr:contentPart>
      </mc:Choice>
      <mc:Fallback xmlns="">
        <xdr:pic>
          <xdr:nvPicPr>
            <xdr:cNvPr id="444" name="Ink 443">
              <a:extLst>
                <a:ext uri="{FF2B5EF4-FFF2-40B4-BE49-F238E27FC236}">
                  <a16:creationId xmlns:a16="http://schemas.microsoft.com/office/drawing/2014/main" id="{E649BD8D-35DB-8B4D-B4B8-AB84D90F6BB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5">
          <xdr14:nvContentPartPr>
            <xdr14:cNvPr id="445" name="Ink 444">
              <a:extLst>
                <a:ext uri="{FF2B5EF4-FFF2-40B4-BE49-F238E27FC236}">
                  <a16:creationId xmlns:a16="http://schemas.microsoft.com/office/drawing/2014/main" id="{FD97C9F0-BB36-4D44-85A1-61384BAAED26}"/>
                </a:ext>
              </a:extLst>
            </xdr14:cNvPr>
            <xdr14:cNvContentPartPr/>
          </xdr14:nvContentPartPr>
          <xdr14:nvPr macro=""/>
          <xdr14:xfrm>
            <a:off x="12973680" y="1366560"/>
            <a:ext cx="360" cy="360"/>
          </xdr14:xfrm>
        </xdr:contentPart>
      </mc:Choice>
      <mc:Fallback xmlns="">
        <xdr:pic>
          <xdr:nvPicPr>
            <xdr:cNvPr id="445" name="Ink 444">
              <a:extLst>
                <a:ext uri="{FF2B5EF4-FFF2-40B4-BE49-F238E27FC236}">
                  <a16:creationId xmlns:a16="http://schemas.microsoft.com/office/drawing/2014/main" id="{FD97C9F0-BB36-4D44-85A1-61384BAAED2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6">
          <xdr14:nvContentPartPr>
            <xdr14:cNvPr id="446" name="Ink 445">
              <a:extLst>
                <a:ext uri="{FF2B5EF4-FFF2-40B4-BE49-F238E27FC236}">
                  <a16:creationId xmlns:a16="http://schemas.microsoft.com/office/drawing/2014/main" id="{F48BB478-AED3-AF4B-876B-F0D395D46824}"/>
                </a:ext>
              </a:extLst>
            </xdr14:cNvPr>
            <xdr14:cNvContentPartPr/>
          </xdr14:nvContentPartPr>
          <xdr14:nvPr macro=""/>
          <xdr14:xfrm>
            <a:off x="12846960" y="1192320"/>
            <a:ext cx="360" cy="360"/>
          </xdr14:xfrm>
        </xdr:contentPart>
      </mc:Choice>
      <mc:Fallback xmlns="">
        <xdr:pic>
          <xdr:nvPicPr>
            <xdr:cNvPr id="446" name="Ink 445">
              <a:extLst>
                <a:ext uri="{FF2B5EF4-FFF2-40B4-BE49-F238E27FC236}">
                  <a16:creationId xmlns:a16="http://schemas.microsoft.com/office/drawing/2014/main" id="{F48BB478-AED3-AF4B-876B-F0D395D4682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7">
          <xdr14:nvContentPartPr>
            <xdr14:cNvPr id="447" name="Ink 446">
              <a:extLst>
                <a:ext uri="{FF2B5EF4-FFF2-40B4-BE49-F238E27FC236}">
                  <a16:creationId xmlns:a16="http://schemas.microsoft.com/office/drawing/2014/main" id="{4E2A2B95-8CD6-3D4A-BF22-FE813FC1F1BB}"/>
                </a:ext>
              </a:extLst>
            </xdr14:cNvPr>
            <xdr14:cNvContentPartPr/>
          </xdr14:nvContentPartPr>
          <xdr14:nvPr macro=""/>
          <xdr14:xfrm>
            <a:off x="12866040" y="1243440"/>
            <a:ext cx="360" cy="360"/>
          </xdr14:xfrm>
        </xdr:contentPart>
      </mc:Choice>
      <mc:Fallback xmlns="">
        <xdr:pic>
          <xdr:nvPicPr>
            <xdr:cNvPr id="447" name="Ink 446">
              <a:extLst>
                <a:ext uri="{FF2B5EF4-FFF2-40B4-BE49-F238E27FC236}">
                  <a16:creationId xmlns:a16="http://schemas.microsoft.com/office/drawing/2014/main" id="{4E2A2B95-8CD6-3D4A-BF22-FE813FC1F1B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8">
          <xdr14:nvContentPartPr>
            <xdr14:cNvPr id="448" name="Ink 447">
              <a:extLst>
                <a:ext uri="{FF2B5EF4-FFF2-40B4-BE49-F238E27FC236}">
                  <a16:creationId xmlns:a16="http://schemas.microsoft.com/office/drawing/2014/main" id="{263016D8-1C69-7D45-8045-D6751E560CE3}"/>
                </a:ext>
              </a:extLst>
            </xdr14:cNvPr>
            <xdr14:cNvContentPartPr/>
          </xdr14:nvContentPartPr>
          <xdr14:nvPr macro=""/>
          <xdr14:xfrm>
            <a:off x="12973680" y="1366560"/>
            <a:ext cx="360" cy="360"/>
          </xdr14:xfrm>
        </xdr:contentPart>
      </mc:Choice>
      <mc:Fallback xmlns="">
        <xdr:pic>
          <xdr:nvPicPr>
            <xdr:cNvPr id="448" name="Ink 447">
              <a:extLst>
                <a:ext uri="{FF2B5EF4-FFF2-40B4-BE49-F238E27FC236}">
                  <a16:creationId xmlns:a16="http://schemas.microsoft.com/office/drawing/2014/main" id="{263016D8-1C69-7D45-8045-D6751E560CE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9">
          <xdr14:nvContentPartPr>
            <xdr14:cNvPr id="449" name="Ink 448">
              <a:extLst>
                <a:ext uri="{FF2B5EF4-FFF2-40B4-BE49-F238E27FC236}">
                  <a16:creationId xmlns:a16="http://schemas.microsoft.com/office/drawing/2014/main" id="{7DF420CB-4F29-A44F-ADDB-3A764175FB2C}"/>
                </a:ext>
              </a:extLst>
            </xdr14:cNvPr>
            <xdr14:cNvContentPartPr/>
          </xdr14:nvContentPartPr>
          <xdr14:nvPr macro=""/>
          <xdr14:xfrm>
            <a:off x="12846960" y="1192320"/>
            <a:ext cx="360" cy="360"/>
          </xdr14:xfrm>
        </xdr:contentPart>
      </mc:Choice>
      <mc:Fallback xmlns="">
        <xdr:pic>
          <xdr:nvPicPr>
            <xdr:cNvPr id="449" name="Ink 448">
              <a:extLst>
                <a:ext uri="{FF2B5EF4-FFF2-40B4-BE49-F238E27FC236}">
                  <a16:creationId xmlns:a16="http://schemas.microsoft.com/office/drawing/2014/main" id="{7DF420CB-4F29-A44F-ADDB-3A764175FB2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0">
          <xdr14:nvContentPartPr>
            <xdr14:cNvPr id="450" name="Ink 449">
              <a:extLst>
                <a:ext uri="{FF2B5EF4-FFF2-40B4-BE49-F238E27FC236}">
                  <a16:creationId xmlns:a16="http://schemas.microsoft.com/office/drawing/2014/main" id="{2D9F4A28-A054-7944-9A85-F4ECDA1218DB}"/>
                </a:ext>
              </a:extLst>
            </xdr14:cNvPr>
            <xdr14:cNvContentPartPr/>
          </xdr14:nvContentPartPr>
          <xdr14:nvPr macro=""/>
          <xdr14:xfrm>
            <a:off x="12866040" y="1243440"/>
            <a:ext cx="360" cy="360"/>
          </xdr14:xfrm>
        </xdr:contentPart>
      </mc:Choice>
      <mc:Fallback xmlns="">
        <xdr:pic>
          <xdr:nvPicPr>
            <xdr:cNvPr id="450" name="Ink 449">
              <a:extLst>
                <a:ext uri="{FF2B5EF4-FFF2-40B4-BE49-F238E27FC236}">
                  <a16:creationId xmlns:a16="http://schemas.microsoft.com/office/drawing/2014/main" id="{2D9F4A28-A054-7944-9A85-F4ECDA1218D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1">
          <xdr14:nvContentPartPr>
            <xdr14:cNvPr id="451" name="Ink 450">
              <a:extLst>
                <a:ext uri="{FF2B5EF4-FFF2-40B4-BE49-F238E27FC236}">
                  <a16:creationId xmlns:a16="http://schemas.microsoft.com/office/drawing/2014/main" id="{0BB597B5-073B-F34D-AF6A-F4E5B2939672}"/>
                </a:ext>
              </a:extLst>
            </xdr14:cNvPr>
            <xdr14:cNvContentPartPr/>
          </xdr14:nvContentPartPr>
          <xdr14:nvPr macro=""/>
          <xdr14:xfrm>
            <a:off x="12973680" y="1366560"/>
            <a:ext cx="360" cy="360"/>
          </xdr14:xfrm>
        </xdr:contentPart>
      </mc:Choice>
      <mc:Fallback xmlns="">
        <xdr:pic>
          <xdr:nvPicPr>
            <xdr:cNvPr id="451" name="Ink 450">
              <a:extLst>
                <a:ext uri="{FF2B5EF4-FFF2-40B4-BE49-F238E27FC236}">
                  <a16:creationId xmlns:a16="http://schemas.microsoft.com/office/drawing/2014/main" id="{0BB597B5-073B-F34D-AF6A-F4E5B293967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2">
          <xdr14:nvContentPartPr>
            <xdr14:cNvPr id="452" name="Ink 451">
              <a:extLst>
                <a:ext uri="{FF2B5EF4-FFF2-40B4-BE49-F238E27FC236}">
                  <a16:creationId xmlns:a16="http://schemas.microsoft.com/office/drawing/2014/main" id="{1A434582-8DD6-5646-AB13-2EFE4FC2833C}"/>
                </a:ext>
              </a:extLst>
            </xdr14:cNvPr>
            <xdr14:cNvContentPartPr/>
          </xdr14:nvContentPartPr>
          <xdr14:nvPr macro=""/>
          <xdr14:xfrm>
            <a:off x="12846960" y="1192320"/>
            <a:ext cx="360" cy="360"/>
          </xdr14:xfrm>
        </xdr:contentPart>
      </mc:Choice>
      <mc:Fallback xmlns="">
        <xdr:pic>
          <xdr:nvPicPr>
            <xdr:cNvPr id="452" name="Ink 451">
              <a:extLst>
                <a:ext uri="{FF2B5EF4-FFF2-40B4-BE49-F238E27FC236}">
                  <a16:creationId xmlns:a16="http://schemas.microsoft.com/office/drawing/2014/main" id="{1A434582-8DD6-5646-AB13-2EFE4FC2833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3">
          <xdr14:nvContentPartPr>
            <xdr14:cNvPr id="453" name="Ink 452">
              <a:extLst>
                <a:ext uri="{FF2B5EF4-FFF2-40B4-BE49-F238E27FC236}">
                  <a16:creationId xmlns:a16="http://schemas.microsoft.com/office/drawing/2014/main" id="{F97A2536-A92E-584D-A28E-190640078248}"/>
                </a:ext>
              </a:extLst>
            </xdr14:cNvPr>
            <xdr14:cNvContentPartPr/>
          </xdr14:nvContentPartPr>
          <xdr14:nvPr macro=""/>
          <xdr14:xfrm>
            <a:off x="12866040" y="1243440"/>
            <a:ext cx="360" cy="360"/>
          </xdr14:xfrm>
        </xdr:contentPart>
      </mc:Choice>
      <mc:Fallback xmlns="">
        <xdr:pic>
          <xdr:nvPicPr>
            <xdr:cNvPr id="453" name="Ink 452">
              <a:extLst>
                <a:ext uri="{FF2B5EF4-FFF2-40B4-BE49-F238E27FC236}">
                  <a16:creationId xmlns:a16="http://schemas.microsoft.com/office/drawing/2014/main" id="{F97A2536-A92E-584D-A28E-19064007824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4">
          <xdr14:nvContentPartPr>
            <xdr14:cNvPr id="454" name="Ink 453">
              <a:extLst>
                <a:ext uri="{FF2B5EF4-FFF2-40B4-BE49-F238E27FC236}">
                  <a16:creationId xmlns:a16="http://schemas.microsoft.com/office/drawing/2014/main" id="{9BCFC65B-16E5-C145-9568-52014ECE3E93}"/>
                </a:ext>
              </a:extLst>
            </xdr14:cNvPr>
            <xdr14:cNvContentPartPr/>
          </xdr14:nvContentPartPr>
          <xdr14:nvPr macro=""/>
          <xdr14:xfrm>
            <a:off x="12973680" y="1366560"/>
            <a:ext cx="360" cy="360"/>
          </xdr14:xfrm>
        </xdr:contentPart>
      </mc:Choice>
      <mc:Fallback xmlns="">
        <xdr:pic>
          <xdr:nvPicPr>
            <xdr:cNvPr id="454" name="Ink 453">
              <a:extLst>
                <a:ext uri="{FF2B5EF4-FFF2-40B4-BE49-F238E27FC236}">
                  <a16:creationId xmlns:a16="http://schemas.microsoft.com/office/drawing/2014/main" id="{9BCFC65B-16E5-C145-9568-52014ECE3E9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5">
          <xdr14:nvContentPartPr>
            <xdr14:cNvPr id="455" name="Ink 454">
              <a:extLst>
                <a:ext uri="{FF2B5EF4-FFF2-40B4-BE49-F238E27FC236}">
                  <a16:creationId xmlns:a16="http://schemas.microsoft.com/office/drawing/2014/main" id="{11E4D2CD-ED13-7140-8F0A-49C566B8AE86}"/>
                </a:ext>
              </a:extLst>
            </xdr14:cNvPr>
            <xdr14:cNvContentPartPr/>
          </xdr14:nvContentPartPr>
          <xdr14:nvPr macro=""/>
          <xdr14:xfrm>
            <a:off x="12846960" y="1192320"/>
            <a:ext cx="360" cy="360"/>
          </xdr14:xfrm>
        </xdr:contentPart>
      </mc:Choice>
      <mc:Fallback xmlns="">
        <xdr:pic>
          <xdr:nvPicPr>
            <xdr:cNvPr id="455" name="Ink 454">
              <a:extLst>
                <a:ext uri="{FF2B5EF4-FFF2-40B4-BE49-F238E27FC236}">
                  <a16:creationId xmlns:a16="http://schemas.microsoft.com/office/drawing/2014/main" id="{11E4D2CD-ED13-7140-8F0A-49C566B8AE8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6">
          <xdr14:nvContentPartPr>
            <xdr14:cNvPr id="456" name="Ink 455">
              <a:extLst>
                <a:ext uri="{FF2B5EF4-FFF2-40B4-BE49-F238E27FC236}">
                  <a16:creationId xmlns:a16="http://schemas.microsoft.com/office/drawing/2014/main" id="{7903BDFD-9B68-0F41-9AF9-C07FA30BDB05}"/>
                </a:ext>
              </a:extLst>
            </xdr14:cNvPr>
            <xdr14:cNvContentPartPr/>
          </xdr14:nvContentPartPr>
          <xdr14:nvPr macro=""/>
          <xdr14:xfrm>
            <a:off x="12866040" y="1243440"/>
            <a:ext cx="360" cy="360"/>
          </xdr14:xfrm>
        </xdr:contentPart>
      </mc:Choice>
      <mc:Fallback xmlns="">
        <xdr:pic>
          <xdr:nvPicPr>
            <xdr:cNvPr id="456" name="Ink 455">
              <a:extLst>
                <a:ext uri="{FF2B5EF4-FFF2-40B4-BE49-F238E27FC236}">
                  <a16:creationId xmlns:a16="http://schemas.microsoft.com/office/drawing/2014/main" id="{7903BDFD-9B68-0F41-9AF9-C07FA30BDB0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7">
          <xdr14:nvContentPartPr>
            <xdr14:cNvPr id="457" name="Ink 456">
              <a:extLst>
                <a:ext uri="{FF2B5EF4-FFF2-40B4-BE49-F238E27FC236}">
                  <a16:creationId xmlns:a16="http://schemas.microsoft.com/office/drawing/2014/main" id="{AD799EA3-99E8-124E-A6C2-A7649821DF6D}"/>
                </a:ext>
              </a:extLst>
            </xdr14:cNvPr>
            <xdr14:cNvContentPartPr/>
          </xdr14:nvContentPartPr>
          <xdr14:nvPr macro=""/>
          <xdr14:xfrm>
            <a:off x="12973680" y="1366560"/>
            <a:ext cx="360" cy="360"/>
          </xdr14:xfrm>
        </xdr:contentPart>
      </mc:Choice>
      <mc:Fallback xmlns="">
        <xdr:pic>
          <xdr:nvPicPr>
            <xdr:cNvPr id="457" name="Ink 456">
              <a:extLst>
                <a:ext uri="{FF2B5EF4-FFF2-40B4-BE49-F238E27FC236}">
                  <a16:creationId xmlns:a16="http://schemas.microsoft.com/office/drawing/2014/main" id="{AD799EA3-99E8-124E-A6C2-A7649821DF6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8">
          <xdr14:nvContentPartPr>
            <xdr14:cNvPr id="458" name="Ink 457">
              <a:extLst>
                <a:ext uri="{FF2B5EF4-FFF2-40B4-BE49-F238E27FC236}">
                  <a16:creationId xmlns:a16="http://schemas.microsoft.com/office/drawing/2014/main" id="{36DE681D-4555-EA44-86D0-801D2BAB01BF}"/>
                </a:ext>
              </a:extLst>
            </xdr14:cNvPr>
            <xdr14:cNvContentPartPr/>
          </xdr14:nvContentPartPr>
          <xdr14:nvPr macro=""/>
          <xdr14:xfrm>
            <a:off x="12846960" y="1192320"/>
            <a:ext cx="360" cy="360"/>
          </xdr14:xfrm>
        </xdr:contentPart>
      </mc:Choice>
      <mc:Fallback xmlns="">
        <xdr:pic>
          <xdr:nvPicPr>
            <xdr:cNvPr id="458" name="Ink 457">
              <a:extLst>
                <a:ext uri="{FF2B5EF4-FFF2-40B4-BE49-F238E27FC236}">
                  <a16:creationId xmlns:a16="http://schemas.microsoft.com/office/drawing/2014/main" id="{36DE681D-4555-EA44-86D0-801D2BAB01B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9">
          <xdr14:nvContentPartPr>
            <xdr14:cNvPr id="459" name="Ink 458">
              <a:extLst>
                <a:ext uri="{FF2B5EF4-FFF2-40B4-BE49-F238E27FC236}">
                  <a16:creationId xmlns:a16="http://schemas.microsoft.com/office/drawing/2014/main" id="{BC3FD7D8-9C8E-504D-B48A-011098C458CB}"/>
                </a:ext>
              </a:extLst>
            </xdr14:cNvPr>
            <xdr14:cNvContentPartPr/>
          </xdr14:nvContentPartPr>
          <xdr14:nvPr macro=""/>
          <xdr14:xfrm>
            <a:off x="12866040" y="1243440"/>
            <a:ext cx="360" cy="360"/>
          </xdr14:xfrm>
        </xdr:contentPart>
      </mc:Choice>
      <mc:Fallback xmlns="">
        <xdr:pic>
          <xdr:nvPicPr>
            <xdr:cNvPr id="459" name="Ink 458">
              <a:extLst>
                <a:ext uri="{FF2B5EF4-FFF2-40B4-BE49-F238E27FC236}">
                  <a16:creationId xmlns:a16="http://schemas.microsoft.com/office/drawing/2014/main" id="{BC3FD7D8-9C8E-504D-B48A-011098C458C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0">
          <xdr14:nvContentPartPr>
            <xdr14:cNvPr id="460" name="Ink 459">
              <a:extLst>
                <a:ext uri="{FF2B5EF4-FFF2-40B4-BE49-F238E27FC236}">
                  <a16:creationId xmlns:a16="http://schemas.microsoft.com/office/drawing/2014/main" id="{ECFF9848-8013-5746-879B-D59CF2FC150D}"/>
                </a:ext>
              </a:extLst>
            </xdr14:cNvPr>
            <xdr14:cNvContentPartPr/>
          </xdr14:nvContentPartPr>
          <xdr14:nvPr macro=""/>
          <xdr14:xfrm>
            <a:off x="12973680" y="1366560"/>
            <a:ext cx="360" cy="360"/>
          </xdr14:xfrm>
        </xdr:contentPart>
      </mc:Choice>
      <mc:Fallback xmlns="">
        <xdr:pic>
          <xdr:nvPicPr>
            <xdr:cNvPr id="460" name="Ink 459">
              <a:extLst>
                <a:ext uri="{FF2B5EF4-FFF2-40B4-BE49-F238E27FC236}">
                  <a16:creationId xmlns:a16="http://schemas.microsoft.com/office/drawing/2014/main" id="{ECFF9848-8013-5746-879B-D59CF2FC150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1">
          <xdr14:nvContentPartPr>
            <xdr14:cNvPr id="461" name="Ink 460">
              <a:extLst>
                <a:ext uri="{FF2B5EF4-FFF2-40B4-BE49-F238E27FC236}">
                  <a16:creationId xmlns:a16="http://schemas.microsoft.com/office/drawing/2014/main" id="{1A37B5E5-FF5C-0C4E-8E93-8058F116C464}"/>
                </a:ext>
              </a:extLst>
            </xdr14:cNvPr>
            <xdr14:cNvContentPartPr/>
          </xdr14:nvContentPartPr>
          <xdr14:nvPr macro=""/>
          <xdr14:xfrm>
            <a:off x="12846960" y="1192320"/>
            <a:ext cx="360" cy="360"/>
          </xdr14:xfrm>
        </xdr:contentPart>
      </mc:Choice>
      <mc:Fallback xmlns="">
        <xdr:pic>
          <xdr:nvPicPr>
            <xdr:cNvPr id="461" name="Ink 460">
              <a:extLst>
                <a:ext uri="{FF2B5EF4-FFF2-40B4-BE49-F238E27FC236}">
                  <a16:creationId xmlns:a16="http://schemas.microsoft.com/office/drawing/2014/main" id="{1A37B5E5-FF5C-0C4E-8E93-8058F116C46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2">
          <xdr14:nvContentPartPr>
            <xdr14:cNvPr id="462" name="Ink 461">
              <a:extLst>
                <a:ext uri="{FF2B5EF4-FFF2-40B4-BE49-F238E27FC236}">
                  <a16:creationId xmlns:a16="http://schemas.microsoft.com/office/drawing/2014/main" id="{C9B3D1C4-7EF4-6641-9EA8-85008EA21C48}"/>
                </a:ext>
              </a:extLst>
            </xdr14:cNvPr>
            <xdr14:cNvContentPartPr/>
          </xdr14:nvContentPartPr>
          <xdr14:nvPr macro=""/>
          <xdr14:xfrm>
            <a:off x="12866040" y="1243440"/>
            <a:ext cx="360" cy="360"/>
          </xdr14:xfrm>
        </xdr:contentPart>
      </mc:Choice>
      <mc:Fallback xmlns="">
        <xdr:pic>
          <xdr:nvPicPr>
            <xdr:cNvPr id="462" name="Ink 461">
              <a:extLst>
                <a:ext uri="{FF2B5EF4-FFF2-40B4-BE49-F238E27FC236}">
                  <a16:creationId xmlns:a16="http://schemas.microsoft.com/office/drawing/2014/main" id="{C9B3D1C4-7EF4-6641-9EA8-85008EA21C4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3">
          <xdr14:nvContentPartPr>
            <xdr14:cNvPr id="463" name="Ink 462">
              <a:extLst>
                <a:ext uri="{FF2B5EF4-FFF2-40B4-BE49-F238E27FC236}">
                  <a16:creationId xmlns:a16="http://schemas.microsoft.com/office/drawing/2014/main" id="{106E03A3-24B6-0E43-A819-08F3FA5B1A7A}"/>
                </a:ext>
              </a:extLst>
            </xdr14:cNvPr>
            <xdr14:cNvContentPartPr/>
          </xdr14:nvContentPartPr>
          <xdr14:nvPr macro=""/>
          <xdr14:xfrm>
            <a:off x="12973680" y="1366560"/>
            <a:ext cx="360" cy="360"/>
          </xdr14:xfrm>
        </xdr:contentPart>
      </mc:Choice>
      <mc:Fallback xmlns="">
        <xdr:pic>
          <xdr:nvPicPr>
            <xdr:cNvPr id="463" name="Ink 462">
              <a:extLst>
                <a:ext uri="{FF2B5EF4-FFF2-40B4-BE49-F238E27FC236}">
                  <a16:creationId xmlns:a16="http://schemas.microsoft.com/office/drawing/2014/main" id="{106E03A3-24B6-0E43-A819-08F3FA5B1A7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4">
          <xdr14:nvContentPartPr>
            <xdr14:cNvPr id="464" name="Ink 463">
              <a:extLst>
                <a:ext uri="{FF2B5EF4-FFF2-40B4-BE49-F238E27FC236}">
                  <a16:creationId xmlns:a16="http://schemas.microsoft.com/office/drawing/2014/main" id="{EFDC9162-522C-BD42-8976-AF6925787F3D}"/>
                </a:ext>
              </a:extLst>
            </xdr14:cNvPr>
            <xdr14:cNvContentPartPr/>
          </xdr14:nvContentPartPr>
          <xdr14:nvPr macro=""/>
          <xdr14:xfrm>
            <a:off x="12846960" y="1192320"/>
            <a:ext cx="360" cy="360"/>
          </xdr14:xfrm>
        </xdr:contentPart>
      </mc:Choice>
      <mc:Fallback xmlns="">
        <xdr:pic>
          <xdr:nvPicPr>
            <xdr:cNvPr id="464" name="Ink 463">
              <a:extLst>
                <a:ext uri="{FF2B5EF4-FFF2-40B4-BE49-F238E27FC236}">
                  <a16:creationId xmlns:a16="http://schemas.microsoft.com/office/drawing/2014/main" id="{EFDC9162-522C-BD42-8976-AF6925787F3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5">
          <xdr14:nvContentPartPr>
            <xdr14:cNvPr id="465" name="Ink 464">
              <a:extLst>
                <a:ext uri="{FF2B5EF4-FFF2-40B4-BE49-F238E27FC236}">
                  <a16:creationId xmlns:a16="http://schemas.microsoft.com/office/drawing/2014/main" id="{36B87E52-FAC7-E749-BEAA-8B3B75033CCA}"/>
                </a:ext>
              </a:extLst>
            </xdr14:cNvPr>
            <xdr14:cNvContentPartPr/>
          </xdr14:nvContentPartPr>
          <xdr14:nvPr macro=""/>
          <xdr14:xfrm>
            <a:off x="12866040" y="1243440"/>
            <a:ext cx="360" cy="360"/>
          </xdr14:xfrm>
        </xdr:contentPart>
      </mc:Choice>
      <mc:Fallback xmlns="">
        <xdr:pic>
          <xdr:nvPicPr>
            <xdr:cNvPr id="465" name="Ink 464">
              <a:extLst>
                <a:ext uri="{FF2B5EF4-FFF2-40B4-BE49-F238E27FC236}">
                  <a16:creationId xmlns:a16="http://schemas.microsoft.com/office/drawing/2014/main" id="{36B87E52-FAC7-E749-BEAA-8B3B75033CC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6">
          <xdr14:nvContentPartPr>
            <xdr14:cNvPr id="466" name="Ink 465">
              <a:extLst>
                <a:ext uri="{FF2B5EF4-FFF2-40B4-BE49-F238E27FC236}">
                  <a16:creationId xmlns:a16="http://schemas.microsoft.com/office/drawing/2014/main" id="{6E76CF30-1A83-B540-B703-DD2EC7AD29A2}"/>
                </a:ext>
              </a:extLst>
            </xdr14:cNvPr>
            <xdr14:cNvContentPartPr/>
          </xdr14:nvContentPartPr>
          <xdr14:nvPr macro=""/>
          <xdr14:xfrm>
            <a:off x="12973680" y="1366560"/>
            <a:ext cx="360" cy="360"/>
          </xdr14:xfrm>
        </xdr:contentPart>
      </mc:Choice>
      <mc:Fallback xmlns="">
        <xdr:pic>
          <xdr:nvPicPr>
            <xdr:cNvPr id="466" name="Ink 465">
              <a:extLst>
                <a:ext uri="{FF2B5EF4-FFF2-40B4-BE49-F238E27FC236}">
                  <a16:creationId xmlns:a16="http://schemas.microsoft.com/office/drawing/2014/main" id="{6E76CF30-1A83-B540-B703-DD2EC7AD29A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7">
          <xdr14:nvContentPartPr>
            <xdr14:cNvPr id="467" name="Ink 466">
              <a:extLst>
                <a:ext uri="{FF2B5EF4-FFF2-40B4-BE49-F238E27FC236}">
                  <a16:creationId xmlns:a16="http://schemas.microsoft.com/office/drawing/2014/main" id="{6B8B29D0-9CB6-C043-8EB1-1C73FE2C4A58}"/>
                </a:ext>
              </a:extLst>
            </xdr14:cNvPr>
            <xdr14:cNvContentPartPr/>
          </xdr14:nvContentPartPr>
          <xdr14:nvPr macro=""/>
          <xdr14:xfrm>
            <a:off x="12846960" y="1192320"/>
            <a:ext cx="360" cy="360"/>
          </xdr14:xfrm>
        </xdr:contentPart>
      </mc:Choice>
      <mc:Fallback xmlns="">
        <xdr:pic>
          <xdr:nvPicPr>
            <xdr:cNvPr id="467" name="Ink 466">
              <a:extLst>
                <a:ext uri="{FF2B5EF4-FFF2-40B4-BE49-F238E27FC236}">
                  <a16:creationId xmlns:a16="http://schemas.microsoft.com/office/drawing/2014/main" id="{6B8B29D0-9CB6-C043-8EB1-1C73FE2C4A5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8">
          <xdr14:nvContentPartPr>
            <xdr14:cNvPr id="468" name="Ink 467">
              <a:extLst>
                <a:ext uri="{FF2B5EF4-FFF2-40B4-BE49-F238E27FC236}">
                  <a16:creationId xmlns:a16="http://schemas.microsoft.com/office/drawing/2014/main" id="{AF0C0B81-788D-8B43-B8E5-7420D4DAF200}"/>
                </a:ext>
              </a:extLst>
            </xdr14:cNvPr>
            <xdr14:cNvContentPartPr/>
          </xdr14:nvContentPartPr>
          <xdr14:nvPr macro=""/>
          <xdr14:xfrm>
            <a:off x="12866040" y="1243440"/>
            <a:ext cx="360" cy="360"/>
          </xdr14:xfrm>
        </xdr:contentPart>
      </mc:Choice>
      <mc:Fallback xmlns="">
        <xdr:pic>
          <xdr:nvPicPr>
            <xdr:cNvPr id="468" name="Ink 467">
              <a:extLst>
                <a:ext uri="{FF2B5EF4-FFF2-40B4-BE49-F238E27FC236}">
                  <a16:creationId xmlns:a16="http://schemas.microsoft.com/office/drawing/2014/main" id="{AF0C0B81-788D-8B43-B8E5-7420D4DAF20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9">
          <xdr14:nvContentPartPr>
            <xdr14:cNvPr id="469" name="Ink 468">
              <a:extLst>
                <a:ext uri="{FF2B5EF4-FFF2-40B4-BE49-F238E27FC236}">
                  <a16:creationId xmlns:a16="http://schemas.microsoft.com/office/drawing/2014/main" id="{A91D5842-B5B3-9E43-8987-EE65F14925ED}"/>
                </a:ext>
              </a:extLst>
            </xdr14:cNvPr>
            <xdr14:cNvContentPartPr/>
          </xdr14:nvContentPartPr>
          <xdr14:nvPr macro=""/>
          <xdr14:xfrm>
            <a:off x="12973680" y="1366560"/>
            <a:ext cx="360" cy="360"/>
          </xdr14:xfrm>
        </xdr:contentPart>
      </mc:Choice>
      <mc:Fallback xmlns="">
        <xdr:pic>
          <xdr:nvPicPr>
            <xdr:cNvPr id="469" name="Ink 468">
              <a:extLst>
                <a:ext uri="{FF2B5EF4-FFF2-40B4-BE49-F238E27FC236}">
                  <a16:creationId xmlns:a16="http://schemas.microsoft.com/office/drawing/2014/main" id="{A91D5842-B5B3-9E43-8987-EE65F14925E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0">
          <xdr14:nvContentPartPr>
            <xdr14:cNvPr id="470" name="Ink 469">
              <a:extLst>
                <a:ext uri="{FF2B5EF4-FFF2-40B4-BE49-F238E27FC236}">
                  <a16:creationId xmlns:a16="http://schemas.microsoft.com/office/drawing/2014/main" id="{6C72FBEC-0C1E-3846-9D2A-01328EB463C6}"/>
                </a:ext>
              </a:extLst>
            </xdr14:cNvPr>
            <xdr14:cNvContentPartPr/>
          </xdr14:nvContentPartPr>
          <xdr14:nvPr macro=""/>
          <xdr14:xfrm>
            <a:off x="12846960" y="1192320"/>
            <a:ext cx="360" cy="360"/>
          </xdr14:xfrm>
        </xdr:contentPart>
      </mc:Choice>
      <mc:Fallback xmlns="">
        <xdr:pic>
          <xdr:nvPicPr>
            <xdr:cNvPr id="470" name="Ink 469">
              <a:extLst>
                <a:ext uri="{FF2B5EF4-FFF2-40B4-BE49-F238E27FC236}">
                  <a16:creationId xmlns:a16="http://schemas.microsoft.com/office/drawing/2014/main" id="{6C72FBEC-0C1E-3846-9D2A-01328EB463C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1">
          <xdr14:nvContentPartPr>
            <xdr14:cNvPr id="471" name="Ink 470">
              <a:extLst>
                <a:ext uri="{FF2B5EF4-FFF2-40B4-BE49-F238E27FC236}">
                  <a16:creationId xmlns:a16="http://schemas.microsoft.com/office/drawing/2014/main" id="{5EFB717D-6D6B-3446-8B5B-2A8D58DF4B9A}"/>
                </a:ext>
              </a:extLst>
            </xdr14:cNvPr>
            <xdr14:cNvContentPartPr/>
          </xdr14:nvContentPartPr>
          <xdr14:nvPr macro=""/>
          <xdr14:xfrm>
            <a:off x="12866040" y="1243440"/>
            <a:ext cx="360" cy="360"/>
          </xdr14:xfrm>
        </xdr:contentPart>
      </mc:Choice>
      <mc:Fallback xmlns="">
        <xdr:pic>
          <xdr:nvPicPr>
            <xdr:cNvPr id="471" name="Ink 470">
              <a:extLst>
                <a:ext uri="{FF2B5EF4-FFF2-40B4-BE49-F238E27FC236}">
                  <a16:creationId xmlns:a16="http://schemas.microsoft.com/office/drawing/2014/main" id="{5EFB717D-6D6B-3446-8B5B-2A8D58DF4B9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2">
          <xdr14:nvContentPartPr>
            <xdr14:cNvPr id="472" name="Ink 471">
              <a:extLst>
                <a:ext uri="{FF2B5EF4-FFF2-40B4-BE49-F238E27FC236}">
                  <a16:creationId xmlns:a16="http://schemas.microsoft.com/office/drawing/2014/main" id="{0B599EB8-ADF0-C04D-9D3E-0BBCA8F7F79B}"/>
                </a:ext>
              </a:extLst>
            </xdr14:cNvPr>
            <xdr14:cNvContentPartPr/>
          </xdr14:nvContentPartPr>
          <xdr14:nvPr macro=""/>
          <xdr14:xfrm>
            <a:off x="12973680" y="1366560"/>
            <a:ext cx="360" cy="360"/>
          </xdr14:xfrm>
        </xdr:contentPart>
      </mc:Choice>
      <mc:Fallback xmlns="">
        <xdr:pic>
          <xdr:nvPicPr>
            <xdr:cNvPr id="472" name="Ink 471">
              <a:extLst>
                <a:ext uri="{FF2B5EF4-FFF2-40B4-BE49-F238E27FC236}">
                  <a16:creationId xmlns:a16="http://schemas.microsoft.com/office/drawing/2014/main" id="{0B599EB8-ADF0-C04D-9D3E-0BBCA8F7F79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3">
          <xdr14:nvContentPartPr>
            <xdr14:cNvPr id="473" name="Ink 472">
              <a:extLst>
                <a:ext uri="{FF2B5EF4-FFF2-40B4-BE49-F238E27FC236}">
                  <a16:creationId xmlns:a16="http://schemas.microsoft.com/office/drawing/2014/main" id="{ACC7C95D-AC8B-1C46-90F3-8FED78369DE8}"/>
                </a:ext>
              </a:extLst>
            </xdr14:cNvPr>
            <xdr14:cNvContentPartPr/>
          </xdr14:nvContentPartPr>
          <xdr14:nvPr macro=""/>
          <xdr14:xfrm>
            <a:off x="12846960" y="1192320"/>
            <a:ext cx="360" cy="360"/>
          </xdr14:xfrm>
        </xdr:contentPart>
      </mc:Choice>
      <mc:Fallback xmlns="">
        <xdr:pic>
          <xdr:nvPicPr>
            <xdr:cNvPr id="473" name="Ink 472">
              <a:extLst>
                <a:ext uri="{FF2B5EF4-FFF2-40B4-BE49-F238E27FC236}">
                  <a16:creationId xmlns:a16="http://schemas.microsoft.com/office/drawing/2014/main" id="{ACC7C95D-AC8B-1C46-90F3-8FED78369DE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4">
          <xdr14:nvContentPartPr>
            <xdr14:cNvPr id="474" name="Ink 473">
              <a:extLst>
                <a:ext uri="{FF2B5EF4-FFF2-40B4-BE49-F238E27FC236}">
                  <a16:creationId xmlns:a16="http://schemas.microsoft.com/office/drawing/2014/main" id="{44C2AD50-53BB-2D40-9461-9B02831CF161}"/>
                </a:ext>
              </a:extLst>
            </xdr14:cNvPr>
            <xdr14:cNvContentPartPr/>
          </xdr14:nvContentPartPr>
          <xdr14:nvPr macro=""/>
          <xdr14:xfrm>
            <a:off x="12866040" y="1243440"/>
            <a:ext cx="360" cy="360"/>
          </xdr14:xfrm>
        </xdr:contentPart>
      </mc:Choice>
      <mc:Fallback xmlns="">
        <xdr:pic>
          <xdr:nvPicPr>
            <xdr:cNvPr id="474" name="Ink 473">
              <a:extLst>
                <a:ext uri="{FF2B5EF4-FFF2-40B4-BE49-F238E27FC236}">
                  <a16:creationId xmlns:a16="http://schemas.microsoft.com/office/drawing/2014/main" id="{44C2AD50-53BB-2D40-9461-9B02831CF16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5">
          <xdr14:nvContentPartPr>
            <xdr14:cNvPr id="475" name="Ink 474">
              <a:extLst>
                <a:ext uri="{FF2B5EF4-FFF2-40B4-BE49-F238E27FC236}">
                  <a16:creationId xmlns:a16="http://schemas.microsoft.com/office/drawing/2014/main" id="{64415BCA-4D08-4F47-B84B-89C352F44129}"/>
                </a:ext>
              </a:extLst>
            </xdr14:cNvPr>
            <xdr14:cNvContentPartPr/>
          </xdr14:nvContentPartPr>
          <xdr14:nvPr macro=""/>
          <xdr14:xfrm>
            <a:off x="12973680" y="1366560"/>
            <a:ext cx="360" cy="360"/>
          </xdr14:xfrm>
        </xdr:contentPart>
      </mc:Choice>
      <mc:Fallback xmlns="">
        <xdr:pic>
          <xdr:nvPicPr>
            <xdr:cNvPr id="475" name="Ink 474">
              <a:extLst>
                <a:ext uri="{FF2B5EF4-FFF2-40B4-BE49-F238E27FC236}">
                  <a16:creationId xmlns:a16="http://schemas.microsoft.com/office/drawing/2014/main" id="{64415BCA-4D08-4F47-B84B-89C352F4412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6">
          <xdr14:nvContentPartPr>
            <xdr14:cNvPr id="476" name="Ink 475">
              <a:extLst>
                <a:ext uri="{FF2B5EF4-FFF2-40B4-BE49-F238E27FC236}">
                  <a16:creationId xmlns:a16="http://schemas.microsoft.com/office/drawing/2014/main" id="{A3F14B8A-5DC5-6D4C-9AF3-FD2F34AAEAFA}"/>
                </a:ext>
              </a:extLst>
            </xdr14:cNvPr>
            <xdr14:cNvContentPartPr/>
          </xdr14:nvContentPartPr>
          <xdr14:nvPr macro=""/>
          <xdr14:xfrm>
            <a:off x="12846960" y="1192320"/>
            <a:ext cx="360" cy="360"/>
          </xdr14:xfrm>
        </xdr:contentPart>
      </mc:Choice>
      <mc:Fallback xmlns="">
        <xdr:pic>
          <xdr:nvPicPr>
            <xdr:cNvPr id="476" name="Ink 475">
              <a:extLst>
                <a:ext uri="{FF2B5EF4-FFF2-40B4-BE49-F238E27FC236}">
                  <a16:creationId xmlns:a16="http://schemas.microsoft.com/office/drawing/2014/main" id="{A3F14B8A-5DC5-6D4C-9AF3-FD2F34AAEAF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7">
          <xdr14:nvContentPartPr>
            <xdr14:cNvPr id="477" name="Ink 476">
              <a:extLst>
                <a:ext uri="{FF2B5EF4-FFF2-40B4-BE49-F238E27FC236}">
                  <a16:creationId xmlns:a16="http://schemas.microsoft.com/office/drawing/2014/main" id="{91C9CCDB-E942-F046-8C9E-A291312C2B2E}"/>
                </a:ext>
              </a:extLst>
            </xdr14:cNvPr>
            <xdr14:cNvContentPartPr/>
          </xdr14:nvContentPartPr>
          <xdr14:nvPr macro=""/>
          <xdr14:xfrm>
            <a:off x="12866040" y="1243440"/>
            <a:ext cx="360" cy="360"/>
          </xdr14:xfrm>
        </xdr:contentPart>
      </mc:Choice>
      <mc:Fallback xmlns="">
        <xdr:pic>
          <xdr:nvPicPr>
            <xdr:cNvPr id="477" name="Ink 476">
              <a:extLst>
                <a:ext uri="{FF2B5EF4-FFF2-40B4-BE49-F238E27FC236}">
                  <a16:creationId xmlns:a16="http://schemas.microsoft.com/office/drawing/2014/main" id="{91C9CCDB-E942-F046-8C9E-A291312C2B2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8">
          <xdr14:nvContentPartPr>
            <xdr14:cNvPr id="478" name="Ink 477">
              <a:extLst>
                <a:ext uri="{FF2B5EF4-FFF2-40B4-BE49-F238E27FC236}">
                  <a16:creationId xmlns:a16="http://schemas.microsoft.com/office/drawing/2014/main" id="{673BFBAE-7B1C-1E45-A908-9719773449A0}"/>
                </a:ext>
              </a:extLst>
            </xdr14:cNvPr>
            <xdr14:cNvContentPartPr/>
          </xdr14:nvContentPartPr>
          <xdr14:nvPr macro=""/>
          <xdr14:xfrm>
            <a:off x="12973680" y="1366560"/>
            <a:ext cx="360" cy="360"/>
          </xdr14:xfrm>
        </xdr:contentPart>
      </mc:Choice>
      <mc:Fallback xmlns="">
        <xdr:pic>
          <xdr:nvPicPr>
            <xdr:cNvPr id="478" name="Ink 477">
              <a:extLst>
                <a:ext uri="{FF2B5EF4-FFF2-40B4-BE49-F238E27FC236}">
                  <a16:creationId xmlns:a16="http://schemas.microsoft.com/office/drawing/2014/main" id="{673BFBAE-7B1C-1E45-A908-9719773449A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9">
          <xdr14:nvContentPartPr>
            <xdr14:cNvPr id="479" name="Ink 478">
              <a:extLst>
                <a:ext uri="{FF2B5EF4-FFF2-40B4-BE49-F238E27FC236}">
                  <a16:creationId xmlns:a16="http://schemas.microsoft.com/office/drawing/2014/main" id="{E62435A6-4935-B641-A14A-50CBBFF5ECD7}"/>
                </a:ext>
              </a:extLst>
            </xdr14:cNvPr>
            <xdr14:cNvContentPartPr/>
          </xdr14:nvContentPartPr>
          <xdr14:nvPr macro=""/>
          <xdr14:xfrm>
            <a:off x="12846960" y="1192320"/>
            <a:ext cx="360" cy="360"/>
          </xdr14:xfrm>
        </xdr:contentPart>
      </mc:Choice>
      <mc:Fallback xmlns="">
        <xdr:pic>
          <xdr:nvPicPr>
            <xdr:cNvPr id="479" name="Ink 478">
              <a:extLst>
                <a:ext uri="{FF2B5EF4-FFF2-40B4-BE49-F238E27FC236}">
                  <a16:creationId xmlns:a16="http://schemas.microsoft.com/office/drawing/2014/main" id="{E62435A6-4935-B641-A14A-50CBBFF5ECD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0">
          <xdr14:nvContentPartPr>
            <xdr14:cNvPr id="480" name="Ink 479">
              <a:extLst>
                <a:ext uri="{FF2B5EF4-FFF2-40B4-BE49-F238E27FC236}">
                  <a16:creationId xmlns:a16="http://schemas.microsoft.com/office/drawing/2014/main" id="{0740BE2B-DB49-EC42-BB96-D68E51B40DFB}"/>
                </a:ext>
              </a:extLst>
            </xdr14:cNvPr>
            <xdr14:cNvContentPartPr/>
          </xdr14:nvContentPartPr>
          <xdr14:nvPr macro=""/>
          <xdr14:xfrm>
            <a:off x="12866040" y="1243440"/>
            <a:ext cx="360" cy="360"/>
          </xdr14:xfrm>
        </xdr:contentPart>
      </mc:Choice>
      <mc:Fallback xmlns="">
        <xdr:pic>
          <xdr:nvPicPr>
            <xdr:cNvPr id="480" name="Ink 479">
              <a:extLst>
                <a:ext uri="{FF2B5EF4-FFF2-40B4-BE49-F238E27FC236}">
                  <a16:creationId xmlns:a16="http://schemas.microsoft.com/office/drawing/2014/main" id="{0740BE2B-DB49-EC42-BB96-D68E51B40DF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1">
          <xdr14:nvContentPartPr>
            <xdr14:cNvPr id="481" name="Ink 480">
              <a:extLst>
                <a:ext uri="{FF2B5EF4-FFF2-40B4-BE49-F238E27FC236}">
                  <a16:creationId xmlns:a16="http://schemas.microsoft.com/office/drawing/2014/main" id="{BCF24E8B-E55A-8943-A76C-F33C192A5193}"/>
                </a:ext>
              </a:extLst>
            </xdr14:cNvPr>
            <xdr14:cNvContentPartPr/>
          </xdr14:nvContentPartPr>
          <xdr14:nvPr macro=""/>
          <xdr14:xfrm>
            <a:off x="12973680" y="1366560"/>
            <a:ext cx="360" cy="360"/>
          </xdr14:xfrm>
        </xdr:contentPart>
      </mc:Choice>
      <mc:Fallback xmlns="">
        <xdr:pic>
          <xdr:nvPicPr>
            <xdr:cNvPr id="481" name="Ink 480">
              <a:extLst>
                <a:ext uri="{FF2B5EF4-FFF2-40B4-BE49-F238E27FC236}">
                  <a16:creationId xmlns:a16="http://schemas.microsoft.com/office/drawing/2014/main" id="{BCF24E8B-E55A-8943-A76C-F33C192A519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2">
          <xdr14:nvContentPartPr>
            <xdr14:cNvPr id="482" name="Ink 481">
              <a:extLst>
                <a:ext uri="{FF2B5EF4-FFF2-40B4-BE49-F238E27FC236}">
                  <a16:creationId xmlns:a16="http://schemas.microsoft.com/office/drawing/2014/main" id="{2EB8E605-F720-B04C-9709-32DEA4F0EBFC}"/>
                </a:ext>
              </a:extLst>
            </xdr14:cNvPr>
            <xdr14:cNvContentPartPr/>
          </xdr14:nvContentPartPr>
          <xdr14:nvPr macro=""/>
          <xdr14:xfrm>
            <a:off x="12846960" y="1192320"/>
            <a:ext cx="360" cy="360"/>
          </xdr14:xfrm>
        </xdr:contentPart>
      </mc:Choice>
      <mc:Fallback xmlns="">
        <xdr:pic>
          <xdr:nvPicPr>
            <xdr:cNvPr id="482" name="Ink 481">
              <a:extLst>
                <a:ext uri="{FF2B5EF4-FFF2-40B4-BE49-F238E27FC236}">
                  <a16:creationId xmlns:a16="http://schemas.microsoft.com/office/drawing/2014/main" id="{2EB8E605-F720-B04C-9709-32DEA4F0EBF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3">
          <xdr14:nvContentPartPr>
            <xdr14:cNvPr id="483" name="Ink 482">
              <a:extLst>
                <a:ext uri="{FF2B5EF4-FFF2-40B4-BE49-F238E27FC236}">
                  <a16:creationId xmlns:a16="http://schemas.microsoft.com/office/drawing/2014/main" id="{AA6E050B-6DA8-E24C-8CAB-069A1F30B857}"/>
                </a:ext>
              </a:extLst>
            </xdr14:cNvPr>
            <xdr14:cNvContentPartPr/>
          </xdr14:nvContentPartPr>
          <xdr14:nvPr macro=""/>
          <xdr14:xfrm>
            <a:off x="12866040" y="1243440"/>
            <a:ext cx="360" cy="360"/>
          </xdr14:xfrm>
        </xdr:contentPart>
      </mc:Choice>
      <mc:Fallback xmlns="">
        <xdr:pic>
          <xdr:nvPicPr>
            <xdr:cNvPr id="483" name="Ink 482">
              <a:extLst>
                <a:ext uri="{FF2B5EF4-FFF2-40B4-BE49-F238E27FC236}">
                  <a16:creationId xmlns:a16="http://schemas.microsoft.com/office/drawing/2014/main" id="{AA6E050B-6DA8-E24C-8CAB-069A1F30B85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4">
          <xdr14:nvContentPartPr>
            <xdr14:cNvPr id="484" name="Ink 483">
              <a:extLst>
                <a:ext uri="{FF2B5EF4-FFF2-40B4-BE49-F238E27FC236}">
                  <a16:creationId xmlns:a16="http://schemas.microsoft.com/office/drawing/2014/main" id="{43F20C22-45CF-1447-94FD-4BBEFE45FB63}"/>
                </a:ext>
              </a:extLst>
            </xdr14:cNvPr>
            <xdr14:cNvContentPartPr/>
          </xdr14:nvContentPartPr>
          <xdr14:nvPr macro=""/>
          <xdr14:xfrm>
            <a:off x="12973680" y="1366560"/>
            <a:ext cx="360" cy="360"/>
          </xdr14:xfrm>
        </xdr:contentPart>
      </mc:Choice>
      <mc:Fallback xmlns="">
        <xdr:pic>
          <xdr:nvPicPr>
            <xdr:cNvPr id="484" name="Ink 483">
              <a:extLst>
                <a:ext uri="{FF2B5EF4-FFF2-40B4-BE49-F238E27FC236}">
                  <a16:creationId xmlns:a16="http://schemas.microsoft.com/office/drawing/2014/main" id="{43F20C22-45CF-1447-94FD-4BBEFE45FB6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5">
          <xdr14:nvContentPartPr>
            <xdr14:cNvPr id="485" name="Ink 484">
              <a:extLst>
                <a:ext uri="{FF2B5EF4-FFF2-40B4-BE49-F238E27FC236}">
                  <a16:creationId xmlns:a16="http://schemas.microsoft.com/office/drawing/2014/main" id="{6140D680-2686-9B4C-94FF-0D74D8FC0B65}"/>
                </a:ext>
              </a:extLst>
            </xdr14:cNvPr>
            <xdr14:cNvContentPartPr/>
          </xdr14:nvContentPartPr>
          <xdr14:nvPr macro=""/>
          <xdr14:xfrm>
            <a:off x="12846960" y="1192320"/>
            <a:ext cx="360" cy="360"/>
          </xdr14:xfrm>
        </xdr:contentPart>
      </mc:Choice>
      <mc:Fallback xmlns="">
        <xdr:pic>
          <xdr:nvPicPr>
            <xdr:cNvPr id="485" name="Ink 484">
              <a:extLst>
                <a:ext uri="{FF2B5EF4-FFF2-40B4-BE49-F238E27FC236}">
                  <a16:creationId xmlns:a16="http://schemas.microsoft.com/office/drawing/2014/main" id="{6140D680-2686-9B4C-94FF-0D74D8FC0B6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6">
          <xdr14:nvContentPartPr>
            <xdr14:cNvPr id="486" name="Ink 485">
              <a:extLst>
                <a:ext uri="{FF2B5EF4-FFF2-40B4-BE49-F238E27FC236}">
                  <a16:creationId xmlns:a16="http://schemas.microsoft.com/office/drawing/2014/main" id="{E6498580-1931-3740-B1B2-CB4EA5E5E5F0}"/>
                </a:ext>
              </a:extLst>
            </xdr14:cNvPr>
            <xdr14:cNvContentPartPr/>
          </xdr14:nvContentPartPr>
          <xdr14:nvPr macro=""/>
          <xdr14:xfrm>
            <a:off x="12866040" y="1243440"/>
            <a:ext cx="360" cy="360"/>
          </xdr14:xfrm>
        </xdr:contentPart>
      </mc:Choice>
      <mc:Fallback xmlns="">
        <xdr:pic>
          <xdr:nvPicPr>
            <xdr:cNvPr id="486" name="Ink 485">
              <a:extLst>
                <a:ext uri="{FF2B5EF4-FFF2-40B4-BE49-F238E27FC236}">
                  <a16:creationId xmlns:a16="http://schemas.microsoft.com/office/drawing/2014/main" id="{E6498580-1931-3740-B1B2-CB4EA5E5E5F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7">
          <xdr14:nvContentPartPr>
            <xdr14:cNvPr id="487" name="Ink 486">
              <a:extLst>
                <a:ext uri="{FF2B5EF4-FFF2-40B4-BE49-F238E27FC236}">
                  <a16:creationId xmlns:a16="http://schemas.microsoft.com/office/drawing/2014/main" id="{F6C00DB2-4E07-6A4B-9EF1-9DCB9030BF3F}"/>
                </a:ext>
              </a:extLst>
            </xdr14:cNvPr>
            <xdr14:cNvContentPartPr/>
          </xdr14:nvContentPartPr>
          <xdr14:nvPr macro=""/>
          <xdr14:xfrm>
            <a:off x="12973680" y="1366560"/>
            <a:ext cx="360" cy="360"/>
          </xdr14:xfrm>
        </xdr:contentPart>
      </mc:Choice>
      <mc:Fallback xmlns="">
        <xdr:pic>
          <xdr:nvPicPr>
            <xdr:cNvPr id="487" name="Ink 486">
              <a:extLst>
                <a:ext uri="{FF2B5EF4-FFF2-40B4-BE49-F238E27FC236}">
                  <a16:creationId xmlns:a16="http://schemas.microsoft.com/office/drawing/2014/main" id="{F6C00DB2-4E07-6A4B-9EF1-9DCB9030BF3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8">
          <xdr14:nvContentPartPr>
            <xdr14:cNvPr id="488" name="Ink 487">
              <a:extLst>
                <a:ext uri="{FF2B5EF4-FFF2-40B4-BE49-F238E27FC236}">
                  <a16:creationId xmlns:a16="http://schemas.microsoft.com/office/drawing/2014/main" id="{53E32378-608A-DE46-9AA4-28EF452D0590}"/>
                </a:ext>
              </a:extLst>
            </xdr14:cNvPr>
            <xdr14:cNvContentPartPr/>
          </xdr14:nvContentPartPr>
          <xdr14:nvPr macro=""/>
          <xdr14:xfrm>
            <a:off x="12846960" y="1192320"/>
            <a:ext cx="360" cy="360"/>
          </xdr14:xfrm>
        </xdr:contentPart>
      </mc:Choice>
      <mc:Fallback xmlns="">
        <xdr:pic>
          <xdr:nvPicPr>
            <xdr:cNvPr id="488" name="Ink 487">
              <a:extLst>
                <a:ext uri="{FF2B5EF4-FFF2-40B4-BE49-F238E27FC236}">
                  <a16:creationId xmlns:a16="http://schemas.microsoft.com/office/drawing/2014/main" id="{53E32378-608A-DE46-9AA4-28EF452D059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9">
          <xdr14:nvContentPartPr>
            <xdr14:cNvPr id="489" name="Ink 488">
              <a:extLst>
                <a:ext uri="{FF2B5EF4-FFF2-40B4-BE49-F238E27FC236}">
                  <a16:creationId xmlns:a16="http://schemas.microsoft.com/office/drawing/2014/main" id="{F918BF6E-5BE0-FE41-B416-BD4590586A60}"/>
                </a:ext>
              </a:extLst>
            </xdr14:cNvPr>
            <xdr14:cNvContentPartPr/>
          </xdr14:nvContentPartPr>
          <xdr14:nvPr macro=""/>
          <xdr14:xfrm>
            <a:off x="12866040" y="1243440"/>
            <a:ext cx="360" cy="360"/>
          </xdr14:xfrm>
        </xdr:contentPart>
      </mc:Choice>
      <mc:Fallback xmlns="">
        <xdr:pic>
          <xdr:nvPicPr>
            <xdr:cNvPr id="489" name="Ink 488">
              <a:extLst>
                <a:ext uri="{FF2B5EF4-FFF2-40B4-BE49-F238E27FC236}">
                  <a16:creationId xmlns:a16="http://schemas.microsoft.com/office/drawing/2014/main" id="{F918BF6E-5BE0-FE41-B416-BD4590586A6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0">
          <xdr14:nvContentPartPr>
            <xdr14:cNvPr id="490" name="Ink 489">
              <a:extLst>
                <a:ext uri="{FF2B5EF4-FFF2-40B4-BE49-F238E27FC236}">
                  <a16:creationId xmlns:a16="http://schemas.microsoft.com/office/drawing/2014/main" id="{375C2267-FFE2-0948-A76E-10EB03E13876}"/>
                </a:ext>
              </a:extLst>
            </xdr14:cNvPr>
            <xdr14:cNvContentPartPr/>
          </xdr14:nvContentPartPr>
          <xdr14:nvPr macro=""/>
          <xdr14:xfrm>
            <a:off x="12973680" y="1366560"/>
            <a:ext cx="360" cy="360"/>
          </xdr14:xfrm>
        </xdr:contentPart>
      </mc:Choice>
      <mc:Fallback xmlns="">
        <xdr:pic>
          <xdr:nvPicPr>
            <xdr:cNvPr id="490" name="Ink 489">
              <a:extLst>
                <a:ext uri="{FF2B5EF4-FFF2-40B4-BE49-F238E27FC236}">
                  <a16:creationId xmlns:a16="http://schemas.microsoft.com/office/drawing/2014/main" id="{375C2267-FFE2-0948-A76E-10EB03E1387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1">
          <xdr14:nvContentPartPr>
            <xdr14:cNvPr id="491" name="Ink 490">
              <a:extLst>
                <a:ext uri="{FF2B5EF4-FFF2-40B4-BE49-F238E27FC236}">
                  <a16:creationId xmlns:a16="http://schemas.microsoft.com/office/drawing/2014/main" id="{1C3B177B-C6AF-B64B-A8A7-381D9C6E0549}"/>
                </a:ext>
              </a:extLst>
            </xdr14:cNvPr>
            <xdr14:cNvContentPartPr/>
          </xdr14:nvContentPartPr>
          <xdr14:nvPr macro=""/>
          <xdr14:xfrm>
            <a:off x="12846960" y="1192320"/>
            <a:ext cx="360" cy="360"/>
          </xdr14:xfrm>
        </xdr:contentPart>
      </mc:Choice>
      <mc:Fallback xmlns="">
        <xdr:pic>
          <xdr:nvPicPr>
            <xdr:cNvPr id="491" name="Ink 490">
              <a:extLst>
                <a:ext uri="{FF2B5EF4-FFF2-40B4-BE49-F238E27FC236}">
                  <a16:creationId xmlns:a16="http://schemas.microsoft.com/office/drawing/2014/main" id="{1C3B177B-C6AF-B64B-A8A7-381D9C6E054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2">
          <xdr14:nvContentPartPr>
            <xdr14:cNvPr id="492" name="Ink 491">
              <a:extLst>
                <a:ext uri="{FF2B5EF4-FFF2-40B4-BE49-F238E27FC236}">
                  <a16:creationId xmlns:a16="http://schemas.microsoft.com/office/drawing/2014/main" id="{8626F84E-1DBF-F641-809D-59C2B9F48623}"/>
                </a:ext>
              </a:extLst>
            </xdr14:cNvPr>
            <xdr14:cNvContentPartPr/>
          </xdr14:nvContentPartPr>
          <xdr14:nvPr macro=""/>
          <xdr14:xfrm>
            <a:off x="12866040" y="1243440"/>
            <a:ext cx="360" cy="360"/>
          </xdr14:xfrm>
        </xdr:contentPart>
      </mc:Choice>
      <mc:Fallback xmlns="">
        <xdr:pic>
          <xdr:nvPicPr>
            <xdr:cNvPr id="492" name="Ink 491">
              <a:extLst>
                <a:ext uri="{FF2B5EF4-FFF2-40B4-BE49-F238E27FC236}">
                  <a16:creationId xmlns:a16="http://schemas.microsoft.com/office/drawing/2014/main" id="{8626F84E-1DBF-F641-809D-59C2B9F4862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3">
          <xdr14:nvContentPartPr>
            <xdr14:cNvPr id="493" name="Ink 492">
              <a:extLst>
                <a:ext uri="{FF2B5EF4-FFF2-40B4-BE49-F238E27FC236}">
                  <a16:creationId xmlns:a16="http://schemas.microsoft.com/office/drawing/2014/main" id="{EC23D26E-8215-8B4F-BF0B-80E1FE479C3A}"/>
                </a:ext>
              </a:extLst>
            </xdr14:cNvPr>
            <xdr14:cNvContentPartPr/>
          </xdr14:nvContentPartPr>
          <xdr14:nvPr macro=""/>
          <xdr14:xfrm>
            <a:off x="12973680" y="1366560"/>
            <a:ext cx="360" cy="360"/>
          </xdr14:xfrm>
        </xdr:contentPart>
      </mc:Choice>
      <mc:Fallback xmlns="">
        <xdr:pic>
          <xdr:nvPicPr>
            <xdr:cNvPr id="493" name="Ink 492">
              <a:extLst>
                <a:ext uri="{FF2B5EF4-FFF2-40B4-BE49-F238E27FC236}">
                  <a16:creationId xmlns:a16="http://schemas.microsoft.com/office/drawing/2014/main" id="{EC23D26E-8215-8B4F-BF0B-80E1FE479C3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4">
          <xdr14:nvContentPartPr>
            <xdr14:cNvPr id="494" name="Ink 493">
              <a:extLst>
                <a:ext uri="{FF2B5EF4-FFF2-40B4-BE49-F238E27FC236}">
                  <a16:creationId xmlns:a16="http://schemas.microsoft.com/office/drawing/2014/main" id="{C8065FC3-B6FF-8940-B1AB-6677392CBE3C}"/>
                </a:ext>
              </a:extLst>
            </xdr14:cNvPr>
            <xdr14:cNvContentPartPr/>
          </xdr14:nvContentPartPr>
          <xdr14:nvPr macro=""/>
          <xdr14:xfrm>
            <a:off x="12846960" y="1192320"/>
            <a:ext cx="360" cy="360"/>
          </xdr14:xfrm>
        </xdr:contentPart>
      </mc:Choice>
      <mc:Fallback xmlns="">
        <xdr:pic>
          <xdr:nvPicPr>
            <xdr:cNvPr id="494" name="Ink 493">
              <a:extLst>
                <a:ext uri="{FF2B5EF4-FFF2-40B4-BE49-F238E27FC236}">
                  <a16:creationId xmlns:a16="http://schemas.microsoft.com/office/drawing/2014/main" id="{C8065FC3-B6FF-8940-B1AB-6677392CBE3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5">
          <xdr14:nvContentPartPr>
            <xdr14:cNvPr id="495" name="Ink 494">
              <a:extLst>
                <a:ext uri="{FF2B5EF4-FFF2-40B4-BE49-F238E27FC236}">
                  <a16:creationId xmlns:a16="http://schemas.microsoft.com/office/drawing/2014/main" id="{2B264033-FA35-BB44-BCBE-150BAD824A5C}"/>
                </a:ext>
              </a:extLst>
            </xdr14:cNvPr>
            <xdr14:cNvContentPartPr/>
          </xdr14:nvContentPartPr>
          <xdr14:nvPr macro=""/>
          <xdr14:xfrm>
            <a:off x="12866040" y="1243440"/>
            <a:ext cx="360" cy="360"/>
          </xdr14:xfrm>
        </xdr:contentPart>
      </mc:Choice>
      <mc:Fallback xmlns="">
        <xdr:pic>
          <xdr:nvPicPr>
            <xdr:cNvPr id="495" name="Ink 494">
              <a:extLst>
                <a:ext uri="{FF2B5EF4-FFF2-40B4-BE49-F238E27FC236}">
                  <a16:creationId xmlns:a16="http://schemas.microsoft.com/office/drawing/2014/main" id="{2B264033-FA35-BB44-BCBE-150BAD824A5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6">
          <xdr14:nvContentPartPr>
            <xdr14:cNvPr id="496" name="Ink 495">
              <a:extLst>
                <a:ext uri="{FF2B5EF4-FFF2-40B4-BE49-F238E27FC236}">
                  <a16:creationId xmlns:a16="http://schemas.microsoft.com/office/drawing/2014/main" id="{5412F8BA-70BE-984A-846F-42091BC67E54}"/>
                </a:ext>
              </a:extLst>
            </xdr14:cNvPr>
            <xdr14:cNvContentPartPr/>
          </xdr14:nvContentPartPr>
          <xdr14:nvPr macro=""/>
          <xdr14:xfrm>
            <a:off x="12973680" y="1366560"/>
            <a:ext cx="360" cy="360"/>
          </xdr14:xfrm>
        </xdr:contentPart>
      </mc:Choice>
      <mc:Fallback xmlns="">
        <xdr:pic>
          <xdr:nvPicPr>
            <xdr:cNvPr id="496" name="Ink 495">
              <a:extLst>
                <a:ext uri="{FF2B5EF4-FFF2-40B4-BE49-F238E27FC236}">
                  <a16:creationId xmlns:a16="http://schemas.microsoft.com/office/drawing/2014/main" id="{5412F8BA-70BE-984A-846F-42091BC67E5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7">
          <xdr14:nvContentPartPr>
            <xdr14:cNvPr id="497" name="Ink 496">
              <a:extLst>
                <a:ext uri="{FF2B5EF4-FFF2-40B4-BE49-F238E27FC236}">
                  <a16:creationId xmlns:a16="http://schemas.microsoft.com/office/drawing/2014/main" id="{CA932E09-210D-8144-A045-58CDB1F32995}"/>
                </a:ext>
              </a:extLst>
            </xdr14:cNvPr>
            <xdr14:cNvContentPartPr/>
          </xdr14:nvContentPartPr>
          <xdr14:nvPr macro=""/>
          <xdr14:xfrm>
            <a:off x="12846960" y="1192320"/>
            <a:ext cx="360" cy="360"/>
          </xdr14:xfrm>
        </xdr:contentPart>
      </mc:Choice>
      <mc:Fallback xmlns="">
        <xdr:pic>
          <xdr:nvPicPr>
            <xdr:cNvPr id="497" name="Ink 496">
              <a:extLst>
                <a:ext uri="{FF2B5EF4-FFF2-40B4-BE49-F238E27FC236}">
                  <a16:creationId xmlns:a16="http://schemas.microsoft.com/office/drawing/2014/main" id="{CA932E09-210D-8144-A045-58CDB1F3299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8">
          <xdr14:nvContentPartPr>
            <xdr14:cNvPr id="498" name="Ink 497">
              <a:extLst>
                <a:ext uri="{FF2B5EF4-FFF2-40B4-BE49-F238E27FC236}">
                  <a16:creationId xmlns:a16="http://schemas.microsoft.com/office/drawing/2014/main" id="{CDA2EB86-D9BC-4445-8E16-EC3A0414F6C9}"/>
                </a:ext>
              </a:extLst>
            </xdr14:cNvPr>
            <xdr14:cNvContentPartPr/>
          </xdr14:nvContentPartPr>
          <xdr14:nvPr macro=""/>
          <xdr14:xfrm>
            <a:off x="12866040" y="1243440"/>
            <a:ext cx="360" cy="360"/>
          </xdr14:xfrm>
        </xdr:contentPart>
      </mc:Choice>
      <mc:Fallback xmlns="">
        <xdr:pic>
          <xdr:nvPicPr>
            <xdr:cNvPr id="498" name="Ink 497">
              <a:extLst>
                <a:ext uri="{FF2B5EF4-FFF2-40B4-BE49-F238E27FC236}">
                  <a16:creationId xmlns:a16="http://schemas.microsoft.com/office/drawing/2014/main" id="{CDA2EB86-D9BC-4445-8E16-EC3A0414F6C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9">
          <xdr14:nvContentPartPr>
            <xdr14:cNvPr id="499" name="Ink 498">
              <a:extLst>
                <a:ext uri="{FF2B5EF4-FFF2-40B4-BE49-F238E27FC236}">
                  <a16:creationId xmlns:a16="http://schemas.microsoft.com/office/drawing/2014/main" id="{C7EA9428-172F-8F4C-8E88-F387802BE4D3}"/>
                </a:ext>
              </a:extLst>
            </xdr14:cNvPr>
            <xdr14:cNvContentPartPr/>
          </xdr14:nvContentPartPr>
          <xdr14:nvPr macro=""/>
          <xdr14:xfrm>
            <a:off x="12973680" y="1366560"/>
            <a:ext cx="360" cy="360"/>
          </xdr14:xfrm>
        </xdr:contentPart>
      </mc:Choice>
      <mc:Fallback xmlns="">
        <xdr:pic>
          <xdr:nvPicPr>
            <xdr:cNvPr id="499" name="Ink 498">
              <a:extLst>
                <a:ext uri="{FF2B5EF4-FFF2-40B4-BE49-F238E27FC236}">
                  <a16:creationId xmlns:a16="http://schemas.microsoft.com/office/drawing/2014/main" id="{C7EA9428-172F-8F4C-8E88-F387802BE4D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0">
          <xdr14:nvContentPartPr>
            <xdr14:cNvPr id="500" name="Ink 499">
              <a:extLst>
                <a:ext uri="{FF2B5EF4-FFF2-40B4-BE49-F238E27FC236}">
                  <a16:creationId xmlns:a16="http://schemas.microsoft.com/office/drawing/2014/main" id="{007CCE8B-F614-BB4C-B0C4-F254904C7804}"/>
                </a:ext>
              </a:extLst>
            </xdr14:cNvPr>
            <xdr14:cNvContentPartPr/>
          </xdr14:nvContentPartPr>
          <xdr14:nvPr macro=""/>
          <xdr14:xfrm>
            <a:off x="12846960" y="1192320"/>
            <a:ext cx="360" cy="360"/>
          </xdr14:xfrm>
        </xdr:contentPart>
      </mc:Choice>
      <mc:Fallback xmlns="">
        <xdr:pic>
          <xdr:nvPicPr>
            <xdr:cNvPr id="500" name="Ink 499">
              <a:extLst>
                <a:ext uri="{FF2B5EF4-FFF2-40B4-BE49-F238E27FC236}">
                  <a16:creationId xmlns:a16="http://schemas.microsoft.com/office/drawing/2014/main" id="{007CCE8B-F614-BB4C-B0C4-F254904C780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1">
          <xdr14:nvContentPartPr>
            <xdr14:cNvPr id="501" name="Ink 500">
              <a:extLst>
                <a:ext uri="{FF2B5EF4-FFF2-40B4-BE49-F238E27FC236}">
                  <a16:creationId xmlns:a16="http://schemas.microsoft.com/office/drawing/2014/main" id="{76C4E75D-AE10-3E4D-891F-F6081BC72801}"/>
                </a:ext>
              </a:extLst>
            </xdr14:cNvPr>
            <xdr14:cNvContentPartPr/>
          </xdr14:nvContentPartPr>
          <xdr14:nvPr macro=""/>
          <xdr14:xfrm>
            <a:off x="12866040" y="1243440"/>
            <a:ext cx="360" cy="360"/>
          </xdr14:xfrm>
        </xdr:contentPart>
      </mc:Choice>
      <mc:Fallback xmlns="">
        <xdr:pic>
          <xdr:nvPicPr>
            <xdr:cNvPr id="501" name="Ink 500">
              <a:extLst>
                <a:ext uri="{FF2B5EF4-FFF2-40B4-BE49-F238E27FC236}">
                  <a16:creationId xmlns:a16="http://schemas.microsoft.com/office/drawing/2014/main" id="{76C4E75D-AE10-3E4D-891F-F6081BC7280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2">
          <xdr14:nvContentPartPr>
            <xdr14:cNvPr id="502" name="Ink 501">
              <a:extLst>
                <a:ext uri="{FF2B5EF4-FFF2-40B4-BE49-F238E27FC236}">
                  <a16:creationId xmlns:a16="http://schemas.microsoft.com/office/drawing/2014/main" id="{63C2996A-E037-CA49-9D15-85A910DFF04A}"/>
                </a:ext>
              </a:extLst>
            </xdr14:cNvPr>
            <xdr14:cNvContentPartPr/>
          </xdr14:nvContentPartPr>
          <xdr14:nvPr macro=""/>
          <xdr14:xfrm>
            <a:off x="12973680" y="1366560"/>
            <a:ext cx="360" cy="360"/>
          </xdr14:xfrm>
        </xdr:contentPart>
      </mc:Choice>
      <mc:Fallback xmlns="">
        <xdr:pic>
          <xdr:nvPicPr>
            <xdr:cNvPr id="502" name="Ink 501">
              <a:extLst>
                <a:ext uri="{FF2B5EF4-FFF2-40B4-BE49-F238E27FC236}">
                  <a16:creationId xmlns:a16="http://schemas.microsoft.com/office/drawing/2014/main" id="{63C2996A-E037-CA49-9D15-85A910DFF04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3">
          <xdr14:nvContentPartPr>
            <xdr14:cNvPr id="503" name="Ink 502">
              <a:extLst>
                <a:ext uri="{FF2B5EF4-FFF2-40B4-BE49-F238E27FC236}">
                  <a16:creationId xmlns:a16="http://schemas.microsoft.com/office/drawing/2014/main" id="{C34D78B7-1A4D-ED41-B311-EA8ADBA3ED2D}"/>
                </a:ext>
              </a:extLst>
            </xdr14:cNvPr>
            <xdr14:cNvContentPartPr/>
          </xdr14:nvContentPartPr>
          <xdr14:nvPr macro=""/>
          <xdr14:xfrm>
            <a:off x="12846960" y="1192320"/>
            <a:ext cx="360" cy="360"/>
          </xdr14:xfrm>
        </xdr:contentPart>
      </mc:Choice>
      <mc:Fallback xmlns="">
        <xdr:pic>
          <xdr:nvPicPr>
            <xdr:cNvPr id="503" name="Ink 502">
              <a:extLst>
                <a:ext uri="{FF2B5EF4-FFF2-40B4-BE49-F238E27FC236}">
                  <a16:creationId xmlns:a16="http://schemas.microsoft.com/office/drawing/2014/main" id="{C34D78B7-1A4D-ED41-B311-EA8ADBA3ED2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4">
          <xdr14:nvContentPartPr>
            <xdr14:cNvPr id="504" name="Ink 503">
              <a:extLst>
                <a:ext uri="{FF2B5EF4-FFF2-40B4-BE49-F238E27FC236}">
                  <a16:creationId xmlns:a16="http://schemas.microsoft.com/office/drawing/2014/main" id="{8BDAC739-8EDD-3B47-995D-5F9BE122E616}"/>
                </a:ext>
              </a:extLst>
            </xdr14:cNvPr>
            <xdr14:cNvContentPartPr/>
          </xdr14:nvContentPartPr>
          <xdr14:nvPr macro=""/>
          <xdr14:xfrm>
            <a:off x="12866040" y="1243440"/>
            <a:ext cx="360" cy="360"/>
          </xdr14:xfrm>
        </xdr:contentPart>
      </mc:Choice>
      <mc:Fallback xmlns="">
        <xdr:pic>
          <xdr:nvPicPr>
            <xdr:cNvPr id="504" name="Ink 503">
              <a:extLst>
                <a:ext uri="{FF2B5EF4-FFF2-40B4-BE49-F238E27FC236}">
                  <a16:creationId xmlns:a16="http://schemas.microsoft.com/office/drawing/2014/main" id="{8BDAC739-8EDD-3B47-995D-5F9BE122E61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5">
          <xdr14:nvContentPartPr>
            <xdr14:cNvPr id="505" name="Ink 504">
              <a:extLst>
                <a:ext uri="{FF2B5EF4-FFF2-40B4-BE49-F238E27FC236}">
                  <a16:creationId xmlns:a16="http://schemas.microsoft.com/office/drawing/2014/main" id="{0B603CD2-13D2-9048-9990-93FD3D007704}"/>
                </a:ext>
              </a:extLst>
            </xdr14:cNvPr>
            <xdr14:cNvContentPartPr/>
          </xdr14:nvContentPartPr>
          <xdr14:nvPr macro=""/>
          <xdr14:xfrm>
            <a:off x="12973680" y="1366560"/>
            <a:ext cx="360" cy="360"/>
          </xdr14:xfrm>
        </xdr:contentPart>
      </mc:Choice>
      <mc:Fallback xmlns="">
        <xdr:pic>
          <xdr:nvPicPr>
            <xdr:cNvPr id="505" name="Ink 504">
              <a:extLst>
                <a:ext uri="{FF2B5EF4-FFF2-40B4-BE49-F238E27FC236}">
                  <a16:creationId xmlns:a16="http://schemas.microsoft.com/office/drawing/2014/main" id="{0B603CD2-13D2-9048-9990-93FD3D00770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6">
          <xdr14:nvContentPartPr>
            <xdr14:cNvPr id="506" name="Ink 505">
              <a:extLst>
                <a:ext uri="{FF2B5EF4-FFF2-40B4-BE49-F238E27FC236}">
                  <a16:creationId xmlns:a16="http://schemas.microsoft.com/office/drawing/2014/main" id="{06DB7B84-D1A5-E643-9A6F-F410918D9A6E}"/>
                </a:ext>
              </a:extLst>
            </xdr14:cNvPr>
            <xdr14:cNvContentPartPr/>
          </xdr14:nvContentPartPr>
          <xdr14:nvPr macro=""/>
          <xdr14:xfrm>
            <a:off x="12846960" y="1192320"/>
            <a:ext cx="360" cy="360"/>
          </xdr14:xfrm>
        </xdr:contentPart>
      </mc:Choice>
      <mc:Fallback xmlns="">
        <xdr:pic>
          <xdr:nvPicPr>
            <xdr:cNvPr id="506" name="Ink 505">
              <a:extLst>
                <a:ext uri="{FF2B5EF4-FFF2-40B4-BE49-F238E27FC236}">
                  <a16:creationId xmlns:a16="http://schemas.microsoft.com/office/drawing/2014/main" id="{06DB7B84-D1A5-E643-9A6F-F410918D9A6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7">
          <xdr14:nvContentPartPr>
            <xdr14:cNvPr id="507" name="Ink 506">
              <a:extLst>
                <a:ext uri="{FF2B5EF4-FFF2-40B4-BE49-F238E27FC236}">
                  <a16:creationId xmlns:a16="http://schemas.microsoft.com/office/drawing/2014/main" id="{BDD538C9-0DD5-3344-93FF-865171126147}"/>
                </a:ext>
              </a:extLst>
            </xdr14:cNvPr>
            <xdr14:cNvContentPartPr/>
          </xdr14:nvContentPartPr>
          <xdr14:nvPr macro=""/>
          <xdr14:xfrm>
            <a:off x="12866040" y="1243440"/>
            <a:ext cx="360" cy="360"/>
          </xdr14:xfrm>
        </xdr:contentPart>
      </mc:Choice>
      <mc:Fallback xmlns="">
        <xdr:pic>
          <xdr:nvPicPr>
            <xdr:cNvPr id="507" name="Ink 506">
              <a:extLst>
                <a:ext uri="{FF2B5EF4-FFF2-40B4-BE49-F238E27FC236}">
                  <a16:creationId xmlns:a16="http://schemas.microsoft.com/office/drawing/2014/main" id="{BDD538C9-0DD5-3344-93FF-86517112614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8">
          <xdr14:nvContentPartPr>
            <xdr14:cNvPr id="508" name="Ink 507">
              <a:extLst>
                <a:ext uri="{FF2B5EF4-FFF2-40B4-BE49-F238E27FC236}">
                  <a16:creationId xmlns:a16="http://schemas.microsoft.com/office/drawing/2014/main" id="{DF119AD3-4BDD-1347-85E0-AD5B4D5A8B05}"/>
                </a:ext>
              </a:extLst>
            </xdr14:cNvPr>
            <xdr14:cNvContentPartPr/>
          </xdr14:nvContentPartPr>
          <xdr14:nvPr macro=""/>
          <xdr14:xfrm>
            <a:off x="12973680" y="1366560"/>
            <a:ext cx="360" cy="360"/>
          </xdr14:xfrm>
        </xdr:contentPart>
      </mc:Choice>
      <mc:Fallback xmlns="">
        <xdr:pic>
          <xdr:nvPicPr>
            <xdr:cNvPr id="508" name="Ink 507">
              <a:extLst>
                <a:ext uri="{FF2B5EF4-FFF2-40B4-BE49-F238E27FC236}">
                  <a16:creationId xmlns:a16="http://schemas.microsoft.com/office/drawing/2014/main" id="{DF119AD3-4BDD-1347-85E0-AD5B4D5A8B0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9">
          <xdr14:nvContentPartPr>
            <xdr14:cNvPr id="509" name="Ink 508">
              <a:extLst>
                <a:ext uri="{FF2B5EF4-FFF2-40B4-BE49-F238E27FC236}">
                  <a16:creationId xmlns:a16="http://schemas.microsoft.com/office/drawing/2014/main" id="{7F78888A-9798-6F4C-8507-72C3927A2658}"/>
                </a:ext>
              </a:extLst>
            </xdr14:cNvPr>
            <xdr14:cNvContentPartPr/>
          </xdr14:nvContentPartPr>
          <xdr14:nvPr macro=""/>
          <xdr14:xfrm>
            <a:off x="12846960" y="1192320"/>
            <a:ext cx="360" cy="360"/>
          </xdr14:xfrm>
        </xdr:contentPart>
      </mc:Choice>
      <mc:Fallback xmlns="">
        <xdr:pic>
          <xdr:nvPicPr>
            <xdr:cNvPr id="509" name="Ink 508">
              <a:extLst>
                <a:ext uri="{FF2B5EF4-FFF2-40B4-BE49-F238E27FC236}">
                  <a16:creationId xmlns:a16="http://schemas.microsoft.com/office/drawing/2014/main" id="{7F78888A-9798-6F4C-8507-72C3927A265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0">
          <xdr14:nvContentPartPr>
            <xdr14:cNvPr id="510" name="Ink 509">
              <a:extLst>
                <a:ext uri="{FF2B5EF4-FFF2-40B4-BE49-F238E27FC236}">
                  <a16:creationId xmlns:a16="http://schemas.microsoft.com/office/drawing/2014/main" id="{C364FA29-E2BB-0D45-97CB-7BB7AB91866E}"/>
                </a:ext>
              </a:extLst>
            </xdr14:cNvPr>
            <xdr14:cNvContentPartPr/>
          </xdr14:nvContentPartPr>
          <xdr14:nvPr macro=""/>
          <xdr14:xfrm>
            <a:off x="12866040" y="1243440"/>
            <a:ext cx="360" cy="360"/>
          </xdr14:xfrm>
        </xdr:contentPart>
      </mc:Choice>
      <mc:Fallback xmlns="">
        <xdr:pic>
          <xdr:nvPicPr>
            <xdr:cNvPr id="510" name="Ink 509">
              <a:extLst>
                <a:ext uri="{FF2B5EF4-FFF2-40B4-BE49-F238E27FC236}">
                  <a16:creationId xmlns:a16="http://schemas.microsoft.com/office/drawing/2014/main" id="{C364FA29-E2BB-0D45-97CB-7BB7AB91866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1">
          <xdr14:nvContentPartPr>
            <xdr14:cNvPr id="511" name="Ink 510">
              <a:extLst>
                <a:ext uri="{FF2B5EF4-FFF2-40B4-BE49-F238E27FC236}">
                  <a16:creationId xmlns:a16="http://schemas.microsoft.com/office/drawing/2014/main" id="{9F0CC5DC-930F-8247-A87D-1CFE376652C1}"/>
                </a:ext>
              </a:extLst>
            </xdr14:cNvPr>
            <xdr14:cNvContentPartPr/>
          </xdr14:nvContentPartPr>
          <xdr14:nvPr macro=""/>
          <xdr14:xfrm>
            <a:off x="12973680" y="1366560"/>
            <a:ext cx="360" cy="360"/>
          </xdr14:xfrm>
        </xdr:contentPart>
      </mc:Choice>
      <mc:Fallback xmlns="">
        <xdr:pic>
          <xdr:nvPicPr>
            <xdr:cNvPr id="511" name="Ink 510">
              <a:extLst>
                <a:ext uri="{FF2B5EF4-FFF2-40B4-BE49-F238E27FC236}">
                  <a16:creationId xmlns:a16="http://schemas.microsoft.com/office/drawing/2014/main" id="{9F0CC5DC-930F-8247-A87D-1CFE376652C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2">
          <xdr14:nvContentPartPr>
            <xdr14:cNvPr id="512" name="Ink 511">
              <a:extLst>
                <a:ext uri="{FF2B5EF4-FFF2-40B4-BE49-F238E27FC236}">
                  <a16:creationId xmlns:a16="http://schemas.microsoft.com/office/drawing/2014/main" id="{0A3FCC51-1268-8946-BF0A-BB9D7D8119D8}"/>
                </a:ext>
              </a:extLst>
            </xdr14:cNvPr>
            <xdr14:cNvContentPartPr/>
          </xdr14:nvContentPartPr>
          <xdr14:nvPr macro=""/>
          <xdr14:xfrm>
            <a:off x="12846960" y="1192320"/>
            <a:ext cx="360" cy="360"/>
          </xdr14:xfrm>
        </xdr:contentPart>
      </mc:Choice>
      <mc:Fallback xmlns="">
        <xdr:pic>
          <xdr:nvPicPr>
            <xdr:cNvPr id="512" name="Ink 511">
              <a:extLst>
                <a:ext uri="{FF2B5EF4-FFF2-40B4-BE49-F238E27FC236}">
                  <a16:creationId xmlns:a16="http://schemas.microsoft.com/office/drawing/2014/main" id="{0A3FCC51-1268-8946-BF0A-BB9D7D8119D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3">
          <xdr14:nvContentPartPr>
            <xdr14:cNvPr id="513" name="Ink 512">
              <a:extLst>
                <a:ext uri="{FF2B5EF4-FFF2-40B4-BE49-F238E27FC236}">
                  <a16:creationId xmlns:a16="http://schemas.microsoft.com/office/drawing/2014/main" id="{F1E82E95-4DCB-BF47-9B8C-1792FADF4ECC}"/>
                </a:ext>
              </a:extLst>
            </xdr14:cNvPr>
            <xdr14:cNvContentPartPr/>
          </xdr14:nvContentPartPr>
          <xdr14:nvPr macro=""/>
          <xdr14:xfrm>
            <a:off x="12866040" y="1243440"/>
            <a:ext cx="360" cy="360"/>
          </xdr14:xfrm>
        </xdr:contentPart>
      </mc:Choice>
      <mc:Fallback xmlns="">
        <xdr:pic>
          <xdr:nvPicPr>
            <xdr:cNvPr id="513" name="Ink 512">
              <a:extLst>
                <a:ext uri="{FF2B5EF4-FFF2-40B4-BE49-F238E27FC236}">
                  <a16:creationId xmlns:a16="http://schemas.microsoft.com/office/drawing/2014/main" id="{F1E82E95-4DCB-BF47-9B8C-1792FADF4EC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4">
          <xdr14:nvContentPartPr>
            <xdr14:cNvPr id="514" name="Ink 513">
              <a:extLst>
                <a:ext uri="{FF2B5EF4-FFF2-40B4-BE49-F238E27FC236}">
                  <a16:creationId xmlns:a16="http://schemas.microsoft.com/office/drawing/2014/main" id="{6EB49CEC-1B51-A943-940F-3434EB5986F6}"/>
                </a:ext>
              </a:extLst>
            </xdr14:cNvPr>
            <xdr14:cNvContentPartPr/>
          </xdr14:nvContentPartPr>
          <xdr14:nvPr macro=""/>
          <xdr14:xfrm>
            <a:off x="12973680" y="1366560"/>
            <a:ext cx="360" cy="360"/>
          </xdr14:xfrm>
        </xdr:contentPart>
      </mc:Choice>
      <mc:Fallback xmlns="">
        <xdr:pic>
          <xdr:nvPicPr>
            <xdr:cNvPr id="514" name="Ink 513">
              <a:extLst>
                <a:ext uri="{FF2B5EF4-FFF2-40B4-BE49-F238E27FC236}">
                  <a16:creationId xmlns:a16="http://schemas.microsoft.com/office/drawing/2014/main" id="{6EB49CEC-1B51-A943-940F-3434EB5986F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5">
          <xdr14:nvContentPartPr>
            <xdr14:cNvPr id="515" name="Ink 514">
              <a:extLst>
                <a:ext uri="{FF2B5EF4-FFF2-40B4-BE49-F238E27FC236}">
                  <a16:creationId xmlns:a16="http://schemas.microsoft.com/office/drawing/2014/main" id="{BDE5841D-A5D7-504D-A311-5A85DF77AF29}"/>
                </a:ext>
              </a:extLst>
            </xdr14:cNvPr>
            <xdr14:cNvContentPartPr/>
          </xdr14:nvContentPartPr>
          <xdr14:nvPr macro=""/>
          <xdr14:xfrm>
            <a:off x="12846960" y="1192320"/>
            <a:ext cx="360" cy="360"/>
          </xdr14:xfrm>
        </xdr:contentPart>
      </mc:Choice>
      <mc:Fallback xmlns="">
        <xdr:pic>
          <xdr:nvPicPr>
            <xdr:cNvPr id="515" name="Ink 514">
              <a:extLst>
                <a:ext uri="{FF2B5EF4-FFF2-40B4-BE49-F238E27FC236}">
                  <a16:creationId xmlns:a16="http://schemas.microsoft.com/office/drawing/2014/main" id="{BDE5841D-A5D7-504D-A311-5A85DF77AF2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6">
          <xdr14:nvContentPartPr>
            <xdr14:cNvPr id="516" name="Ink 515">
              <a:extLst>
                <a:ext uri="{FF2B5EF4-FFF2-40B4-BE49-F238E27FC236}">
                  <a16:creationId xmlns:a16="http://schemas.microsoft.com/office/drawing/2014/main" id="{07F63E5C-1180-B04A-9E97-330F090545CA}"/>
                </a:ext>
              </a:extLst>
            </xdr14:cNvPr>
            <xdr14:cNvContentPartPr/>
          </xdr14:nvContentPartPr>
          <xdr14:nvPr macro=""/>
          <xdr14:xfrm>
            <a:off x="12866040" y="1243440"/>
            <a:ext cx="360" cy="360"/>
          </xdr14:xfrm>
        </xdr:contentPart>
      </mc:Choice>
      <mc:Fallback xmlns="">
        <xdr:pic>
          <xdr:nvPicPr>
            <xdr:cNvPr id="516" name="Ink 515">
              <a:extLst>
                <a:ext uri="{FF2B5EF4-FFF2-40B4-BE49-F238E27FC236}">
                  <a16:creationId xmlns:a16="http://schemas.microsoft.com/office/drawing/2014/main" id="{07F63E5C-1180-B04A-9E97-330F090545C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7">
          <xdr14:nvContentPartPr>
            <xdr14:cNvPr id="517" name="Ink 516">
              <a:extLst>
                <a:ext uri="{FF2B5EF4-FFF2-40B4-BE49-F238E27FC236}">
                  <a16:creationId xmlns:a16="http://schemas.microsoft.com/office/drawing/2014/main" id="{FFC51850-E651-6F4B-80D8-D885C3398F58}"/>
                </a:ext>
              </a:extLst>
            </xdr14:cNvPr>
            <xdr14:cNvContentPartPr/>
          </xdr14:nvContentPartPr>
          <xdr14:nvPr macro=""/>
          <xdr14:xfrm>
            <a:off x="12973680" y="1366560"/>
            <a:ext cx="360" cy="360"/>
          </xdr14:xfrm>
        </xdr:contentPart>
      </mc:Choice>
      <mc:Fallback xmlns="">
        <xdr:pic>
          <xdr:nvPicPr>
            <xdr:cNvPr id="517" name="Ink 516">
              <a:extLst>
                <a:ext uri="{FF2B5EF4-FFF2-40B4-BE49-F238E27FC236}">
                  <a16:creationId xmlns:a16="http://schemas.microsoft.com/office/drawing/2014/main" id="{FFC51850-E651-6F4B-80D8-D885C3398F5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8">
          <xdr14:nvContentPartPr>
            <xdr14:cNvPr id="518" name="Ink 517">
              <a:extLst>
                <a:ext uri="{FF2B5EF4-FFF2-40B4-BE49-F238E27FC236}">
                  <a16:creationId xmlns:a16="http://schemas.microsoft.com/office/drawing/2014/main" id="{53DF1135-9E57-0749-8C8F-CBBCF4F5739D}"/>
                </a:ext>
              </a:extLst>
            </xdr14:cNvPr>
            <xdr14:cNvContentPartPr/>
          </xdr14:nvContentPartPr>
          <xdr14:nvPr macro=""/>
          <xdr14:xfrm>
            <a:off x="12846960" y="1192320"/>
            <a:ext cx="360" cy="360"/>
          </xdr14:xfrm>
        </xdr:contentPart>
      </mc:Choice>
      <mc:Fallback xmlns="">
        <xdr:pic>
          <xdr:nvPicPr>
            <xdr:cNvPr id="518" name="Ink 517">
              <a:extLst>
                <a:ext uri="{FF2B5EF4-FFF2-40B4-BE49-F238E27FC236}">
                  <a16:creationId xmlns:a16="http://schemas.microsoft.com/office/drawing/2014/main" id="{53DF1135-9E57-0749-8C8F-CBBCF4F5739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9">
          <xdr14:nvContentPartPr>
            <xdr14:cNvPr id="519" name="Ink 518">
              <a:extLst>
                <a:ext uri="{FF2B5EF4-FFF2-40B4-BE49-F238E27FC236}">
                  <a16:creationId xmlns:a16="http://schemas.microsoft.com/office/drawing/2014/main" id="{935C13E4-A631-A24B-AE3E-9CFFE24D00B8}"/>
                </a:ext>
              </a:extLst>
            </xdr14:cNvPr>
            <xdr14:cNvContentPartPr/>
          </xdr14:nvContentPartPr>
          <xdr14:nvPr macro=""/>
          <xdr14:xfrm>
            <a:off x="12866040" y="1243440"/>
            <a:ext cx="360" cy="360"/>
          </xdr14:xfrm>
        </xdr:contentPart>
      </mc:Choice>
      <mc:Fallback xmlns="">
        <xdr:pic>
          <xdr:nvPicPr>
            <xdr:cNvPr id="519" name="Ink 518">
              <a:extLst>
                <a:ext uri="{FF2B5EF4-FFF2-40B4-BE49-F238E27FC236}">
                  <a16:creationId xmlns:a16="http://schemas.microsoft.com/office/drawing/2014/main" id="{935C13E4-A631-A24B-AE3E-9CFFE24D00B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0">
          <xdr14:nvContentPartPr>
            <xdr14:cNvPr id="520" name="Ink 519">
              <a:extLst>
                <a:ext uri="{FF2B5EF4-FFF2-40B4-BE49-F238E27FC236}">
                  <a16:creationId xmlns:a16="http://schemas.microsoft.com/office/drawing/2014/main" id="{44821730-4F7E-054D-A673-1485EC36F95A}"/>
                </a:ext>
              </a:extLst>
            </xdr14:cNvPr>
            <xdr14:cNvContentPartPr/>
          </xdr14:nvContentPartPr>
          <xdr14:nvPr macro=""/>
          <xdr14:xfrm>
            <a:off x="12973680" y="1366560"/>
            <a:ext cx="360" cy="360"/>
          </xdr14:xfrm>
        </xdr:contentPart>
      </mc:Choice>
      <mc:Fallback xmlns="">
        <xdr:pic>
          <xdr:nvPicPr>
            <xdr:cNvPr id="520" name="Ink 519">
              <a:extLst>
                <a:ext uri="{FF2B5EF4-FFF2-40B4-BE49-F238E27FC236}">
                  <a16:creationId xmlns:a16="http://schemas.microsoft.com/office/drawing/2014/main" id="{44821730-4F7E-054D-A673-1485EC36F95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1">
          <xdr14:nvContentPartPr>
            <xdr14:cNvPr id="521" name="Ink 520">
              <a:extLst>
                <a:ext uri="{FF2B5EF4-FFF2-40B4-BE49-F238E27FC236}">
                  <a16:creationId xmlns:a16="http://schemas.microsoft.com/office/drawing/2014/main" id="{9203B432-65CB-6B41-A8A3-A75704C3240A}"/>
                </a:ext>
              </a:extLst>
            </xdr14:cNvPr>
            <xdr14:cNvContentPartPr/>
          </xdr14:nvContentPartPr>
          <xdr14:nvPr macro=""/>
          <xdr14:xfrm>
            <a:off x="12846960" y="1192320"/>
            <a:ext cx="360" cy="360"/>
          </xdr14:xfrm>
        </xdr:contentPart>
      </mc:Choice>
      <mc:Fallback xmlns="">
        <xdr:pic>
          <xdr:nvPicPr>
            <xdr:cNvPr id="521" name="Ink 520">
              <a:extLst>
                <a:ext uri="{FF2B5EF4-FFF2-40B4-BE49-F238E27FC236}">
                  <a16:creationId xmlns:a16="http://schemas.microsoft.com/office/drawing/2014/main" id="{9203B432-65CB-6B41-A8A3-A75704C3240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2">
          <xdr14:nvContentPartPr>
            <xdr14:cNvPr id="522" name="Ink 521">
              <a:extLst>
                <a:ext uri="{FF2B5EF4-FFF2-40B4-BE49-F238E27FC236}">
                  <a16:creationId xmlns:a16="http://schemas.microsoft.com/office/drawing/2014/main" id="{719EC353-FE6F-FF42-959B-78EA29AEEDC7}"/>
                </a:ext>
              </a:extLst>
            </xdr14:cNvPr>
            <xdr14:cNvContentPartPr/>
          </xdr14:nvContentPartPr>
          <xdr14:nvPr macro=""/>
          <xdr14:xfrm>
            <a:off x="12866040" y="1243440"/>
            <a:ext cx="360" cy="360"/>
          </xdr14:xfrm>
        </xdr:contentPart>
      </mc:Choice>
      <mc:Fallback xmlns="">
        <xdr:pic>
          <xdr:nvPicPr>
            <xdr:cNvPr id="522" name="Ink 521">
              <a:extLst>
                <a:ext uri="{FF2B5EF4-FFF2-40B4-BE49-F238E27FC236}">
                  <a16:creationId xmlns:a16="http://schemas.microsoft.com/office/drawing/2014/main" id="{719EC353-FE6F-FF42-959B-78EA29AEEDC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3">
          <xdr14:nvContentPartPr>
            <xdr14:cNvPr id="523" name="Ink 522">
              <a:extLst>
                <a:ext uri="{FF2B5EF4-FFF2-40B4-BE49-F238E27FC236}">
                  <a16:creationId xmlns:a16="http://schemas.microsoft.com/office/drawing/2014/main" id="{C3295214-E352-EF45-A413-B8AB61D57BDB}"/>
                </a:ext>
              </a:extLst>
            </xdr14:cNvPr>
            <xdr14:cNvContentPartPr/>
          </xdr14:nvContentPartPr>
          <xdr14:nvPr macro=""/>
          <xdr14:xfrm>
            <a:off x="12973680" y="1366560"/>
            <a:ext cx="360" cy="360"/>
          </xdr14:xfrm>
        </xdr:contentPart>
      </mc:Choice>
      <mc:Fallback xmlns="">
        <xdr:pic>
          <xdr:nvPicPr>
            <xdr:cNvPr id="523" name="Ink 522">
              <a:extLst>
                <a:ext uri="{FF2B5EF4-FFF2-40B4-BE49-F238E27FC236}">
                  <a16:creationId xmlns:a16="http://schemas.microsoft.com/office/drawing/2014/main" id="{C3295214-E352-EF45-A413-B8AB61D57BD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4">
          <xdr14:nvContentPartPr>
            <xdr14:cNvPr id="524" name="Ink 523">
              <a:extLst>
                <a:ext uri="{FF2B5EF4-FFF2-40B4-BE49-F238E27FC236}">
                  <a16:creationId xmlns:a16="http://schemas.microsoft.com/office/drawing/2014/main" id="{AB056921-A773-4E48-893D-60AA8794280F}"/>
                </a:ext>
              </a:extLst>
            </xdr14:cNvPr>
            <xdr14:cNvContentPartPr/>
          </xdr14:nvContentPartPr>
          <xdr14:nvPr macro=""/>
          <xdr14:xfrm>
            <a:off x="12846960" y="1192320"/>
            <a:ext cx="360" cy="360"/>
          </xdr14:xfrm>
        </xdr:contentPart>
      </mc:Choice>
      <mc:Fallback xmlns="">
        <xdr:pic>
          <xdr:nvPicPr>
            <xdr:cNvPr id="524" name="Ink 523">
              <a:extLst>
                <a:ext uri="{FF2B5EF4-FFF2-40B4-BE49-F238E27FC236}">
                  <a16:creationId xmlns:a16="http://schemas.microsoft.com/office/drawing/2014/main" id="{AB056921-A773-4E48-893D-60AA8794280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5">
          <xdr14:nvContentPartPr>
            <xdr14:cNvPr id="525" name="Ink 524">
              <a:extLst>
                <a:ext uri="{FF2B5EF4-FFF2-40B4-BE49-F238E27FC236}">
                  <a16:creationId xmlns:a16="http://schemas.microsoft.com/office/drawing/2014/main" id="{2CB58D5F-7A33-A84B-87AD-CFBF68C28979}"/>
                </a:ext>
              </a:extLst>
            </xdr14:cNvPr>
            <xdr14:cNvContentPartPr/>
          </xdr14:nvContentPartPr>
          <xdr14:nvPr macro=""/>
          <xdr14:xfrm>
            <a:off x="12866040" y="1243440"/>
            <a:ext cx="360" cy="360"/>
          </xdr14:xfrm>
        </xdr:contentPart>
      </mc:Choice>
      <mc:Fallback xmlns="">
        <xdr:pic>
          <xdr:nvPicPr>
            <xdr:cNvPr id="525" name="Ink 524">
              <a:extLst>
                <a:ext uri="{FF2B5EF4-FFF2-40B4-BE49-F238E27FC236}">
                  <a16:creationId xmlns:a16="http://schemas.microsoft.com/office/drawing/2014/main" id="{2CB58D5F-7A33-A84B-87AD-CFBF68C2897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6">
          <xdr14:nvContentPartPr>
            <xdr14:cNvPr id="526" name="Ink 525">
              <a:extLst>
                <a:ext uri="{FF2B5EF4-FFF2-40B4-BE49-F238E27FC236}">
                  <a16:creationId xmlns:a16="http://schemas.microsoft.com/office/drawing/2014/main" id="{99E37065-BB6C-F949-9969-45F2785254F9}"/>
                </a:ext>
              </a:extLst>
            </xdr14:cNvPr>
            <xdr14:cNvContentPartPr/>
          </xdr14:nvContentPartPr>
          <xdr14:nvPr macro=""/>
          <xdr14:xfrm>
            <a:off x="12973680" y="1366560"/>
            <a:ext cx="360" cy="360"/>
          </xdr14:xfrm>
        </xdr:contentPart>
      </mc:Choice>
      <mc:Fallback xmlns="">
        <xdr:pic>
          <xdr:nvPicPr>
            <xdr:cNvPr id="526" name="Ink 525">
              <a:extLst>
                <a:ext uri="{FF2B5EF4-FFF2-40B4-BE49-F238E27FC236}">
                  <a16:creationId xmlns:a16="http://schemas.microsoft.com/office/drawing/2014/main" id="{99E37065-BB6C-F949-9969-45F2785254F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7">
          <xdr14:nvContentPartPr>
            <xdr14:cNvPr id="527" name="Ink 526">
              <a:extLst>
                <a:ext uri="{FF2B5EF4-FFF2-40B4-BE49-F238E27FC236}">
                  <a16:creationId xmlns:a16="http://schemas.microsoft.com/office/drawing/2014/main" id="{E121FB92-EE69-8646-80A0-819AB6E49CB7}"/>
                </a:ext>
              </a:extLst>
            </xdr14:cNvPr>
            <xdr14:cNvContentPartPr/>
          </xdr14:nvContentPartPr>
          <xdr14:nvPr macro=""/>
          <xdr14:xfrm>
            <a:off x="12846960" y="1192320"/>
            <a:ext cx="360" cy="360"/>
          </xdr14:xfrm>
        </xdr:contentPart>
      </mc:Choice>
      <mc:Fallback xmlns="">
        <xdr:pic>
          <xdr:nvPicPr>
            <xdr:cNvPr id="527" name="Ink 526">
              <a:extLst>
                <a:ext uri="{FF2B5EF4-FFF2-40B4-BE49-F238E27FC236}">
                  <a16:creationId xmlns:a16="http://schemas.microsoft.com/office/drawing/2014/main" id="{E121FB92-EE69-8646-80A0-819AB6E49CB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8">
          <xdr14:nvContentPartPr>
            <xdr14:cNvPr id="528" name="Ink 527">
              <a:extLst>
                <a:ext uri="{FF2B5EF4-FFF2-40B4-BE49-F238E27FC236}">
                  <a16:creationId xmlns:a16="http://schemas.microsoft.com/office/drawing/2014/main" id="{C8E8366F-C0F7-DC43-8092-0C3B2A863A50}"/>
                </a:ext>
              </a:extLst>
            </xdr14:cNvPr>
            <xdr14:cNvContentPartPr/>
          </xdr14:nvContentPartPr>
          <xdr14:nvPr macro=""/>
          <xdr14:xfrm>
            <a:off x="12866040" y="1243440"/>
            <a:ext cx="360" cy="360"/>
          </xdr14:xfrm>
        </xdr:contentPart>
      </mc:Choice>
      <mc:Fallback xmlns="">
        <xdr:pic>
          <xdr:nvPicPr>
            <xdr:cNvPr id="528" name="Ink 527">
              <a:extLst>
                <a:ext uri="{FF2B5EF4-FFF2-40B4-BE49-F238E27FC236}">
                  <a16:creationId xmlns:a16="http://schemas.microsoft.com/office/drawing/2014/main" id="{C8E8366F-C0F7-DC43-8092-0C3B2A863A5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9">
          <xdr14:nvContentPartPr>
            <xdr14:cNvPr id="529" name="Ink 528">
              <a:extLst>
                <a:ext uri="{FF2B5EF4-FFF2-40B4-BE49-F238E27FC236}">
                  <a16:creationId xmlns:a16="http://schemas.microsoft.com/office/drawing/2014/main" id="{6C8A6FDB-368F-0B4E-A52B-6520C33A0BB2}"/>
                </a:ext>
              </a:extLst>
            </xdr14:cNvPr>
            <xdr14:cNvContentPartPr/>
          </xdr14:nvContentPartPr>
          <xdr14:nvPr macro=""/>
          <xdr14:xfrm>
            <a:off x="12973680" y="1366560"/>
            <a:ext cx="360" cy="360"/>
          </xdr14:xfrm>
        </xdr:contentPart>
      </mc:Choice>
      <mc:Fallback xmlns="">
        <xdr:pic>
          <xdr:nvPicPr>
            <xdr:cNvPr id="529" name="Ink 528">
              <a:extLst>
                <a:ext uri="{FF2B5EF4-FFF2-40B4-BE49-F238E27FC236}">
                  <a16:creationId xmlns:a16="http://schemas.microsoft.com/office/drawing/2014/main" id="{6C8A6FDB-368F-0B4E-A52B-6520C33A0BB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0">
          <xdr14:nvContentPartPr>
            <xdr14:cNvPr id="530" name="Ink 529">
              <a:extLst>
                <a:ext uri="{FF2B5EF4-FFF2-40B4-BE49-F238E27FC236}">
                  <a16:creationId xmlns:a16="http://schemas.microsoft.com/office/drawing/2014/main" id="{A6B21E7B-B622-3F4D-BF6C-AFF7D5D59822}"/>
                </a:ext>
              </a:extLst>
            </xdr14:cNvPr>
            <xdr14:cNvContentPartPr/>
          </xdr14:nvContentPartPr>
          <xdr14:nvPr macro=""/>
          <xdr14:xfrm>
            <a:off x="12846960" y="1192320"/>
            <a:ext cx="360" cy="360"/>
          </xdr14:xfrm>
        </xdr:contentPart>
      </mc:Choice>
      <mc:Fallback xmlns="">
        <xdr:pic>
          <xdr:nvPicPr>
            <xdr:cNvPr id="530" name="Ink 529">
              <a:extLst>
                <a:ext uri="{FF2B5EF4-FFF2-40B4-BE49-F238E27FC236}">
                  <a16:creationId xmlns:a16="http://schemas.microsoft.com/office/drawing/2014/main" id="{A6B21E7B-B622-3F4D-BF6C-AFF7D5D5982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1">
          <xdr14:nvContentPartPr>
            <xdr14:cNvPr id="531" name="Ink 530">
              <a:extLst>
                <a:ext uri="{FF2B5EF4-FFF2-40B4-BE49-F238E27FC236}">
                  <a16:creationId xmlns:a16="http://schemas.microsoft.com/office/drawing/2014/main" id="{DEE191CB-BE5F-A44A-B4AC-50B32FEF36EC}"/>
                </a:ext>
              </a:extLst>
            </xdr14:cNvPr>
            <xdr14:cNvContentPartPr/>
          </xdr14:nvContentPartPr>
          <xdr14:nvPr macro=""/>
          <xdr14:xfrm>
            <a:off x="12866040" y="1243440"/>
            <a:ext cx="360" cy="360"/>
          </xdr14:xfrm>
        </xdr:contentPart>
      </mc:Choice>
      <mc:Fallback xmlns="">
        <xdr:pic>
          <xdr:nvPicPr>
            <xdr:cNvPr id="531" name="Ink 530">
              <a:extLst>
                <a:ext uri="{FF2B5EF4-FFF2-40B4-BE49-F238E27FC236}">
                  <a16:creationId xmlns:a16="http://schemas.microsoft.com/office/drawing/2014/main" id="{DEE191CB-BE5F-A44A-B4AC-50B32FEF36E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2">
          <xdr14:nvContentPartPr>
            <xdr14:cNvPr id="532" name="Ink 531">
              <a:extLst>
                <a:ext uri="{FF2B5EF4-FFF2-40B4-BE49-F238E27FC236}">
                  <a16:creationId xmlns:a16="http://schemas.microsoft.com/office/drawing/2014/main" id="{0013B604-1142-F142-90B6-F72009B5377B}"/>
                </a:ext>
              </a:extLst>
            </xdr14:cNvPr>
            <xdr14:cNvContentPartPr/>
          </xdr14:nvContentPartPr>
          <xdr14:nvPr macro=""/>
          <xdr14:xfrm>
            <a:off x="12973680" y="1366560"/>
            <a:ext cx="360" cy="360"/>
          </xdr14:xfrm>
        </xdr:contentPart>
      </mc:Choice>
      <mc:Fallback xmlns="">
        <xdr:pic>
          <xdr:nvPicPr>
            <xdr:cNvPr id="532" name="Ink 531">
              <a:extLst>
                <a:ext uri="{FF2B5EF4-FFF2-40B4-BE49-F238E27FC236}">
                  <a16:creationId xmlns:a16="http://schemas.microsoft.com/office/drawing/2014/main" id="{0013B604-1142-F142-90B6-F72009B5377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3">
          <xdr14:nvContentPartPr>
            <xdr14:cNvPr id="533" name="Ink 532">
              <a:extLst>
                <a:ext uri="{FF2B5EF4-FFF2-40B4-BE49-F238E27FC236}">
                  <a16:creationId xmlns:a16="http://schemas.microsoft.com/office/drawing/2014/main" id="{2D86B2F7-9576-2943-AD12-0D5BD32489DE}"/>
                </a:ext>
              </a:extLst>
            </xdr14:cNvPr>
            <xdr14:cNvContentPartPr/>
          </xdr14:nvContentPartPr>
          <xdr14:nvPr macro=""/>
          <xdr14:xfrm>
            <a:off x="12846960" y="1192320"/>
            <a:ext cx="360" cy="360"/>
          </xdr14:xfrm>
        </xdr:contentPart>
      </mc:Choice>
      <mc:Fallback xmlns="">
        <xdr:pic>
          <xdr:nvPicPr>
            <xdr:cNvPr id="533" name="Ink 532">
              <a:extLst>
                <a:ext uri="{FF2B5EF4-FFF2-40B4-BE49-F238E27FC236}">
                  <a16:creationId xmlns:a16="http://schemas.microsoft.com/office/drawing/2014/main" id="{2D86B2F7-9576-2943-AD12-0D5BD32489D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4">
          <xdr14:nvContentPartPr>
            <xdr14:cNvPr id="534" name="Ink 533">
              <a:extLst>
                <a:ext uri="{FF2B5EF4-FFF2-40B4-BE49-F238E27FC236}">
                  <a16:creationId xmlns:a16="http://schemas.microsoft.com/office/drawing/2014/main" id="{15A77191-48C3-2E4F-8861-B22364032907}"/>
                </a:ext>
              </a:extLst>
            </xdr14:cNvPr>
            <xdr14:cNvContentPartPr/>
          </xdr14:nvContentPartPr>
          <xdr14:nvPr macro=""/>
          <xdr14:xfrm>
            <a:off x="12866040" y="1243440"/>
            <a:ext cx="360" cy="360"/>
          </xdr14:xfrm>
        </xdr:contentPart>
      </mc:Choice>
      <mc:Fallback xmlns="">
        <xdr:pic>
          <xdr:nvPicPr>
            <xdr:cNvPr id="534" name="Ink 533">
              <a:extLst>
                <a:ext uri="{FF2B5EF4-FFF2-40B4-BE49-F238E27FC236}">
                  <a16:creationId xmlns:a16="http://schemas.microsoft.com/office/drawing/2014/main" id="{15A77191-48C3-2E4F-8861-B2236403290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5">
          <xdr14:nvContentPartPr>
            <xdr14:cNvPr id="535" name="Ink 534">
              <a:extLst>
                <a:ext uri="{FF2B5EF4-FFF2-40B4-BE49-F238E27FC236}">
                  <a16:creationId xmlns:a16="http://schemas.microsoft.com/office/drawing/2014/main" id="{5F30BD87-7621-2646-A9C0-80DC82660518}"/>
                </a:ext>
              </a:extLst>
            </xdr14:cNvPr>
            <xdr14:cNvContentPartPr/>
          </xdr14:nvContentPartPr>
          <xdr14:nvPr macro=""/>
          <xdr14:xfrm>
            <a:off x="12973680" y="1366560"/>
            <a:ext cx="360" cy="360"/>
          </xdr14:xfrm>
        </xdr:contentPart>
      </mc:Choice>
      <mc:Fallback xmlns="">
        <xdr:pic>
          <xdr:nvPicPr>
            <xdr:cNvPr id="535" name="Ink 534">
              <a:extLst>
                <a:ext uri="{FF2B5EF4-FFF2-40B4-BE49-F238E27FC236}">
                  <a16:creationId xmlns:a16="http://schemas.microsoft.com/office/drawing/2014/main" id="{5F30BD87-7621-2646-A9C0-80DC8266051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6">
          <xdr14:nvContentPartPr>
            <xdr14:cNvPr id="536" name="Ink 535">
              <a:extLst>
                <a:ext uri="{FF2B5EF4-FFF2-40B4-BE49-F238E27FC236}">
                  <a16:creationId xmlns:a16="http://schemas.microsoft.com/office/drawing/2014/main" id="{659C01A5-CAC1-4C43-95D9-FBCB4847F72A}"/>
                </a:ext>
              </a:extLst>
            </xdr14:cNvPr>
            <xdr14:cNvContentPartPr/>
          </xdr14:nvContentPartPr>
          <xdr14:nvPr macro=""/>
          <xdr14:xfrm>
            <a:off x="12846960" y="1192320"/>
            <a:ext cx="360" cy="360"/>
          </xdr14:xfrm>
        </xdr:contentPart>
      </mc:Choice>
      <mc:Fallback xmlns="">
        <xdr:pic>
          <xdr:nvPicPr>
            <xdr:cNvPr id="536" name="Ink 535">
              <a:extLst>
                <a:ext uri="{FF2B5EF4-FFF2-40B4-BE49-F238E27FC236}">
                  <a16:creationId xmlns:a16="http://schemas.microsoft.com/office/drawing/2014/main" id="{659C01A5-CAC1-4C43-95D9-FBCB4847F72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7">
          <xdr14:nvContentPartPr>
            <xdr14:cNvPr id="537" name="Ink 536">
              <a:extLst>
                <a:ext uri="{FF2B5EF4-FFF2-40B4-BE49-F238E27FC236}">
                  <a16:creationId xmlns:a16="http://schemas.microsoft.com/office/drawing/2014/main" id="{F9E448C1-3C48-EF4F-97F3-BC69A87145F0}"/>
                </a:ext>
              </a:extLst>
            </xdr14:cNvPr>
            <xdr14:cNvContentPartPr/>
          </xdr14:nvContentPartPr>
          <xdr14:nvPr macro=""/>
          <xdr14:xfrm>
            <a:off x="12866040" y="1243440"/>
            <a:ext cx="360" cy="360"/>
          </xdr14:xfrm>
        </xdr:contentPart>
      </mc:Choice>
      <mc:Fallback xmlns="">
        <xdr:pic>
          <xdr:nvPicPr>
            <xdr:cNvPr id="537" name="Ink 536">
              <a:extLst>
                <a:ext uri="{FF2B5EF4-FFF2-40B4-BE49-F238E27FC236}">
                  <a16:creationId xmlns:a16="http://schemas.microsoft.com/office/drawing/2014/main" id="{F9E448C1-3C48-EF4F-97F3-BC69A87145F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8">
          <xdr14:nvContentPartPr>
            <xdr14:cNvPr id="538" name="Ink 537">
              <a:extLst>
                <a:ext uri="{FF2B5EF4-FFF2-40B4-BE49-F238E27FC236}">
                  <a16:creationId xmlns:a16="http://schemas.microsoft.com/office/drawing/2014/main" id="{DAE42A97-791C-0F41-B416-26C505C7A620}"/>
                </a:ext>
              </a:extLst>
            </xdr14:cNvPr>
            <xdr14:cNvContentPartPr/>
          </xdr14:nvContentPartPr>
          <xdr14:nvPr macro=""/>
          <xdr14:xfrm>
            <a:off x="12973680" y="1366560"/>
            <a:ext cx="360" cy="360"/>
          </xdr14:xfrm>
        </xdr:contentPart>
      </mc:Choice>
      <mc:Fallback xmlns="">
        <xdr:pic>
          <xdr:nvPicPr>
            <xdr:cNvPr id="538" name="Ink 537">
              <a:extLst>
                <a:ext uri="{FF2B5EF4-FFF2-40B4-BE49-F238E27FC236}">
                  <a16:creationId xmlns:a16="http://schemas.microsoft.com/office/drawing/2014/main" id="{DAE42A97-791C-0F41-B416-26C505C7A62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9">
          <xdr14:nvContentPartPr>
            <xdr14:cNvPr id="539" name="Ink 538">
              <a:extLst>
                <a:ext uri="{FF2B5EF4-FFF2-40B4-BE49-F238E27FC236}">
                  <a16:creationId xmlns:a16="http://schemas.microsoft.com/office/drawing/2014/main" id="{5D5321D9-2894-AB4E-855A-29F44523D151}"/>
                </a:ext>
              </a:extLst>
            </xdr14:cNvPr>
            <xdr14:cNvContentPartPr/>
          </xdr14:nvContentPartPr>
          <xdr14:nvPr macro=""/>
          <xdr14:xfrm>
            <a:off x="12846960" y="1192320"/>
            <a:ext cx="360" cy="360"/>
          </xdr14:xfrm>
        </xdr:contentPart>
      </mc:Choice>
      <mc:Fallback xmlns="">
        <xdr:pic>
          <xdr:nvPicPr>
            <xdr:cNvPr id="539" name="Ink 538">
              <a:extLst>
                <a:ext uri="{FF2B5EF4-FFF2-40B4-BE49-F238E27FC236}">
                  <a16:creationId xmlns:a16="http://schemas.microsoft.com/office/drawing/2014/main" id="{5D5321D9-2894-AB4E-855A-29F44523D15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0">
          <xdr14:nvContentPartPr>
            <xdr14:cNvPr id="540" name="Ink 539">
              <a:extLst>
                <a:ext uri="{FF2B5EF4-FFF2-40B4-BE49-F238E27FC236}">
                  <a16:creationId xmlns:a16="http://schemas.microsoft.com/office/drawing/2014/main" id="{E2E0E272-BB46-DD4F-9EE9-B15BE53D716A}"/>
                </a:ext>
              </a:extLst>
            </xdr14:cNvPr>
            <xdr14:cNvContentPartPr/>
          </xdr14:nvContentPartPr>
          <xdr14:nvPr macro=""/>
          <xdr14:xfrm>
            <a:off x="12866040" y="1243440"/>
            <a:ext cx="360" cy="360"/>
          </xdr14:xfrm>
        </xdr:contentPart>
      </mc:Choice>
      <mc:Fallback xmlns="">
        <xdr:pic>
          <xdr:nvPicPr>
            <xdr:cNvPr id="540" name="Ink 539">
              <a:extLst>
                <a:ext uri="{FF2B5EF4-FFF2-40B4-BE49-F238E27FC236}">
                  <a16:creationId xmlns:a16="http://schemas.microsoft.com/office/drawing/2014/main" id="{E2E0E272-BB46-DD4F-9EE9-B15BE53D716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1">
          <xdr14:nvContentPartPr>
            <xdr14:cNvPr id="541" name="Ink 540">
              <a:extLst>
                <a:ext uri="{FF2B5EF4-FFF2-40B4-BE49-F238E27FC236}">
                  <a16:creationId xmlns:a16="http://schemas.microsoft.com/office/drawing/2014/main" id="{3FFC6979-D816-2646-B519-07253A58DBE8}"/>
                </a:ext>
              </a:extLst>
            </xdr14:cNvPr>
            <xdr14:cNvContentPartPr/>
          </xdr14:nvContentPartPr>
          <xdr14:nvPr macro=""/>
          <xdr14:xfrm>
            <a:off x="12973680" y="1366560"/>
            <a:ext cx="360" cy="360"/>
          </xdr14:xfrm>
        </xdr:contentPart>
      </mc:Choice>
      <mc:Fallback xmlns="">
        <xdr:pic>
          <xdr:nvPicPr>
            <xdr:cNvPr id="541" name="Ink 540">
              <a:extLst>
                <a:ext uri="{FF2B5EF4-FFF2-40B4-BE49-F238E27FC236}">
                  <a16:creationId xmlns:a16="http://schemas.microsoft.com/office/drawing/2014/main" id="{3FFC6979-D816-2646-B519-07253A58DBE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2">
          <xdr14:nvContentPartPr>
            <xdr14:cNvPr id="542" name="Ink 541">
              <a:extLst>
                <a:ext uri="{FF2B5EF4-FFF2-40B4-BE49-F238E27FC236}">
                  <a16:creationId xmlns:a16="http://schemas.microsoft.com/office/drawing/2014/main" id="{0EE290DF-7A78-EC44-9DBB-8C812C79F013}"/>
                </a:ext>
              </a:extLst>
            </xdr14:cNvPr>
            <xdr14:cNvContentPartPr/>
          </xdr14:nvContentPartPr>
          <xdr14:nvPr macro=""/>
          <xdr14:xfrm>
            <a:off x="12846960" y="1192320"/>
            <a:ext cx="360" cy="360"/>
          </xdr14:xfrm>
        </xdr:contentPart>
      </mc:Choice>
      <mc:Fallback xmlns="">
        <xdr:pic>
          <xdr:nvPicPr>
            <xdr:cNvPr id="542" name="Ink 541">
              <a:extLst>
                <a:ext uri="{FF2B5EF4-FFF2-40B4-BE49-F238E27FC236}">
                  <a16:creationId xmlns:a16="http://schemas.microsoft.com/office/drawing/2014/main" id="{0EE290DF-7A78-EC44-9DBB-8C812C79F01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3">
          <xdr14:nvContentPartPr>
            <xdr14:cNvPr id="543" name="Ink 542">
              <a:extLst>
                <a:ext uri="{FF2B5EF4-FFF2-40B4-BE49-F238E27FC236}">
                  <a16:creationId xmlns:a16="http://schemas.microsoft.com/office/drawing/2014/main" id="{DC2F5B51-3CC2-F94F-AE3E-DD199A293385}"/>
                </a:ext>
              </a:extLst>
            </xdr14:cNvPr>
            <xdr14:cNvContentPartPr/>
          </xdr14:nvContentPartPr>
          <xdr14:nvPr macro=""/>
          <xdr14:xfrm>
            <a:off x="12866040" y="1243440"/>
            <a:ext cx="360" cy="360"/>
          </xdr14:xfrm>
        </xdr:contentPart>
      </mc:Choice>
      <mc:Fallback xmlns="">
        <xdr:pic>
          <xdr:nvPicPr>
            <xdr:cNvPr id="543" name="Ink 542">
              <a:extLst>
                <a:ext uri="{FF2B5EF4-FFF2-40B4-BE49-F238E27FC236}">
                  <a16:creationId xmlns:a16="http://schemas.microsoft.com/office/drawing/2014/main" id="{DC2F5B51-3CC2-F94F-AE3E-DD199A29338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4">
          <xdr14:nvContentPartPr>
            <xdr14:cNvPr id="544" name="Ink 543">
              <a:extLst>
                <a:ext uri="{FF2B5EF4-FFF2-40B4-BE49-F238E27FC236}">
                  <a16:creationId xmlns:a16="http://schemas.microsoft.com/office/drawing/2014/main" id="{AC851277-4434-614E-9926-8011487C60C2}"/>
                </a:ext>
              </a:extLst>
            </xdr14:cNvPr>
            <xdr14:cNvContentPartPr/>
          </xdr14:nvContentPartPr>
          <xdr14:nvPr macro=""/>
          <xdr14:xfrm>
            <a:off x="12973680" y="1366560"/>
            <a:ext cx="360" cy="360"/>
          </xdr14:xfrm>
        </xdr:contentPart>
      </mc:Choice>
      <mc:Fallback xmlns="">
        <xdr:pic>
          <xdr:nvPicPr>
            <xdr:cNvPr id="544" name="Ink 543">
              <a:extLst>
                <a:ext uri="{FF2B5EF4-FFF2-40B4-BE49-F238E27FC236}">
                  <a16:creationId xmlns:a16="http://schemas.microsoft.com/office/drawing/2014/main" id="{AC851277-4434-614E-9926-8011487C60C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5">
          <xdr14:nvContentPartPr>
            <xdr14:cNvPr id="545" name="Ink 544">
              <a:extLst>
                <a:ext uri="{FF2B5EF4-FFF2-40B4-BE49-F238E27FC236}">
                  <a16:creationId xmlns:a16="http://schemas.microsoft.com/office/drawing/2014/main" id="{F7530B7B-A691-CF45-ADD6-0F2A48C7F98B}"/>
                </a:ext>
              </a:extLst>
            </xdr14:cNvPr>
            <xdr14:cNvContentPartPr/>
          </xdr14:nvContentPartPr>
          <xdr14:nvPr macro=""/>
          <xdr14:xfrm>
            <a:off x="12846960" y="1192320"/>
            <a:ext cx="360" cy="360"/>
          </xdr14:xfrm>
        </xdr:contentPart>
      </mc:Choice>
      <mc:Fallback xmlns="">
        <xdr:pic>
          <xdr:nvPicPr>
            <xdr:cNvPr id="545" name="Ink 544">
              <a:extLst>
                <a:ext uri="{FF2B5EF4-FFF2-40B4-BE49-F238E27FC236}">
                  <a16:creationId xmlns:a16="http://schemas.microsoft.com/office/drawing/2014/main" id="{F7530B7B-A691-CF45-ADD6-0F2A48C7F98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6">
          <xdr14:nvContentPartPr>
            <xdr14:cNvPr id="546" name="Ink 545">
              <a:extLst>
                <a:ext uri="{FF2B5EF4-FFF2-40B4-BE49-F238E27FC236}">
                  <a16:creationId xmlns:a16="http://schemas.microsoft.com/office/drawing/2014/main" id="{4F283BDD-C89B-F740-827E-294CFF618461}"/>
                </a:ext>
              </a:extLst>
            </xdr14:cNvPr>
            <xdr14:cNvContentPartPr/>
          </xdr14:nvContentPartPr>
          <xdr14:nvPr macro=""/>
          <xdr14:xfrm>
            <a:off x="12866040" y="1243440"/>
            <a:ext cx="360" cy="360"/>
          </xdr14:xfrm>
        </xdr:contentPart>
      </mc:Choice>
      <mc:Fallback xmlns="">
        <xdr:pic>
          <xdr:nvPicPr>
            <xdr:cNvPr id="546" name="Ink 545">
              <a:extLst>
                <a:ext uri="{FF2B5EF4-FFF2-40B4-BE49-F238E27FC236}">
                  <a16:creationId xmlns:a16="http://schemas.microsoft.com/office/drawing/2014/main" id="{4F283BDD-C89B-F740-827E-294CFF61846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7">
          <xdr14:nvContentPartPr>
            <xdr14:cNvPr id="547" name="Ink 546">
              <a:extLst>
                <a:ext uri="{FF2B5EF4-FFF2-40B4-BE49-F238E27FC236}">
                  <a16:creationId xmlns:a16="http://schemas.microsoft.com/office/drawing/2014/main" id="{A5C1C4C4-0185-6344-BEA5-483D2CDEB335}"/>
                </a:ext>
              </a:extLst>
            </xdr14:cNvPr>
            <xdr14:cNvContentPartPr/>
          </xdr14:nvContentPartPr>
          <xdr14:nvPr macro=""/>
          <xdr14:xfrm>
            <a:off x="12973680" y="1366560"/>
            <a:ext cx="360" cy="360"/>
          </xdr14:xfrm>
        </xdr:contentPart>
      </mc:Choice>
      <mc:Fallback xmlns="">
        <xdr:pic>
          <xdr:nvPicPr>
            <xdr:cNvPr id="547" name="Ink 546">
              <a:extLst>
                <a:ext uri="{FF2B5EF4-FFF2-40B4-BE49-F238E27FC236}">
                  <a16:creationId xmlns:a16="http://schemas.microsoft.com/office/drawing/2014/main" id="{A5C1C4C4-0185-6344-BEA5-483D2CDEB33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8">
          <xdr14:nvContentPartPr>
            <xdr14:cNvPr id="548" name="Ink 547">
              <a:extLst>
                <a:ext uri="{FF2B5EF4-FFF2-40B4-BE49-F238E27FC236}">
                  <a16:creationId xmlns:a16="http://schemas.microsoft.com/office/drawing/2014/main" id="{5722F75C-6784-8941-A8BB-78CEDF9406BA}"/>
                </a:ext>
              </a:extLst>
            </xdr14:cNvPr>
            <xdr14:cNvContentPartPr/>
          </xdr14:nvContentPartPr>
          <xdr14:nvPr macro=""/>
          <xdr14:xfrm>
            <a:off x="12846960" y="1192320"/>
            <a:ext cx="360" cy="360"/>
          </xdr14:xfrm>
        </xdr:contentPart>
      </mc:Choice>
      <mc:Fallback xmlns="">
        <xdr:pic>
          <xdr:nvPicPr>
            <xdr:cNvPr id="548" name="Ink 547">
              <a:extLst>
                <a:ext uri="{FF2B5EF4-FFF2-40B4-BE49-F238E27FC236}">
                  <a16:creationId xmlns:a16="http://schemas.microsoft.com/office/drawing/2014/main" id="{5722F75C-6784-8941-A8BB-78CEDF9406B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9">
          <xdr14:nvContentPartPr>
            <xdr14:cNvPr id="549" name="Ink 548">
              <a:extLst>
                <a:ext uri="{FF2B5EF4-FFF2-40B4-BE49-F238E27FC236}">
                  <a16:creationId xmlns:a16="http://schemas.microsoft.com/office/drawing/2014/main" id="{EAF6815B-DEA3-154D-AA1F-8660C0C765FA}"/>
                </a:ext>
              </a:extLst>
            </xdr14:cNvPr>
            <xdr14:cNvContentPartPr/>
          </xdr14:nvContentPartPr>
          <xdr14:nvPr macro=""/>
          <xdr14:xfrm>
            <a:off x="12866040" y="1243440"/>
            <a:ext cx="360" cy="360"/>
          </xdr14:xfrm>
        </xdr:contentPart>
      </mc:Choice>
      <mc:Fallback xmlns="">
        <xdr:pic>
          <xdr:nvPicPr>
            <xdr:cNvPr id="549" name="Ink 548">
              <a:extLst>
                <a:ext uri="{FF2B5EF4-FFF2-40B4-BE49-F238E27FC236}">
                  <a16:creationId xmlns:a16="http://schemas.microsoft.com/office/drawing/2014/main" id="{EAF6815B-DEA3-154D-AA1F-8660C0C765F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0">
          <xdr14:nvContentPartPr>
            <xdr14:cNvPr id="550" name="Ink 549">
              <a:extLst>
                <a:ext uri="{FF2B5EF4-FFF2-40B4-BE49-F238E27FC236}">
                  <a16:creationId xmlns:a16="http://schemas.microsoft.com/office/drawing/2014/main" id="{E6C22E2A-13EB-5744-B329-88F2266F64CD}"/>
                </a:ext>
              </a:extLst>
            </xdr14:cNvPr>
            <xdr14:cNvContentPartPr/>
          </xdr14:nvContentPartPr>
          <xdr14:nvPr macro=""/>
          <xdr14:xfrm>
            <a:off x="12973680" y="1366560"/>
            <a:ext cx="360" cy="360"/>
          </xdr14:xfrm>
        </xdr:contentPart>
      </mc:Choice>
      <mc:Fallback xmlns="">
        <xdr:pic>
          <xdr:nvPicPr>
            <xdr:cNvPr id="550" name="Ink 549">
              <a:extLst>
                <a:ext uri="{FF2B5EF4-FFF2-40B4-BE49-F238E27FC236}">
                  <a16:creationId xmlns:a16="http://schemas.microsoft.com/office/drawing/2014/main" id="{E6C22E2A-13EB-5744-B329-88F2266F64C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1">
          <xdr14:nvContentPartPr>
            <xdr14:cNvPr id="551" name="Ink 550">
              <a:extLst>
                <a:ext uri="{FF2B5EF4-FFF2-40B4-BE49-F238E27FC236}">
                  <a16:creationId xmlns:a16="http://schemas.microsoft.com/office/drawing/2014/main" id="{259695AC-AAF2-A840-8C56-E1EC24CBB0C8}"/>
                </a:ext>
              </a:extLst>
            </xdr14:cNvPr>
            <xdr14:cNvContentPartPr/>
          </xdr14:nvContentPartPr>
          <xdr14:nvPr macro=""/>
          <xdr14:xfrm>
            <a:off x="12846960" y="1192320"/>
            <a:ext cx="360" cy="360"/>
          </xdr14:xfrm>
        </xdr:contentPart>
      </mc:Choice>
      <mc:Fallback xmlns="">
        <xdr:pic>
          <xdr:nvPicPr>
            <xdr:cNvPr id="551" name="Ink 550">
              <a:extLst>
                <a:ext uri="{FF2B5EF4-FFF2-40B4-BE49-F238E27FC236}">
                  <a16:creationId xmlns:a16="http://schemas.microsoft.com/office/drawing/2014/main" id="{259695AC-AAF2-A840-8C56-E1EC24CBB0C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2">
          <xdr14:nvContentPartPr>
            <xdr14:cNvPr id="552" name="Ink 551">
              <a:extLst>
                <a:ext uri="{FF2B5EF4-FFF2-40B4-BE49-F238E27FC236}">
                  <a16:creationId xmlns:a16="http://schemas.microsoft.com/office/drawing/2014/main" id="{5E4BF404-51DD-3F49-806D-1B3134147099}"/>
                </a:ext>
              </a:extLst>
            </xdr14:cNvPr>
            <xdr14:cNvContentPartPr/>
          </xdr14:nvContentPartPr>
          <xdr14:nvPr macro=""/>
          <xdr14:xfrm>
            <a:off x="12866040" y="1243440"/>
            <a:ext cx="360" cy="360"/>
          </xdr14:xfrm>
        </xdr:contentPart>
      </mc:Choice>
      <mc:Fallback xmlns="">
        <xdr:pic>
          <xdr:nvPicPr>
            <xdr:cNvPr id="552" name="Ink 551">
              <a:extLst>
                <a:ext uri="{FF2B5EF4-FFF2-40B4-BE49-F238E27FC236}">
                  <a16:creationId xmlns:a16="http://schemas.microsoft.com/office/drawing/2014/main" id="{5E4BF404-51DD-3F49-806D-1B313414709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3">
          <xdr14:nvContentPartPr>
            <xdr14:cNvPr id="553" name="Ink 552">
              <a:extLst>
                <a:ext uri="{FF2B5EF4-FFF2-40B4-BE49-F238E27FC236}">
                  <a16:creationId xmlns:a16="http://schemas.microsoft.com/office/drawing/2014/main" id="{C5CCBA65-2C17-6640-A870-EB46EE65D21F}"/>
                </a:ext>
              </a:extLst>
            </xdr14:cNvPr>
            <xdr14:cNvContentPartPr/>
          </xdr14:nvContentPartPr>
          <xdr14:nvPr macro=""/>
          <xdr14:xfrm>
            <a:off x="12973680" y="1366560"/>
            <a:ext cx="360" cy="360"/>
          </xdr14:xfrm>
        </xdr:contentPart>
      </mc:Choice>
      <mc:Fallback xmlns="">
        <xdr:pic>
          <xdr:nvPicPr>
            <xdr:cNvPr id="553" name="Ink 552">
              <a:extLst>
                <a:ext uri="{FF2B5EF4-FFF2-40B4-BE49-F238E27FC236}">
                  <a16:creationId xmlns:a16="http://schemas.microsoft.com/office/drawing/2014/main" id="{C5CCBA65-2C17-6640-A870-EB46EE65D21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4">
          <xdr14:nvContentPartPr>
            <xdr14:cNvPr id="554" name="Ink 553">
              <a:extLst>
                <a:ext uri="{FF2B5EF4-FFF2-40B4-BE49-F238E27FC236}">
                  <a16:creationId xmlns:a16="http://schemas.microsoft.com/office/drawing/2014/main" id="{5C0E87CD-6022-4B41-9806-AC09FB15D0C9}"/>
                </a:ext>
              </a:extLst>
            </xdr14:cNvPr>
            <xdr14:cNvContentPartPr/>
          </xdr14:nvContentPartPr>
          <xdr14:nvPr macro=""/>
          <xdr14:xfrm>
            <a:off x="12846960" y="1192320"/>
            <a:ext cx="360" cy="360"/>
          </xdr14:xfrm>
        </xdr:contentPart>
      </mc:Choice>
      <mc:Fallback xmlns="">
        <xdr:pic>
          <xdr:nvPicPr>
            <xdr:cNvPr id="554" name="Ink 553">
              <a:extLst>
                <a:ext uri="{FF2B5EF4-FFF2-40B4-BE49-F238E27FC236}">
                  <a16:creationId xmlns:a16="http://schemas.microsoft.com/office/drawing/2014/main" id="{5C0E87CD-6022-4B41-9806-AC09FB15D0C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5">
          <xdr14:nvContentPartPr>
            <xdr14:cNvPr id="555" name="Ink 554">
              <a:extLst>
                <a:ext uri="{FF2B5EF4-FFF2-40B4-BE49-F238E27FC236}">
                  <a16:creationId xmlns:a16="http://schemas.microsoft.com/office/drawing/2014/main" id="{475A8AA0-D299-8343-B80C-33EFF9177460}"/>
                </a:ext>
              </a:extLst>
            </xdr14:cNvPr>
            <xdr14:cNvContentPartPr/>
          </xdr14:nvContentPartPr>
          <xdr14:nvPr macro=""/>
          <xdr14:xfrm>
            <a:off x="12866040" y="1243440"/>
            <a:ext cx="360" cy="360"/>
          </xdr14:xfrm>
        </xdr:contentPart>
      </mc:Choice>
      <mc:Fallback xmlns="">
        <xdr:pic>
          <xdr:nvPicPr>
            <xdr:cNvPr id="555" name="Ink 554">
              <a:extLst>
                <a:ext uri="{FF2B5EF4-FFF2-40B4-BE49-F238E27FC236}">
                  <a16:creationId xmlns:a16="http://schemas.microsoft.com/office/drawing/2014/main" id="{475A8AA0-D299-8343-B80C-33EFF917746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6">
          <xdr14:nvContentPartPr>
            <xdr14:cNvPr id="556" name="Ink 555">
              <a:extLst>
                <a:ext uri="{FF2B5EF4-FFF2-40B4-BE49-F238E27FC236}">
                  <a16:creationId xmlns:a16="http://schemas.microsoft.com/office/drawing/2014/main" id="{5D0E963D-E227-FA4A-A3DE-AABB0E60EF5B}"/>
                </a:ext>
              </a:extLst>
            </xdr14:cNvPr>
            <xdr14:cNvContentPartPr/>
          </xdr14:nvContentPartPr>
          <xdr14:nvPr macro=""/>
          <xdr14:xfrm>
            <a:off x="12973680" y="1366560"/>
            <a:ext cx="360" cy="360"/>
          </xdr14:xfrm>
        </xdr:contentPart>
      </mc:Choice>
      <mc:Fallback xmlns="">
        <xdr:pic>
          <xdr:nvPicPr>
            <xdr:cNvPr id="556" name="Ink 555">
              <a:extLst>
                <a:ext uri="{FF2B5EF4-FFF2-40B4-BE49-F238E27FC236}">
                  <a16:creationId xmlns:a16="http://schemas.microsoft.com/office/drawing/2014/main" id="{5D0E963D-E227-FA4A-A3DE-AABB0E60EF5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7">
          <xdr14:nvContentPartPr>
            <xdr14:cNvPr id="557" name="Ink 556">
              <a:extLst>
                <a:ext uri="{FF2B5EF4-FFF2-40B4-BE49-F238E27FC236}">
                  <a16:creationId xmlns:a16="http://schemas.microsoft.com/office/drawing/2014/main" id="{6C6D82EA-2F90-A146-8BB3-CDAA7659C67D}"/>
                </a:ext>
              </a:extLst>
            </xdr14:cNvPr>
            <xdr14:cNvContentPartPr/>
          </xdr14:nvContentPartPr>
          <xdr14:nvPr macro=""/>
          <xdr14:xfrm>
            <a:off x="12846960" y="1192320"/>
            <a:ext cx="360" cy="360"/>
          </xdr14:xfrm>
        </xdr:contentPart>
      </mc:Choice>
      <mc:Fallback xmlns="">
        <xdr:pic>
          <xdr:nvPicPr>
            <xdr:cNvPr id="557" name="Ink 556">
              <a:extLst>
                <a:ext uri="{FF2B5EF4-FFF2-40B4-BE49-F238E27FC236}">
                  <a16:creationId xmlns:a16="http://schemas.microsoft.com/office/drawing/2014/main" id="{6C6D82EA-2F90-A146-8BB3-CDAA7659C67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8">
          <xdr14:nvContentPartPr>
            <xdr14:cNvPr id="558" name="Ink 557">
              <a:extLst>
                <a:ext uri="{FF2B5EF4-FFF2-40B4-BE49-F238E27FC236}">
                  <a16:creationId xmlns:a16="http://schemas.microsoft.com/office/drawing/2014/main" id="{214D1D14-F75D-B04D-8975-1278B286ACE5}"/>
                </a:ext>
              </a:extLst>
            </xdr14:cNvPr>
            <xdr14:cNvContentPartPr/>
          </xdr14:nvContentPartPr>
          <xdr14:nvPr macro=""/>
          <xdr14:xfrm>
            <a:off x="12866040" y="1243440"/>
            <a:ext cx="360" cy="360"/>
          </xdr14:xfrm>
        </xdr:contentPart>
      </mc:Choice>
      <mc:Fallback xmlns="">
        <xdr:pic>
          <xdr:nvPicPr>
            <xdr:cNvPr id="558" name="Ink 557">
              <a:extLst>
                <a:ext uri="{FF2B5EF4-FFF2-40B4-BE49-F238E27FC236}">
                  <a16:creationId xmlns:a16="http://schemas.microsoft.com/office/drawing/2014/main" id="{214D1D14-F75D-B04D-8975-1278B286ACE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9">
          <xdr14:nvContentPartPr>
            <xdr14:cNvPr id="559" name="Ink 558">
              <a:extLst>
                <a:ext uri="{FF2B5EF4-FFF2-40B4-BE49-F238E27FC236}">
                  <a16:creationId xmlns:a16="http://schemas.microsoft.com/office/drawing/2014/main" id="{D2CEA3C1-FA9C-D24C-A894-D0DD4B69F0F2}"/>
                </a:ext>
              </a:extLst>
            </xdr14:cNvPr>
            <xdr14:cNvContentPartPr/>
          </xdr14:nvContentPartPr>
          <xdr14:nvPr macro=""/>
          <xdr14:xfrm>
            <a:off x="12973680" y="1366560"/>
            <a:ext cx="360" cy="360"/>
          </xdr14:xfrm>
        </xdr:contentPart>
      </mc:Choice>
      <mc:Fallback xmlns="">
        <xdr:pic>
          <xdr:nvPicPr>
            <xdr:cNvPr id="559" name="Ink 558">
              <a:extLst>
                <a:ext uri="{FF2B5EF4-FFF2-40B4-BE49-F238E27FC236}">
                  <a16:creationId xmlns:a16="http://schemas.microsoft.com/office/drawing/2014/main" id="{D2CEA3C1-FA9C-D24C-A894-D0DD4B69F0F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0">
          <xdr14:nvContentPartPr>
            <xdr14:cNvPr id="560" name="Ink 559">
              <a:extLst>
                <a:ext uri="{FF2B5EF4-FFF2-40B4-BE49-F238E27FC236}">
                  <a16:creationId xmlns:a16="http://schemas.microsoft.com/office/drawing/2014/main" id="{B44B0ED6-A671-2E43-AFFB-AC6AD1E67595}"/>
                </a:ext>
              </a:extLst>
            </xdr14:cNvPr>
            <xdr14:cNvContentPartPr/>
          </xdr14:nvContentPartPr>
          <xdr14:nvPr macro=""/>
          <xdr14:xfrm>
            <a:off x="12846960" y="1192320"/>
            <a:ext cx="360" cy="360"/>
          </xdr14:xfrm>
        </xdr:contentPart>
      </mc:Choice>
      <mc:Fallback xmlns="">
        <xdr:pic>
          <xdr:nvPicPr>
            <xdr:cNvPr id="560" name="Ink 559">
              <a:extLst>
                <a:ext uri="{FF2B5EF4-FFF2-40B4-BE49-F238E27FC236}">
                  <a16:creationId xmlns:a16="http://schemas.microsoft.com/office/drawing/2014/main" id="{B44B0ED6-A671-2E43-AFFB-AC6AD1E6759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1">
          <xdr14:nvContentPartPr>
            <xdr14:cNvPr id="561" name="Ink 560">
              <a:extLst>
                <a:ext uri="{FF2B5EF4-FFF2-40B4-BE49-F238E27FC236}">
                  <a16:creationId xmlns:a16="http://schemas.microsoft.com/office/drawing/2014/main" id="{DC2B0069-C0CB-BB44-A93B-0358D49CCBC5}"/>
                </a:ext>
              </a:extLst>
            </xdr14:cNvPr>
            <xdr14:cNvContentPartPr/>
          </xdr14:nvContentPartPr>
          <xdr14:nvPr macro=""/>
          <xdr14:xfrm>
            <a:off x="12866040" y="1243440"/>
            <a:ext cx="360" cy="360"/>
          </xdr14:xfrm>
        </xdr:contentPart>
      </mc:Choice>
      <mc:Fallback xmlns="">
        <xdr:pic>
          <xdr:nvPicPr>
            <xdr:cNvPr id="561" name="Ink 560">
              <a:extLst>
                <a:ext uri="{FF2B5EF4-FFF2-40B4-BE49-F238E27FC236}">
                  <a16:creationId xmlns:a16="http://schemas.microsoft.com/office/drawing/2014/main" id="{DC2B0069-C0CB-BB44-A93B-0358D49CCBC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2">
          <xdr14:nvContentPartPr>
            <xdr14:cNvPr id="562" name="Ink 561">
              <a:extLst>
                <a:ext uri="{FF2B5EF4-FFF2-40B4-BE49-F238E27FC236}">
                  <a16:creationId xmlns:a16="http://schemas.microsoft.com/office/drawing/2014/main" id="{CDF94E83-CBF1-DD46-B45D-4FFAF021CD95}"/>
                </a:ext>
              </a:extLst>
            </xdr14:cNvPr>
            <xdr14:cNvContentPartPr/>
          </xdr14:nvContentPartPr>
          <xdr14:nvPr macro=""/>
          <xdr14:xfrm>
            <a:off x="12973680" y="1366560"/>
            <a:ext cx="360" cy="360"/>
          </xdr14:xfrm>
        </xdr:contentPart>
      </mc:Choice>
      <mc:Fallback xmlns="">
        <xdr:pic>
          <xdr:nvPicPr>
            <xdr:cNvPr id="562" name="Ink 561">
              <a:extLst>
                <a:ext uri="{FF2B5EF4-FFF2-40B4-BE49-F238E27FC236}">
                  <a16:creationId xmlns:a16="http://schemas.microsoft.com/office/drawing/2014/main" id="{CDF94E83-CBF1-DD46-B45D-4FFAF021CD9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190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3">
          <xdr14:nvContentPartPr>
            <xdr14:cNvPr id="563" name="Ink 562">
              <a:extLst>
                <a:ext uri="{FF2B5EF4-FFF2-40B4-BE49-F238E27FC236}">
                  <a16:creationId xmlns:a16="http://schemas.microsoft.com/office/drawing/2014/main" id="{1DF7A627-7438-9A48-A80C-09A6C257750A}"/>
                </a:ext>
              </a:extLst>
            </xdr14:cNvPr>
            <xdr14:cNvContentPartPr/>
          </xdr14:nvContentPartPr>
          <xdr14:nvPr macro=""/>
          <xdr14:xfrm>
            <a:off x="12846960" y="1192320"/>
            <a:ext cx="360" cy="360"/>
          </xdr14:xfrm>
        </xdr:contentPart>
      </mc:Choice>
      <mc:Fallback xmlns="">
        <xdr:pic>
          <xdr:nvPicPr>
            <xdr:cNvPr id="563" name="Ink 562">
              <a:extLst>
                <a:ext uri="{FF2B5EF4-FFF2-40B4-BE49-F238E27FC236}">
                  <a16:creationId xmlns:a16="http://schemas.microsoft.com/office/drawing/2014/main" id="{1DF7A627-7438-9A48-A80C-09A6C257750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190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4">
          <xdr14:nvContentPartPr>
            <xdr14:cNvPr id="564" name="Ink 563">
              <a:extLst>
                <a:ext uri="{FF2B5EF4-FFF2-40B4-BE49-F238E27FC236}">
                  <a16:creationId xmlns:a16="http://schemas.microsoft.com/office/drawing/2014/main" id="{33C75A6A-92C1-8145-899E-5C9389A96DAC}"/>
                </a:ext>
              </a:extLst>
            </xdr14:cNvPr>
            <xdr14:cNvContentPartPr/>
          </xdr14:nvContentPartPr>
          <xdr14:nvPr macro=""/>
          <xdr14:xfrm>
            <a:off x="12866040" y="1243440"/>
            <a:ext cx="360" cy="360"/>
          </xdr14:xfrm>
        </xdr:contentPart>
      </mc:Choice>
      <mc:Fallback xmlns="">
        <xdr:pic>
          <xdr:nvPicPr>
            <xdr:cNvPr id="564" name="Ink 563">
              <a:extLst>
                <a:ext uri="{FF2B5EF4-FFF2-40B4-BE49-F238E27FC236}">
                  <a16:creationId xmlns:a16="http://schemas.microsoft.com/office/drawing/2014/main" id="{33C75A6A-92C1-8145-899E-5C9389A96DA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190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5">
          <xdr14:nvContentPartPr>
            <xdr14:cNvPr id="565" name="Ink 564">
              <a:extLst>
                <a:ext uri="{FF2B5EF4-FFF2-40B4-BE49-F238E27FC236}">
                  <a16:creationId xmlns:a16="http://schemas.microsoft.com/office/drawing/2014/main" id="{7DC02DEE-BD7A-FA43-9EAF-B0F45FB50DCC}"/>
                </a:ext>
              </a:extLst>
            </xdr14:cNvPr>
            <xdr14:cNvContentPartPr/>
          </xdr14:nvContentPartPr>
          <xdr14:nvPr macro=""/>
          <xdr14:xfrm>
            <a:off x="12973680" y="1366560"/>
            <a:ext cx="360" cy="360"/>
          </xdr14:xfrm>
        </xdr:contentPart>
      </mc:Choice>
      <mc:Fallback xmlns="">
        <xdr:pic>
          <xdr:nvPicPr>
            <xdr:cNvPr id="565" name="Ink 564">
              <a:extLst>
                <a:ext uri="{FF2B5EF4-FFF2-40B4-BE49-F238E27FC236}">
                  <a16:creationId xmlns:a16="http://schemas.microsoft.com/office/drawing/2014/main" id="{7DC02DEE-BD7A-FA43-9EAF-B0F45FB50DC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191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6">
          <xdr14:nvContentPartPr>
            <xdr14:cNvPr id="566" name="Ink 565">
              <a:extLst>
                <a:ext uri="{FF2B5EF4-FFF2-40B4-BE49-F238E27FC236}">
                  <a16:creationId xmlns:a16="http://schemas.microsoft.com/office/drawing/2014/main" id="{72AD7332-5089-F347-B240-830B789B3FDA}"/>
                </a:ext>
              </a:extLst>
            </xdr14:cNvPr>
            <xdr14:cNvContentPartPr/>
          </xdr14:nvContentPartPr>
          <xdr14:nvPr macro=""/>
          <xdr14:xfrm>
            <a:off x="12846960" y="1192320"/>
            <a:ext cx="360" cy="360"/>
          </xdr14:xfrm>
        </xdr:contentPart>
      </mc:Choice>
      <mc:Fallback xmlns="">
        <xdr:pic>
          <xdr:nvPicPr>
            <xdr:cNvPr id="566" name="Ink 565">
              <a:extLst>
                <a:ext uri="{FF2B5EF4-FFF2-40B4-BE49-F238E27FC236}">
                  <a16:creationId xmlns:a16="http://schemas.microsoft.com/office/drawing/2014/main" id="{72AD7332-5089-F347-B240-830B789B3FD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191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7">
          <xdr14:nvContentPartPr>
            <xdr14:cNvPr id="567" name="Ink 566">
              <a:extLst>
                <a:ext uri="{FF2B5EF4-FFF2-40B4-BE49-F238E27FC236}">
                  <a16:creationId xmlns:a16="http://schemas.microsoft.com/office/drawing/2014/main" id="{2B8EA26B-1DC7-7048-97CB-91B89CA1CA7F}"/>
                </a:ext>
              </a:extLst>
            </xdr14:cNvPr>
            <xdr14:cNvContentPartPr/>
          </xdr14:nvContentPartPr>
          <xdr14:nvPr macro=""/>
          <xdr14:xfrm>
            <a:off x="12866040" y="1243440"/>
            <a:ext cx="360" cy="360"/>
          </xdr14:xfrm>
        </xdr:contentPart>
      </mc:Choice>
      <mc:Fallback xmlns="">
        <xdr:pic>
          <xdr:nvPicPr>
            <xdr:cNvPr id="567" name="Ink 566">
              <a:extLst>
                <a:ext uri="{FF2B5EF4-FFF2-40B4-BE49-F238E27FC236}">
                  <a16:creationId xmlns:a16="http://schemas.microsoft.com/office/drawing/2014/main" id="{2B8EA26B-1DC7-7048-97CB-91B89CA1CA7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191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8">
          <xdr14:nvContentPartPr>
            <xdr14:cNvPr id="568" name="Ink 567">
              <a:extLst>
                <a:ext uri="{FF2B5EF4-FFF2-40B4-BE49-F238E27FC236}">
                  <a16:creationId xmlns:a16="http://schemas.microsoft.com/office/drawing/2014/main" id="{8384125B-B864-C345-8994-AD304A97DEF2}"/>
                </a:ext>
              </a:extLst>
            </xdr14:cNvPr>
            <xdr14:cNvContentPartPr/>
          </xdr14:nvContentPartPr>
          <xdr14:nvPr macro=""/>
          <xdr14:xfrm>
            <a:off x="12973680" y="1366560"/>
            <a:ext cx="360" cy="360"/>
          </xdr14:xfrm>
        </xdr:contentPart>
      </mc:Choice>
      <mc:Fallback xmlns="">
        <xdr:pic>
          <xdr:nvPicPr>
            <xdr:cNvPr id="568" name="Ink 567">
              <a:extLst>
                <a:ext uri="{FF2B5EF4-FFF2-40B4-BE49-F238E27FC236}">
                  <a16:creationId xmlns:a16="http://schemas.microsoft.com/office/drawing/2014/main" id="{8384125B-B864-C345-8994-AD304A97DEF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192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9">
          <xdr14:nvContentPartPr>
            <xdr14:cNvPr id="569" name="Ink 568">
              <a:extLst>
                <a:ext uri="{FF2B5EF4-FFF2-40B4-BE49-F238E27FC236}">
                  <a16:creationId xmlns:a16="http://schemas.microsoft.com/office/drawing/2014/main" id="{75C3DB6D-4557-9441-BBF3-6CB702966E19}"/>
                </a:ext>
              </a:extLst>
            </xdr14:cNvPr>
            <xdr14:cNvContentPartPr/>
          </xdr14:nvContentPartPr>
          <xdr14:nvPr macro=""/>
          <xdr14:xfrm>
            <a:off x="12846960" y="1192320"/>
            <a:ext cx="360" cy="360"/>
          </xdr14:xfrm>
        </xdr:contentPart>
      </mc:Choice>
      <mc:Fallback xmlns="">
        <xdr:pic>
          <xdr:nvPicPr>
            <xdr:cNvPr id="569" name="Ink 568">
              <a:extLst>
                <a:ext uri="{FF2B5EF4-FFF2-40B4-BE49-F238E27FC236}">
                  <a16:creationId xmlns:a16="http://schemas.microsoft.com/office/drawing/2014/main" id="{75C3DB6D-4557-9441-BBF3-6CB702966E1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192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0">
          <xdr14:nvContentPartPr>
            <xdr14:cNvPr id="570" name="Ink 569">
              <a:extLst>
                <a:ext uri="{FF2B5EF4-FFF2-40B4-BE49-F238E27FC236}">
                  <a16:creationId xmlns:a16="http://schemas.microsoft.com/office/drawing/2014/main" id="{6DA66409-F7A2-DA45-A53B-8C4134E478FC}"/>
                </a:ext>
              </a:extLst>
            </xdr14:cNvPr>
            <xdr14:cNvContentPartPr/>
          </xdr14:nvContentPartPr>
          <xdr14:nvPr macro=""/>
          <xdr14:xfrm>
            <a:off x="12866040" y="1243440"/>
            <a:ext cx="360" cy="360"/>
          </xdr14:xfrm>
        </xdr:contentPart>
      </mc:Choice>
      <mc:Fallback xmlns="">
        <xdr:pic>
          <xdr:nvPicPr>
            <xdr:cNvPr id="570" name="Ink 569">
              <a:extLst>
                <a:ext uri="{FF2B5EF4-FFF2-40B4-BE49-F238E27FC236}">
                  <a16:creationId xmlns:a16="http://schemas.microsoft.com/office/drawing/2014/main" id="{6DA66409-F7A2-DA45-A53B-8C4134E478F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192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1">
          <xdr14:nvContentPartPr>
            <xdr14:cNvPr id="571" name="Ink 570">
              <a:extLst>
                <a:ext uri="{FF2B5EF4-FFF2-40B4-BE49-F238E27FC236}">
                  <a16:creationId xmlns:a16="http://schemas.microsoft.com/office/drawing/2014/main" id="{EB5D3972-637B-374F-B99F-4E295750CA49}"/>
                </a:ext>
              </a:extLst>
            </xdr14:cNvPr>
            <xdr14:cNvContentPartPr/>
          </xdr14:nvContentPartPr>
          <xdr14:nvPr macro=""/>
          <xdr14:xfrm>
            <a:off x="12973680" y="1366560"/>
            <a:ext cx="360" cy="360"/>
          </xdr14:xfrm>
        </xdr:contentPart>
      </mc:Choice>
      <mc:Fallback xmlns="">
        <xdr:pic>
          <xdr:nvPicPr>
            <xdr:cNvPr id="571" name="Ink 570">
              <a:extLst>
                <a:ext uri="{FF2B5EF4-FFF2-40B4-BE49-F238E27FC236}">
                  <a16:creationId xmlns:a16="http://schemas.microsoft.com/office/drawing/2014/main" id="{EB5D3972-637B-374F-B99F-4E295750CA4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2">
          <xdr14:nvContentPartPr>
            <xdr14:cNvPr id="572" name="Ink 571">
              <a:extLst>
                <a:ext uri="{FF2B5EF4-FFF2-40B4-BE49-F238E27FC236}">
                  <a16:creationId xmlns:a16="http://schemas.microsoft.com/office/drawing/2014/main" id="{14B0EEF4-0DD1-064E-BBBE-7ACEE79E5685}"/>
                </a:ext>
              </a:extLst>
            </xdr14:cNvPr>
            <xdr14:cNvContentPartPr/>
          </xdr14:nvContentPartPr>
          <xdr14:nvPr macro=""/>
          <xdr14:xfrm>
            <a:off x="12846960" y="1192320"/>
            <a:ext cx="360" cy="360"/>
          </xdr14:xfrm>
        </xdr:contentPart>
      </mc:Choice>
      <mc:Fallback xmlns="">
        <xdr:pic>
          <xdr:nvPicPr>
            <xdr:cNvPr id="572" name="Ink 571">
              <a:extLst>
                <a:ext uri="{FF2B5EF4-FFF2-40B4-BE49-F238E27FC236}">
                  <a16:creationId xmlns:a16="http://schemas.microsoft.com/office/drawing/2014/main" id="{14B0EEF4-0DD1-064E-BBBE-7ACEE79E568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3">
          <xdr14:nvContentPartPr>
            <xdr14:cNvPr id="573" name="Ink 572">
              <a:extLst>
                <a:ext uri="{FF2B5EF4-FFF2-40B4-BE49-F238E27FC236}">
                  <a16:creationId xmlns:a16="http://schemas.microsoft.com/office/drawing/2014/main" id="{85C32170-D058-F145-BA2C-1CB1609029F3}"/>
                </a:ext>
              </a:extLst>
            </xdr14:cNvPr>
            <xdr14:cNvContentPartPr/>
          </xdr14:nvContentPartPr>
          <xdr14:nvPr macro=""/>
          <xdr14:xfrm>
            <a:off x="12866040" y="1243440"/>
            <a:ext cx="360" cy="360"/>
          </xdr14:xfrm>
        </xdr:contentPart>
      </mc:Choice>
      <mc:Fallback xmlns="">
        <xdr:pic>
          <xdr:nvPicPr>
            <xdr:cNvPr id="573" name="Ink 572">
              <a:extLst>
                <a:ext uri="{FF2B5EF4-FFF2-40B4-BE49-F238E27FC236}">
                  <a16:creationId xmlns:a16="http://schemas.microsoft.com/office/drawing/2014/main" id="{85C32170-D058-F145-BA2C-1CB1609029F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4">
          <xdr14:nvContentPartPr>
            <xdr14:cNvPr id="574" name="Ink 573">
              <a:extLst>
                <a:ext uri="{FF2B5EF4-FFF2-40B4-BE49-F238E27FC236}">
                  <a16:creationId xmlns:a16="http://schemas.microsoft.com/office/drawing/2014/main" id="{BB10A5F1-7F43-FF47-983D-A81A88A264E6}"/>
                </a:ext>
              </a:extLst>
            </xdr14:cNvPr>
            <xdr14:cNvContentPartPr/>
          </xdr14:nvContentPartPr>
          <xdr14:nvPr macro=""/>
          <xdr14:xfrm>
            <a:off x="12973680" y="1366560"/>
            <a:ext cx="360" cy="360"/>
          </xdr14:xfrm>
        </xdr:contentPart>
      </mc:Choice>
      <mc:Fallback xmlns="">
        <xdr:pic>
          <xdr:nvPicPr>
            <xdr:cNvPr id="574" name="Ink 573">
              <a:extLst>
                <a:ext uri="{FF2B5EF4-FFF2-40B4-BE49-F238E27FC236}">
                  <a16:creationId xmlns:a16="http://schemas.microsoft.com/office/drawing/2014/main" id="{BB10A5F1-7F43-FF47-983D-A81A88A264E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5">
          <xdr14:nvContentPartPr>
            <xdr14:cNvPr id="575" name="Ink 574">
              <a:extLst>
                <a:ext uri="{FF2B5EF4-FFF2-40B4-BE49-F238E27FC236}">
                  <a16:creationId xmlns:a16="http://schemas.microsoft.com/office/drawing/2014/main" id="{2332ADE6-2539-8449-B84A-107FCE1889A4}"/>
                </a:ext>
              </a:extLst>
            </xdr14:cNvPr>
            <xdr14:cNvContentPartPr/>
          </xdr14:nvContentPartPr>
          <xdr14:nvPr macro=""/>
          <xdr14:xfrm>
            <a:off x="12846960" y="1192320"/>
            <a:ext cx="360" cy="360"/>
          </xdr14:xfrm>
        </xdr:contentPart>
      </mc:Choice>
      <mc:Fallback xmlns="">
        <xdr:pic>
          <xdr:nvPicPr>
            <xdr:cNvPr id="575" name="Ink 574">
              <a:extLst>
                <a:ext uri="{FF2B5EF4-FFF2-40B4-BE49-F238E27FC236}">
                  <a16:creationId xmlns:a16="http://schemas.microsoft.com/office/drawing/2014/main" id="{2332ADE6-2539-8449-B84A-107FCE1889A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6">
          <xdr14:nvContentPartPr>
            <xdr14:cNvPr id="576" name="Ink 575">
              <a:extLst>
                <a:ext uri="{FF2B5EF4-FFF2-40B4-BE49-F238E27FC236}">
                  <a16:creationId xmlns:a16="http://schemas.microsoft.com/office/drawing/2014/main" id="{E956584F-3906-EF45-AE32-D846C16B142C}"/>
                </a:ext>
              </a:extLst>
            </xdr14:cNvPr>
            <xdr14:cNvContentPartPr/>
          </xdr14:nvContentPartPr>
          <xdr14:nvPr macro=""/>
          <xdr14:xfrm>
            <a:off x="12866040" y="1243440"/>
            <a:ext cx="360" cy="360"/>
          </xdr14:xfrm>
        </xdr:contentPart>
      </mc:Choice>
      <mc:Fallback xmlns="">
        <xdr:pic>
          <xdr:nvPicPr>
            <xdr:cNvPr id="576" name="Ink 575">
              <a:extLst>
                <a:ext uri="{FF2B5EF4-FFF2-40B4-BE49-F238E27FC236}">
                  <a16:creationId xmlns:a16="http://schemas.microsoft.com/office/drawing/2014/main" id="{E956584F-3906-EF45-AE32-D846C16B142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7">
          <xdr14:nvContentPartPr>
            <xdr14:cNvPr id="577" name="Ink 576">
              <a:extLst>
                <a:ext uri="{FF2B5EF4-FFF2-40B4-BE49-F238E27FC236}">
                  <a16:creationId xmlns:a16="http://schemas.microsoft.com/office/drawing/2014/main" id="{5339C158-A16F-CB4C-89DC-943715874FC3}"/>
                </a:ext>
              </a:extLst>
            </xdr14:cNvPr>
            <xdr14:cNvContentPartPr/>
          </xdr14:nvContentPartPr>
          <xdr14:nvPr macro=""/>
          <xdr14:xfrm>
            <a:off x="12973680" y="1366560"/>
            <a:ext cx="360" cy="360"/>
          </xdr14:xfrm>
        </xdr:contentPart>
      </mc:Choice>
      <mc:Fallback xmlns="">
        <xdr:pic>
          <xdr:nvPicPr>
            <xdr:cNvPr id="577" name="Ink 576">
              <a:extLst>
                <a:ext uri="{FF2B5EF4-FFF2-40B4-BE49-F238E27FC236}">
                  <a16:creationId xmlns:a16="http://schemas.microsoft.com/office/drawing/2014/main" id="{5339C158-A16F-CB4C-89DC-943715874FC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8">
          <xdr14:nvContentPartPr>
            <xdr14:cNvPr id="578" name="Ink 577">
              <a:extLst>
                <a:ext uri="{FF2B5EF4-FFF2-40B4-BE49-F238E27FC236}">
                  <a16:creationId xmlns:a16="http://schemas.microsoft.com/office/drawing/2014/main" id="{273A798F-BEB8-234A-B824-D1E2485C010C}"/>
                </a:ext>
              </a:extLst>
            </xdr14:cNvPr>
            <xdr14:cNvContentPartPr/>
          </xdr14:nvContentPartPr>
          <xdr14:nvPr macro=""/>
          <xdr14:xfrm>
            <a:off x="12846960" y="1192320"/>
            <a:ext cx="360" cy="360"/>
          </xdr14:xfrm>
        </xdr:contentPart>
      </mc:Choice>
      <mc:Fallback xmlns="">
        <xdr:pic>
          <xdr:nvPicPr>
            <xdr:cNvPr id="578" name="Ink 577">
              <a:extLst>
                <a:ext uri="{FF2B5EF4-FFF2-40B4-BE49-F238E27FC236}">
                  <a16:creationId xmlns:a16="http://schemas.microsoft.com/office/drawing/2014/main" id="{273A798F-BEB8-234A-B824-D1E2485C010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9">
          <xdr14:nvContentPartPr>
            <xdr14:cNvPr id="579" name="Ink 578">
              <a:extLst>
                <a:ext uri="{FF2B5EF4-FFF2-40B4-BE49-F238E27FC236}">
                  <a16:creationId xmlns:a16="http://schemas.microsoft.com/office/drawing/2014/main" id="{495D792D-18C7-9E46-934D-136D63A77CA0}"/>
                </a:ext>
              </a:extLst>
            </xdr14:cNvPr>
            <xdr14:cNvContentPartPr/>
          </xdr14:nvContentPartPr>
          <xdr14:nvPr macro=""/>
          <xdr14:xfrm>
            <a:off x="12866040" y="1243440"/>
            <a:ext cx="360" cy="360"/>
          </xdr14:xfrm>
        </xdr:contentPart>
      </mc:Choice>
      <mc:Fallback xmlns="">
        <xdr:pic>
          <xdr:nvPicPr>
            <xdr:cNvPr id="579" name="Ink 578">
              <a:extLst>
                <a:ext uri="{FF2B5EF4-FFF2-40B4-BE49-F238E27FC236}">
                  <a16:creationId xmlns:a16="http://schemas.microsoft.com/office/drawing/2014/main" id="{495D792D-18C7-9E46-934D-136D63A77CA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0">
          <xdr14:nvContentPartPr>
            <xdr14:cNvPr id="580" name="Ink 579">
              <a:extLst>
                <a:ext uri="{FF2B5EF4-FFF2-40B4-BE49-F238E27FC236}">
                  <a16:creationId xmlns:a16="http://schemas.microsoft.com/office/drawing/2014/main" id="{72C35720-5867-EC47-A94C-BD267DBA8186}"/>
                </a:ext>
              </a:extLst>
            </xdr14:cNvPr>
            <xdr14:cNvContentPartPr/>
          </xdr14:nvContentPartPr>
          <xdr14:nvPr macro=""/>
          <xdr14:xfrm>
            <a:off x="12973680" y="1366560"/>
            <a:ext cx="360" cy="360"/>
          </xdr14:xfrm>
        </xdr:contentPart>
      </mc:Choice>
      <mc:Fallback xmlns="">
        <xdr:pic>
          <xdr:nvPicPr>
            <xdr:cNvPr id="580" name="Ink 579">
              <a:extLst>
                <a:ext uri="{FF2B5EF4-FFF2-40B4-BE49-F238E27FC236}">
                  <a16:creationId xmlns:a16="http://schemas.microsoft.com/office/drawing/2014/main" id="{72C35720-5867-EC47-A94C-BD267DBA818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1">
          <xdr14:nvContentPartPr>
            <xdr14:cNvPr id="581" name="Ink 580">
              <a:extLst>
                <a:ext uri="{FF2B5EF4-FFF2-40B4-BE49-F238E27FC236}">
                  <a16:creationId xmlns:a16="http://schemas.microsoft.com/office/drawing/2014/main" id="{733591B9-7452-8040-8F32-D5E68ED950F3}"/>
                </a:ext>
              </a:extLst>
            </xdr14:cNvPr>
            <xdr14:cNvContentPartPr/>
          </xdr14:nvContentPartPr>
          <xdr14:nvPr macro=""/>
          <xdr14:xfrm>
            <a:off x="12846960" y="1192320"/>
            <a:ext cx="360" cy="360"/>
          </xdr14:xfrm>
        </xdr:contentPart>
      </mc:Choice>
      <mc:Fallback xmlns="">
        <xdr:pic>
          <xdr:nvPicPr>
            <xdr:cNvPr id="581" name="Ink 580">
              <a:extLst>
                <a:ext uri="{FF2B5EF4-FFF2-40B4-BE49-F238E27FC236}">
                  <a16:creationId xmlns:a16="http://schemas.microsoft.com/office/drawing/2014/main" id="{733591B9-7452-8040-8F32-D5E68ED950F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2">
          <xdr14:nvContentPartPr>
            <xdr14:cNvPr id="582" name="Ink 581">
              <a:extLst>
                <a:ext uri="{FF2B5EF4-FFF2-40B4-BE49-F238E27FC236}">
                  <a16:creationId xmlns:a16="http://schemas.microsoft.com/office/drawing/2014/main" id="{DC1E8963-74E1-354B-A6AE-1D9E9ACCE95B}"/>
                </a:ext>
              </a:extLst>
            </xdr14:cNvPr>
            <xdr14:cNvContentPartPr/>
          </xdr14:nvContentPartPr>
          <xdr14:nvPr macro=""/>
          <xdr14:xfrm>
            <a:off x="12866040" y="1243440"/>
            <a:ext cx="360" cy="360"/>
          </xdr14:xfrm>
        </xdr:contentPart>
      </mc:Choice>
      <mc:Fallback xmlns="">
        <xdr:pic>
          <xdr:nvPicPr>
            <xdr:cNvPr id="582" name="Ink 581">
              <a:extLst>
                <a:ext uri="{FF2B5EF4-FFF2-40B4-BE49-F238E27FC236}">
                  <a16:creationId xmlns:a16="http://schemas.microsoft.com/office/drawing/2014/main" id="{DC1E8963-74E1-354B-A6AE-1D9E9ACCE95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3">
          <xdr14:nvContentPartPr>
            <xdr14:cNvPr id="583" name="Ink 582">
              <a:extLst>
                <a:ext uri="{FF2B5EF4-FFF2-40B4-BE49-F238E27FC236}">
                  <a16:creationId xmlns:a16="http://schemas.microsoft.com/office/drawing/2014/main" id="{4FFF41F2-533F-704C-87EA-45968FE79B65}"/>
                </a:ext>
              </a:extLst>
            </xdr14:cNvPr>
            <xdr14:cNvContentPartPr/>
          </xdr14:nvContentPartPr>
          <xdr14:nvPr macro=""/>
          <xdr14:xfrm>
            <a:off x="12973680" y="1366560"/>
            <a:ext cx="360" cy="360"/>
          </xdr14:xfrm>
        </xdr:contentPart>
      </mc:Choice>
      <mc:Fallback xmlns="">
        <xdr:pic>
          <xdr:nvPicPr>
            <xdr:cNvPr id="583" name="Ink 582">
              <a:extLst>
                <a:ext uri="{FF2B5EF4-FFF2-40B4-BE49-F238E27FC236}">
                  <a16:creationId xmlns:a16="http://schemas.microsoft.com/office/drawing/2014/main" id="{4FFF41F2-533F-704C-87EA-45968FE79B6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4">
          <xdr14:nvContentPartPr>
            <xdr14:cNvPr id="584" name="Ink 583">
              <a:extLst>
                <a:ext uri="{FF2B5EF4-FFF2-40B4-BE49-F238E27FC236}">
                  <a16:creationId xmlns:a16="http://schemas.microsoft.com/office/drawing/2014/main" id="{89CF6C95-C343-B145-A4A5-D7FC2198ABBB}"/>
                </a:ext>
              </a:extLst>
            </xdr14:cNvPr>
            <xdr14:cNvContentPartPr/>
          </xdr14:nvContentPartPr>
          <xdr14:nvPr macro=""/>
          <xdr14:xfrm>
            <a:off x="12846960" y="1192320"/>
            <a:ext cx="360" cy="360"/>
          </xdr14:xfrm>
        </xdr:contentPart>
      </mc:Choice>
      <mc:Fallback xmlns="">
        <xdr:pic>
          <xdr:nvPicPr>
            <xdr:cNvPr id="584" name="Ink 583">
              <a:extLst>
                <a:ext uri="{FF2B5EF4-FFF2-40B4-BE49-F238E27FC236}">
                  <a16:creationId xmlns:a16="http://schemas.microsoft.com/office/drawing/2014/main" id="{89CF6C95-C343-B145-A4A5-D7FC2198ABB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5">
          <xdr14:nvContentPartPr>
            <xdr14:cNvPr id="585" name="Ink 584">
              <a:extLst>
                <a:ext uri="{FF2B5EF4-FFF2-40B4-BE49-F238E27FC236}">
                  <a16:creationId xmlns:a16="http://schemas.microsoft.com/office/drawing/2014/main" id="{333AC870-397C-8E4D-8DF6-7CDE1050A3A0}"/>
                </a:ext>
              </a:extLst>
            </xdr14:cNvPr>
            <xdr14:cNvContentPartPr/>
          </xdr14:nvContentPartPr>
          <xdr14:nvPr macro=""/>
          <xdr14:xfrm>
            <a:off x="12866040" y="1243440"/>
            <a:ext cx="360" cy="360"/>
          </xdr14:xfrm>
        </xdr:contentPart>
      </mc:Choice>
      <mc:Fallback xmlns="">
        <xdr:pic>
          <xdr:nvPicPr>
            <xdr:cNvPr id="585" name="Ink 584">
              <a:extLst>
                <a:ext uri="{FF2B5EF4-FFF2-40B4-BE49-F238E27FC236}">
                  <a16:creationId xmlns:a16="http://schemas.microsoft.com/office/drawing/2014/main" id="{333AC870-397C-8E4D-8DF6-7CDE1050A3A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6">
          <xdr14:nvContentPartPr>
            <xdr14:cNvPr id="586" name="Ink 585">
              <a:extLst>
                <a:ext uri="{FF2B5EF4-FFF2-40B4-BE49-F238E27FC236}">
                  <a16:creationId xmlns:a16="http://schemas.microsoft.com/office/drawing/2014/main" id="{2D164842-E7E3-124E-9F7C-AA979D6B16E4}"/>
                </a:ext>
              </a:extLst>
            </xdr14:cNvPr>
            <xdr14:cNvContentPartPr/>
          </xdr14:nvContentPartPr>
          <xdr14:nvPr macro=""/>
          <xdr14:xfrm>
            <a:off x="12973680" y="1366560"/>
            <a:ext cx="360" cy="360"/>
          </xdr14:xfrm>
        </xdr:contentPart>
      </mc:Choice>
      <mc:Fallback xmlns="">
        <xdr:pic>
          <xdr:nvPicPr>
            <xdr:cNvPr id="586" name="Ink 585">
              <a:extLst>
                <a:ext uri="{FF2B5EF4-FFF2-40B4-BE49-F238E27FC236}">
                  <a16:creationId xmlns:a16="http://schemas.microsoft.com/office/drawing/2014/main" id="{2D164842-E7E3-124E-9F7C-AA979D6B16E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7">
          <xdr14:nvContentPartPr>
            <xdr14:cNvPr id="587" name="Ink 586">
              <a:extLst>
                <a:ext uri="{FF2B5EF4-FFF2-40B4-BE49-F238E27FC236}">
                  <a16:creationId xmlns:a16="http://schemas.microsoft.com/office/drawing/2014/main" id="{AC83938E-2ED0-8D42-8CB9-64AA37C27385}"/>
                </a:ext>
              </a:extLst>
            </xdr14:cNvPr>
            <xdr14:cNvContentPartPr/>
          </xdr14:nvContentPartPr>
          <xdr14:nvPr macro=""/>
          <xdr14:xfrm>
            <a:off x="12846960" y="1192320"/>
            <a:ext cx="360" cy="360"/>
          </xdr14:xfrm>
        </xdr:contentPart>
      </mc:Choice>
      <mc:Fallback xmlns="">
        <xdr:pic>
          <xdr:nvPicPr>
            <xdr:cNvPr id="587" name="Ink 586">
              <a:extLst>
                <a:ext uri="{FF2B5EF4-FFF2-40B4-BE49-F238E27FC236}">
                  <a16:creationId xmlns:a16="http://schemas.microsoft.com/office/drawing/2014/main" id="{AC83938E-2ED0-8D42-8CB9-64AA37C2738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8">
          <xdr14:nvContentPartPr>
            <xdr14:cNvPr id="588" name="Ink 587">
              <a:extLst>
                <a:ext uri="{FF2B5EF4-FFF2-40B4-BE49-F238E27FC236}">
                  <a16:creationId xmlns:a16="http://schemas.microsoft.com/office/drawing/2014/main" id="{3177442F-6D4F-A244-9C1A-0993C8052561}"/>
                </a:ext>
              </a:extLst>
            </xdr14:cNvPr>
            <xdr14:cNvContentPartPr/>
          </xdr14:nvContentPartPr>
          <xdr14:nvPr macro=""/>
          <xdr14:xfrm>
            <a:off x="12866040" y="1243440"/>
            <a:ext cx="360" cy="360"/>
          </xdr14:xfrm>
        </xdr:contentPart>
      </mc:Choice>
      <mc:Fallback xmlns="">
        <xdr:pic>
          <xdr:nvPicPr>
            <xdr:cNvPr id="588" name="Ink 587">
              <a:extLst>
                <a:ext uri="{FF2B5EF4-FFF2-40B4-BE49-F238E27FC236}">
                  <a16:creationId xmlns:a16="http://schemas.microsoft.com/office/drawing/2014/main" id="{3177442F-6D4F-A244-9C1A-0993C805256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9">
          <xdr14:nvContentPartPr>
            <xdr14:cNvPr id="589" name="Ink 588">
              <a:extLst>
                <a:ext uri="{FF2B5EF4-FFF2-40B4-BE49-F238E27FC236}">
                  <a16:creationId xmlns:a16="http://schemas.microsoft.com/office/drawing/2014/main" id="{17907812-4D90-E542-8EA9-C61FC2FB42F2}"/>
                </a:ext>
              </a:extLst>
            </xdr14:cNvPr>
            <xdr14:cNvContentPartPr/>
          </xdr14:nvContentPartPr>
          <xdr14:nvPr macro=""/>
          <xdr14:xfrm>
            <a:off x="12973680" y="1366560"/>
            <a:ext cx="360" cy="360"/>
          </xdr14:xfrm>
        </xdr:contentPart>
      </mc:Choice>
      <mc:Fallback xmlns="">
        <xdr:pic>
          <xdr:nvPicPr>
            <xdr:cNvPr id="589" name="Ink 588">
              <a:extLst>
                <a:ext uri="{FF2B5EF4-FFF2-40B4-BE49-F238E27FC236}">
                  <a16:creationId xmlns:a16="http://schemas.microsoft.com/office/drawing/2014/main" id="{17907812-4D90-E542-8EA9-C61FC2FB42F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0">
          <xdr14:nvContentPartPr>
            <xdr14:cNvPr id="590" name="Ink 589">
              <a:extLst>
                <a:ext uri="{FF2B5EF4-FFF2-40B4-BE49-F238E27FC236}">
                  <a16:creationId xmlns:a16="http://schemas.microsoft.com/office/drawing/2014/main" id="{AB58EF25-E73A-7E4A-901A-ECA5221EF2B0}"/>
                </a:ext>
              </a:extLst>
            </xdr14:cNvPr>
            <xdr14:cNvContentPartPr/>
          </xdr14:nvContentPartPr>
          <xdr14:nvPr macro=""/>
          <xdr14:xfrm>
            <a:off x="12846960" y="1192320"/>
            <a:ext cx="360" cy="360"/>
          </xdr14:xfrm>
        </xdr:contentPart>
      </mc:Choice>
      <mc:Fallback xmlns="">
        <xdr:pic>
          <xdr:nvPicPr>
            <xdr:cNvPr id="590" name="Ink 589">
              <a:extLst>
                <a:ext uri="{FF2B5EF4-FFF2-40B4-BE49-F238E27FC236}">
                  <a16:creationId xmlns:a16="http://schemas.microsoft.com/office/drawing/2014/main" id="{AB58EF25-E73A-7E4A-901A-ECA5221EF2B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1">
          <xdr14:nvContentPartPr>
            <xdr14:cNvPr id="591" name="Ink 590">
              <a:extLst>
                <a:ext uri="{FF2B5EF4-FFF2-40B4-BE49-F238E27FC236}">
                  <a16:creationId xmlns:a16="http://schemas.microsoft.com/office/drawing/2014/main" id="{2E3B1A0C-F12E-0444-8170-82F6D9752B47}"/>
                </a:ext>
              </a:extLst>
            </xdr14:cNvPr>
            <xdr14:cNvContentPartPr/>
          </xdr14:nvContentPartPr>
          <xdr14:nvPr macro=""/>
          <xdr14:xfrm>
            <a:off x="12866040" y="1243440"/>
            <a:ext cx="360" cy="360"/>
          </xdr14:xfrm>
        </xdr:contentPart>
      </mc:Choice>
      <mc:Fallback xmlns="">
        <xdr:pic>
          <xdr:nvPicPr>
            <xdr:cNvPr id="591" name="Ink 590">
              <a:extLst>
                <a:ext uri="{FF2B5EF4-FFF2-40B4-BE49-F238E27FC236}">
                  <a16:creationId xmlns:a16="http://schemas.microsoft.com/office/drawing/2014/main" id="{2E3B1A0C-F12E-0444-8170-82F6D9752B4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2">
          <xdr14:nvContentPartPr>
            <xdr14:cNvPr id="592" name="Ink 591">
              <a:extLst>
                <a:ext uri="{FF2B5EF4-FFF2-40B4-BE49-F238E27FC236}">
                  <a16:creationId xmlns:a16="http://schemas.microsoft.com/office/drawing/2014/main" id="{08558C3C-0576-4F44-B9CA-C5C2FF54CCA8}"/>
                </a:ext>
              </a:extLst>
            </xdr14:cNvPr>
            <xdr14:cNvContentPartPr/>
          </xdr14:nvContentPartPr>
          <xdr14:nvPr macro=""/>
          <xdr14:xfrm>
            <a:off x="12973680" y="1366560"/>
            <a:ext cx="360" cy="360"/>
          </xdr14:xfrm>
        </xdr:contentPart>
      </mc:Choice>
      <mc:Fallback xmlns="">
        <xdr:pic>
          <xdr:nvPicPr>
            <xdr:cNvPr id="592" name="Ink 591">
              <a:extLst>
                <a:ext uri="{FF2B5EF4-FFF2-40B4-BE49-F238E27FC236}">
                  <a16:creationId xmlns:a16="http://schemas.microsoft.com/office/drawing/2014/main" id="{08558C3C-0576-4F44-B9CA-C5C2FF54CCA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3">
          <xdr14:nvContentPartPr>
            <xdr14:cNvPr id="593" name="Ink 592">
              <a:extLst>
                <a:ext uri="{FF2B5EF4-FFF2-40B4-BE49-F238E27FC236}">
                  <a16:creationId xmlns:a16="http://schemas.microsoft.com/office/drawing/2014/main" id="{E8F82BC8-BC92-3A40-9EBD-0B0D5A14DE86}"/>
                </a:ext>
              </a:extLst>
            </xdr14:cNvPr>
            <xdr14:cNvContentPartPr/>
          </xdr14:nvContentPartPr>
          <xdr14:nvPr macro=""/>
          <xdr14:xfrm>
            <a:off x="12846960" y="1192320"/>
            <a:ext cx="360" cy="360"/>
          </xdr14:xfrm>
        </xdr:contentPart>
      </mc:Choice>
      <mc:Fallback xmlns="">
        <xdr:pic>
          <xdr:nvPicPr>
            <xdr:cNvPr id="593" name="Ink 592">
              <a:extLst>
                <a:ext uri="{FF2B5EF4-FFF2-40B4-BE49-F238E27FC236}">
                  <a16:creationId xmlns:a16="http://schemas.microsoft.com/office/drawing/2014/main" id="{E8F82BC8-BC92-3A40-9EBD-0B0D5A14DE8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4">
          <xdr14:nvContentPartPr>
            <xdr14:cNvPr id="594" name="Ink 593">
              <a:extLst>
                <a:ext uri="{FF2B5EF4-FFF2-40B4-BE49-F238E27FC236}">
                  <a16:creationId xmlns:a16="http://schemas.microsoft.com/office/drawing/2014/main" id="{1A1E99D4-D100-E74C-B02C-6A90CB9CF344}"/>
                </a:ext>
              </a:extLst>
            </xdr14:cNvPr>
            <xdr14:cNvContentPartPr/>
          </xdr14:nvContentPartPr>
          <xdr14:nvPr macro=""/>
          <xdr14:xfrm>
            <a:off x="12866040" y="1243440"/>
            <a:ext cx="360" cy="360"/>
          </xdr14:xfrm>
        </xdr:contentPart>
      </mc:Choice>
      <mc:Fallback xmlns="">
        <xdr:pic>
          <xdr:nvPicPr>
            <xdr:cNvPr id="594" name="Ink 593">
              <a:extLst>
                <a:ext uri="{FF2B5EF4-FFF2-40B4-BE49-F238E27FC236}">
                  <a16:creationId xmlns:a16="http://schemas.microsoft.com/office/drawing/2014/main" id="{1A1E99D4-D100-E74C-B02C-6A90CB9CF34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5">
          <xdr14:nvContentPartPr>
            <xdr14:cNvPr id="595" name="Ink 594">
              <a:extLst>
                <a:ext uri="{FF2B5EF4-FFF2-40B4-BE49-F238E27FC236}">
                  <a16:creationId xmlns:a16="http://schemas.microsoft.com/office/drawing/2014/main" id="{B53C86AD-BEAF-4A48-9437-A2B57D05F5D1}"/>
                </a:ext>
              </a:extLst>
            </xdr14:cNvPr>
            <xdr14:cNvContentPartPr/>
          </xdr14:nvContentPartPr>
          <xdr14:nvPr macro=""/>
          <xdr14:xfrm>
            <a:off x="12973680" y="1366560"/>
            <a:ext cx="360" cy="360"/>
          </xdr14:xfrm>
        </xdr:contentPart>
      </mc:Choice>
      <mc:Fallback xmlns="">
        <xdr:pic>
          <xdr:nvPicPr>
            <xdr:cNvPr id="595" name="Ink 594">
              <a:extLst>
                <a:ext uri="{FF2B5EF4-FFF2-40B4-BE49-F238E27FC236}">
                  <a16:creationId xmlns:a16="http://schemas.microsoft.com/office/drawing/2014/main" id="{B53C86AD-BEAF-4A48-9437-A2B57D05F5D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6">
          <xdr14:nvContentPartPr>
            <xdr14:cNvPr id="596" name="Ink 595">
              <a:extLst>
                <a:ext uri="{FF2B5EF4-FFF2-40B4-BE49-F238E27FC236}">
                  <a16:creationId xmlns:a16="http://schemas.microsoft.com/office/drawing/2014/main" id="{5F133768-B4D1-1B42-93FC-CB92A690393B}"/>
                </a:ext>
              </a:extLst>
            </xdr14:cNvPr>
            <xdr14:cNvContentPartPr/>
          </xdr14:nvContentPartPr>
          <xdr14:nvPr macro=""/>
          <xdr14:xfrm>
            <a:off x="12846960" y="1192320"/>
            <a:ext cx="360" cy="360"/>
          </xdr14:xfrm>
        </xdr:contentPart>
      </mc:Choice>
      <mc:Fallback xmlns="">
        <xdr:pic>
          <xdr:nvPicPr>
            <xdr:cNvPr id="596" name="Ink 595">
              <a:extLst>
                <a:ext uri="{FF2B5EF4-FFF2-40B4-BE49-F238E27FC236}">
                  <a16:creationId xmlns:a16="http://schemas.microsoft.com/office/drawing/2014/main" id="{5F133768-B4D1-1B42-93FC-CB92A690393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7">
          <xdr14:nvContentPartPr>
            <xdr14:cNvPr id="597" name="Ink 596">
              <a:extLst>
                <a:ext uri="{FF2B5EF4-FFF2-40B4-BE49-F238E27FC236}">
                  <a16:creationId xmlns:a16="http://schemas.microsoft.com/office/drawing/2014/main" id="{CC4F760D-2759-FF4B-92F8-8F0345EEA142}"/>
                </a:ext>
              </a:extLst>
            </xdr14:cNvPr>
            <xdr14:cNvContentPartPr/>
          </xdr14:nvContentPartPr>
          <xdr14:nvPr macro=""/>
          <xdr14:xfrm>
            <a:off x="12866040" y="1243440"/>
            <a:ext cx="360" cy="360"/>
          </xdr14:xfrm>
        </xdr:contentPart>
      </mc:Choice>
      <mc:Fallback xmlns="">
        <xdr:pic>
          <xdr:nvPicPr>
            <xdr:cNvPr id="597" name="Ink 596">
              <a:extLst>
                <a:ext uri="{FF2B5EF4-FFF2-40B4-BE49-F238E27FC236}">
                  <a16:creationId xmlns:a16="http://schemas.microsoft.com/office/drawing/2014/main" id="{CC4F760D-2759-FF4B-92F8-8F0345EEA14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8">
          <xdr14:nvContentPartPr>
            <xdr14:cNvPr id="598" name="Ink 597">
              <a:extLst>
                <a:ext uri="{FF2B5EF4-FFF2-40B4-BE49-F238E27FC236}">
                  <a16:creationId xmlns:a16="http://schemas.microsoft.com/office/drawing/2014/main" id="{7CABFFAD-3DCA-2E4D-AA41-CA5DB8B6AE56}"/>
                </a:ext>
              </a:extLst>
            </xdr14:cNvPr>
            <xdr14:cNvContentPartPr/>
          </xdr14:nvContentPartPr>
          <xdr14:nvPr macro=""/>
          <xdr14:xfrm>
            <a:off x="12973680" y="1366560"/>
            <a:ext cx="360" cy="360"/>
          </xdr14:xfrm>
        </xdr:contentPart>
      </mc:Choice>
      <mc:Fallback xmlns="">
        <xdr:pic>
          <xdr:nvPicPr>
            <xdr:cNvPr id="598" name="Ink 597">
              <a:extLst>
                <a:ext uri="{FF2B5EF4-FFF2-40B4-BE49-F238E27FC236}">
                  <a16:creationId xmlns:a16="http://schemas.microsoft.com/office/drawing/2014/main" id="{7CABFFAD-3DCA-2E4D-AA41-CA5DB8B6AE5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9">
          <xdr14:nvContentPartPr>
            <xdr14:cNvPr id="599" name="Ink 598">
              <a:extLst>
                <a:ext uri="{FF2B5EF4-FFF2-40B4-BE49-F238E27FC236}">
                  <a16:creationId xmlns:a16="http://schemas.microsoft.com/office/drawing/2014/main" id="{D959FFE1-661D-0F4A-ADF3-25766B86F820}"/>
                </a:ext>
              </a:extLst>
            </xdr14:cNvPr>
            <xdr14:cNvContentPartPr/>
          </xdr14:nvContentPartPr>
          <xdr14:nvPr macro=""/>
          <xdr14:xfrm>
            <a:off x="12846960" y="1192320"/>
            <a:ext cx="360" cy="360"/>
          </xdr14:xfrm>
        </xdr:contentPart>
      </mc:Choice>
      <mc:Fallback xmlns="">
        <xdr:pic>
          <xdr:nvPicPr>
            <xdr:cNvPr id="599" name="Ink 598">
              <a:extLst>
                <a:ext uri="{FF2B5EF4-FFF2-40B4-BE49-F238E27FC236}">
                  <a16:creationId xmlns:a16="http://schemas.microsoft.com/office/drawing/2014/main" id="{D959FFE1-661D-0F4A-ADF3-25766B86F82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0">
          <xdr14:nvContentPartPr>
            <xdr14:cNvPr id="600" name="Ink 599">
              <a:extLst>
                <a:ext uri="{FF2B5EF4-FFF2-40B4-BE49-F238E27FC236}">
                  <a16:creationId xmlns:a16="http://schemas.microsoft.com/office/drawing/2014/main" id="{B0F707D0-A60B-2744-B98B-395F4FC4D79F}"/>
                </a:ext>
              </a:extLst>
            </xdr14:cNvPr>
            <xdr14:cNvContentPartPr/>
          </xdr14:nvContentPartPr>
          <xdr14:nvPr macro=""/>
          <xdr14:xfrm>
            <a:off x="12866040" y="1243440"/>
            <a:ext cx="360" cy="360"/>
          </xdr14:xfrm>
        </xdr:contentPart>
      </mc:Choice>
      <mc:Fallback xmlns="">
        <xdr:pic>
          <xdr:nvPicPr>
            <xdr:cNvPr id="600" name="Ink 599">
              <a:extLst>
                <a:ext uri="{FF2B5EF4-FFF2-40B4-BE49-F238E27FC236}">
                  <a16:creationId xmlns:a16="http://schemas.microsoft.com/office/drawing/2014/main" id="{B0F707D0-A60B-2744-B98B-395F4FC4D79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1">
          <xdr14:nvContentPartPr>
            <xdr14:cNvPr id="601" name="Ink 600">
              <a:extLst>
                <a:ext uri="{FF2B5EF4-FFF2-40B4-BE49-F238E27FC236}">
                  <a16:creationId xmlns:a16="http://schemas.microsoft.com/office/drawing/2014/main" id="{084B5F9C-E967-874C-8452-0ECB4ED9ED1D}"/>
                </a:ext>
              </a:extLst>
            </xdr14:cNvPr>
            <xdr14:cNvContentPartPr/>
          </xdr14:nvContentPartPr>
          <xdr14:nvPr macro=""/>
          <xdr14:xfrm>
            <a:off x="12973680" y="1366560"/>
            <a:ext cx="360" cy="360"/>
          </xdr14:xfrm>
        </xdr:contentPart>
      </mc:Choice>
      <mc:Fallback xmlns="">
        <xdr:pic>
          <xdr:nvPicPr>
            <xdr:cNvPr id="601" name="Ink 600">
              <a:extLst>
                <a:ext uri="{FF2B5EF4-FFF2-40B4-BE49-F238E27FC236}">
                  <a16:creationId xmlns:a16="http://schemas.microsoft.com/office/drawing/2014/main" id="{084B5F9C-E967-874C-8452-0ECB4ED9ED1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2">
          <xdr14:nvContentPartPr>
            <xdr14:cNvPr id="602" name="Ink 601">
              <a:extLst>
                <a:ext uri="{FF2B5EF4-FFF2-40B4-BE49-F238E27FC236}">
                  <a16:creationId xmlns:a16="http://schemas.microsoft.com/office/drawing/2014/main" id="{29D943A6-8760-7A47-8B43-E7749B771EC3}"/>
                </a:ext>
              </a:extLst>
            </xdr14:cNvPr>
            <xdr14:cNvContentPartPr/>
          </xdr14:nvContentPartPr>
          <xdr14:nvPr macro=""/>
          <xdr14:xfrm>
            <a:off x="12846960" y="1192320"/>
            <a:ext cx="360" cy="360"/>
          </xdr14:xfrm>
        </xdr:contentPart>
      </mc:Choice>
      <mc:Fallback xmlns="">
        <xdr:pic>
          <xdr:nvPicPr>
            <xdr:cNvPr id="602" name="Ink 601">
              <a:extLst>
                <a:ext uri="{FF2B5EF4-FFF2-40B4-BE49-F238E27FC236}">
                  <a16:creationId xmlns:a16="http://schemas.microsoft.com/office/drawing/2014/main" id="{29D943A6-8760-7A47-8B43-E7749B771EC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3">
          <xdr14:nvContentPartPr>
            <xdr14:cNvPr id="603" name="Ink 602">
              <a:extLst>
                <a:ext uri="{FF2B5EF4-FFF2-40B4-BE49-F238E27FC236}">
                  <a16:creationId xmlns:a16="http://schemas.microsoft.com/office/drawing/2014/main" id="{CE2FCE7B-6692-7849-B99E-FE95871EF32C}"/>
                </a:ext>
              </a:extLst>
            </xdr14:cNvPr>
            <xdr14:cNvContentPartPr/>
          </xdr14:nvContentPartPr>
          <xdr14:nvPr macro=""/>
          <xdr14:xfrm>
            <a:off x="12866040" y="1243440"/>
            <a:ext cx="360" cy="360"/>
          </xdr14:xfrm>
        </xdr:contentPart>
      </mc:Choice>
      <mc:Fallback xmlns="">
        <xdr:pic>
          <xdr:nvPicPr>
            <xdr:cNvPr id="603" name="Ink 602">
              <a:extLst>
                <a:ext uri="{FF2B5EF4-FFF2-40B4-BE49-F238E27FC236}">
                  <a16:creationId xmlns:a16="http://schemas.microsoft.com/office/drawing/2014/main" id="{CE2FCE7B-6692-7849-B99E-FE95871EF32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4">
          <xdr14:nvContentPartPr>
            <xdr14:cNvPr id="604" name="Ink 603">
              <a:extLst>
                <a:ext uri="{FF2B5EF4-FFF2-40B4-BE49-F238E27FC236}">
                  <a16:creationId xmlns:a16="http://schemas.microsoft.com/office/drawing/2014/main" id="{C629654D-7D20-B341-8D66-A4A230E5CC5D}"/>
                </a:ext>
              </a:extLst>
            </xdr14:cNvPr>
            <xdr14:cNvContentPartPr/>
          </xdr14:nvContentPartPr>
          <xdr14:nvPr macro=""/>
          <xdr14:xfrm>
            <a:off x="12973680" y="1366560"/>
            <a:ext cx="360" cy="360"/>
          </xdr14:xfrm>
        </xdr:contentPart>
      </mc:Choice>
      <mc:Fallback xmlns="">
        <xdr:pic>
          <xdr:nvPicPr>
            <xdr:cNvPr id="604" name="Ink 603">
              <a:extLst>
                <a:ext uri="{FF2B5EF4-FFF2-40B4-BE49-F238E27FC236}">
                  <a16:creationId xmlns:a16="http://schemas.microsoft.com/office/drawing/2014/main" id="{C629654D-7D20-B341-8D66-A4A230E5CC5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5">
          <xdr14:nvContentPartPr>
            <xdr14:cNvPr id="605" name="Ink 604">
              <a:extLst>
                <a:ext uri="{FF2B5EF4-FFF2-40B4-BE49-F238E27FC236}">
                  <a16:creationId xmlns:a16="http://schemas.microsoft.com/office/drawing/2014/main" id="{32DC5686-0ADC-544A-8E60-6ED9614C3CA5}"/>
                </a:ext>
              </a:extLst>
            </xdr14:cNvPr>
            <xdr14:cNvContentPartPr/>
          </xdr14:nvContentPartPr>
          <xdr14:nvPr macro=""/>
          <xdr14:xfrm>
            <a:off x="12846960" y="1192320"/>
            <a:ext cx="360" cy="360"/>
          </xdr14:xfrm>
        </xdr:contentPart>
      </mc:Choice>
      <mc:Fallback xmlns="">
        <xdr:pic>
          <xdr:nvPicPr>
            <xdr:cNvPr id="605" name="Ink 604">
              <a:extLst>
                <a:ext uri="{FF2B5EF4-FFF2-40B4-BE49-F238E27FC236}">
                  <a16:creationId xmlns:a16="http://schemas.microsoft.com/office/drawing/2014/main" id="{32DC5686-0ADC-544A-8E60-6ED9614C3CA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6">
          <xdr14:nvContentPartPr>
            <xdr14:cNvPr id="606" name="Ink 605">
              <a:extLst>
                <a:ext uri="{FF2B5EF4-FFF2-40B4-BE49-F238E27FC236}">
                  <a16:creationId xmlns:a16="http://schemas.microsoft.com/office/drawing/2014/main" id="{67AD4CCC-F79D-0946-9A75-ADE0ECD6CAF2}"/>
                </a:ext>
              </a:extLst>
            </xdr14:cNvPr>
            <xdr14:cNvContentPartPr/>
          </xdr14:nvContentPartPr>
          <xdr14:nvPr macro=""/>
          <xdr14:xfrm>
            <a:off x="12866040" y="1243440"/>
            <a:ext cx="360" cy="360"/>
          </xdr14:xfrm>
        </xdr:contentPart>
      </mc:Choice>
      <mc:Fallback xmlns="">
        <xdr:pic>
          <xdr:nvPicPr>
            <xdr:cNvPr id="606" name="Ink 605">
              <a:extLst>
                <a:ext uri="{FF2B5EF4-FFF2-40B4-BE49-F238E27FC236}">
                  <a16:creationId xmlns:a16="http://schemas.microsoft.com/office/drawing/2014/main" id="{67AD4CCC-F79D-0946-9A75-ADE0ECD6CAF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7">
          <xdr14:nvContentPartPr>
            <xdr14:cNvPr id="607" name="Ink 606">
              <a:extLst>
                <a:ext uri="{FF2B5EF4-FFF2-40B4-BE49-F238E27FC236}">
                  <a16:creationId xmlns:a16="http://schemas.microsoft.com/office/drawing/2014/main" id="{C48BF48A-1B94-BD4A-B4BA-1480F704C444}"/>
                </a:ext>
              </a:extLst>
            </xdr14:cNvPr>
            <xdr14:cNvContentPartPr/>
          </xdr14:nvContentPartPr>
          <xdr14:nvPr macro=""/>
          <xdr14:xfrm>
            <a:off x="12973680" y="1366560"/>
            <a:ext cx="360" cy="360"/>
          </xdr14:xfrm>
        </xdr:contentPart>
      </mc:Choice>
      <mc:Fallback xmlns="">
        <xdr:pic>
          <xdr:nvPicPr>
            <xdr:cNvPr id="607" name="Ink 606">
              <a:extLst>
                <a:ext uri="{FF2B5EF4-FFF2-40B4-BE49-F238E27FC236}">
                  <a16:creationId xmlns:a16="http://schemas.microsoft.com/office/drawing/2014/main" id="{C48BF48A-1B94-BD4A-B4BA-1480F704C44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8">
          <xdr14:nvContentPartPr>
            <xdr14:cNvPr id="608" name="Ink 607">
              <a:extLst>
                <a:ext uri="{FF2B5EF4-FFF2-40B4-BE49-F238E27FC236}">
                  <a16:creationId xmlns:a16="http://schemas.microsoft.com/office/drawing/2014/main" id="{ACA33EA9-5733-D94B-9B55-9B57581B5347}"/>
                </a:ext>
              </a:extLst>
            </xdr14:cNvPr>
            <xdr14:cNvContentPartPr/>
          </xdr14:nvContentPartPr>
          <xdr14:nvPr macro=""/>
          <xdr14:xfrm>
            <a:off x="12846960" y="1192320"/>
            <a:ext cx="360" cy="360"/>
          </xdr14:xfrm>
        </xdr:contentPart>
      </mc:Choice>
      <mc:Fallback xmlns="">
        <xdr:pic>
          <xdr:nvPicPr>
            <xdr:cNvPr id="608" name="Ink 607">
              <a:extLst>
                <a:ext uri="{FF2B5EF4-FFF2-40B4-BE49-F238E27FC236}">
                  <a16:creationId xmlns:a16="http://schemas.microsoft.com/office/drawing/2014/main" id="{ACA33EA9-5733-D94B-9B55-9B57581B534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9">
          <xdr14:nvContentPartPr>
            <xdr14:cNvPr id="609" name="Ink 608">
              <a:extLst>
                <a:ext uri="{FF2B5EF4-FFF2-40B4-BE49-F238E27FC236}">
                  <a16:creationId xmlns:a16="http://schemas.microsoft.com/office/drawing/2014/main" id="{909CF294-B152-A449-BBA5-E6F7704F439D}"/>
                </a:ext>
              </a:extLst>
            </xdr14:cNvPr>
            <xdr14:cNvContentPartPr/>
          </xdr14:nvContentPartPr>
          <xdr14:nvPr macro=""/>
          <xdr14:xfrm>
            <a:off x="12866040" y="1243440"/>
            <a:ext cx="360" cy="360"/>
          </xdr14:xfrm>
        </xdr:contentPart>
      </mc:Choice>
      <mc:Fallback xmlns="">
        <xdr:pic>
          <xdr:nvPicPr>
            <xdr:cNvPr id="609" name="Ink 608">
              <a:extLst>
                <a:ext uri="{FF2B5EF4-FFF2-40B4-BE49-F238E27FC236}">
                  <a16:creationId xmlns:a16="http://schemas.microsoft.com/office/drawing/2014/main" id="{909CF294-B152-A449-BBA5-E6F7704F439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0">
          <xdr14:nvContentPartPr>
            <xdr14:cNvPr id="610" name="Ink 609">
              <a:extLst>
                <a:ext uri="{FF2B5EF4-FFF2-40B4-BE49-F238E27FC236}">
                  <a16:creationId xmlns:a16="http://schemas.microsoft.com/office/drawing/2014/main" id="{0D6AB484-996E-C146-B2C6-A785F1A9C320}"/>
                </a:ext>
              </a:extLst>
            </xdr14:cNvPr>
            <xdr14:cNvContentPartPr/>
          </xdr14:nvContentPartPr>
          <xdr14:nvPr macro=""/>
          <xdr14:xfrm>
            <a:off x="12973680" y="1366560"/>
            <a:ext cx="360" cy="360"/>
          </xdr14:xfrm>
        </xdr:contentPart>
      </mc:Choice>
      <mc:Fallback xmlns="">
        <xdr:pic>
          <xdr:nvPicPr>
            <xdr:cNvPr id="610" name="Ink 609">
              <a:extLst>
                <a:ext uri="{FF2B5EF4-FFF2-40B4-BE49-F238E27FC236}">
                  <a16:creationId xmlns:a16="http://schemas.microsoft.com/office/drawing/2014/main" id="{0D6AB484-996E-C146-B2C6-A785F1A9C32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1">
          <xdr14:nvContentPartPr>
            <xdr14:cNvPr id="611" name="Ink 610">
              <a:extLst>
                <a:ext uri="{FF2B5EF4-FFF2-40B4-BE49-F238E27FC236}">
                  <a16:creationId xmlns:a16="http://schemas.microsoft.com/office/drawing/2014/main" id="{38C428E3-883C-084F-ADD4-B71AFFB7908F}"/>
                </a:ext>
              </a:extLst>
            </xdr14:cNvPr>
            <xdr14:cNvContentPartPr/>
          </xdr14:nvContentPartPr>
          <xdr14:nvPr macro=""/>
          <xdr14:xfrm>
            <a:off x="12846960" y="1192320"/>
            <a:ext cx="360" cy="360"/>
          </xdr14:xfrm>
        </xdr:contentPart>
      </mc:Choice>
      <mc:Fallback xmlns="">
        <xdr:pic>
          <xdr:nvPicPr>
            <xdr:cNvPr id="611" name="Ink 610">
              <a:extLst>
                <a:ext uri="{FF2B5EF4-FFF2-40B4-BE49-F238E27FC236}">
                  <a16:creationId xmlns:a16="http://schemas.microsoft.com/office/drawing/2014/main" id="{38C428E3-883C-084F-ADD4-B71AFFB7908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2">
          <xdr14:nvContentPartPr>
            <xdr14:cNvPr id="612" name="Ink 611">
              <a:extLst>
                <a:ext uri="{FF2B5EF4-FFF2-40B4-BE49-F238E27FC236}">
                  <a16:creationId xmlns:a16="http://schemas.microsoft.com/office/drawing/2014/main" id="{DB060EEA-DF7D-EC4A-BDD0-484531780D7B}"/>
                </a:ext>
              </a:extLst>
            </xdr14:cNvPr>
            <xdr14:cNvContentPartPr/>
          </xdr14:nvContentPartPr>
          <xdr14:nvPr macro=""/>
          <xdr14:xfrm>
            <a:off x="12866040" y="1243440"/>
            <a:ext cx="360" cy="360"/>
          </xdr14:xfrm>
        </xdr:contentPart>
      </mc:Choice>
      <mc:Fallback xmlns="">
        <xdr:pic>
          <xdr:nvPicPr>
            <xdr:cNvPr id="612" name="Ink 611">
              <a:extLst>
                <a:ext uri="{FF2B5EF4-FFF2-40B4-BE49-F238E27FC236}">
                  <a16:creationId xmlns:a16="http://schemas.microsoft.com/office/drawing/2014/main" id="{DB060EEA-DF7D-EC4A-BDD0-484531780D7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3">
          <xdr14:nvContentPartPr>
            <xdr14:cNvPr id="613" name="Ink 612">
              <a:extLst>
                <a:ext uri="{FF2B5EF4-FFF2-40B4-BE49-F238E27FC236}">
                  <a16:creationId xmlns:a16="http://schemas.microsoft.com/office/drawing/2014/main" id="{33C120D2-9EAB-8041-8DEC-310A84EAED8B}"/>
                </a:ext>
              </a:extLst>
            </xdr14:cNvPr>
            <xdr14:cNvContentPartPr/>
          </xdr14:nvContentPartPr>
          <xdr14:nvPr macro=""/>
          <xdr14:xfrm>
            <a:off x="12973680" y="1366560"/>
            <a:ext cx="360" cy="360"/>
          </xdr14:xfrm>
        </xdr:contentPart>
      </mc:Choice>
      <mc:Fallback xmlns="">
        <xdr:pic>
          <xdr:nvPicPr>
            <xdr:cNvPr id="613" name="Ink 612">
              <a:extLst>
                <a:ext uri="{FF2B5EF4-FFF2-40B4-BE49-F238E27FC236}">
                  <a16:creationId xmlns:a16="http://schemas.microsoft.com/office/drawing/2014/main" id="{33C120D2-9EAB-8041-8DEC-310A84EAED8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4">
          <xdr14:nvContentPartPr>
            <xdr14:cNvPr id="614" name="Ink 613">
              <a:extLst>
                <a:ext uri="{FF2B5EF4-FFF2-40B4-BE49-F238E27FC236}">
                  <a16:creationId xmlns:a16="http://schemas.microsoft.com/office/drawing/2014/main" id="{2850B889-A841-D74E-A676-E9E6F43B7539}"/>
                </a:ext>
              </a:extLst>
            </xdr14:cNvPr>
            <xdr14:cNvContentPartPr/>
          </xdr14:nvContentPartPr>
          <xdr14:nvPr macro=""/>
          <xdr14:xfrm>
            <a:off x="12846960" y="1192320"/>
            <a:ext cx="360" cy="360"/>
          </xdr14:xfrm>
        </xdr:contentPart>
      </mc:Choice>
      <mc:Fallback xmlns="">
        <xdr:pic>
          <xdr:nvPicPr>
            <xdr:cNvPr id="614" name="Ink 613">
              <a:extLst>
                <a:ext uri="{FF2B5EF4-FFF2-40B4-BE49-F238E27FC236}">
                  <a16:creationId xmlns:a16="http://schemas.microsoft.com/office/drawing/2014/main" id="{2850B889-A841-D74E-A676-E9E6F43B753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5">
          <xdr14:nvContentPartPr>
            <xdr14:cNvPr id="615" name="Ink 614">
              <a:extLst>
                <a:ext uri="{FF2B5EF4-FFF2-40B4-BE49-F238E27FC236}">
                  <a16:creationId xmlns:a16="http://schemas.microsoft.com/office/drawing/2014/main" id="{AF281262-0CC2-2D40-B217-1DEA7A399955}"/>
                </a:ext>
              </a:extLst>
            </xdr14:cNvPr>
            <xdr14:cNvContentPartPr/>
          </xdr14:nvContentPartPr>
          <xdr14:nvPr macro=""/>
          <xdr14:xfrm>
            <a:off x="12866040" y="1243440"/>
            <a:ext cx="360" cy="360"/>
          </xdr14:xfrm>
        </xdr:contentPart>
      </mc:Choice>
      <mc:Fallback xmlns="">
        <xdr:pic>
          <xdr:nvPicPr>
            <xdr:cNvPr id="615" name="Ink 614">
              <a:extLst>
                <a:ext uri="{FF2B5EF4-FFF2-40B4-BE49-F238E27FC236}">
                  <a16:creationId xmlns:a16="http://schemas.microsoft.com/office/drawing/2014/main" id="{AF281262-0CC2-2D40-B217-1DEA7A39995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6">
          <xdr14:nvContentPartPr>
            <xdr14:cNvPr id="616" name="Ink 615">
              <a:extLst>
                <a:ext uri="{FF2B5EF4-FFF2-40B4-BE49-F238E27FC236}">
                  <a16:creationId xmlns:a16="http://schemas.microsoft.com/office/drawing/2014/main" id="{271250CF-DF5E-E644-AB75-D2220F830841}"/>
                </a:ext>
              </a:extLst>
            </xdr14:cNvPr>
            <xdr14:cNvContentPartPr/>
          </xdr14:nvContentPartPr>
          <xdr14:nvPr macro=""/>
          <xdr14:xfrm>
            <a:off x="12973680" y="1366560"/>
            <a:ext cx="360" cy="360"/>
          </xdr14:xfrm>
        </xdr:contentPart>
      </mc:Choice>
      <mc:Fallback xmlns="">
        <xdr:pic>
          <xdr:nvPicPr>
            <xdr:cNvPr id="616" name="Ink 615">
              <a:extLst>
                <a:ext uri="{FF2B5EF4-FFF2-40B4-BE49-F238E27FC236}">
                  <a16:creationId xmlns:a16="http://schemas.microsoft.com/office/drawing/2014/main" id="{271250CF-DF5E-E644-AB75-D2220F83084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7">
          <xdr14:nvContentPartPr>
            <xdr14:cNvPr id="617" name="Ink 616">
              <a:extLst>
                <a:ext uri="{FF2B5EF4-FFF2-40B4-BE49-F238E27FC236}">
                  <a16:creationId xmlns:a16="http://schemas.microsoft.com/office/drawing/2014/main" id="{36AA87ED-DB25-C94A-AECA-99BC9A174761}"/>
                </a:ext>
              </a:extLst>
            </xdr14:cNvPr>
            <xdr14:cNvContentPartPr/>
          </xdr14:nvContentPartPr>
          <xdr14:nvPr macro=""/>
          <xdr14:xfrm>
            <a:off x="12846960" y="1192320"/>
            <a:ext cx="360" cy="360"/>
          </xdr14:xfrm>
        </xdr:contentPart>
      </mc:Choice>
      <mc:Fallback xmlns="">
        <xdr:pic>
          <xdr:nvPicPr>
            <xdr:cNvPr id="617" name="Ink 616">
              <a:extLst>
                <a:ext uri="{FF2B5EF4-FFF2-40B4-BE49-F238E27FC236}">
                  <a16:creationId xmlns:a16="http://schemas.microsoft.com/office/drawing/2014/main" id="{36AA87ED-DB25-C94A-AECA-99BC9A17476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8">
          <xdr14:nvContentPartPr>
            <xdr14:cNvPr id="618" name="Ink 617">
              <a:extLst>
                <a:ext uri="{FF2B5EF4-FFF2-40B4-BE49-F238E27FC236}">
                  <a16:creationId xmlns:a16="http://schemas.microsoft.com/office/drawing/2014/main" id="{EA2440E3-EADF-B040-9EBF-B7FBE134EB92}"/>
                </a:ext>
              </a:extLst>
            </xdr14:cNvPr>
            <xdr14:cNvContentPartPr/>
          </xdr14:nvContentPartPr>
          <xdr14:nvPr macro=""/>
          <xdr14:xfrm>
            <a:off x="12866040" y="1243440"/>
            <a:ext cx="360" cy="360"/>
          </xdr14:xfrm>
        </xdr:contentPart>
      </mc:Choice>
      <mc:Fallback xmlns="">
        <xdr:pic>
          <xdr:nvPicPr>
            <xdr:cNvPr id="618" name="Ink 617">
              <a:extLst>
                <a:ext uri="{FF2B5EF4-FFF2-40B4-BE49-F238E27FC236}">
                  <a16:creationId xmlns:a16="http://schemas.microsoft.com/office/drawing/2014/main" id="{EA2440E3-EADF-B040-9EBF-B7FBE134EB9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9">
          <xdr14:nvContentPartPr>
            <xdr14:cNvPr id="619" name="Ink 618">
              <a:extLst>
                <a:ext uri="{FF2B5EF4-FFF2-40B4-BE49-F238E27FC236}">
                  <a16:creationId xmlns:a16="http://schemas.microsoft.com/office/drawing/2014/main" id="{3FEE02A0-A3AF-9C4F-A12C-B5390AE5F35F}"/>
                </a:ext>
              </a:extLst>
            </xdr14:cNvPr>
            <xdr14:cNvContentPartPr/>
          </xdr14:nvContentPartPr>
          <xdr14:nvPr macro=""/>
          <xdr14:xfrm>
            <a:off x="12973680" y="1366560"/>
            <a:ext cx="360" cy="360"/>
          </xdr14:xfrm>
        </xdr:contentPart>
      </mc:Choice>
      <mc:Fallback xmlns="">
        <xdr:pic>
          <xdr:nvPicPr>
            <xdr:cNvPr id="619" name="Ink 618">
              <a:extLst>
                <a:ext uri="{FF2B5EF4-FFF2-40B4-BE49-F238E27FC236}">
                  <a16:creationId xmlns:a16="http://schemas.microsoft.com/office/drawing/2014/main" id="{3FEE02A0-A3AF-9C4F-A12C-B5390AE5F35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0">
          <xdr14:nvContentPartPr>
            <xdr14:cNvPr id="620" name="Ink 619">
              <a:extLst>
                <a:ext uri="{FF2B5EF4-FFF2-40B4-BE49-F238E27FC236}">
                  <a16:creationId xmlns:a16="http://schemas.microsoft.com/office/drawing/2014/main" id="{29976B81-FE15-F746-B6E3-DD5830088F0C}"/>
                </a:ext>
              </a:extLst>
            </xdr14:cNvPr>
            <xdr14:cNvContentPartPr/>
          </xdr14:nvContentPartPr>
          <xdr14:nvPr macro=""/>
          <xdr14:xfrm>
            <a:off x="12846960" y="1192320"/>
            <a:ext cx="360" cy="360"/>
          </xdr14:xfrm>
        </xdr:contentPart>
      </mc:Choice>
      <mc:Fallback xmlns="">
        <xdr:pic>
          <xdr:nvPicPr>
            <xdr:cNvPr id="620" name="Ink 619">
              <a:extLst>
                <a:ext uri="{FF2B5EF4-FFF2-40B4-BE49-F238E27FC236}">
                  <a16:creationId xmlns:a16="http://schemas.microsoft.com/office/drawing/2014/main" id="{29976B81-FE15-F746-B6E3-DD5830088F0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1">
          <xdr14:nvContentPartPr>
            <xdr14:cNvPr id="621" name="Ink 620">
              <a:extLst>
                <a:ext uri="{FF2B5EF4-FFF2-40B4-BE49-F238E27FC236}">
                  <a16:creationId xmlns:a16="http://schemas.microsoft.com/office/drawing/2014/main" id="{36310D6D-95E2-7E4E-9D9D-6F6587351215}"/>
                </a:ext>
              </a:extLst>
            </xdr14:cNvPr>
            <xdr14:cNvContentPartPr/>
          </xdr14:nvContentPartPr>
          <xdr14:nvPr macro=""/>
          <xdr14:xfrm>
            <a:off x="12866040" y="1243440"/>
            <a:ext cx="360" cy="360"/>
          </xdr14:xfrm>
        </xdr:contentPart>
      </mc:Choice>
      <mc:Fallback xmlns="">
        <xdr:pic>
          <xdr:nvPicPr>
            <xdr:cNvPr id="621" name="Ink 620">
              <a:extLst>
                <a:ext uri="{FF2B5EF4-FFF2-40B4-BE49-F238E27FC236}">
                  <a16:creationId xmlns:a16="http://schemas.microsoft.com/office/drawing/2014/main" id="{36310D6D-95E2-7E4E-9D9D-6F658735121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2">
          <xdr14:nvContentPartPr>
            <xdr14:cNvPr id="622" name="Ink 621">
              <a:extLst>
                <a:ext uri="{FF2B5EF4-FFF2-40B4-BE49-F238E27FC236}">
                  <a16:creationId xmlns:a16="http://schemas.microsoft.com/office/drawing/2014/main" id="{2D3DC955-F6E4-884C-B6F7-A66056FB2AB5}"/>
                </a:ext>
              </a:extLst>
            </xdr14:cNvPr>
            <xdr14:cNvContentPartPr/>
          </xdr14:nvContentPartPr>
          <xdr14:nvPr macro=""/>
          <xdr14:xfrm>
            <a:off x="12973680" y="1366560"/>
            <a:ext cx="360" cy="360"/>
          </xdr14:xfrm>
        </xdr:contentPart>
      </mc:Choice>
      <mc:Fallback xmlns="">
        <xdr:pic>
          <xdr:nvPicPr>
            <xdr:cNvPr id="622" name="Ink 621">
              <a:extLst>
                <a:ext uri="{FF2B5EF4-FFF2-40B4-BE49-F238E27FC236}">
                  <a16:creationId xmlns:a16="http://schemas.microsoft.com/office/drawing/2014/main" id="{2D3DC955-F6E4-884C-B6F7-A66056FB2AB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3">
          <xdr14:nvContentPartPr>
            <xdr14:cNvPr id="623" name="Ink 622">
              <a:extLst>
                <a:ext uri="{FF2B5EF4-FFF2-40B4-BE49-F238E27FC236}">
                  <a16:creationId xmlns:a16="http://schemas.microsoft.com/office/drawing/2014/main" id="{F6FF1969-F1C3-764F-8380-E2F404A9A757}"/>
                </a:ext>
              </a:extLst>
            </xdr14:cNvPr>
            <xdr14:cNvContentPartPr/>
          </xdr14:nvContentPartPr>
          <xdr14:nvPr macro=""/>
          <xdr14:xfrm>
            <a:off x="12846960" y="1192320"/>
            <a:ext cx="360" cy="360"/>
          </xdr14:xfrm>
        </xdr:contentPart>
      </mc:Choice>
      <mc:Fallback xmlns="">
        <xdr:pic>
          <xdr:nvPicPr>
            <xdr:cNvPr id="623" name="Ink 622">
              <a:extLst>
                <a:ext uri="{FF2B5EF4-FFF2-40B4-BE49-F238E27FC236}">
                  <a16:creationId xmlns:a16="http://schemas.microsoft.com/office/drawing/2014/main" id="{F6FF1969-F1C3-764F-8380-E2F404A9A75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4">
          <xdr14:nvContentPartPr>
            <xdr14:cNvPr id="624" name="Ink 623">
              <a:extLst>
                <a:ext uri="{FF2B5EF4-FFF2-40B4-BE49-F238E27FC236}">
                  <a16:creationId xmlns:a16="http://schemas.microsoft.com/office/drawing/2014/main" id="{B755933D-D707-C447-928F-2C9F80559A1C}"/>
                </a:ext>
              </a:extLst>
            </xdr14:cNvPr>
            <xdr14:cNvContentPartPr/>
          </xdr14:nvContentPartPr>
          <xdr14:nvPr macro=""/>
          <xdr14:xfrm>
            <a:off x="12866040" y="1243440"/>
            <a:ext cx="360" cy="360"/>
          </xdr14:xfrm>
        </xdr:contentPart>
      </mc:Choice>
      <mc:Fallback xmlns="">
        <xdr:pic>
          <xdr:nvPicPr>
            <xdr:cNvPr id="624" name="Ink 623">
              <a:extLst>
                <a:ext uri="{FF2B5EF4-FFF2-40B4-BE49-F238E27FC236}">
                  <a16:creationId xmlns:a16="http://schemas.microsoft.com/office/drawing/2014/main" id="{B755933D-D707-C447-928F-2C9F80559A1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5">
          <xdr14:nvContentPartPr>
            <xdr14:cNvPr id="625" name="Ink 624">
              <a:extLst>
                <a:ext uri="{FF2B5EF4-FFF2-40B4-BE49-F238E27FC236}">
                  <a16:creationId xmlns:a16="http://schemas.microsoft.com/office/drawing/2014/main" id="{79EA9D38-4779-F541-AE73-B374FAB41A4E}"/>
                </a:ext>
              </a:extLst>
            </xdr14:cNvPr>
            <xdr14:cNvContentPartPr/>
          </xdr14:nvContentPartPr>
          <xdr14:nvPr macro=""/>
          <xdr14:xfrm>
            <a:off x="12973680" y="1366560"/>
            <a:ext cx="360" cy="360"/>
          </xdr14:xfrm>
        </xdr:contentPart>
      </mc:Choice>
      <mc:Fallback xmlns="">
        <xdr:pic>
          <xdr:nvPicPr>
            <xdr:cNvPr id="625" name="Ink 624">
              <a:extLst>
                <a:ext uri="{FF2B5EF4-FFF2-40B4-BE49-F238E27FC236}">
                  <a16:creationId xmlns:a16="http://schemas.microsoft.com/office/drawing/2014/main" id="{79EA9D38-4779-F541-AE73-B374FAB41A4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6">
          <xdr14:nvContentPartPr>
            <xdr14:cNvPr id="626" name="Ink 625">
              <a:extLst>
                <a:ext uri="{FF2B5EF4-FFF2-40B4-BE49-F238E27FC236}">
                  <a16:creationId xmlns:a16="http://schemas.microsoft.com/office/drawing/2014/main" id="{1D17F642-7892-4D4F-8F3C-BA957343A4D9}"/>
                </a:ext>
              </a:extLst>
            </xdr14:cNvPr>
            <xdr14:cNvContentPartPr/>
          </xdr14:nvContentPartPr>
          <xdr14:nvPr macro=""/>
          <xdr14:xfrm>
            <a:off x="12846960" y="1192320"/>
            <a:ext cx="360" cy="360"/>
          </xdr14:xfrm>
        </xdr:contentPart>
      </mc:Choice>
      <mc:Fallback xmlns="">
        <xdr:pic>
          <xdr:nvPicPr>
            <xdr:cNvPr id="626" name="Ink 625">
              <a:extLst>
                <a:ext uri="{FF2B5EF4-FFF2-40B4-BE49-F238E27FC236}">
                  <a16:creationId xmlns:a16="http://schemas.microsoft.com/office/drawing/2014/main" id="{1D17F642-7892-4D4F-8F3C-BA957343A4D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7">
          <xdr14:nvContentPartPr>
            <xdr14:cNvPr id="627" name="Ink 626">
              <a:extLst>
                <a:ext uri="{FF2B5EF4-FFF2-40B4-BE49-F238E27FC236}">
                  <a16:creationId xmlns:a16="http://schemas.microsoft.com/office/drawing/2014/main" id="{FDB549F6-C6E7-1847-8CE1-51FE92A305A5}"/>
                </a:ext>
              </a:extLst>
            </xdr14:cNvPr>
            <xdr14:cNvContentPartPr/>
          </xdr14:nvContentPartPr>
          <xdr14:nvPr macro=""/>
          <xdr14:xfrm>
            <a:off x="12866040" y="1243440"/>
            <a:ext cx="360" cy="360"/>
          </xdr14:xfrm>
        </xdr:contentPart>
      </mc:Choice>
      <mc:Fallback xmlns="">
        <xdr:pic>
          <xdr:nvPicPr>
            <xdr:cNvPr id="627" name="Ink 626">
              <a:extLst>
                <a:ext uri="{FF2B5EF4-FFF2-40B4-BE49-F238E27FC236}">
                  <a16:creationId xmlns:a16="http://schemas.microsoft.com/office/drawing/2014/main" id="{FDB549F6-C6E7-1847-8CE1-51FE92A305A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8">
          <xdr14:nvContentPartPr>
            <xdr14:cNvPr id="628" name="Ink 627">
              <a:extLst>
                <a:ext uri="{FF2B5EF4-FFF2-40B4-BE49-F238E27FC236}">
                  <a16:creationId xmlns:a16="http://schemas.microsoft.com/office/drawing/2014/main" id="{AD6B24C4-2C93-A749-BA4E-9566E08ADF39}"/>
                </a:ext>
              </a:extLst>
            </xdr14:cNvPr>
            <xdr14:cNvContentPartPr/>
          </xdr14:nvContentPartPr>
          <xdr14:nvPr macro=""/>
          <xdr14:xfrm>
            <a:off x="12973680" y="1366560"/>
            <a:ext cx="360" cy="360"/>
          </xdr14:xfrm>
        </xdr:contentPart>
      </mc:Choice>
      <mc:Fallback xmlns="">
        <xdr:pic>
          <xdr:nvPicPr>
            <xdr:cNvPr id="628" name="Ink 627">
              <a:extLst>
                <a:ext uri="{FF2B5EF4-FFF2-40B4-BE49-F238E27FC236}">
                  <a16:creationId xmlns:a16="http://schemas.microsoft.com/office/drawing/2014/main" id="{AD6B24C4-2C93-A749-BA4E-9566E08ADF3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9">
          <xdr14:nvContentPartPr>
            <xdr14:cNvPr id="629" name="Ink 628">
              <a:extLst>
                <a:ext uri="{FF2B5EF4-FFF2-40B4-BE49-F238E27FC236}">
                  <a16:creationId xmlns:a16="http://schemas.microsoft.com/office/drawing/2014/main" id="{06473542-7E8B-5947-A768-D87F4CBCB555}"/>
                </a:ext>
              </a:extLst>
            </xdr14:cNvPr>
            <xdr14:cNvContentPartPr/>
          </xdr14:nvContentPartPr>
          <xdr14:nvPr macro=""/>
          <xdr14:xfrm>
            <a:off x="12846960" y="1192320"/>
            <a:ext cx="360" cy="360"/>
          </xdr14:xfrm>
        </xdr:contentPart>
      </mc:Choice>
      <mc:Fallback xmlns="">
        <xdr:pic>
          <xdr:nvPicPr>
            <xdr:cNvPr id="629" name="Ink 628">
              <a:extLst>
                <a:ext uri="{FF2B5EF4-FFF2-40B4-BE49-F238E27FC236}">
                  <a16:creationId xmlns:a16="http://schemas.microsoft.com/office/drawing/2014/main" id="{06473542-7E8B-5947-A768-D87F4CBCB55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0">
          <xdr14:nvContentPartPr>
            <xdr14:cNvPr id="630" name="Ink 629">
              <a:extLst>
                <a:ext uri="{FF2B5EF4-FFF2-40B4-BE49-F238E27FC236}">
                  <a16:creationId xmlns:a16="http://schemas.microsoft.com/office/drawing/2014/main" id="{329CF962-983D-C846-A091-1A1B9605DB86}"/>
                </a:ext>
              </a:extLst>
            </xdr14:cNvPr>
            <xdr14:cNvContentPartPr/>
          </xdr14:nvContentPartPr>
          <xdr14:nvPr macro=""/>
          <xdr14:xfrm>
            <a:off x="12866040" y="1243440"/>
            <a:ext cx="360" cy="360"/>
          </xdr14:xfrm>
        </xdr:contentPart>
      </mc:Choice>
      <mc:Fallback xmlns="">
        <xdr:pic>
          <xdr:nvPicPr>
            <xdr:cNvPr id="630" name="Ink 629">
              <a:extLst>
                <a:ext uri="{FF2B5EF4-FFF2-40B4-BE49-F238E27FC236}">
                  <a16:creationId xmlns:a16="http://schemas.microsoft.com/office/drawing/2014/main" id="{329CF962-983D-C846-A091-1A1B9605DB8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1">
          <xdr14:nvContentPartPr>
            <xdr14:cNvPr id="631" name="Ink 630">
              <a:extLst>
                <a:ext uri="{FF2B5EF4-FFF2-40B4-BE49-F238E27FC236}">
                  <a16:creationId xmlns:a16="http://schemas.microsoft.com/office/drawing/2014/main" id="{E11820F5-16FF-8B49-A930-A3BE354BFE88}"/>
                </a:ext>
              </a:extLst>
            </xdr14:cNvPr>
            <xdr14:cNvContentPartPr/>
          </xdr14:nvContentPartPr>
          <xdr14:nvPr macro=""/>
          <xdr14:xfrm>
            <a:off x="12973680" y="1366560"/>
            <a:ext cx="360" cy="360"/>
          </xdr14:xfrm>
        </xdr:contentPart>
      </mc:Choice>
      <mc:Fallback xmlns="">
        <xdr:pic>
          <xdr:nvPicPr>
            <xdr:cNvPr id="631" name="Ink 630">
              <a:extLst>
                <a:ext uri="{FF2B5EF4-FFF2-40B4-BE49-F238E27FC236}">
                  <a16:creationId xmlns:a16="http://schemas.microsoft.com/office/drawing/2014/main" id="{E11820F5-16FF-8B49-A930-A3BE354BFE8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2">
          <xdr14:nvContentPartPr>
            <xdr14:cNvPr id="632" name="Ink 631">
              <a:extLst>
                <a:ext uri="{FF2B5EF4-FFF2-40B4-BE49-F238E27FC236}">
                  <a16:creationId xmlns:a16="http://schemas.microsoft.com/office/drawing/2014/main" id="{54554F30-86E4-154F-B7FF-6D955F9C93C2}"/>
                </a:ext>
              </a:extLst>
            </xdr14:cNvPr>
            <xdr14:cNvContentPartPr/>
          </xdr14:nvContentPartPr>
          <xdr14:nvPr macro=""/>
          <xdr14:xfrm>
            <a:off x="12846960" y="1192320"/>
            <a:ext cx="360" cy="360"/>
          </xdr14:xfrm>
        </xdr:contentPart>
      </mc:Choice>
      <mc:Fallback xmlns="">
        <xdr:pic>
          <xdr:nvPicPr>
            <xdr:cNvPr id="632" name="Ink 631">
              <a:extLst>
                <a:ext uri="{FF2B5EF4-FFF2-40B4-BE49-F238E27FC236}">
                  <a16:creationId xmlns:a16="http://schemas.microsoft.com/office/drawing/2014/main" id="{54554F30-86E4-154F-B7FF-6D955F9C93C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3">
          <xdr14:nvContentPartPr>
            <xdr14:cNvPr id="633" name="Ink 632">
              <a:extLst>
                <a:ext uri="{FF2B5EF4-FFF2-40B4-BE49-F238E27FC236}">
                  <a16:creationId xmlns:a16="http://schemas.microsoft.com/office/drawing/2014/main" id="{3A8C42CE-969B-A749-B39F-1E5154CBA18A}"/>
                </a:ext>
              </a:extLst>
            </xdr14:cNvPr>
            <xdr14:cNvContentPartPr/>
          </xdr14:nvContentPartPr>
          <xdr14:nvPr macro=""/>
          <xdr14:xfrm>
            <a:off x="12866040" y="1243440"/>
            <a:ext cx="360" cy="360"/>
          </xdr14:xfrm>
        </xdr:contentPart>
      </mc:Choice>
      <mc:Fallback xmlns="">
        <xdr:pic>
          <xdr:nvPicPr>
            <xdr:cNvPr id="633" name="Ink 632">
              <a:extLst>
                <a:ext uri="{FF2B5EF4-FFF2-40B4-BE49-F238E27FC236}">
                  <a16:creationId xmlns:a16="http://schemas.microsoft.com/office/drawing/2014/main" id="{3A8C42CE-969B-A749-B39F-1E5154CBA18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4">
          <xdr14:nvContentPartPr>
            <xdr14:cNvPr id="634" name="Ink 633">
              <a:extLst>
                <a:ext uri="{FF2B5EF4-FFF2-40B4-BE49-F238E27FC236}">
                  <a16:creationId xmlns:a16="http://schemas.microsoft.com/office/drawing/2014/main" id="{165E6061-F786-374A-BF2B-1A08C9D6950D}"/>
                </a:ext>
              </a:extLst>
            </xdr14:cNvPr>
            <xdr14:cNvContentPartPr/>
          </xdr14:nvContentPartPr>
          <xdr14:nvPr macro=""/>
          <xdr14:xfrm>
            <a:off x="12973680" y="1366560"/>
            <a:ext cx="360" cy="360"/>
          </xdr14:xfrm>
        </xdr:contentPart>
      </mc:Choice>
      <mc:Fallback xmlns="">
        <xdr:pic>
          <xdr:nvPicPr>
            <xdr:cNvPr id="634" name="Ink 633">
              <a:extLst>
                <a:ext uri="{FF2B5EF4-FFF2-40B4-BE49-F238E27FC236}">
                  <a16:creationId xmlns:a16="http://schemas.microsoft.com/office/drawing/2014/main" id="{165E6061-F786-374A-BF2B-1A08C9D6950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5">
          <xdr14:nvContentPartPr>
            <xdr14:cNvPr id="635" name="Ink 634">
              <a:extLst>
                <a:ext uri="{FF2B5EF4-FFF2-40B4-BE49-F238E27FC236}">
                  <a16:creationId xmlns:a16="http://schemas.microsoft.com/office/drawing/2014/main" id="{E675DB10-4EE4-6A4A-852C-F5A45CC4FB1B}"/>
                </a:ext>
              </a:extLst>
            </xdr14:cNvPr>
            <xdr14:cNvContentPartPr/>
          </xdr14:nvContentPartPr>
          <xdr14:nvPr macro=""/>
          <xdr14:xfrm>
            <a:off x="12846960" y="1192320"/>
            <a:ext cx="360" cy="360"/>
          </xdr14:xfrm>
        </xdr:contentPart>
      </mc:Choice>
      <mc:Fallback xmlns="">
        <xdr:pic>
          <xdr:nvPicPr>
            <xdr:cNvPr id="635" name="Ink 634">
              <a:extLst>
                <a:ext uri="{FF2B5EF4-FFF2-40B4-BE49-F238E27FC236}">
                  <a16:creationId xmlns:a16="http://schemas.microsoft.com/office/drawing/2014/main" id="{E675DB10-4EE4-6A4A-852C-F5A45CC4FB1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6">
          <xdr14:nvContentPartPr>
            <xdr14:cNvPr id="636" name="Ink 635">
              <a:extLst>
                <a:ext uri="{FF2B5EF4-FFF2-40B4-BE49-F238E27FC236}">
                  <a16:creationId xmlns:a16="http://schemas.microsoft.com/office/drawing/2014/main" id="{2878F2E4-B0A0-5C45-B7B2-48BA48661F15}"/>
                </a:ext>
              </a:extLst>
            </xdr14:cNvPr>
            <xdr14:cNvContentPartPr/>
          </xdr14:nvContentPartPr>
          <xdr14:nvPr macro=""/>
          <xdr14:xfrm>
            <a:off x="12866040" y="1243440"/>
            <a:ext cx="360" cy="360"/>
          </xdr14:xfrm>
        </xdr:contentPart>
      </mc:Choice>
      <mc:Fallback xmlns="">
        <xdr:pic>
          <xdr:nvPicPr>
            <xdr:cNvPr id="636" name="Ink 635">
              <a:extLst>
                <a:ext uri="{FF2B5EF4-FFF2-40B4-BE49-F238E27FC236}">
                  <a16:creationId xmlns:a16="http://schemas.microsoft.com/office/drawing/2014/main" id="{2878F2E4-B0A0-5C45-B7B2-48BA48661F1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7">
          <xdr14:nvContentPartPr>
            <xdr14:cNvPr id="637" name="Ink 636">
              <a:extLst>
                <a:ext uri="{FF2B5EF4-FFF2-40B4-BE49-F238E27FC236}">
                  <a16:creationId xmlns:a16="http://schemas.microsoft.com/office/drawing/2014/main" id="{003E5535-EEF2-3445-AB01-D0F2E9147C7D}"/>
                </a:ext>
              </a:extLst>
            </xdr14:cNvPr>
            <xdr14:cNvContentPartPr/>
          </xdr14:nvContentPartPr>
          <xdr14:nvPr macro=""/>
          <xdr14:xfrm>
            <a:off x="12973680" y="1366560"/>
            <a:ext cx="360" cy="360"/>
          </xdr14:xfrm>
        </xdr:contentPart>
      </mc:Choice>
      <mc:Fallback xmlns="">
        <xdr:pic>
          <xdr:nvPicPr>
            <xdr:cNvPr id="637" name="Ink 636">
              <a:extLst>
                <a:ext uri="{FF2B5EF4-FFF2-40B4-BE49-F238E27FC236}">
                  <a16:creationId xmlns:a16="http://schemas.microsoft.com/office/drawing/2014/main" id="{003E5535-EEF2-3445-AB01-D0F2E9147C7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8">
          <xdr14:nvContentPartPr>
            <xdr14:cNvPr id="638" name="Ink 637">
              <a:extLst>
                <a:ext uri="{FF2B5EF4-FFF2-40B4-BE49-F238E27FC236}">
                  <a16:creationId xmlns:a16="http://schemas.microsoft.com/office/drawing/2014/main" id="{6EECE4AE-5428-314A-937D-B442A2BB9AA6}"/>
                </a:ext>
              </a:extLst>
            </xdr14:cNvPr>
            <xdr14:cNvContentPartPr/>
          </xdr14:nvContentPartPr>
          <xdr14:nvPr macro=""/>
          <xdr14:xfrm>
            <a:off x="12846960" y="1192320"/>
            <a:ext cx="360" cy="360"/>
          </xdr14:xfrm>
        </xdr:contentPart>
      </mc:Choice>
      <mc:Fallback xmlns="">
        <xdr:pic>
          <xdr:nvPicPr>
            <xdr:cNvPr id="638" name="Ink 637">
              <a:extLst>
                <a:ext uri="{FF2B5EF4-FFF2-40B4-BE49-F238E27FC236}">
                  <a16:creationId xmlns:a16="http://schemas.microsoft.com/office/drawing/2014/main" id="{6EECE4AE-5428-314A-937D-B442A2BB9AA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9">
          <xdr14:nvContentPartPr>
            <xdr14:cNvPr id="639" name="Ink 638">
              <a:extLst>
                <a:ext uri="{FF2B5EF4-FFF2-40B4-BE49-F238E27FC236}">
                  <a16:creationId xmlns:a16="http://schemas.microsoft.com/office/drawing/2014/main" id="{673DB7ED-3489-134A-B34B-3E9C8E02DC2C}"/>
                </a:ext>
              </a:extLst>
            </xdr14:cNvPr>
            <xdr14:cNvContentPartPr/>
          </xdr14:nvContentPartPr>
          <xdr14:nvPr macro=""/>
          <xdr14:xfrm>
            <a:off x="12866040" y="1243440"/>
            <a:ext cx="360" cy="360"/>
          </xdr14:xfrm>
        </xdr:contentPart>
      </mc:Choice>
      <mc:Fallback xmlns="">
        <xdr:pic>
          <xdr:nvPicPr>
            <xdr:cNvPr id="639" name="Ink 638">
              <a:extLst>
                <a:ext uri="{FF2B5EF4-FFF2-40B4-BE49-F238E27FC236}">
                  <a16:creationId xmlns:a16="http://schemas.microsoft.com/office/drawing/2014/main" id="{673DB7ED-3489-134A-B34B-3E9C8E02DC2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0">
          <xdr14:nvContentPartPr>
            <xdr14:cNvPr id="640" name="Ink 639">
              <a:extLst>
                <a:ext uri="{FF2B5EF4-FFF2-40B4-BE49-F238E27FC236}">
                  <a16:creationId xmlns:a16="http://schemas.microsoft.com/office/drawing/2014/main" id="{2A24C5B5-5905-1E4F-84FA-5A196CA68608}"/>
                </a:ext>
              </a:extLst>
            </xdr14:cNvPr>
            <xdr14:cNvContentPartPr/>
          </xdr14:nvContentPartPr>
          <xdr14:nvPr macro=""/>
          <xdr14:xfrm>
            <a:off x="12973680" y="1366560"/>
            <a:ext cx="360" cy="360"/>
          </xdr14:xfrm>
        </xdr:contentPart>
      </mc:Choice>
      <mc:Fallback xmlns="">
        <xdr:pic>
          <xdr:nvPicPr>
            <xdr:cNvPr id="640" name="Ink 639">
              <a:extLst>
                <a:ext uri="{FF2B5EF4-FFF2-40B4-BE49-F238E27FC236}">
                  <a16:creationId xmlns:a16="http://schemas.microsoft.com/office/drawing/2014/main" id="{2A24C5B5-5905-1E4F-84FA-5A196CA6860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1">
          <xdr14:nvContentPartPr>
            <xdr14:cNvPr id="641" name="Ink 640">
              <a:extLst>
                <a:ext uri="{FF2B5EF4-FFF2-40B4-BE49-F238E27FC236}">
                  <a16:creationId xmlns:a16="http://schemas.microsoft.com/office/drawing/2014/main" id="{46EDE350-DC39-7547-9375-2E4CBDBB7F55}"/>
                </a:ext>
              </a:extLst>
            </xdr14:cNvPr>
            <xdr14:cNvContentPartPr/>
          </xdr14:nvContentPartPr>
          <xdr14:nvPr macro=""/>
          <xdr14:xfrm>
            <a:off x="12846960" y="1192320"/>
            <a:ext cx="360" cy="360"/>
          </xdr14:xfrm>
        </xdr:contentPart>
      </mc:Choice>
      <mc:Fallback xmlns="">
        <xdr:pic>
          <xdr:nvPicPr>
            <xdr:cNvPr id="641" name="Ink 640">
              <a:extLst>
                <a:ext uri="{FF2B5EF4-FFF2-40B4-BE49-F238E27FC236}">
                  <a16:creationId xmlns:a16="http://schemas.microsoft.com/office/drawing/2014/main" id="{46EDE350-DC39-7547-9375-2E4CBDBB7F5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2">
          <xdr14:nvContentPartPr>
            <xdr14:cNvPr id="642" name="Ink 641">
              <a:extLst>
                <a:ext uri="{FF2B5EF4-FFF2-40B4-BE49-F238E27FC236}">
                  <a16:creationId xmlns:a16="http://schemas.microsoft.com/office/drawing/2014/main" id="{B768FC26-2952-DF47-AB03-8C806E343474}"/>
                </a:ext>
              </a:extLst>
            </xdr14:cNvPr>
            <xdr14:cNvContentPartPr/>
          </xdr14:nvContentPartPr>
          <xdr14:nvPr macro=""/>
          <xdr14:xfrm>
            <a:off x="12866040" y="1243440"/>
            <a:ext cx="360" cy="360"/>
          </xdr14:xfrm>
        </xdr:contentPart>
      </mc:Choice>
      <mc:Fallback xmlns="">
        <xdr:pic>
          <xdr:nvPicPr>
            <xdr:cNvPr id="642" name="Ink 641">
              <a:extLst>
                <a:ext uri="{FF2B5EF4-FFF2-40B4-BE49-F238E27FC236}">
                  <a16:creationId xmlns:a16="http://schemas.microsoft.com/office/drawing/2014/main" id="{B768FC26-2952-DF47-AB03-8C806E34347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3">
          <xdr14:nvContentPartPr>
            <xdr14:cNvPr id="643" name="Ink 642">
              <a:extLst>
                <a:ext uri="{FF2B5EF4-FFF2-40B4-BE49-F238E27FC236}">
                  <a16:creationId xmlns:a16="http://schemas.microsoft.com/office/drawing/2014/main" id="{1FCE6292-2B2E-DD4C-9C13-575C0CEBA108}"/>
                </a:ext>
              </a:extLst>
            </xdr14:cNvPr>
            <xdr14:cNvContentPartPr/>
          </xdr14:nvContentPartPr>
          <xdr14:nvPr macro=""/>
          <xdr14:xfrm>
            <a:off x="12973680" y="1366560"/>
            <a:ext cx="360" cy="360"/>
          </xdr14:xfrm>
        </xdr:contentPart>
      </mc:Choice>
      <mc:Fallback xmlns="">
        <xdr:pic>
          <xdr:nvPicPr>
            <xdr:cNvPr id="643" name="Ink 642">
              <a:extLst>
                <a:ext uri="{FF2B5EF4-FFF2-40B4-BE49-F238E27FC236}">
                  <a16:creationId xmlns:a16="http://schemas.microsoft.com/office/drawing/2014/main" id="{1FCE6292-2B2E-DD4C-9C13-575C0CEBA10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4">
          <xdr14:nvContentPartPr>
            <xdr14:cNvPr id="644" name="Ink 643">
              <a:extLst>
                <a:ext uri="{FF2B5EF4-FFF2-40B4-BE49-F238E27FC236}">
                  <a16:creationId xmlns:a16="http://schemas.microsoft.com/office/drawing/2014/main" id="{F45CC550-63D4-7D49-94FE-4DC406D707A9}"/>
                </a:ext>
              </a:extLst>
            </xdr14:cNvPr>
            <xdr14:cNvContentPartPr/>
          </xdr14:nvContentPartPr>
          <xdr14:nvPr macro=""/>
          <xdr14:xfrm>
            <a:off x="12846960" y="1192320"/>
            <a:ext cx="360" cy="360"/>
          </xdr14:xfrm>
        </xdr:contentPart>
      </mc:Choice>
      <mc:Fallback xmlns="">
        <xdr:pic>
          <xdr:nvPicPr>
            <xdr:cNvPr id="644" name="Ink 643">
              <a:extLst>
                <a:ext uri="{FF2B5EF4-FFF2-40B4-BE49-F238E27FC236}">
                  <a16:creationId xmlns:a16="http://schemas.microsoft.com/office/drawing/2014/main" id="{F45CC550-63D4-7D49-94FE-4DC406D707A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5">
          <xdr14:nvContentPartPr>
            <xdr14:cNvPr id="645" name="Ink 644">
              <a:extLst>
                <a:ext uri="{FF2B5EF4-FFF2-40B4-BE49-F238E27FC236}">
                  <a16:creationId xmlns:a16="http://schemas.microsoft.com/office/drawing/2014/main" id="{4EB89C01-51CC-2942-ACEE-94FC40D87513}"/>
                </a:ext>
              </a:extLst>
            </xdr14:cNvPr>
            <xdr14:cNvContentPartPr/>
          </xdr14:nvContentPartPr>
          <xdr14:nvPr macro=""/>
          <xdr14:xfrm>
            <a:off x="12866040" y="1243440"/>
            <a:ext cx="360" cy="360"/>
          </xdr14:xfrm>
        </xdr:contentPart>
      </mc:Choice>
      <mc:Fallback xmlns="">
        <xdr:pic>
          <xdr:nvPicPr>
            <xdr:cNvPr id="645" name="Ink 644">
              <a:extLst>
                <a:ext uri="{FF2B5EF4-FFF2-40B4-BE49-F238E27FC236}">
                  <a16:creationId xmlns:a16="http://schemas.microsoft.com/office/drawing/2014/main" id="{4EB89C01-51CC-2942-ACEE-94FC40D8751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6">
          <xdr14:nvContentPartPr>
            <xdr14:cNvPr id="646" name="Ink 645">
              <a:extLst>
                <a:ext uri="{FF2B5EF4-FFF2-40B4-BE49-F238E27FC236}">
                  <a16:creationId xmlns:a16="http://schemas.microsoft.com/office/drawing/2014/main" id="{270D94D7-50AF-3C45-91F3-DC4044307433}"/>
                </a:ext>
              </a:extLst>
            </xdr14:cNvPr>
            <xdr14:cNvContentPartPr/>
          </xdr14:nvContentPartPr>
          <xdr14:nvPr macro=""/>
          <xdr14:xfrm>
            <a:off x="12973680" y="1366560"/>
            <a:ext cx="360" cy="360"/>
          </xdr14:xfrm>
        </xdr:contentPart>
      </mc:Choice>
      <mc:Fallback xmlns="">
        <xdr:pic>
          <xdr:nvPicPr>
            <xdr:cNvPr id="646" name="Ink 645">
              <a:extLst>
                <a:ext uri="{FF2B5EF4-FFF2-40B4-BE49-F238E27FC236}">
                  <a16:creationId xmlns:a16="http://schemas.microsoft.com/office/drawing/2014/main" id="{270D94D7-50AF-3C45-91F3-DC404430743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29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7">
          <xdr14:nvContentPartPr>
            <xdr14:cNvPr id="647" name="Ink 646">
              <a:extLst>
                <a:ext uri="{FF2B5EF4-FFF2-40B4-BE49-F238E27FC236}">
                  <a16:creationId xmlns:a16="http://schemas.microsoft.com/office/drawing/2014/main" id="{20658DD9-C129-3E4D-A86B-19AA2A2570BE}"/>
                </a:ext>
              </a:extLst>
            </xdr14:cNvPr>
            <xdr14:cNvContentPartPr/>
          </xdr14:nvContentPartPr>
          <xdr14:nvPr macro=""/>
          <xdr14:xfrm>
            <a:off x="12846960" y="1192320"/>
            <a:ext cx="360" cy="360"/>
          </xdr14:xfrm>
        </xdr:contentPart>
      </mc:Choice>
      <mc:Fallback xmlns="">
        <xdr:pic>
          <xdr:nvPicPr>
            <xdr:cNvPr id="647" name="Ink 646">
              <a:extLst>
                <a:ext uri="{FF2B5EF4-FFF2-40B4-BE49-F238E27FC236}">
                  <a16:creationId xmlns:a16="http://schemas.microsoft.com/office/drawing/2014/main" id="{20658DD9-C129-3E4D-A86B-19AA2A2570B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29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8">
          <xdr14:nvContentPartPr>
            <xdr14:cNvPr id="648" name="Ink 647">
              <a:extLst>
                <a:ext uri="{FF2B5EF4-FFF2-40B4-BE49-F238E27FC236}">
                  <a16:creationId xmlns:a16="http://schemas.microsoft.com/office/drawing/2014/main" id="{111A30EC-450E-DB44-9744-19B589F76B9C}"/>
                </a:ext>
              </a:extLst>
            </xdr14:cNvPr>
            <xdr14:cNvContentPartPr/>
          </xdr14:nvContentPartPr>
          <xdr14:nvPr macro=""/>
          <xdr14:xfrm>
            <a:off x="12866040" y="1243440"/>
            <a:ext cx="360" cy="360"/>
          </xdr14:xfrm>
        </xdr:contentPart>
      </mc:Choice>
      <mc:Fallback xmlns="">
        <xdr:pic>
          <xdr:nvPicPr>
            <xdr:cNvPr id="648" name="Ink 647">
              <a:extLst>
                <a:ext uri="{FF2B5EF4-FFF2-40B4-BE49-F238E27FC236}">
                  <a16:creationId xmlns:a16="http://schemas.microsoft.com/office/drawing/2014/main" id="{111A30EC-450E-DB44-9744-19B589F76B9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29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9">
          <xdr14:nvContentPartPr>
            <xdr14:cNvPr id="649" name="Ink 648">
              <a:extLst>
                <a:ext uri="{FF2B5EF4-FFF2-40B4-BE49-F238E27FC236}">
                  <a16:creationId xmlns:a16="http://schemas.microsoft.com/office/drawing/2014/main" id="{DC06DCAB-5159-0040-AFED-BCC1349A63A9}"/>
                </a:ext>
              </a:extLst>
            </xdr14:cNvPr>
            <xdr14:cNvContentPartPr/>
          </xdr14:nvContentPartPr>
          <xdr14:nvPr macro=""/>
          <xdr14:xfrm>
            <a:off x="12973680" y="1366560"/>
            <a:ext cx="360" cy="360"/>
          </xdr14:xfrm>
        </xdr:contentPart>
      </mc:Choice>
      <mc:Fallback xmlns="">
        <xdr:pic>
          <xdr:nvPicPr>
            <xdr:cNvPr id="649" name="Ink 648">
              <a:extLst>
                <a:ext uri="{FF2B5EF4-FFF2-40B4-BE49-F238E27FC236}">
                  <a16:creationId xmlns:a16="http://schemas.microsoft.com/office/drawing/2014/main" id="{DC06DCAB-5159-0040-AFED-BCC1349A63A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0">
          <xdr14:nvContentPartPr>
            <xdr14:cNvPr id="650" name="Ink 649">
              <a:extLst>
                <a:ext uri="{FF2B5EF4-FFF2-40B4-BE49-F238E27FC236}">
                  <a16:creationId xmlns:a16="http://schemas.microsoft.com/office/drawing/2014/main" id="{30813B68-C509-4F42-9857-259BDF0CF321}"/>
                </a:ext>
              </a:extLst>
            </xdr14:cNvPr>
            <xdr14:cNvContentPartPr/>
          </xdr14:nvContentPartPr>
          <xdr14:nvPr macro=""/>
          <xdr14:xfrm>
            <a:off x="12846960" y="1192320"/>
            <a:ext cx="360" cy="360"/>
          </xdr14:xfrm>
        </xdr:contentPart>
      </mc:Choice>
      <mc:Fallback xmlns="">
        <xdr:pic>
          <xdr:nvPicPr>
            <xdr:cNvPr id="650" name="Ink 649">
              <a:extLst>
                <a:ext uri="{FF2B5EF4-FFF2-40B4-BE49-F238E27FC236}">
                  <a16:creationId xmlns:a16="http://schemas.microsoft.com/office/drawing/2014/main" id="{30813B68-C509-4F42-9857-259BDF0CF32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1">
          <xdr14:nvContentPartPr>
            <xdr14:cNvPr id="651" name="Ink 650">
              <a:extLst>
                <a:ext uri="{FF2B5EF4-FFF2-40B4-BE49-F238E27FC236}">
                  <a16:creationId xmlns:a16="http://schemas.microsoft.com/office/drawing/2014/main" id="{883D4D3E-933B-9A44-98D7-289CFAEC5BD2}"/>
                </a:ext>
              </a:extLst>
            </xdr14:cNvPr>
            <xdr14:cNvContentPartPr/>
          </xdr14:nvContentPartPr>
          <xdr14:nvPr macro=""/>
          <xdr14:xfrm>
            <a:off x="12866040" y="1243440"/>
            <a:ext cx="360" cy="360"/>
          </xdr14:xfrm>
        </xdr:contentPart>
      </mc:Choice>
      <mc:Fallback xmlns="">
        <xdr:pic>
          <xdr:nvPicPr>
            <xdr:cNvPr id="651" name="Ink 650">
              <a:extLst>
                <a:ext uri="{FF2B5EF4-FFF2-40B4-BE49-F238E27FC236}">
                  <a16:creationId xmlns:a16="http://schemas.microsoft.com/office/drawing/2014/main" id="{883D4D3E-933B-9A44-98D7-289CFAEC5BD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2">
          <xdr14:nvContentPartPr>
            <xdr14:cNvPr id="652" name="Ink 651">
              <a:extLst>
                <a:ext uri="{FF2B5EF4-FFF2-40B4-BE49-F238E27FC236}">
                  <a16:creationId xmlns:a16="http://schemas.microsoft.com/office/drawing/2014/main" id="{DDD34BB6-4C53-ED47-A095-37EF8D271A62}"/>
                </a:ext>
              </a:extLst>
            </xdr14:cNvPr>
            <xdr14:cNvContentPartPr/>
          </xdr14:nvContentPartPr>
          <xdr14:nvPr macro=""/>
          <xdr14:xfrm>
            <a:off x="12973680" y="1366560"/>
            <a:ext cx="360" cy="360"/>
          </xdr14:xfrm>
        </xdr:contentPart>
      </mc:Choice>
      <mc:Fallback xmlns="">
        <xdr:pic>
          <xdr:nvPicPr>
            <xdr:cNvPr id="652" name="Ink 651">
              <a:extLst>
                <a:ext uri="{FF2B5EF4-FFF2-40B4-BE49-F238E27FC236}">
                  <a16:creationId xmlns:a16="http://schemas.microsoft.com/office/drawing/2014/main" id="{DDD34BB6-4C53-ED47-A095-37EF8D271A6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3">
          <xdr14:nvContentPartPr>
            <xdr14:cNvPr id="653" name="Ink 652">
              <a:extLst>
                <a:ext uri="{FF2B5EF4-FFF2-40B4-BE49-F238E27FC236}">
                  <a16:creationId xmlns:a16="http://schemas.microsoft.com/office/drawing/2014/main" id="{92972532-008E-1F4E-9775-F0515D376A1C}"/>
                </a:ext>
              </a:extLst>
            </xdr14:cNvPr>
            <xdr14:cNvContentPartPr/>
          </xdr14:nvContentPartPr>
          <xdr14:nvPr macro=""/>
          <xdr14:xfrm>
            <a:off x="12846960" y="1192320"/>
            <a:ext cx="360" cy="360"/>
          </xdr14:xfrm>
        </xdr:contentPart>
      </mc:Choice>
      <mc:Fallback xmlns="">
        <xdr:pic>
          <xdr:nvPicPr>
            <xdr:cNvPr id="653" name="Ink 652">
              <a:extLst>
                <a:ext uri="{FF2B5EF4-FFF2-40B4-BE49-F238E27FC236}">
                  <a16:creationId xmlns:a16="http://schemas.microsoft.com/office/drawing/2014/main" id="{92972532-008E-1F4E-9775-F0515D376A1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4">
          <xdr14:nvContentPartPr>
            <xdr14:cNvPr id="654" name="Ink 653">
              <a:extLst>
                <a:ext uri="{FF2B5EF4-FFF2-40B4-BE49-F238E27FC236}">
                  <a16:creationId xmlns:a16="http://schemas.microsoft.com/office/drawing/2014/main" id="{F8835ADF-7151-034D-B899-FCDA55A6A47B}"/>
                </a:ext>
              </a:extLst>
            </xdr14:cNvPr>
            <xdr14:cNvContentPartPr/>
          </xdr14:nvContentPartPr>
          <xdr14:nvPr macro=""/>
          <xdr14:xfrm>
            <a:off x="12866040" y="1243440"/>
            <a:ext cx="360" cy="360"/>
          </xdr14:xfrm>
        </xdr:contentPart>
      </mc:Choice>
      <mc:Fallback xmlns="">
        <xdr:pic>
          <xdr:nvPicPr>
            <xdr:cNvPr id="654" name="Ink 653">
              <a:extLst>
                <a:ext uri="{FF2B5EF4-FFF2-40B4-BE49-F238E27FC236}">
                  <a16:creationId xmlns:a16="http://schemas.microsoft.com/office/drawing/2014/main" id="{F8835ADF-7151-034D-B899-FCDA55A6A47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5">
          <xdr14:nvContentPartPr>
            <xdr14:cNvPr id="655" name="Ink 654">
              <a:extLst>
                <a:ext uri="{FF2B5EF4-FFF2-40B4-BE49-F238E27FC236}">
                  <a16:creationId xmlns:a16="http://schemas.microsoft.com/office/drawing/2014/main" id="{1CBFFEF9-3E69-2241-83DE-684E81E74195}"/>
                </a:ext>
              </a:extLst>
            </xdr14:cNvPr>
            <xdr14:cNvContentPartPr/>
          </xdr14:nvContentPartPr>
          <xdr14:nvPr macro=""/>
          <xdr14:xfrm>
            <a:off x="12973680" y="1366560"/>
            <a:ext cx="360" cy="360"/>
          </xdr14:xfrm>
        </xdr:contentPart>
      </mc:Choice>
      <mc:Fallback xmlns="">
        <xdr:pic>
          <xdr:nvPicPr>
            <xdr:cNvPr id="655" name="Ink 654">
              <a:extLst>
                <a:ext uri="{FF2B5EF4-FFF2-40B4-BE49-F238E27FC236}">
                  <a16:creationId xmlns:a16="http://schemas.microsoft.com/office/drawing/2014/main" id="{1CBFFEF9-3E69-2241-83DE-684E81E7419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6">
          <xdr14:nvContentPartPr>
            <xdr14:cNvPr id="656" name="Ink 655">
              <a:extLst>
                <a:ext uri="{FF2B5EF4-FFF2-40B4-BE49-F238E27FC236}">
                  <a16:creationId xmlns:a16="http://schemas.microsoft.com/office/drawing/2014/main" id="{A2BE7141-427D-5D43-843C-EA10891D6472}"/>
                </a:ext>
              </a:extLst>
            </xdr14:cNvPr>
            <xdr14:cNvContentPartPr/>
          </xdr14:nvContentPartPr>
          <xdr14:nvPr macro=""/>
          <xdr14:xfrm>
            <a:off x="12846960" y="1192320"/>
            <a:ext cx="360" cy="360"/>
          </xdr14:xfrm>
        </xdr:contentPart>
      </mc:Choice>
      <mc:Fallback xmlns="">
        <xdr:pic>
          <xdr:nvPicPr>
            <xdr:cNvPr id="656" name="Ink 655">
              <a:extLst>
                <a:ext uri="{FF2B5EF4-FFF2-40B4-BE49-F238E27FC236}">
                  <a16:creationId xmlns:a16="http://schemas.microsoft.com/office/drawing/2014/main" id="{A2BE7141-427D-5D43-843C-EA10891D647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7">
          <xdr14:nvContentPartPr>
            <xdr14:cNvPr id="657" name="Ink 656">
              <a:extLst>
                <a:ext uri="{FF2B5EF4-FFF2-40B4-BE49-F238E27FC236}">
                  <a16:creationId xmlns:a16="http://schemas.microsoft.com/office/drawing/2014/main" id="{97C2CA53-A6CD-1B46-9BA8-3CBB840D7399}"/>
                </a:ext>
              </a:extLst>
            </xdr14:cNvPr>
            <xdr14:cNvContentPartPr/>
          </xdr14:nvContentPartPr>
          <xdr14:nvPr macro=""/>
          <xdr14:xfrm>
            <a:off x="12866040" y="1243440"/>
            <a:ext cx="360" cy="360"/>
          </xdr14:xfrm>
        </xdr:contentPart>
      </mc:Choice>
      <mc:Fallback xmlns="">
        <xdr:pic>
          <xdr:nvPicPr>
            <xdr:cNvPr id="657" name="Ink 656">
              <a:extLst>
                <a:ext uri="{FF2B5EF4-FFF2-40B4-BE49-F238E27FC236}">
                  <a16:creationId xmlns:a16="http://schemas.microsoft.com/office/drawing/2014/main" id="{97C2CA53-A6CD-1B46-9BA8-3CBB840D739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8">
          <xdr14:nvContentPartPr>
            <xdr14:cNvPr id="658" name="Ink 657">
              <a:extLst>
                <a:ext uri="{FF2B5EF4-FFF2-40B4-BE49-F238E27FC236}">
                  <a16:creationId xmlns:a16="http://schemas.microsoft.com/office/drawing/2014/main" id="{46032576-6C2A-3A4E-AD68-B098B0BEDD7D}"/>
                </a:ext>
              </a:extLst>
            </xdr14:cNvPr>
            <xdr14:cNvContentPartPr/>
          </xdr14:nvContentPartPr>
          <xdr14:nvPr macro=""/>
          <xdr14:xfrm>
            <a:off x="12973680" y="1366560"/>
            <a:ext cx="360" cy="360"/>
          </xdr14:xfrm>
        </xdr:contentPart>
      </mc:Choice>
      <mc:Fallback xmlns="">
        <xdr:pic>
          <xdr:nvPicPr>
            <xdr:cNvPr id="658" name="Ink 657">
              <a:extLst>
                <a:ext uri="{FF2B5EF4-FFF2-40B4-BE49-F238E27FC236}">
                  <a16:creationId xmlns:a16="http://schemas.microsoft.com/office/drawing/2014/main" id="{46032576-6C2A-3A4E-AD68-B098B0BEDD7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9">
          <xdr14:nvContentPartPr>
            <xdr14:cNvPr id="659" name="Ink 658">
              <a:extLst>
                <a:ext uri="{FF2B5EF4-FFF2-40B4-BE49-F238E27FC236}">
                  <a16:creationId xmlns:a16="http://schemas.microsoft.com/office/drawing/2014/main" id="{A6D20B9A-75D4-9949-BBA4-76E3F6BDECA0}"/>
                </a:ext>
              </a:extLst>
            </xdr14:cNvPr>
            <xdr14:cNvContentPartPr/>
          </xdr14:nvContentPartPr>
          <xdr14:nvPr macro=""/>
          <xdr14:xfrm>
            <a:off x="12846960" y="1192320"/>
            <a:ext cx="360" cy="360"/>
          </xdr14:xfrm>
        </xdr:contentPart>
      </mc:Choice>
      <mc:Fallback xmlns="">
        <xdr:pic>
          <xdr:nvPicPr>
            <xdr:cNvPr id="659" name="Ink 658">
              <a:extLst>
                <a:ext uri="{FF2B5EF4-FFF2-40B4-BE49-F238E27FC236}">
                  <a16:creationId xmlns:a16="http://schemas.microsoft.com/office/drawing/2014/main" id="{A6D20B9A-75D4-9949-BBA4-76E3F6BDECA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0">
          <xdr14:nvContentPartPr>
            <xdr14:cNvPr id="660" name="Ink 659">
              <a:extLst>
                <a:ext uri="{FF2B5EF4-FFF2-40B4-BE49-F238E27FC236}">
                  <a16:creationId xmlns:a16="http://schemas.microsoft.com/office/drawing/2014/main" id="{C4B7E2B3-D427-A14B-B6DD-F491655FF733}"/>
                </a:ext>
              </a:extLst>
            </xdr14:cNvPr>
            <xdr14:cNvContentPartPr/>
          </xdr14:nvContentPartPr>
          <xdr14:nvPr macro=""/>
          <xdr14:xfrm>
            <a:off x="12866040" y="1243440"/>
            <a:ext cx="360" cy="360"/>
          </xdr14:xfrm>
        </xdr:contentPart>
      </mc:Choice>
      <mc:Fallback xmlns="">
        <xdr:pic>
          <xdr:nvPicPr>
            <xdr:cNvPr id="660" name="Ink 659">
              <a:extLst>
                <a:ext uri="{FF2B5EF4-FFF2-40B4-BE49-F238E27FC236}">
                  <a16:creationId xmlns:a16="http://schemas.microsoft.com/office/drawing/2014/main" id="{C4B7E2B3-D427-A14B-B6DD-F491655FF73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1">
          <xdr14:nvContentPartPr>
            <xdr14:cNvPr id="661" name="Ink 660">
              <a:extLst>
                <a:ext uri="{FF2B5EF4-FFF2-40B4-BE49-F238E27FC236}">
                  <a16:creationId xmlns:a16="http://schemas.microsoft.com/office/drawing/2014/main" id="{2AEE32E2-F52A-8F4D-93B3-662960FAD12C}"/>
                </a:ext>
              </a:extLst>
            </xdr14:cNvPr>
            <xdr14:cNvContentPartPr/>
          </xdr14:nvContentPartPr>
          <xdr14:nvPr macro=""/>
          <xdr14:xfrm>
            <a:off x="12973680" y="1366560"/>
            <a:ext cx="360" cy="360"/>
          </xdr14:xfrm>
        </xdr:contentPart>
      </mc:Choice>
      <mc:Fallback xmlns="">
        <xdr:pic>
          <xdr:nvPicPr>
            <xdr:cNvPr id="661" name="Ink 660">
              <a:extLst>
                <a:ext uri="{FF2B5EF4-FFF2-40B4-BE49-F238E27FC236}">
                  <a16:creationId xmlns:a16="http://schemas.microsoft.com/office/drawing/2014/main" id="{2AEE32E2-F52A-8F4D-93B3-662960FAD12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2">
          <xdr14:nvContentPartPr>
            <xdr14:cNvPr id="662" name="Ink 661">
              <a:extLst>
                <a:ext uri="{FF2B5EF4-FFF2-40B4-BE49-F238E27FC236}">
                  <a16:creationId xmlns:a16="http://schemas.microsoft.com/office/drawing/2014/main" id="{8B6D4368-03E4-AC41-9E1C-237335415A35}"/>
                </a:ext>
              </a:extLst>
            </xdr14:cNvPr>
            <xdr14:cNvContentPartPr/>
          </xdr14:nvContentPartPr>
          <xdr14:nvPr macro=""/>
          <xdr14:xfrm>
            <a:off x="12846960" y="1192320"/>
            <a:ext cx="360" cy="360"/>
          </xdr14:xfrm>
        </xdr:contentPart>
      </mc:Choice>
      <mc:Fallback xmlns="">
        <xdr:pic>
          <xdr:nvPicPr>
            <xdr:cNvPr id="662" name="Ink 661">
              <a:extLst>
                <a:ext uri="{FF2B5EF4-FFF2-40B4-BE49-F238E27FC236}">
                  <a16:creationId xmlns:a16="http://schemas.microsoft.com/office/drawing/2014/main" id="{8B6D4368-03E4-AC41-9E1C-237335415A3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3">
          <xdr14:nvContentPartPr>
            <xdr14:cNvPr id="663" name="Ink 662">
              <a:extLst>
                <a:ext uri="{FF2B5EF4-FFF2-40B4-BE49-F238E27FC236}">
                  <a16:creationId xmlns:a16="http://schemas.microsoft.com/office/drawing/2014/main" id="{97B0EB87-7D9B-6840-BE38-8A7FDFFC9F97}"/>
                </a:ext>
              </a:extLst>
            </xdr14:cNvPr>
            <xdr14:cNvContentPartPr/>
          </xdr14:nvContentPartPr>
          <xdr14:nvPr macro=""/>
          <xdr14:xfrm>
            <a:off x="12866040" y="1243440"/>
            <a:ext cx="360" cy="360"/>
          </xdr14:xfrm>
        </xdr:contentPart>
      </mc:Choice>
      <mc:Fallback xmlns="">
        <xdr:pic>
          <xdr:nvPicPr>
            <xdr:cNvPr id="663" name="Ink 662">
              <a:extLst>
                <a:ext uri="{FF2B5EF4-FFF2-40B4-BE49-F238E27FC236}">
                  <a16:creationId xmlns:a16="http://schemas.microsoft.com/office/drawing/2014/main" id="{97B0EB87-7D9B-6840-BE38-8A7FDFFC9F9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4">
          <xdr14:nvContentPartPr>
            <xdr14:cNvPr id="664" name="Ink 663">
              <a:extLst>
                <a:ext uri="{FF2B5EF4-FFF2-40B4-BE49-F238E27FC236}">
                  <a16:creationId xmlns:a16="http://schemas.microsoft.com/office/drawing/2014/main" id="{C1D7D45E-2244-3A47-A8B8-2A235D2B25D0}"/>
                </a:ext>
              </a:extLst>
            </xdr14:cNvPr>
            <xdr14:cNvContentPartPr/>
          </xdr14:nvContentPartPr>
          <xdr14:nvPr macro=""/>
          <xdr14:xfrm>
            <a:off x="12973680" y="1366560"/>
            <a:ext cx="360" cy="360"/>
          </xdr14:xfrm>
        </xdr:contentPart>
      </mc:Choice>
      <mc:Fallback xmlns="">
        <xdr:pic>
          <xdr:nvPicPr>
            <xdr:cNvPr id="664" name="Ink 663">
              <a:extLst>
                <a:ext uri="{FF2B5EF4-FFF2-40B4-BE49-F238E27FC236}">
                  <a16:creationId xmlns:a16="http://schemas.microsoft.com/office/drawing/2014/main" id="{C1D7D45E-2244-3A47-A8B8-2A235D2B25D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5">
          <xdr14:nvContentPartPr>
            <xdr14:cNvPr id="665" name="Ink 664">
              <a:extLst>
                <a:ext uri="{FF2B5EF4-FFF2-40B4-BE49-F238E27FC236}">
                  <a16:creationId xmlns:a16="http://schemas.microsoft.com/office/drawing/2014/main" id="{61CE0568-2791-0147-BD79-009A36FFFC16}"/>
                </a:ext>
              </a:extLst>
            </xdr14:cNvPr>
            <xdr14:cNvContentPartPr/>
          </xdr14:nvContentPartPr>
          <xdr14:nvPr macro=""/>
          <xdr14:xfrm>
            <a:off x="12846960" y="1192320"/>
            <a:ext cx="360" cy="360"/>
          </xdr14:xfrm>
        </xdr:contentPart>
      </mc:Choice>
      <mc:Fallback xmlns="">
        <xdr:pic>
          <xdr:nvPicPr>
            <xdr:cNvPr id="665" name="Ink 664">
              <a:extLst>
                <a:ext uri="{FF2B5EF4-FFF2-40B4-BE49-F238E27FC236}">
                  <a16:creationId xmlns:a16="http://schemas.microsoft.com/office/drawing/2014/main" id="{61CE0568-2791-0147-BD79-009A36FFFC1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6">
          <xdr14:nvContentPartPr>
            <xdr14:cNvPr id="666" name="Ink 665">
              <a:extLst>
                <a:ext uri="{FF2B5EF4-FFF2-40B4-BE49-F238E27FC236}">
                  <a16:creationId xmlns:a16="http://schemas.microsoft.com/office/drawing/2014/main" id="{F45A09C4-D4C0-2D42-A161-BF9B19941326}"/>
                </a:ext>
              </a:extLst>
            </xdr14:cNvPr>
            <xdr14:cNvContentPartPr/>
          </xdr14:nvContentPartPr>
          <xdr14:nvPr macro=""/>
          <xdr14:xfrm>
            <a:off x="12866040" y="1243440"/>
            <a:ext cx="360" cy="360"/>
          </xdr14:xfrm>
        </xdr:contentPart>
      </mc:Choice>
      <mc:Fallback xmlns="">
        <xdr:pic>
          <xdr:nvPicPr>
            <xdr:cNvPr id="666" name="Ink 665">
              <a:extLst>
                <a:ext uri="{FF2B5EF4-FFF2-40B4-BE49-F238E27FC236}">
                  <a16:creationId xmlns:a16="http://schemas.microsoft.com/office/drawing/2014/main" id="{F45A09C4-D4C0-2D42-A161-BF9B1994132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7">
          <xdr14:nvContentPartPr>
            <xdr14:cNvPr id="667" name="Ink 666">
              <a:extLst>
                <a:ext uri="{FF2B5EF4-FFF2-40B4-BE49-F238E27FC236}">
                  <a16:creationId xmlns:a16="http://schemas.microsoft.com/office/drawing/2014/main" id="{7D022992-408E-5148-9585-106C11B2F1B7}"/>
                </a:ext>
              </a:extLst>
            </xdr14:cNvPr>
            <xdr14:cNvContentPartPr/>
          </xdr14:nvContentPartPr>
          <xdr14:nvPr macro=""/>
          <xdr14:xfrm>
            <a:off x="12973680" y="1366560"/>
            <a:ext cx="360" cy="360"/>
          </xdr14:xfrm>
        </xdr:contentPart>
      </mc:Choice>
      <mc:Fallback xmlns="">
        <xdr:pic>
          <xdr:nvPicPr>
            <xdr:cNvPr id="667" name="Ink 666">
              <a:extLst>
                <a:ext uri="{FF2B5EF4-FFF2-40B4-BE49-F238E27FC236}">
                  <a16:creationId xmlns:a16="http://schemas.microsoft.com/office/drawing/2014/main" id="{7D022992-408E-5148-9585-106C11B2F1B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8">
          <xdr14:nvContentPartPr>
            <xdr14:cNvPr id="668" name="Ink 667">
              <a:extLst>
                <a:ext uri="{FF2B5EF4-FFF2-40B4-BE49-F238E27FC236}">
                  <a16:creationId xmlns:a16="http://schemas.microsoft.com/office/drawing/2014/main" id="{6F35A3F9-2DAA-8C49-89D1-E23260602246}"/>
                </a:ext>
              </a:extLst>
            </xdr14:cNvPr>
            <xdr14:cNvContentPartPr/>
          </xdr14:nvContentPartPr>
          <xdr14:nvPr macro=""/>
          <xdr14:xfrm>
            <a:off x="12846960" y="1192320"/>
            <a:ext cx="360" cy="360"/>
          </xdr14:xfrm>
        </xdr:contentPart>
      </mc:Choice>
      <mc:Fallback xmlns="">
        <xdr:pic>
          <xdr:nvPicPr>
            <xdr:cNvPr id="668" name="Ink 667">
              <a:extLst>
                <a:ext uri="{FF2B5EF4-FFF2-40B4-BE49-F238E27FC236}">
                  <a16:creationId xmlns:a16="http://schemas.microsoft.com/office/drawing/2014/main" id="{6F35A3F9-2DAA-8C49-89D1-E2326060224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9">
          <xdr14:nvContentPartPr>
            <xdr14:cNvPr id="669" name="Ink 668">
              <a:extLst>
                <a:ext uri="{FF2B5EF4-FFF2-40B4-BE49-F238E27FC236}">
                  <a16:creationId xmlns:a16="http://schemas.microsoft.com/office/drawing/2014/main" id="{BB7DDAC9-3402-714D-BA23-7AD3774AD2B9}"/>
                </a:ext>
              </a:extLst>
            </xdr14:cNvPr>
            <xdr14:cNvContentPartPr/>
          </xdr14:nvContentPartPr>
          <xdr14:nvPr macro=""/>
          <xdr14:xfrm>
            <a:off x="12866040" y="1243440"/>
            <a:ext cx="360" cy="360"/>
          </xdr14:xfrm>
        </xdr:contentPart>
      </mc:Choice>
      <mc:Fallback xmlns="">
        <xdr:pic>
          <xdr:nvPicPr>
            <xdr:cNvPr id="669" name="Ink 668">
              <a:extLst>
                <a:ext uri="{FF2B5EF4-FFF2-40B4-BE49-F238E27FC236}">
                  <a16:creationId xmlns:a16="http://schemas.microsoft.com/office/drawing/2014/main" id="{BB7DDAC9-3402-714D-BA23-7AD3774AD2B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0">
          <xdr14:nvContentPartPr>
            <xdr14:cNvPr id="670" name="Ink 669">
              <a:extLst>
                <a:ext uri="{FF2B5EF4-FFF2-40B4-BE49-F238E27FC236}">
                  <a16:creationId xmlns:a16="http://schemas.microsoft.com/office/drawing/2014/main" id="{152EC73D-9557-D449-B7D3-10E39818F675}"/>
                </a:ext>
              </a:extLst>
            </xdr14:cNvPr>
            <xdr14:cNvContentPartPr/>
          </xdr14:nvContentPartPr>
          <xdr14:nvPr macro=""/>
          <xdr14:xfrm>
            <a:off x="12973680" y="1366560"/>
            <a:ext cx="360" cy="360"/>
          </xdr14:xfrm>
        </xdr:contentPart>
      </mc:Choice>
      <mc:Fallback xmlns="">
        <xdr:pic>
          <xdr:nvPicPr>
            <xdr:cNvPr id="670" name="Ink 669">
              <a:extLst>
                <a:ext uri="{FF2B5EF4-FFF2-40B4-BE49-F238E27FC236}">
                  <a16:creationId xmlns:a16="http://schemas.microsoft.com/office/drawing/2014/main" id="{152EC73D-9557-D449-B7D3-10E39818F67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1">
          <xdr14:nvContentPartPr>
            <xdr14:cNvPr id="671" name="Ink 670">
              <a:extLst>
                <a:ext uri="{FF2B5EF4-FFF2-40B4-BE49-F238E27FC236}">
                  <a16:creationId xmlns:a16="http://schemas.microsoft.com/office/drawing/2014/main" id="{D11CB5FF-9254-4244-9416-83BCE5CF684A}"/>
                </a:ext>
              </a:extLst>
            </xdr14:cNvPr>
            <xdr14:cNvContentPartPr/>
          </xdr14:nvContentPartPr>
          <xdr14:nvPr macro=""/>
          <xdr14:xfrm>
            <a:off x="12846960" y="1192320"/>
            <a:ext cx="360" cy="360"/>
          </xdr14:xfrm>
        </xdr:contentPart>
      </mc:Choice>
      <mc:Fallback xmlns="">
        <xdr:pic>
          <xdr:nvPicPr>
            <xdr:cNvPr id="671" name="Ink 670">
              <a:extLst>
                <a:ext uri="{FF2B5EF4-FFF2-40B4-BE49-F238E27FC236}">
                  <a16:creationId xmlns:a16="http://schemas.microsoft.com/office/drawing/2014/main" id="{D11CB5FF-9254-4244-9416-83BCE5CF684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2">
          <xdr14:nvContentPartPr>
            <xdr14:cNvPr id="672" name="Ink 671">
              <a:extLst>
                <a:ext uri="{FF2B5EF4-FFF2-40B4-BE49-F238E27FC236}">
                  <a16:creationId xmlns:a16="http://schemas.microsoft.com/office/drawing/2014/main" id="{04795CAA-A560-CC40-8B11-8A30467AA8AB}"/>
                </a:ext>
              </a:extLst>
            </xdr14:cNvPr>
            <xdr14:cNvContentPartPr/>
          </xdr14:nvContentPartPr>
          <xdr14:nvPr macro=""/>
          <xdr14:xfrm>
            <a:off x="12866040" y="1243440"/>
            <a:ext cx="360" cy="360"/>
          </xdr14:xfrm>
        </xdr:contentPart>
      </mc:Choice>
      <mc:Fallback xmlns="">
        <xdr:pic>
          <xdr:nvPicPr>
            <xdr:cNvPr id="672" name="Ink 671">
              <a:extLst>
                <a:ext uri="{FF2B5EF4-FFF2-40B4-BE49-F238E27FC236}">
                  <a16:creationId xmlns:a16="http://schemas.microsoft.com/office/drawing/2014/main" id="{04795CAA-A560-CC40-8B11-8A30467AA8A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3">
          <xdr14:nvContentPartPr>
            <xdr14:cNvPr id="673" name="Ink 672">
              <a:extLst>
                <a:ext uri="{FF2B5EF4-FFF2-40B4-BE49-F238E27FC236}">
                  <a16:creationId xmlns:a16="http://schemas.microsoft.com/office/drawing/2014/main" id="{DE9AF2B2-D7D2-B84C-B70E-CA8EBC94E634}"/>
                </a:ext>
              </a:extLst>
            </xdr14:cNvPr>
            <xdr14:cNvContentPartPr/>
          </xdr14:nvContentPartPr>
          <xdr14:nvPr macro=""/>
          <xdr14:xfrm>
            <a:off x="12973680" y="1366560"/>
            <a:ext cx="360" cy="360"/>
          </xdr14:xfrm>
        </xdr:contentPart>
      </mc:Choice>
      <mc:Fallback xmlns="">
        <xdr:pic>
          <xdr:nvPicPr>
            <xdr:cNvPr id="673" name="Ink 672">
              <a:extLst>
                <a:ext uri="{FF2B5EF4-FFF2-40B4-BE49-F238E27FC236}">
                  <a16:creationId xmlns:a16="http://schemas.microsoft.com/office/drawing/2014/main" id="{DE9AF2B2-D7D2-B84C-B70E-CA8EBC94E63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4">
          <xdr14:nvContentPartPr>
            <xdr14:cNvPr id="674" name="Ink 673">
              <a:extLst>
                <a:ext uri="{FF2B5EF4-FFF2-40B4-BE49-F238E27FC236}">
                  <a16:creationId xmlns:a16="http://schemas.microsoft.com/office/drawing/2014/main" id="{381B7C4E-3D9B-C840-AC26-3F9B168EDA06}"/>
                </a:ext>
              </a:extLst>
            </xdr14:cNvPr>
            <xdr14:cNvContentPartPr/>
          </xdr14:nvContentPartPr>
          <xdr14:nvPr macro=""/>
          <xdr14:xfrm>
            <a:off x="12846960" y="1192320"/>
            <a:ext cx="360" cy="360"/>
          </xdr14:xfrm>
        </xdr:contentPart>
      </mc:Choice>
      <mc:Fallback xmlns="">
        <xdr:pic>
          <xdr:nvPicPr>
            <xdr:cNvPr id="674" name="Ink 673">
              <a:extLst>
                <a:ext uri="{FF2B5EF4-FFF2-40B4-BE49-F238E27FC236}">
                  <a16:creationId xmlns:a16="http://schemas.microsoft.com/office/drawing/2014/main" id="{381B7C4E-3D9B-C840-AC26-3F9B168EDA0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5">
          <xdr14:nvContentPartPr>
            <xdr14:cNvPr id="675" name="Ink 674">
              <a:extLst>
                <a:ext uri="{FF2B5EF4-FFF2-40B4-BE49-F238E27FC236}">
                  <a16:creationId xmlns:a16="http://schemas.microsoft.com/office/drawing/2014/main" id="{FE54FDB6-289B-094C-BFBD-75EF011FC66F}"/>
                </a:ext>
              </a:extLst>
            </xdr14:cNvPr>
            <xdr14:cNvContentPartPr/>
          </xdr14:nvContentPartPr>
          <xdr14:nvPr macro=""/>
          <xdr14:xfrm>
            <a:off x="12866040" y="1243440"/>
            <a:ext cx="360" cy="360"/>
          </xdr14:xfrm>
        </xdr:contentPart>
      </mc:Choice>
      <mc:Fallback xmlns="">
        <xdr:pic>
          <xdr:nvPicPr>
            <xdr:cNvPr id="675" name="Ink 674">
              <a:extLst>
                <a:ext uri="{FF2B5EF4-FFF2-40B4-BE49-F238E27FC236}">
                  <a16:creationId xmlns:a16="http://schemas.microsoft.com/office/drawing/2014/main" id="{FE54FDB6-289B-094C-BFBD-75EF011FC66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6">
          <xdr14:nvContentPartPr>
            <xdr14:cNvPr id="676" name="Ink 675">
              <a:extLst>
                <a:ext uri="{FF2B5EF4-FFF2-40B4-BE49-F238E27FC236}">
                  <a16:creationId xmlns:a16="http://schemas.microsoft.com/office/drawing/2014/main" id="{5EC80AF8-C30D-D44F-A48E-A4ACFF7746D6}"/>
                </a:ext>
              </a:extLst>
            </xdr14:cNvPr>
            <xdr14:cNvContentPartPr/>
          </xdr14:nvContentPartPr>
          <xdr14:nvPr macro=""/>
          <xdr14:xfrm>
            <a:off x="12973680" y="1366560"/>
            <a:ext cx="360" cy="360"/>
          </xdr14:xfrm>
        </xdr:contentPart>
      </mc:Choice>
      <mc:Fallback xmlns="">
        <xdr:pic>
          <xdr:nvPicPr>
            <xdr:cNvPr id="676" name="Ink 675">
              <a:extLst>
                <a:ext uri="{FF2B5EF4-FFF2-40B4-BE49-F238E27FC236}">
                  <a16:creationId xmlns:a16="http://schemas.microsoft.com/office/drawing/2014/main" id="{5EC80AF8-C30D-D44F-A48E-A4ACFF7746D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39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7">
          <xdr14:nvContentPartPr>
            <xdr14:cNvPr id="677" name="Ink 676">
              <a:extLst>
                <a:ext uri="{FF2B5EF4-FFF2-40B4-BE49-F238E27FC236}">
                  <a16:creationId xmlns:a16="http://schemas.microsoft.com/office/drawing/2014/main" id="{1561F6F3-C286-CD4B-8B4A-677D33F5533B}"/>
                </a:ext>
              </a:extLst>
            </xdr14:cNvPr>
            <xdr14:cNvContentPartPr/>
          </xdr14:nvContentPartPr>
          <xdr14:nvPr macro=""/>
          <xdr14:xfrm>
            <a:off x="12846960" y="1192320"/>
            <a:ext cx="360" cy="360"/>
          </xdr14:xfrm>
        </xdr:contentPart>
      </mc:Choice>
      <mc:Fallback xmlns="">
        <xdr:pic>
          <xdr:nvPicPr>
            <xdr:cNvPr id="677" name="Ink 676">
              <a:extLst>
                <a:ext uri="{FF2B5EF4-FFF2-40B4-BE49-F238E27FC236}">
                  <a16:creationId xmlns:a16="http://schemas.microsoft.com/office/drawing/2014/main" id="{1561F6F3-C286-CD4B-8B4A-677D33F5533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39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8">
          <xdr14:nvContentPartPr>
            <xdr14:cNvPr id="678" name="Ink 677">
              <a:extLst>
                <a:ext uri="{FF2B5EF4-FFF2-40B4-BE49-F238E27FC236}">
                  <a16:creationId xmlns:a16="http://schemas.microsoft.com/office/drawing/2014/main" id="{7EA80D05-CEF3-F342-BC31-7C18881677CB}"/>
                </a:ext>
              </a:extLst>
            </xdr14:cNvPr>
            <xdr14:cNvContentPartPr/>
          </xdr14:nvContentPartPr>
          <xdr14:nvPr macro=""/>
          <xdr14:xfrm>
            <a:off x="12866040" y="1243440"/>
            <a:ext cx="360" cy="360"/>
          </xdr14:xfrm>
        </xdr:contentPart>
      </mc:Choice>
      <mc:Fallback xmlns="">
        <xdr:pic>
          <xdr:nvPicPr>
            <xdr:cNvPr id="678" name="Ink 677">
              <a:extLst>
                <a:ext uri="{FF2B5EF4-FFF2-40B4-BE49-F238E27FC236}">
                  <a16:creationId xmlns:a16="http://schemas.microsoft.com/office/drawing/2014/main" id="{7EA80D05-CEF3-F342-BC31-7C18881677C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39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79">
          <xdr14:nvContentPartPr>
            <xdr14:cNvPr id="679" name="Ink 678">
              <a:extLst>
                <a:ext uri="{FF2B5EF4-FFF2-40B4-BE49-F238E27FC236}">
                  <a16:creationId xmlns:a16="http://schemas.microsoft.com/office/drawing/2014/main" id="{0AF4D7FE-9037-734F-87AF-493CF0D6620B}"/>
                </a:ext>
              </a:extLst>
            </xdr14:cNvPr>
            <xdr14:cNvContentPartPr/>
          </xdr14:nvContentPartPr>
          <xdr14:nvPr macro=""/>
          <xdr14:xfrm>
            <a:off x="12973680" y="1366560"/>
            <a:ext cx="360" cy="360"/>
          </xdr14:xfrm>
        </xdr:contentPart>
      </mc:Choice>
      <mc:Fallback xmlns="">
        <xdr:pic>
          <xdr:nvPicPr>
            <xdr:cNvPr id="679" name="Ink 678">
              <a:extLst>
                <a:ext uri="{FF2B5EF4-FFF2-40B4-BE49-F238E27FC236}">
                  <a16:creationId xmlns:a16="http://schemas.microsoft.com/office/drawing/2014/main" id="{0AF4D7FE-9037-734F-87AF-493CF0D6620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0">
          <xdr14:nvContentPartPr>
            <xdr14:cNvPr id="680" name="Ink 679">
              <a:extLst>
                <a:ext uri="{FF2B5EF4-FFF2-40B4-BE49-F238E27FC236}">
                  <a16:creationId xmlns:a16="http://schemas.microsoft.com/office/drawing/2014/main" id="{2E6B45E3-A82F-C046-A4DC-A5D3F5B5C1A3}"/>
                </a:ext>
              </a:extLst>
            </xdr14:cNvPr>
            <xdr14:cNvContentPartPr/>
          </xdr14:nvContentPartPr>
          <xdr14:nvPr macro=""/>
          <xdr14:xfrm>
            <a:off x="12846960" y="1192320"/>
            <a:ext cx="360" cy="360"/>
          </xdr14:xfrm>
        </xdr:contentPart>
      </mc:Choice>
      <mc:Fallback xmlns="">
        <xdr:pic>
          <xdr:nvPicPr>
            <xdr:cNvPr id="680" name="Ink 679">
              <a:extLst>
                <a:ext uri="{FF2B5EF4-FFF2-40B4-BE49-F238E27FC236}">
                  <a16:creationId xmlns:a16="http://schemas.microsoft.com/office/drawing/2014/main" id="{2E6B45E3-A82F-C046-A4DC-A5D3F5B5C1A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1">
          <xdr14:nvContentPartPr>
            <xdr14:cNvPr id="681" name="Ink 680">
              <a:extLst>
                <a:ext uri="{FF2B5EF4-FFF2-40B4-BE49-F238E27FC236}">
                  <a16:creationId xmlns:a16="http://schemas.microsoft.com/office/drawing/2014/main" id="{50E4238C-A6FE-2C4A-A0F4-B4B8625E5AE9}"/>
                </a:ext>
              </a:extLst>
            </xdr14:cNvPr>
            <xdr14:cNvContentPartPr/>
          </xdr14:nvContentPartPr>
          <xdr14:nvPr macro=""/>
          <xdr14:xfrm>
            <a:off x="12866040" y="1243440"/>
            <a:ext cx="360" cy="360"/>
          </xdr14:xfrm>
        </xdr:contentPart>
      </mc:Choice>
      <mc:Fallback xmlns="">
        <xdr:pic>
          <xdr:nvPicPr>
            <xdr:cNvPr id="681" name="Ink 680">
              <a:extLst>
                <a:ext uri="{FF2B5EF4-FFF2-40B4-BE49-F238E27FC236}">
                  <a16:creationId xmlns:a16="http://schemas.microsoft.com/office/drawing/2014/main" id="{50E4238C-A6FE-2C4A-A0F4-B4B8625E5AE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2">
          <xdr14:nvContentPartPr>
            <xdr14:cNvPr id="682" name="Ink 681">
              <a:extLst>
                <a:ext uri="{FF2B5EF4-FFF2-40B4-BE49-F238E27FC236}">
                  <a16:creationId xmlns:a16="http://schemas.microsoft.com/office/drawing/2014/main" id="{C50818AB-BC4F-4E45-8D96-A1DADBBB446E}"/>
                </a:ext>
              </a:extLst>
            </xdr14:cNvPr>
            <xdr14:cNvContentPartPr/>
          </xdr14:nvContentPartPr>
          <xdr14:nvPr macro=""/>
          <xdr14:xfrm>
            <a:off x="12973680" y="1366560"/>
            <a:ext cx="360" cy="360"/>
          </xdr14:xfrm>
        </xdr:contentPart>
      </mc:Choice>
      <mc:Fallback xmlns="">
        <xdr:pic>
          <xdr:nvPicPr>
            <xdr:cNvPr id="682" name="Ink 681">
              <a:extLst>
                <a:ext uri="{FF2B5EF4-FFF2-40B4-BE49-F238E27FC236}">
                  <a16:creationId xmlns:a16="http://schemas.microsoft.com/office/drawing/2014/main" id="{C50818AB-BC4F-4E45-8D96-A1DADBBB446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3">
          <xdr14:nvContentPartPr>
            <xdr14:cNvPr id="683" name="Ink 682">
              <a:extLst>
                <a:ext uri="{FF2B5EF4-FFF2-40B4-BE49-F238E27FC236}">
                  <a16:creationId xmlns:a16="http://schemas.microsoft.com/office/drawing/2014/main" id="{AAC0CAE9-3C44-794A-AC5E-2432F410C552}"/>
                </a:ext>
              </a:extLst>
            </xdr14:cNvPr>
            <xdr14:cNvContentPartPr/>
          </xdr14:nvContentPartPr>
          <xdr14:nvPr macro=""/>
          <xdr14:xfrm>
            <a:off x="12846960" y="1192320"/>
            <a:ext cx="360" cy="360"/>
          </xdr14:xfrm>
        </xdr:contentPart>
      </mc:Choice>
      <mc:Fallback xmlns="">
        <xdr:pic>
          <xdr:nvPicPr>
            <xdr:cNvPr id="683" name="Ink 682">
              <a:extLst>
                <a:ext uri="{FF2B5EF4-FFF2-40B4-BE49-F238E27FC236}">
                  <a16:creationId xmlns:a16="http://schemas.microsoft.com/office/drawing/2014/main" id="{AAC0CAE9-3C44-794A-AC5E-2432F410C55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4">
          <xdr14:nvContentPartPr>
            <xdr14:cNvPr id="684" name="Ink 683">
              <a:extLst>
                <a:ext uri="{FF2B5EF4-FFF2-40B4-BE49-F238E27FC236}">
                  <a16:creationId xmlns:a16="http://schemas.microsoft.com/office/drawing/2014/main" id="{2A192BC7-2834-C84D-89C0-F60236FD078C}"/>
                </a:ext>
              </a:extLst>
            </xdr14:cNvPr>
            <xdr14:cNvContentPartPr/>
          </xdr14:nvContentPartPr>
          <xdr14:nvPr macro=""/>
          <xdr14:xfrm>
            <a:off x="12866040" y="1243440"/>
            <a:ext cx="360" cy="360"/>
          </xdr14:xfrm>
        </xdr:contentPart>
      </mc:Choice>
      <mc:Fallback xmlns="">
        <xdr:pic>
          <xdr:nvPicPr>
            <xdr:cNvPr id="684" name="Ink 683">
              <a:extLst>
                <a:ext uri="{FF2B5EF4-FFF2-40B4-BE49-F238E27FC236}">
                  <a16:creationId xmlns:a16="http://schemas.microsoft.com/office/drawing/2014/main" id="{2A192BC7-2834-C84D-89C0-F60236FD078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5">
          <xdr14:nvContentPartPr>
            <xdr14:cNvPr id="685" name="Ink 684">
              <a:extLst>
                <a:ext uri="{FF2B5EF4-FFF2-40B4-BE49-F238E27FC236}">
                  <a16:creationId xmlns:a16="http://schemas.microsoft.com/office/drawing/2014/main" id="{532BFDAF-8816-0245-90C4-69935C2FD506}"/>
                </a:ext>
              </a:extLst>
            </xdr14:cNvPr>
            <xdr14:cNvContentPartPr/>
          </xdr14:nvContentPartPr>
          <xdr14:nvPr macro=""/>
          <xdr14:xfrm>
            <a:off x="12973680" y="1366560"/>
            <a:ext cx="360" cy="360"/>
          </xdr14:xfrm>
        </xdr:contentPart>
      </mc:Choice>
      <mc:Fallback xmlns="">
        <xdr:pic>
          <xdr:nvPicPr>
            <xdr:cNvPr id="685" name="Ink 684">
              <a:extLst>
                <a:ext uri="{FF2B5EF4-FFF2-40B4-BE49-F238E27FC236}">
                  <a16:creationId xmlns:a16="http://schemas.microsoft.com/office/drawing/2014/main" id="{532BFDAF-8816-0245-90C4-69935C2FD50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6">
          <xdr14:nvContentPartPr>
            <xdr14:cNvPr id="686" name="Ink 685">
              <a:extLst>
                <a:ext uri="{FF2B5EF4-FFF2-40B4-BE49-F238E27FC236}">
                  <a16:creationId xmlns:a16="http://schemas.microsoft.com/office/drawing/2014/main" id="{CC98A1BF-59D8-E446-83A5-34F9D6C187ED}"/>
                </a:ext>
              </a:extLst>
            </xdr14:cNvPr>
            <xdr14:cNvContentPartPr/>
          </xdr14:nvContentPartPr>
          <xdr14:nvPr macro=""/>
          <xdr14:xfrm>
            <a:off x="12846960" y="1192320"/>
            <a:ext cx="360" cy="360"/>
          </xdr14:xfrm>
        </xdr:contentPart>
      </mc:Choice>
      <mc:Fallback xmlns="">
        <xdr:pic>
          <xdr:nvPicPr>
            <xdr:cNvPr id="686" name="Ink 685">
              <a:extLst>
                <a:ext uri="{FF2B5EF4-FFF2-40B4-BE49-F238E27FC236}">
                  <a16:creationId xmlns:a16="http://schemas.microsoft.com/office/drawing/2014/main" id="{CC98A1BF-59D8-E446-83A5-34F9D6C187E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7">
          <xdr14:nvContentPartPr>
            <xdr14:cNvPr id="687" name="Ink 686">
              <a:extLst>
                <a:ext uri="{FF2B5EF4-FFF2-40B4-BE49-F238E27FC236}">
                  <a16:creationId xmlns:a16="http://schemas.microsoft.com/office/drawing/2014/main" id="{6A6750FD-DEA8-A145-BF24-427EC74F8FA5}"/>
                </a:ext>
              </a:extLst>
            </xdr14:cNvPr>
            <xdr14:cNvContentPartPr/>
          </xdr14:nvContentPartPr>
          <xdr14:nvPr macro=""/>
          <xdr14:xfrm>
            <a:off x="12866040" y="1243440"/>
            <a:ext cx="360" cy="360"/>
          </xdr14:xfrm>
        </xdr:contentPart>
      </mc:Choice>
      <mc:Fallback xmlns="">
        <xdr:pic>
          <xdr:nvPicPr>
            <xdr:cNvPr id="687" name="Ink 686">
              <a:extLst>
                <a:ext uri="{FF2B5EF4-FFF2-40B4-BE49-F238E27FC236}">
                  <a16:creationId xmlns:a16="http://schemas.microsoft.com/office/drawing/2014/main" id="{6A6750FD-DEA8-A145-BF24-427EC74F8FA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8">
          <xdr14:nvContentPartPr>
            <xdr14:cNvPr id="688" name="Ink 687">
              <a:extLst>
                <a:ext uri="{FF2B5EF4-FFF2-40B4-BE49-F238E27FC236}">
                  <a16:creationId xmlns:a16="http://schemas.microsoft.com/office/drawing/2014/main" id="{23E9A747-4F47-F44A-9D71-A79963BACFC2}"/>
                </a:ext>
              </a:extLst>
            </xdr14:cNvPr>
            <xdr14:cNvContentPartPr/>
          </xdr14:nvContentPartPr>
          <xdr14:nvPr macro=""/>
          <xdr14:xfrm>
            <a:off x="12973680" y="1366560"/>
            <a:ext cx="360" cy="360"/>
          </xdr14:xfrm>
        </xdr:contentPart>
      </mc:Choice>
      <mc:Fallback xmlns="">
        <xdr:pic>
          <xdr:nvPicPr>
            <xdr:cNvPr id="688" name="Ink 687">
              <a:extLst>
                <a:ext uri="{FF2B5EF4-FFF2-40B4-BE49-F238E27FC236}">
                  <a16:creationId xmlns:a16="http://schemas.microsoft.com/office/drawing/2014/main" id="{23E9A747-4F47-F44A-9D71-A79963BACFC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89">
          <xdr14:nvContentPartPr>
            <xdr14:cNvPr id="689" name="Ink 688">
              <a:extLst>
                <a:ext uri="{FF2B5EF4-FFF2-40B4-BE49-F238E27FC236}">
                  <a16:creationId xmlns:a16="http://schemas.microsoft.com/office/drawing/2014/main" id="{B2DD82BF-8B74-FD48-AD1D-899CE05B214C}"/>
                </a:ext>
              </a:extLst>
            </xdr14:cNvPr>
            <xdr14:cNvContentPartPr/>
          </xdr14:nvContentPartPr>
          <xdr14:nvPr macro=""/>
          <xdr14:xfrm>
            <a:off x="12846960" y="1192320"/>
            <a:ext cx="360" cy="360"/>
          </xdr14:xfrm>
        </xdr:contentPart>
      </mc:Choice>
      <mc:Fallback xmlns="">
        <xdr:pic>
          <xdr:nvPicPr>
            <xdr:cNvPr id="689" name="Ink 688">
              <a:extLst>
                <a:ext uri="{FF2B5EF4-FFF2-40B4-BE49-F238E27FC236}">
                  <a16:creationId xmlns:a16="http://schemas.microsoft.com/office/drawing/2014/main" id="{B2DD82BF-8B74-FD48-AD1D-899CE05B214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0">
          <xdr14:nvContentPartPr>
            <xdr14:cNvPr id="690" name="Ink 689">
              <a:extLst>
                <a:ext uri="{FF2B5EF4-FFF2-40B4-BE49-F238E27FC236}">
                  <a16:creationId xmlns:a16="http://schemas.microsoft.com/office/drawing/2014/main" id="{AF2DBC07-1411-114F-923C-327E949CC769}"/>
                </a:ext>
              </a:extLst>
            </xdr14:cNvPr>
            <xdr14:cNvContentPartPr/>
          </xdr14:nvContentPartPr>
          <xdr14:nvPr macro=""/>
          <xdr14:xfrm>
            <a:off x="12866040" y="1243440"/>
            <a:ext cx="360" cy="360"/>
          </xdr14:xfrm>
        </xdr:contentPart>
      </mc:Choice>
      <mc:Fallback xmlns="">
        <xdr:pic>
          <xdr:nvPicPr>
            <xdr:cNvPr id="690" name="Ink 689">
              <a:extLst>
                <a:ext uri="{FF2B5EF4-FFF2-40B4-BE49-F238E27FC236}">
                  <a16:creationId xmlns:a16="http://schemas.microsoft.com/office/drawing/2014/main" id="{AF2DBC07-1411-114F-923C-327E949CC76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1">
          <xdr14:nvContentPartPr>
            <xdr14:cNvPr id="691" name="Ink 690">
              <a:extLst>
                <a:ext uri="{FF2B5EF4-FFF2-40B4-BE49-F238E27FC236}">
                  <a16:creationId xmlns:a16="http://schemas.microsoft.com/office/drawing/2014/main" id="{5B9B6CA8-FB0A-FC4A-8C2A-ACE9CEBCF55C}"/>
                </a:ext>
              </a:extLst>
            </xdr14:cNvPr>
            <xdr14:cNvContentPartPr/>
          </xdr14:nvContentPartPr>
          <xdr14:nvPr macro=""/>
          <xdr14:xfrm>
            <a:off x="12973680" y="1366560"/>
            <a:ext cx="360" cy="360"/>
          </xdr14:xfrm>
        </xdr:contentPart>
      </mc:Choice>
      <mc:Fallback xmlns="">
        <xdr:pic>
          <xdr:nvPicPr>
            <xdr:cNvPr id="691" name="Ink 690">
              <a:extLst>
                <a:ext uri="{FF2B5EF4-FFF2-40B4-BE49-F238E27FC236}">
                  <a16:creationId xmlns:a16="http://schemas.microsoft.com/office/drawing/2014/main" id="{5B9B6CA8-FB0A-FC4A-8C2A-ACE9CEBCF55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2">
          <xdr14:nvContentPartPr>
            <xdr14:cNvPr id="692" name="Ink 691">
              <a:extLst>
                <a:ext uri="{FF2B5EF4-FFF2-40B4-BE49-F238E27FC236}">
                  <a16:creationId xmlns:a16="http://schemas.microsoft.com/office/drawing/2014/main" id="{C84EEA3F-03E0-8849-83F0-39EC2EC4CDC8}"/>
                </a:ext>
              </a:extLst>
            </xdr14:cNvPr>
            <xdr14:cNvContentPartPr/>
          </xdr14:nvContentPartPr>
          <xdr14:nvPr macro=""/>
          <xdr14:xfrm>
            <a:off x="12846960" y="1192320"/>
            <a:ext cx="360" cy="360"/>
          </xdr14:xfrm>
        </xdr:contentPart>
      </mc:Choice>
      <mc:Fallback xmlns="">
        <xdr:pic>
          <xdr:nvPicPr>
            <xdr:cNvPr id="692" name="Ink 691">
              <a:extLst>
                <a:ext uri="{FF2B5EF4-FFF2-40B4-BE49-F238E27FC236}">
                  <a16:creationId xmlns:a16="http://schemas.microsoft.com/office/drawing/2014/main" id="{C84EEA3F-03E0-8849-83F0-39EC2EC4CDC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3">
          <xdr14:nvContentPartPr>
            <xdr14:cNvPr id="693" name="Ink 692">
              <a:extLst>
                <a:ext uri="{FF2B5EF4-FFF2-40B4-BE49-F238E27FC236}">
                  <a16:creationId xmlns:a16="http://schemas.microsoft.com/office/drawing/2014/main" id="{04C5B718-0997-A247-9C36-A73EA059C5F2}"/>
                </a:ext>
              </a:extLst>
            </xdr14:cNvPr>
            <xdr14:cNvContentPartPr/>
          </xdr14:nvContentPartPr>
          <xdr14:nvPr macro=""/>
          <xdr14:xfrm>
            <a:off x="12866040" y="1243440"/>
            <a:ext cx="360" cy="360"/>
          </xdr14:xfrm>
        </xdr:contentPart>
      </mc:Choice>
      <mc:Fallback xmlns="">
        <xdr:pic>
          <xdr:nvPicPr>
            <xdr:cNvPr id="693" name="Ink 692">
              <a:extLst>
                <a:ext uri="{FF2B5EF4-FFF2-40B4-BE49-F238E27FC236}">
                  <a16:creationId xmlns:a16="http://schemas.microsoft.com/office/drawing/2014/main" id="{04C5B718-0997-A247-9C36-A73EA059C5F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4">
          <xdr14:nvContentPartPr>
            <xdr14:cNvPr id="694" name="Ink 693">
              <a:extLst>
                <a:ext uri="{FF2B5EF4-FFF2-40B4-BE49-F238E27FC236}">
                  <a16:creationId xmlns:a16="http://schemas.microsoft.com/office/drawing/2014/main" id="{87CA30D7-9BF1-584F-B198-158CE89DD1AC}"/>
                </a:ext>
              </a:extLst>
            </xdr14:cNvPr>
            <xdr14:cNvContentPartPr/>
          </xdr14:nvContentPartPr>
          <xdr14:nvPr macro=""/>
          <xdr14:xfrm>
            <a:off x="12973680" y="1366560"/>
            <a:ext cx="360" cy="360"/>
          </xdr14:xfrm>
        </xdr:contentPart>
      </mc:Choice>
      <mc:Fallback xmlns="">
        <xdr:pic>
          <xdr:nvPicPr>
            <xdr:cNvPr id="694" name="Ink 693">
              <a:extLst>
                <a:ext uri="{FF2B5EF4-FFF2-40B4-BE49-F238E27FC236}">
                  <a16:creationId xmlns:a16="http://schemas.microsoft.com/office/drawing/2014/main" id="{87CA30D7-9BF1-584F-B198-158CE89DD1A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5">
          <xdr14:nvContentPartPr>
            <xdr14:cNvPr id="695" name="Ink 694">
              <a:extLst>
                <a:ext uri="{FF2B5EF4-FFF2-40B4-BE49-F238E27FC236}">
                  <a16:creationId xmlns:a16="http://schemas.microsoft.com/office/drawing/2014/main" id="{C67DD4C6-54BD-3347-8377-6BC0E42806A1}"/>
                </a:ext>
              </a:extLst>
            </xdr14:cNvPr>
            <xdr14:cNvContentPartPr/>
          </xdr14:nvContentPartPr>
          <xdr14:nvPr macro=""/>
          <xdr14:xfrm>
            <a:off x="12846960" y="1192320"/>
            <a:ext cx="360" cy="360"/>
          </xdr14:xfrm>
        </xdr:contentPart>
      </mc:Choice>
      <mc:Fallback xmlns="">
        <xdr:pic>
          <xdr:nvPicPr>
            <xdr:cNvPr id="695" name="Ink 694">
              <a:extLst>
                <a:ext uri="{FF2B5EF4-FFF2-40B4-BE49-F238E27FC236}">
                  <a16:creationId xmlns:a16="http://schemas.microsoft.com/office/drawing/2014/main" id="{C67DD4C6-54BD-3347-8377-6BC0E42806A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6">
          <xdr14:nvContentPartPr>
            <xdr14:cNvPr id="696" name="Ink 695">
              <a:extLst>
                <a:ext uri="{FF2B5EF4-FFF2-40B4-BE49-F238E27FC236}">
                  <a16:creationId xmlns:a16="http://schemas.microsoft.com/office/drawing/2014/main" id="{7FB04C3B-6DED-E54A-90A1-A468E536D8F0}"/>
                </a:ext>
              </a:extLst>
            </xdr14:cNvPr>
            <xdr14:cNvContentPartPr/>
          </xdr14:nvContentPartPr>
          <xdr14:nvPr macro=""/>
          <xdr14:xfrm>
            <a:off x="12866040" y="1243440"/>
            <a:ext cx="360" cy="360"/>
          </xdr14:xfrm>
        </xdr:contentPart>
      </mc:Choice>
      <mc:Fallback xmlns="">
        <xdr:pic>
          <xdr:nvPicPr>
            <xdr:cNvPr id="696" name="Ink 695">
              <a:extLst>
                <a:ext uri="{FF2B5EF4-FFF2-40B4-BE49-F238E27FC236}">
                  <a16:creationId xmlns:a16="http://schemas.microsoft.com/office/drawing/2014/main" id="{7FB04C3B-6DED-E54A-90A1-A468E536D8F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7">
          <xdr14:nvContentPartPr>
            <xdr14:cNvPr id="697" name="Ink 696">
              <a:extLst>
                <a:ext uri="{FF2B5EF4-FFF2-40B4-BE49-F238E27FC236}">
                  <a16:creationId xmlns:a16="http://schemas.microsoft.com/office/drawing/2014/main" id="{ADA05C2C-3F36-E746-80CD-BC4D87575DC4}"/>
                </a:ext>
              </a:extLst>
            </xdr14:cNvPr>
            <xdr14:cNvContentPartPr/>
          </xdr14:nvContentPartPr>
          <xdr14:nvPr macro=""/>
          <xdr14:xfrm>
            <a:off x="12973680" y="1366560"/>
            <a:ext cx="360" cy="360"/>
          </xdr14:xfrm>
        </xdr:contentPart>
      </mc:Choice>
      <mc:Fallback xmlns="">
        <xdr:pic>
          <xdr:nvPicPr>
            <xdr:cNvPr id="697" name="Ink 696">
              <a:extLst>
                <a:ext uri="{FF2B5EF4-FFF2-40B4-BE49-F238E27FC236}">
                  <a16:creationId xmlns:a16="http://schemas.microsoft.com/office/drawing/2014/main" id="{ADA05C2C-3F36-E746-80CD-BC4D87575DC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8">
          <xdr14:nvContentPartPr>
            <xdr14:cNvPr id="698" name="Ink 697">
              <a:extLst>
                <a:ext uri="{FF2B5EF4-FFF2-40B4-BE49-F238E27FC236}">
                  <a16:creationId xmlns:a16="http://schemas.microsoft.com/office/drawing/2014/main" id="{4691F1C2-4865-F74E-921E-52D43088EF10}"/>
                </a:ext>
              </a:extLst>
            </xdr14:cNvPr>
            <xdr14:cNvContentPartPr/>
          </xdr14:nvContentPartPr>
          <xdr14:nvPr macro=""/>
          <xdr14:xfrm>
            <a:off x="12846960" y="1192320"/>
            <a:ext cx="360" cy="360"/>
          </xdr14:xfrm>
        </xdr:contentPart>
      </mc:Choice>
      <mc:Fallback xmlns="">
        <xdr:pic>
          <xdr:nvPicPr>
            <xdr:cNvPr id="698" name="Ink 697">
              <a:extLst>
                <a:ext uri="{FF2B5EF4-FFF2-40B4-BE49-F238E27FC236}">
                  <a16:creationId xmlns:a16="http://schemas.microsoft.com/office/drawing/2014/main" id="{4691F1C2-4865-F74E-921E-52D43088EF1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99">
          <xdr14:nvContentPartPr>
            <xdr14:cNvPr id="699" name="Ink 698">
              <a:extLst>
                <a:ext uri="{FF2B5EF4-FFF2-40B4-BE49-F238E27FC236}">
                  <a16:creationId xmlns:a16="http://schemas.microsoft.com/office/drawing/2014/main" id="{5BA8A3A9-0B51-1744-BFF3-45C4926729B1}"/>
                </a:ext>
              </a:extLst>
            </xdr14:cNvPr>
            <xdr14:cNvContentPartPr/>
          </xdr14:nvContentPartPr>
          <xdr14:nvPr macro=""/>
          <xdr14:xfrm>
            <a:off x="12866040" y="1243440"/>
            <a:ext cx="360" cy="360"/>
          </xdr14:xfrm>
        </xdr:contentPart>
      </mc:Choice>
      <mc:Fallback xmlns="">
        <xdr:pic>
          <xdr:nvPicPr>
            <xdr:cNvPr id="699" name="Ink 698">
              <a:extLst>
                <a:ext uri="{FF2B5EF4-FFF2-40B4-BE49-F238E27FC236}">
                  <a16:creationId xmlns:a16="http://schemas.microsoft.com/office/drawing/2014/main" id="{5BA8A3A9-0B51-1744-BFF3-45C4926729B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0">
          <xdr14:nvContentPartPr>
            <xdr14:cNvPr id="700" name="Ink 699">
              <a:extLst>
                <a:ext uri="{FF2B5EF4-FFF2-40B4-BE49-F238E27FC236}">
                  <a16:creationId xmlns:a16="http://schemas.microsoft.com/office/drawing/2014/main" id="{1A9EFBC4-04F6-2242-BC66-E42A1ACDFAF2}"/>
                </a:ext>
              </a:extLst>
            </xdr14:cNvPr>
            <xdr14:cNvContentPartPr/>
          </xdr14:nvContentPartPr>
          <xdr14:nvPr macro=""/>
          <xdr14:xfrm>
            <a:off x="12973680" y="1366560"/>
            <a:ext cx="360" cy="360"/>
          </xdr14:xfrm>
        </xdr:contentPart>
      </mc:Choice>
      <mc:Fallback xmlns="">
        <xdr:pic>
          <xdr:nvPicPr>
            <xdr:cNvPr id="700" name="Ink 699">
              <a:extLst>
                <a:ext uri="{FF2B5EF4-FFF2-40B4-BE49-F238E27FC236}">
                  <a16:creationId xmlns:a16="http://schemas.microsoft.com/office/drawing/2014/main" id="{1A9EFBC4-04F6-2242-BC66-E42A1ACDFAF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1">
          <xdr14:nvContentPartPr>
            <xdr14:cNvPr id="701" name="Ink 700">
              <a:extLst>
                <a:ext uri="{FF2B5EF4-FFF2-40B4-BE49-F238E27FC236}">
                  <a16:creationId xmlns:a16="http://schemas.microsoft.com/office/drawing/2014/main" id="{F84DB38B-D34D-FE4F-BC0D-FDA08F8D9482}"/>
                </a:ext>
              </a:extLst>
            </xdr14:cNvPr>
            <xdr14:cNvContentPartPr/>
          </xdr14:nvContentPartPr>
          <xdr14:nvPr macro=""/>
          <xdr14:xfrm>
            <a:off x="12846960" y="1192320"/>
            <a:ext cx="360" cy="360"/>
          </xdr14:xfrm>
        </xdr:contentPart>
      </mc:Choice>
      <mc:Fallback xmlns="">
        <xdr:pic>
          <xdr:nvPicPr>
            <xdr:cNvPr id="701" name="Ink 700">
              <a:extLst>
                <a:ext uri="{FF2B5EF4-FFF2-40B4-BE49-F238E27FC236}">
                  <a16:creationId xmlns:a16="http://schemas.microsoft.com/office/drawing/2014/main" id="{F84DB38B-D34D-FE4F-BC0D-FDA08F8D948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2">
          <xdr14:nvContentPartPr>
            <xdr14:cNvPr id="702" name="Ink 701">
              <a:extLst>
                <a:ext uri="{FF2B5EF4-FFF2-40B4-BE49-F238E27FC236}">
                  <a16:creationId xmlns:a16="http://schemas.microsoft.com/office/drawing/2014/main" id="{306D3435-D23D-884C-A11A-29D7003EE4E2}"/>
                </a:ext>
              </a:extLst>
            </xdr14:cNvPr>
            <xdr14:cNvContentPartPr/>
          </xdr14:nvContentPartPr>
          <xdr14:nvPr macro=""/>
          <xdr14:xfrm>
            <a:off x="12866040" y="1243440"/>
            <a:ext cx="360" cy="360"/>
          </xdr14:xfrm>
        </xdr:contentPart>
      </mc:Choice>
      <mc:Fallback xmlns="">
        <xdr:pic>
          <xdr:nvPicPr>
            <xdr:cNvPr id="702" name="Ink 701">
              <a:extLst>
                <a:ext uri="{FF2B5EF4-FFF2-40B4-BE49-F238E27FC236}">
                  <a16:creationId xmlns:a16="http://schemas.microsoft.com/office/drawing/2014/main" id="{306D3435-D23D-884C-A11A-29D7003EE4E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3">
          <xdr14:nvContentPartPr>
            <xdr14:cNvPr id="703" name="Ink 702">
              <a:extLst>
                <a:ext uri="{FF2B5EF4-FFF2-40B4-BE49-F238E27FC236}">
                  <a16:creationId xmlns:a16="http://schemas.microsoft.com/office/drawing/2014/main" id="{5D33BAA2-8A59-7148-8078-A0D20BC39634}"/>
                </a:ext>
              </a:extLst>
            </xdr14:cNvPr>
            <xdr14:cNvContentPartPr/>
          </xdr14:nvContentPartPr>
          <xdr14:nvPr macro=""/>
          <xdr14:xfrm>
            <a:off x="12973680" y="1366560"/>
            <a:ext cx="360" cy="360"/>
          </xdr14:xfrm>
        </xdr:contentPart>
      </mc:Choice>
      <mc:Fallback xmlns="">
        <xdr:pic>
          <xdr:nvPicPr>
            <xdr:cNvPr id="703" name="Ink 702">
              <a:extLst>
                <a:ext uri="{FF2B5EF4-FFF2-40B4-BE49-F238E27FC236}">
                  <a16:creationId xmlns:a16="http://schemas.microsoft.com/office/drawing/2014/main" id="{5D33BAA2-8A59-7148-8078-A0D20BC3963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4">
          <xdr14:nvContentPartPr>
            <xdr14:cNvPr id="704" name="Ink 703">
              <a:extLst>
                <a:ext uri="{FF2B5EF4-FFF2-40B4-BE49-F238E27FC236}">
                  <a16:creationId xmlns:a16="http://schemas.microsoft.com/office/drawing/2014/main" id="{C3552C42-99BD-F54C-B881-118856EC8B83}"/>
                </a:ext>
              </a:extLst>
            </xdr14:cNvPr>
            <xdr14:cNvContentPartPr/>
          </xdr14:nvContentPartPr>
          <xdr14:nvPr macro=""/>
          <xdr14:xfrm>
            <a:off x="12846960" y="1192320"/>
            <a:ext cx="360" cy="360"/>
          </xdr14:xfrm>
        </xdr:contentPart>
      </mc:Choice>
      <mc:Fallback xmlns="">
        <xdr:pic>
          <xdr:nvPicPr>
            <xdr:cNvPr id="704" name="Ink 703">
              <a:extLst>
                <a:ext uri="{FF2B5EF4-FFF2-40B4-BE49-F238E27FC236}">
                  <a16:creationId xmlns:a16="http://schemas.microsoft.com/office/drawing/2014/main" id="{C3552C42-99BD-F54C-B881-118856EC8B8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5">
          <xdr14:nvContentPartPr>
            <xdr14:cNvPr id="705" name="Ink 704">
              <a:extLst>
                <a:ext uri="{FF2B5EF4-FFF2-40B4-BE49-F238E27FC236}">
                  <a16:creationId xmlns:a16="http://schemas.microsoft.com/office/drawing/2014/main" id="{E55633E9-E1DF-D44B-A419-9372F1C22EAD}"/>
                </a:ext>
              </a:extLst>
            </xdr14:cNvPr>
            <xdr14:cNvContentPartPr/>
          </xdr14:nvContentPartPr>
          <xdr14:nvPr macro=""/>
          <xdr14:xfrm>
            <a:off x="12866040" y="1243440"/>
            <a:ext cx="360" cy="360"/>
          </xdr14:xfrm>
        </xdr:contentPart>
      </mc:Choice>
      <mc:Fallback xmlns="">
        <xdr:pic>
          <xdr:nvPicPr>
            <xdr:cNvPr id="705" name="Ink 704">
              <a:extLst>
                <a:ext uri="{FF2B5EF4-FFF2-40B4-BE49-F238E27FC236}">
                  <a16:creationId xmlns:a16="http://schemas.microsoft.com/office/drawing/2014/main" id="{E55633E9-E1DF-D44B-A419-9372F1C22EA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6">
          <xdr14:nvContentPartPr>
            <xdr14:cNvPr id="706" name="Ink 705">
              <a:extLst>
                <a:ext uri="{FF2B5EF4-FFF2-40B4-BE49-F238E27FC236}">
                  <a16:creationId xmlns:a16="http://schemas.microsoft.com/office/drawing/2014/main" id="{E58CD1AA-4438-D04B-8217-84ECA137368D}"/>
                </a:ext>
              </a:extLst>
            </xdr14:cNvPr>
            <xdr14:cNvContentPartPr/>
          </xdr14:nvContentPartPr>
          <xdr14:nvPr macro=""/>
          <xdr14:xfrm>
            <a:off x="12973680" y="1366560"/>
            <a:ext cx="360" cy="360"/>
          </xdr14:xfrm>
        </xdr:contentPart>
      </mc:Choice>
      <mc:Fallback xmlns="">
        <xdr:pic>
          <xdr:nvPicPr>
            <xdr:cNvPr id="706" name="Ink 705">
              <a:extLst>
                <a:ext uri="{FF2B5EF4-FFF2-40B4-BE49-F238E27FC236}">
                  <a16:creationId xmlns:a16="http://schemas.microsoft.com/office/drawing/2014/main" id="{E58CD1AA-4438-D04B-8217-84ECA137368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49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7">
          <xdr14:nvContentPartPr>
            <xdr14:cNvPr id="707" name="Ink 706">
              <a:extLst>
                <a:ext uri="{FF2B5EF4-FFF2-40B4-BE49-F238E27FC236}">
                  <a16:creationId xmlns:a16="http://schemas.microsoft.com/office/drawing/2014/main" id="{AD101991-C24D-1C4B-B0C4-70A0F5C72177}"/>
                </a:ext>
              </a:extLst>
            </xdr14:cNvPr>
            <xdr14:cNvContentPartPr/>
          </xdr14:nvContentPartPr>
          <xdr14:nvPr macro=""/>
          <xdr14:xfrm>
            <a:off x="12846960" y="1192320"/>
            <a:ext cx="360" cy="360"/>
          </xdr14:xfrm>
        </xdr:contentPart>
      </mc:Choice>
      <mc:Fallback xmlns="">
        <xdr:pic>
          <xdr:nvPicPr>
            <xdr:cNvPr id="707" name="Ink 706">
              <a:extLst>
                <a:ext uri="{FF2B5EF4-FFF2-40B4-BE49-F238E27FC236}">
                  <a16:creationId xmlns:a16="http://schemas.microsoft.com/office/drawing/2014/main" id="{AD101991-C24D-1C4B-B0C4-70A0F5C7217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49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8">
          <xdr14:nvContentPartPr>
            <xdr14:cNvPr id="708" name="Ink 707">
              <a:extLst>
                <a:ext uri="{FF2B5EF4-FFF2-40B4-BE49-F238E27FC236}">
                  <a16:creationId xmlns:a16="http://schemas.microsoft.com/office/drawing/2014/main" id="{01074C9A-4B32-6645-BD5E-665088CD006B}"/>
                </a:ext>
              </a:extLst>
            </xdr14:cNvPr>
            <xdr14:cNvContentPartPr/>
          </xdr14:nvContentPartPr>
          <xdr14:nvPr macro=""/>
          <xdr14:xfrm>
            <a:off x="12866040" y="1243440"/>
            <a:ext cx="360" cy="360"/>
          </xdr14:xfrm>
        </xdr:contentPart>
      </mc:Choice>
      <mc:Fallback xmlns="">
        <xdr:pic>
          <xdr:nvPicPr>
            <xdr:cNvPr id="708" name="Ink 707">
              <a:extLst>
                <a:ext uri="{FF2B5EF4-FFF2-40B4-BE49-F238E27FC236}">
                  <a16:creationId xmlns:a16="http://schemas.microsoft.com/office/drawing/2014/main" id="{01074C9A-4B32-6645-BD5E-665088CD006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49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09">
          <xdr14:nvContentPartPr>
            <xdr14:cNvPr id="709" name="Ink 708">
              <a:extLst>
                <a:ext uri="{FF2B5EF4-FFF2-40B4-BE49-F238E27FC236}">
                  <a16:creationId xmlns:a16="http://schemas.microsoft.com/office/drawing/2014/main" id="{69E52417-59CF-3648-B975-59620B1890CD}"/>
                </a:ext>
              </a:extLst>
            </xdr14:cNvPr>
            <xdr14:cNvContentPartPr/>
          </xdr14:nvContentPartPr>
          <xdr14:nvPr macro=""/>
          <xdr14:xfrm>
            <a:off x="12973680" y="1366560"/>
            <a:ext cx="360" cy="360"/>
          </xdr14:xfrm>
        </xdr:contentPart>
      </mc:Choice>
      <mc:Fallback xmlns="">
        <xdr:pic>
          <xdr:nvPicPr>
            <xdr:cNvPr id="709" name="Ink 708">
              <a:extLst>
                <a:ext uri="{FF2B5EF4-FFF2-40B4-BE49-F238E27FC236}">
                  <a16:creationId xmlns:a16="http://schemas.microsoft.com/office/drawing/2014/main" id="{69E52417-59CF-3648-B975-59620B1890C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0">
          <xdr14:nvContentPartPr>
            <xdr14:cNvPr id="710" name="Ink 709">
              <a:extLst>
                <a:ext uri="{FF2B5EF4-FFF2-40B4-BE49-F238E27FC236}">
                  <a16:creationId xmlns:a16="http://schemas.microsoft.com/office/drawing/2014/main" id="{2AA65273-AAF3-8A44-B7A6-A9EE4A202DA5}"/>
                </a:ext>
              </a:extLst>
            </xdr14:cNvPr>
            <xdr14:cNvContentPartPr/>
          </xdr14:nvContentPartPr>
          <xdr14:nvPr macro=""/>
          <xdr14:xfrm>
            <a:off x="12846960" y="1192320"/>
            <a:ext cx="360" cy="360"/>
          </xdr14:xfrm>
        </xdr:contentPart>
      </mc:Choice>
      <mc:Fallback xmlns="">
        <xdr:pic>
          <xdr:nvPicPr>
            <xdr:cNvPr id="710" name="Ink 709">
              <a:extLst>
                <a:ext uri="{FF2B5EF4-FFF2-40B4-BE49-F238E27FC236}">
                  <a16:creationId xmlns:a16="http://schemas.microsoft.com/office/drawing/2014/main" id="{2AA65273-AAF3-8A44-B7A6-A9EE4A202DA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1">
          <xdr14:nvContentPartPr>
            <xdr14:cNvPr id="711" name="Ink 710">
              <a:extLst>
                <a:ext uri="{FF2B5EF4-FFF2-40B4-BE49-F238E27FC236}">
                  <a16:creationId xmlns:a16="http://schemas.microsoft.com/office/drawing/2014/main" id="{E5B39723-753A-0448-9627-0AC7A2EE80B3}"/>
                </a:ext>
              </a:extLst>
            </xdr14:cNvPr>
            <xdr14:cNvContentPartPr/>
          </xdr14:nvContentPartPr>
          <xdr14:nvPr macro=""/>
          <xdr14:xfrm>
            <a:off x="12866040" y="1243440"/>
            <a:ext cx="360" cy="360"/>
          </xdr14:xfrm>
        </xdr:contentPart>
      </mc:Choice>
      <mc:Fallback xmlns="">
        <xdr:pic>
          <xdr:nvPicPr>
            <xdr:cNvPr id="711" name="Ink 710">
              <a:extLst>
                <a:ext uri="{FF2B5EF4-FFF2-40B4-BE49-F238E27FC236}">
                  <a16:creationId xmlns:a16="http://schemas.microsoft.com/office/drawing/2014/main" id="{E5B39723-753A-0448-9627-0AC7A2EE80B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2">
          <xdr14:nvContentPartPr>
            <xdr14:cNvPr id="712" name="Ink 711">
              <a:extLst>
                <a:ext uri="{FF2B5EF4-FFF2-40B4-BE49-F238E27FC236}">
                  <a16:creationId xmlns:a16="http://schemas.microsoft.com/office/drawing/2014/main" id="{99C18B22-A0E4-9C49-8CB9-9C2279A044F1}"/>
                </a:ext>
              </a:extLst>
            </xdr14:cNvPr>
            <xdr14:cNvContentPartPr/>
          </xdr14:nvContentPartPr>
          <xdr14:nvPr macro=""/>
          <xdr14:xfrm>
            <a:off x="12973680" y="1366560"/>
            <a:ext cx="360" cy="360"/>
          </xdr14:xfrm>
        </xdr:contentPart>
      </mc:Choice>
      <mc:Fallback xmlns="">
        <xdr:pic>
          <xdr:nvPicPr>
            <xdr:cNvPr id="712" name="Ink 711">
              <a:extLst>
                <a:ext uri="{FF2B5EF4-FFF2-40B4-BE49-F238E27FC236}">
                  <a16:creationId xmlns:a16="http://schemas.microsoft.com/office/drawing/2014/main" id="{99C18B22-A0E4-9C49-8CB9-9C2279A044F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3">
          <xdr14:nvContentPartPr>
            <xdr14:cNvPr id="713" name="Ink 712">
              <a:extLst>
                <a:ext uri="{FF2B5EF4-FFF2-40B4-BE49-F238E27FC236}">
                  <a16:creationId xmlns:a16="http://schemas.microsoft.com/office/drawing/2014/main" id="{97C44385-34FF-F04A-BE69-393888E63C4A}"/>
                </a:ext>
              </a:extLst>
            </xdr14:cNvPr>
            <xdr14:cNvContentPartPr/>
          </xdr14:nvContentPartPr>
          <xdr14:nvPr macro=""/>
          <xdr14:xfrm>
            <a:off x="12846960" y="1192320"/>
            <a:ext cx="360" cy="360"/>
          </xdr14:xfrm>
        </xdr:contentPart>
      </mc:Choice>
      <mc:Fallback xmlns="">
        <xdr:pic>
          <xdr:nvPicPr>
            <xdr:cNvPr id="713" name="Ink 712">
              <a:extLst>
                <a:ext uri="{FF2B5EF4-FFF2-40B4-BE49-F238E27FC236}">
                  <a16:creationId xmlns:a16="http://schemas.microsoft.com/office/drawing/2014/main" id="{97C44385-34FF-F04A-BE69-393888E63C4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4">
          <xdr14:nvContentPartPr>
            <xdr14:cNvPr id="714" name="Ink 713">
              <a:extLst>
                <a:ext uri="{FF2B5EF4-FFF2-40B4-BE49-F238E27FC236}">
                  <a16:creationId xmlns:a16="http://schemas.microsoft.com/office/drawing/2014/main" id="{DD3195A0-FB7A-BF47-AD56-4D4FF1D7E678}"/>
                </a:ext>
              </a:extLst>
            </xdr14:cNvPr>
            <xdr14:cNvContentPartPr/>
          </xdr14:nvContentPartPr>
          <xdr14:nvPr macro=""/>
          <xdr14:xfrm>
            <a:off x="12866040" y="1243440"/>
            <a:ext cx="360" cy="360"/>
          </xdr14:xfrm>
        </xdr:contentPart>
      </mc:Choice>
      <mc:Fallback xmlns="">
        <xdr:pic>
          <xdr:nvPicPr>
            <xdr:cNvPr id="714" name="Ink 713">
              <a:extLst>
                <a:ext uri="{FF2B5EF4-FFF2-40B4-BE49-F238E27FC236}">
                  <a16:creationId xmlns:a16="http://schemas.microsoft.com/office/drawing/2014/main" id="{DD3195A0-FB7A-BF47-AD56-4D4FF1D7E67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5">
          <xdr14:nvContentPartPr>
            <xdr14:cNvPr id="715" name="Ink 714">
              <a:extLst>
                <a:ext uri="{FF2B5EF4-FFF2-40B4-BE49-F238E27FC236}">
                  <a16:creationId xmlns:a16="http://schemas.microsoft.com/office/drawing/2014/main" id="{3DDA30B5-47BF-5D45-9951-FA63BD56859F}"/>
                </a:ext>
              </a:extLst>
            </xdr14:cNvPr>
            <xdr14:cNvContentPartPr/>
          </xdr14:nvContentPartPr>
          <xdr14:nvPr macro=""/>
          <xdr14:xfrm>
            <a:off x="12973680" y="1366560"/>
            <a:ext cx="360" cy="360"/>
          </xdr14:xfrm>
        </xdr:contentPart>
      </mc:Choice>
      <mc:Fallback xmlns="">
        <xdr:pic>
          <xdr:nvPicPr>
            <xdr:cNvPr id="715" name="Ink 714">
              <a:extLst>
                <a:ext uri="{FF2B5EF4-FFF2-40B4-BE49-F238E27FC236}">
                  <a16:creationId xmlns:a16="http://schemas.microsoft.com/office/drawing/2014/main" id="{3DDA30B5-47BF-5D45-9951-FA63BD56859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6">
          <xdr14:nvContentPartPr>
            <xdr14:cNvPr id="716" name="Ink 715">
              <a:extLst>
                <a:ext uri="{FF2B5EF4-FFF2-40B4-BE49-F238E27FC236}">
                  <a16:creationId xmlns:a16="http://schemas.microsoft.com/office/drawing/2014/main" id="{AB9E024A-1ADA-9948-8A0F-7E7D794E2195}"/>
                </a:ext>
              </a:extLst>
            </xdr14:cNvPr>
            <xdr14:cNvContentPartPr/>
          </xdr14:nvContentPartPr>
          <xdr14:nvPr macro=""/>
          <xdr14:xfrm>
            <a:off x="12846960" y="1192320"/>
            <a:ext cx="360" cy="360"/>
          </xdr14:xfrm>
        </xdr:contentPart>
      </mc:Choice>
      <mc:Fallback xmlns="">
        <xdr:pic>
          <xdr:nvPicPr>
            <xdr:cNvPr id="716" name="Ink 715">
              <a:extLst>
                <a:ext uri="{FF2B5EF4-FFF2-40B4-BE49-F238E27FC236}">
                  <a16:creationId xmlns:a16="http://schemas.microsoft.com/office/drawing/2014/main" id="{AB9E024A-1ADA-9948-8A0F-7E7D794E219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7">
          <xdr14:nvContentPartPr>
            <xdr14:cNvPr id="717" name="Ink 716">
              <a:extLst>
                <a:ext uri="{FF2B5EF4-FFF2-40B4-BE49-F238E27FC236}">
                  <a16:creationId xmlns:a16="http://schemas.microsoft.com/office/drawing/2014/main" id="{537E8916-CBD8-7A49-B35E-40AF381FF518}"/>
                </a:ext>
              </a:extLst>
            </xdr14:cNvPr>
            <xdr14:cNvContentPartPr/>
          </xdr14:nvContentPartPr>
          <xdr14:nvPr macro=""/>
          <xdr14:xfrm>
            <a:off x="12866040" y="1243440"/>
            <a:ext cx="360" cy="360"/>
          </xdr14:xfrm>
        </xdr:contentPart>
      </mc:Choice>
      <mc:Fallback xmlns="">
        <xdr:pic>
          <xdr:nvPicPr>
            <xdr:cNvPr id="717" name="Ink 716">
              <a:extLst>
                <a:ext uri="{FF2B5EF4-FFF2-40B4-BE49-F238E27FC236}">
                  <a16:creationId xmlns:a16="http://schemas.microsoft.com/office/drawing/2014/main" id="{537E8916-CBD8-7A49-B35E-40AF381FF51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8">
          <xdr14:nvContentPartPr>
            <xdr14:cNvPr id="718" name="Ink 717">
              <a:extLst>
                <a:ext uri="{FF2B5EF4-FFF2-40B4-BE49-F238E27FC236}">
                  <a16:creationId xmlns:a16="http://schemas.microsoft.com/office/drawing/2014/main" id="{AFFEBB4F-058E-204D-BEE9-C2824D57E269}"/>
                </a:ext>
              </a:extLst>
            </xdr14:cNvPr>
            <xdr14:cNvContentPartPr/>
          </xdr14:nvContentPartPr>
          <xdr14:nvPr macro=""/>
          <xdr14:xfrm>
            <a:off x="12973680" y="1366560"/>
            <a:ext cx="360" cy="360"/>
          </xdr14:xfrm>
        </xdr:contentPart>
      </mc:Choice>
      <mc:Fallback xmlns="">
        <xdr:pic>
          <xdr:nvPicPr>
            <xdr:cNvPr id="718" name="Ink 717">
              <a:extLst>
                <a:ext uri="{FF2B5EF4-FFF2-40B4-BE49-F238E27FC236}">
                  <a16:creationId xmlns:a16="http://schemas.microsoft.com/office/drawing/2014/main" id="{AFFEBB4F-058E-204D-BEE9-C2824D57E26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19">
          <xdr14:nvContentPartPr>
            <xdr14:cNvPr id="719" name="Ink 718">
              <a:extLst>
                <a:ext uri="{FF2B5EF4-FFF2-40B4-BE49-F238E27FC236}">
                  <a16:creationId xmlns:a16="http://schemas.microsoft.com/office/drawing/2014/main" id="{D2E05D55-C7E8-6B41-B623-65787DEB1D4E}"/>
                </a:ext>
              </a:extLst>
            </xdr14:cNvPr>
            <xdr14:cNvContentPartPr/>
          </xdr14:nvContentPartPr>
          <xdr14:nvPr macro=""/>
          <xdr14:xfrm>
            <a:off x="12846960" y="1192320"/>
            <a:ext cx="360" cy="360"/>
          </xdr14:xfrm>
        </xdr:contentPart>
      </mc:Choice>
      <mc:Fallback xmlns="">
        <xdr:pic>
          <xdr:nvPicPr>
            <xdr:cNvPr id="719" name="Ink 718">
              <a:extLst>
                <a:ext uri="{FF2B5EF4-FFF2-40B4-BE49-F238E27FC236}">
                  <a16:creationId xmlns:a16="http://schemas.microsoft.com/office/drawing/2014/main" id="{D2E05D55-C7E8-6B41-B623-65787DEB1D4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0">
          <xdr14:nvContentPartPr>
            <xdr14:cNvPr id="720" name="Ink 719">
              <a:extLst>
                <a:ext uri="{FF2B5EF4-FFF2-40B4-BE49-F238E27FC236}">
                  <a16:creationId xmlns:a16="http://schemas.microsoft.com/office/drawing/2014/main" id="{6ACE94E8-3B9B-C54C-BB6E-9C03CD3FA35B}"/>
                </a:ext>
              </a:extLst>
            </xdr14:cNvPr>
            <xdr14:cNvContentPartPr/>
          </xdr14:nvContentPartPr>
          <xdr14:nvPr macro=""/>
          <xdr14:xfrm>
            <a:off x="12866040" y="1243440"/>
            <a:ext cx="360" cy="360"/>
          </xdr14:xfrm>
        </xdr:contentPart>
      </mc:Choice>
      <mc:Fallback xmlns="">
        <xdr:pic>
          <xdr:nvPicPr>
            <xdr:cNvPr id="720" name="Ink 719">
              <a:extLst>
                <a:ext uri="{FF2B5EF4-FFF2-40B4-BE49-F238E27FC236}">
                  <a16:creationId xmlns:a16="http://schemas.microsoft.com/office/drawing/2014/main" id="{6ACE94E8-3B9B-C54C-BB6E-9C03CD3FA35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1">
          <xdr14:nvContentPartPr>
            <xdr14:cNvPr id="721" name="Ink 720">
              <a:extLst>
                <a:ext uri="{FF2B5EF4-FFF2-40B4-BE49-F238E27FC236}">
                  <a16:creationId xmlns:a16="http://schemas.microsoft.com/office/drawing/2014/main" id="{EC1A2B14-9DDF-6A4B-896C-4CC9119F85B3}"/>
                </a:ext>
              </a:extLst>
            </xdr14:cNvPr>
            <xdr14:cNvContentPartPr/>
          </xdr14:nvContentPartPr>
          <xdr14:nvPr macro=""/>
          <xdr14:xfrm>
            <a:off x="12973680" y="1366560"/>
            <a:ext cx="360" cy="360"/>
          </xdr14:xfrm>
        </xdr:contentPart>
      </mc:Choice>
      <mc:Fallback xmlns="">
        <xdr:pic>
          <xdr:nvPicPr>
            <xdr:cNvPr id="721" name="Ink 720">
              <a:extLst>
                <a:ext uri="{FF2B5EF4-FFF2-40B4-BE49-F238E27FC236}">
                  <a16:creationId xmlns:a16="http://schemas.microsoft.com/office/drawing/2014/main" id="{EC1A2B14-9DDF-6A4B-896C-4CC9119F85B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2">
          <xdr14:nvContentPartPr>
            <xdr14:cNvPr id="722" name="Ink 721">
              <a:extLst>
                <a:ext uri="{FF2B5EF4-FFF2-40B4-BE49-F238E27FC236}">
                  <a16:creationId xmlns:a16="http://schemas.microsoft.com/office/drawing/2014/main" id="{9375E740-6CEC-4D47-9031-1019C69ADD31}"/>
                </a:ext>
              </a:extLst>
            </xdr14:cNvPr>
            <xdr14:cNvContentPartPr/>
          </xdr14:nvContentPartPr>
          <xdr14:nvPr macro=""/>
          <xdr14:xfrm>
            <a:off x="12846960" y="1192320"/>
            <a:ext cx="360" cy="360"/>
          </xdr14:xfrm>
        </xdr:contentPart>
      </mc:Choice>
      <mc:Fallback xmlns="">
        <xdr:pic>
          <xdr:nvPicPr>
            <xdr:cNvPr id="722" name="Ink 721">
              <a:extLst>
                <a:ext uri="{FF2B5EF4-FFF2-40B4-BE49-F238E27FC236}">
                  <a16:creationId xmlns:a16="http://schemas.microsoft.com/office/drawing/2014/main" id="{9375E740-6CEC-4D47-9031-1019C69ADD3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3">
          <xdr14:nvContentPartPr>
            <xdr14:cNvPr id="723" name="Ink 722">
              <a:extLst>
                <a:ext uri="{FF2B5EF4-FFF2-40B4-BE49-F238E27FC236}">
                  <a16:creationId xmlns:a16="http://schemas.microsoft.com/office/drawing/2014/main" id="{947B1D40-B31A-264E-B368-90343159B654}"/>
                </a:ext>
              </a:extLst>
            </xdr14:cNvPr>
            <xdr14:cNvContentPartPr/>
          </xdr14:nvContentPartPr>
          <xdr14:nvPr macro=""/>
          <xdr14:xfrm>
            <a:off x="12866040" y="1243440"/>
            <a:ext cx="360" cy="360"/>
          </xdr14:xfrm>
        </xdr:contentPart>
      </mc:Choice>
      <mc:Fallback xmlns="">
        <xdr:pic>
          <xdr:nvPicPr>
            <xdr:cNvPr id="723" name="Ink 722">
              <a:extLst>
                <a:ext uri="{FF2B5EF4-FFF2-40B4-BE49-F238E27FC236}">
                  <a16:creationId xmlns:a16="http://schemas.microsoft.com/office/drawing/2014/main" id="{947B1D40-B31A-264E-B368-90343159B65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4">
          <xdr14:nvContentPartPr>
            <xdr14:cNvPr id="724" name="Ink 723">
              <a:extLst>
                <a:ext uri="{FF2B5EF4-FFF2-40B4-BE49-F238E27FC236}">
                  <a16:creationId xmlns:a16="http://schemas.microsoft.com/office/drawing/2014/main" id="{0E215210-91CD-8D45-8BA3-5EB6F089A696}"/>
                </a:ext>
              </a:extLst>
            </xdr14:cNvPr>
            <xdr14:cNvContentPartPr/>
          </xdr14:nvContentPartPr>
          <xdr14:nvPr macro=""/>
          <xdr14:xfrm>
            <a:off x="12973680" y="1366560"/>
            <a:ext cx="360" cy="360"/>
          </xdr14:xfrm>
        </xdr:contentPart>
      </mc:Choice>
      <mc:Fallback xmlns="">
        <xdr:pic>
          <xdr:nvPicPr>
            <xdr:cNvPr id="724" name="Ink 723">
              <a:extLst>
                <a:ext uri="{FF2B5EF4-FFF2-40B4-BE49-F238E27FC236}">
                  <a16:creationId xmlns:a16="http://schemas.microsoft.com/office/drawing/2014/main" id="{0E215210-91CD-8D45-8BA3-5EB6F089A69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5">
          <xdr14:nvContentPartPr>
            <xdr14:cNvPr id="725" name="Ink 724">
              <a:extLst>
                <a:ext uri="{FF2B5EF4-FFF2-40B4-BE49-F238E27FC236}">
                  <a16:creationId xmlns:a16="http://schemas.microsoft.com/office/drawing/2014/main" id="{DBF968C2-27D9-8346-835C-449F90662EC8}"/>
                </a:ext>
              </a:extLst>
            </xdr14:cNvPr>
            <xdr14:cNvContentPartPr/>
          </xdr14:nvContentPartPr>
          <xdr14:nvPr macro=""/>
          <xdr14:xfrm>
            <a:off x="12846960" y="1192320"/>
            <a:ext cx="360" cy="360"/>
          </xdr14:xfrm>
        </xdr:contentPart>
      </mc:Choice>
      <mc:Fallback xmlns="">
        <xdr:pic>
          <xdr:nvPicPr>
            <xdr:cNvPr id="725" name="Ink 724">
              <a:extLst>
                <a:ext uri="{FF2B5EF4-FFF2-40B4-BE49-F238E27FC236}">
                  <a16:creationId xmlns:a16="http://schemas.microsoft.com/office/drawing/2014/main" id="{DBF968C2-27D9-8346-835C-449F90662EC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6">
          <xdr14:nvContentPartPr>
            <xdr14:cNvPr id="726" name="Ink 725">
              <a:extLst>
                <a:ext uri="{FF2B5EF4-FFF2-40B4-BE49-F238E27FC236}">
                  <a16:creationId xmlns:a16="http://schemas.microsoft.com/office/drawing/2014/main" id="{5708E0A3-80F4-6749-8D17-29279529193A}"/>
                </a:ext>
              </a:extLst>
            </xdr14:cNvPr>
            <xdr14:cNvContentPartPr/>
          </xdr14:nvContentPartPr>
          <xdr14:nvPr macro=""/>
          <xdr14:xfrm>
            <a:off x="12866040" y="1243440"/>
            <a:ext cx="360" cy="360"/>
          </xdr14:xfrm>
        </xdr:contentPart>
      </mc:Choice>
      <mc:Fallback xmlns="">
        <xdr:pic>
          <xdr:nvPicPr>
            <xdr:cNvPr id="726" name="Ink 725">
              <a:extLst>
                <a:ext uri="{FF2B5EF4-FFF2-40B4-BE49-F238E27FC236}">
                  <a16:creationId xmlns:a16="http://schemas.microsoft.com/office/drawing/2014/main" id="{5708E0A3-80F4-6749-8D17-29279529193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7">
          <xdr14:nvContentPartPr>
            <xdr14:cNvPr id="727" name="Ink 726">
              <a:extLst>
                <a:ext uri="{FF2B5EF4-FFF2-40B4-BE49-F238E27FC236}">
                  <a16:creationId xmlns:a16="http://schemas.microsoft.com/office/drawing/2014/main" id="{1A854F4E-7D2B-CD40-9F3D-88EF942D9030}"/>
                </a:ext>
              </a:extLst>
            </xdr14:cNvPr>
            <xdr14:cNvContentPartPr/>
          </xdr14:nvContentPartPr>
          <xdr14:nvPr macro=""/>
          <xdr14:xfrm>
            <a:off x="12973680" y="1366560"/>
            <a:ext cx="360" cy="360"/>
          </xdr14:xfrm>
        </xdr:contentPart>
      </mc:Choice>
      <mc:Fallback xmlns="">
        <xdr:pic>
          <xdr:nvPicPr>
            <xdr:cNvPr id="727" name="Ink 726">
              <a:extLst>
                <a:ext uri="{FF2B5EF4-FFF2-40B4-BE49-F238E27FC236}">
                  <a16:creationId xmlns:a16="http://schemas.microsoft.com/office/drawing/2014/main" id="{1A854F4E-7D2B-CD40-9F3D-88EF942D903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8">
          <xdr14:nvContentPartPr>
            <xdr14:cNvPr id="728" name="Ink 727">
              <a:extLst>
                <a:ext uri="{FF2B5EF4-FFF2-40B4-BE49-F238E27FC236}">
                  <a16:creationId xmlns:a16="http://schemas.microsoft.com/office/drawing/2014/main" id="{397944F0-6393-394F-8180-22481B2DECCB}"/>
                </a:ext>
              </a:extLst>
            </xdr14:cNvPr>
            <xdr14:cNvContentPartPr/>
          </xdr14:nvContentPartPr>
          <xdr14:nvPr macro=""/>
          <xdr14:xfrm>
            <a:off x="12846960" y="1192320"/>
            <a:ext cx="360" cy="360"/>
          </xdr14:xfrm>
        </xdr:contentPart>
      </mc:Choice>
      <mc:Fallback xmlns="">
        <xdr:pic>
          <xdr:nvPicPr>
            <xdr:cNvPr id="728" name="Ink 727">
              <a:extLst>
                <a:ext uri="{FF2B5EF4-FFF2-40B4-BE49-F238E27FC236}">
                  <a16:creationId xmlns:a16="http://schemas.microsoft.com/office/drawing/2014/main" id="{397944F0-6393-394F-8180-22481B2DECC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29">
          <xdr14:nvContentPartPr>
            <xdr14:cNvPr id="729" name="Ink 728">
              <a:extLst>
                <a:ext uri="{FF2B5EF4-FFF2-40B4-BE49-F238E27FC236}">
                  <a16:creationId xmlns:a16="http://schemas.microsoft.com/office/drawing/2014/main" id="{7F607502-890A-7D43-BA58-8BE1320EB65C}"/>
                </a:ext>
              </a:extLst>
            </xdr14:cNvPr>
            <xdr14:cNvContentPartPr/>
          </xdr14:nvContentPartPr>
          <xdr14:nvPr macro=""/>
          <xdr14:xfrm>
            <a:off x="12866040" y="1243440"/>
            <a:ext cx="360" cy="360"/>
          </xdr14:xfrm>
        </xdr:contentPart>
      </mc:Choice>
      <mc:Fallback xmlns="">
        <xdr:pic>
          <xdr:nvPicPr>
            <xdr:cNvPr id="729" name="Ink 728">
              <a:extLst>
                <a:ext uri="{FF2B5EF4-FFF2-40B4-BE49-F238E27FC236}">
                  <a16:creationId xmlns:a16="http://schemas.microsoft.com/office/drawing/2014/main" id="{7F607502-890A-7D43-BA58-8BE1320EB65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0">
          <xdr14:nvContentPartPr>
            <xdr14:cNvPr id="730" name="Ink 729">
              <a:extLst>
                <a:ext uri="{FF2B5EF4-FFF2-40B4-BE49-F238E27FC236}">
                  <a16:creationId xmlns:a16="http://schemas.microsoft.com/office/drawing/2014/main" id="{DB0297E4-487E-BB43-B8C6-AF42EFEB1589}"/>
                </a:ext>
              </a:extLst>
            </xdr14:cNvPr>
            <xdr14:cNvContentPartPr/>
          </xdr14:nvContentPartPr>
          <xdr14:nvPr macro=""/>
          <xdr14:xfrm>
            <a:off x="12973680" y="1366560"/>
            <a:ext cx="360" cy="360"/>
          </xdr14:xfrm>
        </xdr:contentPart>
      </mc:Choice>
      <mc:Fallback xmlns="">
        <xdr:pic>
          <xdr:nvPicPr>
            <xdr:cNvPr id="730" name="Ink 729">
              <a:extLst>
                <a:ext uri="{FF2B5EF4-FFF2-40B4-BE49-F238E27FC236}">
                  <a16:creationId xmlns:a16="http://schemas.microsoft.com/office/drawing/2014/main" id="{DB0297E4-487E-BB43-B8C6-AF42EFEB158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1">
          <xdr14:nvContentPartPr>
            <xdr14:cNvPr id="731" name="Ink 730">
              <a:extLst>
                <a:ext uri="{FF2B5EF4-FFF2-40B4-BE49-F238E27FC236}">
                  <a16:creationId xmlns:a16="http://schemas.microsoft.com/office/drawing/2014/main" id="{8C42B5B6-8002-D945-A2B2-2919C3C45D0A}"/>
                </a:ext>
              </a:extLst>
            </xdr14:cNvPr>
            <xdr14:cNvContentPartPr/>
          </xdr14:nvContentPartPr>
          <xdr14:nvPr macro=""/>
          <xdr14:xfrm>
            <a:off x="12846960" y="1192320"/>
            <a:ext cx="360" cy="360"/>
          </xdr14:xfrm>
        </xdr:contentPart>
      </mc:Choice>
      <mc:Fallback xmlns="">
        <xdr:pic>
          <xdr:nvPicPr>
            <xdr:cNvPr id="731" name="Ink 730">
              <a:extLst>
                <a:ext uri="{FF2B5EF4-FFF2-40B4-BE49-F238E27FC236}">
                  <a16:creationId xmlns:a16="http://schemas.microsoft.com/office/drawing/2014/main" id="{8C42B5B6-8002-D945-A2B2-2919C3C45D0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2">
          <xdr14:nvContentPartPr>
            <xdr14:cNvPr id="732" name="Ink 731">
              <a:extLst>
                <a:ext uri="{FF2B5EF4-FFF2-40B4-BE49-F238E27FC236}">
                  <a16:creationId xmlns:a16="http://schemas.microsoft.com/office/drawing/2014/main" id="{FB2BA814-C4BC-664A-A046-9BA0395DEBCA}"/>
                </a:ext>
              </a:extLst>
            </xdr14:cNvPr>
            <xdr14:cNvContentPartPr/>
          </xdr14:nvContentPartPr>
          <xdr14:nvPr macro=""/>
          <xdr14:xfrm>
            <a:off x="12866040" y="1243440"/>
            <a:ext cx="360" cy="360"/>
          </xdr14:xfrm>
        </xdr:contentPart>
      </mc:Choice>
      <mc:Fallback xmlns="">
        <xdr:pic>
          <xdr:nvPicPr>
            <xdr:cNvPr id="732" name="Ink 731">
              <a:extLst>
                <a:ext uri="{FF2B5EF4-FFF2-40B4-BE49-F238E27FC236}">
                  <a16:creationId xmlns:a16="http://schemas.microsoft.com/office/drawing/2014/main" id="{FB2BA814-C4BC-664A-A046-9BA0395DEBC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3">
          <xdr14:nvContentPartPr>
            <xdr14:cNvPr id="733" name="Ink 732">
              <a:extLst>
                <a:ext uri="{FF2B5EF4-FFF2-40B4-BE49-F238E27FC236}">
                  <a16:creationId xmlns:a16="http://schemas.microsoft.com/office/drawing/2014/main" id="{BA802EA2-BB68-A542-A4E4-3CBF36EAA412}"/>
                </a:ext>
              </a:extLst>
            </xdr14:cNvPr>
            <xdr14:cNvContentPartPr/>
          </xdr14:nvContentPartPr>
          <xdr14:nvPr macro=""/>
          <xdr14:xfrm>
            <a:off x="12973680" y="1366560"/>
            <a:ext cx="360" cy="360"/>
          </xdr14:xfrm>
        </xdr:contentPart>
      </mc:Choice>
      <mc:Fallback xmlns="">
        <xdr:pic>
          <xdr:nvPicPr>
            <xdr:cNvPr id="733" name="Ink 732">
              <a:extLst>
                <a:ext uri="{FF2B5EF4-FFF2-40B4-BE49-F238E27FC236}">
                  <a16:creationId xmlns:a16="http://schemas.microsoft.com/office/drawing/2014/main" id="{BA802EA2-BB68-A542-A4E4-3CBF36EAA41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4">
          <xdr14:nvContentPartPr>
            <xdr14:cNvPr id="734" name="Ink 733">
              <a:extLst>
                <a:ext uri="{FF2B5EF4-FFF2-40B4-BE49-F238E27FC236}">
                  <a16:creationId xmlns:a16="http://schemas.microsoft.com/office/drawing/2014/main" id="{A15CA0EB-2A81-A442-9FC6-6E9709AFF877}"/>
                </a:ext>
              </a:extLst>
            </xdr14:cNvPr>
            <xdr14:cNvContentPartPr/>
          </xdr14:nvContentPartPr>
          <xdr14:nvPr macro=""/>
          <xdr14:xfrm>
            <a:off x="12846960" y="1192320"/>
            <a:ext cx="360" cy="360"/>
          </xdr14:xfrm>
        </xdr:contentPart>
      </mc:Choice>
      <mc:Fallback xmlns="">
        <xdr:pic>
          <xdr:nvPicPr>
            <xdr:cNvPr id="734" name="Ink 733">
              <a:extLst>
                <a:ext uri="{FF2B5EF4-FFF2-40B4-BE49-F238E27FC236}">
                  <a16:creationId xmlns:a16="http://schemas.microsoft.com/office/drawing/2014/main" id="{A15CA0EB-2A81-A442-9FC6-6E9709AFF87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5">
          <xdr14:nvContentPartPr>
            <xdr14:cNvPr id="735" name="Ink 734">
              <a:extLst>
                <a:ext uri="{FF2B5EF4-FFF2-40B4-BE49-F238E27FC236}">
                  <a16:creationId xmlns:a16="http://schemas.microsoft.com/office/drawing/2014/main" id="{9F5486C0-47F1-3D43-853D-6586595655B1}"/>
                </a:ext>
              </a:extLst>
            </xdr14:cNvPr>
            <xdr14:cNvContentPartPr/>
          </xdr14:nvContentPartPr>
          <xdr14:nvPr macro=""/>
          <xdr14:xfrm>
            <a:off x="12866040" y="1243440"/>
            <a:ext cx="360" cy="360"/>
          </xdr14:xfrm>
        </xdr:contentPart>
      </mc:Choice>
      <mc:Fallback xmlns="">
        <xdr:pic>
          <xdr:nvPicPr>
            <xdr:cNvPr id="735" name="Ink 734">
              <a:extLst>
                <a:ext uri="{FF2B5EF4-FFF2-40B4-BE49-F238E27FC236}">
                  <a16:creationId xmlns:a16="http://schemas.microsoft.com/office/drawing/2014/main" id="{9F5486C0-47F1-3D43-853D-6586595655B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6">
          <xdr14:nvContentPartPr>
            <xdr14:cNvPr id="736" name="Ink 735">
              <a:extLst>
                <a:ext uri="{FF2B5EF4-FFF2-40B4-BE49-F238E27FC236}">
                  <a16:creationId xmlns:a16="http://schemas.microsoft.com/office/drawing/2014/main" id="{069A5401-B856-4F4D-AB4C-488D0E61F92D}"/>
                </a:ext>
              </a:extLst>
            </xdr14:cNvPr>
            <xdr14:cNvContentPartPr/>
          </xdr14:nvContentPartPr>
          <xdr14:nvPr macro=""/>
          <xdr14:xfrm>
            <a:off x="12973680" y="1366560"/>
            <a:ext cx="360" cy="360"/>
          </xdr14:xfrm>
        </xdr:contentPart>
      </mc:Choice>
      <mc:Fallback xmlns="">
        <xdr:pic>
          <xdr:nvPicPr>
            <xdr:cNvPr id="736" name="Ink 735">
              <a:extLst>
                <a:ext uri="{FF2B5EF4-FFF2-40B4-BE49-F238E27FC236}">
                  <a16:creationId xmlns:a16="http://schemas.microsoft.com/office/drawing/2014/main" id="{069A5401-B856-4F4D-AB4C-488D0E61F92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59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7">
          <xdr14:nvContentPartPr>
            <xdr14:cNvPr id="737" name="Ink 736">
              <a:extLst>
                <a:ext uri="{FF2B5EF4-FFF2-40B4-BE49-F238E27FC236}">
                  <a16:creationId xmlns:a16="http://schemas.microsoft.com/office/drawing/2014/main" id="{5F30FE4A-6061-774C-B232-886CD2ACE5B1}"/>
                </a:ext>
              </a:extLst>
            </xdr14:cNvPr>
            <xdr14:cNvContentPartPr/>
          </xdr14:nvContentPartPr>
          <xdr14:nvPr macro=""/>
          <xdr14:xfrm>
            <a:off x="12846960" y="1192320"/>
            <a:ext cx="360" cy="360"/>
          </xdr14:xfrm>
        </xdr:contentPart>
      </mc:Choice>
      <mc:Fallback xmlns="">
        <xdr:pic>
          <xdr:nvPicPr>
            <xdr:cNvPr id="737" name="Ink 736">
              <a:extLst>
                <a:ext uri="{FF2B5EF4-FFF2-40B4-BE49-F238E27FC236}">
                  <a16:creationId xmlns:a16="http://schemas.microsoft.com/office/drawing/2014/main" id="{5F30FE4A-6061-774C-B232-886CD2ACE5B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59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8">
          <xdr14:nvContentPartPr>
            <xdr14:cNvPr id="738" name="Ink 737">
              <a:extLst>
                <a:ext uri="{FF2B5EF4-FFF2-40B4-BE49-F238E27FC236}">
                  <a16:creationId xmlns:a16="http://schemas.microsoft.com/office/drawing/2014/main" id="{2510F34C-D655-C84C-AAE6-97A616F18750}"/>
                </a:ext>
              </a:extLst>
            </xdr14:cNvPr>
            <xdr14:cNvContentPartPr/>
          </xdr14:nvContentPartPr>
          <xdr14:nvPr macro=""/>
          <xdr14:xfrm>
            <a:off x="12866040" y="1243440"/>
            <a:ext cx="360" cy="360"/>
          </xdr14:xfrm>
        </xdr:contentPart>
      </mc:Choice>
      <mc:Fallback xmlns="">
        <xdr:pic>
          <xdr:nvPicPr>
            <xdr:cNvPr id="738" name="Ink 737">
              <a:extLst>
                <a:ext uri="{FF2B5EF4-FFF2-40B4-BE49-F238E27FC236}">
                  <a16:creationId xmlns:a16="http://schemas.microsoft.com/office/drawing/2014/main" id="{2510F34C-D655-C84C-AAE6-97A616F1875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59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39">
          <xdr14:nvContentPartPr>
            <xdr14:cNvPr id="739" name="Ink 738">
              <a:extLst>
                <a:ext uri="{FF2B5EF4-FFF2-40B4-BE49-F238E27FC236}">
                  <a16:creationId xmlns:a16="http://schemas.microsoft.com/office/drawing/2014/main" id="{31CA814D-C6F5-C248-BBC4-643061B9B47A}"/>
                </a:ext>
              </a:extLst>
            </xdr14:cNvPr>
            <xdr14:cNvContentPartPr/>
          </xdr14:nvContentPartPr>
          <xdr14:nvPr macro=""/>
          <xdr14:xfrm>
            <a:off x="12973680" y="1366560"/>
            <a:ext cx="360" cy="360"/>
          </xdr14:xfrm>
        </xdr:contentPart>
      </mc:Choice>
      <mc:Fallback xmlns="">
        <xdr:pic>
          <xdr:nvPicPr>
            <xdr:cNvPr id="739" name="Ink 738">
              <a:extLst>
                <a:ext uri="{FF2B5EF4-FFF2-40B4-BE49-F238E27FC236}">
                  <a16:creationId xmlns:a16="http://schemas.microsoft.com/office/drawing/2014/main" id="{31CA814D-C6F5-C248-BBC4-643061B9B47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0">
          <xdr14:nvContentPartPr>
            <xdr14:cNvPr id="740" name="Ink 739">
              <a:extLst>
                <a:ext uri="{FF2B5EF4-FFF2-40B4-BE49-F238E27FC236}">
                  <a16:creationId xmlns:a16="http://schemas.microsoft.com/office/drawing/2014/main" id="{1C010527-CE05-6B4C-AA8D-BE80DF048161}"/>
                </a:ext>
              </a:extLst>
            </xdr14:cNvPr>
            <xdr14:cNvContentPartPr/>
          </xdr14:nvContentPartPr>
          <xdr14:nvPr macro=""/>
          <xdr14:xfrm>
            <a:off x="12846960" y="1192320"/>
            <a:ext cx="360" cy="360"/>
          </xdr14:xfrm>
        </xdr:contentPart>
      </mc:Choice>
      <mc:Fallback xmlns="">
        <xdr:pic>
          <xdr:nvPicPr>
            <xdr:cNvPr id="740" name="Ink 739">
              <a:extLst>
                <a:ext uri="{FF2B5EF4-FFF2-40B4-BE49-F238E27FC236}">
                  <a16:creationId xmlns:a16="http://schemas.microsoft.com/office/drawing/2014/main" id="{1C010527-CE05-6B4C-AA8D-BE80DF04816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1">
          <xdr14:nvContentPartPr>
            <xdr14:cNvPr id="741" name="Ink 740">
              <a:extLst>
                <a:ext uri="{FF2B5EF4-FFF2-40B4-BE49-F238E27FC236}">
                  <a16:creationId xmlns:a16="http://schemas.microsoft.com/office/drawing/2014/main" id="{4E21E408-4FE5-7443-9FB6-EEF20E9A0AC1}"/>
                </a:ext>
              </a:extLst>
            </xdr14:cNvPr>
            <xdr14:cNvContentPartPr/>
          </xdr14:nvContentPartPr>
          <xdr14:nvPr macro=""/>
          <xdr14:xfrm>
            <a:off x="12866040" y="1243440"/>
            <a:ext cx="360" cy="360"/>
          </xdr14:xfrm>
        </xdr:contentPart>
      </mc:Choice>
      <mc:Fallback xmlns="">
        <xdr:pic>
          <xdr:nvPicPr>
            <xdr:cNvPr id="741" name="Ink 740">
              <a:extLst>
                <a:ext uri="{FF2B5EF4-FFF2-40B4-BE49-F238E27FC236}">
                  <a16:creationId xmlns:a16="http://schemas.microsoft.com/office/drawing/2014/main" id="{4E21E408-4FE5-7443-9FB6-EEF20E9A0AC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2">
          <xdr14:nvContentPartPr>
            <xdr14:cNvPr id="742" name="Ink 741">
              <a:extLst>
                <a:ext uri="{FF2B5EF4-FFF2-40B4-BE49-F238E27FC236}">
                  <a16:creationId xmlns:a16="http://schemas.microsoft.com/office/drawing/2014/main" id="{1997C970-6845-C647-A51D-2926C9E664F1}"/>
                </a:ext>
              </a:extLst>
            </xdr14:cNvPr>
            <xdr14:cNvContentPartPr/>
          </xdr14:nvContentPartPr>
          <xdr14:nvPr macro=""/>
          <xdr14:xfrm>
            <a:off x="12973680" y="1366560"/>
            <a:ext cx="360" cy="360"/>
          </xdr14:xfrm>
        </xdr:contentPart>
      </mc:Choice>
      <mc:Fallback xmlns="">
        <xdr:pic>
          <xdr:nvPicPr>
            <xdr:cNvPr id="742" name="Ink 741">
              <a:extLst>
                <a:ext uri="{FF2B5EF4-FFF2-40B4-BE49-F238E27FC236}">
                  <a16:creationId xmlns:a16="http://schemas.microsoft.com/office/drawing/2014/main" id="{1997C970-6845-C647-A51D-2926C9E664F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3">
          <xdr14:nvContentPartPr>
            <xdr14:cNvPr id="743" name="Ink 742">
              <a:extLst>
                <a:ext uri="{FF2B5EF4-FFF2-40B4-BE49-F238E27FC236}">
                  <a16:creationId xmlns:a16="http://schemas.microsoft.com/office/drawing/2014/main" id="{FA40115D-A8D6-0D4B-98C3-E70AD10CB190}"/>
                </a:ext>
              </a:extLst>
            </xdr14:cNvPr>
            <xdr14:cNvContentPartPr/>
          </xdr14:nvContentPartPr>
          <xdr14:nvPr macro=""/>
          <xdr14:xfrm>
            <a:off x="12846960" y="1192320"/>
            <a:ext cx="360" cy="360"/>
          </xdr14:xfrm>
        </xdr:contentPart>
      </mc:Choice>
      <mc:Fallback xmlns="">
        <xdr:pic>
          <xdr:nvPicPr>
            <xdr:cNvPr id="743" name="Ink 742">
              <a:extLst>
                <a:ext uri="{FF2B5EF4-FFF2-40B4-BE49-F238E27FC236}">
                  <a16:creationId xmlns:a16="http://schemas.microsoft.com/office/drawing/2014/main" id="{FA40115D-A8D6-0D4B-98C3-E70AD10CB19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4">
          <xdr14:nvContentPartPr>
            <xdr14:cNvPr id="744" name="Ink 743">
              <a:extLst>
                <a:ext uri="{FF2B5EF4-FFF2-40B4-BE49-F238E27FC236}">
                  <a16:creationId xmlns:a16="http://schemas.microsoft.com/office/drawing/2014/main" id="{D56E05D4-0B56-A74C-AB7D-64278E72B3DB}"/>
                </a:ext>
              </a:extLst>
            </xdr14:cNvPr>
            <xdr14:cNvContentPartPr/>
          </xdr14:nvContentPartPr>
          <xdr14:nvPr macro=""/>
          <xdr14:xfrm>
            <a:off x="12866040" y="1243440"/>
            <a:ext cx="360" cy="360"/>
          </xdr14:xfrm>
        </xdr:contentPart>
      </mc:Choice>
      <mc:Fallback xmlns="">
        <xdr:pic>
          <xdr:nvPicPr>
            <xdr:cNvPr id="744" name="Ink 743">
              <a:extLst>
                <a:ext uri="{FF2B5EF4-FFF2-40B4-BE49-F238E27FC236}">
                  <a16:creationId xmlns:a16="http://schemas.microsoft.com/office/drawing/2014/main" id="{D56E05D4-0B56-A74C-AB7D-64278E72B3D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5">
          <xdr14:nvContentPartPr>
            <xdr14:cNvPr id="745" name="Ink 744">
              <a:extLst>
                <a:ext uri="{FF2B5EF4-FFF2-40B4-BE49-F238E27FC236}">
                  <a16:creationId xmlns:a16="http://schemas.microsoft.com/office/drawing/2014/main" id="{19CC79E5-3A42-DB43-8574-BE19E8FCE425}"/>
                </a:ext>
              </a:extLst>
            </xdr14:cNvPr>
            <xdr14:cNvContentPartPr/>
          </xdr14:nvContentPartPr>
          <xdr14:nvPr macro=""/>
          <xdr14:xfrm>
            <a:off x="12973680" y="1366560"/>
            <a:ext cx="360" cy="360"/>
          </xdr14:xfrm>
        </xdr:contentPart>
      </mc:Choice>
      <mc:Fallback xmlns="">
        <xdr:pic>
          <xdr:nvPicPr>
            <xdr:cNvPr id="745" name="Ink 744">
              <a:extLst>
                <a:ext uri="{FF2B5EF4-FFF2-40B4-BE49-F238E27FC236}">
                  <a16:creationId xmlns:a16="http://schemas.microsoft.com/office/drawing/2014/main" id="{19CC79E5-3A42-DB43-8574-BE19E8FCE42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6">
          <xdr14:nvContentPartPr>
            <xdr14:cNvPr id="746" name="Ink 745">
              <a:extLst>
                <a:ext uri="{FF2B5EF4-FFF2-40B4-BE49-F238E27FC236}">
                  <a16:creationId xmlns:a16="http://schemas.microsoft.com/office/drawing/2014/main" id="{22E7B7E1-8A4C-2C43-881B-0DC3ADA1CF61}"/>
                </a:ext>
              </a:extLst>
            </xdr14:cNvPr>
            <xdr14:cNvContentPartPr/>
          </xdr14:nvContentPartPr>
          <xdr14:nvPr macro=""/>
          <xdr14:xfrm>
            <a:off x="12846960" y="1192320"/>
            <a:ext cx="360" cy="360"/>
          </xdr14:xfrm>
        </xdr:contentPart>
      </mc:Choice>
      <mc:Fallback xmlns="">
        <xdr:pic>
          <xdr:nvPicPr>
            <xdr:cNvPr id="746" name="Ink 745">
              <a:extLst>
                <a:ext uri="{FF2B5EF4-FFF2-40B4-BE49-F238E27FC236}">
                  <a16:creationId xmlns:a16="http://schemas.microsoft.com/office/drawing/2014/main" id="{22E7B7E1-8A4C-2C43-881B-0DC3ADA1CF6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7">
          <xdr14:nvContentPartPr>
            <xdr14:cNvPr id="747" name="Ink 746">
              <a:extLst>
                <a:ext uri="{FF2B5EF4-FFF2-40B4-BE49-F238E27FC236}">
                  <a16:creationId xmlns:a16="http://schemas.microsoft.com/office/drawing/2014/main" id="{5FC16A8C-7930-534D-8BDC-37A084DA1FF0}"/>
                </a:ext>
              </a:extLst>
            </xdr14:cNvPr>
            <xdr14:cNvContentPartPr/>
          </xdr14:nvContentPartPr>
          <xdr14:nvPr macro=""/>
          <xdr14:xfrm>
            <a:off x="12866040" y="1243440"/>
            <a:ext cx="360" cy="360"/>
          </xdr14:xfrm>
        </xdr:contentPart>
      </mc:Choice>
      <mc:Fallback xmlns="">
        <xdr:pic>
          <xdr:nvPicPr>
            <xdr:cNvPr id="747" name="Ink 746">
              <a:extLst>
                <a:ext uri="{FF2B5EF4-FFF2-40B4-BE49-F238E27FC236}">
                  <a16:creationId xmlns:a16="http://schemas.microsoft.com/office/drawing/2014/main" id="{5FC16A8C-7930-534D-8BDC-37A084DA1FF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8">
          <xdr14:nvContentPartPr>
            <xdr14:cNvPr id="748" name="Ink 747">
              <a:extLst>
                <a:ext uri="{FF2B5EF4-FFF2-40B4-BE49-F238E27FC236}">
                  <a16:creationId xmlns:a16="http://schemas.microsoft.com/office/drawing/2014/main" id="{607F7612-6D6C-974D-9C8F-A6CC3158F0BF}"/>
                </a:ext>
              </a:extLst>
            </xdr14:cNvPr>
            <xdr14:cNvContentPartPr/>
          </xdr14:nvContentPartPr>
          <xdr14:nvPr macro=""/>
          <xdr14:xfrm>
            <a:off x="12973680" y="1366560"/>
            <a:ext cx="360" cy="360"/>
          </xdr14:xfrm>
        </xdr:contentPart>
      </mc:Choice>
      <mc:Fallback xmlns="">
        <xdr:pic>
          <xdr:nvPicPr>
            <xdr:cNvPr id="748" name="Ink 747">
              <a:extLst>
                <a:ext uri="{FF2B5EF4-FFF2-40B4-BE49-F238E27FC236}">
                  <a16:creationId xmlns:a16="http://schemas.microsoft.com/office/drawing/2014/main" id="{607F7612-6D6C-974D-9C8F-A6CC3158F0B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49">
          <xdr14:nvContentPartPr>
            <xdr14:cNvPr id="749" name="Ink 748">
              <a:extLst>
                <a:ext uri="{FF2B5EF4-FFF2-40B4-BE49-F238E27FC236}">
                  <a16:creationId xmlns:a16="http://schemas.microsoft.com/office/drawing/2014/main" id="{3CF28079-4BB8-2C42-80D2-164E6DD89774}"/>
                </a:ext>
              </a:extLst>
            </xdr14:cNvPr>
            <xdr14:cNvContentPartPr/>
          </xdr14:nvContentPartPr>
          <xdr14:nvPr macro=""/>
          <xdr14:xfrm>
            <a:off x="12846960" y="1192320"/>
            <a:ext cx="360" cy="360"/>
          </xdr14:xfrm>
        </xdr:contentPart>
      </mc:Choice>
      <mc:Fallback xmlns="">
        <xdr:pic>
          <xdr:nvPicPr>
            <xdr:cNvPr id="749" name="Ink 748">
              <a:extLst>
                <a:ext uri="{FF2B5EF4-FFF2-40B4-BE49-F238E27FC236}">
                  <a16:creationId xmlns:a16="http://schemas.microsoft.com/office/drawing/2014/main" id="{3CF28079-4BB8-2C42-80D2-164E6DD8977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0">
          <xdr14:nvContentPartPr>
            <xdr14:cNvPr id="750" name="Ink 749">
              <a:extLst>
                <a:ext uri="{FF2B5EF4-FFF2-40B4-BE49-F238E27FC236}">
                  <a16:creationId xmlns:a16="http://schemas.microsoft.com/office/drawing/2014/main" id="{E832263C-F8A4-6A41-B1C7-926BFE66DA6D}"/>
                </a:ext>
              </a:extLst>
            </xdr14:cNvPr>
            <xdr14:cNvContentPartPr/>
          </xdr14:nvContentPartPr>
          <xdr14:nvPr macro=""/>
          <xdr14:xfrm>
            <a:off x="12866040" y="1243440"/>
            <a:ext cx="360" cy="360"/>
          </xdr14:xfrm>
        </xdr:contentPart>
      </mc:Choice>
      <mc:Fallback xmlns="">
        <xdr:pic>
          <xdr:nvPicPr>
            <xdr:cNvPr id="750" name="Ink 749">
              <a:extLst>
                <a:ext uri="{FF2B5EF4-FFF2-40B4-BE49-F238E27FC236}">
                  <a16:creationId xmlns:a16="http://schemas.microsoft.com/office/drawing/2014/main" id="{E832263C-F8A4-6A41-B1C7-926BFE66DA6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1">
          <xdr14:nvContentPartPr>
            <xdr14:cNvPr id="751" name="Ink 750">
              <a:extLst>
                <a:ext uri="{FF2B5EF4-FFF2-40B4-BE49-F238E27FC236}">
                  <a16:creationId xmlns:a16="http://schemas.microsoft.com/office/drawing/2014/main" id="{2E688116-BDEA-5641-A118-210CF8C43BDE}"/>
                </a:ext>
              </a:extLst>
            </xdr14:cNvPr>
            <xdr14:cNvContentPartPr/>
          </xdr14:nvContentPartPr>
          <xdr14:nvPr macro=""/>
          <xdr14:xfrm>
            <a:off x="12973680" y="1366560"/>
            <a:ext cx="360" cy="360"/>
          </xdr14:xfrm>
        </xdr:contentPart>
      </mc:Choice>
      <mc:Fallback xmlns="">
        <xdr:pic>
          <xdr:nvPicPr>
            <xdr:cNvPr id="751" name="Ink 750">
              <a:extLst>
                <a:ext uri="{FF2B5EF4-FFF2-40B4-BE49-F238E27FC236}">
                  <a16:creationId xmlns:a16="http://schemas.microsoft.com/office/drawing/2014/main" id="{2E688116-BDEA-5641-A118-210CF8C43BD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2">
          <xdr14:nvContentPartPr>
            <xdr14:cNvPr id="752" name="Ink 751">
              <a:extLst>
                <a:ext uri="{FF2B5EF4-FFF2-40B4-BE49-F238E27FC236}">
                  <a16:creationId xmlns:a16="http://schemas.microsoft.com/office/drawing/2014/main" id="{5D439923-0DBD-8B4D-A942-3551D7B8C35A}"/>
                </a:ext>
              </a:extLst>
            </xdr14:cNvPr>
            <xdr14:cNvContentPartPr/>
          </xdr14:nvContentPartPr>
          <xdr14:nvPr macro=""/>
          <xdr14:xfrm>
            <a:off x="12846960" y="1192320"/>
            <a:ext cx="360" cy="360"/>
          </xdr14:xfrm>
        </xdr:contentPart>
      </mc:Choice>
      <mc:Fallback xmlns="">
        <xdr:pic>
          <xdr:nvPicPr>
            <xdr:cNvPr id="752" name="Ink 751">
              <a:extLst>
                <a:ext uri="{FF2B5EF4-FFF2-40B4-BE49-F238E27FC236}">
                  <a16:creationId xmlns:a16="http://schemas.microsoft.com/office/drawing/2014/main" id="{5D439923-0DBD-8B4D-A942-3551D7B8C35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3">
          <xdr14:nvContentPartPr>
            <xdr14:cNvPr id="753" name="Ink 752">
              <a:extLst>
                <a:ext uri="{FF2B5EF4-FFF2-40B4-BE49-F238E27FC236}">
                  <a16:creationId xmlns:a16="http://schemas.microsoft.com/office/drawing/2014/main" id="{6A20D21D-862D-2745-9149-DA2D61FBDA73}"/>
                </a:ext>
              </a:extLst>
            </xdr14:cNvPr>
            <xdr14:cNvContentPartPr/>
          </xdr14:nvContentPartPr>
          <xdr14:nvPr macro=""/>
          <xdr14:xfrm>
            <a:off x="12866040" y="1243440"/>
            <a:ext cx="360" cy="360"/>
          </xdr14:xfrm>
        </xdr:contentPart>
      </mc:Choice>
      <mc:Fallback xmlns="">
        <xdr:pic>
          <xdr:nvPicPr>
            <xdr:cNvPr id="753" name="Ink 752">
              <a:extLst>
                <a:ext uri="{FF2B5EF4-FFF2-40B4-BE49-F238E27FC236}">
                  <a16:creationId xmlns:a16="http://schemas.microsoft.com/office/drawing/2014/main" id="{6A20D21D-862D-2745-9149-DA2D61FBDA7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4">
          <xdr14:nvContentPartPr>
            <xdr14:cNvPr id="754" name="Ink 753">
              <a:extLst>
                <a:ext uri="{FF2B5EF4-FFF2-40B4-BE49-F238E27FC236}">
                  <a16:creationId xmlns:a16="http://schemas.microsoft.com/office/drawing/2014/main" id="{820BBAAD-2046-4745-8E63-EDBE526F5A3B}"/>
                </a:ext>
              </a:extLst>
            </xdr14:cNvPr>
            <xdr14:cNvContentPartPr/>
          </xdr14:nvContentPartPr>
          <xdr14:nvPr macro=""/>
          <xdr14:xfrm>
            <a:off x="12973680" y="1366560"/>
            <a:ext cx="360" cy="360"/>
          </xdr14:xfrm>
        </xdr:contentPart>
      </mc:Choice>
      <mc:Fallback xmlns="">
        <xdr:pic>
          <xdr:nvPicPr>
            <xdr:cNvPr id="754" name="Ink 753">
              <a:extLst>
                <a:ext uri="{FF2B5EF4-FFF2-40B4-BE49-F238E27FC236}">
                  <a16:creationId xmlns:a16="http://schemas.microsoft.com/office/drawing/2014/main" id="{820BBAAD-2046-4745-8E63-EDBE526F5A3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5">
          <xdr14:nvContentPartPr>
            <xdr14:cNvPr id="755" name="Ink 754">
              <a:extLst>
                <a:ext uri="{FF2B5EF4-FFF2-40B4-BE49-F238E27FC236}">
                  <a16:creationId xmlns:a16="http://schemas.microsoft.com/office/drawing/2014/main" id="{B4B953F2-43C8-6342-80A2-AE3B129EC4C2}"/>
                </a:ext>
              </a:extLst>
            </xdr14:cNvPr>
            <xdr14:cNvContentPartPr/>
          </xdr14:nvContentPartPr>
          <xdr14:nvPr macro=""/>
          <xdr14:xfrm>
            <a:off x="12846960" y="1192320"/>
            <a:ext cx="360" cy="360"/>
          </xdr14:xfrm>
        </xdr:contentPart>
      </mc:Choice>
      <mc:Fallback xmlns="">
        <xdr:pic>
          <xdr:nvPicPr>
            <xdr:cNvPr id="755" name="Ink 754">
              <a:extLst>
                <a:ext uri="{FF2B5EF4-FFF2-40B4-BE49-F238E27FC236}">
                  <a16:creationId xmlns:a16="http://schemas.microsoft.com/office/drawing/2014/main" id="{B4B953F2-43C8-6342-80A2-AE3B129EC4C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6">
          <xdr14:nvContentPartPr>
            <xdr14:cNvPr id="756" name="Ink 755">
              <a:extLst>
                <a:ext uri="{FF2B5EF4-FFF2-40B4-BE49-F238E27FC236}">
                  <a16:creationId xmlns:a16="http://schemas.microsoft.com/office/drawing/2014/main" id="{99FDA98F-4DF9-F34D-B7C7-A5544356028F}"/>
                </a:ext>
              </a:extLst>
            </xdr14:cNvPr>
            <xdr14:cNvContentPartPr/>
          </xdr14:nvContentPartPr>
          <xdr14:nvPr macro=""/>
          <xdr14:xfrm>
            <a:off x="12866040" y="1243440"/>
            <a:ext cx="360" cy="360"/>
          </xdr14:xfrm>
        </xdr:contentPart>
      </mc:Choice>
      <mc:Fallback xmlns="">
        <xdr:pic>
          <xdr:nvPicPr>
            <xdr:cNvPr id="756" name="Ink 755">
              <a:extLst>
                <a:ext uri="{FF2B5EF4-FFF2-40B4-BE49-F238E27FC236}">
                  <a16:creationId xmlns:a16="http://schemas.microsoft.com/office/drawing/2014/main" id="{99FDA98F-4DF9-F34D-B7C7-A5544356028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7">
          <xdr14:nvContentPartPr>
            <xdr14:cNvPr id="757" name="Ink 756">
              <a:extLst>
                <a:ext uri="{FF2B5EF4-FFF2-40B4-BE49-F238E27FC236}">
                  <a16:creationId xmlns:a16="http://schemas.microsoft.com/office/drawing/2014/main" id="{19614AB2-627E-C443-BC21-95BFC03E67A1}"/>
                </a:ext>
              </a:extLst>
            </xdr14:cNvPr>
            <xdr14:cNvContentPartPr/>
          </xdr14:nvContentPartPr>
          <xdr14:nvPr macro=""/>
          <xdr14:xfrm>
            <a:off x="12973680" y="1366560"/>
            <a:ext cx="360" cy="360"/>
          </xdr14:xfrm>
        </xdr:contentPart>
      </mc:Choice>
      <mc:Fallback xmlns="">
        <xdr:pic>
          <xdr:nvPicPr>
            <xdr:cNvPr id="757" name="Ink 756">
              <a:extLst>
                <a:ext uri="{FF2B5EF4-FFF2-40B4-BE49-F238E27FC236}">
                  <a16:creationId xmlns:a16="http://schemas.microsoft.com/office/drawing/2014/main" id="{19614AB2-627E-C443-BC21-95BFC03E67A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8">
          <xdr14:nvContentPartPr>
            <xdr14:cNvPr id="758" name="Ink 757">
              <a:extLst>
                <a:ext uri="{FF2B5EF4-FFF2-40B4-BE49-F238E27FC236}">
                  <a16:creationId xmlns:a16="http://schemas.microsoft.com/office/drawing/2014/main" id="{89E89E9E-E9F4-E24E-8921-6B4AA7B40316}"/>
                </a:ext>
              </a:extLst>
            </xdr14:cNvPr>
            <xdr14:cNvContentPartPr/>
          </xdr14:nvContentPartPr>
          <xdr14:nvPr macro=""/>
          <xdr14:xfrm>
            <a:off x="12846960" y="1192320"/>
            <a:ext cx="360" cy="360"/>
          </xdr14:xfrm>
        </xdr:contentPart>
      </mc:Choice>
      <mc:Fallback xmlns="">
        <xdr:pic>
          <xdr:nvPicPr>
            <xdr:cNvPr id="758" name="Ink 757">
              <a:extLst>
                <a:ext uri="{FF2B5EF4-FFF2-40B4-BE49-F238E27FC236}">
                  <a16:creationId xmlns:a16="http://schemas.microsoft.com/office/drawing/2014/main" id="{89E89E9E-E9F4-E24E-8921-6B4AA7B4031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59">
          <xdr14:nvContentPartPr>
            <xdr14:cNvPr id="759" name="Ink 758">
              <a:extLst>
                <a:ext uri="{FF2B5EF4-FFF2-40B4-BE49-F238E27FC236}">
                  <a16:creationId xmlns:a16="http://schemas.microsoft.com/office/drawing/2014/main" id="{F85F541A-5A4A-6343-83ED-37CDA59738AE}"/>
                </a:ext>
              </a:extLst>
            </xdr14:cNvPr>
            <xdr14:cNvContentPartPr/>
          </xdr14:nvContentPartPr>
          <xdr14:nvPr macro=""/>
          <xdr14:xfrm>
            <a:off x="12866040" y="1243440"/>
            <a:ext cx="360" cy="360"/>
          </xdr14:xfrm>
        </xdr:contentPart>
      </mc:Choice>
      <mc:Fallback xmlns="">
        <xdr:pic>
          <xdr:nvPicPr>
            <xdr:cNvPr id="759" name="Ink 758">
              <a:extLst>
                <a:ext uri="{FF2B5EF4-FFF2-40B4-BE49-F238E27FC236}">
                  <a16:creationId xmlns:a16="http://schemas.microsoft.com/office/drawing/2014/main" id="{F85F541A-5A4A-6343-83ED-37CDA59738A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0">
          <xdr14:nvContentPartPr>
            <xdr14:cNvPr id="760" name="Ink 759">
              <a:extLst>
                <a:ext uri="{FF2B5EF4-FFF2-40B4-BE49-F238E27FC236}">
                  <a16:creationId xmlns:a16="http://schemas.microsoft.com/office/drawing/2014/main" id="{5369F3C8-AE5F-BF47-9D3C-DFC964E7FF44}"/>
                </a:ext>
              </a:extLst>
            </xdr14:cNvPr>
            <xdr14:cNvContentPartPr/>
          </xdr14:nvContentPartPr>
          <xdr14:nvPr macro=""/>
          <xdr14:xfrm>
            <a:off x="12973680" y="1366560"/>
            <a:ext cx="360" cy="360"/>
          </xdr14:xfrm>
        </xdr:contentPart>
      </mc:Choice>
      <mc:Fallback xmlns="">
        <xdr:pic>
          <xdr:nvPicPr>
            <xdr:cNvPr id="760" name="Ink 759">
              <a:extLst>
                <a:ext uri="{FF2B5EF4-FFF2-40B4-BE49-F238E27FC236}">
                  <a16:creationId xmlns:a16="http://schemas.microsoft.com/office/drawing/2014/main" id="{5369F3C8-AE5F-BF47-9D3C-DFC964E7FF4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1">
          <xdr14:nvContentPartPr>
            <xdr14:cNvPr id="761" name="Ink 760">
              <a:extLst>
                <a:ext uri="{FF2B5EF4-FFF2-40B4-BE49-F238E27FC236}">
                  <a16:creationId xmlns:a16="http://schemas.microsoft.com/office/drawing/2014/main" id="{2D98CBBF-0B01-CA46-9F97-953845010D3C}"/>
                </a:ext>
              </a:extLst>
            </xdr14:cNvPr>
            <xdr14:cNvContentPartPr/>
          </xdr14:nvContentPartPr>
          <xdr14:nvPr macro=""/>
          <xdr14:xfrm>
            <a:off x="12846960" y="1192320"/>
            <a:ext cx="360" cy="360"/>
          </xdr14:xfrm>
        </xdr:contentPart>
      </mc:Choice>
      <mc:Fallback xmlns="">
        <xdr:pic>
          <xdr:nvPicPr>
            <xdr:cNvPr id="761" name="Ink 760">
              <a:extLst>
                <a:ext uri="{FF2B5EF4-FFF2-40B4-BE49-F238E27FC236}">
                  <a16:creationId xmlns:a16="http://schemas.microsoft.com/office/drawing/2014/main" id="{2D98CBBF-0B01-CA46-9F97-953845010D3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2">
          <xdr14:nvContentPartPr>
            <xdr14:cNvPr id="762" name="Ink 761">
              <a:extLst>
                <a:ext uri="{FF2B5EF4-FFF2-40B4-BE49-F238E27FC236}">
                  <a16:creationId xmlns:a16="http://schemas.microsoft.com/office/drawing/2014/main" id="{D641D59D-7602-7F4A-842A-9955037263C4}"/>
                </a:ext>
              </a:extLst>
            </xdr14:cNvPr>
            <xdr14:cNvContentPartPr/>
          </xdr14:nvContentPartPr>
          <xdr14:nvPr macro=""/>
          <xdr14:xfrm>
            <a:off x="12866040" y="1243440"/>
            <a:ext cx="360" cy="360"/>
          </xdr14:xfrm>
        </xdr:contentPart>
      </mc:Choice>
      <mc:Fallback xmlns="">
        <xdr:pic>
          <xdr:nvPicPr>
            <xdr:cNvPr id="762" name="Ink 761">
              <a:extLst>
                <a:ext uri="{FF2B5EF4-FFF2-40B4-BE49-F238E27FC236}">
                  <a16:creationId xmlns:a16="http://schemas.microsoft.com/office/drawing/2014/main" id="{D641D59D-7602-7F4A-842A-9955037263C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3">
          <xdr14:nvContentPartPr>
            <xdr14:cNvPr id="763" name="Ink 762">
              <a:extLst>
                <a:ext uri="{FF2B5EF4-FFF2-40B4-BE49-F238E27FC236}">
                  <a16:creationId xmlns:a16="http://schemas.microsoft.com/office/drawing/2014/main" id="{1574A317-8518-284D-9321-CAA67DF16502}"/>
                </a:ext>
              </a:extLst>
            </xdr14:cNvPr>
            <xdr14:cNvContentPartPr/>
          </xdr14:nvContentPartPr>
          <xdr14:nvPr macro=""/>
          <xdr14:xfrm>
            <a:off x="12973680" y="1366560"/>
            <a:ext cx="360" cy="360"/>
          </xdr14:xfrm>
        </xdr:contentPart>
      </mc:Choice>
      <mc:Fallback xmlns="">
        <xdr:pic>
          <xdr:nvPicPr>
            <xdr:cNvPr id="763" name="Ink 762">
              <a:extLst>
                <a:ext uri="{FF2B5EF4-FFF2-40B4-BE49-F238E27FC236}">
                  <a16:creationId xmlns:a16="http://schemas.microsoft.com/office/drawing/2014/main" id="{1574A317-8518-284D-9321-CAA67DF1650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4">
          <xdr14:nvContentPartPr>
            <xdr14:cNvPr id="764" name="Ink 763">
              <a:extLst>
                <a:ext uri="{FF2B5EF4-FFF2-40B4-BE49-F238E27FC236}">
                  <a16:creationId xmlns:a16="http://schemas.microsoft.com/office/drawing/2014/main" id="{21EBC816-A16B-EF4E-B720-66E8054DF945}"/>
                </a:ext>
              </a:extLst>
            </xdr14:cNvPr>
            <xdr14:cNvContentPartPr/>
          </xdr14:nvContentPartPr>
          <xdr14:nvPr macro=""/>
          <xdr14:xfrm>
            <a:off x="12846960" y="1192320"/>
            <a:ext cx="360" cy="360"/>
          </xdr14:xfrm>
        </xdr:contentPart>
      </mc:Choice>
      <mc:Fallback xmlns="">
        <xdr:pic>
          <xdr:nvPicPr>
            <xdr:cNvPr id="764" name="Ink 763">
              <a:extLst>
                <a:ext uri="{FF2B5EF4-FFF2-40B4-BE49-F238E27FC236}">
                  <a16:creationId xmlns:a16="http://schemas.microsoft.com/office/drawing/2014/main" id="{21EBC816-A16B-EF4E-B720-66E8054DF94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5">
          <xdr14:nvContentPartPr>
            <xdr14:cNvPr id="765" name="Ink 764">
              <a:extLst>
                <a:ext uri="{FF2B5EF4-FFF2-40B4-BE49-F238E27FC236}">
                  <a16:creationId xmlns:a16="http://schemas.microsoft.com/office/drawing/2014/main" id="{9923DA84-6A4B-0D46-8306-A3F00575EE2C}"/>
                </a:ext>
              </a:extLst>
            </xdr14:cNvPr>
            <xdr14:cNvContentPartPr/>
          </xdr14:nvContentPartPr>
          <xdr14:nvPr macro=""/>
          <xdr14:xfrm>
            <a:off x="12866040" y="1243440"/>
            <a:ext cx="360" cy="360"/>
          </xdr14:xfrm>
        </xdr:contentPart>
      </mc:Choice>
      <mc:Fallback xmlns="">
        <xdr:pic>
          <xdr:nvPicPr>
            <xdr:cNvPr id="765" name="Ink 764">
              <a:extLst>
                <a:ext uri="{FF2B5EF4-FFF2-40B4-BE49-F238E27FC236}">
                  <a16:creationId xmlns:a16="http://schemas.microsoft.com/office/drawing/2014/main" id="{9923DA84-6A4B-0D46-8306-A3F00575EE2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6">
          <xdr14:nvContentPartPr>
            <xdr14:cNvPr id="766" name="Ink 765">
              <a:extLst>
                <a:ext uri="{FF2B5EF4-FFF2-40B4-BE49-F238E27FC236}">
                  <a16:creationId xmlns:a16="http://schemas.microsoft.com/office/drawing/2014/main" id="{42611BF1-84A0-3E4F-904D-A97CAD13D524}"/>
                </a:ext>
              </a:extLst>
            </xdr14:cNvPr>
            <xdr14:cNvContentPartPr/>
          </xdr14:nvContentPartPr>
          <xdr14:nvPr macro=""/>
          <xdr14:xfrm>
            <a:off x="12973680" y="1366560"/>
            <a:ext cx="360" cy="360"/>
          </xdr14:xfrm>
        </xdr:contentPart>
      </mc:Choice>
      <mc:Fallback xmlns="">
        <xdr:pic>
          <xdr:nvPicPr>
            <xdr:cNvPr id="766" name="Ink 765">
              <a:extLst>
                <a:ext uri="{FF2B5EF4-FFF2-40B4-BE49-F238E27FC236}">
                  <a16:creationId xmlns:a16="http://schemas.microsoft.com/office/drawing/2014/main" id="{42611BF1-84A0-3E4F-904D-A97CAD13D52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69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7">
          <xdr14:nvContentPartPr>
            <xdr14:cNvPr id="767" name="Ink 766">
              <a:extLst>
                <a:ext uri="{FF2B5EF4-FFF2-40B4-BE49-F238E27FC236}">
                  <a16:creationId xmlns:a16="http://schemas.microsoft.com/office/drawing/2014/main" id="{56DE7891-4E61-4942-A178-9D92C8D21BAB}"/>
                </a:ext>
              </a:extLst>
            </xdr14:cNvPr>
            <xdr14:cNvContentPartPr/>
          </xdr14:nvContentPartPr>
          <xdr14:nvPr macro=""/>
          <xdr14:xfrm>
            <a:off x="12846960" y="1192320"/>
            <a:ext cx="360" cy="360"/>
          </xdr14:xfrm>
        </xdr:contentPart>
      </mc:Choice>
      <mc:Fallback xmlns="">
        <xdr:pic>
          <xdr:nvPicPr>
            <xdr:cNvPr id="767" name="Ink 766">
              <a:extLst>
                <a:ext uri="{FF2B5EF4-FFF2-40B4-BE49-F238E27FC236}">
                  <a16:creationId xmlns:a16="http://schemas.microsoft.com/office/drawing/2014/main" id="{56DE7891-4E61-4942-A178-9D92C8D21BA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69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8">
          <xdr14:nvContentPartPr>
            <xdr14:cNvPr id="768" name="Ink 767">
              <a:extLst>
                <a:ext uri="{FF2B5EF4-FFF2-40B4-BE49-F238E27FC236}">
                  <a16:creationId xmlns:a16="http://schemas.microsoft.com/office/drawing/2014/main" id="{05C77CBA-B435-9240-A7E9-63B1B1BDE287}"/>
                </a:ext>
              </a:extLst>
            </xdr14:cNvPr>
            <xdr14:cNvContentPartPr/>
          </xdr14:nvContentPartPr>
          <xdr14:nvPr macro=""/>
          <xdr14:xfrm>
            <a:off x="12866040" y="1243440"/>
            <a:ext cx="360" cy="360"/>
          </xdr14:xfrm>
        </xdr:contentPart>
      </mc:Choice>
      <mc:Fallback xmlns="">
        <xdr:pic>
          <xdr:nvPicPr>
            <xdr:cNvPr id="768" name="Ink 767">
              <a:extLst>
                <a:ext uri="{FF2B5EF4-FFF2-40B4-BE49-F238E27FC236}">
                  <a16:creationId xmlns:a16="http://schemas.microsoft.com/office/drawing/2014/main" id="{05C77CBA-B435-9240-A7E9-63B1B1BDE28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69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69">
          <xdr14:nvContentPartPr>
            <xdr14:cNvPr id="769" name="Ink 768">
              <a:extLst>
                <a:ext uri="{FF2B5EF4-FFF2-40B4-BE49-F238E27FC236}">
                  <a16:creationId xmlns:a16="http://schemas.microsoft.com/office/drawing/2014/main" id="{401D41EA-14C8-AD48-B9EE-07E2A776B39E}"/>
                </a:ext>
              </a:extLst>
            </xdr14:cNvPr>
            <xdr14:cNvContentPartPr/>
          </xdr14:nvContentPartPr>
          <xdr14:nvPr macro=""/>
          <xdr14:xfrm>
            <a:off x="12973680" y="1366560"/>
            <a:ext cx="360" cy="360"/>
          </xdr14:xfrm>
        </xdr:contentPart>
      </mc:Choice>
      <mc:Fallback xmlns="">
        <xdr:pic>
          <xdr:nvPicPr>
            <xdr:cNvPr id="769" name="Ink 768">
              <a:extLst>
                <a:ext uri="{FF2B5EF4-FFF2-40B4-BE49-F238E27FC236}">
                  <a16:creationId xmlns:a16="http://schemas.microsoft.com/office/drawing/2014/main" id="{401D41EA-14C8-AD48-B9EE-07E2A776B39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0">
          <xdr14:nvContentPartPr>
            <xdr14:cNvPr id="770" name="Ink 769">
              <a:extLst>
                <a:ext uri="{FF2B5EF4-FFF2-40B4-BE49-F238E27FC236}">
                  <a16:creationId xmlns:a16="http://schemas.microsoft.com/office/drawing/2014/main" id="{3A6FB860-0631-704D-B1A8-CBFF04A4CD41}"/>
                </a:ext>
              </a:extLst>
            </xdr14:cNvPr>
            <xdr14:cNvContentPartPr/>
          </xdr14:nvContentPartPr>
          <xdr14:nvPr macro=""/>
          <xdr14:xfrm>
            <a:off x="12846960" y="1192320"/>
            <a:ext cx="360" cy="360"/>
          </xdr14:xfrm>
        </xdr:contentPart>
      </mc:Choice>
      <mc:Fallback xmlns="">
        <xdr:pic>
          <xdr:nvPicPr>
            <xdr:cNvPr id="770" name="Ink 769">
              <a:extLst>
                <a:ext uri="{FF2B5EF4-FFF2-40B4-BE49-F238E27FC236}">
                  <a16:creationId xmlns:a16="http://schemas.microsoft.com/office/drawing/2014/main" id="{3A6FB860-0631-704D-B1A8-CBFF04A4CD4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1">
          <xdr14:nvContentPartPr>
            <xdr14:cNvPr id="771" name="Ink 770">
              <a:extLst>
                <a:ext uri="{FF2B5EF4-FFF2-40B4-BE49-F238E27FC236}">
                  <a16:creationId xmlns:a16="http://schemas.microsoft.com/office/drawing/2014/main" id="{84D8C5E4-1DF6-2244-8D1E-6038B1C1D01D}"/>
                </a:ext>
              </a:extLst>
            </xdr14:cNvPr>
            <xdr14:cNvContentPartPr/>
          </xdr14:nvContentPartPr>
          <xdr14:nvPr macro=""/>
          <xdr14:xfrm>
            <a:off x="12866040" y="1243440"/>
            <a:ext cx="360" cy="360"/>
          </xdr14:xfrm>
        </xdr:contentPart>
      </mc:Choice>
      <mc:Fallback xmlns="">
        <xdr:pic>
          <xdr:nvPicPr>
            <xdr:cNvPr id="771" name="Ink 770">
              <a:extLst>
                <a:ext uri="{FF2B5EF4-FFF2-40B4-BE49-F238E27FC236}">
                  <a16:creationId xmlns:a16="http://schemas.microsoft.com/office/drawing/2014/main" id="{84D8C5E4-1DF6-2244-8D1E-6038B1C1D01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2">
          <xdr14:nvContentPartPr>
            <xdr14:cNvPr id="772" name="Ink 771">
              <a:extLst>
                <a:ext uri="{FF2B5EF4-FFF2-40B4-BE49-F238E27FC236}">
                  <a16:creationId xmlns:a16="http://schemas.microsoft.com/office/drawing/2014/main" id="{C945CF7F-29B6-C245-89A2-366BCEACDB87}"/>
                </a:ext>
              </a:extLst>
            </xdr14:cNvPr>
            <xdr14:cNvContentPartPr/>
          </xdr14:nvContentPartPr>
          <xdr14:nvPr macro=""/>
          <xdr14:xfrm>
            <a:off x="12973680" y="1366560"/>
            <a:ext cx="360" cy="360"/>
          </xdr14:xfrm>
        </xdr:contentPart>
      </mc:Choice>
      <mc:Fallback xmlns="">
        <xdr:pic>
          <xdr:nvPicPr>
            <xdr:cNvPr id="772" name="Ink 771">
              <a:extLst>
                <a:ext uri="{FF2B5EF4-FFF2-40B4-BE49-F238E27FC236}">
                  <a16:creationId xmlns:a16="http://schemas.microsoft.com/office/drawing/2014/main" id="{C945CF7F-29B6-C245-89A2-366BCEACDB8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3">
          <xdr14:nvContentPartPr>
            <xdr14:cNvPr id="773" name="Ink 772">
              <a:extLst>
                <a:ext uri="{FF2B5EF4-FFF2-40B4-BE49-F238E27FC236}">
                  <a16:creationId xmlns:a16="http://schemas.microsoft.com/office/drawing/2014/main" id="{7AACD530-7871-434D-8560-E0FF5A5158FE}"/>
                </a:ext>
              </a:extLst>
            </xdr14:cNvPr>
            <xdr14:cNvContentPartPr/>
          </xdr14:nvContentPartPr>
          <xdr14:nvPr macro=""/>
          <xdr14:xfrm>
            <a:off x="12846960" y="1192320"/>
            <a:ext cx="360" cy="360"/>
          </xdr14:xfrm>
        </xdr:contentPart>
      </mc:Choice>
      <mc:Fallback xmlns="">
        <xdr:pic>
          <xdr:nvPicPr>
            <xdr:cNvPr id="773" name="Ink 772">
              <a:extLst>
                <a:ext uri="{FF2B5EF4-FFF2-40B4-BE49-F238E27FC236}">
                  <a16:creationId xmlns:a16="http://schemas.microsoft.com/office/drawing/2014/main" id="{7AACD530-7871-434D-8560-E0FF5A5158F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4">
          <xdr14:nvContentPartPr>
            <xdr14:cNvPr id="774" name="Ink 773">
              <a:extLst>
                <a:ext uri="{FF2B5EF4-FFF2-40B4-BE49-F238E27FC236}">
                  <a16:creationId xmlns:a16="http://schemas.microsoft.com/office/drawing/2014/main" id="{8185C9C0-A300-8A40-9E35-F3FDE63DC58E}"/>
                </a:ext>
              </a:extLst>
            </xdr14:cNvPr>
            <xdr14:cNvContentPartPr/>
          </xdr14:nvContentPartPr>
          <xdr14:nvPr macro=""/>
          <xdr14:xfrm>
            <a:off x="12866040" y="1243440"/>
            <a:ext cx="360" cy="360"/>
          </xdr14:xfrm>
        </xdr:contentPart>
      </mc:Choice>
      <mc:Fallback xmlns="">
        <xdr:pic>
          <xdr:nvPicPr>
            <xdr:cNvPr id="774" name="Ink 773">
              <a:extLst>
                <a:ext uri="{FF2B5EF4-FFF2-40B4-BE49-F238E27FC236}">
                  <a16:creationId xmlns:a16="http://schemas.microsoft.com/office/drawing/2014/main" id="{8185C9C0-A300-8A40-9E35-F3FDE63DC58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5">
          <xdr14:nvContentPartPr>
            <xdr14:cNvPr id="775" name="Ink 774">
              <a:extLst>
                <a:ext uri="{FF2B5EF4-FFF2-40B4-BE49-F238E27FC236}">
                  <a16:creationId xmlns:a16="http://schemas.microsoft.com/office/drawing/2014/main" id="{72B99FCA-5540-C245-989A-46D9AE5E715C}"/>
                </a:ext>
              </a:extLst>
            </xdr14:cNvPr>
            <xdr14:cNvContentPartPr/>
          </xdr14:nvContentPartPr>
          <xdr14:nvPr macro=""/>
          <xdr14:xfrm>
            <a:off x="12973680" y="1366560"/>
            <a:ext cx="360" cy="360"/>
          </xdr14:xfrm>
        </xdr:contentPart>
      </mc:Choice>
      <mc:Fallback xmlns="">
        <xdr:pic>
          <xdr:nvPicPr>
            <xdr:cNvPr id="775" name="Ink 774">
              <a:extLst>
                <a:ext uri="{FF2B5EF4-FFF2-40B4-BE49-F238E27FC236}">
                  <a16:creationId xmlns:a16="http://schemas.microsoft.com/office/drawing/2014/main" id="{72B99FCA-5540-C245-989A-46D9AE5E715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6">
          <xdr14:nvContentPartPr>
            <xdr14:cNvPr id="776" name="Ink 775">
              <a:extLst>
                <a:ext uri="{FF2B5EF4-FFF2-40B4-BE49-F238E27FC236}">
                  <a16:creationId xmlns:a16="http://schemas.microsoft.com/office/drawing/2014/main" id="{1E00F8AA-07E3-6C44-A0BE-D238B9F752EA}"/>
                </a:ext>
              </a:extLst>
            </xdr14:cNvPr>
            <xdr14:cNvContentPartPr/>
          </xdr14:nvContentPartPr>
          <xdr14:nvPr macro=""/>
          <xdr14:xfrm>
            <a:off x="12846960" y="1192320"/>
            <a:ext cx="360" cy="360"/>
          </xdr14:xfrm>
        </xdr:contentPart>
      </mc:Choice>
      <mc:Fallback xmlns="">
        <xdr:pic>
          <xdr:nvPicPr>
            <xdr:cNvPr id="776" name="Ink 775">
              <a:extLst>
                <a:ext uri="{FF2B5EF4-FFF2-40B4-BE49-F238E27FC236}">
                  <a16:creationId xmlns:a16="http://schemas.microsoft.com/office/drawing/2014/main" id="{1E00F8AA-07E3-6C44-A0BE-D238B9F752E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7">
          <xdr14:nvContentPartPr>
            <xdr14:cNvPr id="777" name="Ink 776">
              <a:extLst>
                <a:ext uri="{FF2B5EF4-FFF2-40B4-BE49-F238E27FC236}">
                  <a16:creationId xmlns:a16="http://schemas.microsoft.com/office/drawing/2014/main" id="{BF12A2DD-C931-3C4F-9CC2-96BFE15200CE}"/>
                </a:ext>
              </a:extLst>
            </xdr14:cNvPr>
            <xdr14:cNvContentPartPr/>
          </xdr14:nvContentPartPr>
          <xdr14:nvPr macro=""/>
          <xdr14:xfrm>
            <a:off x="12866040" y="1243440"/>
            <a:ext cx="360" cy="360"/>
          </xdr14:xfrm>
        </xdr:contentPart>
      </mc:Choice>
      <mc:Fallback xmlns="">
        <xdr:pic>
          <xdr:nvPicPr>
            <xdr:cNvPr id="777" name="Ink 776">
              <a:extLst>
                <a:ext uri="{FF2B5EF4-FFF2-40B4-BE49-F238E27FC236}">
                  <a16:creationId xmlns:a16="http://schemas.microsoft.com/office/drawing/2014/main" id="{BF12A2DD-C931-3C4F-9CC2-96BFE15200C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8">
          <xdr14:nvContentPartPr>
            <xdr14:cNvPr id="778" name="Ink 777">
              <a:extLst>
                <a:ext uri="{FF2B5EF4-FFF2-40B4-BE49-F238E27FC236}">
                  <a16:creationId xmlns:a16="http://schemas.microsoft.com/office/drawing/2014/main" id="{B48F4F56-C58D-1E40-9539-91C3CDD127AD}"/>
                </a:ext>
              </a:extLst>
            </xdr14:cNvPr>
            <xdr14:cNvContentPartPr/>
          </xdr14:nvContentPartPr>
          <xdr14:nvPr macro=""/>
          <xdr14:xfrm>
            <a:off x="12973680" y="1366560"/>
            <a:ext cx="360" cy="360"/>
          </xdr14:xfrm>
        </xdr:contentPart>
      </mc:Choice>
      <mc:Fallback xmlns="">
        <xdr:pic>
          <xdr:nvPicPr>
            <xdr:cNvPr id="778" name="Ink 777">
              <a:extLst>
                <a:ext uri="{FF2B5EF4-FFF2-40B4-BE49-F238E27FC236}">
                  <a16:creationId xmlns:a16="http://schemas.microsoft.com/office/drawing/2014/main" id="{B48F4F56-C58D-1E40-9539-91C3CDD127A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79">
          <xdr14:nvContentPartPr>
            <xdr14:cNvPr id="779" name="Ink 778">
              <a:extLst>
                <a:ext uri="{FF2B5EF4-FFF2-40B4-BE49-F238E27FC236}">
                  <a16:creationId xmlns:a16="http://schemas.microsoft.com/office/drawing/2014/main" id="{1A54CDE4-84DE-A842-B5C1-14BD3BD3D6E4}"/>
                </a:ext>
              </a:extLst>
            </xdr14:cNvPr>
            <xdr14:cNvContentPartPr/>
          </xdr14:nvContentPartPr>
          <xdr14:nvPr macro=""/>
          <xdr14:xfrm>
            <a:off x="12846960" y="1192320"/>
            <a:ext cx="360" cy="360"/>
          </xdr14:xfrm>
        </xdr:contentPart>
      </mc:Choice>
      <mc:Fallback xmlns="">
        <xdr:pic>
          <xdr:nvPicPr>
            <xdr:cNvPr id="779" name="Ink 778">
              <a:extLst>
                <a:ext uri="{FF2B5EF4-FFF2-40B4-BE49-F238E27FC236}">
                  <a16:creationId xmlns:a16="http://schemas.microsoft.com/office/drawing/2014/main" id="{1A54CDE4-84DE-A842-B5C1-14BD3BD3D6E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0">
          <xdr14:nvContentPartPr>
            <xdr14:cNvPr id="780" name="Ink 779">
              <a:extLst>
                <a:ext uri="{FF2B5EF4-FFF2-40B4-BE49-F238E27FC236}">
                  <a16:creationId xmlns:a16="http://schemas.microsoft.com/office/drawing/2014/main" id="{BDA58A24-E9C5-7445-9673-90CCE53C1C85}"/>
                </a:ext>
              </a:extLst>
            </xdr14:cNvPr>
            <xdr14:cNvContentPartPr/>
          </xdr14:nvContentPartPr>
          <xdr14:nvPr macro=""/>
          <xdr14:xfrm>
            <a:off x="12866040" y="1243440"/>
            <a:ext cx="360" cy="360"/>
          </xdr14:xfrm>
        </xdr:contentPart>
      </mc:Choice>
      <mc:Fallback xmlns="">
        <xdr:pic>
          <xdr:nvPicPr>
            <xdr:cNvPr id="780" name="Ink 779">
              <a:extLst>
                <a:ext uri="{FF2B5EF4-FFF2-40B4-BE49-F238E27FC236}">
                  <a16:creationId xmlns:a16="http://schemas.microsoft.com/office/drawing/2014/main" id="{BDA58A24-E9C5-7445-9673-90CCE53C1C8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1">
          <xdr14:nvContentPartPr>
            <xdr14:cNvPr id="781" name="Ink 780">
              <a:extLst>
                <a:ext uri="{FF2B5EF4-FFF2-40B4-BE49-F238E27FC236}">
                  <a16:creationId xmlns:a16="http://schemas.microsoft.com/office/drawing/2014/main" id="{190883A1-B205-4541-8A79-196A6336CA4B}"/>
                </a:ext>
              </a:extLst>
            </xdr14:cNvPr>
            <xdr14:cNvContentPartPr/>
          </xdr14:nvContentPartPr>
          <xdr14:nvPr macro=""/>
          <xdr14:xfrm>
            <a:off x="12973680" y="1366560"/>
            <a:ext cx="360" cy="360"/>
          </xdr14:xfrm>
        </xdr:contentPart>
      </mc:Choice>
      <mc:Fallback xmlns="">
        <xdr:pic>
          <xdr:nvPicPr>
            <xdr:cNvPr id="781" name="Ink 780">
              <a:extLst>
                <a:ext uri="{FF2B5EF4-FFF2-40B4-BE49-F238E27FC236}">
                  <a16:creationId xmlns:a16="http://schemas.microsoft.com/office/drawing/2014/main" id="{190883A1-B205-4541-8A79-196A6336CA4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2">
          <xdr14:nvContentPartPr>
            <xdr14:cNvPr id="782" name="Ink 781">
              <a:extLst>
                <a:ext uri="{FF2B5EF4-FFF2-40B4-BE49-F238E27FC236}">
                  <a16:creationId xmlns:a16="http://schemas.microsoft.com/office/drawing/2014/main" id="{39591941-76F3-684C-A7AA-E68097502626}"/>
                </a:ext>
              </a:extLst>
            </xdr14:cNvPr>
            <xdr14:cNvContentPartPr/>
          </xdr14:nvContentPartPr>
          <xdr14:nvPr macro=""/>
          <xdr14:xfrm>
            <a:off x="12846960" y="1192320"/>
            <a:ext cx="360" cy="360"/>
          </xdr14:xfrm>
        </xdr:contentPart>
      </mc:Choice>
      <mc:Fallback xmlns="">
        <xdr:pic>
          <xdr:nvPicPr>
            <xdr:cNvPr id="782" name="Ink 781">
              <a:extLst>
                <a:ext uri="{FF2B5EF4-FFF2-40B4-BE49-F238E27FC236}">
                  <a16:creationId xmlns:a16="http://schemas.microsoft.com/office/drawing/2014/main" id="{39591941-76F3-684C-A7AA-E6809750262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3">
          <xdr14:nvContentPartPr>
            <xdr14:cNvPr id="783" name="Ink 782">
              <a:extLst>
                <a:ext uri="{FF2B5EF4-FFF2-40B4-BE49-F238E27FC236}">
                  <a16:creationId xmlns:a16="http://schemas.microsoft.com/office/drawing/2014/main" id="{0FA57839-1C29-2C4C-903A-8B2533308E02}"/>
                </a:ext>
              </a:extLst>
            </xdr14:cNvPr>
            <xdr14:cNvContentPartPr/>
          </xdr14:nvContentPartPr>
          <xdr14:nvPr macro=""/>
          <xdr14:xfrm>
            <a:off x="12866040" y="1243440"/>
            <a:ext cx="360" cy="360"/>
          </xdr14:xfrm>
        </xdr:contentPart>
      </mc:Choice>
      <mc:Fallback xmlns="">
        <xdr:pic>
          <xdr:nvPicPr>
            <xdr:cNvPr id="783" name="Ink 782">
              <a:extLst>
                <a:ext uri="{FF2B5EF4-FFF2-40B4-BE49-F238E27FC236}">
                  <a16:creationId xmlns:a16="http://schemas.microsoft.com/office/drawing/2014/main" id="{0FA57839-1C29-2C4C-903A-8B2533308E0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4">
          <xdr14:nvContentPartPr>
            <xdr14:cNvPr id="784" name="Ink 783">
              <a:extLst>
                <a:ext uri="{FF2B5EF4-FFF2-40B4-BE49-F238E27FC236}">
                  <a16:creationId xmlns:a16="http://schemas.microsoft.com/office/drawing/2014/main" id="{836DE144-B53E-3646-8A66-0DC43DB424C3}"/>
                </a:ext>
              </a:extLst>
            </xdr14:cNvPr>
            <xdr14:cNvContentPartPr/>
          </xdr14:nvContentPartPr>
          <xdr14:nvPr macro=""/>
          <xdr14:xfrm>
            <a:off x="12973680" y="1366560"/>
            <a:ext cx="360" cy="360"/>
          </xdr14:xfrm>
        </xdr:contentPart>
      </mc:Choice>
      <mc:Fallback xmlns="">
        <xdr:pic>
          <xdr:nvPicPr>
            <xdr:cNvPr id="784" name="Ink 783">
              <a:extLst>
                <a:ext uri="{FF2B5EF4-FFF2-40B4-BE49-F238E27FC236}">
                  <a16:creationId xmlns:a16="http://schemas.microsoft.com/office/drawing/2014/main" id="{836DE144-B53E-3646-8A66-0DC43DB424C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5">
          <xdr14:nvContentPartPr>
            <xdr14:cNvPr id="785" name="Ink 784">
              <a:extLst>
                <a:ext uri="{FF2B5EF4-FFF2-40B4-BE49-F238E27FC236}">
                  <a16:creationId xmlns:a16="http://schemas.microsoft.com/office/drawing/2014/main" id="{DFF24793-808D-F64F-B798-A392D4DF3C14}"/>
                </a:ext>
              </a:extLst>
            </xdr14:cNvPr>
            <xdr14:cNvContentPartPr/>
          </xdr14:nvContentPartPr>
          <xdr14:nvPr macro=""/>
          <xdr14:xfrm>
            <a:off x="12846960" y="1192320"/>
            <a:ext cx="360" cy="360"/>
          </xdr14:xfrm>
        </xdr:contentPart>
      </mc:Choice>
      <mc:Fallback xmlns="">
        <xdr:pic>
          <xdr:nvPicPr>
            <xdr:cNvPr id="785" name="Ink 784">
              <a:extLst>
                <a:ext uri="{FF2B5EF4-FFF2-40B4-BE49-F238E27FC236}">
                  <a16:creationId xmlns:a16="http://schemas.microsoft.com/office/drawing/2014/main" id="{DFF24793-808D-F64F-B798-A392D4DF3C1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6">
          <xdr14:nvContentPartPr>
            <xdr14:cNvPr id="786" name="Ink 785">
              <a:extLst>
                <a:ext uri="{FF2B5EF4-FFF2-40B4-BE49-F238E27FC236}">
                  <a16:creationId xmlns:a16="http://schemas.microsoft.com/office/drawing/2014/main" id="{404A75B1-D307-894E-B957-023F5BC57EE6}"/>
                </a:ext>
              </a:extLst>
            </xdr14:cNvPr>
            <xdr14:cNvContentPartPr/>
          </xdr14:nvContentPartPr>
          <xdr14:nvPr macro=""/>
          <xdr14:xfrm>
            <a:off x="12866040" y="1243440"/>
            <a:ext cx="360" cy="360"/>
          </xdr14:xfrm>
        </xdr:contentPart>
      </mc:Choice>
      <mc:Fallback xmlns="">
        <xdr:pic>
          <xdr:nvPicPr>
            <xdr:cNvPr id="786" name="Ink 785">
              <a:extLst>
                <a:ext uri="{FF2B5EF4-FFF2-40B4-BE49-F238E27FC236}">
                  <a16:creationId xmlns:a16="http://schemas.microsoft.com/office/drawing/2014/main" id="{404A75B1-D307-894E-B957-023F5BC57EE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7">
          <xdr14:nvContentPartPr>
            <xdr14:cNvPr id="787" name="Ink 786">
              <a:extLst>
                <a:ext uri="{FF2B5EF4-FFF2-40B4-BE49-F238E27FC236}">
                  <a16:creationId xmlns:a16="http://schemas.microsoft.com/office/drawing/2014/main" id="{92DA439D-AA0A-9A46-B5D6-4225A67496E1}"/>
                </a:ext>
              </a:extLst>
            </xdr14:cNvPr>
            <xdr14:cNvContentPartPr/>
          </xdr14:nvContentPartPr>
          <xdr14:nvPr macro=""/>
          <xdr14:xfrm>
            <a:off x="12973680" y="1366560"/>
            <a:ext cx="360" cy="360"/>
          </xdr14:xfrm>
        </xdr:contentPart>
      </mc:Choice>
      <mc:Fallback xmlns="">
        <xdr:pic>
          <xdr:nvPicPr>
            <xdr:cNvPr id="787" name="Ink 786">
              <a:extLst>
                <a:ext uri="{FF2B5EF4-FFF2-40B4-BE49-F238E27FC236}">
                  <a16:creationId xmlns:a16="http://schemas.microsoft.com/office/drawing/2014/main" id="{92DA439D-AA0A-9A46-B5D6-4225A67496E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8">
          <xdr14:nvContentPartPr>
            <xdr14:cNvPr id="788" name="Ink 787">
              <a:extLst>
                <a:ext uri="{FF2B5EF4-FFF2-40B4-BE49-F238E27FC236}">
                  <a16:creationId xmlns:a16="http://schemas.microsoft.com/office/drawing/2014/main" id="{48CE2D8C-042D-1B4F-9316-A5852FCCB1EE}"/>
                </a:ext>
              </a:extLst>
            </xdr14:cNvPr>
            <xdr14:cNvContentPartPr/>
          </xdr14:nvContentPartPr>
          <xdr14:nvPr macro=""/>
          <xdr14:xfrm>
            <a:off x="12846960" y="1192320"/>
            <a:ext cx="360" cy="360"/>
          </xdr14:xfrm>
        </xdr:contentPart>
      </mc:Choice>
      <mc:Fallback xmlns="">
        <xdr:pic>
          <xdr:nvPicPr>
            <xdr:cNvPr id="788" name="Ink 787">
              <a:extLst>
                <a:ext uri="{FF2B5EF4-FFF2-40B4-BE49-F238E27FC236}">
                  <a16:creationId xmlns:a16="http://schemas.microsoft.com/office/drawing/2014/main" id="{48CE2D8C-042D-1B4F-9316-A5852FCCB1E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89">
          <xdr14:nvContentPartPr>
            <xdr14:cNvPr id="789" name="Ink 788">
              <a:extLst>
                <a:ext uri="{FF2B5EF4-FFF2-40B4-BE49-F238E27FC236}">
                  <a16:creationId xmlns:a16="http://schemas.microsoft.com/office/drawing/2014/main" id="{45B5792C-D281-C048-B9FB-8A356DAE03F0}"/>
                </a:ext>
              </a:extLst>
            </xdr14:cNvPr>
            <xdr14:cNvContentPartPr/>
          </xdr14:nvContentPartPr>
          <xdr14:nvPr macro=""/>
          <xdr14:xfrm>
            <a:off x="12866040" y="1243440"/>
            <a:ext cx="360" cy="360"/>
          </xdr14:xfrm>
        </xdr:contentPart>
      </mc:Choice>
      <mc:Fallback xmlns="">
        <xdr:pic>
          <xdr:nvPicPr>
            <xdr:cNvPr id="789" name="Ink 788">
              <a:extLst>
                <a:ext uri="{FF2B5EF4-FFF2-40B4-BE49-F238E27FC236}">
                  <a16:creationId xmlns:a16="http://schemas.microsoft.com/office/drawing/2014/main" id="{45B5792C-D281-C048-B9FB-8A356DAE03F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0">
          <xdr14:nvContentPartPr>
            <xdr14:cNvPr id="790" name="Ink 789">
              <a:extLst>
                <a:ext uri="{FF2B5EF4-FFF2-40B4-BE49-F238E27FC236}">
                  <a16:creationId xmlns:a16="http://schemas.microsoft.com/office/drawing/2014/main" id="{B674EB9F-C4DE-BD4B-8897-39F34791D0CE}"/>
                </a:ext>
              </a:extLst>
            </xdr14:cNvPr>
            <xdr14:cNvContentPartPr/>
          </xdr14:nvContentPartPr>
          <xdr14:nvPr macro=""/>
          <xdr14:xfrm>
            <a:off x="12973680" y="1366560"/>
            <a:ext cx="360" cy="360"/>
          </xdr14:xfrm>
        </xdr:contentPart>
      </mc:Choice>
      <mc:Fallback xmlns="">
        <xdr:pic>
          <xdr:nvPicPr>
            <xdr:cNvPr id="790" name="Ink 789">
              <a:extLst>
                <a:ext uri="{FF2B5EF4-FFF2-40B4-BE49-F238E27FC236}">
                  <a16:creationId xmlns:a16="http://schemas.microsoft.com/office/drawing/2014/main" id="{B674EB9F-C4DE-BD4B-8897-39F34791D0C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1">
          <xdr14:nvContentPartPr>
            <xdr14:cNvPr id="791" name="Ink 790">
              <a:extLst>
                <a:ext uri="{FF2B5EF4-FFF2-40B4-BE49-F238E27FC236}">
                  <a16:creationId xmlns:a16="http://schemas.microsoft.com/office/drawing/2014/main" id="{F9E1A5EC-C2EB-3D4D-91FB-968AAE6030A1}"/>
                </a:ext>
              </a:extLst>
            </xdr14:cNvPr>
            <xdr14:cNvContentPartPr/>
          </xdr14:nvContentPartPr>
          <xdr14:nvPr macro=""/>
          <xdr14:xfrm>
            <a:off x="12846960" y="1192320"/>
            <a:ext cx="360" cy="360"/>
          </xdr14:xfrm>
        </xdr:contentPart>
      </mc:Choice>
      <mc:Fallback xmlns="">
        <xdr:pic>
          <xdr:nvPicPr>
            <xdr:cNvPr id="791" name="Ink 790">
              <a:extLst>
                <a:ext uri="{FF2B5EF4-FFF2-40B4-BE49-F238E27FC236}">
                  <a16:creationId xmlns:a16="http://schemas.microsoft.com/office/drawing/2014/main" id="{F9E1A5EC-C2EB-3D4D-91FB-968AAE6030A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2">
          <xdr14:nvContentPartPr>
            <xdr14:cNvPr id="792" name="Ink 791">
              <a:extLst>
                <a:ext uri="{FF2B5EF4-FFF2-40B4-BE49-F238E27FC236}">
                  <a16:creationId xmlns:a16="http://schemas.microsoft.com/office/drawing/2014/main" id="{30245261-6B57-6841-B016-B7F824868701}"/>
                </a:ext>
              </a:extLst>
            </xdr14:cNvPr>
            <xdr14:cNvContentPartPr/>
          </xdr14:nvContentPartPr>
          <xdr14:nvPr macro=""/>
          <xdr14:xfrm>
            <a:off x="12866040" y="1243440"/>
            <a:ext cx="360" cy="360"/>
          </xdr14:xfrm>
        </xdr:contentPart>
      </mc:Choice>
      <mc:Fallback xmlns="">
        <xdr:pic>
          <xdr:nvPicPr>
            <xdr:cNvPr id="792" name="Ink 791">
              <a:extLst>
                <a:ext uri="{FF2B5EF4-FFF2-40B4-BE49-F238E27FC236}">
                  <a16:creationId xmlns:a16="http://schemas.microsoft.com/office/drawing/2014/main" id="{30245261-6B57-6841-B016-B7F82486870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3">
          <xdr14:nvContentPartPr>
            <xdr14:cNvPr id="793" name="Ink 792">
              <a:extLst>
                <a:ext uri="{FF2B5EF4-FFF2-40B4-BE49-F238E27FC236}">
                  <a16:creationId xmlns:a16="http://schemas.microsoft.com/office/drawing/2014/main" id="{7A47A2E3-001B-A143-87DF-F49F1DD8F65A}"/>
                </a:ext>
              </a:extLst>
            </xdr14:cNvPr>
            <xdr14:cNvContentPartPr/>
          </xdr14:nvContentPartPr>
          <xdr14:nvPr macro=""/>
          <xdr14:xfrm>
            <a:off x="12973680" y="1366560"/>
            <a:ext cx="360" cy="360"/>
          </xdr14:xfrm>
        </xdr:contentPart>
      </mc:Choice>
      <mc:Fallback xmlns="">
        <xdr:pic>
          <xdr:nvPicPr>
            <xdr:cNvPr id="793" name="Ink 792">
              <a:extLst>
                <a:ext uri="{FF2B5EF4-FFF2-40B4-BE49-F238E27FC236}">
                  <a16:creationId xmlns:a16="http://schemas.microsoft.com/office/drawing/2014/main" id="{7A47A2E3-001B-A143-87DF-F49F1DD8F65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4">
          <xdr14:nvContentPartPr>
            <xdr14:cNvPr id="794" name="Ink 793">
              <a:extLst>
                <a:ext uri="{FF2B5EF4-FFF2-40B4-BE49-F238E27FC236}">
                  <a16:creationId xmlns:a16="http://schemas.microsoft.com/office/drawing/2014/main" id="{EA61FB1C-FE31-F94B-B0B3-EABDDCB5194C}"/>
                </a:ext>
              </a:extLst>
            </xdr14:cNvPr>
            <xdr14:cNvContentPartPr/>
          </xdr14:nvContentPartPr>
          <xdr14:nvPr macro=""/>
          <xdr14:xfrm>
            <a:off x="12846960" y="1192320"/>
            <a:ext cx="360" cy="360"/>
          </xdr14:xfrm>
        </xdr:contentPart>
      </mc:Choice>
      <mc:Fallback xmlns="">
        <xdr:pic>
          <xdr:nvPicPr>
            <xdr:cNvPr id="794" name="Ink 793">
              <a:extLst>
                <a:ext uri="{FF2B5EF4-FFF2-40B4-BE49-F238E27FC236}">
                  <a16:creationId xmlns:a16="http://schemas.microsoft.com/office/drawing/2014/main" id="{EA61FB1C-FE31-F94B-B0B3-EABDDCB5194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5">
          <xdr14:nvContentPartPr>
            <xdr14:cNvPr id="795" name="Ink 794">
              <a:extLst>
                <a:ext uri="{FF2B5EF4-FFF2-40B4-BE49-F238E27FC236}">
                  <a16:creationId xmlns:a16="http://schemas.microsoft.com/office/drawing/2014/main" id="{AFA625BB-C1EA-9F47-A04A-E3447E22D1B2}"/>
                </a:ext>
              </a:extLst>
            </xdr14:cNvPr>
            <xdr14:cNvContentPartPr/>
          </xdr14:nvContentPartPr>
          <xdr14:nvPr macro=""/>
          <xdr14:xfrm>
            <a:off x="12866040" y="1243440"/>
            <a:ext cx="360" cy="360"/>
          </xdr14:xfrm>
        </xdr:contentPart>
      </mc:Choice>
      <mc:Fallback xmlns="">
        <xdr:pic>
          <xdr:nvPicPr>
            <xdr:cNvPr id="795" name="Ink 794">
              <a:extLst>
                <a:ext uri="{FF2B5EF4-FFF2-40B4-BE49-F238E27FC236}">
                  <a16:creationId xmlns:a16="http://schemas.microsoft.com/office/drawing/2014/main" id="{AFA625BB-C1EA-9F47-A04A-E3447E22D1B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6">
          <xdr14:nvContentPartPr>
            <xdr14:cNvPr id="796" name="Ink 795">
              <a:extLst>
                <a:ext uri="{FF2B5EF4-FFF2-40B4-BE49-F238E27FC236}">
                  <a16:creationId xmlns:a16="http://schemas.microsoft.com/office/drawing/2014/main" id="{730F782C-11C8-FA4F-9671-1D4B1486068B}"/>
                </a:ext>
              </a:extLst>
            </xdr14:cNvPr>
            <xdr14:cNvContentPartPr/>
          </xdr14:nvContentPartPr>
          <xdr14:nvPr macro=""/>
          <xdr14:xfrm>
            <a:off x="12973680" y="1366560"/>
            <a:ext cx="360" cy="360"/>
          </xdr14:xfrm>
        </xdr:contentPart>
      </mc:Choice>
      <mc:Fallback xmlns="">
        <xdr:pic>
          <xdr:nvPicPr>
            <xdr:cNvPr id="796" name="Ink 795">
              <a:extLst>
                <a:ext uri="{FF2B5EF4-FFF2-40B4-BE49-F238E27FC236}">
                  <a16:creationId xmlns:a16="http://schemas.microsoft.com/office/drawing/2014/main" id="{730F782C-11C8-FA4F-9671-1D4B1486068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79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7">
          <xdr14:nvContentPartPr>
            <xdr14:cNvPr id="797" name="Ink 796">
              <a:extLst>
                <a:ext uri="{FF2B5EF4-FFF2-40B4-BE49-F238E27FC236}">
                  <a16:creationId xmlns:a16="http://schemas.microsoft.com/office/drawing/2014/main" id="{43FBBE6B-22C7-354E-9429-61ED72C0955F}"/>
                </a:ext>
              </a:extLst>
            </xdr14:cNvPr>
            <xdr14:cNvContentPartPr/>
          </xdr14:nvContentPartPr>
          <xdr14:nvPr macro=""/>
          <xdr14:xfrm>
            <a:off x="12846960" y="1192320"/>
            <a:ext cx="360" cy="360"/>
          </xdr14:xfrm>
        </xdr:contentPart>
      </mc:Choice>
      <mc:Fallback xmlns="">
        <xdr:pic>
          <xdr:nvPicPr>
            <xdr:cNvPr id="797" name="Ink 796">
              <a:extLst>
                <a:ext uri="{FF2B5EF4-FFF2-40B4-BE49-F238E27FC236}">
                  <a16:creationId xmlns:a16="http://schemas.microsoft.com/office/drawing/2014/main" id="{43FBBE6B-22C7-354E-9429-61ED72C0955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79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8">
          <xdr14:nvContentPartPr>
            <xdr14:cNvPr id="798" name="Ink 797">
              <a:extLst>
                <a:ext uri="{FF2B5EF4-FFF2-40B4-BE49-F238E27FC236}">
                  <a16:creationId xmlns:a16="http://schemas.microsoft.com/office/drawing/2014/main" id="{122E0C49-2D69-4340-88E2-41A2E622236B}"/>
                </a:ext>
              </a:extLst>
            </xdr14:cNvPr>
            <xdr14:cNvContentPartPr/>
          </xdr14:nvContentPartPr>
          <xdr14:nvPr macro=""/>
          <xdr14:xfrm>
            <a:off x="12866040" y="1243440"/>
            <a:ext cx="360" cy="360"/>
          </xdr14:xfrm>
        </xdr:contentPart>
      </mc:Choice>
      <mc:Fallback xmlns="">
        <xdr:pic>
          <xdr:nvPicPr>
            <xdr:cNvPr id="798" name="Ink 797">
              <a:extLst>
                <a:ext uri="{FF2B5EF4-FFF2-40B4-BE49-F238E27FC236}">
                  <a16:creationId xmlns:a16="http://schemas.microsoft.com/office/drawing/2014/main" id="{122E0C49-2D69-4340-88E2-41A2E622236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79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99">
          <xdr14:nvContentPartPr>
            <xdr14:cNvPr id="799" name="Ink 798">
              <a:extLst>
                <a:ext uri="{FF2B5EF4-FFF2-40B4-BE49-F238E27FC236}">
                  <a16:creationId xmlns:a16="http://schemas.microsoft.com/office/drawing/2014/main" id="{FBC700AB-8C61-894E-834D-ABF885542675}"/>
                </a:ext>
              </a:extLst>
            </xdr14:cNvPr>
            <xdr14:cNvContentPartPr/>
          </xdr14:nvContentPartPr>
          <xdr14:nvPr macro=""/>
          <xdr14:xfrm>
            <a:off x="12973680" y="1366560"/>
            <a:ext cx="360" cy="360"/>
          </xdr14:xfrm>
        </xdr:contentPart>
      </mc:Choice>
      <mc:Fallback xmlns="">
        <xdr:pic>
          <xdr:nvPicPr>
            <xdr:cNvPr id="799" name="Ink 798">
              <a:extLst>
                <a:ext uri="{FF2B5EF4-FFF2-40B4-BE49-F238E27FC236}">
                  <a16:creationId xmlns:a16="http://schemas.microsoft.com/office/drawing/2014/main" id="{FBC700AB-8C61-894E-834D-ABF88554267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0">
          <xdr14:nvContentPartPr>
            <xdr14:cNvPr id="800" name="Ink 799">
              <a:extLst>
                <a:ext uri="{FF2B5EF4-FFF2-40B4-BE49-F238E27FC236}">
                  <a16:creationId xmlns:a16="http://schemas.microsoft.com/office/drawing/2014/main" id="{3EB2A8E2-2864-DA4B-931E-629794B577EF}"/>
                </a:ext>
              </a:extLst>
            </xdr14:cNvPr>
            <xdr14:cNvContentPartPr/>
          </xdr14:nvContentPartPr>
          <xdr14:nvPr macro=""/>
          <xdr14:xfrm>
            <a:off x="12846960" y="1192320"/>
            <a:ext cx="360" cy="360"/>
          </xdr14:xfrm>
        </xdr:contentPart>
      </mc:Choice>
      <mc:Fallback xmlns="">
        <xdr:pic>
          <xdr:nvPicPr>
            <xdr:cNvPr id="800" name="Ink 799">
              <a:extLst>
                <a:ext uri="{FF2B5EF4-FFF2-40B4-BE49-F238E27FC236}">
                  <a16:creationId xmlns:a16="http://schemas.microsoft.com/office/drawing/2014/main" id="{3EB2A8E2-2864-DA4B-931E-629794B577E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1">
          <xdr14:nvContentPartPr>
            <xdr14:cNvPr id="801" name="Ink 800">
              <a:extLst>
                <a:ext uri="{FF2B5EF4-FFF2-40B4-BE49-F238E27FC236}">
                  <a16:creationId xmlns:a16="http://schemas.microsoft.com/office/drawing/2014/main" id="{2C80DB74-D989-6445-A766-B292E27A0705}"/>
                </a:ext>
              </a:extLst>
            </xdr14:cNvPr>
            <xdr14:cNvContentPartPr/>
          </xdr14:nvContentPartPr>
          <xdr14:nvPr macro=""/>
          <xdr14:xfrm>
            <a:off x="12866040" y="1243440"/>
            <a:ext cx="360" cy="360"/>
          </xdr14:xfrm>
        </xdr:contentPart>
      </mc:Choice>
      <mc:Fallback xmlns="">
        <xdr:pic>
          <xdr:nvPicPr>
            <xdr:cNvPr id="801" name="Ink 800">
              <a:extLst>
                <a:ext uri="{FF2B5EF4-FFF2-40B4-BE49-F238E27FC236}">
                  <a16:creationId xmlns:a16="http://schemas.microsoft.com/office/drawing/2014/main" id="{2C80DB74-D989-6445-A766-B292E27A070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2">
          <xdr14:nvContentPartPr>
            <xdr14:cNvPr id="802" name="Ink 801">
              <a:extLst>
                <a:ext uri="{FF2B5EF4-FFF2-40B4-BE49-F238E27FC236}">
                  <a16:creationId xmlns:a16="http://schemas.microsoft.com/office/drawing/2014/main" id="{9B5E874E-993F-AB43-A1BC-AD8D96375676}"/>
                </a:ext>
              </a:extLst>
            </xdr14:cNvPr>
            <xdr14:cNvContentPartPr/>
          </xdr14:nvContentPartPr>
          <xdr14:nvPr macro=""/>
          <xdr14:xfrm>
            <a:off x="12973680" y="1366560"/>
            <a:ext cx="360" cy="360"/>
          </xdr14:xfrm>
        </xdr:contentPart>
      </mc:Choice>
      <mc:Fallback xmlns="">
        <xdr:pic>
          <xdr:nvPicPr>
            <xdr:cNvPr id="802" name="Ink 801">
              <a:extLst>
                <a:ext uri="{FF2B5EF4-FFF2-40B4-BE49-F238E27FC236}">
                  <a16:creationId xmlns:a16="http://schemas.microsoft.com/office/drawing/2014/main" id="{9B5E874E-993F-AB43-A1BC-AD8D9637567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3">
          <xdr14:nvContentPartPr>
            <xdr14:cNvPr id="803" name="Ink 802">
              <a:extLst>
                <a:ext uri="{FF2B5EF4-FFF2-40B4-BE49-F238E27FC236}">
                  <a16:creationId xmlns:a16="http://schemas.microsoft.com/office/drawing/2014/main" id="{E6ECB9C1-C87A-AE4B-B0BB-ED7DC617C7B0}"/>
                </a:ext>
              </a:extLst>
            </xdr14:cNvPr>
            <xdr14:cNvContentPartPr/>
          </xdr14:nvContentPartPr>
          <xdr14:nvPr macro=""/>
          <xdr14:xfrm>
            <a:off x="12846960" y="1192320"/>
            <a:ext cx="360" cy="360"/>
          </xdr14:xfrm>
        </xdr:contentPart>
      </mc:Choice>
      <mc:Fallback xmlns="">
        <xdr:pic>
          <xdr:nvPicPr>
            <xdr:cNvPr id="803" name="Ink 802">
              <a:extLst>
                <a:ext uri="{FF2B5EF4-FFF2-40B4-BE49-F238E27FC236}">
                  <a16:creationId xmlns:a16="http://schemas.microsoft.com/office/drawing/2014/main" id="{E6ECB9C1-C87A-AE4B-B0BB-ED7DC617C7B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4">
          <xdr14:nvContentPartPr>
            <xdr14:cNvPr id="804" name="Ink 803">
              <a:extLst>
                <a:ext uri="{FF2B5EF4-FFF2-40B4-BE49-F238E27FC236}">
                  <a16:creationId xmlns:a16="http://schemas.microsoft.com/office/drawing/2014/main" id="{DCB0A6F5-6594-FC49-8681-ABD4132431F0}"/>
                </a:ext>
              </a:extLst>
            </xdr14:cNvPr>
            <xdr14:cNvContentPartPr/>
          </xdr14:nvContentPartPr>
          <xdr14:nvPr macro=""/>
          <xdr14:xfrm>
            <a:off x="12866040" y="1243440"/>
            <a:ext cx="360" cy="360"/>
          </xdr14:xfrm>
        </xdr:contentPart>
      </mc:Choice>
      <mc:Fallback xmlns="">
        <xdr:pic>
          <xdr:nvPicPr>
            <xdr:cNvPr id="804" name="Ink 803">
              <a:extLst>
                <a:ext uri="{FF2B5EF4-FFF2-40B4-BE49-F238E27FC236}">
                  <a16:creationId xmlns:a16="http://schemas.microsoft.com/office/drawing/2014/main" id="{DCB0A6F5-6594-FC49-8681-ABD4132431F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5">
          <xdr14:nvContentPartPr>
            <xdr14:cNvPr id="805" name="Ink 804">
              <a:extLst>
                <a:ext uri="{FF2B5EF4-FFF2-40B4-BE49-F238E27FC236}">
                  <a16:creationId xmlns:a16="http://schemas.microsoft.com/office/drawing/2014/main" id="{B130BB9D-7C55-B348-B707-5951B52AB88B}"/>
                </a:ext>
              </a:extLst>
            </xdr14:cNvPr>
            <xdr14:cNvContentPartPr/>
          </xdr14:nvContentPartPr>
          <xdr14:nvPr macro=""/>
          <xdr14:xfrm>
            <a:off x="12973680" y="1366560"/>
            <a:ext cx="360" cy="360"/>
          </xdr14:xfrm>
        </xdr:contentPart>
      </mc:Choice>
      <mc:Fallback xmlns="">
        <xdr:pic>
          <xdr:nvPicPr>
            <xdr:cNvPr id="805" name="Ink 804">
              <a:extLst>
                <a:ext uri="{FF2B5EF4-FFF2-40B4-BE49-F238E27FC236}">
                  <a16:creationId xmlns:a16="http://schemas.microsoft.com/office/drawing/2014/main" id="{B130BB9D-7C55-B348-B707-5951B52AB88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6">
          <xdr14:nvContentPartPr>
            <xdr14:cNvPr id="806" name="Ink 805">
              <a:extLst>
                <a:ext uri="{FF2B5EF4-FFF2-40B4-BE49-F238E27FC236}">
                  <a16:creationId xmlns:a16="http://schemas.microsoft.com/office/drawing/2014/main" id="{41E0F838-7B35-944E-B814-C39BAC1447CF}"/>
                </a:ext>
              </a:extLst>
            </xdr14:cNvPr>
            <xdr14:cNvContentPartPr/>
          </xdr14:nvContentPartPr>
          <xdr14:nvPr macro=""/>
          <xdr14:xfrm>
            <a:off x="12846960" y="1192320"/>
            <a:ext cx="360" cy="360"/>
          </xdr14:xfrm>
        </xdr:contentPart>
      </mc:Choice>
      <mc:Fallback xmlns="">
        <xdr:pic>
          <xdr:nvPicPr>
            <xdr:cNvPr id="806" name="Ink 805">
              <a:extLst>
                <a:ext uri="{FF2B5EF4-FFF2-40B4-BE49-F238E27FC236}">
                  <a16:creationId xmlns:a16="http://schemas.microsoft.com/office/drawing/2014/main" id="{41E0F838-7B35-944E-B814-C39BAC1447C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7">
          <xdr14:nvContentPartPr>
            <xdr14:cNvPr id="807" name="Ink 806">
              <a:extLst>
                <a:ext uri="{FF2B5EF4-FFF2-40B4-BE49-F238E27FC236}">
                  <a16:creationId xmlns:a16="http://schemas.microsoft.com/office/drawing/2014/main" id="{A6D39FDC-044E-6A4F-B788-9A1FF273CEB3}"/>
                </a:ext>
              </a:extLst>
            </xdr14:cNvPr>
            <xdr14:cNvContentPartPr/>
          </xdr14:nvContentPartPr>
          <xdr14:nvPr macro=""/>
          <xdr14:xfrm>
            <a:off x="12866040" y="1243440"/>
            <a:ext cx="360" cy="360"/>
          </xdr14:xfrm>
        </xdr:contentPart>
      </mc:Choice>
      <mc:Fallback xmlns="">
        <xdr:pic>
          <xdr:nvPicPr>
            <xdr:cNvPr id="807" name="Ink 806">
              <a:extLst>
                <a:ext uri="{FF2B5EF4-FFF2-40B4-BE49-F238E27FC236}">
                  <a16:creationId xmlns:a16="http://schemas.microsoft.com/office/drawing/2014/main" id="{A6D39FDC-044E-6A4F-B788-9A1FF273CEB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8">
          <xdr14:nvContentPartPr>
            <xdr14:cNvPr id="808" name="Ink 807">
              <a:extLst>
                <a:ext uri="{FF2B5EF4-FFF2-40B4-BE49-F238E27FC236}">
                  <a16:creationId xmlns:a16="http://schemas.microsoft.com/office/drawing/2014/main" id="{61C6826A-3A2F-E047-B914-BEA5411F8B1E}"/>
                </a:ext>
              </a:extLst>
            </xdr14:cNvPr>
            <xdr14:cNvContentPartPr/>
          </xdr14:nvContentPartPr>
          <xdr14:nvPr macro=""/>
          <xdr14:xfrm>
            <a:off x="12973680" y="1366560"/>
            <a:ext cx="360" cy="360"/>
          </xdr14:xfrm>
        </xdr:contentPart>
      </mc:Choice>
      <mc:Fallback xmlns="">
        <xdr:pic>
          <xdr:nvPicPr>
            <xdr:cNvPr id="808" name="Ink 807">
              <a:extLst>
                <a:ext uri="{FF2B5EF4-FFF2-40B4-BE49-F238E27FC236}">
                  <a16:creationId xmlns:a16="http://schemas.microsoft.com/office/drawing/2014/main" id="{61C6826A-3A2F-E047-B914-BEA5411F8B1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09">
          <xdr14:nvContentPartPr>
            <xdr14:cNvPr id="809" name="Ink 808">
              <a:extLst>
                <a:ext uri="{FF2B5EF4-FFF2-40B4-BE49-F238E27FC236}">
                  <a16:creationId xmlns:a16="http://schemas.microsoft.com/office/drawing/2014/main" id="{9F615D45-348C-1F4C-A5CB-AF18C0FC5DCF}"/>
                </a:ext>
              </a:extLst>
            </xdr14:cNvPr>
            <xdr14:cNvContentPartPr/>
          </xdr14:nvContentPartPr>
          <xdr14:nvPr macro=""/>
          <xdr14:xfrm>
            <a:off x="12846960" y="1192320"/>
            <a:ext cx="360" cy="360"/>
          </xdr14:xfrm>
        </xdr:contentPart>
      </mc:Choice>
      <mc:Fallback xmlns="">
        <xdr:pic>
          <xdr:nvPicPr>
            <xdr:cNvPr id="809" name="Ink 808">
              <a:extLst>
                <a:ext uri="{FF2B5EF4-FFF2-40B4-BE49-F238E27FC236}">
                  <a16:creationId xmlns:a16="http://schemas.microsoft.com/office/drawing/2014/main" id="{9F615D45-348C-1F4C-A5CB-AF18C0FC5DC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0">
          <xdr14:nvContentPartPr>
            <xdr14:cNvPr id="810" name="Ink 809">
              <a:extLst>
                <a:ext uri="{FF2B5EF4-FFF2-40B4-BE49-F238E27FC236}">
                  <a16:creationId xmlns:a16="http://schemas.microsoft.com/office/drawing/2014/main" id="{C4C02242-83A2-584B-AC87-BDC0FCCF1912}"/>
                </a:ext>
              </a:extLst>
            </xdr14:cNvPr>
            <xdr14:cNvContentPartPr/>
          </xdr14:nvContentPartPr>
          <xdr14:nvPr macro=""/>
          <xdr14:xfrm>
            <a:off x="12866040" y="1243440"/>
            <a:ext cx="360" cy="360"/>
          </xdr14:xfrm>
        </xdr:contentPart>
      </mc:Choice>
      <mc:Fallback xmlns="">
        <xdr:pic>
          <xdr:nvPicPr>
            <xdr:cNvPr id="810" name="Ink 809">
              <a:extLst>
                <a:ext uri="{FF2B5EF4-FFF2-40B4-BE49-F238E27FC236}">
                  <a16:creationId xmlns:a16="http://schemas.microsoft.com/office/drawing/2014/main" id="{C4C02242-83A2-584B-AC87-BDC0FCCF191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1">
          <xdr14:nvContentPartPr>
            <xdr14:cNvPr id="811" name="Ink 810">
              <a:extLst>
                <a:ext uri="{FF2B5EF4-FFF2-40B4-BE49-F238E27FC236}">
                  <a16:creationId xmlns:a16="http://schemas.microsoft.com/office/drawing/2014/main" id="{1B071F90-0FF8-CD45-B69D-3B987B84A217}"/>
                </a:ext>
              </a:extLst>
            </xdr14:cNvPr>
            <xdr14:cNvContentPartPr/>
          </xdr14:nvContentPartPr>
          <xdr14:nvPr macro=""/>
          <xdr14:xfrm>
            <a:off x="12973680" y="1366560"/>
            <a:ext cx="360" cy="360"/>
          </xdr14:xfrm>
        </xdr:contentPart>
      </mc:Choice>
      <mc:Fallback xmlns="">
        <xdr:pic>
          <xdr:nvPicPr>
            <xdr:cNvPr id="811" name="Ink 810">
              <a:extLst>
                <a:ext uri="{FF2B5EF4-FFF2-40B4-BE49-F238E27FC236}">
                  <a16:creationId xmlns:a16="http://schemas.microsoft.com/office/drawing/2014/main" id="{1B071F90-0FF8-CD45-B69D-3B987B84A21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2">
          <xdr14:nvContentPartPr>
            <xdr14:cNvPr id="812" name="Ink 811">
              <a:extLst>
                <a:ext uri="{FF2B5EF4-FFF2-40B4-BE49-F238E27FC236}">
                  <a16:creationId xmlns:a16="http://schemas.microsoft.com/office/drawing/2014/main" id="{BA6AC62F-EE9E-7544-8625-D50C54DD94A9}"/>
                </a:ext>
              </a:extLst>
            </xdr14:cNvPr>
            <xdr14:cNvContentPartPr/>
          </xdr14:nvContentPartPr>
          <xdr14:nvPr macro=""/>
          <xdr14:xfrm>
            <a:off x="12846960" y="1192320"/>
            <a:ext cx="360" cy="360"/>
          </xdr14:xfrm>
        </xdr:contentPart>
      </mc:Choice>
      <mc:Fallback xmlns="">
        <xdr:pic>
          <xdr:nvPicPr>
            <xdr:cNvPr id="812" name="Ink 811">
              <a:extLst>
                <a:ext uri="{FF2B5EF4-FFF2-40B4-BE49-F238E27FC236}">
                  <a16:creationId xmlns:a16="http://schemas.microsoft.com/office/drawing/2014/main" id="{BA6AC62F-EE9E-7544-8625-D50C54DD94A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3">
          <xdr14:nvContentPartPr>
            <xdr14:cNvPr id="813" name="Ink 812">
              <a:extLst>
                <a:ext uri="{FF2B5EF4-FFF2-40B4-BE49-F238E27FC236}">
                  <a16:creationId xmlns:a16="http://schemas.microsoft.com/office/drawing/2014/main" id="{FD3C47A4-40F1-904E-AABD-21B078008934}"/>
                </a:ext>
              </a:extLst>
            </xdr14:cNvPr>
            <xdr14:cNvContentPartPr/>
          </xdr14:nvContentPartPr>
          <xdr14:nvPr macro=""/>
          <xdr14:xfrm>
            <a:off x="12866040" y="1243440"/>
            <a:ext cx="360" cy="360"/>
          </xdr14:xfrm>
        </xdr:contentPart>
      </mc:Choice>
      <mc:Fallback xmlns="">
        <xdr:pic>
          <xdr:nvPicPr>
            <xdr:cNvPr id="813" name="Ink 812">
              <a:extLst>
                <a:ext uri="{FF2B5EF4-FFF2-40B4-BE49-F238E27FC236}">
                  <a16:creationId xmlns:a16="http://schemas.microsoft.com/office/drawing/2014/main" id="{FD3C47A4-40F1-904E-AABD-21B07800893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4">
          <xdr14:nvContentPartPr>
            <xdr14:cNvPr id="814" name="Ink 813">
              <a:extLst>
                <a:ext uri="{FF2B5EF4-FFF2-40B4-BE49-F238E27FC236}">
                  <a16:creationId xmlns:a16="http://schemas.microsoft.com/office/drawing/2014/main" id="{5C921FF2-19D5-E340-8A6E-6E079CE1186F}"/>
                </a:ext>
              </a:extLst>
            </xdr14:cNvPr>
            <xdr14:cNvContentPartPr/>
          </xdr14:nvContentPartPr>
          <xdr14:nvPr macro=""/>
          <xdr14:xfrm>
            <a:off x="12973680" y="1366560"/>
            <a:ext cx="360" cy="360"/>
          </xdr14:xfrm>
        </xdr:contentPart>
      </mc:Choice>
      <mc:Fallback xmlns="">
        <xdr:pic>
          <xdr:nvPicPr>
            <xdr:cNvPr id="814" name="Ink 813">
              <a:extLst>
                <a:ext uri="{FF2B5EF4-FFF2-40B4-BE49-F238E27FC236}">
                  <a16:creationId xmlns:a16="http://schemas.microsoft.com/office/drawing/2014/main" id="{5C921FF2-19D5-E340-8A6E-6E079CE1186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5">
          <xdr14:nvContentPartPr>
            <xdr14:cNvPr id="815" name="Ink 814">
              <a:extLst>
                <a:ext uri="{FF2B5EF4-FFF2-40B4-BE49-F238E27FC236}">
                  <a16:creationId xmlns:a16="http://schemas.microsoft.com/office/drawing/2014/main" id="{575D1067-974A-1848-AD41-5EAD8C8C322D}"/>
                </a:ext>
              </a:extLst>
            </xdr14:cNvPr>
            <xdr14:cNvContentPartPr/>
          </xdr14:nvContentPartPr>
          <xdr14:nvPr macro=""/>
          <xdr14:xfrm>
            <a:off x="12846960" y="1192320"/>
            <a:ext cx="360" cy="360"/>
          </xdr14:xfrm>
        </xdr:contentPart>
      </mc:Choice>
      <mc:Fallback xmlns="">
        <xdr:pic>
          <xdr:nvPicPr>
            <xdr:cNvPr id="815" name="Ink 814">
              <a:extLst>
                <a:ext uri="{FF2B5EF4-FFF2-40B4-BE49-F238E27FC236}">
                  <a16:creationId xmlns:a16="http://schemas.microsoft.com/office/drawing/2014/main" id="{575D1067-974A-1848-AD41-5EAD8C8C322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6">
          <xdr14:nvContentPartPr>
            <xdr14:cNvPr id="816" name="Ink 815">
              <a:extLst>
                <a:ext uri="{FF2B5EF4-FFF2-40B4-BE49-F238E27FC236}">
                  <a16:creationId xmlns:a16="http://schemas.microsoft.com/office/drawing/2014/main" id="{B73B2F84-A5B3-2342-88D6-2E2CBD0060AA}"/>
                </a:ext>
              </a:extLst>
            </xdr14:cNvPr>
            <xdr14:cNvContentPartPr/>
          </xdr14:nvContentPartPr>
          <xdr14:nvPr macro=""/>
          <xdr14:xfrm>
            <a:off x="12866040" y="1243440"/>
            <a:ext cx="360" cy="360"/>
          </xdr14:xfrm>
        </xdr:contentPart>
      </mc:Choice>
      <mc:Fallback xmlns="">
        <xdr:pic>
          <xdr:nvPicPr>
            <xdr:cNvPr id="816" name="Ink 815">
              <a:extLst>
                <a:ext uri="{FF2B5EF4-FFF2-40B4-BE49-F238E27FC236}">
                  <a16:creationId xmlns:a16="http://schemas.microsoft.com/office/drawing/2014/main" id="{B73B2F84-A5B3-2342-88D6-2E2CBD0060A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7">
          <xdr14:nvContentPartPr>
            <xdr14:cNvPr id="817" name="Ink 816">
              <a:extLst>
                <a:ext uri="{FF2B5EF4-FFF2-40B4-BE49-F238E27FC236}">
                  <a16:creationId xmlns:a16="http://schemas.microsoft.com/office/drawing/2014/main" id="{68F37EE8-3D31-9D40-A10E-0C0BBF5E66E0}"/>
                </a:ext>
              </a:extLst>
            </xdr14:cNvPr>
            <xdr14:cNvContentPartPr/>
          </xdr14:nvContentPartPr>
          <xdr14:nvPr macro=""/>
          <xdr14:xfrm>
            <a:off x="12973680" y="1366560"/>
            <a:ext cx="360" cy="360"/>
          </xdr14:xfrm>
        </xdr:contentPart>
      </mc:Choice>
      <mc:Fallback xmlns="">
        <xdr:pic>
          <xdr:nvPicPr>
            <xdr:cNvPr id="817" name="Ink 816">
              <a:extLst>
                <a:ext uri="{FF2B5EF4-FFF2-40B4-BE49-F238E27FC236}">
                  <a16:creationId xmlns:a16="http://schemas.microsoft.com/office/drawing/2014/main" id="{68F37EE8-3D31-9D40-A10E-0C0BBF5E66E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8">
          <xdr14:nvContentPartPr>
            <xdr14:cNvPr id="818" name="Ink 817">
              <a:extLst>
                <a:ext uri="{FF2B5EF4-FFF2-40B4-BE49-F238E27FC236}">
                  <a16:creationId xmlns:a16="http://schemas.microsoft.com/office/drawing/2014/main" id="{9592FF9B-58D8-A84F-A6E5-8B37BF8C65A0}"/>
                </a:ext>
              </a:extLst>
            </xdr14:cNvPr>
            <xdr14:cNvContentPartPr/>
          </xdr14:nvContentPartPr>
          <xdr14:nvPr macro=""/>
          <xdr14:xfrm>
            <a:off x="12846960" y="1192320"/>
            <a:ext cx="360" cy="360"/>
          </xdr14:xfrm>
        </xdr:contentPart>
      </mc:Choice>
      <mc:Fallback xmlns="">
        <xdr:pic>
          <xdr:nvPicPr>
            <xdr:cNvPr id="818" name="Ink 817">
              <a:extLst>
                <a:ext uri="{FF2B5EF4-FFF2-40B4-BE49-F238E27FC236}">
                  <a16:creationId xmlns:a16="http://schemas.microsoft.com/office/drawing/2014/main" id="{9592FF9B-58D8-A84F-A6E5-8B37BF8C65A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19">
          <xdr14:nvContentPartPr>
            <xdr14:cNvPr id="819" name="Ink 818">
              <a:extLst>
                <a:ext uri="{FF2B5EF4-FFF2-40B4-BE49-F238E27FC236}">
                  <a16:creationId xmlns:a16="http://schemas.microsoft.com/office/drawing/2014/main" id="{ABB3E19B-C3F7-394B-B00E-3C9C9285D352}"/>
                </a:ext>
              </a:extLst>
            </xdr14:cNvPr>
            <xdr14:cNvContentPartPr/>
          </xdr14:nvContentPartPr>
          <xdr14:nvPr macro=""/>
          <xdr14:xfrm>
            <a:off x="12866040" y="1243440"/>
            <a:ext cx="360" cy="360"/>
          </xdr14:xfrm>
        </xdr:contentPart>
      </mc:Choice>
      <mc:Fallback xmlns="">
        <xdr:pic>
          <xdr:nvPicPr>
            <xdr:cNvPr id="819" name="Ink 818">
              <a:extLst>
                <a:ext uri="{FF2B5EF4-FFF2-40B4-BE49-F238E27FC236}">
                  <a16:creationId xmlns:a16="http://schemas.microsoft.com/office/drawing/2014/main" id="{ABB3E19B-C3F7-394B-B00E-3C9C9285D35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0">
          <xdr14:nvContentPartPr>
            <xdr14:cNvPr id="820" name="Ink 819">
              <a:extLst>
                <a:ext uri="{FF2B5EF4-FFF2-40B4-BE49-F238E27FC236}">
                  <a16:creationId xmlns:a16="http://schemas.microsoft.com/office/drawing/2014/main" id="{8844BDD5-8479-FC43-903A-681687F35C24}"/>
                </a:ext>
              </a:extLst>
            </xdr14:cNvPr>
            <xdr14:cNvContentPartPr/>
          </xdr14:nvContentPartPr>
          <xdr14:nvPr macro=""/>
          <xdr14:xfrm>
            <a:off x="12973680" y="1366560"/>
            <a:ext cx="360" cy="360"/>
          </xdr14:xfrm>
        </xdr:contentPart>
      </mc:Choice>
      <mc:Fallback xmlns="">
        <xdr:pic>
          <xdr:nvPicPr>
            <xdr:cNvPr id="820" name="Ink 819">
              <a:extLst>
                <a:ext uri="{FF2B5EF4-FFF2-40B4-BE49-F238E27FC236}">
                  <a16:creationId xmlns:a16="http://schemas.microsoft.com/office/drawing/2014/main" id="{8844BDD5-8479-FC43-903A-681687F35C2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1">
          <xdr14:nvContentPartPr>
            <xdr14:cNvPr id="821" name="Ink 820">
              <a:extLst>
                <a:ext uri="{FF2B5EF4-FFF2-40B4-BE49-F238E27FC236}">
                  <a16:creationId xmlns:a16="http://schemas.microsoft.com/office/drawing/2014/main" id="{A034446C-8442-464C-A053-435EFBF599DC}"/>
                </a:ext>
              </a:extLst>
            </xdr14:cNvPr>
            <xdr14:cNvContentPartPr/>
          </xdr14:nvContentPartPr>
          <xdr14:nvPr macro=""/>
          <xdr14:xfrm>
            <a:off x="12846960" y="1192320"/>
            <a:ext cx="360" cy="360"/>
          </xdr14:xfrm>
        </xdr:contentPart>
      </mc:Choice>
      <mc:Fallback xmlns="">
        <xdr:pic>
          <xdr:nvPicPr>
            <xdr:cNvPr id="821" name="Ink 820">
              <a:extLst>
                <a:ext uri="{FF2B5EF4-FFF2-40B4-BE49-F238E27FC236}">
                  <a16:creationId xmlns:a16="http://schemas.microsoft.com/office/drawing/2014/main" id="{A034446C-8442-464C-A053-435EFBF599D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2">
          <xdr14:nvContentPartPr>
            <xdr14:cNvPr id="822" name="Ink 821">
              <a:extLst>
                <a:ext uri="{FF2B5EF4-FFF2-40B4-BE49-F238E27FC236}">
                  <a16:creationId xmlns:a16="http://schemas.microsoft.com/office/drawing/2014/main" id="{1D06EF0A-262D-164F-A2C9-4891CD2BEACB}"/>
                </a:ext>
              </a:extLst>
            </xdr14:cNvPr>
            <xdr14:cNvContentPartPr/>
          </xdr14:nvContentPartPr>
          <xdr14:nvPr macro=""/>
          <xdr14:xfrm>
            <a:off x="12866040" y="1243440"/>
            <a:ext cx="360" cy="360"/>
          </xdr14:xfrm>
        </xdr:contentPart>
      </mc:Choice>
      <mc:Fallback xmlns="">
        <xdr:pic>
          <xdr:nvPicPr>
            <xdr:cNvPr id="822" name="Ink 821">
              <a:extLst>
                <a:ext uri="{FF2B5EF4-FFF2-40B4-BE49-F238E27FC236}">
                  <a16:creationId xmlns:a16="http://schemas.microsoft.com/office/drawing/2014/main" id="{1D06EF0A-262D-164F-A2C9-4891CD2BEAC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3">
          <xdr14:nvContentPartPr>
            <xdr14:cNvPr id="823" name="Ink 822">
              <a:extLst>
                <a:ext uri="{FF2B5EF4-FFF2-40B4-BE49-F238E27FC236}">
                  <a16:creationId xmlns:a16="http://schemas.microsoft.com/office/drawing/2014/main" id="{B8767F11-8152-7B4E-8F8C-23020D4CE6DC}"/>
                </a:ext>
              </a:extLst>
            </xdr14:cNvPr>
            <xdr14:cNvContentPartPr/>
          </xdr14:nvContentPartPr>
          <xdr14:nvPr macro=""/>
          <xdr14:xfrm>
            <a:off x="12973680" y="1366560"/>
            <a:ext cx="360" cy="360"/>
          </xdr14:xfrm>
        </xdr:contentPart>
      </mc:Choice>
      <mc:Fallback xmlns="">
        <xdr:pic>
          <xdr:nvPicPr>
            <xdr:cNvPr id="823" name="Ink 822">
              <a:extLst>
                <a:ext uri="{FF2B5EF4-FFF2-40B4-BE49-F238E27FC236}">
                  <a16:creationId xmlns:a16="http://schemas.microsoft.com/office/drawing/2014/main" id="{B8767F11-8152-7B4E-8F8C-23020D4CE6D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4">
          <xdr14:nvContentPartPr>
            <xdr14:cNvPr id="824" name="Ink 823">
              <a:extLst>
                <a:ext uri="{FF2B5EF4-FFF2-40B4-BE49-F238E27FC236}">
                  <a16:creationId xmlns:a16="http://schemas.microsoft.com/office/drawing/2014/main" id="{0747AD38-B2CB-784C-80B1-09D8B8E07492}"/>
                </a:ext>
              </a:extLst>
            </xdr14:cNvPr>
            <xdr14:cNvContentPartPr/>
          </xdr14:nvContentPartPr>
          <xdr14:nvPr macro=""/>
          <xdr14:xfrm>
            <a:off x="12846960" y="1192320"/>
            <a:ext cx="360" cy="360"/>
          </xdr14:xfrm>
        </xdr:contentPart>
      </mc:Choice>
      <mc:Fallback xmlns="">
        <xdr:pic>
          <xdr:nvPicPr>
            <xdr:cNvPr id="824" name="Ink 823">
              <a:extLst>
                <a:ext uri="{FF2B5EF4-FFF2-40B4-BE49-F238E27FC236}">
                  <a16:creationId xmlns:a16="http://schemas.microsoft.com/office/drawing/2014/main" id="{0747AD38-B2CB-784C-80B1-09D8B8E0749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5">
          <xdr14:nvContentPartPr>
            <xdr14:cNvPr id="825" name="Ink 824">
              <a:extLst>
                <a:ext uri="{FF2B5EF4-FFF2-40B4-BE49-F238E27FC236}">
                  <a16:creationId xmlns:a16="http://schemas.microsoft.com/office/drawing/2014/main" id="{93BCAFF0-F3DC-B44D-AE58-5A38E03940BA}"/>
                </a:ext>
              </a:extLst>
            </xdr14:cNvPr>
            <xdr14:cNvContentPartPr/>
          </xdr14:nvContentPartPr>
          <xdr14:nvPr macro=""/>
          <xdr14:xfrm>
            <a:off x="12866040" y="1243440"/>
            <a:ext cx="360" cy="360"/>
          </xdr14:xfrm>
        </xdr:contentPart>
      </mc:Choice>
      <mc:Fallback xmlns="">
        <xdr:pic>
          <xdr:nvPicPr>
            <xdr:cNvPr id="825" name="Ink 824">
              <a:extLst>
                <a:ext uri="{FF2B5EF4-FFF2-40B4-BE49-F238E27FC236}">
                  <a16:creationId xmlns:a16="http://schemas.microsoft.com/office/drawing/2014/main" id="{93BCAFF0-F3DC-B44D-AE58-5A38E03940B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6">
          <xdr14:nvContentPartPr>
            <xdr14:cNvPr id="826" name="Ink 825">
              <a:extLst>
                <a:ext uri="{FF2B5EF4-FFF2-40B4-BE49-F238E27FC236}">
                  <a16:creationId xmlns:a16="http://schemas.microsoft.com/office/drawing/2014/main" id="{AB9C817A-BE78-CC4A-9F73-A3C1142C100B}"/>
                </a:ext>
              </a:extLst>
            </xdr14:cNvPr>
            <xdr14:cNvContentPartPr/>
          </xdr14:nvContentPartPr>
          <xdr14:nvPr macro=""/>
          <xdr14:xfrm>
            <a:off x="12973680" y="1366560"/>
            <a:ext cx="360" cy="360"/>
          </xdr14:xfrm>
        </xdr:contentPart>
      </mc:Choice>
      <mc:Fallback xmlns="">
        <xdr:pic>
          <xdr:nvPicPr>
            <xdr:cNvPr id="826" name="Ink 825">
              <a:extLst>
                <a:ext uri="{FF2B5EF4-FFF2-40B4-BE49-F238E27FC236}">
                  <a16:creationId xmlns:a16="http://schemas.microsoft.com/office/drawing/2014/main" id="{AB9C817A-BE78-CC4A-9F73-A3C1142C100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89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7">
          <xdr14:nvContentPartPr>
            <xdr14:cNvPr id="827" name="Ink 826">
              <a:extLst>
                <a:ext uri="{FF2B5EF4-FFF2-40B4-BE49-F238E27FC236}">
                  <a16:creationId xmlns:a16="http://schemas.microsoft.com/office/drawing/2014/main" id="{120E42DC-7A6B-BA47-8C84-6E0D716C1CC4}"/>
                </a:ext>
              </a:extLst>
            </xdr14:cNvPr>
            <xdr14:cNvContentPartPr/>
          </xdr14:nvContentPartPr>
          <xdr14:nvPr macro=""/>
          <xdr14:xfrm>
            <a:off x="12846960" y="1192320"/>
            <a:ext cx="360" cy="360"/>
          </xdr14:xfrm>
        </xdr:contentPart>
      </mc:Choice>
      <mc:Fallback xmlns="">
        <xdr:pic>
          <xdr:nvPicPr>
            <xdr:cNvPr id="827" name="Ink 826">
              <a:extLst>
                <a:ext uri="{FF2B5EF4-FFF2-40B4-BE49-F238E27FC236}">
                  <a16:creationId xmlns:a16="http://schemas.microsoft.com/office/drawing/2014/main" id="{120E42DC-7A6B-BA47-8C84-6E0D716C1CC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89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8">
          <xdr14:nvContentPartPr>
            <xdr14:cNvPr id="828" name="Ink 827">
              <a:extLst>
                <a:ext uri="{FF2B5EF4-FFF2-40B4-BE49-F238E27FC236}">
                  <a16:creationId xmlns:a16="http://schemas.microsoft.com/office/drawing/2014/main" id="{5C5A0625-0287-8843-B58E-A9691B2159EA}"/>
                </a:ext>
              </a:extLst>
            </xdr14:cNvPr>
            <xdr14:cNvContentPartPr/>
          </xdr14:nvContentPartPr>
          <xdr14:nvPr macro=""/>
          <xdr14:xfrm>
            <a:off x="12866040" y="1243440"/>
            <a:ext cx="360" cy="360"/>
          </xdr14:xfrm>
        </xdr:contentPart>
      </mc:Choice>
      <mc:Fallback xmlns="">
        <xdr:pic>
          <xdr:nvPicPr>
            <xdr:cNvPr id="828" name="Ink 827">
              <a:extLst>
                <a:ext uri="{FF2B5EF4-FFF2-40B4-BE49-F238E27FC236}">
                  <a16:creationId xmlns:a16="http://schemas.microsoft.com/office/drawing/2014/main" id="{5C5A0625-0287-8843-B58E-A9691B2159E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89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29">
          <xdr14:nvContentPartPr>
            <xdr14:cNvPr id="829" name="Ink 828">
              <a:extLst>
                <a:ext uri="{FF2B5EF4-FFF2-40B4-BE49-F238E27FC236}">
                  <a16:creationId xmlns:a16="http://schemas.microsoft.com/office/drawing/2014/main" id="{C59CDD48-6322-4542-AF63-6908EC34BB3D}"/>
                </a:ext>
              </a:extLst>
            </xdr14:cNvPr>
            <xdr14:cNvContentPartPr/>
          </xdr14:nvContentPartPr>
          <xdr14:nvPr macro=""/>
          <xdr14:xfrm>
            <a:off x="12973680" y="1366560"/>
            <a:ext cx="360" cy="360"/>
          </xdr14:xfrm>
        </xdr:contentPart>
      </mc:Choice>
      <mc:Fallback xmlns="">
        <xdr:pic>
          <xdr:nvPicPr>
            <xdr:cNvPr id="829" name="Ink 828">
              <a:extLst>
                <a:ext uri="{FF2B5EF4-FFF2-40B4-BE49-F238E27FC236}">
                  <a16:creationId xmlns:a16="http://schemas.microsoft.com/office/drawing/2014/main" id="{C59CDD48-6322-4542-AF63-6908EC34BB3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0">
          <xdr14:nvContentPartPr>
            <xdr14:cNvPr id="830" name="Ink 829">
              <a:extLst>
                <a:ext uri="{FF2B5EF4-FFF2-40B4-BE49-F238E27FC236}">
                  <a16:creationId xmlns:a16="http://schemas.microsoft.com/office/drawing/2014/main" id="{8798432A-5EB5-2C4D-B061-617687C9F3F0}"/>
                </a:ext>
              </a:extLst>
            </xdr14:cNvPr>
            <xdr14:cNvContentPartPr/>
          </xdr14:nvContentPartPr>
          <xdr14:nvPr macro=""/>
          <xdr14:xfrm>
            <a:off x="12846960" y="1192320"/>
            <a:ext cx="360" cy="360"/>
          </xdr14:xfrm>
        </xdr:contentPart>
      </mc:Choice>
      <mc:Fallback xmlns="">
        <xdr:pic>
          <xdr:nvPicPr>
            <xdr:cNvPr id="830" name="Ink 829">
              <a:extLst>
                <a:ext uri="{FF2B5EF4-FFF2-40B4-BE49-F238E27FC236}">
                  <a16:creationId xmlns:a16="http://schemas.microsoft.com/office/drawing/2014/main" id="{8798432A-5EB5-2C4D-B061-617687C9F3F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1">
          <xdr14:nvContentPartPr>
            <xdr14:cNvPr id="831" name="Ink 830">
              <a:extLst>
                <a:ext uri="{FF2B5EF4-FFF2-40B4-BE49-F238E27FC236}">
                  <a16:creationId xmlns:a16="http://schemas.microsoft.com/office/drawing/2014/main" id="{7D706D49-2AB4-B546-92A8-7198E03552C7}"/>
                </a:ext>
              </a:extLst>
            </xdr14:cNvPr>
            <xdr14:cNvContentPartPr/>
          </xdr14:nvContentPartPr>
          <xdr14:nvPr macro=""/>
          <xdr14:xfrm>
            <a:off x="12866040" y="1243440"/>
            <a:ext cx="360" cy="360"/>
          </xdr14:xfrm>
        </xdr:contentPart>
      </mc:Choice>
      <mc:Fallback xmlns="">
        <xdr:pic>
          <xdr:nvPicPr>
            <xdr:cNvPr id="831" name="Ink 830">
              <a:extLst>
                <a:ext uri="{FF2B5EF4-FFF2-40B4-BE49-F238E27FC236}">
                  <a16:creationId xmlns:a16="http://schemas.microsoft.com/office/drawing/2014/main" id="{7D706D49-2AB4-B546-92A8-7198E03552C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2">
          <xdr14:nvContentPartPr>
            <xdr14:cNvPr id="832" name="Ink 831">
              <a:extLst>
                <a:ext uri="{FF2B5EF4-FFF2-40B4-BE49-F238E27FC236}">
                  <a16:creationId xmlns:a16="http://schemas.microsoft.com/office/drawing/2014/main" id="{C615F498-6445-C041-908A-BDBC781F780E}"/>
                </a:ext>
              </a:extLst>
            </xdr14:cNvPr>
            <xdr14:cNvContentPartPr/>
          </xdr14:nvContentPartPr>
          <xdr14:nvPr macro=""/>
          <xdr14:xfrm>
            <a:off x="12973680" y="1366560"/>
            <a:ext cx="360" cy="360"/>
          </xdr14:xfrm>
        </xdr:contentPart>
      </mc:Choice>
      <mc:Fallback xmlns="">
        <xdr:pic>
          <xdr:nvPicPr>
            <xdr:cNvPr id="832" name="Ink 831">
              <a:extLst>
                <a:ext uri="{FF2B5EF4-FFF2-40B4-BE49-F238E27FC236}">
                  <a16:creationId xmlns:a16="http://schemas.microsoft.com/office/drawing/2014/main" id="{C615F498-6445-C041-908A-BDBC781F780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3">
          <xdr14:nvContentPartPr>
            <xdr14:cNvPr id="833" name="Ink 832">
              <a:extLst>
                <a:ext uri="{FF2B5EF4-FFF2-40B4-BE49-F238E27FC236}">
                  <a16:creationId xmlns:a16="http://schemas.microsoft.com/office/drawing/2014/main" id="{8EDA6704-9F25-EF42-917B-4A7837F57806}"/>
                </a:ext>
              </a:extLst>
            </xdr14:cNvPr>
            <xdr14:cNvContentPartPr/>
          </xdr14:nvContentPartPr>
          <xdr14:nvPr macro=""/>
          <xdr14:xfrm>
            <a:off x="12846960" y="1192320"/>
            <a:ext cx="360" cy="360"/>
          </xdr14:xfrm>
        </xdr:contentPart>
      </mc:Choice>
      <mc:Fallback xmlns="">
        <xdr:pic>
          <xdr:nvPicPr>
            <xdr:cNvPr id="833" name="Ink 832">
              <a:extLst>
                <a:ext uri="{FF2B5EF4-FFF2-40B4-BE49-F238E27FC236}">
                  <a16:creationId xmlns:a16="http://schemas.microsoft.com/office/drawing/2014/main" id="{8EDA6704-9F25-EF42-917B-4A7837F5780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4">
          <xdr14:nvContentPartPr>
            <xdr14:cNvPr id="834" name="Ink 833">
              <a:extLst>
                <a:ext uri="{FF2B5EF4-FFF2-40B4-BE49-F238E27FC236}">
                  <a16:creationId xmlns:a16="http://schemas.microsoft.com/office/drawing/2014/main" id="{B4240EB1-B2A2-9549-98C7-8F71887BF63E}"/>
                </a:ext>
              </a:extLst>
            </xdr14:cNvPr>
            <xdr14:cNvContentPartPr/>
          </xdr14:nvContentPartPr>
          <xdr14:nvPr macro=""/>
          <xdr14:xfrm>
            <a:off x="12866040" y="1243440"/>
            <a:ext cx="360" cy="360"/>
          </xdr14:xfrm>
        </xdr:contentPart>
      </mc:Choice>
      <mc:Fallback xmlns="">
        <xdr:pic>
          <xdr:nvPicPr>
            <xdr:cNvPr id="834" name="Ink 833">
              <a:extLst>
                <a:ext uri="{FF2B5EF4-FFF2-40B4-BE49-F238E27FC236}">
                  <a16:creationId xmlns:a16="http://schemas.microsoft.com/office/drawing/2014/main" id="{B4240EB1-B2A2-9549-98C7-8F71887BF63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5">
          <xdr14:nvContentPartPr>
            <xdr14:cNvPr id="835" name="Ink 834">
              <a:extLst>
                <a:ext uri="{FF2B5EF4-FFF2-40B4-BE49-F238E27FC236}">
                  <a16:creationId xmlns:a16="http://schemas.microsoft.com/office/drawing/2014/main" id="{56BA2F99-8F63-3B4E-868D-21D74C5A916A}"/>
                </a:ext>
              </a:extLst>
            </xdr14:cNvPr>
            <xdr14:cNvContentPartPr/>
          </xdr14:nvContentPartPr>
          <xdr14:nvPr macro=""/>
          <xdr14:xfrm>
            <a:off x="12973680" y="1366560"/>
            <a:ext cx="360" cy="360"/>
          </xdr14:xfrm>
        </xdr:contentPart>
      </mc:Choice>
      <mc:Fallback xmlns="">
        <xdr:pic>
          <xdr:nvPicPr>
            <xdr:cNvPr id="835" name="Ink 834">
              <a:extLst>
                <a:ext uri="{FF2B5EF4-FFF2-40B4-BE49-F238E27FC236}">
                  <a16:creationId xmlns:a16="http://schemas.microsoft.com/office/drawing/2014/main" id="{56BA2F99-8F63-3B4E-868D-21D74C5A916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6">
          <xdr14:nvContentPartPr>
            <xdr14:cNvPr id="836" name="Ink 835">
              <a:extLst>
                <a:ext uri="{FF2B5EF4-FFF2-40B4-BE49-F238E27FC236}">
                  <a16:creationId xmlns:a16="http://schemas.microsoft.com/office/drawing/2014/main" id="{7CB38F41-7279-4E45-9870-FD5905C1D878}"/>
                </a:ext>
              </a:extLst>
            </xdr14:cNvPr>
            <xdr14:cNvContentPartPr/>
          </xdr14:nvContentPartPr>
          <xdr14:nvPr macro=""/>
          <xdr14:xfrm>
            <a:off x="12846960" y="1192320"/>
            <a:ext cx="360" cy="360"/>
          </xdr14:xfrm>
        </xdr:contentPart>
      </mc:Choice>
      <mc:Fallback xmlns="">
        <xdr:pic>
          <xdr:nvPicPr>
            <xdr:cNvPr id="836" name="Ink 835">
              <a:extLst>
                <a:ext uri="{FF2B5EF4-FFF2-40B4-BE49-F238E27FC236}">
                  <a16:creationId xmlns:a16="http://schemas.microsoft.com/office/drawing/2014/main" id="{7CB38F41-7279-4E45-9870-FD5905C1D87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7">
          <xdr14:nvContentPartPr>
            <xdr14:cNvPr id="837" name="Ink 836">
              <a:extLst>
                <a:ext uri="{FF2B5EF4-FFF2-40B4-BE49-F238E27FC236}">
                  <a16:creationId xmlns:a16="http://schemas.microsoft.com/office/drawing/2014/main" id="{102A2D6B-6C2A-294E-86F1-C66038FEA1B3}"/>
                </a:ext>
              </a:extLst>
            </xdr14:cNvPr>
            <xdr14:cNvContentPartPr/>
          </xdr14:nvContentPartPr>
          <xdr14:nvPr macro=""/>
          <xdr14:xfrm>
            <a:off x="12866040" y="1243440"/>
            <a:ext cx="360" cy="360"/>
          </xdr14:xfrm>
        </xdr:contentPart>
      </mc:Choice>
      <mc:Fallback xmlns="">
        <xdr:pic>
          <xdr:nvPicPr>
            <xdr:cNvPr id="837" name="Ink 836">
              <a:extLst>
                <a:ext uri="{FF2B5EF4-FFF2-40B4-BE49-F238E27FC236}">
                  <a16:creationId xmlns:a16="http://schemas.microsoft.com/office/drawing/2014/main" id="{102A2D6B-6C2A-294E-86F1-C66038FEA1B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8">
          <xdr14:nvContentPartPr>
            <xdr14:cNvPr id="838" name="Ink 837">
              <a:extLst>
                <a:ext uri="{FF2B5EF4-FFF2-40B4-BE49-F238E27FC236}">
                  <a16:creationId xmlns:a16="http://schemas.microsoft.com/office/drawing/2014/main" id="{E5AD1391-F95F-0D4C-A68A-0700E99FF962}"/>
                </a:ext>
              </a:extLst>
            </xdr14:cNvPr>
            <xdr14:cNvContentPartPr/>
          </xdr14:nvContentPartPr>
          <xdr14:nvPr macro=""/>
          <xdr14:xfrm>
            <a:off x="12973680" y="1366560"/>
            <a:ext cx="360" cy="360"/>
          </xdr14:xfrm>
        </xdr:contentPart>
      </mc:Choice>
      <mc:Fallback xmlns="">
        <xdr:pic>
          <xdr:nvPicPr>
            <xdr:cNvPr id="838" name="Ink 837">
              <a:extLst>
                <a:ext uri="{FF2B5EF4-FFF2-40B4-BE49-F238E27FC236}">
                  <a16:creationId xmlns:a16="http://schemas.microsoft.com/office/drawing/2014/main" id="{E5AD1391-F95F-0D4C-A68A-0700E99FF96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39">
          <xdr14:nvContentPartPr>
            <xdr14:cNvPr id="839" name="Ink 838">
              <a:extLst>
                <a:ext uri="{FF2B5EF4-FFF2-40B4-BE49-F238E27FC236}">
                  <a16:creationId xmlns:a16="http://schemas.microsoft.com/office/drawing/2014/main" id="{5BFC56CA-575C-FF44-8F98-9FBBCB3A35F1}"/>
                </a:ext>
              </a:extLst>
            </xdr14:cNvPr>
            <xdr14:cNvContentPartPr/>
          </xdr14:nvContentPartPr>
          <xdr14:nvPr macro=""/>
          <xdr14:xfrm>
            <a:off x="12846960" y="1192320"/>
            <a:ext cx="360" cy="360"/>
          </xdr14:xfrm>
        </xdr:contentPart>
      </mc:Choice>
      <mc:Fallback xmlns="">
        <xdr:pic>
          <xdr:nvPicPr>
            <xdr:cNvPr id="839" name="Ink 838">
              <a:extLst>
                <a:ext uri="{FF2B5EF4-FFF2-40B4-BE49-F238E27FC236}">
                  <a16:creationId xmlns:a16="http://schemas.microsoft.com/office/drawing/2014/main" id="{5BFC56CA-575C-FF44-8F98-9FBBCB3A35F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0">
          <xdr14:nvContentPartPr>
            <xdr14:cNvPr id="840" name="Ink 839">
              <a:extLst>
                <a:ext uri="{FF2B5EF4-FFF2-40B4-BE49-F238E27FC236}">
                  <a16:creationId xmlns:a16="http://schemas.microsoft.com/office/drawing/2014/main" id="{22127B36-6B93-1340-B6E5-80EBB57AD27B}"/>
                </a:ext>
              </a:extLst>
            </xdr14:cNvPr>
            <xdr14:cNvContentPartPr/>
          </xdr14:nvContentPartPr>
          <xdr14:nvPr macro=""/>
          <xdr14:xfrm>
            <a:off x="12866040" y="1243440"/>
            <a:ext cx="360" cy="360"/>
          </xdr14:xfrm>
        </xdr:contentPart>
      </mc:Choice>
      <mc:Fallback xmlns="">
        <xdr:pic>
          <xdr:nvPicPr>
            <xdr:cNvPr id="840" name="Ink 839">
              <a:extLst>
                <a:ext uri="{FF2B5EF4-FFF2-40B4-BE49-F238E27FC236}">
                  <a16:creationId xmlns:a16="http://schemas.microsoft.com/office/drawing/2014/main" id="{22127B36-6B93-1340-B6E5-80EBB57AD27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1">
          <xdr14:nvContentPartPr>
            <xdr14:cNvPr id="841" name="Ink 840">
              <a:extLst>
                <a:ext uri="{FF2B5EF4-FFF2-40B4-BE49-F238E27FC236}">
                  <a16:creationId xmlns:a16="http://schemas.microsoft.com/office/drawing/2014/main" id="{E4017FF5-B280-A941-844F-ECD06F4D6656}"/>
                </a:ext>
              </a:extLst>
            </xdr14:cNvPr>
            <xdr14:cNvContentPartPr/>
          </xdr14:nvContentPartPr>
          <xdr14:nvPr macro=""/>
          <xdr14:xfrm>
            <a:off x="12973680" y="1366560"/>
            <a:ext cx="360" cy="360"/>
          </xdr14:xfrm>
        </xdr:contentPart>
      </mc:Choice>
      <mc:Fallback xmlns="">
        <xdr:pic>
          <xdr:nvPicPr>
            <xdr:cNvPr id="841" name="Ink 840">
              <a:extLst>
                <a:ext uri="{FF2B5EF4-FFF2-40B4-BE49-F238E27FC236}">
                  <a16:creationId xmlns:a16="http://schemas.microsoft.com/office/drawing/2014/main" id="{E4017FF5-B280-A941-844F-ECD06F4D665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2">
          <xdr14:nvContentPartPr>
            <xdr14:cNvPr id="842" name="Ink 841">
              <a:extLst>
                <a:ext uri="{FF2B5EF4-FFF2-40B4-BE49-F238E27FC236}">
                  <a16:creationId xmlns:a16="http://schemas.microsoft.com/office/drawing/2014/main" id="{B2A0A097-B1EB-EC47-B493-7D0CA29F2FBD}"/>
                </a:ext>
              </a:extLst>
            </xdr14:cNvPr>
            <xdr14:cNvContentPartPr/>
          </xdr14:nvContentPartPr>
          <xdr14:nvPr macro=""/>
          <xdr14:xfrm>
            <a:off x="12846960" y="1192320"/>
            <a:ext cx="360" cy="360"/>
          </xdr14:xfrm>
        </xdr:contentPart>
      </mc:Choice>
      <mc:Fallback xmlns="">
        <xdr:pic>
          <xdr:nvPicPr>
            <xdr:cNvPr id="842" name="Ink 841">
              <a:extLst>
                <a:ext uri="{FF2B5EF4-FFF2-40B4-BE49-F238E27FC236}">
                  <a16:creationId xmlns:a16="http://schemas.microsoft.com/office/drawing/2014/main" id="{B2A0A097-B1EB-EC47-B493-7D0CA29F2FB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3">
          <xdr14:nvContentPartPr>
            <xdr14:cNvPr id="843" name="Ink 842">
              <a:extLst>
                <a:ext uri="{FF2B5EF4-FFF2-40B4-BE49-F238E27FC236}">
                  <a16:creationId xmlns:a16="http://schemas.microsoft.com/office/drawing/2014/main" id="{D454A90A-EBE6-D349-987E-FC7A25F52780}"/>
                </a:ext>
              </a:extLst>
            </xdr14:cNvPr>
            <xdr14:cNvContentPartPr/>
          </xdr14:nvContentPartPr>
          <xdr14:nvPr macro=""/>
          <xdr14:xfrm>
            <a:off x="12866040" y="1243440"/>
            <a:ext cx="360" cy="360"/>
          </xdr14:xfrm>
        </xdr:contentPart>
      </mc:Choice>
      <mc:Fallback xmlns="">
        <xdr:pic>
          <xdr:nvPicPr>
            <xdr:cNvPr id="843" name="Ink 842">
              <a:extLst>
                <a:ext uri="{FF2B5EF4-FFF2-40B4-BE49-F238E27FC236}">
                  <a16:creationId xmlns:a16="http://schemas.microsoft.com/office/drawing/2014/main" id="{D454A90A-EBE6-D349-987E-FC7A25F5278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4">
          <xdr14:nvContentPartPr>
            <xdr14:cNvPr id="844" name="Ink 843">
              <a:extLst>
                <a:ext uri="{FF2B5EF4-FFF2-40B4-BE49-F238E27FC236}">
                  <a16:creationId xmlns:a16="http://schemas.microsoft.com/office/drawing/2014/main" id="{F3DF2E85-A45F-5841-B2B1-A62D96227443}"/>
                </a:ext>
              </a:extLst>
            </xdr14:cNvPr>
            <xdr14:cNvContentPartPr/>
          </xdr14:nvContentPartPr>
          <xdr14:nvPr macro=""/>
          <xdr14:xfrm>
            <a:off x="12973680" y="1366560"/>
            <a:ext cx="360" cy="360"/>
          </xdr14:xfrm>
        </xdr:contentPart>
      </mc:Choice>
      <mc:Fallback xmlns="">
        <xdr:pic>
          <xdr:nvPicPr>
            <xdr:cNvPr id="844" name="Ink 843">
              <a:extLst>
                <a:ext uri="{FF2B5EF4-FFF2-40B4-BE49-F238E27FC236}">
                  <a16:creationId xmlns:a16="http://schemas.microsoft.com/office/drawing/2014/main" id="{F3DF2E85-A45F-5841-B2B1-A62D9622744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5">
          <xdr14:nvContentPartPr>
            <xdr14:cNvPr id="845" name="Ink 844">
              <a:extLst>
                <a:ext uri="{FF2B5EF4-FFF2-40B4-BE49-F238E27FC236}">
                  <a16:creationId xmlns:a16="http://schemas.microsoft.com/office/drawing/2014/main" id="{4C6CBC55-5198-E241-8EF1-744FADC15FA4}"/>
                </a:ext>
              </a:extLst>
            </xdr14:cNvPr>
            <xdr14:cNvContentPartPr/>
          </xdr14:nvContentPartPr>
          <xdr14:nvPr macro=""/>
          <xdr14:xfrm>
            <a:off x="12846960" y="1192320"/>
            <a:ext cx="360" cy="360"/>
          </xdr14:xfrm>
        </xdr:contentPart>
      </mc:Choice>
      <mc:Fallback xmlns="">
        <xdr:pic>
          <xdr:nvPicPr>
            <xdr:cNvPr id="845" name="Ink 844">
              <a:extLst>
                <a:ext uri="{FF2B5EF4-FFF2-40B4-BE49-F238E27FC236}">
                  <a16:creationId xmlns:a16="http://schemas.microsoft.com/office/drawing/2014/main" id="{4C6CBC55-5198-E241-8EF1-744FADC15FA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6">
          <xdr14:nvContentPartPr>
            <xdr14:cNvPr id="846" name="Ink 845">
              <a:extLst>
                <a:ext uri="{FF2B5EF4-FFF2-40B4-BE49-F238E27FC236}">
                  <a16:creationId xmlns:a16="http://schemas.microsoft.com/office/drawing/2014/main" id="{0CD816B9-43BF-074D-BE22-326B782EDF01}"/>
                </a:ext>
              </a:extLst>
            </xdr14:cNvPr>
            <xdr14:cNvContentPartPr/>
          </xdr14:nvContentPartPr>
          <xdr14:nvPr macro=""/>
          <xdr14:xfrm>
            <a:off x="12866040" y="1243440"/>
            <a:ext cx="360" cy="360"/>
          </xdr14:xfrm>
        </xdr:contentPart>
      </mc:Choice>
      <mc:Fallback xmlns="">
        <xdr:pic>
          <xdr:nvPicPr>
            <xdr:cNvPr id="846" name="Ink 845">
              <a:extLst>
                <a:ext uri="{FF2B5EF4-FFF2-40B4-BE49-F238E27FC236}">
                  <a16:creationId xmlns:a16="http://schemas.microsoft.com/office/drawing/2014/main" id="{0CD816B9-43BF-074D-BE22-326B782EDF0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7">
          <xdr14:nvContentPartPr>
            <xdr14:cNvPr id="847" name="Ink 846">
              <a:extLst>
                <a:ext uri="{FF2B5EF4-FFF2-40B4-BE49-F238E27FC236}">
                  <a16:creationId xmlns:a16="http://schemas.microsoft.com/office/drawing/2014/main" id="{237A4897-4387-B84A-A723-5521FA7A241B}"/>
                </a:ext>
              </a:extLst>
            </xdr14:cNvPr>
            <xdr14:cNvContentPartPr/>
          </xdr14:nvContentPartPr>
          <xdr14:nvPr macro=""/>
          <xdr14:xfrm>
            <a:off x="12973680" y="1366560"/>
            <a:ext cx="360" cy="360"/>
          </xdr14:xfrm>
        </xdr:contentPart>
      </mc:Choice>
      <mc:Fallback xmlns="">
        <xdr:pic>
          <xdr:nvPicPr>
            <xdr:cNvPr id="847" name="Ink 846">
              <a:extLst>
                <a:ext uri="{FF2B5EF4-FFF2-40B4-BE49-F238E27FC236}">
                  <a16:creationId xmlns:a16="http://schemas.microsoft.com/office/drawing/2014/main" id="{237A4897-4387-B84A-A723-5521FA7A241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8">
          <xdr14:nvContentPartPr>
            <xdr14:cNvPr id="848" name="Ink 847">
              <a:extLst>
                <a:ext uri="{FF2B5EF4-FFF2-40B4-BE49-F238E27FC236}">
                  <a16:creationId xmlns:a16="http://schemas.microsoft.com/office/drawing/2014/main" id="{719ABCB7-E05F-5C41-81C7-E70A1900B6D5}"/>
                </a:ext>
              </a:extLst>
            </xdr14:cNvPr>
            <xdr14:cNvContentPartPr/>
          </xdr14:nvContentPartPr>
          <xdr14:nvPr macro=""/>
          <xdr14:xfrm>
            <a:off x="12846960" y="1192320"/>
            <a:ext cx="360" cy="360"/>
          </xdr14:xfrm>
        </xdr:contentPart>
      </mc:Choice>
      <mc:Fallback xmlns="">
        <xdr:pic>
          <xdr:nvPicPr>
            <xdr:cNvPr id="848" name="Ink 847">
              <a:extLst>
                <a:ext uri="{FF2B5EF4-FFF2-40B4-BE49-F238E27FC236}">
                  <a16:creationId xmlns:a16="http://schemas.microsoft.com/office/drawing/2014/main" id="{719ABCB7-E05F-5C41-81C7-E70A1900B6D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49">
          <xdr14:nvContentPartPr>
            <xdr14:cNvPr id="849" name="Ink 848">
              <a:extLst>
                <a:ext uri="{FF2B5EF4-FFF2-40B4-BE49-F238E27FC236}">
                  <a16:creationId xmlns:a16="http://schemas.microsoft.com/office/drawing/2014/main" id="{8E3CF083-C61C-C244-B7FF-5F0819465A29}"/>
                </a:ext>
              </a:extLst>
            </xdr14:cNvPr>
            <xdr14:cNvContentPartPr/>
          </xdr14:nvContentPartPr>
          <xdr14:nvPr macro=""/>
          <xdr14:xfrm>
            <a:off x="12866040" y="1243440"/>
            <a:ext cx="360" cy="360"/>
          </xdr14:xfrm>
        </xdr:contentPart>
      </mc:Choice>
      <mc:Fallback xmlns="">
        <xdr:pic>
          <xdr:nvPicPr>
            <xdr:cNvPr id="849" name="Ink 848">
              <a:extLst>
                <a:ext uri="{FF2B5EF4-FFF2-40B4-BE49-F238E27FC236}">
                  <a16:creationId xmlns:a16="http://schemas.microsoft.com/office/drawing/2014/main" id="{8E3CF083-C61C-C244-B7FF-5F0819465A2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0">
          <xdr14:nvContentPartPr>
            <xdr14:cNvPr id="850" name="Ink 849">
              <a:extLst>
                <a:ext uri="{FF2B5EF4-FFF2-40B4-BE49-F238E27FC236}">
                  <a16:creationId xmlns:a16="http://schemas.microsoft.com/office/drawing/2014/main" id="{5B89D654-7AB8-E64A-BBFD-04FEB7D2EF2F}"/>
                </a:ext>
              </a:extLst>
            </xdr14:cNvPr>
            <xdr14:cNvContentPartPr/>
          </xdr14:nvContentPartPr>
          <xdr14:nvPr macro=""/>
          <xdr14:xfrm>
            <a:off x="12973680" y="1366560"/>
            <a:ext cx="360" cy="360"/>
          </xdr14:xfrm>
        </xdr:contentPart>
      </mc:Choice>
      <mc:Fallback xmlns="">
        <xdr:pic>
          <xdr:nvPicPr>
            <xdr:cNvPr id="850" name="Ink 849">
              <a:extLst>
                <a:ext uri="{FF2B5EF4-FFF2-40B4-BE49-F238E27FC236}">
                  <a16:creationId xmlns:a16="http://schemas.microsoft.com/office/drawing/2014/main" id="{5B89D654-7AB8-E64A-BBFD-04FEB7D2EF2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1">
          <xdr14:nvContentPartPr>
            <xdr14:cNvPr id="851" name="Ink 850">
              <a:extLst>
                <a:ext uri="{FF2B5EF4-FFF2-40B4-BE49-F238E27FC236}">
                  <a16:creationId xmlns:a16="http://schemas.microsoft.com/office/drawing/2014/main" id="{70C39791-0CF5-9E4B-8D25-C9C3D25CE25F}"/>
                </a:ext>
              </a:extLst>
            </xdr14:cNvPr>
            <xdr14:cNvContentPartPr/>
          </xdr14:nvContentPartPr>
          <xdr14:nvPr macro=""/>
          <xdr14:xfrm>
            <a:off x="12846960" y="1192320"/>
            <a:ext cx="360" cy="360"/>
          </xdr14:xfrm>
        </xdr:contentPart>
      </mc:Choice>
      <mc:Fallback xmlns="">
        <xdr:pic>
          <xdr:nvPicPr>
            <xdr:cNvPr id="851" name="Ink 850">
              <a:extLst>
                <a:ext uri="{FF2B5EF4-FFF2-40B4-BE49-F238E27FC236}">
                  <a16:creationId xmlns:a16="http://schemas.microsoft.com/office/drawing/2014/main" id="{70C39791-0CF5-9E4B-8D25-C9C3D25CE25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2">
          <xdr14:nvContentPartPr>
            <xdr14:cNvPr id="852" name="Ink 851">
              <a:extLst>
                <a:ext uri="{FF2B5EF4-FFF2-40B4-BE49-F238E27FC236}">
                  <a16:creationId xmlns:a16="http://schemas.microsoft.com/office/drawing/2014/main" id="{786033D0-6EC1-BD40-AE00-09298A0A78CD}"/>
                </a:ext>
              </a:extLst>
            </xdr14:cNvPr>
            <xdr14:cNvContentPartPr/>
          </xdr14:nvContentPartPr>
          <xdr14:nvPr macro=""/>
          <xdr14:xfrm>
            <a:off x="12866040" y="1243440"/>
            <a:ext cx="360" cy="360"/>
          </xdr14:xfrm>
        </xdr:contentPart>
      </mc:Choice>
      <mc:Fallback xmlns="">
        <xdr:pic>
          <xdr:nvPicPr>
            <xdr:cNvPr id="852" name="Ink 851">
              <a:extLst>
                <a:ext uri="{FF2B5EF4-FFF2-40B4-BE49-F238E27FC236}">
                  <a16:creationId xmlns:a16="http://schemas.microsoft.com/office/drawing/2014/main" id="{786033D0-6EC1-BD40-AE00-09298A0A78C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3">
          <xdr14:nvContentPartPr>
            <xdr14:cNvPr id="853" name="Ink 852">
              <a:extLst>
                <a:ext uri="{FF2B5EF4-FFF2-40B4-BE49-F238E27FC236}">
                  <a16:creationId xmlns:a16="http://schemas.microsoft.com/office/drawing/2014/main" id="{B3BEFC9C-B9B8-F540-A9AD-97F616E2C252}"/>
                </a:ext>
              </a:extLst>
            </xdr14:cNvPr>
            <xdr14:cNvContentPartPr/>
          </xdr14:nvContentPartPr>
          <xdr14:nvPr macro=""/>
          <xdr14:xfrm>
            <a:off x="12973680" y="1366560"/>
            <a:ext cx="360" cy="360"/>
          </xdr14:xfrm>
        </xdr:contentPart>
      </mc:Choice>
      <mc:Fallback xmlns="">
        <xdr:pic>
          <xdr:nvPicPr>
            <xdr:cNvPr id="853" name="Ink 852">
              <a:extLst>
                <a:ext uri="{FF2B5EF4-FFF2-40B4-BE49-F238E27FC236}">
                  <a16:creationId xmlns:a16="http://schemas.microsoft.com/office/drawing/2014/main" id="{B3BEFC9C-B9B8-F540-A9AD-97F616E2C25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4">
          <xdr14:nvContentPartPr>
            <xdr14:cNvPr id="854" name="Ink 853">
              <a:extLst>
                <a:ext uri="{FF2B5EF4-FFF2-40B4-BE49-F238E27FC236}">
                  <a16:creationId xmlns:a16="http://schemas.microsoft.com/office/drawing/2014/main" id="{60EDC8F3-A204-C741-AC0C-1BFBA42ADC73}"/>
                </a:ext>
              </a:extLst>
            </xdr14:cNvPr>
            <xdr14:cNvContentPartPr/>
          </xdr14:nvContentPartPr>
          <xdr14:nvPr macro=""/>
          <xdr14:xfrm>
            <a:off x="12846960" y="1192320"/>
            <a:ext cx="360" cy="360"/>
          </xdr14:xfrm>
        </xdr:contentPart>
      </mc:Choice>
      <mc:Fallback xmlns="">
        <xdr:pic>
          <xdr:nvPicPr>
            <xdr:cNvPr id="854" name="Ink 853">
              <a:extLst>
                <a:ext uri="{FF2B5EF4-FFF2-40B4-BE49-F238E27FC236}">
                  <a16:creationId xmlns:a16="http://schemas.microsoft.com/office/drawing/2014/main" id="{60EDC8F3-A204-C741-AC0C-1BFBA42ADC7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5">
          <xdr14:nvContentPartPr>
            <xdr14:cNvPr id="855" name="Ink 854">
              <a:extLst>
                <a:ext uri="{FF2B5EF4-FFF2-40B4-BE49-F238E27FC236}">
                  <a16:creationId xmlns:a16="http://schemas.microsoft.com/office/drawing/2014/main" id="{A7E8F43D-5744-0B4D-9960-53ED071B79D5}"/>
                </a:ext>
              </a:extLst>
            </xdr14:cNvPr>
            <xdr14:cNvContentPartPr/>
          </xdr14:nvContentPartPr>
          <xdr14:nvPr macro=""/>
          <xdr14:xfrm>
            <a:off x="12866040" y="1243440"/>
            <a:ext cx="360" cy="360"/>
          </xdr14:xfrm>
        </xdr:contentPart>
      </mc:Choice>
      <mc:Fallback xmlns="">
        <xdr:pic>
          <xdr:nvPicPr>
            <xdr:cNvPr id="855" name="Ink 854">
              <a:extLst>
                <a:ext uri="{FF2B5EF4-FFF2-40B4-BE49-F238E27FC236}">
                  <a16:creationId xmlns:a16="http://schemas.microsoft.com/office/drawing/2014/main" id="{A7E8F43D-5744-0B4D-9960-53ED071B79D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6">
          <xdr14:nvContentPartPr>
            <xdr14:cNvPr id="856" name="Ink 855">
              <a:extLst>
                <a:ext uri="{FF2B5EF4-FFF2-40B4-BE49-F238E27FC236}">
                  <a16:creationId xmlns:a16="http://schemas.microsoft.com/office/drawing/2014/main" id="{318D0727-964C-A340-9535-561E300B656F}"/>
                </a:ext>
              </a:extLst>
            </xdr14:cNvPr>
            <xdr14:cNvContentPartPr/>
          </xdr14:nvContentPartPr>
          <xdr14:nvPr macro=""/>
          <xdr14:xfrm>
            <a:off x="12973680" y="1366560"/>
            <a:ext cx="360" cy="360"/>
          </xdr14:xfrm>
        </xdr:contentPart>
      </mc:Choice>
      <mc:Fallback xmlns="">
        <xdr:pic>
          <xdr:nvPicPr>
            <xdr:cNvPr id="856" name="Ink 855">
              <a:extLst>
                <a:ext uri="{FF2B5EF4-FFF2-40B4-BE49-F238E27FC236}">
                  <a16:creationId xmlns:a16="http://schemas.microsoft.com/office/drawing/2014/main" id="{318D0727-964C-A340-9535-561E300B656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99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7">
          <xdr14:nvContentPartPr>
            <xdr14:cNvPr id="857" name="Ink 856">
              <a:extLst>
                <a:ext uri="{FF2B5EF4-FFF2-40B4-BE49-F238E27FC236}">
                  <a16:creationId xmlns:a16="http://schemas.microsoft.com/office/drawing/2014/main" id="{F00C6C94-F15D-CA4B-99B0-1701FFC607AC}"/>
                </a:ext>
              </a:extLst>
            </xdr14:cNvPr>
            <xdr14:cNvContentPartPr/>
          </xdr14:nvContentPartPr>
          <xdr14:nvPr macro=""/>
          <xdr14:xfrm>
            <a:off x="12846960" y="1192320"/>
            <a:ext cx="360" cy="360"/>
          </xdr14:xfrm>
        </xdr:contentPart>
      </mc:Choice>
      <mc:Fallback xmlns="">
        <xdr:pic>
          <xdr:nvPicPr>
            <xdr:cNvPr id="857" name="Ink 856">
              <a:extLst>
                <a:ext uri="{FF2B5EF4-FFF2-40B4-BE49-F238E27FC236}">
                  <a16:creationId xmlns:a16="http://schemas.microsoft.com/office/drawing/2014/main" id="{F00C6C94-F15D-CA4B-99B0-1701FFC607A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99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8">
          <xdr14:nvContentPartPr>
            <xdr14:cNvPr id="858" name="Ink 857">
              <a:extLst>
                <a:ext uri="{FF2B5EF4-FFF2-40B4-BE49-F238E27FC236}">
                  <a16:creationId xmlns:a16="http://schemas.microsoft.com/office/drawing/2014/main" id="{8EEB47B8-5C21-2547-AC47-BE35777EF07E}"/>
                </a:ext>
              </a:extLst>
            </xdr14:cNvPr>
            <xdr14:cNvContentPartPr/>
          </xdr14:nvContentPartPr>
          <xdr14:nvPr macro=""/>
          <xdr14:xfrm>
            <a:off x="12866040" y="1243440"/>
            <a:ext cx="360" cy="360"/>
          </xdr14:xfrm>
        </xdr:contentPart>
      </mc:Choice>
      <mc:Fallback xmlns="">
        <xdr:pic>
          <xdr:nvPicPr>
            <xdr:cNvPr id="858" name="Ink 857">
              <a:extLst>
                <a:ext uri="{FF2B5EF4-FFF2-40B4-BE49-F238E27FC236}">
                  <a16:creationId xmlns:a16="http://schemas.microsoft.com/office/drawing/2014/main" id="{8EEB47B8-5C21-2547-AC47-BE35777EF07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99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59">
          <xdr14:nvContentPartPr>
            <xdr14:cNvPr id="859" name="Ink 858">
              <a:extLst>
                <a:ext uri="{FF2B5EF4-FFF2-40B4-BE49-F238E27FC236}">
                  <a16:creationId xmlns:a16="http://schemas.microsoft.com/office/drawing/2014/main" id="{8730A68F-A677-A940-BEB4-7ED3642B1875}"/>
                </a:ext>
              </a:extLst>
            </xdr14:cNvPr>
            <xdr14:cNvContentPartPr/>
          </xdr14:nvContentPartPr>
          <xdr14:nvPr macro=""/>
          <xdr14:xfrm>
            <a:off x="12973680" y="1366560"/>
            <a:ext cx="360" cy="360"/>
          </xdr14:xfrm>
        </xdr:contentPart>
      </mc:Choice>
      <mc:Fallback xmlns="">
        <xdr:pic>
          <xdr:nvPicPr>
            <xdr:cNvPr id="859" name="Ink 858">
              <a:extLst>
                <a:ext uri="{FF2B5EF4-FFF2-40B4-BE49-F238E27FC236}">
                  <a16:creationId xmlns:a16="http://schemas.microsoft.com/office/drawing/2014/main" id="{8730A68F-A677-A940-BEB4-7ED3642B187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0">
          <xdr14:nvContentPartPr>
            <xdr14:cNvPr id="860" name="Ink 859">
              <a:extLst>
                <a:ext uri="{FF2B5EF4-FFF2-40B4-BE49-F238E27FC236}">
                  <a16:creationId xmlns:a16="http://schemas.microsoft.com/office/drawing/2014/main" id="{BAB27863-CA65-3947-B3AE-C8B2C0EEEBB5}"/>
                </a:ext>
              </a:extLst>
            </xdr14:cNvPr>
            <xdr14:cNvContentPartPr/>
          </xdr14:nvContentPartPr>
          <xdr14:nvPr macro=""/>
          <xdr14:xfrm>
            <a:off x="12846960" y="1192320"/>
            <a:ext cx="360" cy="360"/>
          </xdr14:xfrm>
        </xdr:contentPart>
      </mc:Choice>
      <mc:Fallback xmlns="">
        <xdr:pic>
          <xdr:nvPicPr>
            <xdr:cNvPr id="860" name="Ink 859">
              <a:extLst>
                <a:ext uri="{FF2B5EF4-FFF2-40B4-BE49-F238E27FC236}">
                  <a16:creationId xmlns:a16="http://schemas.microsoft.com/office/drawing/2014/main" id="{BAB27863-CA65-3947-B3AE-C8B2C0EEEBB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1">
          <xdr14:nvContentPartPr>
            <xdr14:cNvPr id="861" name="Ink 860">
              <a:extLst>
                <a:ext uri="{FF2B5EF4-FFF2-40B4-BE49-F238E27FC236}">
                  <a16:creationId xmlns:a16="http://schemas.microsoft.com/office/drawing/2014/main" id="{0DA86CF3-9A79-F846-A8CF-AE0F326F9A74}"/>
                </a:ext>
              </a:extLst>
            </xdr14:cNvPr>
            <xdr14:cNvContentPartPr/>
          </xdr14:nvContentPartPr>
          <xdr14:nvPr macro=""/>
          <xdr14:xfrm>
            <a:off x="12866040" y="1243440"/>
            <a:ext cx="360" cy="360"/>
          </xdr14:xfrm>
        </xdr:contentPart>
      </mc:Choice>
      <mc:Fallback xmlns="">
        <xdr:pic>
          <xdr:nvPicPr>
            <xdr:cNvPr id="861" name="Ink 860">
              <a:extLst>
                <a:ext uri="{FF2B5EF4-FFF2-40B4-BE49-F238E27FC236}">
                  <a16:creationId xmlns:a16="http://schemas.microsoft.com/office/drawing/2014/main" id="{0DA86CF3-9A79-F846-A8CF-AE0F326F9A7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2">
          <xdr14:nvContentPartPr>
            <xdr14:cNvPr id="862" name="Ink 861">
              <a:extLst>
                <a:ext uri="{FF2B5EF4-FFF2-40B4-BE49-F238E27FC236}">
                  <a16:creationId xmlns:a16="http://schemas.microsoft.com/office/drawing/2014/main" id="{0213B783-73BD-164D-A218-BB4A2C93FCE5}"/>
                </a:ext>
              </a:extLst>
            </xdr14:cNvPr>
            <xdr14:cNvContentPartPr/>
          </xdr14:nvContentPartPr>
          <xdr14:nvPr macro=""/>
          <xdr14:xfrm>
            <a:off x="12973680" y="1366560"/>
            <a:ext cx="360" cy="360"/>
          </xdr14:xfrm>
        </xdr:contentPart>
      </mc:Choice>
      <mc:Fallback xmlns="">
        <xdr:pic>
          <xdr:nvPicPr>
            <xdr:cNvPr id="862" name="Ink 861">
              <a:extLst>
                <a:ext uri="{FF2B5EF4-FFF2-40B4-BE49-F238E27FC236}">
                  <a16:creationId xmlns:a16="http://schemas.microsoft.com/office/drawing/2014/main" id="{0213B783-73BD-164D-A218-BB4A2C93FCE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3">
          <xdr14:nvContentPartPr>
            <xdr14:cNvPr id="863" name="Ink 862">
              <a:extLst>
                <a:ext uri="{FF2B5EF4-FFF2-40B4-BE49-F238E27FC236}">
                  <a16:creationId xmlns:a16="http://schemas.microsoft.com/office/drawing/2014/main" id="{26141A4A-1A52-5C4E-9720-A9B97E4C49B8}"/>
                </a:ext>
              </a:extLst>
            </xdr14:cNvPr>
            <xdr14:cNvContentPartPr/>
          </xdr14:nvContentPartPr>
          <xdr14:nvPr macro=""/>
          <xdr14:xfrm>
            <a:off x="12846960" y="1192320"/>
            <a:ext cx="360" cy="360"/>
          </xdr14:xfrm>
        </xdr:contentPart>
      </mc:Choice>
      <mc:Fallback xmlns="">
        <xdr:pic>
          <xdr:nvPicPr>
            <xdr:cNvPr id="863" name="Ink 862">
              <a:extLst>
                <a:ext uri="{FF2B5EF4-FFF2-40B4-BE49-F238E27FC236}">
                  <a16:creationId xmlns:a16="http://schemas.microsoft.com/office/drawing/2014/main" id="{26141A4A-1A52-5C4E-9720-A9B97E4C49B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4">
          <xdr14:nvContentPartPr>
            <xdr14:cNvPr id="864" name="Ink 863">
              <a:extLst>
                <a:ext uri="{FF2B5EF4-FFF2-40B4-BE49-F238E27FC236}">
                  <a16:creationId xmlns:a16="http://schemas.microsoft.com/office/drawing/2014/main" id="{A230417A-F5EC-8A46-8E9E-5A3AC310A8AA}"/>
                </a:ext>
              </a:extLst>
            </xdr14:cNvPr>
            <xdr14:cNvContentPartPr/>
          </xdr14:nvContentPartPr>
          <xdr14:nvPr macro=""/>
          <xdr14:xfrm>
            <a:off x="12866040" y="1243440"/>
            <a:ext cx="360" cy="360"/>
          </xdr14:xfrm>
        </xdr:contentPart>
      </mc:Choice>
      <mc:Fallback xmlns="">
        <xdr:pic>
          <xdr:nvPicPr>
            <xdr:cNvPr id="864" name="Ink 863">
              <a:extLst>
                <a:ext uri="{FF2B5EF4-FFF2-40B4-BE49-F238E27FC236}">
                  <a16:creationId xmlns:a16="http://schemas.microsoft.com/office/drawing/2014/main" id="{A230417A-F5EC-8A46-8E9E-5A3AC310A8A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5">
          <xdr14:nvContentPartPr>
            <xdr14:cNvPr id="865" name="Ink 864">
              <a:extLst>
                <a:ext uri="{FF2B5EF4-FFF2-40B4-BE49-F238E27FC236}">
                  <a16:creationId xmlns:a16="http://schemas.microsoft.com/office/drawing/2014/main" id="{421C7B93-AE9A-9D47-A780-C181189286AD}"/>
                </a:ext>
              </a:extLst>
            </xdr14:cNvPr>
            <xdr14:cNvContentPartPr/>
          </xdr14:nvContentPartPr>
          <xdr14:nvPr macro=""/>
          <xdr14:xfrm>
            <a:off x="12973680" y="1366560"/>
            <a:ext cx="360" cy="360"/>
          </xdr14:xfrm>
        </xdr:contentPart>
      </mc:Choice>
      <mc:Fallback xmlns="">
        <xdr:pic>
          <xdr:nvPicPr>
            <xdr:cNvPr id="865" name="Ink 864">
              <a:extLst>
                <a:ext uri="{FF2B5EF4-FFF2-40B4-BE49-F238E27FC236}">
                  <a16:creationId xmlns:a16="http://schemas.microsoft.com/office/drawing/2014/main" id="{421C7B93-AE9A-9D47-A780-C181189286A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6">
          <xdr14:nvContentPartPr>
            <xdr14:cNvPr id="866" name="Ink 865">
              <a:extLst>
                <a:ext uri="{FF2B5EF4-FFF2-40B4-BE49-F238E27FC236}">
                  <a16:creationId xmlns:a16="http://schemas.microsoft.com/office/drawing/2014/main" id="{64E2A73F-F65A-E74E-8BEA-EA32EE250AE9}"/>
                </a:ext>
              </a:extLst>
            </xdr14:cNvPr>
            <xdr14:cNvContentPartPr/>
          </xdr14:nvContentPartPr>
          <xdr14:nvPr macro=""/>
          <xdr14:xfrm>
            <a:off x="12846960" y="1192320"/>
            <a:ext cx="360" cy="360"/>
          </xdr14:xfrm>
        </xdr:contentPart>
      </mc:Choice>
      <mc:Fallback xmlns="">
        <xdr:pic>
          <xdr:nvPicPr>
            <xdr:cNvPr id="866" name="Ink 865">
              <a:extLst>
                <a:ext uri="{FF2B5EF4-FFF2-40B4-BE49-F238E27FC236}">
                  <a16:creationId xmlns:a16="http://schemas.microsoft.com/office/drawing/2014/main" id="{64E2A73F-F65A-E74E-8BEA-EA32EE250AE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7">
          <xdr14:nvContentPartPr>
            <xdr14:cNvPr id="867" name="Ink 866">
              <a:extLst>
                <a:ext uri="{FF2B5EF4-FFF2-40B4-BE49-F238E27FC236}">
                  <a16:creationId xmlns:a16="http://schemas.microsoft.com/office/drawing/2014/main" id="{ED2F6AB6-B3FC-0D4A-9781-D4745D2C06E1}"/>
                </a:ext>
              </a:extLst>
            </xdr14:cNvPr>
            <xdr14:cNvContentPartPr/>
          </xdr14:nvContentPartPr>
          <xdr14:nvPr macro=""/>
          <xdr14:xfrm>
            <a:off x="12866040" y="1243440"/>
            <a:ext cx="360" cy="360"/>
          </xdr14:xfrm>
        </xdr:contentPart>
      </mc:Choice>
      <mc:Fallback xmlns="">
        <xdr:pic>
          <xdr:nvPicPr>
            <xdr:cNvPr id="867" name="Ink 866">
              <a:extLst>
                <a:ext uri="{FF2B5EF4-FFF2-40B4-BE49-F238E27FC236}">
                  <a16:creationId xmlns:a16="http://schemas.microsoft.com/office/drawing/2014/main" id="{ED2F6AB6-B3FC-0D4A-9781-D4745D2C06E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8">
          <xdr14:nvContentPartPr>
            <xdr14:cNvPr id="868" name="Ink 867">
              <a:extLst>
                <a:ext uri="{FF2B5EF4-FFF2-40B4-BE49-F238E27FC236}">
                  <a16:creationId xmlns:a16="http://schemas.microsoft.com/office/drawing/2014/main" id="{F67EEB90-3B34-AC4C-A006-3E40FF1207E6}"/>
                </a:ext>
              </a:extLst>
            </xdr14:cNvPr>
            <xdr14:cNvContentPartPr/>
          </xdr14:nvContentPartPr>
          <xdr14:nvPr macro=""/>
          <xdr14:xfrm>
            <a:off x="12973680" y="1366560"/>
            <a:ext cx="360" cy="360"/>
          </xdr14:xfrm>
        </xdr:contentPart>
      </mc:Choice>
      <mc:Fallback xmlns="">
        <xdr:pic>
          <xdr:nvPicPr>
            <xdr:cNvPr id="868" name="Ink 867">
              <a:extLst>
                <a:ext uri="{FF2B5EF4-FFF2-40B4-BE49-F238E27FC236}">
                  <a16:creationId xmlns:a16="http://schemas.microsoft.com/office/drawing/2014/main" id="{F67EEB90-3B34-AC4C-A006-3E40FF1207E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69">
          <xdr14:nvContentPartPr>
            <xdr14:cNvPr id="869" name="Ink 868">
              <a:extLst>
                <a:ext uri="{FF2B5EF4-FFF2-40B4-BE49-F238E27FC236}">
                  <a16:creationId xmlns:a16="http://schemas.microsoft.com/office/drawing/2014/main" id="{00B5AADF-5E8C-1E43-838B-490DECC25015}"/>
                </a:ext>
              </a:extLst>
            </xdr14:cNvPr>
            <xdr14:cNvContentPartPr/>
          </xdr14:nvContentPartPr>
          <xdr14:nvPr macro=""/>
          <xdr14:xfrm>
            <a:off x="12846960" y="1192320"/>
            <a:ext cx="360" cy="360"/>
          </xdr14:xfrm>
        </xdr:contentPart>
      </mc:Choice>
      <mc:Fallback xmlns="">
        <xdr:pic>
          <xdr:nvPicPr>
            <xdr:cNvPr id="869" name="Ink 868">
              <a:extLst>
                <a:ext uri="{FF2B5EF4-FFF2-40B4-BE49-F238E27FC236}">
                  <a16:creationId xmlns:a16="http://schemas.microsoft.com/office/drawing/2014/main" id="{00B5AADF-5E8C-1E43-838B-490DECC2501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0">
          <xdr14:nvContentPartPr>
            <xdr14:cNvPr id="870" name="Ink 869">
              <a:extLst>
                <a:ext uri="{FF2B5EF4-FFF2-40B4-BE49-F238E27FC236}">
                  <a16:creationId xmlns:a16="http://schemas.microsoft.com/office/drawing/2014/main" id="{22693BE8-B52C-C345-AA86-1E9D4A6857F7}"/>
                </a:ext>
              </a:extLst>
            </xdr14:cNvPr>
            <xdr14:cNvContentPartPr/>
          </xdr14:nvContentPartPr>
          <xdr14:nvPr macro=""/>
          <xdr14:xfrm>
            <a:off x="12866040" y="1243440"/>
            <a:ext cx="360" cy="360"/>
          </xdr14:xfrm>
        </xdr:contentPart>
      </mc:Choice>
      <mc:Fallback xmlns="">
        <xdr:pic>
          <xdr:nvPicPr>
            <xdr:cNvPr id="870" name="Ink 869">
              <a:extLst>
                <a:ext uri="{FF2B5EF4-FFF2-40B4-BE49-F238E27FC236}">
                  <a16:creationId xmlns:a16="http://schemas.microsoft.com/office/drawing/2014/main" id="{22693BE8-B52C-C345-AA86-1E9D4A6857F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1">
          <xdr14:nvContentPartPr>
            <xdr14:cNvPr id="871" name="Ink 870">
              <a:extLst>
                <a:ext uri="{FF2B5EF4-FFF2-40B4-BE49-F238E27FC236}">
                  <a16:creationId xmlns:a16="http://schemas.microsoft.com/office/drawing/2014/main" id="{0C4CEC7C-FCCC-A448-8181-60290A0275BB}"/>
                </a:ext>
              </a:extLst>
            </xdr14:cNvPr>
            <xdr14:cNvContentPartPr/>
          </xdr14:nvContentPartPr>
          <xdr14:nvPr macro=""/>
          <xdr14:xfrm>
            <a:off x="12973680" y="1366560"/>
            <a:ext cx="360" cy="360"/>
          </xdr14:xfrm>
        </xdr:contentPart>
      </mc:Choice>
      <mc:Fallback xmlns="">
        <xdr:pic>
          <xdr:nvPicPr>
            <xdr:cNvPr id="871" name="Ink 870">
              <a:extLst>
                <a:ext uri="{FF2B5EF4-FFF2-40B4-BE49-F238E27FC236}">
                  <a16:creationId xmlns:a16="http://schemas.microsoft.com/office/drawing/2014/main" id="{0C4CEC7C-FCCC-A448-8181-60290A0275B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2">
          <xdr14:nvContentPartPr>
            <xdr14:cNvPr id="872" name="Ink 871">
              <a:extLst>
                <a:ext uri="{FF2B5EF4-FFF2-40B4-BE49-F238E27FC236}">
                  <a16:creationId xmlns:a16="http://schemas.microsoft.com/office/drawing/2014/main" id="{CB4FAAE4-4ADE-3E4A-AA94-E073E0C9742D}"/>
                </a:ext>
              </a:extLst>
            </xdr14:cNvPr>
            <xdr14:cNvContentPartPr/>
          </xdr14:nvContentPartPr>
          <xdr14:nvPr macro=""/>
          <xdr14:xfrm>
            <a:off x="12846960" y="1192320"/>
            <a:ext cx="360" cy="360"/>
          </xdr14:xfrm>
        </xdr:contentPart>
      </mc:Choice>
      <mc:Fallback xmlns="">
        <xdr:pic>
          <xdr:nvPicPr>
            <xdr:cNvPr id="872" name="Ink 871">
              <a:extLst>
                <a:ext uri="{FF2B5EF4-FFF2-40B4-BE49-F238E27FC236}">
                  <a16:creationId xmlns:a16="http://schemas.microsoft.com/office/drawing/2014/main" id="{CB4FAAE4-4ADE-3E4A-AA94-E073E0C9742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3">
          <xdr14:nvContentPartPr>
            <xdr14:cNvPr id="873" name="Ink 872">
              <a:extLst>
                <a:ext uri="{FF2B5EF4-FFF2-40B4-BE49-F238E27FC236}">
                  <a16:creationId xmlns:a16="http://schemas.microsoft.com/office/drawing/2014/main" id="{34687FB7-B045-C242-997E-9E31B4E6DC96}"/>
                </a:ext>
              </a:extLst>
            </xdr14:cNvPr>
            <xdr14:cNvContentPartPr/>
          </xdr14:nvContentPartPr>
          <xdr14:nvPr macro=""/>
          <xdr14:xfrm>
            <a:off x="12866040" y="1243440"/>
            <a:ext cx="360" cy="360"/>
          </xdr14:xfrm>
        </xdr:contentPart>
      </mc:Choice>
      <mc:Fallback xmlns="">
        <xdr:pic>
          <xdr:nvPicPr>
            <xdr:cNvPr id="873" name="Ink 872">
              <a:extLst>
                <a:ext uri="{FF2B5EF4-FFF2-40B4-BE49-F238E27FC236}">
                  <a16:creationId xmlns:a16="http://schemas.microsoft.com/office/drawing/2014/main" id="{34687FB7-B045-C242-997E-9E31B4E6DC9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4">
          <xdr14:nvContentPartPr>
            <xdr14:cNvPr id="874" name="Ink 873">
              <a:extLst>
                <a:ext uri="{FF2B5EF4-FFF2-40B4-BE49-F238E27FC236}">
                  <a16:creationId xmlns:a16="http://schemas.microsoft.com/office/drawing/2014/main" id="{4182505D-1292-1349-B17A-3518CBD6557D}"/>
                </a:ext>
              </a:extLst>
            </xdr14:cNvPr>
            <xdr14:cNvContentPartPr/>
          </xdr14:nvContentPartPr>
          <xdr14:nvPr macro=""/>
          <xdr14:xfrm>
            <a:off x="12973680" y="1366560"/>
            <a:ext cx="360" cy="360"/>
          </xdr14:xfrm>
        </xdr:contentPart>
      </mc:Choice>
      <mc:Fallback xmlns="">
        <xdr:pic>
          <xdr:nvPicPr>
            <xdr:cNvPr id="874" name="Ink 873">
              <a:extLst>
                <a:ext uri="{FF2B5EF4-FFF2-40B4-BE49-F238E27FC236}">
                  <a16:creationId xmlns:a16="http://schemas.microsoft.com/office/drawing/2014/main" id="{4182505D-1292-1349-B17A-3518CBD6557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5">
          <xdr14:nvContentPartPr>
            <xdr14:cNvPr id="875" name="Ink 874">
              <a:extLst>
                <a:ext uri="{FF2B5EF4-FFF2-40B4-BE49-F238E27FC236}">
                  <a16:creationId xmlns:a16="http://schemas.microsoft.com/office/drawing/2014/main" id="{C3455781-B1E8-824D-A447-F1A13DDF93DD}"/>
                </a:ext>
              </a:extLst>
            </xdr14:cNvPr>
            <xdr14:cNvContentPartPr/>
          </xdr14:nvContentPartPr>
          <xdr14:nvPr macro=""/>
          <xdr14:xfrm>
            <a:off x="12846960" y="1192320"/>
            <a:ext cx="360" cy="360"/>
          </xdr14:xfrm>
        </xdr:contentPart>
      </mc:Choice>
      <mc:Fallback xmlns="">
        <xdr:pic>
          <xdr:nvPicPr>
            <xdr:cNvPr id="875" name="Ink 874">
              <a:extLst>
                <a:ext uri="{FF2B5EF4-FFF2-40B4-BE49-F238E27FC236}">
                  <a16:creationId xmlns:a16="http://schemas.microsoft.com/office/drawing/2014/main" id="{C3455781-B1E8-824D-A447-F1A13DDF93D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6">
          <xdr14:nvContentPartPr>
            <xdr14:cNvPr id="876" name="Ink 875">
              <a:extLst>
                <a:ext uri="{FF2B5EF4-FFF2-40B4-BE49-F238E27FC236}">
                  <a16:creationId xmlns:a16="http://schemas.microsoft.com/office/drawing/2014/main" id="{55DD4C0B-4F62-7F44-AE37-F5899E2E0EF7}"/>
                </a:ext>
              </a:extLst>
            </xdr14:cNvPr>
            <xdr14:cNvContentPartPr/>
          </xdr14:nvContentPartPr>
          <xdr14:nvPr macro=""/>
          <xdr14:xfrm>
            <a:off x="12866040" y="1243440"/>
            <a:ext cx="360" cy="360"/>
          </xdr14:xfrm>
        </xdr:contentPart>
      </mc:Choice>
      <mc:Fallback xmlns="">
        <xdr:pic>
          <xdr:nvPicPr>
            <xdr:cNvPr id="876" name="Ink 875">
              <a:extLst>
                <a:ext uri="{FF2B5EF4-FFF2-40B4-BE49-F238E27FC236}">
                  <a16:creationId xmlns:a16="http://schemas.microsoft.com/office/drawing/2014/main" id="{55DD4C0B-4F62-7F44-AE37-F5899E2E0EF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7">
          <xdr14:nvContentPartPr>
            <xdr14:cNvPr id="877" name="Ink 876">
              <a:extLst>
                <a:ext uri="{FF2B5EF4-FFF2-40B4-BE49-F238E27FC236}">
                  <a16:creationId xmlns:a16="http://schemas.microsoft.com/office/drawing/2014/main" id="{52459406-25DC-6F41-A803-757D3B35F0EF}"/>
                </a:ext>
              </a:extLst>
            </xdr14:cNvPr>
            <xdr14:cNvContentPartPr/>
          </xdr14:nvContentPartPr>
          <xdr14:nvPr macro=""/>
          <xdr14:xfrm>
            <a:off x="12973680" y="1366560"/>
            <a:ext cx="360" cy="360"/>
          </xdr14:xfrm>
        </xdr:contentPart>
      </mc:Choice>
      <mc:Fallback xmlns="">
        <xdr:pic>
          <xdr:nvPicPr>
            <xdr:cNvPr id="877" name="Ink 876">
              <a:extLst>
                <a:ext uri="{FF2B5EF4-FFF2-40B4-BE49-F238E27FC236}">
                  <a16:creationId xmlns:a16="http://schemas.microsoft.com/office/drawing/2014/main" id="{52459406-25DC-6F41-A803-757D3B35F0E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8">
          <xdr14:nvContentPartPr>
            <xdr14:cNvPr id="878" name="Ink 877">
              <a:extLst>
                <a:ext uri="{FF2B5EF4-FFF2-40B4-BE49-F238E27FC236}">
                  <a16:creationId xmlns:a16="http://schemas.microsoft.com/office/drawing/2014/main" id="{1EFAF6E8-25BB-DA44-9101-C577E2A5E49B}"/>
                </a:ext>
              </a:extLst>
            </xdr14:cNvPr>
            <xdr14:cNvContentPartPr/>
          </xdr14:nvContentPartPr>
          <xdr14:nvPr macro=""/>
          <xdr14:xfrm>
            <a:off x="12846960" y="1192320"/>
            <a:ext cx="360" cy="360"/>
          </xdr14:xfrm>
        </xdr:contentPart>
      </mc:Choice>
      <mc:Fallback xmlns="">
        <xdr:pic>
          <xdr:nvPicPr>
            <xdr:cNvPr id="878" name="Ink 877">
              <a:extLst>
                <a:ext uri="{FF2B5EF4-FFF2-40B4-BE49-F238E27FC236}">
                  <a16:creationId xmlns:a16="http://schemas.microsoft.com/office/drawing/2014/main" id="{1EFAF6E8-25BB-DA44-9101-C577E2A5E49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79">
          <xdr14:nvContentPartPr>
            <xdr14:cNvPr id="879" name="Ink 878">
              <a:extLst>
                <a:ext uri="{FF2B5EF4-FFF2-40B4-BE49-F238E27FC236}">
                  <a16:creationId xmlns:a16="http://schemas.microsoft.com/office/drawing/2014/main" id="{E7BAF461-F8CA-2640-A8FA-B22C5DA1DF65}"/>
                </a:ext>
              </a:extLst>
            </xdr14:cNvPr>
            <xdr14:cNvContentPartPr/>
          </xdr14:nvContentPartPr>
          <xdr14:nvPr macro=""/>
          <xdr14:xfrm>
            <a:off x="12866040" y="1243440"/>
            <a:ext cx="360" cy="360"/>
          </xdr14:xfrm>
        </xdr:contentPart>
      </mc:Choice>
      <mc:Fallback xmlns="">
        <xdr:pic>
          <xdr:nvPicPr>
            <xdr:cNvPr id="879" name="Ink 878">
              <a:extLst>
                <a:ext uri="{FF2B5EF4-FFF2-40B4-BE49-F238E27FC236}">
                  <a16:creationId xmlns:a16="http://schemas.microsoft.com/office/drawing/2014/main" id="{E7BAF461-F8CA-2640-A8FA-B22C5DA1DF6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0">
          <xdr14:nvContentPartPr>
            <xdr14:cNvPr id="880" name="Ink 879">
              <a:extLst>
                <a:ext uri="{FF2B5EF4-FFF2-40B4-BE49-F238E27FC236}">
                  <a16:creationId xmlns:a16="http://schemas.microsoft.com/office/drawing/2014/main" id="{09B72C6D-E3E7-9B46-9F93-D79ED597512E}"/>
                </a:ext>
              </a:extLst>
            </xdr14:cNvPr>
            <xdr14:cNvContentPartPr/>
          </xdr14:nvContentPartPr>
          <xdr14:nvPr macro=""/>
          <xdr14:xfrm>
            <a:off x="12973680" y="1366560"/>
            <a:ext cx="360" cy="360"/>
          </xdr14:xfrm>
        </xdr:contentPart>
      </mc:Choice>
      <mc:Fallback xmlns="">
        <xdr:pic>
          <xdr:nvPicPr>
            <xdr:cNvPr id="880" name="Ink 879">
              <a:extLst>
                <a:ext uri="{FF2B5EF4-FFF2-40B4-BE49-F238E27FC236}">
                  <a16:creationId xmlns:a16="http://schemas.microsoft.com/office/drawing/2014/main" id="{09B72C6D-E3E7-9B46-9F93-D79ED597512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1">
          <xdr14:nvContentPartPr>
            <xdr14:cNvPr id="881" name="Ink 880">
              <a:extLst>
                <a:ext uri="{FF2B5EF4-FFF2-40B4-BE49-F238E27FC236}">
                  <a16:creationId xmlns:a16="http://schemas.microsoft.com/office/drawing/2014/main" id="{6C2221FE-3F93-2D4B-8256-267CB8706C63}"/>
                </a:ext>
              </a:extLst>
            </xdr14:cNvPr>
            <xdr14:cNvContentPartPr/>
          </xdr14:nvContentPartPr>
          <xdr14:nvPr macro=""/>
          <xdr14:xfrm>
            <a:off x="12846960" y="1192320"/>
            <a:ext cx="360" cy="360"/>
          </xdr14:xfrm>
        </xdr:contentPart>
      </mc:Choice>
      <mc:Fallback xmlns="">
        <xdr:pic>
          <xdr:nvPicPr>
            <xdr:cNvPr id="881" name="Ink 880">
              <a:extLst>
                <a:ext uri="{FF2B5EF4-FFF2-40B4-BE49-F238E27FC236}">
                  <a16:creationId xmlns:a16="http://schemas.microsoft.com/office/drawing/2014/main" id="{6C2221FE-3F93-2D4B-8256-267CB8706C6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2">
          <xdr14:nvContentPartPr>
            <xdr14:cNvPr id="882" name="Ink 881">
              <a:extLst>
                <a:ext uri="{FF2B5EF4-FFF2-40B4-BE49-F238E27FC236}">
                  <a16:creationId xmlns:a16="http://schemas.microsoft.com/office/drawing/2014/main" id="{28735B3D-480E-3542-B479-36A4483AA842}"/>
                </a:ext>
              </a:extLst>
            </xdr14:cNvPr>
            <xdr14:cNvContentPartPr/>
          </xdr14:nvContentPartPr>
          <xdr14:nvPr macro=""/>
          <xdr14:xfrm>
            <a:off x="12866040" y="1243440"/>
            <a:ext cx="360" cy="360"/>
          </xdr14:xfrm>
        </xdr:contentPart>
      </mc:Choice>
      <mc:Fallback xmlns="">
        <xdr:pic>
          <xdr:nvPicPr>
            <xdr:cNvPr id="882" name="Ink 881">
              <a:extLst>
                <a:ext uri="{FF2B5EF4-FFF2-40B4-BE49-F238E27FC236}">
                  <a16:creationId xmlns:a16="http://schemas.microsoft.com/office/drawing/2014/main" id="{28735B3D-480E-3542-B479-36A4483AA84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3">
          <xdr14:nvContentPartPr>
            <xdr14:cNvPr id="883" name="Ink 882">
              <a:extLst>
                <a:ext uri="{FF2B5EF4-FFF2-40B4-BE49-F238E27FC236}">
                  <a16:creationId xmlns:a16="http://schemas.microsoft.com/office/drawing/2014/main" id="{CDBC0E0D-6CE9-FF46-9EEB-E503870EFD36}"/>
                </a:ext>
              </a:extLst>
            </xdr14:cNvPr>
            <xdr14:cNvContentPartPr/>
          </xdr14:nvContentPartPr>
          <xdr14:nvPr macro=""/>
          <xdr14:xfrm>
            <a:off x="12973680" y="1366560"/>
            <a:ext cx="360" cy="360"/>
          </xdr14:xfrm>
        </xdr:contentPart>
      </mc:Choice>
      <mc:Fallback xmlns="">
        <xdr:pic>
          <xdr:nvPicPr>
            <xdr:cNvPr id="883" name="Ink 882">
              <a:extLst>
                <a:ext uri="{FF2B5EF4-FFF2-40B4-BE49-F238E27FC236}">
                  <a16:creationId xmlns:a16="http://schemas.microsoft.com/office/drawing/2014/main" id="{CDBC0E0D-6CE9-FF46-9EEB-E503870EFD3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4">
          <xdr14:nvContentPartPr>
            <xdr14:cNvPr id="884" name="Ink 883">
              <a:extLst>
                <a:ext uri="{FF2B5EF4-FFF2-40B4-BE49-F238E27FC236}">
                  <a16:creationId xmlns:a16="http://schemas.microsoft.com/office/drawing/2014/main" id="{219D7545-8698-574C-9AC0-80F80C925B4F}"/>
                </a:ext>
              </a:extLst>
            </xdr14:cNvPr>
            <xdr14:cNvContentPartPr/>
          </xdr14:nvContentPartPr>
          <xdr14:nvPr macro=""/>
          <xdr14:xfrm>
            <a:off x="12846960" y="1192320"/>
            <a:ext cx="360" cy="360"/>
          </xdr14:xfrm>
        </xdr:contentPart>
      </mc:Choice>
      <mc:Fallback xmlns="">
        <xdr:pic>
          <xdr:nvPicPr>
            <xdr:cNvPr id="884" name="Ink 883">
              <a:extLst>
                <a:ext uri="{FF2B5EF4-FFF2-40B4-BE49-F238E27FC236}">
                  <a16:creationId xmlns:a16="http://schemas.microsoft.com/office/drawing/2014/main" id="{219D7545-8698-574C-9AC0-80F80C925B4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5">
          <xdr14:nvContentPartPr>
            <xdr14:cNvPr id="885" name="Ink 884">
              <a:extLst>
                <a:ext uri="{FF2B5EF4-FFF2-40B4-BE49-F238E27FC236}">
                  <a16:creationId xmlns:a16="http://schemas.microsoft.com/office/drawing/2014/main" id="{BB3D7AC7-219F-2C4A-9829-B6860AC6092E}"/>
                </a:ext>
              </a:extLst>
            </xdr14:cNvPr>
            <xdr14:cNvContentPartPr/>
          </xdr14:nvContentPartPr>
          <xdr14:nvPr macro=""/>
          <xdr14:xfrm>
            <a:off x="12866040" y="1243440"/>
            <a:ext cx="360" cy="360"/>
          </xdr14:xfrm>
        </xdr:contentPart>
      </mc:Choice>
      <mc:Fallback xmlns="">
        <xdr:pic>
          <xdr:nvPicPr>
            <xdr:cNvPr id="885" name="Ink 884">
              <a:extLst>
                <a:ext uri="{FF2B5EF4-FFF2-40B4-BE49-F238E27FC236}">
                  <a16:creationId xmlns:a16="http://schemas.microsoft.com/office/drawing/2014/main" id="{BB3D7AC7-219F-2C4A-9829-B6860AC6092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6">
          <xdr14:nvContentPartPr>
            <xdr14:cNvPr id="886" name="Ink 885">
              <a:extLst>
                <a:ext uri="{FF2B5EF4-FFF2-40B4-BE49-F238E27FC236}">
                  <a16:creationId xmlns:a16="http://schemas.microsoft.com/office/drawing/2014/main" id="{EA5AEDD7-05FD-3044-83F3-11568352F36A}"/>
                </a:ext>
              </a:extLst>
            </xdr14:cNvPr>
            <xdr14:cNvContentPartPr/>
          </xdr14:nvContentPartPr>
          <xdr14:nvPr macro=""/>
          <xdr14:xfrm>
            <a:off x="12973680" y="1366560"/>
            <a:ext cx="360" cy="360"/>
          </xdr14:xfrm>
        </xdr:contentPart>
      </mc:Choice>
      <mc:Fallback xmlns="">
        <xdr:pic>
          <xdr:nvPicPr>
            <xdr:cNvPr id="886" name="Ink 885">
              <a:extLst>
                <a:ext uri="{FF2B5EF4-FFF2-40B4-BE49-F238E27FC236}">
                  <a16:creationId xmlns:a16="http://schemas.microsoft.com/office/drawing/2014/main" id="{EA5AEDD7-05FD-3044-83F3-11568352F36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109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7">
          <xdr14:nvContentPartPr>
            <xdr14:cNvPr id="887" name="Ink 886">
              <a:extLst>
                <a:ext uri="{FF2B5EF4-FFF2-40B4-BE49-F238E27FC236}">
                  <a16:creationId xmlns:a16="http://schemas.microsoft.com/office/drawing/2014/main" id="{3FF2D2BC-CD42-C54D-8794-421C1E6BE83F}"/>
                </a:ext>
              </a:extLst>
            </xdr14:cNvPr>
            <xdr14:cNvContentPartPr/>
          </xdr14:nvContentPartPr>
          <xdr14:nvPr macro=""/>
          <xdr14:xfrm>
            <a:off x="12846960" y="1192320"/>
            <a:ext cx="360" cy="360"/>
          </xdr14:xfrm>
        </xdr:contentPart>
      </mc:Choice>
      <mc:Fallback xmlns="">
        <xdr:pic>
          <xdr:nvPicPr>
            <xdr:cNvPr id="887" name="Ink 886">
              <a:extLst>
                <a:ext uri="{FF2B5EF4-FFF2-40B4-BE49-F238E27FC236}">
                  <a16:creationId xmlns:a16="http://schemas.microsoft.com/office/drawing/2014/main" id="{3FF2D2BC-CD42-C54D-8794-421C1E6BE83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109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8">
          <xdr14:nvContentPartPr>
            <xdr14:cNvPr id="888" name="Ink 887">
              <a:extLst>
                <a:ext uri="{FF2B5EF4-FFF2-40B4-BE49-F238E27FC236}">
                  <a16:creationId xmlns:a16="http://schemas.microsoft.com/office/drawing/2014/main" id="{2A5D51FC-0A8C-6D4D-815D-3E7CFA8F06D9}"/>
                </a:ext>
              </a:extLst>
            </xdr14:cNvPr>
            <xdr14:cNvContentPartPr/>
          </xdr14:nvContentPartPr>
          <xdr14:nvPr macro=""/>
          <xdr14:xfrm>
            <a:off x="12866040" y="1243440"/>
            <a:ext cx="360" cy="360"/>
          </xdr14:xfrm>
        </xdr:contentPart>
      </mc:Choice>
      <mc:Fallback xmlns="">
        <xdr:pic>
          <xdr:nvPicPr>
            <xdr:cNvPr id="888" name="Ink 887">
              <a:extLst>
                <a:ext uri="{FF2B5EF4-FFF2-40B4-BE49-F238E27FC236}">
                  <a16:creationId xmlns:a16="http://schemas.microsoft.com/office/drawing/2014/main" id="{2A5D51FC-0A8C-6D4D-815D-3E7CFA8F06D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109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89">
          <xdr14:nvContentPartPr>
            <xdr14:cNvPr id="889" name="Ink 888">
              <a:extLst>
                <a:ext uri="{FF2B5EF4-FFF2-40B4-BE49-F238E27FC236}">
                  <a16:creationId xmlns:a16="http://schemas.microsoft.com/office/drawing/2014/main" id="{999E7D29-2D69-DD42-BE33-30F9860EB390}"/>
                </a:ext>
              </a:extLst>
            </xdr14:cNvPr>
            <xdr14:cNvContentPartPr/>
          </xdr14:nvContentPartPr>
          <xdr14:nvPr macro=""/>
          <xdr14:xfrm>
            <a:off x="12973680" y="1366560"/>
            <a:ext cx="360" cy="360"/>
          </xdr14:xfrm>
        </xdr:contentPart>
      </mc:Choice>
      <mc:Fallback xmlns="">
        <xdr:pic>
          <xdr:nvPicPr>
            <xdr:cNvPr id="889" name="Ink 888">
              <a:extLst>
                <a:ext uri="{FF2B5EF4-FFF2-40B4-BE49-F238E27FC236}">
                  <a16:creationId xmlns:a16="http://schemas.microsoft.com/office/drawing/2014/main" id="{999E7D29-2D69-DD42-BE33-30F9860EB39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0">
          <xdr14:nvContentPartPr>
            <xdr14:cNvPr id="890" name="Ink 889">
              <a:extLst>
                <a:ext uri="{FF2B5EF4-FFF2-40B4-BE49-F238E27FC236}">
                  <a16:creationId xmlns:a16="http://schemas.microsoft.com/office/drawing/2014/main" id="{23EACA6D-ECFC-A24E-85EC-EA0F366E6D5C}"/>
                </a:ext>
              </a:extLst>
            </xdr14:cNvPr>
            <xdr14:cNvContentPartPr/>
          </xdr14:nvContentPartPr>
          <xdr14:nvPr macro=""/>
          <xdr14:xfrm>
            <a:off x="12846960" y="1192320"/>
            <a:ext cx="360" cy="360"/>
          </xdr14:xfrm>
        </xdr:contentPart>
      </mc:Choice>
      <mc:Fallback xmlns="">
        <xdr:pic>
          <xdr:nvPicPr>
            <xdr:cNvPr id="890" name="Ink 889">
              <a:extLst>
                <a:ext uri="{FF2B5EF4-FFF2-40B4-BE49-F238E27FC236}">
                  <a16:creationId xmlns:a16="http://schemas.microsoft.com/office/drawing/2014/main" id="{23EACA6D-ECFC-A24E-85EC-EA0F366E6D5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1">
          <xdr14:nvContentPartPr>
            <xdr14:cNvPr id="891" name="Ink 890">
              <a:extLst>
                <a:ext uri="{FF2B5EF4-FFF2-40B4-BE49-F238E27FC236}">
                  <a16:creationId xmlns:a16="http://schemas.microsoft.com/office/drawing/2014/main" id="{1015918A-7047-E141-8042-DB37C364DBE0}"/>
                </a:ext>
              </a:extLst>
            </xdr14:cNvPr>
            <xdr14:cNvContentPartPr/>
          </xdr14:nvContentPartPr>
          <xdr14:nvPr macro=""/>
          <xdr14:xfrm>
            <a:off x="12866040" y="1243440"/>
            <a:ext cx="360" cy="360"/>
          </xdr14:xfrm>
        </xdr:contentPart>
      </mc:Choice>
      <mc:Fallback xmlns="">
        <xdr:pic>
          <xdr:nvPicPr>
            <xdr:cNvPr id="891" name="Ink 890">
              <a:extLst>
                <a:ext uri="{FF2B5EF4-FFF2-40B4-BE49-F238E27FC236}">
                  <a16:creationId xmlns:a16="http://schemas.microsoft.com/office/drawing/2014/main" id="{1015918A-7047-E141-8042-DB37C364DBE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2">
          <xdr14:nvContentPartPr>
            <xdr14:cNvPr id="892" name="Ink 891">
              <a:extLst>
                <a:ext uri="{FF2B5EF4-FFF2-40B4-BE49-F238E27FC236}">
                  <a16:creationId xmlns:a16="http://schemas.microsoft.com/office/drawing/2014/main" id="{4C568937-7C3C-7F4F-81CB-7BF7C4591793}"/>
                </a:ext>
              </a:extLst>
            </xdr14:cNvPr>
            <xdr14:cNvContentPartPr/>
          </xdr14:nvContentPartPr>
          <xdr14:nvPr macro=""/>
          <xdr14:xfrm>
            <a:off x="12973680" y="1366560"/>
            <a:ext cx="360" cy="360"/>
          </xdr14:xfrm>
        </xdr:contentPart>
      </mc:Choice>
      <mc:Fallback xmlns="">
        <xdr:pic>
          <xdr:nvPicPr>
            <xdr:cNvPr id="892" name="Ink 891">
              <a:extLst>
                <a:ext uri="{FF2B5EF4-FFF2-40B4-BE49-F238E27FC236}">
                  <a16:creationId xmlns:a16="http://schemas.microsoft.com/office/drawing/2014/main" id="{4C568937-7C3C-7F4F-81CB-7BF7C459179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3">
          <xdr14:nvContentPartPr>
            <xdr14:cNvPr id="893" name="Ink 892">
              <a:extLst>
                <a:ext uri="{FF2B5EF4-FFF2-40B4-BE49-F238E27FC236}">
                  <a16:creationId xmlns:a16="http://schemas.microsoft.com/office/drawing/2014/main" id="{2FD14538-9DD3-5F43-8B71-350C98ECFE54}"/>
                </a:ext>
              </a:extLst>
            </xdr14:cNvPr>
            <xdr14:cNvContentPartPr/>
          </xdr14:nvContentPartPr>
          <xdr14:nvPr macro=""/>
          <xdr14:xfrm>
            <a:off x="12846960" y="1192320"/>
            <a:ext cx="360" cy="360"/>
          </xdr14:xfrm>
        </xdr:contentPart>
      </mc:Choice>
      <mc:Fallback xmlns="">
        <xdr:pic>
          <xdr:nvPicPr>
            <xdr:cNvPr id="893" name="Ink 892">
              <a:extLst>
                <a:ext uri="{FF2B5EF4-FFF2-40B4-BE49-F238E27FC236}">
                  <a16:creationId xmlns:a16="http://schemas.microsoft.com/office/drawing/2014/main" id="{2FD14538-9DD3-5F43-8B71-350C98ECFE5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4">
          <xdr14:nvContentPartPr>
            <xdr14:cNvPr id="894" name="Ink 893">
              <a:extLst>
                <a:ext uri="{FF2B5EF4-FFF2-40B4-BE49-F238E27FC236}">
                  <a16:creationId xmlns:a16="http://schemas.microsoft.com/office/drawing/2014/main" id="{10345A53-4A16-2840-8D46-C2A6F6B28FFE}"/>
                </a:ext>
              </a:extLst>
            </xdr14:cNvPr>
            <xdr14:cNvContentPartPr/>
          </xdr14:nvContentPartPr>
          <xdr14:nvPr macro=""/>
          <xdr14:xfrm>
            <a:off x="12866040" y="1243440"/>
            <a:ext cx="360" cy="360"/>
          </xdr14:xfrm>
        </xdr:contentPart>
      </mc:Choice>
      <mc:Fallback xmlns="">
        <xdr:pic>
          <xdr:nvPicPr>
            <xdr:cNvPr id="894" name="Ink 893">
              <a:extLst>
                <a:ext uri="{FF2B5EF4-FFF2-40B4-BE49-F238E27FC236}">
                  <a16:creationId xmlns:a16="http://schemas.microsoft.com/office/drawing/2014/main" id="{10345A53-4A16-2840-8D46-C2A6F6B28FF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5">
          <xdr14:nvContentPartPr>
            <xdr14:cNvPr id="895" name="Ink 894">
              <a:extLst>
                <a:ext uri="{FF2B5EF4-FFF2-40B4-BE49-F238E27FC236}">
                  <a16:creationId xmlns:a16="http://schemas.microsoft.com/office/drawing/2014/main" id="{0354B300-1618-DE4B-BCFF-4D3672C0E1EE}"/>
                </a:ext>
              </a:extLst>
            </xdr14:cNvPr>
            <xdr14:cNvContentPartPr/>
          </xdr14:nvContentPartPr>
          <xdr14:nvPr macro=""/>
          <xdr14:xfrm>
            <a:off x="12973680" y="1366560"/>
            <a:ext cx="360" cy="360"/>
          </xdr14:xfrm>
        </xdr:contentPart>
      </mc:Choice>
      <mc:Fallback xmlns="">
        <xdr:pic>
          <xdr:nvPicPr>
            <xdr:cNvPr id="895" name="Ink 894">
              <a:extLst>
                <a:ext uri="{FF2B5EF4-FFF2-40B4-BE49-F238E27FC236}">
                  <a16:creationId xmlns:a16="http://schemas.microsoft.com/office/drawing/2014/main" id="{0354B300-1618-DE4B-BCFF-4D3672C0E1E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6">
          <xdr14:nvContentPartPr>
            <xdr14:cNvPr id="896" name="Ink 895">
              <a:extLst>
                <a:ext uri="{FF2B5EF4-FFF2-40B4-BE49-F238E27FC236}">
                  <a16:creationId xmlns:a16="http://schemas.microsoft.com/office/drawing/2014/main" id="{FDEBAABA-81E2-AE40-A2CF-BEBD9AF113CE}"/>
                </a:ext>
              </a:extLst>
            </xdr14:cNvPr>
            <xdr14:cNvContentPartPr/>
          </xdr14:nvContentPartPr>
          <xdr14:nvPr macro=""/>
          <xdr14:xfrm>
            <a:off x="12846960" y="1192320"/>
            <a:ext cx="360" cy="360"/>
          </xdr14:xfrm>
        </xdr:contentPart>
      </mc:Choice>
      <mc:Fallback xmlns="">
        <xdr:pic>
          <xdr:nvPicPr>
            <xdr:cNvPr id="896" name="Ink 895">
              <a:extLst>
                <a:ext uri="{FF2B5EF4-FFF2-40B4-BE49-F238E27FC236}">
                  <a16:creationId xmlns:a16="http://schemas.microsoft.com/office/drawing/2014/main" id="{FDEBAABA-81E2-AE40-A2CF-BEBD9AF113C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7">
          <xdr14:nvContentPartPr>
            <xdr14:cNvPr id="897" name="Ink 896">
              <a:extLst>
                <a:ext uri="{FF2B5EF4-FFF2-40B4-BE49-F238E27FC236}">
                  <a16:creationId xmlns:a16="http://schemas.microsoft.com/office/drawing/2014/main" id="{21AA3268-0FC1-414E-B00C-5B52534CB07A}"/>
                </a:ext>
              </a:extLst>
            </xdr14:cNvPr>
            <xdr14:cNvContentPartPr/>
          </xdr14:nvContentPartPr>
          <xdr14:nvPr macro=""/>
          <xdr14:xfrm>
            <a:off x="12866040" y="1243440"/>
            <a:ext cx="360" cy="360"/>
          </xdr14:xfrm>
        </xdr:contentPart>
      </mc:Choice>
      <mc:Fallback xmlns="">
        <xdr:pic>
          <xdr:nvPicPr>
            <xdr:cNvPr id="897" name="Ink 896">
              <a:extLst>
                <a:ext uri="{FF2B5EF4-FFF2-40B4-BE49-F238E27FC236}">
                  <a16:creationId xmlns:a16="http://schemas.microsoft.com/office/drawing/2014/main" id="{21AA3268-0FC1-414E-B00C-5B52534CB07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8">
          <xdr14:nvContentPartPr>
            <xdr14:cNvPr id="898" name="Ink 897">
              <a:extLst>
                <a:ext uri="{FF2B5EF4-FFF2-40B4-BE49-F238E27FC236}">
                  <a16:creationId xmlns:a16="http://schemas.microsoft.com/office/drawing/2014/main" id="{E262569F-C6A1-1C49-A440-508F9C2219CC}"/>
                </a:ext>
              </a:extLst>
            </xdr14:cNvPr>
            <xdr14:cNvContentPartPr/>
          </xdr14:nvContentPartPr>
          <xdr14:nvPr macro=""/>
          <xdr14:xfrm>
            <a:off x="12973680" y="1366560"/>
            <a:ext cx="360" cy="360"/>
          </xdr14:xfrm>
        </xdr:contentPart>
      </mc:Choice>
      <mc:Fallback xmlns="">
        <xdr:pic>
          <xdr:nvPicPr>
            <xdr:cNvPr id="898" name="Ink 897">
              <a:extLst>
                <a:ext uri="{FF2B5EF4-FFF2-40B4-BE49-F238E27FC236}">
                  <a16:creationId xmlns:a16="http://schemas.microsoft.com/office/drawing/2014/main" id="{E262569F-C6A1-1C49-A440-508F9C2219C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99">
          <xdr14:nvContentPartPr>
            <xdr14:cNvPr id="899" name="Ink 898">
              <a:extLst>
                <a:ext uri="{FF2B5EF4-FFF2-40B4-BE49-F238E27FC236}">
                  <a16:creationId xmlns:a16="http://schemas.microsoft.com/office/drawing/2014/main" id="{E07370F1-A735-4E42-B65E-A3B775FAF5E9}"/>
                </a:ext>
              </a:extLst>
            </xdr14:cNvPr>
            <xdr14:cNvContentPartPr/>
          </xdr14:nvContentPartPr>
          <xdr14:nvPr macro=""/>
          <xdr14:xfrm>
            <a:off x="12846960" y="1192320"/>
            <a:ext cx="360" cy="360"/>
          </xdr14:xfrm>
        </xdr:contentPart>
      </mc:Choice>
      <mc:Fallback xmlns="">
        <xdr:pic>
          <xdr:nvPicPr>
            <xdr:cNvPr id="899" name="Ink 898">
              <a:extLst>
                <a:ext uri="{FF2B5EF4-FFF2-40B4-BE49-F238E27FC236}">
                  <a16:creationId xmlns:a16="http://schemas.microsoft.com/office/drawing/2014/main" id="{E07370F1-A735-4E42-B65E-A3B775FAF5E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0">
          <xdr14:nvContentPartPr>
            <xdr14:cNvPr id="900" name="Ink 899">
              <a:extLst>
                <a:ext uri="{FF2B5EF4-FFF2-40B4-BE49-F238E27FC236}">
                  <a16:creationId xmlns:a16="http://schemas.microsoft.com/office/drawing/2014/main" id="{3B745DC7-5FF7-984A-B458-348510E11940}"/>
                </a:ext>
              </a:extLst>
            </xdr14:cNvPr>
            <xdr14:cNvContentPartPr/>
          </xdr14:nvContentPartPr>
          <xdr14:nvPr macro=""/>
          <xdr14:xfrm>
            <a:off x="12866040" y="1243440"/>
            <a:ext cx="360" cy="360"/>
          </xdr14:xfrm>
        </xdr:contentPart>
      </mc:Choice>
      <mc:Fallback xmlns="">
        <xdr:pic>
          <xdr:nvPicPr>
            <xdr:cNvPr id="900" name="Ink 899">
              <a:extLst>
                <a:ext uri="{FF2B5EF4-FFF2-40B4-BE49-F238E27FC236}">
                  <a16:creationId xmlns:a16="http://schemas.microsoft.com/office/drawing/2014/main" id="{3B745DC7-5FF7-984A-B458-348510E1194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1">
          <xdr14:nvContentPartPr>
            <xdr14:cNvPr id="901" name="Ink 900">
              <a:extLst>
                <a:ext uri="{FF2B5EF4-FFF2-40B4-BE49-F238E27FC236}">
                  <a16:creationId xmlns:a16="http://schemas.microsoft.com/office/drawing/2014/main" id="{B1D09B9F-0B4E-3240-8F3C-0491A78E88F6}"/>
                </a:ext>
              </a:extLst>
            </xdr14:cNvPr>
            <xdr14:cNvContentPartPr/>
          </xdr14:nvContentPartPr>
          <xdr14:nvPr macro=""/>
          <xdr14:xfrm>
            <a:off x="12973680" y="1366560"/>
            <a:ext cx="360" cy="360"/>
          </xdr14:xfrm>
        </xdr:contentPart>
      </mc:Choice>
      <mc:Fallback xmlns="">
        <xdr:pic>
          <xdr:nvPicPr>
            <xdr:cNvPr id="901" name="Ink 900">
              <a:extLst>
                <a:ext uri="{FF2B5EF4-FFF2-40B4-BE49-F238E27FC236}">
                  <a16:creationId xmlns:a16="http://schemas.microsoft.com/office/drawing/2014/main" id="{B1D09B9F-0B4E-3240-8F3C-0491A78E88F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2">
          <xdr14:nvContentPartPr>
            <xdr14:cNvPr id="902" name="Ink 901">
              <a:extLst>
                <a:ext uri="{FF2B5EF4-FFF2-40B4-BE49-F238E27FC236}">
                  <a16:creationId xmlns:a16="http://schemas.microsoft.com/office/drawing/2014/main" id="{47138DF7-FAC7-FF4D-888F-97346F9583C7}"/>
                </a:ext>
              </a:extLst>
            </xdr14:cNvPr>
            <xdr14:cNvContentPartPr/>
          </xdr14:nvContentPartPr>
          <xdr14:nvPr macro=""/>
          <xdr14:xfrm>
            <a:off x="12846960" y="1192320"/>
            <a:ext cx="360" cy="360"/>
          </xdr14:xfrm>
        </xdr:contentPart>
      </mc:Choice>
      <mc:Fallback xmlns="">
        <xdr:pic>
          <xdr:nvPicPr>
            <xdr:cNvPr id="902" name="Ink 901">
              <a:extLst>
                <a:ext uri="{FF2B5EF4-FFF2-40B4-BE49-F238E27FC236}">
                  <a16:creationId xmlns:a16="http://schemas.microsoft.com/office/drawing/2014/main" id="{47138DF7-FAC7-FF4D-888F-97346F9583C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3">
          <xdr14:nvContentPartPr>
            <xdr14:cNvPr id="903" name="Ink 902">
              <a:extLst>
                <a:ext uri="{FF2B5EF4-FFF2-40B4-BE49-F238E27FC236}">
                  <a16:creationId xmlns:a16="http://schemas.microsoft.com/office/drawing/2014/main" id="{F67D24BA-04C7-1245-9E22-767459EDDB1C}"/>
                </a:ext>
              </a:extLst>
            </xdr14:cNvPr>
            <xdr14:cNvContentPartPr/>
          </xdr14:nvContentPartPr>
          <xdr14:nvPr macro=""/>
          <xdr14:xfrm>
            <a:off x="12866040" y="1243440"/>
            <a:ext cx="360" cy="360"/>
          </xdr14:xfrm>
        </xdr:contentPart>
      </mc:Choice>
      <mc:Fallback xmlns="">
        <xdr:pic>
          <xdr:nvPicPr>
            <xdr:cNvPr id="903" name="Ink 902">
              <a:extLst>
                <a:ext uri="{FF2B5EF4-FFF2-40B4-BE49-F238E27FC236}">
                  <a16:creationId xmlns:a16="http://schemas.microsoft.com/office/drawing/2014/main" id="{F67D24BA-04C7-1245-9E22-767459EDDB1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4">
          <xdr14:nvContentPartPr>
            <xdr14:cNvPr id="904" name="Ink 903">
              <a:extLst>
                <a:ext uri="{FF2B5EF4-FFF2-40B4-BE49-F238E27FC236}">
                  <a16:creationId xmlns:a16="http://schemas.microsoft.com/office/drawing/2014/main" id="{2F8A655C-CEF8-AA48-A720-1C0CF73D6F0D}"/>
                </a:ext>
              </a:extLst>
            </xdr14:cNvPr>
            <xdr14:cNvContentPartPr/>
          </xdr14:nvContentPartPr>
          <xdr14:nvPr macro=""/>
          <xdr14:xfrm>
            <a:off x="12973680" y="1366560"/>
            <a:ext cx="360" cy="360"/>
          </xdr14:xfrm>
        </xdr:contentPart>
      </mc:Choice>
      <mc:Fallback xmlns="">
        <xdr:pic>
          <xdr:nvPicPr>
            <xdr:cNvPr id="904" name="Ink 903">
              <a:extLst>
                <a:ext uri="{FF2B5EF4-FFF2-40B4-BE49-F238E27FC236}">
                  <a16:creationId xmlns:a16="http://schemas.microsoft.com/office/drawing/2014/main" id="{2F8A655C-CEF8-AA48-A720-1C0CF73D6F0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5">
          <xdr14:nvContentPartPr>
            <xdr14:cNvPr id="905" name="Ink 904">
              <a:extLst>
                <a:ext uri="{FF2B5EF4-FFF2-40B4-BE49-F238E27FC236}">
                  <a16:creationId xmlns:a16="http://schemas.microsoft.com/office/drawing/2014/main" id="{3E0A188B-CDEE-0640-AC98-B73276EB260C}"/>
                </a:ext>
              </a:extLst>
            </xdr14:cNvPr>
            <xdr14:cNvContentPartPr/>
          </xdr14:nvContentPartPr>
          <xdr14:nvPr macro=""/>
          <xdr14:xfrm>
            <a:off x="12846960" y="1192320"/>
            <a:ext cx="360" cy="360"/>
          </xdr14:xfrm>
        </xdr:contentPart>
      </mc:Choice>
      <mc:Fallback xmlns="">
        <xdr:pic>
          <xdr:nvPicPr>
            <xdr:cNvPr id="905" name="Ink 904">
              <a:extLst>
                <a:ext uri="{FF2B5EF4-FFF2-40B4-BE49-F238E27FC236}">
                  <a16:creationId xmlns:a16="http://schemas.microsoft.com/office/drawing/2014/main" id="{3E0A188B-CDEE-0640-AC98-B73276EB260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6">
          <xdr14:nvContentPartPr>
            <xdr14:cNvPr id="906" name="Ink 905">
              <a:extLst>
                <a:ext uri="{FF2B5EF4-FFF2-40B4-BE49-F238E27FC236}">
                  <a16:creationId xmlns:a16="http://schemas.microsoft.com/office/drawing/2014/main" id="{4C9BBC27-E44C-5340-B05F-DE8AB8C5A483}"/>
                </a:ext>
              </a:extLst>
            </xdr14:cNvPr>
            <xdr14:cNvContentPartPr/>
          </xdr14:nvContentPartPr>
          <xdr14:nvPr macro=""/>
          <xdr14:xfrm>
            <a:off x="12866040" y="1243440"/>
            <a:ext cx="360" cy="360"/>
          </xdr14:xfrm>
        </xdr:contentPart>
      </mc:Choice>
      <mc:Fallback xmlns="">
        <xdr:pic>
          <xdr:nvPicPr>
            <xdr:cNvPr id="906" name="Ink 905">
              <a:extLst>
                <a:ext uri="{FF2B5EF4-FFF2-40B4-BE49-F238E27FC236}">
                  <a16:creationId xmlns:a16="http://schemas.microsoft.com/office/drawing/2014/main" id="{4C9BBC27-E44C-5340-B05F-DE8AB8C5A48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7">
          <xdr14:nvContentPartPr>
            <xdr14:cNvPr id="907" name="Ink 906">
              <a:extLst>
                <a:ext uri="{FF2B5EF4-FFF2-40B4-BE49-F238E27FC236}">
                  <a16:creationId xmlns:a16="http://schemas.microsoft.com/office/drawing/2014/main" id="{CF8EC99F-E33A-954B-A106-11CA1FD8C33C}"/>
                </a:ext>
              </a:extLst>
            </xdr14:cNvPr>
            <xdr14:cNvContentPartPr/>
          </xdr14:nvContentPartPr>
          <xdr14:nvPr macro=""/>
          <xdr14:xfrm>
            <a:off x="12973680" y="1366560"/>
            <a:ext cx="360" cy="360"/>
          </xdr14:xfrm>
        </xdr:contentPart>
      </mc:Choice>
      <mc:Fallback xmlns="">
        <xdr:pic>
          <xdr:nvPicPr>
            <xdr:cNvPr id="907" name="Ink 906">
              <a:extLst>
                <a:ext uri="{FF2B5EF4-FFF2-40B4-BE49-F238E27FC236}">
                  <a16:creationId xmlns:a16="http://schemas.microsoft.com/office/drawing/2014/main" id="{CF8EC99F-E33A-954B-A106-11CA1FD8C33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8">
          <xdr14:nvContentPartPr>
            <xdr14:cNvPr id="908" name="Ink 907">
              <a:extLst>
                <a:ext uri="{FF2B5EF4-FFF2-40B4-BE49-F238E27FC236}">
                  <a16:creationId xmlns:a16="http://schemas.microsoft.com/office/drawing/2014/main" id="{6CD0CF02-FDC2-6746-9E0E-15BCB839B654}"/>
                </a:ext>
              </a:extLst>
            </xdr14:cNvPr>
            <xdr14:cNvContentPartPr/>
          </xdr14:nvContentPartPr>
          <xdr14:nvPr macro=""/>
          <xdr14:xfrm>
            <a:off x="12846960" y="1192320"/>
            <a:ext cx="360" cy="360"/>
          </xdr14:xfrm>
        </xdr:contentPart>
      </mc:Choice>
      <mc:Fallback xmlns="">
        <xdr:pic>
          <xdr:nvPicPr>
            <xdr:cNvPr id="908" name="Ink 907">
              <a:extLst>
                <a:ext uri="{FF2B5EF4-FFF2-40B4-BE49-F238E27FC236}">
                  <a16:creationId xmlns:a16="http://schemas.microsoft.com/office/drawing/2014/main" id="{6CD0CF02-FDC2-6746-9E0E-15BCB839B65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09">
          <xdr14:nvContentPartPr>
            <xdr14:cNvPr id="909" name="Ink 908">
              <a:extLst>
                <a:ext uri="{FF2B5EF4-FFF2-40B4-BE49-F238E27FC236}">
                  <a16:creationId xmlns:a16="http://schemas.microsoft.com/office/drawing/2014/main" id="{0CBD7C02-987C-9D4D-802B-AAC0DF56EA8C}"/>
                </a:ext>
              </a:extLst>
            </xdr14:cNvPr>
            <xdr14:cNvContentPartPr/>
          </xdr14:nvContentPartPr>
          <xdr14:nvPr macro=""/>
          <xdr14:xfrm>
            <a:off x="12866040" y="1243440"/>
            <a:ext cx="360" cy="360"/>
          </xdr14:xfrm>
        </xdr:contentPart>
      </mc:Choice>
      <mc:Fallback xmlns="">
        <xdr:pic>
          <xdr:nvPicPr>
            <xdr:cNvPr id="909" name="Ink 908">
              <a:extLst>
                <a:ext uri="{FF2B5EF4-FFF2-40B4-BE49-F238E27FC236}">
                  <a16:creationId xmlns:a16="http://schemas.microsoft.com/office/drawing/2014/main" id="{0CBD7C02-987C-9D4D-802B-AAC0DF56EA8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0">
          <xdr14:nvContentPartPr>
            <xdr14:cNvPr id="910" name="Ink 909">
              <a:extLst>
                <a:ext uri="{FF2B5EF4-FFF2-40B4-BE49-F238E27FC236}">
                  <a16:creationId xmlns:a16="http://schemas.microsoft.com/office/drawing/2014/main" id="{0DBAA3D7-FC9E-484B-96A2-5E03ED34CC6D}"/>
                </a:ext>
              </a:extLst>
            </xdr14:cNvPr>
            <xdr14:cNvContentPartPr/>
          </xdr14:nvContentPartPr>
          <xdr14:nvPr macro=""/>
          <xdr14:xfrm>
            <a:off x="12973680" y="1366560"/>
            <a:ext cx="360" cy="360"/>
          </xdr14:xfrm>
        </xdr:contentPart>
      </mc:Choice>
      <mc:Fallback xmlns="">
        <xdr:pic>
          <xdr:nvPicPr>
            <xdr:cNvPr id="910" name="Ink 909">
              <a:extLst>
                <a:ext uri="{FF2B5EF4-FFF2-40B4-BE49-F238E27FC236}">
                  <a16:creationId xmlns:a16="http://schemas.microsoft.com/office/drawing/2014/main" id="{0DBAA3D7-FC9E-484B-96A2-5E03ED34CC6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1">
          <xdr14:nvContentPartPr>
            <xdr14:cNvPr id="911" name="Ink 910">
              <a:extLst>
                <a:ext uri="{FF2B5EF4-FFF2-40B4-BE49-F238E27FC236}">
                  <a16:creationId xmlns:a16="http://schemas.microsoft.com/office/drawing/2014/main" id="{9D170F7D-F93E-004E-BBBB-5E2F30BA3942}"/>
                </a:ext>
              </a:extLst>
            </xdr14:cNvPr>
            <xdr14:cNvContentPartPr/>
          </xdr14:nvContentPartPr>
          <xdr14:nvPr macro=""/>
          <xdr14:xfrm>
            <a:off x="12846960" y="1192320"/>
            <a:ext cx="360" cy="360"/>
          </xdr14:xfrm>
        </xdr:contentPart>
      </mc:Choice>
      <mc:Fallback xmlns="">
        <xdr:pic>
          <xdr:nvPicPr>
            <xdr:cNvPr id="911" name="Ink 910">
              <a:extLst>
                <a:ext uri="{FF2B5EF4-FFF2-40B4-BE49-F238E27FC236}">
                  <a16:creationId xmlns:a16="http://schemas.microsoft.com/office/drawing/2014/main" id="{9D170F7D-F93E-004E-BBBB-5E2F30BA394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2">
          <xdr14:nvContentPartPr>
            <xdr14:cNvPr id="912" name="Ink 911">
              <a:extLst>
                <a:ext uri="{FF2B5EF4-FFF2-40B4-BE49-F238E27FC236}">
                  <a16:creationId xmlns:a16="http://schemas.microsoft.com/office/drawing/2014/main" id="{832F284F-2021-554A-A8C3-79DC4662DF1C}"/>
                </a:ext>
              </a:extLst>
            </xdr14:cNvPr>
            <xdr14:cNvContentPartPr/>
          </xdr14:nvContentPartPr>
          <xdr14:nvPr macro=""/>
          <xdr14:xfrm>
            <a:off x="12866040" y="1243440"/>
            <a:ext cx="360" cy="360"/>
          </xdr14:xfrm>
        </xdr:contentPart>
      </mc:Choice>
      <mc:Fallback xmlns="">
        <xdr:pic>
          <xdr:nvPicPr>
            <xdr:cNvPr id="912" name="Ink 911">
              <a:extLst>
                <a:ext uri="{FF2B5EF4-FFF2-40B4-BE49-F238E27FC236}">
                  <a16:creationId xmlns:a16="http://schemas.microsoft.com/office/drawing/2014/main" id="{832F284F-2021-554A-A8C3-79DC4662DF1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3">
          <xdr14:nvContentPartPr>
            <xdr14:cNvPr id="913" name="Ink 912">
              <a:extLst>
                <a:ext uri="{FF2B5EF4-FFF2-40B4-BE49-F238E27FC236}">
                  <a16:creationId xmlns:a16="http://schemas.microsoft.com/office/drawing/2014/main" id="{5C7E551F-8026-6342-8D21-7B7044097B0B}"/>
                </a:ext>
              </a:extLst>
            </xdr14:cNvPr>
            <xdr14:cNvContentPartPr/>
          </xdr14:nvContentPartPr>
          <xdr14:nvPr macro=""/>
          <xdr14:xfrm>
            <a:off x="12973680" y="1366560"/>
            <a:ext cx="360" cy="360"/>
          </xdr14:xfrm>
        </xdr:contentPart>
      </mc:Choice>
      <mc:Fallback xmlns="">
        <xdr:pic>
          <xdr:nvPicPr>
            <xdr:cNvPr id="913" name="Ink 912">
              <a:extLst>
                <a:ext uri="{FF2B5EF4-FFF2-40B4-BE49-F238E27FC236}">
                  <a16:creationId xmlns:a16="http://schemas.microsoft.com/office/drawing/2014/main" id="{5C7E551F-8026-6342-8D21-7B7044097B0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4">
          <xdr14:nvContentPartPr>
            <xdr14:cNvPr id="914" name="Ink 913">
              <a:extLst>
                <a:ext uri="{FF2B5EF4-FFF2-40B4-BE49-F238E27FC236}">
                  <a16:creationId xmlns:a16="http://schemas.microsoft.com/office/drawing/2014/main" id="{73EE2807-3B4A-0441-A7B9-5E5C3F966902}"/>
                </a:ext>
              </a:extLst>
            </xdr14:cNvPr>
            <xdr14:cNvContentPartPr/>
          </xdr14:nvContentPartPr>
          <xdr14:nvPr macro=""/>
          <xdr14:xfrm>
            <a:off x="12846960" y="1192320"/>
            <a:ext cx="360" cy="360"/>
          </xdr14:xfrm>
        </xdr:contentPart>
      </mc:Choice>
      <mc:Fallback xmlns="">
        <xdr:pic>
          <xdr:nvPicPr>
            <xdr:cNvPr id="914" name="Ink 913">
              <a:extLst>
                <a:ext uri="{FF2B5EF4-FFF2-40B4-BE49-F238E27FC236}">
                  <a16:creationId xmlns:a16="http://schemas.microsoft.com/office/drawing/2014/main" id="{73EE2807-3B4A-0441-A7B9-5E5C3F96690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5">
          <xdr14:nvContentPartPr>
            <xdr14:cNvPr id="915" name="Ink 914">
              <a:extLst>
                <a:ext uri="{FF2B5EF4-FFF2-40B4-BE49-F238E27FC236}">
                  <a16:creationId xmlns:a16="http://schemas.microsoft.com/office/drawing/2014/main" id="{4E535848-9260-B84D-A102-D3451F536B88}"/>
                </a:ext>
              </a:extLst>
            </xdr14:cNvPr>
            <xdr14:cNvContentPartPr/>
          </xdr14:nvContentPartPr>
          <xdr14:nvPr macro=""/>
          <xdr14:xfrm>
            <a:off x="12866040" y="1243440"/>
            <a:ext cx="360" cy="360"/>
          </xdr14:xfrm>
        </xdr:contentPart>
      </mc:Choice>
      <mc:Fallback xmlns="">
        <xdr:pic>
          <xdr:nvPicPr>
            <xdr:cNvPr id="915" name="Ink 914">
              <a:extLst>
                <a:ext uri="{FF2B5EF4-FFF2-40B4-BE49-F238E27FC236}">
                  <a16:creationId xmlns:a16="http://schemas.microsoft.com/office/drawing/2014/main" id="{4E535848-9260-B84D-A102-D3451F536B8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6">
          <xdr14:nvContentPartPr>
            <xdr14:cNvPr id="916" name="Ink 915">
              <a:extLst>
                <a:ext uri="{FF2B5EF4-FFF2-40B4-BE49-F238E27FC236}">
                  <a16:creationId xmlns:a16="http://schemas.microsoft.com/office/drawing/2014/main" id="{B0483151-6969-834E-B1DC-B2E0703AE1F4}"/>
                </a:ext>
              </a:extLst>
            </xdr14:cNvPr>
            <xdr14:cNvContentPartPr/>
          </xdr14:nvContentPartPr>
          <xdr14:nvPr macro=""/>
          <xdr14:xfrm>
            <a:off x="12973680" y="1366560"/>
            <a:ext cx="360" cy="360"/>
          </xdr14:xfrm>
        </xdr:contentPart>
      </mc:Choice>
      <mc:Fallback xmlns="">
        <xdr:pic>
          <xdr:nvPicPr>
            <xdr:cNvPr id="916" name="Ink 915">
              <a:extLst>
                <a:ext uri="{FF2B5EF4-FFF2-40B4-BE49-F238E27FC236}">
                  <a16:creationId xmlns:a16="http://schemas.microsoft.com/office/drawing/2014/main" id="{B0483151-6969-834E-B1DC-B2E0703AE1F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119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7">
          <xdr14:nvContentPartPr>
            <xdr14:cNvPr id="917" name="Ink 916">
              <a:extLst>
                <a:ext uri="{FF2B5EF4-FFF2-40B4-BE49-F238E27FC236}">
                  <a16:creationId xmlns:a16="http://schemas.microsoft.com/office/drawing/2014/main" id="{265268EA-5ACA-604F-A7DF-A3090E5222FF}"/>
                </a:ext>
              </a:extLst>
            </xdr14:cNvPr>
            <xdr14:cNvContentPartPr/>
          </xdr14:nvContentPartPr>
          <xdr14:nvPr macro=""/>
          <xdr14:xfrm>
            <a:off x="12846960" y="1192320"/>
            <a:ext cx="360" cy="360"/>
          </xdr14:xfrm>
        </xdr:contentPart>
      </mc:Choice>
      <mc:Fallback xmlns="">
        <xdr:pic>
          <xdr:nvPicPr>
            <xdr:cNvPr id="917" name="Ink 916">
              <a:extLst>
                <a:ext uri="{FF2B5EF4-FFF2-40B4-BE49-F238E27FC236}">
                  <a16:creationId xmlns:a16="http://schemas.microsoft.com/office/drawing/2014/main" id="{265268EA-5ACA-604F-A7DF-A3090E5222F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119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8">
          <xdr14:nvContentPartPr>
            <xdr14:cNvPr id="918" name="Ink 917">
              <a:extLst>
                <a:ext uri="{FF2B5EF4-FFF2-40B4-BE49-F238E27FC236}">
                  <a16:creationId xmlns:a16="http://schemas.microsoft.com/office/drawing/2014/main" id="{2E022EBE-F9E6-F849-BB56-2230DEE1187A}"/>
                </a:ext>
              </a:extLst>
            </xdr14:cNvPr>
            <xdr14:cNvContentPartPr/>
          </xdr14:nvContentPartPr>
          <xdr14:nvPr macro=""/>
          <xdr14:xfrm>
            <a:off x="12866040" y="1243440"/>
            <a:ext cx="360" cy="360"/>
          </xdr14:xfrm>
        </xdr:contentPart>
      </mc:Choice>
      <mc:Fallback xmlns="">
        <xdr:pic>
          <xdr:nvPicPr>
            <xdr:cNvPr id="918" name="Ink 917">
              <a:extLst>
                <a:ext uri="{FF2B5EF4-FFF2-40B4-BE49-F238E27FC236}">
                  <a16:creationId xmlns:a16="http://schemas.microsoft.com/office/drawing/2014/main" id="{2E022EBE-F9E6-F849-BB56-2230DEE1187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119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19">
          <xdr14:nvContentPartPr>
            <xdr14:cNvPr id="919" name="Ink 918">
              <a:extLst>
                <a:ext uri="{FF2B5EF4-FFF2-40B4-BE49-F238E27FC236}">
                  <a16:creationId xmlns:a16="http://schemas.microsoft.com/office/drawing/2014/main" id="{8C2519C9-2DFC-2C45-9A44-2703A61466C4}"/>
                </a:ext>
              </a:extLst>
            </xdr14:cNvPr>
            <xdr14:cNvContentPartPr/>
          </xdr14:nvContentPartPr>
          <xdr14:nvPr macro=""/>
          <xdr14:xfrm>
            <a:off x="12973680" y="1366560"/>
            <a:ext cx="360" cy="360"/>
          </xdr14:xfrm>
        </xdr:contentPart>
      </mc:Choice>
      <mc:Fallback xmlns="">
        <xdr:pic>
          <xdr:nvPicPr>
            <xdr:cNvPr id="919" name="Ink 918">
              <a:extLst>
                <a:ext uri="{FF2B5EF4-FFF2-40B4-BE49-F238E27FC236}">
                  <a16:creationId xmlns:a16="http://schemas.microsoft.com/office/drawing/2014/main" id="{8C2519C9-2DFC-2C45-9A44-2703A61466C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0">
          <xdr14:nvContentPartPr>
            <xdr14:cNvPr id="920" name="Ink 919">
              <a:extLst>
                <a:ext uri="{FF2B5EF4-FFF2-40B4-BE49-F238E27FC236}">
                  <a16:creationId xmlns:a16="http://schemas.microsoft.com/office/drawing/2014/main" id="{A0D3183D-FD3D-074B-91DF-0F0BE7FE0FC1}"/>
                </a:ext>
              </a:extLst>
            </xdr14:cNvPr>
            <xdr14:cNvContentPartPr/>
          </xdr14:nvContentPartPr>
          <xdr14:nvPr macro=""/>
          <xdr14:xfrm>
            <a:off x="12846960" y="1192320"/>
            <a:ext cx="360" cy="360"/>
          </xdr14:xfrm>
        </xdr:contentPart>
      </mc:Choice>
      <mc:Fallback xmlns="">
        <xdr:pic>
          <xdr:nvPicPr>
            <xdr:cNvPr id="920" name="Ink 919">
              <a:extLst>
                <a:ext uri="{FF2B5EF4-FFF2-40B4-BE49-F238E27FC236}">
                  <a16:creationId xmlns:a16="http://schemas.microsoft.com/office/drawing/2014/main" id="{A0D3183D-FD3D-074B-91DF-0F0BE7FE0FC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1">
          <xdr14:nvContentPartPr>
            <xdr14:cNvPr id="921" name="Ink 920">
              <a:extLst>
                <a:ext uri="{FF2B5EF4-FFF2-40B4-BE49-F238E27FC236}">
                  <a16:creationId xmlns:a16="http://schemas.microsoft.com/office/drawing/2014/main" id="{57B22706-AF96-1B45-B314-ECFAF15FEE2B}"/>
                </a:ext>
              </a:extLst>
            </xdr14:cNvPr>
            <xdr14:cNvContentPartPr/>
          </xdr14:nvContentPartPr>
          <xdr14:nvPr macro=""/>
          <xdr14:xfrm>
            <a:off x="12866040" y="1243440"/>
            <a:ext cx="360" cy="360"/>
          </xdr14:xfrm>
        </xdr:contentPart>
      </mc:Choice>
      <mc:Fallback xmlns="">
        <xdr:pic>
          <xdr:nvPicPr>
            <xdr:cNvPr id="921" name="Ink 920">
              <a:extLst>
                <a:ext uri="{FF2B5EF4-FFF2-40B4-BE49-F238E27FC236}">
                  <a16:creationId xmlns:a16="http://schemas.microsoft.com/office/drawing/2014/main" id="{57B22706-AF96-1B45-B314-ECFAF15FEE2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2">
          <xdr14:nvContentPartPr>
            <xdr14:cNvPr id="922" name="Ink 921">
              <a:extLst>
                <a:ext uri="{FF2B5EF4-FFF2-40B4-BE49-F238E27FC236}">
                  <a16:creationId xmlns:a16="http://schemas.microsoft.com/office/drawing/2014/main" id="{A390C0D4-9212-774E-9308-F4FB97D46B04}"/>
                </a:ext>
              </a:extLst>
            </xdr14:cNvPr>
            <xdr14:cNvContentPartPr/>
          </xdr14:nvContentPartPr>
          <xdr14:nvPr macro=""/>
          <xdr14:xfrm>
            <a:off x="12973680" y="1366560"/>
            <a:ext cx="360" cy="360"/>
          </xdr14:xfrm>
        </xdr:contentPart>
      </mc:Choice>
      <mc:Fallback xmlns="">
        <xdr:pic>
          <xdr:nvPicPr>
            <xdr:cNvPr id="922" name="Ink 921">
              <a:extLst>
                <a:ext uri="{FF2B5EF4-FFF2-40B4-BE49-F238E27FC236}">
                  <a16:creationId xmlns:a16="http://schemas.microsoft.com/office/drawing/2014/main" id="{A390C0D4-9212-774E-9308-F4FB97D46B0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3">
          <xdr14:nvContentPartPr>
            <xdr14:cNvPr id="923" name="Ink 922">
              <a:extLst>
                <a:ext uri="{FF2B5EF4-FFF2-40B4-BE49-F238E27FC236}">
                  <a16:creationId xmlns:a16="http://schemas.microsoft.com/office/drawing/2014/main" id="{0F488A2C-5E7A-E040-A831-889E8D7FD1CA}"/>
                </a:ext>
              </a:extLst>
            </xdr14:cNvPr>
            <xdr14:cNvContentPartPr/>
          </xdr14:nvContentPartPr>
          <xdr14:nvPr macro=""/>
          <xdr14:xfrm>
            <a:off x="12846960" y="1192320"/>
            <a:ext cx="360" cy="360"/>
          </xdr14:xfrm>
        </xdr:contentPart>
      </mc:Choice>
      <mc:Fallback xmlns="">
        <xdr:pic>
          <xdr:nvPicPr>
            <xdr:cNvPr id="923" name="Ink 922">
              <a:extLst>
                <a:ext uri="{FF2B5EF4-FFF2-40B4-BE49-F238E27FC236}">
                  <a16:creationId xmlns:a16="http://schemas.microsoft.com/office/drawing/2014/main" id="{0F488A2C-5E7A-E040-A831-889E8D7FD1C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4">
          <xdr14:nvContentPartPr>
            <xdr14:cNvPr id="924" name="Ink 923">
              <a:extLst>
                <a:ext uri="{FF2B5EF4-FFF2-40B4-BE49-F238E27FC236}">
                  <a16:creationId xmlns:a16="http://schemas.microsoft.com/office/drawing/2014/main" id="{01B744C4-44B2-6A4E-A363-53B97DB9B081}"/>
                </a:ext>
              </a:extLst>
            </xdr14:cNvPr>
            <xdr14:cNvContentPartPr/>
          </xdr14:nvContentPartPr>
          <xdr14:nvPr macro=""/>
          <xdr14:xfrm>
            <a:off x="12866040" y="1243440"/>
            <a:ext cx="360" cy="360"/>
          </xdr14:xfrm>
        </xdr:contentPart>
      </mc:Choice>
      <mc:Fallback xmlns="">
        <xdr:pic>
          <xdr:nvPicPr>
            <xdr:cNvPr id="924" name="Ink 923">
              <a:extLst>
                <a:ext uri="{FF2B5EF4-FFF2-40B4-BE49-F238E27FC236}">
                  <a16:creationId xmlns:a16="http://schemas.microsoft.com/office/drawing/2014/main" id="{01B744C4-44B2-6A4E-A363-53B97DB9B08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5">
          <xdr14:nvContentPartPr>
            <xdr14:cNvPr id="925" name="Ink 924">
              <a:extLst>
                <a:ext uri="{FF2B5EF4-FFF2-40B4-BE49-F238E27FC236}">
                  <a16:creationId xmlns:a16="http://schemas.microsoft.com/office/drawing/2014/main" id="{B3E57D44-58F0-BC49-BBFB-504848ED181A}"/>
                </a:ext>
              </a:extLst>
            </xdr14:cNvPr>
            <xdr14:cNvContentPartPr/>
          </xdr14:nvContentPartPr>
          <xdr14:nvPr macro=""/>
          <xdr14:xfrm>
            <a:off x="12973680" y="1366560"/>
            <a:ext cx="360" cy="360"/>
          </xdr14:xfrm>
        </xdr:contentPart>
      </mc:Choice>
      <mc:Fallback xmlns="">
        <xdr:pic>
          <xdr:nvPicPr>
            <xdr:cNvPr id="925" name="Ink 924">
              <a:extLst>
                <a:ext uri="{FF2B5EF4-FFF2-40B4-BE49-F238E27FC236}">
                  <a16:creationId xmlns:a16="http://schemas.microsoft.com/office/drawing/2014/main" id="{B3E57D44-58F0-BC49-BBFB-504848ED181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6">
          <xdr14:nvContentPartPr>
            <xdr14:cNvPr id="926" name="Ink 925">
              <a:extLst>
                <a:ext uri="{FF2B5EF4-FFF2-40B4-BE49-F238E27FC236}">
                  <a16:creationId xmlns:a16="http://schemas.microsoft.com/office/drawing/2014/main" id="{99D2C4F7-DB06-D74D-B660-8742061CB539}"/>
                </a:ext>
              </a:extLst>
            </xdr14:cNvPr>
            <xdr14:cNvContentPartPr/>
          </xdr14:nvContentPartPr>
          <xdr14:nvPr macro=""/>
          <xdr14:xfrm>
            <a:off x="12846960" y="1192320"/>
            <a:ext cx="360" cy="360"/>
          </xdr14:xfrm>
        </xdr:contentPart>
      </mc:Choice>
      <mc:Fallback xmlns="">
        <xdr:pic>
          <xdr:nvPicPr>
            <xdr:cNvPr id="926" name="Ink 925">
              <a:extLst>
                <a:ext uri="{FF2B5EF4-FFF2-40B4-BE49-F238E27FC236}">
                  <a16:creationId xmlns:a16="http://schemas.microsoft.com/office/drawing/2014/main" id="{99D2C4F7-DB06-D74D-B660-8742061CB53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7">
          <xdr14:nvContentPartPr>
            <xdr14:cNvPr id="927" name="Ink 926">
              <a:extLst>
                <a:ext uri="{FF2B5EF4-FFF2-40B4-BE49-F238E27FC236}">
                  <a16:creationId xmlns:a16="http://schemas.microsoft.com/office/drawing/2014/main" id="{922048B7-FE57-FA4C-8767-79DC9F5EF54E}"/>
                </a:ext>
              </a:extLst>
            </xdr14:cNvPr>
            <xdr14:cNvContentPartPr/>
          </xdr14:nvContentPartPr>
          <xdr14:nvPr macro=""/>
          <xdr14:xfrm>
            <a:off x="12866040" y="1243440"/>
            <a:ext cx="360" cy="360"/>
          </xdr14:xfrm>
        </xdr:contentPart>
      </mc:Choice>
      <mc:Fallback xmlns="">
        <xdr:pic>
          <xdr:nvPicPr>
            <xdr:cNvPr id="927" name="Ink 926">
              <a:extLst>
                <a:ext uri="{FF2B5EF4-FFF2-40B4-BE49-F238E27FC236}">
                  <a16:creationId xmlns:a16="http://schemas.microsoft.com/office/drawing/2014/main" id="{922048B7-FE57-FA4C-8767-79DC9F5EF54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8">
          <xdr14:nvContentPartPr>
            <xdr14:cNvPr id="928" name="Ink 927">
              <a:extLst>
                <a:ext uri="{FF2B5EF4-FFF2-40B4-BE49-F238E27FC236}">
                  <a16:creationId xmlns:a16="http://schemas.microsoft.com/office/drawing/2014/main" id="{FB8D7A21-35F9-4548-A58E-974D6EA411CA}"/>
                </a:ext>
              </a:extLst>
            </xdr14:cNvPr>
            <xdr14:cNvContentPartPr/>
          </xdr14:nvContentPartPr>
          <xdr14:nvPr macro=""/>
          <xdr14:xfrm>
            <a:off x="12973680" y="1366560"/>
            <a:ext cx="360" cy="360"/>
          </xdr14:xfrm>
        </xdr:contentPart>
      </mc:Choice>
      <mc:Fallback xmlns="">
        <xdr:pic>
          <xdr:nvPicPr>
            <xdr:cNvPr id="928" name="Ink 927">
              <a:extLst>
                <a:ext uri="{FF2B5EF4-FFF2-40B4-BE49-F238E27FC236}">
                  <a16:creationId xmlns:a16="http://schemas.microsoft.com/office/drawing/2014/main" id="{FB8D7A21-35F9-4548-A58E-974D6EA411C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29">
          <xdr14:nvContentPartPr>
            <xdr14:cNvPr id="929" name="Ink 928">
              <a:extLst>
                <a:ext uri="{FF2B5EF4-FFF2-40B4-BE49-F238E27FC236}">
                  <a16:creationId xmlns:a16="http://schemas.microsoft.com/office/drawing/2014/main" id="{C69864DC-3109-C448-8D8A-9493628DFF7F}"/>
                </a:ext>
              </a:extLst>
            </xdr14:cNvPr>
            <xdr14:cNvContentPartPr/>
          </xdr14:nvContentPartPr>
          <xdr14:nvPr macro=""/>
          <xdr14:xfrm>
            <a:off x="12846960" y="1192320"/>
            <a:ext cx="360" cy="360"/>
          </xdr14:xfrm>
        </xdr:contentPart>
      </mc:Choice>
      <mc:Fallback xmlns="">
        <xdr:pic>
          <xdr:nvPicPr>
            <xdr:cNvPr id="929" name="Ink 928">
              <a:extLst>
                <a:ext uri="{FF2B5EF4-FFF2-40B4-BE49-F238E27FC236}">
                  <a16:creationId xmlns:a16="http://schemas.microsoft.com/office/drawing/2014/main" id="{C69864DC-3109-C448-8D8A-9493628DFF7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0">
          <xdr14:nvContentPartPr>
            <xdr14:cNvPr id="930" name="Ink 929">
              <a:extLst>
                <a:ext uri="{FF2B5EF4-FFF2-40B4-BE49-F238E27FC236}">
                  <a16:creationId xmlns:a16="http://schemas.microsoft.com/office/drawing/2014/main" id="{FF725951-1A9C-A74D-A125-241C411132EF}"/>
                </a:ext>
              </a:extLst>
            </xdr14:cNvPr>
            <xdr14:cNvContentPartPr/>
          </xdr14:nvContentPartPr>
          <xdr14:nvPr macro=""/>
          <xdr14:xfrm>
            <a:off x="12866040" y="1243440"/>
            <a:ext cx="360" cy="360"/>
          </xdr14:xfrm>
        </xdr:contentPart>
      </mc:Choice>
      <mc:Fallback xmlns="">
        <xdr:pic>
          <xdr:nvPicPr>
            <xdr:cNvPr id="930" name="Ink 929">
              <a:extLst>
                <a:ext uri="{FF2B5EF4-FFF2-40B4-BE49-F238E27FC236}">
                  <a16:creationId xmlns:a16="http://schemas.microsoft.com/office/drawing/2014/main" id="{FF725951-1A9C-A74D-A125-241C411132E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1">
          <xdr14:nvContentPartPr>
            <xdr14:cNvPr id="931" name="Ink 930">
              <a:extLst>
                <a:ext uri="{FF2B5EF4-FFF2-40B4-BE49-F238E27FC236}">
                  <a16:creationId xmlns:a16="http://schemas.microsoft.com/office/drawing/2014/main" id="{56AC58AB-00F7-4D42-81BE-538619576A02}"/>
                </a:ext>
              </a:extLst>
            </xdr14:cNvPr>
            <xdr14:cNvContentPartPr/>
          </xdr14:nvContentPartPr>
          <xdr14:nvPr macro=""/>
          <xdr14:xfrm>
            <a:off x="12973680" y="1366560"/>
            <a:ext cx="360" cy="360"/>
          </xdr14:xfrm>
        </xdr:contentPart>
      </mc:Choice>
      <mc:Fallback xmlns="">
        <xdr:pic>
          <xdr:nvPicPr>
            <xdr:cNvPr id="931" name="Ink 930">
              <a:extLst>
                <a:ext uri="{FF2B5EF4-FFF2-40B4-BE49-F238E27FC236}">
                  <a16:creationId xmlns:a16="http://schemas.microsoft.com/office/drawing/2014/main" id="{56AC58AB-00F7-4D42-81BE-538619576A0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2">
          <xdr14:nvContentPartPr>
            <xdr14:cNvPr id="932" name="Ink 931">
              <a:extLst>
                <a:ext uri="{FF2B5EF4-FFF2-40B4-BE49-F238E27FC236}">
                  <a16:creationId xmlns:a16="http://schemas.microsoft.com/office/drawing/2014/main" id="{365B5DF1-28FE-4547-A154-D6C309E3E51E}"/>
                </a:ext>
              </a:extLst>
            </xdr14:cNvPr>
            <xdr14:cNvContentPartPr/>
          </xdr14:nvContentPartPr>
          <xdr14:nvPr macro=""/>
          <xdr14:xfrm>
            <a:off x="12846960" y="1192320"/>
            <a:ext cx="360" cy="360"/>
          </xdr14:xfrm>
        </xdr:contentPart>
      </mc:Choice>
      <mc:Fallback xmlns="">
        <xdr:pic>
          <xdr:nvPicPr>
            <xdr:cNvPr id="932" name="Ink 931">
              <a:extLst>
                <a:ext uri="{FF2B5EF4-FFF2-40B4-BE49-F238E27FC236}">
                  <a16:creationId xmlns:a16="http://schemas.microsoft.com/office/drawing/2014/main" id="{365B5DF1-28FE-4547-A154-D6C309E3E51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3">
          <xdr14:nvContentPartPr>
            <xdr14:cNvPr id="933" name="Ink 932">
              <a:extLst>
                <a:ext uri="{FF2B5EF4-FFF2-40B4-BE49-F238E27FC236}">
                  <a16:creationId xmlns:a16="http://schemas.microsoft.com/office/drawing/2014/main" id="{339CF80C-D3F7-AC47-BEE2-B16F875C1F2F}"/>
                </a:ext>
              </a:extLst>
            </xdr14:cNvPr>
            <xdr14:cNvContentPartPr/>
          </xdr14:nvContentPartPr>
          <xdr14:nvPr macro=""/>
          <xdr14:xfrm>
            <a:off x="12866040" y="1243440"/>
            <a:ext cx="360" cy="360"/>
          </xdr14:xfrm>
        </xdr:contentPart>
      </mc:Choice>
      <mc:Fallback xmlns="">
        <xdr:pic>
          <xdr:nvPicPr>
            <xdr:cNvPr id="933" name="Ink 932">
              <a:extLst>
                <a:ext uri="{FF2B5EF4-FFF2-40B4-BE49-F238E27FC236}">
                  <a16:creationId xmlns:a16="http://schemas.microsoft.com/office/drawing/2014/main" id="{339CF80C-D3F7-AC47-BEE2-B16F875C1F2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4">
          <xdr14:nvContentPartPr>
            <xdr14:cNvPr id="934" name="Ink 933">
              <a:extLst>
                <a:ext uri="{FF2B5EF4-FFF2-40B4-BE49-F238E27FC236}">
                  <a16:creationId xmlns:a16="http://schemas.microsoft.com/office/drawing/2014/main" id="{4D7E4ED6-F351-CC49-8424-900C672C235C}"/>
                </a:ext>
              </a:extLst>
            </xdr14:cNvPr>
            <xdr14:cNvContentPartPr/>
          </xdr14:nvContentPartPr>
          <xdr14:nvPr macro=""/>
          <xdr14:xfrm>
            <a:off x="12973680" y="1366560"/>
            <a:ext cx="360" cy="360"/>
          </xdr14:xfrm>
        </xdr:contentPart>
      </mc:Choice>
      <mc:Fallback xmlns="">
        <xdr:pic>
          <xdr:nvPicPr>
            <xdr:cNvPr id="934" name="Ink 933">
              <a:extLst>
                <a:ext uri="{FF2B5EF4-FFF2-40B4-BE49-F238E27FC236}">
                  <a16:creationId xmlns:a16="http://schemas.microsoft.com/office/drawing/2014/main" id="{4D7E4ED6-F351-CC49-8424-900C672C235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5">
          <xdr14:nvContentPartPr>
            <xdr14:cNvPr id="935" name="Ink 934">
              <a:extLst>
                <a:ext uri="{FF2B5EF4-FFF2-40B4-BE49-F238E27FC236}">
                  <a16:creationId xmlns:a16="http://schemas.microsoft.com/office/drawing/2014/main" id="{11B01186-7DDD-6E49-9A63-E13DF62FB790}"/>
                </a:ext>
              </a:extLst>
            </xdr14:cNvPr>
            <xdr14:cNvContentPartPr/>
          </xdr14:nvContentPartPr>
          <xdr14:nvPr macro=""/>
          <xdr14:xfrm>
            <a:off x="12846960" y="1192320"/>
            <a:ext cx="360" cy="360"/>
          </xdr14:xfrm>
        </xdr:contentPart>
      </mc:Choice>
      <mc:Fallback xmlns="">
        <xdr:pic>
          <xdr:nvPicPr>
            <xdr:cNvPr id="935" name="Ink 934">
              <a:extLst>
                <a:ext uri="{FF2B5EF4-FFF2-40B4-BE49-F238E27FC236}">
                  <a16:creationId xmlns:a16="http://schemas.microsoft.com/office/drawing/2014/main" id="{11B01186-7DDD-6E49-9A63-E13DF62FB79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6">
          <xdr14:nvContentPartPr>
            <xdr14:cNvPr id="936" name="Ink 935">
              <a:extLst>
                <a:ext uri="{FF2B5EF4-FFF2-40B4-BE49-F238E27FC236}">
                  <a16:creationId xmlns:a16="http://schemas.microsoft.com/office/drawing/2014/main" id="{48EDE80A-F64C-D047-A93A-D91FF2385509}"/>
                </a:ext>
              </a:extLst>
            </xdr14:cNvPr>
            <xdr14:cNvContentPartPr/>
          </xdr14:nvContentPartPr>
          <xdr14:nvPr macro=""/>
          <xdr14:xfrm>
            <a:off x="12866040" y="1243440"/>
            <a:ext cx="360" cy="360"/>
          </xdr14:xfrm>
        </xdr:contentPart>
      </mc:Choice>
      <mc:Fallback xmlns="">
        <xdr:pic>
          <xdr:nvPicPr>
            <xdr:cNvPr id="936" name="Ink 935">
              <a:extLst>
                <a:ext uri="{FF2B5EF4-FFF2-40B4-BE49-F238E27FC236}">
                  <a16:creationId xmlns:a16="http://schemas.microsoft.com/office/drawing/2014/main" id="{48EDE80A-F64C-D047-A93A-D91FF238550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7">
          <xdr14:nvContentPartPr>
            <xdr14:cNvPr id="937" name="Ink 936">
              <a:extLst>
                <a:ext uri="{FF2B5EF4-FFF2-40B4-BE49-F238E27FC236}">
                  <a16:creationId xmlns:a16="http://schemas.microsoft.com/office/drawing/2014/main" id="{4B82D16C-62EE-1440-A5A0-00B82720340A}"/>
                </a:ext>
              </a:extLst>
            </xdr14:cNvPr>
            <xdr14:cNvContentPartPr/>
          </xdr14:nvContentPartPr>
          <xdr14:nvPr macro=""/>
          <xdr14:xfrm>
            <a:off x="12973680" y="1366560"/>
            <a:ext cx="360" cy="360"/>
          </xdr14:xfrm>
        </xdr:contentPart>
      </mc:Choice>
      <mc:Fallback xmlns="">
        <xdr:pic>
          <xdr:nvPicPr>
            <xdr:cNvPr id="937" name="Ink 936">
              <a:extLst>
                <a:ext uri="{FF2B5EF4-FFF2-40B4-BE49-F238E27FC236}">
                  <a16:creationId xmlns:a16="http://schemas.microsoft.com/office/drawing/2014/main" id="{4B82D16C-62EE-1440-A5A0-00B82720340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8">
          <xdr14:nvContentPartPr>
            <xdr14:cNvPr id="938" name="Ink 937">
              <a:extLst>
                <a:ext uri="{FF2B5EF4-FFF2-40B4-BE49-F238E27FC236}">
                  <a16:creationId xmlns:a16="http://schemas.microsoft.com/office/drawing/2014/main" id="{F23EED30-BD77-E34B-87CD-913AFE55C526}"/>
                </a:ext>
              </a:extLst>
            </xdr14:cNvPr>
            <xdr14:cNvContentPartPr/>
          </xdr14:nvContentPartPr>
          <xdr14:nvPr macro=""/>
          <xdr14:xfrm>
            <a:off x="12846960" y="1192320"/>
            <a:ext cx="360" cy="360"/>
          </xdr14:xfrm>
        </xdr:contentPart>
      </mc:Choice>
      <mc:Fallback xmlns="">
        <xdr:pic>
          <xdr:nvPicPr>
            <xdr:cNvPr id="938" name="Ink 937">
              <a:extLst>
                <a:ext uri="{FF2B5EF4-FFF2-40B4-BE49-F238E27FC236}">
                  <a16:creationId xmlns:a16="http://schemas.microsoft.com/office/drawing/2014/main" id="{F23EED30-BD77-E34B-87CD-913AFE55C52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39">
          <xdr14:nvContentPartPr>
            <xdr14:cNvPr id="939" name="Ink 938">
              <a:extLst>
                <a:ext uri="{FF2B5EF4-FFF2-40B4-BE49-F238E27FC236}">
                  <a16:creationId xmlns:a16="http://schemas.microsoft.com/office/drawing/2014/main" id="{8D99A9F0-E3A7-3A48-B046-F925EF741F7E}"/>
                </a:ext>
              </a:extLst>
            </xdr14:cNvPr>
            <xdr14:cNvContentPartPr/>
          </xdr14:nvContentPartPr>
          <xdr14:nvPr macro=""/>
          <xdr14:xfrm>
            <a:off x="12866040" y="1243440"/>
            <a:ext cx="360" cy="360"/>
          </xdr14:xfrm>
        </xdr:contentPart>
      </mc:Choice>
      <mc:Fallback xmlns="">
        <xdr:pic>
          <xdr:nvPicPr>
            <xdr:cNvPr id="939" name="Ink 938">
              <a:extLst>
                <a:ext uri="{FF2B5EF4-FFF2-40B4-BE49-F238E27FC236}">
                  <a16:creationId xmlns:a16="http://schemas.microsoft.com/office/drawing/2014/main" id="{8D99A9F0-E3A7-3A48-B046-F925EF741F7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0">
          <xdr14:nvContentPartPr>
            <xdr14:cNvPr id="940" name="Ink 939">
              <a:extLst>
                <a:ext uri="{FF2B5EF4-FFF2-40B4-BE49-F238E27FC236}">
                  <a16:creationId xmlns:a16="http://schemas.microsoft.com/office/drawing/2014/main" id="{4679BB11-334B-8247-9626-661032D4A1C6}"/>
                </a:ext>
              </a:extLst>
            </xdr14:cNvPr>
            <xdr14:cNvContentPartPr/>
          </xdr14:nvContentPartPr>
          <xdr14:nvPr macro=""/>
          <xdr14:xfrm>
            <a:off x="12973680" y="1366560"/>
            <a:ext cx="360" cy="360"/>
          </xdr14:xfrm>
        </xdr:contentPart>
      </mc:Choice>
      <mc:Fallback xmlns="">
        <xdr:pic>
          <xdr:nvPicPr>
            <xdr:cNvPr id="940" name="Ink 939">
              <a:extLst>
                <a:ext uri="{FF2B5EF4-FFF2-40B4-BE49-F238E27FC236}">
                  <a16:creationId xmlns:a16="http://schemas.microsoft.com/office/drawing/2014/main" id="{4679BB11-334B-8247-9626-661032D4A1C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1">
          <xdr14:nvContentPartPr>
            <xdr14:cNvPr id="941" name="Ink 940">
              <a:extLst>
                <a:ext uri="{FF2B5EF4-FFF2-40B4-BE49-F238E27FC236}">
                  <a16:creationId xmlns:a16="http://schemas.microsoft.com/office/drawing/2014/main" id="{0702F7E2-7DE8-2C4F-BA5B-3B1112051BCD}"/>
                </a:ext>
              </a:extLst>
            </xdr14:cNvPr>
            <xdr14:cNvContentPartPr/>
          </xdr14:nvContentPartPr>
          <xdr14:nvPr macro=""/>
          <xdr14:xfrm>
            <a:off x="12846960" y="1192320"/>
            <a:ext cx="360" cy="360"/>
          </xdr14:xfrm>
        </xdr:contentPart>
      </mc:Choice>
      <mc:Fallback xmlns="">
        <xdr:pic>
          <xdr:nvPicPr>
            <xdr:cNvPr id="941" name="Ink 940">
              <a:extLst>
                <a:ext uri="{FF2B5EF4-FFF2-40B4-BE49-F238E27FC236}">
                  <a16:creationId xmlns:a16="http://schemas.microsoft.com/office/drawing/2014/main" id="{0702F7E2-7DE8-2C4F-BA5B-3B1112051BC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2">
          <xdr14:nvContentPartPr>
            <xdr14:cNvPr id="942" name="Ink 941">
              <a:extLst>
                <a:ext uri="{FF2B5EF4-FFF2-40B4-BE49-F238E27FC236}">
                  <a16:creationId xmlns:a16="http://schemas.microsoft.com/office/drawing/2014/main" id="{9AB3EC86-CCCF-3B4E-8D90-66B12BF429AE}"/>
                </a:ext>
              </a:extLst>
            </xdr14:cNvPr>
            <xdr14:cNvContentPartPr/>
          </xdr14:nvContentPartPr>
          <xdr14:nvPr macro=""/>
          <xdr14:xfrm>
            <a:off x="12866040" y="1243440"/>
            <a:ext cx="360" cy="360"/>
          </xdr14:xfrm>
        </xdr:contentPart>
      </mc:Choice>
      <mc:Fallback xmlns="">
        <xdr:pic>
          <xdr:nvPicPr>
            <xdr:cNvPr id="942" name="Ink 941">
              <a:extLst>
                <a:ext uri="{FF2B5EF4-FFF2-40B4-BE49-F238E27FC236}">
                  <a16:creationId xmlns:a16="http://schemas.microsoft.com/office/drawing/2014/main" id="{9AB3EC86-CCCF-3B4E-8D90-66B12BF429A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3">
          <xdr14:nvContentPartPr>
            <xdr14:cNvPr id="943" name="Ink 942">
              <a:extLst>
                <a:ext uri="{FF2B5EF4-FFF2-40B4-BE49-F238E27FC236}">
                  <a16:creationId xmlns:a16="http://schemas.microsoft.com/office/drawing/2014/main" id="{0308F861-CAEE-B54C-B616-121FD7180374}"/>
                </a:ext>
              </a:extLst>
            </xdr14:cNvPr>
            <xdr14:cNvContentPartPr/>
          </xdr14:nvContentPartPr>
          <xdr14:nvPr macro=""/>
          <xdr14:xfrm>
            <a:off x="12973680" y="1366560"/>
            <a:ext cx="360" cy="360"/>
          </xdr14:xfrm>
        </xdr:contentPart>
      </mc:Choice>
      <mc:Fallback xmlns="">
        <xdr:pic>
          <xdr:nvPicPr>
            <xdr:cNvPr id="943" name="Ink 942">
              <a:extLst>
                <a:ext uri="{FF2B5EF4-FFF2-40B4-BE49-F238E27FC236}">
                  <a16:creationId xmlns:a16="http://schemas.microsoft.com/office/drawing/2014/main" id="{0308F861-CAEE-B54C-B616-121FD718037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4">
          <xdr14:nvContentPartPr>
            <xdr14:cNvPr id="944" name="Ink 943">
              <a:extLst>
                <a:ext uri="{FF2B5EF4-FFF2-40B4-BE49-F238E27FC236}">
                  <a16:creationId xmlns:a16="http://schemas.microsoft.com/office/drawing/2014/main" id="{6537BD8D-F8F1-B043-8E3C-C6CD6C29C9F2}"/>
                </a:ext>
              </a:extLst>
            </xdr14:cNvPr>
            <xdr14:cNvContentPartPr/>
          </xdr14:nvContentPartPr>
          <xdr14:nvPr macro=""/>
          <xdr14:xfrm>
            <a:off x="12846960" y="1192320"/>
            <a:ext cx="360" cy="360"/>
          </xdr14:xfrm>
        </xdr:contentPart>
      </mc:Choice>
      <mc:Fallback xmlns="">
        <xdr:pic>
          <xdr:nvPicPr>
            <xdr:cNvPr id="944" name="Ink 943">
              <a:extLst>
                <a:ext uri="{FF2B5EF4-FFF2-40B4-BE49-F238E27FC236}">
                  <a16:creationId xmlns:a16="http://schemas.microsoft.com/office/drawing/2014/main" id="{6537BD8D-F8F1-B043-8E3C-C6CD6C29C9F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5">
          <xdr14:nvContentPartPr>
            <xdr14:cNvPr id="945" name="Ink 944">
              <a:extLst>
                <a:ext uri="{FF2B5EF4-FFF2-40B4-BE49-F238E27FC236}">
                  <a16:creationId xmlns:a16="http://schemas.microsoft.com/office/drawing/2014/main" id="{7476E34B-A5D3-1B4A-B3C5-25D343C2EA11}"/>
                </a:ext>
              </a:extLst>
            </xdr14:cNvPr>
            <xdr14:cNvContentPartPr/>
          </xdr14:nvContentPartPr>
          <xdr14:nvPr macro=""/>
          <xdr14:xfrm>
            <a:off x="12866040" y="1243440"/>
            <a:ext cx="360" cy="360"/>
          </xdr14:xfrm>
        </xdr:contentPart>
      </mc:Choice>
      <mc:Fallback xmlns="">
        <xdr:pic>
          <xdr:nvPicPr>
            <xdr:cNvPr id="945" name="Ink 944">
              <a:extLst>
                <a:ext uri="{FF2B5EF4-FFF2-40B4-BE49-F238E27FC236}">
                  <a16:creationId xmlns:a16="http://schemas.microsoft.com/office/drawing/2014/main" id="{7476E34B-A5D3-1B4A-B3C5-25D343C2EA1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6">
          <xdr14:nvContentPartPr>
            <xdr14:cNvPr id="946" name="Ink 945">
              <a:extLst>
                <a:ext uri="{FF2B5EF4-FFF2-40B4-BE49-F238E27FC236}">
                  <a16:creationId xmlns:a16="http://schemas.microsoft.com/office/drawing/2014/main" id="{D2A21E75-4F79-E949-AB93-B612C80D65C3}"/>
                </a:ext>
              </a:extLst>
            </xdr14:cNvPr>
            <xdr14:cNvContentPartPr/>
          </xdr14:nvContentPartPr>
          <xdr14:nvPr macro=""/>
          <xdr14:xfrm>
            <a:off x="12973680" y="1366560"/>
            <a:ext cx="360" cy="360"/>
          </xdr14:xfrm>
        </xdr:contentPart>
      </mc:Choice>
      <mc:Fallback xmlns="">
        <xdr:pic>
          <xdr:nvPicPr>
            <xdr:cNvPr id="946" name="Ink 945">
              <a:extLst>
                <a:ext uri="{FF2B5EF4-FFF2-40B4-BE49-F238E27FC236}">
                  <a16:creationId xmlns:a16="http://schemas.microsoft.com/office/drawing/2014/main" id="{D2A21E75-4F79-E949-AB93-B612C80D65C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129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7">
          <xdr14:nvContentPartPr>
            <xdr14:cNvPr id="947" name="Ink 946">
              <a:extLst>
                <a:ext uri="{FF2B5EF4-FFF2-40B4-BE49-F238E27FC236}">
                  <a16:creationId xmlns:a16="http://schemas.microsoft.com/office/drawing/2014/main" id="{A852BBA0-0A0E-3849-B032-E21A3A92641C}"/>
                </a:ext>
              </a:extLst>
            </xdr14:cNvPr>
            <xdr14:cNvContentPartPr/>
          </xdr14:nvContentPartPr>
          <xdr14:nvPr macro=""/>
          <xdr14:xfrm>
            <a:off x="12846960" y="1192320"/>
            <a:ext cx="360" cy="360"/>
          </xdr14:xfrm>
        </xdr:contentPart>
      </mc:Choice>
      <mc:Fallback xmlns="">
        <xdr:pic>
          <xdr:nvPicPr>
            <xdr:cNvPr id="947" name="Ink 946">
              <a:extLst>
                <a:ext uri="{FF2B5EF4-FFF2-40B4-BE49-F238E27FC236}">
                  <a16:creationId xmlns:a16="http://schemas.microsoft.com/office/drawing/2014/main" id="{A852BBA0-0A0E-3849-B032-E21A3A92641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129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8">
          <xdr14:nvContentPartPr>
            <xdr14:cNvPr id="948" name="Ink 947">
              <a:extLst>
                <a:ext uri="{FF2B5EF4-FFF2-40B4-BE49-F238E27FC236}">
                  <a16:creationId xmlns:a16="http://schemas.microsoft.com/office/drawing/2014/main" id="{5D4ECA95-3F4E-EF49-8C24-C125DBCD1498}"/>
                </a:ext>
              </a:extLst>
            </xdr14:cNvPr>
            <xdr14:cNvContentPartPr/>
          </xdr14:nvContentPartPr>
          <xdr14:nvPr macro=""/>
          <xdr14:xfrm>
            <a:off x="12866040" y="1243440"/>
            <a:ext cx="360" cy="360"/>
          </xdr14:xfrm>
        </xdr:contentPart>
      </mc:Choice>
      <mc:Fallback xmlns="">
        <xdr:pic>
          <xdr:nvPicPr>
            <xdr:cNvPr id="948" name="Ink 947">
              <a:extLst>
                <a:ext uri="{FF2B5EF4-FFF2-40B4-BE49-F238E27FC236}">
                  <a16:creationId xmlns:a16="http://schemas.microsoft.com/office/drawing/2014/main" id="{5D4ECA95-3F4E-EF49-8C24-C125DBCD149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129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49">
          <xdr14:nvContentPartPr>
            <xdr14:cNvPr id="949" name="Ink 948">
              <a:extLst>
                <a:ext uri="{FF2B5EF4-FFF2-40B4-BE49-F238E27FC236}">
                  <a16:creationId xmlns:a16="http://schemas.microsoft.com/office/drawing/2014/main" id="{3C9E091B-1A7B-BB40-AD5B-1BD8A9E1EB21}"/>
                </a:ext>
              </a:extLst>
            </xdr14:cNvPr>
            <xdr14:cNvContentPartPr/>
          </xdr14:nvContentPartPr>
          <xdr14:nvPr macro=""/>
          <xdr14:xfrm>
            <a:off x="12973680" y="1366560"/>
            <a:ext cx="360" cy="360"/>
          </xdr14:xfrm>
        </xdr:contentPart>
      </mc:Choice>
      <mc:Fallback xmlns="">
        <xdr:pic>
          <xdr:nvPicPr>
            <xdr:cNvPr id="949" name="Ink 948">
              <a:extLst>
                <a:ext uri="{FF2B5EF4-FFF2-40B4-BE49-F238E27FC236}">
                  <a16:creationId xmlns:a16="http://schemas.microsoft.com/office/drawing/2014/main" id="{3C9E091B-1A7B-BB40-AD5B-1BD8A9E1EB2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0">
          <xdr14:nvContentPartPr>
            <xdr14:cNvPr id="950" name="Ink 949">
              <a:extLst>
                <a:ext uri="{FF2B5EF4-FFF2-40B4-BE49-F238E27FC236}">
                  <a16:creationId xmlns:a16="http://schemas.microsoft.com/office/drawing/2014/main" id="{5263B262-5D1B-0145-9666-911C7C4F0BFE}"/>
                </a:ext>
              </a:extLst>
            </xdr14:cNvPr>
            <xdr14:cNvContentPartPr/>
          </xdr14:nvContentPartPr>
          <xdr14:nvPr macro=""/>
          <xdr14:xfrm>
            <a:off x="12846960" y="1192320"/>
            <a:ext cx="360" cy="360"/>
          </xdr14:xfrm>
        </xdr:contentPart>
      </mc:Choice>
      <mc:Fallback xmlns="">
        <xdr:pic>
          <xdr:nvPicPr>
            <xdr:cNvPr id="950" name="Ink 949">
              <a:extLst>
                <a:ext uri="{FF2B5EF4-FFF2-40B4-BE49-F238E27FC236}">
                  <a16:creationId xmlns:a16="http://schemas.microsoft.com/office/drawing/2014/main" id="{5263B262-5D1B-0145-9666-911C7C4F0BF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1">
          <xdr14:nvContentPartPr>
            <xdr14:cNvPr id="951" name="Ink 950">
              <a:extLst>
                <a:ext uri="{FF2B5EF4-FFF2-40B4-BE49-F238E27FC236}">
                  <a16:creationId xmlns:a16="http://schemas.microsoft.com/office/drawing/2014/main" id="{6D19A6A4-7FF2-DF48-BE6F-7399052C70CB}"/>
                </a:ext>
              </a:extLst>
            </xdr14:cNvPr>
            <xdr14:cNvContentPartPr/>
          </xdr14:nvContentPartPr>
          <xdr14:nvPr macro=""/>
          <xdr14:xfrm>
            <a:off x="12866040" y="1243440"/>
            <a:ext cx="360" cy="360"/>
          </xdr14:xfrm>
        </xdr:contentPart>
      </mc:Choice>
      <mc:Fallback xmlns="">
        <xdr:pic>
          <xdr:nvPicPr>
            <xdr:cNvPr id="951" name="Ink 950">
              <a:extLst>
                <a:ext uri="{FF2B5EF4-FFF2-40B4-BE49-F238E27FC236}">
                  <a16:creationId xmlns:a16="http://schemas.microsoft.com/office/drawing/2014/main" id="{6D19A6A4-7FF2-DF48-BE6F-7399052C70C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2">
          <xdr14:nvContentPartPr>
            <xdr14:cNvPr id="952" name="Ink 951">
              <a:extLst>
                <a:ext uri="{FF2B5EF4-FFF2-40B4-BE49-F238E27FC236}">
                  <a16:creationId xmlns:a16="http://schemas.microsoft.com/office/drawing/2014/main" id="{DD0C3194-E234-804C-8D15-6261919C0C04}"/>
                </a:ext>
              </a:extLst>
            </xdr14:cNvPr>
            <xdr14:cNvContentPartPr/>
          </xdr14:nvContentPartPr>
          <xdr14:nvPr macro=""/>
          <xdr14:xfrm>
            <a:off x="12973680" y="1366560"/>
            <a:ext cx="360" cy="360"/>
          </xdr14:xfrm>
        </xdr:contentPart>
      </mc:Choice>
      <mc:Fallback xmlns="">
        <xdr:pic>
          <xdr:nvPicPr>
            <xdr:cNvPr id="952" name="Ink 951">
              <a:extLst>
                <a:ext uri="{FF2B5EF4-FFF2-40B4-BE49-F238E27FC236}">
                  <a16:creationId xmlns:a16="http://schemas.microsoft.com/office/drawing/2014/main" id="{DD0C3194-E234-804C-8D15-6261919C0C0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3">
          <xdr14:nvContentPartPr>
            <xdr14:cNvPr id="953" name="Ink 952">
              <a:extLst>
                <a:ext uri="{FF2B5EF4-FFF2-40B4-BE49-F238E27FC236}">
                  <a16:creationId xmlns:a16="http://schemas.microsoft.com/office/drawing/2014/main" id="{674FD20D-71EE-1244-A14C-9A2AA2456AA1}"/>
                </a:ext>
              </a:extLst>
            </xdr14:cNvPr>
            <xdr14:cNvContentPartPr/>
          </xdr14:nvContentPartPr>
          <xdr14:nvPr macro=""/>
          <xdr14:xfrm>
            <a:off x="12846960" y="1192320"/>
            <a:ext cx="360" cy="360"/>
          </xdr14:xfrm>
        </xdr:contentPart>
      </mc:Choice>
      <mc:Fallback xmlns="">
        <xdr:pic>
          <xdr:nvPicPr>
            <xdr:cNvPr id="953" name="Ink 952">
              <a:extLst>
                <a:ext uri="{FF2B5EF4-FFF2-40B4-BE49-F238E27FC236}">
                  <a16:creationId xmlns:a16="http://schemas.microsoft.com/office/drawing/2014/main" id="{674FD20D-71EE-1244-A14C-9A2AA2456AA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4">
          <xdr14:nvContentPartPr>
            <xdr14:cNvPr id="954" name="Ink 953">
              <a:extLst>
                <a:ext uri="{FF2B5EF4-FFF2-40B4-BE49-F238E27FC236}">
                  <a16:creationId xmlns:a16="http://schemas.microsoft.com/office/drawing/2014/main" id="{6980E115-E029-A541-A2D2-E90401E878DF}"/>
                </a:ext>
              </a:extLst>
            </xdr14:cNvPr>
            <xdr14:cNvContentPartPr/>
          </xdr14:nvContentPartPr>
          <xdr14:nvPr macro=""/>
          <xdr14:xfrm>
            <a:off x="12866040" y="1243440"/>
            <a:ext cx="360" cy="360"/>
          </xdr14:xfrm>
        </xdr:contentPart>
      </mc:Choice>
      <mc:Fallback xmlns="">
        <xdr:pic>
          <xdr:nvPicPr>
            <xdr:cNvPr id="954" name="Ink 953">
              <a:extLst>
                <a:ext uri="{FF2B5EF4-FFF2-40B4-BE49-F238E27FC236}">
                  <a16:creationId xmlns:a16="http://schemas.microsoft.com/office/drawing/2014/main" id="{6980E115-E029-A541-A2D2-E90401E878D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5">
          <xdr14:nvContentPartPr>
            <xdr14:cNvPr id="955" name="Ink 954">
              <a:extLst>
                <a:ext uri="{FF2B5EF4-FFF2-40B4-BE49-F238E27FC236}">
                  <a16:creationId xmlns:a16="http://schemas.microsoft.com/office/drawing/2014/main" id="{8F683B28-1603-B145-95FF-A05141FEB9A1}"/>
                </a:ext>
              </a:extLst>
            </xdr14:cNvPr>
            <xdr14:cNvContentPartPr/>
          </xdr14:nvContentPartPr>
          <xdr14:nvPr macro=""/>
          <xdr14:xfrm>
            <a:off x="12973680" y="1366560"/>
            <a:ext cx="360" cy="360"/>
          </xdr14:xfrm>
        </xdr:contentPart>
      </mc:Choice>
      <mc:Fallback xmlns="">
        <xdr:pic>
          <xdr:nvPicPr>
            <xdr:cNvPr id="955" name="Ink 954">
              <a:extLst>
                <a:ext uri="{FF2B5EF4-FFF2-40B4-BE49-F238E27FC236}">
                  <a16:creationId xmlns:a16="http://schemas.microsoft.com/office/drawing/2014/main" id="{8F683B28-1603-B145-95FF-A05141FEB9A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6">
          <xdr14:nvContentPartPr>
            <xdr14:cNvPr id="956" name="Ink 955">
              <a:extLst>
                <a:ext uri="{FF2B5EF4-FFF2-40B4-BE49-F238E27FC236}">
                  <a16:creationId xmlns:a16="http://schemas.microsoft.com/office/drawing/2014/main" id="{4D02A4FC-4CCD-B741-8E63-D0DD97749B4B}"/>
                </a:ext>
              </a:extLst>
            </xdr14:cNvPr>
            <xdr14:cNvContentPartPr/>
          </xdr14:nvContentPartPr>
          <xdr14:nvPr macro=""/>
          <xdr14:xfrm>
            <a:off x="12846960" y="1192320"/>
            <a:ext cx="360" cy="360"/>
          </xdr14:xfrm>
        </xdr:contentPart>
      </mc:Choice>
      <mc:Fallback xmlns="">
        <xdr:pic>
          <xdr:nvPicPr>
            <xdr:cNvPr id="956" name="Ink 955">
              <a:extLst>
                <a:ext uri="{FF2B5EF4-FFF2-40B4-BE49-F238E27FC236}">
                  <a16:creationId xmlns:a16="http://schemas.microsoft.com/office/drawing/2014/main" id="{4D02A4FC-4CCD-B741-8E63-D0DD97749B4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7">
          <xdr14:nvContentPartPr>
            <xdr14:cNvPr id="957" name="Ink 956">
              <a:extLst>
                <a:ext uri="{FF2B5EF4-FFF2-40B4-BE49-F238E27FC236}">
                  <a16:creationId xmlns:a16="http://schemas.microsoft.com/office/drawing/2014/main" id="{855CBF3B-8188-E141-8DFC-33F0E679D8BF}"/>
                </a:ext>
              </a:extLst>
            </xdr14:cNvPr>
            <xdr14:cNvContentPartPr/>
          </xdr14:nvContentPartPr>
          <xdr14:nvPr macro=""/>
          <xdr14:xfrm>
            <a:off x="12866040" y="1243440"/>
            <a:ext cx="360" cy="360"/>
          </xdr14:xfrm>
        </xdr:contentPart>
      </mc:Choice>
      <mc:Fallback xmlns="">
        <xdr:pic>
          <xdr:nvPicPr>
            <xdr:cNvPr id="957" name="Ink 956">
              <a:extLst>
                <a:ext uri="{FF2B5EF4-FFF2-40B4-BE49-F238E27FC236}">
                  <a16:creationId xmlns:a16="http://schemas.microsoft.com/office/drawing/2014/main" id="{855CBF3B-8188-E141-8DFC-33F0E679D8B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8">
          <xdr14:nvContentPartPr>
            <xdr14:cNvPr id="958" name="Ink 957">
              <a:extLst>
                <a:ext uri="{FF2B5EF4-FFF2-40B4-BE49-F238E27FC236}">
                  <a16:creationId xmlns:a16="http://schemas.microsoft.com/office/drawing/2014/main" id="{51E233E4-73C2-034D-967B-6CB7C9626BCB}"/>
                </a:ext>
              </a:extLst>
            </xdr14:cNvPr>
            <xdr14:cNvContentPartPr/>
          </xdr14:nvContentPartPr>
          <xdr14:nvPr macro=""/>
          <xdr14:xfrm>
            <a:off x="12973680" y="1366560"/>
            <a:ext cx="360" cy="360"/>
          </xdr14:xfrm>
        </xdr:contentPart>
      </mc:Choice>
      <mc:Fallback xmlns="">
        <xdr:pic>
          <xdr:nvPicPr>
            <xdr:cNvPr id="958" name="Ink 957">
              <a:extLst>
                <a:ext uri="{FF2B5EF4-FFF2-40B4-BE49-F238E27FC236}">
                  <a16:creationId xmlns:a16="http://schemas.microsoft.com/office/drawing/2014/main" id="{51E233E4-73C2-034D-967B-6CB7C9626BC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59">
          <xdr14:nvContentPartPr>
            <xdr14:cNvPr id="959" name="Ink 958">
              <a:extLst>
                <a:ext uri="{FF2B5EF4-FFF2-40B4-BE49-F238E27FC236}">
                  <a16:creationId xmlns:a16="http://schemas.microsoft.com/office/drawing/2014/main" id="{BCAC9610-67C6-E347-A7BE-6DF170F8B4B4}"/>
                </a:ext>
              </a:extLst>
            </xdr14:cNvPr>
            <xdr14:cNvContentPartPr/>
          </xdr14:nvContentPartPr>
          <xdr14:nvPr macro=""/>
          <xdr14:xfrm>
            <a:off x="12846960" y="1192320"/>
            <a:ext cx="360" cy="360"/>
          </xdr14:xfrm>
        </xdr:contentPart>
      </mc:Choice>
      <mc:Fallback xmlns="">
        <xdr:pic>
          <xdr:nvPicPr>
            <xdr:cNvPr id="959" name="Ink 958">
              <a:extLst>
                <a:ext uri="{FF2B5EF4-FFF2-40B4-BE49-F238E27FC236}">
                  <a16:creationId xmlns:a16="http://schemas.microsoft.com/office/drawing/2014/main" id="{BCAC9610-67C6-E347-A7BE-6DF170F8B4B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0">
          <xdr14:nvContentPartPr>
            <xdr14:cNvPr id="960" name="Ink 959">
              <a:extLst>
                <a:ext uri="{FF2B5EF4-FFF2-40B4-BE49-F238E27FC236}">
                  <a16:creationId xmlns:a16="http://schemas.microsoft.com/office/drawing/2014/main" id="{BF68C606-BAAC-FF43-A9AF-BB1F43C88189}"/>
                </a:ext>
              </a:extLst>
            </xdr14:cNvPr>
            <xdr14:cNvContentPartPr/>
          </xdr14:nvContentPartPr>
          <xdr14:nvPr macro=""/>
          <xdr14:xfrm>
            <a:off x="12866040" y="1243440"/>
            <a:ext cx="360" cy="360"/>
          </xdr14:xfrm>
        </xdr:contentPart>
      </mc:Choice>
      <mc:Fallback xmlns="">
        <xdr:pic>
          <xdr:nvPicPr>
            <xdr:cNvPr id="960" name="Ink 959">
              <a:extLst>
                <a:ext uri="{FF2B5EF4-FFF2-40B4-BE49-F238E27FC236}">
                  <a16:creationId xmlns:a16="http://schemas.microsoft.com/office/drawing/2014/main" id="{BF68C606-BAAC-FF43-A9AF-BB1F43C8818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1">
          <xdr14:nvContentPartPr>
            <xdr14:cNvPr id="961" name="Ink 960">
              <a:extLst>
                <a:ext uri="{FF2B5EF4-FFF2-40B4-BE49-F238E27FC236}">
                  <a16:creationId xmlns:a16="http://schemas.microsoft.com/office/drawing/2014/main" id="{34783629-BF2F-F645-B93B-66291D913345}"/>
                </a:ext>
              </a:extLst>
            </xdr14:cNvPr>
            <xdr14:cNvContentPartPr/>
          </xdr14:nvContentPartPr>
          <xdr14:nvPr macro=""/>
          <xdr14:xfrm>
            <a:off x="12973680" y="1366560"/>
            <a:ext cx="360" cy="360"/>
          </xdr14:xfrm>
        </xdr:contentPart>
      </mc:Choice>
      <mc:Fallback xmlns="">
        <xdr:pic>
          <xdr:nvPicPr>
            <xdr:cNvPr id="961" name="Ink 960">
              <a:extLst>
                <a:ext uri="{FF2B5EF4-FFF2-40B4-BE49-F238E27FC236}">
                  <a16:creationId xmlns:a16="http://schemas.microsoft.com/office/drawing/2014/main" id="{34783629-BF2F-F645-B93B-66291D91334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2">
          <xdr14:nvContentPartPr>
            <xdr14:cNvPr id="962" name="Ink 961">
              <a:extLst>
                <a:ext uri="{FF2B5EF4-FFF2-40B4-BE49-F238E27FC236}">
                  <a16:creationId xmlns:a16="http://schemas.microsoft.com/office/drawing/2014/main" id="{FCD5BA5D-470C-CE42-B285-AC95F053ACBB}"/>
                </a:ext>
              </a:extLst>
            </xdr14:cNvPr>
            <xdr14:cNvContentPartPr/>
          </xdr14:nvContentPartPr>
          <xdr14:nvPr macro=""/>
          <xdr14:xfrm>
            <a:off x="12846960" y="1192320"/>
            <a:ext cx="360" cy="360"/>
          </xdr14:xfrm>
        </xdr:contentPart>
      </mc:Choice>
      <mc:Fallback xmlns="">
        <xdr:pic>
          <xdr:nvPicPr>
            <xdr:cNvPr id="962" name="Ink 961">
              <a:extLst>
                <a:ext uri="{FF2B5EF4-FFF2-40B4-BE49-F238E27FC236}">
                  <a16:creationId xmlns:a16="http://schemas.microsoft.com/office/drawing/2014/main" id="{FCD5BA5D-470C-CE42-B285-AC95F053ACB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3">
          <xdr14:nvContentPartPr>
            <xdr14:cNvPr id="963" name="Ink 962">
              <a:extLst>
                <a:ext uri="{FF2B5EF4-FFF2-40B4-BE49-F238E27FC236}">
                  <a16:creationId xmlns:a16="http://schemas.microsoft.com/office/drawing/2014/main" id="{E66FB08C-42A3-EB4C-9505-C5CAD124DC57}"/>
                </a:ext>
              </a:extLst>
            </xdr14:cNvPr>
            <xdr14:cNvContentPartPr/>
          </xdr14:nvContentPartPr>
          <xdr14:nvPr macro=""/>
          <xdr14:xfrm>
            <a:off x="12866040" y="1243440"/>
            <a:ext cx="360" cy="360"/>
          </xdr14:xfrm>
        </xdr:contentPart>
      </mc:Choice>
      <mc:Fallback xmlns="">
        <xdr:pic>
          <xdr:nvPicPr>
            <xdr:cNvPr id="963" name="Ink 962">
              <a:extLst>
                <a:ext uri="{FF2B5EF4-FFF2-40B4-BE49-F238E27FC236}">
                  <a16:creationId xmlns:a16="http://schemas.microsoft.com/office/drawing/2014/main" id="{E66FB08C-42A3-EB4C-9505-C5CAD124DC5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4">
          <xdr14:nvContentPartPr>
            <xdr14:cNvPr id="964" name="Ink 963">
              <a:extLst>
                <a:ext uri="{FF2B5EF4-FFF2-40B4-BE49-F238E27FC236}">
                  <a16:creationId xmlns:a16="http://schemas.microsoft.com/office/drawing/2014/main" id="{DDF0EEC3-5E28-874F-975D-03CC3BB8504A}"/>
                </a:ext>
              </a:extLst>
            </xdr14:cNvPr>
            <xdr14:cNvContentPartPr/>
          </xdr14:nvContentPartPr>
          <xdr14:nvPr macro=""/>
          <xdr14:xfrm>
            <a:off x="12973680" y="1366560"/>
            <a:ext cx="360" cy="360"/>
          </xdr14:xfrm>
        </xdr:contentPart>
      </mc:Choice>
      <mc:Fallback xmlns="">
        <xdr:pic>
          <xdr:nvPicPr>
            <xdr:cNvPr id="964" name="Ink 963">
              <a:extLst>
                <a:ext uri="{FF2B5EF4-FFF2-40B4-BE49-F238E27FC236}">
                  <a16:creationId xmlns:a16="http://schemas.microsoft.com/office/drawing/2014/main" id="{DDF0EEC3-5E28-874F-975D-03CC3BB8504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5">
          <xdr14:nvContentPartPr>
            <xdr14:cNvPr id="965" name="Ink 964">
              <a:extLst>
                <a:ext uri="{FF2B5EF4-FFF2-40B4-BE49-F238E27FC236}">
                  <a16:creationId xmlns:a16="http://schemas.microsoft.com/office/drawing/2014/main" id="{FFEAFDFC-6A34-374B-93C5-B85E83FA6866}"/>
                </a:ext>
              </a:extLst>
            </xdr14:cNvPr>
            <xdr14:cNvContentPartPr/>
          </xdr14:nvContentPartPr>
          <xdr14:nvPr macro=""/>
          <xdr14:xfrm>
            <a:off x="12846960" y="1192320"/>
            <a:ext cx="360" cy="360"/>
          </xdr14:xfrm>
        </xdr:contentPart>
      </mc:Choice>
      <mc:Fallback xmlns="">
        <xdr:pic>
          <xdr:nvPicPr>
            <xdr:cNvPr id="965" name="Ink 964">
              <a:extLst>
                <a:ext uri="{FF2B5EF4-FFF2-40B4-BE49-F238E27FC236}">
                  <a16:creationId xmlns:a16="http://schemas.microsoft.com/office/drawing/2014/main" id="{FFEAFDFC-6A34-374B-93C5-B85E83FA686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6">
          <xdr14:nvContentPartPr>
            <xdr14:cNvPr id="966" name="Ink 965">
              <a:extLst>
                <a:ext uri="{FF2B5EF4-FFF2-40B4-BE49-F238E27FC236}">
                  <a16:creationId xmlns:a16="http://schemas.microsoft.com/office/drawing/2014/main" id="{3D42532A-E45F-4242-B0E8-003681484830}"/>
                </a:ext>
              </a:extLst>
            </xdr14:cNvPr>
            <xdr14:cNvContentPartPr/>
          </xdr14:nvContentPartPr>
          <xdr14:nvPr macro=""/>
          <xdr14:xfrm>
            <a:off x="12866040" y="1243440"/>
            <a:ext cx="360" cy="360"/>
          </xdr14:xfrm>
        </xdr:contentPart>
      </mc:Choice>
      <mc:Fallback xmlns="">
        <xdr:pic>
          <xdr:nvPicPr>
            <xdr:cNvPr id="966" name="Ink 965">
              <a:extLst>
                <a:ext uri="{FF2B5EF4-FFF2-40B4-BE49-F238E27FC236}">
                  <a16:creationId xmlns:a16="http://schemas.microsoft.com/office/drawing/2014/main" id="{3D42532A-E45F-4242-B0E8-00368148483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7">
          <xdr14:nvContentPartPr>
            <xdr14:cNvPr id="967" name="Ink 966">
              <a:extLst>
                <a:ext uri="{FF2B5EF4-FFF2-40B4-BE49-F238E27FC236}">
                  <a16:creationId xmlns:a16="http://schemas.microsoft.com/office/drawing/2014/main" id="{863E034F-D3BB-744D-B37D-3E80D7BEFC32}"/>
                </a:ext>
              </a:extLst>
            </xdr14:cNvPr>
            <xdr14:cNvContentPartPr/>
          </xdr14:nvContentPartPr>
          <xdr14:nvPr macro=""/>
          <xdr14:xfrm>
            <a:off x="12973680" y="1366560"/>
            <a:ext cx="360" cy="360"/>
          </xdr14:xfrm>
        </xdr:contentPart>
      </mc:Choice>
      <mc:Fallback xmlns="">
        <xdr:pic>
          <xdr:nvPicPr>
            <xdr:cNvPr id="967" name="Ink 966">
              <a:extLst>
                <a:ext uri="{FF2B5EF4-FFF2-40B4-BE49-F238E27FC236}">
                  <a16:creationId xmlns:a16="http://schemas.microsoft.com/office/drawing/2014/main" id="{863E034F-D3BB-744D-B37D-3E80D7BEFC3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8">
          <xdr14:nvContentPartPr>
            <xdr14:cNvPr id="968" name="Ink 967">
              <a:extLst>
                <a:ext uri="{FF2B5EF4-FFF2-40B4-BE49-F238E27FC236}">
                  <a16:creationId xmlns:a16="http://schemas.microsoft.com/office/drawing/2014/main" id="{A1D5EAAE-53E4-3040-BC72-0BC5C2348B61}"/>
                </a:ext>
              </a:extLst>
            </xdr14:cNvPr>
            <xdr14:cNvContentPartPr/>
          </xdr14:nvContentPartPr>
          <xdr14:nvPr macro=""/>
          <xdr14:xfrm>
            <a:off x="12846960" y="1192320"/>
            <a:ext cx="360" cy="360"/>
          </xdr14:xfrm>
        </xdr:contentPart>
      </mc:Choice>
      <mc:Fallback xmlns="">
        <xdr:pic>
          <xdr:nvPicPr>
            <xdr:cNvPr id="968" name="Ink 967">
              <a:extLst>
                <a:ext uri="{FF2B5EF4-FFF2-40B4-BE49-F238E27FC236}">
                  <a16:creationId xmlns:a16="http://schemas.microsoft.com/office/drawing/2014/main" id="{A1D5EAAE-53E4-3040-BC72-0BC5C2348B6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69">
          <xdr14:nvContentPartPr>
            <xdr14:cNvPr id="969" name="Ink 968">
              <a:extLst>
                <a:ext uri="{FF2B5EF4-FFF2-40B4-BE49-F238E27FC236}">
                  <a16:creationId xmlns:a16="http://schemas.microsoft.com/office/drawing/2014/main" id="{0E2F21DF-F767-064C-9560-027AB78FDE4F}"/>
                </a:ext>
              </a:extLst>
            </xdr14:cNvPr>
            <xdr14:cNvContentPartPr/>
          </xdr14:nvContentPartPr>
          <xdr14:nvPr macro=""/>
          <xdr14:xfrm>
            <a:off x="12866040" y="1243440"/>
            <a:ext cx="360" cy="360"/>
          </xdr14:xfrm>
        </xdr:contentPart>
      </mc:Choice>
      <mc:Fallback xmlns="">
        <xdr:pic>
          <xdr:nvPicPr>
            <xdr:cNvPr id="969" name="Ink 968">
              <a:extLst>
                <a:ext uri="{FF2B5EF4-FFF2-40B4-BE49-F238E27FC236}">
                  <a16:creationId xmlns:a16="http://schemas.microsoft.com/office/drawing/2014/main" id="{0E2F21DF-F767-064C-9560-027AB78FDE4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0">
          <xdr14:nvContentPartPr>
            <xdr14:cNvPr id="970" name="Ink 969">
              <a:extLst>
                <a:ext uri="{FF2B5EF4-FFF2-40B4-BE49-F238E27FC236}">
                  <a16:creationId xmlns:a16="http://schemas.microsoft.com/office/drawing/2014/main" id="{7B7E35EC-8552-0940-A620-E660E17EA08E}"/>
                </a:ext>
              </a:extLst>
            </xdr14:cNvPr>
            <xdr14:cNvContentPartPr/>
          </xdr14:nvContentPartPr>
          <xdr14:nvPr macro=""/>
          <xdr14:xfrm>
            <a:off x="12973680" y="1366560"/>
            <a:ext cx="360" cy="360"/>
          </xdr14:xfrm>
        </xdr:contentPart>
      </mc:Choice>
      <mc:Fallback xmlns="">
        <xdr:pic>
          <xdr:nvPicPr>
            <xdr:cNvPr id="970" name="Ink 969">
              <a:extLst>
                <a:ext uri="{FF2B5EF4-FFF2-40B4-BE49-F238E27FC236}">
                  <a16:creationId xmlns:a16="http://schemas.microsoft.com/office/drawing/2014/main" id="{7B7E35EC-8552-0940-A620-E660E17EA08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1">
          <xdr14:nvContentPartPr>
            <xdr14:cNvPr id="971" name="Ink 970">
              <a:extLst>
                <a:ext uri="{FF2B5EF4-FFF2-40B4-BE49-F238E27FC236}">
                  <a16:creationId xmlns:a16="http://schemas.microsoft.com/office/drawing/2014/main" id="{186E1AF4-7ECB-874F-8ADE-0783ABF4DCE6}"/>
                </a:ext>
              </a:extLst>
            </xdr14:cNvPr>
            <xdr14:cNvContentPartPr/>
          </xdr14:nvContentPartPr>
          <xdr14:nvPr macro=""/>
          <xdr14:xfrm>
            <a:off x="12846960" y="1192320"/>
            <a:ext cx="360" cy="360"/>
          </xdr14:xfrm>
        </xdr:contentPart>
      </mc:Choice>
      <mc:Fallback xmlns="">
        <xdr:pic>
          <xdr:nvPicPr>
            <xdr:cNvPr id="971" name="Ink 970">
              <a:extLst>
                <a:ext uri="{FF2B5EF4-FFF2-40B4-BE49-F238E27FC236}">
                  <a16:creationId xmlns:a16="http://schemas.microsoft.com/office/drawing/2014/main" id="{186E1AF4-7ECB-874F-8ADE-0783ABF4DCE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2">
          <xdr14:nvContentPartPr>
            <xdr14:cNvPr id="972" name="Ink 971">
              <a:extLst>
                <a:ext uri="{FF2B5EF4-FFF2-40B4-BE49-F238E27FC236}">
                  <a16:creationId xmlns:a16="http://schemas.microsoft.com/office/drawing/2014/main" id="{7D5C4CB3-BEAC-9B44-81A8-EDCF3AF7EB77}"/>
                </a:ext>
              </a:extLst>
            </xdr14:cNvPr>
            <xdr14:cNvContentPartPr/>
          </xdr14:nvContentPartPr>
          <xdr14:nvPr macro=""/>
          <xdr14:xfrm>
            <a:off x="12866040" y="1243440"/>
            <a:ext cx="360" cy="360"/>
          </xdr14:xfrm>
        </xdr:contentPart>
      </mc:Choice>
      <mc:Fallback xmlns="">
        <xdr:pic>
          <xdr:nvPicPr>
            <xdr:cNvPr id="972" name="Ink 971">
              <a:extLst>
                <a:ext uri="{FF2B5EF4-FFF2-40B4-BE49-F238E27FC236}">
                  <a16:creationId xmlns:a16="http://schemas.microsoft.com/office/drawing/2014/main" id="{7D5C4CB3-BEAC-9B44-81A8-EDCF3AF7EB7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3">
          <xdr14:nvContentPartPr>
            <xdr14:cNvPr id="973" name="Ink 972">
              <a:extLst>
                <a:ext uri="{FF2B5EF4-FFF2-40B4-BE49-F238E27FC236}">
                  <a16:creationId xmlns:a16="http://schemas.microsoft.com/office/drawing/2014/main" id="{B54CCD38-5509-4A43-BADB-A4C539B6F214}"/>
                </a:ext>
              </a:extLst>
            </xdr14:cNvPr>
            <xdr14:cNvContentPartPr/>
          </xdr14:nvContentPartPr>
          <xdr14:nvPr macro=""/>
          <xdr14:xfrm>
            <a:off x="12973680" y="1366560"/>
            <a:ext cx="360" cy="360"/>
          </xdr14:xfrm>
        </xdr:contentPart>
      </mc:Choice>
      <mc:Fallback xmlns="">
        <xdr:pic>
          <xdr:nvPicPr>
            <xdr:cNvPr id="973" name="Ink 972">
              <a:extLst>
                <a:ext uri="{FF2B5EF4-FFF2-40B4-BE49-F238E27FC236}">
                  <a16:creationId xmlns:a16="http://schemas.microsoft.com/office/drawing/2014/main" id="{B54CCD38-5509-4A43-BADB-A4C539B6F21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4">
          <xdr14:nvContentPartPr>
            <xdr14:cNvPr id="974" name="Ink 973">
              <a:extLst>
                <a:ext uri="{FF2B5EF4-FFF2-40B4-BE49-F238E27FC236}">
                  <a16:creationId xmlns:a16="http://schemas.microsoft.com/office/drawing/2014/main" id="{7B5ABB04-DC92-A84E-B57C-D7086BAEADB2}"/>
                </a:ext>
              </a:extLst>
            </xdr14:cNvPr>
            <xdr14:cNvContentPartPr/>
          </xdr14:nvContentPartPr>
          <xdr14:nvPr macro=""/>
          <xdr14:xfrm>
            <a:off x="12846960" y="1192320"/>
            <a:ext cx="360" cy="360"/>
          </xdr14:xfrm>
        </xdr:contentPart>
      </mc:Choice>
      <mc:Fallback xmlns="">
        <xdr:pic>
          <xdr:nvPicPr>
            <xdr:cNvPr id="974" name="Ink 973">
              <a:extLst>
                <a:ext uri="{FF2B5EF4-FFF2-40B4-BE49-F238E27FC236}">
                  <a16:creationId xmlns:a16="http://schemas.microsoft.com/office/drawing/2014/main" id="{7B5ABB04-DC92-A84E-B57C-D7086BAEADB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5">
          <xdr14:nvContentPartPr>
            <xdr14:cNvPr id="975" name="Ink 974">
              <a:extLst>
                <a:ext uri="{FF2B5EF4-FFF2-40B4-BE49-F238E27FC236}">
                  <a16:creationId xmlns:a16="http://schemas.microsoft.com/office/drawing/2014/main" id="{62359397-5BCD-2E45-B63A-BEF4327874BF}"/>
                </a:ext>
              </a:extLst>
            </xdr14:cNvPr>
            <xdr14:cNvContentPartPr/>
          </xdr14:nvContentPartPr>
          <xdr14:nvPr macro=""/>
          <xdr14:xfrm>
            <a:off x="12866040" y="1243440"/>
            <a:ext cx="360" cy="360"/>
          </xdr14:xfrm>
        </xdr:contentPart>
      </mc:Choice>
      <mc:Fallback xmlns="">
        <xdr:pic>
          <xdr:nvPicPr>
            <xdr:cNvPr id="975" name="Ink 974">
              <a:extLst>
                <a:ext uri="{FF2B5EF4-FFF2-40B4-BE49-F238E27FC236}">
                  <a16:creationId xmlns:a16="http://schemas.microsoft.com/office/drawing/2014/main" id="{62359397-5BCD-2E45-B63A-BEF4327874B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6">
          <xdr14:nvContentPartPr>
            <xdr14:cNvPr id="976" name="Ink 975">
              <a:extLst>
                <a:ext uri="{FF2B5EF4-FFF2-40B4-BE49-F238E27FC236}">
                  <a16:creationId xmlns:a16="http://schemas.microsoft.com/office/drawing/2014/main" id="{0D7353E5-90F7-814A-9E02-039A2BE1B1D8}"/>
                </a:ext>
              </a:extLst>
            </xdr14:cNvPr>
            <xdr14:cNvContentPartPr/>
          </xdr14:nvContentPartPr>
          <xdr14:nvPr macro=""/>
          <xdr14:xfrm>
            <a:off x="12973680" y="1366560"/>
            <a:ext cx="360" cy="360"/>
          </xdr14:xfrm>
        </xdr:contentPart>
      </mc:Choice>
      <mc:Fallback xmlns="">
        <xdr:pic>
          <xdr:nvPicPr>
            <xdr:cNvPr id="976" name="Ink 975">
              <a:extLst>
                <a:ext uri="{FF2B5EF4-FFF2-40B4-BE49-F238E27FC236}">
                  <a16:creationId xmlns:a16="http://schemas.microsoft.com/office/drawing/2014/main" id="{0D7353E5-90F7-814A-9E02-039A2BE1B1D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139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7">
          <xdr14:nvContentPartPr>
            <xdr14:cNvPr id="977" name="Ink 976">
              <a:extLst>
                <a:ext uri="{FF2B5EF4-FFF2-40B4-BE49-F238E27FC236}">
                  <a16:creationId xmlns:a16="http://schemas.microsoft.com/office/drawing/2014/main" id="{D3F82FAE-B461-F646-A234-034556BC3647}"/>
                </a:ext>
              </a:extLst>
            </xdr14:cNvPr>
            <xdr14:cNvContentPartPr/>
          </xdr14:nvContentPartPr>
          <xdr14:nvPr macro=""/>
          <xdr14:xfrm>
            <a:off x="12846960" y="1192320"/>
            <a:ext cx="360" cy="360"/>
          </xdr14:xfrm>
        </xdr:contentPart>
      </mc:Choice>
      <mc:Fallback xmlns="">
        <xdr:pic>
          <xdr:nvPicPr>
            <xdr:cNvPr id="977" name="Ink 976">
              <a:extLst>
                <a:ext uri="{FF2B5EF4-FFF2-40B4-BE49-F238E27FC236}">
                  <a16:creationId xmlns:a16="http://schemas.microsoft.com/office/drawing/2014/main" id="{D3F82FAE-B461-F646-A234-034556BC364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139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8">
          <xdr14:nvContentPartPr>
            <xdr14:cNvPr id="978" name="Ink 977">
              <a:extLst>
                <a:ext uri="{FF2B5EF4-FFF2-40B4-BE49-F238E27FC236}">
                  <a16:creationId xmlns:a16="http://schemas.microsoft.com/office/drawing/2014/main" id="{F104ECE7-32A0-6E4F-BAF7-B30EEDF0E50F}"/>
                </a:ext>
              </a:extLst>
            </xdr14:cNvPr>
            <xdr14:cNvContentPartPr/>
          </xdr14:nvContentPartPr>
          <xdr14:nvPr macro=""/>
          <xdr14:xfrm>
            <a:off x="12866040" y="1243440"/>
            <a:ext cx="360" cy="360"/>
          </xdr14:xfrm>
        </xdr:contentPart>
      </mc:Choice>
      <mc:Fallback xmlns="">
        <xdr:pic>
          <xdr:nvPicPr>
            <xdr:cNvPr id="978" name="Ink 977">
              <a:extLst>
                <a:ext uri="{FF2B5EF4-FFF2-40B4-BE49-F238E27FC236}">
                  <a16:creationId xmlns:a16="http://schemas.microsoft.com/office/drawing/2014/main" id="{F104ECE7-32A0-6E4F-BAF7-B30EEDF0E50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139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79">
          <xdr14:nvContentPartPr>
            <xdr14:cNvPr id="979" name="Ink 978">
              <a:extLst>
                <a:ext uri="{FF2B5EF4-FFF2-40B4-BE49-F238E27FC236}">
                  <a16:creationId xmlns:a16="http://schemas.microsoft.com/office/drawing/2014/main" id="{E943AF57-4234-DF43-97D7-43B4EFFC7B16}"/>
                </a:ext>
              </a:extLst>
            </xdr14:cNvPr>
            <xdr14:cNvContentPartPr/>
          </xdr14:nvContentPartPr>
          <xdr14:nvPr macro=""/>
          <xdr14:xfrm>
            <a:off x="12973680" y="1366560"/>
            <a:ext cx="360" cy="360"/>
          </xdr14:xfrm>
        </xdr:contentPart>
      </mc:Choice>
      <mc:Fallback xmlns="">
        <xdr:pic>
          <xdr:nvPicPr>
            <xdr:cNvPr id="979" name="Ink 978">
              <a:extLst>
                <a:ext uri="{FF2B5EF4-FFF2-40B4-BE49-F238E27FC236}">
                  <a16:creationId xmlns:a16="http://schemas.microsoft.com/office/drawing/2014/main" id="{E943AF57-4234-DF43-97D7-43B4EFFC7B16}"/>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0">
          <xdr14:nvContentPartPr>
            <xdr14:cNvPr id="980" name="Ink 979">
              <a:extLst>
                <a:ext uri="{FF2B5EF4-FFF2-40B4-BE49-F238E27FC236}">
                  <a16:creationId xmlns:a16="http://schemas.microsoft.com/office/drawing/2014/main" id="{7C1D3547-070A-1342-861D-70DE5362EB87}"/>
                </a:ext>
              </a:extLst>
            </xdr14:cNvPr>
            <xdr14:cNvContentPartPr/>
          </xdr14:nvContentPartPr>
          <xdr14:nvPr macro=""/>
          <xdr14:xfrm>
            <a:off x="12846960" y="1192320"/>
            <a:ext cx="360" cy="360"/>
          </xdr14:xfrm>
        </xdr:contentPart>
      </mc:Choice>
      <mc:Fallback xmlns="">
        <xdr:pic>
          <xdr:nvPicPr>
            <xdr:cNvPr id="980" name="Ink 979">
              <a:extLst>
                <a:ext uri="{FF2B5EF4-FFF2-40B4-BE49-F238E27FC236}">
                  <a16:creationId xmlns:a16="http://schemas.microsoft.com/office/drawing/2014/main" id="{7C1D3547-070A-1342-861D-70DE5362EB8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1">
          <xdr14:nvContentPartPr>
            <xdr14:cNvPr id="981" name="Ink 980">
              <a:extLst>
                <a:ext uri="{FF2B5EF4-FFF2-40B4-BE49-F238E27FC236}">
                  <a16:creationId xmlns:a16="http://schemas.microsoft.com/office/drawing/2014/main" id="{5D75476F-85DA-2F47-8B4C-C35C5DB64717}"/>
                </a:ext>
              </a:extLst>
            </xdr14:cNvPr>
            <xdr14:cNvContentPartPr/>
          </xdr14:nvContentPartPr>
          <xdr14:nvPr macro=""/>
          <xdr14:xfrm>
            <a:off x="12866040" y="1243440"/>
            <a:ext cx="360" cy="360"/>
          </xdr14:xfrm>
        </xdr:contentPart>
      </mc:Choice>
      <mc:Fallback xmlns="">
        <xdr:pic>
          <xdr:nvPicPr>
            <xdr:cNvPr id="981" name="Ink 980">
              <a:extLst>
                <a:ext uri="{FF2B5EF4-FFF2-40B4-BE49-F238E27FC236}">
                  <a16:creationId xmlns:a16="http://schemas.microsoft.com/office/drawing/2014/main" id="{5D75476F-85DA-2F47-8B4C-C35C5DB6471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2">
          <xdr14:nvContentPartPr>
            <xdr14:cNvPr id="982" name="Ink 981">
              <a:extLst>
                <a:ext uri="{FF2B5EF4-FFF2-40B4-BE49-F238E27FC236}">
                  <a16:creationId xmlns:a16="http://schemas.microsoft.com/office/drawing/2014/main" id="{6EC3B9C4-D28E-E04F-910F-A899F61E9465}"/>
                </a:ext>
              </a:extLst>
            </xdr14:cNvPr>
            <xdr14:cNvContentPartPr/>
          </xdr14:nvContentPartPr>
          <xdr14:nvPr macro=""/>
          <xdr14:xfrm>
            <a:off x="12973680" y="1366560"/>
            <a:ext cx="360" cy="360"/>
          </xdr14:xfrm>
        </xdr:contentPart>
      </mc:Choice>
      <mc:Fallback xmlns="">
        <xdr:pic>
          <xdr:nvPicPr>
            <xdr:cNvPr id="982" name="Ink 981">
              <a:extLst>
                <a:ext uri="{FF2B5EF4-FFF2-40B4-BE49-F238E27FC236}">
                  <a16:creationId xmlns:a16="http://schemas.microsoft.com/office/drawing/2014/main" id="{6EC3B9C4-D28E-E04F-910F-A899F61E946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3">
          <xdr14:nvContentPartPr>
            <xdr14:cNvPr id="983" name="Ink 982">
              <a:extLst>
                <a:ext uri="{FF2B5EF4-FFF2-40B4-BE49-F238E27FC236}">
                  <a16:creationId xmlns:a16="http://schemas.microsoft.com/office/drawing/2014/main" id="{88582FB1-1B1A-A642-A26D-A1276D268818}"/>
                </a:ext>
              </a:extLst>
            </xdr14:cNvPr>
            <xdr14:cNvContentPartPr/>
          </xdr14:nvContentPartPr>
          <xdr14:nvPr macro=""/>
          <xdr14:xfrm>
            <a:off x="12846960" y="1192320"/>
            <a:ext cx="360" cy="360"/>
          </xdr14:xfrm>
        </xdr:contentPart>
      </mc:Choice>
      <mc:Fallback xmlns="">
        <xdr:pic>
          <xdr:nvPicPr>
            <xdr:cNvPr id="983" name="Ink 982">
              <a:extLst>
                <a:ext uri="{FF2B5EF4-FFF2-40B4-BE49-F238E27FC236}">
                  <a16:creationId xmlns:a16="http://schemas.microsoft.com/office/drawing/2014/main" id="{88582FB1-1B1A-A642-A26D-A1276D26881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4">
          <xdr14:nvContentPartPr>
            <xdr14:cNvPr id="984" name="Ink 983">
              <a:extLst>
                <a:ext uri="{FF2B5EF4-FFF2-40B4-BE49-F238E27FC236}">
                  <a16:creationId xmlns:a16="http://schemas.microsoft.com/office/drawing/2014/main" id="{FFE3B052-E89F-9645-AB58-61ED1A982A10}"/>
                </a:ext>
              </a:extLst>
            </xdr14:cNvPr>
            <xdr14:cNvContentPartPr/>
          </xdr14:nvContentPartPr>
          <xdr14:nvPr macro=""/>
          <xdr14:xfrm>
            <a:off x="12866040" y="1243440"/>
            <a:ext cx="360" cy="360"/>
          </xdr14:xfrm>
        </xdr:contentPart>
      </mc:Choice>
      <mc:Fallback xmlns="">
        <xdr:pic>
          <xdr:nvPicPr>
            <xdr:cNvPr id="984" name="Ink 983">
              <a:extLst>
                <a:ext uri="{FF2B5EF4-FFF2-40B4-BE49-F238E27FC236}">
                  <a16:creationId xmlns:a16="http://schemas.microsoft.com/office/drawing/2014/main" id="{FFE3B052-E89F-9645-AB58-61ED1A982A1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5">
          <xdr14:nvContentPartPr>
            <xdr14:cNvPr id="985" name="Ink 984">
              <a:extLst>
                <a:ext uri="{FF2B5EF4-FFF2-40B4-BE49-F238E27FC236}">
                  <a16:creationId xmlns:a16="http://schemas.microsoft.com/office/drawing/2014/main" id="{84723A6D-78C6-A640-84C9-106A3A319281}"/>
                </a:ext>
              </a:extLst>
            </xdr14:cNvPr>
            <xdr14:cNvContentPartPr/>
          </xdr14:nvContentPartPr>
          <xdr14:nvPr macro=""/>
          <xdr14:xfrm>
            <a:off x="12973680" y="1366560"/>
            <a:ext cx="360" cy="360"/>
          </xdr14:xfrm>
        </xdr:contentPart>
      </mc:Choice>
      <mc:Fallback xmlns="">
        <xdr:pic>
          <xdr:nvPicPr>
            <xdr:cNvPr id="985" name="Ink 984">
              <a:extLst>
                <a:ext uri="{FF2B5EF4-FFF2-40B4-BE49-F238E27FC236}">
                  <a16:creationId xmlns:a16="http://schemas.microsoft.com/office/drawing/2014/main" id="{84723A6D-78C6-A640-84C9-106A3A31928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6">
          <xdr14:nvContentPartPr>
            <xdr14:cNvPr id="986" name="Ink 985">
              <a:extLst>
                <a:ext uri="{FF2B5EF4-FFF2-40B4-BE49-F238E27FC236}">
                  <a16:creationId xmlns:a16="http://schemas.microsoft.com/office/drawing/2014/main" id="{66AF2B2F-409D-744B-B30A-3D18F0568DD7}"/>
                </a:ext>
              </a:extLst>
            </xdr14:cNvPr>
            <xdr14:cNvContentPartPr/>
          </xdr14:nvContentPartPr>
          <xdr14:nvPr macro=""/>
          <xdr14:xfrm>
            <a:off x="12846960" y="1192320"/>
            <a:ext cx="360" cy="360"/>
          </xdr14:xfrm>
        </xdr:contentPart>
      </mc:Choice>
      <mc:Fallback xmlns="">
        <xdr:pic>
          <xdr:nvPicPr>
            <xdr:cNvPr id="986" name="Ink 985">
              <a:extLst>
                <a:ext uri="{FF2B5EF4-FFF2-40B4-BE49-F238E27FC236}">
                  <a16:creationId xmlns:a16="http://schemas.microsoft.com/office/drawing/2014/main" id="{66AF2B2F-409D-744B-B30A-3D18F0568DD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7">
          <xdr14:nvContentPartPr>
            <xdr14:cNvPr id="987" name="Ink 986">
              <a:extLst>
                <a:ext uri="{FF2B5EF4-FFF2-40B4-BE49-F238E27FC236}">
                  <a16:creationId xmlns:a16="http://schemas.microsoft.com/office/drawing/2014/main" id="{981E6C34-BDF2-DC40-8549-D63B27B28BF4}"/>
                </a:ext>
              </a:extLst>
            </xdr14:cNvPr>
            <xdr14:cNvContentPartPr/>
          </xdr14:nvContentPartPr>
          <xdr14:nvPr macro=""/>
          <xdr14:xfrm>
            <a:off x="12866040" y="1243440"/>
            <a:ext cx="360" cy="360"/>
          </xdr14:xfrm>
        </xdr:contentPart>
      </mc:Choice>
      <mc:Fallback xmlns="">
        <xdr:pic>
          <xdr:nvPicPr>
            <xdr:cNvPr id="987" name="Ink 986">
              <a:extLst>
                <a:ext uri="{FF2B5EF4-FFF2-40B4-BE49-F238E27FC236}">
                  <a16:creationId xmlns:a16="http://schemas.microsoft.com/office/drawing/2014/main" id="{981E6C34-BDF2-DC40-8549-D63B27B28BF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8">
          <xdr14:nvContentPartPr>
            <xdr14:cNvPr id="988" name="Ink 987">
              <a:extLst>
                <a:ext uri="{FF2B5EF4-FFF2-40B4-BE49-F238E27FC236}">
                  <a16:creationId xmlns:a16="http://schemas.microsoft.com/office/drawing/2014/main" id="{39E6D98A-4AA5-924D-BACC-E4EB26B19508}"/>
                </a:ext>
              </a:extLst>
            </xdr14:cNvPr>
            <xdr14:cNvContentPartPr/>
          </xdr14:nvContentPartPr>
          <xdr14:nvPr macro=""/>
          <xdr14:xfrm>
            <a:off x="12973680" y="1366560"/>
            <a:ext cx="360" cy="360"/>
          </xdr14:xfrm>
        </xdr:contentPart>
      </mc:Choice>
      <mc:Fallback xmlns="">
        <xdr:pic>
          <xdr:nvPicPr>
            <xdr:cNvPr id="988" name="Ink 987">
              <a:extLst>
                <a:ext uri="{FF2B5EF4-FFF2-40B4-BE49-F238E27FC236}">
                  <a16:creationId xmlns:a16="http://schemas.microsoft.com/office/drawing/2014/main" id="{39E6D98A-4AA5-924D-BACC-E4EB26B1950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89">
          <xdr14:nvContentPartPr>
            <xdr14:cNvPr id="989" name="Ink 988">
              <a:extLst>
                <a:ext uri="{FF2B5EF4-FFF2-40B4-BE49-F238E27FC236}">
                  <a16:creationId xmlns:a16="http://schemas.microsoft.com/office/drawing/2014/main" id="{5DD7BDC1-07B0-494A-810F-CD6714DC71D3}"/>
                </a:ext>
              </a:extLst>
            </xdr14:cNvPr>
            <xdr14:cNvContentPartPr/>
          </xdr14:nvContentPartPr>
          <xdr14:nvPr macro=""/>
          <xdr14:xfrm>
            <a:off x="12846960" y="1192320"/>
            <a:ext cx="360" cy="360"/>
          </xdr14:xfrm>
        </xdr:contentPart>
      </mc:Choice>
      <mc:Fallback xmlns="">
        <xdr:pic>
          <xdr:nvPicPr>
            <xdr:cNvPr id="989" name="Ink 988">
              <a:extLst>
                <a:ext uri="{FF2B5EF4-FFF2-40B4-BE49-F238E27FC236}">
                  <a16:creationId xmlns:a16="http://schemas.microsoft.com/office/drawing/2014/main" id="{5DD7BDC1-07B0-494A-810F-CD6714DC71D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0">
          <xdr14:nvContentPartPr>
            <xdr14:cNvPr id="990" name="Ink 989">
              <a:extLst>
                <a:ext uri="{FF2B5EF4-FFF2-40B4-BE49-F238E27FC236}">
                  <a16:creationId xmlns:a16="http://schemas.microsoft.com/office/drawing/2014/main" id="{B1994517-ED43-D541-9BB3-1F4104D53F5D}"/>
                </a:ext>
              </a:extLst>
            </xdr14:cNvPr>
            <xdr14:cNvContentPartPr/>
          </xdr14:nvContentPartPr>
          <xdr14:nvPr macro=""/>
          <xdr14:xfrm>
            <a:off x="12866040" y="1243440"/>
            <a:ext cx="360" cy="360"/>
          </xdr14:xfrm>
        </xdr:contentPart>
      </mc:Choice>
      <mc:Fallback xmlns="">
        <xdr:pic>
          <xdr:nvPicPr>
            <xdr:cNvPr id="990" name="Ink 989">
              <a:extLst>
                <a:ext uri="{FF2B5EF4-FFF2-40B4-BE49-F238E27FC236}">
                  <a16:creationId xmlns:a16="http://schemas.microsoft.com/office/drawing/2014/main" id="{B1994517-ED43-D541-9BB3-1F4104D53F5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1">
          <xdr14:nvContentPartPr>
            <xdr14:cNvPr id="991" name="Ink 990">
              <a:extLst>
                <a:ext uri="{FF2B5EF4-FFF2-40B4-BE49-F238E27FC236}">
                  <a16:creationId xmlns:a16="http://schemas.microsoft.com/office/drawing/2014/main" id="{9B4BC4BF-498C-4E4F-B9C2-7C71CCB6AB7F}"/>
                </a:ext>
              </a:extLst>
            </xdr14:cNvPr>
            <xdr14:cNvContentPartPr/>
          </xdr14:nvContentPartPr>
          <xdr14:nvPr macro=""/>
          <xdr14:xfrm>
            <a:off x="12973680" y="1366560"/>
            <a:ext cx="360" cy="360"/>
          </xdr14:xfrm>
        </xdr:contentPart>
      </mc:Choice>
      <mc:Fallback xmlns="">
        <xdr:pic>
          <xdr:nvPicPr>
            <xdr:cNvPr id="991" name="Ink 990">
              <a:extLst>
                <a:ext uri="{FF2B5EF4-FFF2-40B4-BE49-F238E27FC236}">
                  <a16:creationId xmlns:a16="http://schemas.microsoft.com/office/drawing/2014/main" id="{9B4BC4BF-498C-4E4F-B9C2-7C71CCB6AB7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2">
          <xdr14:nvContentPartPr>
            <xdr14:cNvPr id="992" name="Ink 991">
              <a:extLst>
                <a:ext uri="{FF2B5EF4-FFF2-40B4-BE49-F238E27FC236}">
                  <a16:creationId xmlns:a16="http://schemas.microsoft.com/office/drawing/2014/main" id="{AFEC6A52-14FB-2F45-8F0B-5222B9C1D98E}"/>
                </a:ext>
              </a:extLst>
            </xdr14:cNvPr>
            <xdr14:cNvContentPartPr/>
          </xdr14:nvContentPartPr>
          <xdr14:nvPr macro=""/>
          <xdr14:xfrm>
            <a:off x="12846960" y="1192320"/>
            <a:ext cx="360" cy="360"/>
          </xdr14:xfrm>
        </xdr:contentPart>
      </mc:Choice>
      <mc:Fallback xmlns="">
        <xdr:pic>
          <xdr:nvPicPr>
            <xdr:cNvPr id="992" name="Ink 991">
              <a:extLst>
                <a:ext uri="{FF2B5EF4-FFF2-40B4-BE49-F238E27FC236}">
                  <a16:creationId xmlns:a16="http://schemas.microsoft.com/office/drawing/2014/main" id="{AFEC6A52-14FB-2F45-8F0B-5222B9C1D98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3">
          <xdr14:nvContentPartPr>
            <xdr14:cNvPr id="993" name="Ink 992">
              <a:extLst>
                <a:ext uri="{FF2B5EF4-FFF2-40B4-BE49-F238E27FC236}">
                  <a16:creationId xmlns:a16="http://schemas.microsoft.com/office/drawing/2014/main" id="{FE614D7B-D88A-D244-AD05-70B903189373}"/>
                </a:ext>
              </a:extLst>
            </xdr14:cNvPr>
            <xdr14:cNvContentPartPr/>
          </xdr14:nvContentPartPr>
          <xdr14:nvPr macro=""/>
          <xdr14:xfrm>
            <a:off x="12866040" y="1243440"/>
            <a:ext cx="360" cy="360"/>
          </xdr14:xfrm>
        </xdr:contentPart>
      </mc:Choice>
      <mc:Fallback xmlns="">
        <xdr:pic>
          <xdr:nvPicPr>
            <xdr:cNvPr id="993" name="Ink 992">
              <a:extLst>
                <a:ext uri="{FF2B5EF4-FFF2-40B4-BE49-F238E27FC236}">
                  <a16:creationId xmlns:a16="http://schemas.microsoft.com/office/drawing/2014/main" id="{FE614D7B-D88A-D244-AD05-70B90318937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4">
          <xdr14:nvContentPartPr>
            <xdr14:cNvPr id="994" name="Ink 993">
              <a:extLst>
                <a:ext uri="{FF2B5EF4-FFF2-40B4-BE49-F238E27FC236}">
                  <a16:creationId xmlns:a16="http://schemas.microsoft.com/office/drawing/2014/main" id="{FF76DD96-9B85-8D40-A178-71E93CDCF342}"/>
                </a:ext>
              </a:extLst>
            </xdr14:cNvPr>
            <xdr14:cNvContentPartPr/>
          </xdr14:nvContentPartPr>
          <xdr14:nvPr macro=""/>
          <xdr14:xfrm>
            <a:off x="12973680" y="1366560"/>
            <a:ext cx="360" cy="360"/>
          </xdr14:xfrm>
        </xdr:contentPart>
      </mc:Choice>
      <mc:Fallback xmlns="">
        <xdr:pic>
          <xdr:nvPicPr>
            <xdr:cNvPr id="994" name="Ink 993">
              <a:extLst>
                <a:ext uri="{FF2B5EF4-FFF2-40B4-BE49-F238E27FC236}">
                  <a16:creationId xmlns:a16="http://schemas.microsoft.com/office/drawing/2014/main" id="{FF76DD96-9B85-8D40-A178-71E93CDCF34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5">
          <xdr14:nvContentPartPr>
            <xdr14:cNvPr id="995" name="Ink 994">
              <a:extLst>
                <a:ext uri="{FF2B5EF4-FFF2-40B4-BE49-F238E27FC236}">
                  <a16:creationId xmlns:a16="http://schemas.microsoft.com/office/drawing/2014/main" id="{84628280-168B-BA46-BEFC-D97F188BAF9D}"/>
                </a:ext>
              </a:extLst>
            </xdr14:cNvPr>
            <xdr14:cNvContentPartPr/>
          </xdr14:nvContentPartPr>
          <xdr14:nvPr macro=""/>
          <xdr14:xfrm>
            <a:off x="12846960" y="1192320"/>
            <a:ext cx="360" cy="360"/>
          </xdr14:xfrm>
        </xdr:contentPart>
      </mc:Choice>
      <mc:Fallback xmlns="">
        <xdr:pic>
          <xdr:nvPicPr>
            <xdr:cNvPr id="995" name="Ink 994">
              <a:extLst>
                <a:ext uri="{FF2B5EF4-FFF2-40B4-BE49-F238E27FC236}">
                  <a16:creationId xmlns:a16="http://schemas.microsoft.com/office/drawing/2014/main" id="{84628280-168B-BA46-BEFC-D97F188BAF9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6">
          <xdr14:nvContentPartPr>
            <xdr14:cNvPr id="996" name="Ink 995">
              <a:extLst>
                <a:ext uri="{FF2B5EF4-FFF2-40B4-BE49-F238E27FC236}">
                  <a16:creationId xmlns:a16="http://schemas.microsoft.com/office/drawing/2014/main" id="{63F925B1-86E8-5944-ADCE-042646080828}"/>
                </a:ext>
              </a:extLst>
            </xdr14:cNvPr>
            <xdr14:cNvContentPartPr/>
          </xdr14:nvContentPartPr>
          <xdr14:nvPr macro=""/>
          <xdr14:xfrm>
            <a:off x="12866040" y="1243440"/>
            <a:ext cx="360" cy="360"/>
          </xdr14:xfrm>
        </xdr:contentPart>
      </mc:Choice>
      <mc:Fallback xmlns="">
        <xdr:pic>
          <xdr:nvPicPr>
            <xdr:cNvPr id="996" name="Ink 995">
              <a:extLst>
                <a:ext uri="{FF2B5EF4-FFF2-40B4-BE49-F238E27FC236}">
                  <a16:creationId xmlns:a16="http://schemas.microsoft.com/office/drawing/2014/main" id="{63F925B1-86E8-5944-ADCE-04264608082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7">
          <xdr14:nvContentPartPr>
            <xdr14:cNvPr id="997" name="Ink 996">
              <a:extLst>
                <a:ext uri="{FF2B5EF4-FFF2-40B4-BE49-F238E27FC236}">
                  <a16:creationId xmlns:a16="http://schemas.microsoft.com/office/drawing/2014/main" id="{8AFFCBF6-94AF-444F-9C65-AE047007994A}"/>
                </a:ext>
              </a:extLst>
            </xdr14:cNvPr>
            <xdr14:cNvContentPartPr/>
          </xdr14:nvContentPartPr>
          <xdr14:nvPr macro=""/>
          <xdr14:xfrm>
            <a:off x="12973680" y="1366560"/>
            <a:ext cx="360" cy="360"/>
          </xdr14:xfrm>
        </xdr:contentPart>
      </mc:Choice>
      <mc:Fallback xmlns="">
        <xdr:pic>
          <xdr:nvPicPr>
            <xdr:cNvPr id="997" name="Ink 996">
              <a:extLst>
                <a:ext uri="{FF2B5EF4-FFF2-40B4-BE49-F238E27FC236}">
                  <a16:creationId xmlns:a16="http://schemas.microsoft.com/office/drawing/2014/main" id="{8AFFCBF6-94AF-444F-9C65-AE047007994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8">
          <xdr14:nvContentPartPr>
            <xdr14:cNvPr id="998" name="Ink 997">
              <a:extLst>
                <a:ext uri="{FF2B5EF4-FFF2-40B4-BE49-F238E27FC236}">
                  <a16:creationId xmlns:a16="http://schemas.microsoft.com/office/drawing/2014/main" id="{A8D6F459-4DCA-A34B-952B-A9D72206FDE4}"/>
                </a:ext>
              </a:extLst>
            </xdr14:cNvPr>
            <xdr14:cNvContentPartPr/>
          </xdr14:nvContentPartPr>
          <xdr14:nvPr macro=""/>
          <xdr14:xfrm>
            <a:off x="12846960" y="1192320"/>
            <a:ext cx="360" cy="360"/>
          </xdr14:xfrm>
        </xdr:contentPart>
      </mc:Choice>
      <mc:Fallback xmlns="">
        <xdr:pic>
          <xdr:nvPicPr>
            <xdr:cNvPr id="998" name="Ink 997">
              <a:extLst>
                <a:ext uri="{FF2B5EF4-FFF2-40B4-BE49-F238E27FC236}">
                  <a16:creationId xmlns:a16="http://schemas.microsoft.com/office/drawing/2014/main" id="{A8D6F459-4DCA-A34B-952B-A9D72206FDE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99">
          <xdr14:nvContentPartPr>
            <xdr14:cNvPr id="999" name="Ink 998">
              <a:extLst>
                <a:ext uri="{FF2B5EF4-FFF2-40B4-BE49-F238E27FC236}">
                  <a16:creationId xmlns:a16="http://schemas.microsoft.com/office/drawing/2014/main" id="{BE5766D1-EBF6-C04E-BC54-C783504163BD}"/>
                </a:ext>
              </a:extLst>
            </xdr14:cNvPr>
            <xdr14:cNvContentPartPr/>
          </xdr14:nvContentPartPr>
          <xdr14:nvPr macro=""/>
          <xdr14:xfrm>
            <a:off x="12866040" y="1243440"/>
            <a:ext cx="360" cy="360"/>
          </xdr14:xfrm>
        </xdr:contentPart>
      </mc:Choice>
      <mc:Fallback xmlns="">
        <xdr:pic>
          <xdr:nvPicPr>
            <xdr:cNvPr id="999" name="Ink 998">
              <a:extLst>
                <a:ext uri="{FF2B5EF4-FFF2-40B4-BE49-F238E27FC236}">
                  <a16:creationId xmlns:a16="http://schemas.microsoft.com/office/drawing/2014/main" id="{BE5766D1-EBF6-C04E-BC54-C783504163B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0">
          <xdr14:nvContentPartPr>
            <xdr14:cNvPr id="1000" name="Ink 999">
              <a:extLst>
                <a:ext uri="{FF2B5EF4-FFF2-40B4-BE49-F238E27FC236}">
                  <a16:creationId xmlns:a16="http://schemas.microsoft.com/office/drawing/2014/main" id="{8CA1580F-952B-7545-B65D-D1505A7B5E72}"/>
                </a:ext>
              </a:extLst>
            </xdr14:cNvPr>
            <xdr14:cNvContentPartPr/>
          </xdr14:nvContentPartPr>
          <xdr14:nvPr macro=""/>
          <xdr14:xfrm>
            <a:off x="12973680" y="1366560"/>
            <a:ext cx="360" cy="360"/>
          </xdr14:xfrm>
        </xdr:contentPart>
      </mc:Choice>
      <mc:Fallback xmlns="">
        <xdr:pic>
          <xdr:nvPicPr>
            <xdr:cNvPr id="1000" name="Ink 999">
              <a:extLst>
                <a:ext uri="{FF2B5EF4-FFF2-40B4-BE49-F238E27FC236}">
                  <a16:creationId xmlns:a16="http://schemas.microsoft.com/office/drawing/2014/main" id="{8CA1580F-952B-7545-B65D-D1505A7B5E7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1">
          <xdr14:nvContentPartPr>
            <xdr14:cNvPr id="1001" name="Ink 1000">
              <a:extLst>
                <a:ext uri="{FF2B5EF4-FFF2-40B4-BE49-F238E27FC236}">
                  <a16:creationId xmlns:a16="http://schemas.microsoft.com/office/drawing/2014/main" id="{0E7A1675-4A42-DE4E-9B79-68A62BAF0A47}"/>
                </a:ext>
              </a:extLst>
            </xdr14:cNvPr>
            <xdr14:cNvContentPartPr/>
          </xdr14:nvContentPartPr>
          <xdr14:nvPr macro=""/>
          <xdr14:xfrm>
            <a:off x="12846960" y="1192320"/>
            <a:ext cx="360" cy="360"/>
          </xdr14:xfrm>
        </xdr:contentPart>
      </mc:Choice>
      <mc:Fallback xmlns="">
        <xdr:pic>
          <xdr:nvPicPr>
            <xdr:cNvPr id="1001" name="Ink 1000">
              <a:extLst>
                <a:ext uri="{FF2B5EF4-FFF2-40B4-BE49-F238E27FC236}">
                  <a16:creationId xmlns:a16="http://schemas.microsoft.com/office/drawing/2014/main" id="{0E7A1675-4A42-DE4E-9B79-68A62BAF0A4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2">
          <xdr14:nvContentPartPr>
            <xdr14:cNvPr id="1002" name="Ink 1001">
              <a:extLst>
                <a:ext uri="{FF2B5EF4-FFF2-40B4-BE49-F238E27FC236}">
                  <a16:creationId xmlns:a16="http://schemas.microsoft.com/office/drawing/2014/main" id="{5F0C0BEB-BE26-1C4C-9853-40A851ABBD0E}"/>
                </a:ext>
              </a:extLst>
            </xdr14:cNvPr>
            <xdr14:cNvContentPartPr/>
          </xdr14:nvContentPartPr>
          <xdr14:nvPr macro=""/>
          <xdr14:xfrm>
            <a:off x="12866040" y="1243440"/>
            <a:ext cx="360" cy="360"/>
          </xdr14:xfrm>
        </xdr:contentPart>
      </mc:Choice>
      <mc:Fallback xmlns="">
        <xdr:pic>
          <xdr:nvPicPr>
            <xdr:cNvPr id="1002" name="Ink 1001">
              <a:extLst>
                <a:ext uri="{FF2B5EF4-FFF2-40B4-BE49-F238E27FC236}">
                  <a16:creationId xmlns:a16="http://schemas.microsoft.com/office/drawing/2014/main" id="{5F0C0BEB-BE26-1C4C-9853-40A851ABBD0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3">
          <xdr14:nvContentPartPr>
            <xdr14:cNvPr id="1003" name="Ink 1002">
              <a:extLst>
                <a:ext uri="{FF2B5EF4-FFF2-40B4-BE49-F238E27FC236}">
                  <a16:creationId xmlns:a16="http://schemas.microsoft.com/office/drawing/2014/main" id="{E6295FF0-B3A2-2345-91F4-51DCB4DBC8CD}"/>
                </a:ext>
              </a:extLst>
            </xdr14:cNvPr>
            <xdr14:cNvContentPartPr/>
          </xdr14:nvContentPartPr>
          <xdr14:nvPr macro=""/>
          <xdr14:xfrm>
            <a:off x="12973680" y="1366560"/>
            <a:ext cx="360" cy="360"/>
          </xdr14:xfrm>
        </xdr:contentPart>
      </mc:Choice>
      <mc:Fallback xmlns="">
        <xdr:pic>
          <xdr:nvPicPr>
            <xdr:cNvPr id="1003" name="Ink 1002">
              <a:extLst>
                <a:ext uri="{FF2B5EF4-FFF2-40B4-BE49-F238E27FC236}">
                  <a16:creationId xmlns:a16="http://schemas.microsoft.com/office/drawing/2014/main" id="{E6295FF0-B3A2-2345-91F4-51DCB4DBC8C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4">
          <xdr14:nvContentPartPr>
            <xdr14:cNvPr id="1004" name="Ink 1003">
              <a:extLst>
                <a:ext uri="{FF2B5EF4-FFF2-40B4-BE49-F238E27FC236}">
                  <a16:creationId xmlns:a16="http://schemas.microsoft.com/office/drawing/2014/main" id="{4EE4E4C3-FE8B-2047-9706-A3D3297440E0}"/>
                </a:ext>
              </a:extLst>
            </xdr14:cNvPr>
            <xdr14:cNvContentPartPr/>
          </xdr14:nvContentPartPr>
          <xdr14:nvPr macro=""/>
          <xdr14:xfrm>
            <a:off x="12846960" y="1192320"/>
            <a:ext cx="360" cy="360"/>
          </xdr14:xfrm>
        </xdr:contentPart>
      </mc:Choice>
      <mc:Fallback xmlns="">
        <xdr:pic>
          <xdr:nvPicPr>
            <xdr:cNvPr id="1004" name="Ink 1003">
              <a:extLst>
                <a:ext uri="{FF2B5EF4-FFF2-40B4-BE49-F238E27FC236}">
                  <a16:creationId xmlns:a16="http://schemas.microsoft.com/office/drawing/2014/main" id="{4EE4E4C3-FE8B-2047-9706-A3D3297440E0}"/>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5">
          <xdr14:nvContentPartPr>
            <xdr14:cNvPr id="1005" name="Ink 1004">
              <a:extLst>
                <a:ext uri="{FF2B5EF4-FFF2-40B4-BE49-F238E27FC236}">
                  <a16:creationId xmlns:a16="http://schemas.microsoft.com/office/drawing/2014/main" id="{E1FBF5BA-ACC2-AF47-BF3E-EDB812C4004C}"/>
                </a:ext>
              </a:extLst>
            </xdr14:cNvPr>
            <xdr14:cNvContentPartPr/>
          </xdr14:nvContentPartPr>
          <xdr14:nvPr macro=""/>
          <xdr14:xfrm>
            <a:off x="12866040" y="1243440"/>
            <a:ext cx="360" cy="360"/>
          </xdr14:xfrm>
        </xdr:contentPart>
      </mc:Choice>
      <mc:Fallback xmlns="">
        <xdr:pic>
          <xdr:nvPicPr>
            <xdr:cNvPr id="1005" name="Ink 1004">
              <a:extLst>
                <a:ext uri="{FF2B5EF4-FFF2-40B4-BE49-F238E27FC236}">
                  <a16:creationId xmlns:a16="http://schemas.microsoft.com/office/drawing/2014/main" id="{E1FBF5BA-ACC2-AF47-BF3E-EDB812C4004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6">
          <xdr14:nvContentPartPr>
            <xdr14:cNvPr id="1006" name="Ink 1005">
              <a:extLst>
                <a:ext uri="{FF2B5EF4-FFF2-40B4-BE49-F238E27FC236}">
                  <a16:creationId xmlns:a16="http://schemas.microsoft.com/office/drawing/2014/main" id="{A4AC9F84-B0C8-AD44-94FE-832BC2C87D1B}"/>
                </a:ext>
              </a:extLst>
            </xdr14:cNvPr>
            <xdr14:cNvContentPartPr/>
          </xdr14:nvContentPartPr>
          <xdr14:nvPr macro=""/>
          <xdr14:xfrm>
            <a:off x="12973680" y="1366560"/>
            <a:ext cx="360" cy="360"/>
          </xdr14:xfrm>
        </xdr:contentPart>
      </mc:Choice>
      <mc:Fallback xmlns="">
        <xdr:pic>
          <xdr:nvPicPr>
            <xdr:cNvPr id="1006" name="Ink 1005">
              <a:extLst>
                <a:ext uri="{FF2B5EF4-FFF2-40B4-BE49-F238E27FC236}">
                  <a16:creationId xmlns:a16="http://schemas.microsoft.com/office/drawing/2014/main" id="{A4AC9F84-B0C8-AD44-94FE-832BC2C87D1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149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7">
          <xdr14:nvContentPartPr>
            <xdr14:cNvPr id="1007" name="Ink 1006">
              <a:extLst>
                <a:ext uri="{FF2B5EF4-FFF2-40B4-BE49-F238E27FC236}">
                  <a16:creationId xmlns:a16="http://schemas.microsoft.com/office/drawing/2014/main" id="{75A6070E-9E68-9948-BEE3-4AC103BAA6F7}"/>
                </a:ext>
              </a:extLst>
            </xdr14:cNvPr>
            <xdr14:cNvContentPartPr/>
          </xdr14:nvContentPartPr>
          <xdr14:nvPr macro=""/>
          <xdr14:xfrm>
            <a:off x="12846960" y="1192320"/>
            <a:ext cx="360" cy="360"/>
          </xdr14:xfrm>
        </xdr:contentPart>
      </mc:Choice>
      <mc:Fallback xmlns="">
        <xdr:pic>
          <xdr:nvPicPr>
            <xdr:cNvPr id="1007" name="Ink 1006">
              <a:extLst>
                <a:ext uri="{FF2B5EF4-FFF2-40B4-BE49-F238E27FC236}">
                  <a16:creationId xmlns:a16="http://schemas.microsoft.com/office/drawing/2014/main" id="{75A6070E-9E68-9948-BEE3-4AC103BAA6F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149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8">
          <xdr14:nvContentPartPr>
            <xdr14:cNvPr id="1008" name="Ink 1007">
              <a:extLst>
                <a:ext uri="{FF2B5EF4-FFF2-40B4-BE49-F238E27FC236}">
                  <a16:creationId xmlns:a16="http://schemas.microsoft.com/office/drawing/2014/main" id="{9B93EBFA-589C-434D-992E-F2E8A1166F4E}"/>
                </a:ext>
              </a:extLst>
            </xdr14:cNvPr>
            <xdr14:cNvContentPartPr/>
          </xdr14:nvContentPartPr>
          <xdr14:nvPr macro=""/>
          <xdr14:xfrm>
            <a:off x="12866040" y="1243440"/>
            <a:ext cx="360" cy="360"/>
          </xdr14:xfrm>
        </xdr:contentPart>
      </mc:Choice>
      <mc:Fallback xmlns="">
        <xdr:pic>
          <xdr:nvPicPr>
            <xdr:cNvPr id="1008" name="Ink 1007">
              <a:extLst>
                <a:ext uri="{FF2B5EF4-FFF2-40B4-BE49-F238E27FC236}">
                  <a16:creationId xmlns:a16="http://schemas.microsoft.com/office/drawing/2014/main" id="{9B93EBFA-589C-434D-992E-F2E8A1166F4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149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09">
          <xdr14:nvContentPartPr>
            <xdr14:cNvPr id="1009" name="Ink 1008">
              <a:extLst>
                <a:ext uri="{FF2B5EF4-FFF2-40B4-BE49-F238E27FC236}">
                  <a16:creationId xmlns:a16="http://schemas.microsoft.com/office/drawing/2014/main" id="{029A5153-E207-CA4E-BCAD-3ED32AB83C3F}"/>
                </a:ext>
              </a:extLst>
            </xdr14:cNvPr>
            <xdr14:cNvContentPartPr/>
          </xdr14:nvContentPartPr>
          <xdr14:nvPr macro=""/>
          <xdr14:xfrm>
            <a:off x="12973680" y="1366560"/>
            <a:ext cx="360" cy="360"/>
          </xdr14:xfrm>
        </xdr:contentPart>
      </mc:Choice>
      <mc:Fallback xmlns="">
        <xdr:pic>
          <xdr:nvPicPr>
            <xdr:cNvPr id="1009" name="Ink 1008">
              <a:extLst>
                <a:ext uri="{FF2B5EF4-FFF2-40B4-BE49-F238E27FC236}">
                  <a16:creationId xmlns:a16="http://schemas.microsoft.com/office/drawing/2014/main" id="{029A5153-E207-CA4E-BCAD-3ED32AB83C3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0">
          <xdr14:nvContentPartPr>
            <xdr14:cNvPr id="1010" name="Ink 1009">
              <a:extLst>
                <a:ext uri="{FF2B5EF4-FFF2-40B4-BE49-F238E27FC236}">
                  <a16:creationId xmlns:a16="http://schemas.microsoft.com/office/drawing/2014/main" id="{C7A05D75-9343-5D4C-AD07-9C28DEE5F697}"/>
                </a:ext>
              </a:extLst>
            </xdr14:cNvPr>
            <xdr14:cNvContentPartPr/>
          </xdr14:nvContentPartPr>
          <xdr14:nvPr macro=""/>
          <xdr14:xfrm>
            <a:off x="12846960" y="1192320"/>
            <a:ext cx="360" cy="360"/>
          </xdr14:xfrm>
        </xdr:contentPart>
      </mc:Choice>
      <mc:Fallback xmlns="">
        <xdr:pic>
          <xdr:nvPicPr>
            <xdr:cNvPr id="1010" name="Ink 1009">
              <a:extLst>
                <a:ext uri="{FF2B5EF4-FFF2-40B4-BE49-F238E27FC236}">
                  <a16:creationId xmlns:a16="http://schemas.microsoft.com/office/drawing/2014/main" id="{C7A05D75-9343-5D4C-AD07-9C28DEE5F69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1">
          <xdr14:nvContentPartPr>
            <xdr14:cNvPr id="1011" name="Ink 1010">
              <a:extLst>
                <a:ext uri="{FF2B5EF4-FFF2-40B4-BE49-F238E27FC236}">
                  <a16:creationId xmlns:a16="http://schemas.microsoft.com/office/drawing/2014/main" id="{6270B44E-7440-1E47-8846-07A405725E21}"/>
                </a:ext>
              </a:extLst>
            </xdr14:cNvPr>
            <xdr14:cNvContentPartPr/>
          </xdr14:nvContentPartPr>
          <xdr14:nvPr macro=""/>
          <xdr14:xfrm>
            <a:off x="12866040" y="1243440"/>
            <a:ext cx="360" cy="360"/>
          </xdr14:xfrm>
        </xdr:contentPart>
      </mc:Choice>
      <mc:Fallback xmlns="">
        <xdr:pic>
          <xdr:nvPicPr>
            <xdr:cNvPr id="1011" name="Ink 1010">
              <a:extLst>
                <a:ext uri="{FF2B5EF4-FFF2-40B4-BE49-F238E27FC236}">
                  <a16:creationId xmlns:a16="http://schemas.microsoft.com/office/drawing/2014/main" id="{6270B44E-7440-1E47-8846-07A405725E21}"/>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2">
          <xdr14:nvContentPartPr>
            <xdr14:cNvPr id="1012" name="Ink 1011">
              <a:extLst>
                <a:ext uri="{FF2B5EF4-FFF2-40B4-BE49-F238E27FC236}">
                  <a16:creationId xmlns:a16="http://schemas.microsoft.com/office/drawing/2014/main" id="{267A9086-65FE-5B4B-9666-81C30CA61E18}"/>
                </a:ext>
              </a:extLst>
            </xdr14:cNvPr>
            <xdr14:cNvContentPartPr/>
          </xdr14:nvContentPartPr>
          <xdr14:nvPr macro=""/>
          <xdr14:xfrm>
            <a:off x="12973680" y="1366560"/>
            <a:ext cx="360" cy="360"/>
          </xdr14:xfrm>
        </xdr:contentPart>
      </mc:Choice>
      <mc:Fallback xmlns="">
        <xdr:pic>
          <xdr:nvPicPr>
            <xdr:cNvPr id="1012" name="Ink 1011">
              <a:extLst>
                <a:ext uri="{FF2B5EF4-FFF2-40B4-BE49-F238E27FC236}">
                  <a16:creationId xmlns:a16="http://schemas.microsoft.com/office/drawing/2014/main" id="{267A9086-65FE-5B4B-9666-81C30CA61E1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3">
          <xdr14:nvContentPartPr>
            <xdr14:cNvPr id="1013" name="Ink 1012">
              <a:extLst>
                <a:ext uri="{FF2B5EF4-FFF2-40B4-BE49-F238E27FC236}">
                  <a16:creationId xmlns:a16="http://schemas.microsoft.com/office/drawing/2014/main" id="{E7C4976F-F713-5D41-940E-C6E2B7361FA9}"/>
                </a:ext>
              </a:extLst>
            </xdr14:cNvPr>
            <xdr14:cNvContentPartPr/>
          </xdr14:nvContentPartPr>
          <xdr14:nvPr macro=""/>
          <xdr14:xfrm>
            <a:off x="12846960" y="1192320"/>
            <a:ext cx="360" cy="360"/>
          </xdr14:xfrm>
        </xdr:contentPart>
      </mc:Choice>
      <mc:Fallback xmlns="">
        <xdr:pic>
          <xdr:nvPicPr>
            <xdr:cNvPr id="1013" name="Ink 1012">
              <a:extLst>
                <a:ext uri="{FF2B5EF4-FFF2-40B4-BE49-F238E27FC236}">
                  <a16:creationId xmlns:a16="http://schemas.microsoft.com/office/drawing/2014/main" id="{E7C4976F-F713-5D41-940E-C6E2B7361FA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4">
          <xdr14:nvContentPartPr>
            <xdr14:cNvPr id="1014" name="Ink 1013">
              <a:extLst>
                <a:ext uri="{FF2B5EF4-FFF2-40B4-BE49-F238E27FC236}">
                  <a16:creationId xmlns:a16="http://schemas.microsoft.com/office/drawing/2014/main" id="{C5F3DE65-44B9-934B-8525-BA0F52CD0FB6}"/>
                </a:ext>
              </a:extLst>
            </xdr14:cNvPr>
            <xdr14:cNvContentPartPr/>
          </xdr14:nvContentPartPr>
          <xdr14:nvPr macro=""/>
          <xdr14:xfrm>
            <a:off x="12866040" y="1243440"/>
            <a:ext cx="360" cy="360"/>
          </xdr14:xfrm>
        </xdr:contentPart>
      </mc:Choice>
      <mc:Fallback xmlns="">
        <xdr:pic>
          <xdr:nvPicPr>
            <xdr:cNvPr id="1014" name="Ink 1013">
              <a:extLst>
                <a:ext uri="{FF2B5EF4-FFF2-40B4-BE49-F238E27FC236}">
                  <a16:creationId xmlns:a16="http://schemas.microsoft.com/office/drawing/2014/main" id="{C5F3DE65-44B9-934B-8525-BA0F52CD0FB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5">
          <xdr14:nvContentPartPr>
            <xdr14:cNvPr id="1015" name="Ink 1014">
              <a:extLst>
                <a:ext uri="{FF2B5EF4-FFF2-40B4-BE49-F238E27FC236}">
                  <a16:creationId xmlns:a16="http://schemas.microsoft.com/office/drawing/2014/main" id="{FC8CF553-D348-7A43-9C5F-ABC05327025A}"/>
                </a:ext>
              </a:extLst>
            </xdr14:cNvPr>
            <xdr14:cNvContentPartPr/>
          </xdr14:nvContentPartPr>
          <xdr14:nvPr macro=""/>
          <xdr14:xfrm>
            <a:off x="12973680" y="1366560"/>
            <a:ext cx="360" cy="360"/>
          </xdr14:xfrm>
        </xdr:contentPart>
      </mc:Choice>
      <mc:Fallback xmlns="">
        <xdr:pic>
          <xdr:nvPicPr>
            <xdr:cNvPr id="1015" name="Ink 1014">
              <a:extLst>
                <a:ext uri="{FF2B5EF4-FFF2-40B4-BE49-F238E27FC236}">
                  <a16:creationId xmlns:a16="http://schemas.microsoft.com/office/drawing/2014/main" id="{FC8CF553-D348-7A43-9C5F-ABC05327025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6">
          <xdr14:nvContentPartPr>
            <xdr14:cNvPr id="1016" name="Ink 1015">
              <a:extLst>
                <a:ext uri="{FF2B5EF4-FFF2-40B4-BE49-F238E27FC236}">
                  <a16:creationId xmlns:a16="http://schemas.microsoft.com/office/drawing/2014/main" id="{B8225D5B-D61E-5043-A047-66E2DE036C75}"/>
                </a:ext>
              </a:extLst>
            </xdr14:cNvPr>
            <xdr14:cNvContentPartPr/>
          </xdr14:nvContentPartPr>
          <xdr14:nvPr macro=""/>
          <xdr14:xfrm>
            <a:off x="12846960" y="1192320"/>
            <a:ext cx="360" cy="360"/>
          </xdr14:xfrm>
        </xdr:contentPart>
      </mc:Choice>
      <mc:Fallback xmlns="">
        <xdr:pic>
          <xdr:nvPicPr>
            <xdr:cNvPr id="1016" name="Ink 1015">
              <a:extLst>
                <a:ext uri="{FF2B5EF4-FFF2-40B4-BE49-F238E27FC236}">
                  <a16:creationId xmlns:a16="http://schemas.microsoft.com/office/drawing/2014/main" id="{B8225D5B-D61E-5043-A047-66E2DE036C7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7">
          <xdr14:nvContentPartPr>
            <xdr14:cNvPr id="1017" name="Ink 1016">
              <a:extLst>
                <a:ext uri="{FF2B5EF4-FFF2-40B4-BE49-F238E27FC236}">
                  <a16:creationId xmlns:a16="http://schemas.microsoft.com/office/drawing/2014/main" id="{D33F726F-A95F-EA4C-8D1C-606621494442}"/>
                </a:ext>
              </a:extLst>
            </xdr14:cNvPr>
            <xdr14:cNvContentPartPr/>
          </xdr14:nvContentPartPr>
          <xdr14:nvPr macro=""/>
          <xdr14:xfrm>
            <a:off x="12866040" y="1243440"/>
            <a:ext cx="360" cy="360"/>
          </xdr14:xfrm>
        </xdr:contentPart>
      </mc:Choice>
      <mc:Fallback xmlns="">
        <xdr:pic>
          <xdr:nvPicPr>
            <xdr:cNvPr id="1017" name="Ink 1016">
              <a:extLst>
                <a:ext uri="{FF2B5EF4-FFF2-40B4-BE49-F238E27FC236}">
                  <a16:creationId xmlns:a16="http://schemas.microsoft.com/office/drawing/2014/main" id="{D33F726F-A95F-EA4C-8D1C-60662149444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8">
          <xdr14:nvContentPartPr>
            <xdr14:cNvPr id="1018" name="Ink 1017">
              <a:extLst>
                <a:ext uri="{FF2B5EF4-FFF2-40B4-BE49-F238E27FC236}">
                  <a16:creationId xmlns:a16="http://schemas.microsoft.com/office/drawing/2014/main" id="{0A31433C-7F93-DF4A-8183-579D4CBDFAF9}"/>
                </a:ext>
              </a:extLst>
            </xdr14:cNvPr>
            <xdr14:cNvContentPartPr/>
          </xdr14:nvContentPartPr>
          <xdr14:nvPr macro=""/>
          <xdr14:xfrm>
            <a:off x="12973680" y="1366560"/>
            <a:ext cx="360" cy="360"/>
          </xdr14:xfrm>
        </xdr:contentPart>
      </mc:Choice>
      <mc:Fallback xmlns="">
        <xdr:pic>
          <xdr:nvPicPr>
            <xdr:cNvPr id="1018" name="Ink 1017">
              <a:extLst>
                <a:ext uri="{FF2B5EF4-FFF2-40B4-BE49-F238E27FC236}">
                  <a16:creationId xmlns:a16="http://schemas.microsoft.com/office/drawing/2014/main" id="{0A31433C-7F93-DF4A-8183-579D4CBDFAF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19">
          <xdr14:nvContentPartPr>
            <xdr14:cNvPr id="1019" name="Ink 1018">
              <a:extLst>
                <a:ext uri="{FF2B5EF4-FFF2-40B4-BE49-F238E27FC236}">
                  <a16:creationId xmlns:a16="http://schemas.microsoft.com/office/drawing/2014/main" id="{AD151E35-D549-CD4B-9630-5109A2E39683}"/>
                </a:ext>
              </a:extLst>
            </xdr14:cNvPr>
            <xdr14:cNvContentPartPr/>
          </xdr14:nvContentPartPr>
          <xdr14:nvPr macro=""/>
          <xdr14:xfrm>
            <a:off x="12846960" y="1192320"/>
            <a:ext cx="360" cy="360"/>
          </xdr14:xfrm>
        </xdr:contentPart>
      </mc:Choice>
      <mc:Fallback xmlns="">
        <xdr:pic>
          <xdr:nvPicPr>
            <xdr:cNvPr id="1019" name="Ink 1018">
              <a:extLst>
                <a:ext uri="{FF2B5EF4-FFF2-40B4-BE49-F238E27FC236}">
                  <a16:creationId xmlns:a16="http://schemas.microsoft.com/office/drawing/2014/main" id="{AD151E35-D549-CD4B-9630-5109A2E39683}"/>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0">
          <xdr14:nvContentPartPr>
            <xdr14:cNvPr id="1020" name="Ink 1019">
              <a:extLst>
                <a:ext uri="{FF2B5EF4-FFF2-40B4-BE49-F238E27FC236}">
                  <a16:creationId xmlns:a16="http://schemas.microsoft.com/office/drawing/2014/main" id="{E3A8ED51-3792-B14C-9E08-79F57326A2F8}"/>
                </a:ext>
              </a:extLst>
            </xdr14:cNvPr>
            <xdr14:cNvContentPartPr/>
          </xdr14:nvContentPartPr>
          <xdr14:nvPr macro=""/>
          <xdr14:xfrm>
            <a:off x="12866040" y="1243440"/>
            <a:ext cx="360" cy="360"/>
          </xdr14:xfrm>
        </xdr:contentPart>
      </mc:Choice>
      <mc:Fallback xmlns="">
        <xdr:pic>
          <xdr:nvPicPr>
            <xdr:cNvPr id="1020" name="Ink 1019">
              <a:extLst>
                <a:ext uri="{FF2B5EF4-FFF2-40B4-BE49-F238E27FC236}">
                  <a16:creationId xmlns:a16="http://schemas.microsoft.com/office/drawing/2014/main" id="{E3A8ED51-3792-B14C-9E08-79F57326A2F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1">
          <xdr14:nvContentPartPr>
            <xdr14:cNvPr id="1021" name="Ink 1020">
              <a:extLst>
                <a:ext uri="{FF2B5EF4-FFF2-40B4-BE49-F238E27FC236}">
                  <a16:creationId xmlns:a16="http://schemas.microsoft.com/office/drawing/2014/main" id="{C8DDBC50-EB6F-9543-BB9D-D56A2F837FAC}"/>
                </a:ext>
              </a:extLst>
            </xdr14:cNvPr>
            <xdr14:cNvContentPartPr/>
          </xdr14:nvContentPartPr>
          <xdr14:nvPr macro=""/>
          <xdr14:xfrm>
            <a:off x="12973680" y="1366560"/>
            <a:ext cx="360" cy="360"/>
          </xdr14:xfrm>
        </xdr:contentPart>
      </mc:Choice>
      <mc:Fallback xmlns="">
        <xdr:pic>
          <xdr:nvPicPr>
            <xdr:cNvPr id="1021" name="Ink 1020">
              <a:extLst>
                <a:ext uri="{FF2B5EF4-FFF2-40B4-BE49-F238E27FC236}">
                  <a16:creationId xmlns:a16="http://schemas.microsoft.com/office/drawing/2014/main" id="{C8DDBC50-EB6F-9543-BB9D-D56A2F837FA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2">
          <xdr14:nvContentPartPr>
            <xdr14:cNvPr id="1022" name="Ink 1021">
              <a:extLst>
                <a:ext uri="{FF2B5EF4-FFF2-40B4-BE49-F238E27FC236}">
                  <a16:creationId xmlns:a16="http://schemas.microsoft.com/office/drawing/2014/main" id="{00B3A537-E48B-B340-9DB2-FF09DCC0C81B}"/>
                </a:ext>
              </a:extLst>
            </xdr14:cNvPr>
            <xdr14:cNvContentPartPr/>
          </xdr14:nvContentPartPr>
          <xdr14:nvPr macro=""/>
          <xdr14:xfrm>
            <a:off x="12846960" y="1192320"/>
            <a:ext cx="360" cy="360"/>
          </xdr14:xfrm>
        </xdr:contentPart>
      </mc:Choice>
      <mc:Fallback xmlns="">
        <xdr:pic>
          <xdr:nvPicPr>
            <xdr:cNvPr id="1022" name="Ink 1021">
              <a:extLst>
                <a:ext uri="{FF2B5EF4-FFF2-40B4-BE49-F238E27FC236}">
                  <a16:creationId xmlns:a16="http://schemas.microsoft.com/office/drawing/2014/main" id="{00B3A537-E48B-B340-9DB2-FF09DCC0C81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3">
          <xdr14:nvContentPartPr>
            <xdr14:cNvPr id="1023" name="Ink 1022">
              <a:extLst>
                <a:ext uri="{FF2B5EF4-FFF2-40B4-BE49-F238E27FC236}">
                  <a16:creationId xmlns:a16="http://schemas.microsoft.com/office/drawing/2014/main" id="{897220C3-8472-734E-99D7-87DA122A9123}"/>
                </a:ext>
              </a:extLst>
            </xdr14:cNvPr>
            <xdr14:cNvContentPartPr/>
          </xdr14:nvContentPartPr>
          <xdr14:nvPr macro=""/>
          <xdr14:xfrm>
            <a:off x="12866040" y="1243440"/>
            <a:ext cx="360" cy="360"/>
          </xdr14:xfrm>
        </xdr:contentPart>
      </mc:Choice>
      <mc:Fallback xmlns="">
        <xdr:pic>
          <xdr:nvPicPr>
            <xdr:cNvPr id="1023" name="Ink 1022">
              <a:extLst>
                <a:ext uri="{FF2B5EF4-FFF2-40B4-BE49-F238E27FC236}">
                  <a16:creationId xmlns:a16="http://schemas.microsoft.com/office/drawing/2014/main" id="{897220C3-8472-734E-99D7-87DA122A912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4">
          <xdr14:nvContentPartPr>
            <xdr14:cNvPr id="1024" name="Ink 1023">
              <a:extLst>
                <a:ext uri="{FF2B5EF4-FFF2-40B4-BE49-F238E27FC236}">
                  <a16:creationId xmlns:a16="http://schemas.microsoft.com/office/drawing/2014/main" id="{A2ADA92D-5062-F143-B4F5-8EBF565BE9BC}"/>
                </a:ext>
              </a:extLst>
            </xdr14:cNvPr>
            <xdr14:cNvContentPartPr/>
          </xdr14:nvContentPartPr>
          <xdr14:nvPr macro=""/>
          <xdr14:xfrm>
            <a:off x="12973680" y="1366560"/>
            <a:ext cx="360" cy="360"/>
          </xdr14:xfrm>
        </xdr:contentPart>
      </mc:Choice>
      <mc:Fallback xmlns="">
        <xdr:pic>
          <xdr:nvPicPr>
            <xdr:cNvPr id="1024" name="Ink 1023">
              <a:extLst>
                <a:ext uri="{FF2B5EF4-FFF2-40B4-BE49-F238E27FC236}">
                  <a16:creationId xmlns:a16="http://schemas.microsoft.com/office/drawing/2014/main" id="{A2ADA92D-5062-F143-B4F5-8EBF565BE9B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5">
          <xdr14:nvContentPartPr>
            <xdr14:cNvPr id="1025" name="Ink 1024">
              <a:extLst>
                <a:ext uri="{FF2B5EF4-FFF2-40B4-BE49-F238E27FC236}">
                  <a16:creationId xmlns:a16="http://schemas.microsoft.com/office/drawing/2014/main" id="{F61FBDAC-B265-994F-BF91-FF22EC2019AE}"/>
                </a:ext>
              </a:extLst>
            </xdr14:cNvPr>
            <xdr14:cNvContentPartPr/>
          </xdr14:nvContentPartPr>
          <xdr14:nvPr macro=""/>
          <xdr14:xfrm>
            <a:off x="12846960" y="1192320"/>
            <a:ext cx="360" cy="360"/>
          </xdr14:xfrm>
        </xdr:contentPart>
      </mc:Choice>
      <mc:Fallback xmlns="">
        <xdr:pic>
          <xdr:nvPicPr>
            <xdr:cNvPr id="1025" name="Ink 1024">
              <a:extLst>
                <a:ext uri="{FF2B5EF4-FFF2-40B4-BE49-F238E27FC236}">
                  <a16:creationId xmlns:a16="http://schemas.microsoft.com/office/drawing/2014/main" id="{F61FBDAC-B265-994F-BF91-FF22EC2019A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6">
          <xdr14:nvContentPartPr>
            <xdr14:cNvPr id="1026" name="Ink 1025">
              <a:extLst>
                <a:ext uri="{FF2B5EF4-FFF2-40B4-BE49-F238E27FC236}">
                  <a16:creationId xmlns:a16="http://schemas.microsoft.com/office/drawing/2014/main" id="{BD344CDC-4335-CE45-AA02-47F5B53B68ED}"/>
                </a:ext>
              </a:extLst>
            </xdr14:cNvPr>
            <xdr14:cNvContentPartPr/>
          </xdr14:nvContentPartPr>
          <xdr14:nvPr macro=""/>
          <xdr14:xfrm>
            <a:off x="12866040" y="1243440"/>
            <a:ext cx="360" cy="360"/>
          </xdr14:xfrm>
        </xdr:contentPart>
      </mc:Choice>
      <mc:Fallback xmlns="">
        <xdr:pic>
          <xdr:nvPicPr>
            <xdr:cNvPr id="1026" name="Ink 1025">
              <a:extLst>
                <a:ext uri="{FF2B5EF4-FFF2-40B4-BE49-F238E27FC236}">
                  <a16:creationId xmlns:a16="http://schemas.microsoft.com/office/drawing/2014/main" id="{BD344CDC-4335-CE45-AA02-47F5B53B68E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7">
          <xdr14:nvContentPartPr>
            <xdr14:cNvPr id="1027" name="Ink 1026">
              <a:extLst>
                <a:ext uri="{FF2B5EF4-FFF2-40B4-BE49-F238E27FC236}">
                  <a16:creationId xmlns:a16="http://schemas.microsoft.com/office/drawing/2014/main" id="{6D57458C-A264-3842-A0AD-352436C94259}"/>
                </a:ext>
              </a:extLst>
            </xdr14:cNvPr>
            <xdr14:cNvContentPartPr/>
          </xdr14:nvContentPartPr>
          <xdr14:nvPr macro=""/>
          <xdr14:xfrm>
            <a:off x="12973680" y="1366560"/>
            <a:ext cx="360" cy="360"/>
          </xdr14:xfrm>
        </xdr:contentPart>
      </mc:Choice>
      <mc:Fallback xmlns="">
        <xdr:pic>
          <xdr:nvPicPr>
            <xdr:cNvPr id="1027" name="Ink 1026">
              <a:extLst>
                <a:ext uri="{FF2B5EF4-FFF2-40B4-BE49-F238E27FC236}">
                  <a16:creationId xmlns:a16="http://schemas.microsoft.com/office/drawing/2014/main" id="{6D57458C-A264-3842-A0AD-352436C9425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8">
          <xdr14:nvContentPartPr>
            <xdr14:cNvPr id="1028" name="Ink 1027">
              <a:extLst>
                <a:ext uri="{FF2B5EF4-FFF2-40B4-BE49-F238E27FC236}">
                  <a16:creationId xmlns:a16="http://schemas.microsoft.com/office/drawing/2014/main" id="{2382D233-5090-5C42-B5F3-3D66D47A0AA7}"/>
                </a:ext>
              </a:extLst>
            </xdr14:cNvPr>
            <xdr14:cNvContentPartPr/>
          </xdr14:nvContentPartPr>
          <xdr14:nvPr macro=""/>
          <xdr14:xfrm>
            <a:off x="12846960" y="1192320"/>
            <a:ext cx="360" cy="360"/>
          </xdr14:xfrm>
        </xdr:contentPart>
      </mc:Choice>
      <mc:Fallback xmlns="">
        <xdr:pic>
          <xdr:nvPicPr>
            <xdr:cNvPr id="1028" name="Ink 1027">
              <a:extLst>
                <a:ext uri="{FF2B5EF4-FFF2-40B4-BE49-F238E27FC236}">
                  <a16:creationId xmlns:a16="http://schemas.microsoft.com/office/drawing/2014/main" id="{2382D233-5090-5C42-B5F3-3D66D47A0AA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29">
          <xdr14:nvContentPartPr>
            <xdr14:cNvPr id="1029" name="Ink 1028">
              <a:extLst>
                <a:ext uri="{FF2B5EF4-FFF2-40B4-BE49-F238E27FC236}">
                  <a16:creationId xmlns:a16="http://schemas.microsoft.com/office/drawing/2014/main" id="{3FDFBCA6-73A2-4248-89C0-0F9DFFB77342}"/>
                </a:ext>
              </a:extLst>
            </xdr14:cNvPr>
            <xdr14:cNvContentPartPr/>
          </xdr14:nvContentPartPr>
          <xdr14:nvPr macro=""/>
          <xdr14:xfrm>
            <a:off x="12866040" y="1243440"/>
            <a:ext cx="360" cy="360"/>
          </xdr14:xfrm>
        </xdr:contentPart>
      </mc:Choice>
      <mc:Fallback xmlns="">
        <xdr:pic>
          <xdr:nvPicPr>
            <xdr:cNvPr id="1029" name="Ink 1028">
              <a:extLst>
                <a:ext uri="{FF2B5EF4-FFF2-40B4-BE49-F238E27FC236}">
                  <a16:creationId xmlns:a16="http://schemas.microsoft.com/office/drawing/2014/main" id="{3FDFBCA6-73A2-4248-89C0-0F9DFFB77342}"/>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0">
          <xdr14:nvContentPartPr>
            <xdr14:cNvPr id="1030" name="Ink 1029">
              <a:extLst>
                <a:ext uri="{FF2B5EF4-FFF2-40B4-BE49-F238E27FC236}">
                  <a16:creationId xmlns:a16="http://schemas.microsoft.com/office/drawing/2014/main" id="{DBDA0636-D296-5B45-8909-A90EA2B4295B}"/>
                </a:ext>
              </a:extLst>
            </xdr14:cNvPr>
            <xdr14:cNvContentPartPr/>
          </xdr14:nvContentPartPr>
          <xdr14:nvPr macro=""/>
          <xdr14:xfrm>
            <a:off x="12973680" y="1366560"/>
            <a:ext cx="360" cy="360"/>
          </xdr14:xfrm>
        </xdr:contentPart>
      </mc:Choice>
      <mc:Fallback xmlns="">
        <xdr:pic>
          <xdr:nvPicPr>
            <xdr:cNvPr id="1030" name="Ink 1029">
              <a:extLst>
                <a:ext uri="{FF2B5EF4-FFF2-40B4-BE49-F238E27FC236}">
                  <a16:creationId xmlns:a16="http://schemas.microsoft.com/office/drawing/2014/main" id="{DBDA0636-D296-5B45-8909-A90EA2B4295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1">
          <xdr14:nvContentPartPr>
            <xdr14:cNvPr id="1031" name="Ink 1030">
              <a:extLst>
                <a:ext uri="{FF2B5EF4-FFF2-40B4-BE49-F238E27FC236}">
                  <a16:creationId xmlns:a16="http://schemas.microsoft.com/office/drawing/2014/main" id="{60E28281-ACE2-E44F-BD98-2B8536629DD2}"/>
                </a:ext>
              </a:extLst>
            </xdr14:cNvPr>
            <xdr14:cNvContentPartPr/>
          </xdr14:nvContentPartPr>
          <xdr14:nvPr macro=""/>
          <xdr14:xfrm>
            <a:off x="12846960" y="1192320"/>
            <a:ext cx="360" cy="360"/>
          </xdr14:xfrm>
        </xdr:contentPart>
      </mc:Choice>
      <mc:Fallback xmlns="">
        <xdr:pic>
          <xdr:nvPicPr>
            <xdr:cNvPr id="1031" name="Ink 1030">
              <a:extLst>
                <a:ext uri="{FF2B5EF4-FFF2-40B4-BE49-F238E27FC236}">
                  <a16:creationId xmlns:a16="http://schemas.microsoft.com/office/drawing/2014/main" id="{60E28281-ACE2-E44F-BD98-2B8536629DD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2">
          <xdr14:nvContentPartPr>
            <xdr14:cNvPr id="1032" name="Ink 1031">
              <a:extLst>
                <a:ext uri="{FF2B5EF4-FFF2-40B4-BE49-F238E27FC236}">
                  <a16:creationId xmlns:a16="http://schemas.microsoft.com/office/drawing/2014/main" id="{FE35C76C-3761-4044-8B13-D1AECB2EFA7C}"/>
                </a:ext>
              </a:extLst>
            </xdr14:cNvPr>
            <xdr14:cNvContentPartPr/>
          </xdr14:nvContentPartPr>
          <xdr14:nvPr macro=""/>
          <xdr14:xfrm>
            <a:off x="12866040" y="1243440"/>
            <a:ext cx="360" cy="360"/>
          </xdr14:xfrm>
        </xdr:contentPart>
      </mc:Choice>
      <mc:Fallback xmlns="">
        <xdr:pic>
          <xdr:nvPicPr>
            <xdr:cNvPr id="1032" name="Ink 1031">
              <a:extLst>
                <a:ext uri="{FF2B5EF4-FFF2-40B4-BE49-F238E27FC236}">
                  <a16:creationId xmlns:a16="http://schemas.microsoft.com/office/drawing/2014/main" id="{FE35C76C-3761-4044-8B13-D1AECB2EFA7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3">
          <xdr14:nvContentPartPr>
            <xdr14:cNvPr id="1033" name="Ink 1032">
              <a:extLst>
                <a:ext uri="{FF2B5EF4-FFF2-40B4-BE49-F238E27FC236}">
                  <a16:creationId xmlns:a16="http://schemas.microsoft.com/office/drawing/2014/main" id="{D907D5ED-CF5D-AF43-94C8-D4BB8F33A399}"/>
                </a:ext>
              </a:extLst>
            </xdr14:cNvPr>
            <xdr14:cNvContentPartPr/>
          </xdr14:nvContentPartPr>
          <xdr14:nvPr macro=""/>
          <xdr14:xfrm>
            <a:off x="12973680" y="1366560"/>
            <a:ext cx="360" cy="360"/>
          </xdr14:xfrm>
        </xdr:contentPart>
      </mc:Choice>
      <mc:Fallback xmlns="">
        <xdr:pic>
          <xdr:nvPicPr>
            <xdr:cNvPr id="1033" name="Ink 1032">
              <a:extLst>
                <a:ext uri="{FF2B5EF4-FFF2-40B4-BE49-F238E27FC236}">
                  <a16:creationId xmlns:a16="http://schemas.microsoft.com/office/drawing/2014/main" id="{D907D5ED-CF5D-AF43-94C8-D4BB8F33A39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4">
          <xdr14:nvContentPartPr>
            <xdr14:cNvPr id="1034" name="Ink 1033">
              <a:extLst>
                <a:ext uri="{FF2B5EF4-FFF2-40B4-BE49-F238E27FC236}">
                  <a16:creationId xmlns:a16="http://schemas.microsoft.com/office/drawing/2014/main" id="{93411701-EF4B-0D42-B2AC-968393D6FE6C}"/>
                </a:ext>
              </a:extLst>
            </xdr14:cNvPr>
            <xdr14:cNvContentPartPr/>
          </xdr14:nvContentPartPr>
          <xdr14:nvPr macro=""/>
          <xdr14:xfrm>
            <a:off x="12846960" y="1192320"/>
            <a:ext cx="360" cy="360"/>
          </xdr14:xfrm>
        </xdr:contentPart>
      </mc:Choice>
      <mc:Fallback xmlns="">
        <xdr:pic>
          <xdr:nvPicPr>
            <xdr:cNvPr id="1034" name="Ink 1033">
              <a:extLst>
                <a:ext uri="{FF2B5EF4-FFF2-40B4-BE49-F238E27FC236}">
                  <a16:creationId xmlns:a16="http://schemas.microsoft.com/office/drawing/2014/main" id="{93411701-EF4B-0D42-B2AC-968393D6FE6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5">
          <xdr14:nvContentPartPr>
            <xdr14:cNvPr id="1035" name="Ink 1034">
              <a:extLst>
                <a:ext uri="{FF2B5EF4-FFF2-40B4-BE49-F238E27FC236}">
                  <a16:creationId xmlns:a16="http://schemas.microsoft.com/office/drawing/2014/main" id="{97F739E2-8883-3E46-AC7B-484608B96F6D}"/>
                </a:ext>
              </a:extLst>
            </xdr14:cNvPr>
            <xdr14:cNvContentPartPr/>
          </xdr14:nvContentPartPr>
          <xdr14:nvPr macro=""/>
          <xdr14:xfrm>
            <a:off x="12866040" y="1243440"/>
            <a:ext cx="360" cy="360"/>
          </xdr14:xfrm>
        </xdr:contentPart>
      </mc:Choice>
      <mc:Fallback xmlns="">
        <xdr:pic>
          <xdr:nvPicPr>
            <xdr:cNvPr id="1035" name="Ink 1034">
              <a:extLst>
                <a:ext uri="{FF2B5EF4-FFF2-40B4-BE49-F238E27FC236}">
                  <a16:creationId xmlns:a16="http://schemas.microsoft.com/office/drawing/2014/main" id="{97F739E2-8883-3E46-AC7B-484608B96F6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6">
          <xdr14:nvContentPartPr>
            <xdr14:cNvPr id="1036" name="Ink 1035">
              <a:extLst>
                <a:ext uri="{FF2B5EF4-FFF2-40B4-BE49-F238E27FC236}">
                  <a16:creationId xmlns:a16="http://schemas.microsoft.com/office/drawing/2014/main" id="{ECC42589-323B-5140-B21B-7D30F6A2D48C}"/>
                </a:ext>
              </a:extLst>
            </xdr14:cNvPr>
            <xdr14:cNvContentPartPr/>
          </xdr14:nvContentPartPr>
          <xdr14:nvPr macro=""/>
          <xdr14:xfrm>
            <a:off x="12973680" y="1366560"/>
            <a:ext cx="360" cy="360"/>
          </xdr14:xfrm>
        </xdr:contentPart>
      </mc:Choice>
      <mc:Fallback xmlns="">
        <xdr:pic>
          <xdr:nvPicPr>
            <xdr:cNvPr id="1036" name="Ink 1035">
              <a:extLst>
                <a:ext uri="{FF2B5EF4-FFF2-40B4-BE49-F238E27FC236}">
                  <a16:creationId xmlns:a16="http://schemas.microsoft.com/office/drawing/2014/main" id="{ECC42589-323B-5140-B21B-7D30F6A2D48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159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7">
          <xdr14:nvContentPartPr>
            <xdr14:cNvPr id="1037" name="Ink 1036">
              <a:extLst>
                <a:ext uri="{FF2B5EF4-FFF2-40B4-BE49-F238E27FC236}">
                  <a16:creationId xmlns:a16="http://schemas.microsoft.com/office/drawing/2014/main" id="{DEAA76D1-36F2-AC45-B2B9-B3127536F294}"/>
                </a:ext>
              </a:extLst>
            </xdr14:cNvPr>
            <xdr14:cNvContentPartPr/>
          </xdr14:nvContentPartPr>
          <xdr14:nvPr macro=""/>
          <xdr14:xfrm>
            <a:off x="12846960" y="1192320"/>
            <a:ext cx="360" cy="360"/>
          </xdr14:xfrm>
        </xdr:contentPart>
      </mc:Choice>
      <mc:Fallback xmlns="">
        <xdr:pic>
          <xdr:nvPicPr>
            <xdr:cNvPr id="1037" name="Ink 1036">
              <a:extLst>
                <a:ext uri="{FF2B5EF4-FFF2-40B4-BE49-F238E27FC236}">
                  <a16:creationId xmlns:a16="http://schemas.microsoft.com/office/drawing/2014/main" id="{DEAA76D1-36F2-AC45-B2B9-B3127536F29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159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8">
          <xdr14:nvContentPartPr>
            <xdr14:cNvPr id="1038" name="Ink 1037">
              <a:extLst>
                <a:ext uri="{FF2B5EF4-FFF2-40B4-BE49-F238E27FC236}">
                  <a16:creationId xmlns:a16="http://schemas.microsoft.com/office/drawing/2014/main" id="{05E3D790-1F40-934C-A06D-256810ED2D18}"/>
                </a:ext>
              </a:extLst>
            </xdr14:cNvPr>
            <xdr14:cNvContentPartPr/>
          </xdr14:nvContentPartPr>
          <xdr14:nvPr macro=""/>
          <xdr14:xfrm>
            <a:off x="12866040" y="1243440"/>
            <a:ext cx="360" cy="360"/>
          </xdr14:xfrm>
        </xdr:contentPart>
      </mc:Choice>
      <mc:Fallback xmlns="">
        <xdr:pic>
          <xdr:nvPicPr>
            <xdr:cNvPr id="1038" name="Ink 1037">
              <a:extLst>
                <a:ext uri="{FF2B5EF4-FFF2-40B4-BE49-F238E27FC236}">
                  <a16:creationId xmlns:a16="http://schemas.microsoft.com/office/drawing/2014/main" id="{05E3D790-1F40-934C-A06D-256810ED2D1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159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39">
          <xdr14:nvContentPartPr>
            <xdr14:cNvPr id="1039" name="Ink 1038">
              <a:extLst>
                <a:ext uri="{FF2B5EF4-FFF2-40B4-BE49-F238E27FC236}">
                  <a16:creationId xmlns:a16="http://schemas.microsoft.com/office/drawing/2014/main" id="{7BA55F40-6A4E-D047-AEFF-1E3ACE4F0971}"/>
                </a:ext>
              </a:extLst>
            </xdr14:cNvPr>
            <xdr14:cNvContentPartPr/>
          </xdr14:nvContentPartPr>
          <xdr14:nvPr macro=""/>
          <xdr14:xfrm>
            <a:off x="12973680" y="1366560"/>
            <a:ext cx="360" cy="360"/>
          </xdr14:xfrm>
        </xdr:contentPart>
      </mc:Choice>
      <mc:Fallback xmlns="">
        <xdr:pic>
          <xdr:nvPicPr>
            <xdr:cNvPr id="1039" name="Ink 1038">
              <a:extLst>
                <a:ext uri="{FF2B5EF4-FFF2-40B4-BE49-F238E27FC236}">
                  <a16:creationId xmlns:a16="http://schemas.microsoft.com/office/drawing/2014/main" id="{7BA55F40-6A4E-D047-AEFF-1E3ACE4F097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0">
          <xdr14:nvContentPartPr>
            <xdr14:cNvPr id="1040" name="Ink 1039">
              <a:extLst>
                <a:ext uri="{FF2B5EF4-FFF2-40B4-BE49-F238E27FC236}">
                  <a16:creationId xmlns:a16="http://schemas.microsoft.com/office/drawing/2014/main" id="{E6B2F680-690F-EB4A-A679-B1EED1278955}"/>
                </a:ext>
              </a:extLst>
            </xdr14:cNvPr>
            <xdr14:cNvContentPartPr/>
          </xdr14:nvContentPartPr>
          <xdr14:nvPr macro=""/>
          <xdr14:xfrm>
            <a:off x="12846960" y="1192320"/>
            <a:ext cx="360" cy="360"/>
          </xdr14:xfrm>
        </xdr:contentPart>
      </mc:Choice>
      <mc:Fallback xmlns="">
        <xdr:pic>
          <xdr:nvPicPr>
            <xdr:cNvPr id="1040" name="Ink 1039">
              <a:extLst>
                <a:ext uri="{FF2B5EF4-FFF2-40B4-BE49-F238E27FC236}">
                  <a16:creationId xmlns:a16="http://schemas.microsoft.com/office/drawing/2014/main" id="{E6B2F680-690F-EB4A-A679-B1EED127895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1">
          <xdr14:nvContentPartPr>
            <xdr14:cNvPr id="1041" name="Ink 1040">
              <a:extLst>
                <a:ext uri="{FF2B5EF4-FFF2-40B4-BE49-F238E27FC236}">
                  <a16:creationId xmlns:a16="http://schemas.microsoft.com/office/drawing/2014/main" id="{C9D0D60E-6855-2C4D-8ECC-F9BFAEF28098}"/>
                </a:ext>
              </a:extLst>
            </xdr14:cNvPr>
            <xdr14:cNvContentPartPr/>
          </xdr14:nvContentPartPr>
          <xdr14:nvPr macro=""/>
          <xdr14:xfrm>
            <a:off x="12866040" y="1243440"/>
            <a:ext cx="360" cy="360"/>
          </xdr14:xfrm>
        </xdr:contentPart>
      </mc:Choice>
      <mc:Fallback xmlns="">
        <xdr:pic>
          <xdr:nvPicPr>
            <xdr:cNvPr id="1041" name="Ink 1040">
              <a:extLst>
                <a:ext uri="{FF2B5EF4-FFF2-40B4-BE49-F238E27FC236}">
                  <a16:creationId xmlns:a16="http://schemas.microsoft.com/office/drawing/2014/main" id="{C9D0D60E-6855-2C4D-8ECC-F9BFAEF2809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2">
          <xdr14:nvContentPartPr>
            <xdr14:cNvPr id="1042" name="Ink 1041">
              <a:extLst>
                <a:ext uri="{FF2B5EF4-FFF2-40B4-BE49-F238E27FC236}">
                  <a16:creationId xmlns:a16="http://schemas.microsoft.com/office/drawing/2014/main" id="{0F7AB462-0677-F648-B1BC-7836B73F87E8}"/>
                </a:ext>
              </a:extLst>
            </xdr14:cNvPr>
            <xdr14:cNvContentPartPr/>
          </xdr14:nvContentPartPr>
          <xdr14:nvPr macro=""/>
          <xdr14:xfrm>
            <a:off x="12973680" y="1366560"/>
            <a:ext cx="360" cy="360"/>
          </xdr14:xfrm>
        </xdr:contentPart>
      </mc:Choice>
      <mc:Fallback xmlns="">
        <xdr:pic>
          <xdr:nvPicPr>
            <xdr:cNvPr id="1042" name="Ink 1041">
              <a:extLst>
                <a:ext uri="{FF2B5EF4-FFF2-40B4-BE49-F238E27FC236}">
                  <a16:creationId xmlns:a16="http://schemas.microsoft.com/office/drawing/2014/main" id="{0F7AB462-0677-F648-B1BC-7836B73F87E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3">
          <xdr14:nvContentPartPr>
            <xdr14:cNvPr id="1043" name="Ink 1042">
              <a:extLst>
                <a:ext uri="{FF2B5EF4-FFF2-40B4-BE49-F238E27FC236}">
                  <a16:creationId xmlns:a16="http://schemas.microsoft.com/office/drawing/2014/main" id="{C58B090B-AD0B-8041-A773-35D859CA3AF8}"/>
                </a:ext>
              </a:extLst>
            </xdr14:cNvPr>
            <xdr14:cNvContentPartPr/>
          </xdr14:nvContentPartPr>
          <xdr14:nvPr macro=""/>
          <xdr14:xfrm>
            <a:off x="12846960" y="1192320"/>
            <a:ext cx="360" cy="360"/>
          </xdr14:xfrm>
        </xdr:contentPart>
      </mc:Choice>
      <mc:Fallback xmlns="">
        <xdr:pic>
          <xdr:nvPicPr>
            <xdr:cNvPr id="1043" name="Ink 1042">
              <a:extLst>
                <a:ext uri="{FF2B5EF4-FFF2-40B4-BE49-F238E27FC236}">
                  <a16:creationId xmlns:a16="http://schemas.microsoft.com/office/drawing/2014/main" id="{C58B090B-AD0B-8041-A773-35D859CA3AF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4">
          <xdr14:nvContentPartPr>
            <xdr14:cNvPr id="1044" name="Ink 1043">
              <a:extLst>
                <a:ext uri="{FF2B5EF4-FFF2-40B4-BE49-F238E27FC236}">
                  <a16:creationId xmlns:a16="http://schemas.microsoft.com/office/drawing/2014/main" id="{D138B3E4-46D5-2144-8B91-9B068EF9E44C}"/>
                </a:ext>
              </a:extLst>
            </xdr14:cNvPr>
            <xdr14:cNvContentPartPr/>
          </xdr14:nvContentPartPr>
          <xdr14:nvPr macro=""/>
          <xdr14:xfrm>
            <a:off x="12866040" y="1243440"/>
            <a:ext cx="360" cy="360"/>
          </xdr14:xfrm>
        </xdr:contentPart>
      </mc:Choice>
      <mc:Fallback xmlns="">
        <xdr:pic>
          <xdr:nvPicPr>
            <xdr:cNvPr id="1044" name="Ink 1043">
              <a:extLst>
                <a:ext uri="{FF2B5EF4-FFF2-40B4-BE49-F238E27FC236}">
                  <a16:creationId xmlns:a16="http://schemas.microsoft.com/office/drawing/2014/main" id="{D138B3E4-46D5-2144-8B91-9B068EF9E44C}"/>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5">
          <xdr14:nvContentPartPr>
            <xdr14:cNvPr id="1045" name="Ink 1044">
              <a:extLst>
                <a:ext uri="{FF2B5EF4-FFF2-40B4-BE49-F238E27FC236}">
                  <a16:creationId xmlns:a16="http://schemas.microsoft.com/office/drawing/2014/main" id="{4FF304B2-72AE-F944-AF0B-AEBF00D001EC}"/>
                </a:ext>
              </a:extLst>
            </xdr14:cNvPr>
            <xdr14:cNvContentPartPr/>
          </xdr14:nvContentPartPr>
          <xdr14:nvPr macro=""/>
          <xdr14:xfrm>
            <a:off x="12973680" y="1366560"/>
            <a:ext cx="360" cy="360"/>
          </xdr14:xfrm>
        </xdr:contentPart>
      </mc:Choice>
      <mc:Fallback xmlns="">
        <xdr:pic>
          <xdr:nvPicPr>
            <xdr:cNvPr id="1045" name="Ink 1044">
              <a:extLst>
                <a:ext uri="{FF2B5EF4-FFF2-40B4-BE49-F238E27FC236}">
                  <a16:creationId xmlns:a16="http://schemas.microsoft.com/office/drawing/2014/main" id="{4FF304B2-72AE-F944-AF0B-AEBF00D001E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6">
          <xdr14:nvContentPartPr>
            <xdr14:cNvPr id="1046" name="Ink 1045">
              <a:extLst>
                <a:ext uri="{FF2B5EF4-FFF2-40B4-BE49-F238E27FC236}">
                  <a16:creationId xmlns:a16="http://schemas.microsoft.com/office/drawing/2014/main" id="{855860F2-F239-8A41-943C-61AA96273487}"/>
                </a:ext>
              </a:extLst>
            </xdr14:cNvPr>
            <xdr14:cNvContentPartPr/>
          </xdr14:nvContentPartPr>
          <xdr14:nvPr macro=""/>
          <xdr14:xfrm>
            <a:off x="12846960" y="1192320"/>
            <a:ext cx="360" cy="360"/>
          </xdr14:xfrm>
        </xdr:contentPart>
      </mc:Choice>
      <mc:Fallback xmlns="">
        <xdr:pic>
          <xdr:nvPicPr>
            <xdr:cNvPr id="1046" name="Ink 1045">
              <a:extLst>
                <a:ext uri="{FF2B5EF4-FFF2-40B4-BE49-F238E27FC236}">
                  <a16:creationId xmlns:a16="http://schemas.microsoft.com/office/drawing/2014/main" id="{855860F2-F239-8A41-943C-61AA9627348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7">
          <xdr14:nvContentPartPr>
            <xdr14:cNvPr id="1047" name="Ink 1046">
              <a:extLst>
                <a:ext uri="{FF2B5EF4-FFF2-40B4-BE49-F238E27FC236}">
                  <a16:creationId xmlns:a16="http://schemas.microsoft.com/office/drawing/2014/main" id="{50DB1B13-B771-3349-932E-28A6645D16CA}"/>
                </a:ext>
              </a:extLst>
            </xdr14:cNvPr>
            <xdr14:cNvContentPartPr/>
          </xdr14:nvContentPartPr>
          <xdr14:nvPr macro=""/>
          <xdr14:xfrm>
            <a:off x="12866040" y="1243440"/>
            <a:ext cx="360" cy="360"/>
          </xdr14:xfrm>
        </xdr:contentPart>
      </mc:Choice>
      <mc:Fallback xmlns="">
        <xdr:pic>
          <xdr:nvPicPr>
            <xdr:cNvPr id="1047" name="Ink 1046">
              <a:extLst>
                <a:ext uri="{FF2B5EF4-FFF2-40B4-BE49-F238E27FC236}">
                  <a16:creationId xmlns:a16="http://schemas.microsoft.com/office/drawing/2014/main" id="{50DB1B13-B771-3349-932E-28A6645D16C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8">
          <xdr14:nvContentPartPr>
            <xdr14:cNvPr id="1048" name="Ink 1047">
              <a:extLst>
                <a:ext uri="{FF2B5EF4-FFF2-40B4-BE49-F238E27FC236}">
                  <a16:creationId xmlns:a16="http://schemas.microsoft.com/office/drawing/2014/main" id="{2E713C56-DACA-6C4C-8056-A114EEABE28D}"/>
                </a:ext>
              </a:extLst>
            </xdr14:cNvPr>
            <xdr14:cNvContentPartPr/>
          </xdr14:nvContentPartPr>
          <xdr14:nvPr macro=""/>
          <xdr14:xfrm>
            <a:off x="12973680" y="1366560"/>
            <a:ext cx="360" cy="360"/>
          </xdr14:xfrm>
        </xdr:contentPart>
      </mc:Choice>
      <mc:Fallback xmlns="">
        <xdr:pic>
          <xdr:nvPicPr>
            <xdr:cNvPr id="1048" name="Ink 1047">
              <a:extLst>
                <a:ext uri="{FF2B5EF4-FFF2-40B4-BE49-F238E27FC236}">
                  <a16:creationId xmlns:a16="http://schemas.microsoft.com/office/drawing/2014/main" id="{2E713C56-DACA-6C4C-8056-A114EEABE28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49">
          <xdr14:nvContentPartPr>
            <xdr14:cNvPr id="1049" name="Ink 1048">
              <a:extLst>
                <a:ext uri="{FF2B5EF4-FFF2-40B4-BE49-F238E27FC236}">
                  <a16:creationId xmlns:a16="http://schemas.microsoft.com/office/drawing/2014/main" id="{40CA68D5-0C8A-E440-954B-C390DDA750AB}"/>
                </a:ext>
              </a:extLst>
            </xdr14:cNvPr>
            <xdr14:cNvContentPartPr/>
          </xdr14:nvContentPartPr>
          <xdr14:nvPr macro=""/>
          <xdr14:xfrm>
            <a:off x="12846960" y="1192320"/>
            <a:ext cx="360" cy="360"/>
          </xdr14:xfrm>
        </xdr:contentPart>
      </mc:Choice>
      <mc:Fallback xmlns="">
        <xdr:pic>
          <xdr:nvPicPr>
            <xdr:cNvPr id="1049" name="Ink 1048">
              <a:extLst>
                <a:ext uri="{FF2B5EF4-FFF2-40B4-BE49-F238E27FC236}">
                  <a16:creationId xmlns:a16="http://schemas.microsoft.com/office/drawing/2014/main" id="{40CA68D5-0C8A-E440-954B-C390DDA750A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0">
          <xdr14:nvContentPartPr>
            <xdr14:cNvPr id="1050" name="Ink 1049">
              <a:extLst>
                <a:ext uri="{FF2B5EF4-FFF2-40B4-BE49-F238E27FC236}">
                  <a16:creationId xmlns:a16="http://schemas.microsoft.com/office/drawing/2014/main" id="{86E986E2-9B6F-A745-B199-45A1C9256ECF}"/>
                </a:ext>
              </a:extLst>
            </xdr14:cNvPr>
            <xdr14:cNvContentPartPr/>
          </xdr14:nvContentPartPr>
          <xdr14:nvPr macro=""/>
          <xdr14:xfrm>
            <a:off x="12866040" y="1243440"/>
            <a:ext cx="360" cy="360"/>
          </xdr14:xfrm>
        </xdr:contentPart>
      </mc:Choice>
      <mc:Fallback xmlns="">
        <xdr:pic>
          <xdr:nvPicPr>
            <xdr:cNvPr id="1050" name="Ink 1049">
              <a:extLst>
                <a:ext uri="{FF2B5EF4-FFF2-40B4-BE49-F238E27FC236}">
                  <a16:creationId xmlns:a16="http://schemas.microsoft.com/office/drawing/2014/main" id="{86E986E2-9B6F-A745-B199-45A1C9256EC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1">
          <xdr14:nvContentPartPr>
            <xdr14:cNvPr id="1051" name="Ink 1050">
              <a:extLst>
                <a:ext uri="{FF2B5EF4-FFF2-40B4-BE49-F238E27FC236}">
                  <a16:creationId xmlns:a16="http://schemas.microsoft.com/office/drawing/2014/main" id="{9D705CC2-62EC-0147-AF4F-2D9C370E90B4}"/>
                </a:ext>
              </a:extLst>
            </xdr14:cNvPr>
            <xdr14:cNvContentPartPr/>
          </xdr14:nvContentPartPr>
          <xdr14:nvPr macro=""/>
          <xdr14:xfrm>
            <a:off x="12973680" y="1366560"/>
            <a:ext cx="360" cy="360"/>
          </xdr14:xfrm>
        </xdr:contentPart>
      </mc:Choice>
      <mc:Fallback xmlns="">
        <xdr:pic>
          <xdr:nvPicPr>
            <xdr:cNvPr id="1051" name="Ink 1050">
              <a:extLst>
                <a:ext uri="{FF2B5EF4-FFF2-40B4-BE49-F238E27FC236}">
                  <a16:creationId xmlns:a16="http://schemas.microsoft.com/office/drawing/2014/main" id="{9D705CC2-62EC-0147-AF4F-2D9C370E90B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2">
          <xdr14:nvContentPartPr>
            <xdr14:cNvPr id="1052" name="Ink 1051">
              <a:extLst>
                <a:ext uri="{FF2B5EF4-FFF2-40B4-BE49-F238E27FC236}">
                  <a16:creationId xmlns:a16="http://schemas.microsoft.com/office/drawing/2014/main" id="{4FA8EA88-04D3-6D4F-9317-ECFE44C2BC57}"/>
                </a:ext>
              </a:extLst>
            </xdr14:cNvPr>
            <xdr14:cNvContentPartPr/>
          </xdr14:nvContentPartPr>
          <xdr14:nvPr macro=""/>
          <xdr14:xfrm>
            <a:off x="12846960" y="1192320"/>
            <a:ext cx="360" cy="360"/>
          </xdr14:xfrm>
        </xdr:contentPart>
      </mc:Choice>
      <mc:Fallback xmlns="">
        <xdr:pic>
          <xdr:nvPicPr>
            <xdr:cNvPr id="1052" name="Ink 1051">
              <a:extLst>
                <a:ext uri="{FF2B5EF4-FFF2-40B4-BE49-F238E27FC236}">
                  <a16:creationId xmlns:a16="http://schemas.microsoft.com/office/drawing/2014/main" id="{4FA8EA88-04D3-6D4F-9317-ECFE44C2BC5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3">
          <xdr14:nvContentPartPr>
            <xdr14:cNvPr id="1053" name="Ink 1052">
              <a:extLst>
                <a:ext uri="{FF2B5EF4-FFF2-40B4-BE49-F238E27FC236}">
                  <a16:creationId xmlns:a16="http://schemas.microsoft.com/office/drawing/2014/main" id="{D64E7C52-03F5-C642-B225-1CA0B13DFA50}"/>
                </a:ext>
              </a:extLst>
            </xdr14:cNvPr>
            <xdr14:cNvContentPartPr/>
          </xdr14:nvContentPartPr>
          <xdr14:nvPr macro=""/>
          <xdr14:xfrm>
            <a:off x="12866040" y="1243440"/>
            <a:ext cx="360" cy="360"/>
          </xdr14:xfrm>
        </xdr:contentPart>
      </mc:Choice>
      <mc:Fallback xmlns="">
        <xdr:pic>
          <xdr:nvPicPr>
            <xdr:cNvPr id="1053" name="Ink 1052">
              <a:extLst>
                <a:ext uri="{FF2B5EF4-FFF2-40B4-BE49-F238E27FC236}">
                  <a16:creationId xmlns:a16="http://schemas.microsoft.com/office/drawing/2014/main" id="{D64E7C52-03F5-C642-B225-1CA0B13DFA5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4">
          <xdr14:nvContentPartPr>
            <xdr14:cNvPr id="1054" name="Ink 1053">
              <a:extLst>
                <a:ext uri="{FF2B5EF4-FFF2-40B4-BE49-F238E27FC236}">
                  <a16:creationId xmlns:a16="http://schemas.microsoft.com/office/drawing/2014/main" id="{159A147E-1497-C945-8319-12A53BE53FCC}"/>
                </a:ext>
              </a:extLst>
            </xdr14:cNvPr>
            <xdr14:cNvContentPartPr/>
          </xdr14:nvContentPartPr>
          <xdr14:nvPr macro=""/>
          <xdr14:xfrm>
            <a:off x="12973680" y="1366560"/>
            <a:ext cx="360" cy="360"/>
          </xdr14:xfrm>
        </xdr:contentPart>
      </mc:Choice>
      <mc:Fallback xmlns="">
        <xdr:pic>
          <xdr:nvPicPr>
            <xdr:cNvPr id="1054" name="Ink 1053">
              <a:extLst>
                <a:ext uri="{FF2B5EF4-FFF2-40B4-BE49-F238E27FC236}">
                  <a16:creationId xmlns:a16="http://schemas.microsoft.com/office/drawing/2014/main" id="{159A147E-1497-C945-8319-12A53BE53FC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5">
          <xdr14:nvContentPartPr>
            <xdr14:cNvPr id="1055" name="Ink 1054">
              <a:extLst>
                <a:ext uri="{FF2B5EF4-FFF2-40B4-BE49-F238E27FC236}">
                  <a16:creationId xmlns:a16="http://schemas.microsoft.com/office/drawing/2014/main" id="{8EA1E9FD-85F9-F843-BE62-56181C3BB3D2}"/>
                </a:ext>
              </a:extLst>
            </xdr14:cNvPr>
            <xdr14:cNvContentPartPr/>
          </xdr14:nvContentPartPr>
          <xdr14:nvPr macro=""/>
          <xdr14:xfrm>
            <a:off x="12846960" y="1192320"/>
            <a:ext cx="360" cy="360"/>
          </xdr14:xfrm>
        </xdr:contentPart>
      </mc:Choice>
      <mc:Fallback xmlns="">
        <xdr:pic>
          <xdr:nvPicPr>
            <xdr:cNvPr id="1055" name="Ink 1054">
              <a:extLst>
                <a:ext uri="{FF2B5EF4-FFF2-40B4-BE49-F238E27FC236}">
                  <a16:creationId xmlns:a16="http://schemas.microsoft.com/office/drawing/2014/main" id="{8EA1E9FD-85F9-F843-BE62-56181C3BB3D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6">
          <xdr14:nvContentPartPr>
            <xdr14:cNvPr id="1056" name="Ink 1055">
              <a:extLst>
                <a:ext uri="{FF2B5EF4-FFF2-40B4-BE49-F238E27FC236}">
                  <a16:creationId xmlns:a16="http://schemas.microsoft.com/office/drawing/2014/main" id="{4A33E094-4813-1A4D-90E4-88F846F980BB}"/>
                </a:ext>
              </a:extLst>
            </xdr14:cNvPr>
            <xdr14:cNvContentPartPr/>
          </xdr14:nvContentPartPr>
          <xdr14:nvPr macro=""/>
          <xdr14:xfrm>
            <a:off x="12866040" y="1243440"/>
            <a:ext cx="360" cy="360"/>
          </xdr14:xfrm>
        </xdr:contentPart>
      </mc:Choice>
      <mc:Fallback xmlns="">
        <xdr:pic>
          <xdr:nvPicPr>
            <xdr:cNvPr id="1056" name="Ink 1055">
              <a:extLst>
                <a:ext uri="{FF2B5EF4-FFF2-40B4-BE49-F238E27FC236}">
                  <a16:creationId xmlns:a16="http://schemas.microsoft.com/office/drawing/2014/main" id="{4A33E094-4813-1A4D-90E4-88F846F980B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7">
          <xdr14:nvContentPartPr>
            <xdr14:cNvPr id="1057" name="Ink 1056">
              <a:extLst>
                <a:ext uri="{FF2B5EF4-FFF2-40B4-BE49-F238E27FC236}">
                  <a16:creationId xmlns:a16="http://schemas.microsoft.com/office/drawing/2014/main" id="{B1C30078-8593-CA4A-B8F1-D228A1D5A5B7}"/>
                </a:ext>
              </a:extLst>
            </xdr14:cNvPr>
            <xdr14:cNvContentPartPr/>
          </xdr14:nvContentPartPr>
          <xdr14:nvPr macro=""/>
          <xdr14:xfrm>
            <a:off x="12973680" y="1366560"/>
            <a:ext cx="360" cy="360"/>
          </xdr14:xfrm>
        </xdr:contentPart>
      </mc:Choice>
      <mc:Fallback xmlns="">
        <xdr:pic>
          <xdr:nvPicPr>
            <xdr:cNvPr id="1057" name="Ink 1056">
              <a:extLst>
                <a:ext uri="{FF2B5EF4-FFF2-40B4-BE49-F238E27FC236}">
                  <a16:creationId xmlns:a16="http://schemas.microsoft.com/office/drawing/2014/main" id="{B1C30078-8593-CA4A-B8F1-D228A1D5A5B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8">
          <xdr14:nvContentPartPr>
            <xdr14:cNvPr id="1058" name="Ink 1057">
              <a:extLst>
                <a:ext uri="{FF2B5EF4-FFF2-40B4-BE49-F238E27FC236}">
                  <a16:creationId xmlns:a16="http://schemas.microsoft.com/office/drawing/2014/main" id="{F8FB444E-8083-954E-9958-1390C733D02F}"/>
                </a:ext>
              </a:extLst>
            </xdr14:cNvPr>
            <xdr14:cNvContentPartPr/>
          </xdr14:nvContentPartPr>
          <xdr14:nvPr macro=""/>
          <xdr14:xfrm>
            <a:off x="12846960" y="1192320"/>
            <a:ext cx="360" cy="360"/>
          </xdr14:xfrm>
        </xdr:contentPart>
      </mc:Choice>
      <mc:Fallback xmlns="">
        <xdr:pic>
          <xdr:nvPicPr>
            <xdr:cNvPr id="1058" name="Ink 1057">
              <a:extLst>
                <a:ext uri="{FF2B5EF4-FFF2-40B4-BE49-F238E27FC236}">
                  <a16:creationId xmlns:a16="http://schemas.microsoft.com/office/drawing/2014/main" id="{F8FB444E-8083-954E-9958-1390C733D02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59">
          <xdr14:nvContentPartPr>
            <xdr14:cNvPr id="1059" name="Ink 1058">
              <a:extLst>
                <a:ext uri="{FF2B5EF4-FFF2-40B4-BE49-F238E27FC236}">
                  <a16:creationId xmlns:a16="http://schemas.microsoft.com/office/drawing/2014/main" id="{7E75EA66-F445-5B4F-9105-A5100DA056D0}"/>
                </a:ext>
              </a:extLst>
            </xdr14:cNvPr>
            <xdr14:cNvContentPartPr/>
          </xdr14:nvContentPartPr>
          <xdr14:nvPr macro=""/>
          <xdr14:xfrm>
            <a:off x="12866040" y="1243440"/>
            <a:ext cx="360" cy="360"/>
          </xdr14:xfrm>
        </xdr:contentPart>
      </mc:Choice>
      <mc:Fallback xmlns="">
        <xdr:pic>
          <xdr:nvPicPr>
            <xdr:cNvPr id="1059" name="Ink 1058">
              <a:extLst>
                <a:ext uri="{FF2B5EF4-FFF2-40B4-BE49-F238E27FC236}">
                  <a16:creationId xmlns:a16="http://schemas.microsoft.com/office/drawing/2014/main" id="{7E75EA66-F445-5B4F-9105-A5100DA056D0}"/>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0">
          <xdr14:nvContentPartPr>
            <xdr14:cNvPr id="1060" name="Ink 1059">
              <a:extLst>
                <a:ext uri="{FF2B5EF4-FFF2-40B4-BE49-F238E27FC236}">
                  <a16:creationId xmlns:a16="http://schemas.microsoft.com/office/drawing/2014/main" id="{0DCD151C-52DB-D845-9B4E-23743E6A7163}"/>
                </a:ext>
              </a:extLst>
            </xdr14:cNvPr>
            <xdr14:cNvContentPartPr/>
          </xdr14:nvContentPartPr>
          <xdr14:nvPr macro=""/>
          <xdr14:xfrm>
            <a:off x="12973680" y="1366560"/>
            <a:ext cx="360" cy="360"/>
          </xdr14:xfrm>
        </xdr:contentPart>
      </mc:Choice>
      <mc:Fallback xmlns="">
        <xdr:pic>
          <xdr:nvPicPr>
            <xdr:cNvPr id="1060" name="Ink 1059">
              <a:extLst>
                <a:ext uri="{FF2B5EF4-FFF2-40B4-BE49-F238E27FC236}">
                  <a16:creationId xmlns:a16="http://schemas.microsoft.com/office/drawing/2014/main" id="{0DCD151C-52DB-D845-9B4E-23743E6A7163}"/>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1">
          <xdr14:nvContentPartPr>
            <xdr14:cNvPr id="1061" name="Ink 1060">
              <a:extLst>
                <a:ext uri="{FF2B5EF4-FFF2-40B4-BE49-F238E27FC236}">
                  <a16:creationId xmlns:a16="http://schemas.microsoft.com/office/drawing/2014/main" id="{29431481-57FD-D64B-84FE-D96D5D034401}"/>
                </a:ext>
              </a:extLst>
            </xdr14:cNvPr>
            <xdr14:cNvContentPartPr/>
          </xdr14:nvContentPartPr>
          <xdr14:nvPr macro=""/>
          <xdr14:xfrm>
            <a:off x="12846960" y="1192320"/>
            <a:ext cx="360" cy="360"/>
          </xdr14:xfrm>
        </xdr:contentPart>
      </mc:Choice>
      <mc:Fallback xmlns="">
        <xdr:pic>
          <xdr:nvPicPr>
            <xdr:cNvPr id="1061" name="Ink 1060">
              <a:extLst>
                <a:ext uri="{FF2B5EF4-FFF2-40B4-BE49-F238E27FC236}">
                  <a16:creationId xmlns:a16="http://schemas.microsoft.com/office/drawing/2014/main" id="{29431481-57FD-D64B-84FE-D96D5D03440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2">
          <xdr14:nvContentPartPr>
            <xdr14:cNvPr id="1062" name="Ink 1061">
              <a:extLst>
                <a:ext uri="{FF2B5EF4-FFF2-40B4-BE49-F238E27FC236}">
                  <a16:creationId xmlns:a16="http://schemas.microsoft.com/office/drawing/2014/main" id="{0D8D9095-5E1A-A64E-B45E-A4618E7893FE}"/>
                </a:ext>
              </a:extLst>
            </xdr14:cNvPr>
            <xdr14:cNvContentPartPr/>
          </xdr14:nvContentPartPr>
          <xdr14:nvPr macro=""/>
          <xdr14:xfrm>
            <a:off x="12866040" y="1243440"/>
            <a:ext cx="360" cy="360"/>
          </xdr14:xfrm>
        </xdr:contentPart>
      </mc:Choice>
      <mc:Fallback xmlns="">
        <xdr:pic>
          <xdr:nvPicPr>
            <xdr:cNvPr id="1062" name="Ink 1061">
              <a:extLst>
                <a:ext uri="{FF2B5EF4-FFF2-40B4-BE49-F238E27FC236}">
                  <a16:creationId xmlns:a16="http://schemas.microsoft.com/office/drawing/2014/main" id="{0D8D9095-5E1A-A64E-B45E-A4618E7893F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3">
          <xdr14:nvContentPartPr>
            <xdr14:cNvPr id="1063" name="Ink 1062">
              <a:extLst>
                <a:ext uri="{FF2B5EF4-FFF2-40B4-BE49-F238E27FC236}">
                  <a16:creationId xmlns:a16="http://schemas.microsoft.com/office/drawing/2014/main" id="{1C78231E-5AE6-CF48-85A1-D00904035685}"/>
                </a:ext>
              </a:extLst>
            </xdr14:cNvPr>
            <xdr14:cNvContentPartPr/>
          </xdr14:nvContentPartPr>
          <xdr14:nvPr macro=""/>
          <xdr14:xfrm>
            <a:off x="12973680" y="1366560"/>
            <a:ext cx="360" cy="360"/>
          </xdr14:xfrm>
        </xdr:contentPart>
      </mc:Choice>
      <mc:Fallback xmlns="">
        <xdr:pic>
          <xdr:nvPicPr>
            <xdr:cNvPr id="1063" name="Ink 1062">
              <a:extLst>
                <a:ext uri="{FF2B5EF4-FFF2-40B4-BE49-F238E27FC236}">
                  <a16:creationId xmlns:a16="http://schemas.microsoft.com/office/drawing/2014/main" id="{1C78231E-5AE6-CF48-85A1-D00904035685}"/>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4">
          <xdr14:nvContentPartPr>
            <xdr14:cNvPr id="1064" name="Ink 1063">
              <a:extLst>
                <a:ext uri="{FF2B5EF4-FFF2-40B4-BE49-F238E27FC236}">
                  <a16:creationId xmlns:a16="http://schemas.microsoft.com/office/drawing/2014/main" id="{D74AFC94-3B65-0A4E-94A5-B8F9D61EE2CB}"/>
                </a:ext>
              </a:extLst>
            </xdr14:cNvPr>
            <xdr14:cNvContentPartPr/>
          </xdr14:nvContentPartPr>
          <xdr14:nvPr macro=""/>
          <xdr14:xfrm>
            <a:off x="12846960" y="1192320"/>
            <a:ext cx="360" cy="360"/>
          </xdr14:xfrm>
        </xdr:contentPart>
      </mc:Choice>
      <mc:Fallback xmlns="">
        <xdr:pic>
          <xdr:nvPicPr>
            <xdr:cNvPr id="1064" name="Ink 1063">
              <a:extLst>
                <a:ext uri="{FF2B5EF4-FFF2-40B4-BE49-F238E27FC236}">
                  <a16:creationId xmlns:a16="http://schemas.microsoft.com/office/drawing/2014/main" id="{D74AFC94-3B65-0A4E-94A5-B8F9D61EE2C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5">
          <xdr14:nvContentPartPr>
            <xdr14:cNvPr id="1065" name="Ink 1064">
              <a:extLst>
                <a:ext uri="{FF2B5EF4-FFF2-40B4-BE49-F238E27FC236}">
                  <a16:creationId xmlns:a16="http://schemas.microsoft.com/office/drawing/2014/main" id="{1164B863-6A08-4646-8A3D-C5BC8634EBD5}"/>
                </a:ext>
              </a:extLst>
            </xdr14:cNvPr>
            <xdr14:cNvContentPartPr/>
          </xdr14:nvContentPartPr>
          <xdr14:nvPr macro=""/>
          <xdr14:xfrm>
            <a:off x="12866040" y="1243440"/>
            <a:ext cx="360" cy="360"/>
          </xdr14:xfrm>
        </xdr:contentPart>
      </mc:Choice>
      <mc:Fallback xmlns="">
        <xdr:pic>
          <xdr:nvPicPr>
            <xdr:cNvPr id="1065" name="Ink 1064">
              <a:extLst>
                <a:ext uri="{FF2B5EF4-FFF2-40B4-BE49-F238E27FC236}">
                  <a16:creationId xmlns:a16="http://schemas.microsoft.com/office/drawing/2014/main" id="{1164B863-6A08-4646-8A3D-C5BC8634EBD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6">
          <xdr14:nvContentPartPr>
            <xdr14:cNvPr id="1066" name="Ink 1065">
              <a:extLst>
                <a:ext uri="{FF2B5EF4-FFF2-40B4-BE49-F238E27FC236}">
                  <a16:creationId xmlns:a16="http://schemas.microsoft.com/office/drawing/2014/main" id="{203F8615-DC4A-3F4F-B87B-688D6616BD28}"/>
                </a:ext>
              </a:extLst>
            </xdr14:cNvPr>
            <xdr14:cNvContentPartPr/>
          </xdr14:nvContentPartPr>
          <xdr14:nvPr macro=""/>
          <xdr14:xfrm>
            <a:off x="12973680" y="1366560"/>
            <a:ext cx="360" cy="360"/>
          </xdr14:xfrm>
        </xdr:contentPart>
      </mc:Choice>
      <mc:Fallback xmlns="">
        <xdr:pic>
          <xdr:nvPicPr>
            <xdr:cNvPr id="1066" name="Ink 1065">
              <a:extLst>
                <a:ext uri="{FF2B5EF4-FFF2-40B4-BE49-F238E27FC236}">
                  <a16:creationId xmlns:a16="http://schemas.microsoft.com/office/drawing/2014/main" id="{203F8615-DC4A-3F4F-B87B-688D6616BD28}"/>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169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7">
          <xdr14:nvContentPartPr>
            <xdr14:cNvPr id="1067" name="Ink 1066">
              <a:extLst>
                <a:ext uri="{FF2B5EF4-FFF2-40B4-BE49-F238E27FC236}">
                  <a16:creationId xmlns:a16="http://schemas.microsoft.com/office/drawing/2014/main" id="{49B1C9F1-ED2B-8448-A6DD-BDE97DD40C26}"/>
                </a:ext>
              </a:extLst>
            </xdr14:cNvPr>
            <xdr14:cNvContentPartPr/>
          </xdr14:nvContentPartPr>
          <xdr14:nvPr macro=""/>
          <xdr14:xfrm>
            <a:off x="12846960" y="1192320"/>
            <a:ext cx="360" cy="360"/>
          </xdr14:xfrm>
        </xdr:contentPart>
      </mc:Choice>
      <mc:Fallback xmlns="">
        <xdr:pic>
          <xdr:nvPicPr>
            <xdr:cNvPr id="1067" name="Ink 1066">
              <a:extLst>
                <a:ext uri="{FF2B5EF4-FFF2-40B4-BE49-F238E27FC236}">
                  <a16:creationId xmlns:a16="http://schemas.microsoft.com/office/drawing/2014/main" id="{49B1C9F1-ED2B-8448-A6DD-BDE97DD40C2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169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8">
          <xdr14:nvContentPartPr>
            <xdr14:cNvPr id="1068" name="Ink 1067">
              <a:extLst>
                <a:ext uri="{FF2B5EF4-FFF2-40B4-BE49-F238E27FC236}">
                  <a16:creationId xmlns:a16="http://schemas.microsoft.com/office/drawing/2014/main" id="{291632B9-389B-5741-819B-400CF3200143}"/>
                </a:ext>
              </a:extLst>
            </xdr14:cNvPr>
            <xdr14:cNvContentPartPr/>
          </xdr14:nvContentPartPr>
          <xdr14:nvPr macro=""/>
          <xdr14:xfrm>
            <a:off x="12866040" y="1243440"/>
            <a:ext cx="360" cy="360"/>
          </xdr14:xfrm>
        </xdr:contentPart>
      </mc:Choice>
      <mc:Fallback xmlns="">
        <xdr:pic>
          <xdr:nvPicPr>
            <xdr:cNvPr id="1068" name="Ink 1067">
              <a:extLst>
                <a:ext uri="{FF2B5EF4-FFF2-40B4-BE49-F238E27FC236}">
                  <a16:creationId xmlns:a16="http://schemas.microsoft.com/office/drawing/2014/main" id="{291632B9-389B-5741-819B-400CF320014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169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69">
          <xdr14:nvContentPartPr>
            <xdr14:cNvPr id="1069" name="Ink 1068">
              <a:extLst>
                <a:ext uri="{FF2B5EF4-FFF2-40B4-BE49-F238E27FC236}">
                  <a16:creationId xmlns:a16="http://schemas.microsoft.com/office/drawing/2014/main" id="{6A72D840-98F3-8143-B878-0A6AC399AA31}"/>
                </a:ext>
              </a:extLst>
            </xdr14:cNvPr>
            <xdr14:cNvContentPartPr/>
          </xdr14:nvContentPartPr>
          <xdr14:nvPr macro=""/>
          <xdr14:xfrm>
            <a:off x="12973680" y="1366560"/>
            <a:ext cx="360" cy="360"/>
          </xdr14:xfrm>
        </xdr:contentPart>
      </mc:Choice>
      <mc:Fallback xmlns="">
        <xdr:pic>
          <xdr:nvPicPr>
            <xdr:cNvPr id="1069" name="Ink 1068">
              <a:extLst>
                <a:ext uri="{FF2B5EF4-FFF2-40B4-BE49-F238E27FC236}">
                  <a16:creationId xmlns:a16="http://schemas.microsoft.com/office/drawing/2014/main" id="{6A72D840-98F3-8143-B878-0A6AC399AA31}"/>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0">
          <xdr14:nvContentPartPr>
            <xdr14:cNvPr id="1070" name="Ink 1069">
              <a:extLst>
                <a:ext uri="{FF2B5EF4-FFF2-40B4-BE49-F238E27FC236}">
                  <a16:creationId xmlns:a16="http://schemas.microsoft.com/office/drawing/2014/main" id="{13E0F2A5-B165-4346-824F-1019CC4C2711}"/>
                </a:ext>
              </a:extLst>
            </xdr14:cNvPr>
            <xdr14:cNvContentPartPr/>
          </xdr14:nvContentPartPr>
          <xdr14:nvPr macro=""/>
          <xdr14:xfrm>
            <a:off x="12846960" y="1192320"/>
            <a:ext cx="360" cy="360"/>
          </xdr14:xfrm>
        </xdr:contentPart>
      </mc:Choice>
      <mc:Fallback xmlns="">
        <xdr:pic>
          <xdr:nvPicPr>
            <xdr:cNvPr id="1070" name="Ink 1069">
              <a:extLst>
                <a:ext uri="{FF2B5EF4-FFF2-40B4-BE49-F238E27FC236}">
                  <a16:creationId xmlns:a16="http://schemas.microsoft.com/office/drawing/2014/main" id="{13E0F2A5-B165-4346-824F-1019CC4C271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1">
          <xdr14:nvContentPartPr>
            <xdr14:cNvPr id="1071" name="Ink 1070">
              <a:extLst>
                <a:ext uri="{FF2B5EF4-FFF2-40B4-BE49-F238E27FC236}">
                  <a16:creationId xmlns:a16="http://schemas.microsoft.com/office/drawing/2014/main" id="{83ED1F96-F5C0-CB40-86CD-76BD978FB525}"/>
                </a:ext>
              </a:extLst>
            </xdr14:cNvPr>
            <xdr14:cNvContentPartPr/>
          </xdr14:nvContentPartPr>
          <xdr14:nvPr macro=""/>
          <xdr14:xfrm>
            <a:off x="12866040" y="1243440"/>
            <a:ext cx="360" cy="360"/>
          </xdr14:xfrm>
        </xdr:contentPart>
      </mc:Choice>
      <mc:Fallback xmlns="">
        <xdr:pic>
          <xdr:nvPicPr>
            <xdr:cNvPr id="1071" name="Ink 1070">
              <a:extLst>
                <a:ext uri="{FF2B5EF4-FFF2-40B4-BE49-F238E27FC236}">
                  <a16:creationId xmlns:a16="http://schemas.microsoft.com/office/drawing/2014/main" id="{83ED1F96-F5C0-CB40-86CD-76BD978FB525}"/>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2">
          <xdr14:nvContentPartPr>
            <xdr14:cNvPr id="1072" name="Ink 1071">
              <a:extLst>
                <a:ext uri="{FF2B5EF4-FFF2-40B4-BE49-F238E27FC236}">
                  <a16:creationId xmlns:a16="http://schemas.microsoft.com/office/drawing/2014/main" id="{8E2C7F5B-4600-8645-B758-8804272BEBB0}"/>
                </a:ext>
              </a:extLst>
            </xdr14:cNvPr>
            <xdr14:cNvContentPartPr/>
          </xdr14:nvContentPartPr>
          <xdr14:nvPr macro=""/>
          <xdr14:xfrm>
            <a:off x="12973680" y="1366560"/>
            <a:ext cx="360" cy="360"/>
          </xdr14:xfrm>
        </xdr:contentPart>
      </mc:Choice>
      <mc:Fallback xmlns="">
        <xdr:pic>
          <xdr:nvPicPr>
            <xdr:cNvPr id="1072" name="Ink 1071">
              <a:extLst>
                <a:ext uri="{FF2B5EF4-FFF2-40B4-BE49-F238E27FC236}">
                  <a16:creationId xmlns:a16="http://schemas.microsoft.com/office/drawing/2014/main" id="{8E2C7F5B-4600-8645-B758-8804272BEBB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3">
          <xdr14:nvContentPartPr>
            <xdr14:cNvPr id="1073" name="Ink 1072">
              <a:extLst>
                <a:ext uri="{FF2B5EF4-FFF2-40B4-BE49-F238E27FC236}">
                  <a16:creationId xmlns:a16="http://schemas.microsoft.com/office/drawing/2014/main" id="{FFA64262-D8F8-DA4F-B2DC-7875B5161194}"/>
                </a:ext>
              </a:extLst>
            </xdr14:cNvPr>
            <xdr14:cNvContentPartPr/>
          </xdr14:nvContentPartPr>
          <xdr14:nvPr macro=""/>
          <xdr14:xfrm>
            <a:off x="12846960" y="1192320"/>
            <a:ext cx="360" cy="360"/>
          </xdr14:xfrm>
        </xdr:contentPart>
      </mc:Choice>
      <mc:Fallback xmlns="">
        <xdr:pic>
          <xdr:nvPicPr>
            <xdr:cNvPr id="1073" name="Ink 1072">
              <a:extLst>
                <a:ext uri="{FF2B5EF4-FFF2-40B4-BE49-F238E27FC236}">
                  <a16:creationId xmlns:a16="http://schemas.microsoft.com/office/drawing/2014/main" id="{FFA64262-D8F8-DA4F-B2DC-7875B5161194}"/>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4">
          <xdr14:nvContentPartPr>
            <xdr14:cNvPr id="1074" name="Ink 1073">
              <a:extLst>
                <a:ext uri="{FF2B5EF4-FFF2-40B4-BE49-F238E27FC236}">
                  <a16:creationId xmlns:a16="http://schemas.microsoft.com/office/drawing/2014/main" id="{A2F26957-F27F-EA48-852F-C0B3AC9EFFEB}"/>
                </a:ext>
              </a:extLst>
            </xdr14:cNvPr>
            <xdr14:cNvContentPartPr/>
          </xdr14:nvContentPartPr>
          <xdr14:nvPr macro=""/>
          <xdr14:xfrm>
            <a:off x="12866040" y="1243440"/>
            <a:ext cx="360" cy="360"/>
          </xdr14:xfrm>
        </xdr:contentPart>
      </mc:Choice>
      <mc:Fallback xmlns="">
        <xdr:pic>
          <xdr:nvPicPr>
            <xdr:cNvPr id="1074" name="Ink 1073">
              <a:extLst>
                <a:ext uri="{FF2B5EF4-FFF2-40B4-BE49-F238E27FC236}">
                  <a16:creationId xmlns:a16="http://schemas.microsoft.com/office/drawing/2014/main" id="{A2F26957-F27F-EA48-852F-C0B3AC9EFFEB}"/>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5">
          <xdr14:nvContentPartPr>
            <xdr14:cNvPr id="1075" name="Ink 1074">
              <a:extLst>
                <a:ext uri="{FF2B5EF4-FFF2-40B4-BE49-F238E27FC236}">
                  <a16:creationId xmlns:a16="http://schemas.microsoft.com/office/drawing/2014/main" id="{EF44AC81-1FED-7742-9484-5F28D02C5F8A}"/>
                </a:ext>
              </a:extLst>
            </xdr14:cNvPr>
            <xdr14:cNvContentPartPr/>
          </xdr14:nvContentPartPr>
          <xdr14:nvPr macro=""/>
          <xdr14:xfrm>
            <a:off x="12973680" y="1366560"/>
            <a:ext cx="360" cy="360"/>
          </xdr14:xfrm>
        </xdr:contentPart>
      </mc:Choice>
      <mc:Fallback xmlns="">
        <xdr:pic>
          <xdr:nvPicPr>
            <xdr:cNvPr id="1075" name="Ink 1074">
              <a:extLst>
                <a:ext uri="{FF2B5EF4-FFF2-40B4-BE49-F238E27FC236}">
                  <a16:creationId xmlns:a16="http://schemas.microsoft.com/office/drawing/2014/main" id="{EF44AC81-1FED-7742-9484-5F28D02C5F8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6">
          <xdr14:nvContentPartPr>
            <xdr14:cNvPr id="1076" name="Ink 1075">
              <a:extLst>
                <a:ext uri="{FF2B5EF4-FFF2-40B4-BE49-F238E27FC236}">
                  <a16:creationId xmlns:a16="http://schemas.microsoft.com/office/drawing/2014/main" id="{04855DC0-CAD9-8244-B8F1-66151B1C452D}"/>
                </a:ext>
              </a:extLst>
            </xdr14:cNvPr>
            <xdr14:cNvContentPartPr/>
          </xdr14:nvContentPartPr>
          <xdr14:nvPr macro=""/>
          <xdr14:xfrm>
            <a:off x="12846960" y="1192320"/>
            <a:ext cx="360" cy="360"/>
          </xdr14:xfrm>
        </xdr:contentPart>
      </mc:Choice>
      <mc:Fallback xmlns="">
        <xdr:pic>
          <xdr:nvPicPr>
            <xdr:cNvPr id="1076" name="Ink 1075">
              <a:extLst>
                <a:ext uri="{FF2B5EF4-FFF2-40B4-BE49-F238E27FC236}">
                  <a16:creationId xmlns:a16="http://schemas.microsoft.com/office/drawing/2014/main" id="{04855DC0-CAD9-8244-B8F1-66151B1C452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7">
          <xdr14:nvContentPartPr>
            <xdr14:cNvPr id="1077" name="Ink 1076">
              <a:extLst>
                <a:ext uri="{FF2B5EF4-FFF2-40B4-BE49-F238E27FC236}">
                  <a16:creationId xmlns:a16="http://schemas.microsoft.com/office/drawing/2014/main" id="{1032CF20-812E-E642-8562-3C90039D7A18}"/>
                </a:ext>
              </a:extLst>
            </xdr14:cNvPr>
            <xdr14:cNvContentPartPr/>
          </xdr14:nvContentPartPr>
          <xdr14:nvPr macro=""/>
          <xdr14:xfrm>
            <a:off x="12866040" y="1243440"/>
            <a:ext cx="360" cy="360"/>
          </xdr14:xfrm>
        </xdr:contentPart>
      </mc:Choice>
      <mc:Fallback xmlns="">
        <xdr:pic>
          <xdr:nvPicPr>
            <xdr:cNvPr id="1077" name="Ink 1076">
              <a:extLst>
                <a:ext uri="{FF2B5EF4-FFF2-40B4-BE49-F238E27FC236}">
                  <a16:creationId xmlns:a16="http://schemas.microsoft.com/office/drawing/2014/main" id="{1032CF20-812E-E642-8562-3C90039D7A1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8">
          <xdr14:nvContentPartPr>
            <xdr14:cNvPr id="1078" name="Ink 1077">
              <a:extLst>
                <a:ext uri="{FF2B5EF4-FFF2-40B4-BE49-F238E27FC236}">
                  <a16:creationId xmlns:a16="http://schemas.microsoft.com/office/drawing/2014/main" id="{E97E756B-7B91-CD44-8086-B13E27BEE35F}"/>
                </a:ext>
              </a:extLst>
            </xdr14:cNvPr>
            <xdr14:cNvContentPartPr/>
          </xdr14:nvContentPartPr>
          <xdr14:nvPr macro=""/>
          <xdr14:xfrm>
            <a:off x="12973680" y="1366560"/>
            <a:ext cx="360" cy="360"/>
          </xdr14:xfrm>
        </xdr:contentPart>
      </mc:Choice>
      <mc:Fallback xmlns="">
        <xdr:pic>
          <xdr:nvPicPr>
            <xdr:cNvPr id="1078" name="Ink 1077">
              <a:extLst>
                <a:ext uri="{FF2B5EF4-FFF2-40B4-BE49-F238E27FC236}">
                  <a16:creationId xmlns:a16="http://schemas.microsoft.com/office/drawing/2014/main" id="{E97E756B-7B91-CD44-8086-B13E27BEE35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79">
          <xdr14:nvContentPartPr>
            <xdr14:cNvPr id="1079" name="Ink 1078">
              <a:extLst>
                <a:ext uri="{FF2B5EF4-FFF2-40B4-BE49-F238E27FC236}">
                  <a16:creationId xmlns:a16="http://schemas.microsoft.com/office/drawing/2014/main" id="{80DA6B11-C58F-5C44-8730-0F4F934C75EA}"/>
                </a:ext>
              </a:extLst>
            </xdr14:cNvPr>
            <xdr14:cNvContentPartPr/>
          </xdr14:nvContentPartPr>
          <xdr14:nvPr macro=""/>
          <xdr14:xfrm>
            <a:off x="12846960" y="1192320"/>
            <a:ext cx="360" cy="360"/>
          </xdr14:xfrm>
        </xdr:contentPart>
      </mc:Choice>
      <mc:Fallback xmlns="">
        <xdr:pic>
          <xdr:nvPicPr>
            <xdr:cNvPr id="1079" name="Ink 1078">
              <a:extLst>
                <a:ext uri="{FF2B5EF4-FFF2-40B4-BE49-F238E27FC236}">
                  <a16:creationId xmlns:a16="http://schemas.microsoft.com/office/drawing/2014/main" id="{80DA6B11-C58F-5C44-8730-0F4F934C75EA}"/>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0">
          <xdr14:nvContentPartPr>
            <xdr14:cNvPr id="1080" name="Ink 1079">
              <a:extLst>
                <a:ext uri="{FF2B5EF4-FFF2-40B4-BE49-F238E27FC236}">
                  <a16:creationId xmlns:a16="http://schemas.microsoft.com/office/drawing/2014/main" id="{386CAB50-8BD0-7B43-8051-55A9A53F2DF4}"/>
                </a:ext>
              </a:extLst>
            </xdr14:cNvPr>
            <xdr14:cNvContentPartPr/>
          </xdr14:nvContentPartPr>
          <xdr14:nvPr macro=""/>
          <xdr14:xfrm>
            <a:off x="12866040" y="1243440"/>
            <a:ext cx="360" cy="360"/>
          </xdr14:xfrm>
        </xdr:contentPart>
      </mc:Choice>
      <mc:Fallback xmlns="">
        <xdr:pic>
          <xdr:nvPicPr>
            <xdr:cNvPr id="1080" name="Ink 1079">
              <a:extLst>
                <a:ext uri="{FF2B5EF4-FFF2-40B4-BE49-F238E27FC236}">
                  <a16:creationId xmlns:a16="http://schemas.microsoft.com/office/drawing/2014/main" id="{386CAB50-8BD0-7B43-8051-55A9A53F2DF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1">
          <xdr14:nvContentPartPr>
            <xdr14:cNvPr id="1081" name="Ink 1080">
              <a:extLst>
                <a:ext uri="{FF2B5EF4-FFF2-40B4-BE49-F238E27FC236}">
                  <a16:creationId xmlns:a16="http://schemas.microsoft.com/office/drawing/2014/main" id="{16E498D7-C1C0-3948-8A4A-EF288FB091AC}"/>
                </a:ext>
              </a:extLst>
            </xdr14:cNvPr>
            <xdr14:cNvContentPartPr/>
          </xdr14:nvContentPartPr>
          <xdr14:nvPr macro=""/>
          <xdr14:xfrm>
            <a:off x="12973680" y="1366560"/>
            <a:ext cx="360" cy="360"/>
          </xdr14:xfrm>
        </xdr:contentPart>
      </mc:Choice>
      <mc:Fallback xmlns="">
        <xdr:pic>
          <xdr:nvPicPr>
            <xdr:cNvPr id="1081" name="Ink 1080">
              <a:extLst>
                <a:ext uri="{FF2B5EF4-FFF2-40B4-BE49-F238E27FC236}">
                  <a16:creationId xmlns:a16="http://schemas.microsoft.com/office/drawing/2014/main" id="{16E498D7-C1C0-3948-8A4A-EF288FB091A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2">
          <xdr14:nvContentPartPr>
            <xdr14:cNvPr id="1082" name="Ink 1081">
              <a:extLst>
                <a:ext uri="{FF2B5EF4-FFF2-40B4-BE49-F238E27FC236}">
                  <a16:creationId xmlns:a16="http://schemas.microsoft.com/office/drawing/2014/main" id="{0C6B812B-88F2-E14C-A085-7C1CC82A0415}"/>
                </a:ext>
              </a:extLst>
            </xdr14:cNvPr>
            <xdr14:cNvContentPartPr/>
          </xdr14:nvContentPartPr>
          <xdr14:nvPr macro=""/>
          <xdr14:xfrm>
            <a:off x="12846960" y="1192320"/>
            <a:ext cx="360" cy="360"/>
          </xdr14:xfrm>
        </xdr:contentPart>
      </mc:Choice>
      <mc:Fallback xmlns="">
        <xdr:pic>
          <xdr:nvPicPr>
            <xdr:cNvPr id="1082" name="Ink 1081">
              <a:extLst>
                <a:ext uri="{FF2B5EF4-FFF2-40B4-BE49-F238E27FC236}">
                  <a16:creationId xmlns:a16="http://schemas.microsoft.com/office/drawing/2014/main" id="{0C6B812B-88F2-E14C-A085-7C1CC82A0415}"/>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3">
          <xdr14:nvContentPartPr>
            <xdr14:cNvPr id="1083" name="Ink 1082">
              <a:extLst>
                <a:ext uri="{FF2B5EF4-FFF2-40B4-BE49-F238E27FC236}">
                  <a16:creationId xmlns:a16="http://schemas.microsoft.com/office/drawing/2014/main" id="{B6391E60-FAB6-844D-8F5F-778ED6D0781F}"/>
                </a:ext>
              </a:extLst>
            </xdr14:cNvPr>
            <xdr14:cNvContentPartPr/>
          </xdr14:nvContentPartPr>
          <xdr14:nvPr macro=""/>
          <xdr14:xfrm>
            <a:off x="12866040" y="1243440"/>
            <a:ext cx="360" cy="360"/>
          </xdr14:xfrm>
        </xdr:contentPart>
      </mc:Choice>
      <mc:Fallback xmlns="">
        <xdr:pic>
          <xdr:nvPicPr>
            <xdr:cNvPr id="1083" name="Ink 1082">
              <a:extLst>
                <a:ext uri="{FF2B5EF4-FFF2-40B4-BE49-F238E27FC236}">
                  <a16:creationId xmlns:a16="http://schemas.microsoft.com/office/drawing/2014/main" id="{B6391E60-FAB6-844D-8F5F-778ED6D0781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4">
          <xdr14:nvContentPartPr>
            <xdr14:cNvPr id="1084" name="Ink 1083">
              <a:extLst>
                <a:ext uri="{FF2B5EF4-FFF2-40B4-BE49-F238E27FC236}">
                  <a16:creationId xmlns:a16="http://schemas.microsoft.com/office/drawing/2014/main" id="{B9F3417C-2272-5648-89F5-BC63CAF70EF7}"/>
                </a:ext>
              </a:extLst>
            </xdr14:cNvPr>
            <xdr14:cNvContentPartPr/>
          </xdr14:nvContentPartPr>
          <xdr14:nvPr macro=""/>
          <xdr14:xfrm>
            <a:off x="12973680" y="1366560"/>
            <a:ext cx="360" cy="360"/>
          </xdr14:xfrm>
        </xdr:contentPart>
      </mc:Choice>
      <mc:Fallback xmlns="">
        <xdr:pic>
          <xdr:nvPicPr>
            <xdr:cNvPr id="1084" name="Ink 1083">
              <a:extLst>
                <a:ext uri="{FF2B5EF4-FFF2-40B4-BE49-F238E27FC236}">
                  <a16:creationId xmlns:a16="http://schemas.microsoft.com/office/drawing/2014/main" id="{B9F3417C-2272-5648-89F5-BC63CAF70EF7}"/>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5">
          <xdr14:nvContentPartPr>
            <xdr14:cNvPr id="1085" name="Ink 1084">
              <a:extLst>
                <a:ext uri="{FF2B5EF4-FFF2-40B4-BE49-F238E27FC236}">
                  <a16:creationId xmlns:a16="http://schemas.microsoft.com/office/drawing/2014/main" id="{A19B4187-B6A9-2346-A3A2-208398C11C8F}"/>
                </a:ext>
              </a:extLst>
            </xdr14:cNvPr>
            <xdr14:cNvContentPartPr/>
          </xdr14:nvContentPartPr>
          <xdr14:nvPr macro=""/>
          <xdr14:xfrm>
            <a:off x="12846960" y="1192320"/>
            <a:ext cx="360" cy="360"/>
          </xdr14:xfrm>
        </xdr:contentPart>
      </mc:Choice>
      <mc:Fallback xmlns="">
        <xdr:pic>
          <xdr:nvPicPr>
            <xdr:cNvPr id="1085" name="Ink 1084">
              <a:extLst>
                <a:ext uri="{FF2B5EF4-FFF2-40B4-BE49-F238E27FC236}">
                  <a16:creationId xmlns:a16="http://schemas.microsoft.com/office/drawing/2014/main" id="{A19B4187-B6A9-2346-A3A2-208398C11C8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6">
          <xdr14:nvContentPartPr>
            <xdr14:cNvPr id="1086" name="Ink 1085">
              <a:extLst>
                <a:ext uri="{FF2B5EF4-FFF2-40B4-BE49-F238E27FC236}">
                  <a16:creationId xmlns:a16="http://schemas.microsoft.com/office/drawing/2014/main" id="{66B92B5F-6F54-FA44-B5A7-788C81E945DF}"/>
                </a:ext>
              </a:extLst>
            </xdr14:cNvPr>
            <xdr14:cNvContentPartPr/>
          </xdr14:nvContentPartPr>
          <xdr14:nvPr macro=""/>
          <xdr14:xfrm>
            <a:off x="12866040" y="1243440"/>
            <a:ext cx="360" cy="360"/>
          </xdr14:xfrm>
        </xdr:contentPart>
      </mc:Choice>
      <mc:Fallback xmlns="">
        <xdr:pic>
          <xdr:nvPicPr>
            <xdr:cNvPr id="1086" name="Ink 1085">
              <a:extLst>
                <a:ext uri="{FF2B5EF4-FFF2-40B4-BE49-F238E27FC236}">
                  <a16:creationId xmlns:a16="http://schemas.microsoft.com/office/drawing/2014/main" id="{66B92B5F-6F54-FA44-B5A7-788C81E945D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7">
          <xdr14:nvContentPartPr>
            <xdr14:cNvPr id="1087" name="Ink 1086">
              <a:extLst>
                <a:ext uri="{FF2B5EF4-FFF2-40B4-BE49-F238E27FC236}">
                  <a16:creationId xmlns:a16="http://schemas.microsoft.com/office/drawing/2014/main" id="{3D7B6C8F-602B-DC4D-882B-9E08862A9F4A}"/>
                </a:ext>
              </a:extLst>
            </xdr14:cNvPr>
            <xdr14:cNvContentPartPr/>
          </xdr14:nvContentPartPr>
          <xdr14:nvPr macro=""/>
          <xdr14:xfrm>
            <a:off x="12973680" y="1366560"/>
            <a:ext cx="360" cy="360"/>
          </xdr14:xfrm>
        </xdr:contentPart>
      </mc:Choice>
      <mc:Fallback xmlns="">
        <xdr:pic>
          <xdr:nvPicPr>
            <xdr:cNvPr id="1087" name="Ink 1086">
              <a:extLst>
                <a:ext uri="{FF2B5EF4-FFF2-40B4-BE49-F238E27FC236}">
                  <a16:creationId xmlns:a16="http://schemas.microsoft.com/office/drawing/2014/main" id="{3D7B6C8F-602B-DC4D-882B-9E08862A9F4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8">
          <xdr14:nvContentPartPr>
            <xdr14:cNvPr id="1088" name="Ink 1087">
              <a:extLst>
                <a:ext uri="{FF2B5EF4-FFF2-40B4-BE49-F238E27FC236}">
                  <a16:creationId xmlns:a16="http://schemas.microsoft.com/office/drawing/2014/main" id="{45B1A502-A4CA-6348-A331-93CB9823D4CF}"/>
                </a:ext>
              </a:extLst>
            </xdr14:cNvPr>
            <xdr14:cNvContentPartPr/>
          </xdr14:nvContentPartPr>
          <xdr14:nvPr macro=""/>
          <xdr14:xfrm>
            <a:off x="12846960" y="1192320"/>
            <a:ext cx="360" cy="360"/>
          </xdr14:xfrm>
        </xdr:contentPart>
      </mc:Choice>
      <mc:Fallback xmlns="">
        <xdr:pic>
          <xdr:nvPicPr>
            <xdr:cNvPr id="1088" name="Ink 1087">
              <a:extLst>
                <a:ext uri="{FF2B5EF4-FFF2-40B4-BE49-F238E27FC236}">
                  <a16:creationId xmlns:a16="http://schemas.microsoft.com/office/drawing/2014/main" id="{45B1A502-A4CA-6348-A331-93CB9823D4C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89">
          <xdr14:nvContentPartPr>
            <xdr14:cNvPr id="1089" name="Ink 1088">
              <a:extLst>
                <a:ext uri="{FF2B5EF4-FFF2-40B4-BE49-F238E27FC236}">
                  <a16:creationId xmlns:a16="http://schemas.microsoft.com/office/drawing/2014/main" id="{ACB16724-6AF5-EE41-8D8B-1602524483DA}"/>
                </a:ext>
              </a:extLst>
            </xdr14:cNvPr>
            <xdr14:cNvContentPartPr/>
          </xdr14:nvContentPartPr>
          <xdr14:nvPr macro=""/>
          <xdr14:xfrm>
            <a:off x="12866040" y="1243440"/>
            <a:ext cx="360" cy="360"/>
          </xdr14:xfrm>
        </xdr:contentPart>
      </mc:Choice>
      <mc:Fallback xmlns="">
        <xdr:pic>
          <xdr:nvPicPr>
            <xdr:cNvPr id="1089" name="Ink 1088">
              <a:extLst>
                <a:ext uri="{FF2B5EF4-FFF2-40B4-BE49-F238E27FC236}">
                  <a16:creationId xmlns:a16="http://schemas.microsoft.com/office/drawing/2014/main" id="{ACB16724-6AF5-EE41-8D8B-1602524483D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0">
          <xdr14:nvContentPartPr>
            <xdr14:cNvPr id="1090" name="Ink 1089">
              <a:extLst>
                <a:ext uri="{FF2B5EF4-FFF2-40B4-BE49-F238E27FC236}">
                  <a16:creationId xmlns:a16="http://schemas.microsoft.com/office/drawing/2014/main" id="{A276A5AF-A487-1E4B-8FC1-52AA879DF39B}"/>
                </a:ext>
              </a:extLst>
            </xdr14:cNvPr>
            <xdr14:cNvContentPartPr/>
          </xdr14:nvContentPartPr>
          <xdr14:nvPr macro=""/>
          <xdr14:xfrm>
            <a:off x="12973680" y="1366560"/>
            <a:ext cx="360" cy="360"/>
          </xdr14:xfrm>
        </xdr:contentPart>
      </mc:Choice>
      <mc:Fallback xmlns="">
        <xdr:pic>
          <xdr:nvPicPr>
            <xdr:cNvPr id="1090" name="Ink 1089">
              <a:extLst>
                <a:ext uri="{FF2B5EF4-FFF2-40B4-BE49-F238E27FC236}">
                  <a16:creationId xmlns:a16="http://schemas.microsoft.com/office/drawing/2014/main" id="{A276A5AF-A487-1E4B-8FC1-52AA879DF39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1">
          <xdr14:nvContentPartPr>
            <xdr14:cNvPr id="1091" name="Ink 1090">
              <a:extLst>
                <a:ext uri="{FF2B5EF4-FFF2-40B4-BE49-F238E27FC236}">
                  <a16:creationId xmlns:a16="http://schemas.microsoft.com/office/drawing/2014/main" id="{709C7C26-C2DB-1A46-B8B4-E9CBE88B6692}"/>
                </a:ext>
              </a:extLst>
            </xdr14:cNvPr>
            <xdr14:cNvContentPartPr/>
          </xdr14:nvContentPartPr>
          <xdr14:nvPr macro=""/>
          <xdr14:xfrm>
            <a:off x="12846960" y="1192320"/>
            <a:ext cx="360" cy="360"/>
          </xdr14:xfrm>
        </xdr:contentPart>
      </mc:Choice>
      <mc:Fallback xmlns="">
        <xdr:pic>
          <xdr:nvPicPr>
            <xdr:cNvPr id="1091" name="Ink 1090">
              <a:extLst>
                <a:ext uri="{FF2B5EF4-FFF2-40B4-BE49-F238E27FC236}">
                  <a16:creationId xmlns:a16="http://schemas.microsoft.com/office/drawing/2014/main" id="{709C7C26-C2DB-1A46-B8B4-E9CBE88B669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2">
          <xdr14:nvContentPartPr>
            <xdr14:cNvPr id="1092" name="Ink 1091">
              <a:extLst>
                <a:ext uri="{FF2B5EF4-FFF2-40B4-BE49-F238E27FC236}">
                  <a16:creationId xmlns:a16="http://schemas.microsoft.com/office/drawing/2014/main" id="{EF55D484-AA16-CF49-8F85-EE485C6311B8}"/>
                </a:ext>
              </a:extLst>
            </xdr14:cNvPr>
            <xdr14:cNvContentPartPr/>
          </xdr14:nvContentPartPr>
          <xdr14:nvPr macro=""/>
          <xdr14:xfrm>
            <a:off x="12866040" y="1243440"/>
            <a:ext cx="360" cy="360"/>
          </xdr14:xfrm>
        </xdr:contentPart>
      </mc:Choice>
      <mc:Fallback xmlns="">
        <xdr:pic>
          <xdr:nvPicPr>
            <xdr:cNvPr id="1092" name="Ink 1091">
              <a:extLst>
                <a:ext uri="{FF2B5EF4-FFF2-40B4-BE49-F238E27FC236}">
                  <a16:creationId xmlns:a16="http://schemas.microsoft.com/office/drawing/2014/main" id="{EF55D484-AA16-CF49-8F85-EE485C6311B8}"/>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3">
          <xdr14:nvContentPartPr>
            <xdr14:cNvPr id="1093" name="Ink 1092">
              <a:extLst>
                <a:ext uri="{FF2B5EF4-FFF2-40B4-BE49-F238E27FC236}">
                  <a16:creationId xmlns:a16="http://schemas.microsoft.com/office/drawing/2014/main" id="{2D2B3092-D597-3549-B21D-9A5FCE3F428A}"/>
                </a:ext>
              </a:extLst>
            </xdr14:cNvPr>
            <xdr14:cNvContentPartPr/>
          </xdr14:nvContentPartPr>
          <xdr14:nvPr macro=""/>
          <xdr14:xfrm>
            <a:off x="12973680" y="1366560"/>
            <a:ext cx="360" cy="360"/>
          </xdr14:xfrm>
        </xdr:contentPart>
      </mc:Choice>
      <mc:Fallback xmlns="">
        <xdr:pic>
          <xdr:nvPicPr>
            <xdr:cNvPr id="1093" name="Ink 1092">
              <a:extLst>
                <a:ext uri="{FF2B5EF4-FFF2-40B4-BE49-F238E27FC236}">
                  <a16:creationId xmlns:a16="http://schemas.microsoft.com/office/drawing/2014/main" id="{2D2B3092-D597-3549-B21D-9A5FCE3F428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4">
          <xdr14:nvContentPartPr>
            <xdr14:cNvPr id="1094" name="Ink 1093">
              <a:extLst>
                <a:ext uri="{FF2B5EF4-FFF2-40B4-BE49-F238E27FC236}">
                  <a16:creationId xmlns:a16="http://schemas.microsoft.com/office/drawing/2014/main" id="{9E6EBA7F-BD0C-FD4F-872B-D62FCB802879}"/>
                </a:ext>
              </a:extLst>
            </xdr14:cNvPr>
            <xdr14:cNvContentPartPr/>
          </xdr14:nvContentPartPr>
          <xdr14:nvPr macro=""/>
          <xdr14:xfrm>
            <a:off x="12846960" y="1192320"/>
            <a:ext cx="360" cy="360"/>
          </xdr14:xfrm>
        </xdr:contentPart>
      </mc:Choice>
      <mc:Fallback xmlns="">
        <xdr:pic>
          <xdr:nvPicPr>
            <xdr:cNvPr id="1094" name="Ink 1093">
              <a:extLst>
                <a:ext uri="{FF2B5EF4-FFF2-40B4-BE49-F238E27FC236}">
                  <a16:creationId xmlns:a16="http://schemas.microsoft.com/office/drawing/2014/main" id="{9E6EBA7F-BD0C-FD4F-872B-D62FCB80287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5">
          <xdr14:nvContentPartPr>
            <xdr14:cNvPr id="1095" name="Ink 1094">
              <a:extLst>
                <a:ext uri="{FF2B5EF4-FFF2-40B4-BE49-F238E27FC236}">
                  <a16:creationId xmlns:a16="http://schemas.microsoft.com/office/drawing/2014/main" id="{441D6130-FE91-144C-AF32-FD858BD62F66}"/>
                </a:ext>
              </a:extLst>
            </xdr14:cNvPr>
            <xdr14:cNvContentPartPr/>
          </xdr14:nvContentPartPr>
          <xdr14:nvPr macro=""/>
          <xdr14:xfrm>
            <a:off x="12866040" y="1243440"/>
            <a:ext cx="360" cy="360"/>
          </xdr14:xfrm>
        </xdr:contentPart>
      </mc:Choice>
      <mc:Fallback xmlns="">
        <xdr:pic>
          <xdr:nvPicPr>
            <xdr:cNvPr id="1095" name="Ink 1094">
              <a:extLst>
                <a:ext uri="{FF2B5EF4-FFF2-40B4-BE49-F238E27FC236}">
                  <a16:creationId xmlns:a16="http://schemas.microsoft.com/office/drawing/2014/main" id="{441D6130-FE91-144C-AF32-FD858BD62F6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6">
          <xdr14:nvContentPartPr>
            <xdr14:cNvPr id="1096" name="Ink 1095">
              <a:extLst>
                <a:ext uri="{FF2B5EF4-FFF2-40B4-BE49-F238E27FC236}">
                  <a16:creationId xmlns:a16="http://schemas.microsoft.com/office/drawing/2014/main" id="{DC3399B0-C865-AB4C-B951-899A29E2F16B}"/>
                </a:ext>
              </a:extLst>
            </xdr14:cNvPr>
            <xdr14:cNvContentPartPr/>
          </xdr14:nvContentPartPr>
          <xdr14:nvPr macro=""/>
          <xdr14:xfrm>
            <a:off x="12973680" y="1366560"/>
            <a:ext cx="360" cy="360"/>
          </xdr14:xfrm>
        </xdr:contentPart>
      </mc:Choice>
      <mc:Fallback xmlns="">
        <xdr:pic>
          <xdr:nvPicPr>
            <xdr:cNvPr id="1096" name="Ink 1095">
              <a:extLst>
                <a:ext uri="{FF2B5EF4-FFF2-40B4-BE49-F238E27FC236}">
                  <a16:creationId xmlns:a16="http://schemas.microsoft.com/office/drawing/2014/main" id="{DC3399B0-C865-AB4C-B951-899A29E2F16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179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7">
          <xdr14:nvContentPartPr>
            <xdr14:cNvPr id="1097" name="Ink 1096">
              <a:extLst>
                <a:ext uri="{FF2B5EF4-FFF2-40B4-BE49-F238E27FC236}">
                  <a16:creationId xmlns:a16="http://schemas.microsoft.com/office/drawing/2014/main" id="{20E8BD75-73AB-7A46-99E3-75FEEFFC5E86}"/>
                </a:ext>
              </a:extLst>
            </xdr14:cNvPr>
            <xdr14:cNvContentPartPr/>
          </xdr14:nvContentPartPr>
          <xdr14:nvPr macro=""/>
          <xdr14:xfrm>
            <a:off x="12846960" y="1192320"/>
            <a:ext cx="360" cy="360"/>
          </xdr14:xfrm>
        </xdr:contentPart>
      </mc:Choice>
      <mc:Fallback xmlns="">
        <xdr:pic>
          <xdr:nvPicPr>
            <xdr:cNvPr id="1097" name="Ink 1096">
              <a:extLst>
                <a:ext uri="{FF2B5EF4-FFF2-40B4-BE49-F238E27FC236}">
                  <a16:creationId xmlns:a16="http://schemas.microsoft.com/office/drawing/2014/main" id="{20E8BD75-73AB-7A46-99E3-75FEEFFC5E86}"/>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179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8">
          <xdr14:nvContentPartPr>
            <xdr14:cNvPr id="1098" name="Ink 1097">
              <a:extLst>
                <a:ext uri="{FF2B5EF4-FFF2-40B4-BE49-F238E27FC236}">
                  <a16:creationId xmlns:a16="http://schemas.microsoft.com/office/drawing/2014/main" id="{ACB825B0-9441-A946-8C03-E439DE98585E}"/>
                </a:ext>
              </a:extLst>
            </xdr14:cNvPr>
            <xdr14:cNvContentPartPr/>
          </xdr14:nvContentPartPr>
          <xdr14:nvPr macro=""/>
          <xdr14:xfrm>
            <a:off x="12866040" y="1243440"/>
            <a:ext cx="360" cy="360"/>
          </xdr14:xfrm>
        </xdr:contentPart>
      </mc:Choice>
      <mc:Fallback xmlns="">
        <xdr:pic>
          <xdr:nvPicPr>
            <xdr:cNvPr id="1098" name="Ink 1097">
              <a:extLst>
                <a:ext uri="{FF2B5EF4-FFF2-40B4-BE49-F238E27FC236}">
                  <a16:creationId xmlns:a16="http://schemas.microsoft.com/office/drawing/2014/main" id="{ACB825B0-9441-A946-8C03-E439DE98585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179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99">
          <xdr14:nvContentPartPr>
            <xdr14:cNvPr id="1099" name="Ink 1098">
              <a:extLst>
                <a:ext uri="{FF2B5EF4-FFF2-40B4-BE49-F238E27FC236}">
                  <a16:creationId xmlns:a16="http://schemas.microsoft.com/office/drawing/2014/main" id="{CA94A507-7562-894B-867F-80392F2EE529}"/>
                </a:ext>
              </a:extLst>
            </xdr14:cNvPr>
            <xdr14:cNvContentPartPr/>
          </xdr14:nvContentPartPr>
          <xdr14:nvPr macro=""/>
          <xdr14:xfrm>
            <a:off x="12973680" y="1366560"/>
            <a:ext cx="360" cy="360"/>
          </xdr14:xfrm>
        </xdr:contentPart>
      </mc:Choice>
      <mc:Fallback xmlns="">
        <xdr:pic>
          <xdr:nvPicPr>
            <xdr:cNvPr id="1099" name="Ink 1098">
              <a:extLst>
                <a:ext uri="{FF2B5EF4-FFF2-40B4-BE49-F238E27FC236}">
                  <a16:creationId xmlns:a16="http://schemas.microsoft.com/office/drawing/2014/main" id="{CA94A507-7562-894B-867F-80392F2EE52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0">
          <xdr14:nvContentPartPr>
            <xdr14:cNvPr id="1100" name="Ink 1099">
              <a:extLst>
                <a:ext uri="{FF2B5EF4-FFF2-40B4-BE49-F238E27FC236}">
                  <a16:creationId xmlns:a16="http://schemas.microsoft.com/office/drawing/2014/main" id="{E454A2C2-DB4B-8541-942F-4B7A7A48CF72}"/>
                </a:ext>
              </a:extLst>
            </xdr14:cNvPr>
            <xdr14:cNvContentPartPr/>
          </xdr14:nvContentPartPr>
          <xdr14:nvPr macro=""/>
          <xdr14:xfrm>
            <a:off x="12846960" y="1192320"/>
            <a:ext cx="360" cy="360"/>
          </xdr14:xfrm>
        </xdr:contentPart>
      </mc:Choice>
      <mc:Fallback xmlns="">
        <xdr:pic>
          <xdr:nvPicPr>
            <xdr:cNvPr id="1100" name="Ink 1099">
              <a:extLst>
                <a:ext uri="{FF2B5EF4-FFF2-40B4-BE49-F238E27FC236}">
                  <a16:creationId xmlns:a16="http://schemas.microsoft.com/office/drawing/2014/main" id="{E454A2C2-DB4B-8541-942F-4B7A7A48CF7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1">
          <xdr14:nvContentPartPr>
            <xdr14:cNvPr id="1101" name="Ink 1100">
              <a:extLst>
                <a:ext uri="{FF2B5EF4-FFF2-40B4-BE49-F238E27FC236}">
                  <a16:creationId xmlns:a16="http://schemas.microsoft.com/office/drawing/2014/main" id="{D49B7F6A-F9A3-9E42-B66C-347C37357219}"/>
                </a:ext>
              </a:extLst>
            </xdr14:cNvPr>
            <xdr14:cNvContentPartPr/>
          </xdr14:nvContentPartPr>
          <xdr14:nvPr macro=""/>
          <xdr14:xfrm>
            <a:off x="12866040" y="1243440"/>
            <a:ext cx="360" cy="360"/>
          </xdr14:xfrm>
        </xdr:contentPart>
      </mc:Choice>
      <mc:Fallback xmlns="">
        <xdr:pic>
          <xdr:nvPicPr>
            <xdr:cNvPr id="1101" name="Ink 1100">
              <a:extLst>
                <a:ext uri="{FF2B5EF4-FFF2-40B4-BE49-F238E27FC236}">
                  <a16:creationId xmlns:a16="http://schemas.microsoft.com/office/drawing/2014/main" id="{D49B7F6A-F9A3-9E42-B66C-347C37357219}"/>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2">
          <xdr14:nvContentPartPr>
            <xdr14:cNvPr id="1102" name="Ink 1101">
              <a:extLst>
                <a:ext uri="{FF2B5EF4-FFF2-40B4-BE49-F238E27FC236}">
                  <a16:creationId xmlns:a16="http://schemas.microsoft.com/office/drawing/2014/main" id="{55D7D55E-4E3B-4746-8BEF-D790A7BC2440}"/>
                </a:ext>
              </a:extLst>
            </xdr14:cNvPr>
            <xdr14:cNvContentPartPr/>
          </xdr14:nvContentPartPr>
          <xdr14:nvPr macro=""/>
          <xdr14:xfrm>
            <a:off x="12973680" y="1366560"/>
            <a:ext cx="360" cy="360"/>
          </xdr14:xfrm>
        </xdr:contentPart>
      </mc:Choice>
      <mc:Fallback xmlns="">
        <xdr:pic>
          <xdr:nvPicPr>
            <xdr:cNvPr id="1102" name="Ink 1101">
              <a:extLst>
                <a:ext uri="{FF2B5EF4-FFF2-40B4-BE49-F238E27FC236}">
                  <a16:creationId xmlns:a16="http://schemas.microsoft.com/office/drawing/2014/main" id="{55D7D55E-4E3B-4746-8BEF-D790A7BC244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3">
          <xdr14:nvContentPartPr>
            <xdr14:cNvPr id="1103" name="Ink 1102">
              <a:extLst>
                <a:ext uri="{FF2B5EF4-FFF2-40B4-BE49-F238E27FC236}">
                  <a16:creationId xmlns:a16="http://schemas.microsoft.com/office/drawing/2014/main" id="{7D07C66E-B73A-124D-A7AC-0FDD7EEC7841}"/>
                </a:ext>
              </a:extLst>
            </xdr14:cNvPr>
            <xdr14:cNvContentPartPr/>
          </xdr14:nvContentPartPr>
          <xdr14:nvPr macro=""/>
          <xdr14:xfrm>
            <a:off x="12846960" y="1192320"/>
            <a:ext cx="360" cy="360"/>
          </xdr14:xfrm>
        </xdr:contentPart>
      </mc:Choice>
      <mc:Fallback xmlns="">
        <xdr:pic>
          <xdr:nvPicPr>
            <xdr:cNvPr id="1103" name="Ink 1102">
              <a:extLst>
                <a:ext uri="{FF2B5EF4-FFF2-40B4-BE49-F238E27FC236}">
                  <a16:creationId xmlns:a16="http://schemas.microsoft.com/office/drawing/2014/main" id="{7D07C66E-B73A-124D-A7AC-0FDD7EEC7841}"/>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4">
          <xdr14:nvContentPartPr>
            <xdr14:cNvPr id="1104" name="Ink 1103">
              <a:extLst>
                <a:ext uri="{FF2B5EF4-FFF2-40B4-BE49-F238E27FC236}">
                  <a16:creationId xmlns:a16="http://schemas.microsoft.com/office/drawing/2014/main" id="{075F7EBE-3EF2-4B4E-A210-6F8005B70C94}"/>
                </a:ext>
              </a:extLst>
            </xdr14:cNvPr>
            <xdr14:cNvContentPartPr/>
          </xdr14:nvContentPartPr>
          <xdr14:nvPr macro=""/>
          <xdr14:xfrm>
            <a:off x="12866040" y="1243440"/>
            <a:ext cx="360" cy="360"/>
          </xdr14:xfrm>
        </xdr:contentPart>
      </mc:Choice>
      <mc:Fallback xmlns="">
        <xdr:pic>
          <xdr:nvPicPr>
            <xdr:cNvPr id="1104" name="Ink 1103">
              <a:extLst>
                <a:ext uri="{FF2B5EF4-FFF2-40B4-BE49-F238E27FC236}">
                  <a16:creationId xmlns:a16="http://schemas.microsoft.com/office/drawing/2014/main" id="{075F7EBE-3EF2-4B4E-A210-6F8005B70C9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5">
          <xdr14:nvContentPartPr>
            <xdr14:cNvPr id="1105" name="Ink 1104">
              <a:extLst>
                <a:ext uri="{FF2B5EF4-FFF2-40B4-BE49-F238E27FC236}">
                  <a16:creationId xmlns:a16="http://schemas.microsoft.com/office/drawing/2014/main" id="{BC4369FB-67C4-584F-80EF-69C7C9F8822F}"/>
                </a:ext>
              </a:extLst>
            </xdr14:cNvPr>
            <xdr14:cNvContentPartPr/>
          </xdr14:nvContentPartPr>
          <xdr14:nvPr macro=""/>
          <xdr14:xfrm>
            <a:off x="12973680" y="1366560"/>
            <a:ext cx="360" cy="360"/>
          </xdr14:xfrm>
        </xdr:contentPart>
      </mc:Choice>
      <mc:Fallback xmlns="">
        <xdr:pic>
          <xdr:nvPicPr>
            <xdr:cNvPr id="1105" name="Ink 1104">
              <a:extLst>
                <a:ext uri="{FF2B5EF4-FFF2-40B4-BE49-F238E27FC236}">
                  <a16:creationId xmlns:a16="http://schemas.microsoft.com/office/drawing/2014/main" id="{BC4369FB-67C4-584F-80EF-69C7C9F8822F}"/>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6">
          <xdr14:nvContentPartPr>
            <xdr14:cNvPr id="1106" name="Ink 1105">
              <a:extLst>
                <a:ext uri="{FF2B5EF4-FFF2-40B4-BE49-F238E27FC236}">
                  <a16:creationId xmlns:a16="http://schemas.microsoft.com/office/drawing/2014/main" id="{587F05DB-65EC-384B-BBDB-2EDAE66C626B}"/>
                </a:ext>
              </a:extLst>
            </xdr14:cNvPr>
            <xdr14:cNvContentPartPr/>
          </xdr14:nvContentPartPr>
          <xdr14:nvPr macro=""/>
          <xdr14:xfrm>
            <a:off x="12846960" y="1192320"/>
            <a:ext cx="360" cy="360"/>
          </xdr14:xfrm>
        </xdr:contentPart>
      </mc:Choice>
      <mc:Fallback xmlns="">
        <xdr:pic>
          <xdr:nvPicPr>
            <xdr:cNvPr id="1106" name="Ink 1105">
              <a:extLst>
                <a:ext uri="{FF2B5EF4-FFF2-40B4-BE49-F238E27FC236}">
                  <a16:creationId xmlns:a16="http://schemas.microsoft.com/office/drawing/2014/main" id="{587F05DB-65EC-384B-BBDB-2EDAE66C626B}"/>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7">
          <xdr14:nvContentPartPr>
            <xdr14:cNvPr id="1107" name="Ink 1106">
              <a:extLst>
                <a:ext uri="{FF2B5EF4-FFF2-40B4-BE49-F238E27FC236}">
                  <a16:creationId xmlns:a16="http://schemas.microsoft.com/office/drawing/2014/main" id="{BB932C28-BD6D-6D41-897C-F91E10B5A4C7}"/>
                </a:ext>
              </a:extLst>
            </xdr14:cNvPr>
            <xdr14:cNvContentPartPr/>
          </xdr14:nvContentPartPr>
          <xdr14:nvPr macro=""/>
          <xdr14:xfrm>
            <a:off x="12866040" y="1243440"/>
            <a:ext cx="360" cy="360"/>
          </xdr14:xfrm>
        </xdr:contentPart>
      </mc:Choice>
      <mc:Fallback xmlns="">
        <xdr:pic>
          <xdr:nvPicPr>
            <xdr:cNvPr id="1107" name="Ink 1106">
              <a:extLst>
                <a:ext uri="{FF2B5EF4-FFF2-40B4-BE49-F238E27FC236}">
                  <a16:creationId xmlns:a16="http://schemas.microsoft.com/office/drawing/2014/main" id="{BB932C28-BD6D-6D41-897C-F91E10B5A4C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8">
          <xdr14:nvContentPartPr>
            <xdr14:cNvPr id="1108" name="Ink 1107">
              <a:extLst>
                <a:ext uri="{FF2B5EF4-FFF2-40B4-BE49-F238E27FC236}">
                  <a16:creationId xmlns:a16="http://schemas.microsoft.com/office/drawing/2014/main" id="{6BA78C94-FB32-034B-AC98-D693A451A029}"/>
                </a:ext>
              </a:extLst>
            </xdr14:cNvPr>
            <xdr14:cNvContentPartPr/>
          </xdr14:nvContentPartPr>
          <xdr14:nvPr macro=""/>
          <xdr14:xfrm>
            <a:off x="12973680" y="1366560"/>
            <a:ext cx="360" cy="360"/>
          </xdr14:xfrm>
        </xdr:contentPart>
      </mc:Choice>
      <mc:Fallback xmlns="">
        <xdr:pic>
          <xdr:nvPicPr>
            <xdr:cNvPr id="1108" name="Ink 1107">
              <a:extLst>
                <a:ext uri="{FF2B5EF4-FFF2-40B4-BE49-F238E27FC236}">
                  <a16:creationId xmlns:a16="http://schemas.microsoft.com/office/drawing/2014/main" id="{6BA78C94-FB32-034B-AC98-D693A451A029}"/>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183</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09">
          <xdr14:nvContentPartPr>
            <xdr14:cNvPr id="1109" name="Ink 1108">
              <a:extLst>
                <a:ext uri="{FF2B5EF4-FFF2-40B4-BE49-F238E27FC236}">
                  <a16:creationId xmlns:a16="http://schemas.microsoft.com/office/drawing/2014/main" id="{08F15DDA-24F4-524C-A8AD-4756AA50BBDC}"/>
                </a:ext>
              </a:extLst>
            </xdr14:cNvPr>
            <xdr14:cNvContentPartPr/>
          </xdr14:nvContentPartPr>
          <xdr14:nvPr macro=""/>
          <xdr14:xfrm>
            <a:off x="12846960" y="1192320"/>
            <a:ext cx="360" cy="360"/>
          </xdr14:xfrm>
        </xdr:contentPart>
      </mc:Choice>
      <mc:Fallback xmlns="">
        <xdr:pic>
          <xdr:nvPicPr>
            <xdr:cNvPr id="1109" name="Ink 1108">
              <a:extLst>
                <a:ext uri="{FF2B5EF4-FFF2-40B4-BE49-F238E27FC236}">
                  <a16:creationId xmlns:a16="http://schemas.microsoft.com/office/drawing/2014/main" id="{08F15DDA-24F4-524C-A8AD-4756AA50BBDC}"/>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183</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0">
          <xdr14:nvContentPartPr>
            <xdr14:cNvPr id="1110" name="Ink 1109">
              <a:extLst>
                <a:ext uri="{FF2B5EF4-FFF2-40B4-BE49-F238E27FC236}">
                  <a16:creationId xmlns:a16="http://schemas.microsoft.com/office/drawing/2014/main" id="{13B289FD-150D-4B44-8172-BB3FE6986784}"/>
                </a:ext>
              </a:extLst>
            </xdr14:cNvPr>
            <xdr14:cNvContentPartPr/>
          </xdr14:nvContentPartPr>
          <xdr14:nvPr macro=""/>
          <xdr14:xfrm>
            <a:off x="12866040" y="1243440"/>
            <a:ext cx="360" cy="360"/>
          </xdr14:xfrm>
        </xdr:contentPart>
      </mc:Choice>
      <mc:Fallback xmlns="">
        <xdr:pic>
          <xdr:nvPicPr>
            <xdr:cNvPr id="1110" name="Ink 1109">
              <a:extLst>
                <a:ext uri="{FF2B5EF4-FFF2-40B4-BE49-F238E27FC236}">
                  <a16:creationId xmlns:a16="http://schemas.microsoft.com/office/drawing/2014/main" id="{13B289FD-150D-4B44-8172-BB3FE698678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183</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1">
          <xdr14:nvContentPartPr>
            <xdr14:cNvPr id="1111" name="Ink 1110">
              <a:extLst>
                <a:ext uri="{FF2B5EF4-FFF2-40B4-BE49-F238E27FC236}">
                  <a16:creationId xmlns:a16="http://schemas.microsoft.com/office/drawing/2014/main" id="{5635A237-53F7-3747-81B0-6853D46C4D10}"/>
                </a:ext>
              </a:extLst>
            </xdr14:cNvPr>
            <xdr14:cNvContentPartPr/>
          </xdr14:nvContentPartPr>
          <xdr14:nvPr macro=""/>
          <xdr14:xfrm>
            <a:off x="12973680" y="1366560"/>
            <a:ext cx="360" cy="360"/>
          </xdr14:xfrm>
        </xdr:contentPart>
      </mc:Choice>
      <mc:Fallback xmlns="">
        <xdr:pic>
          <xdr:nvPicPr>
            <xdr:cNvPr id="1111" name="Ink 1110">
              <a:extLst>
                <a:ext uri="{FF2B5EF4-FFF2-40B4-BE49-F238E27FC236}">
                  <a16:creationId xmlns:a16="http://schemas.microsoft.com/office/drawing/2014/main" id="{5635A237-53F7-3747-81B0-6853D46C4D10}"/>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184</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2">
          <xdr14:nvContentPartPr>
            <xdr14:cNvPr id="1112" name="Ink 1111">
              <a:extLst>
                <a:ext uri="{FF2B5EF4-FFF2-40B4-BE49-F238E27FC236}">
                  <a16:creationId xmlns:a16="http://schemas.microsoft.com/office/drawing/2014/main" id="{955909DD-3675-9248-A594-497C8614DCDF}"/>
                </a:ext>
              </a:extLst>
            </xdr14:cNvPr>
            <xdr14:cNvContentPartPr/>
          </xdr14:nvContentPartPr>
          <xdr14:nvPr macro=""/>
          <xdr14:xfrm>
            <a:off x="12846960" y="1192320"/>
            <a:ext cx="360" cy="360"/>
          </xdr14:xfrm>
        </xdr:contentPart>
      </mc:Choice>
      <mc:Fallback xmlns="">
        <xdr:pic>
          <xdr:nvPicPr>
            <xdr:cNvPr id="1112" name="Ink 1111">
              <a:extLst>
                <a:ext uri="{FF2B5EF4-FFF2-40B4-BE49-F238E27FC236}">
                  <a16:creationId xmlns:a16="http://schemas.microsoft.com/office/drawing/2014/main" id="{955909DD-3675-9248-A594-497C8614DCDF}"/>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184</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3">
          <xdr14:nvContentPartPr>
            <xdr14:cNvPr id="1113" name="Ink 1112">
              <a:extLst>
                <a:ext uri="{FF2B5EF4-FFF2-40B4-BE49-F238E27FC236}">
                  <a16:creationId xmlns:a16="http://schemas.microsoft.com/office/drawing/2014/main" id="{400876D4-A9DB-4242-A29A-4F80BA2E4EAD}"/>
                </a:ext>
              </a:extLst>
            </xdr14:cNvPr>
            <xdr14:cNvContentPartPr/>
          </xdr14:nvContentPartPr>
          <xdr14:nvPr macro=""/>
          <xdr14:xfrm>
            <a:off x="12866040" y="1243440"/>
            <a:ext cx="360" cy="360"/>
          </xdr14:xfrm>
        </xdr:contentPart>
      </mc:Choice>
      <mc:Fallback xmlns="">
        <xdr:pic>
          <xdr:nvPicPr>
            <xdr:cNvPr id="1113" name="Ink 1112">
              <a:extLst>
                <a:ext uri="{FF2B5EF4-FFF2-40B4-BE49-F238E27FC236}">
                  <a16:creationId xmlns:a16="http://schemas.microsoft.com/office/drawing/2014/main" id="{400876D4-A9DB-4242-A29A-4F80BA2E4EAD}"/>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184</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4">
          <xdr14:nvContentPartPr>
            <xdr14:cNvPr id="1114" name="Ink 1113">
              <a:extLst>
                <a:ext uri="{FF2B5EF4-FFF2-40B4-BE49-F238E27FC236}">
                  <a16:creationId xmlns:a16="http://schemas.microsoft.com/office/drawing/2014/main" id="{79EB87F2-8ED8-DD47-90D1-DB29A259550E}"/>
                </a:ext>
              </a:extLst>
            </xdr14:cNvPr>
            <xdr14:cNvContentPartPr/>
          </xdr14:nvContentPartPr>
          <xdr14:nvPr macro=""/>
          <xdr14:xfrm>
            <a:off x="12973680" y="1366560"/>
            <a:ext cx="360" cy="360"/>
          </xdr14:xfrm>
        </xdr:contentPart>
      </mc:Choice>
      <mc:Fallback xmlns="">
        <xdr:pic>
          <xdr:nvPicPr>
            <xdr:cNvPr id="1114" name="Ink 1113">
              <a:extLst>
                <a:ext uri="{FF2B5EF4-FFF2-40B4-BE49-F238E27FC236}">
                  <a16:creationId xmlns:a16="http://schemas.microsoft.com/office/drawing/2014/main" id="{79EB87F2-8ED8-DD47-90D1-DB29A259550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185</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5">
          <xdr14:nvContentPartPr>
            <xdr14:cNvPr id="1115" name="Ink 1114">
              <a:extLst>
                <a:ext uri="{FF2B5EF4-FFF2-40B4-BE49-F238E27FC236}">
                  <a16:creationId xmlns:a16="http://schemas.microsoft.com/office/drawing/2014/main" id="{CE581216-BECC-DB42-ADF5-89A50AD5DEE8}"/>
                </a:ext>
              </a:extLst>
            </xdr14:cNvPr>
            <xdr14:cNvContentPartPr/>
          </xdr14:nvContentPartPr>
          <xdr14:nvPr macro=""/>
          <xdr14:xfrm>
            <a:off x="12846960" y="1192320"/>
            <a:ext cx="360" cy="360"/>
          </xdr14:xfrm>
        </xdr:contentPart>
      </mc:Choice>
      <mc:Fallback xmlns="">
        <xdr:pic>
          <xdr:nvPicPr>
            <xdr:cNvPr id="1115" name="Ink 1114">
              <a:extLst>
                <a:ext uri="{FF2B5EF4-FFF2-40B4-BE49-F238E27FC236}">
                  <a16:creationId xmlns:a16="http://schemas.microsoft.com/office/drawing/2014/main" id="{CE581216-BECC-DB42-ADF5-89A50AD5DEE8}"/>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185</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6">
          <xdr14:nvContentPartPr>
            <xdr14:cNvPr id="1116" name="Ink 1115">
              <a:extLst>
                <a:ext uri="{FF2B5EF4-FFF2-40B4-BE49-F238E27FC236}">
                  <a16:creationId xmlns:a16="http://schemas.microsoft.com/office/drawing/2014/main" id="{4D85DEF4-2380-EE4D-823A-AA1E94D900DF}"/>
                </a:ext>
              </a:extLst>
            </xdr14:cNvPr>
            <xdr14:cNvContentPartPr/>
          </xdr14:nvContentPartPr>
          <xdr14:nvPr macro=""/>
          <xdr14:xfrm>
            <a:off x="12866040" y="1243440"/>
            <a:ext cx="360" cy="360"/>
          </xdr14:xfrm>
        </xdr:contentPart>
      </mc:Choice>
      <mc:Fallback xmlns="">
        <xdr:pic>
          <xdr:nvPicPr>
            <xdr:cNvPr id="1116" name="Ink 1115">
              <a:extLst>
                <a:ext uri="{FF2B5EF4-FFF2-40B4-BE49-F238E27FC236}">
                  <a16:creationId xmlns:a16="http://schemas.microsoft.com/office/drawing/2014/main" id="{4D85DEF4-2380-EE4D-823A-AA1E94D900DF}"/>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185</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7">
          <xdr14:nvContentPartPr>
            <xdr14:cNvPr id="1117" name="Ink 1116">
              <a:extLst>
                <a:ext uri="{FF2B5EF4-FFF2-40B4-BE49-F238E27FC236}">
                  <a16:creationId xmlns:a16="http://schemas.microsoft.com/office/drawing/2014/main" id="{6FE4C2D6-21BC-FD4F-BE5F-224328E466DA}"/>
                </a:ext>
              </a:extLst>
            </xdr14:cNvPr>
            <xdr14:cNvContentPartPr/>
          </xdr14:nvContentPartPr>
          <xdr14:nvPr macro=""/>
          <xdr14:xfrm>
            <a:off x="12973680" y="1366560"/>
            <a:ext cx="360" cy="360"/>
          </xdr14:xfrm>
        </xdr:contentPart>
      </mc:Choice>
      <mc:Fallback xmlns="">
        <xdr:pic>
          <xdr:nvPicPr>
            <xdr:cNvPr id="1117" name="Ink 1116">
              <a:extLst>
                <a:ext uri="{FF2B5EF4-FFF2-40B4-BE49-F238E27FC236}">
                  <a16:creationId xmlns:a16="http://schemas.microsoft.com/office/drawing/2014/main" id="{6FE4C2D6-21BC-FD4F-BE5F-224328E466DA}"/>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186</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8">
          <xdr14:nvContentPartPr>
            <xdr14:cNvPr id="1118" name="Ink 1117">
              <a:extLst>
                <a:ext uri="{FF2B5EF4-FFF2-40B4-BE49-F238E27FC236}">
                  <a16:creationId xmlns:a16="http://schemas.microsoft.com/office/drawing/2014/main" id="{C80BEFD7-F4E1-3E47-A9EF-71FB9E6A8FC9}"/>
                </a:ext>
              </a:extLst>
            </xdr14:cNvPr>
            <xdr14:cNvContentPartPr/>
          </xdr14:nvContentPartPr>
          <xdr14:nvPr macro=""/>
          <xdr14:xfrm>
            <a:off x="12846960" y="1192320"/>
            <a:ext cx="360" cy="360"/>
          </xdr14:xfrm>
        </xdr:contentPart>
      </mc:Choice>
      <mc:Fallback xmlns="">
        <xdr:pic>
          <xdr:nvPicPr>
            <xdr:cNvPr id="1118" name="Ink 1117">
              <a:extLst>
                <a:ext uri="{FF2B5EF4-FFF2-40B4-BE49-F238E27FC236}">
                  <a16:creationId xmlns:a16="http://schemas.microsoft.com/office/drawing/2014/main" id="{C80BEFD7-F4E1-3E47-A9EF-71FB9E6A8FC9}"/>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186</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19">
          <xdr14:nvContentPartPr>
            <xdr14:cNvPr id="1119" name="Ink 1118">
              <a:extLst>
                <a:ext uri="{FF2B5EF4-FFF2-40B4-BE49-F238E27FC236}">
                  <a16:creationId xmlns:a16="http://schemas.microsoft.com/office/drawing/2014/main" id="{1614CE54-5F10-B347-8E44-1FD5E1C64BFA}"/>
                </a:ext>
              </a:extLst>
            </xdr14:cNvPr>
            <xdr14:cNvContentPartPr/>
          </xdr14:nvContentPartPr>
          <xdr14:nvPr macro=""/>
          <xdr14:xfrm>
            <a:off x="12866040" y="1243440"/>
            <a:ext cx="360" cy="360"/>
          </xdr14:xfrm>
        </xdr:contentPart>
      </mc:Choice>
      <mc:Fallback xmlns="">
        <xdr:pic>
          <xdr:nvPicPr>
            <xdr:cNvPr id="1119" name="Ink 1118">
              <a:extLst>
                <a:ext uri="{FF2B5EF4-FFF2-40B4-BE49-F238E27FC236}">
                  <a16:creationId xmlns:a16="http://schemas.microsoft.com/office/drawing/2014/main" id="{1614CE54-5F10-B347-8E44-1FD5E1C64BF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186</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0">
          <xdr14:nvContentPartPr>
            <xdr14:cNvPr id="1120" name="Ink 1119">
              <a:extLst>
                <a:ext uri="{FF2B5EF4-FFF2-40B4-BE49-F238E27FC236}">
                  <a16:creationId xmlns:a16="http://schemas.microsoft.com/office/drawing/2014/main" id="{67CF1835-6BA9-C744-A0E0-31AC935EDECC}"/>
                </a:ext>
              </a:extLst>
            </xdr14:cNvPr>
            <xdr14:cNvContentPartPr/>
          </xdr14:nvContentPartPr>
          <xdr14:nvPr macro=""/>
          <xdr14:xfrm>
            <a:off x="12973680" y="1366560"/>
            <a:ext cx="360" cy="360"/>
          </xdr14:xfrm>
        </xdr:contentPart>
      </mc:Choice>
      <mc:Fallback xmlns="">
        <xdr:pic>
          <xdr:nvPicPr>
            <xdr:cNvPr id="1120" name="Ink 1119">
              <a:extLst>
                <a:ext uri="{FF2B5EF4-FFF2-40B4-BE49-F238E27FC236}">
                  <a16:creationId xmlns:a16="http://schemas.microsoft.com/office/drawing/2014/main" id="{67CF1835-6BA9-C744-A0E0-31AC935EDEC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187</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1">
          <xdr14:nvContentPartPr>
            <xdr14:cNvPr id="1121" name="Ink 1120">
              <a:extLst>
                <a:ext uri="{FF2B5EF4-FFF2-40B4-BE49-F238E27FC236}">
                  <a16:creationId xmlns:a16="http://schemas.microsoft.com/office/drawing/2014/main" id="{2AB5A120-6FBC-3740-AA2E-EA98C6439982}"/>
                </a:ext>
              </a:extLst>
            </xdr14:cNvPr>
            <xdr14:cNvContentPartPr/>
          </xdr14:nvContentPartPr>
          <xdr14:nvPr macro=""/>
          <xdr14:xfrm>
            <a:off x="12846960" y="1192320"/>
            <a:ext cx="360" cy="360"/>
          </xdr14:xfrm>
        </xdr:contentPart>
      </mc:Choice>
      <mc:Fallback xmlns="">
        <xdr:pic>
          <xdr:nvPicPr>
            <xdr:cNvPr id="1121" name="Ink 1120">
              <a:extLst>
                <a:ext uri="{FF2B5EF4-FFF2-40B4-BE49-F238E27FC236}">
                  <a16:creationId xmlns:a16="http://schemas.microsoft.com/office/drawing/2014/main" id="{2AB5A120-6FBC-3740-AA2E-EA98C643998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187</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2">
          <xdr14:nvContentPartPr>
            <xdr14:cNvPr id="1122" name="Ink 1121">
              <a:extLst>
                <a:ext uri="{FF2B5EF4-FFF2-40B4-BE49-F238E27FC236}">
                  <a16:creationId xmlns:a16="http://schemas.microsoft.com/office/drawing/2014/main" id="{E127BAE4-D62E-7845-81C3-32073ABB13A6}"/>
                </a:ext>
              </a:extLst>
            </xdr14:cNvPr>
            <xdr14:cNvContentPartPr/>
          </xdr14:nvContentPartPr>
          <xdr14:nvPr macro=""/>
          <xdr14:xfrm>
            <a:off x="12866040" y="1243440"/>
            <a:ext cx="360" cy="360"/>
          </xdr14:xfrm>
        </xdr:contentPart>
      </mc:Choice>
      <mc:Fallback xmlns="">
        <xdr:pic>
          <xdr:nvPicPr>
            <xdr:cNvPr id="1122" name="Ink 1121">
              <a:extLst>
                <a:ext uri="{FF2B5EF4-FFF2-40B4-BE49-F238E27FC236}">
                  <a16:creationId xmlns:a16="http://schemas.microsoft.com/office/drawing/2014/main" id="{E127BAE4-D62E-7845-81C3-32073ABB13A6}"/>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187</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3">
          <xdr14:nvContentPartPr>
            <xdr14:cNvPr id="1123" name="Ink 1122">
              <a:extLst>
                <a:ext uri="{FF2B5EF4-FFF2-40B4-BE49-F238E27FC236}">
                  <a16:creationId xmlns:a16="http://schemas.microsoft.com/office/drawing/2014/main" id="{05B908FA-B784-784B-9E23-D534060168A2}"/>
                </a:ext>
              </a:extLst>
            </xdr14:cNvPr>
            <xdr14:cNvContentPartPr/>
          </xdr14:nvContentPartPr>
          <xdr14:nvPr macro=""/>
          <xdr14:xfrm>
            <a:off x="12973680" y="1366560"/>
            <a:ext cx="360" cy="360"/>
          </xdr14:xfrm>
        </xdr:contentPart>
      </mc:Choice>
      <mc:Fallback xmlns="">
        <xdr:pic>
          <xdr:nvPicPr>
            <xdr:cNvPr id="1123" name="Ink 1122">
              <a:extLst>
                <a:ext uri="{FF2B5EF4-FFF2-40B4-BE49-F238E27FC236}">
                  <a16:creationId xmlns:a16="http://schemas.microsoft.com/office/drawing/2014/main" id="{05B908FA-B784-784B-9E23-D534060168A2}"/>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188</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4">
          <xdr14:nvContentPartPr>
            <xdr14:cNvPr id="1124" name="Ink 1123">
              <a:extLst>
                <a:ext uri="{FF2B5EF4-FFF2-40B4-BE49-F238E27FC236}">
                  <a16:creationId xmlns:a16="http://schemas.microsoft.com/office/drawing/2014/main" id="{AC851971-75F5-8042-97DF-1B35B2F1862D}"/>
                </a:ext>
              </a:extLst>
            </xdr14:cNvPr>
            <xdr14:cNvContentPartPr/>
          </xdr14:nvContentPartPr>
          <xdr14:nvPr macro=""/>
          <xdr14:xfrm>
            <a:off x="12846960" y="1192320"/>
            <a:ext cx="360" cy="360"/>
          </xdr14:xfrm>
        </xdr:contentPart>
      </mc:Choice>
      <mc:Fallback xmlns="">
        <xdr:pic>
          <xdr:nvPicPr>
            <xdr:cNvPr id="1124" name="Ink 1123">
              <a:extLst>
                <a:ext uri="{FF2B5EF4-FFF2-40B4-BE49-F238E27FC236}">
                  <a16:creationId xmlns:a16="http://schemas.microsoft.com/office/drawing/2014/main" id="{AC851971-75F5-8042-97DF-1B35B2F1862D}"/>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188</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5">
          <xdr14:nvContentPartPr>
            <xdr14:cNvPr id="1125" name="Ink 1124">
              <a:extLst>
                <a:ext uri="{FF2B5EF4-FFF2-40B4-BE49-F238E27FC236}">
                  <a16:creationId xmlns:a16="http://schemas.microsoft.com/office/drawing/2014/main" id="{B10E1168-610F-F341-9EBB-CF5D6DA11103}"/>
                </a:ext>
              </a:extLst>
            </xdr14:cNvPr>
            <xdr14:cNvContentPartPr/>
          </xdr14:nvContentPartPr>
          <xdr14:nvPr macro=""/>
          <xdr14:xfrm>
            <a:off x="12866040" y="1243440"/>
            <a:ext cx="360" cy="360"/>
          </xdr14:xfrm>
        </xdr:contentPart>
      </mc:Choice>
      <mc:Fallback xmlns="">
        <xdr:pic>
          <xdr:nvPicPr>
            <xdr:cNvPr id="1125" name="Ink 1124">
              <a:extLst>
                <a:ext uri="{FF2B5EF4-FFF2-40B4-BE49-F238E27FC236}">
                  <a16:creationId xmlns:a16="http://schemas.microsoft.com/office/drawing/2014/main" id="{B10E1168-610F-F341-9EBB-CF5D6DA11103}"/>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188</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6">
          <xdr14:nvContentPartPr>
            <xdr14:cNvPr id="1126" name="Ink 1125">
              <a:extLst>
                <a:ext uri="{FF2B5EF4-FFF2-40B4-BE49-F238E27FC236}">
                  <a16:creationId xmlns:a16="http://schemas.microsoft.com/office/drawing/2014/main" id="{72409E18-ED95-F740-92E5-8CECB35408DC}"/>
                </a:ext>
              </a:extLst>
            </xdr14:cNvPr>
            <xdr14:cNvContentPartPr/>
          </xdr14:nvContentPartPr>
          <xdr14:nvPr macro=""/>
          <xdr14:xfrm>
            <a:off x="12973680" y="1366560"/>
            <a:ext cx="360" cy="360"/>
          </xdr14:xfrm>
        </xdr:contentPart>
      </mc:Choice>
      <mc:Fallback xmlns="">
        <xdr:pic>
          <xdr:nvPicPr>
            <xdr:cNvPr id="1126" name="Ink 1125">
              <a:extLst>
                <a:ext uri="{FF2B5EF4-FFF2-40B4-BE49-F238E27FC236}">
                  <a16:creationId xmlns:a16="http://schemas.microsoft.com/office/drawing/2014/main" id="{72409E18-ED95-F740-92E5-8CECB35408DC}"/>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189</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7">
          <xdr14:nvContentPartPr>
            <xdr14:cNvPr id="1127" name="Ink 1126">
              <a:extLst>
                <a:ext uri="{FF2B5EF4-FFF2-40B4-BE49-F238E27FC236}">
                  <a16:creationId xmlns:a16="http://schemas.microsoft.com/office/drawing/2014/main" id="{569F9AB6-E901-3A49-96C4-542662CF53B2}"/>
                </a:ext>
              </a:extLst>
            </xdr14:cNvPr>
            <xdr14:cNvContentPartPr/>
          </xdr14:nvContentPartPr>
          <xdr14:nvPr macro=""/>
          <xdr14:xfrm>
            <a:off x="12846960" y="1192320"/>
            <a:ext cx="360" cy="360"/>
          </xdr14:xfrm>
        </xdr:contentPart>
      </mc:Choice>
      <mc:Fallback xmlns="">
        <xdr:pic>
          <xdr:nvPicPr>
            <xdr:cNvPr id="1127" name="Ink 1126">
              <a:extLst>
                <a:ext uri="{FF2B5EF4-FFF2-40B4-BE49-F238E27FC236}">
                  <a16:creationId xmlns:a16="http://schemas.microsoft.com/office/drawing/2014/main" id="{569F9AB6-E901-3A49-96C4-542662CF53B2}"/>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189</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8">
          <xdr14:nvContentPartPr>
            <xdr14:cNvPr id="1128" name="Ink 1127">
              <a:extLst>
                <a:ext uri="{FF2B5EF4-FFF2-40B4-BE49-F238E27FC236}">
                  <a16:creationId xmlns:a16="http://schemas.microsoft.com/office/drawing/2014/main" id="{0B5194EE-54CC-EE4F-8E35-110241A5BB14}"/>
                </a:ext>
              </a:extLst>
            </xdr14:cNvPr>
            <xdr14:cNvContentPartPr/>
          </xdr14:nvContentPartPr>
          <xdr14:nvPr macro=""/>
          <xdr14:xfrm>
            <a:off x="12866040" y="1243440"/>
            <a:ext cx="360" cy="360"/>
          </xdr14:xfrm>
        </xdr:contentPart>
      </mc:Choice>
      <mc:Fallback xmlns="">
        <xdr:pic>
          <xdr:nvPicPr>
            <xdr:cNvPr id="1128" name="Ink 1127">
              <a:extLst>
                <a:ext uri="{FF2B5EF4-FFF2-40B4-BE49-F238E27FC236}">
                  <a16:creationId xmlns:a16="http://schemas.microsoft.com/office/drawing/2014/main" id="{0B5194EE-54CC-EE4F-8E35-110241A5BB14}"/>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189</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29">
          <xdr14:nvContentPartPr>
            <xdr14:cNvPr id="1129" name="Ink 1128">
              <a:extLst>
                <a:ext uri="{FF2B5EF4-FFF2-40B4-BE49-F238E27FC236}">
                  <a16:creationId xmlns:a16="http://schemas.microsoft.com/office/drawing/2014/main" id="{2231D3CD-C96D-D54B-9871-F3CD3183A88D}"/>
                </a:ext>
              </a:extLst>
            </xdr14:cNvPr>
            <xdr14:cNvContentPartPr/>
          </xdr14:nvContentPartPr>
          <xdr14:nvPr macro=""/>
          <xdr14:xfrm>
            <a:off x="12973680" y="1366560"/>
            <a:ext cx="360" cy="360"/>
          </xdr14:xfrm>
        </xdr:contentPart>
      </mc:Choice>
      <mc:Fallback xmlns="">
        <xdr:pic>
          <xdr:nvPicPr>
            <xdr:cNvPr id="1129" name="Ink 1128">
              <a:extLst>
                <a:ext uri="{FF2B5EF4-FFF2-40B4-BE49-F238E27FC236}">
                  <a16:creationId xmlns:a16="http://schemas.microsoft.com/office/drawing/2014/main" id="{2231D3CD-C96D-D54B-9871-F3CD3183A88D}"/>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190</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0">
          <xdr14:nvContentPartPr>
            <xdr14:cNvPr id="1130" name="Ink 1129">
              <a:extLst>
                <a:ext uri="{FF2B5EF4-FFF2-40B4-BE49-F238E27FC236}">
                  <a16:creationId xmlns:a16="http://schemas.microsoft.com/office/drawing/2014/main" id="{1690FA9A-4AF6-B34E-B031-9560F5AD6E37}"/>
                </a:ext>
              </a:extLst>
            </xdr14:cNvPr>
            <xdr14:cNvContentPartPr/>
          </xdr14:nvContentPartPr>
          <xdr14:nvPr macro=""/>
          <xdr14:xfrm>
            <a:off x="12846960" y="1192320"/>
            <a:ext cx="360" cy="360"/>
          </xdr14:xfrm>
        </xdr:contentPart>
      </mc:Choice>
      <mc:Fallback xmlns="">
        <xdr:pic>
          <xdr:nvPicPr>
            <xdr:cNvPr id="1130" name="Ink 1129">
              <a:extLst>
                <a:ext uri="{FF2B5EF4-FFF2-40B4-BE49-F238E27FC236}">
                  <a16:creationId xmlns:a16="http://schemas.microsoft.com/office/drawing/2014/main" id="{1690FA9A-4AF6-B34E-B031-9560F5AD6E3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190</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1">
          <xdr14:nvContentPartPr>
            <xdr14:cNvPr id="1131" name="Ink 1130">
              <a:extLst>
                <a:ext uri="{FF2B5EF4-FFF2-40B4-BE49-F238E27FC236}">
                  <a16:creationId xmlns:a16="http://schemas.microsoft.com/office/drawing/2014/main" id="{BBA30A94-85E1-BA4D-88FA-7FBE8CAC1D5E}"/>
                </a:ext>
              </a:extLst>
            </xdr14:cNvPr>
            <xdr14:cNvContentPartPr/>
          </xdr14:nvContentPartPr>
          <xdr14:nvPr macro=""/>
          <xdr14:xfrm>
            <a:off x="12866040" y="1243440"/>
            <a:ext cx="360" cy="360"/>
          </xdr14:xfrm>
        </xdr:contentPart>
      </mc:Choice>
      <mc:Fallback xmlns="">
        <xdr:pic>
          <xdr:nvPicPr>
            <xdr:cNvPr id="1131" name="Ink 1130">
              <a:extLst>
                <a:ext uri="{FF2B5EF4-FFF2-40B4-BE49-F238E27FC236}">
                  <a16:creationId xmlns:a16="http://schemas.microsoft.com/office/drawing/2014/main" id="{BBA30A94-85E1-BA4D-88FA-7FBE8CAC1D5E}"/>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190</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2">
          <xdr14:nvContentPartPr>
            <xdr14:cNvPr id="1132" name="Ink 1131">
              <a:extLst>
                <a:ext uri="{FF2B5EF4-FFF2-40B4-BE49-F238E27FC236}">
                  <a16:creationId xmlns:a16="http://schemas.microsoft.com/office/drawing/2014/main" id="{58FFDA7C-77F9-C240-B533-4904903482EE}"/>
                </a:ext>
              </a:extLst>
            </xdr14:cNvPr>
            <xdr14:cNvContentPartPr/>
          </xdr14:nvContentPartPr>
          <xdr14:nvPr macro=""/>
          <xdr14:xfrm>
            <a:off x="12973680" y="1366560"/>
            <a:ext cx="360" cy="360"/>
          </xdr14:xfrm>
        </xdr:contentPart>
      </mc:Choice>
      <mc:Fallback xmlns="">
        <xdr:pic>
          <xdr:nvPicPr>
            <xdr:cNvPr id="1132" name="Ink 1131">
              <a:extLst>
                <a:ext uri="{FF2B5EF4-FFF2-40B4-BE49-F238E27FC236}">
                  <a16:creationId xmlns:a16="http://schemas.microsoft.com/office/drawing/2014/main" id="{58FFDA7C-77F9-C240-B533-4904903482EE}"/>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191</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3">
          <xdr14:nvContentPartPr>
            <xdr14:cNvPr id="1133" name="Ink 1132">
              <a:extLst>
                <a:ext uri="{FF2B5EF4-FFF2-40B4-BE49-F238E27FC236}">
                  <a16:creationId xmlns:a16="http://schemas.microsoft.com/office/drawing/2014/main" id="{DC5F9468-A5DF-7F45-AF15-6B37DAFD68A7}"/>
                </a:ext>
              </a:extLst>
            </xdr14:cNvPr>
            <xdr14:cNvContentPartPr/>
          </xdr14:nvContentPartPr>
          <xdr14:nvPr macro=""/>
          <xdr14:xfrm>
            <a:off x="12846960" y="1192320"/>
            <a:ext cx="360" cy="360"/>
          </xdr14:xfrm>
        </xdr:contentPart>
      </mc:Choice>
      <mc:Fallback xmlns="">
        <xdr:pic>
          <xdr:nvPicPr>
            <xdr:cNvPr id="1133" name="Ink 1132">
              <a:extLst>
                <a:ext uri="{FF2B5EF4-FFF2-40B4-BE49-F238E27FC236}">
                  <a16:creationId xmlns:a16="http://schemas.microsoft.com/office/drawing/2014/main" id="{DC5F9468-A5DF-7F45-AF15-6B37DAFD68A7}"/>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191</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4">
          <xdr14:nvContentPartPr>
            <xdr14:cNvPr id="1134" name="Ink 1133">
              <a:extLst>
                <a:ext uri="{FF2B5EF4-FFF2-40B4-BE49-F238E27FC236}">
                  <a16:creationId xmlns:a16="http://schemas.microsoft.com/office/drawing/2014/main" id="{8E41E1C0-E535-D444-87B6-AA0FDF1EA877}"/>
                </a:ext>
              </a:extLst>
            </xdr14:cNvPr>
            <xdr14:cNvContentPartPr/>
          </xdr14:nvContentPartPr>
          <xdr14:nvPr macro=""/>
          <xdr14:xfrm>
            <a:off x="12866040" y="1243440"/>
            <a:ext cx="360" cy="360"/>
          </xdr14:xfrm>
        </xdr:contentPart>
      </mc:Choice>
      <mc:Fallback xmlns="">
        <xdr:pic>
          <xdr:nvPicPr>
            <xdr:cNvPr id="1134" name="Ink 1133">
              <a:extLst>
                <a:ext uri="{FF2B5EF4-FFF2-40B4-BE49-F238E27FC236}">
                  <a16:creationId xmlns:a16="http://schemas.microsoft.com/office/drawing/2014/main" id="{8E41E1C0-E535-D444-87B6-AA0FDF1EA877}"/>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191</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5">
          <xdr14:nvContentPartPr>
            <xdr14:cNvPr id="1135" name="Ink 1134">
              <a:extLst>
                <a:ext uri="{FF2B5EF4-FFF2-40B4-BE49-F238E27FC236}">
                  <a16:creationId xmlns:a16="http://schemas.microsoft.com/office/drawing/2014/main" id="{3A3C0514-FBDC-2543-BB31-D0DF50031614}"/>
                </a:ext>
              </a:extLst>
            </xdr14:cNvPr>
            <xdr14:cNvContentPartPr/>
          </xdr14:nvContentPartPr>
          <xdr14:nvPr macro=""/>
          <xdr14:xfrm>
            <a:off x="12973680" y="1366560"/>
            <a:ext cx="360" cy="360"/>
          </xdr14:xfrm>
        </xdr:contentPart>
      </mc:Choice>
      <mc:Fallback xmlns="">
        <xdr:pic>
          <xdr:nvPicPr>
            <xdr:cNvPr id="1135" name="Ink 1134">
              <a:extLst>
                <a:ext uri="{FF2B5EF4-FFF2-40B4-BE49-F238E27FC236}">
                  <a16:creationId xmlns:a16="http://schemas.microsoft.com/office/drawing/2014/main" id="{3A3C0514-FBDC-2543-BB31-D0DF50031614}"/>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oneCellAnchor>
    <xdr:from>
      <xdr:col>15</xdr:col>
      <xdr:colOff>0</xdr:colOff>
      <xdr:row>192</xdr:row>
      <xdr:rowOff>265220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6">
          <xdr14:nvContentPartPr>
            <xdr14:cNvPr id="1136" name="Ink 1135">
              <a:extLst>
                <a:ext uri="{FF2B5EF4-FFF2-40B4-BE49-F238E27FC236}">
                  <a16:creationId xmlns:a16="http://schemas.microsoft.com/office/drawing/2014/main" id="{B7DF3B86-E4B4-2E4A-8F93-740AA7B4D3DE}"/>
                </a:ext>
              </a:extLst>
            </xdr14:cNvPr>
            <xdr14:cNvContentPartPr/>
          </xdr14:nvContentPartPr>
          <xdr14:nvPr macro=""/>
          <xdr14:xfrm>
            <a:off x="12846960" y="1192320"/>
            <a:ext cx="360" cy="360"/>
          </xdr14:xfrm>
        </xdr:contentPart>
      </mc:Choice>
      <mc:Fallback xmlns="">
        <xdr:pic>
          <xdr:nvPicPr>
            <xdr:cNvPr id="1136" name="Ink 1135">
              <a:extLst>
                <a:ext uri="{FF2B5EF4-FFF2-40B4-BE49-F238E27FC236}">
                  <a16:creationId xmlns:a16="http://schemas.microsoft.com/office/drawing/2014/main" id="{B7DF3B86-E4B4-2E4A-8F93-740AA7B4D3DE}"/>
                </a:ext>
              </a:extLst>
            </xdr:cNvPr>
            <xdr:cNvPicPr/>
          </xdr:nvPicPr>
          <xdr:blipFill>
            <a:blip xmlns:r="http://schemas.openxmlformats.org/officeDocument/2006/relationships" r:embed="rId2"/>
            <a:stretch>
              <a:fillRect/>
            </a:stretch>
          </xdr:blipFill>
          <xdr:spPr>
            <a:xfrm>
              <a:off x="12837960" y="1183320"/>
              <a:ext cx="18000" cy="18000"/>
            </a:xfrm>
            <a:prstGeom prst="rect">
              <a:avLst/>
            </a:prstGeom>
          </xdr:spPr>
        </xdr:pic>
      </mc:Fallback>
    </mc:AlternateContent>
    <xdr:clientData/>
  </xdr:oneCellAnchor>
  <xdr:oneCellAnchor>
    <xdr:from>
      <xdr:col>15</xdr:col>
      <xdr:colOff>0</xdr:colOff>
      <xdr:row>192</xdr:row>
      <xdr:rowOff>316340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7">
          <xdr14:nvContentPartPr>
            <xdr14:cNvPr id="1137" name="Ink 1136">
              <a:extLst>
                <a:ext uri="{FF2B5EF4-FFF2-40B4-BE49-F238E27FC236}">
                  <a16:creationId xmlns:a16="http://schemas.microsoft.com/office/drawing/2014/main" id="{667C130D-AAA8-2749-810E-B06FE2307D4A}"/>
                </a:ext>
              </a:extLst>
            </xdr14:cNvPr>
            <xdr14:cNvContentPartPr/>
          </xdr14:nvContentPartPr>
          <xdr14:nvPr macro=""/>
          <xdr14:xfrm>
            <a:off x="12866040" y="1243440"/>
            <a:ext cx="360" cy="360"/>
          </xdr14:xfrm>
        </xdr:contentPart>
      </mc:Choice>
      <mc:Fallback xmlns="">
        <xdr:pic>
          <xdr:nvPicPr>
            <xdr:cNvPr id="1137" name="Ink 1136">
              <a:extLst>
                <a:ext uri="{FF2B5EF4-FFF2-40B4-BE49-F238E27FC236}">
                  <a16:creationId xmlns:a16="http://schemas.microsoft.com/office/drawing/2014/main" id="{667C130D-AAA8-2749-810E-B06FE2307D4A}"/>
                </a:ext>
              </a:extLst>
            </xdr:cNvPr>
            <xdr:cNvPicPr/>
          </xdr:nvPicPr>
          <xdr:blipFill>
            <a:blip xmlns:r="http://schemas.openxmlformats.org/officeDocument/2006/relationships" r:embed="rId2"/>
            <a:stretch>
              <a:fillRect/>
            </a:stretch>
          </xdr:blipFill>
          <xdr:spPr>
            <a:xfrm>
              <a:off x="12857400" y="1234440"/>
              <a:ext cx="18000" cy="18000"/>
            </a:xfrm>
            <a:prstGeom prst="rect">
              <a:avLst/>
            </a:prstGeom>
          </xdr:spPr>
        </xdr:pic>
      </mc:Fallback>
    </mc:AlternateContent>
    <xdr:clientData/>
  </xdr:oneCellAnchor>
  <xdr:oneCellAnchor>
    <xdr:from>
      <xdr:col>15</xdr:col>
      <xdr:colOff>0</xdr:colOff>
      <xdr:row>192</xdr:row>
      <xdr:rowOff>439460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38">
          <xdr14:nvContentPartPr>
            <xdr14:cNvPr id="1138" name="Ink 1137">
              <a:extLst>
                <a:ext uri="{FF2B5EF4-FFF2-40B4-BE49-F238E27FC236}">
                  <a16:creationId xmlns:a16="http://schemas.microsoft.com/office/drawing/2014/main" id="{736AA328-9679-5F4D-A734-D01DF45C76DB}"/>
                </a:ext>
              </a:extLst>
            </xdr14:cNvPr>
            <xdr14:cNvContentPartPr/>
          </xdr14:nvContentPartPr>
          <xdr14:nvPr macro=""/>
          <xdr14:xfrm>
            <a:off x="12973680" y="1366560"/>
            <a:ext cx="360" cy="360"/>
          </xdr14:xfrm>
        </xdr:contentPart>
      </mc:Choice>
      <mc:Fallback xmlns="">
        <xdr:pic>
          <xdr:nvPicPr>
            <xdr:cNvPr id="1138" name="Ink 1137">
              <a:extLst>
                <a:ext uri="{FF2B5EF4-FFF2-40B4-BE49-F238E27FC236}">
                  <a16:creationId xmlns:a16="http://schemas.microsoft.com/office/drawing/2014/main" id="{736AA328-9679-5F4D-A734-D01DF45C76DB}"/>
                </a:ext>
              </a:extLst>
            </xdr:cNvPr>
            <xdr:cNvPicPr/>
          </xdr:nvPicPr>
          <xdr:blipFill>
            <a:blip xmlns:r="http://schemas.openxmlformats.org/officeDocument/2006/relationships" r:embed="rId2"/>
            <a:stretch>
              <a:fillRect/>
            </a:stretch>
          </xdr:blipFill>
          <xdr:spPr>
            <a:xfrm>
              <a:off x="12965040" y="1357560"/>
              <a:ext cx="18000" cy="180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13</xdr:col>
      <xdr:colOff>203865</xdr:colOff>
      <xdr:row>31</xdr:row>
      <xdr:rowOff>96742</xdr:rowOff>
    </xdr:from>
    <xdr:to>
      <xdr:col>27</xdr:col>
      <xdr:colOff>103804</xdr:colOff>
      <xdr:row>73</xdr:row>
      <xdr:rowOff>135227</xdr:rowOff>
    </xdr:to>
    <xdr:graphicFrame macro="">
      <xdr:nvGraphicFramePr>
        <xdr:cNvPr id="2" name="Chart 1">
          <a:extLst>
            <a:ext uri="{FF2B5EF4-FFF2-40B4-BE49-F238E27FC236}">
              <a16:creationId xmlns:a16="http://schemas.microsoft.com/office/drawing/2014/main" id="{8BB136B8-F330-0D3E-5B8F-96153BA31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4:51:08.745"/>
    </inkml:context>
    <inkml:brush xml:id="br0">
      <inkml:brushProperty name="width" value="0.05" units="cm"/>
      <inkml:brushProperty name="height" value="0.05" units="cm"/>
    </inkml:brush>
  </inkml:definitions>
  <inkml:trace contextRef="#ctx0" brushRef="#br0">0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4:51:09.703"/>
    </inkml:context>
    <inkml:brush xml:id="br0">
      <inkml:brushProperty name="width" value="0.05" units="cm"/>
      <inkml:brushProperty name="height" value="0.05" units="cm"/>
    </inkml:brush>
  </inkml:definitions>
  <inkml:trace contextRef="#ctx0" brushRef="#br0">1 0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4:51:10.681"/>
    </inkml:context>
    <inkml:brush xml:id="br0">
      <inkml:brushProperty name="width" value="0.05" units="cm"/>
      <inkml:brushProperty name="height" value="0.05" units="cm"/>
    </inkml:brush>
  </inkml:definitions>
  <inkml:trace contextRef="#ctx0" brushRef="#br0">1 0 24575,'0'0'0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57"/>
    </inkml:context>
    <inkml:brush xml:id="br0">
      <inkml:brushProperty name="width" value="0.05" units="cm"/>
      <inkml:brushProperty name="height" value="0.05" units="cm"/>
    </inkml:brush>
  </inkml:definitions>
  <inkml:trace contextRef="#ctx0" brushRef="#br0">0 0 24575,'0'0'0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58"/>
    </inkml:context>
    <inkml:brush xml:id="br0">
      <inkml:brushProperty name="width" value="0.05" units="cm"/>
      <inkml:brushProperty name="height" value="0.05" units="cm"/>
    </inkml:brush>
  </inkml:definitions>
  <inkml:trace contextRef="#ctx0" brushRef="#br0">1 0 24575,'0'0'0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59"/>
    </inkml:context>
    <inkml:brush xml:id="br0">
      <inkml:brushProperty name="width" value="0.05" units="cm"/>
      <inkml:brushProperty name="height" value="0.05" units="cm"/>
    </inkml:brush>
  </inkml:definitions>
  <inkml:trace contextRef="#ctx0" brushRef="#br0">1 0 24575,'0'0'0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68"/>
    </inkml:context>
    <inkml:brush xml:id="br0">
      <inkml:brushProperty name="width" value="0.05" units="cm"/>
      <inkml:brushProperty name="height" value="0.05" units="cm"/>
    </inkml:brush>
  </inkml:definitions>
  <inkml:trace contextRef="#ctx0" brushRef="#br0">0 0 24575,'0'0'0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69"/>
    </inkml:context>
    <inkml:brush xml:id="br0">
      <inkml:brushProperty name="width" value="0.05" units="cm"/>
      <inkml:brushProperty name="height" value="0.05" units="cm"/>
    </inkml:brush>
  </inkml:definitions>
  <inkml:trace contextRef="#ctx0" brushRef="#br0">1 0 24575,'0'0'0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70"/>
    </inkml:context>
    <inkml:brush xml:id="br0">
      <inkml:brushProperty name="width" value="0.05" units="cm"/>
      <inkml:brushProperty name="height" value="0.05" units="cm"/>
    </inkml:brush>
  </inkml:definitions>
  <inkml:trace contextRef="#ctx0" brushRef="#br0">1 0 24575,'0'0'0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72"/>
    </inkml:context>
    <inkml:brush xml:id="br0">
      <inkml:brushProperty name="width" value="0.05" units="cm"/>
      <inkml:brushProperty name="height" value="0.05" units="cm"/>
    </inkml:brush>
  </inkml:definitions>
  <inkml:trace contextRef="#ctx0" brushRef="#br0">0 0 24575,'0'0'0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73"/>
    </inkml:context>
    <inkml:brush xml:id="br0">
      <inkml:brushProperty name="width" value="0.05" units="cm"/>
      <inkml:brushProperty name="height" value="0.05" units="cm"/>
    </inkml:brush>
  </inkml:definitions>
  <inkml:trace contextRef="#ctx0" brushRef="#br0">1 0 24575,'0'0'0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74"/>
    </inkml:context>
    <inkml:brush xml:id="br0">
      <inkml:brushProperty name="width" value="0.05" units="cm"/>
      <inkml:brushProperty name="height" value="0.05" units="cm"/>
    </inkml:brush>
  </inkml:definitions>
  <inkml:trace contextRef="#ctx0" brushRef="#br0">1 0 24575,'0'0'0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76"/>
    </inkml:context>
    <inkml:brush xml:id="br0">
      <inkml:brushProperty name="width" value="0.05" units="cm"/>
      <inkml:brushProperty name="height" value="0.05" units="cm"/>
    </inkml:brush>
  </inkml:definitions>
  <inkml:trace contextRef="#ctx0" brushRef="#br0">0 0 24575,'0'0'0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77"/>
    </inkml:context>
    <inkml:brush xml:id="br0">
      <inkml:brushProperty name="width" value="0.05" units="cm"/>
      <inkml:brushProperty name="height" value="0.05" units="cm"/>
    </inkml:brush>
  </inkml:definitions>
  <inkml:trace contextRef="#ctx0" brushRef="#br0">1 0 24575,'0'0'0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78"/>
    </inkml:context>
    <inkml:brush xml:id="br0">
      <inkml:brushProperty name="width" value="0.05" units="cm"/>
      <inkml:brushProperty name="height" value="0.05" units="cm"/>
    </inkml:brush>
  </inkml:definitions>
  <inkml:trace contextRef="#ctx0" brushRef="#br0">1 0 24575,'0'0'0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79"/>
    </inkml:context>
    <inkml:brush xml:id="br0">
      <inkml:brushProperty name="width" value="0.05" units="cm"/>
      <inkml:brushProperty name="height" value="0.05" units="cm"/>
    </inkml:brush>
  </inkml:definitions>
  <inkml:trace contextRef="#ctx0" brushRef="#br0">0 0 24575,'0'0'0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80"/>
    </inkml:context>
    <inkml:brush xml:id="br0">
      <inkml:brushProperty name="width" value="0.05" units="cm"/>
      <inkml:brushProperty name="height" value="0.05" units="cm"/>
    </inkml:brush>
  </inkml:definitions>
  <inkml:trace contextRef="#ctx0" brushRef="#br0">1 0 24575,'0'0'0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81"/>
    </inkml:context>
    <inkml:brush xml:id="br0">
      <inkml:brushProperty name="width" value="0.05" units="cm"/>
      <inkml:brushProperty name="height" value="0.05" units="cm"/>
    </inkml:brush>
  </inkml:definitions>
  <inkml:trace contextRef="#ctx0" brushRef="#br0">1 0 24575,'0'0'0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83"/>
    </inkml:context>
    <inkml:brush xml:id="br0">
      <inkml:brushProperty name="width" value="0.05" units="cm"/>
      <inkml:brushProperty name="height" value="0.05" units="cm"/>
    </inkml:brush>
  </inkml:definitions>
  <inkml:trace contextRef="#ctx0" brushRef="#br0">0 0 24575,'0'0'0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84"/>
    </inkml:context>
    <inkml:brush xml:id="br0">
      <inkml:brushProperty name="width" value="0.05" units="cm"/>
      <inkml:brushProperty name="height" value="0.05" units="cm"/>
    </inkml:brush>
  </inkml:definitions>
  <inkml:trace contextRef="#ctx0" brushRef="#br0">1 0 24575,'0'0'0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85"/>
    </inkml:context>
    <inkml:brush xml:id="br0">
      <inkml:brushProperty name="width" value="0.05" units="cm"/>
      <inkml:brushProperty name="height" value="0.05" units="cm"/>
    </inkml:brush>
  </inkml:definitions>
  <inkml:trace contextRef="#ctx0" brushRef="#br0">1 0 24575,'0'0'0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86"/>
    </inkml:context>
    <inkml:brush xml:id="br0">
      <inkml:brushProperty name="width" value="0.05" units="cm"/>
      <inkml:brushProperty name="height" value="0.05" units="cm"/>
    </inkml:brush>
  </inkml:definitions>
  <inkml:trace contextRef="#ctx0" brushRef="#br0">0 0 24575,'0'0'0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87"/>
    </inkml:context>
    <inkml:brush xml:id="br0">
      <inkml:brushProperty name="width" value="0.05" units="cm"/>
      <inkml:brushProperty name="height" value="0.05" units="cm"/>
    </inkml:brush>
  </inkml:definitions>
  <inkml:trace contextRef="#ctx0" brushRef="#br0">1 0 24575,'0'0'0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88"/>
    </inkml:context>
    <inkml:brush xml:id="br0">
      <inkml:brushProperty name="width" value="0.05" units="cm"/>
      <inkml:brushProperty name="height" value="0.05" units="cm"/>
    </inkml:brush>
  </inkml:definitions>
  <inkml:trace contextRef="#ctx0" brushRef="#br0">1 0 24575,'0'0'0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0"/>
    </inkml:context>
    <inkml:brush xml:id="br0">
      <inkml:brushProperty name="width" value="0.05" units="cm"/>
      <inkml:brushProperty name="height" value="0.05" units="cm"/>
    </inkml:brush>
  </inkml:definitions>
  <inkml:trace contextRef="#ctx0" brushRef="#br0">0 0 24575,'0'0'0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1"/>
    </inkml:context>
    <inkml:brush xml:id="br0">
      <inkml:brushProperty name="width" value="0.05" units="cm"/>
      <inkml:brushProperty name="height" value="0.05" units="cm"/>
    </inkml:brush>
  </inkml:definitions>
  <inkml:trace contextRef="#ctx0" brushRef="#br0">1 0 24575,'0'0'0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2"/>
    </inkml:context>
    <inkml:brush xml:id="br0">
      <inkml:brushProperty name="width" value="0.05" units="cm"/>
      <inkml:brushProperty name="height" value="0.05" units="cm"/>
    </inkml:brush>
  </inkml:definitions>
  <inkml:trace contextRef="#ctx0" brushRef="#br0">1 0 24575,'0'0'0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3"/>
    </inkml:context>
    <inkml:brush xml:id="br0">
      <inkml:brushProperty name="width" value="0.05" units="cm"/>
      <inkml:brushProperty name="height" value="0.05" units="cm"/>
    </inkml:brush>
  </inkml:definitions>
  <inkml:trace contextRef="#ctx0" brushRef="#br0">0 0 24575,'0'0'0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4"/>
    </inkml:context>
    <inkml:brush xml:id="br0">
      <inkml:brushProperty name="width" value="0.05" units="cm"/>
      <inkml:brushProperty name="height" value="0.05" units="cm"/>
    </inkml:brush>
  </inkml:definitions>
  <inkml:trace contextRef="#ctx0" brushRef="#br0">1 0 24575,'0'0'0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5"/>
    </inkml:context>
    <inkml:brush xml:id="br0">
      <inkml:brushProperty name="width" value="0.05" units="cm"/>
      <inkml:brushProperty name="height" value="0.05" units="cm"/>
    </inkml:brush>
  </inkml:definitions>
  <inkml:trace contextRef="#ctx0" brushRef="#br0">1 0 24575,'0'0'0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7"/>
    </inkml:context>
    <inkml:brush xml:id="br0">
      <inkml:brushProperty name="width" value="0.05" units="cm"/>
      <inkml:brushProperty name="height" value="0.05" units="cm"/>
    </inkml:brush>
  </inkml:definitions>
  <inkml:trace contextRef="#ctx0" brushRef="#br0">0 0 24575,'0'0'0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8"/>
    </inkml:context>
    <inkml:brush xml:id="br0">
      <inkml:brushProperty name="width" value="0.05" units="cm"/>
      <inkml:brushProperty name="height" value="0.05" units="cm"/>
    </inkml:brush>
  </inkml:definitions>
  <inkml:trace contextRef="#ctx0" brushRef="#br0">1 0 24575,'0'0'0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5.999"/>
    </inkml:context>
    <inkml:brush xml:id="br0">
      <inkml:brushProperty name="width" value="0.05" units="cm"/>
      <inkml:brushProperty name="height" value="0.05" units="cm"/>
    </inkml:brush>
  </inkml:definitions>
  <inkml:trace contextRef="#ctx0" brushRef="#br0">1 0 24575,'0'0'0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01"/>
    </inkml:context>
    <inkml:brush xml:id="br0">
      <inkml:brushProperty name="width" value="0.05" units="cm"/>
      <inkml:brushProperty name="height" value="0.05" units="cm"/>
    </inkml:brush>
  </inkml:definitions>
  <inkml:trace contextRef="#ctx0" brushRef="#br0">0 0 24575,'0'0'0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02"/>
    </inkml:context>
    <inkml:brush xml:id="br0">
      <inkml:brushProperty name="width" value="0.05" units="cm"/>
      <inkml:brushProperty name="height" value="0.05" units="cm"/>
    </inkml:brush>
  </inkml:definitions>
  <inkml:trace contextRef="#ctx0" brushRef="#br0">1 0 24575,'0'0'0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03"/>
    </inkml:context>
    <inkml:brush xml:id="br0">
      <inkml:brushProperty name="width" value="0.05" units="cm"/>
      <inkml:brushProperty name="height" value="0.05" units="cm"/>
    </inkml:brush>
  </inkml:definitions>
  <inkml:trace contextRef="#ctx0" brushRef="#br0">1 0 24575,'0'0'0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04"/>
    </inkml:context>
    <inkml:brush xml:id="br0">
      <inkml:brushProperty name="width" value="0.05" units="cm"/>
      <inkml:brushProperty name="height" value="0.05" units="cm"/>
    </inkml:brush>
  </inkml:definitions>
  <inkml:trace contextRef="#ctx0" brushRef="#br0">0 0 24575,'0'0'0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05"/>
    </inkml:context>
    <inkml:brush xml:id="br0">
      <inkml:brushProperty name="width" value="0.05" units="cm"/>
      <inkml:brushProperty name="height" value="0.05" units="cm"/>
    </inkml:brush>
  </inkml:definitions>
  <inkml:trace contextRef="#ctx0" brushRef="#br0">1 0 24575,'0'0'0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06"/>
    </inkml:context>
    <inkml:brush xml:id="br0">
      <inkml:brushProperty name="width" value="0.05" units="cm"/>
      <inkml:brushProperty name="height" value="0.05" units="cm"/>
    </inkml:brush>
  </inkml:definitions>
  <inkml:trace contextRef="#ctx0" brushRef="#br0">1 0 24575,'0'0'0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08"/>
    </inkml:context>
    <inkml:brush xml:id="br0">
      <inkml:brushProperty name="width" value="0.05" units="cm"/>
      <inkml:brushProperty name="height" value="0.05" units="cm"/>
    </inkml:brush>
  </inkml:definitions>
  <inkml:trace contextRef="#ctx0" brushRef="#br0">0 0 24575,'0'0'0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09"/>
    </inkml:context>
    <inkml:brush xml:id="br0">
      <inkml:brushProperty name="width" value="0.05" units="cm"/>
      <inkml:brushProperty name="height" value="0.05" units="cm"/>
    </inkml:brush>
  </inkml:definitions>
  <inkml:trace contextRef="#ctx0" brushRef="#br0">1 0 24575,'0'0'0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10"/>
    </inkml:context>
    <inkml:brush xml:id="br0">
      <inkml:brushProperty name="width" value="0.05" units="cm"/>
      <inkml:brushProperty name="height" value="0.05" units="cm"/>
    </inkml:brush>
  </inkml:definitions>
  <inkml:trace contextRef="#ctx0" brushRef="#br0">1 0 24575,'0'0'0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11"/>
    </inkml:context>
    <inkml:brush xml:id="br0">
      <inkml:brushProperty name="width" value="0.05" units="cm"/>
      <inkml:brushProperty name="height" value="0.05" units="cm"/>
    </inkml:brush>
  </inkml:definitions>
  <inkml:trace contextRef="#ctx0" brushRef="#br0">0 0 24575,'0'0'0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12"/>
    </inkml:context>
    <inkml:brush xml:id="br0">
      <inkml:brushProperty name="width" value="0.05" units="cm"/>
      <inkml:brushProperty name="height" value="0.05" units="cm"/>
    </inkml:brush>
  </inkml:definitions>
  <inkml:trace contextRef="#ctx0" brushRef="#br0">1 0 24575,'0'0'0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13"/>
    </inkml:context>
    <inkml:brush xml:id="br0">
      <inkml:brushProperty name="width" value="0.05" units="cm"/>
      <inkml:brushProperty name="height" value="0.05" units="cm"/>
    </inkml:brush>
  </inkml:definitions>
  <inkml:trace contextRef="#ctx0" brushRef="#br0">1 0 24575,'0'0'0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15"/>
    </inkml:context>
    <inkml:brush xml:id="br0">
      <inkml:brushProperty name="width" value="0.05" units="cm"/>
      <inkml:brushProperty name="height" value="0.05" units="cm"/>
    </inkml:brush>
  </inkml:definitions>
  <inkml:trace contextRef="#ctx0" brushRef="#br0">0 0 24575,'0'0'0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16"/>
    </inkml:context>
    <inkml:brush xml:id="br0">
      <inkml:brushProperty name="width" value="0.05" units="cm"/>
      <inkml:brushProperty name="height" value="0.05" units="cm"/>
    </inkml:brush>
  </inkml:definitions>
  <inkml:trace contextRef="#ctx0" brushRef="#br0">1 0 24575,'0'0'0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17"/>
    </inkml:context>
    <inkml:brush xml:id="br0">
      <inkml:brushProperty name="width" value="0.05" units="cm"/>
      <inkml:brushProperty name="height" value="0.05" units="cm"/>
    </inkml:brush>
  </inkml:definitions>
  <inkml:trace contextRef="#ctx0" brushRef="#br0">1 0 24575,'0'0'0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19"/>
    </inkml:context>
    <inkml:brush xml:id="br0">
      <inkml:brushProperty name="width" value="0.05" units="cm"/>
      <inkml:brushProperty name="height" value="0.05" units="cm"/>
    </inkml:brush>
  </inkml:definitions>
  <inkml:trace contextRef="#ctx0" brushRef="#br0">0 0 24575,'0'0'0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0"/>
    </inkml:context>
    <inkml:brush xml:id="br0">
      <inkml:brushProperty name="width" value="0.05" units="cm"/>
      <inkml:brushProperty name="height" value="0.05" units="cm"/>
    </inkml:brush>
  </inkml:definitions>
  <inkml:trace contextRef="#ctx0" brushRef="#br0">1 0 24575,'0'0'0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1"/>
    </inkml:context>
    <inkml:brush xml:id="br0">
      <inkml:brushProperty name="width" value="0.05" units="cm"/>
      <inkml:brushProperty name="height" value="0.05" units="cm"/>
    </inkml:brush>
  </inkml:definitions>
  <inkml:trace contextRef="#ctx0" brushRef="#br0">1 0 24575,'0'0'0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2"/>
    </inkml:context>
    <inkml:brush xml:id="br0">
      <inkml:brushProperty name="width" value="0.05" units="cm"/>
      <inkml:brushProperty name="height" value="0.05" units="cm"/>
    </inkml:brush>
  </inkml:definitions>
  <inkml:trace contextRef="#ctx0" brushRef="#br0">0 0 24575,'0'0'0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3"/>
    </inkml:context>
    <inkml:brush xml:id="br0">
      <inkml:brushProperty name="width" value="0.05" units="cm"/>
      <inkml:brushProperty name="height" value="0.05" units="cm"/>
    </inkml:brush>
  </inkml:definitions>
  <inkml:trace contextRef="#ctx0" brushRef="#br0">1 0 24575,'0'0'0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4"/>
    </inkml:context>
    <inkml:brush xml:id="br0">
      <inkml:brushProperty name="width" value="0.05" units="cm"/>
      <inkml:brushProperty name="height" value="0.05" units="cm"/>
    </inkml:brush>
  </inkml:definitions>
  <inkml:trace contextRef="#ctx0" brushRef="#br0">1 0 24575,'0'0'0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6"/>
    </inkml:context>
    <inkml:brush xml:id="br0">
      <inkml:brushProperty name="width" value="0.05" units="cm"/>
      <inkml:brushProperty name="height" value="0.05" units="cm"/>
    </inkml:brush>
  </inkml:definitions>
  <inkml:trace contextRef="#ctx0" brushRef="#br0">0 0 24575,'0'0'0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7"/>
    </inkml:context>
    <inkml:brush xml:id="br0">
      <inkml:brushProperty name="width" value="0.05" units="cm"/>
      <inkml:brushProperty name="height" value="0.05" units="cm"/>
    </inkml:brush>
  </inkml:definitions>
  <inkml:trace contextRef="#ctx0" brushRef="#br0">1 0 24575,'0'0'0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8"/>
    </inkml:context>
    <inkml:brush xml:id="br0">
      <inkml:brushProperty name="width" value="0.05" units="cm"/>
      <inkml:brushProperty name="height" value="0.05" units="cm"/>
    </inkml:brush>
  </inkml:definitions>
  <inkml:trace contextRef="#ctx0" brushRef="#br0">1 0 24575,'0'0'0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29"/>
    </inkml:context>
    <inkml:brush xml:id="br0">
      <inkml:brushProperty name="width" value="0.05" units="cm"/>
      <inkml:brushProperty name="height" value="0.05" units="cm"/>
    </inkml:brush>
  </inkml:definitions>
  <inkml:trace contextRef="#ctx0" brushRef="#br0">0 0 24575,'0'0'0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30"/>
    </inkml:context>
    <inkml:brush xml:id="br0">
      <inkml:brushProperty name="width" value="0.05" units="cm"/>
      <inkml:brushProperty name="height" value="0.05" units="cm"/>
    </inkml:brush>
  </inkml:definitions>
  <inkml:trace contextRef="#ctx0" brushRef="#br0">1 0 24575,'0'0'0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31"/>
    </inkml:context>
    <inkml:brush xml:id="br0">
      <inkml:brushProperty name="width" value="0.05" units="cm"/>
      <inkml:brushProperty name="height" value="0.05" units="cm"/>
    </inkml:brush>
  </inkml:definitions>
  <inkml:trace contextRef="#ctx0" brushRef="#br0">1 0 24575,'0'0'0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33"/>
    </inkml:context>
    <inkml:brush xml:id="br0">
      <inkml:brushProperty name="width" value="0.05" units="cm"/>
      <inkml:brushProperty name="height" value="0.05" units="cm"/>
    </inkml:brush>
  </inkml:definitions>
  <inkml:trace contextRef="#ctx0" brushRef="#br0">0 0 24575,'0'0'0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34"/>
    </inkml:context>
    <inkml:brush xml:id="br0">
      <inkml:brushProperty name="width" value="0.05" units="cm"/>
      <inkml:brushProperty name="height" value="0.05" units="cm"/>
    </inkml:brush>
  </inkml:definitions>
  <inkml:trace contextRef="#ctx0" brushRef="#br0">1 0 24575,'0'0'0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35"/>
    </inkml:context>
    <inkml:brush xml:id="br0">
      <inkml:brushProperty name="width" value="0.05" units="cm"/>
      <inkml:brushProperty name="height" value="0.05" units="cm"/>
    </inkml:brush>
  </inkml:definitions>
  <inkml:trace contextRef="#ctx0" brushRef="#br0">1 0 24575,'0'0'0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36"/>
    </inkml:context>
    <inkml:brush xml:id="br0">
      <inkml:brushProperty name="width" value="0.05" units="cm"/>
      <inkml:brushProperty name="height" value="0.05" units="cm"/>
    </inkml:brush>
  </inkml:definitions>
  <inkml:trace contextRef="#ctx0" brushRef="#br0">0 0 24575,'0'0'0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37"/>
    </inkml:context>
    <inkml:brush xml:id="br0">
      <inkml:brushProperty name="width" value="0.05" units="cm"/>
      <inkml:brushProperty name="height" value="0.05" units="cm"/>
    </inkml:brush>
  </inkml:definitions>
  <inkml:trace contextRef="#ctx0" brushRef="#br0">1 0 24575,'0'0'0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38"/>
    </inkml:context>
    <inkml:brush xml:id="br0">
      <inkml:brushProperty name="width" value="0.05" units="cm"/>
      <inkml:brushProperty name="height" value="0.05" units="cm"/>
    </inkml:brush>
  </inkml:definitions>
  <inkml:trace contextRef="#ctx0" brushRef="#br0">1 0 24575,'0'0'0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0"/>
    </inkml:context>
    <inkml:brush xml:id="br0">
      <inkml:brushProperty name="width" value="0.05" units="cm"/>
      <inkml:brushProperty name="height" value="0.05" units="cm"/>
    </inkml:brush>
  </inkml:definitions>
  <inkml:trace contextRef="#ctx0" brushRef="#br0">0 0 24575,'0'0'0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1"/>
    </inkml:context>
    <inkml:brush xml:id="br0">
      <inkml:brushProperty name="width" value="0.05" units="cm"/>
      <inkml:brushProperty name="height" value="0.05" units="cm"/>
    </inkml:brush>
  </inkml:definitions>
  <inkml:trace contextRef="#ctx0" brushRef="#br0">1 0 24575,'0'0'0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2"/>
    </inkml:context>
    <inkml:brush xml:id="br0">
      <inkml:brushProperty name="width" value="0.05" units="cm"/>
      <inkml:brushProperty name="height" value="0.05" units="cm"/>
    </inkml:brush>
  </inkml:definitions>
  <inkml:trace contextRef="#ctx0" brushRef="#br0">1 0 24575,'0'0'0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3"/>
    </inkml:context>
    <inkml:brush xml:id="br0">
      <inkml:brushProperty name="width" value="0.05" units="cm"/>
      <inkml:brushProperty name="height" value="0.05" units="cm"/>
    </inkml:brush>
  </inkml:definitions>
  <inkml:trace contextRef="#ctx0" brushRef="#br0">0 0 24575,'0'0'0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4"/>
    </inkml:context>
    <inkml:brush xml:id="br0">
      <inkml:brushProperty name="width" value="0.05" units="cm"/>
      <inkml:brushProperty name="height" value="0.05" units="cm"/>
    </inkml:brush>
  </inkml:definitions>
  <inkml:trace contextRef="#ctx0" brushRef="#br0">1 0 24575,'0'0'0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5"/>
    </inkml:context>
    <inkml:brush xml:id="br0">
      <inkml:brushProperty name="width" value="0.05" units="cm"/>
      <inkml:brushProperty name="height" value="0.05" units="cm"/>
    </inkml:brush>
  </inkml:definitions>
  <inkml:trace contextRef="#ctx0" brushRef="#br0">1 0 24575,'0'0'0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6"/>
    </inkml:context>
    <inkml:brush xml:id="br0">
      <inkml:brushProperty name="width" value="0.05" units="cm"/>
      <inkml:brushProperty name="height" value="0.05" units="cm"/>
    </inkml:brush>
  </inkml:definitions>
  <inkml:trace contextRef="#ctx0" brushRef="#br0">0 0 24575,'0'0'0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7"/>
    </inkml:context>
    <inkml:brush xml:id="br0">
      <inkml:brushProperty name="width" value="0.05" units="cm"/>
      <inkml:brushProperty name="height" value="0.05" units="cm"/>
    </inkml:brush>
  </inkml:definitions>
  <inkml:trace contextRef="#ctx0" brushRef="#br0">1 0 24575,'0'0'0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8"/>
    </inkml:context>
    <inkml:brush xml:id="br0">
      <inkml:brushProperty name="width" value="0.05" units="cm"/>
      <inkml:brushProperty name="height" value="0.05" units="cm"/>
    </inkml:brush>
  </inkml:definitions>
  <inkml:trace contextRef="#ctx0" brushRef="#br0">1 0 24575,'0'0'0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49"/>
    </inkml:context>
    <inkml:brush xml:id="br0">
      <inkml:brushProperty name="width" value="0.05" units="cm"/>
      <inkml:brushProperty name="height" value="0.05" units="cm"/>
    </inkml:brush>
  </inkml:definitions>
  <inkml:trace contextRef="#ctx0" brushRef="#br0">0 0 24575,'0'0'0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0"/>
    </inkml:context>
    <inkml:brush xml:id="br0">
      <inkml:brushProperty name="width" value="0.05" units="cm"/>
      <inkml:brushProperty name="height" value="0.05" units="cm"/>
    </inkml:brush>
  </inkml:definitions>
  <inkml:trace contextRef="#ctx0" brushRef="#br0">1 0 24575,'0'0'0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1"/>
    </inkml:context>
    <inkml:brush xml:id="br0">
      <inkml:brushProperty name="width" value="0.05" units="cm"/>
      <inkml:brushProperty name="height" value="0.05" units="cm"/>
    </inkml:brush>
  </inkml:definitions>
  <inkml:trace contextRef="#ctx0" brushRef="#br0">1 0 24575,'0'0'0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3"/>
    </inkml:context>
    <inkml:brush xml:id="br0">
      <inkml:brushProperty name="width" value="0.05" units="cm"/>
      <inkml:brushProperty name="height" value="0.05" units="cm"/>
    </inkml:brush>
  </inkml:definitions>
  <inkml:trace contextRef="#ctx0" brushRef="#br0">0 0 24575,'0'0'0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4"/>
    </inkml:context>
    <inkml:brush xml:id="br0">
      <inkml:brushProperty name="width" value="0.05" units="cm"/>
      <inkml:brushProperty name="height" value="0.05" units="cm"/>
    </inkml:brush>
  </inkml:definitions>
  <inkml:trace contextRef="#ctx0" brushRef="#br0">1 0 24575,'0'0'0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5"/>
    </inkml:context>
    <inkml:brush xml:id="br0">
      <inkml:brushProperty name="width" value="0.05" units="cm"/>
      <inkml:brushProperty name="height" value="0.05" units="cm"/>
    </inkml:brush>
  </inkml:definitions>
  <inkml:trace contextRef="#ctx0" brushRef="#br0">1 0 24575,'0'0'0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6"/>
    </inkml:context>
    <inkml:brush xml:id="br0">
      <inkml:brushProperty name="width" value="0.05" units="cm"/>
      <inkml:brushProperty name="height" value="0.05" units="cm"/>
    </inkml:brush>
  </inkml:definitions>
  <inkml:trace contextRef="#ctx0" brushRef="#br0">0 0 24575,'0'0'0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7"/>
    </inkml:context>
    <inkml:brush xml:id="br0">
      <inkml:brushProperty name="width" value="0.05" units="cm"/>
      <inkml:brushProperty name="height" value="0.05" units="cm"/>
    </inkml:brush>
  </inkml:definitions>
  <inkml:trace contextRef="#ctx0" brushRef="#br0">1 0 24575,'0'0'0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8"/>
    </inkml:context>
    <inkml:brush xml:id="br0">
      <inkml:brushProperty name="width" value="0.05" units="cm"/>
      <inkml:brushProperty name="height" value="0.05" units="cm"/>
    </inkml:brush>
  </inkml:definitions>
  <inkml:trace contextRef="#ctx0" brushRef="#br0">1 0 24575,'0'0'0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59"/>
    </inkml:context>
    <inkml:brush xml:id="br0">
      <inkml:brushProperty name="width" value="0.05" units="cm"/>
      <inkml:brushProperty name="height" value="0.05" units="cm"/>
    </inkml:brush>
  </inkml:definitions>
  <inkml:trace contextRef="#ctx0" brushRef="#br0">0 0 24575,'0'0'0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0"/>
    </inkml:context>
    <inkml:brush xml:id="br0">
      <inkml:brushProperty name="width" value="0.05" units="cm"/>
      <inkml:brushProperty name="height" value="0.05" units="cm"/>
    </inkml:brush>
  </inkml:definitions>
  <inkml:trace contextRef="#ctx0" brushRef="#br0">1 0 24575,'0'0'0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1"/>
    </inkml:context>
    <inkml:brush xml:id="br0">
      <inkml:brushProperty name="width" value="0.05" units="cm"/>
      <inkml:brushProperty name="height" value="0.05" units="cm"/>
    </inkml:brush>
  </inkml:definitions>
  <inkml:trace contextRef="#ctx0" brushRef="#br0">1 0 24575,'0'0'0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3"/>
    </inkml:context>
    <inkml:brush xml:id="br0">
      <inkml:brushProperty name="width" value="0.05" units="cm"/>
      <inkml:brushProperty name="height" value="0.05" units="cm"/>
    </inkml:brush>
  </inkml:definitions>
  <inkml:trace contextRef="#ctx0" brushRef="#br0">0 0 24575,'0'0'0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4"/>
    </inkml:context>
    <inkml:brush xml:id="br0">
      <inkml:brushProperty name="width" value="0.05" units="cm"/>
      <inkml:brushProperty name="height" value="0.05" units="cm"/>
    </inkml:brush>
  </inkml:definitions>
  <inkml:trace contextRef="#ctx0" brushRef="#br0">1 0 24575,'0'0'0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5"/>
    </inkml:context>
    <inkml:brush xml:id="br0">
      <inkml:brushProperty name="width" value="0.05" units="cm"/>
      <inkml:brushProperty name="height" value="0.05" units="cm"/>
    </inkml:brush>
  </inkml:definitions>
  <inkml:trace contextRef="#ctx0" brushRef="#br0">1 0 24575,'0'0'0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6"/>
    </inkml:context>
    <inkml:brush xml:id="br0">
      <inkml:brushProperty name="width" value="0.05" units="cm"/>
      <inkml:brushProperty name="height" value="0.05" units="cm"/>
    </inkml:brush>
  </inkml:definitions>
  <inkml:trace contextRef="#ctx0" brushRef="#br0">0 0 24575,'0'0'0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7"/>
    </inkml:context>
    <inkml:brush xml:id="br0">
      <inkml:brushProperty name="width" value="0.05" units="cm"/>
      <inkml:brushProperty name="height" value="0.05" units="cm"/>
    </inkml:brush>
  </inkml:definitions>
  <inkml:trace contextRef="#ctx0" brushRef="#br0">1 0 24575,'0'0'0</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8"/>
    </inkml:context>
    <inkml:brush xml:id="br0">
      <inkml:brushProperty name="width" value="0.05" units="cm"/>
      <inkml:brushProperty name="height" value="0.05" units="cm"/>
    </inkml:brush>
  </inkml:definitions>
  <inkml:trace contextRef="#ctx0" brushRef="#br0">1 0 24575,'0'0'0</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69"/>
    </inkml:context>
    <inkml:brush xml:id="br0">
      <inkml:brushProperty name="width" value="0.05" units="cm"/>
      <inkml:brushProperty name="height" value="0.05" units="cm"/>
    </inkml:brush>
  </inkml:definitions>
  <inkml:trace contextRef="#ctx0" brushRef="#br0">0 0 24575,'0'0'0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70"/>
    </inkml:context>
    <inkml:brush xml:id="br0">
      <inkml:brushProperty name="width" value="0.05" units="cm"/>
      <inkml:brushProperty name="height" value="0.05" units="cm"/>
    </inkml:brush>
  </inkml:definitions>
  <inkml:trace contextRef="#ctx0" brushRef="#br0">1 0 24575,'0'0'0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71"/>
    </inkml:context>
    <inkml:brush xml:id="br0">
      <inkml:brushProperty name="width" value="0.05" units="cm"/>
      <inkml:brushProperty name="height" value="0.05" units="cm"/>
    </inkml:brush>
  </inkml:definitions>
  <inkml:trace contextRef="#ctx0" brushRef="#br0">1 0 24575,'0'0'0</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73"/>
    </inkml:context>
    <inkml:brush xml:id="br0">
      <inkml:brushProperty name="width" value="0.05" units="cm"/>
      <inkml:brushProperty name="height" value="0.05" units="cm"/>
    </inkml:brush>
  </inkml:definitions>
  <inkml:trace contextRef="#ctx0" brushRef="#br0">0 0 24575,'0'0'0</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74"/>
    </inkml:context>
    <inkml:brush xml:id="br0">
      <inkml:brushProperty name="width" value="0.05" units="cm"/>
      <inkml:brushProperty name="height" value="0.05" units="cm"/>
    </inkml:brush>
  </inkml:definitions>
  <inkml:trace contextRef="#ctx0" brushRef="#br0">1 0 24575,'0'0'0</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75"/>
    </inkml:context>
    <inkml:brush xml:id="br0">
      <inkml:brushProperty name="width" value="0.05" units="cm"/>
      <inkml:brushProperty name="height" value="0.05" units="cm"/>
    </inkml:brush>
  </inkml:definitions>
  <inkml:trace contextRef="#ctx0" brushRef="#br0">1 0 24575,'0'0'0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76"/>
    </inkml:context>
    <inkml:brush xml:id="br0">
      <inkml:brushProperty name="width" value="0.05" units="cm"/>
      <inkml:brushProperty name="height" value="0.05" units="cm"/>
    </inkml:brush>
  </inkml:definitions>
  <inkml:trace contextRef="#ctx0" brushRef="#br0">0 0 24575,'0'0'0</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77"/>
    </inkml:context>
    <inkml:brush xml:id="br0">
      <inkml:brushProperty name="width" value="0.05" units="cm"/>
      <inkml:brushProperty name="height" value="0.05" units="cm"/>
    </inkml:brush>
  </inkml:definitions>
  <inkml:trace contextRef="#ctx0" brushRef="#br0">1 0 24575,'0'0'0</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78"/>
    </inkml:context>
    <inkml:brush xml:id="br0">
      <inkml:brushProperty name="width" value="0.05" units="cm"/>
      <inkml:brushProperty name="height" value="0.05" units="cm"/>
    </inkml:brush>
  </inkml:definitions>
  <inkml:trace contextRef="#ctx0" brushRef="#br0">1 0 24575,'0'0'0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0"/>
    </inkml:context>
    <inkml:brush xml:id="br0">
      <inkml:brushProperty name="width" value="0.05" units="cm"/>
      <inkml:brushProperty name="height" value="0.05" units="cm"/>
    </inkml:brush>
  </inkml:definitions>
  <inkml:trace contextRef="#ctx0" brushRef="#br0">0 0 24575,'0'0'0</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1"/>
    </inkml:context>
    <inkml:brush xml:id="br0">
      <inkml:brushProperty name="width" value="0.05" units="cm"/>
      <inkml:brushProperty name="height" value="0.05" units="cm"/>
    </inkml:brush>
  </inkml:definitions>
  <inkml:trace contextRef="#ctx0" brushRef="#br0">1 0 24575,'0'0'0</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2"/>
    </inkml:context>
    <inkml:brush xml:id="br0">
      <inkml:brushProperty name="width" value="0.05" units="cm"/>
      <inkml:brushProperty name="height" value="0.05" units="cm"/>
    </inkml:brush>
  </inkml:definitions>
  <inkml:trace contextRef="#ctx0" brushRef="#br0">1 0 24575,'0'0'0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3"/>
    </inkml:context>
    <inkml:brush xml:id="br0">
      <inkml:brushProperty name="width" value="0.05" units="cm"/>
      <inkml:brushProperty name="height" value="0.05" units="cm"/>
    </inkml:brush>
  </inkml:definitions>
  <inkml:trace contextRef="#ctx0" brushRef="#br0">0 0 24575,'0'0'0</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4"/>
    </inkml:context>
    <inkml:brush xml:id="br0">
      <inkml:brushProperty name="width" value="0.05" units="cm"/>
      <inkml:brushProperty name="height" value="0.05" units="cm"/>
    </inkml:brush>
  </inkml:definitions>
  <inkml:trace contextRef="#ctx0" brushRef="#br0">1 0 24575,'0'0'0</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5"/>
    </inkml:context>
    <inkml:brush xml:id="br0">
      <inkml:brushProperty name="width" value="0.05" units="cm"/>
      <inkml:brushProperty name="height" value="0.05" units="cm"/>
    </inkml:brush>
  </inkml:definitions>
  <inkml:trace contextRef="#ctx0" brushRef="#br0">1 0 24575,'0'0'0</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6"/>
    </inkml:context>
    <inkml:brush xml:id="br0">
      <inkml:brushProperty name="width" value="0.05" units="cm"/>
      <inkml:brushProperty name="height" value="0.05" units="cm"/>
    </inkml:brush>
  </inkml:definitions>
  <inkml:trace contextRef="#ctx0" brushRef="#br0">0 0 24575,'0'0'0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7"/>
    </inkml:context>
    <inkml:brush xml:id="br0">
      <inkml:brushProperty name="width" value="0.05" units="cm"/>
      <inkml:brushProperty name="height" value="0.05" units="cm"/>
    </inkml:brush>
  </inkml:definitions>
  <inkml:trace contextRef="#ctx0" brushRef="#br0">1 0 24575,'0'0'0</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88"/>
    </inkml:context>
    <inkml:brush xml:id="br0">
      <inkml:brushProperty name="width" value="0.05" units="cm"/>
      <inkml:brushProperty name="height" value="0.05" units="cm"/>
    </inkml:brush>
  </inkml:definitions>
  <inkml:trace contextRef="#ctx0" brushRef="#br0">1 0 24575,'0'0'0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0"/>
    </inkml:context>
    <inkml:brush xml:id="br0">
      <inkml:brushProperty name="width" value="0.05" units="cm"/>
      <inkml:brushProperty name="height" value="0.05" units="cm"/>
    </inkml:brush>
  </inkml:definitions>
  <inkml:trace contextRef="#ctx0" brushRef="#br0">0 0 24575,'0'0'0</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1"/>
    </inkml:context>
    <inkml:brush xml:id="br0">
      <inkml:brushProperty name="width" value="0.05" units="cm"/>
      <inkml:brushProperty name="height" value="0.05" units="cm"/>
    </inkml:brush>
  </inkml:definitions>
  <inkml:trace contextRef="#ctx0" brushRef="#br0">1 0 24575,'0'0'0</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2"/>
    </inkml:context>
    <inkml:brush xml:id="br0">
      <inkml:brushProperty name="width" value="0.05" units="cm"/>
      <inkml:brushProperty name="height" value="0.05" units="cm"/>
    </inkml:brush>
  </inkml:definitions>
  <inkml:trace contextRef="#ctx0" brushRef="#br0">1 0 24575,'0'0'0</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3"/>
    </inkml:context>
    <inkml:brush xml:id="br0">
      <inkml:brushProperty name="width" value="0.05" units="cm"/>
      <inkml:brushProperty name="height" value="0.05" units="cm"/>
    </inkml:brush>
  </inkml:definitions>
  <inkml:trace contextRef="#ctx0" brushRef="#br0">0 0 24575,'0'0'0</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4"/>
    </inkml:context>
    <inkml:brush xml:id="br0">
      <inkml:brushProperty name="width" value="0.05" units="cm"/>
      <inkml:brushProperty name="height" value="0.05" units="cm"/>
    </inkml:brush>
  </inkml:definitions>
  <inkml:trace contextRef="#ctx0" brushRef="#br0">1 0 24575,'0'0'0</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5"/>
    </inkml:context>
    <inkml:brush xml:id="br0">
      <inkml:brushProperty name="width" value="0.05" units="cm"/>
      <inkml:brushProperty name="height" value="0.05" units="cm"/>
    </inkml:brush>
  </inkml:definitions>
  <inkml:trace contextRef="#ctx0" brushRef="#br0">1 0 24575,'0'0'0</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7"/>
    </inkml:context>
    <inkml:brush xml:id="br0">
      <inkml:brushProperty name="width" value="0.05" units="cm"/>
      <inkml:brushProperty name="height" value="0.05" units="cm"/>
    </inkml:brush>
  </inkml:definitions>
  <inkml:trace contextRef="#ctx0" brushRef="#br0">0 0 24575,'0'0'0</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8"/>
    </inkml:context>
    <inkml:brush xml:id="br0">
      <inkml:brushProperty name="width" value="0.05" units="cm"/>
      <inkml:brushProperty name="height" value="0.05" units="cm"/>
    </inkml:brush>
  </inkml:definitions>
  <inkml:trace contextRef="#ctx0" brushRef="#br0">1 0 24575,'0'0'0</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099"/>
    </inkml:context>
    <inkml:brush xml:id="br0">
      <inkml:brushProperty name="width" value="0.05" units="cm"/>
      <inkml:brushProperty name="height" value="0.05" units="cm"/>
    </inkml:brush>
  </inkml:definitions>
  <inkml:trace contextRef="#ctx0" brushRef="#br0">1 0 24575,'0'0'0</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0"/>
    </inkml:context>
    <inkml:brush xml:id="br0">
      <inkml:brushProperty name="width" value="0.05" units="cm"/>
      <inkml:brushProperty name="height" value="0.05" units="cm"/>
    </inkml:brush>
  </inkml:definitions>
  <inkml:trace contextRef="#ctx0" brushRef="#br0">0 0 24575,'0'0'0</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1"/>
    </inkml:context>
    <inkml:brush xml:id="br0">
      <inkml:brushProperty name="width" value="0.05" units="cm"/>
      <inkml:brushProperty name="height" value="0.05" units="cm"/>
    </inkml:brush>
  </inkml:definitions>
  <inkml:trace contextRef="#ctx0" brushRef="#br0">1 0 24575,'0'0'0</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2"/>
    </inkml:context>
    <inkml:brush xml:id="br0">
      <inkml:brushProperty name="width" value="0.05" units="cm"/>
      <inkml:brushProperty name="height" value="0.05" units="cm"/>
    </inkml:brush>
  </inkml:definitions>
  <inkml:trace contextRef="#ctx0" brushRef="#br0">1 0 24575,'0'0'0</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4"/>
    </inkml:context>
    <inkml:brush xml:id="br0">
      <inkml:brushProperty name="width" value="0.05" units="cm"/>
      <inkml:brushProperty name="height" value="0.05" units="cm"/>
    </inkml:brush>
  </inkml:definitions>
  <inkml:trace contextRef="#ctx0" brushRef="#br0">0 0 24575,'0'0'0</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5"/>
    </inkml:context>
    <inkml:brush xml:id="br0">
      <inkml:brushProperty name="width" value="0.05" units="cm"/>
      <inkml:brushProperty name="height" value="0.05" units="cm"/>
    </inkml:brush>
  </inkml:definitions>
  <inkml:trace contextRef="#ctx0" brushRef="#br0">1 0 24575,'0'0'0</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6"/>
    </inkml:context>
    <inkml:brush xml:id="br0">
      <inkml:brushProperty name="width" value="0.05" units="cm"/>
      <inkml:brushProperty name="height" value="0.05" units="cm"/>
    </inkml:brush>
  </inkml:definitions>
  <inkml:trace contextRef="#ctx0" brushRef="#br0">1 0 24575,'0'0'0</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7"/>
    </inkml:context>
    <inkml:brush xml:id="br0">
      <inkml:brushProperty name="width" value="0.05" units="cm"/>
      <inkml:brushProperty name="height" value="0.05" units="cm"/>
    </inkml:brush>
  </inkml:definitions>
  <inkml:trace contextRef="#ctx0" brushRef="#br0">0 0 24575,'0'0'0</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8"/>
    </inkml:context>
    <inkml:brush xml:id="br0">
      <inkml:brushProperty name="width" value="0.05" units="cm"/>
      <inkml:brushProperty name="height" value="0.05" units="cm"/>
    </inkml:brush>
  </inkml:definitions>
  <inkml:trace contextRef="#ctx0" brushRef="#br0">1 0 24575,'0'0'0</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09"/>
    </inkml:context>
    <inkml:brush xml:id="br0">
      <inkml:brushProperty name="width" value="0.05" units="cm"/>
      <inkml:brushProperty name="height" value="0.05" units="cm"/>
    </inkml:brush>
  </inkml:definitions>
  <inkml:trace contextRef="#ctx0" brushRef="#br0">1 0 24575,'0'0'0</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11"/>
    </inkml:context>
    <inkml:brush xml:id="br0">
      <inkml:brushProperty name="width" value="0.05" units="cm"/>
      <inkml:brushProperty name="height" value="0.05" units="cm"/>
    </inkml:brush>
  </inkml:definitions>
  <inkml:trace contextRef="#ctx0" brushRef="#br0">0 0 24575,'0'0'0</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12"/>
    </inkml:context>
    <inkml:brush xml:id="br0">
      <inkml:brushProperty name="width" value="0.05" units="cm"/>
      <inkml:brushProperty name="height" value="0.05" units="cm"/>
    </inkml:brush>
  </inkml:definitions>
  <inkml:trace contextRef="#ctx0" brushRef="#br0">1 0 24575,'0'0'0</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13"/>
    </inkml:context>
    <inkml:brush xml:id="br0">
      <inkml:brushProperty name="width" value="0.05" units="cm"/>
      <inkml:brushProperty name="height" value="0.05" units="cm"/>
    </inkml:brush>
  </inkml:definitions>
  <inkml:trace contextRef="#ctx0" brushRef="#br0">1 0 24575,'0'0'0</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14"/>
    </inkml:context>
    <inkml:brush xml:id="br0">
      <inkml:brushProperty name="width" value="0.05" units="cm"/>
      <inkml:brushProperty name="height" value="0.05" units="cm"/>
    </inkml:brush>
  </inkml:definitions>
  <inkml:trace contextRef="#ctx0" brushRef="#br0">0 0 24575,'0'0'0</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15"/>
    </inkml:context>
    <inkml:brush xml:id="br0">
      <inkml:brushProperty name="width" value="0.05" units="cm"/>
      <inkml:brushProperty name="height" value="0.05" units="cm"/>
    </inkml:brush>
  </inkml:definitions>
  <inkml:trace contextRef="#ctx0" brushRef="#br0">1 0 24575,'0'0'0</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16"/>
    </inkml:context>
    <inkml:brush xml:id="br0">
      <inkml:brushProperty name="width" value="0.05" units="cm"/>
      <inkml:brushProperty name="height" value="0.05" units="cm"/>
    </inkml:brush>
  </inkml:definitions>
  <inkml:trace contextRef="#ctx0" brushRef="#br0">1 0 24575,'0'0'0</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18"/>
    </inkml:context>
    <inkml:brush xml:id="br0">
      <inkml:brushProperty name="width" value="0.05" units="cm"/>
      <inkml:brushProperty name="height" value="0.05" units="cm"/>
    </inkml:brush>
  </inkml:definitions>
  <inkml:trace contextRef="#ctx0" brushRef="#br0">0 0 24575,'0'0'0</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19"/>
    </inkml:context>
    <inkml:brush xml:id="br0">
      <inkml:brushProperty name="width" value="0.05" units="cm"/>
      <inkml:brushProperty name="height" value="0.05" units="cm"/>
    </inkml:brush>
  </inkml:definitions>
  <inkml:trace contextRef="#ctx0" brushRef="#br0">1 0 24575,'0'0'0</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0"/>
    </inkml:context>
    <inkml:brush xml:id="br0">
      <inkml:brushProperty name="width" value="0.05" units="cm"/>
      <inkml:brushProperty name="height" value="0.05" units="cm"/>
    </inkml:brush>
  </inkml:definitions>
  <inkml:trace contextRef="#ctx0" brushRef="#br0">1 0 24575,'0'0'0</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1"/>
    </inkml:context>
    <inkml:brush xml:id="br0">
      <inkml:brushProperty name="width" value="0.05" units="cm"/>
      <inkml:brushProperty name="height" value="0.05" units="cm"/>
    </inkml:brush>
  </inkml:definitions>
  <inkml:trace contextRef="#ctx0" brushRef="#br0">0 0 24575,'0'0'0</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2"/>
    </inkml:context>
    <inkml:brush xml:id="br0">
      <inkml:brushProperty name="width" value="0.05" units="cm"/>
      <inkml:brushProperty name="height" value="0.05" units="cm"/>
    </inkml:brush>
  </inkml:definitions>
  <inkml:trace contextRef="#ctx0" brushRef="#br0">1 0 24575,'0'0'0</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3"/>
    </inkml:context>
    <inkml:brush xml:id="br0">
      <inkml:brushProperty name="width" value="0.05" units="cm"/>
      <inkml:brushProperty name="height" value="0.05" units="cm"/>
    </inkml:brush>
  </inkml:definitions>
  <inkml:trace contextRef="#ctx0" brushRef="#br0">1 0 24575,'0'0'0</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5"/>
    </inkml:context>
    <inkml:brush xml:id="br0">
      <inkml:brushProperty name="width" value="0.05" units="cm"/>
      <inkml:brushProperty name="height" value="0.05" units="cm"/>
    </inkml:brush>
  </inkml:definitions>
  <inkml:trace contextRef="#ctx0" brushRef="#br0">0 0 24575,'0'0'0</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6"/>
    </inkml:context>
    <inkml:brush xml:id="br0">
      <inkml:brushProperty name="width" value="0.05" units="cm"/>
      <inkml:brushProperty name="height" value="0.05" units="cm"/>
    </inkml:brush>
  </inkml:definitions>
  <inkml:trace contextRef="#ctx0" brushRef="#br0">1 0 24575,'0'0'0</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7"/>
    </inkml:context>
    <inkml:brush xml:id="br0">
      <inkml:brushProperty name="width" value="0.05" units="cm"/>
      <inkml:brushProperty name="height" value="0.05" units="cm"/>
    </inkml:brush>
  </inkml:definitions>
  <inkml:trace contextRef="#ctx0" brushRef="#br0">1 0 24575,'0'0'0</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8"/>
    </inkml:context>
    <inkml:brush xml:id="br0">
      <inkml:brushProperty name="width" value="0.05" units="cm"/>
      <inkml:brushProperty name="height" value="0.05" units="cm"/>
    </inkml:brush>
  </inkml:definitions>
  <inkml:trace contextRef="#ctx0" brushRef="#br0">0 0 24575,'0'0'0</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29"/>
    </inkml:context>
    <inkml:brush xml:id="br0">
      <inkml:brushProperty name="width" value="0.05" units="cm"/>
      <inkml:brushProperty name="height" value="0.05" units="cm"/>
    </inkml:brush>
  </inkml:definitions>
  <inkml:trace contextRef="#ctx0" brushRef="#br0">1 0 24575,'0'0'0</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30"/>
    </inkml:context>
    <inkml:brush xml:id="br0">
      <inkml:brushProperty name="width" value="0.05" units="cm"/>
      <inkml:brushProperty name="height" value="0.05" units="cm"/>
    </inkml:brush>
  </inkml:definitions>
  <inkml:trace contextRef="#ctx0" brushRef="#br0">1 0 24575,'0'0'0</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32"/>
    </inkml:context>
    <inkml:brush xml:id="br0">
      <inkml:brushProperty name="width" value="0.05" units="cm"/>
      <inkml:brushProperty name="height" value="0.05" units="cm"/>
    </inkml:brush>
  </inkml:definitions>
  <inkml:trace contextRef="#ctx0" brushRef="#br0">0 0 24575,'0'0'0</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33"/>
    </inkml:context>
    <inkml:brush xml:id="br0">
      <inkml:brushProperty name="width" value="0.05" units="cm"/>
      <inkml:brushProperty name="height" value="0.05" units="cm"/>
    </inkml:brush>
  </inkml:definitions>
  <inkml:trace contextRef="#ctx0" brushRef="#br0">1 0 24575,'0'0'0</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34"/>
    </inkml:context>
    <inkml:brush xml:id="br0">
      <inkml:brushProperty name="width" value="0.05" units="cm"/>
      <inkml:brushProperty name="height" value="0.05" units="cm"/>
    </inkml:brush>
  </inkml:definitions>
  <inkml:trace contextRef="#ctx0" brushRef="#br0">1 0 24575,'0'0'0</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36"/>
    </inkml:context>
    <inkml:brush xml:id="br0">
      <inkml:brushProperty name="width" value="0.05" units="cm"/>
      <inkml:brushProperty name="height" value="0.05" units="cm"/>
    </inkml:brush>
  </inkml:definitions>
  <inkml:trace contextRef="#ctx0" brushRef="#br0">0 0 24575,'0'0'0</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37"/>
    </inkml:context>
    <inkml:brush xml:id="br0">
      <inkml:brushProperty name="width" value="0.05" units="cm"/>
      <inkml:brushProperty name="height" value="0.05" units="cm"/>
    </inkml:brush>
  </inkml:definitions>
  <inkml:trace contextRef="#ctx0" brushRef="#br0">1 0 24575,'0'0'0</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38"/>
    </inkml:context>
    <inkml:brush xml:id="br0">
      <inkml:brushProperty name="width" value="0.05" units="cm"/>
      <inkml:brushProperty name="height" value="0.05" units="cm"/>
    </inkml:brush>
  </inkml:definitions>
  <inkml:trace contextRef="#ctx0" brushRef="#br0">1 0 24575,'0'0'0</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39"/>
    </inkml:context>
    <inkml:brush xml:id="br0">
      <inkml:brushProperty name="width" value="0.05" units="cm"/>
      <inkml:brushProperty name="height" value="0.05" units="cm"/>
    </inkml:brush>
  </inkml:definitions>
  <inkml:trace contextRef="#ctx0" brushRef="#br0">0 0 24575,'0'0'0</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0"/>
    </inkml:context>
    <inkml:brush xml:id="br0">
      <inkml:brushProperty name="width" value="0.05" units="cm"/>
      <inkml:brushProperty name="height" value="0.05" units="cm"/>
    </inkml:brush>
  </inkml:definitions>
  <inkml:trace contextRef="#ctx0" brushRef="#br0">1 0 24575,'0'0'0</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1"/>
    </inkml:context>
    <inkml:brush xml:id="br0">
      <inkml:brushProperty name="width" value="0.05" units="cm"/>
      <inkml:brushProperty name="height" value="0.05" units="cm"/>
    </inkml:brush>
  </inkml:definitions>
  <inkml:trace contextRef="#ctx0" brushRef="#br0">1 0 24575,'0'0'0</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3"/>
    </inkml:context>
    <inkml:brush xml:id="br0">
      <inkml:brushProperty name="width" value="0.05" units="cm"/>
      <inkml:brushProperty name="height" value="0.05" units="cm"/>
    </inkml:brush>
  </inkml:definitions>
  <inkml:trace contextRef="#ctx0" brushRef="#br0">0 0 24575,'0'0'0</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4"/>
    </inkml:context>
    <inkml:brush xml:id="br0">
      <inkml:brushProperty name="width" value="0.05" units="cm"/>
      <inkml:brushProperty name="height" value="0.05" units="cm"/>
    </inkml:brush>
  </inkml:definitions>
  <inkml:trace contextRef="#ctx0" brushRef="#br0">1 0 24575,'0'0'0</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5"/>
    </inkml:context>
    <inkml:brush xml:id="br0">
      <inkml:brushProperty name="width" value="0.05" units="cm"/>
      <inkml:brushProperty name="height" value="0.05" units="cm"/>
    </inkml:brush>
  </inkml:definitions>
  <inkml:trace contextRef="#ctx0" brushRef="#br0">1 0 24575,'0'0'0</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6"/>
    </inkml:context>
    <inkml:brush xml:id="br0">
      <inkml:brushProperty name="width" value="0.05" units="cm"/>
      <inkml:brushProperty name="height" value="0.05" units="cm"/>
    </inkml:brush>
  </inkml:definitions>
  <inkml:trace contextRef="#ctx0" brushRef="#br0">0 0 24575,'0'0'0</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7"/>
    </inkml:context>
    <inkml:brush xml:id="br0">
      <inkml:brushProperty name="width" value="0.05" units="cm"/>
      <inkml:brushProperty name="height" value="0.05" units="cm"/>
    </inkml:brush>
  </inkml:definitions>
  <inkml:trace contextRef="#ctx0" brushRef="#br0">1 0 24575,'0'0'0</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8"/>
    </inkml:context>
    <inkml:brush xml:id="br0">
      <inkml:brushProperty name="width" value="0.05" units="cm"/>
      <inkml:brushProperty name="height" value="0.05" units="cm"/>
    </inkml:brush>
  </inkml:definitions>
  <inkml:trace contextRef="#ctx0" brushRef="#br0">1 0 24575,'0'0'0</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49"/>
    </inkml:context>
    <inkml:brush xml:id="br0">
      <inkml:brushProperty name="width" value="0.05" units="cm"/>
      <inkml:brushProperty name="height" value="0.05" units="cm"/>
    </inkml:brush>
  </inkml:definitions>
  <inkml:trace contextRef="#ctx0" brushRef="#br0">0 0 24575,'0'0'0</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0"/>
    </inkml:context>
    <inkml:brush xml:id="br0">
      <inkml:brushProperty name="width" value="0.05" units="cm"/>
      <inkml:brushProperty name="height" value="0.05" units="cm"/>
    </inkml:brush>
  </inkml:definitions>
  <inkml:trace contextRef="#ctx0" brushRef="#br0">1 0 24575,'0'0'0</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1"/>
    </inkml:context>
    <inkml:brush xml:id="br0">
      <inkml:brushProperty name="width" value="0.05" units="cm"/>
      <inkml:brushProperty name="height" value="0.05" units="cm"/>
    </inkml:brush>
  </inkml:definitions>
  <inkml:trace contextRef="#ctx0" brushRef="#br0">1 0 24575,'0'0'0</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3"/>
    </inkml:context>
    <inkml:brush xml:id="br0">
      <inkml:brushProperty name="width" value="0.05" units="cm"/>
      <inkml:brushProperty name="height" value="0.05" units="cm"/>
    </inkml:brush>
  </inkml:definitions>
  <inkml:trace contextRef="#ctx0" brushRef="#br0">0 0 24575,'0'0'0</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4"/>
    </inkml:context>
    <inkml:brush xml:id="br0">
      <inkml:brushProperty name="width" value="0.05" units="cm"/>
      <inkml:brushProperty name="height" value="0.05" units="cm"/>
    </inkml:brush>
  </inkml:definitions>
  <inkml:trace contextRef="#ctx0" brushRef="#br0">1 0 24575,'0'0'0</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5"/>
    </inkml:context>
    <inkml:brush xml:id="br0">
      <inkml:brushProperty name="width" value="0.05" units="cm"/>
      <inkml:brushProperty name="height" value="0.05" units="cm"/>
    </inkml:brush>
  </inkml:definitions>
  <inkml:trace contextRef="#ctx0" brushRef="#br0">1 0 24575,'0'0'0</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6"/>
    </inkml:context>
    <inkml:brush xml:id="br0">
      <inkml:brushProperty name="width" value="0.05" units="cm"/>
      <inkml:brushProperty name="height" value="0.05" units="cm"/>
    </inkml:brush>
  </inkml:definitions>
  <inkml:trace contextRef="#ctx0" brushRef="#br0">0 0 24575,'0'0'0</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7"/>
    </inkml:context>
    <inkml:brush xml:id="br0">
      <inkml:brushProperty name="width" value="0.05" units="cm"/>
      <inkml:brushProperty name="height" value="0.05" units="cm"/>
    </inkml:brush>
  </inkml:definitions>
  <inkml:trace contextRef="#ctx0" brushRef="#br0">1 0 24575,'0'0'0</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8"/>
    </inkml:context>
    <inkml:brush xml:id="br0">
      <inkml:brushProperty name="width" value="0.05" units="cm"/>
      <inkml:brushProperty name="height" value="0.05" units="cm"/>
    </inkml:brush>
  </inkml:definitions>
  <inkml:trace contextRef="#ctx0" brushRef="#br0">1 0 24575,'0'0'0</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59"/>
    </inkml:context>
    <inkml:brush xml:id="br0">
      <inkml:brushProperty name="width" value="0.05" units="cm"/>
      <inkml:brushProperty name="height" value="0.05" units="cm"/>
    </inkml:brush>
  </inkml:definitions>
  <inkml:trace contextRef="#ctx0" brushRef="#br0">0 0 24575,'0'0'0</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0"/>
    </inkml:context>
    <inkml:brush xml:id="br0">
      <inkml:brushProperty name="width" value="0.05" units="cm"/>
      <inkml:brushProperty name="height" value="0.05" units="cm"/>
    </inkml:brush>
  </inkml:definitions>
  <inkml:trace contextRef="#ctx0" brushRef="#br0">1 0 24575,'0'0'0</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1"/>
    </inkml:context>
    <inkml:brush xml:id="br0">
      <inkml:brushProperty name="width" value="0.05" units="cm"/>
      <inkml:brushProperty name="height" value="0.05" units="cm"/>
    </inkml:brush>
  </inkml:definitions>
  <inkml:trace contextRef="#ctx0" brushRef="#br0">1 0 24575,'0'0'0</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2"/>
    </inkml:context>
    <inkml:brush xml:id="br0">
      <inkml:brushProperty name="width" value="0.05" units="cm"/>
      <inkml:brushProperty name="height" value="0.05" units="cm"/>
    </inkml:brush>
  </inkml:definitions>
  <inkml:trace contextRef="#ctx0" brushRef="#br0">0 0 24575,'0'0'0</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3"/>
    </inkml:context>
    <inkml:brush xml:id="br0">
      <inkml:brushProperty name="width" value="0.05" units="cm"/>
      <inkml:brushProperty name="height" value="0.05" units="cm"/>
    </inkml:brush>
  </inkml:definitions>
  <inkml:trace contextRef="#ctx0" brushRef="#br0">1 0 24575,'0'0'0</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4"/>
    </inkml:context>
    <inkml:brush xml:id="br0">
      <inkml:brushProperty name="width" value="0.05" units="cm"/>
      <inkml:brushProperty name="height" value="0.05" units="cm"/>
    </inkml:brush>
  </inkml:definitions>
  <inkml:trace contextRef="#ctx0" brushRef="#br0">1 0 24575,'0'0'0</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5"/>
    </inkml:context>
    <inkml:brush xml:id="br0">
      <inkml:brushProperty name="width" value="0.05" units="cm"/>
      <inkml:brushProperty name="height" value="0.05" units="cm"/>
    </inkml:brush>
  </inkml:definitions>
  <inkml:trace contextRef="#ctx0" brushRef="#br0">0 0 24575,'0'0'0</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6"/>
    </inkml:context>
    <inkml:brush xml:id="br0">
      <inkml:brushProperty name="width" value="0.05" units="cm"/>
      <inkml:brushProperty name="height" value="0.05" units="cm"/>
    </inkml:brush>
  </inkml:definitions>
  <inkml:trace contextRef="#ctx0" brushRef="#br0">1 0 24575,'0'0'0</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7"/>
    </inkml:context>
    <inkml:brush xml:id="br0">
      <inkml:brushProperty name="width" value="0.05" units="cm"/>
      <inkml:brushProperty name="height" value="0.05" units="cm"/>
    </inkml:brush>
  </inkml:definitions>
  <inkml:trace contextRef="#ctx0" brushRef="#br0">1 0 24575,'0'0'0</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69"/>
    </inkml:context>
    <inkml:brush xml:id="br0">
      <inkml:brushProperty name="width" value="0.05" units="cm"/>
      <inkml:brushProperty name="height" value="0.05" units="cm"/>
    </inkml:brush>
  </inkml:definitions>
  <inkml:trace contextRef="#ctx0" brushRef="#br0">0 0 24575,'0'0'0</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0"/>
    </inkml:context>
    <inkml:brush xml:id="br0">
      <inkml:brushProperty name="width" value="0.05" units="cm"/>
      <inkml:brushProperty name="height" value="0.05" units="cm"/>
    </inkml:brush>
  </inkml:definitions>
  <inkml:trace contextRef="#ctx0" brushRef="#br0">1 0 24575,'0'0'0</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1"/>
    </inkml:context>
    <inkml:brush xml:id="br0">
      <inkml:brushProperty name="width" value="0.05" units="cm"/>
      <inkml:brushProperty name="height" value="0.05" units="cm"/>
    </inkml:brush>
  </inkml:definitions>
  <inkml:trace contextRef="#ctx0" brushRef="#br0">1 0 24575,'0'0'0</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2"/>
    </inkml:context>
    <inkml:brush xml:id="br0">
      <inkml:brushProperty name="width" value="0.05" units="cm"/>
      <inkml:brushProperty name="height" value="0.05" units="cm"/>
    </inkml:brush>
  </inkml:definitions>
  <inkml:trace contextRef="#ctx0" brushRef="#br0">0 0 24575,'0'0'0</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3"/>
    </inkml:context>
    <inkml:brush xml:id="br0">
      <inkml:brushProperty name="width" value="0.05" units="cm"/>
      <inkml:brushProperty name="height" value="0.05" units="cm"/>
    </inkml:brush>
  </inkml:definitions>
  <inkml:trace contextRef="#ctx0" brushRef="#br0">1 0 24575,'0'0'0</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4"/>
    </inkml:context>
    <inkml:brush xml:id="br0">
      <inkml:brushProperty name="width" value="0.05" units="cm"/>
      <inkml:brushProperty name="height" value="0.05" units="cm"/>
    </inkml:brush>
  </inkml:definitions>
  <inkml:trace contextRef="#ctx0" brushRef="#br0">1 0 24575,'0'0'0</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5"/>
    </inkml:context>
    <inkml:brush xml:id="br0">
      <inkml:brushProperty name="width" value="0.05" units="cm"/>
      <inkml:brushProperty name="height" value="0.05" units="cm"/>
    </inkml:brush>
  </inkml:definitions>
  <inkml:trace contextRef="#ctx0" brushRef="#br0">0 0 24575,'0'0'0</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6"/>
    </inkml:context>
    <inkml:brush xml:id="br0">
      <inkml:brushProperty name="width" value="0.05" units="cm"/>
      <inkml:brushProperty name="height" value="0.05" units="cm"/>
    </inkml:brush>
  </inkml:definitions>
  <inkml:trace contextRef="#ctx0" brushRef="#br0">1 0 24575,'0'0'0</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7"/>
    </inkml:context>
    <inkml:brush xml:id="br0">
      <inkml:brushProperty name="width" value="0.05" units="cm"/>
      <inkml:brushProperty name="height" value="0.05" units="cm"/>
    </inkml:brush>
  </inkml:definitions>
  <inkml:trace contextRef="#ctx0" brushRef="#br0">1 0 24575,'0'0'0</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79"/>
    </inkml:context>
    <inkml:brush xml:id="br0">
      <inkml:brushProperty name="width" value="0.05" units="cm"/>
      <inkml:brushProperty name="height" value="0.05" units="cm"/>
    </inkml:brush>
  </inkml:definitions>
  <inkml:trace contextRef="#ctx0" brushRef="#br0">0 0 24575,'0'0'0</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0"/>
    </inkml:context>
    <inkml:brush xml:id="br0">
      <inkml:brushProperty name="width" value="0.05" units="cm"/>
      <inkml:brushProperty name="height" value="0.05" units="cm"/>
    </inkml:brush>
  </inkml:definitions>
  <inkml:trace contextRef="#ctx0" brushRef="#br0">1 0 24575,'0'0'0</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1"/>
    </inkml:context>
    <inkml:brush xml:id="br0">
      <inkml:brushProperty name="width" value="0.05" units="cm"/>
      <inkml:brushProperty name="height" value="0.05" units="cm"/>
    </inkml:brush>
  </inkml:definitions>
  <inkml:trace contextRef="#ctx0" brushRef="#br0">1 0 24575,'0'0'0</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2"/>
    </inkml:context>
    <inkml:brush xml:id="br0">
      <inkml:brushProperty name="width" value="0.05" units="cm"/>
      <inkml:brushProperty name="height" value="0.05" units="cm"/>
    </inkml:brush>
  </inkml:definitions>
  <inkml:trace contextRef="#ctx0" brushRef="#br0">0 0 24575,'0'0'0</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3"/>
    </inkml:context>
    <inkml:brush xml:id="br0">
      <inkml:brushProperty name="width" value="0.05" units="cm"/>
      <inkml:brushProperty name="height" value="0.05" units="cm"/>
    </inkml:brush>
  </inkml:definitions>
  <inkml:trace contextRef="#ctx0" brushRef="#br0">1 0 24575,'0'0'0</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4"/>
    </inkml:context>
    <inkml:brush xml:id="br0">
      <inkml:brushProperty name="width" value="0.05" units="cm"/>
      <inkml:brushProperty name="height" value="0.05" units="cm"/>
    </inkml:brush>
  </inkml:definitions>
  <inkml:trace contextRef="#ctx0" brushRef="#br0">1 0 24575,'0'0'0</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6"/>
    </inkml:context>
    <inkml:brush xml:id="br0">
      <inkml:brushProperty name="width" value="0.05" units="cm"/>
      <inkml:brushProperty name="height" value="0.05" units="cm"/>
    </inkml:brush>
  </inkml:definitions>
  <inkml:trace contextRef="#ctx0" brushRef="#br0">0 0 24575,'0'0'0</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7"/>
    </inkml:context>
    <inkml:brush xml:id="br0">
      <inkml:brushProperty name="width" value="0.05" units="cm"/>
      <inkml:brushProperty name="height" value="0.05" units="cm"/>
    </inkml:brush>
  </inkml:definitions>
  <inkml:trace contextRef="#ctx0" brushRef="#br0">1 0 24575,'0'0'0</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8"/>
    </inkml:context>
    <inkml:brush xml:id="br0">
      <inkml:brushProperty name="width" value="0.05" units="cm"/>
      <inkml:brushProperty name="height" value="0.05" units="cm"/>
    </inkml:brush>
  </inkml:definitions>
  <inkml:trace contextRef="#ctx0" brushRef="#br0">1 0 24575,'0'0'0</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89"/>
    </inkml:context>
    <inkml:brush xml:id="br0">
      <inkml:brushProperty name="width" value="0.05" units="cm"/>
      <inkml:brushProperty name="height" value="0.05" units="cm"/>
    </inkml:brush>
  </inkml:definitions>
  <inkml:trace contextRef="#ctx0" brushRef="#br0">0 0 24575,'0'0'0</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0"/>
    </inkml:context>
    <inkml:brush xml:id="br0">
      <inkml:brushProperty name="width" value="0.05" units="cm"/>
      <inkml:brushProperty name="height" value="0.05" units="cm"/>
    </inkml:brush>
  </inkml:definitions>
  <inkml:trace contextRef="#ctx0" brushRef="#br0">1 0 24575,'0'0'0</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1"/>
    </inkml:context>
    <inkml:brush xml:id="br0">
      <inkml:brushProperty name="width" value="0.05" units="cm"/>
      <inkml:brushProperty name="height" value="0.05" units="cm"/>
    </inkml:brush>
  </inkml:definitions>
  <inkml:trace contextRef="#ctx0" brushRef="#br0">1 0 24575,'0'0'0</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2"/>
    </inkml:context>
    <inkml:brush xml:id="br0">
      <inkml:brushProperty name="width" value="0.05" units="cm"/>
      <inkml:brushProperty name="height" value="0.05" units="cm"/>
    </inkml:brush>
  </inkml:definitions>
  <inkml:trace contextRef="#ctx0" brushRef="#br0">0 0 24575,'0'0'0</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3"/>
    </inkml:context>
    <inkml:brush xml:id="br0">
      <inkml:brushProperty name="width" value="0.05" units="cm"/>
      <inkml:brushProperty name="height" value="0.05" units="cm"/>
    </inkml:brush>
  </inkml:definitions>
  <inkml:trace contextRef="#ctx0" brushRef="#br0">1 0 24575,'0'0'0</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4"/>
    </inkml:context>
    <inkml:brush xml:id="br0">
      <inkml:brushProperty name="width" value="0.05" units="cm"/>
      <inkml:brushProperty name="height" value="0.05" units="cm"/>
    </inkml:brush>
  </inkml:definitions>
  <inkml:trace contextRef="#ctx0" brushRef="#br0">1 0 24575,'0'0'0</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6"/>
    </inkml:context>
    <inkml:brush xml:id="br0">
      <inkml:brushProperty name="width" value="0.05" units="cm"/>
      <inkml:brushProperty name="height" value="0.05" units="cm"/>
    </inkml:brush>
  </inkml:definitions>
  <inkml:trace contextRef="#ctx0" brushRef="#br0">0 0 24575,'0'0'0</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7"/>
    </inkml:context>
    <inkml:brush xml:id="br0">
      <inkml:brushProperty name="width" value="0.05" units="cm"/>
      <inkml:brushProperty name="height" value="0.05" units="cm"/>
    </inkml:brush>
  </inkml:definitions>
  <inkml:trace contextRef="#ctx0" brushRef="#br0">1 0 24575,'0'0'0</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8"/>
    </inkml:context>
    <inkml:brush xml:id="br0">
      <inkml:brushProperty name="width" value="0.05" units="cm"/>
      <inkml:brushProperty name="height" value="0.05" units="cm"/>
    </inkml:brush>
  </inkml:definitions>
  <inkml:trace contextRef="#ctx0" brushRef="#br0">1 0 24575,'0'0'0</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199"/>
    </inkml:context>
    <inkml:brush xml:id="br0">
      <inkml:brushProperty name="width" value="0.05" units="cm"/>
      <inkml:brushProperty name="height" value="0.05" units="cm"/>
    </inkml:brush>
  </inkml:definitions>
  <inkml:trace contextRef="#ctx0" brushRef="#br0">0 0 24575,'0'0'0</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00"/>
    </inkml:context>
    <inkml:brush xml:id="br0">
      <inkml:brushProperty name="width" value="0.05" units="cm"/>
      <inkml:brushProperty name="height" value="0.05" units="cm"/>
    </inkml:brush>
  </inkml:definitions>
  <inkml:trace contextRef="#ctx0" brushRef="#br0">1 0 24575,'0'0'0</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01"/>
    </inkml:context>
    <inkml:brush xml:id="br0">
      <inkml:brushProperty name="width" value="0.05" units="cm"/>
      <inkml:brushProperty name="height" value="0.05" units="cm"/>
    </inkml:brush>
  </inkml:definitions>
  <inkml:trace contextRef="#ctx0" brushRef="#br0">1 0 24575,'0'0'0</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03"/>
    </inkml:context>
    <inkml:brush xml:id="br0">
      <inkml:brushProperty name="width" value="0.05" units="cm"/>
      <inkml:brushProperty name="height" value="0.05" units="cm"/>
    </inkml:brush>
  </inkml:definitions>
  <inkml:trace contextRef="#ctx0" brushRef="#br0">0 0 24575,'0'0'0</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04"/>
    </inkml:context>
    <inkml:brush xml:id="br0">
      <inkml:brushProperty name="width" value="0.05" units="cm"/>
      <inkml:brushProperty name="height" value="0.05" units="cm"/>
    </inkml:brush>
  </inkml:definitions>
  <inkml:trace contextRef="#ctx0" brushRef="#br0">1 0 24575,'0'0'0</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05"/>
    </inkml:context>
    <inkml:brush xml:id="br0">
      <inkml:brushProperty name="width" value="0.05" units="cm"/>
      <inkml:brushProperty name="height" value="0.05" units="cm"/>
    </inkml:brush>
  </inkml:definitions>
  <inkml:trace contextRef="#ctx0" brushRef="#br0">1 0 24575,'0'0'0</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06"/>
    </inkml:context>
    <inkml:brush xml:id="br0">
      <inkml:brushProperty name="width" value="0.05" units="cm"/>
      <inkml:brushProperty name="height" value="0.05" units="cm"/>
    </inkml:brush>
  </inkml:definitions>
  <inkml:trace contextRef="#ctx0" brushRef="#br0">0 0 24575,'0'0'0</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07"/>
    </inkml:context>
    <inkml:brush xml:id="br0">
      <inkml:brushProperty name="width" value="0.05" units="cm"/>
      <inkml:brushProperty name="height" value="0.05" units="cm"/>
    </inkml:brush>
  </inkml:definitions>
  <inkml:trace contextRef="#ctx0" brushRef="#br0">1 0 24575,'0'0'0</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08"/>
    </inkml:context>
    <inkml:brush xml:id="br0">
      <inkml:brushProperty name="width" value="0.05" units="cm"/>
      <inkml:brushProperty name="height" value="0.05" units="cm"/>
    </inkml:brush>
  </inkml:definitions>
  <inkml:trace contextRef="#ctx0" brushRef="#br0">1 0 24575,'0'0'0</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0"/>
    </inkml:context>
    <inkml:brush xml:id="br0">
      <inkml:brushProperty name="width" value="0.05" units="cm"/>
      <inkml:brushProperty name="height" value="0.05" units="cm"/>
    </inkml:brush>
  </inkml:definitions>
  <inkml:trace contextRef="#ctx0" brushRef="#br0">0 0 24575,'0'0'0</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1"/>
    </inkml:context>
    <inkml:brush xml:id="br0">
      <inkml:brushProperty name="width" value="0.05" units="cm"/>
      <inkml:brushProperty name="height" value="0.05" units="cm"/>
    </inkml:brush>
  </inkml:definitions>
  <inkml:trace contextRef="#ctx0" brushRef="#br0">1 0 24575,'0'0'0</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2"/>
    </inkml:context>
    <inkml:brush xml:id="br0">
      <inkml:brushProperty name="width" value="0.05" units="cm"/>
      <inkml:brushProperty name="height" value="0.05" units="cm"/>
    </inkml:brush>
  </inkml:definitions>
  <inkml:trace contextRef="#ctx0" brushRef="#br0">1 0 24575,'0'0'0</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3"/>
    </inkml:context>
    <inkml:brush xml:id="br0">
      <inkml:brushProperty name="width" value="0.05" units="cm"/>
      <inkml:brushProperty name="height" value="0.05" units="cm"/>
    </inkml:brush>
  </inkml:definitions>
  <inkml:trace contextRef="#ctx0" brushRef="#br0">0 0 24575,'0'0'0</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4"/>
    </inkml:context>
    <inkml:brush xml:id="br0">
      <inkml:brushProperty name="width" value="0.05" units="cm"/>
      <inkml:brushProperty name="height" value="0.05" units="cm"/>
    </inkml:brush>
  </inkml:definitions>
  <inkml:trace contextRef="#ctx0" brushRef="#br0">1 0 24575,'0'0'0</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5"/>
    </inkml:context>
    <inkml:brush xml:id="br0">
      <inkml:brushProperty name="width" value="0.05" units="cm"/>
      <inkml:brushProperty name="height" value="0.05" units="cm"/>
    </inkml:brush>
  </inkml:definitions>
  <inkml:trace contextRef="#ctx0" brushRef="#br0">1 0 24575,'0'0'0</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7"/>
    </inkml:context>
    <inkml:brush xml:id="br0">
      <inkml:brushProperty name="width" value="0.05" units="cm"/>
      <inkml:brushProperty name="height" value="0.05" units="cm"/>
    </inkml:brush>
  </inkml:definitions>
  <inkml:trace contextRef="#ctx0" brushRef="#br0">0 0 24575,'0'0'0</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8"/>
    </inkml:context>
    <inkml:brush xml:id="br0">
      <inkml:brushProperty name="width" value="0.05" units="cm"/>
      <inkml:brushProperty name="height" value="0.05" units="cm"/>
    </inkml:brush>
  </inkml:definitions>
  <inkml:trace contextRef="#ctx0" brushRef="#br0">1 0 24575,'0'0'0</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19"/>
    </inkml:context>
    <inkml:brush xml:id="br0">
      <inkml:brushProperty name="width" value="0.05" units="cm"/>
      <inkml:brushProperty name="height" value="0.05" units="cm"/>
    </inkml:brush>
  </inkml:definitions>
  <inkml:trace contextRef="#ctx0" brushRef="#br0">1 0 24575,'0'0'0</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0"/>
    </inkml:context>
    <inkml:brush xml:id="br0">
      <inkml:brushProperty name="width" value="0.05" units="cm"/>
      <inkml:brushProperty name="height" value="0.05" units="cm"/>
    </inkml:brush>
  </inkml:definitions>
  <inkml:trace contextRef="#ctx0" brushRef="#br0">0 0 24575,'0'0'0</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1"/>
    </inkml:context>
    <inkml:brush xml:id="br0">
      <inkml:brushProperty name="width" value="0.05" units="cm"/>
      <inkml:brushProperty name="height" value="0.05" units="cm"/>
    </inkml:brush>
  </inkml:definitions>
  <inkml:trace contextRef="#ctx0" brushRef="#br0">1 0 24575,'0'0'0</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2"/>
    </inkml:context>
    <inkml:brush xml:id="br0">
      <inkml:brushProperty name="width" value="0.05" units="cm"/>
      <inkml:brushProperty name="height" value="0.05" units="cm"/>
    </inkml:brush>
  </inkml:definitions>
  <inkml:trace contextRef="#ctx0" brushRef="#br0">1 0 24575,'0'0'0</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4"/>
    </inkml:context>
    <inkml:brush xml:id="br0">
      <inkml:brushProperty name="width" value="0.05" units="cm"/>
      <inkml:brushProperty name="height" value="0.05" units="cm"/>
    </inkml:brush>
  </inkml:definitions>
  <inkml:trace contextRef="#ctx0" brushRef="#br0">0 0 24575,'0'0'0</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5"/>
    </inkml:context>
    <inkml:brush xml:id="br0">
      <inkml:brushProperty name="width" value="0.05" units="cm"/>
      <inkml:brushProperty name="height" value="0.05" units="cm"/>
    </inkml:brush>
  </inkml:definitions>
  <inkml:trace contextRef="#ctx0" brushRef="#br0">1 0 24575,'0'0'0</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6"/>
    </inkml:context>
    <inkml:brush xml:id="br0">
      <inkml:brushProperty name="width" value="0.05" units="cm"/>
      <inkml:brushProperty name="height" value="0.05" units="cm"/>
    </inkml:brush>
  </inkml:definitions>
  <inkml:trace contextRef="#ctx0" brushRef="#br0">1 0 24575,'0'0'0</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7"/>
    </inkml:context>
    <inkml:brush xml:id="br0">
      <inkml:brushProperty name="width" value="0.05" units="cm"/>
      <inkml:brushProperty name="height" value="0.05" units="cm"/>
    </inkml:brush>
  </inkml:definitions>
  <inkml:trace contextRef="#ctx0" brushRef="#br0">0 0 24575,'0'0'0</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8"/>
    </inkml:context>
    <inkml:brush xml:id="br0">
      <inkml:brushProperty name="width" value="0.05" units="cm"/>
      <inkml:brushProperty name="height" value="0.05" units="cm"/>
    </inkml:brush>
  </inkml:definitions>
  <inkml:trace contextRef="#ctx0" brushRef="#br0">1 0 24575,'0'0'0</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29"/>
    </inkml:context>
    <inkml:brush xml:id="br0">
      <inkml:brushProperty name="width" value="0.05" units="cm"/>
      <inkml:brushProperty name="height" value="0.05" units="cm"/>
    </inkml:brush>
  </inkml:definitions>
  <inkml:trace contextRef="#ctx0" brushRef="#br0">1 0 24575,'0'0'0</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31"/>
    </inkml:context>
    <inkml:brush xml:id="br0">
      <inkml:brushProperty name="width" value="0.05" units="cm"/>
      <inkml:brushProperty name="height" value="0.05" units="cm"/>
    </inkml:brush>
  </inkml:definitions>
  <inkml:trace contextRef="#ctx0" brushRef="#br0">0 0 24575,'0'0'0</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32"/>
    </inkml:context>
    <inkml:brush xml:id="br0">
      <inkml:brushProperty name="width" value="0.05" units="cm"/>
      <inkml:brushProperty name="height" value="0.05" units="cm"/>
    </inkml:brush>
  </inkml:definitions>
  <inkml:trace contextRef="#ctx0" brushRef="#br0">1 0 24575,'0'0'0</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33"/>
    </inkml:context>
    <inkml:brush xml:id="br0">
      <inkml:brushProperty name="width" value="0.05" units="cm"/>
      <inkml:brushProperty name="height" value="0.05" units="cm"/>
    </inkml:brush>
  </inkml:definitions>
  <inkml:trace contextRef="#ctx0" brushRef="#br0">1 0 24575,'0'0'0</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34"/>
    </inkml:context>
    <inkml:brush xml:id="br0">
      <inkml:brushProperty name="width" value="0.05" units="cm"/>
      <inkml:brushProperty name="height" value="0.05" units="cm"/>
    </inkml:brush>
  </inkml:definitions>
  <inkml:trace contextRef="#ctx0" brushRef="#br0">0 0 24575,'0'0'0</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35"/>
    </inkml:context>
    <inkml:brush xml:id="br0">
      <inkml:brushProperty name="width" value="0.05" units="cm"/>
      <inkml:brushProperty name="height" value="0.05" units="cm"/>
    </inkml:brush>
  </inkml:definitions>
  <inkml:trace contextRef="#ctx0" brushRef="#br0">1 0 24575,'0'0'0</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36"/>
    </inkml:context>
    <inkml:brush xml:id="br0">
      <inkml:brushProperty name="width" value="0.05" units="cm"/>
      <inkml:brushProperty name="height" value="0.05" units="cm"/>
    </inkml:brush>
  </inkml:definitions>
  <inkml:trace contextRef="#ctx0" brushRef="#br0">1 0 24575,'0'0'0</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38"/>
    </inkml:context>
    <inkml:brush xml:id="br0">
      <inkml:brushProperty name="width" value="0.05" units="cm"/>
      <inkml:brushProperty name="height" value="0.05" units="cm"/>
    </inkml:brush>
  </inkml:definitions>
  <inkml:trace contextRef="#ctx0" brushRef="#br0">0 0 24575,'0'0'0</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39"/>
    </inkml:context>
    <inkml:brush xml:id="br0">
      <inkml:brushProperty name="width" value="0.05" units="cm"/>
      <inkml:brushProperty name="height" value="0.05" units="cm"/>
    </inkml:brush>
  </inkml:definitions>
  <inkml:trace contextRef="#ctx0" brushRef="#br0">1 0 24575,'0'0'0</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0"/>
    </inkml:context>
    <inkml:brush xml:id="br0">
      <inkml:brushProperty name="width" value="0.05" units="cm"/>
      <inkml:brushProperty name="height" value="0.05" units="cm"/>
    </inkml:brush>
  </inkml:definitions>
  <inkml:trace contextRef="#ctx0" brushRef="#br0">1 0 24575,'0'0'0</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1"/>
    </inkml:context>
    <inkml:brush xml:id="br0">
      <inkml:brushProperty name="width" value="0.05" units="cm"/>
      <inkml:brushProperty name="height" value="0.05" units="cm"/>
    </inkml:brush>
  </inkml:definitions>
  <inkml:trace contextRef="#ctx0" brushRef="#br0">0 0 24575,'0'0'0</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2"/>
    </inkml:context>
    <inkml:brush xml:id="br0">
      <inkml:brushProperty name="width" value="0.05" units="cm"/>
      <inkml:brushProperty name="height" value="0.05" units="cm"/>
    </inkml:brush>
  </inkml:definitions>
  <inkml:trace contextRef="#ctx0" brushRef="#br0">1 0 24575,'0'0'0</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3"/>
    </inkml:context>
    <inkml:brush xml:id="br0">
      <inkml:brushProperty name="width" value="0.05" units="cm"/>
      <inkml:brushProperty name="height" value="0.05" units="cm"/>
    </inkml:brush>
  </inkml:definitions>
  <inkml:trace contextRef="#ctx0" brushRef="#br0">1 0 24575,'0'0'0</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5"/>
    </inkml:context>
    <inkml:brush xml:id="br0">
      <inkml:brushProperty name="width" value="0.05" units="cm"/>
      <inkml:brushProperty name="height" value="0.05" units="cm"/>
    </inkml:brush>
  </inkml:definitions>
  <inkml:trace contextRef="#ctx0" brushRef="#br0">0 0 24575,'0'0'0</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6"/>
    </inkml:context>
    <inkml:brush xml:id="br0">
      <inkml:brushProperty name="width" value="0.05" units="cm"/>
      <inkml:brushProperty name="height" value="0.05" units="cm"/>
    </inkml:brush>
  </inkml:definitions>
  <inkml:trace contextRef="#ctx0" brushRef="#br0">1 0 24575,'0'0'0</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7"/>
    </inkml:context>
    <inkml:brush xml:id="br0">
      <inkml:brushProperty name="width" value="0.05" units="cm"/>
      <inkml:brushProperty name="height" value="0.05" units="cm"/>
    </inkml:brush>
  </inkml:definitions>
  <inkml:trace contextRef="#ctx0" brushRef="#br0">1 0 24575,'0'0'0</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8"/>
    </inkml:context>
    <inkml:brush xml:id="br0">
      <inkml:brushProperty name="width" value="0.05" units="cm"/>
      <inkml:brushProperty name="height" value="0.05" units="cm"/>
    </inkml:brush>
  </inkml:definitions>
  <inkml:trace contextRef="#ctx0" brushRef="#br0">0 0 24575,'0'0'0</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49"/>
    </inkml:context>
    <inkml:brush xml:id="br0">
      <inkml:brushProperty name="width" value="0.05" units="cm"/>
      <inkml:brushProperty name="height" value="0.05" units="cm"/>
    </inkml:brush>
  </inkml:definitions>
  <inkml:trace contextRef="#ctx0" brushRef="#br0">1 0 24575,'0'0'0</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50"/>
    </inkml:context>
    <inkml:brush xml:id="br0">
      <inkml:brushProperty name="width" value="0.05" units="cm"/>
      <inkml:brushProperty name="height" value="0.05" units="cm"/>
    </inkml:brush>
  </inkml:definitions>
  <inkml:trace contextRef="#ctx0" brushRef="#br0">1 0 24575,'0'0'0</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52"/>
    </inkml:context>
    <inkml:brush xml:id="br0">
      <inkml:brushProperty name="width" value="0.05" units="cm"/>
      <inkml:brushProperty name="height" value="0.05" units="cm"/>
    </inkml:brush>
  </inkml:definitions>
  <inkml:trace contextRef="#ctx0" brushRef="#br0">0 0 24575,'0'0'0</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53"/>
    </inkml:context>
    <inkml:brush xml:id="br0">
      <inkml:brushProperty name="width" value="0.05" units="cm"/>
      <inkml:brushProperty name="height" value="0.05" units="cm"/>
    </inkml:brush>
  </inkml:definitions>
  <inkml:trace contextRef="#ctx0" brushRef="#br0">1 0 24575,'0'0'0</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54"/>
    </inkml:context>
    <inkml:brush xml:id="br0">
      <inkml:brushProperty name="width" value="0.05" units="cm"/>
      <inkml:brushProperty name="height" value="0.05" units="cm"/>
    </inkml:brush>
  </inkml:definitions>
  <inkml:trace contextRef="#ctx0" brushRef="#br0">1 0 24575,'0'0'0</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56"/>
    </inkml:context>
    <inkml:brush xml:id="br0">
      <inkml:brushProperty name="width" value="0.05" units="cm"/>
      <inkml:brushProperty name="height" value="0.05" units="cm"/>
    </inkml:brush>
  </inkml:definitions>
  <inkml:trace contextRef="#ctx0" brushRef="#br0">0 0 24575,'0'0'0</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57"/>
    </inkml:context>
    <inkml:brush xml:id="br0">
      <inkml:brushProperty name="width" value="0.05" units="cm"/>
      <inkml:brushProperty name="height" value="0.05" units="cm"/>
    </inkml:brush>
  </inkml:definitions>
  <inkml:trace contextRef="#ctx0" brushRef="#br0">1 0 24575,'0'0'0</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58"/>
    </inkml:context>
    <inkml:brush xml:id="br0">
      <inkml:brushProperty name="width" value="0.05" units="cm"/>
      <inkml:brushProperty name="height" value="0.05" units="cm"/>
    </inkml:brush>
  </inkml:definitions>
  <inkml:trace contextRef="#ctx0" brushRef="#br0">1 0 24575,'0'0'0</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59"/>
    </inkml:context>
    <inkml:brush xml:id="br0">
      <inkml:brushProperty name="width" value="0.05" units="cm"/>
      <inkml:brushProperty name="height" value="0.05" units="cm"/>
    </inkml:brush>
  </inkml:definitions>
  <inkml:trace contextRef="#ctx0" brushRef="#br0">0 0 24575,'0'0'0</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60"/>
    </inkml:context>
    <inkml:brush xml:id="br0">
      <inkml:brushProperty name="width" value="0.05" units="cm"/>
      <inkml:brushProperty name="height" value="0.05" units="cm"/>
    </inkml:brush>
  </inkml:definitions>
  <inkml:trace contextRef="#ctx0" brushRef="#br0">1 0 24575,'0'0'0</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61"/>
    </inkml:context>
    <inkml:brush xml:id="br0">
      <inkml:brushProperty name="width" value="0.05" units="cm"/>
      <inkml:brushProperty name="height" value="0.05" units="cm"/>
    </inkml:brush>
  </inkml:definitions>
  <inkml:trace contextRef="#ctx0" brushRef="#br0">1 0 24575,'0'0'0</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63"/>
    </inkml:context>
    <inkml:brush xml:id="br0">
      <inkml:brushProperty name="width" value="0.05" units="cm"/>
      <inkml:brushProperty name="height" value="0.05" units="cm"/>
    </inkml:brush>
  </inkml:definitions>
  <inkml:trace contextRef="#ctx0" brushRef="#br0">0 0 24575,'0'0'0</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64"/>
    </inkml:context>
    <inkml:brush xml:id="br0">
      <inkml:brushProperty name="width" value="0.05" units="cm"/>
      <inkml:brushProperty name="height" value="0.05" units="cm"/>
    </inkml:brush>
  </inkml:definitions>
  <inkml:trace contextRef="#ctx0" brushRef="#br0">1 0 24575,'0'0'0</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65"/>
    </inkml:context>
    <inkml:brush xml:id="br0">
      <inkml:brushProperty name="width" value="0.05" units="cm"/>
      <inkml:brushProperty name="height" value="0.05" units="cm"/>
    </inkml:brush>
  </inkml:definitions>
  <inkml:trace contextRef="#ctx0" brushRef="#br0">1 0 24575,'0'0'0</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67"/>
    </inkml:context>
    <inkml:brush xml:id="br0">
      <inkml:brushProperty name="width" value="0.05" units="cm"/>
      <inkml:brushProperty name="height" value="0.05" units="cm"/>
    </inkml:brush>
  </inkml:definitions>
  <inkml:trace contextRef="#ctx0" brushRef="#br0">0 0 24575,'0'0'0</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68"/>
    </inkml:context>
    <inkml:brush xml:id="br0">
      <inkml:brushProperty name="width" value="0.05" units="cm"/>
      <inkml:brushProperty name="height" value="0.05" units="cm"/>
    </inkml:brush>
  </inkml:definitions>
  <inkml:trace contextRef="#ctx0" brushRef="#br0">1 0 24575,'0'0'0</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69"/>
    </inkml:context>
    <inkml:brush xml:id="br0">
      <inkml:brushProperty name="width" value="0.05" units="cm"/>
      <inkml:brushProperty name="height" value="0.05" units="cm"/>
    </inkml:brush>
  </inkml:definitions>
  <inkml:trace contextRef="#ctx0" brushRef="#br0">1 0 24575,'0'0'0</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71"/>
    </inkml:context>
    <inkml:brush xml:id="br0">
      <inkml:brushProperty name="width" value="0.05" units="cm"/>
      <inkml:brushProperty name="height" value="0.05" units="cm"/>
    </inkml:brush>
  </inkml:definitions>
  <inkml:trace contextRef="#ctx0" brushRef="#br0">0 0 24575,'0'0'0</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72"/>
    </inkml:context>
    <inkml:brush xml:id="br0">
      <inkml:brushProperty name="width" value="0.05" units="cm"/>
      <inkml:brushProperty name="height" value="0.05" units="cm"/>
    </inkml:brush>
  </inkml:definitions>
  <inkml:trace contextRef="#ctx0" brushRef="#br0">1 0 24575,'0'0'0</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73"/>
    </inkml:context>
    <inkml:brush xml:id="br0">
      <inkml:brushProperty name="width" value="0.05" units="cm"/>
      <inkml:brushProperty name="height" value="0.05" units="cm"/>
    </inkml:brush>
  </inkml:definitions>
  <inkml:trace contextRef="#ctx0" brushRef="#br0">1 0 24575,'0'0'0</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76"/>
    </inkml:context>
    <inkml:brush xml:id="br0">
      <inkml:brushProperty name="width" value="0.05" units="cm"/>
      <inkml:brushProperty name="height" value="0.05" units="cm"/>
    </inkml:brush>
  </inkml:definitions>
  <inkml:trace contextRef="#ctx0" brushRef="#br0">0 0 24575,'0'0'0</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77"/>
    </inkml:context>
    <inkml:brush xml:id="br0">
      <inkml:brushProperty name="width" value="0.05" units="cm"/>
      <inkml:brushProperty name="height" value="0.05" units="cm"/>
    </inkml:brush>
  </inkml:definitions>
  <inkml:trace contextRef="#ctx0" brushRef="#br0">1 0 24575,'0'0'0</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78"/>
    </inkml:context>
    <inkml:brush xml:id="br0">
      <inkml:brushProperty name="width" value="0.05" units="cm"/>
      <inkml:brushProperty name="height" value="0.05" units="cm"/>
    </inkml:brush>
  </inkml:definitions>
  <inkml:trace contextRef="#ctx0" brushRef="#br0">1 0 24575,'0'0'0</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80"/>
    </inkml:context>
    <inkml:brush xml:id="br0">
      <inkml:brushProperty name="width" value="0.05" units="cm"/>
      <inkml:brushProperty name="height" value="0.05" units="cm"/>
    </inkml:brush>
  </inkml:definitions>
  <inkml:trace contextRef="#ctx0" brushRef="#br0">0 0 24575,'0'0'0</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81"/>
    </inkml:context>
    <inkml:brush xml:id="br0">
      <inkml:brushProperty name="width" value="0.05" units="cm"/>
      <inkml:brushProperty name="height" value="0.05" units="cm"/>
    </inkml:brush>
  </inkml:definitions>
  <inkml:trace contextRef="#ctx0" brushRef="#br0">1 0 24575,'0'0'0</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82"/>
    </inkml:context>
    <inkml:brush xml:id="br0">
      <inkml:brushProperty name="width" value="0.05" units="cm"/>
      <inkml:brushProperty name="height" value="0.05" units="cm"/>
    </inkml:brush>
  </inkml:definitions>
  <inkml:trace contextRef="#ctx0" brushRef="#br0">1 0 24575,'0'0'0</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84"/>
    </inkml:context>
    <inkml:brush xml:id="br0">
      <inkml:brushProperty name="width" value="0.05" units="cm"/>
      <inkml:brushProperty name="height" value="0.05" units="cm"/>
    </inkml:brush>
  </inkml:definitions>
  <inkml:trace contextRef="#ctx0" brushRef="#br0">0 0 24575,'0'0'0</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85"/>
    </inkml:context>
    <inkml:brush xml:id="br0">
      <inkml:brushProperty name="width" value="0.05" units="cm"/>
      <inkml:brushProperty name="height" value="0.05" units="cm"/>
    </inkml:brush>
  </inkml:definitions>
  <inkml:trace contextRef="#ctx0" brushRef="#br0">1 0 24575,'0'0'0</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86"/>
    </inkml:context>
    <inkml:brush xml:id="br0">
      <inkml:brushProperty name="width" value="0.05" units="cm"/>
      <inkml:brushProperty name="height" value="0.05" units="cm"/>
    </inkml:brush>
  </inkml:definitions>
  <inkml:trace contextRef="#ctx0" brushRef="#br0">1 0 24575,'0'0'0</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88"/>
    </inkml:context>
    <inkml:brush xml:id="br0">
      <inkml:brushProperty name="width" value="0.05" units="cm"/>
      <inkml:brushProperty name="height" value="0.05" units="cm"/>
    </inkml:brush>
  </inkml:definitions>
  <inkml:trace contextRef="#ctx0" brushRef="#br0">0 0 24575,'0'0'0</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89"/>
    </inkml:context>
    <inkml:brush xml:id="br0">
      <inkml:brushProperty name="width" value="0.05" units="cm"/>
      <inkml:brushProperty name="height" value="0.05" units="cm"/>
    </inkml:brush>
  </inkml:definitions>
  <inkml:trace contextRef="#ctx0" brushRef="#br0">1 0 24575,'0'0'0</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90"/>
    </inkml:context>
    <inkml:brush xml:id="br0">
      <inkml:brushProperty name="width" value="0.05" units="cm"/>
      <inkml:brushProperty name="height" value="0.05" units="cm"/>
    </inkml:brush>
  </inkml:definitions>
  <inkml:trace contextRef="#ctx0" brushRef="#br0">1 0 24575,'0'0'0</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92"/>
    </inkml:context>
    <inkml:brush xml:id="br0">
      <inkml:brushProperty name="width" value="0.05" units="cm"/>
      <inkml:brushProperty name="height" value="0.05" units="cm"/>
    </inkml:brush>
  </inkml:definitions>
  <inkml:trace contextRef="#ctx0" brushRef="#br0">0 0 24575,'0'0'0</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93"/>
    </inkml:context>
    <inkml:brush xml:id="br0">
      <inkml:brushProperty name="width" value="0.05" units="cm"/>
      <inkml:brushProperty name="height" value="0.05" units="cm"/>
    </inkml:brush>
  </inkml:definitions>
  <inkml:trace contextRef="#ctx0" brushRef="#br0">1 0 24575,'0'0'0</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94"/>
    </inkml:context>
    <inkml:brush xml:id="br0">
      <inkml:brushProperty name="width" value="0.05" units="cm"/>
      <inkml:brushProperty name="height" value="0.05" units="cm"/>
    </inkml:brush>
  </inkml:definitions>
  <inkml:trace contextRef="#ctx0" brushRef="#br0">1 0 24575,'0'0'0</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96"/>
    </inkml:context>
    <inkml:brush xml:id="br0">
      <inkml:brushProperty name="width" value="0.05" units="cm"/>
      <inkml:brushProperty name="height" value="0.05" units="cm"/>
    </inkml:brush>
  </inkml:definitions>
  <inkml:trace contextRef="#ctx0" brushRef="#br0">0 0 24575,'0'0'0</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97"/>
    </inkml:context>
    <inkml:brush xml:id="br0">
      <inkml:brushProperty name="width" value="0.05" units="cm"/>
      <inkml:brushProperty name="height" value="0.05" units="cm"/>
    </inkml:brush>
  </inkml:definitions>
  <inkml:trace contextRef="#ctx0" brushRef="#br0">1 0 24575,'0'0'0</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298"/>
    </inkml:context>
    <inkml:brush xml:id="br0">
      <inkml:brushProperty name="width" value="0.05" units="cm"/>
      <inkml:brushProperty name="height" value="0.05" units="cm"/>
    </inkml:brush>
  </inkml:definitions>
  <inkml:trace contextRef="#ctx0" brushRef="#br0">1 0 24575,'0'0'0</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00"/>
    </inkml:context>
    <inkml:brush xml:id="br0">
      <inkml:brushProperty name="width" value="0.05" units="cm"/>
      <inkml:brushProperty name="height" value="0.05" units="cm"/>
    </inkml:brush>
  </inkml:definitions>
  <inkml:trace contextRef="#ctx0" brushRef="#br0">0 0 24575,'0'0'0</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01"/>
    </inkml:context>
    <inkml:brush xml:id="br0">
      <inkml:brushProperty name="width" value="0.05" units="cm"/>
      <inkml:brushProperty name="height" value="0.05" units="cm"/>
    </inkml:brush>
  </inkml:definitions>
  <inkml:trace contextRef="#ctx0" brushRef="#br0">1 0 24575,'0'0'0</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02"/>
    </inkml:context>
    <inkml:brush xml:id="br0">
      <inkml:brushProperty name="width" value="0.05" units="cm"/>
      <inkml:brushProperty name="height" value="0.05" units="cm"/>
    </inkml:brush>
  </inkml:definitions>
  <inkml:trace contextRef="#ctx0" brushRef="#br0">1 0 24575,'0'0'0</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04"/>
    </inkml:context>
    <inkml:brush xml:id="br0">
      <inkml:brushProperty name="width" value="0.05" units="cm"/>
      <inkml:brushProperty name="height" value="0.05" units="cm"/>
    </inkml:brush>
  </inkml:definitions>
  <inkml:trace contextRef="#ctx0" brushRef="#br0">0 0 24575,'0'0'0</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05"/>
    </inkml:context>
    <inkml:brush xml:id="br0">
      <inkml:brushProperty name="width" value="0.05" units="cm"/>
      <inkml:brushProperty name="height" value="0.05" units="cm"/>
    </inkml:brush>
  </inkml:definitions>
  <inkml:trace contextRef="#ctx0" brushRef="#br0">1 0 24575,'0'0'0</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06"/>
    </inkml:context>
    <inkml:brush xml:id="br0">
      <inkml:brushProperty name="width" value="0.05" units="cm"/>
      <inkml:brushProperty name="height" value="0.05" units="cm"/>
    </inkml:brush>
  </inkml:definitions>
  <inkml:trace contextRef="#ctx0" brushRef="#br0">1 0 24575,'0'0'0</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08"/>
    </inkml:context>
    <inkml:brush xml:id="br0">
      <inkml:brushProperty name="width" value="0.05" units="cm"/>
      <inkml:brushProperty name="height" value="0.05" units="cm"/>
    </inkml:brush>
  </inkml:definitions>
  <inkml:trace contextRef="#ctx0" brushRef="#br0">0 0 24575,'0'0'0</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09"/>
    </inkml:context>
    <inkml:brush xml:id="br0">
      <inkml:brushProperty name="width" value="0.05" units="cm"/>
      <inkml:brushProperty name="height" value="0.05" units="cm"/>
    </inkml:brush>
  </inkml:definitions>
  <inkml:trace contextRef="#ctx0" brushRef="#br0">1 0 24575,'0'0'0</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10"/>
    </inkml:context>
    <inkml:brush xml:id="br0">
      <inkml:brushProperty name="width" value="0.05" units="cm"/>
      <inkml:brushProperty name="height" value="0.05" units="cm"/>
    </inkml:brush>
  </inkml:definitions>
  <inkml:trace contextRef="#ctx0" brushRef="#br0">1 0 24575,'0'0'0</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12"/>
    </inkml:context>
    <inkml:brush xml:id="br0">
      <inkml:brushProperty name="width" value="0.05" units="cm"/>
      <inkml:brushProperty name="height" value="0.05" units="cm"/>
    </inkml:brush>
  </inkml:definitions>
  <inkml:trace contextRef="#ctx0" brushRef="#br0">0 0 24575,'0'0'0</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13"/>
    </inkml:context>
    <inkml:brush xml:id="br0">
      <inkml:brushProperty name="width" value="0.05" units="cm"/>
      <inkml:brushProperty name="height" value="0.05" units="cm"/>
    </inkml:brush>
  </inkml:definitions>
  <inkml:trace contextRef="#ctx0" brushRef="#br0">1 0 24575,'0'0'0</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14"/>
    </inkml:context>
    <inkml:brush xml:id="br0">
      <inkml:brushProperty name="width" value="0.05" units="cm"/>
      <inkml:brushProperty name="height" value="0.05" units="cm"/>
    </inkml:brush>
  </inkml:definitions>
  <inkml:trace contextRef="#ctx0" brushRef="#br0">1 0 24575,'0'0'0</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16"/>
    </inkml:context>
    <inkml:brush xml:id="br0">
      <inkml:brushProperty name="width" value="0.05" units="cm"/>
      <inkml:brushProperty name="height" value="0.05" units="cm"/>
    </inkml:brush>
  </inkml:definitions>
  <inkml:trace contextRef="#ctx0" brushRef="#br0">0 0 24575,'0'0'0</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17"/>
    </inkml:context>
    <inkml:brush xml:id="br0">
      <inkml:brushProperty name="width" value="0.05" units="cm"/>
      <inkml:brushProperty name="height" value="0.05" units="cm"/>
    </inkml:brush>
  </inkml:definitions>
  <inkml:trace contextRef="#ctx0" brushRef="#br0">1 0 24575,'0'0'0</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18"/>
    </inkml:context>
    <inkml:brush xml:id="br0">
      <inkml:brushProperty name="width" value="0.05" units="cm"/>
      <inkml:brushProperty name="height" value="0.05" units="cm"/>
    </inkml:brush>
  </inkml:definitions>
  <inkml:trace contextRef="#ctx0" brushRef="#br0">1 0 24575,'0'0'0</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19"/>
    </inkml:context>
    <inkml:brush xml:id="br0">
      <inkml:brushProperty name="width" value="0.05" units="cm"/>
      <inkml:brushProperty name="height" value="0.05" units="cm"/>
    </inkml:brush>
  </inkml:definitions>
  <inkml:trace contextRef="#ctx0" brushRef="#br0">0 0 24575,'0'0'0</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20"/>
    </inkml:context>
    <inkml:brush xml:id="br0">
      <inkml:brushProperty name="width" value="0.05" units="cm"/>
      <inkml:brushProperty name="height" value="0.05" units="cm"/>
    </inkml:brush>
  </inkml:definitions>
  <inkml:trace contextRef="#ctx0" brushRef="#br0">1 0 24575,'0'0'0</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21"/>
    </inkml:context>
    <inkml:brush xml:id="br0">
      <inkml:brushProperty name="width" value="0.05" units="cm"/>
      <inkml:brushProperty name="height" value="0.05" units="cm"/>
    </inkml:brush>
  </inkml:definitions>
  <inkml:trace contextRef="#ctx0" brushRef="#br0">1 0 24575,'0'0'0</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23"/>
    </inkml:context>
    <inkml:brush xml:id="br0">
      <inkml:brushProperty name="width" value="0.05" units="cm"/>
      <inkml:brushProperty name="height" value="0.05" units="cm"/>
    </inkml:brush>
  </inkml:definitions>
  <inkml:trace contextRef="#ctx0" brushRef="#br0">0 0 24575,'0'0'0</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24"/>
    </inkml:context>
    <inkml:brush xml:id="br0">
      <inkml:brushProperty name="width" value="0.05" units="cm"/>
      <inkml:brushProperty name="height" value="0.05" units="cm"/>
    </inkml:brush>
  </inkml:definitions>
  <inkml:trace contextRef="#ctx0" brushRef="#br0">1 0 24575,'0'0'0</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25"/>
    </inkml:context>
    <inkml:brush xml:id="br0">
      <inkml:brushProperty name="width" value="0.05" units="cm"/>
      <inkml:brushProperty name="height" value="0.05" units="cm"/>
    </inkml:brush>
  </inkml:definitions>
  <inkml:trace contextRef="#ctx0" brushRef="#br0">1 0 24575,'0'0'0</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27"/>
    </inkml:context>
    <inkml:brush xml:id="br0">
      <inkml:brushProperty name="width" value="0.05" units="cm"/>
      <inkml:brushProperty name="height" value="0.05" units="cm"/>
    </inkml:brush>
  </inkml:definitions>
  <inkml:trace contextRef="#ctx0" brushRef="#br0">0 0 24575,'0'0'0</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28"/>
    </inkml:context>
    <inkml:brush xml:id="br0">
      <inkml:brushProperty name="width" value="0.05" units="cm"/>
      <inkml:brushProperty name="height" value="0.05" units="cm"/>
    </inkml:brush>
  </inkml:definitions>
  <inkml:trace contextRef="#ctx0" brushRef="#br0">1 0 24575,'0'0'0</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29"/>
    </inkml:context>
    <inkml:brush xml:id="br0">
      <inkml:brushProperty name="width" value="0.05" units="cm"/>
      <inkml:brushProperty name="height" value="0.05" units="cm"/>
    </inkml:brush>
  </inkml:definitions>
  <inkml:trace contextRef="#ctx0" brushRef="#br0">1 0 24575,'0'0'0</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31"/>
    </inkml:context>
    <inkml:brush xml:id="br0">
      <inkml:brushProperty name="width" value="0.05" units="cm"/>
      <inkml:brushProperty name="height" value="0.05" units="cm"/>
    </inkml:brush>
  </inkml:definitions>
  <inkml:trace contextRef="#ctx0" brushRef="#br0">0 0 24575,'0'0'0</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32"/>
    </inkml:context>
    <inkml:brush xml:id="br0">
      <inkml:brushProperty name="width" value="0.05" units="cm"/>
      <inkml:brushProperty name="height" value="0.05" units="cm"/>
    </inkml:brush>
  </inkml:definitions>
  <inkml:trace contextRef="#ctx0" brushRef="#br0">1 0 24575,'0'0'0</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33"/>
    </inkml:context>
    <inkml:brush xml:id="br0">
      <inkml:brushProperty name="width" value="0.05" units="cm"/>
      <inkml:brushProperty name="height" value="0.05" units="cm"/>
    </inkml:brush>
  </inkml:definitions>
  <inkml:trace contextRef="#ctx0" brushRef="#br0">1 0 24575,'0'0'0</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36"/>
    </inkml:context>
    <inkml:brush xml:id="br0">
      <inkml:brushProperty name="width" value="0.05" units="cm"/>
      <inkml:brushProperty name="height" value="0.05" units="cm"/>
    </inkml:brush>
  </inkml:definitions>
  <inkml:trace contextRef="#ctx0" brushRef="#br0">0 0 24575,'0'0'0</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37"/>
    </inkml:context>
    <inkml:brush xml:id="br0">
      <inkml:brushProperty name="width" value="0.05" units="cm"/>
      <inkml:brushProperty name="height" value="0.05" units="cm"/>
    </inkml:brush>
  </inkml:definitions>
  <inkml:trace contextRef="#ctx0" brushRef="#br0">1 0 24575,'0'0'0</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38"/>
    </inkml:context>
    <inkml:brush xml:id="br0">
      <inkml:brushProperty name="width" value="0.05" units="cm"/>
      <inkml:brushProperty name="height" value="0.05" units="cm"/>
    </inkml:brush>
  </inkml:definitions>
  <inkml:trace contextRef="#ctx0" brushRef="#br0">1 0 24575,'0'0'0</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40"/>
    </inkml:context>
    <inkml:brush xml:id="br0">
      <inkml:brushProperty name="width" value="0.05" units="cm"/>
      <inkml:brushProperty name="height" value="0.05" units="cm"/>
    </inkml:brush>
  </inkml:definitions>
  <inkml:trace contextRef="#ctx0" brushRef="#br0">0 0 24575,'0'0'0</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41"/>
    </inkml:context>
    <inkml:brush xml:id="br0">
      <inkml:brushProperty name="width" value="0.05" units="cm"/>
      <inkml:brushProperty name="height" value="0.05" units="cm"/>
    </inkml:brush>
  </inkml:definitions>
  <inkml:trace contextRef="#ctx0" brushRef="#br0">1 0 24575,'0'0'0</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42"/>
    </inkml:context>
    <inkml:brush xml:id="br0">
      <inkml:brushProperty name="width" value="0.05" units="cm"/>
      <inkml:brushProperty name="height" value="0.05" units="cm"/>
    </inkml:brush>
  </inkml:definitions>
  <inkml:trace contextRef="#ctx0" brushRef="#br0">1 0 24575,'0'0'0</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45"/>
    </inkml:context>
    <inkml:brush xml:id="br0">
      <inkml:brushProperty name="width" value="0.05" units="cm"/>
      <inkml:brushProperty name="height" value="0.05" units="cm"/>
    </inkml:brush>
  </inkml:definitions>
  <inkml:trace contextRef="#ctx0" brushRef="#br0">0 0 24575,'0'0'0</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46"/>
    </inkml:context>
    <inkml:brush xml:id="br0">
      <inkml:brushProperty name="width" value="0.05" units="cm"/>
      <inkml:brushProperty name="height" value="0.05" units="cm"/>
    </inkml:brush>
  </inkml:definitions>
  <inkml:trace contextRef="#ctx0" brushRef="#br0">1 0 24575,'0'0'0</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47"/>
    </inkml:context>
    <inkml:brush xml:id="br0">
      <inkml:brushProperty name="width" value="0.05" units="cm"/>
      <inkml:brushProperty name="height" value="0.05" units="cm"/>
    </inkml:brush>
  </inkml:definitions>
  <inkml:trace contextRef="#ctx0" brushRef="#br0">1 0 24575,'0'0'0</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50"/>
    </inkml:context>
    <inkml:brush xml:id="br0">
      <inkml:brushProperty name="width" value="0.05" units="cm"/>
      <inkml:brushProperty name="height" value="0.05" units="cm"/>
    </inkml:brush>
  </inkml:definitions>
  <inkml:trace contextRef="#ctx0" brushRef="#br0">0 0 24575,'0'0'0</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51"/>
    </inkml:context>
    <inkml:brush xml:id="br0">
      <inkml:brushProperty name="width" value="0.05" units="cm"/>
      <inkml:brushProperty name="height" value="0.05" units="cm"/>
    </inkml:brush>
  </inkml:definitions>
  <inkml:trace contextRef="#ctx0" brushRef="#br0">1 0 24575,'0'0'0</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52"/>
    </inkml:context>
    <inkml:brush xml:id="br0">
      <inkml:brushProperty name="width" value="0.05" units="cm"/>
      <inkml:brushProperty name="height" value="0.05" units="cm"/>
    </inkml:brush>
  </inkml:definitions>
  <inkml:trace contextRef="#ctx0" brushRef="#br0">1 0 24575,'0'0'0</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54"/>
    </inkml:context>
    <inkml:brush xml:id="br0">
      <inkml:brushProperty name="width" value="0.05" units="cm"/>
      <inkml:brushProperty name="height" value="0.05" units="cm"/>
    </inkml:brush>
  </inkml:definitions>
  <inkml:trace contextRef="#ctx0" brushRef="#br0">0 0 24575,'0'0'0</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55"/>
    </inkml:context>
    <inkml:brush xml:id="br0">
      <inkml:brushProperty name="width" value="0.05" units="cm"/>
      <inkml:brushProperty name="height" value="0.05" units="cm"/>
    </inkml:brush>
  </inkml:definitions>
  <inkml:trace contextRef="#ctx0" brushRef="#br0">1 0 24575,'0'0'0</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56"/>
    </inkml:context>
    <inkml:brush xml:id="br0">
      <inkml:brushProperty name="width" value="0.05" units="cm"/>
      <inkml:brushProperty name="height" value="0.05" units="cm"/>
    </inkml:brush>
  </inkml:definitions>
  <inkml:trace contextRef="#ctx0" brushRef="#br0">1 0 24575,'0'0'0</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58"/>
    </inkml:context>
    <inkml:brush xml:id="br0">
      <inkml:brushProperty name="width" value="0.05" units="cm"/>
      <inkml:brushProperty name="height" value="0.05" units="cm"/>
    </inkml:brush>
  </inkml:definitions>
  <inkml:trace contextRef="#ctx0" brushRef="#br0">0 0 24575,'0'0'0</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59"/>
    </inkml:context>
    <inkml:brush xml:id="br0">
      <inkml:brushProperty name="width" value="0.05" units="cm"/>
      <inkml:brushProperty name="height" value="0.05" units="cm"/>
    </inkml:brush>
  </inkml:definitions>
  <inkml:trace contextRef="#ctx0" brushRef="#br0">1 0 24575,'0'0'0</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60"/>
    </inkml:context>
    <inkml:brush xml:id="br0">
      <inkml:brushProperty name="width" value="0.05" units="cm"/>
      <inkml:brushProperty name="height" value="0.05" units="cm"/>
    </inkml:brush>
  </inkml:definitions>
  <inkml:trace contextRef="#ctx0" brushRef="#br0">1 0 24575,'0'0'0</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62"/>
    </inkml:context>
    <inkml:brush xml:id="br0">
      <inkml:brushProperty name="width" value="0.05" units="cm"/>
      <inkml:brushProperty name="height" value="0.05" units="cm"/>
    </inkml:brush>
  </inkml:definitions>
  <inkml:trace contextRef="#ctx0" brushRef="#br0">0 0 24575,'0'0'0</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63"/>
    </inkml:context>
    <inkml:brush xml:id="br0">
      <inkml:brushProperty name="width" value="0.05" units="cm"/>
      <inkml:brushProperty name="height" value="0.05" units="cm"/>
    </inkml:brush>
  </inkml:definitions>
  <inkml:trace contextRef="#ctx0" brushRef="#br0">1 0 24575,'0'0'0</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64"/>
    </inkml:context>
    <inkml:brush xml:id="br0">
      <inkml:brushProperty name="width" value="0.05" units="cm"/>
      <inkml:brushProperty name="height" value="0.05" units="cm"/>
    </inkml:brush>
  </inkml:definitions>
  <inkml:trace contextRef="#ctx0" brushRef="#br0">1 0 24575,'0'0'0</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66"/>
    </inkml:context>
    <inkml:brush xml:id="br0">
      <inkml:brushProperty name="width" value="0.05" units="cm"/>
      <inkml:brushProperty name="height" value="0.05" units="cm"/>
    </inkml:brush>
  </inkml:definitions>
  <inkml:trace contextRef="#ctx0" brushRef="#br0">0 0 24575,'0'0'0</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67"/>
    </inkml:context>
    <inkml:brush xml:id="br0">
      <inkml:brushProperty name="width" value="0.05" units="cm"/>
      <inkml:brushProperty name="height" value="0.05" units="cm"/>
    </inkml:brush>
  </inkml:definitions>
  <inkml:trace contextRef="#ctx0" brushRef="#br0">1 0 24575,'0'0'0</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68"/>
    </inkml:context>
    <inkml:brush xml:id="br0">
      <inkml:brushProperty name="width" value="0.05" units="cm"/>
      <inkml:brushProperty name="height" value="0.05" units="cm"/>
    </inkml:brush>
  </inkml:definitions>
  <inkml:trace contextRef="#ctx0" brushRef="#br0">1 0 24575,'0'0'0</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70"/>
    </inkml:context>
    <inkml:brush xml:id="br0">
      <inkml:brushProperty name="width" value="0.05" units="cm"/>
      <inkml:brushProperty name="height" value="0.05" units="cm"/>
    </inkml:brush>
  </inkml:definitions>
  <inkml:trace contextRef="#ctx0" brushRef="#br0">0 0 24575,'0'0'0</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71"/>
    </inkml:context>
    <inkml:brush xml:id="br0">
      <inkml:brushProperty name="width" value="0.05" units="cm"/>
      <inkml:brushProperty name="height" value="0.05" units="cm"/>
    </inkml:brush>
  </inkml:definitions>
  <inkml:trace contextRef="#ctx0" brushRef="#br0">1 0 24575,'0'0'0</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72"/>
    </inkml:context>
    <inkml:brush xml:id="br0">
      <inkml:brushProperty name="width" value="0.05" units="cm"/>
      <inkml:brushProperty name="height" value="0.05" units="cm"/>
    </inkml:brush>
  </inkml:definitions>
  <inkml:trace contextRef="#ctx0" brushRef="#br0">1 0 24575,'0'0'0</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74"/>
    </inkml:context>
    <inkml:brush xml:id="br0">
      <inkml:brushProperty name="width" value="0.05" units="cm"/>
      <inkml:brushProperty name="height" value="0.05" units="cm"/>
    </inkml:brush>
  </inkml:definitions>
  <inkml:trace contextRef="#ctx0" brushRef="#br0">0 0 24575,'0'0'0</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75"/>
    </inkml:context>
    <inkml:brush xml:id="br0">
      <inkml:brushProperty name="width" value="0.05" units="cm"/>
      <inkml:brushProperty name="height" value="0.05" units="cm"/>
    </inkml:brush>
  </inkml:definitions>
  <inkml:trace contextRef="#ctx0" brushRef="#br0">1 0 24575,'0'0'0</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76"/>
    </inkml:context>
    <inkml:brush xml:id="br0">
      <inkml:brushProperty name="width" value="0.05" units="cm"/>
      <inkml:brushProperty name="height" value="0.05" units="cm"/>
    </inkml:brush>
  </inkml:definitions>
  <inkml:trace contextRef="#ctx0" brushRef="#br0">1 0 24575,'0'0'0</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78"/>
    </inkml:context>
    <inkml:brush xml:id="br0">
      <inkml:brushProperty name="width" value="0.05" units="cm"/>
      <inkml:brushProperty name="height" value="0.05" units="cm"/>
    </inkml:brush>
  </inkml:definitions>
  <inkml:trace contextRef="#ctx0" brushRef="#br0">0 0 24575,'0'0'0</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79"/>
    </inkml:context>
    <inkml:brush xml:id="br0">
      <inkml:brushProperty name="width" value="0.05" units="cm"/>
      <inkml:brushProperty name="height" value="0.05" units="cm"/>
    </inkml:brush>
  </inkml:definitions>
  <inkml:trace contextRef="#ctx0" brushRef="#br0">1 0 24575,'0'0'0</inkml:trace>
</inkml:ink>
</file>

<file path=xl/ink/ink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80"/>
    </inkml:context>
    <inkml:brush xml:id="br0">
      <inkml:brushProperty name="width" value="0.05" units="cm"/>
      <inkml:brushProperty name="height" value="0.05" units="cm"/>
    </inkml:brush>
  </inkml:definitions>
  <inkml:trace contextRef="#ctx0" brushRef="#br0">1 0 24575,'0'0'0</inkml:trace>
</inkml:ink>
</file>

<file path=xl/ink/ink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82"/>
    </inkml:context>
    <inkml:brush xml:id="br0">
      <inkml:brushProperty name="width" value="0.05" units="cm"/>
      <inkml:brushProperty name="height" value="0.05" units="cm"/>
    </inkml:brush>
  </inkml:definitions>
  <inkml:trace contextRef="#ctx0" brushRef="#br0">0 0 24575,'0'0'0</inkml:trace>
</inkml:ink>
</file>

<file path=xl/ink/ink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83"/>
    </inkml:context>
    <inkml:brush xml:id="br0">
      <inkml:brushProperty name="width" value="0.05" units="cm"/>
      <inkml:brushProperty name="height" value="0.05" units="cm"/>
    </inkml:brush>
  </inkml:definitions>
  <inkml:trace contextRef="#ctx0" brushRef="#br0">1 0 24575,'0'0'0</inkml:trace>
</inkml:ink>
</file>

<file path=xl/ink/ink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84"/>
    </inkml:context>
    <inkml:brush xml:id="br0">
      <inkml:brushProperty name="width" value="0.05" units="cm"/>
      <inkml:brushProperty name="height" value="0.05" units="cm"/>
    </inkml:brush>
  </inkml:definitions>
  <inkml:trace contextRef="#ctx0" brushRef="#br0">1 0 24575,'0'0'0</inkml:trace>
</inkml:ink>
</file>

<file path=xl/ink/ink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86"/>
    </inkml:context>
    <inkml:brush xml:id="br0">
      <inkml:brushProperty name="width" value="0.05" units="cm"/>
      <inkml:brushProperty name="height" value="0.05" units="cm"/>
    </inkml:brush>
  </inkml:definitions>
  <inkml:trace contextRef="#ctx0" brushRef="#br0">0 0 24575,'0'0'0</inkml:trace>
</inkml:ink>
</file>

<file path=xl/ink/ink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87"/>
    </inkml:context>
    <inkml:brush xml:id="br0">
      <inkml:brushProperty name="width" value="0.05" units="cm"/>
      <inkml:brushProperty name="height" value="0.05" units="cm"/>
    </inkml:brush>
  </inkml:definitions>
  <inkml:trace contextRef="#ctx0" brushRef="#br0">1 0 24575,'0'0'0</inkml:trace>
</inkml:ink>
</file>

<file path=xl/ink/ink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88"/>
    </inkml:context>
    <inkml:brush xml:id="br0">
      <inkml:brushProperty name="width" value="0.05" units="cm"/>
      <inkml:brushProperty name="height" value="0.05" units="cm"/>
    </inkml:brush>
  </inkml:definitions>
  <inkml:trace contextRef="#ctx0" brushRef="#br0">1 0 24575,'0'0'0</inkml:trace>
</inkml:ink>
</file>

<file path=xl/ink/ink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90"/>
    </inkml:context>
    <inkml:brush xml:id="br0">
      <inkml:brushProperty name="width" value="0.05" units="cm"/>
      <inkml:brushProperty name="height" value="0.05" units="cm"/>
    </inkml:brush>
  </inkml:definitions>
  <inkml:trace contextRef="#ctx0" brushRef="#br0">0 0 24575,'0'0'0</inkml:trace>
</inkml:ink>
</file>

<file path=xl/ink/ink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91"/>
    </inkml:context>
    <inkml:brush xml:id="br0">
      <inkml:brushProperty name="width" value="0.05" units="cm"/>
      <inkml:brushProperty name="height" value="0.05" units="cm"/>
    </inkml:brush>
  </inkml:definitions>
  <inkml:trace contextRef="#ctx0" brushRef="#br0">1 0 24575,'0'0'0</inkml:trace>
</inkml:ink>
</file>

<file path=xl/ink/ink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92"/>
    </inkml:context>
    <inkml:brush xml:id="br0">
      <inkml:brushProperty name="width" value="0.05" units="cm"/>
      <inkml:brushProperty name="height" value="0.05" units="cm"/>
    </inkml:brush>
  </inkml:definitions>
  <inkml:trace contextRef="#ctx0" brushRef="#br0">1 0 24575,'0'0'0</inkml:trace>
</inkml:ink>
</file>

<file path=xl/ink/ink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94"/>
    </inkml:context>
    <inkml:brush xml:id="br0">
      <inkml:brushProperty name="width" value="0.05" units="cm"/>
      <inkml:brushProperty name="height" value="0.05" units="cm"/>
    </inkml:brush>
  </inkml:definitions>
  <inkml:trace contextRef="#ctx0" brushRef="#br0">0 0 24575,'0'0'0</inkml:trace>
</inkml:ink>
</file>

<file path=xl/ink/ink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95"/>
    </inkml:context>
    <inkml:brush xml:id="br0">
      <inkml:brushProperty name="width" value="0.05" units="cm"/>
      <inkml:brushProperty name="height" value="0.05" units="cm"/>
    </inkml:brush>
  </inkml:definitions>
  <inkml:trace contextRef="#ctx0" brushRef="#br0">1 0 24575,'0'0'0</inkml:trace>
</inkml:ink>
</file>

<file path=xl/ink/ink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96"/>
    </inkml:context>
    <inkml:brush xml:id="br0">
      <inkml:brushProperty name="width" value="0.05" units="cm"/>
      <inkml:brushProperty name="height" value="0.05" units="cm"/>
    </inkml:brush>
  </inkml:definitions>
  <inkml:trace contextRef="#ctx0" brushRef="#br0">1 0 24575,'0'0'0</inkml:trace>
</inkml:ink>
</file>

<file path=xl/ink/ink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98"/>
    </inkml:context>
    <inkml:brush xml:id="br0">
      <inkml:brushProperty name="width" value="0.05" units="cm"/>
      <inkml:brushProperty name="height" value="0.05" units="cm"/>
    </inkml:brush>
  </inkml:definitions>
  <inkml:trace contextRef="#ctx0" brushRef="#br0">0 0 24575,'0'0'0</inkml:trace>
</inkml:ink>
</file>

<file path=xl/ink/ink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399"/>
    </inkml:context>
    <inkml:brush xml:id="br0">
      <inkml:brushProperty name="width" value="0.05" units="cm"/>
      <inkml:brushProperty name="height" value="0.05" units="cm"/>
    </inkml:brush>
  </inkml:definitions>
  <inkml:trace contextRef="#ctx0" brushRef="#br0">1 0 24575,'0'0'0</inkml:trace>
</inkml:ink>
</file>

<file path=xl/ink/ink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00"/>
    </inkml:context>
    <inkml:brush xml:id="br0">
      <inkml:brushProperty name="width" value="0.05" units="cm"/>
      <inkml:brushProperty name="height" value="0.05" units="cm"/>
    </inkml:brush>
  </inkml:definitions>
  <inkml:trace contextRef="#ctx0" brushRef="#br0">1 0 24575,'0'0'0</inkml:trace>
</inkml:ink>
</file>

<file path=xl/ink/ink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02"/>
    </inkml:context>
    <inkml:brush xml:id="br0">
      <inkml:brushProperty name="width" value="0.05" units="cm"/>
      <inkml:brushProperty name="height" value="0.05" units="cm"/>
    </inkml:brush>
  </inkml:definitions>
  <inkml:trace contextRef="#ctx0" brushRef="#br0">0 0 24575,'0'0'0</inkml:trace>
</inkml:ink>
</file>

<file path=xl/ink/ink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03"/>
    </inkml:context>
    <inkml:brush xml:id="br0">
      <inkml:brushProperty name="width" value="0.05" units="cm"/>
      <inkml:brushProperty name="height" value="0.05" units="cm"/>
    </inkml:brush>
  </inkml:definitions>
  <inkml:trace contextRef="#ctx0" brushRef="#br0">1 0 24575,'0'0'0</inkml:trace>
</inkml:ink>
</file>

<file path=xl/ink/ink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04"/>
    </inkml:context>
    <inkml:brush xml:id="br0">
      <inkml:brushProperty name="width" value="0.05" units="cm"/>
      <inkml:brushProperty name="height" value="0.05" units="cm"/>
    </inkml:brush>
  </inkml:definitions>
  <inkml:trace contextRef="#ctx0" brushRef="#br0">1 0 24575,'0'0'0</inkml:trace>
</inkml:ink>
</file>

<file path=xl/ink/ink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06"/>
    </inkml:context>
    <inkml:brush xml:id="br0">
      <inkml:brushProperty name="width" value="0.05" units="cm"/>
      <inkml:brushProperty name="height" value="0.05" units="cm"/>
    </inkml:brush>
  </inkml:definitions>
  <inkml:trace contextRef="#ctx0" brushRef="#br0">0 0 24575,'0'0'0</inkml:trace>
</inkml:ink>
</file>

<file path=xl/ink/ink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07"/>
    </inkml:context>
    <inkml:brush xml:id="br0">
      <inkml:brushProperty name="width" value="0.05" units="cm"/>
      <inkml:brushProperty name="height" value="0.05" units="cm"/>
    </inkml:brush>
  </inkml:definitions>
  <inkml:trace contextRef="#ctx0" brushRef="#br0">1 0 24575,'0'0'0</inkml:trace>
</inkml:ink>
</file>

<file path=xl/ink/ink3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08"/>
    </inkml:context>
    <inkml:brush xml:id="br0">
      <inkml:brushProperty name="width" value="0.05" units="cm"/>
      <inkml:brushProperty name="height" value="0.05" units="cm"/>
    </inkml:brush>
  </inkml:definitions>
  <inkml:trace contextRef="#ctx0" brushRef="#br0">1 0 24575,'0'0'0</inkml:trace>
</inkml:ink>
</file>

<file path=xl/ink/ink3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10"/>
    </inkml:context>
    <inkml:brush xml:id="br0">
      <inkml:brushProperty name="width" value="0.05" units="cm"/>
      <inkml:brushProperty name="height" value="0.05" units="cm"/>
    </inkml:brush>
  </inkml:definitions>
  <inkml:trace contextRef="#ctx0" brushRef="#br0">0 0 24575,'0'0'0</inkml:trace>
</inkml:ink>
</file>

<file path=xl/ink/ink3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11"/>
    </inkml:context>
    <inkml:brush xml:id="br0">
      <inkml:brushProperty name="width" value="0.05" units="cm"/>
      <inkml:brushProperty name="height" value="0.05" units="cm"/>
    </inkml:brush>
  </inkml:definitions>
  <inkml:trace contextRef="#ctx0" brushRef="#br0">1 0 24575,'0'0'0</inkml:trace>
</inkml:ink>
</file>

<file path=xl/ink/ink3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12"/>
    </inkml:context>
    <inkml:brush xml:id="br0">
      <inkml:brushProperty name="width" value="0.05" units="cm"/>
      <inkml:brushProperty name="height" value="0.05" units="cm"/>
    </inkml:brush>
  </inkml:definitions>
  <inkml:trace contextRef="#ctx0" brushRef="#br0">1 0 24575,'0'0'0</inkml:trace>
</inkml:ink>
</file>

<file path=xl/ink/ink3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15"/>
    </inkml:context>
    <inkml:brush xml:id="br0">
      <inkml:brushProperty name="width" value="0.05" units="cm"/>
      <inkml:brushProperty name="height" value="0.05" units="cm"/>
    </inkml:brush>
  </inkml:definitions>
  <inkml:trace contextRef="#ctx0" brushRef="#br0">0 0 24575,'0'0'0</inkml:trace>
</inkml:ink>
</file>

<file path=xl/ink/ink3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16"/>
    </inkml:context>
    <inkml:brush xml:id="br0">
      <inkml:brushProperty name="width" value="0.05" units="cm"/>
      <inkml:brushProperty name="height" value="0.05" units="cm"/>
    </inkml:brush>
  </inkml:definitions>
  <inkml:trace contextRef="#ctx0" brushRef="#br0">1 0 24575,'0'0'0</inkml:trace>
</inkml:ink>
</file>

<file path=xl/ink/ink3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17"/>
    </inkml:context>
    <inkml:brush xml:id="br0">
      <inkml:brushProperty name="width" value="0.05" units="cm"/>
      <inkml:brushProperty name="height" value="0.05" units="cm"/>
    </inkml:brush>
  </inkml:definitions>
  <inkml:trace contextRef="#ctx0" brushRef="#br0">1 0 24575,'0'0'0</inkml:trace>
</inkml:ink>
</file>

<file path=xl/ink/ink3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19"/>
    </inkml:context>
    <inkml:brush xml:id="br0">
      <inkml:brushProperty name="width" value="0.05" units="cm"/>
      <inkml:brushProperty name="height" value="0.05" units="cm"/>
    </inkml:brush>
  </inkml:definitions>
  <inkml:trace contextRef="#ctx0" brushRef="#br0">0 0 24575,'0'0'0</inkml:trace>
</inkml:ink>
</file>

<file path=xl/ink/ink3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20"/>
    </inkml:context>
    <inkml:brush xml:id="br0">
      <inkml:brushProperty name="width" value="0.05" units="cm"/>
      <inkml:brushProperty name="height" value="0.05" units="cm"/>
    </inkml:brush>
  </inkml:definitions>
  <inkml:trace contextRef="#ctx0" brushRef="#br0">1 0 24575,'0'0'0</inkml:trace>
</inkml:ink>
</file>

<file path=xl/ink/ink3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21"/>
    </inkml:context>
    <inkml:brush xml:id="br0">
      <inkml:brushProperty name="width" value="0.05" units="cm"/>
      <inkml:brushProperty name="height" value="0.05" units="cm"/>
    </inkml:brush>
  </inkml:definitions>
  <inkml:trace contextRef="#ctx0" brushRef="#br0">1 0 24575,'0'0'0</inkml:trace>
</inkml:ink>
</file>

<file path=xl/ink/ink3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23"/>
    </inkml:context>
    <inkml:brush xml:id="br0">
      <inkml:brushProperty name="width" value="0.05" units="cm"/>
      <inkml:brushProperty name="height" value="0.05" units="cm"/>
    </inkml:brush>
  </inkml:definitions>
  <inkml:trace contextRef="#ctx0" brushRef="#br0">0 0 24575,'0'0'0</inkml:trace>
</inkml:ink>
</file>

<file path=xl/ink/ink3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24"/>
    </inkml:context>
    <inkml:brush xml:id="br0">
      <inkml:brushProperty name="width" value="0.05" units="cm"/>
      <inkml:brushProperty name="height" value="0.05" units="cm"/>
    </inkml:brush>
  </inkml:definitions>
  <inkml:trace contextRef="#ctx0" brushRef="#br0">1 0 24575,'0'0'0</inkml:trace>
</inkml:ink>
</file>

<file path=xl/ink/ink3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25"/>
    </inkml:context>
    <inkml:brush xml:id="br0">
      <inkml:brushProperty name="width" value="0.05" units="cm"/>
      <inkml:brushProperty name="height" value="0.05" units="cm"/>
    </inkml:brush>
  </inkml:definitions>
  <inkml:trace contextRef="#ctx0" brushRef="#br0">1 0 24575,'0'0'0</inkml:trace>
</inkml:ink>
</file>

<file path=xl/ink/ink3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28"/>
    </inkml:context>
    <inkml:brush xml:id="br0">
      <inkml:brushProperty name="width" value="0.05" units="cm"/>
      <inkml:brushProperty name="height" value="0.05" units="cm"/>
    </inkml:brush>
  </inkml:definitions>
  <inkml:trace contextRef="#ctx0" brushRef="#br0">0 0 24575,'0'0'0</inkml:trace>
</inkml:ink>
</file>

<file path=xl/ink/ink3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29"/>
    </inkml:context>
    <inkml:brush xml:id="br0">
      <inkml:brushProperty name="width" value="0.05" units="cm"/>
      <inkml:brushProperty name="height" value="0.05" units="cm"/>
    </inkml:brush>
  </inkml:definitions>
  <inkml:trace contextRef="#ctx0" brushRef="#br0">1 0 24575,'0'0'0</inkml:trace>
</inkml:ink>
</file>

<file path=xl/ink/ink3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30"/>
    </inkml:context>
    <inkml:brush xml:id="br0">
      <inkml:brushProperty name="width" value="0.05" units="cm"/>
      <inkml:brushProperty name="height" value="0.05" units="cm"/>
    </inkml:brush>
  </inkml:definitions>
  <inkml:trace contextRef="#ctx0" brushRef="#br0">1 0 24575,'0'0'0</inkml:trace>
</inkml:ink>
</file>

<file path=xl/ink/ink3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32"/>
    </inkml:context>
    <inkml:brush xml:id="br0">
      <inkml:brushProperty name="width" value="0.05" units="cm"/>
      <inkml:brushProperty name="height" value="0.05" units="cm"/>
    </inkml:brush>
  </inkml:definitions>
  <inkml:trace contextRef="#ctx0" brushRef="#br0">0 0 24575,'0'0'0</inkml:trace>
</inkml:ink>
</file>

<file path=xl/ink/ink3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33"/>
    </inkml:context>
    <inkml:brush xml:id="br0">
      <inkml:brushProperty name="width" value="0.05" units="cm"/>
      <inkml:brushProperty name="height" value="0.05" units="cm"/>
    </inkml:brush>
  </inkml:definitions>
  <inkml:trace contextRef="#ctx0" brushRef="#br0">1 0 24575,'0'0'0</inkml:trace>
</inkml:ink>
</file>

<file path=xl/ink/ink3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34"/>
    </inkml:context>
    <inkml:brush xml:id="br0">
      <inkml:brushProperty name="width" value="0.05" units="cm"/>
      <inkml:brushProperty name="height" value="0.05" units="cm"/>
    </inkml:brush>
  </inkml:definitions>
  <inkml:trace contextRef="#ctx0" brushRef="#br0">1 0 24575,'0'0'0</inkml:trace>
</inkml:ink>
</file>

<file path=xl/ink/ink3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36"/>
    </inkml:context>
    <inkml:brush xml:id="br0">
      <inkml:brushProperty name="width" value="0.05" units="cm"/>
      <inkml:brushProperty name="height" value="0.05" units="cm"/>
    </inkml:brush>
  </inkml:definitions>
  <inkml:trace contextRef="#ctx0" brushRef="#br0">0 0 24575,'0'0'0</inkml:trace>
</inkml:ink>
</file>

<file path=xl/ink/ink3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37"/>
    </inkml:context>
    <inkml:brush xml:id="br0">
      <inkml:brushProperty name="width" value="0.05" units="cm"/>
      <inkml:brushProperty name="height" value="0.05" units="cm"/>
    </inkml:brush>
  </inkml:definitions>
  <inkml:trace contextRef="#ctx0" brushRef="#br0">1 0 24575,'0'0'0</inkml:trace>
</inkml:ink>
</file>

<file path=xl/ink/ink3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38"/>
    </inkml:context>
    <inkml:brush xml:id="br0">
      <inkml:brushProperty name="width" value="0.05" units="cm"/>
      <inkml:brushProperty name="height" value="0.05" units="cm"/>
    </inkml:brush>
  </inkml:definitions>
  <inkml:trace contextRef="#ctx0" brushRef="#br0">1 0 24575,'0'0'0</inkml:trace>
</inkml:ink>
</file>

<file path=xl/ink/ink3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40"/>
    </inkml:context>
    <inkml:brush xml:id="br0">
      <inkml:brushProperty name="width" value="0.05" units="cm"/>
      <inkml:brushProperty name="height" value="0.05" units="cm"/>
    </inkml:brush>
  </inkml:definitions>
  <inkml:trace contextRef="#ctx0" brushRef="#br0">0 0 24575,'0'0'0</inkml:trace>
</inkml:ink>
</file>

<file path=xl/ink/ink3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41"/>
    </inkml:context>
    <inkml:brush xml:id="br0">
      <inkml:brushProperty name="width" value="0.05" units="cm"/>
      <inkml:brushProperty name="height" value="0.05" units="cm"/>
    </inkml:brush>
  </inkml:definitions>
  <inkml:trace contextRef="#ctx0" brushRef="#br0">1 0 24575,'0'0'0</inkml:trace>
</inkml:ink>
</file>

<file path=xl/ink/ink3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42"/>
    </inkml:context>
    <inkml:brush xml:id="br0">
      <inkml:brushProperty name="width" value="0.05" units="cm"/>
      <inkml:brushProperty name="height" value="0.05" units="cm"/>
    </inkml:brush>
  </inkml:definitions>
  <inkml:trace contextRef="#ctx0" brushRef="#br0">1 0 24575,'0'0'0</inkml:trace>
</inkml:ink>
</file>

<file path=xl/ink/ink3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45"/>
    </inkml:context>
    <inkml:brush xml:id="br0">
      <inkml:brushProperty name="width" value="0.05" units="cm"/>
      <inkml:brushProperty name="height" value="0.05" units="cm"/>
    </inkml:brush>
  </inkml:definitions>
  <inkml:trace contextRef="#ctx0" brushRef="#br0">0 0 24575,'0'0'0</inkml:trace>
</inkml:ink>
</file>

<file path=xl/ink/ink3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46"/>
    </inkml:context>
    <inkml:brush xml:id="br0">
      <inkml:brushProperty name="width" value="0.05" units="cm"/>
      <inkml:brushProperty name="height" value="0.05" units="cm"/>
    </inkml:brush>
  </inkml:definitions>
  <inkml:trace contextRef="#ctx0" brushRef="#br0">1 0 24575,'0'0'0</inkml:trace>
</inkml:ink>
</file>

<file path=xl/ink/ink3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47"/>
    </inkml:context>
    <inkml:brush xml:id="br0">
      <inkml:brushProperty name="width" value="0.05" units="cm"/>
      <inkml:brushProperty name="height" value="0.05" units="cm"/>
    </inkml:brush>
  </inkml:definitions>
  <inkml:trace contextRef="#ctx0" brushRef="#br0">1 0 24575,'0'0'0</inkml:trace>
</inkml:ink>
</file>

<file path=xl/ink/ink3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49"/>
    </inkml:context>
    <inkml:brush xml:id="br0">
      <inkml:brushProperty name="width" value="0.05" units="cm"/>
      <inkml:brushProperty name="height" value="0.05" units="cm"/>
    </inkml:brush>
  </inkml:definitions>
  <inkml:trace contextRef="#ctx0" brushRef="#br0">0 0 24575,'0'0'0</inkml:trace>
</inkml:ink>
</file>

<file path=xl/ink/ink3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50"/>
    </inkml:context>
    <inkml:brush xml:id="br0">
      <inkml:brushProperty name="width" value="0.05" units="cm"/>
      <inkml:brushProperty name="height" value="0.05" units="cm"/>
    </inkml:brush>
  </inkml:definitions>
  <inkml:trace contextRef="#ctx0" brushRef="#br0">1 0 24575,'0'0'0</inkml:trace>
</inkml:ink>
</file>

<file path=xl/ink/ink3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51"/>
    </inkml:context>
    <inkml:brush xml:id="br0">
      <inkml:brushProperty name="width" value="0.05" units="cm"/>
      <inkml:brushProperty name="height" value="0.05" units="cm"/>
    </inkml:brush>
  </inkml:definitions>
  <inkml:trace contextRef="#ctx0" brushRef="#br0">1 0 24575,'0'0'0</inkml:trace>
</inkml:ink>
</file>

<file path=xl/ink/ink4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53"/>
    </inkml:context>
    <inkml:brush xml:id="br0">
      <inkml:brushProperty name="width" value="0.05" units="cm"/>
      <inkml:brushProperty name="height" value="0.05" units="cm"/>
    </inkml:brush>
  </inkml:definitions>
  <inkml:trace contextRef="#ctx0" brushRef="#br0">0 0 24575,'0'0'0</inkml:trace>
</inkml:ink>
</file>

<file path=xl/ink/ink4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54"/>
    </inkml:context>
    <inkml:brush xml:id="br0">
      <inkml:brushProperty name="width" value="0.05" units="cm"/>
      <inkml:brushProperty name="height" value="0.05" units="cm"/>
    </inkml:brush>
  </inkml:definitions>
  <inkml:trace contextRef="#ctx0" brushRef="#br0">1 0 24575,'0'0'0</inkml:trace>
</inkml:ink>
</file>

<file path=xl/ink/ink4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55"/>
    </inkml:context>
    <inkml:brush xml:id="br0">
      <inkml:brushProperty name="width" value="0.05" units="cm"/>
      <inkml:brushProperty name="height" value="0.05" units="cm"/>
    </inkml:brush>
  </inkml:definitions>
  <inkml:trace contextRef="#ctx0" brushRef="#br0">1 0 24575,'0'0'0</inkml:trace>
</inkml:ink>
</file>

<file path=xl/ink/ink4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58"/>
    </inkml:context>
    <inkml:brush xml:id="br0">
      <inkml:brushProperty name="width" value="0.05" units="cm"/>
      <inkml:brushProperty name="height" value="0.05" units="cm"/>
    </inkml:brush>
  </inkml:definitions>
  <inkml:trace contextRef="#ctx0" brushRef="#br0">0 0 24575,'0'0'0</inkml:trace>
</inkml:ink>
</file>

<file path=xl/ink/ink4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59"/>
    </inkml:context>
    <inkml:brush xml:id="br0">
      <inkml:brushProperty name="width" value="0.05" units="cm"/>
      <inkml:brushProperty name="height" value="0.05" units="cm"/>
    </inkml:brush>
  </inkml:definitions>
  <inkml:trace contextRef="#ctx0" brushRef="#br0">1 0 24575,'0'0'0</inkml:trace>
</inkml:ink>
</file>

<file path=xl/ink/ink4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60"/>
    </inkml:context>
    <inkml:brush xml:id="br0">
      <inkml:brushProperty name="width" value="0.05" units="cm"/>
      <inkml:brushProperty name="height" value="0.05" units="cm"/>
    </inkml:brush>
  </inkml:definitions>
  <inkml:trace contextRef="#ctx0" brushRef="#br0">1 0 24575,'0'0'0</inkml:trace>
</inkml:ink>
</file>

<file path=xl/ink/ink4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62"/>
    </inkml:context>
    <inkml:brush xml:id="br0">
      <inkml:brushProperty name="width" value="0.05" units="cm"/>
      <inkml:brushProperty name="height" value="0.05" units="cm"/>
    </inkml:brush>
  </inkml:definitions>
  <inkml:trace contextRef="#ctx0" brushRef="#br0">0 0 24575,'0'0'0</inkml:trace>
</inkml:ink>
</file>

<file path=xl/ink/ink4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63"/>
    </inkml:context>
    <inkml:brush xml:id="br0">
      <inkml:brushProperty name="width" value="0.05" units="cm"/>
      <inkml:brushProperty name="height" value="0.05" units="cm"/>
    </inkml:brush>
  </inkml:definitions>
  <inkml:trace contextRef="#ctx0" brushRef="#br0">1 0 24575,'0'0'0</inkml:trace>
</inkml:ink>
</file>

<file path=xl/ink/ink4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64"/>
    </inkml:context>
    <inkml:brush xml:id="br0">
      <inkml:brushProperty name="width" value="0.05" units="cm"/>
      <inkml:brushProperty name="height" value="0.05" units="cm"/>
    </inkml:brush>
  </inkml:definitions>
  <inkml:trace contextRef="#ctx0" brushRef="#br0">1 0 24575,'0'0'0</inkml:trace>
</inkml:ink>
</file>

<file path=xl/ink/ink4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67"/>
    </inkml:context>
    <inkml:brush xml:id="br0">
      <inkml:brushProperty name="width" value="0.05" units="cm"/>
      <inkml:brushProperty name="height" value="0.05" units="cm"/>
    </inkml:brush>
  </inkml:definitions>
  <inkml:trace contextRef="#ctx0" brushRef="#br0">0 0 24575,'0'0'0</inkml:trace>
</inkml:ink>
</file>

<file path=xl/ink/ink4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68"/>
    </inkml:context>
    <inkml:brush xml:id="br0">
      <inkml:brushProperty name="width" value="0.05" units="cm"/>
      <inkml:brushProperty name="height" value="0.05" units="cm"/>
    </inkml:brush>
  </inkml:definitions>
  <inkml:trace contextRef="#ctx0" brushRef="#br0">1 0 24575,'0'0'0</inkml:trace>
</inkml:ink>
</file>

<file path=xl/ink/ink4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69"/>
    </inkml:context>
    <inkml:brush xml:id="br0">
      <inkml:brushProperty name="width" value="0.05" units="cm"/>
      <inkml:brushProperty name="height" value="0.05" units="cm"/>
    </inkml:brush>
  </inkml:definitions>
  <inkml:trace contextRef="#ctx0" brushRef="#br0">1 0 24575,'0'0'0</inkml:trace>
</inkml:ink>
</file>

<file path=xl/ink/ink4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71"/>
    </inkml:context>
    <inkml:brush xml:id="br0">
      <inkml:brushProperty name="width" value="0.05" units="cm"/>
      <inkml:brushProperty name="height" value="0.05" units="cm"/>
    </inkml:brush>
  </inkml:definitions>
  <inkml:trace contextRef="#ctx0" brushRef="#br0">0 0 24575,'0'0'0</inkml:trace>
</inkml:ink>
</file>

<file path=xl/ink/ink4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72"/>
    </inkml:context>
    <inkml:brush xml:id="br0">
      <inkml:brushProperty name="width" value="0.05" units="cm"/>
      <inkml:brushProperty name="height" value="0.05" units="cm"/>
    </inkml:brush>
  </inkml:definitions>
  <inkml:trace contextRef="#ctx0" brushRef="#br0">1 0 24575,'0'0'0</inkml:trace>
</inkml:ink>
</file>

<file path=xl/ink/ink4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73"/>
    </inkml:context>
    <inkml:brush xml:id="br0">
      <inkml:brushProperty name="width" value="0.05" units="cm"/>
      <inkml:brushProperty name="height" value="0.05" units="cm"/>
    </inkml:brush>
  </inkml:definitions>
  <inkml:trace contextRef="#ctx0" brushRef="#br0">1 0 24575,'0'0'0</inkml:trace>
</inkml:ink>
</file>

<file path=xl/ink/ink4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75"/>
    </inkml:context>
    <inkml:brush xml:id="br0">
      <inkml:brushProperty name="width" value="0.05" units="cm"/>
      <inkml:brushProperty name="height" value="0.05" units="cm"/>
    </inkml:brush>
  </inkml:definitions>
  <inkml:trace contextRef="#ctx0" brushRef="#br0">0 0 24575,'0'0'0</inkml:trace>
</inkml:ink>
</file>

<file path=xl/ink/ink4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76"/>
    </inkml:context>
    <inkml:brush xml:id="br0">
      <inkml:brushProperty name="width" value="0.05" units="cm"/>
      <inkml:brushProperty name="height" value="0.05" units="cm"/>
    </inkml:brush>
  </inkml:definitions>
  <inkml:trace contextRef="#ctx0" brushRef="#br0">1 0 24575,'0'0'0</inkml:trace>
</inkml:ink>
</file>

<file path=xl/ink/ink4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77"/>
    </inkml:context>
    <inkml:brush xml:id="br0">
      <inkml:brushProperty name="width" value="0.05" units="cm"/>
      <inkml:brushProperty name="height" value="0.05" units="cm"/>
    </inkml:brush>
  </inkml:definitions>
  <inkml:trace contextRef="#ctx0" brushRef="#br0">1 0 24575,'0'0'0</inkml:trace>
</inkml:ink>
</file>

<file path=xl/ink/ink4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80"/>
    </inkml:context>
    <inkml:brush xml:id="br0">
      <inkml:brushProperty name="width" value="0.05" units="cm"/>
      <inkml:brushProperty name="height" value="0.05" units="cm"/>
    </inkml:brush>
  </inkml:definitions>
  <inkml:trace contextRef="#ctx0" brushRef="#br0">0 0 24575,'0'0'0</inkml:trace>
</inkml:ink>
</file>

<file path=xl/ink/ink4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81"/>
    </inkml:context>
    <inkml:brush xml:id="br0">
      <inkml:brushProperty name="width" value="0.05" units="cm"/>
      <inkml:brushProperty name="height" value="0.05" units="cm"/>
    </inkml:brush>
  </inkml:definitions>
  <inkml:trace contextRef="#ctx0" brushRef="#br0">1 0 24575,'0'0'0</inkml:trace>
</inkml:ink>
</file>

<file path=xl/ink/ink4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82"/>
    </inkml:context>
    <inkml:brush xml:id="br0">
      <inkml:brushProperty name="width" value="0.05" units="cm"/>
      <inkml:brushProperty name="height" value="0.05" units="cm"/>
    </inkml:brush>
  </inkml:definitions>
  <inkml:trace contextRef="#ctx0" brushRef="#br0">1 0 24575,'0'0'0</inkml:trace>
</inkml:ink>
</file>

<file path=xl/ink/ink4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85"/>
    </inkml:context>
    <inkml:brush xml:id="br0">
      <inkml:brushProperty name="width" value="0.05" units="cm"/>
      <inkml:brushProperty name="height" value="0.05" units="cm"/>
    </inkml:brush>
  </inkml:definitions>
  <inkml:trace contextRef="#ctx0" brushRef="#br0">0 0 24575,'0'0'0</inkml:trace>
</inkml:ink>
</file>

<file path=xl/ink/ink4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86"/>
    </inkml:context>
    <inkml:brush xml:id="br0">
      <inkml:brushProperty name="width" value="0.05" units="cm"/>
      <inkml:brushProperty name="height" value="0.05" units="cm"/>
    </inkml:brush>
  </inkml:definitions>
  <inkml:trace contextRef="#ctx0" brushRef="#br0">1 0 24575,'0'0'0</inkml:trace>
</inkml:ink>
</file>

<file path=xl/ink/ink4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87"/>
    </inkml:context>
    <inkml:brush xml:id="br0">
      <inkml:brushProperty name="width" value="0.05" units="cm"/>
      <inkml:brushProperty name="height" value="0.05" units="cm"/>
    </inkml:brush>
  </inkml:definitions>
  <inkml:trace contextRef="#ctx0" brushRef="#br0">1 0 24575,'0'0'0</inkml:trace>
</inkml:ink>
</file>

<file path=xl/ink/ink4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89"/>
    </inkml:context>
    <inkml:brush xml:id="br0">
      <inkml:brushProperty name="width" value="0.05" units="cm"/>
      <inkml:brushProperty name="height" value="0.05" units="cm"/>
    </inkml:brush>
  </inkml:definitions>
  <inkml:trace contextRef="#ctx0" brushRef="#br0">0 0 24575,'0'0'0</inkml:trace>
</inkml:ink>
</file>

<file path=xl/ink/ink4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90"/>
    </inkml:context>
    <inkml:brush xml:id="br0">
      <inkml:brushProperty name="width" value="0.05" units="cm"/>
      <inkml:brushProperty name="height" value="0.05" units="cm"/>
    </inkml:brush>
  </inkml:definitions>
  <inkml:trace contextRef="#ctx0" brushRef="#br0">1 0 24575,'0'0'0</inkml:trace>
</inkml:ink>
</file>

<file path=xl/ink/ink4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91"/>
    </inkml:context>
    <inkml:brush xml:id="br0">
      <inkml:brushProperty name="width" value="0.05" units="cm"/>
      <inkml:brushProperty name="height" value="0.05" units="cm"/>
    </inkml:brush>
  </inkml:definitions>
  <inkml:trace contextRef="#ctx0" brushRef="#br0">1 0 24575,'0'0'0</inkml:trace>
</inkml:ink>
</file>

<file path=xl/ink/ink4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93"/>
    </inkml:context>
    <inkml:brush xml:id="br0">
      <inkml:brushProperty name="width" value="0.05" units="cm"/>
      <inkml:brushProperty name="height" value="0.05" units="cm"/>
    </inkml:brush>
  </inkml:definitions>
  <inkml:trace contextRef="#ctx0" brushRef="#br0">0 0 24575,'0'0'0</inkml:trace>
</inkml:ink>
</file>

<file path=xl/ink/ink4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94"/>
    </inkml:context>
    <inkml:brush xml:id="br0">
      <inkml:brushProperty name="width" value="0.05" units="cm"/>
      <inkml:brushProperty name="height" value="0.05" units="cm"/>
    </inkml:brush>
  </inkml:definitions>
  <inkml:trace contextRef="#ctx0" brushRef="#br0">1 0 24575,'0'0'0</inkml:trace>
</inkml:ink>
</file>

<file path=xl/ink/ink4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95"/>
    </inkml:context>
    <inkml:brush xml:id="br0">
      <inkml:brushProperty name="width" value="0.05" units="cm"/>
      <inkml:brushProperty name="height" value="0.05" units="cm"/>
    </inkml:brush>
  </inkml:definitions>
  <inkml:trace contextRef="#ctx0" brushRef="#br0">1 0 24575,'0'0'0</inkml:trace>
</inkml:ink>
</file>

<file path=xl/ink/ink4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98"/>
    </inkml:context>
    <inkml:brush xml:id="br0">
      <inkml:brushProperty name="width" value="0.05" units="cm"/>
      <inkml:brushProperty name="height" value="0.05" units="cm"/>
    </inkml:brush>
  </inkml:definitions>
  <inkml:trace contextRef="#ctx0" brushRef="#br0">0 0 24575,'0'0'0</inkml:trace>
</inkml:ink>
</file>

<file path=xl/ink/ink4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499"/>
    </inkml:context>
    <inkml:brush xml:id="br0">
      <inkml:brushProperty name="width" value="0.05" units="cm"/>
      <inkml:brushProperty name="height" value="0.05" units="cm"/>
    </inkml:brush>
  </inkml:definitions>
  <inkml:trace contextRef="#ctx0" brushRef="#br0">1 0 24575,'0'0'0</inkml:trace>
</inkml:ink>
</file>

<file path=xl/ink/ink4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00"/>
    </inkml:context>
    <inkml:brush xml:id="br0">
      <inkml:brushProperty name="width" value="0.05" units="cm"/>
      <inkml:brushProperty name="height" value="0.05" units="cm"/>
    </inkml:brush>
  </inkml:definitions>
  <inkml:trace contextRef="#ctx0" brushRef="#br0">1 0 24575,'0'0'0</inkml:trace>
</inkml:ink>
</file>

<file path=xl/ink/ink4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02"/>
    </inkml:context>
    <inkml:brush xml:id="br0">
      <inkml:brushProperty name="width" value="0.05" units="cm"/>
      <inkml:brushProperty name="height" value="0.05" units="cm"/>
    </inkml:brush>
  </inkml:definitions>
  <inkml:trace contextRef="#ctx0" brushRef="#br0">0 0 24575,'0'0'0</inkml:trace>
</inkml:ink>
</file>

<file path=xl/ink/ink4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03"/>
    </inkml:context>
    <inkml:brush xml:id="br0">
      <inkml:brushProperty name="width" value="0.05" units="cm"/>
      <inkml:brushProperty name="height" value="0.05" units="cm"/>
    </inkml:brush>
  </inkml:definitions>
  <inkml:trace contextRef="#ctx0" brushRef="#br0">1 0 24575,'0'0'0</inkml:trace>
</inkml:ink>
</file>

<file path=xl/ink/ink4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04"/>
    </inkml:context>
    <inkml:brush xml:id="br0">
      <inkml:brushProperty name="width" value="0.05" units="cm"/>
      <inkml:brushProperty name="height" value="0.05" units="cm"/>
    </inkml:brush>
  </inkml:definitions>
  <inkml:trace contextRef="#ctx0" brushRef="#br0">1 0 24575,'0'0'0</inkml:trace>
</inkml:ink>
</file>

<file path=xl/ink/ink4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07"/>
    </inkml:context>
    <inkml:brush xml:id="br0">
      <inkml:brushProperty name="width" value="0.05" units="cm"/>
      <inkml:brushProperty name="height" value="0.05" units="cm"/>
    </inkml:brush>
  </inkml:definitions>
  <inkml:trace contextRef="#ctx0" brushRef="#br0">0 0 24575,'0'0'0</inkml:trace>
</inkml:ink>
</file>

<file path=xl/ink/ink4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08"/>
    </inkml:context>
    <inkml:brush xml:id="br0">
      <inkml:brushProperty name="width" value="0.05" units="cm"/>
      <inkml:brushProperty name="height" value="0.05" units="cm"/>
    </inkml:brush>
  </inkml:definitions>
  <inkml:trace contextRef="#ctx0" brushRef="#br0">1 0 24575,'0'0'0</inkml:trace>
</inkml:ink>
</file>

<file path=xl/ink/ink4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09"/>
    </inkml:context>
    <inkml:brush xml:id="br0">
      <inkml:brushProperty name="width" value="0.05" units="cm"/>
      <inkml:brushProperty name="height" value="0.05" units="cm"/>
    </inkml:brush>
  </inkml:definitions>
  <inkml:trace contextRef="#ctx0" brushRef="#br0">1 0 24575,'0'0'0</inkml:trace>
</inkml:ink>
</file>

<file path=xl/ink/ink4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11"/>
    </inkml:context>
    <inkml:brush xml:id="br0">
      <inkml:brushProperty name="width" value="0.05" units="cm"/>
      <inkml:brushProperty name="height" value="0.05" units="cm"/>
    </inkml:brush>
  </inkml:definitions>
  <inkml:trace contextRef="#ctx0" brushRef="#br0">0 0 24575,'0'0'0</inkml:trace>
</inkml:ink>
</file>

<file path=xl/ink/ink4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12"/>
    </inkml:context>
    <inkml:brush xml:id="br0">
      <inkml:brushProperty name="width" value="0.05" units="cm"/>
      <inkml:brushProperty name="height" value="0.05" units="cm"/>
    </inkml:brush>
  </inkml:definitions>
  <inkml:trace contextRef="#ctx0" brushRef="#br0">1 0 24575,'0'0'0</inkml:trace>
</inkml:ink>
</file>

<file path=xl/ink/ink4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13"/>
    </inkml:context>
    <inkml:brush xml:id="br0">
      <inkml:brushProperty name="width" value="0.05" units="cm"/>
      <inkml:brushProperty name="height" value="0.05" units="cm"/>
    </inkml:brush>
  </inkml:definitions>
  <inkml:trace contextRef="#ctx0" brushRef="#br0">1 0 24575,'0'0'0</inkml:trace>
</inkml:ink>
</file>

<file path=xl/ink/ink4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16"/>
    </inkml:context>
    <inkml:brush xml:id="br0">
      <inkml:brushProperty name="width" value="0.05" units="cm"/>
      <inkml:brushProperty name="height" value="0.05" units="cm"/>
    </inkml:brush>
  </inkml:definitions>
  <inkml:trace contextRef="#ctx0" brushRef="#br0">0 0 24575,'0'0'0</inkml:trace>
</inkml:ink>
</file>

<file path=xl/ink/ink4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17"/>
    </inkml:context>
    <inkml:brush xml:id="br0">
      <inkml:brushProperty name="width" value="0.05" units="cm"/>
      <inkml:brushProperty name="height" value="0.05" units="cm"/>
    </inkml:brush>
  </inkml:definitions>
  <inkml:trace contextRef="#ctx0" brushRef="#br0">1 0 24575,'0'0'0</inkml:trace>
</inkml:ink>
</file>

<file path=xl/ink/ink4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18"/>
    </inkml:context>
    <inkml:brush xml:id="br0">
      <inkml:brushProperty name="width" value="0.05" units="cm"/>
      <inkml:brushProperty name="height" value="0.05" units="cm"/>
    </inkml:brush>
  </inkml:definitions>
  <inkml:trace contextRef="#ctx0" brushRef="#br0">1 0 24575,'0'0'0</inkml:trace>
</inkml:ink>
</file>

<file path=xl/ink/ink4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20"/>
    </inkml:context>
    <inkml:brush xml:id="br0">
      <inkml:brushProperty name="width" value="0.05" units="cm"/>
      <inkml:brushProperty name="height" value="0.05" units="cm"/>
    </inkml:brush>
  </inkml:definitions>
  <inkml:trace contextRef="#ctx0" brushRef="#br0">0 0 24575,'0'0'0</inkml:trace>
</inkml:ink>
</file>

<file path=xl/ink/ink4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21"/>
    </inkml:context>
    <inkml:brush xml:id="br0">
      <inkml:brushProperty name="width" value="0.05" units="cm"/>
      <inkml:brushProperty name="height" value="0.05" units="cm"/>
    </inkml:brush>
  </inkml:definitions>
  <inkml:trace contextRef="#ctx0" brushRef="#br0">1 0 24575,'0'0'0</inkml:trace>
</inkml:ink>
</file>

<file path=xl/ink/ink4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22"/>
    </inkml:context>
    <inkml:brush xml:id="br0">
      <inkml:brushProperty name="width" value="0.05" units="cm"/>
      <inkml:brushProperty name="height" value="0.05" units="cm"/>
    </inkml:brush>
  </inkml:definitions>
  <inkml:trace contextRef="#ctx0" brushRef="#br0">1 0 24575,'0'0'0</inkml:trace>
</inkml:ink>
</file>

<file path=xl/ink/ink4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25"/>
    </inkml:context>
    <inkml:brush xml:id="br0">
      <inkml:brushProperty name="width" value="0.05" units="cm"/>
      <inkml:brushProperty name="height" value="0.05" units="cm"/>
    </inkml:brush>
  </inkml:definitions>
  <inkml:trace contextRef="#ctx0" brushRef="#br0">0 0 24575,'0'0'0</inkml:trace>
</inkml:ink>
</file>

<file path=xl/ink/ink4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26"/>
    </inkml:context>
    <inkml:brush xml:id="br0">
      <inkml:brushProperty name="width" value="0.05" units="cm"/>
      <inkml:brushProperty name="height" value="0.05" units="cm"/>
    </inkml:brush>
  </inkml:definitions>
  <inkml:trace contextRef="#ctx0" brushRef="#br0">1 0 24575,'0'0'0</inkml:trace>
</inkml:ink>
</file>

<file path=xl/ink/ink4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27"/>
    </inkml:context>
    <inkml:brush xml:id="br0">
      <inkml:brushProperty name="width" value="0.05" units="cm"/>
      <inkml:brushProperty name="height" value="0.05" units="cm"/>
    </inkml:brush>
  </inkml:definitions>
  <inkml:trace contextRef="#ctx0" brushRef="#br0">1 0 24575,'0'0'0</inkml:trace>
</inkml:ink>
</file>

<file path=xl/ink/ink4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29"/>
    </inkml:context>
    <inkml:brush xml:id="br0">
      <inkml:brushProperty name="width" value="0.05" units="cm"/>
      <inkml:brushProperty name="height" value="0.05" units="cm"/>
    </inkml:brush>
  </inkml:definitions>
  <inkml:trace contextRef="#ctx0" brushRef="#br0">0 0 24575,'0'0'0</inkml:trace>
</inkml:ink>
</file>

<file path=xl/ink/ink4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30"/>
    </inkml:context>
    <inkml:brush xml:id="br0">
      <inkml:brushProperty name="width" value="0.05" units="cm"/>
      <inkml:brushProperty name="height" value="0.05" units="cm"/>
    </inkml:brush>
  </inkml:definitions>
  <inkml:trace contextRef="#ctx0" brushRef="#br0">1 0 24575,'0'0'0</inkml:trace>
</inkml:ink>
</file>

<file path=xl/ink/ink4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31"/>
    </inkml:context>
    <inkml:brush xml:id="br0">
      <inkml:brushProperty name="width" value="0.05" units="cm"/>
      <inkml:brushProperty name="height" value="0.05" units="cm"/>
    </inkml:brush>
  </inkml:definitions>
  <inkml:trace contextRef="#ctx0" brushRef="#br0">1 0 24575,'0'0'0</inkml:trace>
</inkml:ink>
</file>

<file path=xl/ink/ink4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34"/>
    </inkml:context>
    <inkml:brush xml:id="br0">
      <inkml:brushProperty name="width" value="0.05" units="cm"/>
      <inkml:brushProperty name="height" value="0.05" units="cm"/>
    </inkml:brush>
  </inkml:definitions>
  <inkml:trace contextRef="#ctx0" brushRef="#br0">0 0 24575,'0'0'0</inkml:trace>
</inkml:ink>
</file>

<file path=xl/ink/ink4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35"/>
    </inkml:context>
    <inkml:brush xml:id="br0">
      <inkml:brushProperty name="width" value="0.05" units="cm"/>
      <inkml:brushProperty name="height" value="0.05" units="cm"/>
    </inkml:brush>
  </inkml:definitions>
  <inkml:trace contextRef="#ctx0" brushRef="#br0">1 0 24575,'0'0'0</inkml:trace>
</inkml:ink>
</file>

<file path=xl/ink/ink4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36"/>
    </inkml:context>
    <inkml:brush xml:id="br0">
      <inkml:brushProperty name="width" value="0.05" units="cm"/>
      <inkml:brushProperty name="height" value="0.05" units="cm"/>
    </inkml:brush>
  </inkml:definitions>
  <inkml:trace contextRef="#ctx0" brushRef="#br0">1 0 24575,'0'0'0</inkml:trace>
</inkml:ink>
</file>

<file path=xl/ink/ink4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38"/>
    </inkml:context>
    <inkml:brush xml:id="br0">
      <inkml:brushProperty name="width" value="0.05" units="cm"/>
      <inkml:brushProperty name="height" value="0.05" units="cm"/>
    </inkml:brush>
  </inkml:definitions>
  <inkml:trace contextRef="#ctx0" brushRef="#br0">0 0 24575,'0'0'0</inkml:trace>
</inkml:ink>
</file>

<file path=xl/ink/ink4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39"/>
    </inkml:context>
    <inkml:brush xml:id="br0">
      <inkml:brushProperty name="width" value="0.05" units="cm"/>
      <inkml:brushProperty name="height" value="0.05" units="cm"/>
    </inkml:brush>
  </inkml:definitions>
  <inkml:trace contextRef="#ctx0" brushRef="#br0">1 0 24575,'0'0'0</inkml:trace>
</inkml:ink>
</file>

<file path=xl/ink/ink4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40"/>
    </inkml:context>
    <inkml:brush xml:id="br0">
      <inkml:brushProperty name="width" value="0.05" units="cm"/>
      <inkml:brushProperty name="height" value="0.05" units="cm"/>
    </inkml:brush>
  </inkml:definitions>
  <inkml:trace contextRef="#ctx0" brushRef="#br0">1 0 24575,'0'0'0</inkml:trace>
</inkml:ink>
</file>

<file path=xl/ink/ink4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43"/>
    </inkml:context>
    <inkml:brush xml:id="br0">
      <inkml:brushProperty name="width" value="0.05" units="cm"/>
      <inkml:brushProperty name="height" value="0.05" units="cm"/>
    </inkml:brush>
  </inkml:definitions>
  <inkml:trace contextRef="#ctx0" brushRef="#br0">0 0 24575,'0'0'0</inkml:trace>
</inkml:ink>
</file>

<file path=xl/ink/ink4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44"/>
    </inkml:context>
    <inkml:brush xml:id="br0">
      <inkml:brushProperty name="width" value="0.05" units="cm"/>
      <inkml:brushProperty name="height" value="0.05" units="cm"/>
    </inkml:brush>
  </inkml:definitions>
  <inkml:trace contextRef="#ctx0" brushRef="#br0">1 0 24575,'0'0'0</inkml:trace>
</inkml:ink>
</file>

<file path=xl/ink/ink4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45"/>
    </inkml:context>
    <inkml:brush xml:id="br0">
      <inkml:brushProperty name="width" value="0.05" units="cm"/>
      <inkml:brushProperty name="height" value="0.05" units="cm"/>
    </inkml:brush>
  </inkml:definitions>
  <inkml:trace contextRef="#ctx0" brushRef="#br0">1 0 24575,'0'0'0</inkml:trace>
</inkml:ink>
</file>

<file path=xl/ink/ink4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49"/>
    </inkml:context>
    <inkml:brush xml:id="br0">
      <inkml:brushProperty name="width" value="0.05" units="cm"/>
      <inkml:brushProperty name="height" value="0.05" units="cm"/>
    </inkml:brush>
  </inkml:definitions>
  <inkml:trace contextRef="#ctx0" brushRef="#br0">0 0 24575,'0'0'0</inkml:trace>
</inkml:ink>
</file>

<file path=xl/ink/ink4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50"/>
    </inkml:context>
    <inkml:brush xml:id="br0">
      <inkml:brushProperty name="width" value="0.05" units="cm"/>
      <inkml:brushProperty name="height" value="0.05" units="cm"/>
    </inkml:brush>
  </inkml:definitions>
  <inkml:trace contextRef="#ctx0" brushRef="#br0">1 0 24575,'0'0'0</inkml:trace>
</inkml:ink>
</file>

<file path=xl/ink/ink4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51"/>
    </inkml:context>
    <inkml:brush xml:id="br0">
      <inkml:brushProperty name="width" value="0.05" units="cm"/>
      <inkml:brushProperty name="height" value="0.05" units="cm"/>
    </inkml:brush>
  </inkml:definitions>
  <inkml:trace contextRef="#ctx0" brushRef="#br0">1 0 24575,'0'0'0</inkml:trace>
</inkml:ink>
</file>

<file path=xl/ink/ink4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53"/>
    </inkml:context>
    <inkml:brush xml:id="br0">
      <inkml:brushProperty name="width" value="0.05" units="cm"/>
      <inkml:brushProperty name="height" value="0.05" units="cm"/>
    </inkml:brush>
  </inkml:definitions>
  <inkml:trace contextRef="#ctx0" brushRef="#br0">0 0 24575,'0'0'0</inkml:trace>
</inkml:ink>
</file>

<file path=xl/ink/ink4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54"/>
    </inkml:context>
    <inkml:brush xml:id="br0">
      <inkml:brushProperty name="width" value="0.05" units="cm"/>
      <inkml:brushProperty name="height" value="0.05" units="cm"/>
    </inkml:brush>
  </inkml:definitions>
  <inkml:trace contextRef="#ctx0" brushRef="#br0">1 0 24575,'0'0'0</inkml:trace>
</inkml:ink>
</file>

<file path=xl/ink/ink4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55"/>
    </inkml:context>
    <inkml:brush xml:id="br0">
      <inkml:brushProperty name="width" value="0.05" units="cm"/>
      <inkml:brushProperty name="height" value="0.05" units="cm"/>
    </inkml:brush>
  </inkml:definitions>
  <inkml:trace contextRef="#ctx0" brushRef="#br0">1 0 24575,'0'0'0</inkml:trace>
</inkml:ink>
</file>

<file path=xl/ink/ink4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58"/>
    </inkml:context>
    <inkml:brush xml:id="br0">
      <inkml:brushProperty name="width" value="0.05" units="cm"/>
      <inkml:brushProperty name="height" value="0.05" units="cm"/>
    </inkml:brush>
  </inkml:definitions>
  <inkml:trace contextRef="#ctx0" brushRef="#br0">0 0 24575,'0'0'0</inkml:trace>
</inkml:ink>
</file>

<file path=xl/ink/ink4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59"/>
    </inkml:context>
    <inkml:brush xml:id="br0">
      <inkml:brushProperty name="width" value="0.05" units="cm"/>
      <inkml:brushProperty name="height" value="0.05" units="cm"/>
    </inkml:brush>
  </inkml:definitions>
  <inkml:trace contextRef="#ctx0" brushRef="#br0">1 0 24575,'0'0'0</inkml:trace>
</inkml:ink>
</file>

<file path=xl/ink/ink4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60"/>
    </inkml:context>
    <inkml:brush xml:id="br0">
      <inkml:brushProperty name="width" value="0.05" units="cm"/>
      <inkml:brushProperty name="height" value="0.05" units="cm"/>
    </inkml:brush>
  </inkml:definitions>
  <inkml:trace contextRef="#ctx0" brushRef="#br0">1 0 24575,'0'0'0</inkml:trace>
</inkml:ink>
</file>

<file path=xl/ink/ink4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64"/>
    </inkml:context>
    <inkml:brush xml:id="br0">
      <inkml:brushProperty name="width" value="0.05" units="cm"/>
      <inkml:brushProperty name="height" value="0.05" units="cm"/>
    </inkml:brush>
  </inkml:definitions>
  <inkml:trace contextRef="#ctx0" brushRef="#br0">0 0 24575,'0'0'0</inkml:trace>
</inkml:ink>
</file>

<file path=xl/ink/ink4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65"/>
    </inkml:context>
    <inkml:brush xml:id="br0">
      <inkml:brushProperty name="width" value="0.05" units="cm"/>
      <inkml:brushProperty name="height" value="0.05" units="cm"/>
    </inkml:brush>
  </inkml:definitions>
  <inkml:trace contextRef="#ctx0" brushRef="#br0">1 0 24575,'0'0'0</inkml:trace>
</inkml:ink>
</file>

<file path=xl/ink/ink4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66"/>
    </inkml:context>
    <inkml:brush xml:id="br0">
      <inkml:brushProperty name="width" value="0.05" units="cm"/>
      <inkml:brushProperty name="height" value="0.05" units="cm"/>
    </inkml:brush>
  </inkml:definitions>
  <inkml:trace contextRef="#ctx0" brushRef="#br0">1 0 24575,'0'0'0</inkml:trace>
</inkml:ink>
</file>

<file path=xl/ink/ink4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69"/>
    </inkml:context>
    <inkml:brush xml:id="br0">
      <inkml:brushProperty name="width" value="0.05" units="cm"/>
      <inkml:brushProperty name="height" value="0.05" units="cm"/>
    </inkml:brush>
  </inkml:definitions>
  <inkml:trace contextRef="#ctx0" brushRef="#br0">0 0 24575,'0'0'0</inkml:trace>
</inkml:ink>
</file>

<file path=xl/ink/ink4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70"/>
    </inkml:context>
    <inkml:brush xml:id="br0">
      <inkml:brushProperty name="width" value="0.05" units="cm"/>
      <inkml:brushProperty name="height" value="0.05" units="cm"/>
    </inkml:brush>
  </inkml:definitions>
  <inkml:trace contextRef="#ctx0" brushRef="#br0">1 0 24575,'0'0'0</inkml:trace>
</inkml:ink>
</file>

<file path=xl/ink/ink4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71"/>
    </inkml:context>
    <inkml:brush xml:id="br0">
      <inkml:brushProperty name="width" value="0.05" units="cm"/>
      <inkml:brushProperty name="height" value="0.05" units="cm"/>
    </inkml:brush>
  </inkml:definitions>
  <inkml:trace contextRef="#ctx0" brushRef="#br0">1 0 24575,'0'0'0</inkml:trace>
</inkml:ink>
</file>

<file path=xl/ink/ink4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73"/>
    </inkml:context>
    <inkml:brush xml:id="br0">
      <inkml:brushProperty name="width" value="0.05" units="cm"/>
      <inkml:brushProperty name="height" value="0.05" units="cm"/>
    </inkml:brush>
  </inkml:definitions>
  <inkml:trace contextRef="#ctx0" brushRef="#br0">0 0 24575,'0'0'0</inkml:trace>
</inkml:ink>
</file>

<file path=xl/ink/ink4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74"/>
    </inkml:context>
    <inkml:brush xml:id="br0">
      <inkml:brushProperty name="width" value="0.05" units="cm"/>
      <inkml:brushProperty name="height" value="0.05" units="cm"/>
    </inkml:brush>
  </inkml:definitions>
  <inkml:trace contextRef="#ctx0" brushRef="#br0">1 0 24575,'0'0'0</inkml:trace>
</inkml:ink>
</file>

<file path=xl/ink/ink4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75"/>
    </inkml:context>
    <inkml:brush xml:id="br0">
      <inkml:brushProperty name="width" value="0.05" units="cm"/>
      <inkml:brushProperty name="height" value="0.05" units="cm"/>
    </inkml:brush>
  </inkml:definitions>
  <inkml:trace contextRef="#ctx0" brushRef="#br0">1 0 24575,'0'0'0</inkml:trace>
</inkml:ink>
</file>

<file path=xl/ink/ink4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79"/>
    </inkml:context>
    <inkml:brush xml:id="br0">
      <inkml:brushProperty name="width" value="0.05" units="cm"/>
      <inkml:brushProperty name="height" value="0.05" units="cm"/>
    </inkml:brush>
  </inkml:definitions>
  <inkml:trace contextRef="#ctx0" brushRef="#br0">0 0 24575,'0'0'0</inkml:trace>
</inkml:ink>
</file>

<file path=xl/ink/ink4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80"/>
    </inkml:context>
    <inkml:brush xml:id="br0">
      <inkml:brushProperty name="width" value="0.05" units="cm"/>
      <inkml:brushProperty name="height" value="0.05" units="cm"/>
    </inkml:brush>
  </inkml:definitions>
  <inkml:trace contextRef="#ctx0" brushRef="#br0">1 0 24575,'0'0'0</inkml:trace>
</inkml:ink>
</file>

<file path=xl/ink/ink4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81"/>
    </inkml:context>
    <inkml:brush xml:id="br0">
      <inkml:brushProperty name="width" value="0.05" units="cm"/>
      <inkml:brushProperty name="height" value="0.05" units="cm"/>
    </inkml:brush>
  </inkml:definitions>
  <inkml:trace contextRef="#ctx0" brushRef="#br0">1 0 24575,'0'0'0</inkml:trace>
</inkml:ink>
</file>

<file path=xl/ink/ink4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84"/>
    </inkml:context>
    <inkml:brush xml:id="br0">
      <inkml:brushProperty name="width" value="0.05" units="cm"/>
      <inkml:brushProperty name="height" value="0.05" units="cm"/>
    </inkml:brush>
  </inkml:definitions>
  <inkml:trace contextRef="#ctx0" brushRef="#br0">0 0 24575,'0'0'0</inkml:trace>
</inkml:ink>
</file>

<file path=xl/ink/ink4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85"/>
    </inkml:context>
    <inkml:brush xml:id="br0">
      <inkml:brushProperty name="width" value="0.05" units="cm"/>
      <inkml:brushProperty name="height" value="0.05" units="cm"/>
    </inkml:brush>
  </inkml:definitions>
  <inkml:trace contextRef="#ctx0" brushRef="#br0">1 0 24575,'0'0'0</inkml:trace>
</inkml:ink>
</file>

<file path=xl/ink/ink4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86"/>
    </inkml:context>
    <inkml:brush xml:id="br0">
      <inkml:brushProperty name="width" value="0.05" units="cm"/>
      <inkml:brushProperty name="height" value="0.05" units="cm"/>
    </inkml:brush>
  </inkml:definitions>
  <inkml:trace contextRef="#ctx0" brushRef="#br0">1 0 24575,'0'0'0</inkml:trace>
</inkml:ink>
</file>

<file path=xl/ink/ink4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89"/>
    </inkml:context>
    <inkml:brush xml:id="br0">
      <inkml:brushProperty name="width" value="0.05" units="cm"/>
      <inkml:brushProperty name="height" value="0.05" units="cm"/>
    </inkml:brush>
  </inkml:definitions>
  <inkml:trace contextRef="#ctx0" brushRef="#br0">0 0 24575,'0'0'0</inkml:trace>
</inkml:ink>
</file>

<file path=xl/ink/ink4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90"/>
    </inkml:context>
    <inkml:brush xml:id="br0">
      <inkml:brushProperty name="width" value="0.05" units="cm"/>
      <inkml:brushProperty name="height" value="0.05" units="cm"/>
    </inkml:brush>
  </inkml:definitions>
  <inkml:trace contextRef="#ctx0" brushRef="#br0">1 0 24575,'0'0'0</inkml:trace>
</inkml:ink>
</file>

<file path=xl/ink/ink4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91"/>
    </inkml:context>
    <inkml:brush xml:id="br0">
      <inkml:brushProperty name="width" value="0.05" units="cm"/>
      <inkml:brushProperty name="height" value="0.05" units="cm"/>
    </inkml:brush>
  </inkml:definitions>
  <inkml:trace contextRef="#ctx0" brushRef="#br0">1 0 24575,'0'0'0</inkml:trace>
</inkml:ink>
</file>

<file path=xl/ink/ink4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93"/>
    </inkml:context>
    <inkml:brush xml:id="br0">
      <inkml:brushProperty name="width" value="0.05" units="cm"/>
      <inkml:brushProperty name="height" value="0.05" units="cm"/>
    </inkml:brush>
  </inkml:definitions>
  <inkml:trace contextRef="#ctx0" brushRef="#br0">0 0 24575,'0'0'0</inkml:trace>
</inkml:ink>
</file>

<file path=xl/ink/ink4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94"/>
    </inkml:context>
    <inkml:brush xml:id="br0">
      <inkml:brushProperty name="width" value="0.05" units="cm"/>
      <inkml:brushProperty name="height" value="0.05" units="cm"/>
    </inkml:brush>
  </inkml:definitions>
  <inkml:trace contextRef="#ctx0" brushRef="#br0">1 0 24575,'0'0'0</inkml:trace>
</inkml:ink>
</file>

<file path=xl/ink/ink4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95"/>
    </inkml:context>
    <inkml:brush xml:id="br0">
      <inkml:brushProperty name="width" value="0.05" units="cm"/>
      <inkml:brushProperty name="height" value="0.05" units="cm"/>
    </inkml:brush>
  </inkml:definitions>
  <inkml:trace contextRef="#ctx0" brushRef="#br0">1 0 24575,'0'0'0</inkml:trace>
</inkml:ink>
</file>

<file path=xl/ink/ink4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98"/>
    </inkml:context>
    <inkml:brush xml:id="br0">
      <inkml:brushProperty name="width" value="0.05" units="cm"/>
      <inkml:brushProperty name="height" value="0.05" units="cm"/>
    </inkml:brush>
  </inkml:definitions>
  <inkml:trace contextRef="#ctx0" brushRef="#br0">0 0 24575,'0'0'0</inkml:trace>
</inkml:ink>
</file>

<file path=xl/ink/ink4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599"/>
    </inkml:context>
    <inkml:brush xml:id="br0">
      <inkml:brushProperty name="width" value="0.05" units="cm"/>
      <inkml:brushProperty name="height" value="0.05" units="cm"/>
    </inkml:brush>
  </inkml:definitions>
  <inkml:trace contextRef="#ctx0" brushRef="#br0">1 0 24575,'0'0'0</inkml:trace>
</inkml:ink>
</file>

<file path=xl/ink/ink4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00"/>
    </inkml:context>
    <inkml:brush xml:id="br0">
      <inkml:brushProperty name="width" value="0.05" units="cm"/>
      <inkml:brushProperty name="height" value="0.05" units="cm"/>
    </inkml:brush>
  </inkml:definitions>
  <inkml:trace contextRef="#ctx0" brushRef="#br0">1 0 24575,'0'0'0</inkml:trace>
</inkml:ink>
</file>

<file path=xl/ink/ink4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03"/>
    </inkml:context>
    <inkml:brush xml:id="br0">
      <inkml:brushProperty name="width" value="0.05" units="cm"/>
      <inkml:brushProperty name="height" value="0.05" units="cm"/>
    </inkml:brush>
  </inkml:definitions>
  <inkml:trace contextRef="#ctx0" brushRef="#br0">0 0 24575,'0'0'0</inkml:trace>
</inkml:ink>
</file>

<file path=xl/ink/ink4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04"/>
    </inkml:context>
    <inkml:brush xml:id="br0">
      <inkml:brushProperty name="width" value="0.05" units="cm"/>
      <inkml:brushProperty name="height" value="0.05" units="cm"/>
    </inkml:brush>
  </inkml:definitions>
  <inkml:trace contextRef="#ctx0" brushRef="#br0">1 0 24575,'0'0'0</inkml:trace>
</inkml:ink>
</file>

<file path=xl/ink/ink4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05"/>
    </inkml:context>
    <inkml:brush xml:id="br0">
      <inkml:brushProperty name="width" value="0.05" units="cm"/>
      <inkml:brushProperty name="height" value="0.05" units="cm"/>
    </inkml:brush>
  </inkml:definitions>
  <inkml:trace contextRef="#ctx0" brushRef="#br0">1 0 24575,'0'0'0</inkml:trace>
</inkml:ink>
</file>

<file path=xl/ink/ink4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08"/>
    </inkml:context>
    <inkml:brush xml:id="br0">
      <inkml:brushProperty name="width" value="0.05" units="cm"/>
      <inkml:brushProperty name="height" value="0.05" units="cm"/>
    </inkml:brush>
  </inkml:definitions>
  <inkml:trace contextRef="#ctx0" brushRef="#br0">0 0 24575,'0'0'0</inkml:trace>
</inkml:ink>
</file>

<file path=xl/ink/ink5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09"/>
    </inkml:context>
    <inkml:brush xml:id="br0">
      <inkml:brushProperty name="width" value="0.05" units="cm"/>
      <inkml:brushProperty name="height" value="0.05" units="cm"/>
    </inkml:brush>
  </inkml:definitions>
  <inkml:trace contextRef="#ctx0" brushRef="#br0">1 0 24575,'0'0'0</inkml:trace>
</inkml:ink>
</file>

<file path=xl/ink/ink5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10"/>
    </inkml:context>
    <inkml:brush xml:id="br0">
      <inkml:brushProperty name="width" value="0.05" units="cm"/>
      <inkml:brushProperty name="height" value="0.05" units="cm"/>
    </inkml:brush>
  </inkml:definitions>
  <inkml:trace contextRef="#ctx0" brushRef="#br0">1 0 24575,'0'0'0</inkml:trace>
</inkml:ink>
</file>

<file path=xl/ink/ink5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13"/>
    </inkml:context>
    <inkml:brush xml:id="br0">
      <inkml:brushProperty name="width" value="0.05" units="cm"/>
      <inkml:brushProperty name="height" value="0.05" units="cm"/>
    </inkml:brush>
  </inkml:definitions>
  <inkml:trace contextRef="#ctx0" brushRef="#br0">0 0 24575,'0'0'0</inkml:trace>
</inkml:ink>
</file>

<file path=xl/ink/ink5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14"/>
    </inkml:context>
    <inkml:brush xml:id="br0">
      <inkml:brushProperty name="width" value="0.05" units="cm"/>
      <inkml:brushProperty name="height" value="0.05" units="cm"/>
    </inkml:brush>
  </inkml:definitions>
  <inkml:trace contextRef="#ctx0" brushRef="#br0">1 0 24575,'0'0'0</inkml:trace>
</inkml:ink>
</file>

<file path=xl/ink/ink5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15"/>
    </inkml:context>
    <inkml:brush xml:id="br0">
      <inkml:brushProperty name="width" value="0.05" units="cm"/>
      <inkml:brushProperty name="height" value="0.05" units="cm"/>
    </inkml:brush>
  </inkml:definitions>
  <inkml:trace contextRef="#ctx0" brushRef="#br0">1 0 24575,'0'0'0</inkml:trace>
</inkml:ink>
</file>

<file path=xl/ink/ink5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18"/>
    </inkml:context>
    <inkml:brush xml:id="br0">
      <inkml:brushProperty name="width" value="0.05" units="cm"/>
      <inkml:brushProperty name="height" value="0.05" units="cm"/>
    </inkml:brush>
  </inkml:definitions>
  <inkml:trace contextRef="#ctx0" brushRef="#br0">0 0 24575,'0'0'0</inkml:trace>
</inkml:ink>
</file>

<file path=xl/ink/ink5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19"/>
    </inkml:context>
    <inkml:brush xml:id="br0">
      <inkml:brushProperty name="width" value="0.05" units="cm"/>
      <inkml:brushProperty name="height" value="0.05" units="cm"/>
    </inkml:brush>
  </inkml:definitions>
  <inkml:trace contextRef="#ctx0" brushRef="#br0">1 0 24575,'0'0'0</inkml:trace>
</inkml:ink>
</file>

<file path=xl/ink/ink5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20"/>
    </inkml:context>
    <inkml:brush xml:id="br0">
      <inkml:brushProperty name="width" value="0.05" units="cm"/>
      <inkml:brushProperty name="height" value="0.05" units="cm"/>
    </inkml:brush>
  </inkml:definitions>
  <inkml:trace contextRef="#ctx0" brushRef="#br0">1 0 24575,'0'0'0</inkml:trace>
</inkml:ink>
</file>

<file path=xl/ink/ink5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22"/>
    </inkml:context>
    <inkml:brush xml:id="br0">
      <inkml:brushProperty name="width" value="0.05" units="cm"/>
      <inkml:brushProperty name="height" value="0.05" units="cm"/>
    </inkml:brush>
  </inkml:definitions>
  <inkml:trace contextRef="#ctx0" brushRef="#br0">0 0 24575,'0'0'0</inkml:trace>
</inkml:ink>
</file>

<file path=xl/ink/ink5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23"/>
    </inkml:context>
    <inkml:brush xml:id="br0">
      <inkml:brushProperty name="width" value="0.05" units="cm"/>
      <inkml:brushProperty name="height" value="0.05" units="cm"/>
    </inkml:brush>
  </inkml:definitions>
  <inkml:trace contextRef="#ctx0" brushRef="#br0">1 0 24575,'0'0'0</inkml:trace>
</inkml:ink>
</file>

<file path=xl/ink/ink5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24"/>
    </inkml:context>
    <inkml:brush xml:id="br0">
      <inkml:brushProperty name="width" value="0.05" units="cm"/>
      <inkml:brushProperty name="height" value="0.05" units="cm"/>
    </inkml:brush>
  </inkml:definitions>
  <inkml:trace contextRef="#ctx0" brushRef="#br0">1 0 24575,'0'0'0</inkml:trace>
</inkml:ink>
</file>

<file path=xl/ink/ink5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28"/>
    </inkml:context>
    <inkml:brush xml:id="br0">
      <inkml:brushProperty name="width" value="0.05" units="cm"/>
      <inkml:brushProperty name="height" value="0.05" units="cm"/>
    </inkml:brush>
  </inkml:definitions>
  <inkml:trace contextRef="#ctx0" brushRef="#br0">0 0 24575,'0'0'0</inkml:trace>
</inkml:ink>
</file>

<file path=xl/ink/ink5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29"/>
    </inkml:context>
    <inkml:brush xml:id="br0">
      <inkml:brushProperty name="width" value="0.05" units="cm"/>
      <inkml:brushProperty name="height" value="0.05" units="cm"/>
    </inkml:brush>
  </inkml:definitions>
  <inkml:trace contextRef="#ctx0" brushRef="#br0">1 0 24575,'0'0'0</inkml:trace>
</inkml:ink>
</file>

<file path=xl/ink/ink5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30"/>
    </inkml:context>
    <inkml:brush xml:id="br0">
      <inkml:brushProperty name="width" value="0.05" units="cm"/>
      <inkml:brushProperty name="height" value="0.05" units="cm"/>
    </inkml:brush>
  </inkml:definitions>
  <inkml:trace contextRef="#ctx0" brushRef="#br0">1 0 24575,'0'0'0</inkml:trace>
</inkml:ink>
</file>

<file path=xl/ink/ink5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33"/>
    </inkml:context>
    <inkml:brush xml:id="br0">
      <inkml:brushProperty name="width" value="0.05" units="cm"/>
      <inkml:brushProperty name="height" value="0.05" units="cm"/>
    </inkml:brush>
  </inkml:definitions>
  <inkml:trace contextRef="#ctx0" brushRef="#br0">0 0 24575,'0'0'0</inkml:trace>
</inkml:ink>
</file>

<file path=xl/ink/ink5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34"/>
    </inkml:context>
    <inkml:brush xml:id="br0">
      <inkml:brushProperty name="width" value="0.05" units="cm"/>
      <inkml:brushProperty name="height" value="0.05" units="cm"/>
    </inkml:brush>
  </inkml:definitions>
  <inkml:trace contextRef="#ctx0" brushRef="#br0">1 0 24575,'0'0'0</inkml:trace>
</inkml:ink>
</file>

<file path=xl/ink/ink5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35"/>
    </inkml:context>
    <inkml:brush xml:id="br0">
      <inkml:brushProperty name="width" value="0.05" units="cm"/>
      <inkml:brushProperty name="height" value="0.05" units="cm"/>
    </inkml:brush>
  </inkml:definitions>
  <inkml:trace contextRef="#ctx0" brushRef="#br0">1 0 24575,'0'0'0</inkml:trace>
</inkml:ink>
</file>

<file path=xl/ink/ink5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38"/>
    </inkml:context>
    <inkml:brush xml:id="br0">
      <inkml:brushProperty name="width" value="0.05" units="cm"/>
      <inkml:brushProperty name="height" value="0.05" units="cm"/>
    </inkml:brush>
  </inkml:definitions>
  <inkml:trace contextRef="#ctx0" brushRef="#br0">0 0 24575,'0'0'0</inkml:trace>
</inkml:ink>
</file>

<file path=xl/ink/ink5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39"/>
    </inkml:context>
    <inkml:brush xml:id="br0">
      <inkml:brushProperty name="width" value="0.05" units="cm"/>
      <inkml:brushProperty name="height" value="0.05" units="cm"/>
    </inkml:brush>
  </inkml:definitions>
  <inkml:trace contextRef="#ctx0" brushRef="#br0">1 0 24575,'0'0'0</inkml:trace>
</inkml:ink>
</file>

<file path=xl/ink/ink5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40"/>
    </inkml:context>
    <inkml:brush xml:id="br0">
      <inkml:brushProperty name="width" value="0.05" units="cm"/>
      <inkml:brushProperty name="height" value="0.05" units="cm"/>
    </inkml:brush>
  </inkml:definitions>
  <inkml:trace contextRef="#ctx0" brushRef="#br0">1 0 24575,'0'0'0</inkml:trace>
</inkml:ink>
</file>

<file path=xl/ink/ink5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43"/>
    </inkml:context>
    <inkml:brush xml:id="br0">
      <inkml:brushProperty name="width" value="0.05" units="cm"/>
      <inkml:brushProperty name="height" value="0.05" units="cm"/>
    </inkml:brush>
  </inkml:definitions>
  <inkml:trace contextRef="#ctx0" brushRef="#br0">0 0 24575,'0'0'0</inkml:trace>
</inkml:ink>
</file>

<file path=xl/ink/ink5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44"/>
    </inkml:context>
    <inkml:brush xml:id="br0">
      <inkml:brushProperty name="width" value="0.05" units="cm"/>
      <inkml:brushProperty name="height" value="0.05" units="cm"/>
    </inkml:brush>
  </inkml:definitions>
  <inkml:trace contextRef="#ctx0" brushRef="#br0">1 0 24575,'0'0'0</inkml:trace>
</inkml:ink>
</file>

<file path=xl/ink/ink5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45"/>
    </inkml:context>
    <inkml:brush xml:id="br0">
      <inkml:brushProperty name="width" value="0.05" units="cm"/>
      <inkml:brushProperty name="height" value="0.05" units="cm"/>
    </inkml:brush>
  </inkml:definitions>
  <inkml:trace contextRef="#ctx0" brushRef="#br0">1 0 24575,'0'0'0</inkml:trace>
</inkml:ink>
</file>

<file path=xl/ink/ink5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47"/>
    </inkml:context>
    <inkml:brush xml:id="br0">
      <inkml:brushProperty name="width" value="0.05" units="cm"/>
      <inkml:brushProperty name="height" value="0.05" units="cm"/>
    </inkml:brush>
  </inkml:definitions>
  <inkml:trace contextRef="#ctx0" brushRef="#br0">0 0 24575,'0'0'0</inkml:trace>
</inkml:ink>
</file>

<file path=xl/ink/ink5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48"/>
    </inkml:context>
    <inkml:brush xml:id="br0">
      <inkml:brushProperty name="width" value="0.05" units="cm"/>
      <inkml:brushProperty name="height" value="0.05" units="cm"/>
    </inkml:brush>
  </inkml:definitions>
  <inkml:trace contextRef="#ctx0" brushRef="#br0">1 0 24575,'0'0'0</inkml:trace>
</inkml:ink>
</file>

<file path=xl/ink/ink5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49"/>
    </inkml:context>
    <inkml:brush xml:id="br0">
      <inkml:brushProperty name="width" value="0.05" units="cm"/>
      <inkml:brushProperty name="height" value="0.05" units="cm"/>
    </inkml:brush>
  </inkml:definitions>
  <inkml:trace contextRef="#ctx0" brushRef="#br0">1 0 24575,'0'0'0</inkml:trace>
</inkml:ink>
</file>

<file path=xl/ink/ink5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52"/>
    </inkml:context>
    <inkml:brush xml:id="br0">
      <inkml:brushProperty name="width" value="0.05" units="cm"/>
      <inkml:brushProperty name="height" value="0.05" units="cm"/>
    </inkml:brush>
  </inkml:definitions>
  <inkml:trace contextRef="#ctx0" brushRef="#br0">0 0 24575,'0'0'0</inkml:trace>
</inkml:ink>
</file>

<file path=xl/ink/ink5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53"/>
    </inkml:context>
    <inkml:brush xml:id="br0">
      <inkml:brushProperty name="width" value="0.05" units="cm"/>
      <inkml:brushProperty name="height" value="0.05" units="cm"/>
    </inkml:brush>
  </inkml:definitions>
  <inkml:trace contextRef="#ctx0" brushRef="#br0">1 0 24575,'0'0'0</inkml:trace>
</inkml:ink>
</file>

<file path=xl/ink/ink5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54"/>
    </inkml:context>
    <inkml:brush xml:id="br0">
      <inkml:brushProperty name="width" value="0.05" units="cm"/>
      <inkml:brushProperty name="height" value="0.05" units="cm"/>
    </inkml:brush>
  </inkml:definitions>
  <inkml:trace contextRef="#ctx0" brushRef="#br0">1 0 24575,'0'0'0</inkml:trace>
</inkml:ink>
</file>

<file path=xl/ink/ink5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57"/>
    </inkml:context>
    <inkml:brush xml:id="br0">
      <inkml:brushProperty name="width" value="0.05" units="cm"/>
      <inkml:brushProperty name="height" value="0.05" units="cm"/>
    </inkml:brush>
  </inkml:definitions>
  <inkml:trace contextRef="#ctx0" brushRef="#br0">0 0 24575,'0'0'0</inkml:trace>
</inkml:ink>
</file>

<file path=xl/ink/ink5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58"/>
    </inkml:context>
    <inkml:brush xml:id="br0">
      <inkml:brushProperty name="width" value="0.05" units="cm"/>
      <inkml:brushProperty name="height" value="0.05" units="cm"/>
    </inkml:brush>
  </inkml:definitions>
  <inkml:trace contextRef="#ctx0" brushRef="#br0">1 0 24575,'0'0'0</inkml:trace>
</inkml:ink>
</file>

<file path=xl/ink/ink5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59"/>
    </inkml:context>
    <inkml:brush xml:id="br0">
      <inkml:brushProperty name="width" value="0.05" units="cm"/>
      <inkml:brushProperty name="height" value="0.05" units="cm"/>
    </inkml:brush>
  </inkml:definitions>
  <inkml:trace contextRef="#ctx0" brushRef="#br0">1 0 24575,'0'0'0</inkml:trace>
</inkml:ink>
</file>

<file path=xl/ink/ink5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62"/>
    </inkml:context>
    <inkml:brush xml:id="br0">
      <inkml:brushProperty name="width" value="0.05" units="cm"/>
      <inkml:brushProperty name="height" value="0.05" units="cm"/>
    </inkml:brush>
  </inkml:definitions>
  <inkml:trace contextRef="#ctx0" brushRef="#br0">0 0 24575,'0'0'0</inkml:trace>
</inkml:ink>
</file>

<file path=xl/ink/ink5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63"/>
    </inkml:context>
    <inkml:brush xml:id="br0">
      <inkml:brushProperty name="width" value="0.05" units="cm"/>
      <inkml:brushProperty name="height" value="0.05" units="cm"/>
    </inkml:brush>
  </inkml:definitions>
  <inkml:trace contextRef="#ctx0" brushRef="#br0">1 0 24575,'0'0'0</inkml:trace>
</inkml:ink>
</file>

<file path=xl/ink/ink5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64"/>
    </inkml:context>
    <inkml:brush xml:id="br0">
      <inkml:brushProperty name="width" value="0.05" units="cm"/>
      <inkml:brushProperty name="height" value="0.05" units="cm"/>
    </inkml:brush>
  </inkml:definitions>
  <inkml:trace contextRef="#ctx0" brushRef="#br0">1 0 24575,'0'0'0</inkml:trace>
</inkml:ink>
</file>

<file path=xl/ink/ink5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67"/>
    </inkml:context>
    <inkml:brush xml:id="br0">
      <inkml:brushProperty name="width" value="0.05" units="cm"/>
      <inkml:brushProperty name="height" value="0.05" units="cm"/>
    </inkml:brush>
  </inkml:definitions>
  <inkml:trace contextRef="#ctx0" brushRef="#br0">0 0 24575,'0'0'0</inkml:trace>
</inkml:ink>
</file>

<file path=xl/ink/ink5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68"/>
    </inkml:context>
    <inkml:brush xml:id="br0">
      <inkml:brushProperty name="width" value="0.05" units="cm"/>
      <inkml:brushProperty name="height" value="0.05" units="cm"/>
    </inkml:brush>
  </inkml:definitions>
  <inkml:trace contextRef="#ctx0" brushRef="#br0">1 0 24575,'0'0'0</inkml:trace>
</inkml:ink>
</file>

<file path=xl/ink/ink5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69"/>
    </inkml:context>
    <inkml:brush xml:id="br0">
      <inkml:brushProperty name="width" value="0.05" units="cm"/>
      <inkml:brushProperty name="height" value="0.05" units="cm"/>
    </inkml:brush>
  </inkml:definitions>
  <inkml:trace contextRef="#ctx0" brushRef="#br0">1 0 24575,'0'0'0</inkml:trace>
</inkml:ink>
</file>

<file path=xl/ink/ink5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72"/>
    </inkml:context>
    <inkml:brush xml:id="br0">
      <inkml:brushProperty name="width" value="0.05" units="cm"/>
      <inkml:brushProperty name="height" value="0.05" units="cm"/>
    </inkml:brush>
  </inkml:definitions>
  <inkml:trace contextRef="#ctx0" brushRef="#br0">0 0 24575,'0'0'0</inkml:trace>
</inkml:ink>
</file>

<file path=xl/ink/ink5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73"/>
    </inkml:context>
    <inkml:brush xml:id="br0">
      <inkml:brushProperty name="width" value="0.05" units="cm"/>
      <inkml:brushProperty name="height" value="0.05" units="cm"/>
    </inkml:brush>
  </inkml:definitions>
  <inkml:trace contextRef="#ctx0" brushRef="#br0">1 0 24575,'0'0'0</inkml:trace>
</inkml:ink>
</file>

<file path=xl/ink/ink5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74"/>
    </inkml:context>
    <inkml:brush xml:id="br0">
      <inkml:brushProperty name="width" value="0.05" units="cm"/>
      <inkml:brushProperty name="height" value="0.05" units="cm"/>
    </inkml:brush>
  </inkml:definitions>
  <inkml:trace contextRef="#ctx0" brushRef="#br0">1 0 24575,'0'0'0</inkml:trace>
</inkml:ink>
</file>

<file path=xl/ink/ink5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77"/>
    </inkml:context>
    <inkml:brush xml:id="br0">
      <inkml:brushProperty name="width" value="0.05" units="cm"/>
      <inkml:brushProperty name="height" value="0.05" units="cm"/>
    </inkml:brush>
  </inkml:definitions>
  <inkml:trace contextRef="#ctx0" brushRef="#br0">0 0 24575,'0'0'0</inkml:trace>
</inkml:ink>
</file>

<file path=xl/ink/ink5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78"/>
    </inkml:context>
    <inkml:brush xml:id="br0">
      <inkml:brushProperty name="width" value="0.05" units="cm"/>
      <inkml:brushProperty name="height" value="0.05" units="cm"/>
    </inkml:brush>
  </inkml:definitions>
  <inkml:trace contextRef="#ctx0" brushRef="#br0">1 0 24575,'0'0'0</inkml:trace>
</inkml:ink>
</file>

<file path=xl/ink/ink5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79"/>
    </inkml:context>
    <inkml:brush xml:id="br0">
      <inkml:brushProperty name="width" value="0.05" units="cm"/>
      <inkml:brushProperty name="height" value="0.05" units="cm"/>
    </inkml:brush>
  </inkml:definitions>
  <inkml:trace contextRef="#ctx0" brushRef="#br0">1 0 24575,'0'0'0</inkml:trace>
</inkml:ink>
</file>

<file path=xl/ink/ink5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82"/>
    </inkml:context>
    <inkml:brush xml:id="br0">
      <inkml:brushProperty name="width" value="0.05" units="cm"/>
      <inkml:brushProperty name="height" value="0.05" units="cm"/>
    </inkml:brush>
  </inkml:definitions>
  <inkml:trace contextRef="#ctx0" brushRef="#br0">0 0 24575,'0'0'0</inkml:trace>
</inkml:ink>
</file>

<file path=xl/ink/ink5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83"/>
    </inkml:context>
    <inkml:brush xml:id="br0">
      <inkml:brushProperty name="width" value="0.05" units="cm"/>
      <inkml:brushProperty name="height" value="0.05" units="cm"/>
    </inkml:brush>
  </inkml:definitions>
  <inkml:trace contextRef="#ctx0" brushRef="#br0">1 0 24575,'0'0'0</inkml:trace>
</inkml:ink>
</file>

<file path=xl/ink/ink5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84"/>
    </inkml:context>
    <inkml:brush xml:id="br0">
      <inkml:brushProperty name="width" value="0.05" units="cm"/>
      <inkml:brushProperty name="height" value="0.05" units="cm"/>
    </inkml:brush>
  </inkml:definitions>
  <inkml:trace contextRef="#ctx0" brushRef="#br0">1 0 24575,'0'0'0</inkml:trace>
</inkml:ink>
</file>

<file path=xl/ink/ink5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87"/>
    </inkml:context>
    <inkml:brush xml:id="br0">
      <inkml:brushProperty name="width" value="0.05" units="cm"/>
      <inkml:brushProperty name="height" value="0.05" units="cm"/>
    </inkml:brush>
  </inkml:definitions>
  <inkml:trace contextRef="#ctx0" brushRef="#br0">0 0 24575,'0'0'0</inkml:trace>
</inkml:ink>
</file>

<file path=xl/ink/ink5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88"/>
    </inkml:context>
    <inkml:brush xml:id="br0">
      <inkml:brushProperty name="width" value="0.05" units="cm"/>
      <inkml:brushProperty name="height" value="0.05" units="cm"/>
    </inkml:brush>
  </inkml:definitions>
  <inkml:trace contextRef="#ctx0" brushRef="#br0">1 0 24575,'0'0'0</inkml:trace>
</inkml:ink>
</file>

<file path=xl/ink/ink5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89"/>
    </inkml:context>
    <inkml:brush xml:id="br0">
      <inkml:brushProperty name="width" value="0.05" units="cm"/>
      <inkml:brushProperty name="height" value="0.05" units="cm"/>
    </inkml:brush>
  </inkml:definitions>
  <inkml:trace contextRef="#ctx0" brushRef="#br0">1 0 24575,'0'0'0</inkml:trace>
</inkml:ink>
</file>

<file path=xl/ink/ink5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92"/>
    </inkml:context>
    <inkml:brush xml:id="br0">
      <inkml:brushProperty name="width" value="0.05" units="cm"/>
      <inkml:brushProperty name="height" value="0.05" units="cm"/>
    </inkml:brush>
  </inkml:definitions>
  <inkml:trace contextRef="#ctx0" brushRef="#br0">0 0 24575,'0'0'0</inkml:trace>
</inkml:ink>
</file>

<file path=xl/ink/ink5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93"/>
    </inkml:context>
    <inkml:brush xml:id="br0">
      <inkml:brushProperty name="width" value="0.05" units="cm"/>
      <inkml:brushProperty name="height" value="0.05" units="cm"/>
    </inkml:brush>
  </inkml:definitions>
  <inkml:trace contextRef="#ctx0" brushRef="#br0">1 0 24575,'0'0'0</inkml:trace>
</inkml:ink>
</file>

<file path=xl/ink/ink5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94"/>
    </inkml:context>
    <inkml:brush xml:id="br0">
      <inkml:brushProperty name="width" value="0.05" units="cm"/>
      <inkml:brushProperty name="height" value="0.05" units="cm"/>
    </inkml:brush>
  </inkml:definitions>
  <inkml:trace contextRef="#ctx0" brushRef="#br0">1 0 24575,'0'0'0</inkml:trace>
</inkml:ink>
</file>

<file path=xl/ink/ink5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97"/>
    </inkml:context>
    <inkml:brush xml:id="br0">
      <inkml:brushProperty name="width" value="0.05" units="cm"/>
      <inkml:brushProperty name="height" value="0.05" units="cm"/>
    </inkml:brush>
  </inkml:definitions>
  <inkml:trace contextRef="#ctx0" brushRef="#br0">0 0 24575,'0'0'0</inkml:trace>
</inkml:ink>
</file>

<file path=xl/ink/ink5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98"/>
    </inkml:context>
    <inkml:brush xml:id="br0">
      <inkml:brushProperty name="width" value="0.05" units="cm"/>
      <inkml:brushProperty name="height" value="0.05" units="cm"/>
    </inkml:brush>
  </inkml:definitions>
  <inkml:trace contextRef="#ctx0" brushRef="#br0">1 0 24575,'0'0'0</inkml:trace>
</inkml:ink>
</file>

<file path=xl/ink/ink5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699"/>
    </inkml:context>
    <inkml:brush xml:id="br0">
      <inkml:brushProperty name="width" value="0.05" units="cm"/>
      <inkml:brushProperty name="height" value="0.05" units="cm"/>
    </inkml:brush>
  </inkml:definitions>
  <inkml:trace contextRef="#ctx0" brushRef="#br0">1 0 24575,'0'0'0</inkml:trace>
</inkml:ink>
</file>

<file path=xl/ink/ink5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02"/>
    </inkml:context>
    <inkml:brush xml:id="br0">
      <inkml:brushProperty name="width" value="0.05" units="cm"/>
      <inkml:brushProperty name="height" value="0.05" units="cm"/>
    </inkml:brush>
  </inkml:definitions>
  <inkml:trace contextRef="#ctx0" brushRef="#br0">0 0 24575,'0'0'0</inkml:trace>
</inkml:ink>
</file>

<file path=xl/ink/ink5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03"/>
    </inkml:context>
    <inkml:brush xml:id="br0">
      <inkml:brushProperty name="width" value="0.05" units="cm"/>
      <inkml:brushProperty name="height" value="0.05" units="cm"/>
    </inkml:brush>
  </inkml:definitions>
  <inkml:trace contextRef="#ctx0" brushRef="#br0">1 0 24575,'0'0'0</inkml:trace>
</inkml:ink>
</file>

<file path=xl/ink/ink5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04"/>
    </inkml:context>
    <inkml:brush xml:id="br0">
      <inkml:brushProperty name="width" value="0.05" units="cm"/>
      <inkml:brushProperty name="height" value="0.05" units="cm"/>
    </inkml:brush>
  </inkml:definitions>
  <inkml:trace contextRef="#ctx0" brushRef="#br0">1 0 24575,'0'0'0</inkml:trace>
</inkml:ink>
</file>

<file path=xl/ink/ink5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07"/>
    </inkml:context>
    <inkml:brush xml:id="br0">
      <inkml:brushProperty name="width" value="0.05" units="cm"/>
      <inkml:brushProperty name="height" value="0.05" units="cm"/>
    </inkml:brush>
  </inkml:definitions>
  <inkml:trace contextRef="#ctx0" brushRef="#br0">0 0 24575,'0'0'0</inkml:trace>
</inkml:ink>
</file>

<file path=xl/ink/ink5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08"/>
    </inkml:context>
    <inkml:brush xml:id="br0">
      <inkml:brushProperty name="width" value="0.05" units="cm"/>
      <inkml:brushProperty name="height" value="0.05" units="cm"/>
    </inkml:brush>
  </inkml:definitions>
  <inkml:trace contextRef="#ctx0" brushRef="#br0">1 0 24575,'0'0'0</inkml:trace>
</inkml:ink>
</file>

<file path=xl/ink/ink5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09"/>
    </inkml:context>
    <inkml:brush xml:id="br0">
      <inkml:brushProperty name="width" value="0.05" units="cm"/>
      <inkml:brushProperty name="height" value="0.05" units="cm"/>
    </inkml:brush>
  </inkml:definitions>
  <inkml:trace contextRef="#ctx0" brushRef="#br0">1 0 24575,'0'0'0</inkml:trace>
</inkml:ink>
</file>

<file path=xl/ink/ink5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13"/>
    </inkml:context>
    <inkml:brush xml:id="br0">
      <inkml:brushProperty name="width" value="0.05" units="cm"/>
      <inkml:brushProperty name="height" value="0.05" units="cm"/>
    </inkml:brush>
  </inkml:definitions>
  <inkml:trace contextRef="#ctx0" brushRef="#br0">0 0 24575,'0'0'0</inkml:trace>
</inkml:ink>
</file>

<file path=xl/ink/ink5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14"/>
    </inkml:context>
    <inkml:brush xml:id="br0">
      <inkml:brushProperty name="width" value="0.05" units="cm"/>
      <inkml:brushProperty name="height" value="0.05" units="cm"/>
    </inkml:brush>
  </inkml:definitions>
  <inkml:trace contextRef="#ctx0" brushRef="#br0">1 0 24575,'0'0'0</inkml:trace>
</inkml:ink>
</file>

<file path=xl/ink/ink5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15"/>
    </inkml:context>
    <inkml:brush xml:id="br0">
      <inkml:brushProperty name="width" value="0.05" units="cm"/>
      <inkml:brushProperty name="height" value="0.05" units="cm"/>
    </inkml:brush>
  </inkml:definitions>
  <inkml:trace contextRef="#ctx0" brushRef="#br0">1 0 24575,'0'0'0</inkml:trace>
</inkml:ink>
</file>

<file path=xl/ink/ink5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19"/>
    </inkml:context>
    <inkml:brush xml:id="br0">
      <inkml:brushProperty name="width" value="0.05" units="cm"/>
      <inkml:brushProperty name="height" value="0.05" units="cm"/>
    </inkml:brush>
  </inkml:definitions>
  <inkml:trace contextRef="#ctx0" brushRef="#br0">0 0 24575,'0'0'0</inkml:trace>
</inkml:ink>
</file>

<file path=xl/ink/ink5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20"/>
    </inkml:context>
    <inkml:brush xml:id="br0">
      <inkml:brushProperty name="width" value="0.05" units="cm"/>
      <inkml:brushProperty name="height" value="0.05" units="cm"/>
    </inkml:brush>
  </inkml:definitions>
  <inkml:trace contextRef="#ctx0" brushRef="#br0">1 0 24575,'0'0'0</inkml:trace>
</inkml:ink>
</file>

<file path=xl/ink/ink5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21"/>
    </inkml:context>
    <inkml:brush xml:id="br0">
      <inkml:brushProperty name="width" value="0.05" units="cm"/>
      <inkml:brushProperty name="height" value="0.05" units="cm"/>
    </inkml:brush>
  </inkml:definitions>
  <inkml:trace contextRef="#ctx0" brushRef="#br0">1 0 24575,'0'0'0</inkml:trace>
</inkml:ink>
</file>

<file path=xl/ink/ink5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25"/>
    </inkml:context>
    <inkml:brush xml:id="br0">
      <inkml:brushProperty name="width" value="0.05" units="cm"/>
      <inkml:brushProperty name="height" value="0.05" units="cm"/>
    </inkml:brush>
  </inkml:definitions>
  <inkml:trace contextRef="#ctx0" brushRef="#br0">0 0 24575,'0'0'0</inkml:trace>
</inkml:ink>
</file>

<file path=xl/ink/ink5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26"/>
    </inkml:context>
    <inkml:brush xml:id="br0">
      <inkml:brushProperty name="width" value="0.05" units="cm"/>
      <inkml:brushProperty name="height" value="0.05" units="cm"/>
    </inkml:brush>
  </inkml:definitions>
  <inkml:trace contextRef="#ctx0" brushRef="#br0">1 0 24575,'0'0'0</inkml:trace>
</inkml:ink>
</file>

<file path=xl/ink/ink5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09:36.727"/>
    </inkml:context>
    <inkml:brush xml:id="br0">
      <inkml:brushProperty name="width" value="0.05" units="cm"/>
      <inkml:brushProperty name="height" value="0.05" units="cm"/>
    </inkml:brush>
  </inkml:definitions>
  <inkml:trace contextRef="#ctx0" brushRef="#br0">1 0 24575,'0'0'0</inkml:trace>
</inkml:ink>
</file>

<file path=xl/ink/ink5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10"/>
    </inkml:context>
    <inkml:brush xml:id="br0">
      <inkml:brushProperty name="width" value="0.05" units="cm"/>
      <inkml:brushProperty name="height" value="0.05" units="cm"/>
    </inkml:brush>
  </inkml:definitions>
  <inkml:trace contextRef="#ctx0" brushRef="#br0">0 0 24575,'0'0'0</inkml:trace>
</inkml:ink>
</file>

<file path=xl/ink/ink5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11"/>
    </inkml:context>
    <inkml:brush xml:id="br0">
      <inkml:brushProperty name="width" value="0.05" units="cm"/>
      <inkml:brushProperty name="height" value="0.05" units="cm"/>
    </inkml:brush>
  </inkml:definitions>
  <inkml:trace contextRef="#ctx0" brushRef="#br0">1 0 24575,'0'0'0</inkml:trace>
</inkml:ink>
</file>

<file path=xl/ink/ink5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12"/>
    </inkml:context>
    <inkml:brush xml:id="br0">
      <inkml:brushProperty name="width" value="0.05" units="cm"/>
      <inkml:brushProperty name="height" value="0.05" units="cm"/>
    </inkml:brush>
  </inkml:definitions>
  <inkml:trace contextRef="#ctx0" brushRef="#br0">1 0 24575,'0'0'0</inkml:trace>
</inkml:ink>
</file>

<file path=xl/ink/ink5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17"/>
    </inkml:context>
    <inkml:brush xml:id="br0">
      <inkml:brushProperty name="width" value="0.05" units="cm"/>
      <inkml:brushProperty name="height" value="0.05" units="cm"/>
    </inkml:brush>
  </inkml:definitions>
  <inkml:trace contextRef="#ctx0" brushRef="#br0">0 0 24575,'0'0'0</inkml:trace>
</inkml:ink>
</file>

<file path=xl/ink/ink5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18"/>
    </inkml:context>
    <inkml:brush xml:id="br0">
      <inkml:brushProperty name="width" value="0.05" units="cm"/>
      <inkml:brushProperty name="height" value="0.05" units="cm"/>
    </inkml:brush>
  </inkml:definitions>
  <inkml:trace contextRef="#ctx0" brushRef="#br0">1 0 24575,'0'0'0</inkml:trace>
</inkml:ink>
</file>

<file path=xl/ink/ink5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19"/>
    </inkml:context>
    <inkml:brush xml:id="br0">
      <inkml:brushProperty name="width" value="0.05" units="cm"/>
      <inkml:brushProperty name="height" value="0.05" units="cm"/>
    </inkml:brush>
  </inkml:definitions>
  <inkml:trace contextRef="#ctx0" brushRef="#br0">1 0 24575,'0'0'0</inkml:trace>
</inkml:ink>
</file>

<file path=xl/ink/ink5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26"/>
    </inkml:context>
    <inkml:brush xml:id="br0">
      <inkml:brushProperty name="width" value="0.05" units="cm"/>
      <inkml:brushProperty name="height" value="0.05" units="cm"/>
    </inkml:brush>
  </inkml:definitions>
  <inkml:trace contextRef="#ctx0" brushRef="#br0">0 0 24575,'0'0'0</inkml:trace>
</inkml:ink>
</file>

<file path=xl/ink/ink5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27"/>
    </inkml:context>
    <inkml:brush xml:id="br0">
      <inkml:brushProperty name="width" value="0.05" units="cm"/>
      <inkml:brushProperty name="height" value="0.05" units="cm"/>
    </inkml:brush>
  </inkml:definitions>
  <inkml:trace contextRef="#ctx0" brushRef="#br0">1 0 24575,'0'0'0</inkml:trace>
</inkml:ink>
</file>

<file path=xl/ink/ink5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28"/>
    </inkml:context>
    <inkml:brush xml:id="br0">
      <inkml:brushProperty name="width" value="0.05" units="cm"/>
      <inkml:brushProperty name="height" value="0.05" units="cm"/>
    </inkml:brush>
  </inkml:definitions>
  <inkml:trace contextRef="#ctx0" brushRef="#br0">1 0 24575,'0'0'0</inkml:trace>
</inkml:ink>
</file>

<file path=xl/ink/ink5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33"/>
    </inkml:context>
    <inkml:brush xml:id="br0">
      <inkml:brushProperty name="width" value="0.05" units="cm"/>
      <inkml:brushProperty name="height" value="0.05" units="cm"/>
    </inkml:brush>
  </inkml:definitions>
  <inkml:trace contextRef="#ctx0" brushRef="#br0">0 0 24575,'0'0'0</inkml:trace>
</inkml:ink>
</file>

<file path=xl/ink/ink5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34"/>
    </inkml:context>
    <inkml:brush xml:id="br0">
      <inkml:brushProperty name="width" value="0.05" units="cm"/>
      <inkml:brushProperty name="height" value="0.05" units="cm"/>
    </inkml:brush>
  </inkml:definitions>
  <inkml:trace contextRef="#ctx0" brushRef="#br0">1 0 24575,'0'0'0</inkml:trace>
</inkml:ink>
</file>

<file path=xl/ink/ink5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35"/>
    </inkml:context>
    <inkml:brush xml:id="br0">
      <inkml:brushProperty name="width" value="0.05" units="cm"/>
      <inkml:brushProperty name="height" value="0.05" units="cm"/>
    </inkml:brush>
  </inkml:definitions>
  <inkml:trace contextRef="#ctx0" brushRef="#br0">1 0 24575,'0'0'0</inkml:trace>
</inkml:ink>
</file>

<file path=xl/ink/ink5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43"/>
    </inkml:context>
    <inkml:brush xml:id="br0">
      <inkml:brushProperty name="width" value="0.05" units="cm"/>
      <inkml:brushProperty name="height" value="0.05" units="cm"/>
    </inkml:brush>
  </inkml:definitions>
  <inkml:trace contextRef="#ctx0" brushRef="#br0">0 0 24575,'0'0'0</inkml:trace>
</inkml:ink>
</file>

<file path=xl/ink/ink5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44"/>
    </inkml:context>
    <inkml:brush xml:id="br0">
      <inkml:brushProperty name="width" value="0.05" units="cm"/>
      <inkml:brushProperty name="height" value="0.05" units="cm"/>
    </inkml:brush>
  </inkml:definitions>
  <inkml:trace contextRef="#ctx0" brushRef="#br0">1 0 24575,'0'0'0</inkml:trace>
</inkml:ink>
</file>

<file path=xl/ink/ink5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45"/>
    </inkml:context>
    <inkml:brush xml:id="br0">
      <inkml:brushProperty name="width" value="0.05" units="cm"/>
      <inkml:brushProperty name="height" value="0.05" units="cm"/>
    </inkml:brush>
  </inkml:definitions>
  <inkml:trace contextRef="#ctx0" brushRef="#br0">1 0 24575,'0'0'0</inkml:trace>
</inkml:ink>
</file>

<file path=xl/ink/ink5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54"/>
    </inkml:context>
    <inkml:brush xml:id="br0">
      <inkml:brushProperty name="width" value="0.05" units="cm"/>
      <inkml:brushProperty name="height" value="0.05" units="cm"/>
    </inkml:brush>
  </inkml:definitions>
  <inkml:trace contextRef="#ctx0" brushRef="#br0">0 0 24575,'0'0'0</inkml:trace>
</inkml:ink>
</file>

<file path=xl/ink/ink5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55"/>
    </inkml:context>
    <inkml:brush xml:id="br0">
      <inkml:brushProperty name="width" value="0.05" units="cm"/>
      <inkml:brushProperty name="height" value="0.05" units="cm"/>
    </inkml:brush>
  </inkml:definitions>
  <inkml:trace contextRef="#ctx0" brushRef="#br0">1 0 24575,'0'0'0</inkml:trace>
</inkml:ink>
</file>

<file path=xl/ink/ink5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56"/>
    </inkml:context>
    <inkml:brush xml:id="br0">
      <inkml:brushProperty name="width" value="0.05" units="cm"/>
      <inkml:brushProperty name="height" value="0.05" units="cm"/>
    </inkml:brush>
  </inkml:definitions>
  <inkml:trace contextRef="#ctx0" brushRef="#br0">1 0 24575,'0'0'0</inkml:trace>
</inkml:ink>
</file>

<file path=xl/ink/ink5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62"/>
    </inkml:context>
    <inkml:brush xml:id="br0">
      <inkml:brushProperty name="width" value="0.05" units="cm"/>
      <inkml:brushProperty name="height" value="0.05" units="cm"/>
    </inkml:brush>
  </inkml:definitions>
  <inkml:trace contextRef="#ctx0" brushRef="#br0">0 0 24575,'0'0'0</inkml:trace>
</inkml:ink>
</file>

<file path=xl/ink/ink5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63"/>
    </inkml:context>
    <inkml:brush xml:id="br0">
      <inkml:brushProperty name="width" value="0.05" units="cm"/>
      <inkml:brushProperty name="height" value="0.05" units="cm"/>
    </inkml:brush>
  </inkml:definitions>
  <inkml:trace contextRef="#ctx0" brushRef="#br0">1 0 24575,'0'0'0</inkml:trace>
</inkml:ink>
</file>

<file path=xl/ink/ink5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64"/>
    </inkml:context>
    <inkml:brush xml:id="br0">
      <inkml:brushProperty name="width" value="0.05" units="cm"/>
      <inkml:brushProperty name="height" value="0.05" units="cm"/>
    </inkml:brush>
  </inkml:definitions>
  <inkml:trace contextRef="#ctx0" brushRef="#br0">1 0 24575,'0'0'0</inkml:trace>
</inkml:ink>
</file>

<file path=xl/ink/ink5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71"/>
    </inkml:context>
    <inkml:brush xml:id="br0">
      <inkml:brushProperty name="width" value="0.05" units="cm"/>
      <inkml:brushProperty name="height" value="0.05" units="cm"/>
    </inkml:brush>
  </inkml:definitions>
  <inkml:trace contextRef="#ctx0" brushRef="#br0">0 0 24575,'0'0'0</inkml:trace>
</inkml:ink>
</file>

<file path=xl/ink/ink5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72"/>
    </inkml:context>
    <inkml:brush xml:id="br0">
      <inkml:brushProperty name="width" value="0.05" units="cm"/>
      <inkml:brushProperty name="height" value="0.05" units="cm"/>
    </inkml:brush>
  </inkml:definitions>
  <inkml:trace contextRef="#ctx0" brushRef="#br0">1 0 24575,'0'0'0</inkml:trace>
</inkml:ink>
</file>

<file path=xl/ink/ink5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73"/>
    </inkml:context>
    <inkml:brush xml:id="br0">
      <inkml:brushProperty name="width" value="0.05" units="cm"/>
      <inkml:brushProperty name="height" value="0.05" units="cm"/>
    </inkml:brush>
  </inkml:definitions>
  <inkml:trace contextRef="#ctx0" brushRef="#br0">1 0 24575,'0'0'0</inkml:trace>
</inkml:ink>
</file>

<file path=xl/ink/ink5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81"/>
    </inkml:context>
    <inkml:brush xml:id="br0">
      <inkml:brushProperty name="width" value="0.05" units="cm"/>
      <inkml:brushProperty name="height" value="0.05" units="cm"/>
    </inkml:brush>
  </inkml:definitions>
  <inkml:trace contextRef="#ctx0" brushRef="#br0">0 0 24575,'0'0'0</inkml:trace>
</inkml:ink>
</file>

<file path=xl/ink/ink5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82"/>
    </inkml:context>
    <inkml:brush xml:id="br0">
      <inkml:brushProperty name="width" value="0.05" units="cm"/>
      <inkml:brushProperty name="height" value="0.05" units="cm"/>
    </inkml:brush>
  </inkml:definitions>
  <inkml:trace contextRef="#ctx0" brushRef="#br0">1 0 24575,'0'0'0</inkml:trace>
</inkml:ink>
</file>

<file path=xl/ink/ink5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83"/>
    </inkml:context>
    <inkml:brush xml:id="br0">
      <inkml:brushProperty name="width" value="0.05" units="cm"/>
      <inkml:brushProperty name="height" value="0.05" units="cm"/>
    </inkml:brush>
  </inkml:definitions>
  <inkml:trace contextRef="#ctx0" brushRef="#br0">1 0 24575,'0'0'0</inkml:trace>
</inkml:ink>
</file>

<file path=xl/ink/ink5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91"/>
    </inkml:context>
    <inkml:brush xml:id="br0">
      <inkml:brushProperty name="width" value="0.05" units="cm"/>
      <inkml:brushProperty name="height" value="0.05" units="cm"/>
    </inkml:brush>
  </inkml:definitions>
  <inkml:trace contextRef="#ctx0" brushRef="#br0">0 0 24575,'0'0'0</inkml:trace>
</inkml:ink>
</file>

<file path=xl/ink/ink5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92"/>
    </inkml:context>
    <inkml:brush xml:id="br0">
      <inkml:brushProperty name="width" value="0.05" units="cm"/>
      <inkml:brushProperty name="height" value="0.05" units="cm"/>
    </inkml:brush>
  </inkml:definitions>
  <inkml:trace contextRef="#ctx0" brushRef="#br0">1 0 24575,'0'0'0</inkml:trace>
</inkml:ink>
</file>

<file path=xl/ink/ink6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393"/>
    </inkml:context>
    <inkml:brush xml:id="br0">
      <inkml:brushProperty name="width" value="0.05" units="cm"/>
      <inkml:brushProperty name="height" value="0.05" units="cm"/>
    </inkml:brush>
  </inkml:definitions>
  <inkml:trace contextRef="#ctx0" brushRef="#br0">1 0 24575,'0'0'0</inkml:trace>
</inkml:ink>
</file>

<file path=xl/ink/ink6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02"/>
    </inkml:context>
    <inkml:brush xml:id="br0">
      <inkml:brushProperty name="width" value="0.05" units="cm"/>
      <inkml:brushProperty name="height" value="0.05" units="cm"/>
    </inkml:brush>
  </inkml:definitions>
  <inkml:trace contextRef="#ctx0" brushRef="#br0">0 0 24575,'0'0'0</inkml:trace>
</inkml:ink>
</file>

<file path=xl/ink/ink6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03"/>
    </inkml:context>
    <inkml:brush xml:id="br0">
      <inkml:brushProperty name="width" value="0.05" units="cm"/>
      <inkml:brushProperty name="height" value="0.05" units="cm"/>
    </inkml:brush>
  </inkml:definitions>
  <inkml:trace contextRef="#ctx0" brushRef="#br0">1 0 24575,'0'0'0</inkml:trace>
</inkml:ink>
</file>

<file path=xl/ink/ink6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04"/>
    </inkml:context>
    <inkml:brush xml:id="br0">
      <inkml:brushProperty name="width" value="0.05" units="cm"/>
      <inkml:brushProperty name="height" value="0.05" units="cm"/>
    </inkml:brush>
  </inkml:definitions>
  <inkml:trace contextRef="#ctx0" brushRef="#br0">1 0 24575,'0'0'0</inkml:trace>
</inkml:ink>
</file>

<file path=xl/ink/ink6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10"/>
    </inkml:context>
    <inkml:brush xml:id="br0">
      <inkml:brushProperty name="width" value="0.05" units="cm"/>
      <inkml:brushProperty name="height" value="0.05" units="cm"/>
    </inkml:brush>
  </inkml:definitions>
  <inkml:trace contextRef="#ctx0" brushRef="#br0">0 0 24575,'0'0'0</inkml:trace>
</inkml:ink>
</file>

<file path=xl/ink/ink6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11"/>
    </inkml:context>
    <inkml:brush xml:id="br0">
      <inkml:brushProperty name="width" value="0.05" units="cm"/>
      <inkml:brushProperty name="height" value="0.05" units="cm"/>
    </inkml:brush>
  </inkml:definitions>
  <inkml:trace contextRef="#ctx0" brushRef="#br0">1 0 24575,'0'0'0</inkml:trace>
</inkml:ink>
</file>

<file path=xl/ink/ink6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12"/>
    </inkml:context>
    <inkml:brush xml:id="br0">
      <inkml:brushProperty name="width" value="0.05" units="cm"/>
      <inkml:brushProperty name="height" value="0.05" units="cm"/>
    </inkml:brush>
  </inkml:definitions>
  <inkml:trace contextRef="#ctx0" brushRef="#br0">1 0 24575,'0'0'0</inkml:trace>
</inkml:ink>
</file>

<file path=xl/ink/ink6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18"/>
    </inkml:context>
    <inkml:brush xml:id="br0">
      <inkml:brushProperty name="width" value="0.05" units="cm"/>
      <inkml:brushProperty name="height" value="0.05" units="cm"/>
    </inkml:brush>
  </inkml:definitions>
  <inkml:trace contextRef="#ctx0" brushRef="#br0">0 0 24575,'0'0'0</inkml:trace>
</inkml:ink>
</file>

<file path=xl/ink/ink6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19"/>
    </inkml:context>
    <inkml:brush xml:id="br0">
      <inkml:brushProperty name="width" value="0.05" units="cm"/>
      <inkml:brushProperty name="height" value="0.05" units="cm"/>
    </inkml:brush>
  </inkml:definitions>
  <inkml:trace contextRef="#ctx0" brushRef="#br0">1 0 24575,'0'0'0</inkml:trace>
</inkml:ink>
</file>

<file path=xl/ink/ink6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20"/>
    </inkml:context>
    <inkml:brush xml:id="br0">
      <inkml:brushProperty name="width" value="0.05" units="cm"/>
      <inkml:brushProperty name="height" value="0.05" units="cm"/>
    </inkml:brush>
  </inkml:definitions>
  <inkml:trace contextRef="#ctx0" brushRef="#br0">1 0 24575,'0'0'0</inkml:trace>
</inkml:ink>
</file>

<file path=xl/ink/ink6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28"/>
    </inkml:context>
    <inkml:brush xml:id="br0">
      <inkml:brushProperty name="width" value="0.05" units="cm"/>
      <inkml:brushProperty name="height" value="0.05" units="cm"/>
    </inkml:brush>
  </inkml:definitions>
  <inkml:trace contextRef="#ctx0" brushRef="#br0">0 0 24575,'0'0'0</inkml:trace>
</inkml:ink>
</file>

<file path=xl/ink/ink6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29"/>
    </inkml:context>
    <inkml:brush xml:id="br0">
      <inkml:brushProperty name="width" value="0.05" units="cm"/>
      <inkml:brushProperty name="height" value="0.05" units="cm"/>
    </inkml:brush>
  </inkml:definitions>
  <inkml:trace contextRef="#ctx0" brushRef="#br0">1 0 24575,'0'0'0</inkml:trace>
</inkml:ink>
</file>

<file path=xl/ink/ink6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30"/>
    </inkml:context>
    <inkml:brush xml:id="br0">
      <inkml:brushProperty name="width" value="0.05" units="cm"/>
      <inkml:brushProperty name="height" value="0.05" units="cm"/>
    </inkml:brush>
  </inkml:definitions>
  <inkml:trace contextRef="#ctx0" brushRef="#br0">1 0 24575,'0'0'0</inkml:trace>
</inkml:ink>
</file>

<file path=xl/ink/ink6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35"/>
    </inkml:context>
    <inkml:brush xml:id="br0">
      <inkml:brushProperty name="width" value="0.05" units="cm"/>
      <inkml:brushProperty name="height" value="0.05" units="cm"/>
    </inkml:brush>
  </inkml:definitions>
  <inkml:trace contextRef="#ctx0" brushRef="#br0">0 0 24575,'0'0'0</inkml:trace>
</inkml:ink>
</file>

<file path=xl/ink/ink6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36"/>
    </inkml:context>
    <inkml:brush xml:id="br0">
      <inkml:brushProperty name="width" value="0.05" units="cm"/>
      <inkml:brushProperty name="height" value="0.05" units="cm"/>
    </inkml:brush>
  </inkml:definitions>
  <inkml:trace contextRef="#ctx0" brushRef="#br0">1 0 24575,'0'0'0</inkml:trace>
</inkml:ink>
</file>

<file path=xl/ink/ink6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37"/>
    </inkml:context>
    <inkml:brush xml:id="br0">
      <inkml:brushProperty name="width" value="0.05" units="cm"/>
      <inkml:brushProperty name="height" value="0.05" units="cm"/>
    </inkml:brush>
  </inkml:definitions>
  <inkml:trace contextRef="#ctx0" brushRef="#br0">1 0 24575,'0'0'0</inkml:trace>
</inkml:ink>
</file>

<file path=xl/ink/ink6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45"/>
    </inkml:context>
    <inkml:brush xml:id="br0">
      <inkml:brushProperty name="width" value="0.05" units="cm"/>
      <inkml:brushProperty name="height" value="0.05" units="cm"/>
    </inkml:brush>
  </inkml:definitions>
  <inkml:trace contextRef="#ctx0" brushRef="#br0">0 0 24575,'0'0'0</inkml:trace>
</inkml:ink>
</file>

<file path=xl/ink/ink6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46"/>
    </inkml:context>
    <inkml:brush xml:id="br0">
      <inkml:brushProperty name="width" value="0.05" units="cm"/>
      <inkml:brushProperty name="height" value="0.05" units="cm"/>
    </inkml:brush>
  </inkml:definitions>
  <inkml:trace contextRef="#ctx0" brushRef="#br0">1 0 24575,'0'0'0</inkml:trace>
</inkml:ink>
</file>

<file path=xl/ink/ink6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47"/>
    </inkml:context>
    <inkml:brush xml:id="br0">
      <inkml:brushProperty name="width" value="0.05" units="cm"/>
      <inkml:brushProperty name="height" value="0.05" units="cm"/>
    </inkml:brush>
  </inkml:definitions>
  <inkml:trace contextRef="#ctx0" brushRef="#br0">1 0 24575,'0'0'0</inkml:trace>
</inkml:ink>
</file>

<file path=xl/ink/ink6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57"/>
    </inkml:context>
    <inkml:brush xml:id="br0">
      <inkml:brushProperty name="width" value="0.05" units="cm"/>
      <inkml:brushProperty name="height" value="0.05" units="cm"/>
    </inkml:brush>
  </inkml:definitions>
  <inkml:trace contextRef="#ctx0" brushRef="#br0">0 0 24575,'0'0'0</inkml:trace>
</inkml:ink>
</file>

<file path=xl/ink/ink6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58"/>
    </inkml:context>
    <inkml:brush xml:id="br0">
      <inkml:brushProperty name="width" value="0.05" units="cm"/>
      <inkml:brushProperty name="height" value="0.05" units="cm"/>
    </inkml:brush>
  </inkml:definitions>
  <inkml:trace contextRef="#ctx0" brushRef="#br0">1 0 24575,'0'0'0</inkml:trace>
</inkml:ink>
</file>

<file path=xl/ink/ink6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59"/>
    </inkml:context>
    <inkml:brush xml:id="br0">
      <inkml:brushProperty name="width" value="0.05" units="cm"/>
      <inkml:brushProperty name="height" value="0.05" units="cm"/>
    </inkml:brush>
  </inkml:definitions>
  <inkml:trace contextRef="#ctx0" brushRef="#br0">1 0 24575,'0'0'0</inkml:trace>
</inkml:ink>
</file>

<file path=xl/ink/ink6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64"/>
    </inkml:context>
    <inkml:brush xml:id="br0">
      <inkml:brushProperty name="width" value="0.05" units="cm"/>
      <inkml:brushProperty name="height" value="0.05" units="cm"/>
    </inkml:brush>
  </inkml:definitions>
  <inkml:trace contextRef="#ctx0" brushRef="#br0">0 0 24575,'0'0'0</inkml:trace>
</inkml:ink>
</file>

<file path=xl/ink/ink6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65"/>
    </inkml:context>
    <inkml:brush xml:id="br0">
      <inkml:brushProperty name="width" value="0.05" units="cm"/>
      <inkml:brushProperty name="height" value="0.05" units="cm"/>
    </inkml:brush>
  </inkml:definitions>
  <inkml:trace contextRef="#ctx0" brushRef="#br0">1 0 24575,'0'0'0</inkml:trace>
</inkml:ink>
</file>

<file path=xl/ink/ink6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66"/>
    </inkml:context>
    <inkml:brush xml:id="br0">
      <inkml:brushProperty name="width" value="0.05" units="cm"/>
      <inkml:brushProperty name="height" value="0.05" units="cm"/>
    </inkml:brush>
  </inkml:definitions>
  <inkml:trace contextRef="#ctx0" brushRef="#br0">1 0 24575,'0'0'0</inkml:trace>
</inkml:ink>
</file>

<file path=xl/ink/ink6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72"/>
    </inkml:context>
    <inkml:brush xml:id="br0">
      <inkml:brushProperty name="width" value="0.05" units="cm"/>
      <inkml:brushProperty name="height" value="0.05" units="cm"/>
    </inkml:brush>
  </inkml:definitions>
  <inkml:trace contextRef="#ctx0" brushRef="#br0">0 0 24575,'0'0'0</inkml:trace>
</inkml:ink>
</file>

<file path=xl/ink/ink6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73"/>
    </inkml:context>
    <inkml:brush xml:id="br0">
      <inkml:brushProperty name="width" value="0.05" units="cm"/>
      <inkml:brushProperty name="height" value="0.05" units="cm"/>
    </inkml:brush>
  </inkml:definitions>
  <inkml:trace contextRef="#ctx0" brushRef="#br0">1 0 24575,'0'0'0</inkml:trace>
</inkml:ink>
</file>

<file path=xl/ink/ink6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74"/>
    </inkml:context>
    <inkml:brush xml:id="br0">
      <inkml:brushProperty name="width" value="0.05" units="cm"/>
      <inkml:brushProperty name="height" value="0.05" units="cm"/>
    </inkml:brush>
  </inkml:definitions>
  <inkml:trace contextRef="#ctx0" brushRef="#br0">1 0 24575,'0'0'0</inkml:trace>
</inkml:ink>
</file>

<file path=xl/ink/ink6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81"/>
    </inkml:context>
    <inkml:brush xml:id="br0">
      <inkml:brushProperty name="width" value="0.05" units="cm"/>
      <inkml:brushProperty name="height" value="0.05" units="cm"/>
    </inkml:brush>
  </inkml:definitions>
  <inkml:trace contextRef="#ctx0" brushRef="#br0">0 0 24575,'0'0'0</inkml:trace>
</inkml:ink>
</file>

<file path=xl/ink/ink6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82"/>
    </inkml:context>
    <inkml:brush xml:id="br0">
      <inkml:brushProperty name="width" value="0.05" units="cm"/>
      <inkml:brushProperty name="height" value="0.05" units="cm"/>
    </inkml:brush>
  </inkml:definitions>
  <inkml:trace contextRef="#ctx0" brushRef="#br0">1 0 24575,'0'0'0</inkml:trace>
</inkml:ink>
</file>

<file path=xl/ink/ink6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83"/>
    </inkml:context>
    <inkml:brush xml:id="br0">
      <inkml:brushProperty name="width" value="0.05" units="cm"/>
      <inkml:brushProperty name="height" value="0.05" units="cm"/>
    </inkml:brush>
  </inkml:definitions>
  <inkml:trace contextRef="#ctx0" brushRef="#br0">1 0 24575,'0'0'0</inkml:trace>
</inkml:ink>
</file>

<file path=xl/ink/ink6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91"/>
    </inkml:context>
    <inkml:brush xml:id="br0">
      <inkml:brushProperty name="width" value="0.05" units="cm"/>
      <inkml:brushProperty name="height" value="0.05" units="cm"/>
    </inkml:brush>
  </inkml:definitions>
  <inkml:trace contextRef="#ctx0" brushRef="#br0">0 0 24575,'0'0'0</inkml:trace>
</inkml:ink>
</file>

<file path=xl/ink/ink6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92"/>
    </inkml:context>
    <inkml:brush xml:id="br0">
      <inkml:brushProperty name="width" value="0.05" units="cm"/>
      <inkml:brushProperty name="height" value="0.05" units="cm"/>
    </inkml:brush>
  </inkml:definitions>
  <inkml:trace contextRef="#ctx0" brushRef="#br0">1 0 24575,'0'0'0</inkml:trace>
</inkml:ink>
</file>

<file path=xl/ink/ink6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493"/>
    </inkml:context>
    <inkml:brush xml:id="br0">
      <inkml:brushProperty name="width" value="0.05" units="cm"/>
      <inkml:brushProperty name="height" value="0.05" units="cm"/>
    </inkml:brush>
  </inkml:definitions>
  <inkml:trace contextRef="#ctx0" brushRef="#br0">1 0 24575,'0'0'0</inkml:trace>
</inkml:ink>
</file>

<file path=xl/ink/ink6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02"/>
    </inkml:context>
    <inkml:brush xml:id="br0">
      <inkml:brushProperty name="width" value="0.05" units="cm"/>
      <inkml:brushProperty name="height" value="0.05" units="cm"/>
    </inkml:brush>
  </inkml:definitions>
  <inkml:trace contextRef="#ctx0" brushRef="#br0">0 0 24575,'0'0'0</inkml:trace>
</inkml:ink>
</file>

<file path=xl/ink/ink6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03"/>
    </inkml:context>
    <inkml:brush xml:id="br0">
      <inkml:brushProperty name="width" value="0.05" units="cm"/>
      <inkml:brushProperty name="height" value="0.05" units="cm"/>
    </inkml:brush>
  </inkml:definitions>
  <inkml:trace contextRef="#ctx0" brushRef="#br0">1 0 24575,'0'0'0</inkml:trace>
</inkml:ink>
</file>

<file path=xl/ink/ink6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04"/>
    </inkml:context>
    <inkml:brush xml:id="br0">
      <inkml:brushProperty name="width" value="0.05" units="cm"/>
      <inkml:brushProperty name="height" value="0.05" units="cm"/>
    </inkml:brush>
  </inkml:definitions>
  <inkml:trace contextRef="#ctx0" brushRef="#br0">1 0 24575,'0'0'0</inkml:trace>
</inkml:ink>
</file>

<file path=xl/ink/ink6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13"/>
    </inkml:context>
    <inkml:brush xml:id="br0">
      <inkml:brushProperty name="width" value="0.05" units="cm"/>
      <inkml:brushProperty name="height" value="0.05" units="cm"/>
    </inkml:brush>
  </inkml:definitions>
  <inkml:trace contextRef="#ctx0" brushRef="#br0">0 0 24575,'0'0'0</inkml:trace>
</inkml:ink>
</file>

<file path=xl/ink/ink6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14"/>
    </inkml:context>
    <inkml:brush xml:id="br0">
      <inkml:brushProperty name="width" value="0.05" units="cm"/>
      <inkml:brushProperty name="height" value="0.05" units="cm"/>
    </inkml:brush>
  </inkml:definitions>
  <inkml:trace contextRef="#ctx0" brushRef="#br0">1 0 24575,'0'0'0</inkml:trace>
</inkml:ink>
</file>

<file path=xl/ink/ink6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15"/>
    </inkml:context>
    <inkml:brush xml:id="br0">
      <inkml:brushProperty name="width" value="0.05" units="cm"/>
      <inkml:brushProperty name="height" value="0.05" units="cm"/>
    </inkml:brush>
  </inkml:definitions>
  <inkml:trace contextRef="#ctx0" brushRef="#br0">1 0 24575,'0'0'0</inkml:trace>
</inkml:ink>
</file>

<file path=xl/ink/ink6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24"/>
    </inkml:context>
    <inkml:brush xml:id="br0">
      <inkml:brushProperty name="width" value="0.05" units="cm"/>
      <inkml:brushProperty name="height" value="0.05" units="cm"/>
    </inkml:brush>
  </inkml:definitions>
  <inkml:trace contextRef="#ctx0" brushRef="#br0">0 0 24575,'0'0'0</inkml:trace>
</inkml:ink>
</file>

<file path=xl/ink/ink6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25"/>
    </inkml:context>
    <inkml:brush xml:id="br0">
      <inkml:brushProperty name="width" value="0.05" units="cm"/>
      <inkml:brushProperty name="height" value="0.05" units="cm"/>
    </inkml:brush>
  </inkml:definitions>
  <inkml:trace contextRef="#ctx0" brushRef="#br0">1 0 24575,'0'0'0</inkml:trace>
</inkml:ink>
</file>

<file path=xl/ink/ink6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26"/>
    </inkml:context>
    <inkml:brush xml:id="br0">
      <inkml:brushProperty name="width" value="0.05" units="cm"/>
      <inkml:brushProperty name="height" value="0.05" units="cm"/>
    </inkml:brush>
  </inkml:definitions>
  <inkml:trace contextRef="#ctx0" brushRef="#br0">1 0 24575,'0'0'0</inkml:trace>
</inkml:ink>
</file>

<file path=xl/ink/ink6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32"/>
    </inkml:context>
    <inkml:brush xml:id="br0">
      <inkml:brushProperty name="width" value="0.05" units="cm"/>
      <inkml:brushProperty name="height" value="0.05" units="cm"/>
    </inkml:brush>
  </inkml:definitions>
  <inkml:trace contextRef="#ctx0" brushRef="#br0">0 0 24575,'0'0'0</inkml:trace>
</inkml:ink>
</file>

<file path=xl/ink/ink6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33"/>
    </inkml:context>
    <inkml:brush xml:id="br0">
      <inkml:brushProperty name="width" value="0.05" units="cm"/>
      <inkml:brushProperty name="height" value="0.05" units="cm"/>
    </inkml:brush>
  </inkml:definitions>
  <inkml:trace contextRef="#ctx0" brushRef="#br0">1 0 24575,'0'0'0</inkml:trace>
</inkml:ink>
</file>

<file path=xl/ink/ink6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34"/>
    </inkml:context>
    <inkml:brush xml:id="br0">
      <inkml:brushProperty name="width" value="0.05" units="cm"/>
      <inkml:brushProperty name="height" value="0.05" units="cm"/>
    </inkml:brush>
  </inkml:definitions>
  <inkml:trace contextRef="#ctx0" brushRef="#br0">1 0 24575,'0'0'0</inkml:trace>
</inkml:ink>
</file>

<file path=xl/ink/ink6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41"/>
    </inkml:context>
    <inkml:brush xml:id="br0">
      <inkml:brushProperty name="width" value="0.05" units="cm"/>
      <inkml:brushProperty name="height" value="0.05" units="cm"/>
    </inkml:brush>
  </inkml:definitions>
  <inkml:trace contextRef="#ctx0" brushRef="#br0">0 0 24575,'0'0'0</inkml:trace>
</inkml:ink>
</file>

<file path=xl/ink/ink6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42"/>
    </inkml:context>
    <inkml:brush xml:id="br0">
      <inkml:brushProperty name="width" value="0.05" units="cm"/>
      <inkml:brushProperty name="height" value="0.05" units="cm"/>
    </inkml:brush>
  </inkml:definitions>
  <inkml:trace contextRef="#ctx0" brushRef="#br0">1 0 24575,'0'0'0</inkml:trace>
</inkml:ink>
</file>

<file path=xl/ink/ink6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43"/>
    </inkml:context>
    <inkml:brush xml:id="br0">
      <inkml:brushProperty name="width" value="0.05" units="cm"/>
      <inkml:brushProperty name="height" value="0.05" units="cm"/>
    </inkml:brush>
  </inkml:definitions>
  <inkml:trace contextRef="#ctx0" brushRef="#br0">1 0 24575,'0'0'0</inkml:trace>
</inkml:ink>
</file>

<file path=xl/ink/ink6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53"/>
    </inkml:context>
    <inkml:brush xml:id="br0">
      <inkml:brushProperty name="width" value="0.05" units="cm"/>
      <inkml:brushProperty name="height" value="0.05" units="cm"/>
    </inkml:brush>
  </inkml:definitions>
  <inkml:trace contextRef="#ctx0" brushRef="#br0">0 0 24575,'0'0'0</inkml:trace>
</inkml:ink>
</file>

<file path=xl/ink/ink6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54"/>
    </inkml:context>
    <inkml:brush xml:id="br0">
      <inkml:brushProperty name="width" value="0.05" units="cm"/>
      <inkml:brushProperty name="height" value="0.05" units="cm"/>
    </inkml:brush>
  </inkml:definitions>
  <inkml:trace contextRef="#ctx0" brushRef="#br0">1 0 24575,'0'0'0</inkml:trace>
</inkml:ink>
</file>

<file path=xl/ink/ink6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55"/>
    </inkml:context>
    <inkml:brush xml:id="br0">
      <inkml:brushProperty name="width" value="0.05" units="cm"/>
      <inkml:brushProperty name="height" value="0.05" units="cm"/>
    </inkml:brush>
  </inkml:definitions>
  <inkml:trace contextRef="#ctx0" brushRef="#br0">1 0 24575,'0'0'0</inkml:trace>
</inkml:ink>
</file>

<file path=xl/ink/ink6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61"/>
    </inkml:context>
    <inkml:brush xml:id="br0">
      <inkml:brushProperty name="width" value="0.05" units="cm"/>
      <inkml:brushProperty name="height" value="0.05" units="cm"/>
    </inkml:brush>
  </inkml:definitions>
  <inkml:trace contextRef="#ctx0" brushRef="#br0">0 0 24575,'0'0'0</inkml:trace>
</inkml:ink>
</file>

<file path=xl/ink/ink6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62"/>
    </inkml:context>
    <inkml:brush xml:id="br0">
      <inkml:brushProperty name="width" value="0.05" units="cm"/>
      <inkml:brushProperty name="height" value="0.05" units="cm"/>
    </inkml:brush>
  </inkml:definitions>
  <inkml:trace contextRef="#ctx0" brushRef="#br0">1 0 24575,'0'0'0</inkml:trace>
</inkml:ink>
</file>

<file path=xl/ink/ink6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63"/>
    </inkml:context>
    <inkml:brush xml:id="br0">
      <inkml:brushProperty name="width" value="0.05" units="cm"/>
      <inkml:brushProperty name="height" value="0.05" units="cm"/>
    </inkml:brush>
  </inkml:definitions>
  <inkml:trace contextRef="#ctx0" brushRef="#br0">1 0 24575,'0'0'0</inkml:trace>
</inkml:ink>
</file>

<file path=xl/ink/ink6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69"/>
    </inkml:context>
    <inkml:brush xml:id="br0">
      <inkml:brushProperty name="width" value="0.05" units="cm"/>
      <inkml:brushProperty name="height" value="0.05" units="cm"/>
    </inkml:brush>
  </inkml:definitions>
  <inkml:trace contextRef="#ctx0" brushRef="#br0">0 0 24575,'0'0'0</inkml:trace>
</inkml:ink>
</file>

<file path=xl/ink/ink6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70"/>
    </inkml:context>
    <inkml:brush xml:id="br0">
      <inkml:brushProperty name="width" value="0.05" units="cm"/>
      <inkml:brushProperty name="height" value="0.05" units="cm"/>
    </inkml:brush>
  </inkml:definitions>
  <inkml:trace contextRef="#ctx0" brushRef="#br0">1 0 24575,'0'0'0</inkml:trace>
</inkml:ink>
</file>

<file path=xl/ink/ink6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71"/>
    </inkml:context>
    <inkml:brush xml:id="br0">
      <inkml:brushProperty name="width" value="0.05" units="cm"/>
      <inkml:brushProperty name="height" value="0.05" units="cm"/>
    </inkml:brush>
  </inkml:definitions>
  <inkml:trace contextRef="#ctx0" brushRef="#br0">1 0 24575,'0'0'0</inkml:trace>
</inkml:ink>
</file>

<file path=xl/ink/ink6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79"/>
    </inkml:context>
    <inkml:brush xml:id="br0">
      <inkml:brushProperty name="width" value="0.05" units="cm"/>
      <inkml:brushProperty name="height" value="0.05" units="cm"/>
    </inkml:brush>
  </inkml:definitions>
  <inkml:trace contextRef="#ctx0" brushRef="#br0">0 0 24575,'0'0'0</inkml:trace>
</inkml:ink>
</file>

<file path=xl/ink/ink6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80"/>
    </inkml:context>
    <inkml:brush xml:id="br0">
      <inkml:brushProperty name="width" value="0.05" units="cm"/>
      <inkml:brushProperty name="height" value="0.05" units="cm"/>
    </inkml:brush>
  </inkml:definitions>
  <inkml:trace contextRef="#ctx0" brushRef="#br0">1 0 24575,'0'0'0</inkml:trace>
</inkml:ink>
</file>

<file path=xl/ink/ink6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81"/>
    </inkml:context>
    <inkml:brush xml:id="br0">
      <inkml:brushProperty name="width" value="0.05" units="cm"/>
      <inkml:brushProperty name="height" value="0.05" units="cm"/>
    </inkml:brush>
  </inkml:definitions>
  <inkml:trace contextRef="#ctx0" brushRef="#br0">1 0 24575,'0'0'0</inkml:trace>
</inkml:ink>
</file>

<file path=xl/ink/ink6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89"/>
    </inkml:context>
    <inkml:brush xml:id="br0">
      <inkml:brushProperty name="width" value="0.05" units="cm"/>
      <inkml:brushProperty name="height" value="0.05" units="cm"/>
    </inkml:brush>
  </inkml:definitions>
  <inkml:trace contextRef="#ctx0" brushRef="#br0">0 0 24575,'0'0'0</inkml:trace>
</inkml:ink>
</file>

<file path=xl/ink/ink6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90"/>
    </inkml:context>
    <inkml:brush xml:id="br0">
      <inkml:brushProperty name="width" value="0.05" units="cm"/>
      <inkml:brushProperty name="height" value="0.05" units="cm"/>
    </inkml:brush>
  </inkml:definitions>
  <inkml:trace contextRef="#ctx0" brushRef="#br0">1 0 24575,'0'0'0</inkml:trace>
</inkml:ink>
</file>

<file path=xl/ink/ink6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591"/>
    </inkml:context>
    <inkml:brush xml:id="br0">
      <inkml:brushProperty name="width" value="0.05" units="cm"/>
      <inkml:brushProperty name="height" value="0.05" units="cm"/>
    </inkml:brush>
  </inkml:definitions>
  <inkml:trace contextRef="#ctx0" brushRef="#br0">1 0 24575,'0'0'0</inkml:trace>
</inkml:ink>
</file>

<file path=xl/ink/ink6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01"/>
    </inkml:context>
    <inkml:brush xml:id="br0">
      <inkml:brushProperty name="width" value="0.05" units="cm"/>
      <inkml:brushProperty name="height" value="0.05" units="cm"/>
    </inkml:brush>
  </inkml:definitions>
  <inkml:trace contextRef="#ctx0" brushRef="#br0">0 0 24575,'0'0'0</inkml:trace>
</inkml:ink>
</file>

<file path=xl/ink/ink6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02"/>
    </inkml:context>
    <inkml:brush xml:id="br0">
      <inkml:brushProperty name="width" value="0.05" units="cm"/>
      <inkml:brushProperty name="height" value="0.05" units="cm"/>
    </inkml:brush>
  </inkml:definitions>
  <inkml:trace contextRef="#ctx0" brushRef="#br0">1 0 24575,'0'0'0</inkml:trace>
</inkml:ink>
</file>

<file path=xl/ink/ink6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03"/>
    </inkml:context>
    <inkml:brush xml:id="br0">
      <inkml:brushProperty name="width" value="0.05" units="cm"/>
      <inkml:brushProperty name="height" value="0.05" units="cm"/>
    </inkml:brush>
  </inkml:definitions>
  <inkml:trace contextRef="#ctx0" brushRef="#br0">1 0 24575,'0'0'0</inkml:trace>
</inkml:ink>
</file>

<file path=xl/ink/ink6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09"/>
    </inkml:context>
    <inkml:brush xml:id="br0">
      <inkml:brushProperty name="width" value="0.05" units="cm"/>
      <inkml:brushProperty name="height" value="0.05" units="cm"/>
    </inkml:brush>
  </inkml:definitions>
  <inkml:trace contextRef="#ctx0" brushRef="#br0">0 0 24575,'0'0'0</inkml:trace>
</inkml:ink>
</file>

<file path=xl/ink/ink6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10"/>
    </inkml:context>
    <inkml:brush xml:id="br0">
      <inkml:brushProperty name="width" value="0.05" units="cm"/>
      <inkml:brushProperty name="height" value="0.05" units="cm"/>
    </inkml:brush>
  </inkml:definitions>
  <inkml:trace contextRef="#ctx0" brushRef="#br0">1 0 24575,'0'0'0</inkml:trace>
</inkml:ink>
</file>

<file path=xl/ink/ink6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11"/>
    </inkml:context>
    <inkml:brush xml:id="br0">
      <inkml:brushProperty name="width" value="0.05" units="cm"/>
      <inkml:brushProperty name="height" value="0.05" units="cm"/>
    </inkml:brush>
  </inkml:definitions>
  <inkml:trace contextRef="#ctx0" brushRef="#br0">1 0 24575,'0'0'0</inkml:trace>
</inkml:ink>
</file>

<file path=xl/ink/ink6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17"/>
    </inkml:context>
    <inkml:brush xml:id="br0">
      <inkml:brushProperty name="width" value="0.05" units="cm"/>
      <inkml:brushProperty name="height" value="0.05" units="cm"/>
    </inkml:brush>
  </inkml:definitions>
  <inkml:trace contextRef="#ctx0" brushRef="#br0">0 0 24575,'0'0'0</inkml:trace>
</inkml:ink>
</file>

<file path=xl/ink/ink6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18"/>
    </inkml:context>
    <inkml:brush xml:id="br0">
      <inkml:brushProperty name="width" value="0.05" units="cm"/>
      <inkml:brushProperty name="height" value="0.05" units="cm"/>
    </inkml:brush>
  </inkml:definitions>
  <inkml:trace contextRef="#ctx0" brushRef="#br0">1 0 24575,'0'0'0</inkml:trace>
</inkml:ink>
</file>

<file path=xl/ink/ink6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19"/>
    </inkml:context>
    <inkml:brush xml:id="br0">
      <inkml:brushProperty name="width" value="0.05" units="cm"/>
      <inkml:brushProperty name="height" value="0.05" units="cm"/>
    </inkml:brush>
  </inkml:definitions>
  <inkml:trace contextRef="#ctx0" brushRef="#br0">1 0 24575,'0'0'0</inkml:trace>
</inkml:ink>
</file>

<file path=xl/ink/ink6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27"/>
    </inkml:context>
    <inkml:brush xml:id="br0">
      <inkml:brushProperty name="width" value="0.05" units="cm"/>
      <inkml:brushProperty name="height" value="0.05" units="cm"/>
    </inkml:brush>
  </inkml:definitions>
  <inkml:trace contextRef="#ctx0" brushRef="#br0">0 0 24575,'0'0'0</inkml:trace>
</inkml:ink>
</file>

<file path=xl/ink/ink6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28"/>
    </inkml:context>
    <inkml:brush xml:id="br0">
      <inkml:brushProperty name="width" value="0.05" units="cm"/>
      <inkml:brushProperty name="height" value="0.05" units="cm"/>
    </inkml:brush>
  </inkml:definitions>
  <inkml:trace contextRef="#ctx0" brushRef="#br0">1 0 24575,'0'0'0</inkml:trace>
</inkml:ink>
</file>

<file path=xl/ink/ink6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29"/>
    </inkml:context>
    <inkml:brush xml:id="br0">
      <inkml:brushProperty name="width" value="0.05" units="cm"/>
      <inkml:brushProperty name="height" value="0.05" units="cm"/>
    </inkml:brush>
  </inkml:definitions>
  <inkml:trace contextRef="#ctx0" brushRef="#br0">1 0 24575,'0'0'0</inkml:trace>
</inkml:ink>
</file>

<file path=xl/ink/ink6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35"/>
    </inkml:context>
    <inkml:brush xml:id="br0">
      <inkml:brushProperty name="width" value="0.05" units="cm"/>
      <inkml:brushProperty name="height" value="0.05" units="cm"/>
    </inkml:brush>
  </inkml:definitions>
  <inkml:trace contextRef="#ctx0" brushRef="#br0">0 0 24575,'0'0'0</inkml:trace>
</inkml:ink>
</file>

<file path=xl/ink/ink6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36"/>
    </inkml:context>
    <inkml:brush xml:id="br0">
      <inkml:brushProperty name="width" value="0.05" units="cm"/>
      <inkml:brushProperty name="height" value="0.05" units="cm"/>
    </inkml:brush>
  </inkml:definitions>
  <inkml:trace contextRef="#ctx0" brushRef="#br0">1 0 24575,'0'0'0</inkml:trace>
</inkml:ink>
</file>

<file path=xl/ink/ink6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37"/>
    </inkml:context>
    <inkml:brush xml:id="br0">
      <inkml:brushProperty name="width" value="0.05" units="cm"/>
      <inkml:brushProperty name="height" value="0.05" units="cm"/>
    </inkml:brush>
  </inkml:definitions>
  <inkml:trace contextRef="#ctx0" brushRef="#br0">1 0 24575,'0'0'0</inkml:trace>
</inkml:ink>
</file>

<file path=xl/ink/ink6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48"/>
    </inkml:context>
    <inkml:brush xml:id="br0">
      <inkml:brushProperty name="width" value="0.05" units="cm"/>
      <inkml:brushProperty name="height" value="0.05" units="cm"/>
    </inkml:brush>
  </inkml:definitions>
  <inkml:trace contextRef="#ctx0" brushRef="#br0">0 0 24575,'0'0'0</inkml:trace>
</inkml:ink>
</file>

<file path=xl/ink/ink6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49"/>
    </inkml:context>
    <inkml:brush xml:id="br0">
      <inkml:brushProperty name="width" value="0.05" units="cm"/>
      <inkml:brushProperty name="height" value="0.05" units="cm"/>
    </inkml:brush>
  </inkml:definitions>
  <inkml:trace contextRef="#ctx0" brushRef="#br0">1 0 24575,'0'0'0</inkml:trace>
</inkml:ink>
</file>

<file path=xl/ink/ink6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50"/>
    </inkml:context>
    <inkml:brush xml:id="br0">
      <inkml:brushProperty name="width" value="0.05" units="cm"/>
      <inkml:brushProperty name="height" value="0.05" units="cm"/>
    </inkml:brush>
  </inkml:definitions>
  <inkml:trace contextRef="#ctx0" brushRef="#br0">1 0 24575,'0'0'0</inkml:trace>
</inkml:ink>
</file>

<file path=xl/ink/ink6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60"/>
    </inkml:context>
    <inkml:brush xml:id="br0">
      <inkml:brushProperty name="width" value="0.05" units="cm"/>
      <inkml:brushProperty name="height" value="0.05" units="cm"/>
    </inkml:brush>
  </inkml:definitions>
  <inkml:trace contextRef="#ctx0" brushRef="#br0">0 0 24575,'0'0'0</inkml:trace>
</inkml:ink>
</file>

<file path=xl/ink/ink6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61"/>
    </inkml:context>
    <inkml:brush xml:id="br0">
      <inkml:brushProperty name="width" value="0.05" units="cm"/>
      <inkml:brushProperty name="height" value="0.05" units="cm"/>
    </inkml:brush>
  </inkml:definitions>
  <inkml:trace contextRef="#ctx0" brushRef="#br0">1 0 24575,'0'0'0</inkml:trace>
</inkml:ink>
</file>

<file path=xl/ink/ink6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62"/>
    </inkml:context>
    <inkml:brush xml:id="br0">
      <inkml:brushProperty name="width" value="0.05" units="cm"/>
      <inkml:brushProperty name="height" value="0.05" units="cm"/>
    </inkml:brush>
  </inkml:definitions>
  <inkml:trace contextRef="#ctx0" brushRef="#br0">1 0 24575,'0'0'0</inkml:trace>
</inkml:ink>
</file>

<file path=xl/ink/ink6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69"/>
    </inkml:context>
    <inkml:brush xml:id="br0">
      <inkml:brushProperty name="width" value="0.05" units="cm"/>
      <inkml:brushProperty name="height" value="0.05" units="cm"/>
    </inkml:brush>
  </inkml:definitions>
  <inkml:trace contextRef="#ctx0" brushRef="#br0">0 0 24575,'0'0'0</inkml:trace>
</inkml:ink>
</file>

<file path=xl/ink/ink6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70"/>
    </inkml:context>
    <inkml:brush xml:id="br0">
      <inkml:brushProperty name="width" value="0.05" units="cm"/>
      <inkml:brushProperty name="height" value="0.05" units="cm"/>
    </inkml:brush>
  </inkml:definitions>
  <inkml:trace contextRef="#ctx0" brushRef="#br0">1 0 24575,'0'0'0</inkml:trace>
</inkml:ink>
</file>

<file path=xl/ink/ink6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71"/>
    </inkml:context>
    <inkml:brush xml:id="br0">
      <inkml:brushProperty name="width" value="0.05" units="cm"/>
      <inkml:brushProperty name="height" value="0.05" units="cm"/>
    </inkml:brush>
  </inkml:definitions>
  <inkml:trace contextRef="#ctx0" brushRef="#br0">1 0 24575,'0'0'0</inkml:trace>
</inkml:ink>
</file>

<file path=xl/ink/ink6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80"/>
    </inkml:context>
    <inkml:brush xml:id="br0">
      <inkml:brushProperty name="width" value="0.05" units="cm"/>
      <inkml:brushProperty name="height" value="0.05" units="cm"/>
    </inkml:brush>
  </inkml:definitions>
  <inkml:trace contextRef="#ctx0" brushRef="#br0">0 0 24575,'0'0'0</inkml:trace>
</inkml:ink>
</file>

<file path=xl/ink/ink6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81"/>
    </inkml:context>
    <inkml:brush xml:id="br0">
      <inkml:brushProperty name="width" value="0.05" units="cm"/>
      <inkml:brushProperty name="height" value="0.05" units="cm"/>
    </inkml:brush>
  </inkml:definitions>
  <inkml:trace contextRef="#ctx0" brushRef="#br0">1 0 24575,'0'0'0</inkml:trace>
</inkml:ink>
</file>

<file path=xl/ink/ink6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82"/>
    </inkml:context>
    <inkml:brush xml:id="br0">
      <inkml:brushProperty name="width" value="0.05" units="cm"/>
      <inkml:brushProperty name="height" value="0.05" units="cm"/>
    </inkml:brush>
  </inkml:definitions>
  <inkml:trace contextRef="#ctx0" brushRef="#br0">1 0 24575,'0'0'0</inkml:trace>
</inkml:ink>
</file>

<file path=xl/ink/ink6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89"/>
    </inkml:context>
    <inkml:brush xml:id="br0">
      <inkml:brushProperty name="width" value="0.05" units="cm"/>
      <inkml:brushProperty name="height" value="0.05" units="cm"/>
    </inkml:brush>
  </inkml:definitions>
  <inkml:trace contextRef="#ctx0" brushRef="#br0">0 0 24575,'0'0'0</inkml:trace>
</inkml:ink>
</file>

<file path=xl/ink/ink6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90"/>
    </inkml:context>
    <inkml:brush xml:id="br0">
      <inkml:brushProperty name="width" value="0.05" units="cm"/>
      <inkml:brushProperty name="height" value="0.05" units="cm"/>
    </inkml:brush>
  </inkml:definitions>
  <inkml:trace contextRef="#ctx0" brushRef="#br0">1 0 24575,'0'0'0</inkml:trace>
</inkml:ink>
</file>

<file path=xl/ink/ink6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91"/>
    </inkml:context>
    <inkml:brush xml:id="br0">
      <inkml:brushProperty name="width" value="0.05" units="cm"/>
      <inkml:brushProperty name="height" value="0.05" units="cm"/>
    </inkml:brush>
  </inkml:definitions>
  <inkml:trace contextRef="#ctx0" brushRef="#br0">1 0 24575,'0'0'0</inkml:trace>
</inkml:ink>
</file>

<file path=xl/ink/ink6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98"/>
    </inkml:context>
    <inkml:brush xml:id="br0">
      <inkml:brushProperty name="width" value="0.05" units="cm"/>
      <inkml:brushProperty name="height" value="0.05" units="cm"/>
    </inkml:brush>
  </inkml:definitions>
  <inkml:trace contextRef="#ctx0" brushRef="#br0">0 0 24575,'0'0'0</inkml:trace>
</inkml:ink>
</file>

<file path=xl/ink/ink6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699"/>
    </inkml:context>
    <inkml:brush xml:id="br0">
      <inkml:brushProperty name="width" value="0.05" units="cm"/>
      <inkml:brushProperty name="height" value="0.05" units="cm"/>
    </inkml:brush>
  </inkml:definitions>
  <inkml:trace contextRef="#ctx0" brushRef="#br0">1 0 24575,'0'0'0</inkml:trace>
</inkml:ink>
</file>

<file path=xl/ink/ink6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00"/>
    </inkml:context>
    <inkml:brush xml:id="br0">
      <inkml:brushProperty name="width" value="0.05" units="cm"/>
      <inkml:brushProperty name="height" value="0.05" units="cm"/>
    </inkml:brush>
  </inkml:definitions>
  <inkml:trace contextRef="#ctx0" brushRef="#br0">1 0 24575,'0'0'0</inkml:trace>
</inkml:ink>
</file>

<file path=xl/ink/ink6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10"/>
    </inkml:context>
    <inkml:brush xml:id="br0">
      <inkml:brushProperty name="width" value="0.05" units="cm"/>
      <inkml:brushProperty name="height" value="0.05" units="cm"/>
    </inkml:brush>
  </inkml:definitions>
  <inkml:trace contextRef="#ctx0" brushRef="#br0">0 0 24575,'0'0'0</inkml:trace>
</inkml:ink>
</file>

<file path=xl/ink/ink6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11"/>
    </inkml:context>
    <inkml:brush xml:id="br0">
      <inkml:brushProperty name="width" value="0.05" units="cm"/>
      <inkml:brushProperty name="height" value="0.05" units="cm"/>
    </inkml:brush>
  </inkml:definitions>
  <inkml:trace contextRef="#ctx0" brushRef="#br0">1 0 24575,'0'0'0</inkml:trace>
</inkml:ink>
</file>

<file path=xl/ink/ink6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12"/>
    </inkml:context>
    <inkml:brush xml:id="br0">
      <inkml:brushProperty name="width" value="0.05" units="cm"/>
      <inkml:brushProperty name="height" value="0.05" units="cm"/>
    </inkml:brush>
  </inkml:definitions>
  <inkml:trace contextRef="#ctx0" brushRef="#br0">1 0 24575,'0'0'0</inkml:trace>
</inkml:ink>
</file>

<file path=xl/ink/ink7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23"/>
    </inkml:context>
    <inkml:brush xml:id="br0">
      <inkml:brushProperty name="width" value="0.05" units="cm"/>
      <inkml:brushProperty name="height" value="0.05" units="cm"/>
    </inkml:brush>
  </inkml:definitions>
  <inkml:trace contextRef="#ctx0" brushRef="#br0">0 0 24575,'0'0'0</inkml:trace>
</inkml:ink>
</file>

<file path=xl/ink/ink7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24"/>
    </inkml:context>
    <inkml:brush xml:id="br0">
      <inkml:brushProperty name="width" value="0.05" units="cm"/>
      <inkml:brushProperty name="height" value="0.05" units="cm"/>
    </inkml:brush>
  </inkml:definitions>
  <inkml:trace contextRef="#ctx0" brushRef="#br0">1 0 24575,'0'0'0</inkml:trace>
</inkml:ink>
</file>

<file path=xl/ink/ink7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25"/>
    </inkml:context>
    <inkml:brush xml:id="br0">
      <inkml:brushProperty name="width" value="0.05" units="cm"/>
      <inkml:brushProperty name="height" value="0.05" units="cm"/>
    </inkml:brush>
  </inkml:definitions>
  <inkml:trace contextRef="#ctx0" brushRef="#br0">1 0 24575,'0'0'0</inkml:trace>
</inkml:ink>
</file>

<file path=xl/ink/ink7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35"/>
    </inkml:context>
    <inkml:brush xml:id="br0">
      <inkml:brushProperty name="width" value="0.05" units="cm"/>
      <inkml:brushProperty name="height" value="0.05" units="cm"/>
    </inkml:brush>
  </inkml:definitions>
  <inkml:trace contextRef="#ctx0" brushRef="#br0">0 0 24575,'0'0'0</inkml:trace>
</inkml:ink>
</file>

<file path=xl/ink/ink7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36"/>
    </inkml:context>
    <inkml:brush xml:id="br0">
      <inkml:brushProperty name="width" value="0.05" units="cm"/>
      <inkml:brushProperty name="height" value="0.05" units="cm"/>
    </inkml:brush>
  </inkml:definitions>
  <inkml:trace contextRef="#ctx0" brushRef="#br0">1 0 24575,'0'0'0</inkml:trace>
</inkml:ink>
</file>

<file path=xl/ink/ink7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37"/>
    </inkml:context>
    <inkml:brush xml:id="br0">
      <inkml:brushProperty name="width" value="0.05" units="cm"/>
      <inkml:brushProperty name="height" value="0.05" units="cm"/>
    </inkml:brush>
  </inkml:definitions>
  <inkml:trace contextRef="#ctx0" brushRef="#br0">1 0 24575,'0'0'0</inkml:trace>
</inkml:ink>
</file>

<file path=xl/ink/ink7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47"/>
    </inkml:context>
    <inkml:brush xml:id="br0">
      <inkml:brushProperty name="width" value="0.05" units="cm"/>
      <inkml:brushProperty name="height" value="0.05" units="cm"/>
    </inkml:brush>
  </inkml:definitions>
  <inkml:trace contextRef="#ctx0" brushRef="#br0">0 0 24575,'0'0'0</inkml:trace>
</inkml:ink>
</file>

<file path=xl/ink/ink7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48"/>
    </inkml:context>
    <inkml:brush xml:id="br0">
      <inkml:brushProperty name="width" value="0.05" units="cm"/>
      <inkml:brushProperty name="height" value="0.05" units="cm"/>
    </inkml:brush>
  </inkml:definitions>
  <inkml:trace contextRef="#ctx0" brushRef="#br0">1 0 24575,'0'0'0</inkml:trace>
</inkml:ink>
</file>

<file path=xl/ink/ink7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49"/>
    </inkml:context>
    <inkml:brush xml:id="br0">
      <inkml:brushProperty name="width" value="0.05" units="cm"/>
      <inkml:brushProperty name="height" value="0.05" units="cm"/>
    </inkml:brush>
  </inkml:definitions>
  <inkml:trace contextRef="#ctx0" brushRef="#br0">1 0 24575,'0'0'0</inkml:trace>
</inkml:ink>
</file>

<file path=xl/ink/ink7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57"/>
    </inkml:context>
    <inkml:brush xml:id="br0">
      <inkml:brushProperty name="width" value="0.05" units="cm"/>
      <inkml:brushProperty name="height" value="0.05" units="cm"/>
    </inkml:brush>
  </inkml:definitions>
  <inkml:trace contextRef="#ctx0" brushRef="#br0">0 0 24575,'0'0'0</inkml:trace>
</inkml:ink>
</file>

<file path=xl/ink/ink7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58"/>
    </inkml:context>
    <inkml:brush xml:id="br0">
      <inkml:brushProperty name="width" value="0.05" units="cm"/>
      <inkml:brushProperty name="height" value="0.05" units="cm"/>
    </inkml:brush>
  </inkml:definitions>
  <inkml:trace contextRef="#ctx0" brushRef="#br0">1 0 24575,'0'0'0</inkml:trace>
</inkml:ink>
</file>

<file path=xl/ink/ink7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59"/>
    </inkml:context>
    <inkml:brush xml:id="br0">
      <inkml:brushProperty name="width" value="0.05" units="cm"/>
      <inkml:brushProperty name="height" value="0.05" units="cm"/>
    </inkml:brush>
  </inkml:definitions>
  <inkml:trace contextRef="#ctx0" brushRef="#br0">1 0 24575,'0'0'0</inkml:trace>
</inkml:ink>
</file>

<file path=xl/ink/ink7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67"/>
    </inkml:context>
    <inkml:brush xml:id="br0">
      <inkml:brushProperty name="width" value="0.05" units="cm"/>
      <inkml:brushProperty name="height" value="0.05" units="cm"/>
    </inkml:brush>
  </inkml:definitions>
  <inkml:trace contextRef="#ctx0" brushRef="#br0">0 0 24575,'0'0'0</inkml:trace>
</inkml:ink>
</file>

<file path=xl/ink/ink7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68"/>
    </inkml:context>
    <inkml:brush xml:id="br0">
      <inkml:brushProperty name="width" value="0.05" units="cm"/>
      <inkml:brushProperty name="height" value="0.05" units="cm"/>
    </inkml:brush>
  </inkml:definitions>
  <inkml:trace contextRef="#ctx0" brushRef="#br0">1 0 24575,'0'0'0</inkml:trace>
</inkml:ink>
</file>

<file path=xl/ink/ink7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69"/>
    </inkml:context>
    <inkml:brush xml:id="br0">
      <inkml:brushProperty name="width" value="0.05" units="cm"/>
      <inkml:brushProperty name="height" value="0.05" units="cm"/>
    </inkml:brush>
  </inkml:definitions>
  <inkml:trace contextRef="#ctx0" brushRef="#br0">1 0 24575,'0'0'0</inkml:trace>
</inkml:ink>
</file>

<file path=xl/ink/ink7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77"/>
    </inkml:context>
    <inkml:brush xml:id="br0">
      <inkml:brushProperty name="width" value="0.05" units="cm"/>
      <inkml:brushProperty name="height" value="0.05" units="cm"/>
    </inkml:brush>
  </inkml:definitions>
  <inkml:trace contextRef="#ctx0" brushRef="#br0">0 0 24575,'0'0'0</inkml:trace>
</inkml:ink>
</file>

<file path=xl/ink/ink7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78"/>
    </inkml:context>
    <inkml:brush xml:id="br0">
      <inkml:brushProperty name="width" value="0.05" units="cm"/>
      <inkml:brushProperty name="height" value="0.05" units="cm"/>
    </inkml:brush>
  </inkml:definitions>
  <inkml:trace contextRef="#ctx0" brushRef="#br0">1 0 24575,'0'0'0</inkml:trace>
</inkml:ink>
</file>

<file path=xl/ink/ink7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79"/>
    </inkml:context>
    <inkml:brush xml:id="br0">
      <inkml:brushProperty name="width" value="0.05" units="cm"/>
      <inkml:brushProperty name="height" value="0.05" units="cm"/>
    </inkml:brush>
  </inkml:definitions>
  <inkml:trace contextRef="#ctx0" brushRef="#br0">1 0 24575,'0'0'0</inkml:trace>
</inkml:ink>
</file>

<file path=xl/ink/ink7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85"/>
    </inkml:context>
    <inkml:brush xml:id="br0">
      <inkml:brushProperty name="width" value="0.05" units="cm"/>
      <inkml:brushProperty name="height" value="0.05" units="cm"/>
    </inkml:brush>
  </inkml:definitions>
  <inkml:trace contextRef="#ctx0" brushRef="#br0">0 0 24575,'0'0'0</inkml:trace>
</inkml:ink>
</file>

<file path=xl/ink/ink7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86"/>
    </inkml:context>
    <inkml:brush xml:id="br0">
      <inkml:brushProperty name="width" value="0.05" units="cm"/>
      <inkml:brushProperty name="height" value="0.05" units="cm"/>
    </inkml:brush>
  </inkml:definitions>
  <inkml:trace contextRef="#ctx0" brushRef="#br0">1 0 24575,'0'0'0</inkml:trace>
</inkml:ink>
</file>

<file path=xl/ink/ink7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87"/>
    </inkml:context>
    <inkml:brush xml:id="br0">
      <inkml:brushProperty name="width" value="0.05" units="cm"/>
      <inkml:brushProperty name="height" value="0.05" units="cm"/>
    </inkml:brush>
  </inkml:definitions>
  <inkml:trace contextRef="#ctx0" brushRef="#br0">1 0 24575,'0'0'0</inkml:trace>
</inkml:ink>
</file>

<file path=xl/ink/ink7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95"/>
    </inkml:context>
    <inkml:brush xml:id="br0">
      <inkml:brushProperty name="width" value="0.05" units="cm"/>
      <inkml:brushProperty name="height" value="0.05" units="cm"/>
    </inkml:brush>
  </inkml:definitions>
  <inkml:trace contextRef="#ctx0" brushRef="#br0">0 0 24575,'0'0'0</inkml:trace>
</inkml:ink>
</file>

<file path=xl/ink/ink7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96"/>
    </inkml:context>
    <inkml:brush xml:id="br0">
      <inkml:brushProperty name="width" value="0.05" units="cm"/>
      <inkml:brushProperty name="height" value="0.05" units="cm"/>
    </inkml:brush>
  </inkml:definitions>
  <inkml:trace contextRef="#ctx0" brushRef="#br0">1 0 24575,'0'0'0</inkml:trace>
</inkml:ink>
</file>

<file path=xl/ink/ink7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797"/>
    </inkml:context>
    <inkml:brush xml:id="br0">
      <inkml:brushProperty name="width" value="0.05" units="cm"/>
      <inkml:brushProperty name="height" value="0.05" units="cm"/>
    </inkml:brush>
  </inkml:definitions>
  <inkml:trace contextRef="#ctx0" brushRef="#br0">1 0 24575,'0'0'0</inkml:trace>
</inkml:ink>
</file>

<file path=xl/ink/ink7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07"/>
    </inkml:context>
    <inkml:brush xml:id="br0">
      <inkml:brushProperty name="width" value="0.05" units="cm"/>
      <inkml:brushProperty name="height" value="0.05" units="cm"/>
    </inkml:brush>
  </inkml:definitions>
  <inkml:trace contextRef="#ctx0" brushRef="#br0">0 0 24575,'0'0'0</inkml:trace>
</inkml:ink>
</file>

<file path=xl/ink/ink7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08"/>
    </inkml:context>
    <inkml:brush xml:id="br0">
      <inkml:brushProperty name="width" value="0.05" units="cm"/>
      <inkml:brushProperty name="height" value="0.05" units="cm"/>
    </inkml:brush>
  </inkml:definitions>
  <inkml:trace contextRef="#ctx0" brushRef="#br0">1 0 24575,'0'0'0</inkml:trace>
</inkml:ink>
</file>

<file path=xl/ink/ink7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09"/>
    </inkml:context>
    <inkml:brush xml:id="br0">
      <inkml:brushProperty name="width" value="0.05" units="cm"/>
      <inkml:brushProperty name="height" value="0.05" units="cm"/>
    </inkml:brush>
  </inkml:definitions>
  <inkml:trace contextRef="#ctx0" brushRef="#br0">1 0 24575,'0'0'0</inkml:trace>
</inkml:ink>
</file>

<file path=xl/ink/ink7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20"/>
    </inkml:context>
    <inkml:brush xml:id="br0">
      <inkml:brushProperty name="width" value="0.05" units="cm"/>
      <inkml:brushProperty name="height" value="0.05" units="cm"/>
    </inkml:brush>
  </inkml:definitions>
  <inkml:trace contextRef="#ctx0" brushRef="#br0">0 0 24575,'0'0'0</inkml:trace>
</inkml:ink>
</file>

<file path=xl/ink/ink7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21"/>
    </inkml:context>
    <inkml:brush xml:id="br0">
      <inkml:brushProperty name="width" value="0.05" units="cm"/>
      <inkml:brushProperty name="height" value="0.05" units="cm"/>
    </inkml:brush>
  </inkml:definitions>
  <inkml:trace contextRef="#ctx0" brushRef="#br0">1 0 24575,'0'0'0</inkml:trace>
</inkml:ink>
</file>

<file path=xl/ink/ink7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22"/>
    </inkml:context>
    <inkml:brush xml:id="br0">
      <inkml:brushProperty name="width" value="0.05" units="cm"/>
      <inkml:brushProperty name="height" value="0.05" units="cm"/>
    </inkml:brush>
  </inkml:definitions>
  <inkml:trace contextRef="#ctx0" brushRef="#br0">1 0 24575,'0'0'0</inkml:trace>
</inkml:ink>
</file>

<file path=xl/ink/ink7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35"/>
    </inkml:context>
    <inkml:brush xml:id="br0">
      <inkml:brushProperty name="width" value="0.05" units="cm"/>
      <inkml:brushProperty name="height" value="0.05" units="cm"/>
    </inkml:brush>
  </inkml:definitions>
  <inkml:trace contextRef="#ctx0" brushRef="#br0">0 0 24575,'0'0'0</inkml:trace>
</inkml:ink>
</file>

<file path=xl/ink/ink7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36"/>
    </inkml:context>
    <inkml:brush xml:id="br0">
      <inkml:brushProperty name="width" value="0.05" units="cm"/>
      <inkml:brushProperty name="height" value="0.05" units="cm"/>
    </inkml:brush>
  </inkml:definitions>
  <inkml:trace contextRef="#ctx0" brushRef="#br0">1 0 24575,'0'0'0</inkml:trace>
</inkml:ink>
</file>

<file path=xl/ink/ink7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37"/>
    </inkml:context>
    <inkml:brush xml:id="br0">
      <inkml:brushProperty name="width" value="0.05" units="cm"/>
      <inkml:brushProperty name="height" value="0.05" units="cm"/>
    </inkml:brush>
  </inkml:definitions>
  <inkml:trace contextRef="#ctx0" brushRef="#br0">1 0 24575,'0'0'0</inkml:trace>
</inkml:ink>
</file>

<file path=xl/ink/ink7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46"/>
    </inkml:context>
    <inkml:brush xml:id="br0">
      <inkml:brushProperty name="width" value="0.05" units="cm"/>
      <inkml:brushProperty name="height" value="0.05" units="cm"/>
    </inkml:brush>
  </inkml:definitions>
  <inkml:trace contextRef="#ctx0" brushRef="#br0">0 0 24575,'0'0'0</inkml:trace>
</inkml:ink>
</file>

<file path=xl/ink/ink7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47"/>
    </inkml:context>
    <inkml:brush xml:id="br0">
      <inkml:brushProperty name="width" value="0.05" units="cm"/>
      <inkml:brushProperty name="height" value="0.05" units="cm"/>
    </inkml:brush>
  </inkml:definitions>
  <inkml:trace contextRef="#ctx0" brushRef="#br0">1 0 24575,'0'0'0</inkml:trace>
</inkml:ink>
</file>

<file path=xl/ink/ink7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48"/>
    </inkml:context>
    <inkml:brush xml:id="br0">
      <inkml:brushProperty name="width" value="0.05" units="cm"/>
      <inkml:brushProperty name="height" value="0.05" units="cm"/>
    </inkml:brush>
  </inkml:definitions>
  <inkml:trace contextRef="#ctx0" brushRef="#br0">1 0 24575,'0'0'0</inkml:trace>
</inkml:ink>
</file>

<file path=xl/ink/ink7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57"/>
    </inkml:context>
    <inkml:brush xml:id="br0">
      <inkml:brushProperty name="width" value="0.05" units="cm"/>
      <inkml:brushProperty name="height" value="0.05" units="cm"/>
    </inkml:brush>
  </inkml:definitions>
  <inkml:trace contextRef="#ctx0" brushRef="#br0">0 0 24575,'0'0'0</inkml:trace>
</inkml:ink>
</file>

<file path=xl/ink/ink7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58"/>
    </inkml:context>
    <inkml:brush xml:id="br0">
      <inkml:brushProperty name="width" value="0.05" units="cm"/>
      <inkml:brushProperty name="height" value="0.05" units="cm"/>
    </inkml:brush>
  </inkml:definitions>
  <inkml:trace contextRef="#ctx0" brushRef="#br0">1 0 24575,'0'0'0</inkml:trace>
</inkml:ink>
</file>

<file path=xl/ink/ink7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59"/>
    </inkml:context>
    <inkml:brush xml:id="br0">
      <inkml:brushProperty name="width" value="0.05" units="cm"/>
      <inkml:brushProperty name="height" value="0.05" units="cm"/>
    </inkml:brush>
  </inkml:definitions>
  <inkml:trace contextRef="#ctx0" brushRef="#br0">1 0 24575,'0'0'0</inkml:trace>
</inkml:ink>
</file>

<file path=xl/ink/ink7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66"/>
    </inkml:context>
    <inkml:brush xml:id="br0">
      <inkml:brushProperty name="width" value="0.05" units="cm"/>
      <inkml:brushProperty name="height" value="0.05" units="cm"/>
    </inkml:brush>
  </inkml:definitions>
  <inkml:trace contextRef="#ctx0" brushRef="#br0">0 0 24575,'0'0'0</inkml:trace>
</inkml:ink>
</file>

<file path=xl/ink/ink7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67"/>
    </inkml:context>
    <inkml:brush xml:id="br0">
      <inkml:brushProperty name="width" value="0.05" units="cm"/>
      <inkml:brushProperty name="height" value="0.05" units="cm"/>
    </inkml:brush>
  </inkml:definitions>
  <inkml:trace contextRef="#ctx0" brushRef="#br0">1 0 24575,'0'0'0</inkml:trace>
</inkml:ink>
</file>

<file path=xl/ink/ink7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68"/>
    </inkml:context>
    <inkml:brush xml:id="br0">
      <inkml:brushProperty name="width" value="0.05" units="cm"/>
      <inkml:brushProperty name="height" value="0.05" units="cm"/>
    </inkml:brush>
  </inkml:definitions>
  <inkml:trace contextRef="#ctx0" brushRef="#br0">1 0 24575,'0'0'0</inkml:trace>
</inkml:ink>
</file>

<file path=xl/ink/ink7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74"/>
    </inkml:context>
    <inkml:brush xml:id="br0">
      <inkml:brushProperty name="width" value="0.05" units="cm"/>
      <inkml:brushProperty name="height" value="0.05" units="cm"/>
    </inkml:brush>
  </inkml:definitions>
  <inkml:trace contextRef="#ctx0" brushRef="#br0">0 0 24575,'0'0'0</inkml:trace>
</inkml:ink>
</file>

<file path=xl/ink/ink7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75"/>
    </inkml:context>
    <inkml:brush xml:id="br0">
      <inkml:brushProperty name="width" value="0.05" units="cm"/>
      <inkml:brushProperty name="height" value="0.05" units="cm"/>
    </inkml:brush>
  </inkml:definitions>
  <inkml:trace contextRef="#ctx0" brushRef="#br0">1 0 24575,'0'0'0</inkml:trace>
</inkml:ink>
</file>

<file path=xl/ink/ink7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76"/>
    </inkml:context>
    <inkml:brush xml:id="br0">
      <inkml:brushProperty name="width" value="0.05" units="cm"/>
      <inkml:brushProperty name="height" value="0.05" units="cm"/>
    </inkml:brush>
  </inkml:definitions>
  <inkml:trace contextRef="#ctx0" brushRef="#br0">1 0 24575,'0'0'0</inkml:trace>
</inkml:ink>
</file>

<file path=xl/ink/ink7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86"/>
    </inkml:context>
    <inkml:brush xml:id="br0">
      <inkml:brushProperty name="width" value="0.05" units="cm"/>
      <inkml:brushProperty name="height" value="0.05" units="cm"/>
    </inkml:brush>
  </inkml:definitions>
  <inkml:trace contextRef="#ctx0" brushRef="#br0">0 0 24575,'0'0'0</inkml:trace>
</inkml:ink>
</file>

<file path=xl/ink/ink7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87"/>
    </inkml:context>
    <inkml:brush xml:id="br0">
      <inkml:brushProperty name="width" value="0.05" units="cm"/>
      <inkml:brushProperty name="height" value="0.05" units="cm"/>
    </inkml:brush>
  </inkml:definitions>
  <inkml:trace contextRef="#ctx0" brushRef="#br0">1 0 24575,'0'0'0</inkml:trace>
</inkml:ink>
</file>

<file path=xl/ink/ink7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88"/>
    </inkml:context>
    <inkml:brush xml:id="br0">
      <inkml:brushProperty name="width" value="0.05" units="cm"/>
      <inkml:brushProperty name="height" value="0.05" units="cm"/>
    </inkml:brush>
  </inkml:definitions>
  <inkml:trace contextRef="#ctx0" brushRef="#br0">1 0 24575,'0'0'0</inkml:trace>
</inkml:ink>
</file>

<file path=xl/ink/ink7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899"/>
    </inkml:context>
    <inkml:brush xml:id="br0">
      <inkml:brushProperty name="width" value="0.05" units="cm"/>
      <inkml:brushProperty name="height" value="0.05" units="cm"/>
    </inkml:brush>
  </inkml:definitions>
  <inkml:trace contextRef="#ctx0" brushRef="#br0">0 0 24575,'0'0'0</inkml:trace>
</inkml:ink>
</file>

<file path=xl/ink/ink7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00"/>
    </inkml:context>
    <inkml:brush xml:id="br0">
      <inkml:brushProperty name="width" value="0.05" units="cm"/>
      <inkml:brushProperty name="height" value="0.05" units="cm"/>
    </inkml:brush>
  </inkml:definitions>
  <inkml:trace contextRef="#ctx0" brushRef="#br0">1 0 24575,'0'0'0</inkml:trace>
</inkml:ink>
</file>

<file path=xl/ink/ink7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01"/>
    </inkml:context>
    <inkml:brush xml:id="br0">
      <inkml:brushProperty name="width" value="0.05" units="cm"/>
      <inkml:brushProperty name="height" value="0.05" units="cm"/>
    </inkml:brush>
  </inkml:definitions>
  <inkml:trace contextRef="#ctx0" brushRef="#br0">1 0 24575,'0'0'0</inkml:trace>
</inkml:ink>
</file>

<file path=xl/ink/ink7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08"/>
    </inkml:context>
    <inkml:brush xml:id="br0">
      <inkml:brushProperty name="width" value="0.05" units="cm"/>
      <inkml:brushProperty name="height" value="0.05" units="cm"/>
    </inkml:brush>
  </inkml:definitions>
  <inkml:trace contextRef="#ctx0" brushRef="#br0">0 0 24575,'0'0'0</inkml:trace>
</inkml:ink>
</file>

<file path=xl/ink/ink7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09"/>
    </inkml:context>
    <inkml:brush xml:id="br0">
      <inkml:brushProperty name="width" value="0.05" units="cm"/>
      <inkml:brushProperty name="height" value="0.05" units="cm"/>
    </inkml:brush>
  </inkml:definitions>
  <inkml:trace contextRef="#ctx0" brushRef="#br0">1 0 24575,'0'0'0</inkml:trace>
</inkml:ink>
</file>

<file path=xl/ink/ink7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10"/>
    </inkml:context>
    <inkml:brush xml:id="br0">
      <inkml:brushProperty name="width" value="0.05" units="cm"/>
      <inkml:brushProperty name="height" value="0.05" units="cm"/>
    </inkml:brush>
  </inkml:definitions>
  <inkml:trace contextRef="#ctx0" brushRef="#br0">1 0 24575,'0'0'0</inkml:trace>
</inkml:ink>
</file>

<file path=xl/ink/ink7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19"/>
    </inkml:context>
    <inkml:brush xml:id="br0">
      <inkml:brushProperty name="width" value="0.05" units="cm"/>
      <inkml:brushProperty name="height" value="0.05" units="cm"/>
    </inkml:brush>
  </inkml:definitions>
  <inkml:trace contextRef="#ctx0" brushRef="#br0">0 0 24575,'0'0'0</inkml:trace>
</inkml:ink>
</file>

<file path=xl/ink/ink7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20"/>
    </inkml:context>
    <inkml:brush xml:id="br0">
      <inkml:brushProperty name="width" value="0.05" units="cm"/>
      <inkml:brushProperty name="height" value="0.05" units="cm"/>
    </inkml:brush>
  </inkml:definitions>
  <inkml:trace contextRef="#ctx0" brushRef="#br0">1 0 24575,'0'0'0</inkml:trace>
</inkml:ink>
</file>

<file path=xl/ink/ink7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21"/>
    </inkml:context>
    <inkml:brush xml:id="br0">
      <inkml:brushProperty name="width" value="0.05" units="cm"/>
      <inkml:brushProperty name="height" value="0.05" units="cm"/>
    </inkml:brush>
  </inkml:definitions>
  <inkml:trace contextRef="#ctx0" brushRef="#br0">1 0 24575,'0'0'0</inkml:trace>
</inkml:ink>
</file>

<file path=xl/ink/ink7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28"/>
    </inkml:context>
    <inkml:brush xml:id="br0">
      <inkml:brushProperty name="width" value="0.05" units="cm"/>
      <inkml:brushProperty name="height" value="0.05" units="cm"/>
    </inkml:brush>
  </inkml:definitions>
  <inkml:trace contextRef="#ctx0" brushRef="#br0">0 0 24575,'0'0'0</inkml:trace>
</inkml:ink>
</file>

<file path=xl/ink/ink7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29"/>
    </inkml:context>
    <inkml:brush xml:id="br0">
      <inkml:brushProperty name="width" value="0.05" units="cm"/>
      <inkml:brushProperty name="height" value="0.05" units="cm"/>
    </inkml:brush>
  </inkml:definitions>
  <inkml:trace contextRef="#ctx0" brushRef="#br0">1 0 24575,'0'0'0</inkml:trace>
</inkml:ink>
</file>

<file path=xl/ink/ink7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30"/>
    </inkml:context>
    <inkml:brush xml:id="br0">
      <inkml:brushProperty name="width" value="0.05" units="cm"/>
      <inkml:brushProperty name="height" value="0.05" units="cm"/>
    </inkml:brush>
  </inkml:definitions>
  <inkml:trace contextRef="#ctx0" brushRef="#br0">1 0 24575,'0'0'0</inkml:trace>
</inkml:ink>
</file>

<file path=xl/ink/ink7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36"/>
    </inkml:context>
    <inkml:brush xml:id="br0">
      <inkml:brushProperty name="width" value="0.05" units="cm"/>
      <inkml:brushProperty name="height" value="0.05" units="cm"/>
    </inkml:brush>
  </inkml:definitions>
  <inkml:trace contextRef="#ctx0" brushRef="#br0">0 0 24575,'0'0'0</inkml:trace>
</inkml:ink>
</file>

<file path=xl/ink/ink7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37"/>
    </inkml:context>
    <inkml:brush xml:id="br0">
      <inkml:brushProperty name="width" value="0.05" units="cm"/>
      <inkml:brushProperty name="height" value="0.05" units="cm"/>
    </inkml:brush>
  </inkml:definitions>
  <inkml:trace contextRef="#ctx0" brushRef="#br0">1 0 24575,'0'0'0</inkml:trace>
</inkml:ink>
</file>

<file path=xl/ink/ink7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38"/>
    </inkml:context>
    <inkml:brush xml:id="br0">
      <inkml:brushProperty name="width" value="0.05" units="cm"/>
      <inkml:brushProperty name="height" value="0.05" units="cm"/>
    </inkml:brush>
  </inkml:definitions>
  <inkml:trace contextRef="#ctx0" brushRef="#br0">1 0 24575,'0'0'0</inkml:trace>
</inkml:ink>
</file>

<file path=xl/ink/ink7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48"/>
    </inkml:context>
    <inkml:brush xml:id="br0">
      <inkml:brushProperty name="width" value="0.05" units="cm"/>
      <inkml:brushProperty name="height" value="0.05" units="cm"/>
    </inkml:brush>
  </inkml:definitions>
  <inkml:trace contextRef="#ctx0" brushRef="#br0">0 0 24575,'0'0'0</inkml:trace>
</inkml:ink>
</file>

<file path=xl/ink/ink7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49"/>
    </inkml:context>
    <inkml:brush xml:id="br0">
      <inkml:brushProperty name="width" value="0.05" units="cm"/>
      <inkml:brushProperty name="height" value="0.05" units="cm"/>
    </inkml:brush>
  </inkml:definitions>
  <inkml:trace contextRef="#ctx0" brushRef="#br0">1 0 24575,'0'0'0</inkml:trace>
</inkml:ink>
</file>

<file path=xl/ink/ink7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50"/>
    </inkml:context>
    <inkml:brush xml:id="br0">
      <inkml:brushProperty name="width" value="0.05" units="cm"/>
      <inkml:brushProperty name="height" value="0.05" units="cm"/>
    </inkml:brush>
  </inkml:definitions>
  <inkml:trace contextRef="#ctx0" brushRef="#br0">1 0 24575,'0'0'0</inkml:trace>
</inkml:ink>
</file>

<file path=xl/ink/ink7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60"/>
    </inkml:context>
    <inkml:brush xml:id="br0">
      <inkml:brushProperty name="width" value="0.05" units="cm"/>
      <inkml:brushProperty name="height" value="0.05" units="cm"/>
    </inkml:brush>
  </inkml:definitions>
  <inkml:trace contextRef="#ctx0" brushRef="#br0">0 0 24575,'0'0'0</inkml:trace>
</inkml:ink>
</file>

<file path=xl/ink/ink7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61"/>
    </inkml:context>
    <inkml:brush xml:id="br0">
      <inkml:brushProperty name="width" value="0.05" units="cm"/>
      <inkml:brushProperty name="height" value="0.05" units="cm"/>
    </inkml:brush>
  </inkml:definitions>
  <inkml:trace contextRef="#ctx0" brushRef="#br0">1 0 24575,'0'0'0</inkml:trace>
</inkml:ink>
</file>

<file path=xl/ink/ink7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62"/>
    </inkml:context>
    <inkml:brush xml:id="br0">
      <inkml:brushProperty name="width" value="0.05" units="cm"/>
      <inkml:brushProperty name="height" value="0.05" units="cm"/>
    </inkml:brush>
  </inkml:definitions>
  <inkml:trace contextRef="#ctx0" brushRef="#br0">1 0 24575,'0'0'0</inkml:trace>
</inkml:ink>
</file>

<file path=xl/ink/ink7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69"/>
    </inkml:context>
    <inkml:brush xml:id="br0">
      <inkml:brushProperty name="width" value="0.05" units="cm"/>
      <inkml:brushProperty name="height" value="0.05" units="cm"/>
    </inkml:brush>
  </inkml:definitions>
  <inkml:trace contextRef="#ctx0" brushRef="#br0">0 0 24575,'0'0'0</inkml:trace>
</inkml:ink>
</file>

<file path=xl/ink/ink7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70"/>
    </inkml:context>
    <inkml:brush xml:id="br0">
      <inkml:brushProperty name="width" value="0.05" units="cm"/>
      <inkml:brushProperty name="height" value="0.05" units="cm"/>
    </inkml:brush>
  </inkml:definitions>
  <inkml:trace contextRef="#ctx0" brushRef="#br0">1 0 24575,'0'0'0</inkml:trace>
</inkml:ink>
</file>

<file path=xl/ink/ink7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71"/>
    </inkml:context>
    <inkml:brush xml:id="br0">
      <inkml:brushProperty name="width" value="0.05" units="cm"/>
      <inkml:brushProperty name="height" value="0.05" units="cm"/>
    </inkml:brush>
  </inkml:definitions>
  <inkml:trace contextRef="#ctx0" brushRef="#br0">1 0 24575,'0'0'0</inkml:trace>
</inkml:ink>
</file>

<file path=xl/ink/ink7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77"/>
    </inkml:context>
    <inkml:brush xml:id="br0">
      <inkml:brushProperty name="width" value="0.05" units="cm"/>
      <inkml:brushProperty name="height" value="0.05" units="cm"/>
    </inkml:brush>
  </inkml:definitions>
  <inkml:trace contextRef="#ctx0" brushRef="#br0">0 0 24575,'0'0'0</inkml:trace>
</inkml:ink>
</file>

<file path=xl/ink/ink7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78"/>
    </inkml:context>
    <inkml:brush xml:id="br0">
      <inkml:brushProperty name="width" value="0.05" units="cm"/>
      <inkml:brushProperty name="height" value="0.05" units="cm"/>
    </inkml:brush>
  </inkml:definitions>
  <inkml:trace contextRef="#ctx0" brushRef="#br0">1 0 24575,'0'0'0</inkml:trace>
</inkml:ink>
</file>

<file path=xl/ink/ink7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79"/>
    </inkml:context>
    <inkml:brush xml:id="br0">
      <inkml:brushProperty name="width" value="0.05" units="cm"/>
      <inkml:brushProperty name="height" value="0.05" units="cm"/>
    </inkml:brush>
  </inkml:definitions>
  <inkml:trace contextRef="#ctx0" brushRef="#br0">1 0 24575,'0'0'0</inkml:trace>
</inkml:ink>
</file>

<file path=xl/ink/ink7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86"/>
    </inkml:context>
    <inkml:brush xml:id="br0">
      <inkml:brushProperty name="width" value="0.05" units="cm"/>
      <inkml:brushProperty name="height" value="0.05" units="cm"/>
    </inkml:brush>
  </inkml:definitions>
  <inkml:trace contextRef="#ctx0" brushRef="#br0">0 0 24575,'0'0'0</inkml:trace>
</inkml:ink>
</file>

<file path=xl/ink/ink7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87"/>
    </inkml:context>
    <inkml:brush xml:id="br0">
      <inkml:brushProperty name="width" value="0.05" units="cm"/>
      <inkml:brushProperty name="height" value="0.05" units="cm"/>
    </inkml:brush>
  </inkml:definitions>
  <inkml:trace contextRef="#ctx0" brushRef="#br0">1 0 24575,'0'0'0</inkml:trace>
</inkml:ink>
</file>

<file path=xl/ink/ink7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88"/>
    </inkml:context>
    <inkml:brush xml:id="br0">
      <inkml:brushProperty name="width" value="0.05" units="cm"/>
      <inkml:brushProperty name="height" value="0.05" units="cm"/>
    </inkml:brush>
  </inkml:definitions>
  <inkml:trace contextRef="#ctx0" brushRef="#br0">1 0 24575,'0'0'0</inkml:trace>
</inkml:ink>
</file>

<file path=xl/ink/ink7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98"/>
    </inkml:context>
    <inkml:brush xml:id="br0">
      <inkml:brushProperty name="width" value="0.05" units="cm"/>
      <inkml:brushProperty name="height" value="0.05" units="cm"/>
    </inkml:brush>
  </inkml:definitions>
  <inkml:trace contextRef="#ctx0" brushRef="#br0">0 0 24575,'0'0'0</inkml:trace>
</inkml:ink>
</file>

<file path=xl/ink/ink7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19.999"/>
    </inkml:context>
    <inkml:brush xml:id="br0">
      <inkml:brushProperty name="width" value="0.05" units="cm"/>
      <inkml:brushProperty name="height" value="0.05" units="cm"/>
    </inkml:brush>
  </inkml:definitions>
  <inkml:trace contextRef="#ctx0" brushRef="#br0">1 0 24575,'0'0'0</inkml:trace>
</inkml:ink>
</file>

<file path=xl/ink/ink7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
    </inkml:context>
    <inkml:brush xml:id="br0">
      <inkml:brushProperty name="width" value="0.05" units="cm"/>
      <inkml:brushProperty name="height" value="0.05" units="cm"/>
    </inkml:brush>
  </inkml:definitions>
  <inkml:trace contextRef="#ctx0" brushRef="#br0">1 0 24575,'0'0'0</inkml:trace>
</inkml:ink>
</file>

<file path=xl/ink/ink7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07"/>
    </inkml:context>
    <inkml:brush xml:id="br0">
      <inkml:brushProperty name="width" value="0.05" units="cm"/>
      <inkml:brushProperty name="height" value="0.05" units="cm"/>
    </inkml:brush>
  </inkml:definitions>
  <inkml:trace contextRef="#ctx0" brushRef="#br0">0 0 24575,'0'0'0</inkml:trace>
</inkml:ink>
</file>

<file path=xl/ink/ink7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08"/>
    </inkml:context>
    <inkml:brush xml:id="br0">
      <inkml:brushProperty name="width" value="0.05" units="cm"/>
      <inkml:brushProperty name="height" value="0.05" units="cm"/>
    </inkml:brush>
  </inkml:definitions>
  <inkml:trace contextRef="#ctx0" brushRef="#br0">1 0 24575,'0'0'0</inkml:trace>
</inkml:ink>
</file>

<file path=xl/ink/ink7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09"/>
    </inkml:context>
    <inkml:brush xml:id="br0">
      <inkml:brushProperty name="width" value="0.05" units="cm"/>
      <inkml:brushProperty name="height" value="0.05" units="cm"/>
    </inkml:brush>
  </inkml:definitions>
  <inkml:trace contextRef="#ctx0" brushRef="#br0">1 0 24575,'0'0'0</inkml:trace>
</inkml:ink>
</file>

<file path=xl/ink/ink7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15"/>
    </inkml:context>
    <inkml:brush xml:id="br0">
      <inkml:brushProperty name="width" value="0.05" units="cm"/>
      <inkml:brushProperty name="height" value="0.05" units="cm"/>
    </inkml:brush>
  </inkml:definitions>
  <inkml:trace contextRef="#ctx0" brushRef="#br0">0 0 24575,'0'0'0</inkml:trace>
</inkml:ink>
</file>

<file path=xl/ink/ink7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16"/>
    </inkml:context>
    <inkml:brush xml:id="br0">
      <inkml:brushProperty name="width" value="0.05" units="cm"/>
      <inkml:brushProperty name="height" value="0.05" units="cm"/>
    </inkml:brush>
  </inkml:definitions>
  <inkml:trace contextRef="#ctx0" brushRef="#br0">1 0 24575,'0'0'0</inkml:trace>
</inkml:ink>
</file>

<file path=xl/ink/ink7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17"/>
    </inkml:context>
    <inkml:brush xml:id="br0">
      <inkml:brushProperty name="width" value="0.05" units="cm"/>
      <inkml:brushProperty name="height" value="0.05" units="cm"/>
    </inkml:brush>
  </inkml:definitions>
  <inkml:trace contextRef="#ctx0" brushRef="#br0">1 0 24575,'0'0'0</inkml:trace>
</inkml:ink>
</file>

<file path=xl/ink/ink7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22"/>
    </inkml:context>
    <inkml:brush xml:id="br0">
      <inkml:brushProperty name="width" value="0.05" units="cm"/>
      <inkml:brushProperty name="height" value="0.05" units="cm"/>
    </inkml:brush>
  </inkml:definitions>
  <inkml:trace contextRef="#ctx0" brushRef="#br0">0 0 24575,'0'0'0</inkml:trace>
</inkml:ink>
</file>

<file path=xl/ink/ink7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23"/>
    </inkml:context>
    <inkml:brush xml:id="br0">
      <inkml:brushProperty name="width" value="0.05" units="cm"/>
      <inkml:brushProperty name="height" value="0.05" units="cm"/>
    </inkml:brush>
  </inkml:definitions>
  <inkml:trace contextRef="#ctx0" brushRef="#br0">1 0 24575,'0'0'0</inkml:trace>
</inkml:ink>
</file>

<file path=xl/ink/ink7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24"/>
    </inkml:context>
    <inkml:brush xml:id="br0">
      <inkml:brushProperty name="width" value="0.05" units="cm"/>
      <inkml:brushProperty name="height" value="0.05" units="cm"/>
    </inkml:brush>
  </inkml:definitions>
  <inkml:trace contextRef="#ctx0" brushRef="#br0">1 0 24575,'0'0'0</inkml:trace>
</inkml:ink>
</file>

<file path=xl/ink/ink7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29"/>
    </inkml:context>
    <inkml:brush xml:id="br0">
      <inkml:brushProperty name="width" value="0.05" units="cm"/>
      <inkml:brushProperty name="height" value="0.05" units="cm"/>
    </inkml:brush>
  </inkml:definitions>
  <inkml:trace contextRef="#ctx0" brushRef="#br0">0 0 24575,'0'0'0</inkml:trace>
</inkml:ink>
</file>

<file path=xl/ink/ink7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30"/>
    </inkml:context>
    <inkml:brush xml:id="br0">
      <inkml:brushProperty name="width" value="0.05" units="cm"/>
      <inkml:brushProperty name="height" value="0.05" units="cm"/>
    </inkml:brush>
  </inkml:definitions>
  <inkml:trace contextRef="#ctx0" brushRef="#br0">1 0 24575,'0'0'0</inkml:trace>
</inkml:ink>
</file>

<file path=xl/ink/ink7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31"/>
    </inkml:context>
    <inkml:brush xml:id="br0">
      <inkml:brushProperty name="width" value="0.05" units="cm"/>
      <inkml:brushProperty name="height" value="0.05" units="cm"/>
    </inkml:brush>
  </inkml:definitions>
  <inkml:trace contextRef="#ctx0" brushRef="#br0">1 0 24575,'0'0'0</inkml:trace>
</inkml:ink>
</file>

<file path=xl/ink/ink7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36"/>
    </inkml:context>
    <inkml:brush xml:id="br0">
      <inkml:brushProperty name="width" value="0.05" units="cm"/>
      <inkml:brushProperty name="height" value="0.05" units="cm"/>
    </inkml:brush>
  </inkml:definitions>
  <inkml:trace contextRef="#ctx0" brushRef="#br0">0 0 24575,'0'0'0</inkml:trace>
</inkml:ink>
</file>

<file path=xl/ink/ink7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37"/>
    </inkml:context>
    <inkml:brush xml:id="br0">
      <inkml:brushProperty name="width" value="0.05" units="cm"/>
      <inkml:brushProperty name="height" value="0.05" units="cm"/>
    </inkml:brush>
  </inkml:definitions>
  <inkml:trace contextRef="#ctx0" brushRef="#br0">1 0 24575,'0'0'0</inkml:trace>
</inkml:ink>
</file>

<file path=xl/ink/ink7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38"/>
    </inkml:context>
    <inkml:brush xml:id="br0">
      <inkml:brushProperty name="width" value="0.05" units="cm"/>
      <inkml:brushProperty name="height" value="0.05" units="cm"/>
    </inkml:brush>
  </inkml:definitions>
  <inkml:trace contextRef="#ctx0" brushRef="#br0">1 0 24575,'0'0'0</inkml:trace>
</inkml:ink>
</file>

<file path=xl/ink/ink7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47"/>
    </inkml:context>
    <inkml:brush xml:id="br0">
      <inkml:brushProperty name="width" value="0.05" units="cm"/>
      <inkml:brushProperty name="height" value="0.05" units="cm"/>
    </inkml:brush>
  </inkml:definitions>
  <inkml:trace contextRef="#ctx0" brushRef="#br0">0 0 24575,'0'0'0</inkml:trace>
</inkml:ink>
</file>

<file path=xl/ink/ink7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48"/>
    </inkml:context>
    <inkml:brush xml:id="br0">
      <inkml:brushProperty name="width" value="0.05" units="cm"/>
      <inkml:brushProperty name="height" value="0.05" units="cm"/>
    </inkml:brush>
  </inkml:definitions>
  <inkml:trace contextRef="#ctx0" brushRef="#br0">1 0 24575,'0'0'0</inkml:trace>
</inkml:ink>
</file>

<file path=xl/ink/ink7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49"/>
    </inkml:context>
    <inkml:brush xml:id="br0">
      <inkml:brushProperty name="width" value="0.05" units="cm"/>
      <inkml:brushProperty name="height" value="0.05" units="cm"/>
    </inkml:brush>
  </inkml:definitions>
  <inkml:trace contextRef="#ctx0" brushRef="#br0">1 0 24575,'0'0'0</inkml:trace>
</inkml:ink>
</file>

<file path=xl/ink/ink7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56"/>
    </inkml:context>
    <inkml:brush xml:id="br0">
      <inkml:brushProperty name="width" value="0.05" units="cm"/>
      <inkml:brushProperty name="height" value="0.05" units="cm"/>
    </inkml:brush>
  </inkml:definitions>
  <inkml:trace contextRef="#ctx0" brushRef="#br0">0 0 24575,'0'0'0</inkml:trace>
</inkml:ink>
</file>

<file path=xl/ink/ink8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57"/>
    </inkml:context>
    <inkml:brush xml:id="br0">
      <inkml:brushProperty name="width" value="0.05" units="cm"/>
      <inkml:brushProperty name="height" value="0.05" units="cm"/>
    </inkml:brush>
  </inkml:definitions>
  <inkml:trace contextRef="#ctx0" brushRef="#br0">1 0 24575,'0'0'0</inkml:trace>
</inkml:ink>
</file>

<file path=xl/ink/ink8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58"/>
    </inkml:context>
    <inkml:brush xml:id="br0">
      <inkml:brushProperty name="width" value="0.05" units="cm"/>
      <inkml:brushProperty name="height" value="0.05" units="cm"/>
    </inkml:brush>
  </inkml:definitions>
  <inkml:trace contextRef="#ctx0" brushRef="#br0">1 0 24575,'0'0'0</inkml:trace>
</inkml:ink>
</file>

<file path=xl/ink/ink8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62"/>
    </inkml:context>
    <inkml:brush xml:id="br0">
      <inkml:brushProperty name="width" value="0.05" units="cm"/>
      <inkml:brushProperty name="height" value="0.05" units="cm"/>
    </inkml:brush>
  </inkml:definitions>
  <inkml:trace contextRef="#ctx0" brushRef="#br0">0 0 24575,'0'0'0</inkml:trace>
</inkml:ink>
</file>

<file path=xl/ink/ink8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63"/>
    </inkml:context>
    <inkml:brush xml:id="br0">
      <inkml:brushProperty name="width" value="0.05" units="cm"/>
      <inkml:brushProperty name="height" value="0.05" units="cm"/>
    </inkml:brush>
  </inkml:definitions>
  <inkml:trace contextRef="#ctx0" brushRef="#br0">1 0 24575,'0'0'0</inkml:trace>
</inkml:ink>
</file>

<file path=xl/ink/ink8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64"/>
    </inkml:context>
    <inkml:brush xml:id="br0">
      <inkml:brushProperty name="width" value="0.05" units="cm"/>
      <inkml:brushProperty name="height" value="0.05" units="cm"/>
    </inkml:brush>
  </inkml:definitions>
  <inkml:trace contextRef="#ctx0" brushRef="#br0">1 0 24575,'0'0'0</inkml:trace>
</inkml:ink>
</file>

<file path=xl/ink/ink8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69"/>
    </inkml:context>
    <inkml:brush xml:id="br0">
      <inkml:brushProperty name="width" value="0.05" units="cm"/>
      <inkml:brushProperty name="height" value="0.05" units="cm"/>
    </inkml:brush>
  </inkml:definitions>
  <inkml:trace contextRef="#ctx0" brushRef="#br0">0 0 24575,'0'0'0</inkml:trace>
</inkml:ink>
</file>

<file path=xl/ink/ink8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70"/>
    </inkml:context>
    <inkml:brush xml:id="br0">
      <inkml:brushProperty name="width" value="0.05" units="cm"/>
      <inkml:brushProperty name="height" value="0.05" units="cm"/>
    </inkml:brush>
  </inkml:definitions>
  <inkml:trace contextRef="#ctx0" brushRef="#br0">1 0 24575,'0'0'0</inkml:trace>
</inkml:ink>
</file>

<file path=xl/ink/ink8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71"/>
    </inkml:context>
    <inkml:brush xml:id="br0">
      <inkml:brushProperty name="width" value="0.05" units="cm"/>
      <inkml:brushProperty name="height" value="0.05" units="cm"/>
    </inkml:brush>
  </inkml:definitions>
  <inkml:trace contextRef="#ctx0" brushRef="#br0">1 0 24575,'0'0'0</inkml:trace>
</inkml:ink>
</file>

<file path=xl/ink/ink8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76"/>
    </inkml:context>
    <inkml:brush xml:id="br0">
      <inkml:brushProperty name="width" value="0.05" units="cm"/>
      <inkml:brushProperty name="height" value="0.05" units="cm"/>
    </inkml:brush>
  </inkml:definitions>
  <inkml:trace contextRef="#ctx0" brushRef="#br0">0 0 24575,'0'0'0</inkml:trace>
</inkml:ink>
</file>

<file path=xl/ink/ink8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77"/>
    </inkml:context>
    <inkml:brush xml:id="br0">
      <inkml:brushProperty name="width" value="0.05" units="cm"/>
      <inkml:brushProperty name="height" value="0.05" units="cm"/>
    </inkml:brush>
  </inkml:definitions>
  <inkml:trace contextRef="#ctx0" brushRef="#br0">1 0 24575,'0'0'0</inkml:trace>
</inkml:ink>
</file>

<file path=xl/ink/ink8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78"/>
    </inkml:context>
    <inkml:brush xml:id="br0">
      <inkml:brushProperty name="width" value="0.05" units="cm"/>
      <inkml:brushProperty name="height" value="0.05" units="cm"/>
    </inkml:brush>
  </inkml:definitions>
  <inkml:trace contextRef="#ctx0" brushRef="#br0">1 0 24575,'0'0'0</inkml:trace>
</inkml:ink>
</file>

<file path=xl/ink/ink8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83"/>
    </inkml:context>
    <inkml:brush xml:id="br0">
      <inkml:brushProperty name="width" value="0.05" units="cm"/>
      <inkml:brushProperty name="height" value="0.05" units="cm"/>
    </inkml:brush>
  </inkml:definitions>
  <inkml:trace contextRef="#ctx0" brushRef="#br0">0 0 24575,'0'0'0</inkml:trace>
</inkml:ink>
</file>

<file path=xl/ink/ink8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84"/>
    </inkml:context>
    <inkml:brush xml:id="br0">
      <inkml:brushProperty name="width" value="0.05" units="cm"/>
      <inkml:brushProperty name="height" value="0.05" units="cm"/>
    </inkml:brush>
  </inkml:definitions>
  <inkml:trace contextRef="#ctx0" brushRef="#br0">1 0 24575,'0'0'0</inkml:trace>
</inkml:ink>
</file>

<file path=xl/ink/ink8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85"/>
    </inkml:context>
    <inkml:brush xml:id="br0">
      <inkml:brushProperty name="width" value="0.05" units="cm"/>
      <inkml:brushProperty name="height" value="0.05" units="cm"/>
    </inkml:brush>
  </inkml:definitions>
  <inkml:trace contextRef="#ctx0" brushRef="#br0">1 0 24575,'0'0'0</inkml:trace>
</inkml:ink>
</file>

<file path=xl/ink/ink8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90"/>
    </inkml:context>
    <inkml:brush xml:id="br0">
      <inkml:brushProperty name="width" value="0.05" units="cm"/>
      <inkml:brushProperty name="height" value="0.05" units="cm"/>
    </inkml:brush>
  </inkml:definitions>
  <inkml:trace contextRef="#ctx0" brushRef="#br0">0 0 24575,'0'0'0</inkml:trace>
</inkml:ink>
</file>

<file path=xl/ink/ink8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91"/>
    </inkml:context>
    <inkml:brush xml:id="br0">
      <inkml:brushProperty name="width" value="0.05" units="cm"/>
      <inkml:brushProperty name="height" value="0.05" units="cm"/>
    </inkml:brush>
  </inkml:definitions>
  <inkml:trace contextRef="#ctx0" brushRef="#br0">1 0 24575,'0'0'0</inkml:trace>
</inkml:ink>
</file>

<file path=xl/ink/ink8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092"/>
    </inkml:context>
    <inkml:brush xml:id="br0">
      <inkml:brushProperty name="width" value="0.05" units="cm"/>
      <inkml:brushProperty name="height" value="0.05" units="cm"/>
    </inkml:brush>
  </inkml:definitions>
  <inkml:trace contextRef="#ctx0" brushRef="#br0">1 0 24575,'0'0'0</inkml:trace>
</inkml:ink>
</file>

<file path=xl/ink/ink8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01"/>
    </inkml:context>
    <inkml:brush xml:id="br0">
      <inkml:brushProperty name="width" value="0.05" units="cm"/>
      <inkml:brushProperty name="height" value="0.05" units="cm"/>
    </inkml:brush>
  </inkml:definitions>
  <inkml:trace contextRef="#ctx0" brushRef="#br0">0 0 24575,'0'0'0</inkml:trace>
</inkml:ink>
</file>

<file path=xl/ink/ink8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02"/>
    </inkml:context>
    <inkml:brush xml:id="br0">
      <inkml:brushProperty name="width" value="0.05" units="cm"/>
      <inkml:brushProperty name="height" value="0.05" units="cm"/>
    </inkml:brush>
  </inkml:definitions>
  <inkml:trace contextRef="#ctx0" brushRef="#br0">1 0 24575,'0'0'0</inkml:trace>
</inkml:ink>
</file>

<file path=xl/ink/ink8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03"/>
    </inkml:context>
    <inkml:brush xml:id="br0">
      <inkml:brushProperty name="width" value="0.05" units="cm"/>
      <inkml:brushProperty name="height" value="0.05" units="cm"/>
    </inkml:brush>
  </inkml:definitions>
  <inkml:trace contextRef="#ctx0" brushRef="#br0">1 0 24575,'0'0'0</inkml:trace>
</inkml:ink>
</file>

<file path=xl/ink/ink8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08"/>
    </inkml:context>
    <inkml:brush xml:id="br0">
      <inkml:brushProperty name="width" value="0.05" units="cm"/>
      <inkml:brushProperty name="height" value="0.05" units="cm"/>
    </inkml:brush>
  </inkml:definitions>
  <inkml:trace contextRef="#ctx0" brushRef="#br0">0 0 24575,'0'0'0</inkml:trace>
</inkml:ink>
</file>

<file path=xl/ink/ink8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09"/>
    </inkml:context>
    <inkml:brush xml:id="br0">
      <inkml:brushProperty name="width" value="0.05" units="cm"/>
      <inkml:brushProperty name="height" value="0.05" units="cm"/>
    </inkml:brush>
  </inkml:definitions>
  <inkml:trace contextRef="#ctx0" brushRef="#br0">1 0 24575,'0'0'0</inkml:trace>
</inkml:ink>
</file>

<file path=xl/ink/ink8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10"/>
    </inkml:context>
    <inkml:brush xml:id="br0">
      <inkml:brushProperty name="width" value="0.05" units="cm"/>
      <inkml:brushProperty name="height" value="0.05" units="cm"/>
    </inkml:brush>
  </inkml:definitions>
  <inkml:trace contextRef="#ctx0" brushRef="#br0">1 0 24575,'0'0'0</inkml:trace>
</inkml:ink>
</file>

<file path=xl/ink/ink8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14"/>
    </inkml:context>
    <inkml:brush xml:id="br0">
      <inkml:brushProperty name="width" value="0.05" units="cm"/>
      <inkml:brushProperty name="height" value="0.05" units="cm"/>
    </inkml:brush>
  </inkml:definitions>
  <inkml:trace contextRef="#ctx0" brushRef="#br0">0 0 24575,'0'0'0</inkml:trace>
</inkml:ink>
</file>

<file path=xl/ink/ink8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15"/>
    </inkml:context>
    <inkml:brush xml:id="br0">
      <inkml:brushProperty name="width" value="0.05" units="cm"/>
      <inkml:brushProperty name="height" value="0.05" units="cm"/>
    </inkml:brush>
  </inkml:definitions>
  <inkml:trace contextRef="#ctx0" brushRef="#br0">1 0 24575,'0'0'0</inkml:trace>
</inkml:ink>
</file>

<file path=xl/ink/ink8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16"/>
    </inkml:context>
    <inkml:brush xml:id="br0">
      <inkml:brushProperty name="width" value="0.05" units="cm"/>
      <inkml:brushProperty name="height" value="0.05" units="cm"/>
    </inkml:brush>
  </inkml:definitions>
  <inkml:trace contextRef="#ctx0" brushRef="#br0">1 0 24575,'0'0'0</inkml:trace>
</inkml:ink>
</file>

<file path=xl/ink/ink8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21"/>
    </inkml:context>
    <inkml:brush xml:id="br0">
      <inkml:brushProperty name="width" value="0.05" units="cm"/>
      <inkml:brushProperty name="height" value="0.05" units="cm"/>
    </inkml:brush>
  </inkml:definitions>
  <inkml:trace contextRef="#ctx0" brushRef="#br0">0 0 24575,'0'0'0</inkml:trace>
</inkml:ink>
</file>

<file path=xl/ink/ink8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22"/>
    </inkml:context>
    <inkml:brush xml:id="br0">
      <inkml:brushProperty name="width" value="0.05" units="cm"/>
      <inkml:brushProperty name="height" value="0.05" units="cm"/>
    </inkml:brush>
  </inkml:definitions>
  <inkml:trace contextRef="#ctx0" brushRef="#br0">1 0 24575,'0'0'0</inkml:trace>
</inkml:ink>
</file>

<file path=xl/ink/ink8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23"/>
    </inkml:context>
    <inkml:brush xml:id="br0">
      <inkml:brushProperty name="width" value="0.05" units="cm"/>
      <inkml:brushProperty name="height" value="0.05" units="cm"/>
    </inkml:brush>
  </inkml:definitions>
  <inkml:trace contextRef="#ctx0" brushRef="#br0">1 0 24575,'0'0'0</inkml:trace>
</inkml:ink>
</file>

<file path=xl/ink/ink8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28"/>
    </inkml:context>
    <inkml:brush xml:id="br0">
      <inkml:brushProperty name="width" value="0.05" units="cm"/>
      <inkml:brushProperty name="height" value="0.05" units="cm"/>
    </inkml:brush>
  </inkml:definitions>
  <inkml:trace contextRef="#ctx0" brushRef="#br0">0 0 24575,'0'0'0</inkml:trace>
</inkml:ink>
</file>

<file path=xl/ink/ink8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29"/>
    </inkml:context>
    <inkml:brush xml:id="br0">
      <inkml:brushProperty name="width" value="0.05" units="cm"/>
      <inkml:brushProperty name="height" value="0.05" units="cm"/>
    </inkml:brush>
  </inkml:definitions>
  <inkml:trace contextRef="#ctx0" brushRef="#br0">1 0 24575,'0'0'0</inkml:trace>
</inkml:ink>
</file>

<file path=xl/ink/ink8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30"/>
    </inkml:context>
    <inkml:brush xml:id="br0">
      <inkml:brushProperty name="width" value="0.05" units="cm"/>
      <inkml:brushProperty name="height" value="0.05" units="cm"/>
    </inkml:brush>
  </inkml:definitions>
  <inkml:trace contextRef="#ctx0" brushRef="#br0">1 0 24575,'0'0'0</inkml:trace>
</inkml:ink>
</file>

<file path=xl/ink/ink8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34"/>
    </inkml:context>
    <inkml:brush xml:id="br0">
      <inkml:brushProperty name="width" value="0.05" units="cm"/>
      <inkml:brushProperty name="height" value="0.05" units="cm"/>
    </inkml:brush>
  </inkml:definitions>
  <inkml:trace contextRef="#ctx0" brushRef="#br0">0 0 24575,'0'0'0</inkml:trace>
</inkml:ink>
</file>

<file path=xl/ink/ink8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35"/>
    </inkml:context>
    <inkml:brush xml:id="br0">
      <inkml:brushProperty name="width" value="0.05" units="cm"/>
      <inkml:brushProperty name="height" value="0.05" units="cm"/>
    </inkml:brush>
  </inkml:definitions>
  <inkml:trace contextRef="#ctx0" brushRef="#br0">1 0 24575,'0'0'0</inkml:trace>
</inkml:ink>
</file>

<file path=xl/ink/ink8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36"/>
    </inkml:context>
    <inkml:brush xml:id="br0">
      <inkml:brushProperty name="width" value="0.05" units="cm"/>
      <inkml:brushProperty name="height" value="0.05" units="cm"/>
    </inkml:brush>
  </inkml:definitions>
  <inkml:trace contextRef="#ctx0" brushRef="#br0">1 0 24575,'0'0'0</inkml:trace>
</inkml:ink>
</file>

<file path=xl/ink/ink8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41"/>
    </inkml:context>
    <inkml:brush xml:id="br0">
      <inkml:brushProperty name="width" value="0.05" units="cm"/>
      <inkml:brushProperty name="height" value="0.05" units="cm"/>
    </inkml:brush>
  </inkml:definitions>
  <inkml:trace contextRef="#ctx0" brushRef="#br0">0 0 24575,'0'0'0</inkml:trace>
</inkml:ink>
</file>

<file path=xl/ink/ink8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42"/>
    </inkml:context>
    <inkml:brush xml:id="br0">
      <inkml:brushProperty name="width" value="0.05" units="cm"/>
      <inkml:brushProperty name="height" value="0.05" units="cm"/>
    </inkml:brush>
  </inkml:definitions>
  <inkml:trace contextRef="#ctx0" brushRef="#br0">1 0 24575,'0'0'0</inkml:trace>
</inkml:ink>
</file>

<file path=xl/ink/ink8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43"/>
    </inkml:context>
    <inkml:brush xml:id="br0">
      <inkml:brushProperty name="width" value="0.05" units="cm"/>
      <inkml:brushProperty name="height" value="0.05" units="cm"/>
    </inkml:brush>
  </inkml:definitions>
  <inkml:trace contextRef="#ctx0" brushRef="#br0">1 0 24575,'0'0'0</inkml:trace>
</inkml:ink>
</file>

<file path=xl/ink/ink8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49"/>
    </inkml:context>
    <inkml:brush xml:id="br0">
      <inkml:brushProperty name="width" value="0.05" units="cm"/>
      <inkml:brushProperty name="height" value="0.05" units="cm"/>
    </inkml:brush>
  </inkml:definitions>
  <inkml:trace contextRef="#ctx0" brushRef="#br0">0 0 24575,'0'0'0</inkml:trace>
</inkml:ink>
</file>

<file path=xl/ink/ink8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50"/>
    </inkml:context>
    <inkml:brush xml:id="br0">
      <inkml:brushProperty name="width" value="0.05" units="cm"/>
      <inkml:brushProperty name="height" value="0.05" units="cm"/>
    </inkml:brush>
  </inkml:definitions>
  <inkml:trace contextRef="#ctx0" brushRef="#br0">1 0 24575,'0'0'0</inkml:trace>
</inkml:ink>
</file>

<file path=xl/ink/ink8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51"/>
    </inkml:context>
    <inkml:brush xml:id="br0">
      <inkml:brushProperty name="width" value="0.05" units="cm"/>
      <inkml:brushProperty name="height" value="0.05" units="cm"/>
    </inkml:brush>
  </inkml:definitions>
  <inkml:trace contextRef="#ctx0" brushRef="#br0">1 0 24575,'0'0'0</inkml:trace>
</inkml:ink>
</file>

<file path=xl/ink/ink8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56"/>
    </inkml:context>
    <inkml:brush xml:id="br0">
      <inkml:brushProperty name="width" value="0.05" units="cm"/>
      <inkml:brushProperty name="height" value="0.05" units="cm"/>
    </inkml:brush>
  </inkml:definitions>
  <inkml:trace contextRef="#ctx0" brushRef="#br0">0 0 24575,'0'0'0</inkml:trace>
</inkml:ink>
</file>

<file path=xl/ink/ink8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57"/>
    </inkml:context>
    <inkml:brush xml:id="br0">
      <inkml:brushProperty name="width" value="0.05" units="cm"/>
      <inkml:brushProperty name="height" value="0.05" units="cm"/>
    </inkml:brush>
  </inkml:definitions>
  <inkml:trace contextRef="#ctx0" brushRef="#br0">1 0 24575,'0'0'0</inkml:trace>
</inkml:ink>
</file>

<file path=xl/ink/ink8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58"/>
    </inkml:context>
    <inkml:brush xml:id="br0">
      <inkml:brushProperty name="width" value="0.05" units="cm"/>
      <inkml:brushProperty name="height" value="0.05" units="cm"/>
    </inkml:brush>
  </inkml:definitions>
  <inkml:trace contextRef="#ctx0" brushRef="#br0">1 0 24575,'0'0'0</inkml:trace>
</inkml:ink>
</file>

<file path=xl/ink/ink8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62"/>
    </inkml:context>
    <inkml:brush xml:id="br0">
      <inkml:brushProperty name="width" value="0.05" units="cm"/>
      <inkml:brushProperty name="height" value="0.05" units="cm"/>
    </inkml:brush>
  </inkml:definitions>
  <inkml:trace contextRef="#ctx0" brushRef="#br0">0 0 24575,'0'0'0</inkml:trace>
</inkml:ink>
</file>

<file path=xl/ink/ink8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63"/>
    </inkml:context>
    <inkml:brush xml:id="br0">
      <inkml:brushProperty name="width" value="0.05" units="cm"/>
      <inkml:brushProperty name="height" value="0.05" units="cm"/>
    </inkml:brush>
  </inkml:definitions>
  <inkml:trace contextRef="#ctx0" brushRef="#br0">1 0 24575,'0'0'0</inkml:trace>
</inkml:ink>
</file>

<file path=xl/ink/ink8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64"/>
    </inkml:context>
    <inkml:brush xml:id="br0">
      <inkml:brushProperty name="width" value="0.05" units="cm"/>
      <inkml:brushProperty name="height" value="0.05" units="cm"/>
    </inkml:brush>
  </inkml:definitions>
  <inkml:trace contextRef="#ctx0" brushRef="#br0">1 0 24575,'0'0'0</inkml:trace>
</inkml:ink>
</file>

<file path=xl/ink/ink8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68"/>
    </inkml:context>
    <inkml:brush xml:id="br0">
      <inkml:brushProperty name="width" value="0.05" units="cm"/>
      <inkml:brushProperty name="height" value="0.05" units="cm"/>
    </inkml:brush>
  </inkml:definitions>
  <inkml:trace contextRef="#ctx0" brushRef="#br0">0 0 24575,'0'0'0</inkml:trace>
</inkml:ink>
</file>

<file path=xl/ink/ink8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69"/>
    </inkml:context>
    <inkml:brush xml:id="br0">
      <inkml:brushProperty name="width" value="0.05" units="cm"/>
      <inkml:brushProperty name="height" value="0.05" units="cm"/>
    </inkml:brush>
  </inkml:definitions>
  <inkml:trace contextRef="#ctx0" brushRef="#br0">1 0 24575,'0'0'0</inkml:trace>
</inkml:ink>
</file>

<file path=xl/ink/ink8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70"/>
    </inkml:context>
    <inkml:brush xml:id="br0">
      <inkml:brushProperty name="width" value="0.05" units="cm"/>
      <inkml:brushProperty name="height" value="0.05" units="cm"/>
    </inkml:brush>
  </inkml:definitions>
  <inkml:trace contextRef="#ctx0" brushRef="#br0">1 0 24575,'0'0'0</inkml:trace>
</inkml:ink>
</file>

<file path=xl/ink/ink8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77"/>
    </inkml:context>
    <inkml:brush xml:id="br0">
      <inkml:brushProperty name="width" value="0.05" units="cm"/>
      <inkml:brushProperty name="height" value="0.05" units="cm"/>
    </inkml:brush>
  </inkml:definitions>
  <inkml:trace contextRef="#ctx0" brushRef="#br0">0 0 24575,'0'0'0</inkml:trace>
</inkml:ink>
</file>

<file path=xl/ink/ink8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78"/>
    </inkml:context>
    <inkml:brush xml:id="br0">
      <inkml:brushProperty name="width" value="0.05" units="cm"/>
      <inkml:brushProperty name="height" value="0.05" units="cm"/>
    </inkml:brush>
  </inkml:definitions>
  <inkml:trace contextRef="#ctx0" brushRef="#br0">1 0 24575,'0'0'0</inkml:trace>
</inkml:ink>
</file>

<file path=xl/ink/ink8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79"/>
    </inkml:context>
    <inkml:brush xml:id="br0">
      <inkml:brushProperty name="width" value="0.05" units="cm"/>
      <inkml:brushProperty name="height" value="0.05" units="cm"/>
    </inkml:brush>
  </inkml:definitions>
  <inkml:trace contextRef="#ctx0" brushRef="#br0">1 0 24575,'0'0'0</inkml:trace>
</inkml:ink>
</file>

<file path=xl/ink/ink8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84"/>
    </inkml:context>
    <inkml:brush xml:id="br0">
      <inkml:brushProperty name="width" value="0.05" units="cm"/>
      <inkml:brushProperty name="height" value="0.05" units="cm"/>
    </inkml:brush>
  </inkml:definitions>
  <inkml:trace contextRef="#ctx0" brushRef="#br0">0 0 24575,'0'0'0</inkml:trace>
</inkml:ink>
</file>

<file path=xl/ink/ink8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85"/>
    </inkml:context>
    <inkml:brush xml:id="br0">
      <inkml:brushProperty name="width" value="0.05" units="cm"/>
      <inkml:brushProperty name="height" value="0.05" units="cm"/>
    </inkml:brush>
  </inkml:definitions>
  <inkml:trace contextRef="#ctx0" brushRef="#br0">1 0 24575,'0'0'0</inkml:trace>
</inkml:ink>
</file>

<file path=xl/ink/ink8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86"/>
    </inkml:context>
    <inkml:brush xml:id="br0">
      <inkml:brushProperty name="width" value="0.05" units="cm"/>
      <inkml:brushProperty name="height" value="0.05" units="cm"/>
    </inkml:brush>
  </inkml:definitions>
  <inkml:trace contextRef="#ctx0" brushRef="#br0">1 0 24575,'0'0'0</inkml:trace>
</inkml:ink>
</file>

<file path=xl/ink/ink8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91"/>
    </inkml:context>
    <inkml:brush xml:id="br0">
      <inkml:brushProperty name="width" value="0.05" units="cm"/>
      <inkml:brushProperty name="height" value="0.05" units="cm"/>
    </inkml:brush>
  </inkml:definitions>
  <inkml:trace contextRef="#ctx0" brushRef="#br0">0 0 24575,'0'0'0</inkml:trace>
</inkml:ink>
</file>

<file path=xl/ink/ink8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92"/>
    </inkml:context>
    <inkml:brush xml:id="br0">
      <inkml:brushProperty name="width" value="0.05" units="cm"/>
      <inkml:brushProperty name="height" value="0.05" units="cm"/>
    </inkml:brush>
  </inkml:definitions>
  <inkml:trace contextRef="#ctx0" brushRef="#br0">1 0 24575,'0'0'0</inkml:trace>
</inkml:ink>
</file>

<file path=xl/ink/ink8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93"/>
    </inkml:context>
    <inkml:brush xml:id="br0">
      <inkml:brushProperty name="width" value="0.05" units="cm"/>
      <inkml:brushProperty name="height" value="0.05" units="cm"/>
    </inkml:brush>
  </inkml:definitions>
  <inkml:trace contextRef="#ctx0" brushRef="#br0">1 0 24575,'0'0'0</inkml:trace>
</inkml:ink>
</file>

<file path=xl/ink/ink8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199"/>
    </inkml:context>
    <inkml:brush xml:id="br0">
      <inkml:brushProperty name="width" value="0.05" units="cm"/>
      <inkml:brushProperty name="height" value="0.05" units="cm"/>
    </inkml:brush>
  </inkml:definitions>
  <inkml:trace contextRef="#ctx0" brushRef="#br0">0 0 24575,'0'0'0</inkml:trace>
</inkml:ink>
</file>

<file path=xl/ink/ink8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00"/>
    </inkml:context>
    <inkml:brush xml:id="br0">
      <inkml:brushProperty name="width" value="0.05" units="cm"/>
      <inkml:brushProperty name="height" value="0.05" units="cm"/>
    </inkml:brush>
  </inkml:definitions>
  <inkml:trace contextRef="#ctx0" brushRef="#br0">1 0 24575,'0'0'0</inkml:trace>
</inkml:ink>
</file>

<file path=xl/ink/ink8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01"/>
    </inkml:context>
    <inkml:brush xml:id="br0">
      <inkml:brushProperty name="width" value="0.05" units="cm"/>
      <inkml:brushProperty name="height" value="0.05" units="cm"/>
    </inkml:brush>
  </inkml:definitions>
  <inkml:trace contextRef="#ctx0" brushRef="#br0">1 0 24575,'0'0'0</inkml:trace>
</inkml:ink>
</file>

<file path=xl/ink/ink8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05"/>
    </inkml:context>
    <inkml:brush xml:id="br0">
      <inkml:brushProperty name="width" value="0.05" units="cm"/>
      <inkml:brushProperty name="height" value="0.05" units="cm"/>
    </inkml:brush>
  </inkml:definitions>
  <inkml:trace contextRef="#ctx0" brushRef="#br0">0 0 24575,'0'0'0</inkml:trace>
</inkml:ink>
</file>

<file path=xl/ink/ink8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06"/>
    </inkml:context>
    <inkml:brush xml:id="br0">
      <inkml:brushProperty name="width" value="0.05" units="cm"/>
      <inkml:brushProperty name="height" value="0.05" units="cm"/>
    </inkml:brush>
  </inkml:definitions>
  <inkml:trace contextRef="#ctx0" brushRef="#br0">1 0 24575,'0'0'0</inkml:trace>
</inkml:ink>
</file>

<file path=xl/ink/ink8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07"/>
    </inkml:context>
    <inkml:brush xml:id="br0">
      <inkml:brushProperty name="width" value="0.05" units="cm"/>
      <inkml:brushProperty name="height" value="0.05" units="cm"/>
    </inkml:brush>
  </inkml:definitions>
  <inkml:trace contextRef="#ctx0" brushRef="#br0">1 0 24575,'0'0'0</inkml:trace>
</inkml:ink>
</file>

<file path=xl/ink/ink8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12"/>
    </inkml:context>
    <inkml:brush xml:id="br0">
      <inkml:brushProperty name="width" value="0.05" units="cm"/>
      <inkml:brushProperty name="height" value="0.05" units="cm"/>
    </inkml:brush>
  </inkml:definitions>
  <inkml:trace contextRef="#ctx0" brushRef="#br0">0 0 24575,'0'0'0</inkml:trace>
</inkml:ink>
</file>

<file path=xl/ink/ink8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13"/>
    </inkml:context>
    <inkml:brush xml:id="br0">
      <inkml:brushProperty name="width" value="0.05" units="cm"/>
      <inkml:brushProperty name="height" value="0.05" units="cm"/>
    </inkml:brush>
  </inkml:definitions>
  <inkml:trace contextRef="#ctx0" brushRef="#br0">1 0 24575,'0'0'0</inkml:trace>
</inkml:ink>
</file>

<file path=xl/ink/ink8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14"/>
    </inkml:context>
    <inkml:brush xml:id="br0">
      <inkml:brushProperty name="width" value="0.05" units="cm"/>
      <inkml:brushProperty name="height" value="0.05" units="cm"/>
    </inkml:brush>
  </inkml:definitions>
  <inkml:trace contextRef="#ctx0" brushRef="#br0">1 0 24575,'0'0'0</inkml:trace>
</inkml:ink>
</file>

<file path=xl/ink/ink8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19"/>
    </inkml:context>
    <inkml:brush xml:id="br0">
      <inkml:brushProperty name="width" value="0.05" units="cm"/>
      <inkml:brushProperty name="height" value="0.05" units="cm"/>
    </inkml:brush>
  </inkml:definitions>
  <inkml:trace contextRef="#ctx0" brushRef="#br0">0 0 24575,'0'0'0</inkml:trace>
</inkml:ink>
</file>

<file path=xl/ink/ink8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20"/>
    </inkml:context>
    <inkml:brush xml:id="br0">
      <inkml:brushProperty name="width" value="0.05" units="cm"/>
      <inkml:brushProperty name="height" value="0.05" units="cm"/>
    </inkml:brush>
  </inkml:definitions>
  <inkml:trace contextRef="#ctx0" brushRef="#br0">1 0 24575,'0'0'0</inkml:trace>
</inkml:ink>
</file>

<file path=xl/ink/ink8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21"/>
    </inkml:context>
    <inkml:brush xml:id="br0">
      <inkml:brushProperty name="width" value="0.05" units="cm"/>
      <inkml:brushProperty name="height" value="0.05" units="cm"/>
    </inkml:brush>
  </inkml:definitions>
  <inkml:trace contextRef="#ctx0" brushRef="#br0">1 0 24575,'0'0'0</inkml:trace>
</inkml:ink>
</file>

<file path=xl/ink/ink8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26"/>
    </inkml:context>
    <inkml:brush xml:id="br0">
      <inkml:brushProperty name="width" value="0.05" units="cm"/>
      <inkml:brushProperty name="height" value="0.05" units="cm"/>
    </inkml:brush>
  </inkml:definitions>
  <inkml:trace contextRef="#ctx0" brushRef="#br0">0 0 24575,'0'0'0</inkml:trace>
</inkml:ink>
</file>

<file path=xl/ink/ink8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27"/>
    </inkml:context>
    <inkml:brush xml:id="br0">
      <inkml:brushProperty name="width" value="0.05" units="cm"/>
      <inkml:brushProperty name="height" value="0.05" units="cm"/>
    </inkml:brush>
  </inkml:definitions>
  <inkml:trace contextRef="#ctx0" brushRef="#br0">1 0 24575,'0'0'0</inkml:trace>
</inkml:ink>
</file>

<file path=xl/ink/ink8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28"/>
    </inkml:context>
    <inkml:brush xml:id="br0">
      <inkml:brushProperty name="width" value="0.05" units="cm"/>
      <inkml:brushProperty name="height" value="0.05" units="cm"/>
    </inkml:brush>
  </inkml:definitions>
  <inkml:trace contextRef="#ctx0" brushRef="#br0">1 0 24575,'0'0'0</inkml:trace>
</inkml:ink>
</file>

<file path=xl/ink/ink8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32"/>
    </inkml:context>
    <inkml:brush xml:id="br0">
      <inkml:brushProperty name="width" value="0.05" units="cm"/>
      <inkml:brushProperty name="height" value="0.05" units="cm"/>
    </inkml:brush>
  </inkml:definitions>
  <inkml:trace contextRef="#ctx0" brushRef="#br0">0 0 24575,'0'0'0</inkml:trace>
</inkml:ink>
</file>

<file path=xl/ink/ink8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33"/>
    </inkml:context>
    <inkml:brush xml:id="br0">
      <inkml:brushProperty name="width" value="0.05" units="cm"/>
      <inkml:brushProperty name="height" value="0.05" units="cm"/>
    </inkml:brush>
  </inkml:definitions>
  <inkml:trace contextRef="#ctx0" brushRef="#br0">1 0 24575,'0'0'0</inkml:trace>
</inkml:ink>
</file>

<file path=xl/ink/ink8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34"/>
    </inkml:context>
    <inkml:brush xml:id="br0">
      <inkml:brushProperty name="width" value="0.05" units="cm"/>
      <inkml:brushProperty name="height" value="0.05" units="cm"/>
    </inkml:brush>
  </inkml:definitions>
  <inkml:trace contextRef="#ctx0" brushRef="#br0">1 0 24575,'0'0'0</inkml:trace>
</inkml:ink>
</file>

<file path=xl/ink/ink8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39"/>
    </inkml:context>
    <inkml:brush xml:id="br0">
      <inkml:brushProperty name="width" value="0.05" units="cm"/>
      <inkml:brushProperty name="height" value="0.05" units="cm"/>
    </inkml:brush>
  </inkml:definitions>
  <inkml:trace contextRef="#ctx0" brushRef="#br0">0 0 24575,'0'0'0</inkml:trace>
</inkml:ink>
</file>

<file path=xl/ink/ink8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40"/>
    </inkml:context>
    <inkml:brush xml:id="br0">
      <inkml:brushProperty name="width" value="0.05" units="cm"/>
      <inkml:brushProperty name="height" value="0.05" units="cm"/>
    </inkml:brush>
  </inkml:definitions>
  <inkml:trace contextRef="#ctx0" brushRef="#br0">1 0 24575,'0'0'0</inkml:trace>
</inkml:ink>
</file>

<file path=xl/ink/ink8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41"/>
    </inkml:context>
    <inkml:brush xml:id="br0">
      <inkml:brushProperty name="width" value="0.05" units="cm"/>
      <inkml:brushProperty name="height" value="0.05" units="cm"/>
    </inkml:brush>
  </inkml:definitions>
  <inkml:trace contextRef="#ctx0" brushRef="#br0">1 0 24575,'0'0'0</inkml:trace>
</inkml:ink>
</file>

<file path=xl/ink/ink8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47"/>
    </inkml:context>
    <inkml:brush xml:id="br0">
      <inkml:brushProperty name="width" value="0.05" units="cm"/>
      <inkml:brushProperty name="height" value="0.05" units="cm"/>
    </inkml:brush>
  </inkml:definitions>
  <inkml:trace contextRef="#ctx0" brushRef="#br0">0 0 24575,'0'0'0</inkml:trace>
</inkml:ink>
</file>

<file path=xl/ink/ink8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48"/>
    </inkml:context>
    <inkml:brush xml:id="br0">
      <inkml:brushProperty name="width" value="0.05" units="cm"/>
      <inkml:brushProperty name="height" value="0.05" units="cm"/>
    </inkml:brush>
  </inkml:definitions>
  <inkml:trace contextRef="#ctx0" brushRef="#br0">1 0 24575,'0'0'0</inkml:trace>
</inkml:ink>
</file>

<file path=xl/ink/ink8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49"/>
    </inkml:context>
    <inkml:brush xml:id="br0">
      <inkml:brushProperty name="width" value="0.05" units="cm"/>
      <inkml:brushProperty name="height" value="0.05" units="cm"/>
    </inkml:brush>
  </inkml:definitions>
  <inkml:trace contextRef="#ctx0" brushRef="#br0">1 0 24575,'0'0'0</inkml:trace>
</inkml:ink>
</file>

<file path=xl/ink/ink8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56"/>
    </inkml:context>
    <inkml:brush xml:id="br0">
      <inkml:brushProperty name="width" value="0.05" units="cm"/>
      <inkml:brushProperty name="height" value="0.05" units="cm"/>
    </inkml:brush>
  </inkml:definitions>
  <inkml:trace contextRef="#ctx0" brushRef="#br0">0 0 24575,'0'0'0</inkml:trace>
</inkml:ink>
</file>

<file path=xl/ink/ink8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57"/>
    </inkml:context>
    <inkml:brush xml:id="br0">
      <inkml:brushProperty name="width" value="0.05" units="cm"/>
      <inkml:brushProperty name="height" value="0.05" units="cm"/>
    </inkml:brush>
  </inkml:definitions>
  <inkml:trace contextRef="#ctx0" brushRef="#br0">1 0 24575,'0'0'0</inkml:trace>
</inkml:ink>
</file>

<file path=xl/ink/ink8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58"/>
    </inkml:context>
    <inkml:brush xml:id="br0">
      <inkml:brushProperty name="width" value="0.05" units="cm"/>
      <inkml:brushProperty name="height" value="0.05" units="cm"/>
    </inkml:brush>
  </inkml:definitions>
  <inkml:trace contextRef="#ctx0" brushRef="#br0">1 0 24575,'0'0'0</inkml:trace>
</inkml:ink>
</file>

<file path=xl/ink/ink8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64"/>
    </inkml:context>
    <inkml:brush xml:id="br0">
      <inkml:brushProperty name="width" value="0.05" units="cm"/>
      <inkml:brushProperty name="height" value="0.05" units="cm"/>
    </inkml:brush>
  </inkml:definitions>
  <inkml:trace contextRef="#ctx0" brushRef="#br0">0 0 24575,'0'0'0</inkml:trace>
</inkml:ink>
</file>

<file path=xl/ink/ink8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65"/>
    </inkml:context>
    <inkml:brush xml:id="br0">
      <inkml:brushProperty name="width" value="0.05" units="cm"/>
      <inkml:brushProperty name="height" value="0.05" units="cm"/>
    </inkml:brush>
  </inkml:definitions>
  <inkml:trace contextRef="#ctx0" brushRef="#br0">1 0 24575,'0'0'0</inkml:trace>
</inkml:ink>
</file>

<file path=xl/ink/ink8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66"/>
    </inkml:context>
    <inkml:brush xml:id="br0">
      <inkml:brushProperty name="width" value="0.05" units="cm"/>
      <inkml:brushProperty name="height" value="0.05" units="cm"/>
    </inkml:brush>
  </inkml:definitions>
  <inkml:trace contextRef="#ctx0" brushRef="#br0">1 0 24575,'0'0'0</inkml:trace>
</inkml:ink>
</file>

<file path=xl/ink/ink8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71"/>
    </inkml:context>
    <inkml:brush xml:id="br0">
      <inkml:brushProperty name="width" value="0.05" units="cm"/>
      <inkml:brushProperty name="height" value="0.05" units="cm"/>
    </inkml:brush>
  </inkml:definitions>
  <inkml:trace contextRef="#ctx0" brushRef="#br0">0 0 24575,'0'0'0</inkml:trace>
</inkml:ink>
</file>

<file path=xl/ink/ink8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72"/>
    </inkml:context>
    <inkml:brush xml:id="br0">
      <inkml:brushProperty name="width" value="0.05" units="cm"/>
      <inkml:brushProperty name="height" value="0.05" units="cm"/>
    </inkml:brush>
  </inkml:definitions>
  <inkml:trace contextRef="#ctx0" brushRef="#br0">1 0 24575,'0'0'0</inkml:trace>
</inkml:ink>
</file>

<file path=xl/ink/ink8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73"/>
    </inkml:context>
    <inkml:brush xml:id="br0">
      <inkml:brushProperty name="width" value="0.05" units="cm"/>
      <inkml:brushProperty name="height" value="0.05" units="cm"/>
    </inkml:brush>
  </inkml:definitions>
  <inkml:trace contextRef="#ctx0" brushRef="#br0">1 0 24575,'0'0'0</inkml:trace>
</inkml:ink>
</file>

<file path=xl/ink/ink8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79"/>
    </inkml:context>
    <inkml:brush xml:id="br0">
      <inkml:brushProperty name="width" value="0.05" units="cm"/>
      <inkml:brushProperty name="height" value="0.05" units="cm"/>
    </inkml:brush>
  </inkml:definitions>
  <inkml:trace contextRef="#ctx0" brushRef="#br0">0 0 24575,'0'0'0</inkml:trace>
</inkml:ink>
</file>

<file path=xl/ink/ink8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80"/>
    </inkml:context>
    <inkml:brush xml:id="br0">
      <inkml:brushProperty name="width" value="0.05" units="cm"/>
      <inkml:brushProperty name="height" value="0.05" units="cm"/>
    </inkml:brush>
  </inkml:definitions>
  <inkml:trace contextRef="#ctx0" brushRef="#br0">1 0 24575,'0'0'0</inkml:trace>
</inkml:ink>
</file>

<file path=xl/ink/ink8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81"/>
    </inkml:context>
    <inkml:brush xml:id="br0">
      <inkml:brushProperty name="width" value="0.05" units="cm"/>
      <inkml:brushProperty name="height" value="0.05" units="cm"/>
    </inkml:brush>
  </inkml:definitions>
  <inkml:trace contextRef="#ctx0" brushRef="#br0">1 0 24575,'0'0'0</inkml:trace>
</inkml:ink>
</file>

<file path=xl/ink/ink8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85"/>
    </inkml:context>
    <inkml:brush xml:id="br0">
      <inkml:brushProperty name="width" value="0.05" units="cm"/>
      <inkml:brushProperty name="height" value="0.05" units="cm"/>
    </inkml:brush>
  </inkml:definitions>
  <inkml:trace contextRef="#ctx0" brushRef="#br0">0 0 24575,'0'0'0</inkml:trace>
</inkml:ink>
</file>

<file path=xl/ink/ink8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86"/>
    </inkml:context>
    <inkml:brush xml:id="br0">
      <inkml:brushProperty name="width" value="0.05" units="cm"/>
      <inkml:brushProperty name="height" value="0.05" units="cm"/>
    </inkml:brush>
  </inkml:definitions>
  <inkml:trace contextRef="#ctx0" brushRef="#br0">1 0 24575,'0'0'0</inkml:trace>
</inkml:ink>
</file>

<file path=xl/ink/ink8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87"/>
    </inkml:context>
    <inkml:brush xml:id="br0">
      <inkml:brushProperty name="width" value="0.05" units="cm"/>
      <inkml:brushProperty name="height" value="0.05" units="cm"/>
    </inkml:brush>
  </inkml:definitions>
  <inkml:trace contextRef="#ctx0" brushRef="#br0">1 0 24575,'0'0'0</inkml:trace>
</inkml:ink>
</file>

<file path=xl/ink/ink8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92"/>
    </inkml:context>
    <inkml:brush xml:id="br0">
      <inkml:brushProperty name="width" value="0.05" units="cm"/>
      <inkml:brushProperty name="height" value="0.05" units="cm"/>
    </inkml:brush>
  </inkml:definitions>
  <inkml:trace contextRef="#ctx0" brushRef="#br0">0 0 24575,'0'0'0</inkml:trace>
</inkml:ink>
</file>

<file path=xl/ink/ink8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93"/>
    </inkml:context>
    <inkml:brush xml:id="br0">
      <inkml:brushProperty name="width" value="0.05" units="cm"/>
      <inkml:brushProperty name="height" value="0.05" units="cm"/>
    </inkml:brush>
  </inkml:definitions>
  <inkml:trace contextRef="#ctx0" brushRef="#br0">1 0 24575,'0'0'0</inkml:trace>
</inkml:ink>
</file>

<file path=xl/ink/ink9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94"/>
    </inkml:context>
    <inkml:brush xml:id="br0">
      <inkml:brushProperty name="width" value="0.05" units="cm"/>
      <inkml:brushProperty name="height" value="0.05" units="cm"/>
    </inkml:brush>
  </inkml:definitions>
  <inkml:trace contextRef="#ctx0" brushRef="#br0">1 0 24575,'0'0'0</inkml:trace>
</inkml:ink>
</file>

<file path=xl/ink/ink9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299"/>
    </inkml:context>
    <inkml:brush xml:id="br0">
      <inkml:brushProperty name="width" value="0.05" units="cm"/>
      <inkml:brushProperty name="height" value="0.05" units="cm"/>
    </inkml:brush>
  </inkml:definitions>
  <inkml:trace contextRef="#ctx0" brushRef="#br0">0 0 24575,'0'0'0</inkml:trace>
</inkml:ink>
</file>

<file path=xl/ink/ink9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00"/>
    </inkml:context>
    <inkml:brush xml:id="br0">
      <inkml:brushProperty name="width" value="0.05" units="cm"/>
      <inkml:brushProperty name="height" value="0.05" units="cm"/>
    </inkml:brush>
  </inkml:definitions>
  <inkml:trace contextRef="#ctx0" brushRef="#br0">1 0 24575,'0'0'0</inkml:trace>
</inkml:ink>
</file>

<file path=xl/ink/ink9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01"/>
    </inkml:context>
    <inkml:brush xml:id="br0">
      <inkml:brushProperty name="width" value="0.05" units="cm"/>
      <inkml:brushProperty name="height" value="0.05" units="cm"/>
    </inkml:brush>
  </inkml:definitions>
  <inkml:trace contextRef="#ctx0" brushRef="#br0">1 0 24575,'0'0'0</inkml:trace>
</inkml:ink>
</file>

<file path=xl/ink/ink9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06"/>
    </inkml:context>
    <inkml:brush xml:id="br0">
      <inkml:brushProperty name="width" value="0.05" units="cm"/>
      <inkml:brushProperty name="height" value="0.05" units="cm"/>
    </inkml:brush>
  </inkml:definitions>
  <inkml:trace contextRef="#ctx0" brushRef="#br0">0 0 24575,'0'0'0</inkml:trace>
</inkml:ink>
</file>

<file path=xl/ink/ink9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07"/>
    </inkml:context>
    <inkml:brush xml:id="br0">
      <inkml:brushProperty name="width" value="0.05" units="cm"/>
      <inkml:brushProperty name="height" value="0.05" units="cm"/>
    </inkml:brush>
  </inkml:definitions>
  <inkml:trace contextRef="#ctx0" brushRef="#br0">1 0 24575,'0'0'0</inkml:trace>
</inkml:ink>
</file>

<file path=xl/ink/ink9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08"/>
    </inkml:context>
    <inkml:brush xml:id="br0">
      <inkml:brushProperty name="width" value="0.05" units="cm"/>
      <inkml:brushProperty name="height" value="0.05" units="cm"/>
    </inkml:brush>
  </inkml:definitions>
  <inkml:trace contextRef="#ctx0" brushRef="#br0">1 0 24575,'0'0'0</inkml:trace>
</inkml:ink>
</file>

<file path=xl/ink/ink9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13"/>
    </inkml:context>
    <inkml:brush xml:id="br0">
      <inkml:brushProperty name="width" value="0.05" units="cm"/>
      <inkml:brushProperty name="height" value="0.05" units="cm"/>
    </inkml:brush>
  </inkml:definitions>
  <inkml:trace contextRef="#ctx0" brushRef="#br0">0 0 24575,'0'0'0</inkml:trace>
</inkml:ink>
</file>

<file path=xl/ink/ink9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14"/>
    </inkml:context>
    <inkml:brush xml:id="br0">
      <inkml:brushProperty name="width" value="0.05" units="cm"/>
      <inkml:brushProperty name="height" value="0.05" units="cm"/>
    </inkml:brush>
  </inkml:definitions>
  <inkml:trace contextRef="#ctx0" brushRef="#br0">1 0 24575,'0'0'0</inkml:trace>
</inkml:ink>
</file>

<file path=xl/ink/ink9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15"/>
    </inkml:context>
    <inkml:brush xml:id="br0">
      <inkml:brushProperty name="width" value="0.05" units="cm"/>
      <inkml:brushProperty name="height" value="0.05" units="cm"/>
    </inkml:brush>
  </inkml:definitions>
  <inkml:trace contextRef="#ctx0" brushRef="#br0">1 0 24575,'0'0'0</inkml:trace>
</inkml:ink>
</file>

<file path=xl/ink/ink9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20"/>
    </inkml:context>
    <inkml:brush xml:id="br0">
      <inkml:brushProperty name="width" value="0.05" units="cm"/>
      <inkml:brushProperty name="height" value="0.05" units="cm"/>
    </inkml:brush>
  </inkml:definitions>
  <inkml:trace contextRef="#ctx0" brushRef="#br0">0 0 24575,'0'0'0</inkml:trace>
</inkml:ink>
</file>

<file path=xl/ink/ink9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21"/>
    </inkml:context>
    <inkml:brush xml:id="br0">
      <inkml:brushProperty name="width" value="0.05" units="cm"/>
      <inkml:brushProperty name="height" value="0.05" units="cm"/>
    </inkml:brush>
  </inkml:definitions>
  <inkml:trace contextRef="#ctx0" brushRef="#br0">1 0 24575,'0'0'0</inkml:trace>
</inkml:ink>
</file>

<file path=xl/ink/ink9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22"/>
    </inkml:context>
    <inkml:brush xml:id="br0">
      <inkml:brushProperty name="width" value="0.05" units="cm"/>
      <inkml:brushProperty name="height" value="0.05" units="cm"/>
    </inkml:brush>
  </inkml:definitions>
  <inkml:trace contextRef="#ctx0" brushRef="#br0">1 0 24575,'0'0'0</inkml:trace>
</inkml:ink>
</file>

<file path=xl/ink/ink9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27"/>
    </inkml:context>
    <inkml:brush xml:id="br0">
      <inkml:brushProperty name="width" value="0.05" units="cm"/>
      <inkml:brushProperty name="height" value="0.05" units="cm"/>
    </inkml:brush>
  </inkml:definitions>
  <inkml:trace contextRef="#ctx0" brushRef="#br0">0 0 24575,'0'0'0</inkml:trace>
</inkml:ink>
</file>

<file path=xl/ink/ink9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28"/>
    </inkml:context>
    <inkml:brush xml:id="br0">
      <inkml:brushProperty name="width" value="0.05" units="cm"/>
      <inkml:brushProperty name="height" value="0.05" units="cm"/>
    </inkml:brush>
  </inkml:definitions>
  <inkml:trace contextRef="#ctx0" brushRef="#br0">1 0 24575,'0'0'0</inkml:trace>
</inkml:ink>
</file>

<file path=xl/ink/ink9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29"/>
    </inkml:context>
    <inkml:brush xml:id="br0">
      <inkml:brushProperty name="width" value="0.05" units="cm"/>
      <inkml:brushProperty name="height" value="0.05" units="cm"/>
    </inkml:brush>
  </inkml:definitions>
  <inkml:trace contextRef="#ctx0" brushRef="#br0">1 0 24575,'0'0'0</inkml:trace>
</inkml:ink>
</file>

<file path=xl/ink/ink9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35"/>
    </inkml:context>
    <inkml:brush xml:id="br0">
      <inkml:brushProperty name="width" value="0.05" units="cm"/>
      <inkml:brushProperty name="height" value="0.05" units="cm"/>
    </inkml:brush>
  </inkml:definitions>
  <inkml:trace contextRef="#ctx0" brushRef="#br0">0 0 24575,'0'0'0</inkml:trace>
</inkml:ink>
</file>

<file path=xl/ink/ink9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36"/>
    </inkml:context>
    <inkml:brush xml:id="br0">
      <inkml:brushProperty name="width" value="0.05" units="cm"/>
      <inkml:brushProperty name="height" value="0.05" units="cm"/>
    </inkml:brush>
  </inkml:definitions>
  <inkml:trace contextRef="#ctx0" brushRef="#br0">1 0 24575,'0'0'0</inkml:trace>
</inkml:ink>
</file>

<file path=xl/ink/ink9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37"/>
    </inkml:context>
    <inkml:brush xml:id="br0">
      <inkml:brushProperty name="width" value="0.05" units="cm"/>
      <inkml:brushProperty name="height" value="0.05" units="cm"/>
    </inkml:brush>
  </inkml:definitions>
  <inkml:trace contextRef="#ctx0" brushRef="#br0">1 0 24575,'0'0'0</inkml:trace>
</inkml:ink>
</file>

<file path=xl/ink/ink9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43"/>
    </inkml:context>
    <inkml:brush xml:id="br0">
      <inkml:brushProperty name="width" value="0.05" units="cm"/>
      <inkml:brushProperty name="height" value="0.05" units="cm"/>
    </inkml:brush>
  </inkml:definitions>
  <inkml:trace contextRef="#ctx0" brushRef="#br0">0 0 24575,'0'0'0</inkml:trace>
</inkml:ink>
</file>

<file path=xl/ink/ink9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44"/>
    </inkml:context>
    <inkml:brush xml:id="br0">
      <inkml:brushProperty name="width" value="0.05" units="cm"/>
      <inkml:brushProperty name="height" value="0.05" units="cm"/>
    </inkml:brush>
  </inkml:definitions>
  <inkml:trace contextRef="#ctx0" brushRef="#br0">1 0 24575,'0'0'0</inkml:trace>
</inkml:ink>
</file>

<file path=xl/ink/ink9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45"/>
    </inkml:context>
    <inkml:brush xml:id="br0">
      <inkml:brushProperty name="width" value="0.05" units="cm"/>
      <inkml:brushProperty name="height" value="0.05" units="cm"/>
    </inkml:brush>
  </inkml:definitions>
  <inkml:trace contextRef="#ctx0" brushRef="#br0">1 0 24575,'0'0'0</inkml:trace>
</inkml:ink>
</file>

<file path=xl/ink/ink9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53"/>
    </inkml:context>
    <inkml:brush xml:id="br0">
      <inkml:brushProperty name="width" value="0.05" units="cm"/>
      <inkml:brushProperty name="height" value="0.05" units="cm"/>
    </inkml:brush>
  </inkml:definitions>
  <inkml:trace contextRef="#ctx0" brushRef="#br0">0 0 24575,'0'0'0</inkml:trace>
</inkml:ink>
</file>

<file path=xl/ink/ink9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54"/>
    </inkml:context>
    <inkml:brush xml:id="br0">
      <inkml:brushProperty name="width" value="0.05" units="cm"/>
      <inkml:brushProperty name="height" value="0.05" units="cm"/>
    </inkml:brush>
  </inkml:definitions>
  <inkml:trace contextRef="#ctx0" brushRef="#br0">1 0 24575,'0'0'0</inkml:trace>
</inkml:ink>
</file>

<file path=xl/ink/ink9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55"/>
    </inkml:context>
    <inkml:brush xml:id="br0">
      <inkml:brushProperty name="width" value="0.05" units="cm"/>
      <inkml:brushProperty name="height" value="0.05" units="cm"/>
    </inkml:brush>
  </inkml:definitions>
  <inkml:trace contextRef="#ctx0" brushRef="#br0">1 0 24575,'0'0'0</inkml:trace>
</inkml:ink>
</file>

<file path=xl/ink/ink9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60"/>
    </inkml:context>
    <inkml:brush xml:id="br0">
      <inkml:brushProperty name="width" value="0.05" units="cm"/>
      <inkml:brushProperty name="height" value="0.05" units="cm"/>
    </inkml:brush>
  </inkml:definitions>
  <inkml:trace contextRef="#ctx0" brushRef="#br0">0 0 24575,'0'0'0</inkml:trace>
</inkml:ink>
</file>

<file path=xl/ink/ink9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61"/>
    </inkml:context>
    <inkml:brush xml:id="br0">
      <inkml:brushProperty name="width" value="0.05" units="cm"/>
      <inkml:brushProperty name="height" value="0.05" units="cm"/>
    </inkml:brush>
  </inkml:definitions>
  <inkml:trace contextRef="#ctx0" brushRef="#br0">1 0 24575,'0'0'0</inkml:trace>
</inkml:ink>
</file>

<file path=xl/ink/ink9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62"/>
    </inkml:context>
    <inkml:brush xml:id="br0">
      <inkml:brushProperty name="width" value="0.05" units="cm"/>
      <inkml:brushProperty name="height" value="0.05" units="cm"/>
    </inkml:brush>
  </inkml:definitions>
  <inkml:trace contextRef="#ctx0" brushRef="#br0">1 0 24575,'0'0'0</inkml:trace>
</inkml:ink>
</file>

<file path=xl/ink/ink9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69"/>
    </inkml:context>
    <inkml:brush xml:id="br0">
      <inkml:brushProperty name="width" value="0.05" units="cm"/>
      <inkml:brushProperty name="height" value="0.05" units="cm"/>
    </inkml:brush>
  </inkml:definitions>
  <inkml:trace contextRef="#ctx0" brushRef="#br0">0 0 24575,'0'0'0</inkml:trace>
</inkml:ink>
</file>

<file path=xl/ink/ink9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70"/>
    </inkml:context>
    <inkml:brush xml:id="br0">
      <inkml:brushProperty name="width" value="0.05" units="cm"/>
      <inkml:brushProperty name="height" value="0.05" units="cm"/>
    </inkml:brush>
  </inkml:definitions>
  <inkml:trace contextRef="#ctx0" brushRef="#br0">1 0 24575,'0'0'0</inkml:trace>
</inkml:ink>
</file>

<file path=xl/ink/ink9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71"/>
    </inkml:context>
    <inkml:brush xml:id="br0">
      <inkml:brushProperty name="width" value="0.05" units="cm"/>
      <inkml:brushProperty name="height" value="0.05" units="cm"/>
    </inkml:brush>
  </inkml:definitions>
  <inkml:trace contextRef="#ctx0" brushRef="#br0">1 0 24575,'0'0'0</inkml:trace>
</inkml:ink>
</file>

<file path=xl/ink/ink9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81"/>
    </inkml:context>
    <inkml:brush xml:id="br0">
      <inkml:brushProperty name="width" value="0.05" units="cm"/>
      <inkml:brushProperty name="height" value="0.05" units="cm"/>
    </inkml:brush>
  </inkml:definitions>
  <inkml:trace contextRef="#ctx0" brushRef="#br0">0 0 24575,'0'0'0</inkml:trace>
</inkml:ink>
</file>

<file path=xl/ink/ink9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82"/>
    </inkml:context>
    <inkml:brush xml:id="br0">
      <inkml:brushProperty name="width" value="0.05" units="cm"/>
      <inkml:brushProperty name="height" value="0.05" units="cm"/>
    </inkml:brush>
  </inkml:definitions>
  <inkml:trace contextRef="#ctx0" brushRef="#br0">1 0 24575,'0'0'0</inkml:trace>
</inkml:ink>
</file>

<file path=xl/ink/ink9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83"/>
    </inkml:context>
    <inkml:brush xml:id="br0">
      <inkml:brushProperty name="width" value="0.05" units="cm"/>
      <inkml:brushProperty name="height" value="0.05" units="cm"/>
    </inkml:brush>
  </inkml:definitions>
  <inkml:trace contextRef="#ctx0" brushRef="#br0">1 0 24575,'0'0'0</inkml:trace>
</inkml:ink>
</file>

<file path=xl/ink/ink9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93"/>
    </inkml:context>
    <inkml:brush xml:id="br0">
      <inkml:brushProperty name="width" value="0.05" units="cm"/>
      <inkml:brushProperty name="height" value="0.05" units="cm"/>
    </inkml:brush>
  </inkml:definitions>
  <inkml:trace contextRef="#ctx0" brushRef="#br0">0 0 24575,'0'0'0</inkml:trace>
</inkml:ink>
</file>

<file path=xl/ink/ink9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94"/>
    </inkml:context>
    <inkml:brush xml:id="br0">
      <inkml:brushProperty name="width" value="0.05" units="cm"/>
      <inkml:brushProperty name="height" value="0.05" units="cm"/>
    </inkml:brush>
  </inkml:definitions>
  <inkml:trace contextRef="#ctx0" brushRef="#br0">1 0 24575,'0'0'0</inkml:trace>
</inkml:ink>
</file>

<file path=xl/ink/ink9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395"/>
    </inkml:context>
    <inkml:brush xml:id="br0">
      <inkml:brushProperty name="width" value="0.05" units="cm"/>
      <inkml:brushProperty name="height" value="0.05" units="cm"/>
    </inkml:brush>
  </inkml:definitions>
  <inkml:trace contextRef="#ctx0" brushRef="#br0">1 0 24575,'0'0'0</inkml:trace>
</inkml:ink>
</file>

<file path=xl/ink/ink9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04"/>
    </inkml:context>
    <inkml:brush xml:id="br0">
      <inkml:brushProperty name="width" value="0.05" units="cm"/>
      <inkml:brushProperty name="height" value="0.05" units="cm"/>
    </inkml:brush>
  </inkml:definitions>
  <inkml:trace contextRef="#ctx0" brushRef="#br0">0 0 24575,'0'0'0</inkml:trace>
</inkml:ink>
</file>

<file path=xl/ink/ink9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05"/>
    </inkml:context>
    <inkml:brush xml:id="br0">
      <inkml:brushProperty name="width" value="0.05" units="cm"/>
      <inkml:brushProperty name="height" value="0.05" units="cm"/>
    </inkml:brush>
  </inkml:definitions>
  <inkml:trace contextRef="#ctx0" brushRef="#br0">1 0 24575,'0'0'0</inkml:trace>
</inkml:ink>
</file>

<file path=xl/ink/ink9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06"/>
    </inkml:context>
    <inkml:brush xml:id="br0">
      <inkml:brushProperty name="width" value="0.05" units="cm"/>
      <inkml:brushProperty name="height" value="0.05" units="cm"/>
    </inkml:brush>
  </inkml:definitions>
  <inkml:trace contextRef="#ctx0" brushRef="#br0">1 0 24575,'0'0'0</inkml:trace>
</inkml:ink>
</file>

<file path=xl/ink/ink9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13"/>
    </inkml:context>
    <inkml:brush xml:id="br0">
      <inkml:brushProperty name="width" value="0.05" units="cm"/>
      <inkml:brushProperty name="height" value="0.05" units="cm"/>
    </inkml:brush>
  </inkml:definitions>
  <inkml:trace contextRef="#ctx0" brushRef="#br0">0 0 24575,'0'0'0</inkml:trace>
</inkml:ink>
</file>

<file path=xl/ink/ink9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14"/>
    </inkml:context>
    <inkml:brush xml:id="br0">
      <inkml:brushProperty name="width" value="0.05" units="cm"/>
      <inkml:brushProperty name="height" value="0.05" units="cm"/>
    </inkml:brush>
  </inkml:definitions>
  <inkml:trace contextRef="#ctx0" brushRef="#br0">1 0 24575,'0'0'0</inkml:trace>
</inkml:ink>
</file>

<file path=xl/ink/ink9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15"/>
    </inkml:context>
    <inkml:brush xml:id="br0">
      <inkml:brushProperty name="width" value="0.05" units="cm"/>
      <inkml:brushProperty name="height" value="0.05" units="cm"/>
    </inkml:brush>
  </inkml:definitions>
  <inkml:trace contextRef="#ctx0" brushRef="#br0">1 0 24575,'0'0'0</inkml:trace>
</inkml:ink>
</file>

<file path=xl/ink/ink9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24"/>
    </inkml:context>
    <inkml:brush xml:id="br0">
      <inkml:brushProperty name="width" value="0.05" units="cm"/>
      <inkml:brushProperty name="height" value="0.05" units="cm"/>
    </inkml:brush>
  </inkml:definitions>
  <inkml:trace contextRef="#ctx0" brushRef="#br0">0 0 24575,'0'0'0</inkml:trace>
</inkml:ink>
</file>

<file path=xl/ink/ink9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25"/>
    </inkml:context>
    <inkml:brush xml:id="br0">
      <inkml:brushProperty name="width" value="0.05" units="cm"/>
      <inkml:brushProperty name="height" value="0.05" units="cm"/>
    </inkml:brush>
  </inkml:definitions>
  <inkml:trace contextRef="#ctx0" brushRef="#br0">1 0 24575,'0'0'0</inkml:trace>
</inkml:ink>
</file>

<file path=xl/ink/ink9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26"/>
    </inkml:context>
    <inkml:brush xml:id="br0">
      <inkml:brushProperty name="width" value="0.05" units="cm"/>
      <inkml:brushProperty name="height" value="0.05" units="cm"/>
    </inkml:brush>
  </inkml:definitions>
  <inkml:trace contextRef="#ctx0" brushRef="#br0">1 0 24575,'0'0'0</inkml:trace>
</inkml:ink>
</file>

<file path=xl/ink/ink9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32"/>
    </inkml:context>
    <inkml:brush xml:id="br0">
      <inkml:brushProperty name="width" value="0.05" units="cm"/>
      <inkml:brushProperty name="height" value="0.05" units="cm"/>
    </inkml:brush>
  </inkml:definitions>
  <inkml:trace contextRef="#ctx0" brushRef="#br0">0 0 24575,'0'0'0</inkml:trace>
</inkml:ink>
</file>

<file path=xl/ink/ink9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33"/>
    </inkml:context>
    <inkml:brush xml:id="br0">
      <inkml:brushProperty name="width" value="0.05" units="cm"/>
      <inkml:brushProperty name="height" value="0.05" units="cm"/>
    </inkml:brush>
  </inkml:definitions>
  <inkml:trace contextRef="#ctx0" brushRef="#br0">1 0 24575,'0'0'0</inkml:trace>
</inkml:ink>
</file>

<file path=xl/ink/ink9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34"/>
    </inkml:context>
    <inkml:brush xml:id="br0">
      <inkml:brushProperty name="width" value="0.05" units="cm"/>
      <inkml:brushProperty name="height" value="0.05" units="cm"/>
    </inkml:brush>
  </inkml:definitions>
  <inkml:trace contextRef="#ctx0" brushRef="#br0">1 0 24575,'0'0'0</inkml:trace>
</inkml:ink>
</file>

<file path=xl/ink/ink9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41"/>
    </inkml:context>
    <inkml:brush xml:id="br0">
      <inkml:brushProperty name="width" value="0.05" units="cm"/>
      <inkml:brushProperty name="height" value="0.05" units="cm"/>
    </inkml:brush>
  </inkml:definitions>
  <inkml:trace contextRef="#ctx0" brushRef="#br0">0 0 24575,'0'0'0</inkml:trace>
</inkml:ink>
</file>

<file path=xl/ink/ink9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42"/>
    </inkml:context>
    <inkml:brush xml:id="br0">
      <inkml:brushProperty name="width" value="0.05" units="cm"/>
      <inkml:brushProperty name="height" value="0.05" units="cm"/>
    </inkml:brush>
  </inkml:definitions>
  <inkml:trace contextRef="#ctx0" brushRef="#br0">1 0 24575,'0'0'0</inkml:trace>
</inkml:ink>
</file>

<file path=xl/ink/ink9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43"/>
    </inkml:context>
    <inkml:brush xml:id="br0">
      <inkml:brushProperty name="width" value="0.05" units="cm"/>
      <inkml:brushProperty name="height" value="0.05" units="cm"/>
    </inkml:brush>
  </inkml:definitions>
  <inkml:trace contextRef="#ctx0" brushRef="#br0">1 0 24575,'0'0'0</inkml:trace>
</inkml:ink>
</file>

<file path=xl/ink/ink9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49"/>
    </inkml:context>
    <inkml:brush xml:id="br0">
      <inkml:brushProperty name="width" value="0.05" units="cm"/>
      <inkml:brushProperty name="height" value="0.05" units="cm"/>
    </inkml:brush>
  </inkml:definitions>
  <inkml:trace contextRef="#ctx0" brushRef="#br0">0 0 24575,'0'0'0</inkml:trace>
</inkml:ink>
</file>

<file path=xl/ink/ink9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50"/>
    </inkml:context>
    <inkml:brush xml:id="br0">
      <inkml:brushProperty name="width" value="0.05" units="cm"/>
      <inkml:brushProperty name="height" value="0.05" units="cm"/>
    </inkml:brush>
  </inkml:definitions>
  <inkml:trace contextRef="#ctx0" brushRef="#br0">1 0 24575,'0'0'0</inkml:trace>
</inkml:ink>
</file>

<file path=xl/ink/ink9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51"/>
    </inkml:context>
    <inkml:brush xml:id="br0">
      <inkml:brushProperty name="width" value="0.05" units="cm"/>
      <inkml:brushProperty name="height" value="0.05" units="cm"/>
    </inkml:brush>
  </inkml:definitions>
  <inkml:trace contextRef="#ctx0" brushRef="#br0">1 0 24575,'0'0'0</inkml:trace>
</inkml:ink>
</file>

<file path=xl/ink/ink9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57"/>
    </inkml:context>
    <inkml:brush xml:id="br0">
      <inkml:brushProperty name="width" value="0.05" units="cm"/>
      <inkml:brushProperty name="height" value="0.05" units="cm"/>
    </inkml:brush>
  </inkml:definitions>
  <inkml:trace contextRef="#ctx0" brushRef="#br0">0 0 24575,'0'0'0</inkml:trace>
</inkml:ink>
</file>

<file path=xl/ink/ink9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58"/>
    </inkml:context>
    <inkml:brush xml:id="br0">
      <inkml:brushProperty name="width" value="0.05" units="cm"/>
      <inkml:brushProperty name="height" value="0.05" units="cm"/>
    </inkml:brush>
  </inkml:definitions>
  <inkml:trace contextRef="#ctx0" brushRef="#br0">1 0 24575,'0'0'0</inkml:trace>
</inkml:ink>
</file>

<file path=xl/ink/ink9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59"/>
    </inkml:context>
    <inkml:brush xml:id="br0">
      <inkml:brushProperty name="width" value="0.05" units="cm"/>
      <inkml:brushProperty name="height" value="0.05" units="cm"/>
    </inkml:brush>
  </inkml:definitions>
  <inkml:trace contextRef="#ctx0" brushRef="#br0">1 0 24575,'0'0'0</inkml:trace>
</inkml:ink>
</file>

<file path=xl/ink/ink9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64"/>
    </inkml:context>
    <inkml:brush xml:id="br0">
      <inkml:brushProperty name="width" value="0.05" units="cm"/>
      <inkml:brushProperty name="height" value="0.05" units="cm"/>
    </inkml:brush>
  </inkml:definitions>
  <inkml:trace contextRef="#ctx0" brushRef="#br0">0 0 24575,'0'0'0</inkml:trace>
</inkml:ink>
</file>

<file path=xl/ink/ink9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65"/>
    </inkml:context>
    <inkml:brush xml:id="br0">
      <inkml:brushProperty name="width" value="0.05" units="cm"/>
      <inkml:brushProperty name="height" value="0.05" units="cm"/>
    </inkml:brush>
  </inkml:definitions>
  <inkml:trace contextRef="#ctx0" brushRef="#br0">1 0 24575,'0'0'0</inkml:trace>
</inkml:ink>
</file>

<file path=xl/ink/ink9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66"/>
    </inkml:context>
    <inkml:brush xml:id="br0">
      <inkml:brushProperty name="width" value="0.05" units="cm"/>
      <inkml:brushProperty name="height" value="0.05" units="cm"/>
    </inkml:brush>
  </inkml:definitions>
  <inkml:trace contextRef="#ctx0" brushRef="#br0">1 0 24575,'0'0'0</inkml:trace>
</inkml:ink>
</file>

<file path=xl/ink/ink9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72"/>
    </inkml:context>
    <inkml:brush xml:id="br0">
      <inkml:brushProperty name="width" value="0.05" units="cm"/>
      <inkml:brushProperty name="height" value="0.05" units="cm"/>
    </inkml:brush>
  </inkml:definitions>
  <inkml:trace contextRef="#ctx0" brushRef="#br0">0 0 24575,'0'0'0</inkml:trace>
</inkml:ink>
</file>

<file path=xl/ink/ink9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73"/>
    </inkml:context>
    <inkml:brush xml:id="br0">
      <inkml:brushProperty name="width" value="0.05" units="cm"/>
      <inkml:brushProperty name="height" value="0.05" units="cm"/>
    </inkml:brush>
  </inkml:definitions>
  <inkml:trace contextRef="#ctx0" brushRef="#br0">1 0 24575,'0'0'0</inkml:trace>
</inkml:ink>
</file>

<file path=xl/ink/ink9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74"/>
    </inkml:context>
    <inkml:brush xml:id="br0">
      <inkml:brushProperty name="width" value="0.05" units="cm"/>
      <inkml:brushProperty name="height" value="0.05" units="cm"/>
    </inkml:brush>
  </inkml:definitions>
  <inkml:trace contextRef="#ctx0" brushRef="#br0">1 0 24575,'0'0'0</inkml:trace>
</inkml:ink>
</file>

<file path=xl/ink/ink9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79"/>
    </inkml:context>
    <inkml:brush xml:id="br0">
      <inkml:brushProperty name="width" value="0.05" units="cm"/>
      <inkml:brushProperty name="height" value="0.05" units="cm"/>
    </inkml:brush>
  </inkml:definitions>
  <inkml:trace contextRef="#ctx0" brushRef="#br0">0 0 24575,'0'0'0</inkml:trace>
</inkml:ink>
</file>

<file path=xl/ink/ink9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80"/>
    </inkml:context>
    <inkml:brush xml:id="br0">
      <inkml:brushProperty name="width" value="0.05" units="cm"/>
      <inkml:brushProperty name="height" value="0.05" units="cm"/>
    </inkml:brush>
  </inkml:definitions>
  <inkml:trace contextRef="#ctx0" brushRef="#br0">1 0 24575,'0'0'0</inkml:trace>
</inkml:ink>
</file>

<file path=xl/ink/ink9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81"/>
    </inkml:context>
    <inkml:brush xml:id="br0">
      <inkml:brushProperty name="width" value="0.05" units="cm"/>
      <inkml:brushProperty name="height" value="0.05" units="cm"/>
    </inkml:brush>
  </inkml:definitions>
  <inkml:trace contextRef="#ctx0" brushRef="#br0">1 0 24575,'0'0'0</inkml:trace>
</inkml:ink>
</file>

<file path=xl/ink/ink9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86"/>
    </inkml:context>
    <inkml:brush xml:id="br0">
      <inkml:brushProperty name="width" value="0.05" units="cm"/>
      <inkml:brushProperty name="height" value="0.05" units="cm"/>
    </inkml:brush>
  </inkml:definitions>
  <inkml:trace contextRef="#ctx0" brushRef="#br0">0 0 24575,'0'0'0</inkml:trace>
</inkml:ink>
</file>

<file path=xl/ink/ink9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87"/>
    </inkml:context>
    <inkml:brush xml:id="br0">
      <inkml:brushProperty name="width" value="0.05" units="cm"/>
      <inkml:brushProperty name="height" value="0.05" units="cm"/>
    </inkml:brush>
  </inkml:definitions>
  <inkml:trace contextRef="#ctx0" brushRef="#br0">1 0 24575,'0'0'0</inkml:trace>
</inkml:ink>
</file>

<file path=xl/ink/ink9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88"/>
    </inkml:context>
    <inkml:brush xml:id="br0">
      <inkml:brushProperty name="width" value="0.05" units="cm"/>
      <inkml:brushProperty name="height" value="0.05" units="cm"/>
    </inkml:brush>
  </inkml:definitions>
  <inkml:trace contextRef="#ctx0" brushRef="#br0">1 0 24575,'0'0'0</inkml:trace>
</inkml:ink>
</file>

<file path=xl/ink/ink9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93"/>
    </inkml:context>
    <inkml:brush xml:id="br0">
      <inkml:brushProperty name="width" value="0.05" units="cm"/>
      <inkml:brushProperty name="height" value="0.05" units="cm"/>
    </inkml:brush>
  </inkml:definitions>
  <inkml:trace contextRef="#ctx0" brushRef="#br0">0 0 24575,'0'0'0</inkml:trace>
</inkml:ink>
</file>

<file path=xl/ink/ink9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94"/>
    </inkml:context>
    <inkml:brush xml:id="br0">
      <inkml:brushProperty name="width" value="0.05" units="cm"/>
      <inkml:brushProperty name="height" value="0.05" units="cm"/>
    </inkml:brush>
  </inkml:definitions>
  <inkml:trace contextRef="#ctx0" brushRef="#br0">1 0 24575,'0'0'0</inkml:trace>
</inkml:ink>
</file>

<file path=xl/ink/ink9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495"/>
    </inkml:context>
    <inkml:brush xml:id="br0">
      <inkml:brushProperty name="width" value="0.05" units="cm"/>
      <inkml:brushProperty name="height" value="0.05" units="cm"/>
    </inkml:brush>
  </inkml:definitions>
  <inkml:trace contextRef="#ctx0" brushRef="#br0">1 0 24575,'0'0'0</inkml:trace>
</inkml:ink>
</file>

<file path=xl/ink/ink9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01"/>
    </inkml:context>
    <inkml:brush xml:id="br0">
      <inkml:brushProperty name="width" value="0.05" units="cm"/>
      <inkml:brushProperty name="height" value="0.05" units="cm"/>
    </inkml:brush>
  </inkml:definitions>
  <inkml:trace contextRef="#ctx0" brushRef="#br0">0 0 24575,'0'0'0</inkml:trace>
</inkml:ink>
</file>

<file path=xl/ink/ink9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02"/>
    </inkml:context>
    <inkml:brush xml:id="br0">
      <inkml:brushProperty name="width" value="0.05" units="cm"/>
      <inkml:brushProperty name="height" value="0.05" units="cm"/>
    </inkml:brush>
  </inkml:definitions>
  <inkml:trace contextRef="#ctx0" brushRef="#br0">1 0 24575,'0'0'0</inkml:trace>
</inkml:ink>
</file>

<file path=xl/ink/ink9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03"/>
    </inkml:context>
    <inkml:brush xml:id="br0">
      <inkml:brushProperty name="width" value="0.05" units="cm"/>
      <inkml:brushProperty name="height" value="0.05" units="cm"/>
    </inkml:brush>
  </inkml:definitions>
  <inkml:trace contextRef="#ctx0" brushRef="#br0">1 0 24575,'0'0'0</inkml:trace>
</inkml:ink>
</file>

<file path=xl/ink/ink9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08"/>
    </inkml:context>
    <inkml:brush xml:id="br0">
      <inkml:brushProperty name="width" value="0.05" units="cm"/>
      <inkml:brushProperty name="height" value="0.05" units="cm"/>
    </inkml:brush>
  </inkml:definitions>
  <inkml:trace contextRef="#ctx0" brushRef="#br0">0 0 24575,'0'0'0</inkml:trace>
</inkml:ink>
</file>

<file path=xl/ink/ink9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09"/>
    </inkml:context>
    <inkml:brush xml:id="br0">
      <inkml:brushProperty name="width" value="0.05" units="cm"/>
      <inkml:brushProperty name="height" value="0.05" units="cm"/>
    </inkml:brush>
  </inkml:definitions>
  <inkml:trace contextRef="#ctx0" brushRef="#br0">1 0 24575,'0'0'0</inkml:trace>
</inkml:ink>
</file>

<file path=xl/ink/ink9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10"/>
    </inkml:context>
    <inkml:brush xml:id="br0">
      <inkml:brushProperty name="width" value="0.05" units="cm"/>
      <inkml:brushProperty name="height" value="0.05" units="cm"/>
    </inkml:brush>
  </inkml:definitions>
  <inkml:trace contextRef="#ctx0" brushRef="#br0">1 0 24575,'0'0'0</inkml:trace>
</inkml:ink>
</file>

<file path=xl/ink/ink9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15"/>
    </inkml:context>
    <inkml:brush xml:id="br0">
      <inkml:brushProperty name="width" value="0.05" units="cm"/>
      <inkml:brushProperty name="height" value="0.05" units="cm"/>
    </inkml:brush>
  </inkml:definitions>
  <inkml:trace contextRef="#ctx0" brushRef="#br0">0 0 24575,'0'0'0</inkml:trace>
</inkml:ink>
</file>

<file path=xl/ink/ink9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16"/>
    </inkml:context>
    <inkml:brush xml:id="br0">
      <inkml:brushProperty name="width" value="0.05" units="cm"/>
      <inkml:brushProperty name="height" value="0.05" units="cm"/>
    </inkml:brush>
  </inkml:definitions>
  <inkml:trace contextRef="#ctx0" brushRef="#br0">1 0 24575,'0'0'0</inkml:trace>
</inkml:ink>
</file>

<file path=xl/ink/ink9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17"/>
    </inkml:context>
    <inkml:brush xml:id="br0">
      <inkml:brushProperty name="width" value="0.05" units="cm"/>
      <inkml:brushProperty name="height" value="0.05" units="cm"/>
    </inkml:brush>
  </inkml:definitions>
  <inkml:trace contextRef="#ctx0" brushRef="#br0">1 0 24575,'0'0'0</inkml:trace>
</inkml:ink>
</file>

<file path=xl/ink/ink9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22"/>
    </inkml:context>
    <inkml:brush xml:id="br0">
      <inkml:brushProperty name="width" value="0.05" units="cm"/>
      <inkml:brushProperty name="height" value="0.05" units="cm"/>
    </inkml:brush>
  </inkml:definitions>
  <inkml:trace contextRef="#ctx0" brushRef="#br0">0 0 24575,'0'0'0</inkml:trace>
</inkml:ink>
</file>

<file path=xl/ink/ink9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23"/>
    </inkml:context>
    <inkml:brush xml:id="br0">
      <inkml:brushProperty name="width" value="0.05" units="cm"/>
      <inkml:brushProperty name="height" value="0.05" units="cm"/>
    </inkml:brush>
  </inkml:definitions>
  <inkml:trace contextRef="#ctx0" brushRef="#br0">1 0 24575,'0'0'0</inkml:trace>
</inkml:ink>
</file>

<file path=xl/ink/ink9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24"/>
    </inkml:context>
    <inkml:brush xml:id="br0">
      <inkml:brushProperty name="width" value="0.05" units="cm"/>
      <inkml:brushProperty name="height" value="0.05" units="cm"/>
    </inkml:brush>
  </inkml:definitions>
  <inkml:trace contextRef="#ctx0" brushRef="#br0">1 0 24575,'0'0'0</inkml:trace>
</inkml:ink>
</file>

<file path=xl/ink/ink9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29"/>
    </inkml:context>
    <inkml:brush xml:id="br0">
      <inkml:brushProperty name="width" value="0.05" units="cm"/>
      <inkml:brushProperty name="height" value="0.05" units="cm"/>
    </inkml:brush>
  </inkml:definitions>
  <inkml:trace contextRef="#ctx0" brushRef="#br0">0 0 24575,'0'0'0</inkml:trace>
</inkml:ink>
</file>

<file path=xl/ink/ink9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30"/>
    </inkml:context>
    <inkml:brush xml:id="br0">
      <inkml:brushProperty name="width" value="0.05" units="cm"/>
      <inkml:brushProperty name="height" value="0.05" units="cm"/>
    </inkml:brush>
  </inkml:definitions>
  <inkml:trace contextRef="#ctx0" brushRef="#br0">1 0 24575,'0'0'0</inkml:trace>
</inkml:ink>
</file>

<file path=xl/ink/ink9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31"/>
    </inkml:context>
    <inkml:brush xml:id="br0">
      <inkml:brushProperty name="width" value="0.05" units="cm"/>
      <inkml:brushProperty name="height" value="0.05" units="cm"/>
    </inkml:brush>
  </inkml:definitions>
  <inkml:trace contextRef="#ctx0" brushRef="#br0">1 0 24575,'0'0'0</inkml:trace>
</inkml:ink>
</file>

<file path=xl/ink/ink9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36"/>
    </inkml:context>
    <inkml:brush xml:id="br0">
      <inkml:brushProperty name="width" value="0.05" units="cm"/>
      <inkml:brushProperty name="height" value="0.05" units="cm"/>
    </inkml:brush>
  </inkml:definitions>
  <inkml:trace contextRef="#ctx0" brushRef="#br0">0 0 24575,'0'0'0</inkml:trace>
</inkml:ink>
</file>

<file path=xl/ink/ink9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37"/>
    </inkml:context>
    <inkml:brush xml:id="br0">
      <inkml:brushProperty name="width" value="0.05" units="cm"/>
      <inkml:brushProperty name="height" value="0.05" units="cm"/>
    </inkml:brush>
  </inkml:definitions>
  <inkml:trace contextRef="#ctx0" brushRef="#br0">1 0 24575,'0'0'0</inkml:trace>
</inkml:ink>
</file>

<file path=xl/ink/ink9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38"/>
    </inkml:context>
    <inkml:brush xml:id="br0">
      <inkml:brushProperty name="width" value="0.05" units="cm"/>
      <inkml:brushProperty name="height" value="0.05" units="cm"/>
    </inkml:brush>
  </inkml:definitions>
  <inkml:trace contextRef="#ctx0" brushRef="#br0">1 0 24575,'0'0'0</inkml:trace>
</inkml:ink>
</file>

<file path=xl/ink/ink9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44"/>
    </inkml:context>
    <inkml:brush xml:id="br0">
      <inkml:brushProperty name="width" value="0.05" units="cm"/>
      <inkml:brushProperty name="height" value="0.05" units="cm"/>
    </inkml:brush>
  </inkml:definitions>
  <inkml:trace contextRef="#ctx0" brushRef="#br0">0 0 24575,'0'0'0</inkml:trace>
</inkml:ink>
</file>

<file path=xl/ink/ink9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45"/>
    </inkml:context>
    <inkml:brush xml:id="br0">
      <inkml:brushProperty name="width" value="0.05" units="cm"/>
      <inkml:brushProperty name="height" value="0.05" units="cm"/>
    </inkml:brush>
  </inkml:definitions>
  <inkml:trace contextRef="#ctx0" brushRef="#br0">1 0 24575,'0'0'0</inkml:trace>
</inkml:ink>
</file>

<file path=xl/ink/ink9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46"/>
    </inkml:context>
    <inkml:brush xml:id="br0">
      <inkml:brushProperty name="width" value="0.05" units="cm"/>
      <inkml:brushProperty name="height" value="0.05" units="cm"/>
    </inkml:brush>
  </inkml:definitions>
  <inkml:trace contextRef="#ctx0" brushRef="#br0">1 0 24575,'0'0'0</inkml:trace>
</inkml:ink>
</file>

<file path=xl/ink/ink9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51"/>
    </inkml:context>
    <inkml:brush xml:id="br0">
      <inkml:brushProperty name="width" value="0.05" units="cm"/>
      <inkml:brushProperty name="height" value="0.05" units="cm"/>
    </inkml:brush>
  </inkml:definitions>
  <inkml:trace contextRef="#ctx0" brushRef="#br0">0 0 24575,'0'0'0</inkml:trace>
</inkml:ink>
</file>

<file path=xl/ink/ink9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52"/>
    </inkml:context>
    <inkml:brush xml:id="br0">
      <inkml:brushProperty name="width" value="0.05" units="cm"/>
      <inkml:brushProperty name="height" value="0.05" units="cm"/>
    </inkml:brush>
  </inkml:definitions>
  <inkml:trace contextRef="#ctx0" brushRef="#br0">1 0 24575,'0'0'0</inkml:trace>
</inkml:ink>
</file>

<file path=xl/ink/ink9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53"/>
    </inkml:context>
    <inkml:brush xml:id="br0">
      <inkml:brushProperty name="width" value="0.05" units="cm"/>
      <inkml:brushProperty name="height" value="0.05" units="cm"/>
    </inkml:brush>
  </inkml:definitions>
  <inkml:trace contextRef="#ctx0" brushRef="#br0">1 0 24575,'0'0'0</inkml:trace>
</inkml:ink>
</file>

<file path=xl/ink/ink9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58"/>
    </inkml:context>
    <inkml:brush xml:id="br0">
      <inkml:brushProperty name="width" value="0.05" units="cm"/>
      <inkml:brushProperty name="height" value="0.05" units="cm"/>
    </inkml:brush>
  </inkml:definitions>
  <inkml:trace contextRef="#ctx0" brushRef="#br0">0 0 24575,'0'0'0</inkml:trace>
</inkml:ink>
</file>

<file path=xl/ink/ink9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59"/>
    </inkml:context>
    <inkml:brush xml:id="br0">
      <inkml:brushProperty name="width" value="0.05" units="cm"/>
      <inkml:brushProperty name="height" value="0.05" units="cm"/>
    </inkml:brush>
  </inkml:definitions>
  <inkml:trace contextRef="#ctx0" brushRef="#br0">1 0 24575,'0'0'0</inkml:trace>
</inkml:ink>
</file>

<file path=xl/ink/ink9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60"/>
    </inkml:context>
    <inkml:brush xml:id="br0">
      <inkml:brushProperty name="width" value="0.05" units="cm"/>
      <inkml:brushProperty name="height" value="0.05" units="cm"/>
    </inkml:brush>
  </inkml:definitions>
  <inkml:trace contextRef="#ctx0" brushRef="#br0">1 0 24575,'0'0'0</inkml:trace>
</inkml:ink>
</file>

<file path=xl/ink/ink10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65"/>
    </inkml:context>
    <inkml:brush xml:id="br0">
      <inkml:brushProperty name="width" value="0.05" units="cm"/>
      <inkml:brushProperty name="height" value="0.05" units="cm"/>
    </inkml:brush>
  </inkml:definitions>
  <inkml:trace contextRef="#ctx0" brushRef="#br0">0 0 24575,'0'0'0</inkml:trace>
</inkml:ink>
</file>

<file path=xl/ink/ink10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66"/>
    </inkml:context>
    <inkml:brush xml:id="br0">
      <inkml:brushProperty name="width" value="0.05" units="cm"/>
      <inkml:brushProperty name="height" value="0.05" units="cm"/>
    </inkml:brush>
  </inkml:definitions>
  <inkml:trace contextRef="#ctx0" brushRef="#br0">1 0 24575,'0'0'0</inkml:trace>
</inkml:ink>
</file>

<file path=xl/ink/ink10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67"/>
    </inkml:context>
    <inkml:brush xml:id="br0">
      <inkml:brushProperty name="width" value="0.05" units="cm"/>
      <inkml:brushProperty name="height" value="0.05" units="cm"/>
    </inkml:brush>
  </inkml:definitions>
  <inkml:trace contextRef="#ctx0" brushRef="#br0">1 0 24575,'0'0'0</inkml:trace>
</inkml:ink>
</file>

<file path=xl/ink/ink10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72"/>
    </inkml:context>
    <inkml:brush xml:id="br0">
      <inkml:brushProperty name="width" value="0.05" units="cm"/>
      <inkml:brushProperty name="height" value="0.05" units="cm"/>
    </inkml:brush>
  </inkml:definitions>
  <inkml:trace contextRef="#ctx0" brushRef="#br0">0 0 24575,'0'0'0</inkml:trace>
</inkml:ink>
</file>

<file path=xl/ink/ink10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73"/>
    </inkml:context>
    <inkml:brush xml:id="br0">
      <inkml:brushProperty name="width" value="0.05" units="cm"/>
      <inkml:brushProperty name="height" value="0.05" units="cm"/>
    </inkml:brush>
  </inkml:definitions>
  <inkml:trace contextRef="#ctx0" brushRef="#br0">1 0 24575,'0'0'0</inkml:trace>
</inkml:ink>
</file>

<file path=xl/ink/ink10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74"/>
    </inkml:context>
    <inkml:brush xml:id="br0">
      <inkml:brushProperty name="width" value="0.05" units="cm"/>
      <inkml:brushProperty name="height" value="0.05" units="cm"/>
    </inkml:brush>
  </inkml:definitions>
  <inkml:trace contextRef="#ctx0" brushRef="#br0">1 0 24575,'0'0'0</inkml:trace>
</inkml:ink>
</file>

<file path=xl/ink/ink10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80"/>
    </inkml:context>
    <inkml:brush xml:id="br0">
      <inkml:brushProperty name="width" value="0.05" units="cm"/>
      <inkml:brushProperty name="height" value="0.05" units="cm"/>
    </inkml:brush>
  </inkml:definitions>
  <inkml:trace contextRef="#ctx0" brushRef="#br0">0 0 24575,'0'0'0</inkml:trace>
</inkml:ink>
</file>

<file path=xl/ink/ink10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81"/>
    </inkml:context>
    <inkml:brush xml:id="br0">
      <inkml:brushProperty name="width" value="0.05" units="cm"/>
      <inkml:brushProperty name="height" value="0.05" units="cm"/>
    </inkml:brush>
  </inkml:definitions>
  <inkml:trace contextRef="#ctx0" brushRef="#br0">1 0 24575,'0'0'0</inkml:trace>
</inkml:ink>
</file>

<file path=xl/ink/ink10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82"/>
    </inkml:context>
    <inkml:brush xml:id="br0">
      <inkml:brushProperty name="width" value="0.05" units="cm"/>
      <inkml:brushProperty name="height" value="0.05" units="cm"/>
    </inkml:brush>
  </inkml:definitions>
  <inkml:trace contextRef="#ctx0" brushRef="#br0">1 0 24575,'0'0'0</inkml:trace>
</inkml:ink>
</file>

<file path=xl/ink/ink10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87"/>
    </inkml:context>
    <inkml:brush xml:id="br0">
      <inkml:brushProperty name="width" value="0.05" units="cm"/>
      <inkml:brushProperty name="height" value="0.05" units="cm"/>
    </inkml:brush>
  </inkml:definitions>
  <inkml:trace contextRef="#ctx0" brushRef="#br0">0 0 24575,'0'0'0</inkml:trace>
</inkml:ink>
</file>

<file path=xl/ink/ink10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88"/>
    </inkml:context>
    <inkml:brush xml:id="br0">
      <inkml:brushProperty name="width" value="0.05" units="cm"/>
      <inkml:brushProperty name="height" value="0.05" units="cm"/>
    </inkml:brush>
  </inkml:definitions>
  <inkml:trace contextRef="#ctx0" brushRef="#br0">1 0 24575,'0'0'0</inkml:trace>
</inkml:ink>
</file>

<file path=xl/ink/ink10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89"/>
    </inkml:context>
    <inkml:brush xml:id="br0">
      <inkml:brushProperty name="width" value="0.05" units="cm"/>
      <inkml:brushProperty name="height" value="0.05" units="cm"/>
    </inkml:brush>
  </inkml:definitions>
  <inkml:trace contextRef="#ctx0" brushRef="#br0">1 0 24575,'0'0'0</inkml:trace>
</inkml:ink>
</file>

<file path=xl/ink/ink10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95"/>
    </inkml:context>
    <inkml:brush xml:id="br0">
      <inkml:brushProperty name="width" value="0.05" units="cm"/>
      <inkml:brushProperty name="height" value="0.05" units="cm"/>
    </inkml:brush>
  </inkml:definitions>
  <inkml:trace contextRef="#ctx0" brushRef="#br0">0 0 24575,'0'0'0</inkml:trace>
</inkml:ink>
</file>

<file path=xl/ink/ink10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96"/>
    </inkml:context>
    <inkml:brush xml:id="br0">
      <inkml:brushProperty name="width" value="0.05" units="cm"/>
      <inkml:brushProperty name="height" value="0.05" units="cm"/>
    </inkml:brush>
  </inkml:definitions>
  <inkml:trace contextRef="#ctx0" brushRef="#br0">1 0 24575,'0'0'0</inkml:trace>
</inkml:ink>
</file>

<file path=xl/ink/ink10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597"/>
    </inkml:context>
    <inkml:brush xml:id="br0">
      <inkml:brushProperty name="width" value="0.05" units="cm"/>
      <inkml:brushProperty name="height" value="0.05" units="cm"/>
    </inkml:brush>
  </inkml:definitions>
  <inkml:trace contextRef="#ctx0" brushRef="#br0">1 0 24575,'0'0'0</inkml:trace>
</inkml:ink>
</file>

<file path=xl/ink/ink10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02"/>
    </inkml:context>
    <inkml:brush xml:id="br0">
      <inkml:brushProperty name="width" value="0.05" units="cm"/>
      <inkml:brushProperty name="height" value="0.05" units="cm"/>
    </inkml:brush>
  </inkml:definitions>
  <inkml:trace contextRef="#ctx0" brushRef="#br0">0 0 24575,'0'0'0</inkml:trace>
</inkml:ink>
</file>

<file path=xl/ink/ink10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03"/>
    </inkml:context>
    <inkml:brush xml:id="br0">
      <inkml:brushProperty name="width" value="0.05" units="cm"/>
      <inkml:brushProperty name="height" value="0.05" units="cm"/>
    </inkml:brush>
  </inkml:definitions>
  <inkml:trace contextRef="#ctx0" brushRef="#br0">1 0 24575,'0'0'0</inkml:trace>
</inkml:ink>
</file>

<file path=xl/ink/ink10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04"/>
    </inkml:context>
    <inkml:brush xml:id="br0">
      <inkml:brushProperty name="width" value="0.05" units="cm"/>
      <inkml:brushProperty name="height" value="0.05" units="cm"/>
    </inkml:brush>
  </inkml:definitions>
  <inkml:trace contextRef="#ctx0" brushRef="#br0">1 0 24575,'0'0'0</inkml:trace>
</inkml:ink>
</file>

<file path=xl/ink/ink10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09"/>
    </inkml:context>
    <inkml:brush xml:id="br0">
      <inkml:brushProperty name="width" value="0.05" units="cm"/>
      <inkml:brushProperty name="height" value="0.05" units="cm"/>
    </inkml:brush>
  </inkml:definitions>
  <inkml:trace contextRef="#ctx0" brushRef="#br0">0 0 24575,'0'0'0</inkml:trace>
</inkml:ink>
</file>

<file path=xl/ink/ink10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10"/>
    </inkml:context>
    <inkml:brush xml:id="br0">
      <inkml:brushProperty name="width" value="0.05" units="cm"/>
      <inkml:brushProperty name="height" value="0.05" units="cm"/>
    </inkml:brush>
  </inkml:definitions>
  <inkml:trace contextRef="#ctx0" brushRef="#br0">1 0 24575,'0'0'0</inkml:trace>
</inkml:ink>
</file>

<file path=xl/ink/ink10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11"/>
    </inkml:context>
    <inkml:brush xml:id="br0">
      <inkml:brushProperty name="width" value="0.05" units="cm"/>
      <inkml:brushProperty name="height" value="0.05" units="cm"/>
    </inkml:brush>
  </inkml:definitions>
  <inkml:trace contextRef="#ctx0" brushRef="#br0">1 0 24575,'0'0'0</inkml:trace>
</inkml:ink>
</file>

<file path=xl/ink/ink10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17"/>
    </inkml:context>
    <inkml:brush xml:id="br0">
      <inkml:brushProperty name="width" value="0.05" units="cm"/>
      <inkml:brushProperty name="height" value="0.05" units="cm"/>
    </inkml:brush>
  </inkml:definitions>
  <inkml:trace contextRef="#ctx0" brushRef="#br0">0 0 24575,'0'0'0</inkml:trace>
</inkml:ink>
</file>

<file path=xl/ink/ink10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18"/>
    </inkml:context>
    <inkml:brush xml:id="br0">
      <inkml:brushProperty name="width" value="0.05" units="cm"/>
      <inkml:brushProperty name="height" value="0.05" units="cm"/>
    </inkml:brush>
  </inkml:definitions>
  <inkml:trace contextRef="#ctx0" brushRef="#br0">1 0 24575,'0'0'0</inkml:trace>
</inkml:ink>
</file>

<file path=xl/ink/ink10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19"/>
    </inkml:context>
    <inkml:brush xml:id="br0">
      <inkml:brushProperty name="width" value="0.05" units="cm"/>
      <inkml:brushProperty name="height" value="0.05" units="cm"/>
    </inkml:brush>
  </inkml:definitions>
  <inkml:trace contextRef="#ctx0" brushRef="#br0">1 0 24575,'0'0'0</inkml:trace>
</inkml:ink>
</file>

<file path=xl/ink/ink10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24"/>
    </inkml:context>
    <inkml:brush xml:id="br0">
      <inkml:brushProperty name="width" value="0.05" units="cm"/>
      <inkml:brushProperty name="height" value="0.05" units="cm"/>
    </inkml:brush>
  </inkml:definitions>
  <inkml:trace contextRef="#ctx0" brushRef="#br0">0 0 24575,'0'0'0</inkml:trace>
</inkml:ink>
</file>

<file path=xl/ink/ink10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25"/>
    </inkml:context>
    <inkml:brush xml:id="br0">
      <inkml:brushProperty name="width" value="0.05" units="cm"/>
      <inkml:brushProperty name="height" value="0.05" units="cm"/>
    </inkml:brush>
  </inkml:definitions>
  <inkml:trace contextRef="#ctx0" brushRef="#br0">1 0 24575,'0'0'0</inkml:trace>
</inkml:ink>
</file>

<file path=xl/ink/ink10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26"/>
    </inkml:context>
    <inkml:brush xml:id="br0">
      <inkml:brushProperty name="width" value="0.05" units="cm"/>
      <inkml:brushProperty name="height" value="0.05" units="cm"/>
    </inkml:brush>
  </inkml:definitions>
  <inkml:trace contextRef="#ctx0" brushRef="#br0">1 0 24575,'0'0'0</inkml:trace>
</inkml:ink>
</file>

<file path=xl/ink/ink10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32"/>
    </inkml:context>
    <inkml:brush xml:id="br0">
      <inkml:brushProperty name="width" value="0.05" units="cm"/>
      <inkml:brushProperty name="height" value="0.05" units="cm"/>
    </inkml:brush>
  </inkml:definitions>
  <inkml:trace contextRef="#ctx0" brushRef="#br0">0 0 24575,'0'0'0</inkml:trace>
</inkml:ink>
</file>

<file path=xl/ink/ink10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33"/>
    </inkml:context>
    <inkml:brush xml:id="br0">
      <inkml:brushProperty name="width" value="0.05" units="cm"/>
      <inkml:brushProperty name="height" value="0.05" units="cm"/>
    </inkml:brush>
  </inkml:definitions>
  <inkml:trace contextRef="#ctx0" brushRef="#br0">1 0 24575,'0'0'0</inkml:trace>
</inkml:ink>
</file>

<file path=xl/ink/ink10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34"/>
    </inkml:context>
    <inkml:brush xml:id="br0">
      <inkml:brushProperty name="width" value="0.05" units="cm"/>
      <inkml:brushProperty name="height" value="0.05" units="cm"/>
    </inkml:brush>
  </inkml:definitions>
  <inkml:trace contextRef="#ctx0" brushRef="#br0">1 0 24575,'0'0'0</inkml:trace>
</inkml:ink>
</file>

<file path=xl/ink/ink10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40"/>
    </inkml:context>
    <inkml:brush xml:id="br0">
      <inkml:brushProperty name="width" value="0.05" units="cm"/>
      <inkml:brushProperty name="height" value="0.05" units="cm"/>
    </inkml:brush>
  </inkml:definitions>
  <inkml:trace contextRef="#ctx0" brushRef="#br0">0 0 24575,'0'0'0</inkml:trace>
</inkml:ink>
</file>

<file path=xl/ink/ink10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41"/>
    </inkml:context>
    <inkml:brush xml:id="br0">
      <inkml:brushProperty name="width" value="0.05" units="cm"/>
      <inkml:brushProperty name="height" value="0.05" units="cm"/>
    </inkml:brush>
  </inkml:definitions>
  <inkml:trace contextRef="#ctx0" brushRef="#br0">1 0 24575,'0'0'0</inkml:trace>
</inkml:ink>
</file>

<file path=xl/ink/ink10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42"/>
    </inkml:context>
    <inkml:brush xml:id="br0">
      <inkml:brushProperty name="width" value="0.05" units="cm"/>
      <inkml:brushProperty name="height" value="0.05" units="cm"/>
    </inkml:brush>
  </inkml:definitions>
  <inkml:trace contextRef="#ctx0" brushRef="#br0">1 0 24575,'0'0'0</inkml:trace>
</inkml:ink>
</file>

<file path=xl/ink/ink10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48"/>
    </inkml:context>
    <inkml:brush xml:id="br0">
      <inkml:brushProperty name="width" value="0.05" units="cm"/>
      <inkml:brushProperty name="height" value="0.05" units="cm"/>
    </inkml:brush>
  </inkml:definitions>
  <inkml:trace contextRef="#ctx0" brushRef="#br0">0 0 24575,'0'0'0</inkml:trace>
</inkml:ink>
</file>

<file path=xl/ink/ink10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49"/>
    </inkml:context>
    <inkml:brush xml:id="br0">
      <inkml:brushProperty name="width" value="0.05" units="cm"/>
      <inkml:brushProperty name="height" value="0.05" units="cm"/>
    </inkml:brush>
  </inkml:definitions>
  <inkml:trace contextRef="#ctx0" brushRef="#br0">1 0 24575,'0'0'0</inkml:trace>
</inkml:ink>
</file>

<file path=xl/ink/ink10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50"/>
    </inkml:context>
    <inkml:brush xml:id="br0">
      <inkml:brushProperty name="width" value="0.05" units="cm"/>
      <inkml:brushProperty name="height" value="0.05" units="cm"/>
    </inkml:brush>
  </inkml:definitions>
  <inkml:trace contextRef="#ctx0" brushRef="#br0">1 0 24575,'0'0'0</inkml:trace>
</inkml:ink>
</file>

<file path=xl/ink/ink10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56"/>
    </inkml:context>
    <inkml:brush xml:id="br0">
      <inkml:brushProperty name="width" value="0.05" units="cm"/>
      <inkml:brushProperty name="height" value="0.05" units="cm"/>
    </inkml:brush>
  </inkml:definitions>
  <inkml:trace contextRef="#ctx0" brushRef="#br0">0 0 24575,'0'0'0</inkml:trace>
</inkml:ink>
</file>

<file path=xl/ink/ink10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57"/>
    </inkml:context>
    <inkml:brush xml:id="br0">
      <inkml:brushProperty name="width" value="0.05" units="cm"/>
      <inkml:brushProperty name="height" value="0.05" units="cm"/>
    </inkml:brush>
  </inkml:definitions>
  <inkml:trace contextRef="#ctx0" brushRef="#br0">1 0 24575,'0'0'0</inkml:trace>
</inkml:ink>
</file>

<file path=xl/ink/ink10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58"/>
    </inkml:context>
    <inkml:brush xml:id="br0">
      <inkml:brushProperty name="width" value="0.05" units="cm"/>
      <inkml:brushProperty name="height" value="0.05" units="cm"/>
    </inkml:brush>
  </inkml:definitions>
  <inkml:trace contextRef="#ctx0" brushRef="#br0">1 0 24575,'0'0'0</inkml:trace>
</inkml:ink>
</file>

<file path=xl/ink/ink10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65"/>
    </inkml:context>
    <inkml:brush xml:id="br0">
      <inkml:brushProperty name="width" value="0.05" units="cm"/>
      <inkml:brushProperty name="height" value="0.05" units="cm"/>
    </inkml:brush>
  </inkml:definitions>
  <inkml:trace contextRef="#ctx0" brushRef="#br0">0 0 24575,'0'0'0</inkml:trace>
</inkml:ink>
</file>

<file path=xl/ink/ink10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66"/>
    </inkml:context>
    <inkml:brush xml:id="br0">
      <inkml:brushProperty name="width" value="0.05" units="cm"/>
      <inkml:brushProperty name="height" value="0.05" units="cm"/>
    </inkml:brush>
  </inkml:definitions>
  <inkml:trace contextRef="#ctx0" brushRef="#br0">1 0 24575,'0'0'0</inkml:trace>
</inkml:ink>
</file>

<file path=xl/ink/ink10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67"/>
    </inkml:context>
    <inkml:brush xml:id="br0">
      <inkml:brushProperty name="width" value="0.05" units="cm"/>
      <inkml:brushProperty name="height" value="0.05" units="cm"/>
    </inkml:brush>
  </inkml:definitions>
  <inkml:trace contextRef="#ctx0" brushRef="#br0">1 0 24575,'0'0'0</inkml:trace>
</inkml:ink>
</file>

<file path=xl/ink/ink10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73"/>
    </inkml:context>
    <inkml:brush xml:id="br0">
      <inkml:brushProperty name="width" value="0.05" units="cm"/>
      <inkml:brushProperty name="height" value="0.05" units="cm"/>
    </inkml:brush>
  </inkml:definitions>
  <inkml:trace contextRef="#ctx0" brushRef="#br0">0 0 24575,'0'0'0</inkml:trace>
</inkml:ink>
</file>

<file path=xl/ink/ink10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74"/>
    </inkml:context>
    <inkml:brush xml:id="br0">
      <inkml:brushProperty name="width" value="0.05" units="cm"/>
      <inkml:brushProperty name="height" value="0.05" units="cm"/>
    </inkml:brush>
  </inkml:definitions>
  <inkml:trace contextRef="#ctx0" brushRef="#br0">1 0 24575,'0'0'0</inkml:trace>
</inkml:ink>
</file>

<file path=xl/ink/ink10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75"/>
    </inkml:context>
    <inkml:brush xml:id="br0">
      <inkml:brushProperty name="width" value="0.05" units="cm"/>
      <inkml:brushProperty name="height" value="0.05" units="cm"/>
    </inkml:brush>
  </inkml:definitions>
  <inkml:trace contextRef="#ctx0" brushRef="#br0">1 0 24575,'0'0'0</inkml:trace>
</inkml:ink>
</file>

<file path=xl/ink/ink10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84"/>
    </inkml:context>
    <inkml:brush xml:id="br0">
      <inkml:brushProperty name="width" value="0.05" units="cm"/>
      <inkml:brushProperty name="height" value="0.05" units="cm"/>
    </inkml:brush>
  </inkml:definitions>
  <inkml:trace contextRef="#ctx0" brushRef="#br0">0 0 24575,'0'0'0</inkml:trace>
</inkml:ink>
</file>

<file path=xl/ink/ink10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85"/>
    </inkml:context>
    <inkml:brush xml:id="br0">
      <inkml:brushProperty name="width" value="0.05" units="cm"/>
      <inkml:brushProperty name="height" value="0.05" units="cm"/>
    </inkml:brush>
  </inkml:definitions>
  <inkml:trace contextRef="#ctx0" brushRef="#br0">1 0 24575,'0'0'0</inkml:trace>
</inkml:ink>
</file>

<file path=xl/ink/ink10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86"/>
    </inkml:context>
    <inkml:brush xml:id="br0">
      <inkml:brushProperty name="width" value="0.05" units="cm"/>
      <inkml:brushProperty name="height" value="0.05" units="cm"/>
    </inkml:brush>
  </inkml:definitions>
  <inkml:trace contextRef="#ctx0" brushRef="#br0">1 0 24575,'0'0'0</inkml:trace>
</inkml:ink>
</file>

<file path=xl/ink/ink10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93"/>
    </inkml:context>
    <inkml:brush xml:id="br0">
      <inkml:brushProperty name="width" value="0.05" units="cm"/>
      <inkml:brushProperty name="height" value="0.05" units="cm"/>
    </inkml:brush>
  </inkml:definitions>
  <inkml:trace contextRef="#ctx0" brushRef="#br0">0 0 24575,'0'0'0</inkml:trace>
</inkml:ink>
</file>

<file path=xl/ink/ink10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94"/>
    </inkml:context>
    <inkml:brush xml:id="br0">
      <inkml:brushProperty name="width" value="0.05" units="cm"/>
      <inkml:brushProperty name="height" value="0.05" units="cm"/>
    </inkml:brush>
  </inkml:definitions>
  <inkml:trace contextRef="#ctx0" brushRef="#br0">1 0 24575,'0'0'0</inkml:trace>
</inkml:ink>
</file>

<file path=xl/ink/ink10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695"/>
    </inkml:context>
    <inkml:brush xml:id="br0">
      <inkml:brushProperty name="width" value="0.05" units="cm"/>
      <inkml:brushProperty name="height" value="0.05" units="cm"/>
    </inkml:brush>
  </inkml:definitions>
  <inkml:trace contextRef="#ctx0" brushRef="#br0">1 0 24575,'0'0'0</inkml:trace>
</inkml:ink>
</file>

<file path=xl/ink/ink10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01"/>
    </inkml:context>
    <inkml:brush xml:id="br0">
      <inkml:brushProperty name="width" value="0.05" units="cm"/>
      <inkml:brushProperty name="height" value="0.05" units="cm"/>
    </inkml:brush>
  </inkml:definitions>
  <inkml:trace contextRef="#ctx0" brushRef="#br0">0 0 24575,'0'0'0</inkml:trace>
</inkml:ink>
</file>

<file path=xl/ink/ink10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02"/>
    </inkml:context>
    <inkml:brush xml:id="br0">
      <inkml:brushProperty name="width" value="0.05" units="cm"/>
      <inkml:brushProperty name="height" value="0.05" units="cm"/>
    </inkml:brush>
  </inkml:definitions>
  <inkml:trace contextRef="#ctx0" brushRef="#br0">1 0 24575,'0'0'0</inkml:trace>
</inkml:ink>
</file>

<file path=xl/ink/ink10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03"/>
    </inkml:context>
    <inkml:brush xml:id="br0">
      <inkml:brushProperty name="width" value="0.05" units="cm"/>
      <inkml:brushProperty name="height" value="0.05" units="cm"/>
    </inkml:brush>
  </inkml:definitions>
  <inkml:trace contextRef="#ctx0" brushRef="#br0">1 0 24575,'0'0'0</inkml:trace>
</inkml:ink>
</file>

<file path=xl/ink/ink10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10"/>
    </inkml:context>
    <inkml:brush xml:id="br0">
      <inkml:brushProperty name="width" value="0.05" units="cm"/>
      <inkml:brushProperty name="height" value="0.05" units="cm"/>
    </inkml:brush>
  </inkml:definitions>
  <inkml:trace contextRef="#ctx0" brushRef="#br0">0 0 24575,'0'0'0</inkml:trace>
</inkml:ink>
</file>

<file path=xl/ink/ink10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11"/>
    </inkml:context>
    <inkml:brush xml:id="br0">
      <inkml:brushProperty name="width" value="0.05" units="cm"/>
      <inkml:brushProperty name="height" value="0.05" units="cm"/>
    </inkml:brush>
  </inkml:definitions>
  <inkml:trace contextRef="#ctx0" brushRef="#br0">1 0 24575,'0'0'0</inkml:trace>
</inkml:ink>
</file>

<file path=xl/ink/ink10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12"/>
    </inkml:context>
    <inkml:brush xml:id="br0">
      <inkml:brushProperty name="width" value="0.05" units="cm"/>
      <inkml:brushProperty name="height" value="0.05" units="cm"/>
    </inkml:brush>
  </inkml:definitions>
  <inkml:trace contextRef="#ctx0" brushRef="#br0">1 0 24575,'0'0'0</inkml:trace>
</inkml:ink>
</file>

<file path=xl/ink/ink10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19"/>
    </inkml:context>
    <inkml:brush xml:id="br0">
      <inkml:brushProperty name="width" value="0.05" units="cm"/>
      <inkml:brushProperty name="height" value="0.05" units="cm"/>
    </inkml:brush>
  </inkml:definitions>
  <inkml:trace contextRef="#ctx0" brushRef="#br0">0 0 24575,'0'0'0</inkml:trace>
</inkml:ink>
</file>

<file path=xl/ink/ink10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20"/>
    </inkml:context>
    <inkml:brush xml:id="br0">
      <inkml:brushProperty name="width" value="0.05" units="cm"/>
      <inkml:brushProperty name="height" value="0.05" units="cm"/>
    </inkml:brush>
  </inkml:definitions>
  <inkml:trace contextRef="#ctx0" brushRef="#br0">1 0 24575,'0'0'0</inkml:trace>
</inkml:ink>
</file>

<file path=xl/ink/ink10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21"/>
    </inkml:context>
    <inkml:brush xml:id="br0">
      <inkml:brushProperty name="width" value="0.05" units="cm"/>
      <inkml:brushProperty name="height" value="0.05" units="cm"/>
    </inkml:brush>
  </inkml:definitions>
  <inkml:trace contextRef="#ctx0" brushRef="#br0">1 0 24575,'0'0'0</inkml:trace>
</inkml:ink>
</file>

<file path=xl/ink/ink10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28"/>
    </inkml:context>
    <inkml:brush xml:id="br0">
      <inkml:brushProperty name="width" value="0.05" units="cm"/>
      <inkml:brushProperty name="height" value="0.05" units="cm"/>
    </inkml:brush>
  </inkml:definitions>
  <inkml:trace contextRef="#ctx0" brushRef="#br0">0 0 24575,'0'0'0</inkml:trace>
</inkml:ink>
</file>

<file path=xl/ink/ink10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29"/>
    </inkml:context>
    <inkml:brush xml:id="br0">
      <inkml:brushProperty name="width" value="0.05" units="cm"/>
      <inkml:brushProperty name="height" value="0.05" units="cm"/>
    </inkml:brush>
  </inkml:definitions>
  <inkml:trace contextRef="#ctx0" brushRef="#br0">1 0 24575,'0'0'0</inkml:trace>
</inkml:ink>
</file>

<file path=xl/ink/ink10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30"/>
    </inkml:context>
    <inkml:brush xml:id="br0">
      <inkml:brushProperty name="width" value="0.05" units="cm"/>
      <inkml:brushProperty name="height" value="0.05" units="cm"/>
    </inkml:brush>
  </inkml:definitions>
  <inkml:trace contextRef="#ctx0" brushRef="#br0">1 0 24575,'0'0'0</inkml:trace>
</inkml:ink>
</file>

<file path=xl/ink/ink10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36"/>
    </inkml:context>
    <inkml:brush xml:id="br0">
      <inkml:brushProperty name="width" value="0.05" units="cm"/>
      <inkml:brushProperty name="height" value="0.05" units="cm"/>
    </inkml:brush>
  </inkml:definitions>
  <inkml:trace contextRef="#ctx0" brushRef="#br0">0 0 24575,'0'0'0</inkml:trace>
</inkml:ink>
</file>

<file path=xl/ink/ink10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37"/>
    </inkml:context>
    <inkml:brush xml:id="br0">
      <inkml:brushProperty name="width" value="0.05" units="cm"/>
      <inkml:brushProperty name="height" value="0.05" units="cm"/>
    </inkml:brush>
  </inkml:definitions>
  <inkml:trace contextRef="#ctx0" brushRef="#br0">1 0 24575,'0'0'0</inkml:trace>
</inkml:ink>
</file>

<file path=xl/ink/ink10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38"/>
    </inkml:context>
    <inkml:brush xml:id="br0">
      <inkml:brushProperty name="width" value="0.05" units="cm"/>
      <inkml:brushProperty name="height" value="0.05" units="cm"/>
    </inkml:brush>
  </inkml:definitions>
  <inkml:trace contextRef="#ctx0" brushRef="#br0">1 0 24575,'0'0'0</inkml:trace>
</inkml:ink>
</file>

<file path=xl/ink/ink10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45"/>
    </inkml:context>
    <inkml:brush xml:id="br0">
      <inkml:brushProperty name="width" value="0.05" units="cm"/>
      <inkml:brushProperty name="height" value="0.05" units="cm"/>
    </inkml:brush>
  </inkml:definitions>
  <inkml:trace contextRef="#ctx0" brushRef="#br0">0 0 24575,'0'0'0</inkml:trace>
</inkml:ink>
</file>

<file path=xl/ink/ink10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46"/>
    </inkml:context>
    <inkml:brush xml:id="br0">
      <inkml:brushProperty name="width" value="0.05" units="cm"/>
      <inkml:brushProperty name="height" value="0.05" units="cm"/>
    </inkml:brush>
  </inkml:definitions>
  <inkml:trace contextRef="#ctx0" brushRef="#br0">1 0 24575,'0'0'0</inkml:trace>
</inkml:ink>
</file>

<file path=xl/ink/ink10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47"/>
    </inkml:context>
    <inkml:brush xml:id="br0">
      <inkml:brushProperty name="width" value="0.05" units="cm"/>
      <inkml:brushProperty name="height" value="0.05" units="cm"/>
    </inkml:brush>
  </inkml:definitions>
  <inkml:trace contextRef="#ctx0" brushRef="#br0">1 0 24575,'0'0'0</inkml:trace>
</inkml:ink>
</file>

<file path=xl/ink/ink10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54"/>
    </inkml:context>
    <inkml:brush xml:id="br0">
      <inkml:brushProperty name="width" value="0.05" units="cm"/>
      <inkml:brushProperty name="height" value="0.05" units="cm"/>
    </inkml:brush>
  </inkml:definitions>
  <inkml:trace contextRef="#ctx0" brushRef="#br0">0 0 24575,'0'0'0</inkml:trace>
</inkml:ink>
</file>

<file path=xl/ink/ink10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55"/>
    </inkml:context>
    <inkml:brush xml:id="br0">
      <inkml:brushProperty name="width" value="0.05" units="cm"/>
      <inkml:brushProperty name="height" value="0.05" units="cm"/>
    </inkml:brush>
  </inkml:definitions>
  <inkml:trace contextRef="#ctx0" brushRef="#br0">1 0 24575,'0'0'0</inkml:trace>
</inkml:ink>
</file>

<file path=xl/ink/ink10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56"/>
    </inkml:context>
    <inkml:brush xml:id="br0">
      <inkml:brushProperty name="width" value="0.05" units="cm"/>
      <inkml:brushProperty name="height" value="0.05" units="cm"/>
    </inkml:brush>
  </inkml:definitions>
  <inkml:trace contextRef="#ctx0" brushRef="#br0">1 0 24575,'0'0'0</inkml:trace>
</inkml:ink>
</file>

<file path=xl/ink/ink10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63"/>
    </inkml:context>
    <inkml:brush xml:id="br0">
      <inkml:brushProperty name="width" value="0.05" units="cm"/>
      <inkml:brushProperty name="height" value="0.05" units="cm"/>
    </inkml:brush>
  </inkml:definitions>
  <inkml:trace contextRef="#ctx0" brushRef="#br0">0 0 24575,'0'0'0</inkml:trace>
</inkml:ink>
</file>

<file path=xl/ink/ink10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64"/>
    </inkml:context>
    <inkml:brush xml:id="br0">
      <inkml:brushProperty name="width" value="0.05" units="cm"/>
      <inkml:brushProperty name="height" value="0.05" units="cm"/>
    </inkml:brush>
  </inkml:definitions>
  <inkml:trace contextRef="#ctx0" brushRef="#br0">1 0 24575,'0'0'0</inkml:trace>
</inkml:ink>
</file>

<file path=xl/ink/ink10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65"/>
    </inkml:context>
    <inkml:brush xml:id="br0">
      <inkml:brushProperty name="width" value="0.05" units="cm"/>
      <inkml:brushProperty name="height" value="0.05" units="cm"/>
    </inkml:brush>
  </inkml:definitions>
  <inkml:trace contextRef="#ctx0" brushRef="#br0">1 0 24575,'0'0'0</inkml:trace>
</inkml:ink>
</file>

<file path=xl/ink/ink10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72"/>
    </inkml:context>
    <inkml:brush xml:id="br0">
      <inkml:brushProperty name="width" value="0.05" units="cm"/>
      <inkml:brushProperty name="height" value="0.05" units="cm"/>
    </inkml:brush>
  </inkml:definitions>
  <inkml:trace contextRef="#ctx0" brushRef="#br0">0 0 24575,'0'0'0</inkml:trace>
</inkml:ink>
</file>

<file path=xl/ink/ink10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73"/>
    </inkml:context>
    <inkml:brush xml:id="br0">
      <inkml:brushProperty name="width" value="0.05" units="cm"/>
      <inkml:brushProperty name="height" value="0.05" units="cm"/>
    </inkml:brush>
  </inkml:definitions>
  <inkml:trace contextRef="#ctx0" brushRef="#br0">1 0 24575,'0'0'0</inkml:trace>
</inkml:ink>
</file>

<file path=xl/ink/ink10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74"/>
    </inkml:context>
    <inkml:brush xml:id="br0">
      <inkml:brushProperty name="width" value="0.05" units="cm"/>
      <inkml:brushProperty name="height" value="0.05" units="cm"/>
    </inkml:brush>
  </inkml:definitions>
  <inkml:trace contextRef="#ctx0" brushRef="#br0">1 0 24575,'0'0'0</inkml:trace>
</inkml:ink>
</file>

<file path=xl/ink/ink10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81"/>
    </inkml:context>
    <inkml:brush xml:id="br0">
      <inkml:brushProperty name="width" value="0.05" units="cm"/>
      <inkml:brushProperty name="height" value="0.05" units="cm"/>
    </inkml:brush>
  </inkml:definitions>
  <inkml:trace contextRef="#ctx0" brushRef="#br0">0 0 24575,'0'0'0</inkml:trace>
</inkml:ink>
</file>

<file path=xl/ink/ink10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82"/>
    </inkml:context>
    <inkml:brush xml:id="br0">
      <inkml:brushProperty name="width" value="0.05" units="cm"/>
      <inkml:brushProperty name="height" value="0.05" units="cm"/>
    </inkml:brush>
  </inkml:definitions>
  <inkml:trace contextRef="#ctx0" brushRef="#br0">1 0 24575,'0'0'0</inkml:trace>
</inkml:ink>
</file>

<file path=xl/ink/ink10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83"/>
    </inkml:context>
    <inkml:brush xml:id="br0">
      <inkml:brushProperty name="width" value="0.05" units="cm"/>
      <inkml:brushProperty name="height" value="0.05" units="cm"/>
    </inkml:brush>
  </inkml:definitions>
  <inkml:trace contextRef="#ctx0" brushRef="#br0">1 0 24575,'0'0'0</inkml:trace>
</inkml:ink>
</file>

<file path=xl/ink/ink10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90"/>
    </inkml:context>
    <inkml:brush xml:id="br0">
      <inkml:brushProperty name="width" value="0.05" units="cm"/>
      <inkml:brushProperty name="height" value="0.05" units="cm"/>
    </inkml:brush>
  </inkml:definitions>
  <inkml:trace contextRef="#ctx0" brushRef="#br0">0 0 24575,'0'0'0</inkml:trace>
</inkml:ink>
</file>

<file path=xl/ink/ink10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91"/>
    </inkml:context>
    <inkml:brush xml:id="br0">
      <inkml:brushProperty name="width" value="0.05" units="cm"/>
      <inkml:brushProperty name="height" value="0.05" units="cm"/>
    </inkml:brush>
  </inkml:definitions>
  <inkml:trace contextRef="#ctx0" brushRef="#br0">1 0 24575,'0'0'0</inkml:trace>
</inkml:ink>
</file>

<file path=xl/ink/ink10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92"/>
    </inkml:context>
    <inkml:brush xml:id="br0">
      <inkml:brushProperty name="width" value="0.05" units="cm"/>
      <inkml:brushProperty name="height" value="0.05" units="cm"/>
    </inkml:brush>
  </inkml:definitions>
  <inkml:trace contextRef="#ctx0" brushRef="#br0">1 0 24575,'0'0'0</inkml:trace>
</inkml:ink>
</file>

<file path=xl/ink/ink10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799"/>
    </inkml:context>
    <inkml:brush xml:id="br0">
      <inkml:brushProperty name="width" value="0.05" units="cm"/>
      <inkml:brushProperty name="height" value="0.05" units="cm"/>
    </inkml:brush>
  </inkml:definitions>
  <inkml:trace contextRef="#ctx0" brushRef="#br0">0 0 24575,'0'0'0</inkml:trace>
</inkml:ink>
</file>

<file path=xl/ink/ink10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00"/>
    </inkml:context>
    <inkml:brush xml:id="br0">
      <inkml:brushProperty name="width" value="0.05" units="cm"/>
      <inkml:brushProperty name="height" value="0.05" units="cm"/>
    </inkml:brush>
  </inkml:definitions>
  <inkml:trace contextRef="#ctx0" brushRef="#br0">1 0 24575,'0'0'0</inkml:trace>
</inkml:ink>
</file>

<file path=xl/ink/ink10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01"/>
    </inkml:context>
    <inkml:brush xml:id="br0">
      <inkml:brushProperty name="width" value="0.05" units="cm"/>
      <inkml:brushProperty name="height" value="0.05" units="cm"/>
    </inkml:brush>
  </inkml:definitions>
  <inkml:trace contextRef="#ctx0" brushRef="#br0">1 0 24575,'0'0'0</inkml:trace>
</inkml:ink>
</file>

<file path=xl/ink/ink10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08"/>
    </inkml:context>
    <inkml:brush xml:id="br0">
      <inkml:brushProperty name="width" value="0.05" units="cm"/>
      <inkml:brushProperty name="height" value="0.05" units="cm"/>
    </inkml:brush>
  </inkml:definitions>
  <inkml:trace contextRef="#ctx0" brushRef="#br0">0 0 24575,'0'0'0</inkml:trace>
</inkml:ink>
</file>

<file path=xl/ink/ink10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09"/>
    </inkml:context>
    <inkml:brush xml:id="br0">
      <inkml:brushProperty name="width" value="0.05" units="cm"/>
      <inkml:brushProperty name="height" value="0.05" units="cm"/>
    </inkml:brush>
  </inkml:definitions>
  <inkml:trace contextRef="#ctx0" brushRef="#br0">1 0 24575,'0'0'0</inkml:trace>
</inkml:ink>
</file>

<file path=xl/ink/ink10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10"/>
    </inkml:context>
    <inkml:brush xml:id="br0">
      <inkml:brushProperty name="width" value="0.05" units="cm"/>
      <inkml:brushProperty name="height" value="0.05" units="cm"/>
    </inkml:brush>
  </inkml:definitions>
  <inkml:trace contextRef="#ctx0" brushRef="#br0">1 0 24575,'0'0'0</inkml:trace>
</inkml:ink>
</file>

<file path=xl/ink/ink10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17"/>
    </inkml:context>
    <inkml:brush xml:id="br0">
      <inkml:brushProperty name="width" value="0.05" units="cm"/>
      <inkml:brushProperty name="height" value="0.05" units="cm"/>
    </inkml:brush>
  </inkml:definitions>
  <inkml:trace contextRef="#ctx0" brushRef="#br0">0 0 24575,'0'0'0</inkml:trace>
</inkml:ink>
</file>

<file path=xl/ink/ink10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18"/>
    </inkml:context>
    <inkml:brush xml:id="br0">
      <inkml:brushProperty name="width" value="0.05" units="cm"/>
      <inkml:brushProperty name="height" value="0.05" units="cm"/>
    </inkml:brush>
  </inkml:definitions>
  <inkml:trace contextRef="#ctx0" brushRef="#br0">1 0 24575,'0'0'0</inkml:trace>
</inkml:ink>
</file>

<file path=xl/ink/ink10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19"/>
    </inkml:context>
    <inkml:brush xml:id="br0">
      <inkml:brushProperty name="width" value="0.05" units="cm"/>
      <inkml:brushProperty name="height" value="0.05" units="cm"/>
    </inkml:brush>
  </inkml:definitions>
  <inkml:trace contextRef="#ctx0" brushRef="#br0">1 0 24575,'0'0'0</inkml:trace>
</inkml:ink>
</file>

<file path=xl/ink/ink10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26"/>
    </inkml:context>
    <inkml:brush xml:id="br0">
      <inkml:brushProperty name="width" value="0.05" units="cm"/>
      <inkml:brushProperty name="height" value="0.05" units="cm"/>
    </inkml:brush>
  </inkml:definitions>
  <inkml:trace contextRef="#ctx0" brushRef="#br0">0 0 24575,'0'0'0</inkml:trace>
</inkml:ink>
</file>

<file path=xl/ink/ink10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27"/>
    </inkml:context>
    <inkml:brush xml:id="br0">
      <inkml:brushProperty name="width" value="0.05" units="cm"/>
      <inkml:brushProperty name="height" value="0.05" units="cm"/>
    </inkml:brush>
  </inkml:definitions>
  <inkml:trace contextRef="#ctx0" brushRef="#br0">1 0 24575,'0'0'0</inkml:trace>
</inkml:ink>
</file>

<file path=xl/ink/ink10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28"/>
    </inkml:context>
    <inkml:brush xml:id="br0">
      <inkml:brushProperty name="width" value="0.05" units="cm"/>
      <inkml:brushProperty name="height" value="0.05" units="cm"/>
    </inkml:brush>
  </inkml:definitions>
  <inkml:trace contextRef="#ctx0" brushRef="#br0">1 0 24575,'0'0'0</inkml:trace>
</inkml:ink>
</file>

<file path=xl/ink/ink10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37"/>
    </inkml:context>
    <inkml:brush xml:id="br0">
      <inkml:brushProperty name="width" value="0.05" units="cm"/>
      <inkml:brushProperty name="height" value="0.05" units="cm"/>
    </inkml:brush>
  </inkml:definitions>
  <inkml:trace contextRef="#ctx0" brushRef="#br0">0 0 24575,'0'0'0</inkml:trace>
</inkml:ink>
</file>

<file path=xl/ink/ink10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38"/>
    </inkml:context>
    <inkml:brush xml:id="br0">
      <inkml:brushProperty name="width" value="0.05" units="cm"/>
      <inkml:brushProperty name="height" value="0.05" units="cm"/>
    </inkml:brush>
  </inkml:definitions>
  <inkml:trace contextRef="#ctx0" brushRef="#br0">1 0 24575,'0'0'0</inkml:trace>
</inkml:ink>
</file>

<file path=xl/ink/ink10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39"/>
    </inkml:context>
    <inkml:brush xml:id="br0">
      <inkml:brushProperty name="width" value="0.05" units="cm"/>
      <inkml:brushProperty name="height" value="0.05" units="cm"/>
    </inkml:brush>
  </inkml:definitions>
  <inkml:trace contextRef="#ctx0" brushRef="#br0">1 0 24575,'0'0'0</inkml:trace>
</inkml:ink>
</file>

<file path=xl/ink/ink10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46"/>
    </inkml:context>
    <inkml:brush xml:id="br0">
      <inkml:brushProperty name="width" value="0.05" units="cm"/>
      <inkml:brushProperty name="height" value="0.05" units="cm"/>
    </inkml:brush>
  </inkml:definitions>
  <inkml:trace contextRef="#ctx0" brushRef="#br0">0 0 24575,'0'0'0</inkml:trace>
</inkml:ink>
</file>

<file path=xl/ink/ink1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47"/>
    </inkml:context>
    <inkml:brush xml:id="br0">
      <inkml:brushProperty name="width" value="0.05" units="cm"/>
      <inkml:brushProperty name="height" value="0.05" units="cm"/>
    </inkml:brush>
  </inkml:definitions>
  <inkml:trace contextRef="#ctx0" brushRef="#br0">1 0 24575,'0'0'0</inkml:trace>
</inkml:ink>
</file>

<file path=xl/ink/ink1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48"/>
    </inkml:context>
    <inkml:brush xml:id="br0">
      <inkml:brushProperty name="width" value="0.05" units="cm"/>
      <inkml:brushProperty name="height" value="0.05" units="cm"/>
    </inkml:brush>
  </inkml:definitions>
  <inkml:trace contextRef="#ctx0" brushRef="#br0">1 0 24575,'0'0'0</inkml:trace>
</inkml:ink>
</file>

<file path=xl/ink/ink1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56"/>
    </inkml:context>
    <inkml:brush xml:id="br0">
      <inkml:brushProperty name="width" value="0.05" units="cm"/>
      <inkml:brushProperty name="height" value="0.05" units="cm"/>
    </inkml:brush>
  </inkml:definitions>
  <inkml:trace contextRef="#ctx0" brushRef="#br0">0 0 24575,'0'0'0</inkml:trace>
</inkml:ink>
</file>

<file path=xl/ink/ink1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57"/>
    </inkml:context>
    <inkml:brush xml:id="br0">
      <inkml:brushProperty name="width" value="0.05" units="cm"/>
      <inkml:brushProperty name="height" value="0.05" units="cm"/>
    </inkml:brush>
  </inkml:definitions>
  <inkml:trace contextRef="#ctx0" brushRef="#br0">1 0 24575,'0'0'0</inkml:trace>
</inkml:ink>
</file>

<file path=xl/ink/ink1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58"/>
    </inkml:context>
    <inkml:brush xml:id="br0">
      <inkml:brushProperty name="width" value="0.05" units="cm"/>
      <inkml:brushProperty name="height" value="0.05" units="cm"/>
    </inkml:brush>
  </inkml:definitions>
  <inkml:trace contextRef="#ctx0" brushRef="#br0">1 0 24575,'0'0'0</inkml:trace>
</inkml:ink>
</file>

<file path=xl/ink/ink1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65"/>
    </inkml:context>
    <inkml:brush xml:id="br0">
      <inkml:brushProperty name="width" value="0.05" units="cm"/>
      <inkml:brushProperty name="height" value="0.05" units="cm"/>
    </inkml:brush>
  </inkml:definitions>
  <inkml:trace contextRef="#ctx0" brushRef="#br0">0 0 24575,'0'0'0</inkml:trace>
</inkml:ink>
</file>

<file path=xl/ink/ink1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66"/>
    </inkml:context>
    <inkml:brush xml:id="br0">
      <inkml:brushProperty name="width" value="0.05" units="cm"/>
      <inkml:brushProperty name="height" value="0.05" units="cm"/>
    </inkml:brush>
  </inkml:definitions>
  <inkml:trace contextRef="#ctx0" brushRef="#br0">1 0 24575,'0'0'0</inkml:trace>
</inkml:ink>
</file>

<file path=xl/ink/ink1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67"/>
    </inkml:context>
    <inkml:brush xml:id="br0">
      <inkml:brushProperty name="width" value="0.05" units="cm"/>
      <inkml:brushProperty name="height" value="0.05" units="cm"/>
    </inkml:brush>
  </inkml:definitions>
  <inkml:trace contextRef="#ctx0" brushRef="#br0">1 0 24575,'0'0'0</inkml:trace>
</inkml:ink>
</file>

<file path=xl/ink/ink1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76"/>
    </inkml:context>
    <inkml:brush xml:id="br0">
      <inkml:brushProperty name="width" value="0.05" units="cm"/>
      <inkml:brushProperty name="height" value="0.05" units="cm"/>
    </inkml:brush>
  </inkml:definitions>
  <inkml:trace contextRef="#ctx0" brushRef="#br0">0 0 24575,'0'0'0</inkml:trace>
</inkml:ink>
</file>

<file path=xl/ink/ink1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77"/>
    </inkml:context>
    <inkml:brush xml:id="br0">
      <inkml:brushProperty name="width" value="0.05" units="cm"/>
      <inkml:brushProperty name="height" value="0.05" units="cm"/>
    </inkml:brush>
  </inkml:definitions>
  <inkml:trace contextRef="#ctx0" brushRef="#br0">1 0 24575,'0'0'0</inkml:trace>
</inkml:ink>
</file>

<file path=xl/ink/ink1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78"/>
    </inkml:context>
    <inkml:brush xml:id="br0">
      <inkml:brushProperty name="width" value="0.05" units="cm"/>
      <inkml:brushProperty name="height" value="0.05" units="cm"/>
    </inkml:brush>
  </inkml:definitions>
  <inkml:trace contextRef="#ctx0" brushRef="#br0">1 0 24575,'0'0'0</inkml:trace>
</inkml:ink>
</file>

<file path=xl/ink/ink1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85"/>
    </inkml:context>
    <inkml:brush xml:id="br0">
      <inkml:brushProperty name="width" value="0.05" units="cm"/>
      <inkml:brushProperty name="height" value="0.05" units="cm"/>
    </inkml:brush>
  </inkml:definitions>
  <inkml:trace contextRef="#ctx0" brushRef="#br0">0 0 24575,'0'0'0</inkml:trace>
</inkml:ink>
</file>

<file path=xl/ink/ink1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86"/>
    </inkml:context>
    <inkml:brush xml:id="br0">
      <inkml:brushProperty name="width" value="0.05" units="cm"/>
      <inkml:brushProperty name="height" value="0.05" units="cm"/>
    </inkml:brush>
  </inkml:definitions>
  <inkml:trace contextRef="#ctx0" brushRef="#br0">1 0 24575,'0'0'0</inkml:trace>
</inkml:ink>
</file>

<file path=xl/ink/ink1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87"/>
    </inkml:context>
    <inkml:brush xml:id="br0">
      <inkml:brushProperty name="width" value="0.05" units="cm"/>
      <inkml:brushProperty name="height" value="0.05" units="cm"/>
    </inkml:brush>
  </inkml:definitions>
  <inkml:trace contextRef="#ctx0" brushRef="#br0">1 0 24575,'0'0'0</inkml:trace>
</inkml:ink>
</file>

<file path=xl/ink/ink1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95"/>
    </inkml:context>
    <inkml:brush xml:id="br0">
      <inkml:brushProperty name="width" value="0.05" units="cm"/>
      <inkml:brushProperty name="height" value="0.05" units="cm"/>
    </inkml:brush>
  </inkml:definitions>
  <inkml:trace contextRef="#ctx0" brushRef="#br0">0 0 24575,'0'0'0</inkml:trace>
</inkml:ink>
</file>

<file path=xl/ink/ink1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96"/>
    </inkml:context>
    <inkml:brush xml:id="br0">
      <inkml:brushProperty name="width" value="0.05" units="cm"/>
      <inkml:brushProperty name="height" value="0.05" units="cm"/>
    </inkml:brush>
  </inkml:definitions>
  <inkml:trace contextRef="#ctx0" brushRef="#br0">1 0 24575,'0'0'0</inkml:trace>
</inkml:ink>
</file>

<file path=xl/ink/ink1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897"/>
    </inkml:context>
    <inkml:brush xml:id="br0">
      <inkml:brushProperty name="width" value="0.05" units="cm"/>
      <inkml:brushProperty name="height" value="0.05" units="cm"/>
    </inkml:brush>
  </inkml:definitions>
  <inkml:trace contextRef="#ctx0" brushRef="#br0">1 0 24575,'0'0'0</inkml:trace>
</inkml:ink>
</file>

<file path=xl/ink/ink1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04"/>
    </inkml:context>
    <inkml:brush xml:id="br0">
      <inkml:brushProperty name="width" value="0.05" units="cm"/>
      <inkml:brushProperty name="height" value="0.05" units="cm"/>
    </inkml:brush>
  </inkml:definitions>
  <inkml:trace contextRef="#ctx0" brushRef="#br0">0 0 24575,'0'0'0</inkml:trace>
</inkml:ink>
</file>

<file path=xl/ink/ink1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05"/>
    </inkml:context>
    <inkml:brush xml:id="br0">
      <inkml:brushProperty name="width" value="0.05" units="cm"/>
      <inkml:brushProperty name="height" value="0.05" units="cm"/>
    </inkml:brush>
  </inkml:definitions>
  <inkml:trace contextRef="#ctx0" brushRef="#br0">1 0 24575,'0'0'0</inkml:trace>
</inkml:ink>
</file>

<file path=xl/ink/ink1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06"/>
    </inkml:context>
    <inkml:brush xml:id="br0">
      <inkml:brushProperty name="width" value="0.05" units="cm"/>
      <inkml:brushProperty name="height" value="0.05" units="cm"/>
    </inkml:brush>
  </inkml:definitions>
  <inkml:trace contextRef="#ctx0" brushRef="#br0">1 0 24575,'0'0'0</inkml:trace>
</inkml:ink>
</file>

<file path=xl/ink/ink1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14"/>
    </inkml:context>
    <inkml:brush xml:id="br0">
      <inkml:brushProperty name="width" value="0.05" units="cm"/>
      <inkml:brushProperty name="height" value="0.05" units="cm"/>
    </inkml:brush>
  </inkml:definitions>
  <inkml:trace contextRef="#ctx0" brushRef="#br0">0 0 24575,'0'0'0</inkml:trace>
</inkml:ink>
</file>

<file path=xl/ink/ink1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15"/>
    </inkml:context>
    <inkml:brush xml:id="br0">
      <inkml:brushProperty name="width" value="0.05" units="cm"/>
      <inkml:brushProperty name="height" value="0.05" units="cm"/>
    </inkml:brush>
  </inkml:definitions>
  <inkml:trace contextRef="#ctx0" brushRef="#br0">1 0 24575,'0'0'0</inkml:trace>
</inkml:ink>
</file>

<file path=xl/ink/ink1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16"/>
    </inkml:context>
    <inkml:brush xml:id="br0">
      <inkml:brushProperty name="width" value="0.05" units="cm"/>
      <inkml:brushProperty name="height" value="0.05" units="cm"/>
    </inkml:brush>
  </inkml:definitions>
  <inkml:trace contextRef="#ctx0" brushRef="#br0">1 0 24575,'0'0'0</inkml:trace>
</inkml:ink>
</file>

<file path=xl/ink/ink1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23"/>
    </inkml:context>
    <inkml:brush xml:id="br0">
      <inkml:brushProperty name="width" value="0.05" units="cm"/>
      <inkml:brushProperty name="height" value="0.05" units="cm"/>
    </inkml:brush>
  </inkml:definitions>
  <inkml:trace contextRef="#ctx0" brushRef="#br0">0 0 24575,'0'0'0</inkml:trace>
</inkml:ink>
</file>

<file path=xl/ink/ink1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24"/>
    </inkml:context>
    <inkml:brush xml:id="br0">
      <inkml:brushProperty name="width" value="0.05" units="cm"/>
      <inkml:brushProperty name="height" value="0.05" units="cm"/>
    </inkml:brush>
  </inkml:definitions>
  <inkml:trace contextRef="#ctx0" brushRef="#br0">1 0 24575,'0'0'0</inkml:trace>
</inkml:ink>
</file>

<file path=xl/ink/ink1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25"/>
    </inkml:context>
    <inkml:brush xml:id="br0">
      <inkml:brushProperty name="width" value="0.05" units="cm"/>
      <inkml:brushProperty name="height" value="0.05" units="cm"/>
    </inkml:brush>
  </inkml:definitions>
  <inkml:trace contextRef="#ctx0" brushRef="#br0">1 0 24575,'0'0'0</inkml:trace>
</inkml:ink>
</file>

<file path=xl/ink/ink1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33"/>
    </inkml:context>
    <inkml:brush xml:id="br0">
      <inkml:brushProperty name="width" value="0.05" units="cm"/>
      <inkml:brushProperty name="height" value="0.05" units="cm"/>
    </inkml:brush>
  </inkml:definitions>
  <inkml:trace contextRef="#ctx0" brushRef="#br0">0 0 24575,'0'0'0</inkml:trace>
</inkml:ink>
</file>

<file path=xl/ink/ink1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34"/>
    </inkml:context>
    <inkml:brush xml:id="br0">
      <inkml:brushProperty name="width" value="0.05" units="cm"/>
      <inkml:brushProperty name="height" value="0.05" units="cm"/>
    </inkml:brush>
  </inkml:definitions>
  <inkml:trace contextRef="#ctx0" brushRef="#br0">1 0 24575,'0'0'0</inkml:trace>
</inkml:ink>
</file>

<file path=xl/ink/ink1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35"/>
    </inkml:context>
    <inkml:brush xml:id="br0">
      <inkml:brushProperty name="width" value="0.05" units="cm"/>
      <inkml:brushProperty name="height" value="0.05" units="cm"/>
    </inkml:brush>
  </inkml:definitions>
  <inkml:trace contextRef="#ctx0" brushRef="#br0">1 0 24575,'0'0'0</inkml:trace>
</inkml:ink>
</file>

<file path=xl/ink/ink1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42"/>
    </inkml:context>
    <inkml:brush xml:id="br0">
      <inkml:brushProperty name="width" value="0.05" units="cm"/>
      <inkml:brushProperty name="height" value="0.05" units="cm"/>
    </inkml:brush>
  </inkml:definitions>
  <inkml:trace contextRef="#ctx0" brushRef="#br0">0 0 24575,'0'0'0</inkml:trace>
</inkml:ink>
</file>

<file path=xl/ink/ink1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43"/>
    </inkml:context>
    <inkml:brush xml:id="br0">
      <inkml:brushProperty name="width" value="0.05" units="cm"/>
      <inkml:brushProperty name="height" value="0.05" units="cm"/>
    </inkml:brush>
  </inkml:definitions>
  <inkml:trace contextRef="#ctx0" brushRef="#br0">1 0 24575,'0'0'0</inkml:trace>
</inkml:ink>
</file>

<file path=xl/ink/ink1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44"/>
    </inkml:context>
    <inkml:brush xml:id="br0">
      <inkml:brushProperty name="width" value="0.05" units="cm"/>
      <inkml:brushProperty name="height" value="0.05" units="cm"/>
    </inkml:brush>
  </inkml:definitions>
  <inkml:trace contextRef="#ctx0" brushRef="#br0">1 0 24575,'0'0'0</inkml:trace>
</inkml:ink>
</file>

<file path=xl/ink/ink1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52"/>
    </inkml:context>
    <inkml:brush xml:id="br0">
      <inkml:brushProperty name="width" value="0.05" units="cm"/>
      <inkml:brushProperty name="height" value="0.05" units="cm"/>
    </inkml:brush>
  </inkml:definitions>
  <inkml:trace contextRef="#ctx0" brushRef="#br0">0 0 24575,'0'0'0</inkml:trace>
</inkml:ink>
</file>

<file path=xl/ink/ink1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53"/>
    </inkml:context>
    <inkml:brush xml:id="br0">
      <inkml:brushProperty name="width" value="0.05" units="cm"/>
      <inkml:brushProperty name="height" value="0.05" units="cm"/>
    </inkml:brush>
  </inkml:definitions>
  <inkml:trace contextRef="#ctx0" brushRef="#br0">1 0 24575,'0'0'0</inkml:trace>
</inkml:ink>
</file>

<file path=xl/ink/ink1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54"/>
    </inkml:context>
    <inkml:brush xml:id="br0">
      <inkml:brushProperty name="width" value="0.05" units="cm"/>
      <inkml:brushProperty name="height" value="0.05" units="cm"/>
    </inkml:brush>
  </inkml:definitions>
  <inkml:trace contextRef="#ctx0" brushRef="#br0">1 0 24575,'0'0'0</inkml:trace>
</inkml:ink>
</file>

<file path=xl/ink/ink1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62"/>
    </inkml:context>
    <inkml:brush xml:id="br0">
      <inkml:brushProperty name="width" value="0.05" units="cm"/>
      <inkml:brushProperty name="height" value="0.05" units="cm"/>
    </inkml:brush>
  </inkml:definitions>
  <inkml:trace contextRef="#ctx0" brushRef="#br0">0 0 24575,'0'0'0</inkml:trace>
</inkml:ink>
</file>

<file path=xl/ink/ink1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63"/>
    </inkml:context>
    <inkml:brush xml:id="br0">
      <inkml:brushProperty name="width" value="0.05" units="cm"/>
      <inkml:brushProperty name="height" value="0.05" units="cm"/>
    </inkml:brush>
  </inkml:definitions>
  <inkml:trace contextRef="#ctx0" brushRef="#br0">1 0 24575,'0'0'0</inkml:trace>
</inkml:ink>
</file>

<file path=xl/ink/ink1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8-01T15:31:20.964"/>
    </inkml:context>
    <inkml:brush xml:id="br0">
      <inkml:brushProperty name="width" value="0.05" units="cm"/>
      <inkml:brushProperty name="height" value="0.05" units="cm"/>
    </inkml:brush>
  </inkml:definitions>
  <inkml:trace contextRef="#ctx0" brushRef="#br0">1 0 24575,'0'0'0</inkml:trace>
</inkml:ink>
</file>

<file path=xl/persons/person.xml><?xml version="1.0" encoding="utf-8"?>
<personList xmlns="http://schemas.microsoft.com/office/spreadsheetml/2018/threadedcomments" xmlns:x="http://schemas.openxmlformats.org/spreadsheetml/2006/main">
  <person displayName="R Loyd" id="{F58423EC-3A33-B34E-A681-7885EE13C2C1}" userId="0611d45168e712f1"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Loyd" refreshedDate="44359.748912847223" createdVersion="7" refreshedVersion="7" minRefreshableVersion="3" recordCount="423" xr:uid="{940A2615-A6E4-084F-928A-5BCF11409E86}">
  <cacheSource type="worksheet">
    <worksheetSource ref="B1:W430" sheet="All Girls &amp; Descendants"/>
  </cacheSource>
  <cacheFields count="21">
    <cacheField name="Loyd #" numFmtId="0">
      <sharedItems containsSemiMixedTypes="0" containsString="0" containsNumber="1" containsInteger="1" minValue="2" maxValue="182" count="75">
        <n v="2"/>
        <n v="5"/>
        <n v="7"/>
        <n v="11"/>
        <n v="12"/>
        <n v="15"/>
        <n v="16"/>
        <n v="18"/>
        <n v="19"/>
        <n v="24"/>
        <n v="26"/>
        <n v="31"/>
        <n v="36"/>
        <n v="37"/>
        <n v="38"/>
        <n v="39"/>
        <n v="40"/>
        <n v="42"/>
        <n v="43"/>
        <n v="47"/>
        <n v="48"/>
        <n v="49"/>
        <n v="59"/>
        <n v="60"/>
        <n v="63"/>
        <n v="64"/>
        <n v="65"/>
        <n v="70"/>
        <n v="74"/>
        <n v="85"/>
        <n v="88"/>
        <n v="90"/>
        <n v="92"/>
        <n v="93"/>
        <n v="95"/>
        <n v="97"/>
        <n v="101"/>
        <n v="102"/>
        <n v="103"/>
        <n v="106"/>
        <n v="107"/>
        <n v="108"/>
        <n v="109"/>
        <n v="110"/>
        <n v="112"/>
        <n v="115"/>
        <n v="116"/>
        <n v="118"/>
        <n v="120"/>
        <n v="123"/>
        <n v="125"/>
        <n v="128"/>
        <n v="129"/>
        <n v="137"/>
        <n v="140"/>
        <n v="141"/>
        <n v="143"/>
        <n v="147"/>
        <n v="151"/>
        <n v="152"/>
        <n v="154"/>
        <n v="156"/>
        <n v="157"/>
        <n v="158"/>
        <n v="159"/>
        <n v="161"/>
        <n v="163"/>
        <n v="164"/>
        <n v="165"/>
        <n v="168"/>
        <n v="170"/>
        <n v="172"/>
        <n v="174"/>
        <n v="181"/>
        <n v="182"/>
      </sharedItems>
    </cacheField>
    <cacheField name="Surname" numFmtId="0">
      <sharedItems/>
    </cacheField>
    <cacheField name="1st Name" numFmtId="0">
      <sharedItems containsBlank="1"/>
    </cacheField>
    <cacheField name="2nd Name" numFmtId="0">
      <sharedItems containsBlank="1"/>
    </cacheField>
    <cacheField name="3rd Name" numFmtId="0">
      <sharedItems containsBlank="1"/>
    </cacheField>
    <cacheField name="Year of Birth" numFmtId="0">
      <sharedItems containsBlank="1" containsMixedTypes="1" containsNumber="1" containsInteger="1" minValue="1912" maxValue="2000"/>
    </cacheField>
    <cacheField name="Year of Death" numFmtId="0">
      <sharedItems containsBlank="1" containsMixedTypes="1" containsNumber="1" containsInteger="1" minValue="1900" maxValue="2018"/>
    </cacheField>
    <cacheField name="Forename (Loyd#) Yr of B" numFmtId="2">
      <sharedItems containsBlank="1"/>
    </cacheField>
    <cacheField name="DoB" numFmtId="0">
      <sharedItems containsDate="1" containsBlank="1" containsMixedTypes="1" minDate="1900-01-10T02:37:04" maxDate="1900-01-10T02:46:04"/>
    </cacheField>
    <cacheField name="Dob Entered" numFmtId="0">
      <sharedItems containsDate="1" containsBlank="1" containsMixedTypes="1" minDate="1900-11-02T00:00:00" maxDate="2000-07-23T00:00:00"/>
    </cacheField>
    <cacheField name="DoM " numFmtId="0">
      <sharedItems containsDate="1" containsBlank="1" containsMixedTypes="1" minDate="1901-07-10T00:00:00" maxDate="1999-06-27T00:00:00"/>
    </cacheField>
    <cacheField name="DoD" numFmtId="0">
      <sharedItems containsDate="1" containsBlank="1" containsMixedTypes="1" minDate="1900-09-16T00:00:00" maxDate="2018-12-02T00:00:00"/>
    </cacheField>
    <cacheField name="Loyd ##" numFmtId="1">
      <sharedItems containsMixedTypes="1" containsNumber="1" containsInteger="1" minValue="2" maxValue="182"/>
    </cacheField>
    <cacheField name="Name" numFmtId="2">
      <sharedItems containsBlank="1"/>
    </cacheField>
    <cacheField name="PARENT's Loyd #" numFmtId="0">
      <sharedItems containsBlank="1" containsMixedTypes="1" containsNumber="1" containsInteger="1" minValue="1" maxValue="150"/>
    </cacheField>
    <cacheField name="Father's Name" numFmtId="0">
      <sharedItems containsBlank="1"/>
    </cacheField>
    <cacheField name="Gender" numFmtId="0">
      <sharedItems containsBlank="1" count="3">
        <s v="Girl"/>
        <s v="Boy"/>
        <m u="1"/>
      </sharedItems>
    </cacheField>
    <cacheField name="Generation" numFmtId="0">
      <sharedItems containsSemiMixedTypes="0" containsString="0" containsNumber="1" containsInteger="1" minValue="1" maxValue="9"/>
    </cacheField>
    <cacheField name="Length" numFmtId="0">
      <sharedItems containsSemiMixedTypes="0" containsString="0" containsNumber="1" containsInteger="1" minValue="1" maxValue="7"/>
    </cacheField>
    <cacheField name="Loyd Descendant Generation" numFmtId="0">
      <sharedItems containsSemiMixedTypes="0" containsString="0" containsNumber="1" containsInteger="1" minValue="1" maxValue="7"/>
    </cacheField>
    <cacheField name="1=Child of Loyd" numFmtId="1">
      <sharedItems containsMixedTypes="1" containsNumber="1" containsInteger="1" minValue="0" maxValue="6" count="8">
        <s v="SELF"/>
        <n v="1"/>
        <n v="2"/>
        <n v="3"/>
        <n v="4"/>
        <n v="5"/>
        <n v="6"/>
        <n v="0"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Loyd" refreshedDate="44511.859694791667" createdVersion="7" refreshedVersion="7" minRefreshableVersion="3" recordCount="191" xr:uid="{D5790674-29C6-F548-96E4-BC727AA22369}">
  <cacheSource type="worksheet">
    <worksheetSource ref="A1:D220" sheet="Siblings of those BORN Loyd"/>
  </cacheSource>
  <cacheFields count="4">
    <cacheField name="Loyd #" numFmtId="0">
      <sharedItems containsString="0" containsBlank="1" containsNumber="1" containsInteger="1" minValue="1" maxValue="190" count="1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m/>
      </sharedItems>
    </cacheField>
    <cacheField name="Name" numFmtId="0">
      <sharedItems containsBlank="1"/>
    </cacheField>
    <cacheField name="Father's Loyd #" numFmtId="0">
      <sharedItems containsString="0" containsBlank="1" containsNumber="1" containsInteger="1" minValue="0" maxValue="167" count="60">
        <n v="0"/>
        <n v="1"/>
        <n v="3"/>
        <n v="4"/>
        <n v="8"/>
        <n v="9"/>
        <n v="14"/>
        <n v="22"/>
        <n v="23"/>
        <n v="28"/>
        <n v="41"/>
        <n v="32"/>
        <n v="35"/>
        <n v="30"/>
        <n v="34"/>
        <n v="44"/>
        <n v="45"/>
        <n v="46"/>
        <n v="29"/>
        <n v="56"/>
        <n v="71"/>
        <n v="66"/>
        <n v="54"/>
        <n v="52"/>
        <n v="68"/>
        <n v="53"/>
        <n v="77"/>
        <n v="62"/>
        <n v="72"/>
        <n v="76"/>
        <n v="55"/>
        <n v="80"/>
        <n v="78"/>
        <n v="96"/>
        <n v="105"/>
        <n v="89"/>
        <n v="94"/>
        <n v="86"/>
        <n v="98"/>
        <n v="99"/>
        <n v="100"/>
        <n v="104"/>
        <n v="117"/>
        <n v="113"/>
        <n v="119"/>
        <n v="114"/>
        <n v="131"/>
        <n v="136"/>
        <n v="130"/>
        <n v="138"/>
        <n v="121"/>
        <n v="135"/>
        <n v="142"/>
        <n v="150"/>
        <n v="146"/>
        <n v="155"/>
        <n v="149"/>
        <n v="167"/>
        <n v="162"/>
        <m/>
      </sharedItems>
    </cacheField>
    <cacheField name="GParent #" numFmtId="0">
      <sharedItems containsString="0" containsBlank="1" containsNumber="1" containsInteger="1" minValue="-1" maxValue="13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Loyd" refreshedDate="44545.960851041666" createdVersion="7" refreshedVersion="7" minRefreshableVersion="3" recordCount="197" xr:uid="{FA8FF544-B708-3940-936C-AF7DAE94261A}">
  <cacheSource type="worksheet">
    <worksheetSource ref="A1:D220" sheet="Grandchildren of Male Loyds"/>
  </cacheSource>
  <cacheFields count="4">
    <cacheField name="Loyd #" numFmtId="0">
      <sharedItems containsString="0" containsBlank="1" containsNumber="1" containsInteger="1" minValue="1" maxValue="190" count="1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m/>
      </sharedItems>
    </cacheField>
    <cacheField name="Name" numFmtId="0">
      <sharedItems containsBlank="1"/>
    </cacheField>
    <cacheField name="Father's Loyd #" numFmtId="0">
      <sharedItems containsString="0" containsBlank="1" containsNumber="1" containsInteger="1" minValue="0" maxValue="167"/>
    </cacheField>
    <cacheField name="GParent #" numFmtId="0">
      <sharedItems containsString="0" containsBlank="1" containsNumber="1" containsInteger="1" minValue="-1" maxValue="131" count="38">
        <n v="-1"/>
        <n v="0"/>
        <n v="1"/>
        <n v="3"/>
        <n v="4"/>
        <n v="8"/>
        <n v="14"/>
        <n v="22"/>
        <n v="23"/>
        <n v="28"/>
        <n v="34"/>
        <n v="44"/>
        <n v="32"/>
        <n v="41"/>
        <n v="45"/>
        <n v="30"/>
        <n v="35"/>
        <n v="29"/>
        <n v="46"/>
        <n v="66"/>
        <n v="77"/>
        <n v="54"/>
        <n v="68"/>
        <n v="71"/>
        <n v="56"/>
        <n v="72"/>
        <n v="55"/>
        <n v="78"/>
        <n v="80"/>
        <n v="94"/>
        <n v="86"/>
        <n v="100"/>
        <n v="96"/>
        <n v="104"/>
        <n v="119"/>
        <n v="113"/>
        <n v="131"/>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Loyd" refreshedDate="44733.538125810184" createdVersion="8" refreshedVersion="8" minRefreshableVersion="3" recordCount="148" xr:uid="{2C928F30-D58E-9B4E-8B7C-22385BE695D4}">
  <cacheSource type="worksheet">
    <worksheetSource ref="U3:Y151" sheet="Grandchildren of Female Loyds"/>
  </cacheSource>
  <cacheFields count="5">
    <cacheField name="Grandchild Number" numFmtId="0">
      <sharedItems containsSemiMixedTypes="0" containsString="0" containsNumber="1" containsInteger="1" minValue="211" maxValue="14311" count="150">
        <n v="211"/>
        <n v="231"/>
        <n v="1821"/>
        <n v="1822"/>
        <n v="1823"/>
        <n v="1824"/>
        <n v="1851"/>
        <n v="3611"/>
        <n v="3612"/>
        <n v="3641"/>
        <n v="3642"/>
        <n v="4711"/>
        <n v="4712"/>
        <n v="6311"/>
        <n v="6312"/>
        <n v="6531"/>
        <n v="6532"/>
        <n v="7011"/>
        <n v="7012"/>
        <n v="7013"/>
        <n v="7021"/>
        <n v="7022"/>
        <n v="7031"/>
        <n v="7032"/>
        <n v="7033"/>
        <n v="7034"/>
        <n v="7041"/>
        <n v="7042"/>
        <n v="7043"/>
        <n v="8511"/>
        <n v="8512"/>
        <n v="8513"/>
        <n v="8521"/>
        <n v="8522"/>
        <n v="8523"/>
        <n v="8524"/>
        <n v="8531"/>
        <n v="8532"/>
        <n v="8541"/>
        <n v="8542"/>
        <n v="8811"/>
        <n v="8812"/>
        <n v="8813"/>
        <n v="8814"/>
        <n v="8821"/>
        <n v="8831"/>
        <n v="9011"/>
        <n v="9012"/>
        <n v="9021"/>
        <n v="9022"/>
        <n v="9031"/>
        <n v="9032"/>
        <n v="9033"/>
        <n v="9211"/>
        <n v="9212"/>
        <n v="9213"/>
        <n v="9214"/>
        <n v="9221"/>
        <n v="9222"/>
        <n v="9223"/>
        <n v="9224"/>
        <n v="9241"/>
        <n v="9242"/>
        <n v="9521"/>
        <n v="9522"/>
        <n v="9523"/>
        <n v="9711"/>
        <n v="9712"/>
        <n v="9751"/>
        <n v="9752"/>
        <n v="9753"/>
        <n v="10111"/>
        <n v="10112"/>
        <n v="10121"/>
        <n v="10122"/>
        <n v="10123"/>
        <n v="10131"/>
        <n v="10132"/>
        <n v="10133"/>
        <n v="10141"/>
        <n v="10142"/>
        <n v="10143"/>
        <n v="10151"/>
        <n v="10152"/>
        <n v="10153"/>
        <n v="10161"/>
        <n v="10162"/>
        <n v="10221"/>
        <n v="10222"/>
        <n v="10311"/>
        <n v="10312"/>
        <n v="10313"/>
        <n v="10321"/>
        <n v="10322"/>
        <n v="10323"/>
        <n v="10324"/>
        <n v="10331"/>
        <n v="10332"/>
        <n v="10333"/>
        <n v="10341"/>
        <n v="10342"/>
        <n v="10343"/>
        <n v="10611"/>
        <n v="10612"/>
        <n v="10613"/>
        <n v="10614"/>
        <n v="10621"/>
        <n v="10622"/>
        <n v="10711"/>
        <n v="10712"/>
        <n v="10713"/>
        <n v="10714"/>
        <n v="10721"/>
        <n v="10722"/>
        <n v="10723"/>
        <n v="10731"/>
        <n v="10732"/>
        <n v="10733"/>
        <n v="10734"/>
        <n v="10741"/>
        <n v="10742"/>
        <n v="10811"/>
        <n v="10812"/>
        <n v="10821"/>
        <n v="10822"/>
        <n v="10831"/>
        <n v="10921"/>
        <n v="10922"/>
        <n v="10923"/>
        <n v="10924"/>
        <n v="11011"/>
        <n v="11012"/>
        <n v="11013"/>
        <n v="11031"/>
        <n v="11041"/>
        <n v="11042"/>
        <n v="11511"/>
        <n v="11512"/>
        <n v="11513"/>
        <n v="11521"/>
        <n v="11522"/>
        <n v="11523"/>
        <n v="12311"/>
        <n v="12312"/>
        <n v="12321"/>
        <n v="12322"/>
        <n v="12323"/>
        <n v="14311"/>
        <n v="9733" u="1"/>
        <n v="9722" u="1"/>
      </sharedItems>
    </cacheField>
    <cacheField name="Grandchild" numFmtId="0">
      <sharedItems/>
    </cacheField>
    <cacheField name="Grandmother" numFmtId="0">
      <sharedItems containsSemiMixedTypes="0" containsString="0" containsNumber="1" containsInteger="1" minValue="2" maxValue="143" count="24">
        <n v="2"/>
        <n v="18"/>
        <n v="36"/>
        <n v="47"/>
        <n v="63"/>
        <n v="65"/>
        <n v="70"/>
        <n v="85"/>
        <n v="88"/>
        <n v="90"/>
        <n v="92"/>
        <n v="95"/>
        <n v="97"/>
        <n v="101"/>
        <n v="102"/>
        <n v="103"/>
        <n v="106"/>
        <n v="107"/>
        <n v="108"/>
        <n v="109"/>
        <n v="110"/>
        <n v="115"/>
        <n v="123"/>
        <n v="143"/>
      </sharedItems>
    </cacheField>
    <cacheField name="Child order number" numFmtId="0">
      <sharedItems/>
    </cacheField>
    <cacheField name="Grandchild order number"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Loyd" refreshedDate="44756.897536574077" createdVersion="8" refreshedVersion="8" minRefreshableVersion="3" recordCount="142" xr:uid="{8B3188C8-6A0B-ED44-8CAE-992DB9AA28A6}">
  <cacheSource type="worksheet">
    <worksheetSource ref="U3:X145" sheet="Children of Female Loyds"/>
  </cacheSource>
  <cacheFields count="4">
    <cacheField name="Child Number" numFmtId="0">
      <sharedItems containsSemiMixedTypes="0" containsString="0" containsNumber="1" containsInteger="1" minValue="2001" maxValue="170001" count="142">
        <n v="2001"/>
        <n v="2002"/>
        <n v="2003"/>
        <n v="11001"/>
        <n v="11002"/>
        <n v="11003"/>
        <n v="11004"/>
        <n v="11005"/>
        <n v="18001"/>
        <n v="18002"/>
        <n v="18003"/>
        <n v="18004"/>
        <n v="18005"/>
        <n v="19001"/>
        <n v="19002"/>
        <n v="19003"/>
        <n v="19004"/>
        <n v="19005"/>
        <n v="36001"/>
        <n v="36002"/>
        <n v="36003"/>
        <n v="36004"/>
        <n v="36005"/>
        <n v="36006"/>
        <n v="36007"/>
        <n v="36008"/>
        <n v="42001"/>
        <n v="47001"/>
        <n v="47002"/>
        <n v="48001"/>
        <n v="63001"/>
        <n v="63002"/>
        <n v="63003"/>
        <n v="65001"/>
        <n v="65002"/>
        <n v="65003"/>
        <n v="70001"/>
        <n v="70002"/>
        <n v="70003"/>
        <n v="70004"/>
        <n v="70005"/>
        <n v="70006"/>
        <n v="85001"/>
        <n v="85002"/>
        <n v="85003"/>
        <n v="85004"/>
        <n v="88001"/>
        <n v="88002"/>
        <n v="88003"/>
        <n v="90001"/>
        <n v="90002"/>
        <n v="90003"/>
        <n v="92001"/>
        <n v="92002"/>
        <n v="92003"/>
        <n v="92004"/>
        <n v="95001"/>
        <n v="95002"/>
        <n v="97001"/>
        <n v="97002"/>
        <n v="97003"/>
        <n v="97004"/>
        <n v="97005"/>
        <n v="101001"/>
        <n v="101002"/>
        <n v="101003"/>
        <n v="101004"/>
        <n v="101005"/>
        <n v="101006"/>
        <n v="102001"/>
        <n v="102002"/>
        <n v="102003"/>
        <n v="103001"/>
        <n v="103002"/>
        <n v="103003"/>
        <n v="103004"/>
        <n v="106001"/>
        <n v="106002"/>
        <n v="107001"/>
        <n v="107002"/>
        <n v="107003"/>
        <n v="107004"/>
        <n v="107005"/>
        <n v="108001"/>
        <n v="108002"/>
        <n v="108003"/>
        <n v="108004"/>
        <n v="109001"/>
        <n v="109002"/>
        <n v="110001"/>
        <n v="110002"/>
        <n v="110003"/>
        <n v="110004"/>
        <n v="112001"/>
        <n v="112002"/>
        <n v="112003"/>
        <n v="112004"/>
        <n v="115001"/>
        <n v="115002"/>
        <n v="115003"/>
        <n v="115004"/>
        <n v="115005"/>
        <n v="116001"/>
        <n v="116002"/>
        <n v="116003"/>
        <n v="123001"/>
        <n v="123002"/>
        <n v="125001"/>
        <n v="125002"/>
        <n v="128001"/>
        <n v="128002"/>
        <n v="137001"/>
        <n v="140001"/>
        <n v="140002"/>
        <n v="141001"/>
        <n v="141002"/>
        <n v="143001"/>
        <n v="143002"/>
        <n v="152001"/>
        <n v="152002"/>
        <n v="154001"/>
        <n v="154002"/>
        <n v="154003"/>
        <n v="156001"/>
        <n v="156002"/>
        <n v="157001"/>
        <n v="157002"/>
        <n v="158001"/>
        <n v="159001"/>
        <n v="159002"/>
        <n v="161001"/>
        <n v="161002"/>
        <n v="163001"/>
        <n v="163002"/>
        <n v="164001"/>
        <n v="164002"/>
        <n v="164003"/>
        <n v="165001"/>
        <n v="165002"/>
        <n v="168001"/>
        <n v="168002"/>
        <n v="170001"/>
      </sharedItems>
    </cacheField>
    <cacheField name="Child" numFmtId="0">
      <sharedItems/>
    </cacheField>
    <cacheField name="Mother" numFmtId="0">
      <sharedItems containsSemiMixedTypes="0" containsString="0" containsNumber="1" containsInteger="1" minValue="2" maxValue="170" count="47">
        <n v="2"/>
        <n v="11"/>
        <n v="18"/>
        <n v="19"/>
        <n v="36"/>
        <n v="42"/>
        <n v="47"/>
        <n v="48"/>
        <n v="63"/>
        <n v="65"/>
        <n v="70"/>
        <n v="85"/>
        <n v="88"/>
        <n v="90"/>
        <n v="92"/>
        <n v="95"/>
        <n v="97"/>
        <n v="101"/>
        <n v="102"/>
        <n v="103"/>
        <n v="106"/>
        <n v="107"/>
        <n v="108"/>
        <n v="109"/>
        <n v="110"/>
        <n v="112"/>
        <n v="115"/>
        <n v="116"/>
        <n v="123"/>
        <n v="125"/>
        <n v="128"/>
        <n v="137"/>
        <n v="140"/>
        <n v="141"/>
        <n v="143"/>
        <n v="152"/>
        <n v="154"/>
        <n v="156"/>
        <n v="157"/>
        <n v="158"/>
        <n v="159"/>
        <n v="161"/>
        <n v="163"/>
        <n v="164"/>
        <n v="165"/>
        <n v="168"/>
        <n v="170"/>
      </sharedItems>
    </cacheField>
    <cacheField name="Child order number"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Loyd" refreshedDate="44756.922159606482" createdVersion="8" refreshedVersion="8" minRefreshableVersion="3" recordCount="142" xr:uid="{BFD4E869-9965-3544-BE11-8C821BF2EB78}">
  <cacheSource type="worksheet">
    <worksheetSource ref="U3:Y145" sheet="Grandchildren Loyd Daughters"/>
  </cacheSource>
  <cacheFields count="5">
    <cacheField name="Child Number" numFmtId="0">
      <sharedItems containsSemiMixedTypes="0" containsString="0" containsNumber="1" containsInteger="1" minValue="2001" maxValue="170001" count="142">
        <n v="2001"/>
        <n v="2002"/>
        <n v="2003"/>
        <n v="11001"/>
        <n v="11002"/>
        <n v="11003"/>
        <n v="11004"/>
        <n v="11005"/>
        <n v="18001"/>
        <n v="18002"/>
        <n v="18003"/>
        <n v="18004"/>
        <n v="18005"/>
        <n v="19001"/>
        <n v="19002"/>
        <n v="19003"/>
        <n v="19004"/>
        <n v="19005"/>
        <n v="36001"/>
        <n v="36002"/>
        <n v="36003"/>
        <n v="36004"/>
        <n v="36005"/>
        <n v="36006"/>
        <n v="36007"/>
        <n v="36008"/>
        <n v="42001"/>
        <n v="47001"/>
        <n v="47002"/>
        <n v="48001"/>
        <n v="63001"/>
        <n v="63002"/>
        <n v="63003"/>
        <n v="65001"/>
        <n v="65002"/>
        <n v="65003"/>
        <n v="70001"/>
        <n v="70002"/>
        <n v="70003"/>
        <n v="70004"/>
        <n v="70005"/>
        <n v="70006"/>
        <n v="85001"/>
        <n v="85002"/>
        <n v="85003"/>
        <n v="85004"/>
        <n v="88001"/>
        <n v="88002"/>
        <n v="88003"/>
        <n v="90001"/>
        <n v="90002"/>
        <n v="90003"/>
        <n v="92001"/>
        <n v="92002"/>
        <n v="92003"/>
        <n v="92004"/>
        <n v="95001"/>
        <n v="95002"/>
        <n v="97001"/>
        <n v="97002"/>
        <n v="97003"/>
        <n v="97004"/>
        <n v="97005"/>
        <n v="101001"/>
        <n v="101002"/>
        <n v="101003"/>
        <n v="101004"/>
        <n v="101005"/>
        <n v="101006"/>
        <n v="102001"/>
        <n v="102002"/>
        <n v="102003"/>
        <n v="103001"/>
        <n v="103002"/>
        <n v="103003"/>
        <n v="103004"/>
        <n v="106001"/>
        <n v="106002"/>
        <n v="107001"/>
        <n v="107002"/>
        <n v="107003"/>
        <n v="107004"/>
        <n v="107005"/>
        <n v="108001"/>
        <n v="108002"/>
        <n v="108003"/>
        <n v="108004"/>
        <n v="109001"/>
        <n v="109002"/>
        <n v="110001"/>
        <n v="110002"/>
        <n v="110003"/>
        <n v="110004"/>
        <n v="112001"/>
        <n v="112002"/>
        <n v="112003"/>
        <n v="112004"/>
        <n v="115001"/>
        <n v="115002"/>
        <n v="115003"/>
        <n v="115004"/>
        <n v="115005"/>
        <n v="116001"/>
        <n v="116002"/>
        <n v="116003"/>
        <n v="123001"/>
        <n v="123002"/>
        <n v="125001"/>
        <n v="125002"/>
        <n v="128001"/>
        <n v="128002"/>
        <n v="137001"/>
        <n v="140001"/>
        <n v="140002"/>
        <n v="141001"/>
        <n v="141002"/>
        <n v="143001"/>
        <n v="143002"/>
        <n v="152001"/>
        <n v="152002"/>
        <n v="154001"/>
        <n v="154002"/>
        <n v="154003"/>
        <n v="156001"/>
        <n v="156002"/>
        <n v="157001"/>
        <n v="157002"/>
        <n v="158001"/>
        <n v="159001"/>
        <n v="159002"/>
        <n v="161001"/>
        <n v="161002"/>
        <n v="163001"/>
        <n v="163002"/>
        <n v="164001"/>
        <n v="164002"/>
        <n v="164003"/>
        <n v="165001"/>
        <n v="165002"/>
        <n v="168001"/>
        <n v="168002"/>
        <n v="170001"/>
      </sharedItems>
    </cacheField>
    <cacheField name="Child" numFmtId="0">
      <sharedItems/>
    </cacheField>
    <cacheField name="Mother" numFmtId="0">
      <sharedItems containsSemiMixedTypes="0" containsString="0" containsNumber="1" containsInteger="1" minValue="2" maxValue="170"/>
    </cacheField>
    <cacheField name="Child order number" numFmtId="0">
      <sharedItems/>
    </cacheField>
    <cacheField name="Grandparent" numFmtId="0">
      <sharedItems containsSemiMixedTypes="0" containsString="0" containsNumber="1" containsInteger="1" minValue="1" maxValue="138" count="29">
        <n v="1"/>
        <n v="8"/>
        <n v="22"/>
        <n v="23"/>
        <n v="41"/>
        <n v="34"/>
        <n v="46"/>
        <n v="56"/>
        <n v="66"/>
        <n v="52"/>
        <n v="54"/>
        <n v="53"/>
        <n v="62"/>
        <n v="72"/>
        <n v="77"/>
        <n v="76"/>
        <n v="55"/>
        <n v="80"/>
        <n v="78"/>
        <n v="89"/>
        <n v="86"/>
        <n v="98"/>
        <n v="99"/>
        <n v="104"/>
        <n v="100"/>
        <n v="119"/>
        <n v="114"/>
        <n v="136"/>
        <n v="138"/>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Loyd" refreshedDate="45145.429490972223" createdVersion="8" refreshedVersion="8" minRefreshableVersion="3" recordCount="142" xr:uid="{60A855E0-F70E-CB43-8B44-8F6935C443FA}">
  <cacheSource type="worksheet">
    <worksheetSource ref="BH1:BL143" sheet="Siblings &amp; Children"/>
  </cacheSource>
  <cacheFields count="5">
    <cacheField name="Mother's Loyd #" numFmtId="0">
      <sharedItems containsMixedTypes="1" containsNumber="1" containsInteger="1" minValue="2" maxValue="170" count="94">
        <n v="2"/>
        <n v="11"/>
        <n v="18"/>
        <n v="19"/>
        <n v="36"/>
        <n v="42"/>
        <n v="47"/>
        <n v="48"/>
        <n v="63"/>
        <n v="65"/>
        <n v="70"/>
        <n v="85"/>
        <n v="88"/>
        <n v="90"/>
        <n v="92"/>
        <n v="95"/>
        <n v="97"/>
        <n v="101"/>
        <n v="102"/>
        <n v="103"/>
        <n v="106"/>
        <n v="107"/>
        <n v="108"/>
        <n v="109"/>
        <n v="110"/>
        <n v="112"/>
        <n v="115"/>
        <n v="116"/>
        <n v="123"/>
        <n v="125"/>
        <n v="128"/>
        <n v="137"/>
        <n v="140"/>
        <n v="141"/>
        <n v="143"/>
        <n v="152"/>
        <n v="154"/>
        <n v="156"/>
        <n v="157"/>
        <n v="158"/>
        <n v="159"/>
        <n v="161"/>
        <n v="163"/>
        <n v="164"/>
        <n v="165"/>
        <n v="168"/>
        <n v="170"/>
        <s v="42" u="1"/>
        <s v="90" u="1"/>
        <s v="2" u="1"/>
        <s v="101" u="1"/>
        <s v="92" u="1"/>
        <s v="102" u="1"/>
        <s v="48" u="1"/>
        <s v="103" u="1"/>
        <s v="140" u="1"/>
        <s v="141" u="1"/>
        <s v="123" u="1"/>
        <s v="11" u="1"/>
        <s v="161" u="1"/>
        <s v="70" u="1"/>
        <s v="106" u="1"/>
        <s v="143" u="1"/>
        <s v="125" u="1"/>
        <s v="85" u="1"/>
        <s v="107" u="1"/>
        <s v="163" u="1"/>
        <s v="108" u="1"/>
        <s v="164" u="1"/>
        <s v="109" u="1"/>
        <s v="128" u="1"/>
        <s v="165" u="1"/>
        <s v="63" u="1"/>
        <s v="19" u="1"/>
        <s v="65" u="1"/>
        <s v="168" u="1"/>
        <s v="110" u="1"/>
        <s v="47" u="1"/>
        <s v="112" u="1"/>
        <s v="36" u="1"/>
        <s v="95" u="1"/>
        <s v="170" u="1"/>
        <s v="97" u="1"/>
        <s v="115" u="1"/>
        <s v="152" u="1"/>
        <s v="116" u="1"/>
        <s v="154" u="1"/>
        <s v="88" u="1"/>
        <s v="137" u="1"/>
        <s v="156" u="1"/>
        <s v="18" u="1"/>
        <s v="157" u="1"/>
        <s v="158" u="1"/>
        <s v="159" u="1"/>
      </sharedItems>
    </cacheField>
    <cacheField name="Loyd ##" numFmtId="14">
      <sharedItems count="142">
        <s v="2a"/>
        <s v="2b"/>
        <s v="2c"/>
        <s v="11a"/>
        <s v="11b"/>
        <s v="11c"/>
        <s v="11d"/>
        <s v="11e"/>
        <s v="18a"/>
        <s v="18b"/>
        <s v="18c"/>
        <s v="18d"/>
        <s v="18e"/>
        <s v="19a"/>
        <s v="19b"/>
        <s v="19c"/>
        <s v="19d"/>
        <s v="19e"/>
        <s v="36a"/>
        <s v="36b"/>
        <s v="36c"/>
        <s v="36d"/>
        <s v="36e"/>
        <s v="36f"/>
        <s v="36g"/>
        <s v="36h"/>
        <s v="42a"/>
        <s v="47a"/>
        <s v="47b"/>
        <s v="48a"/>
        <s v="63a"/>
        <s v="63b"/>
        <s v="63c"/>
        <s v="65a"/>
        <s v="65b"/>
        <s v="65c"/>
        <s v="70a"/>
        <s v="70b"/>
        <s v="70c"/>
        <s v="70d"/>
        <s v="70e"/>
        <s v="70f"/>
        <s v="85a"/>
        <s v="85b"/>
        <s v="85c"/>
        <s v="85d"/>
        <s v="88a"/>
        <s v="88b"/>
        <s v="88c"/>
        <s v="90a"/>
        <s v="90b"/>
        <s v="90c"/>
        <s v="92a"/>
        <s v="92b"/>
        <s v="92c"/>
        <s v="92d"/>
        <s v="95a"/>
        <s v="95b"/>
        <s v="97a"/>
        <s v="97b"/>
        <s v="97c"/>
        <s v="97d"/>
        <s v="97e"/>
        <s v="101a"/>
        <s v="101b"/>
        <s v="101c"/>
        <s v="101d"/>
        <s v="101e"/>
        <s v="101f"/>
        <s v="102a"/>
        <s v="102b"/>
        <s v="102c"/>
        <s v="103a"/>
        <s v="103b"/>
        <s v="103c"/>
        <s v="103d"/>
        <s v="106a"/>
        <s v="106b"/>
        <s v="107a"/>
        <s v="107b"/>
        <s v="107c"/>
        <s v="107d"/>
        <s v="107e"/>
        <s v="108a"/>
        <s v="108b"/>
        <s v="108c"/>
        <s v="108d"/>
        <s v="109a"/>
        <s v="109b"/>
        <s v="110a"/>
        <s v="110b"/>
        <s v="110c"/>
        <s v="110d"/>
        <s v="112a"/>
        <s v="112b"/>
        <s v="112c"/>
        <s v="112d"/>
        <s v="115a"/>
        <s v="115b"/>
        <s v="115c"/>
        <s v="115d"/>
        <s v="115e"/>
        <s v="116a"/>
        <s v="116b"/>
        <s v="116c"/>
        <s v="123a"/>
        <s v="123b"/>
        <s v="125a"/>
        <s v="125b"/>
        <s v="128a"/>
        <s v="128b"/>
        <s v="137a"/>
        <s v="140a"/>
        <s v="140b"/>
        <s v="141a"/>
        <s v="141b"/>
        <s v="143a"/>
        <s v="143b"/>
        <s v="152a"/>
        <s v="152b"/>
        <s v="154a"/>
        <s v="154b"/>
        <s v="154c"/>
        <s v="156a"/>
        <s v="156b"/>
        <s v="157a"/>
        <s v="157b"/>
        <s v="158a"/>
        <s v="159a"/>
        <s v="159b"/>
        <s v="161a"/>
        <s v="161b"/>
        <s v="163a"/>
        <s v="163b"/>
        <s v="164a"/>
        <s v="164b"/>
        <s v="164c"/>
        <s v="165a"/>
        <s v="165b"/>
        <s v="168a"/>
        <s v="168b"/>
        <s v="170a"/>
      </sharedItems>
    </cacheField>
    <cacheField name="Birth Name" numFmtId="14">
      <sharedItems/>
    </cacheField>
    <cacheField name="Concat Prep" numFmtId="0">
      <sharedItems/>
    </cacheField>
    <cacheField name="Book Reference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3">
  <r>
    <x v="0"/>
    <s v="LLOYD"/>
    <s v="Jane"/>
    <m/>
    <m/>
    <s v="1765"/>
    <s v="1832"/>
    <s v="Jane (2): 1765"/>
    <s v="29/10/1765"/>
    <s v="29/10/1765"/>
    <s v="03/02/1795"/>
    <s v="11/05/1832"/>
    <n v="2"/>
    <s v="Jane (2): 1765 - 1832"/>
    <n v="1"/>
    <s v="William (1): 1729 - 1800"/>
    <x v="0"/>
    <n v="1"/>
    <n v="1"/>
    <n v="1"/>
    <x v="0"/>
  </r>
  <r>
    <x v="0"/>
    <s v="DAVIES or DANIEL"/>
    <s v="Lewis"/>
    <m/>
    <m/>
    <m/>
    <m/>
    <m/>
    <m/>
    <m/>
    <m/>
    <m/>
    <s v="2a"/>
    <m/>
    <s v="2"/>
    <m/>
    <x v="1"/>
    <n v="2"/>
    <n v="2"/>
    <n v="1"/>
    <x v="1"/>
  </r>
  <r>
    <x v="0"/>
    <s v="DAVIES"/>
    <s v="William"/>
    <m/>
    <m/>
    <s v="?"/>
    <m/>
    <m/>
    <s v="Before 1860"/>
    <m/>
    <m/>
    <d v="1908-02-29T00:00:00"/>
    <s v="2aa"/>
    <m/>
    <s v="2a"/>
    <m/>
    <x v="1"/>
    <n v="3"/>
    <n v="3"/>
    <n v="1"/>
    <x v="2"/>
  </r>
  <r>
    <x v="0"/>
    <s v="DAVIES"/>
    <s v="William"/>
    <m/>
    <m/>
    <s v="1860/61"/>
    <m/>
    <m/>
    <m/>
    <m/>
    <m/>
    <d v="1943-05-21T00:00:00"/>
    <s v="2aaa"/>
    <m/>
    <s v="2aa"/>
    <m/>
    <x v="1"/>
    <n v="4"/>
    <n v="4"/>
    <n v="1"/>
    <x v="3"/>
  </r>
  <r>
    <x v="0"/>
    <s v="DAVIES"/>
    <s v="Margaret"/>
    <s v="Elizabeth"/>
    <m/>
    <m/>
    <m/>
    <m/>
    <m/>
    <s v="05/09/1897"/>
    <m/>
    <d v="1982-12-12T00:00:00"/>
    <s v="2aaaa"/>
    <m/>
    <s v="2aaa"/>
    <m/>
    <x v="0"/>
    <n v="5"/>
    <n v="5"/>
    <n v="1"/>
    <x v="4"/>
  </r>
  <r>
    <x v="0"/>
    <s v="DAVIES or DANIEL"/>
    <s v="Ann"/>
    <m/>
    <m/>
    <m/>
    <m/>
    <m/>
    <m/>
    <m/>
    <m/>
    <m/>
    <s v="2b"/>
    <m/>
    <s v="2"/>
    <m/>
    <x v="0"/>
    <n v="2"/>
    <n v="2"/>
    <n v="1"/>
    <x v="1"/>
  </r>
  <r>
    <x v="0"/>
    <s v="DAVIES or DANIEL"/>
    <s v="William"/>
    <m/>
    <m/>
    <m/>
    <m/>
    <m/>
    <m/>
    <s v="04/05/1800"/>
    <m/>
    <m/>
    <s v="2c"/>
    <m/>
    <s v="2"/>
    <m/>
    <x v="1"/>
    <n v="2"/>
    <n v="2"/>
    <n v="1"/>
    <x v="1"/>
  </r>
  <r>
    <x v="0"/>
    <s v="DAVIES"/>
    <s v="Catherine"/>
    <m/>
    <m/>
    <m/>
    <m/>
    <m/>
    <m/>
    <s v="09/10/1829"/>
    <s v="26/09/1851"/>
    <s v="1866"/>
    <s v="2ca"/>
    <m/>
    <s v="2c"/>
    <m/>
    <x v="0"/>
    <n v="3"/>
    <n v="3"/>
    <n v="1"/>
    <x v="2"/>
  </r>
  <r>
    <x v="0"/>
    <s v="PROTHEROE"/>
    <s v="The REV Roderick"/>
    <s v="Loyd"/>
    <m/>
    <m/>
    <m/>
    <m/>
    <n v="1852"/>
    <m/>
    <m/>
    <s v="1894"/>
    <s v="2caa"/>
    <m/>
    <s v="2ca"/>
    <m/>
    <x v="1"/>
    <n v="4"/>
    <n v="4"/>
    <n v="1"/>
    <x v="3"/>
  </r>
  <r>
    <x v="0"/>
    <s v="PROTHEROE"/>
    <s v="The REV William"/>
    <s v="Loyd"/>
    <m/>
    <m/>
    <m/>
    <m/>
    <m/>
    <s v="10/03/1855"/>
    <s v="07/02/1884"/>
    <s v="1915"/>
    <s v="2cab"/>
    <m/>
    <s v="2ca"/>
    <m/>
    <x v="1"/>
    <n v="4"/>
    <n v="4"/>
    <n v="1"/>
    <x v="3"/>
  </r>
  <r>
    <x v="0"/>
    <s v="PROTHEROE"/>
    <s v="Canon William"/>
    <s v="Loyd"/>
    <s v="Musgrave"/>
    <m/>
    <m/>
    <m/>
    <n v="1885"/>
    <m/>
    <d v="1920-07-20T00:00:00"/>
    <d v="1962-09-30T00:00:00"/>
    <s v="2caba"/>
    <m/>
    <s v="2cab"/>
    <m/>
    <x v="1"/>
    <n v="5"/>
    <n v="5"/>
    <n v="1"/>
    <x v="4"/>
  </r>
  <r>
    <x v="0"/>
    <s v="PROTHEROE"/>
    <s v="William"/>
    <s v="Loyd"/>
    <m/>
    <m/>
    <m/>
    <m/>
    <n v="1921"/>
    <m/>
    <m/>
    <s v="1942"/>
    <s v="2cabaa"/>
    <m/>
    <s v="2caba"/>
    <m/>
    <x v="1"/>
    <n v="6"/>
    <n v="6"/>
    <n v="1"/>
    <x v="5"/>
  </r>
  <r>
    <x v="0"/>
    <s v="PROTHEROE"/>
    <s v="Sheila"/>
    <s v="Evelyn"/>
    <m/>
    <m/>
    <m/>
    <m/>
    <n v="1924"/>
    <m/>
    <s v="1952"/>
    <m/>
    <s v="2cabab"/>
    <m/>
    <s v="2caba"/>
    <m/>
    <x v="0"/>
    <n v="6"/>
    <n v="6"/>
    <n v="1"/>
    <x v="5"/>
  </r>
  <r>
    <x v="0"/>
    <s v="PROTHEROE"/>
    <s v="Alice"/>
    <s v="Muriel"/>
    <s v="Loyd"/>
    <m/>
    <m/>
    <m/>
    <n v="1886"/>
    <m/>
    <s v="1920"/>
    <m/>
    <s v="2cabb"/>
    <m/>
    <s v="2cab"/>
    <m/>
    <x v="0"/>
    <n v="5"/>
    <n v="5"/>
    <n v="1"/>
    <x v="4"/>
  </r>
  <r>
    <x v="0"/>
    <s v="APPS"/>
    <s v="Beryl"/>
    <s v="Mary"/>
    <s v="Loyd"/>
    <m/>
    <m/>
    <m/>
    <n v="1886"/>
    <d v="1925-12-20T00:00:00"/>
    <d v="1951-02-24T00:00:00"/>
    <m/>
    <s v="2cabba"/>
    <m/>
    <s v="2cabb"/>
    <m/>
    <x v="0"/>
    <n v="6"/>
    <n v="6"/>
    <n v="1"/>
    <x v="5"/>
  </r>
  <r>
    <x v="0"/>
    <s v="PROTHEROE"/>
    <s v="Edward"/>
    <s v="Loyd"/>
    <s v="Musgrave"/>
    <m/>
    <m/>
    <m/>
    <n v="1988"/>
    <m/>
    <s v="1932"/>
    <s v="1970"/>
    <s v="2cabbaa"/>
    <m/>
    <s v="2cabba"/>
    <m/>
    <x v="1"/>
    <n v="7"/>
    <n v="7"/>
    <n v="1"/>
    <x v="6"/>
  </r>
  <r>
    <x v="0"/>
    <s v="PROTHEROE"/>
    <s v="Roderick"/>
    <s v="Norman"/>
    <s v="Loyd"/>
    <m/>
    <m/>
    <m/>
    <n v="1890"/>
    <m/>
    <m/>
    <s v="1948"/>
    <s v="2cabbab"/>
    <m/>
    <s v="2cabba"/>
    <m/>
    <x v="1"/>
    <n v="7"/>
    <n v="7"/>
    <n v="1"/>
    <x v="6"/>
  </r>
  <r>
    <x v="0"/>
    <s v="PROTHEROE"/>
    <s v="Norah"/>
    <s v="Evelyn"/>
    <s v="Loyd"/>
    <m/>
    <m/>
    <m/>
    <n v="1899"/>
    <m/>
    <s v="unmarried"/>
    <s v="1945"/>
    <s v="2cabbac"/>
    <m/>
    <s v="2cabba"/>
    <m/>
    <x v="0"/>
    <n v="7"/>
    <n v="7"/>
    <n v="1"/>
    <x v="6"/>
  </r>
  <r>
    <x v="1"/>
    <s v="LLOYD"/>
    <s v="Catherine"/>
    <m/>
    <m/>
    <s v="1772"/>
    <s v="1798"/>
    <s v="Catherine (5): 1772"/>
    <s v="19/02/1772"/>
    <s v="19/02/1772"/>
    <s v="unmarried"/>
    <s v="09/12/1798"/>
    <n v="5"/>
    <s v="Catherine (5): 1772 - 1798"/>
    <n v="1"/>
    <s v="William (1): 1729 - 1800"/>
    <x v="0"/>
    <n v="1"/>
    <n v="1"/>
    <n v="1"/>
    <x v="0"/>
  </r>
  <r>
    <x v="2"/>
    <s v="LLOYD"/>
    <s v="Gwenllian"/>
    <m/>
    <m/>
    <s v="1777"/>
    <s v="1779"/>
    <s v="Gwenllian (7): 1777"/>
    <s v="19/10/1777"/>
    <s v="19/10/1777"/>
    <s v="unmarried"/>
    <s v="12/10/1779"/>
    <n v="7"/>
    <s v="Gwenllian (7): 1777 - 1779"/>
    <n v="1"/>
    <s v="William (1): 1729 - 1800"/>
    <x v="0"/>
    <n v="1"/>
    <n v="1"/>
    <n v="1"/>
    <x v="0"/>
  </r>
  <r>
    <x v="3"/>
    <s v="LOYD"/>
    <s v="Sarah"/>
    <m/>
    <m/>
    <s v="1810"/>
    <s v="1858"/>
    <s v="Sarah (11): 1810"/>
    <s v="30/05/1810"/>
    <s v="30/05/1810"/>
    <s v="01/10/1835"/>
    <s v="15/06/1858"/>
    <n v="11"/>
    <s v="Sarah (11): 1810 - 1858"/>
    <n v="8"/>
    <s v="Edward (8): 1780 - 1863"/>
    <x v="0"/>
    <n v="2"/>
    <n v="2"/>
    <n v="2"/>
    <x v="0"/>
  </r>
  <r>
    <x v="3"/>
    <s v="BENYON"/>
    <s v="Emma"/>
    <m/>
    <m/>
    <m/>
    <m/>
    <m/>
    <m/>
    <d v="1938-03-09T00:00:00"/>
    <s v="unmarried"/>
    <d v="1913-09-24T00:00:00"/>
    <s v="11a"/>
    <m/>
    <s v="11"/>
    <m/>
    <x v="0"/>
    <n v="3"/>
    <n v="3"/>
    <n v="2"/>
    <x v="1"/>
  </r>
  <r>
    <x v="3"/>
    <s v="BENYON"/>
    <s v="Sarah"/>
    <m/>
    <m/>
    <m/>
    <m/>
    <m/>
    <m/>
    <s v="02/09/1839"/>
    <s v="unmarried"/>
    <s v="01/05/1863"/>
    <s v="11b"/>
    <m/>
    <s v="11"/>
    <m/>
    <x v="0"/>
    <n v="3"/>
    <n v="3"/>
    <n v="2"/>
    <x v="1"/>
  </r>
  <r>
    <x v="3"/>
    <s v="BENYON"/>
    <s v="Henry"/>
    <m/>
    <m/>
    <m/>
    <m/>
    <m/>
    <m/>
    <s v="15/01/1841"/>
    <s v="unmarried"/>
    <s v="01/03/1861"/>
    <s v="11c"/>
    <m/>
    <s v="11"/>
    <m/>
    <x v="1"/>
    <n v="3"/>
    <n v="3"/>
    <n v="2"/>
    <x v="1"/>
  </r>
  <r>
    <x v="3"/>
    <s v="BENYON"/>
    <s v="Fanny"/>
    <m/>
    <m/>
    <m/>
    <m/>
    <m/>
    <m/>
    <s v="02/02/1842"/>
    <s v="unmarried"/>
    <s v="30/01/1845"/>
    <s v="11d"/>
    <m/>
    <s v="11"/>
    <m/>
    <x v="0"/>
    <n v="3"/>
    <n v="3"/>
    <n v="2"/>
    <x v="1"/>
  </r>
  <r>
    <x v="3"/>
    <s v="BENYON"/>
    <s v="Edward"/>
    <s v="Loyd"/>
    <m/>
    <m/>
    <m/>
    <m/>
    <m/>
    <s v="25/11/1845"/>
    <s v="03/12/1879"/>
    <d v="1903-01-07T00:00:00"/>
    <s v="11e"/>
    <m/>
    <s v="11"/>
    <m/>
    <x v="1"/>
    <n v="3"/>
    <n v="3"/>
    <n v="2"/>
    <x v="1"/>
  </r>
  <r>
    <x v="4"/>
    <s v="LOYD"/>
    <s v="Eliza"/>
    <m/>
    <m/>
    <s v="1810"/>
    <s v="1861"/>
    <s v="Eliza (12): 1810"/>
    <s v="30/11/1810"/>
    <s v="30/11/1810"/>
    <s v="unmarried"/>
    <s v="03/10/1861"/>
    <n v="12"/>
    <s v="Eliza (12): 1810 - 1861"/>
    <n v="4"/>
    <s v="William (4): 1770 - 1828"/>
    <x v="0"/>
    <n v="2"/>
    <n v="2"/>
    <n v="2"/>
    <x v="0"/>
  </r>
  <r>
    <x v="5"/>
    <s v="LOYD"/>
    <s v="Ann"/>
    <s v="(Annie)"/>
    <m/>
    <s v="1813"/>
    <s v="1834"/>
    <s v="Ann (15): 1813"/>
    <s v="26/02/1813"/>
    <s v="26/02/1813"/>
    <s v="unmarried"/>
    <s v="10/09/1834"/>
    <n v="15"/>
    <s v="Ann (15): 1813 - 1834"/>
    <n v="8"/>
    <s v="Edward (8): 1780 - 1863"/>
    <x v="0"/>
    <n v="2"/>
    <n v="2"/>
    <n v="2"/>
    <x v="0"/>
  </r>
  <r>
    <x v="6"/>
    <s v="LOYD"/>
    <s v="Maria"/>
    <m/>
    <m/>
    <s v="1814"/>
    <n v="1900"/>
    <s v="Maria (16): 1814"/>
    <s v="17/02/1814"/>
    <s v="17/02/1814"/>
    <s v="18/12/1847"/>
    <d v="1900-09-16T00:00:00"/>
    <n v="16"/>
    <s v="Maria (16): 1814 - 1900"/>
    <n v="4"/>
    <s v="William (4): 1770 - 1828"/>
    <x v="0"/>
    <n v="2"/>
    <n v="2"/>
    <n v="2"/>
    <x v="0"/>
  </r>
  <r>
    <x v="7"/>
    <s v="LOYD"/>
    <s v="Catherine"/>
    <s v="(Kate)"/>
    <m/>
    <s v="1815"/>
    <n v="1905"/>
    <s v="Catherine (18): 1815"/>
    <s v="26/08/1815"/>
    <s v="26/08/1815"/>
    <s v="14/03/1844"/>
    <d v="1905-12-14T00:00:00"/>
    <n v="18"/>
    <s v="Catherine (18): 1815 - 1905"/>
    <n v="8"/>
    <s v="Edward (8): 1780 - 1863"/>
    <x v="0"/>
    <n v="2"/>
    <n v="2"/>
    <n v="2"/>
    <x v="0"/>
  </r>
  <r>
    <x v="7"/>
    <s v="NICOL"/>
    <s v="Margaret"/>
    <s v="Dyce"/>
    <m/>
    <m/>
    <m/>
    <m/>
    <m/>
    <s v="15/12/1844"/>
    <s v="unmarried"/>
    <d v="1927-11-07T00:00:00"/>
    <s v="18a"/>
    <m/>
    <s v="18"/>
    <m/>
    <x v="0"/>
    <n v="3"/>
    <n v="3"/>
    <n v="2"/>
    <x v="1"/>
  </r>
  <r>
    <x v="7"/>
    <s v="NICOL"/>
    <s v="William"/>
    <s v="Edward"/>
    <m/>
    <m/>
    <m/>
    <m/>
    <m/>
    <s v="02/11/1846"/>
    <s v="20/11/1873"/>
    <d v="1914-08-19T00:00:00"/>
    <s v="18b"/>
    <m/>
    <s v="18"/>
    <m/>
    <x v="1"/>
    <n v="3"/>
    <n v="3"/>
    <n v="2"/>
    <x v="1"/>
  </r>
  <r>
    <x v="7"/>
    <s v="NICOL"/>
    <s v="Malcolm"/>
    <s v="William"/>
    <s v="Prout"/>
    <m/>
    <m/>
    <m/>
    <m/>
    <s v="20/04/1879"/>
    <s v="unmarried"/>
    <s v="04/04/1891"/>
    <s v="18ba"/>
    <m/>
    <s v="18b"/>
    <m/>
    <x v="1"/>
    <n v="4"/>
    <n v="4"/>
    <n v="2"/>
    <x v="2"/>
  </r>
  <r>
    <x v="7"/>
    <s v="NICOL"/>
    <s v="Margery"/>
    <s v="Catherine"/>
    <m/>
    <m/>
    <m/>
    <m/>
    <m/>
    <s v="08/05/1880"/>
    <d v="1910-04-21T00:00:00"/>
    <d v="1963-03-31T00:00:00"/>
    <s v="18bb"/>
    <m/>
    <s v="18b"/>
    <m/>
    <x v="0"/>
    <n v="4"/>
    <n v="4"/>
    <n v="2"/>
    <x v="2"/>
  </r>
  <r>
    <x v="7"/>
    <s v="WARNER"/>
    <s v="Sir Edward"/>
    <s v="Redston"/>
    <m/>
    <m/>
    <m/>
    <m/>
    <m/>
    <d v="1991-03-23T00:00:00"/>
    <d v="1943-05-19T00:00:00"/>
    <m/>
    <s v="18bba"/>
    <m/>
    <s v="18bb"/>
    <m/>
    <x v="1"/>
    <n v="5"/>
    <n v="5"/>
    <n v="2"/>
    <x v="3"/>
  </r>
  <r>
    <x v="7"/>
    <s v="WARNER (later RAMSAY)"/>
    <s v="Robert"/>
    <s v="Paul"/>
    <s v="Redston"/>
    <m/>
    <m/>
    <m/>
    <m/>
    <d v="1945-10-30T00:00:00"/>
    <d v="1979-03-24T00:00:00"/>
    <m/>
    <s v="18bbaa"/>
    <m/>
    <s v="18bba"/>
    <m/>
    <x v="1"/>
    <n v="6"/>
    <n v="6"/>
    <n v="2"/>
    <x v="4"/>
  </r>
  <r>
    <x v="7"/>
    <s v="RAMSAY"/>
    <s v="Gilbert"/>
    <s v="Aubrey"/>
    <s v="Warner"/>
    <m/>
    <m/>
    <m/>
    <m/>
    <d v="1980-09-24T00:00:00"/>
    <m/>
    <m/>
    <s v="18bbaaa"/>
    <m/>
    <s v="18bbaa"/>
    <m/>
    <x v="1"/>
    <n v="7"/>
    <n v="7"/>
    <n v="2"/>
    <x v="5"/>
  </r>
  <r>
    <x v="7"/>
    <s v="RAMSAY"/>
    <s v="Sophie"/>
    <s v="Charlotte"/>
    <m/>
    <m/>
    <m/>
    <m/>
    <m/>
    <d v="1982-11-30T00:00:00"/>
    <m/>
    <m/>
    <s v="18bbaab"/>
    <m/>
    <s v="18bbaa"/>
    <m/>
    <x v="0"/>
    <n v="7"/>
    <n v="7"/>
    <n v="2"/>
    <x v="5"/>
  </r>
  <r>
    <x v="7"/>
    <s v="RAMSAY"/>
    <s v="Adam"/>
    <s v="Alexander"/>
    <m/>
    <m/>
    <m/>
    <m/>
    <m/>
    <d v="1985-07-09T00:00:00"/>
    <m/>
    <m/>
    <s v="18bbaac"/>
    <m/>
    <s v="18bbaa"/>
    <m/>
    <x v="1"/>
    <n v="7"/>
    <n v="7"/>
    <n v="2"/>
    <x v="5"/>
  </r>
  <r>
    <x v="7"/>
    <s v="RAMSAY"/>
    <s v="George"/>
    <s v="Finlay"/>
    <m/>
    <m/>
    <m/>
    <m/>
    <m/>
    <d v="1988-10-30T00:00:00"/>
    <m/>
    <m/>
    <s v="18bbaad"/>
    <m/>
    <s v="18bbaa"/>
    <m/>
    <x v="1"/>
    <n v="7"/>
    <n v="7"/>
    <n v="2"/>
    <x v="5"/>
  </r>
  <r>
    <x v="7"/>
    <s v="WARNER"/>
    <s v="Elizabeth"/>
    <s v="Margery"/>
    <m/>
    <m/>
    <m/>
    <m/>
    <m/>
    <d v="1947-12-14T00:00:00"/>
    <d v="1973-12-15T00:00:00"/>
    <m/>
    <s v="18bbab"/>
    <m/>
    <s v="18bba"/>
    <m/>
    <x v="0"/>
    <n v="6"/>
    <n v="6"/>
    <n v="2"/>
    <x v="4"/>
  </r>
  <r>
    <x v="7"/>
    <s v="BERRY"/>
    <s v="John"/>
    <m/>
    <m/>
    <m/>
    <m/>
    <m/>
    <m/>
    <d v="1976-02-22T00:00:00"/>
    <m/>
    <m/>
    <s v="18bbaba"/>
    <m/>
    <s v="18bbab"/>
    <m/>
    <x v="1"/>
    <n v="7"/>
    <n v="7"/>
    <n v="2"/>
    <x v="5"/>
  </r>
  <r>
    <x v="7"/>
    <s v="BERRY"/>
    <s v="Robert"/>
    <m/>
    <m/>
    <m/>
    <m/>
    <m/>
    <m/>
    <d v="1978-07-15T00:00:00"/>
    <m/>
    <m/>
    <s v="18bbabb"/>
    <m/>
    <s v="18bbab"/>
    <m/>
    <x v="1"/>
    <n v="7"/>
    <n v="7"/>
    <n v="2"/>
    <x v="5"/>
  </r>
  <r>
    <x v="7"/>
    <s v="WARNER"/>
    <s v="Nigel"/>
    <s v="George"/>
    <m/>
    <m/>
    <m/>
    <m/>
    <m/>
    <d v="1947-12-14T00:00:00"/>
    <m/>
    <m/>
    <s v="18bbac"/>
    <m/>
    <s v="18bba"/>
    <m/>
    <x v="1"/>
    <n v="6"/>
    <n v="6"/>
    <n v="2"/>
    <x v="4"/>
  </r>
  <r>
    <x v="7"/>
    <s v="WARNER"/>
    <s v="Alan"/>
    <s v="Tristram"/>
    <s v="Nicholas"/>
    <m/>
    <m/>
    <m/>
    <m/>
    <d v="1949-10-18T00:00:00"/>
    <d v="1984-01-07T00:00:00"/>
    <m/>
    <s v="18bbad"/>
    <m/>
    <s v="18bba"/>
    <m/>
    <x v="1"/>
    <n v="6"/>
    <n v="6"/>
    <n v="2"/>
    <x v="4"/>
  </r>
  <r>
    <x v="7"/>
    <s v="WARNER"/>
    <s v="Nicholas"/>
    <s v="Redston"/>
    <m/>
    <m/>
    <m/>
    <m/>
    <m/>
    <d v="1985-04-15T00:00:00"/>
    <m/>
    <m/>
    <s v="18bbada"/>
    <m/>
    <s v="18bbad"/>
    <m/>
    <x v="1"/>
    <n v="7"/>
    <n v="7"/>
    <n v="2"/>
    <x v="5"/>
  </r>
  <r>
    <x v="7"/>
    <s v="WARNER"/>
    <s v="Harriet"/>
    <s v="Voase"/>
    <m/>
    <m/>
    <m/>
    <m/>
    <m/>
    <d v="1988-02-09T00:00:00"/>
    <m/>
    <m/>
    <s v="18bbadb"/>
    <m/>
    <s v="18bbad"/>
    <m/>
    <x v="0"/>
    <n v="7"/>
    <n v="7"/>
    <n v="2"/>
    <x v="5"/>
  </r>
  <r>
    <x v="7"/>
    <s v="WARNER (later NICOL)"/>
    <s v="John"/>
    <s v="Wilmot"/>
    <m/>
    <m/>
    <m/>
    <m/>
    <m/>
    <d v="1912-06-13T00:00:00"/>
    <d v="1946-06-15T00:00:00"/>
    <m/>
    <s v="18bbb"/>
    <m/>
    <s v="18bb"/>
    <m/>
    <x v="1"/>
    <n v="5"/>
    <n v="5"/>
    <n v="2"/>
    <x v="3"/>
  </r>
  <r>
    <x v="7"/>
    <s v="NICOL"/>
    <s v="Randall"/>
    <s v="Lewis"/>
    <m/>
    <m/>
    <m/>
    <m/>
    <m/>
    <d v="1947-05-22T00:00:00"/>
    <m/>
    <m/>
    <s v="18bbba"/>
    <m/>
    <s v="18bbb"/>
    <m/>
    <x v="1"/>
    <n v="6"/>
    <n v="6"/>
    <n v="2"/>
    <x v="4"/>
  </r>
  <r>
    <x v="7"/>
    <s v="NICOL"/>
    <s v="Andrew"/>
    <s v="Harry"/>
    <m/>
    <m/>
    <m/>
    <m/>
    <m/>
    <d v="1949-07-31T00:00:00"/>
    <d v="1978-09-23T00:00:00"/>
    <m/>
    <s v="18bbbb"/>
    <m/>
    <s v="18bbb"/>
    <m/>
    <x v="1"/>
    <n v="6"/>
    <n v="6"/>
    <n v="2"/>
    <x v="4"/>
  </r>
  <r>
    <x v="7"/>
    <s v="NICOL"/>
    <s v="Helen"/>
    <s v="Louise"/>
    <m/>
    <m/>
    <m/>
    <m/>
    <m/>
    <d v="1982-03-23T00:00:00"/>
    <m/>
    <m/>
    <s v="18bbbba"/>
    <m/>
    <s v="18bbbb"/>
    <m/>
    <x v="0"/>
    <n v="7"/>
    <n v="7"/>
    <n v="2"/>
    <x v="5"/>
  </r>
  <r>
    <x v="7"/>
    <s v="NICOL"/>
    <s v="Lucinda"/>
    <s v="Rachel"/>
    <m/>
    <m/>
    <m/>
    <m/>
    <m/>
    <d v="1984-02-24T00:00:00"/>
    <m/>
    <m/>
    <s v="18bbbbb"/>
    <m/>
    <s v="18bbbb"/>
    <m/>
    <x v="0"/>
    <n v="7"/>
    <n v="7"/>
    <n v="2"/>
    <x v="5"/>
  </r>
  <r>
    <x v="7"/>
    <s v="NICOL"/>
    <s v="Johnathan"/>
    <s v="Michael"/>
    <m/>
    <m/>
    <m/>
    <m/>
    <m/>
    <d v="1987-11-08T00:00:00"/>
    <m/>
    <d v="1988-02-15T00:00:00"/>
    <s v="18bbbbc"/>
    <m/>
    <s v="18bbbb"/>
    <m/>
    <x v="1"/>
    <n v="7"/>
    <n v="7"/>
    <n v="2"/>
    <x v="5"/>
  </r>
  <r>
    <x v="7"/>
    <s v="NICOL"/>
    <s v="James"/>
    <s v="Peter"/>
    <s v="Robert"/>
    <m/>
    <m/>
    <m/>
    <m/>
    <d v="1991-01-23T00:00:00"/>
    <m/>
    <m/>
    <s v="18bbbbd"/>
    <m/>
    <s v="18bbbb"/>
    <m/>
    <x v="1"/>
    <n v="7"/>
    <n v="7"/>
    <n v="2"/>
    <x v="5"/>
  </r>
  <r>
    <x v="7"/>
    <s v="NICOL"/>
    <s v="Malcolm"/>
    <s v="James"/>
    <m/>
    <m/>
    <m/>
    <m/>
    <m/>
    <d v="1953-04-02T00:00:00"/>
    <d v="1984-12-01T00:00:00"/>
    <m/>
    <s v="18bbbc"/>
    <m/>
    <s v="18bbb"/>
    <m/>
    <x v="1"/>
    <n v="6"/>
    <n v="6"/>
    <n v="2"/>
    <x v="4"/>
  </r>
  <r>
    <x v="7"/>
    <s v="NICOL"/>
    <s v="Abigail"/>
    <s v="Elizabeth"/>
    <m/>
    <m/>
    <m/>
    <m/>
    <m/>
    <d v="1985-11-24T00:00:00"/>
    <m/>
    <m/>
    <s v="18bbbca"/>
    <m/>
    <s v="18bbbc"/>
    <m/>
    <x v="0"/>
    <n v="7"/>
    <n v="7"/>
    <n v="2"/>
    <x v="5"/>
  </r>
  <r>
    <x v="7"/>
    <s v="NICOL"/>
    <s v="Jennifer"/>
    <s v="Catherine"/>
    <m/>
    <m/>
    <m/>
    <m/>
    <m/>
    <d v="1985-11-24T00:00:00"/>
    <m/>
    <m/>
    <s v="18bbbca"/>
    <m/>
    <s v="18bbbc"/>
    <m/>
    <x v="0"/>
    <n v="7"/>
    <n v="7"/>
    <n v="2"/>
    <x v="5"/>
  </r>
  <r>
    <x v="7"/>
    <s v="NICOL"/>
    <s v="Alice"/>
    <s v="Mary"/>
    <s v="Rose"/>
    <m/>
    <m/>
    <m/>
    <m/>
    <d v="1988-01-21T00:00:00"/>
    <m/>
    <m/>
    <s v="18bbbcc"/>
    <m/>
    <s v="18bbbc"/>
    <m/>
    <x v="0"/>
    <n v="7"/>
    <n v="7"/>
    <n v="2"/>
    <x v="5"/>
  </r>
  <r>
    <x v="7"/>
    <s v="NICOL"/>
    <s v="Catherine"/>
    <s v="Margaret"/>
    <m/>
    <m/>
    <m/>
    <m/>
    <m/>
    <d v="1990-04-24T00:00:00"/>
    <m/>
    <m/>
    <s v="18bbbcd"/>
    <m/>
    <s v="18bbbc"/>
    <m/>
    <x v="0"/>
    <n v="7"/>
    <n v="7"/>
    <n v="2"/>
    <x v="5"/>
  </r>
  <r>
    <x v="7"/>
    <s v="NICOL"/>
    <s v="Elisabeth"/>
    <s v="Iona"/>
    <m/>
    <m/>
    <m/>
    <m/>
    <m/>
    <d v="1990-04-25T00:00:00"/>
    <m/>
    <m/>
    <s v="18bbbcd"/>
    <m/>
    <s v="18bbbc"/>
    <m/>
    <x v="0"/>
    <n v="7"/>
    <n v="7"/>
    <n v="2"/>
    <x v="5"/>
  </r>
  <r>
    <x v="7"/>
    <s v="NICOL"/>
    <s v="Lydia"/>
    <s v="Clare"/>
    <s v="Diana"/>
    <m/>
    <m/>
    <m/>
    <m/>
    <d v="1992-03-19T00:00:00"/>
    <m/>
    <m/>
    <s v="18bbbce"/>
    <m/>
    <s v="18bbbc"/>
    <m/>
    <x v="0"/>
    <n v="7"/>
    <n v="7"/>
    <n v="2"/>
    <x v="5"/>
  </r>
  <r>
    <x v="7"/>
    <s v="NICOL"/>
    <s v="Patrick"/>
    <s v="William"/>
    <s v="John Perry"/>
    <m/>
    <m/>
    <m/>
    <m/>
    <d v="1995-12-28T00:00:00"/>
    <m/>
    <m/>
    <s v="18bbbcf"/>
    <m/>
    <s v="18bbbc"/>
    <m/>
    <x v="1"/>
    <n v="7"/>
    <n v="7"/>
    <n v="2"/>
    <x v="5"/>
  </r>
  <r>
    <x v="7"/>
    <s v="WARNER"/>
    <s v="Peter"/>
    <s v="Eric"/>
    <s v="Henry"/>
    <m/>
    <m/>
    <m/>
    <m/>
    <d v="1915-03-30T00:00:00"/>
    <m/>
    <m/>
    <s v="18bbc"/>
    <m/>
    <s v="18bb"/>
    <m/>
    <x v="1"/>
    <n v="5"/>
    <n v="5"/>
    <n v="2"/>
    <x v="3"/>
  </r>
  <r>
    <x v="7"/>
    <s v="NICOL"/>
    <s v="Randall"/>
    <s v="James"/>
    <m/>
    <m/>
    <m/>
    <m/>
    <m/>
    <s v="19/08/1882"/>
    <m/>
    <d v="1941-11-18T00:00:00"/>
    <s v="18bc"/>
    <m/>
    <s v="18b"/>
    <m/>
    <x v="1"/>
    <n v="4"/>
    <n v="4"/>
    <n v="2"/>
    <x v="2"/>
  </r>
  <r>
    <x v="7"/>
    <s v="NICOL"/>
    <s v="Dorothy"/>
    <s v="Ada"/>
    <m/>
    <m/>
    <m/>
    <m/>
    <m/>
    <s v="20/08/1885"/>
    <m/>
    <d v="1964-02-03T00:00:00"/>
    <s v="18bd"/>
    <m/>
    <s v="18b"/>
    <m/>
    <x v="0"/>
    <n v="4"/>
    <n v="4"/>
    <n v="2"/>
    <x v="2"/>
  </r>
  <r>
    <x v="7"/>
    <s v="NICOL"/>
    <s v="James"/>
    <s v="Dyce"/>
    <m/>
    <m/>
    <m/>
    <m/>
    <m/>
    <s v="30/06/1848"/>
    <s v="05/10/1898"/>
    <d v="1938-10-05T00:00:00"/>
    <s v="18c"/>
    <m/>
    <s v="18"/>
    <m/>
    <x v="1"/>
    <n v="3"/>
    <n v="3"/>
    <n v="2"/>
    <x v="1"/>
  </r>
  <r>
    <x v="7"/>
    <s v="NICOL"/>
    <s v="Sarah"/>
    <s v="Loyd"/>
    <m/>
    <m/>
    <m/>
    <m/>
    <m/>
    <s v="23/05/1854"/>
    <m/>
    <d v="1943-06-18T00:00:00"/>
    <s v="18d"/>
    <m/>
    <s v="18"/>
    <m/>
    <x v="0"/>
    <n v="3"/>
    <n v="3"/>
    <n v="2"/>
    <x v="1"/>
  </r>
  <r>
    <x v="7"/>
    <s v="NICOL"/>
    <s v="Lewis"/>
    <s v="Loyd"/>
    <m/>
    <m/>
    <m/>
    <m/>
    <m/>
    <s v="10/04/1858"/>
    <s v="16/06/1886"/>
    <d v="1935-05-21T00:00:00"/>
    <s v="18e"/>
    <m/>
    <s v="18"/>
    <m/>
    <x v="1"/>
    <n v="3"/>
    <n v="3"/>
    <n v="2"/>
    <x v="1"/>
  </r>
  <r>
    <x v="7"/>
    <s v="NICOL"/>
    <s v="Violet"/>
    <s v="Dyce"/>
    <s v="Norah"/>
    <m/>
    <m/>
    <m/>
    <m/>
    <s v="12/09/1887"/>
    <d v="1910-02-02T00:00:00"/>
    <d v="1957-08-16T00:00:00"/>
    <s v="18ea"/>
    <m/>
    <s v="18e"/>
    <m/>
    <x v="0"/>
    <n v="4"/>
    <n v="4"/>
    <n v="2"/>
    <x v="2"/>
  </r>
  <r>
    <x v="7"/>
    <s v="DUGDALE"/>
    <s v="Brenda"/>
    <m/>
    <m/>
    <m/>
    <m/>
    <m/>
    <m/>
    <d v="1911-09-09T00:00:00"/>
    <m/>
    <d v="1987-08-08T00:00:00"/>
    <s v="18eaa"/>
    <m/>
    <s v="18ea"/>
    <m/>
    <x v="0"/>
    <n v="5"/>
    <n v="5"/>
    <n v="2"/>
    <x v="3"/>
  </r>
  <r>
    <x v="8"/>
    <s v="LOYD"/>
    <s v="Hannah"/>
    <m/>
    <m/>
    <s v="1817"/>
    <n v="1907"/>
    <s v="Hannah (19): 1817"/>
    <s v="09/02/1817"/>
    <s v="09/02/1817"/>
    <s v="27/04/1837"/>
    <d v="1907-11-25T00:00:00"/>
    <n v="19"/>
    <s v="Hannah (19): 1817 - 1907"/>
    <n v="8"/>
    <s v="Edward (8): 1780 - 1863"/>
    <x v="0"/>
    <n v="2"/>
    <n v="2"/>
    <n v="2"/>
    <x v="0"/>
  </r>
  <r>
    <x v="8"/>
    <s v="ENTWISLE"/>
    <s v="William"/>
    <m/>
    <m/>
    <m/>
    <m/>
    <m/>
    <m/>
    <s v="14/05/1839"/>
    <s v="unmarried"/>
    <s v="27/08/1860"/>
    <s v="19a"/>
    <m/>
    <s v="19"/>
    <m/>
    <x v="1"/>
    <n v="3"/>
    <n v="3"/>
    <n v="2"/>
    <x v="1"/>
  </r>
  <r>
    <x v="8"/>
    <s v="ENTWISLE"/>
    <s v="Richard"/>
    <m/>
    <m/>
    <m/>
    <m/>
    <m/>
    <m/>
    <s v="02/10/1840"/>
    <s v="unmarried"/>
    <s v="04/10/1840"/>
    <s v="19b"/>
    <m/>
    <s v="19"/>
    <m/>
    <x v="1"/>
    <n v="3"/>
    <n v="3"/>
    <n v="2"/>
    <x v="1"/>
  </r>
  <r>
    <x v="8"/>
    <s v="ENTWISLE"/>
    <s v="Frederica"/>
    <s v="Frances"/>
    <m/>
    <m/>
    <m/>
    <m/>
    <m/>
    <s v="24/09/1842"/>
    <s v="08/04/1863"/>
    <d v="1916-04-14T00:00:00"/>
    <s v="19c"/>
    <m/>
    <s v="19"/>
    <m/>
    <x v="0"/>
    <n v="3"/>
    <n v="3"/>
    <n v="2"/>
    <x v="1"/>
  </r>
  <r>
    <x v="8"/>
    <s v="ENTWISLE"/>
    <s v="Bernard"/>
    <s v="Henry"/>
    <m/>
    <m/>
    <m/>
    <m/>
    <m/>
    <s v="25/02/1847"/>
    <s v="08/01 or 06/1875"/>
    <s v="22/09/1877"/>
    <s v="19d"/>
    <m/>
    <s v="19"/>
    <m/>
    <x v="1"/>
    <n v="3"/>
    <n v="3"/>
    <n v="2"/>
    <x v="1"/>
  </r>
  <r>
    <x v="8"/>
    <s v="ENTWISLE"/>
    <s v="Edward"/>
    <s v="Loyd"/>
    <m/>
    <m/>
    <m/>
    <m/>
    <m/>
    <s v="13/02/1852"/>
    <s v="16/07/1880"/>
    <s v="16/01/1881"/>
    <s v="19e"/>
    <m/>
    <s v="19"/>
    <m/>
    <x v="1"/>
    <n v="3"/>
    <n v="3"/>
    <n v="2"/>
    <x v="1"/>
  </r>
  <r>
    <x v="9"/>
    <s v="LOYD"/>
    <s v="Frances"/>
    <s v="(Fanny)"/>
    <m/>
    <s v="1824"/>
    <s v="1856"/>
    <s v="Frances (24): 1824"/>
    <s v="24/11/1824"/>
    <s v="24/11/1824"/>
    <s v="16/09/1847"/>
    <s v="20/09/1856"/>
    <n v="24"/>
    <s v="Frances (24): 1824 - 1856"/>
    <n v="8"/>
    <s v="Edward (8): 1780 - 1863"/>
    <x v="0"/>
    <n v="2"/>
    <n v="2"/>
    <n v="2"/>
    <x v="0"/>
  </r>
  <r>
    <x v="10"/>
    <s v="LOYD"/>
    <s v="The Hon Harriet Sarah"/>
    <s v="Jones"/>
    <m/>
    <s v="1837"/>
    <n v="1920"/>
    <s v="The Hon Harriet Sarah (26): 1837"/>
    <s v="30/06/1837"/>
    <s v="30/06/1837"/>
    <s v="17/11/1858"/>
    <d v="1920-08-09T00:00:00"/>
    <n v="26"/>
    <s v="The Hon Harriet Sarah (26): 1837 - 1920"/>
    <n v="9"/>
    <s v="Samuel (9): 1796 - 1883"/>
    <x v="0"/>
    <n v="3"/>
    <n v="2"/>
    <n v="3"/>
    <x v="0"/>
  </r>
  <r>
    <x v="11"/>
    <s v="LOYD"/>
    <s v="Mary"/>
    <s v="Louisa"/>
    <m/>
    <s v="1848"/>
    <n v="1934"/>
    <s v="Mary (31): 1848"/>
    <s v="05/03/1848"/>
    <s v="05/03/1848"/>
    <s v="unmarried"/>
    <d v="1934-08-09T00:00:00"/>
    <n v="31"/>
    <s v="Mary (31): 1848 - 1934"/>
    <n v="22"/>
    <s v="Edward (22): 1820 - 1890"/>
    <x v="0"/>
    <n v="3"/>
    <n v="2"/>
    <n v="3"/>
    <x v="0"/>
  </r>
  <r>
    <x v="12"/>
    <s v="LOYD"/>
    <s v="Elinor"/>
    <s v="Sarah"/>
    <m/>
    <s v="1853"/>
    <s v="1895"/>
    <s v="Elinor (36): 1853"/>
    <s v="12/06/1853"/>
    <s v="12/06/1853"/>
    <s v="21/09/1876"/>
    <s v="25/12/1895"/>
    <n v="36"/>
    <s v="Elinor (36): 1853 - 1895"/>
    <n v="22"/>
    <s v="Edward (22): 1820 - 1890"/>
    <x v="0"/>
    <n v="3"/>
    <n v="2"/>
    <n v="3"/>
    <x v="0"/>
  </r>
  <r>
    <x v="12"/>
    <s v="COURTHOPE"/>
    <s v="George"/>
    <s v="Loyd"/>
    <m/>
    <m/>
    <m/>
    <m/>
    <m/>
    <s v="12/06/1877"/>
    <s v="14/06/1899"/>
    <m/>
    <s v="36a"/>
    <m/>
    <s v="36"/>
    <m/>
    <x v="1"/>
    <n v="4"/>
    <n v="3"/>
    <n v="3"/>
    <x v="1"/>
  </r>
  <r>
    <x v="12"/>
    <s v="COURTHOPE"/>
    <s v="The Hon Hilda"/>
    <s v="Beryl"/>
    <m/>
    <m/>
    <m/>
    <m/>
    <m/>
    <d v="1900-11-02T00:00:00"/>
    <m/>
    <d v="1974-08-05T00:00:00"/>
    <s v="36aa"/>
    <m/>
    <s v="36a"/>
    <m/>
    <x v="0"/>
    <n v="5"/>
    <n v="4"/>
    <n v="3"/>
    <x v="2"/>
  </r>
  <r>
    <x v="12"/>
    <s v="COURTHOPE"/>
    <s v="The Hon Elinor"/>
    <s v="Daphne"/>
    <m/>
    <m/>
    <m/>
    <m/>
    <m/>
    <d v="1902-10-11T00:00:00"/>
    <m/>
    <d v="1980-06-15T00:00:00"/>
    <s v="36ab"/>
    <m/>
    <s v="36a"/>
    <m/>
    <x v="0"/>
    <n v="5"/>
    <n v="4"/>
    <n v="3"/>
    <x v="2"/>
  </r>
  <r>
    <x v="12"/>
    <s v="COURTHOPE"/>
    <s v="Alexander"/>
    <m/>
    <m/>
    <m/>
    <m/>
    <m/>
    <m/>
    <s v="14/09/1878"/>
    <m/>
    <s v="29/07/1892"/>
    <s v="36b"/>
    <m/>
    <s v="36"/>
    <m/>
    <x v="1"/>
    <n v="4"/>
    <n v="3"/>
    <n v="3"/>
    <x v="1"/>
  </r>
  <r>
    <x v="12"/>
    <s v="COURTHOPE"/>
    <s v="John"/>
    <s v="Edward"/>
    <m/>
    <m/>
    <m/>
    <m/>
    <m/>
    <s v="28/01/1882"/>
    <s v="unmarried"/>
    <d v="1954-04-02T00:00:00"/>
    <s v="36c"/>
    <m/>
    <s v="36"/>
    <m/>
    <x v="1"/>
    <n v="4"/>
    <n v="3"/>
    <n v="3"/>
    <x v="1"/>
  </r>
  <r>
    <x v="12"/>
    <s v="COURTHOPE"/>
    <s v="Barbara"/>
    <s v="Frances"/>
    <m/>
    <m/>
    <m/>
    <m/>
    <m/>
    <s v="23/12/1883"/>
    <d v="1910-11-09T00:00:00"/>
    <d v="1972-03-15T00:00:00"/>
    <s v="36d"/>
    <m/>
    <s v="36"/>
    <m/>
    <x v="0"/>
    <n v="4"/>
    <n v="3"/>
    <n v="3"/>
    <x v="1"/>
  </r>
  <r>
    <x v="12"/>
    <s v="POWELL"/>
    <s v="Elinor"/>
    <s v="Mary"/>
    <m/>
    <m/>
    <m/>
    <m/>
    <m/>
    <d v="1911-08-19T00:00:00"/>
    <m/>
    <d v="1997-07-20T00:00:00"/>
    <s v="36da"/>
    <m/>
    <s v="36d"/>
    <m/>
    <x v="0"/>
    <n v="5"/>
    <n v="4"/>
    <n v="3"/>
    <x v="2"/>
  </r>
  <r>
    <x v="12"/>
    <s v="POWELL"/>
    <s v="John"/>
    <s v="Henry"/>
    <s v="Courthope"/>
    <m/>
    <m/>
    <m/>
    <m/>
    <d v="1913-03-03T00:00:00"/>
    <d v="1939-04-12T00:00:00"/>
    <d v="1944-07-19T00:00:00"/>
    <s v="36db"/>
    <m/>
    <s v="36d"/>
    <m/>
    <x v="1"/>
    <n v="5"/>
    <n v="4"/>
    <n v="3"/>
    <x v="2"/>
  </r>
  <r>
    <x v="12"/>
    <s v="POWELL"/>
    <s v="Elizabeth"/>
    <s v="Clare"/>
    <s v="(Toody)"/>
    <m/>
    <m/>
    <m/>
    <m/>
    <d v="1942-05-30T00:00:00"/>
    <d v="1965-10-01T00:00:00"/>
    <m/>
    <s v="36dba"/>
    <m/>
    <s v="36db"/>
    <m/>
    <x v="0"/>
    <n v="6"/>
    <n v="5"/>
    <n v="3"/>
    <x v="3"/>
  </r>
  <r>
    <x v="12"/>
    <s v="SCOTT-DEMPSTER"/>
    <s v="Robert"/>
    <s v="Andrew"/>
    <m/>
    <m/>
    <m/>
    <m/>
    <m/>
    <d v="1967-04-30T00:00:00"/>
    <d v="1995-03-18T00:00:00"/>
    <m/>
    <s v="36dbaa"/>
    <m/>
    <s v="36dba"/>
    <m/>
    <x v="1"/>
    <n v="7"/>
    <n v="6"/>
    <n v="3"/>
    <x v="4"/>
  </r>
  <r>
    <x v="12"/>
    <s v="SCOTT-DEMPSTER"/>
    <s v="Lorne"/>
    <s v="Robert"/>
    <m/>
    <m/>
    <m/>
    <m/>
    <m/>
    <d v="1998-12-06T00:00:00"/>
    <m/>
    <m/>
    <s v="36dbaaa"/>
    <m/>
    <s v="36dbaa"/>
    <m/>
    <x v="1"/>
    <n v="8"/>
    <n v="7"/>
    <n v="3"/>
    <x v="5"/>
  </r>
  <r>
    <x v="12"/>
    <s v="SCOTT-DEMPSTER"/>
    <s v="Clare"/>
    <s v="Ann"/>
    <m/>
    <m/>
    <m/>
    <m/>
    <m/>
    <d v="1969-06-07T00:00:00"/>
    <m/>
    <m/>
    <s v="36dbab"/>
    <m/>
    <s v="36dba"/>
    <m/>
    <x v="0"/>
    <n v="7"/>
    <n v="6"/>
    <n v="3"/>
    <x v="4"/>
  </r>
  <r>
    <x v="12"/>
    <s v="SCOTT-DEMPSTER"/>
    <s v="Harry"/>
    <s v="Colin"/>
    <m/>
    <m/>
    <m/>
    <m/>
    <m/>
    <d v="1985-08-28T00:00:00"/>
    <m/>
    <m/>
    <s v="36dbac"/>
    <m/>
    <s v="36dba"/>
    <m/>
    <x v="1"/>
    <n v="7"/>
    <n v="6"/>
    <n v="3"/>
    <x v="4"/>
  </r>
  <r>
    <x v="12"/>
    <s v="POWELL"/>
    <s v="Margaret"/>
    <s v="Ann"/>
    <m/>
    <m/>
    <m/>
    <m/>
    <m/>
    <d v="1944-07-09T00:00:00"/>
    <d v="1966-01-08T00:00:00"/>
    <m/>
    <s v="36dbb"/>
    <m/>
    <s v="36db"/>
    <m/>
    <x v="0"/>
    <n v="6"/>
    <n v="5"/>
    <n v="3"/>
    <x v="3"/>
  </r>
  <r>
    <x v="12"/>
    <s v="LINDSAY"/>
    <s v="Jane"/>
    <s v="Margaret"/>
    <m/>
    <m/>
    <m/>
    <m/>
    <m/>
    <d v="1966-12-17T00:00:00"/>
    <m/>
    <m/>
    <s v="36dbba"/>
    <m/>
    <s v="36dbb"/>
    <m/>
    <x v="0"/>
    <n v="7"/>
    <n v="6"/>
    <n v="3"/>
    <x v="4"/>
  </r>
  <r>
    <x v="12"/>
    <s v="GRAHAM"/>
    <s v="Cosmo"/>
    <s v="Stephen"/>
    <s v="Buckle"/>
    <m/>
    <m/>
    <m/>
    <m/>
    <d v="1995-09-05T00:00:00"/>
    <m/>
    <m/>
    <s v="36dbbaa"/>
    <m/>
    <s v="36dbba"/>
    <m/>
    <x v="1"/>
    <n v="8"/>
    <n v="7"/>
    <n v="3"/>
    <x v="5"/>
  </r>
  <r>
    <x v="12"/>
    <s v="GRAHAM"/>
    <s v="Ludovic"/>
    <s v="James"/>
    <s v="Buckle"/>
    <m/>
    <m/>
    <m/>
    <m/>
    <d v="1997-08-18T00:00:00"/>
    <m/>
    <m/>
    <s v="36dbbab"/>
    <m/>
    <s v="36dbba"/>
    <m/>
    <x v="0"/>
    <n v="8"/>
    <n v="7"/>
    <n v="3"/>
    <x v="5"/>
  </r>
  <r>
    <x v="12"/>
    <s v="LINDSAY"/>
    <s v="Richard"/>
    <s v="Stephen"/>
    <m/>
    <m/>
    <m/>
    <m/>
    <m/>
    <d v="1969-02-18T00:00:00"/>
    <m/>
    <m/>
    <s v="36dbbb"/>
    <m/>
    <s v="36dbb"/>
    <m/>
    <x v="1"/>
    <n v="7"/>
    <n v="6"/>
    <n v="3"/>
    <x v="4"/>
  </r>
  <r>
    <x v="12"/>
    <s v="LINDSAY"/>
    <s v="Oscar"/>
    <s v="James"/>
    <s v="Montague"/>
    <m/>
    <m/>
    <m/>
    <m/>
    <d v="1998-07-02T00:00:00"/>
    <m/>
    <m/>
    <s v="36dbbba"/>
    <m/>
    <s v="36dbbb"/>
    <m/>
    <x v="1"/>
    <n v="8"/>
    <n v="7"/>
    <n v="3"/>
    <x v="5"/>
  </r>
  <r>
    <x v="12"/>
    <s v="LINDSAY"/>
    <s v="Charles"/>
    <s v="Ludovic"/>
    <m/>
    <m/>
    <m/>
    <m/>
    <m/>
    <d v="1974-04-24T00:00:00"/>
    <m/>
    <m/>
    <s v="36dbbc"/>
    <m/>
    <s v="36dbb"/>
    <m/>
    <x v="1"/>
    <n v="7"/>
    <n v="6"/>
    <n v="3"/>
    <x v="4"/>
  </r>
  <r>
    <x v="12"/>
    <s v="LINDSAY"/>
    <s v="Andrew"/>
    <s v="James"/>
    <s v="Ronald"/>
    <m/>
    <m/>
    <m/>
    <m/>
    <d v="1977-03-25T00:00:00"/>
    <m/>
    <m/>
    <s v="36dbbd"/>
    <m/>
    <s v="36dbb"/>
    <m/>
    <x v="1"/>
    <n v="7"/>
    <n v="6"/>
    <n v="3"/>
    <x v="4"/>
  </r>
  <r>
    <x v="12"/>
    <s v="COURTHOPE"/>
    <s v="Elinor"/>
    <s v="Joan"/>
    <m/>
    <m/>
    <m/>
    <m/>
    <m/>
    <s v="03/06/1886"/>
    <m/>
    <d v="1974-02-12T00:00:00"/>
    <s v="36e"/>
    <m/>
    <s v="36"/>
    <m/>
    <x v="0"/>
    <n v="4"/>
    <n v="3"/>
    <n v="3"/>
    <x v="1"/>
  </r>
  <r>
    <x v="12"/>
    <s v="COURTHOPE"/>
    <s v="Richard"/>
    <s v="Foster"/>
    <m/>
    <m/>
    <m/>
    <m/>
    <m/>
    <s v="21/10/1888"/>
    <m/>
    <s v="28/05/1889"/>
    <s v="36f"/>
    <m/>
    <s v="36"/>
    <m/>
    <x v="1"/>
    <n v="4"/>
    <n v="3"/>
    <n v="3"/>
    <x v="1"/>
  </r>
  <r>
    <x v="12"/>
    <s v="COURTHOPE"/>
    <s v="Robert"/>
    <m/>
    <m/>
    <m/>
    <m/>
    <m/>
    <m/>
    <s v="15/03/1891"/>
    <m/>
    <d v="1966-04-01T00:00:00"/>
    <s v="36g"/>
    <m/>
    <s v="36"/>
    <m/>
    <x v="1"/>
    <n v="4"/>
    <n v="3"/>
    <n v="3"/>
    <x v="1"/>
  </r>
  <r>
    <x v="12"/>
    <s v="COURTHOPE"/>
    <m/>
    <m/>
    <m/>
    <m/>
    <m/>
    <m/>
    <m/>
    <s v="29/03/1893"/>
    <m/>
    <d v="1901-12-10T00:00:00"/>
    <s v="36h"/>
    <m/>
    <s v="36"/>
    <m/>
    <x v="0"/>
    <n v="4"/>
    <n v="3"/>
    <n v="3"/>
    <x v="1"/>
  </r>
  <r>
    <x v="13"/>
    <s v="LOYD"/>
    <s v="Annie"/>
    <m/>
    <m/>
    <s v="1853"/>
    <n v="1946"/>
    <s v="Annie (37): 1853"/>
    <s v="01/07/1853"/>
    <s v="01/07/1853"/>
    <s v="unmarried"/>
    <d v="1946-09-17T00:00:00"/>
    <n v="37"/>
    <s v="Annie (37): 1853 - 1946"/>
    <n v="14"/>
    <s v="Thomas (14): 1812 - 1857"/>
    <x v="0"/>
    <n v="3"/>
    <n v="2"/>
    <n v="3"/>
    <x v="0"/>
  </r>
  <r>
    <x v="14"/>
    <s v="LOYD"/>
    <s v="Gertrude"/>
    <s v="Sarah"/>
    <m/>
    <s v="1854"/>
    <n v="1924"/>
    <s v="Gertrude (38): 1854"/>
    <s v="24/09/1854"/>
    <s v="24/09/1854"/>
    <s v="unmarried"/>
    <d v="1924-06-30T00:00:00"/>
    <n v="38"/>
    <s v="Gertrude (38): 1854 - 1924"/>
    <n v="23"/>
    <s v="William (23): 1821 - 1885"/>
    <x v="0"/>
    <n v="3"/>
    <n v="2"/>
    <n v="3"/>
    <x v="0"/>
  </r>
  <r>
    <x v="15"/>
    <s v="LOYD"/>
    <s v="Frances"/>
    <s v="Helen (Fa)"/>
    <m/>
    <s v="1855"/>
    <n v="1927"/>
    <s v="Frances (39): 1855"/>
    <s v="08/02/1855"/>
    <s v="08/02/1855"/>
    <s v="unmarried"/>
    <d v="1927-05-10T00:00:00"/>
    <n v="39"/>
    <s v="Frances (39): 1855 - 1927"/>
    <n v="22"/>
    <s v="Edward (22): 1820 - 1890"/>
    <x v="0"/>
    <n v="3"/>
    <n v="2"/>
    <n v="3"/>
    <x v="0"/>
  </r>
  <r>
    <x v="16"/>
    <s v="LOYD"/>
    <s v="Harriet"/>
    <s v="Edith"/>
    <m/>
    <s v="1856"/>
    <n v="1921"/>
    <s v="Harriet (40): 1856"/>
    <s v="17/01/1856"/>
    <s v="17/01/1856"/>
    <s v="unmarried"/>
    <d v="1921-08-29T00:00:00"/>
    <n v="40"/>
    <s v="Harriet (40): 1856 - 1921"/>
    <n v="23"/>
    <s v="William (23): 1821 - 1885"/>
    <x v="0"/>
    <n v="3"/>
    <n v="2"/>
    <n v="3"/>
    <x v="0"/>
  </r>
  <r>
    <x v="17"/>
    <s v="LOYD"/>
    <s v="Dulcie"/>
    <s v="Gwendoline"/>
    <m/>
    <s v="1858"/>
    <n v="1905"/>
    <s v="Dulcie (42): 1858"/>
    <s v="06/10/1858"/>
    <s v="06/10/1858"/>
    <s v="13/04/1891"/>
    <d v="1905-07-08T00:00:00"/>
    <n v="42"/>
    <s v="Dulcie (42): 1858 - 1905"/>
    <n v="23"/>
    <s v="Edward (22): 1820 - 1890"/>
    <x v="0"/>
    <n v="3"/>
    <n v="2"/>
    <n v="3"/>
    <x v="0"/>
  </r>
  <r>
    <x v="17"/>
    <s v="GODDARD"/>
    <s v="Ambrose"/>
    <s v="William"/>
    <m/>
    <m/>
    <m/>
    <m/>
    <m/>
    <s v="13/03/1892"/>
    <d v="1922-10-24T00:00:00"/>
    <m/>
    <s v="42a"/>
    <m/>
    <n v="42"/>
    <m/>
    <x v="1"/>
    <n v="4"/>
    <n v="3"/>
    <n v="3"/>
    <x v="1"/>
  </r>
  <r>
    <x v="18"/>
    <s v="LOYD"/>
    <s v="Margaret"/>
    <s v="Foster (Meg)"/>
    <m/>
    <s v="1859"/>
    <n v="1936"/>
    <s v="Margaret (43): 1859"/>
    <s v="02/08/1859"/>
    <s v="02/08/1859"/>
    <s v="unmarried"/>
    <d v="1936-06-29T00:00:00"/>
    <n v="43"/>
    <s v="Margaret (43): 1859 - 1936"/>
    <n v="22"/>
    <s v="Edward (22): 1820 - 1890"/>
    <x v="0"/>
    <n v="3"/>
    <n v="2"/>
    <n v="3"/>
    <x v="0"/>
  </r>
  <r>
    <x v="19"/>
    <s v="LOYD"/>
    <s v="Caroline"/>
    <s v="Foster"/>
    <m/>
    <s v="1864"/>
    <n v="1940"/>
    <s v="Caroline (47): 1864"/>
    <s v="10/07/1864"/>
    <s v="10/07/1864"/>
    <s v="08/03/1892"/>
    <d v="1940-12-03T00:00:00"/>
    <n v="47"/>
    <s v="Caroline (47): 1864 - 1940"/>
    <n v="22"/>
    <s v="William (23): 1821 - 1885"/>
    <x v="0"/>
    <n v="3"/>
    <n v="2"/>
    <n v="3"/>
    <x v="0"/>
  </r>
  <r>
    <x v="19"/>
    <s v="HARDCASTLE"/>
    <s v="Alfred"/>
    <s v="Edward"/>
    <s v="Loyd"/>
    <m/>
    <m/>
    <m/>
    <m/>
    <s v="06/06/1893"/>
    <d v="1921-06-02T00:00:00"/>
    <d v="1955-01-22T00:00:00"/>
    <s v="47a"/>
    <m/>
    <s v="47"/>
    <m/>
    <x v="1"/>
    <n v="4"/>
    <n v="3"/>
    <n v="3"/>
    <x v="1"/>
  </r>
  <r>
    <x v="19"/>
    <s v="HARDCASTLE"/>
    <s v="Edward"/>
    <s v="John"/>
    <s v="Brierly"/>
    <m/>
    <m/>
    <m/>
    <m/>
    <d v="1923-03-27T00:00:00"/>
    <d v="1950-08-10T00:00:00"/>
    <m/>
    <s v="47aa"/>
    <m/>
    <s v="47a"/>
    <m/>
    <x v="1"/>
    <n v="5"/>
    <n v="4"/>
    <n v="3"/>
    <x v="2"/>
  </r>
  <r>
    <x v="19"/>
    <s v="HARDCASTLE"/>
    <s v="Mary"/>
    <s v="Jean"/>
    <m/>
    <m/>
    <m/>
    <m/>
    <m/>
    <d v="1951-08-06T00:00:00"/>
    <d v="1976-05-21T00:00:00"/>
    <m/>
    <s v="47aaa"/>
    <m/>
    <s v="47aa"/>
    <m/>
    <x v="0"/>
    <n v="6"/>
    <n v="5"/>
    <n v="3"/>
    <x v="3"/>
  </r>
  <r>
    <x v="19"/>
    <s v="HALLETT"/>
    <s v="Florence"/>
    <s v="Mary"/>
    <m/>
    <m/>
    <m/>
    <m/>
    <m/>
    <d v="1977-07-18T00:00:00"/>
    <m/>
    <m/>
    <s v="47aaaa"/>
    <m/>
    <s v="47aaa"/>
    <m/>
    <x v="0"/>
    <n v="7"/>
    <n v="6"/>
    <n v="3"/>
    <x v="4"/>
  </r>
  <r>
    <x v="19"/>
    <s v="HALLETT"/>
    <s v="Lillian"/>
    <s v="Alice"/>
    <m/>
    <m/>
    <m/>
    <m/>
    <m/>
    <d v="1980-08-02T00:00:00"/>
    <m/>
    <m/>
    <s v="47aaab"/>
    <m/>
    <s v="47aaa"/>
    <m/>
    <x v="0"/>
    <n v="7"/>
    <n v="6"/>
    <n v="3"/>
    <x v="4"/>
  </r>
  <r>
    <x v="19"/>
    <s v="HARDCASTLE"/>
    <s v="John"/>
    <s v="Michael"/>
    <m/>
    <m/>
    <m/>
    <m/>
    <m/>
    <d v="1953-01-27T00:00:00"/>
    <d v="1980-05-24T00:00:00"/>
    <m/>
    <s v="47aab"/>
    <m/>
    <s v="47aa"/>
    <m/>
    <x v="1"/>
    <n v="6"/>
    <n v="5"/>
    <n v="3"/>
    <x v="3"/>
  </r>
  <r>
    <x v="19"/>
    <s v="HARDCASTLE"/>
    <s v="Linda"/>
    <s v="Constance"/>
    <s v="Elizabeth"/>
    <m/>
    <m/>
    <m/>
    <m/>
    <d v="1979-03-12T00:00:00"/>
    <s v="22/088/1998"/>
    <m/>
    <s v="47aaba"/>
    <m/>
    <s v="47aab"/>
    <m/>
    <x v="0"/>
    <n v="7"/>
    <n v="6"/>
    <n v="3"/>
    <x v="4"/>
  </r>
  <r>
    <x v="19"/>
    <s v="HARDCASTLE"/>
    <s v="Susan"/>
    <s v="Jean"/>
    <s v="Alexandra"/>
    <m/>
    <m/>
    <m/>
    <m/>
    <d v="1980-08-19T00:00:00"/>
    <m/>
    <m/>
    <s v="47aabb"/>
    <m/>
    <s v="47aab"/>
    <m/>
    <x v="0"/>
    <n v="7"/>
    <n v="6"/>
    <n v="3"/>
    <x v="4"/>
  </r>
  <r>
    <x v="19"/>
    <s v="HARDCASTLE"/>
    <s v="David"/>
    <s v="Robert"/>
    <s v="Edwin"/>
    <m/>
    <m/>
    <m/>
    <m/>
    <d v="1982-10-26T00:00:00"/>
    <m/>
    <m/>
    <s v="47aabc"/>
    <m/>
    <s v="47aab"/>
    <m/>
    <x v="1"/>
    <n v="7"/>
    <n v="6"/>
    <n v="3"/>
    <x v="4"/>
  </r>
  <r>
    <x v="19"/>
    <s v="HARDCASTLE"/>
    <s v="Anthony"/>
    <s v="David"/>
    <m/>
    <m/>
    <m/>
    <m/>
    <m/>
    <d v="1954-06-07T00:00:00"/>
    <d v="1981-08-01T00:00:00"/>
    <m/>
    <s v="47aac"/>
    <m/>
    <s v="47aa"/>
    <m/>
    <x v="1"/>
    <n v="6"/>
    <n v="5"/>
    <n v="3"/>
    <x v="3"/>
  </r>
  <r>
    <x v="19"/>
    <s v="HARDCASTLE"/>
    <s v="Priscilla"/>
    <s v="Brierly"/>
    <m/>
    <m/>
    <m/>
    <m/>
    <m/>
    <d v="1954-06-07T00:00:00"/>
    <d v="1950-04-08T00:00:00"/>
    <m/>
    <s v="47ab"/>
    <m/>
    <s v="47a"/>
    <m/>
    <x v="0"/>
    <n v="5"/>
    <n v="4"/>
    <n v="3"/>
    <x v="2"/>
  </r>
  <r>
    <x v="19"/>
    <s v="DREWE"/>
    <s v="Martin"/>
    <s v="Christopher"/>
    <m/>
    <m/>
    <m/>
    <m/>
    <m/>
    <d v="1951-05-27T00:00:00"/>
    <d v="1996-02-01T00:00:00"/>
    <m/>
    <s v="47aba"/>
    <m/>
    <s v="47ab"/>
    <m/>
    <x v="1"/>
    <n v="6"/>
    <n v="5"/>
    <n v="3"/>
    <x v="3"/>
  </r>
  <r>
    <x v="19"/>
    <s v="DREWE"/>
    <s v="Gillian"/>
    <s v="Frances"/>
    <m/>
    <m/>
    <m/>
    <m/>
    <m/>
    <d v="1953-07-20T00:00:00"/>
    <d v="1981-03-21T00:00:00"/>
    <m/>
    <s v="47abb"/>
    <m/>
    <s v="47ab"/>
    <m/>
    <x v="0"/>
    <n v="6"/>
    <n v="5"/>
    <n v="3"/>
    <x v="3"/>
  </r>
  <r>
    <x v="19"/>
    <s v="DREWE"/>
    <s v="Charles"/>
    <s v="Loyd"/>
    <m/>
    <m/>
    <m/>
    <m/>
    <m/>
    <d v="1957-10-24T00:00:00"/>
    <d v="1986-12-19T00:00:00"/>
    <m/>
    <s v="47abc"/>
    <m/>
    <s v="47ab"/>
    <m/>
    <x v="1"/>
    <n v="6"/>
    <n v="5"/>
    <n v="3"/>
    <x v="3"/>
  </r>
  <r>
    <x v="19"/>
    <s v="DREWE"/>
    <s v="Michael"/>
    <s v="Alwyn"/>
    <s v="Karel"/>
    <m/>
    <m/>
    <m/>
    <m/>
    <d v="1987-10-03T00:00:00"/>
    <m/>
    <m/>
    <s v="47abca"/>
    <m/>
    <s v="47abc"/>
    <m/>
    <x v="1"/>
    <n v="7"/>
    <n v="6"/>
    <n v="3"/>
    <x v="4"/>
  </r>
  <r>
    <x v="19"/>
    <s v="HARDCASTLE"/>
    <s v="Canon Joseph"/>
    <s v="Anthony"/>
    <s v="Loyd"/>
    <m/>
    <m/>
    <m/>
    <m/>
    <s v="19/07/1899"/>
    <d v="1940-01-16T00:00:00"/>
    <d v="1972-12-13T00:00:00"/>
    <s v="47b"/>
    <m/>
    <s v="47"/>
    <m/>
    <x v="1"/>
    <n v="4"/>
    <n v="3"/>
    <n v="3"/>
    <x v="1"/>
  </r>
  <r>
    <x v="20"/>
    <s v="LOYD"/>
    <s v="Caroline"/>
    <s v="Beatrice"/>
    <m/>
    <s v="1865"/>
    <n v="1938"/>
    <s v="Caroline (48): 1865"/>
    <s v="02/04/1865"/>
    <s v="02/04/1865"/>
    <d v="1901-07-10T00:00:00"/>
    <d v="1938-02-21T00:00:00"/>
    <n v="48"/>
    <s v="Caroline (48): 1865 - 1938"/>
    <n v="23"/>
    <s v="William (23): 1821 - 1885"/>
    <x v="0"/>
    <n v="3"/>
    <n v="2"/>
    <n v="3"/>
    <x v="0"/>
  </r>
  <r>
    <x v="20"/>
    <s v="D'OYLY"/>
    <s v="Loiuse"/>
    <s v="Mabell"/>
    <m/>
    <m/>
    <m/>
    <m/>
    <m/>
    <d v="1904-06-15T00:00:00"/>
    <s v="unmarried"/>
    <d v="1983-05-11T00:00:00"/>
    <s v="48a"/>
    <m/>
    <m/>
    <m/>
    <x v="0"/>
    <n v="4"/>
    <n v="3"/>
    <n v="3"/>
    <x v="1"/>
  </r>
  <r>
    <x v="21"/>
    <s v="LOYD"/>
    <s v="Mary"/>
    <s v="Winifrid"/>
    <m/>
    <s v="1867"/>
    <s v="1867"/>
    <s v="Mary (49): 1867"/>
    <s v="19/01/1867"/>
    <s v="19/01/1867"/>
    <s v="unmarried"/>
    <s v="19/01/1867"/>
    <n v="49"/>
    <s v="Mary (49): 1867 - 1867"/>
    <n v="23"/>
    <s v="Frederic (41): 1856 - 1936"/>
    <x v="0"/>
    <n v="3"/>
    <n v="2"/>
    <n v="3"/>
    <x v="0"/>
  </r>
  <r>
    <x v="22"/>
    <s v="LOYD"/>
    <s v="Evelyn"/>
    <s v="Sarah"/>
    <m/>
    <s v="1885"/>
    <n v="1962"/>
    <s v="Evelyn (59): 1885"/>
    <s v="17/04/1885"/>
    <s v="17/04/1885"/>
    <s v="unmarried"/>
    <d v="1962-08-09T00:00:00"/>
    <n v="59"/>
    <s v="Evelyn (59): 1885 - 1962"/>
    <n v="41"/>
    <s v="The Rev Lewis (28): 1844 - 1905"/>
    <x v="0"/>
    <n v="4"/>
    <n v="2"/>
    <n v="4"/>
    <x v="0"/>
  </r>
  <r>
    <x v="23"/>
    <s v="LOYD"/>
    <s v="Mary"/>
    <s v="Beatrix (Kitty)"/>
    <m/>
    <s v="1885"/>
    <n v="1989"/>
    <s v="Kitty (60): 1885"/>
    <s v="26/10/1885"/>
    <s v="26/10/1885"/>
    <d v="1918-09-27T00:00:00"/>
    <d v="1989-02-02T00:00:00"/>
    <n v="60"/>
    <s v="Kitty (60): 1885 - 1989"/>
    <n v="28"/>
    <s v="Frederic (41): 1856 - 1936"/>
    <x v="0"/>
    <n v="4"/>
    <n v="2"/>
    <n v="4"/>
    <x v="0"/>
  </r>
  <r>
    <x v="24"/>
    <s v="LOYD"/>
    <s v="Mary"/>
    <s v="Innes"/>
    <s v="Foster"/>
    <s v="1887"/>
    <n v="1968"/>
    <s v="Mary (63): 1887"/>
    <s v="23/11/1887"/>
    <s v="23/11/1887"/>
    <d v="1925-06-15T00:00:00"/>
    <d v="1968-09-15T00:00:00"/>
    <n v="63"/>
    <s v="Mary (63): 1887 - 1968"/>
    <n v="41"/>
    <s v="Lewis (35): 1852 - 1908"/>
    <x v="0"/>
    <n v="4"/>
    <n v="2"/>
    <n v="4"/>
    <x v="0"/>
  </r>
  <r>
    <x v="24"/>
    <s v="MOORE"/>
    <s v="Frederic"/>
    <s v="Withers"/>
    <s v="Loyd"/>
    <m/>
    <m/>
    <m/>
    <d v="1926-11-19T00:00:00"/>
    <d v="1948-12-29T00:00:00"/>
    <m/>
    <m/>
    <s v="63a"/>
    <m/>
    <s v="63"/>
    <m/>
    <x v="1"/>
    <n v="5"/>
    <n v="3"/>
    <n v="4"/>
    <x v="1"/>
  </r>
  <r>
    <x v="24"/>
    <s v="MOORE"/>
    <s v="Arthur"/>
    <s v="William"/>
    <m/>
    <m/>
    <m/>
    <m/>
    <m/>
    <d v="1950-06-26T00:00:00"/>
    <m/>
    <m/>
    <s v="63aa"/>
    <m/>
    <s v="63a"/>
    <m/>
    <x v="1"/>
    <n v="6"/>
    <n v="4"/>
    <n v="4"/>
    <x v="2"/>
  </r>
  <r>
    <x v="24"/>
    <s v="MOORE"/>
    <s v="Gareth"/>
    <s v="Allen"/>
    <m/>
    <m/>
    <m/>
    <m/>
    <d v="1954-04-17T00:00:00"/>
    <d v="1985-08-24T00:00:00"/>
    <m/>
    <m/>
    <s v="63ab"/>
    <m/>
    <s v="63a"/>
    <m/>
    <x v="1"/>
    <n v="6"/>
    <n v="4"/>
    <n v="4"/>
    <x v="2"/>
  </r>
  <r>
    <x v="24"/>
    <s v="MOORE"/>
    <s v="Isabel"/>
    <s v="Eleanor"/>
    <m/>
    <m/>
    <m/>
    <m/>
    <m/>
    <d v="1989-04-26T00:00:00"/>
    <m/>
    <m/>
    <s v="63aba"/>
    <m/>
    <s v="63ab"/>
    <m/>
    <x v="0"/>
    <n v="7"/>
    <n v="5"/>
    <n v="4"/>
    <x v="3"/>
  </r>
  <r>
    <x v="24"/>
    <s v="MOORE"/>
    <s v="Alistair"/>
    <s v="William"/>
    <m/>
    <m/>
    <m/>
    <m/>
    <m/>
    <d v="1991-04-21T00:00:00"/>
    <m/>
    <m/>
    <s v="63abb"/>
    <m/>
    <s v="63ab"/>
    <m/>
    <x v="1"/>
    <n v="7"/>
    <n v="5"/>
    <n v="4"/>
    <x v="3"/>
  </r>
  <r>
    <x v="24"/>
    <s v="MOORE"/>
    <s v="Emma"/>
    <s v="Isabel"/>
    <m/>
    <m/>
    <m/>
    <m/>
    <m/>
    <d v="1929-06-28T00:00:00"/>
    <m/>
    <m/>
    <s v="63b"/>
    <m/>
    <s v="63"/>
    <m/>
    <x v="0"/>
    <n v="5"/>
    <n v="3"/>
    <n v="4"/>
    <x v="1"/>
  </r>
  <r>
    <x v="24"/>
    <s v="MOORE"/>
    <s v="Veronica"/>
    <s v="Ashwell"/>
    <m/>
    <m/>
    <m/>
    <m/>
    <m/>
    <d v="1930-09-29T00:00:00"/>
    <m/>
    <d v="1934-10-14T00:00:00"/>
    <s v="63c"/>
    <m/>
    <s v="63"/>
    <m/>
    <x v="0"/>
    <n v="5"/>
    <n v="3"/>
    <n v="4"/>
    <x v="1"/>
  </r>
  <r>
    <x v="25"/>
    <s v="LOYD"/>
    <s v="Gertrude"/>
    <s v="Harriet"/>
    <s v="Joselyn"/>
    <s v="1887"/>
    <n v="1917"/>
    <s v="Gertrude (64): 1887"/>
    <s v="22/12/1887"/>
    <s v="22/12/1887"/>
    <d v="1907-04-16T00:00:00"/>
    <d v="1917-06-13T00:00:00"/>
    <n v="64"/>
    <s v="Gertrude (64): 1887 - 1917"/>
    <n v="35"/>
    <s v="Ted (34): 1851 - 1922"/>
    <x v="0"/>
    <n v="4"/>
    <n v="2"/>
    <n v="4"/>
    <x v="0"/>
  </r>
  <r>
    <x v="26"/>
    <s v="LOYD"/>
    <s v="Melicent"/>
    <s v="Annie"/>
    <s v="Kirkman (Nan)"/>
    <s v="1889"/>
    <n v="1967"/>
    <s v="Melicent (65): 1889"/>
    <s v="04/02/1889"/>
    <s v="04/02/1889"/>
    <d v="1912-06-19T00:00:00"/>
    <d v="1967-04-14T00:00:00"/>
    <n v="65"/>
    <s v="Melicent (65): 1889 - 1967"/>
    <n v="34"/>
    <s v="William (46): 1863 - 1923"/>
    <x v="0"/>
    <n v="4"/>
    <n v="2"/>
    <n v="4"/>
    <x v="0"/>
  </r>
  <r>
    <x v="26"/>
    <s v="WHEELER"/>
    <s v="Audrey"/>
    <s v="Haig"/>
    <m/>
    <m/>
    <m/>
    <m/>
    <m/>
    <d v="1913-04-05T00:00:00"/>
    <m/>
    <m/>
    <s v="65a"/>
    <m/>
    <s v="65"/>
    <m/>
    <x v="0"/>
    <n v="5"/>
    <n v="3"/>
    <n v="4"/>
    <x v="1"/>
  </r>
  <r>
    <x v="26"/>
    <s v="WHEELER"/>
    <s v="Norma"/>
    <s v="Monica"/>
    <s v="Haig"/>
    <m/>
    <m/>
    <m/>
    <m/>
    <d v="1924-02-04T00:00:00"/>
    <m/>
    <m/>
    <s v="65b"/>
    <m/>
    <s v="65"/>
    <m/>
    <x v="0"/>
    <n v="5"/>
    <n v="3"/>
    <n v="4"/>
    <x v="1"/>
  </r>
  <r>
    <x v="26"/>
    <s v="WHEELER"/>
    <s v="Basil"/>
    <s v="Norman"/>
    <s v="Haig"/>
    <m/>
    <m/>
    <m/>
    <m/>
    <d v="1926-09-03T00:00:00"/>
    <d v="1970-05-01T00:00:00"/>
    <m/>
    <s v="65c"/>
    <m/>
    <s v="65"/>
    <m/>
    <x v="1"/>
    <n v="5"/>
    <n v="3"/>
    <n v="4"/>
    <x v="1"/>
  </r>
  <r>
    <x v="26"/>
    <s v="WHEELER"/>
    <s v="Vanessa"/>
    <s v="Chantal"/>
    <m/>
    <m/>
    <m/>
    <m/>
    <m/>
    <d v="1971-06-01T00:00:00"/>
    <m/>
    <m/>
    <s v="65ca"/>
    <m/>
    <s v="65c"/>
    <m/>
    <x v="0"/>
    <n v="6"/>
    <n v="4"/>
    <n v="4"/>
    <x v="2"/>
  </r>
  <r>
    <x v="26"/>
    <s v="WHEELER"/>
    <s v="Karen"/>
    <s v="Natalie"/>
    <m/>
    <m/>
    <m/>
    <m/>
    <m/>
    <d v="1973-07-09T00:00:00"/>
    <m/>
    <m/>
    <s v="65cb"/>
    <m/>
    <s v="65c"/>
    <m/>
    <x v="0"/>
    <n v="6"/>
    <n v="4"/>
    <n v="4"/>
    <x v="2"/>
  </r>
  <r>
    <x v="27"/>
    <s v="LOYD"/>
    <s v="Diana"/>
    <s v="Gertrude"/>
    <s v="May"/>
    <s v="1890"/>
    <n v="1963"/>
    <s v="Diana (70): 1890"/>
    <s v="01/05/1890"/>
    <s v="01/05/1890"/>
    <d v="1920-11-10T00:00:00"/>
    <d v="1963-07-01T00:00:00"/>
    <n v="70"/>
    <s v="Diana (70): 1890 - 1963"/>
    <n v="46"/>
    <s v="Frederic (41): 1856 - 1936"/>
    <x v="0"/>
    <n v="4"/>
    <n v="2"/>
    <n v="4"/>
    <x v="0"/>
  </r>
  <r>
    <x v="27"/>
    <s v="MICKLEM"/>
    <s v="Cynthia"/>
    <s v="Violet"/>
    <m/>
    <m/>
    <m/>
    <m/>
    <m/>
    <d v="1921-10-11T00:00:00"/>
    <d v="1950-01-17T00:00:00"/>
    <d v="1990-03-30T00:00:00"/>
    <s v="70a"/>
    <m/>
    <s v="70"/>
    <m/>
    <x v="0"/>
    <n v="5"/>
    <n v="3"/>
    <n v="4"/>
    <x v="1"/>
  </r>
  <r>
    <x v="27"/>
    <s v="SHEARER"/>
    <s v="William"/>
    <s v="Richard"/>
    <s v="Charles"/>
    <m/>
    <m/>
    <m/>
    <m/>
    <d v="1951-01-31T00:00:00"/>
    <d v="1980-09-13T00:00:00"/>
    <m/>
    <s v="70aa"/>
    <m/>
    <s v="70a"/>
    <m/>
    <x v="1"/>
    <n v="6"/>
    <n v="4"/>
    <n v="4"/>
    <x v="2"/>
  </r>
  <r>
    <x v="27"/>
    <s v="SHEARER"/>
    <s v="Henry"/>
    <s v="Charles"/>
    <s v="Anthony"/>
    <m/>
    <m/>
    <m/>
    <m/>
    <d v="1981-11-07T00:00:00"/>
    <m/>
    <m/>
    <s v="70aaa"/>
    <m/>
    <s v="70aa"/>
    <m/>
    <x v="1"/>
    <n v="7"/>
    <n v="5"/>
    <n v="4"/>
    <x v="3"/>
  </r>
  <r>
    <x v="27"/>
    <s v="SHEARER"/>
    <s v="Emma"/>
    <s v="Jane"/>
    <m/>
    <m/>
    <m/>
    <m/>
    <m/>
    <d v="1986-09-12T00:00:00"/>
    <m/>
    <m/>
    <s v="70aab"/>
    <m/>
    <s v="70aa"/>
    <m/>
    <x v="0"/>
    <n v="7"/>
    <n v="5"/>
    <n v="4"/>
    <x v="3"/>
  </r>
  <r>
    <x v="27"/>
    <s v="SHEARER"/>
    <s v="Rosemary"/>
    <s v="Diana"/>
    <s v="Esther"/>
    <m/>
    <m/>
    <m/>
    <m/>
    <d v="1952-11-22T00:00:00"/>
    <d v="1979-07-16T00:00:00"/>
    <m/>
    <s v="70ab"/>
    <m/>
    <s v="70a"/>
    <m/>
    <x v="0"/>
    <n v="6"/>
    <n v="4"/>
    <n v="4"/>
    <x v="2"/>
  </r>
  <r>
    <x v="27"/>
    <s v="ANDREY"/>
    <s v="Christopher"/>
    <s v="John"/>
    <m/>
    <m/>
    <m/>
    <m/>
    <m/>
    <d v="1982-10-14T00:00:00"/>
    <m/>
    <m/>
    <s v="70aba"/>
    <m/>
    <s v="70ab"/>
    <m/>
    <x v="1"/>
    <n v="7"/>
    <n v="5"/>
    <n v="4"/>
    <x v="3"/>
  </r>
  <r>
    <x v="27"/>
    <s v="ANDREY"/>
    <s v="Amanda"/>
    <s v="Charlotte"/>
    <m/>
    <m/>
    <m/>
    <m/>
    <m/>
    <d v="1987-02-18T00:00:00"/>
    <m/>
    <m/>
    <s v="70abb"/>
    <m/>
    <s v="70ab"/>
    <m/>
    <x v="0"/>
    <n v="7"/>
    <n v="5"/>
    <n v="4"/>
    <x v="3"/>
  </r>
  <r>
    <x v="27"/>
    <s v="SHEARER"/>
    <s v="Andrew"/>
    <s v="John"/>
    <s v="Micklem"/>
    <m/>
    <m/>
    <m/>
    <m/>
    <d v="1960-06-01T00:00:00"/>
    <m/>
    <m/>
    <s v="70ac"/>
    <m/>
    <s v="70a"/>
    <m/>
    <x v="1"/>
    <n v="6"/>
    <n v="4"/>
    <n v="4"/>
    <x v="2"/>
  </r>
  <r>
    <x v="27"/>
    <s v="MICKLEM"/>
    <s v="Dora"/>
    <s v="Margaret"/>
    <m/>
    <m/>
    <m/>
    <m/>
    <m/>
    <d v="1924-04-06T00:00:00"/>
    <d v="1954-05-29T00:00:00"/>
    <m/>
    <s v="70b"/>
    <m/>
    <s v="70"/>
    <m/>
    <x v="0"/>
    <n v="5"/>
    <n v="3"/>
    <n v="4"/>
    <x v="1"/>
  </r>
  <r>
    <x v="27"/>
    <s v="MELITUS"/>
    <s v="Charles"/>
    <s v="Peter"/>
    <m/>
    <m/>
    <m/>
    <m/>
    <m/>
    <d v="1955-08-10T00:00:00"/>
    <d v="1983-07-29T00:00:00"/>
    <m/>
    <s v="70ba"/>
    <m/>
    <s v="70b"/>
    <m/>
    <x v="1"/>
    <n v="6"/>
    <n v="4"/>
    <n v="4"/>
    <x v="2"/>
  </r>
  <r>
    <x v="27"/>
    <s v="MELITUS"/>
    <s v="Zoe"/>
    <s v="Adele"/>
    <m/>
    <m/>
    <m/>
    <m/>
    <m/>
    <d v="1979-10-30T00:00:00"/>
    <m/>
    <m/>
    <s v="70baa"/>
    <m/>
    <s v="70ba"/>
    <m/>
    <x v="0"/>
    <n v="7"/>
    <n v="5"/>
    <n v="4"/>
    <x v="3"/>
  </r>
  <r>
    <x v="27"/>
    <s v="MELITUS"/>
    <s v="Jonathan"/>
    <s v="Peter"/>
    <m/>
    <m/>
    <m/>
    <m/>
    <m/>
    <d v="1988-06-25T00:00:00"/>
    <m/>
    <m/>
    <s v="70bab"/>
    <m/>
    <s v="70ba"/>
    <m/>
    <x v="1"/>
    <n v="7"/>
    <n v="5"/>
    <n v="4"/>
    <x v="3"/>
  </r>
  <r>
    <x v="27"/>
    <s v="MELITUS"/>
    <s v="Caroline"/>
    <s v="Margaret"/>
    <s v="Paula"/>
    <m/>
    <m/>
    <m/>
    <m/>
    <d v="1959-09-14T00:00:00"/>
    <d v="1986-12-13T00:00:00"/>
    <m/>
    <s v="70bb"/>
    <m/>
    <s v="70b"/>
    <m/>
    <x v="0"/>
    <n v="6"/>
    <n v="4"/>
    <n v="4"/>
    <x v="2"/>
  </r>
  <r>
    <x v="27"/>
    <s v="CHALDECOTT"/>
    <s v="Sophia"/>
    <s v="Caroline"/>
    <m/>
    <m/>
    <m/>
    <m/>
    <m/>
    <d v="1969-01-26T00:00:00"/>
    <m/>
    <m/>
    <s v="70bba"/>
    <m/>
    <s v="70bb"/>
    <m/>
    <x v="0"/>
    <n v="7"/>
    <n v="5"/>
    <n v="4"/>
    <x v="3"/>
  </r>
  <r>
    <x v="27"/>
    <s v="CHALDECOTT"/>
    <s v="Lucy"/>
    <s v="Maria"/>
    <m/>
    <m/>
    <m/>
    <m/>
    <m/>
    <d v="1992-03-05T00:00:00"/>
    <m/>
    <m/>
    <s v="70bbb"/>
    <m/>
    <s v="70bb"/>
    <m/>
    <x v="0"/>
    <n v="7"/>
    <n v="5"/>
    <n v="4"/>
    <x v="3"/>
  </r>
  <r>
    <x v="27"/>
    <s v="CHALDECOTT"/>
    <s v="Thomas"/>
    <s v="Owen"/>
    <m/>
    <m/>
    <m/>
    <m/>
    <m/>
    <d v="1999-10-31T00:00:00"/>
    <m/>
    <m/>
    <s v="70bbc"/>
    <m/>
    <s v="70bb"/>
    <m/>
    <x v="1"/>
    <n v="7"/>
    <n v="5"/>
    <n v="4"/>
    <x v="3"/>
  </r>
  <r>
    <x v="27"/>
    <s v="MICKLEM"/>
    <s v="Anne"/>
    <s v="Gertrude"/>
    <m/>
    <m/>
    <m/>
    <m/>
    <m/>
    <d v="1925-09-24T00:00:00"/>
    <d v="1950-12-09T00:00:00"/>
    <m/>
    <s v="70c"/>
    <m/>
    <s v="70"/>
    <m/>
    <x v="0"/>
    <n v="5"/>
    <n v="3"/>
    <n v="4"/>
    <x v="1"/>
  </r>
  <r>
    <x v="27"/>
    <s v="PAGE"/>
    <s v="Arthur"/>
    <s v="Hugo"/>
    <s v="Micklem"/>
    <m/>
    <m/>
    <m/>
    <m/>
    <d v="1951-09-16T00:00:00"/>
    <s v="00/10/1992"/>
    <m/>
    <s v="70ca"/>
    <m/>
    <s v="70c"/>
    <m/>
    <x v="1"/>
    <n v="6"/>
    <n v="4"/>
    <n v="4"/>
    <x v="2"/>
  </r>
  <r>
    <x v="27"/>
    <s v="PAGE"/>
    <s v="John"/>
    <s v="Nathaniel"/>
    <s v="Micklem"/>
    <m/>
    <m/>
    <m/>
    <m/>
    <d v="1953-12-16T00:00:00"/>
    <d v="1985-02-16T00:00:00"/>
    <m/>
    <s v="70cb1"/>
    <m/>
    <s v="70cb"/>
    <m/>
    <x v="1"/>
    <n v="7"/>
    <n v="5"/>
    <n v="4"/>
    <x v="3"/>
  </r>
  <r>
    <x v="27"/>
    <s v="PAGE"/>
    <s v="Henry"/>
    <s v="Charles"/>
    <s v="Micklem"/>
    <m/>
    <m/>
    <m/>
    <m/>
    <d v="1953-12-16T00:00:00"/>
    <d v="1983-08-08T00:00:00"/>
    <m/>
    <s v="70cb2"/>
    <m/>
    <s v="70cb"/>
    <m/>
    <x v="1"/>
    <n v="7"/>
    <n v="5"/>
    <n v="4"/>
    <x v="3"/>
  </r>
  <r>
    <x v="27"/>
    <s v="PAGE"/>
    <s v="George"/>
    <s v="Arthur"/>
    <s v="Louis"/>
    <m/>
    <m/>
    <m/>
    <m/>
    <d v="1998-03-28T00:00:00"/>
    <m/>
    <m/>
    <s v="70cb2a"/>
    <m/>
    <s v="70cb2"/>
    <m/>
    <x v="1"/>
    <n v="8"/>
    <n v="6"/>
    <n v="4"/>
    <x v="4"/>
  </r>
  <r>
    <x v="27"/>
    <s v="PAGE"/>
    <s v="Rupert"/>
    <s v="James"/>
    <s v="Oliver"/>
    <m/>
    <m/>
    <m/>
    <m/>
    <d v="1963-08-06T00:00:00"/>
    <m/>
    <m/>
    <s v="70cd"/>
    <m/>
    <s v="70c"/>
    <m/>
    <x v="1"/>
    <n v="6"/>
    <n v="4"/>
    <n v="4"/>
    <x v="2"/>
  </r>
  <r>
    <x v="27"/>
    <s v="MICKLEM"/>
    <s v="Thomas"/>
    <s v="Charles"/>
    <s v="Weguelin (Tom)"/>
    <m/>
    <m/>
    <m/>
    <m/>
    <d v="1926-11-04T00:00:00"/>
    <d v="1957-06-15T00:00:00"/>
    <m/>
    <s v="70d"/>
    <m/>
    <s v="70"/>
    <m/>
    <x v="1"/>
    <n v="5"/>
    <n v="3"/>
    <n v="4"/>
    <x v="1"/>
  </r>
  <r>
    <x v="27"/>
    <s v="MICKLEM"/>
    <s v="Philippa"/>
    <s v="Rhona"/>
    <m/>
    <m/>
    <m/>
    <m/>
    <m/>
    <d v="1958-09-24T00:00:00"/>
    <d v="1986-03-23T00:00:00"/>
    <m/>
    <s v="70da"/>
    <m/>
    <s v="70d"/>
    <m/>
    <x v="0"/>
    <n v="6"/>
    <n v="4"/>
    <n v="4"/>
    <x v="2"/>
  </r>
  <r>
    <x v="27"/>
    <s v="MICKLEM"/>
    <s v="Jeremy"/>
    <s v="Charles"/>
    <s v="Cracroft"/>
    <m/>
    <m/>
    <m/>
    <m/>
    <d v="1961-02-06T00:00:00"/>
    <m/>
    <m/>
    <s v="70db"/>
    <m/>
    <s v="70d"/>
    <m/>
    <x v="1"/>
    <n v="6"/>
    <n v="4"/>
    <n v="4"/>
    <x v="2"/>
  </r>
  <r>
    <x v="27"/>
    <s v="MICKLEM"/>
    <s v="Sylvia"/>
    <s v="Diana"/>
    <s v="(Sylvie)"/>
    <m/>
    <m/>
    <m/>
    <m/>
    <d v="1964-07-09T00:00:00"/>
    <d v="1986-11-08T00:00:00"/>
    <m/>
    <s v="70dc"/>
    <m/>
    <s v="70d"/>
    <m/>
    <x v="0"/>
    <n v="6"/>
    <n v="4"/>
    <n v="4"/>
    <x v="2"/>
  </r>
  <r>
    <x v="27"/>
    <s v="GOW"/>
    <s v="Simeon"/>
    <s v="Nathaniel"/>
    <s v="Benjamin"/>
    <m/>
    <m/>
    <m/>
    <m/>
    <d v="1990-10-23T00:00:00"/>
    <m/>
    <m/>
    <s v="70dca"/>
    <m/>
    <s v="70dc"/>
    <m/>
    <x v="1"/>
    <n v="7"/>
    <n v="5"/>
    <n v="4"/>
    <x v="3"/>
  </r>
  <r>
    <x v="27"/>
    <s v="GOW"/>
    <s v="Christopher"/>
    <s v="Gavin"/>
    <s v="Thomas"/>
    <m/>
    <m/>
    <m/>
    <m/>
    <d v="1996-04-19T00:00:00"/>
    <m/>
    <m/>
    <s v="70dcb"/>
    <m/>
    <s v="70dc"/>
    <m/>
    <x v="1"/>
    <n v="7"/>
    <n v="5"/>
    <n v="4"/>
    <x v="3"/>
  </r>
  <r>
    <x v="27"/>
    <s v="GOW"/>
    <s v="Joanna"/>
    <s v="Louise"/>
    <m/>
    <m/>
    <m/>
    <m/>
    <m/>
    <d v="1998-05-14T00:00:00"/>
    <m/>
    <m/>
    <s v="70dcc"/>
    <m/>
    <s v="70dc"/>
    <m/>
    <x v="0"/>
    <n v="7"/>
    <n v="5"/>
    <n v="4"/>
    <x v="3"/>
  </r>
  <r>
    <x v="27"/>
    <s v="MICKLEM"/>
    <s v="Elizabeth"/>
    <s v="Paula"/>
    <m/>
    <m/>
    <m/>
    <m/>
    <m/>
    <d v="1929-02-16T00:00:00"/>
    <d v="1954-03-01T00:00:00"/>
    <m/>
    <s v="70e"/>
    <m/>
    <s v="70"/>
    <m/>
    <x v="0"/>
    <n v="5"/>
    <n v="3"/>
    <n v="4"/>
    <x v="1"/>
  </r>
  <r>
    <x v="27"/>
    <s v="MICKLEM"/>
    <s v="Nathaniel"/>
    <s v="Henry"/>
    <s v="Stirling"/>
    <m/>
    <m/>
    <m/>
    <m/>
    <d v="1931-09-21T00:00:00"/>
    <s v="unmarried"/>
    <d v="1950-10-10T00:00:00"/>
    <s v="70f"/>
    <m/>
    <s v="70"/>
    <m/>
    <x v="1"/>
    <n v="5"/>
    <n v="3"/>
    <n v="4"/>
    <x v="1"/>
  </r>
  <r>
    <x v="28"/>
    <s v="LOYD"/>
    <s v="Cecily"/>
    <m/>
    <m/>
    <s v="1891"/>
    <s v="1891"/>
    <s v="Cecily (74): 1891"/>
    <s v="03/06/1891"/>
    <s v="03/06/1891"/>
    <s v="unmarried"/>
    <s v="03/06/1891"/>
    <n v="74"/>
    <s v="Cecily (74): 1891 - 1891"/>
    <n v="41"/>
    <s v="Llewellyn (45): 1861 - 1939"/>
    <x v="0"/>
    <n v="4"/>
    <n v="2"/>
    <n v="4"/>
    <x v="0"/>
  </r>
  <r>
    <x v="29"/>
    <s v="LOYD"/>
    <s v="Anne"/>
    <m/>
    <m/>
    <n v="1912"/>
    <n v="2004"/>
    <s v="Anne (85): 1912"/>
    <n v="4671"/>
    <d v="1912-10-14T00:00:00"/>
    <d v="1937-01-12T00:00:00"/>
    <d v="2004-09-02T00:00:00"/>
    <n v="85"/>
    <s v="Anne (85): 1912 - 2004"/>
    <n v="56"/>
    <s v="Tommy (56): 1882 - 1944"/>
    <x v="0"/>
    <n v="5"/>
    <n v="2"/>
    <n v="5"/>
    <x v="0"/>
  </r>
  <r>
    <x v="29"/>
    <s v="LANE FOX"/>
    <s v="Martin"/>
    <s v="James"/>
    <m/>
    <m/>
    <m/>
    <m/>
    <m/>
    <d v="1938-04-11T00:00:00"/>
    <d v="1965-02-24T00:00:00"/>
    <d v="2016-07-14T00:00:00"/>
    <s v="85a"/>
    <m/>
    <n v="85"/>
    <m/>
    <x v="1"/>
    <n v="6"/>
    <n v="3"/>
    <n v="5"/>
    <x v="1"/>
  </r>
  <r>
    <x v="29"/>
    <s v="LANE FOX"/>
    <s v="Charlotte"/>
    <s v="Mary"/>
    <m/>
    <m/>
    <m/>
    <m/>
    <m/>
    <d v="1967-04-18T00:00:00"/>
    <d v="1992-12-12T00:00:00"/>
    <m/>
    <s v="85aa"/>
    <m/>
    <s v="85a"/>
    <m/>
    <x v="0"/>
    <n v="7"/>
    <n v="4"/>
    <n v="5"/>
    <x v="2"/>
  </r>
  <r>
    <x v="29"/>
    <s v="ELLIS"/>
    <s v="Matilda"/>
    <s v="Prudence"/>
    <m/>
    <m/>
    <m/>
    <m/>
    <m/>
    <d v="1995-07-25T00:00:00"/>
    <m/>
    <m/>
    <s v="85aaa"/>
    <m/>
    <s v="85aa"/>
    <m/>
    <x v="0"/>
    <n v="8"/>
    <n v="5"/>
    <n v="5"/>
    <x v="3"/>
  </r>
  <r>
    <x v="29"/>
    <s v="ELLIS"/>
    <s v="Tabitha"/>
    <s v="Hope"/>
    <m/>
    <m/>
    <m/>
    <m/>
    <m/>
    <d v="1997-10-03T00:00:00"/>
    <m/>
    <m/>
    <s v="85aab"/>
    <m/>
    <s v="85aa"/>
    <m/>
    <x v="0"/>
    <n v="8"/>
    <n v="5"/>
    <n v="5"/>
    <x v="3"/>
  </r>
  <r>
    <x v="29"/>
    <s v="LANE FOX"/>
    <s v="Oliver"/>
    <s v="James"/>
    <m/>
    <m/>
    <m/>
    <m/>
    <m/>
    <d v="1968-09-03T00:00:00"/>
    <d v="1999-06-26T00:00:00"/>
    <m/>
    <s v="85ab"/>
    <m/>
    <s v="85a"/>
    <m/>
    <x v="1"/>
    <n v="7"/>
    <n v="4"/>
    <n v="5"/>
    <x v="2"/>
  </r>
  <r>
    <x v="29"/>
    <s v="LANE FOX"/>
    <s v="Esme"/>
    <s v="Grace G"/>
    <m/>
    <m/>
    <m/>
    <m/>
    <m/>
    <d v="1998-07-24T00:00:00"/>
    <m/>
    <m/>
    <s v="85aba"/>
    <m/>
    <s v="85ab"/>
    <m/>
    <x v="0"/>
    <n v="8"/>
    <n v="5"/>
    <n v="5"/>
    <x v="3"/>
  </r>
  <r>
    <x v="29"/>
    <s v="LANE FOX"/>
    <s v="Georgia"/>
    <s v="Rose"/>
    <m/>
    <m/>
    <m/>
    <m/>
    <m/>
    <d v="2000-06-23T00:00:00"/>
    <m/>
    <m/>
    <s v="85abb"/>
    <m/>
    <s v="85ab"/>
    <m/>
    <x v="0"/>
    <n v="8"/>
    <n v="5"/>
    <n v="5"/>
    <x v="3"/>
  </r>
  <r>
    <x v="29"/>
    <s v="LANE FOX"/>
    <s v="Sophie"/>
    <s v="Anne"/>
    <m/>
    <m/>
    <m/>
    <m/>
    <m/>
    <d v="1972-07-21T00:00:00"/>
    <m/>
    <m/>
    <s v="85ac"/>
    <m/>
    <s v="85a"/>
    <m/>
    <x v="0"/>
    <n v="7"/>
    <n v="4"/>
    <n v="5"/>
    <x v="2"/>
  </r>
  <r>
    <x v="29"/>
    <s v="LANE FOX"/>
    <s v="Edward"/>
    <s v="James"/>
    <m/>
    <m/>
    <m/>
    <m/>
    <m/>
    <d v="1939-10-13T00:00:00"/>
    <d v="1963-06-26T00:00:00"/>
    <m/>
    <s v="85b"/>
    <m/>
    <s v="85"/>
    <m/>
    <x v="1"/>
    <n v="6"/>
    <n v="3"/>
    <n v="5"/>
    <x v="1"/>
  </r>
  <r>
    <x v="29"/>
    <s v="LANE FOX"/>
    <s v="Lucy"/>
    <s v="Jane"/>
    <m/>
    <m/>
    <m/>
    <m/>
    <m/>
    <d v="1965-09-25T00:00:00"/>
    <d v="1989-09-23T00:00:00"/>
    <m/>
    <s v="85ba"/>
    <m/>
    <s v="85b"/>
    <m/>
    <x v="0"/>
    <n v="7"/>
    <n v="4"/>
    <n v="5"/>
    <x v="2"/>
  </r>
  <r>
    <x v="29"/>
    <s v="LANE FOX"/>
    <s v="Serena"/>
    <s v="Mary"/>
    <m/>
    <m/>
    <m/>
    <m/>
    <m/>
    <d v="1967-02-19T00:00:00"/>
    <d v="1998-05-29T00:00:00"/>
    <m/>
    <s v="85bb"/>
    <m/>
    <s v="85b"/>
    <m/>
    <x v="0"/>
    <n v="7"/>
    <n v="4"/>
    <n v="5"/>
    <x v="2"/>
  </r>
  <r>
    <x v="29"/>
    <s v="LANE FOX"/>
    <s v="Emily"/>
    <s v="Laura"/>
    <m/>
    <m/>
    <m/>
    <m/>
    <m/>
    <d v="1969-10-02T00:00:00"/>
    <d v="1992-09-05T00:00:00"/>
    <m/>
    <s v="85bc"/>
    <m/>
    <s v="85b"/>
    <m/>
    <x v="0"/>
    <n v="7"/>
    <n v="4"/>
    <n v="5"/>
    <x v="2"/>
  </r>
  <r>
    <x v="29"/>
    <s v="GASZTOWTT"/>
    <s v="Lily"/>
    <s v="Joanna"/>
    <m/>
    <m/>
    <m/>
    <m/>
    <m/>
    <d v="1997-07-01T00:00:00"/>
    <m/>
    <m/>
    <s v="85bca"/>
    <m/>
    <s v="85bc"/>
    <m/>
    <x v="0"/>
    <n v="8"/>
    <n v="5"/>
    <n v="5"/>
    <x v="3"/>
  </r>
  <r>
    <x v="29"/>
    <s v="LANE FOX"/>
    <s v="Charles"/>
    <s v="James"/>
    <m/>
    <m/>
    <m/>
    <m/>
    <m/>
    <d v="1977-04-03T00:00:00"/>
    <m/>
    <m/>
    <s v="85bd"/>
    <m/>
    <s v="85b"/>
    <m/>
    <x v="1"/>
    <n v="7"/>
    <n v="4"/>
    <n v="5"/>
    <x v="2"/>
  </r>
  <r>
    <x v="29"/>
    <s v="LANE FOX"/>
    <s v="Jenny"/>
    <m/>
    <m/>
    <m/>
    <m/>
    <m/>
    <m/>
    <d v="1944-12-29T00:00:00"/>
    <d v="1977-12-19T00:00:00"/>
    <m/>
    <s v="85c"/>
    <m/>
    <s v="85"/>
    <m/>
    <x v="0"/>
    <n v="6"/>
    <n v="3"/>
    <n v="5"/>
    <x v="1"/>
  </r>
  <r>
    <x v="29"/>
    <s v="TENNYSON d'EYNCOURT"/>
    <s v="James"/>
    <s v="Alfred"/>
    <s v="Louis"/>
    <m/>
    <m/>
    <m/>
    <m/>
    <d v="1978-06-11T00:00:00"/>
    <m/>
    <m/>
    <s v="85ca"/>
    <m/>
    <s v="85c"/>
    <m/>
    <x v="1"/>
    <n v="7"/>
    <n v="4"/>
    <n v="5"/>
    <x v="2"/>
  </r>
  <r>
    <x v="29"/>
    <s v="TENNYSON d'EYNCOURT"/>
    <s v="Frances"/>
    <s v="Rosemary"/>
    <s v="Amaryllis"/>
    <m/>
    <m/>
    <m/>
    <m/>
    <d v="1980-03-22T00:00:00"/>
    <m/>
    <m/>
    <s v="85cb"/>
    <m/>
    <s v="85c"/>
    <m/>
    <x v="0"/>
    <n v="7"/>
    <n v="4"/>
    <n v="5"/>
    <x v="2"/>
  </r>
  <r>
    <x v="29"/>
    <s v="LANE FOX"/>
    <s v="Robin"/>
    <s v="James"/>
    <m/>
    <m/>
    <m/>
    <m/>
    <m/>
    <d v="1946-10-05T00:00:00"/>
    <d v="1970-06-26T00:00:00"/>
    <m/>
    <s v="85d"/>
    <m/>
    <s v="85"/>
    <m/>
    <x v="1"/>
    <n v="6"/>
    <n v="3"/>
    <n v="5"/>
    <x v="1"/>
  </r>
  <r>
    <x v="29"/>
    <s v="LANE FOX"/>
    <s v="Martha"/>
    <m/>
    <m/>
    <m/>
    <m/>
    <m/>
    <m/>
    <d v="1973-02-10T00:00:00"/>
    <m/>
    <m/>
    <s v="85da"/>
    <m/>
    <s v="85d"/>
    <m/>
    <x v="0"/>
    <n v="7"/>
    <n v="4"/>
    <n v="5"/>
    <x v="2"/>
  </r>
  <r>
    <x v="29"/>
    <s v="LANE FOX"/>
    <s v="Henry"/>
    <s v="James"/>
    <m/>
    <m/>
    <m/>
    <m/>
    <m/>
    <d v="1974-10-19T00:00:00"/>
    <m/>
    <m/>
    <s v="85db"/>
    <m/>
    <s v="85d"/>
    <m/>
    <x v="1"/>
    <n v="7"/>
    <n v="4"/>
    <n v="5"/>
    <x v="2"/>
  </r>
  <r>
    <x v="30"/>
    <s v="LOYD"/>
    <s v="Delia"/>
    <s v="Virginia"/>
    <s v="Georgina"/>
    <n v="1915"/>
    <n v="2007"/>
    <s v="Delia (88): 1915"/>
    <n v="5734"/>
    <d v="1915-09-12T00:00:00"/>
    <d v="1935-03-05T00:00:00"/>
    <d v="2007-01-10T00:00:00"/>
    <n v="88"/>
    <s v="Delia (88): 1915 - 2007"/>
    <n v="66"/>
    <s v="William (66): 1889 - 1947"/>
    <x v="0"/>
    <n v="5"/>
    <n v="2"/>
    <n v="5"/>
    <x v="0"/>
  </r>
  <r>
    <x v="30"/>
    <s v="BAIRD"/>
    <s v="Lady Diana"/>
    <s v="Elizabeth"/>
    <s v="Virginia Sydney"/>
    <m/>
    <m/>
    <m/>
    <m/>
    <d v="1937-06-22T00:00:00"/>
    <d v="1957-07-20T00:00:00"/>
    <m/>
    <s v="88a"/>
    <m/>
    <s v="88"/>
    <m/>
    <x v="0"/>
    <n v="6"/>
    <n v="3"/>
    <n v="5"/>
    <x v="1"/>
  </r>
  <r>
    <x v="30"/>
    <s v="HOLMAN-BAIRD"/>
    <s v="Richard"/>
    <s v="Ian"/>
    <m/>
    <m/>
    <m/>
    <m/>
    <m/>
    <d v="1958-09-02T00:00:00"/>
    <d v="1985-04-20T00:00:00"/>
    <m/>
    <s v="88aa"/>
    <m/>
    <s v="88a"/>
    <m/>
    <x v="1"/>
    <n v="7"/>
    <n v="4"/>
    <n v="5"/>
    <x v="2"/>
  </r>
  <r>
    <x v="30"/>
    <s v="HOLMAN-BAIRD"/>
    <s v="Louise"/>
    <s v="Sarah"/>
    <m/>
    <m/>
    <m/>
    <m/>
    <m/>
    <d v="1986-12-31T00:00:00"/>
    <m/>
    <m/>
    <s v="88aaa"/>
    <m/>
    <s v="88aa"/>
    <m/>
    <x v="0"/>
    <n v="8"/>
    <n v="5"/>
    <n v="5"/>
    <x v="3"/>
  </r>
  <r>
    <x v="30"/>
    <s v="HOLMAN-BAIRD"/>
    <s v="Angus"/>
    <s v="John"/>
    <m/>
    <m/>
    <m/>
    <m/>
    <m/>
    <d v="1997-01-14T00:00:00"/>
    <m/>
    <m/>
    <s v="88aab"/>
    <m/>
    <s v="88aa"/>
    <m/>
    <x v="1"/>
    <n v="8"/>
    <n v="5"/>
    <n v="5"/>
    <x v="3"/>
  </r>
  <r>
    <x v="30"/>
    <s v="HOLMAN-BAIRD"/>
    <s v="Ameli"/>
    <s v="Jo"/>
    <m/>
    <m/>
    <m/>
    <m/>
    <m/>
    <d v="1998-12-29T00:00:00"/>
    <m/>
    <m/>
    <s v="88aac"/>
    <m/>
    <s v="88aa"/>
    <m/>
    <x v="0"/>
    <n v="8"/>
    <n v="5"/>
    <n v="5"/>
    <x v="3"/>
  </r>
  <r>
    <x v="30"/>
    <s v="HOLMAN"/>
    <s v="Edward"/>
    <m/>
    <m/>
    <m/>
    <m/>
    <m/>
    <m/>
    <d v="1960-02-15T00:00:00"/>
    <m/>
    <m/>
    <s v="88ab"/>
    <m/>
    <s v="88a"/>
    <m/>
    <x v="1"/>
    <n v="7"/>
    <n v="4"/>
    <n v="5"/>
    <x v="2"/>
  </r>
  <r>
    <x v="30"/>
    <s v="HOLMAN"/>
    <s v="Georgina"/>
    <s v="Mary"/>
    <m/>
    <m/>
    <m/>
    <m/>
    <m/>
    <d v="1964-10-04T00:00:00"/>
    <d v="1988-07-20T00:00:00"/>
    <m/>
    <s v="88ac"/>
    <m/>
    <s v="88a"/>
    <m/>
    <x v="0"/>
    <n v="7"/>
    <n v="4"/>
    <n v="5"/>
    <x v="2"/>
  </r>
  <r>
    <x v="30"/>
    <s v="STIRRUP"/>
    <s v="William"/>
    <s v="John"/>
    <m/>
    <m/>
    <m/>
    <m/>
    <m/>
    <d v="1992-09-10T00:00:00"/>
    <m/>
    <m/>
    <s v="88aca"/>
    <m/>
    <s v="88ac"/>
    <m/>
    <x v="1"/>
    <n v="8"/>
    <n v="5"/>
    <n v="5"/>
    <x v="3"/>
  </r>
  <r>
    <x v="30"/>
    <s v="STIRRUP"/>
    <s v="Timothy"/>
    <s v="Charles"/>
    <m/>
    <m/>
    <m/>
    <m/>
    <m/>
    <d v="1994-06-06T00:00:00"/>
    <m/>
    <m/>
    <s v="88acb"/>
    <m/>
    <s v="88ac"/>
    <m/>
    <x v="1"/>
    <n v="8"/>
    <n v="5"/>
    <n v="5"/>
    <x v="3"/>
  </r>
  <r>
    <x v="30"/>
    <s v="STIRRUP"/>
    <s v="Isabelle"/>
    <s v="Diana"/>
    <m/>
    <m/>
    <m/>
    <m/>
    <m/>
    <d v="1997-04-14T00:00:00"/>
    <m/>
    <m/>
    <s v="88acc"/>
    <m/>
    <s v="88ac"/>
    <m/>
    <x v="0"/>
    <n v="8"/>
    <n v="5"/>
    <n v="5"/>
    <x v="3"/>
  </r>
  <r>
    <x v="30"/>
    <s v="HOLMAN"/>
    <s v="Emma"/>
    <s v="Charlotte"/>
    <m/>
    <m/>
    <m/>
    <m/>
    <m/>
    <d v="1966-04-11T00:00:00"/>
    <d v="1990-04-21T00:00:00"/>
    <m/>
    <s v="88ad"/>
    <m/>
    <s v="88a"/>
    <m/>
    <x v="0"/>
    <n v="7"/>
    <n v="4"/>
    <n v="5"/>
    <x v="2"/>
  </r>
  <r>
    <x v="30"/>
    <s v="COLE"/>
    <s v="Sophie"/>
    <s v="Charlotte"/>
    <m/>
    <m/>
    <m/>
    <m/>
    <m/>
    <d v="1992-08-04T00:00:00"/>
    <m/>
    <m/>
    <s v="88ada"/>
    <m/>
    <s v="88ad"/>
    <m/>
    <x v="1"/>
    <n v="8"/>
    <n v="5"/>
    <n v="5"/>
    <x v="3"/>
  </r>
  <r>
    <x v="30"/>
    <s v="COLE"/>
    <s v="Patrick"/>
    <s v="James"/>
    <m/>
    <m/>
    <m/>
    <m/>
    <m/>
    <d v="1994-03-15T00:00:00"/>
    <m/>
    <m/>
    <s v="88adb"/>
    <m/>
    <s v="88ad"/>
    <m/>
    <x v="0"/>
    <n v="8"/>
    <n v="5"/>
    <n v="5"/>
    <x v="3"/>
  </r>
  <r>
    <x v="30"/>
    <s v="KEITH"/>
    <s v="Michael"/>
    <s v="Canning"/>
    <s v="William John"/>
    <m/>
    <m/>
    <m/>
    <m/>
    <d v="1939-02-22T00:00:00"/>
    <d v="1972-10-09T00:00:00"/>
    <m/>
    <s v="88b"/>
    <m/>
    <s v="88"/>
    <m/>
    <x v="1"/>
    <n v="6"/>
    <n v="3"/>
    <n v="5"/>
    <x v="1"/>
  </r>
  <r>
    <x v="30"/>
    <s v="KEITH"/>
    <s v="James"/>
    <s v="William"/>
    <s v="Falconer"/>
    <m/>
    <m/>
    <m/>
    <m/>
    <d v="1976-04-15T00:00:00"/>
    <m/>
    <m/>
    <s v="88ba"/>
    <m/>
    <s v="88b"/>
    <m/>
    <x v="1"/>
    <n v="7"/>
    <n v="4"/>
    <n v="5"/>
    <x v="2"/>
  </r>
  <r>
    <x v="30"/>
    <s v="KEITH"/>
    <s v="The Honourable Iona"/>
    <s v="Delia Mary"/>
    <s v="Gaddis"/>
    <m/>
    <m/>
    <m/>
    <m/>
    <d v="1978-01-01T00:00:00"/>
    <m/>
    <m/>
    <s v="88ca"/>
    <m/>
    <s v="88c"/>
    <m/>
    <x v="0"/>
    <n v="7"/>
    <n v="4"/>
    <n v="5"/>
    <x v="2"/>
  </r>
  <r>
    <x v="30"/>
    <s v="BAIRD"/>
    <s v="The Hon Alexander"/>
    <s v="David"/>
    <m/>
    <m/>
    <m/>
    <m/>
    <m/>
    <d v="1946-04-21T00:00:00"/>
    <m/>
    <m/>
    <s v="88c"/>
    <m/>
    <s v="88"/>
    <m/>
    <x v="1"/>
    <n v="6"/>
    <n v="3"/>
    <n v="5"/>
    <x v="1"/>
  </r>
  <r>
    <x v="31"/>
    <s v="LOYD"/>
    <s v="Averil"/>
    <s v="Innes"/>
    <m/>
    <n v="1917"/>
    <n v="1993"/>
    <s v="Averil (90): 1917"/>
    <n v="6293"/>
    <d v="1917-03-24T00:00:00"/>
    <d v="1940-01-22T00:00:00"/>
    <d v="1993-08-21T00:00:00"/>
    <n v="90"/>
    <s v="Averil (90): 1917 - 1993"/>
    <n v="52"/>
    <s v="Lewis (52): 1880 - 1918"/>
    <x v="0"/>
    <n v="5"/>
    <n v="2"/>
    <n v="5"/>
    <x v="0"/>
  </r>
  <r>
    <x v="31"/>
    <s v="MARSHAM-TOWNHEND"/>
    <s v="June"/>
    <m/>
    <m/>
    <m/>
    <m/>
    <m/>
    <m/>
    <d v="1942-06-30T00:00:00"/>
    <d v="1962-06-18T00:00:00"/>
    <m/>
    <s v="90a"/>
    <m/>
    <s v="90"/>
    <m/>
    <x v="0"/>
    <n v="6"/>
    <n v="3"/>
    <n v="5"/>
    <x v="1"/>
  </r>
  <r>
    <x v="31"/>
    <s v="NORMAN"/>
    <s v="Emily"/>
    <s v="Kate"/>
    <m/>
    <m/>
    <m/>
    <m/>
    <m/>
    <d v="1975-09-24T00:00:00"/>
    <m/>
    <m/>
    <s v="90aa"/>
    <m/>
    <s v="90a"/>
    <m/>
    <x v="0"/>
    <n v="7"/>
    <n v="4"/>
    <n v="5"/>
    <x v="2"/>
  </r>
  <r>
    <x v="31"/>
    <s v="RANKIN"/>
    <s v="Lachlan"/>
    <s v="John"/>
    <m/>
    <m/>
    <m/>
    <m/>
    <m/>
    <d v="1980-04-27T00:00:00"/>
    <m/>
    <m/>
    <s v="90ab"/>
    <m/>
    <s v="90a"/>
    <m/>
    <x v="1"/>
    <n v="7"/>
    <n v="4"/>
    <n v="5"/>
    <x v="2"/>
  </r>
  <r>
    <x v="31"/>
    <s v="MARSHAM-TOWNHEND"/>
    <s v="Susan (Suki)"/>
    <m/>
    <m/>
    <m/>
    <m/>
    <m/>
    <m/>
    <d v="1944-05-13T00:00:00"/>
    <d v="1972-01-26T00:00:00"/>
    <m/>
    <s v="90b"/>
    <m/>
    <s v="90"/>
    <m/>
    <x v="0"/>
    <n v="6"/>
    <n v="3"/>
    <n v="5"/>
    <x v="1"/>
  </r>
  <r>
    <x v="31"/>
    <s v="STUDIATI BERNI"/>
    <s v="Cesare"/>
    <m/>
    <m/>
    <m/>
    <m/>
    <m/>
    <m/>
    <d v="1972-09-07T00:00:00"/>
    <m/>
    <m/>
    <s v="90ba"/>
    <m/>
    <s v="90b"/>
    <m/>
    <x v="0"/>
    <n v="7"/>
    <n v="4"/>
    <n v="5"/>
    <x v="2"/>
  </r>
  <r>
    <x v="31"/>
    <s v="STUDIATI BERNI"/>
    <s v="Viola"/>
    <m/>
    <m/>
    <m/>
    <m/>
    <m/>
    <m/>
    <d v="1975-07-30T00:00:00"/>
    <m/>
    <m/>
    <s v="90bb"/>
    <m/>
    <s v="90b"/>
    <m/>
    <x v="0"/>
    <n v="7"/>
    <n v="4"/>
    <n v="5"/>
    <x v="2"/>
  </r>
  <r>
    <x v="31"/>
    <s v="CLARKE"/>
    <s v="Jonathan"/>
    <s v="Edmund"/>
    <s v="Stephenson"/>
    <m/>
    <m/>
    <m/>
    <m/>
    <d v="1950-01-18T00:00:00"/>
    <d v="1973-05-31T00:00:00"/>
    <m/>
    <s v="90c"/>
    <m/>
    <s v="90"/>
    <m/>
    <x v="1"/>
    <n v="6"/>
    <n v="3"/>
    <n v="5"/>
    <x v="1"/>
  </r>
  <r>
    <x v="31"/>
    <s v="CLARKE"/>
    <s v="Georgina "/>
    <s v="Louise"/>
    <s v="Stephenson"/>
    <m/>
    <m/>
    <m/>
    <m/>
    <d v="1976-02-21T00:00:00"/>
    <m/>
    <m/>
    <s v="90ca"/>
    <m/>
    <s v="90c"/>
    <m/>
    <x v="0"/>
    <n v="7"/>
    <n v="4"/>
    <n v="5"/>
    <x v="2"/>
  </r>
  <r>
    <x v="31"/>
    <s v="CLARKE"/>
    <s v="Philippa"/>
    <s v="Francesca"/>
    <s v="Stephenson"/>
    <m/>
    <m/>
    <m/>
    <m/>
    <d v="1980-01-15T00:00:00"/>
    <m/>
    <d v="1980-04-09T00:00:00"/>
    <s v="90cb"/>
    <m/>
    <s v="90c"/>
    <m/>
    <x v="0"/>
    <n v="7"/>
    <n v="4"/>
    <n v="5"/>
    <x v="2"/>
  </r>
  <r>
    <x v="31"/>
    <s v="CLARKE"/>
    <s v="Marina"/>
    <s v="Rose"/>
    <s v="Stephenson"/>
    <m/>
    <m/>
    <m/>
    <m/>
    <d v="1982-03-20T00:00:00"/>
    <m/>
    <m/>
    <s v="90cc"/>
    <m/>
    <s v="90c"/>
    <m/>
    <x v="1"/>
    <n v="7"/>
    <n v="4"/>
    <n v="5"/>
    <x v="2"/>
  </r>
  <r>
    <x v="32"/>
    <s v="LOYD"/>
    <s v="Daphne"/>
    <s v="Maud"/>
    <s v="Trelawny"/>
    <n v="1917"/>
    <n v="1992"/>
    <s v="Daphne (92): 1917"/>
    <n v="6540"/>
    <d v="1917-11-26T00:00:00"/>
    <d v="1945-08-25T00:00:00"/>
    <d v="1992-07-22T00:00:00"/>
    <n v="92"/>
    <s v="Daphne (92): 1917 - 1992"/>
    <n v="54"/>
    <s v="Alfred (54): 1882 - 1919"/>
    <x v="0"/>
    <n v="5"/>
    <n v="2"/>
    <n v="5"/>
    <x v="0"/>
  </r>
  <r>
    <x v="32"/>
    <s v="TATTON-BROWN"/>
    <s v="Timothy"/>
    <s v="William"/>
    <s v="Trelawny"/>
    <m/>
    <m/>
    <m/>
    <m/>
    <d v="1947-02-03T00:00:00"/>
    <d v="1979-01-20T00:00:00"/>
    <m/>
    <s v="92a"/>
    <m/>
    <s v="92"/>
    <m/>
    <x v="1"/>
    <n v="6"/>
    <n v="3"/>
    <n v="5"/>
    <x v="1"/>
  </r>
  <r>
    <x v="32"/>
    <s v="TATTON-BROWN"/>
    <s v="Hugh"/>
    <s v="Trelawny"/>
    <m/>
    <m/>
    <m/>
    <m/>
    <m/>
    <d v="1980-07-22T00:00:00"/>
    <m/>
    <m/>
    <s v="92aa"/>
    <m/>
    <s v="92a"/>
    <m/>
    <x v="1"/>
    <n v="7"/>
    <n v="4"/>
    <n v="5"/>
    <x v="2"/>
  </r>
  <r>
    <x v="32"/>
    <s v="TATTON-BROWN"/>
    <s v="Miranda"/>
    <s v="Emily"/>
    <s v="Jean"/>
    <m/>
    <m/>
    <m/>
    <m/>
    <d v="1983-01-24T00:00:00"/>
    <m/>
    <m/>
    <s v="92ab"/>
    <m/>
    <s v="92a"/>
    <m/>
    <x v="0"/>
    <n v="7"/>
    <n v="4"/>
    <n v="5"/>
    <x v="2"/>
  </r>
  <r>
    <x v="32"/>
    <s v="TATTON-BROWN"/>
    <s v="Lucy"/>
    <s v="Ann"/>
    <m/>
    <m/>
    <m/>
    <m/>
    <m/>
    <d v="1984-10-15T00:00:00"/>
    <m/>
    <m/>
    <s v="92ac"/>
    <m/>
    <s v="92a"/>
    <m/>
    <x v="0"/>
    <n v="7"/>
    <n v="4"/>
    <n v="5"/>
    <x v="2"/>
  </r>
  <r>
    <x v="32"/>
    <s v="TATTON-BROWN"/>
    <s v="Robert"/>
    <s v="William"/>
    <s v="Loyd"/>
    <m/>
    <m/>
    <m/>
    <m/>
    <d v="1993-02-25T00:00:00"/>
    <m/>
    <m/>
    <s v="92ad"/>
    <m/>
    <s v="92a"/>
    <m/>
    <x v="1"/>
    <n v="7"/>
    <n v="4"/>
    <n v="5"/>
    <x v="2"/>
  </r>
  <r>
    <x v="32"/>
    <s v="TATTON-BROWN"/>
    <s v="Giles"/>
    <s v="Eden"/>
    <m/>
    <m/>
    <m/>
    <m/>
    <m/>
    <d v="1948-10-21T00:00:00"/>
    <m/>
    <m/>
    <s v="92b"/>
    <m/>
    <s v="92"/>
    <m/>
    <x v="1"/>
    <n v="6"/>
    <n v="3"/>
    <n v="5"/>
    <x v="1"/>
  </r>
  <r>
    <x v="32"/>
    <s v="TATTON-BROWN"/>
    <s v="Olivia"/>
    <s v="Daphne"/>
    <s v="Noelle"/>
    <m/>
    <m/>
    <m/>
    <m/>
    <d v="1971-05-13T00:00:00"/>
    <s v="32/09/1970"/>
    <m/>
    <s v="92ba"/>
    <m/>
    <s v="92b"/>
    <m/>
    <x v="0"/>
    <n v="7"/>
    <n v="4"/>
    <n v="5"/>
    <x v="2"/>
  </r>
  <r>
    <x v="32"/>
    <s v="ANDERSEN"/>
    <s v="Octavia"/>
    <s v="Kenya"/>
    <m/>
    <m/>
    <m/>
    <m/>
    <m/>
    <d v="1999-03-11T00:00:00"/>
    <m/>
    <m/>
    <s v="92baa"/>
    <m/>
    <s v="92ba"/>
    <m/>
    <x v="0"/>
    <n v="8"/>
    <n v="5"/>
    <n v="5"/>
    <x v="3"/>
  </r>
  <r>
    <x v="32"/>
    <s v="TATTON-BROWN"/>
    <s v="Benjamin"/>
    <s v="Robert"/>
    <s v="Louis"/>
    <m/>
    <m/>
    <m/>
    <m/>
    <d v="1973-06-23T00:00:00"/>
    <m/>
    <m/>
    <s v="92bb"/>
    <m/>
    <s v="92b"/>
    <m/>
    <x v="1"/>
    <n v="7"/>
    <n v="4"/>
    <n v="5"/>
    <x v="2"/>
  </r>
  <r>
    <x v="32"/>
    <s v="TATTON-BROWN"/>
    <s v="Daisy"/>
    <s v="Maud"/>
    <m/>
    <m/>
    <m/>
    <m/>
    <m/>
    <d v="1983-04-10T00:00:00"/>
    <m/>
    <m/>
    <s v="92bc"/>
    <m/>
    <s v="92b"/>
    <m/>
    <x v="0"/>
    <n v="7"/>
    <n v="4"/>
    <n v="5"/>
    <x v="2"/>
  </r>
  <r>
    <x v="32"/>
    <s v="TATTON-BROWN"/>
    <s v="Gregory"/>
    <s v="Mark"/>
    <s v="Eden"/>
    <m/>
    <m/>
    <m/>
    <m/>
    <d v="1985-07-06T00:00:00"/>
    <m/>
    <m/>
    <s v="92bd"/>
    <m/>
    <s v="92b"/>
    <m/>
    <x v="1"/>
    <n v="7"/>
    <n v="4"/>
    <n v="5"/>
    <x v="2"/>
  </r>
  <r>
    <x v="32"/>
    <s v="TATTON-BROWN"/>
    <s v="Anthea"/>
    <s v="Mary"/>
    <m/>
    <m/>
    <m/>
    <m/>
    <m/>
    <d v="1951-11-26T00:00:00"/>
    <m/>
    <m/>
    <s v="92c"/>
    <m/>
    <s v="92"/>
    <m/>
    <x v="0"/>
    <n v="6"/>
    <n v="3"/>
    <n v="5"/>
    <x v="1"/>
  </r>
  <r>
    <x v="32"/>
    <s v="TATTON-BROWN"/>
    <s v="Frances"/>
    <s v="Maud"/>
    <s v="(Fanny)"/>
    <m/>
    <m/>
    <m/>
    <m/>
    <d v="1954-01-01T00:00:00"/>
    <m/>
    <m/>
    <s v="92d"/>
    <m/>
    <s v="92"/>
    <m/>
    <x v="0"/>
    <n v="6"/>
    <n v="3"/>
    <n v="5"/>
    <x v="1"/>
  </r>
  <r>
    <x v="32"/>
    <s v="SURTEES"/>
    <s v="Jonathan"/>
    <s v="William"/>
    <s v="Robert"/>
    <m/>
    <m/>
    <m/>
    <m/>
    <d v="1982-02-20T00:00:00"/>
    <m/>
    <m/>
    <s v="92da"/>
    <m/>
    <s v="92d"/>
    <m/>
    <x v="1"/>
    <n v="7"/>
    <n v="4"/>
    <n v="5"/>
    <x v="2"/>
  </r>
  <r>
    <x v="32"/>
    <s v="SURTEES"/>
    <s v="Rosamund"/>
    <s v="Daphne"/>
    <s v="Patricia"/>
    <m/>
    <m/>
    <m/>
    <m/>
    <d v="1987-02-08T00:00:00"/>
    <m/>
    <m/>
    <s v="92db"/>
    <m/>
    <s v="92d"/>
    <m/>
    <x v="0"/>
    <n v="7"/>
    <n v="4"/>
    <n v="5"/>
    <x v="2"/>
  </r>
  <r>
    <x v="33"/>
    <s v="LOYD"/>
    <s v="Iris"/>
    <s v="Daphne (Jill)"/>
    <m/>
    <n v="1920"/>
    <n v="2002"/>
    <s v="Jill (93): 1920"/>
    <n v="7391"/>
    <d v="1920-03-26T00:00:00"/>
    <s v="unmarried"/>
    <d v="2002-04-10T00:00:00"/>
    <n v="93"/>
    <s v="Jill (93): 1920 - 2002"/>
    <n v="68"/>
    <s v="Cecil (68): 1890 - 1963"/>
    <x v="0"/>
    <n v="5"/>
    <n v="2"/>
    <n v="5"/>
    <x v="0"/>
  </r>
  <r>
    <x v="34"/>
    <s v="LOYD"/>
    <s v="Hester"/>
    <m/>
    <m/>
    <n v="1920"/>
    <s v="?"/>
    <s v="Hester (95): 1920"/>
    <n v="7641"/>
    <d v="1920-12-01T00:00:00"/>
    <d v="1944-07-08T00:00:00"/>
    <s v="?"/>
    <n v="95"/>
    <s v="Hester (95): 1920 - ?"/>
    <n v="56"/>
    <s v="Tommy (56): 1882 - 1944"/>
    <x v="0"/>
    <n v="5"/>
    <n v="2"/>
    <n v="5"/>
    <x v="0"/>
  </r>
  <r>
    <x v="34"/>
    <s v="KNIGHT"/>
    <s v="Henrietta"/>
    <s v="Catherine"/>
    <m/>
    <m/>
    <m/>
    <m/>
    <m/>
    <d v="1946-12-15T00:00:00"/>
    <m/>
    <m/>
    <s v="95a"/>
    <m/>
    <s v="95"/>
    <m/>
    <x v="0"/>
    <n v="6"/>
    <n v="3"/>
    <n v="5"/>
    <x v="1"/>
  </r>
  <r>
    <x v="34"/>
    <s v="KNIGHT"/>
    <s v="Celia"/>
    <s v="Elizabeth"/>
    <m/>
    <m/>
    <m/>
    <m/>
    <m/>
    <d v="1949-10-11T00:00:00"/>
    <d v="1981-12-22T00:00:00"/>
    <m/>
    <s v="95b"/>
    <m/>
    <s v="95"/>
    <m/>
    <x v="0"/>
    <n v="6"/>
    <n v="3"/>
    <n v="5"/>
    <x v="1"/>
  </r>
  <r>
    <x v="34"/>
    <s v="VESTEY"/>
    <s v="THE Hon William"/>
    <s v="Guy"/>
    <m/>
    <m/>
    <m/>
    <m/>
    <m/>
    <d v="1983-08-27T00:00:00"/>
    <m/>
    <m/>
    <s v="95ba"/>
    <m/>
    <s v="95b"/>
    <m/>
    <x v="1"/>
    <n v="7"/>
    <n v="4"/>
    <n v="5"/>
    <x v="2"/>
  </r>
  <r>
    <x v="34"/>
    <s v="VESTEY"/>
    <s v="THE Hon Arthur"/>
    <s v="George"/>
    <m/>
    <m/>
    <m/>
    <m/>
    <m/>
    <d v="1985-07-11T00:00:00"/>
    <m/>
    <m/>
    <s v="95bb"/>
    <m/>
    <s v="95b"/>
    <m/>
    <x v="1"/>
    <n v="7"/>
    <n v="4"/>
    <n v="5"/>
    <x v="2"/>
  </r>
  <r>
    <x v="34"/>
    <s v="VESTEY"/>
    <s v="The Hon Mary"/>
    <s v="Henrietta"/>
    <m/>
    <m/>
    <m/>
    <m/>
    <m/>
    <d v="1992-04-27T00:00:00"/>
    <m/>
    <m/>
    <s v="95bc"/>
    <m/>
    <s v="95b"/>
    <m/>
    <x v="0"/>
    <n v="7"/>
    <n v="4"/>
    <n v="5"/>
    <x v="2"/>
  </r>
  <r>
    <x v="35"/>
    <s v="LOYD"/>
    <s v="Audrey"/>
    <s v="Janet"/>
    <s v="Isabel"/>
    <n v="1922"/>
    <n v="2005"/>
    <s v="Audrey (97): 1922"/>
    <n v="8184"/>
    <d v="1922-05-28T00:00:00"/>
    <d v="1951-05-05T00:00:00"/>
    <d v="2005-01-01T00:00:00"/>
    <n v="97"/>
    <s v="Audrey (97): 1922 - 2005"/>
    <n v="53"/>
    <s v="Edward (53): 1881 - 1962"/>
    <x v="0"/>
    <n v="5"/>
    <n v="2"/>
    <n v="5"/>
    <x v="0"/>
  </r>
  <r>
    <x v="35"/>
    <s v="SALE"/>
    <s v="Julian"/>
    <s v="Edward"/>
    <s v="Loyd"/>
    <m/>
    <m/>
    <m/>
    <m/>
    <d v="1951-12-17T00:00:00"/>
    <m/>
    <m/>
    <s v="97a"/>
    <m/>
    <s v="97"/>
    <m/>
    <x v="1"/>
    <n v="6"/>
    <n v="3"/>
    <n v="5"/>
    <x v="1"/>
  </r>
  <r>
    <x v="35"/>
    <s v="SALE"/>
    <s v="Alexander"/>
    <s v="Robert"/>
    <s v="Loyd"/>
    <m/>
    <m/>
    <m/>
    <m/>
    <d v="1991-03-17T00:00:00"/>
    <m/>
    <m/>
    <s v="97aa"/>
    <m/>
    <s v="97a"/>
    <m/>
    <x v="1"/>
    <n v="7"/>
    <n v="4"/>
    <n v="5"/>
    <x v="2"/>
  </r>
  <r>
    <x v="35"/>
    <s v="SALE"/>
    <s v="Oliver"/>
    <s v="Edward"/>
    <s v="David"/>
    <m/>
    <m/>
    <m/>
    <m/>
    <d v="1995-09-15T00:00:00"/>
    <m/>
    <m/>
    <s v="97ab"/>
    <m/>
    <s v="97a"/>
    <m/>
    <x v="1"/>
    <n v="7"/>
    <n v="4"/>
    <n v="5"/>
    <x v="2"/>
  </r>
  <r>
    <x v="35"/>
    <s v="SALE"/>
    <s v="Iona"/>
    <s v="Marian"/>
    <m/>
    <m/>
    <m/>
    <m/>
    <m/>
    <d v="1954-03-22T00:00:00"/>
    <m/>
    <m/>
    <s v="97b"/>
    <m/>
    <s v="97"/>
    <m/>
    <x v="0"/>
    <n v="6"/>
    <n v="3"/>
    <n v="5"/>
    <x v="1"/>
  </r>
  <r>
    <x v="35"/>
    <s v="SALE"/>
    <s v="Charles"/>
    <s v="Robert"/>
    <m/>
    <m/>
    <m/>
    <m/>
    <m/>
    <d v="1956-09-12T00:00:00"/>
    <m/>
    <d v="1957-08-15T00:00:00"/>
    <s v="97c"/>
    <m/>
    <s v="97"/>
    <m/>
    <x v="1"/>
    <n v="6"/>
    <n v="3"/>
    <n v="5"/>
    <x v="1"/>
  </r>
  <r>
    <x v="35"/>
    <s v="SALE"/>
    <s v="Roderick"/>
    <s v="Peter"/>
    <s v="Abell (Roddy)"/>
    <m/>
    <m/>
    <m/>
    <m/>
    <d v="1959-04-14T00:00:00"/>
    <m/>
    <m/>
    <s v="97d"/>
    <m/>
    <s v="97"/>
    <m/>
    <x v="1"/>
    <n v="6"/>
    <n v="3"/>
    <n v="5"/>
    <x v="1"/>
  </r>
  <r>
    <x v="35"/>
    <s v="SALE"/>
    <s v="Edward"/>
    <s v="John"/>
    <s v="Andrew"/>
    <m/>
    <m/>
    <m/>
    <m/>
    <d v="1963-10-02T00:00:00"/>
    <m/>
    <m/>
    <s v="97e"/>
    <m/>
    <s v="97"/>
    <m/>
    <x v="1"/>
    <n v="6"/>
    <n v="3"/>
    <n v="5"/>
    <x v="1"/>
  </r>
  <r>
    <x v="35"/>
    <s v="SALE"/>
    <s v="Frank"/>
    <s v="Thomas"/>
    <s v="Arthur"/>
    <m/>
    <m/>
    <m/>
    <m/>
    <d v="1995-08-21T00:00:00"/>
    <m/>
    <m/>
    <s v="97ea"/>
    <m/>
    <s v="97e"/>
    <m/>
    <x v="1"/>
    <n v="7"/>
    <n v="4"/>
    <n v="5"/>
    <x v="2"/>
  </r>
  <r>
    <x v="35"/>
    <s v="SALE"/>
    <s v="Constancy"/>
    <s v="Nancy"/>
    <m/>
    <m/>
    <m/>
    <m/>
    <m/>
    <d v="1997-12-31T00:00:00"/>
    <m/>
    <m/>
    <s v="97eb"/>
    <m/>
    <s v="97e"/>
    <m/>
    <x v="0"/>
    <n v="7"/>
    <n v="4"/>
    <n v="5"/>
    <x v="2"/>
  </r>
  <r>
    <x v="36"/>
    <s v="LOYD"/>
    <s v="Catherine"/>
    <m/>
    <m/>
    <n v="1923"/>
    <n v="2014"/>
    <s v="Catherine (101): 1923"/>
    <n v="8553"/>
    <d v="1923-06-01T00:00:00"/>
    <d v="1948-12-01T00:00:00"/>
    <d v="2014-01-22T00:00:00"/>
    <n v="101"/>
    <s v="Catherine (101): 1923 - 2014"/>
    <n v="56"/>
    <s v="Tommy (56): 1882 - 1944"/>
    <x v="0"/>
    <n v="6"/>
    <n v="3"/>
    <n v="5"/>
    <x v="0"/>
  </r>
  <r>
    <x v="36"/>
    <s v="MEADE"/>
    <s v="Lady Selina"/>
    <s v="Catherine"/>
    <m/>
    <m/>
    <m/>
    <m/>
    <m/>
    <d v="1950-03-14T00:00:00"/>
    <d v="1972-10-28T00:00:00"/>
    <m/>
    <s v="101a"/>
    <m/>
    <s v="101"/>
    <m/>
    <x v="0"/>
    <n v="7"/>
    <n v="4"/>
    <n v="5"/>
    <x v="1"/>
  </r>
  <r>
    <x v="36"/>
    <s v="TIMPSON"/>
    <s v="Lawrence"/>
    <s v="Rupert"/>
    <s v="John"/>
    <m/>
    <m/>
    <m/>
    <m/>
    <d v="1974-07-05T00:00:00"/>
    <m/>
    <m/>
    <s v="101aa"/>
    <m/>
    <s v="101a"/>
    <m/>
    <x v="1"/>
    <n v="8"/>
    <n v="5"/>
    <n v="5"/>
    <x v="2"/>
  </r>
  <r>
    <x v="36"/>
    <s v="TIMPSON"/>
    <s v="Catherine"/>
    <s v="Selina"/>
    <s v="Alexandra"/>
    <m/>
    <m/>
    <m/>
    <m/>
    <d v="1979-01-13T00:00:00"/>
    <m/>
    <m/>
    <s v="101ab"/>
    <m/>
    <s v="101a"/>
    <m/>
    <x v="0"/>
    <n v="8"/>
    <n v="5"/>
    <n v="5"/>
    <x v="2"/>
  </r>
  <r>
    <x v="36"/>
    <s v="MEADE"/>
    <s v="Lady Mary"/>
    <s v="Jane"/>
    <m/>
    <m/>
    <m/>
    <m/>
    <m/>
    <d v="1952-07-12T00:00:00"/>
    <d v="1984-09-08T00:00:00"/>
    <m/>
    <s v="101b"/>
    <m/>
    <s v="101"/>
    <m/>
    <x v="0"/>
    <n v="7"/>
    <n v="4"/>
    <n v="5"/>
    <x v="1"/>
  </r>
  <r>
    <x v="36"/>
    <s v="LOWRY-CORRY"/>
    <s v="Viscount John"/>
    <s v="Armar"/>
    <s v="Galbraith"/>
    <m/>
    <m/>
    <m/>
    <m/>
    <d v="1985-11-02T00:00:00"/>
    <m/>
    <m/>
    <s v="101ba"/>
    <m/>
    <s v="101b"/>
    <m/>
    <x v="1"/>
    <n v="8"/>
    <n v="5"/>
    <n v="5"/>
    <x v="2"/>
  </r>
  <r>
    <x v="36"/>
    <s v="LOWRY-CORRY"/>
    <s v="The Hon Montagu"/>
    <s v="Gilford"/>
    <s v="George"/>
    <m/>
    <m/>
    <m/>
    <m/>
    <d v="1989-03-30T00:00:00"/>
    <m/>
    <m/>
    <s v="101bb"/>
    <m/>
    <s v="101b"/>
    <m/>
    <x v="1"/>
    <n v="8"/>
    <n v="5"/>
    <n v="5"/>
    <x v="2"/>
  </r>
  <r>
    <x v="36"/>
    <s v="LOWRY-CORRY"/>
    <s v="Lady Martha"/>
    <s v="Catherine"/>
    <m/>
    <m/>
    <m/>
    <m/>
    <m/>
    <d v="1992-05-27T00:00:00"/>
    <m/>
    <m/>
    <s v="101bc"/>
    <m/>
    <s v="101b"/>
    <m/>
    <x v="0"/>
    <n v="8"/>
    <n v="5"/>
    <n v="5"/>
    <x v="2"/>
  </r>
  <r>
    <x v="36"/>
    <s v="MEADE"/>
    <s v="Lady Julia"/>
    <s v="Elizabeth"/>
    <m/>
    <m/>
    <m/>
    <m/>
    <m/>
    <d v="1953-12-31T00:00:00"/>
    <m/>
    <m/>
    <s v="101c"/>
    <m/>
    <s v="101"/>
    <m/>
    <x v="0"/>
    <n v="7"/>
    <n v="4"/>
    <n v="5"/>
    <x v="1"/>
  </r>
  <r>
    <x v="36"/>
    <s v="HISCOX"/>
    <s v="Milo"/>
    <s v="Edmund"/>
    <m/>
    <m/>
    <m/>
    <m/>
    <m/>
    <d v="1987-01-04T00:00:00"/>
    <m/>
    <m/>
    <s v="101ca"/>
    <m/>
    <s v="101c"/>
    <m/>
    <x v="1"/>
    <n v="8"/>
    <n v="5"/>
    <n v="5"/>
    <x v="2"/>
  </r>
  <r>
    <x v="36"/>
    <s v="HISCOX"/>
    <s v="Henry"/>
    <s v="Charles"/>
    <m/>
    <m/>
    <m/>
    <m/>
    <m/>
    <d v="1989-09-23T00:00:00"/>
    <m/>
    <m/>
    <s v="101cb"/>
    <m/>
    <s v="101c"/>
    <m/>
    <x v="1"/>
    <n v="8"/>
    <n v="5"/>
    <n v="5"/>
    <x v="2"/>
  </r>
  <r>
    <x v="36"/>
    <s v="HISCOX"/>
    <s v="Sydney"/>
    <s v="John"/>
    <m/>
    <m/>
    <m/>
    <m/>
    <m/>
    <d v="1993-01-24T00:00:00"/>
    <m/>
    <m/>
    <s v="101cc"/>
    <m/>
    <s v="101c"/>
    <m/>
    <x v="1"/>
    <n v="8"/>
    <n v="5"/>
    <n v="5"/>
    <x v="2"/>
  </r>
  <r>
    <x v="36"/>
    <s v="MEADE"/>
    <s v="Lady Laura"/>
    <s v="Louise"/>
    <m/>
    <m/>
    <m/>
    <m/>
    <m/>
    <d v="1957-03-11T00:00:00"/>
    <d v="1981-04-25T00:00:00"/>
    <m/>
    <s v="101d"/>
    <m/>
    <s v="101"/>
    <m/>
    <x v="0"/>
    <n v="7"/>
    <n v="4"/>
    <n v="5"/>
    <x v="1"/>
  </r>
  <r>
    <x v="36"/>
    <s v="REID"/>
    <s v="Nicholas"/>
    <s v="John"/>
    <s v="Howard"/>
    <m/>
    <m/>
    <m/>
    <m/>
    <d v="1982-12-30T00:00:00"/>
    <m/>
    <m/>
    <s v="101da"/>
    <m/>
    <s v="101d"/>
    <m/>
    <x v="1"/>
    <n v="8"/>
    <n v="5"/>
    <n v="5"/>
    <x v="2"/>
  </r>
  <r>
    <x v="36"/>
    <s v="REID"/>
    <s v="Amelia"/>
    <s v="Louise"/>
    <s v="Catherine"/>
    <m/>
    <m/>
    <m/>
    <m/>
    <d v="1984-12-24T00:00:00"/>
    <m/>
    <m/>
    <s v="101db"/>
    <m/>
    <s v="101d"/>
    <m/>
    <x v="0"/>
    <n v="8"/>
    <n v="5"/>
    <n v="5"/>
    <x v="2"/>
  </r>
  <r>
    <x v="36"/>
    <s v="REID"/>
    <s v="Clementine"/>
    <s v="Julia"/>
    <m/>
    <m/>
    <m/>
    <m/>
    <m/>
    <d v="1988-09-09T00:00:00"/>
    <m/>
    <m/>
    <s v="101dc"/>
    <m/>
    <s v="101d"/>
    <m/>
    <x v="0"/>
    <n v="8"/>
    <n v="5"/>
    <n v="5"/>
    <x v="2"/>
  </r>
  <r>
    <x v="36"/>
    <s v="MEADE"/>
    <s v="Lady Katherine"/>
    <s v="Anne"/>
    <m/>
    <m/>
    <m/>
    <m/>
    <m/>
    <d v="1959-08-10T00:00:00"/>
    <s v="29/02/1987"/>
    <m/>
    <s v="101e"/>
    <m/>
    <s v="101"/>
    <m/>
    <x v="0"/>
    <n v="7"/>
    <n v="4"/>
    <n v="5"/>
    <x v="1"/>
  </r>
  <r>
    <x v="36"/>
    <s v="WILLS"/>
    <s v="Thomas"/>
    <s v="Robert"/>
    <s v="Hamilton"/>
    <m/>
    <m/>
    <m/>
    <m/>
    <d v="1991-07-04T00:00:00"/>
    <m/>
    <m/>
    <s v="101ea"/>
    <m/>
    <s v="101e"/>
    <m/>
    <x v="1"/>
    <n v="8"/>
    <n v="5"/>
    <n v="5"/>
    <x v="2"/>
  </r>
  <r>
    <x v="36"/>
    <s v="WILLS"/>
    <s v="George"/>
    <s v="Edmund"/>
    <s v="Hamilton"/>
    <m/>
    <m/>
    <m/>
    <m/>
    <d v="1993-08-29T00:00:00"/>
    <m/>
    <m/>
    <s v="101eb"/>
    <m/>
    <s v="101e"/>
    <m/>
    <x v="1"/>
    <n v="8"/>
    <n v="5"/>
    <n v="5"/>
    <x v="2"/>
  </r>
  <r>
    <x v="36"/>
    <s v="WILLS"/>
    <s v="Laura"/>
    <s v="Felicity"/>
    <s v="Hamilton"/>
    <m/>
    <m/>
    <m/>
    <m/>
    <d v="1996-02-14T00:00:00"/>
    <m/>
    <m/>
    <s v="101ec"/>
    <m/>
    <s v="101e"/>
    <m/>
    <x v="0"/>
    <n v="8"/>
    <n v="5"/>
    <n v="5"/>
    <x v="2"/>
  </r>
  <r>
    <x v="36"/>
    <s v="MEADE"/>
    <s v="Lady Sophia"/>
    <s v="Hester"/>
    <m/>
    <m/>
    <m/>
    <m/>
    <m/>
    <d v="1963-10-14T00:00:00"/>
    <s v="29/02/1990"/>
    <m/>
    <s v="101f"/>
    <m/>
    <s v="101"/>
    <m/>
    <x v="0"/>
    <n v="7"/>
    <n v="4"/>
    <n v="5"/>
    <x v="1"/>
  </r>
  <r>
    <x v="36"/>
    <s v="HEYWOOD"/>
    <s v="Richard"/>
    <s v="Garnett"/>
    <m/>
    <m/>
    <m/>
    <m/>
    <m/>
    <d v="1993-12-13T00:00:00"/>
    <m/>
    <m/>
    <s v="101fa"/>
    <m/>
    <s v="101f"/>
    <m/>
    <x v="1"/>
    <n v="8"/>
    <n v="5"/>
    <n v="5"/>
    <x v="2"/>
  </r>
  <r>
    <x v="36"/>
    <s v="HEYWOOD"/>
    <s v="Alec"/>
    <s v="Garnett"/>
    <m/>
    <m/>
    <m/>
    <m/>
    <m/>
    <d v="1996-02-22T00:00:00"/>
    <m/>
    <m/>
    <s v="101fb"/>
    <m/>
    <s v="101f"/>
    <m/>
    <x v="1"/>
    <n v="8"/>
    <n v="5"/>
    <n v="5"/>
    <x v="2"/>
  </r>
  <r>
    <x v="37"/>
    <s v="LOYD"/>
    <s v="Zelda"/>
    <s v="Mary"/>
    <m/>
    <n v="1923"/>
    <n v="2014"/>
    <s v="Zelda (102): 1923"/>
    <n v="8745"/>
    <d v="1923-12-10T00:00:00"/>
    <d v="1954-03-27T00:00:00"/>
    <d v="2014-04-30T00:00:00"/>
    <n v="102"/>
    <s v="Zelda (102): 1923 - 2014"/>
    <n v="62"/>
    <s v="Bobby (62): 1887 - 1977"/>
    <x v="0"/>
    <n v="6"/>
    <n v="3"/>
    <n v="5"/>
    <x v="0"/>
  </r>
  <r>
    <x v="37"/>
    <s v="DUNLOP"/>
    <s v="Teressa"/>
    <s v="Mary"/>
    <m/>
    <m/>
    <m/>
    <m/>
    <m/>
    <d v="1956-06-09T00:00:00"/>
    <m/>
    <m/>
    <s v="102a"/>
    <m/>
    <s v="102"/>
    <m/>
    <x v="0"/>
    <n v="7"/>
    <n v="4"/>
    <n v="5"/>
    <x v="1"/>
  </r>
  <r>
    <x v="37"/>
    <s v="DUNLOP"/>
    <s v="Lindsay"/>
    <s v="Fergus"/>
    <m/>
    <m/>
    <m/>
    <m/>
    <m/>
    <d v="1958-05-23T00:00:00"/>
    <d v="1995-08-19T00:00:00"/>
    <m/>
    <s v="102b"/>
    <m/>
    <s v="102"/>
    <m/>
    <x v="1"/>
    <n v="7"/>
    <n v="4"/>
    <n v="5"/>
    <x v="1"/>
  </r>
  <r>
    <x v="37"/>
    <s v="DUNLOP"/>
    <s v="Ella"/>
    <s v="Genevieve"/>
    <s v="Elgin"/>
    <m/>
    <m/>
    <m/>
    <m/>
    <d v="1998-03-25T00:00:00"/>
    <m/>
    <m/>
    <s v="102ba"/>
    <m/>
    <s v="102b"/>
    <m/>
    <x v="0"/>
    <n v="8"/>
    <n v="5"/>
    <n v="5"/>
    <x v="2"/>
  </r>
  <r>
    <x v="37"/>
    <s v="DUNLOP"/>
    <s v="Celina"/>
    <s v="Elizabeth"/>
    <m/>
    <m/>
    <m/>
    <m/>
    <m/>
    <d v="1960-09-22T00:00:00"/>
    <m/>
    <m/>
    <s v="102c"/>
    <m/>
    <s v="102"/>
    <m/>
    <x v="0"/>
    <n v="7"/>
    <n v="4"/>
    <n v="5"/>
    <x v="1"/>
  </r>
  <r>
    <x v="38"/>
    <s v="LOYD"/>
    <s v="Lavinia"/>
    <s v="Gertrude"/>
    <s v="Georgina"/>
    <n v="1923"/>
    <n v="1995"/>
    <s v="Lavinia (103): 1923"/>
    <n v="8756"/>
    <d v="1923-12-21T00:00:00"/>
    <d v="1946-01-03T00:00:00"/>
    <d v="1995-12-12T00:00:00"/>
    <n v="103"/>
    <s v="Lavinia (103): 1923 - 1995"/>
    <n v="72"/>
    <s v="Henry (72): 1891 - 1973"/>
    <x v="0"/>
    <n v="6"/>
    <n v="3"/>
    <n v="5"/>
    <x v="0"/>
  </r>
  <r>
    <x v="38"/>
    <s v="GORE-BROWNE"/>
    <s v="James"/>
    <s v="Anthony"/>
    <m/>
    <m/>
    <m/>
    <m/>
    <m/>
    <d v="1947-03-26T00:00:00"/>
    <d v="1983-04-16T00:00:00"/>
    <m/>
    <s v="103a"/>
    <m/>
    <s v="103"/>
    <m/>
    <x v="1"/>
    <n v="7"/>
    <n v="4"/>
    <n v="5"/>
    <x v="1"/>
  </r>
  <r>
    <x v="38"/>
    <s v="GORE-BROWNE"/>
    <s v="Marina"/>
    <s v="Harriert"/>
    <m/>
    <m/>
    <m/>
    <m/>
    <m/>
    <d v="1984-12-19T00:00:00"/>
    <m/>
    <m/>
    <s v="103aa"/>
    <m/>
    <s v="103a"/>
    <m/>
    <x v="0"/>
    <n v="8"/>
    <n v="5"/>
    <n v="5"/>
    <x v="2"/>
  </r>
  <r>
    <x v="38"/>
    <s v="GORE-BROWNE"/>
    <s v="Frederick"/>
    <s v="Henry"/>
    <m/>
    <m/>
    <m/>
    <m/>
    <m/>
    <d v="1987-01-21T00:00:00"/>
    <m/>
    <m/>
    <s v="103ab"/>
    <m/>
    <s v="103a"/>
    <m/>
    <x v="1"/>
    <n v="8"/>
    <n v="5"/>
    <n v="5"/>
    <x v="2"/>
  </r>
  <r>
    <x v="38"/>
    <s v="GORE-BROWNE"/>
    <s v="Harry"/>
    <s v="Alastair"/>
    <m/>
    <m/>
    <m/>
    <m/>
    <m/>
    <d v="1988-04-20T00:00:00"/>
    <m/>
    <m/>
    <s v="103ac"/>
    <m/>
    <s v="103a"/>
    <m/>
    <x v="1"/>
    <n v="8"/>
    <n v="5"/>
    <n v="5"/>
    <x v="2"/>
  </r>
  <r>
    <x v="38"/>
    <s v="GORE-BROWNE"/>
    <s v="Georgina"/>
    <s v="Mary"/>
    <m/>
    <m/>
    <m/>
    <m/>
    <m/>
    <d v="1949-01-25T00:00:00"/>
    <d v="1970-02-04T00:00:00"/>
    <m/>
    <s v="103b"/>
    <m/>
    <s v="103"/>
    <m/>
    <x v="0"/>
    <n v="7"/>
    <n v="4"/>
    <n v="5"/>
    <x v="1"/>
  </r>
  <r>
    <x v="38"/>
    <s v="PILKINGTON"/>
    <s v="Edward"/>
    <s v="Thomas"/>
    <m/>
    <m/>
    <m/>
    <m/>
    <m/>
    <d v="1971-09-15T00:00:00"/>
    <m/>
    <m/>
    <s v="103ba"/>
    <m/>
    <s v="103b"/>
    <m/>
    <x v="1"/>
    <n v="8"/>
    <n v="5"/>
    <n v="5"/>
    <x v="2"/>
  </r>
  <r>
    <x v="38"/>
    <s v="PILKINGTON"/>
    <s v="Lucinda"/>
    <s v="Mary"/>
    <m/>
    <m/>
    <m/>
    <m/>
    <m/>
    <d v="1973-05-24T00:00:00"/>
    <m/>
    <m/>
    <s v="103bb"/>
    <m/>
    <s v="103b"/>
    <m/>
    <x v="0"/>
    <n v="8"/>
    <n v="5"/>
    <n v="5"/>
    <x v="2"/>
  </r>
  <r>
    <x v="38"/>
    <s v="PILKINGTON"/>
    <s v="Nicholas"/>
    <s v="James"/>
    <m/>
    <m/>
    <m/>
    <m/>
    <m/>
    <d v="1976-04-29T00:00:00"/>
    <m/>
    <m/>
    <s v="103bc"/>
    <m/>
    <s v="103b"/>
    <m/>
    <x v="1"/>
    <n v="8"/>
    <n v="5"/>
    <n v="5"/>
    <x v="2"/>
  </r>
  <r>
    <x v="38"/>
    <s v="PILKINGTON"/>
    <s v="Claire"/>
    <s v="Georgina"/>
    <m/>
    <m/>
    <m/>
    <m/>
    <m/>
    <d v="1979-01-03T00:00:00"/>
    <m/>
    <m/>
    <s v="103bd"/>
    <m/>
    <s v="103b"/>
    <m/>
    <x v="0"/>
    <n v="8"/>
    <n v="5"/>
    <n v="5"/>
    <x v="2"/>
  </r>
  <r>
    <x v="38"/>
    <s v="GORE-BROWNE"/>
    <s v="David"/>
    <s v="Charles"/>
    <m/>
    <m/>
    <m/>
    <m/>
    <m/>
    <d v="1952-08-21T00:00:00"/>
    <d v="1986-12-06T00:00:00"/>
    <m/>
    <s v="103c"/>
    <m/>
    <s v="103"/>
    <m/>
    <x v="1"/>
    <n v="7"/>
    <n v="4"/>
    <n v="5"/>
    <x v="1"/>
  </r>
  <r>
    <x v="38"/>
    <s v="GORE-BROWNE"/>
    <s v="William"/>
    <s v="Thomas"/>
    <m/>
    <m/>
    <m/>
    <m/>
    <m/>
    <d v="1988-05-28T00:00:00"/>
    <m/>
    <m/>
    <s v="103ca"/>
    <m/>
    <s v="103c"/>
    <m/>
    <x v="1"/>
    <n v="8"/>
    <n v="5"/>
    <n v="5"/>
    <x v="2"/>
  </r>
  <r>
    <x v="38"/>
    <s v="GORE-BROWNE"/>
    <s v="Heather"/>
    <s v="Caroline"/>
    <s v="Mona"/>
    <m/>
    <m/>
    <m/>
    <m/>
    <d v="1990-02-17T00:00:00"/>
    <m/>
    <m/>
    <s v="103cb"/>
    <m/>
    <s v="103c"/>
    <m/>
    <x v="0"/>
    <n v="8"/>
    <n v="5"/>
    <n v="5"/>
    <x v="2"/>
  </r>
  <r>
    <x v="38"/>
    <s v="GORE-BROWNE"/>
    <s v="Rose"/>
    <s v="Elizabeth"/>
    <s v="Lavinia"/>
    <m/>
    <m/>
    <m/>
    <m/>
    <d v="1991-10-27T00:00:00"/>
    <m/>
    <m/>
    <s v="103cc"/>
    <m/>
    <s v="103c"/>
    <m/>
    <x v="0"/>
    <n v="8"/>
    <n v="5"/>
    <n v="5"/>
    <x v="2"/>
  </r>
  <r>
    <x v="38"/>
    <s v="GORE-BROWNE"/>
    <s v="Patrick"/>
    <s v="Robert"/>
    <m/>
    <m/>
    <m/>
    <m/>
    <m/>
    <d v="1956-02-15T00:00:00"/>
    <m/>
    <m/>
    <s v="103d"/>
    <m/>
    <s v="103"/>
    <m/>
    <x v="1"/>
    <n v="7"/>
    <n v="4"/>
    <n v="5"/>
    <x v="1"/>
  </r>
  <r>
    <x v="38"/>
    <s v="GORE-BROWNE"/>
    <s v="Sophie"/>
    <s v="Mary"/>
    <m/>
    <m/>
    <m/>
    <m/>
    <m/>
    <d v="1985-03-28T00:00:00"/>
    <m/>
    <m/>
    <s v="103da"/>
    <m/>
    <s v="103d"/>
    <m/>
    <x v="0"/>
    <n v="8"/>
    <n v="5"/>
    <n v="5"/>
    <x v="2"/>
  </r>
  <r>
    <x v="38"/>
    <s v="GORE-BROWNE"/>
    <s v="Elizabeth"/>
    <s v="Clare"/>
    <m/>
    <m/>
    <m/>
    <m/>
    <m/>
    <d v="1988-05-18T00:00:00"/>
    <m/>
    <m/>
    <s v="103db"/>
    <m/>
    <s v="103d"/>
    <m/>
    <x v="0"/>
    <n v="8"/>
    <n v="5"/>
    <n v="5"/>
    <x v="2"/>
  </r>
  <r>
    <x v="38"/>
    <s v="GORE-BROWNE"/>
    <s v="Georgina"/>
    <s v="Sarah"/>
    <m/>
    <m/>
    <m/>
    <m/>
    <m/>
    <d v="1992-09-20T00:00:00"/>
    <m/>
    <m/>
    <s v="103dc"/>
    <m/>
    <s v="103d"/>
    <m/>
    <x v="0"/>
    <n v="8"/>
    <n v="5"/>
    <n v="5"/>
    <x v="2"/>
  </r>
  <r>
    <x v="39"/>
    <s v="LOYD"/>
    <s v="Denise"/>
    <s v="Eileen"/>
    <s v="Charlotte"/>
    <n v="1928"/>
    <s v="?"/>
    <s v="Denise (106): 1928"/>
    <n v="10547"/>
    <d v="1928-11-15T00:00:00"/>
    <d v="1954-06-10T00:00:00"/>
    <s v="?"/>
    <n v="106"/>
    <s v="Denise (106): 1928 - ?"/>
    <n v="77"/>
    <s v="Wilfrid (77): 1893 - 1971"/>
    <x v="0"/>
    <n v="6"/>
    <n v="3"/>
    <n v="5"/>
    <x v="0"/>
  </r>
  <r>
    <x v="39"/>
    <s v="WINN"/>
    <s v="The Hon Geva"/>
    <s v="Charlotte"/>
    <s v="Caroline"/>
    <m/>
    <m/>
    <m/>
    <m/>
    <d v="1955-09-15T00:00:00"/>
    <d v="1987-06-12T00:00:00"/>
    <m/>
    <s v="106a"/>
    <m/>
    <s v="106"/>
    <m/>
    <x v="0"/>
    <n v="7"/>
    <n v="4"/>
    <n v="5"/>
    <x v="1"/>
  </r>
  <r>
    <x v="39"/>
    <s v="BLACKETT"/>
    <s v="Charlotte"/>
    <m/>
    <m/>
    <m/>
    <m/>
    <m/>
    <m/>
    <d v="1988-09-22T00:00:00"/>
    <m/>
    <m/>
    <s v="106aa"/>
    <m/>
    <s v="106a"/>
    <m/>
    <x v="0"/>
    <n v="8"/>
    <n v="5"/>
    <n v="5"/>
    <x v="2"/>
  </r>
  <r>
    <x v="39"/>
    <s v="BLACKETT"/>
    <s v="Evelyn"/>
    <m/>
    <m/>
    <m/>
    <m/>
    <m/>
    <m/>
    <d v="1989-11-23T00:00:00"/>
    <m/>
    <m/>
    <s v="106ab"/>
    <m/>
    <s v="106a"/>
    <m/>
    <x v="0"/>
    <n v="8"/>
    <n v="5"/>
    <n v="5"/>
    <x v="2"/>
  </r>
  <r>
    <x v="39"/>
    <s v="BLACKETT"/>
    <s v="Letitia"/>
    <m/>
    <m/>
    <m/>
    <m/>
    <m/>
    <m/>
    <d v="1991-08-06T00:00:00"/>
    <m/>
    <m/>
    <s v="106ac"/>
    <m/>
    <s v="106a"/>
    <m/>
    <x v="0"/>
    <n v="8"/>
    <n v="5"/>
    <n v="5"/>
    <x v="2"/>
  </r>
  <r>
    <x v="39"/>
    <s v="BLACKETT"/>
    <s v="Annabel"/>
    <m/>
    <m/>
    <m/>
    <m/>
    <m/>
    <m/>
    <d v="1993-03-24T00:00:00"/>
    <m/>
    <m/>
    <s v="106ad"/>
    <m/>
    <s v="106a"/>
    <m/>
    <x v="0"/>
    <n v="8"/>
    <n v="5"/>
    <n v="5"/>
    <x v="2"/>
  </r>
  <r>
    <x v="39"/>
    <s v="WINN"/>
    <s v="Charles"/>
    <s v="Rowland"/>
    <s v="Andrew"/>
    <m/>
    <m/>
    <m/>
    <m/>
    <d v="1959-07-22T00:00:00"/>
    <m/>
    <m/>
    <s v="106b"/>
    <m/>
    <s v="106"/>
    <m/>
    <x v="1"/>
    <n v="7"/>
    <n v="4"/>
    <n v="5"/>
    <x v="1"/>
  </r>
  <r>
    <x v="39"/>
    <s v="WINN"/>
    <s v="The Hon Rowland"/>
    <s v="Charles"/>
    <s v="Sebastian Henry"/>
    <m/>
    <m/>
    <m/>
    <m/>
    <d v="1986-04-15T00:00:00"/>
    <m/>
    <m/>
    <s v="106ba"/>
    <m/>
    <s v="106b"/>
    <m/>
    <x v="1"/>
    <n v="8"/>
    <n v="5"/>
    <n v="5"/>
    <x v="2"/>
  </r>
  <r>
    <x v="39"/>
    <s v="WINN"/>
    <s v="The Hon Henrietta"/>
    <s v="Sophia"/>
    <s v="Alexandra"/>
    <m/>
    <m/>
    <m/>
    <m/>
    <d v="1993-04-22T00:00:00"/>
    <m/>
    <m/>
    <s v="106bb"/>
    <m/>
    <s v="106b"/>
    <m/>
    <x v="0"/>
    <n v="8"/>
    <n v="5"/>
    <n v="5"/>
    <x v="2"/>
  </r>
  <r>
    <x v="40"/>
    <s v="LOYD"/>
    <s v="Brenda"/>
    <s v="Kirkman"/>
    <s v="Valerie (Wooie)"/>
    <n v="1928"/>
    <n v="1996"/>
    <s v="Wooie (107): 1928"/>
    <n v="10559"/>
    <d v="1928-11-27T00:00:00"/>
    <d v="1948-04-24T00:00:00"/>
    <d v="1996-09-11T00:00:00"/>
    <n v="107"/>
    <s v="Wooie (107): 1928 - 1996"/>
    <n v="76"/>
    <s v="Edward (76): 1893 - 1932"/>
    <x v="0"/>
    <n v="6"/>
    <n v="3"/>
    <n v="5"/>
    <x v="0"/>
  </r>
  <r>
    <x v="40"/>
    <s v="GRAHAM"/>
    <s v="Lorraine"/>
    <s v="Mary"/>
    <m/>
    <m/>
    <m/>
    <m/>
    <m/>
    <d v="1951-05-19T00:00:00"/>
    <d v="1975-02-14T00:00:00"/>
    <m/>
    <s v="107a"/>
    <m/>
    <s v="107"/>
    <m/>
    <x v="0"/>
    <n v="7"/>
    <n v="4"/>
    <n v="5"/>
    <x v="1"/>
  </r>
  <r>
    <x v="40"/>
    <s v="RUSSELL"/>
    <s v="Edward"/>
    <s v="Allen"/>
    <m/>
    <m/>
    <m/>
    <m/>
    <m/>
    <d v="1976-09-09T00:00:00"/>
    <m/>
    <m/>
    <s v="107aa"/>
    <m/>
    <s v="107a"/>
    <m/>
    <x v="1"/>
    <n v="8"/>
    <n v="5"/>
    <n v="5"/>
    <x v="2"/>
  </r>
  <r>
    <x v="40"/>
    <s v="AMY"/>
    <s v="Mathew"/>
    <s v="Howard"/>
    <m/>
    <m/>
    <m/>
    <m/>
    <m/>
    <d v="1981-06-06T00:00:00"/>
    <m/>
    <m/>
    <s v="107ab1"/>
    <m/>
    <s v="107ab"/>
    <m/>
    <x v="1"/>
    <n v="9"/>
    <n v="6"/>
    <n v="5"/>
    <x v="3"/>
  </r>
  <r>
    <x v="40"/>
    <s v="AMY"/>
    <s v="Michael"/>
    <s v="William"/>
    <m/>
    <m/>
    <m/>
    <m/>
    <m/>
    <d v="1981-06-06T00:00:00"/>
    <m/>
    <m/>
    <s v="107ab2"/>
    <m/>
    <s v="107ab"/>
    <m/>
    <x v="1"/>
    <n v="9"/>
    <n v="6"/>
    <n v="5"/>
    <x v="3"/>
  </r>
  <r>
    <x v="40"/>
    <s v="AMY"/>
    <s v="Jonathon"/>
    <s v="Glen"/>
    <m/>
    <m/>
    <m/>
    <m/>
    <m/>
    <d v="1983-07-31T00:00:00"/>
    <m/>
    <m/>
    <s v="107ad"/>
    <m/>
    <s v="107a"/>
    <m/>
    <x v="1"/>
    <n v="8"/>
    <n v="5"/>
    <n v="5"/>
    <x v="2"/>
  </r>
  <r>
    <x v="40"/>
    <s v="ORR"/>
    <s v="Nora"/>
    <s v="Ann"/>
    <m/>
    <m/>
    <m/>
    <m/>
    <m/>
    <d v="1955-03-20T00:00:00"/>
    <d v="1972-11-22T00:00:00"/>
    <m/>
    <s v="107b"/>
    <m/>
    <s v="107"/>
    <m/>
    <x v="0"/>
    <n v="7"/>
    <n v="4"/>
    <n v="5"/>
    <x v="1"/>
  </r>
  <r>
    <x v="40"/>
    <s v="THOMPSON"/>
    <s v="Christopher"/>
    <s v="Allen"/>
    <m/>
    <m/>
    <m/>
    <m/>
    <m/>
    <d v="1973-10-14T00:00:00"/>
    <m/>
    <m/>
    <s v="107ba"/>
    <m/>
    <s v="107b"/>
    <m/>
    <x v="1"/>
    <n v="8"/>
    <n v="5"/>
    <n v="5"/>
    <x v="2"/>
  </r>
  <r>
    <x v="40"/>
    <s v="THOMPSON"/>
    <s v="George"/>
    <s v="William"/>
    <m/>
    <m/>
    <m/>
    <m/>
    <m/>
    <d v="1976-09-26T00:00:00"/>
    <m/>
    <m/>
    <s v="107bb"/>
    <m/>
    <s v="107b"/>
    <m/>
    <x v="1"/>
    <n v="8"/>
    <n v="5"/>
    <n v="5"/>
    <x v="2"/>
  </r>
  <r>
    <x v="40"/>
    <s v="THOMPSON"/>
    <s v="Jeremy"/>
    <s v="James"/>
    <m/>
    <m/>
    <m/>
    <m/>
    <m/>
    <d v="1979-04-18T00:00:00"/>
    <m/>
    <m/>
    <s v="107bc"/>
    <m/>
    <s v="107b"/>
    <m/>
    <x v="1"/>
    <n v="8"/>
    <n v="5"/>
    <n v="5"/>
    <x v="2"/>
  </r>
  <r>
    <x v="40"/>
    <s v="ORR"/>
    <s v="Michael"/>
    <s v="Kirkman"/>
    <s v="Loyd"/>
    <m/>
    <m/>
    <m/>
    <m/>
    <d v="1956-02-16T00:00:00"/>
    <d v="1977-06-01T00:00:00"/>
    <m/>
    <s v="107c"/>
    <m/>
    <s v="107"/>
    <m/>
    <x v="0"/>
    <n v="7"/>
    <n v="4"/>
    <n v="5"/>
    <x v="1"/>
  </r>
  <r>
    <x v="40"/>
    <s v="ORR"/>
    <s v="Charitie"/>
    <s v="Lee"/>
    <m/>
    <m/>
    <m/>
    <m/>
    <m/>
    <d v="1978-07-24T00:00:00"/>
    <m/>
    <m/>
    <s v="107ca"/>
    <m/>
    <s v="107c"/>
    <m/>
    <x v="0"/>
    <n v="8"/>
    <n v="5"/>
    <n v="5"/>
    <x v="2"/>
  </r>
  <r>
    <x v="40"/>
    <s v="ORR"/>
    <s v="Audrey"/>
    <s v="Dawn"/>
    <m/>
    <m/>
    <m/>
    <m/>
    <m/>
    <d v="1980-07-12T00:00:00"/>
    <m/>
    <m/>
    <s v="107cb"/>
    <m/>
    <s v="107c"/>
    <m/>
    <x v="1"/>
    <n v="8"/>
    <n v="5"/>
    <n v="5"/>
    <x v="2"/>
  </r>
  <r>
    <x v="40"/>
    <s v="ORR"/>
    <s v="Michael"/>
    <s v="Travis"/>
    <s v="Kirkman"/>
    <m/>
    <m/>
    <m/>
    <m/>
    <d v="1984-04-12T00:00:00"/>
    <m/>
    <m/>
    <s v="107cc"/>
    <m/>
    <s v="107c"/>
    <m/>
    <x v="0"/>
    <n v="8"/>
    <n v="5"/>
    <n v="5"/>
    <x v="2"/>
  </r>
  <r>
    <x v="40"/>
    <s v="ORR"/>
    <s v="Edward"/>
    <s v="William"/>
    <m/>
    <m/>
    <m/>
    <m/>
    <m/>
    <d v="1959-09-02T00:00:00"/>
    <d v="1961-08-21T00:00:00"/>
    <m/>
    <s v="107d"/>
    <m/>
    <s v="107"/>
    <m/>
    <x v="1"/>
    <n v="7"/>
    <n v="4"/>
    <n v="5"/>
    <x v="1"/>
  </r>
  <r>
    <x v="40"/>
    <s v="ORR"/>
    <s v="Brandy"/>
    <s v="Marie"/>
    <m/>
    <m/>
    <m/>
    <m/>
    <m/>
    <d v="1979-03-13T00:00:00"/>
    <m/>
    <m/>
    <s v="107da"/>
    <m/>
    <s v="107d"/>
    <m/>
    <x v="1"/>
    <n v="8"/>
    <n v="5"/>
    <n v="5"/>
    <x v="2"/>
  </r>
  <r>
    <x v="40"/>
    <s v="ORR"/>
    <s v="Timothy"/>
    <s v="James"/>
    <m/>
    <m/>
    <m/>
    <m/>
    <m/>
    <d v="1980-05-26T00:00:00"/>
    <m/>
    <m/>
    <s v="107db"/>
    <m/>
    <s v="107d"/>
    <m/>
    <x v="0"/>
    <n v="8"/>
    <n v="5"/>
    <n v="5"/>
    <x v="2"/>
  </r>
  <r>
    <x v="40"/>
    <s v="ORR"/>
    <s v="Heather"/>
    <s v="Lynn"/>
    <m/>
    <m/>
    <m/>
    <m/>
    <m/>
    <d v="1970-12-29T00:00:00"/>
    <m/>
    <m/>
    <s v="107e"/>
    <m/>
    <s v="107"/>
    <m/>
    <x v="1"/>
    <n v="7"/>
    <n v="4"/>
    <n v="5"/>
    <x v="1"/>
  </r>
  <r>
    <x v="41"/>
    <s v="LOYD"/>
    <s v="Joscelyn"/>
    <s v="Moira"/>
    <s v="Selina (Jos)"/>
    <n v="1931"/>
    <s v="?"/>
    <s v="Joscelyn (108): 1931"/>
    <n v="11658"/>
    <d v="1931-12-01T00:00:00"/>
    <d v="1951-01-25T00:00:00"/>
    <s v="?"/>
    <n v="108"/>
    <s v="Joscelyn (108): 1931 - ?"/>
    <n v="55"/>
    <s v="Dick (55): 1882 - 1950"/>
    <x v="0"/>
    <n v="6"/>
    <n v="3"/>
    <n v="5"/>
    <x v="0"/>
  </r>
  <r>
    <x v="41"/>
    <s v="HOYLE"/>
    <s v="Frances"/>
    <s v="Mary"/>
    <m/>
    <m/>
    <m/>
    <m/>
    <m/>
    <d v="1953-11-24T00:00:00"/>
    <d v="1981-10-01T00:00:00"/>
    <m/>
    <s v="108a"/>
    <m/>
    <s v="108"/>
    <m/>
    <x v="0"/>
    <n v="7"/>
    <n v="4"/>
    <n v="5"/>
    <x v="1"/>
  </r>
  <r>
    <x v="41"/>
    <s v="CARTER"/>
    <s v="Daniel"/>
    <s v="John"/>
    <m/>
    <m/>
    <m/>
    <m/>
    <m/>
    <d v="1976-09-22T00:00:00"/>
    <m/>
    <m/>
    <s v="108aa"/>
    <m/>
    <s v="108a"/>
    <m/>
    <x v="1"/>
    <n v="8"/>
    <n v="5"/>
    <n v="5"/>
    <x v="2"/>
  </r>
  <r>
    <x v="41"/>
    <s v="CARTER"/>
    <s v="Simon"/>
    <s v="Peter"/>
    <m/>
    <m/>
    <m/>
    <m/>
    <m/>
    <d v="1982-05-28T00:00:00"/>
    <m/>
    <m/>
    <s v="108ab"/>
    <m/>
    <s v="108a"/>
    <m/>
    <x v="1"/>
    <n v="8"/>
    <n v="5"/>
    <n v="5"/>
    <x v="2"/>
  </r>
  <r>
    <x v="41"/>
    <s v="HOYLE"/>
    <s v="Richard"/>
    <s v="William"/>
    <s v="Lewis"/>
    <m/>
    <m/>
    <m/>
    <m/>
    <d v="1956-12-12T00:00:00"/>
    <d v="1980-11-08T00:00:00"/>
    <m/>
    <s v="108b"/>
    <m/>
    <s v="108"/>
    <m/>
    <x v="1"/>
    <n v="7"/>
    <n v="4"/>
    <n v="5"/>
    <x v="1"/>
  </r>
  <r>
    <x v="41"/>
    <s v="HOYLE"/>
    <s v="Matthew"/>
    <s v="Christopher"/>
    <s v="Richard"/>
    <m/>
    <m/>
    <m/>
    <m/>
    <d v="1982-05-31T00:00:00"/>
    <m/>
    <m/>
    <s v="108ba"/>
    <m/>
    <s v="108b"/>
    <m/>
    <x v="1"/>
    <n v="8"/>
    <n v="5"/>
    <n v="5"/>
    <x v="2"/>
  </r>
  <r>
    <x v="41"/>
    <s v="HOYLE"/>
    <s v="Darren"/>
    <s v="Andrew"/>
    <m/>
    <m/>
    <m/>
    <m/>
    <m/>
    <d v="1985-05-28T00:00:00"/>
    <m/>
    <m/>
    <s v="108bb"/>
    <m/>
    <s v="108b"/>
    <m/>
    <x v="1"/>
    <n v="8"/>
    <n v="5"/>
    <n v="5"/>
    <x v="2"/>
  </r>
  <r>
    <x v="41"/>
    <s v="HOYLE"/>
    <s v="David"/>
    <s v="John"/>
    <m/>
    <m/>
    <m/>
    <m/>
    <m/>
    <d v="1961-12-02T00:00:00"/>
    <d v="1982-05-15T00:00:00"/>
    <m/>
    <s v="108c"/>
    <m/>
    <s v="108"/>
    <m/>
    <x v="1"/>
    <n v="7"/>
    <n v="4"/>
    <n v="5"/>
    <x v="1"/>
  </r>
  <r>
    <x v="41"/>
    <s v="HOYLE"/>
    <s v="Tanya"/>
    <s v="Louise"/>
    <m/>
    <m/>
    <m/>
    <m/>
    <m/>
    <d v="1985-11-14T00:00:00"/>
    <m/>
    <m/>
    <s v="108ca"/>
    <m/>
    <s v="108c"/>
    <m/>
    <x v="0"/>
    <n v="8"/>
    <n v="5"/>
    <n v="5"/>
    <x v="2"/>
  </r>
  <r>
    <x v="41"/>
    <s v="HOYLE"/>
    <s v="Peter"/>
    <s v="James"/>
    <m/>
    <m/>
    <m/>
    <m/>
    <m/>
    <d v="1963-11-09T00:00:00"/>
    <d v="1985-06-29T00:00:00"/>
    <m/>
    <s v="108d"/>
    <m/>
    <s v="108"/>
    <m/>
    <x v="1"/>
    <n v="7"/>
    <n v="4"/>
    <n v="5"/>
    <x v="1"/>
  </r>
  <r>
    <x v="42"/>
    <s v="LOYD"/>
    <s v="Margaret"/>
    <s v="Beatrix"/>
    <s v="Mary"/>
    <n v="1932"/>
    <s v="?"/>
    <s v="Margaret (109): 1932"/>
    <n v="11749"/>
    <d v="1932-03-01T00:00:00"/>
    <d v="1963-12-19T00:00:00"/>
    <s v="?"/>
    <n v="109"/>
    <s v="Margaret (109): 1932 - ?"/>
    <n v="80"/>
    <s v="Eric (80): 1894 - 1963"/>
    <x v="0"/>
    <n v="6"/>
    <n v="3"/>
    <n v="5"/>
    <x v="0"/>
  </r>
  <r>
    <x v="42"/>
    <s v="WALTON"/>
    <s v="Jennet"/>
    <m/>
    <m/>
    <m/>
    <m/>
    <m/>
    <m/>
    <d v="1964-11-25T00:00:00"/>
    <m/>
    <m/>
    <s v="109a"/>
    <m/>
    <s v="109"/>
    <m/>
    <x v="0"/>
    <n v="7"/>
    <n v="4"/>
    <n v="5"/>
    <x v="1"/>
  </r>
  <r>
    <x v="42"/>
    <s v="WALTON"/>
    <s v="Timothy"/>
    <m/>
    <m/>
    <m/>
    <m/>
    <m/>
    <m/>
    <d v="1967-08-22T00:00:00"/>
    <m/>
    <m/>
    <s v="109b"/>
    <m/>
    <s v="109"/>
    <m/>
    <x v="1"/>
    <n v="7"/>
    <n v="4"/>
    <n v="5"/>
    <x v="1"/>
  </r>
  <r>
    <x v="43"/>
    <s v="LOYD"/>
    <s v="Jean"/>
    <s v="Isabel"/>
    <m/>
    <n v="1933"/>
    <s v="?"/>
    <s v="Jean (110): 1933"/>
    <n v="12297"/>
    <d v="1933-08-31T00:00:00"/>
    <d v="1959-09-08T00:00:00"/>
    <s v="?"/>
    <n v="110"/>
    <s v="Jean (110): 1933 - ?"/>
    <n v="80"/>
    <s v="Eric (80): 1894 - 1963"/>
    <x v="0"/>
    <n v="6"/>
    <n v="3"/>
    <n v="5"/>
    <x v="0"/>
  </r>
  <r>
    <x v="43"/>
    <s v="BOYCE"/>
    <s v="John"/>
    <s v="Drummond"/>
    <m/>
    <m/>
    <m/>
    <m/>
    <m/>
    <d v="1961-07-30T00:00:00"/>
    <d v="1987-08-15T00:00:00"/>
    <m/>
    <s v="110a"/>
    <m/>
    <s v="110"/>
    <m/>
    <x v="1"/>
    <n v="7"/>
    <n v="4"/>
    <n v="5"/>
    <x v="1"/>
  </r>
  <r>
    <x v="43"/>
    <s v="BOYCE"/>
    <s v="Christopher"/>
    <s v="Drummond"/>
    <m/>
    <m/>
    <m/>
    <m/>
    <m/>
    <d v="1990-01-08T00:00:00"/>
    <m/>
    <m/>
    <s v="110aa"/>
    <m/>
    <s v="110a"/>
    <m/>
    <x v="1"/>
    <n v="8"/>
    <n v="5"/>
    <n v="5"/>
    <x v="2"/>
  </r>
  <r>
    <x v="43"/>
    <s v="BOYCE"/>
    <s v="Andrew"/>
    <s v="Alexander"/>
    <m/>
    <m/>
    <m/>
    <m/>
    <m/>
    <d v="1991-08-07T00:00:00"/>
    <m/>
    <m/>
    <s v="110ab"/>
    <m/>
    <s v="110a"/>
    <m/>
    <x v="1"/>
    <n v="8"/>
    <n v="5"/>
    <n v="5"/>
    <x v="2"/>
  </r>
  <r>
    <x v="43"/>
    <s v="BOYCE"/>
    <s v="Robin"/>
    <s v="Oscar"/>
    <m/>
    <m/>
    <m/>
    <m/>
    <m/>
    <d v="1977-09-24T00:00:00"/>
    <m/>
    <m/>
    <s v="110ac"/>
    <m/>
    <s v="110a"/>
    <m/>
    <x v="1"/>
    <n v="8"/>
    <n v="5"/>
    <n v="5"/>
    <x v="2"/>
  </r>
  <r>
    <x v="43"/>
    <s v="BOYCE"/>
    <s v="Joanna"/>
    <s v="Mary"/>
    <m/>
    <m/>
    <m/>
    <m/>
    <m/>
    <d v="1963-02-18T00:00:00"/>
    <m/>
    <m/>
    <s v="110b"/>
    <m/>
    <s v="110"/>
    <m/>
    <x v="0"/>
    <n v="7"/>
    <n v="4"/>
    <n v="5"/>
    <x v="1"/>
  </r>
  <r>
    <x v="43"/>
    <s v="BOYCE"/>
    <s v="Robert"/>
    <s v="Eric"/>
    <m/>
    <m/>
    <m/>
    <m/>
    <m/>
    <d v="1964-03-20T00:00:00"/>
    <m/>
    <m/>
    <s v="110c"/>
    <m/>
    <s v="110"/>
    <m/>
    <x v="1"/>
    <n v="7"/>
    <n v="4"/>
    <n v="5"/>
    <x v="1"/>
  </r>
  <r>
    <x v="43"/>
    <s v="BOYCE"/>
    <s v="Paula"/>
    <s v="Margaret"/>
    <m/>
    <m/>
    <m/>
    <m/>
    <m/>
    <d v="1966-09-26T00:00:00"/>
    <d v="1996-07-30T00:00:00"/>
    <m/>
    <s v="110d"/>
    <m/>
    <s v="110"/>
    <m/>
    <x v="0"/>
    <n v="7"/>
    <n v="4"/>
    <n v="5"/>
    <x v="1"/>
  </r>
  <r>
    <x v="43"/>
    <s v="de CASTRO"/>
    <s v="Karina"/>
    <s v="Boyce"/>
    <m/>
    <m/>
    <m/>
    <m/>
    <m/>
    <d v="1999-02-11T00:00:00"/>
    <m/>
    <m/>
    <s v="110da"/>
    <m/>
    <s v="110d"/>
    <m/>
    <x v="0"/>
    <n v="8"/>
    <n v="5"/>
    <n v="5"/>
    <x v="2"/>
  </r>
  <r>
    <x v="44"/>
    <s v="LOYD"/>
    <s v="Una"/>
    <s v="Alys"/>
    <s v="Doreen (Deen)"/>
    <n v="1936"/>
    <s v="?"/>
    <s v="Deen (112): 1936"/>
    <n v="13204"/>
    <d v="1936-02-24T00:00:00"/>
    <d v="1966-03-15T00:00:00"/>
    <s v="?"/>
    <n v="112"/>
    <s v="Deen (112): 1936 - ?"/>
    <n v="55"/>
    <s v="Dick (55): 1882 - 1950"/>
    <x v="0"/>
    <n v="6"/>
    <n v="3"/>
    <n v="5"/>
    <x v="0"/>
  </r>
  <r>
    <x v="44"/>
    <s v="DOWNES"/>
    <s v="Kevin"/>
    <s v="John"/>
    <m/>
    <m/>
    <m/>
    <m/>
    <m/>
    <d v="1958-10-13T00:00:00"/>
    <m/>
    <m/>
    <s v="112a"/>
    <m/>
    <s v="112"/>
    <m/>
    <x v="1"/>
    <n v="7"/>
    <n v="4"/>
    <n v="5"/>
    <x v="1"/>
  </r>
  <r>
    <x v="44"/>
    <s v="DOWNES"/>
    <s v="Lynda"/>
    <s v="Carol"/>
    <m/>
    <m/>
    <m/>
    <m/>
    <m/>
    <d v="1960-10-15T00:00:00"/>
    <m/>
    <m/>
    <s v="112b"/>
    <m/>
    <s v="112"/>
    <m/>
    <x v="0"/>
    <n v="7"/>
    <n v="4"/>
    <n v="5"/>
    <x v="1"/>
  </r>
  <r>
    <x v="44"/>
    <s v="DOWNES"/>
    <s v="Graeme"/>
    <s v="Richard"/>
    <m/>
    <m/>
    <m/>
    <m/>
    <m/>
    <d v="1961-10-22T00:00:00"/>
    <m/>
    <m/>
    <s v="112c"/>
    <m/>
    <s v="112"/>
    <m/>
    <x v="1"/>
    <n v="7"/>
    <n v="4"/>
    <n v="5"/>
    <x v="1"/>
  </r>
  <r>
    <x v="44"/>
    <s v="DOWNES"/>
    <s v="Lesley"/>
    <s v="Karen"/>
    <m/>
    <m/>
    <m/>
    <m/>
    <m/>
    <d v="1963-03-21T00:00:00"/>
    <m/>
    <m/>
    <s v="112d"/>
    <m/>
    <s v="112"/>
    <m/>
    <x v="0"/>
    <n v="7"/>
    <n v="4"/>
    <n v="5"/>
    <x v="1"/>
  </r>
  <r>
    <x v="45"/>
    <s v="LOYD"/>
    <s v="Belinda"/>
    <s v="Maris"/>
    <m/>
    <n v="1939"/>
    <n v="2018"/>
    <s v="Belinda (115): 1939"/>
    <n v="14432"/>
    <d v="1939-07-06T00:00:00"/>
    <d v="1963-10-14T00:00:00"/>
    <d v="2018-12-01T00:00:00"/>
    <n v="115"/>
    <s v="Belinda (115): 1939 - 2018"/>
    <n v="78"/>
    <s v="Vivian (78): 1894 - 1972"/>
    <x v="0"/>
    <n v="6"/>
    <n v="3"/>
    <n v="5"/>
    <x v="0"/>
  </r>
  <r>
    <x v="45"/>
    <s v="CROSSLEY"/>
    <s v="The Hon Isabel"/>
    <s v="Alicia"/>
    <s v="Clare"/>
    <m/>
    <m/>
    <m/>
    <m/>
    <d v="1964-09-27T00:00:00"/>
    <d v="1991-10-05T00:00:00"/>
    <m/>
    <s v="115a"/>
    <m/>
    <s v="115"/>
    <m/>
    <x v="0"/>
    <n v="7"/>
    <n v="4"/>
    <n v="5"/>
    <x v="1"/>
  </r>
  <r>
    <x v="45"/>
    <s v="CATOR"/>
    <s v="Benjamin"/>
    <m/>
    <m/>
    <m/>
    <m/>
    <m/>
    <m/>
    <d v="1988-10-17T00:00:00"/>
    <m/>
    <m/>
    <s v="115aa"/>
    <m/>
    <s v="115a"/>
    <m/>
    <x v="1"/>
    <n v="8"/>
    <n v="5"/>
    <n v="5"/>
    <x v="2"/>
  </r>
  <r>
    <x v="45"/>
    <s v="CATOR"/>
    <s v="Lara"/>
    <m/>
    <m/>
    <m/>
    <m/>
    <m/>
    <m/>
    <d v="1992-09-11T00:00:00"/>
    <m/>
    <m/>
    <s v="115ab"/>
    <m/>
    <s v="115a"/>
    <m/>
    <x v="0"/>
    <n v="8"/>
    <n v="5"/>
    <n v="5"/>
    <x v="2"/>
  </r>
  <r>
    <x v="45"/>
    <s v="CATOR"/>
    <s v="Oscar"/>
    <m/>
    <m/>
    <m/>
    <m/>
    <m/>
    <m/>
    <d v="1996-02-28T00:00:00"/>
    <m/>
    <m/>
    <s v="115ac"/>
    <m/>
    <s v="115a"/>
    <m/>
    <x v="1"/>
    <n v="8"/>
    <n v="5"/>
    <n v="5"/>
    <x v="2"/>
  </r>
  <r>
    <x v="45"/>
    <s v="CROSSLEY"/>
    <s v="The Hon Camilla"/>
    <s v="Mary"/>
    <s v="Lara"/>
    <m/>
    <m/>
    <m/>
    <m/>
    <d v="1967-06-27T00:00:00"/>
    <d v="1993-06-05T00:00:00"/>
    <m/>
    <s v="115b"/>
    <m/>
    <s v="115"/>
    <m/>
    <x v="0"/>
    <n v="7"/>
    <n v="4"/>
    <n v="5"/>
    <x v="1"/>
  </r>
  <r>
    <x v="45"/>
    <s v="SOAMES"/>
    <s v="Milo"/>
    <m/>
    <m/>
    <m/>
    <m/>
    <m/>
    <m/>
    <d v="1995-12-21T00:00:00"/>
    <m/>
    <m/>
    <s v="115ba"/>
    <m/>
    <s v="115b"/>
    <m/>
    <x v="1"/>
    <n v="8"/>
    <n v="5"/>
    <n v="5"/>
    <x v="2"/>
  </r>
  <r>
    <x v="45"/>
    <s v="SOAMES"/>
    <s v="Tommy"/>
    <m/>
    <m/>
    <m/>
    <m/>
    <m/>
    <m/>
    <d v="1997-08-21T00:00:00"/>
    <m/>
    <m/>
    <s v="115bb"/>
    <m/>
    <s v="115b"/>
    <m/>
    <x v="1"/>
    <n v="8"/>
    <n v="5"/>
    <n v="5"/>
    <x v="2"/>
  </r>
  <r>
    <x v="45"/>
    <s v="SOAMES"/>
    <s v="Mary"/>
    <s v="Alicia"/>
    <s v="Claire"/>
    <m/>
    <m/>
    <m/>
    <m/>
    <d v="1999-05-10T00:00:00"/>
    <m/>
    <m/>
    <s v="115bc"/>
    <m/>
    <s v="115b"/>
    <m/>
    <x v="0"/>
    <n v="8"/>
    <n v="5"/>
    <n v="5"/>
    <x v="2"/>
  </r>
  <r>
    <x v="45"/>
    <s v="CROSSLEY"/>
    <s v="The Hon Alicia"/>
    <s v="Phyllis"/>
    <s v="Belinda"/>
    <m/>
    <m/>
    <m/>
    <m/>
    <d v="1969-04-09T00:00:00"/>
    <d v="1998-11-28T00:00:00"/>
    <m/>
    <s v="115c"/>
    <m/>
    <s v="115"/>
    <m/>
    <x v="0"/>
    <n v="7"/>
    <n v="4"/>
    <n v="5"/>
    <x v="1"/>
  </r>
  <r>
    <x v="45"/>
    <s v="CROSSLEY"/>
    <s v="The Hon Hugh"/>
    <s v="Francis"/>
    <s v="Savile"/>
    <m/>
    <m/>
    <m/>
    <m/>
    <d v="1971-09-27T00:00:00"/>
    <m/>
    <m/>
    <s v="115d"/>
    <m/>
    <s v="115"/>
    <m/>
    <x v="1"/>
    <n v="7"/>
    <n v="4"/>
    <n v="5"/>
    <x v="1"/>
  </r>
  <r>
    <x v="45"/>
    <s v="CROSSLEY"/>
    <s v="The Hon Bridget"/>
    <s v="Vivian"/>
    <m/>
    <m/>
    <m/>
    <m/>
    <m/>
    <d v="1974-02-09T00:00:00"/>
    <m/>
    <m/>
    <s v="115e"/>
    <m/>
    <s v="115"/>
    <m/>
    <x v="0"/>
    <n v="7"/>
    <n v="4"/>
    <n v="5"/>
    <x v="1"/>
  </r>
  <r>
    <x v="46"/>
    <s v="LOYD"/>
    <s v="Margaret"/>
    <s v="Sheila"/>
    <s v="Eileen (Peggy)"/>
    <n v="1939"/>
    <s v="?"/>
    <s v="Peggy (116): 1939"/>
    <n v="14567"/>
    <d v="1939-11-18T00:00:00"/>
    <d v="1969-04-19T00:00:00"/>
    <s v="?"/>
    <n v="116"/>
    <s v="Peggy (116): 1939 - ?"/>
    <n v="55"/>
    <s v="Dick (55): 1882 - 1950"/>
    <x v="0"/>
    <n v="6"/>
    <n v="3"/>
    <n v="5"/>
    <x v="0"/>
  </r>
  <r>
    <x v="46"/>
    <s v="CLULOW"/>
    <s v="Carl"/>
    <m/>
    <m/>
    <m/>
    <m/>
    <m/>
    <m/>
    <d v="1970-01-19T00:00:00"/>
    <s v="Unmarried"/>
    <d v="1970-01-19T00:00:00"/>
    <s v="116a"/>
    <m/>
    <s v="116"/>
    <m/>
    <x v="1"/>
    <n v="7"/>
    <n v="4"/>
    <n v="5"/>
    <x v="1"/>
  </r>
  <r>
    <x v="46"/>
    <s v="CLULOW"/>
    <s v="Kate"/>
    <m/>
    <m/>
    <m/>
    <m/>
    <m/>
    <m/>
    <d v="1971-08-12T00:00:00"/>
    <m/>
    <m/>
    <s v="116b"/>
    <m/>
    <s v="116"/>
    <m/>
    <x v="0"/>
    <n v="7"/>
    <n v="4"/>
    <n v="5"/>
    <x v="1"/>
  </r>
  <r>
    <x v="46"/>
    <s v="CLULOW"/>
    <s v="Clare"/>
    <m/>
    <m/>
    <m/>
    <m/>
    <m/>
    <m/>
    <d v="1973-03-30T00:00:00"/>
    <m/>
    <m/>
    <s v="116c"/>
    <m/>
    <s v="116"/>
    <m/>
    <x v="0"/>
    <n v="7"/>
    <n v="4"/>
    <n v="5"/>
    <x v="1"/>
  </r>
  <r>
    <x v="47"/>
    <s v="LOYD"/>
    <s v="Patricia"/>
    <s v="Doris"/>
    <s v="Irene"/>
    <n v="1942"/>
    <n v="1942"/>
    <s v="Patricia (118): 1942"/>
    <n v="15429"/>
    <d v="1942-03-29T00:00:00"/>
    <s v="unmarried"/>
    <d v="1942-04-02T00:00:00"/>
    <n v="118"/>
    <s v="Patricia (118): 1942 - 1942"/>
    <n v="55"/>
    <s v="Dick (55): 1882 - 1950"/>
    <x v="0"/>
    <n v="6"/>
    <n v="3"/>
    <n v="5"/>
    <x v="0"/>
  </r>
  <r>
    <x v="48"/>
    <s v="LOYD"/>
    <s v="Caroline"/>
    <s v="Evelyn"/>
    <m/>
    <n v="1947"/>
    <s v="?"/>
    <s v="Caroline (120): 1947"/>
    <n v="17183"/>
    <d v="1947-01-16T00:00:00"/>
    <d v="1968-05-02T00:00:00"/>
    <s v="?"/>
    <n v="120"/>
    <s v="Caroline (120): 1947 - ?"/>
    <n v="96"/>
    <s v="Edward (96): 1921 - 1977"/>
    <x v="0"/>
    <n v="7"/>
    <n v="3"/>
    <n v="6"/>
    <x v="0"/>
  </r>
  <r>
    <x v="49"/>
    <s v="LOYD"/>
    <s v="Janet"/>
    <s v="Katharine"/>
    <m/>
    <n v="1949"/>
    <s v="?"/>
    <s v="Janet (123): 1949"/>
    <n v="18019"/>
    <d v="1949-05-01T00:00:00"/>
    <d v="1973-11-24T00:00:00"/>
    <s v="?"/>
    <n v="123"/>
    <s v="Janet (123): 1949 - ?"/>
    <n v="89"/>
    <s v="Francis (89): 1916 - 2006"/>
    <x v="0"/>
    <n v="7"/>
    <n v="3"/>
    <n v="6"/>
    <x v="0"/>
  </r>
  <r>
    <x v="49"/>
    <s v="BOSMAN"/>
    <s v="Katherine"/>
    <s v="Jane"/>
    <s v="Loyd"/>
    <m/>
    <m/>
    <m/>
    <m/>
    <d v="1978-09-06T00:00:00"/>
    <m/>
    <m/>
    <s v="123a"/>
    <m/>
    <s v="123"/>
    <m/>
    <x v="0"/>
    <n v="8"/>
    <n v="4"/>
    <n v="6"/>
    <x v="1"/>
  </r>
  <r>
    <x v="49"/>
    <s v="BOSMAN"/>
    <s v="Adam"/>
    <s v="Terrence"/>
    <s v="Loyd"/>
    <m/>
    <m/>
    <m/>
    <m/>
    <d v="1980-12-16T00:00:00"/>
    <m/>
    <m/>
    <s v="123b"/>
    <m/>
    <s v="123"/>
    <m/>
    <x v="1"/>
    <n v="8"/>
    <n v="4"/>
    <n v="6"/>
    <x v="1"/>
  </r>
  <r>
    <x v="50"/>
    <s v="LOYD"/>
    <s v="Rona"/>
    <s v="Mary"/>
    <m/>
    <n v="1951"/>
    <s v="?"/>
    <s v="Rona (125): 1951"/>
    <n v="18683"/>
    <d v="1951-02-24T00:00:00"/>
    <d v="1971-08-28T00:00:00"/>
    <s v="?"/>
    <n v="125"/>
    <s v="Rona (125): 1951 - ?"/>
    <n v="86"/>
    <s v="Peter (86): 1913 - 2008"/>
    <x v="0"/>
    <n v="7"/>
    <n v="3"/>
    <n v="6"/>
    <x v="0"/>
  </r>
  <r>
    <x v="50"/>
    <s v="HAWKEY"/>
    <s v="Bryan"/>
    <s v="Patrick"/>
    <m/>
    <m/>
    <m/>
    <m/>
    <m/>
    <d v="1976-07-23T00:00:00"/>
    <m/>
    <m/>
    <s v="125a"/>
    <m/>
    <s v="125"/>
    <m/>
    <x v="1"/>
    <n v="8"/>
    <n v="4"/>
    <n v="6"/>
    <x v="1"/>
  </r>
  <r>
    <x v="50"/>
    <s v="HAWKEY"/>
    <s v="Allison"/>
    <s v="Mary"/>
    <m/>
    <m/>
    <m/>
    <m/>
    <m/>
    <d v="1978-05-23T00:00:00"/>
    <m/>
    <m/>
    <s v="125b"/>
    <m/>
    <s v="125"/>
    <m/>
    <x v="0"/>
    <n v="8"/>
    <n v="4"/>
    <n v="6"/>
    <x v="1"/>
  </r>
  <r>
    <x v="51"/>
    <s v="LOYD"/>
    <s v="Julie"/>
    <s v="Caroline"/>
    <m/>
    <n v="1952"/>
    <s v="?"/>
    <s v="Julie (128): 1952"/>
    <n v="19114"/>
    <d v="1952-04-30T00:00:00"/>
    <d v="1988-09-16T00:00:00"/>
    <s v="?"/>
    <n v="128"/>
    <s v="Julie (128): 1952 - ?"/>
    <n v="98"/>
    <s v="Peter (98): 1922 - ?"/>
    <x v="0"/>
    <n v="7"/>
    <n v="3"/>
    <n v="6"/>
    <x v="0"/>
  </r>
  <r>
    <x v="51"/>
    <s v="PEMBERTON"/>
    <s v="Chloe"/>
    <s v="Louise"/>
    <m/>
    <m/>
    <m/>
    <m/>
    <m/>
    <d v="1991-01-04T00:00:00"/>
    <m/>
    <m/>
    <s v="128a"/>
    <m/>
    <s v="128"/>
    <m/>
    <x v="0"/>
    <n v="8"/>
    <n v="4"/>
    <n v="6"/>
    <x v="1"/>
  </r>
  <r>
    <x v="51"/>
    <s v="PEMBERTON"/>
    <s v="Kate"/>
    <s v="Isobel"/>
    <m/>
    <m/>
    <m/>
    <m/>
    <m/>
    <d v="1993-08-13T00:00:00"/>
    <m/>
    <m/>
    <s v="128b"/>
    <m/>
    <s v="128"/>
    <m/>
    <x v="0"/>
    <n v="8"/>
    <n v="4"/>
    <n v="6"/>
    <x v="1"/>
  </r>
  <r>
    <x v="52"/>
    <s v="LOYD"/>
    <s v="Diana"/>
    <s v="Margaret"/>
    <m/>
    <n v="1952"/>
    <s v="?"/>
    <s v="Diana (129): 1952"/>
    <n v="19127"/>
    <d v="1952-05-13T00:00:00"/>
    <d v="1983-07-09T00:00:00"/>
    <s v="?"/>
    <n v="129"/>
    <s v="Diana (129): 1952 - ?"/>
    <n v="89"/>
    <s v="Francis (89): 1916 - 2006"/>
    <x v="0"/>
    <n v="7"/>
    <n v="3"/>
    <n v="6"/>
    <x v="0"/>
  </r>
  <r>
    <x v="53"/>
    <s v="LOYD"/>
    <s v="Henrietta"/>
    <s v="Jane"/>
    <s v="Rachel"/>
    <n v="1959"/>
    <s v="?"/>
    <s v="Henrietta (137): 1959"/>
    <n v="21581"/>
    <d v="1959-01-31T00:00:00"/>
    <d v="1995-06-03T00:00:00"/>
    <s v="?"/>
    <n v="137"/>
    <s v="Henrietta (137): 1959 - ?"/>
    <n v="99"/>
    <s v="Peter (99): 1923 - 1974"/>
    <x v="0"/>
    <n v="7"/>
    <n v="3"/>
    <n v="6"/>
    <x v="0"/>
  </r>
  <r>
    <x v="53"/>
    <s v="GELL"/>
    <s v="Honor"/>
    <s v="Constance"/>
    <s v="Virginia"/>
    <m/>
    <m/>
    <m/>
    <m/>
    <d v="1998-10-29T00:00:00"/>
    <m/>
    <m/>
    <s v="137a"/>
    <m/>
    <s v="137"/>
    <m/>
    <x v="0"/>
    <n v="8"/>
    <n v="4"/>
    <n v="6"/>
    <x v="1"/>
  </r>
  <r>
    <x v="54"/>
    <s v="LOYD"/>
    <s v="Virginia"/>
    <s v="Diana"/>
    <s v="Jemima"/>
    <n v="1961"/>
    <s v="?"/>
    <s v="Andrew (140): 1961"/>
    <n v="22520"/>
    <d v="1961-08-27T00:00:00"/>
    <d v="1992-03-21T00:00:00"/>
    <s v="?"/>
    <n v="140"/>
    <s v="Andrew (140): 1961 - ?"/>
    <n v="78"/>
    <s v="Vivian (78): 1894 - 1972"/>
    <x v="0"/>
    <n v="6"/>
    <n v="3"/>
    <n v="5"/>
    <x v="0"/>
  </r>
  <r>
    <x v="54"/>
    <s v="MILLER"/>
    <s v="Daisy"/>
    <s v="Elizabeth"/>
    <m/>
    <m/>
    <m/>
    <m/>
    <m/>
    <d v="1995-01-03T00:00:00"/>
    <m/>
    <m/>
    <s v="140a1"/>
    <m/>
    <s v="140a"/>
    <m/>
    <x v="0"/>
    <n v="8"/>
    <n v="5"/>
    <n v="5"/>
    <x v="2"/>
  </r>
  <r>
    <x v="54"/>
    <s v="MILLER"/>
    <s v="Violet"/>
    <s v="Emma"/>
    <m/>
    <m/>
    <m/>
    <m/>
    <m/>
    <d v="1995-01-03T00:00:00"/>
    <m/>
    <m/>
    <s v="140a2"/>
    <m/>
    <s v="140a"/>
    <m/>
    <x v="0"/>
    <n v="8"/>
    <n v="5"/>
    <n v="5"/>
    <x v="2"/>
  </r>
  <r>
    <x v="55"/>
    <s v="LOYD"/>
    <s v="Alexandra"/>
    <s v="Mary"/>
    <m/>
    <n v="1961"/>
    <s v="?"/>
    <s v="Alexandra (141): 1961"/>
    <n v="22568"/>
    <d v="1961-10-14T00:00:00"/>
    <d v="1995-02-11T00:00:00"/>
    <s v="?"/>
    <n v="141"/>
    <s v="Alexandra (141): 1961 - ?"/>
    <n v="104"/>
    <s v="Sir Julian (104): 1926 - 2018"/>
    <x v="0"/>
    <n v="7"/>
    <n v="3"/>
    <n v="6"/>
    <x v="0"/>
  </r>
  <r>
    <x v="55"/>
    <s v="BYATT"/>
    <s v="Letitia"/>
    <s v="Mary"/>
    <s v="Rose"/>
    <m/>
    <m/>
    <m/>
    <m/>
    <d v="1996-03-03T00:00:00"/>
    <m/>
    <m/>
    <s v="141a"/>
    <m/>
    <s v="141"/>
    <m/>
    <x v="0"/>
    <n v="8"/>
    <n v="4"/>
    <n v="6"/>
    <x v="1"/>
  </r>
  <r>
    <x v="55"/>
    <s v="BYATT"/>
    <s v="Henry"/>
    <s v="Hew"/>
    <s v="Duncan"/>
    <m/>
    <m/>
    <m/>
    <m/>
    <d v="1998-04-10T00:00:00"/>
    <m/>
    <m/>
    <s v="141b"/>
    <m/>
    <s v="141"/>
    <m/>
    <x v="1"/>
    <n v="8"/>
    <n v="4"/>
    <n v="6"/>
    <x v="1"/>
  </r>
  <r>
    <x v="56"/>
    <s v="LOYD"/>
    <s v="Harriet"/>
    <s v="Sara"/>
    <m/>
    <n v="1962"/>
    <s v="?"/>
    <s v="Harriet (143): 1962"/>
    <n v="22817"/>
    <d v="1962-06-20T00:00:00"/>
    <d v="1985-10-19T00:00:00"/>
    <s v="?"/>
    <n v="143"/>
    <s v="Harriet (143): 1962 - ?"/>
    <n v="100"/>
    <s v="Larch (100): 1923 - 2013"/>
    <x v="0"/>
    <n v="7"/>
    <n v="3"/>
    <n v="6"/>
    <x v="0"/>
  </r>
  <r>
    <x v="56"/>
    <s v="ASHE"/>
    <s v="Emily"/>
    <s v="Harriert"/>
    <m/>
    <m/>
    <m/>
    <m/>
    <m/>
    <d v="1988-02-08T00:00:00"/>
    <m/>
    <m/>
    <s v="143a"/>
    <m/>
    <s v="143"/>
    <m/>
    <x v="0"/>
    <n v="8"/>
    <n v="4"/>
    <n v="6"/>
    <x v="1"/>
  </r>
  <r>
    <x v="56"/>
    <s v="ASHE"/>
    <s v="Charles"/>
    <s v="Windham"/>
    <m/>
    <m/>
    <m/>
    <m/>
    <m/>
    <d v="1990-04-11T00:00:00"/>
    <m/>
    <m/>
    <s v="143b"/>
    <m/>
    <s v="143"/>
    <m/>
    <x v="1"/>
    <n v="8"/>
    <n v="4"/>
    <n v="6"/>
    <x v="1"/>
  </r>
  <r>
    <x v="57"/>
    <s v="LOYD"/>
    <s v="Susannah"/>
    <s v="Mary"/>
    <m/>
    <n v="1965"/>
    <s v="?"/>
    <s v="Susannah (147): 1965"/>
    <n v="24014"/>
    <d v="1965-09-29T00:00:00"/>
    <m/>
    <s v="?"/>
    <n v="147"/>
    <s v="Susannah (147): 1965 - ?"/>
    <n v="117"/>
    <s v="Patrick (117): 1942 - ?"/>
    <x v="0"/>
    <n v="7"/>
    <n v="3"/>
    <n v="6"/>
    <x v="0"/>
  </r>
  <r>
    <x v="58"/>
    <s v="LOYD"/>
    <s v="Elspeth"/>
    <s v="Joanna"/>
    <m/>
    <n v="1967"/>
    <s v="?"/>
    <s v="Elspeth (151): 1967"/>
    <n v="24623"/>
    <d v="1967-05-31T00:00:00"/>
    <m/>
    <s v="?"/>
    <n v="151"/>
    <s v="Elspeth (151): 1967 - ?"/>
    <n v="117"/>
    <s v="Patrick (117): 1942 - ?"/>
    <x v="0"/>
    <n v="7"/>
    <n v="3"/>
    <n v="6"/>
    <x v="0"/>
  </r>
  <r>
    <x v="59"/>
    <s v="LOYD"/>
    <s v="Mary"/>
    <s v="Rose"/>
    <m/>
    <n v="1967"/>
    <s v="?"/>
    <s v="Mary (152): 1967"/>
    <n v="24631"/>
    <d v="1967-06-08T00:00:00"/>
    <d v="1995-04-29T00:00:00"/>
    <s v="?"/>
    <n v="152"/>
    <s v="Mary (152): 1967 - ?"/>
    <n v="104"/>
    <s v="Sir Julian (104): 1926 - 2018"/>
    <x v="0"/>
    <n v="7"/>
    <n v="3"/>
    <n v="6"/>
    <x v="0"/>
  </r>
  <r>
    <x v="59"/>
    <s v="WHITCOMB"/>
    <s v="Clementine"/>
    <m/>
    <m/>
    <m/>
    <m/>
    <m/>
    <m/>
    <d v="1999-12-11T00:00:00"/>
    <m/>
    <m/>
    <s v="152a"/>
    <m/>
    <s v="152"/>
    <m/>
    <x v="0"/>
    <n v="8"/>
    <n v="4"/>
    <n v="6"/>
    <x v="1"/>
  </r>
  <r>
    <x v="60"/>
    <s v="LOYD"/>
    <s v="Sophie"/>
    <s v="Katherine"/>
    <m/>
    <n v="1969"/>
    <s v="?"/>
    <s v="Sophie (154): 1969"/>
    <n v="25364"/>
    <d v="1969-06-10T00:00:00"/>
    <m/>
    <s v="?"/>
    <n v="154"/>
    <s v="Sophie (154): 1969 - ?"/>
    <n v="98"/>
    <s v="Peter (98): 1922 - ?"/>
    <x v="0"/>
    <n v="7"/>
    <n v="3"/>
    <n v="6"/>
    <x v="0"/>
  </r>
  <r>
    <x v="61"/>
    <s v="LOYD"/>
    <s v="Amy"/>
    <s v="Lucia"/>
    <m/>
    <n v="1975"/>
    <s v="?"/>
    <s v="Amy (156): 1975"/>
    <n v="27457"/>
    <d v="1975-03-04T00:00:00"/>
    <m/>
    <s v="?"/>
    <n v="156"/>
    <s v="Amy (156): 1975 - ?"/>
    <n v="119"/>
    <s v="Peter (119): 1942 - ?"/>
    <x v="0"/>
    <n v="7"/>
    <n v="3"/>
    <n v="6"/>
    <x v="0"/>
  </r>
  <r>
    <x v="62"/>
    <s v="LOYD"/>
    <s v="Tessa"/>
    <s v="Jane"/>
    <m/>
    <n v="1975"/>
    <s v="?"/>
    <s v="Tessa (157): 1975"/>
    <n v="27606"/>
    <d v="1975-07-31T00:00:00"/>
    <m/>
    <s v="?"/>
    <n v="157"/>
    <s v="Tessa (157): 1975 - ?"/>
    <n v="114"/>
    <s v="Michael (114): 1938 - ?"/>
    <x v="0"/>
    <n v="7"/>
    <n v="3"/>
    <n v="6"/>
    <x v="0"/>
  </r>
  <r>
    <x v="63"/>
    <s v="LOYD"/>
    <s v="Chloe"/>
    <s v="Victoria"/>
    <m/>
    <n v="1977"/>
    <s v="?"/>
    <s v="Chloe (158): 1977"/>
    <n v="28368"/>
    <d v="1977-08-31T00:00:00"/>
    <m/>
    <s v="?"/>
    <n v="158"/>
    <s v="Chloe (158): 1977 - ?"/>
    <n v="114"/>
    <s v="Michael (114): 1938 - ?"/>
    <x v="0"/>
    <n v="7"/>
    <n v="3"/>
    <n v="6"/>
    <x v="0"/>
  </r>
  <r>
    <x v="64"/>
    <s v="LOYD"/>
    <s v="Daisy"/>
    <s v="Anne"/>
    <m/>
    <n v="1979"/>
    <s v="?"/>
    <s v="Daisy (159): 1979"/>
    <n v="29086"/>
    <d v="1979-08-19T00:00:00"/>
    <m/>
    <s v="?"/>
    <n v="159"/>
    <s v="Daisy (159): 1979 - ?"/>
    <n v="114"/>
    <s v="Michael (114): 1938 - ?"/>
    <x v="0"/>
    <n v="7"/>
    <n v="3"/>
    <n v="6"/>
    <x v="0"/>
  </r>
  <r>
    <x v="65"/>
    <s v="LOYD"/>
    <s v="Molly"/>
    <s v="Isabel"/>
    <m/>
    <n v="1982"/>
    <s v="?"/>
    <s v="Molly (161): 1982"/>
    <n v="30048"/>
    <d v="1982-04-07T00:00:00"/>
    <m/>
    <s v="?"/>
    <n v="161"/>
    <s v="Molly (161): 1982 - ?"/>
    <n v="119"/>
    <s v="Peter (119): 1942 - ?"/>
    <x v="0"/>
    <n v="7"/>
    <n v="3"/>
    <n v="6"/>
    <x v="0"/>
  </r>
  <r>
    <x v="66"/>
    <s v="LOYD"/>
    <s v="Harriet"/>
    <s v="Katharine "/>
    <m/>
    <n v="1984"/>
    <s v="?"/>
    <s v="Harriet (163): 1984"/>
    <n v="30820"/>
    <d v="1984-05-18T00:00:00"/>
    <m/>
    <s v="?"/>
    <n v="163"/>
    <s v="Harriet (163): 1984 - ?"/>
    <n v="119"/>
    <s v="Peter (119): 1942 - ?"/>
    <x v="0"/>
    <n v="7"/>
    <n v="3"/>
    <n v="6"/>
    <x v="0"/>
  </r>
  <r>
    <x v="67"/>
    <s v="CORMACK-LOYD"/>
    <s v="Poppy"/>
    <s v="Catherine"/>
    <m/>
    <n v="1984"/>
    <s v="?"/>
    <s v="Poppy (164): 1984"/>
    <n v="31032"/>
    <d v="1984-12-16T00:00:00"/>
    <m/>
    <s v="?"/>
    <n v="164"/>
    <s v="Poppy (164): 1984 - ?"/>
    <n v="136"/>
    <s v="Tim (136): 1957 - ?"/>
    <x v="0"/>
    <n v="8"/>
    <n v="3"/>
    <n v="7"/>
    <x v="0"/>
  </r>
  <r>
    <x v="68"/>
    <s v="CORMACK-LOYD"/>
    <s v="Rose"/>
    <s v="Elizabeth"/>
    <m/>
    <n v="1986"/>
    <s v="?"/>
    <s v="Rose (165): 1986"/>
    <n v="31600"/>
    <d v="1986-07-07T00:00:00"/>
    <m/>
    <s v="?"/>
    <n v="165"/>
    <s v="Rose (165): 1986 - ?"/>
    <n v="136"/>
    <s v="Tim (136): 1957 - ?"/>
    <x v="0"/>
    <n v="8"/>
    <n v="3"/>
    <n v="7"/>
    <x v="0"/>
  </r>
  <r>
    <x v="69"/>
    <s v="LOYD"/>
    <s v="Camilla"/>
    <s v="Mary"/>
    <m/>
    <n v="1988"/>
    <s v="?"/>
    <s v="Camilla (168): 1988"/>
    <n v="32294"/>
    <d v="1988-05-31T00:00:00"/>
    <m/>
    <s v="?"/>
    <n v="168"/>
    <s v="Camilla (168): 1988 - ?"/>
    <n v="138"/>
    <s v="Thomas (138): 1959 - ?"/>
    <x v="0"/>
    <n v="8"/>
    <n v="3"/>
    <n v="7"/>
    <x v="0"/>
  </r>
  <r>
    <x v="70"/>
    <s v="LOYD"/>
    <s v="Sophie"/>
    <s v="Rose"/>
    <m/>
    <n v="1989"/>
    <s v="?"/>
    <s v="Sophie (170): 1989"/>
    <n v="32844"/>
    <d v="1989-12-02T00:00:00"/>
    <m/>
    <s v="?"/>
    <n v="170"/>
    <s v="Sophie (170): 1989 - ?"/>
    <n v="138"/>
    <s v="Thomas (138): 1959 - ?"/>
    <x v="0"/>
    <n v="8"/>
    <n v="3"/>
    <n v="7"/>
    <x v="0"/>
  </r>
  <r>
    <x v="71"/>
    <s v="CORMACK-LOYD"/>
    <s v="Florina"/>
    <s v="Helen"/>
    <m/>
    <n v="1991"/>
    <s v="?"/>
    <s v="Florina (172): 1991"/>
    <n v="33597"/>
    <d v="1991-12-25T00:00:00"/>
    <m/>
    <s v="?"/>
    <n v="172"/>
    <s v="Florina (172): 1991 - ?"/>
    <n v="136"/>
    <s v="Tim (136): 1957 - ?"/>
    <x v="0"/>
    <n v="8"/>
    <n v="3"/>
    <n v="7"/>
    <x v="0"/>
  </r>
  <r>
    <x v="72"/>
    <s v="LOYD"/>
    <s v="Tabitha"/>
    <s v="Laura"/>
    <s v="Mary"/>
    <n v="1992"/>
    <s v="?"/>
    <s v="Mary (174): 1992"/>
    <n v="33922"/>
    <d v="1992-11-14T00:00:00"/>
    <m/>
    <s v="?"/>
    <n v="174"/>
    <s v="Mary (174): 1992 - ?"/>
    <n v="121"/>
    <s v="David (121): 1949 - ?"/>
    <x v="0"/>
    <n v="8"/>
    <n v="3"/>
    <n v="7"/>
    <x v="0"/>
  </r>
  <r>
    <x v="73"/>
    <s v="LOYD"/>
    <s v="Eliza"/>
    <s v="Rose"/>
    <m/>
    <n v="1999"/>
    <s v="?"/>
    <s v="Eliza (181): 1999"/>
    <n v="36194"/>
    <d v="1999-02-03T00:00:00"/>
    <m/>
    <s v="?"/>
    <n v="181"/>
    <s v="Eliza (181): 1999 - ?"/>
    <n v="150"/>
    <s v="James (150): 1966 - ?"/>
    <x v="0"/>
    <n v="8"/>
    <n v="3"/>
    <n v="7"/>
    <x v="0"/>
  </r>
  <r>
    <x v="74"/>
    <s v="LOYD"/>
    <s v="Rosanna"/>
    <s v="Kate"/>
    <m/>
    <n v="2000"/>
    <s v="?"/>
    <s v="Rosanna (182): 2000"/>
    <n v="36729"/>
    <d v="2000-07-22T00:00:00"/>
    <m/>
    <s v="?"/>
    <n v="182"/>
    <s v="Rosanna (182): 2000 - ?"/>
    <n v="146"/>
    <s v="Charles (146): 1963 - ?"/>
    <x v="0"/>
    <n v="8"/>
    <n v="3"/>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x v="0"/>
    <s v="William (1729 - 1800: #1)"/>
    <x v="0"/>
    <n v="-1"/>
  </r>
  <r>
    <x v="1"/>
    <s v="Jane (1765 - 1832: #2)"/>
    <x v="1"/>
    <n v="0"/>
  </r>
  <r>
    <x v="2"/>
    <s v="Lewis (1768 - 1858: #3)"/>
    <x v="1"/>
    <n v="0"/>
  </r>
  <r>
    <x v="3"/>
    <s v="William (1770 - 1828: #4)"/>
    <x v="1"/>
    <n v="0"/>
  </r>
  <r>
    <x v="4"/>
    <s v="Catherine (1772 - 1798: #5)"/>
    <x v="1"/>
    <n v="0"/>
  </r>
  <r>
    <x v="5"/>
    <s v="Thomas (1775 - 1853: #6)"/>
    <x v="1"/>
    <n v="0"/>
  </r>
  <r>
    <x v="6"/>
    <s v="Gwenllian (1777 - 1779: #7)"/>
    <x v="1"/>
    <n v="0"/>
  </r>
  <r>
    <x v="7"/>
    <s v="Edward (1780 - 1863: #8)"/>
    <x v="1"/>
    <n v="0"/>
  </r>
  <r>
    <x v="8"/>
    <s v="Samuel (1796 - 1883: #9)"/>
    <x v="2"/>
    <n v="1"/>
  </r>
  <r>
    <x v="9"/>
    <s v="William (1809 - 1879: #10)"/>
    <x v="3"/>
    <n v="1"/>
  </r>
  <r>
    <x v="10"/>
    <s v="Sarah (1810 - 1858: #11)"/>
    <x v="4"/>
    <n v="1"/>
  </r>
  <r>
    <x v="11"/>
    <s v="Eliza (1810 - 1861: #12)"/>
    <x v="3"/>
    <n v="1"/>
  </r>
  <r>
    <x v="12"/>
    <s v="Lewis (1811 - 1891: #13)"/>
    <x v="4"/>
    <n v="1"/>
  </r>
  <r>
    <x v="13"/>
    <s v="Thomas (1812 - 1857: #14)"/>
    <x v="3"/>
    <n v="1"/>
  </r>
  <r>
    <x v="14"/>
    <s v="Annie (1813 - 1834: #15)"/>
    <x v="4"/>
    <n v="1"/>
  </r>
  <r>
    <x v="15"/>
    <s v="Maria (1814 - 1900: #16)"/>
    <x v="3"/>
    <n v="1"/>
  </r>
  <r>
    <x v="16"/>
    <s v="Edward (1815 - 1815: #17)"/>
    <x v="3"/>
    <n v="1"/>
  </r>
  <r>
    <x v="17"/>
    <s v="Kate (1815 - 1905: #18)"/>
    <x v="4"/>
    <n v="1"/>
  </r>
  <r>
    <x v="18"/>
    <s v="Hannah (1817 - 1907: #19)"/>
    <x v="4"/>
    <n v="1"/>
  </r>
  <r>
    <x v="19"/>
    <s v="John (1817 - 1818: #20)"/>
    <x v="3"/>
    <n v="1"/>
  </r>
  <r>
    <x v="20"/>
    <s v="Lewis (1819 - 1841: #21)"/>
    <x v="3"/>
    <n v="1"/>
  </r>
  <r>
    <x v="21"/>
    <s v="Edward (1820 - 1890: #22)"/>
    <x v="4"/>
    <n v="1"/>
  </r>
  <r>
    <x v="22"/>
    <s v="William (1821 - 1885: #23)"/>
    <x v="4"/>
    <n v="1"/>
  </r>
  <r>
    <x v="23"/>
    <s v="Fanny (1824 - 1856: #24)"/>
    <x v="4"/>
    <n v="1"/>
  </r>
  <r>
    <x v="24"/>
    <s v="Henry (1832 - 1833: #25)"/>
    <x v="5"/>
    <n v="3"/>
  </r>
  <r>
    <x v="25"/>
    <s v="The Hon Harriet (1837 - 1920: #26)"/>
    <x v="5"/>
    <n v="3"/>
  </r>
  <r>
    <x v="26"/>
    <s v="William (1843 - 1843: #27)"/>
    <x v="6"/>
    <n v="4"/>
  </r>
  <r>
    <x v="27"/>
    <s v="The Rev Lewis (1844 - 1905: #28)"/>
    <x v="6"/>
    <n v="4"/>
  </r>
  <r>
    <x v="28"/>
    <s v="Arthur (1845 - 1930: #29)"/>
    <x v="6"/>
    <n v="4"/>
  </r>
  <r>
    <x v="29"/>
    <s v="Archie (1847 - 1922: #30)"/>
    <x v="6"/>
    <n v="4"/>
  </r>
  <r>
    <x v="30"/>
    <s v="Mary (1848 - 1934: #31)"/>
    <x v="7"/>
    <n v="8"/>
  </r>
  <r>
    <x v="31"/>
    <s v="Frank (1848 - 1934: #32)"/>
    <x v="6"/>
    <n v="4"/>
  </r>
  <r>
    <x v="32"/>
    <s v="Alfred (1849 - 1881: #33)"/>
    <x v="6"/>
    <n v="4"/>
  </r>
  <r>
    <x v="33"/>
    <s v="Ted (1851 - 1922: #34)"/>
    <x v="6"/>
    <n v="4"/>
  </r>
  <r>
    <x v="34"/>
    <s v="Lewis (1852 - 1908: #35)"/>
    <x v="8"/>
    <n v="8"/>
  </r>
  <r>
    <x v="35"/>
    <s v="Elinor (1853 - 1895: #36)"/>
    <x v="7"/>
    <n v="8"/>
  </r>
  <r>
    <x v="36"/>
    <s v="Annie (1853 - 1946: #37)"/>
    <x v="6"/>
    <n v="4"/>
  </r>
  <r>
    <x v="37"/>
    <s v="Gertrude (1854 - 1924: #38)"/>
    <x v="8"/>
    <n v="8"/>
  </r>
  <r>
    <x v="38"/>
    <s v="Fa (1855 - 1927: #39)"/>
    <x v="7"/>
    <n v="8"/>
  </r>
  <r>
    <x v="39"/>
    <s v="Harriet (1856 - 1921: #40)"/>
    <x v="8"/>
    <n v="8"/>
  </r>
  <r>
    <x v="40"/>
    <s v="Frederic (1856 - 1936: #41)"/>
    <x v="7"/>
    <n v="8"/>
  </r>
  <r>
    <x v="41"/>
    <s v="Dulcie (1858 - 1905: #42)"/>
    <x v="8"/>
    <n v="8"/>
  </r>
  <r>
    <x v="42"/>
    <s v="Meg (1859 - 1936: #43)"/>
    <x v="7"/>
    <n v="8"/>
  </r>
  <r>
    <x v="43"/>
    <s v="Harry (1861 - 1938: #44)"/>
    <x v="8"/>
    <n v="8"/>
  </r>
  <r>
    <x v="44"/>
    <s v="Llewellyn (1861 - 1939: #45)"/>
    <x v="7"/>
    <n v="8"/>
  </r>
  <r>
    <x v="45"/>
    <s v="William (1863 - 1923: #46)"/>
    <x v="8"/>
    <n v="8"/>
  </r>
  <r>
    <x v="46"/>
    <s v="Caroline (1864 - 1940: #47)"/>
    <x v="7"/>
    <n v="8"/>
  </r>
  <r>
    <x v="47"/>
    <s v="Caroline (1865 - 1938: #48)"/>
    <x v="8"/>
    <n v="8"/>
  </r>
  <r>
    <x v="48"/>
    <s v="Mary (1867 - 1867: #49)"/>
    <x v="8"/>
    <n v="8"/>
  </r>
  <r>
    <x v="49"/>
    <s v="Arthur (1868 - 1911: #50)"/>
    <x v="8"/>
    <n v="8"/>
  </r>
  <r>
    <x v="50"/>
    <s v="Lewis (1875 - 1947: #51)"/>
    <x v="9"/>
    <n v="14"/>
  </r>
  <r>
    <x v="51"/>
    <s v="Lewis (1880 - 1918: #52)"/>
    <x v="10"/>
    <n v="22"/>
  </r>
  <r>
    <x v="52"/>
    <s v="Edward (1881 - 1962: #53)"/>
    <x v="10"/>
    <n v="22"/>
  </r>
  <r>
    <x v="53"/>
    <s v="Alfred (1882 - 1919: #54)"/>
    <x v="11"/>
    <n v="14"/>
  </r>
  <r>
    <x v="54"/>
    <s v="Dick (1882 - 1950: #55)"/>
    <x v="12"/>
    <n v="23"/>
  </r>
  <r>
    <x v="55"/>
    <s v="Tommy (1882 - 1944: #56)"/>
    <x v="9"/>
    <n v="14"/>
  </r>
  <r>
    <x v="56"/>
    <s v="Robert (1884 - 1917: #57)"/>
    <x v="12"/>
    <n v="23"/>
  </r>
  <r>
    <x v="57"/>
    <s v="Rt Rev Philip (1884 - 1952: #58)"/>
    <x v="9"/>
    <n v="14"/>
  </r>
  <r>
    <x v="58"/>
    <s v="Evelyn (1885 - 1962: #59)"/>
    <x v="10"/>
    <n v="22"/>
  </r>
  <r>
    <x v="59"/>
    <s v="Kitty (1885 - 1989: #60)"/>
    <x v="9"/>
    <n v="14"/>
  </r>
  <r>
    <x v="60"/>
    <s v="Reggie (1886 - 1961: #61)"/>
    <x v="13"/>
    <n v="14"/>
  </r>
  <r>
    <x v="61"/>
    <s v="Robert (1887 - 1977: #62)"/>
    <x v="13"/>
    <n v="14"/>
  </r>
  <r>
    <x v="62"/>
    <s v="Mary (1887 - 1968: #63)"/>
    <x v="10"/>
    <n v="22"/>
  </r>
  <r>
    <x v="63"/>
    <s v="Gertrude (1887 - 1917: #64)"/>
    <x v="12"/>
    <n v="23"/>
  </r>
  <r>
    <x v="64"/>
    <s v="Nan (1889 - 1967: #65)"/>
    <x v="14"/>
    <n v="14"/>
  </r>
  <r>
    <x v="65"/>
    <s v="William (1889 - 1947: #66)"/>
    <x v="15"/>
    <n v="23"/>
  </r>
  <r>
    <x v="66"/>
    <s v="Tony/Dodo (1889 - 1956: #67)"/>
    <x v="11"/>
    <n v="14"/>
  </r>
  <r>
    <x v="67"/>
    <s v="Cecil (1890 - 1963: #68)"/>
    <x v="16"/>
    <n v="22"/>
  </r>
  <r>
    <x v="68"/>
    <s v="Geoffrey (1890 - 1914: #69)"/>
    <x v="13"/>
    <n v="14"/>
  </r>
  <r>
    <x v="69"/>
    <s v="Diana (1890 - 1963: #70)"/>
    <x v="17"/>
    <n v="23"/>
  </r>
  <r>
    <x v="70"/>
    <s v="Arthur (1890 - 1974: #71)"/>
    <x v="14"/>
    <n v="14"/>
  </r>
  <r>
    <x v="71"/>
    <s v="Sir Henry/Budget (1891 - 1973: #72)"/>
    <x v="15"/>
    <n v="23"/>
  </r>
  <r>
    <x v="72"/>
    <s v="Eric (1891 - 1967: #73)"/>
    <x v="16"/>
    <n v="22"/>
  </r>
  <r>
    <x v="73"/>
    <s v="Cecily (1891 - 1891: #74)"/>
    <x v="10"/>
    <n v="22"/>
  </r>
  <r>
    <x v="74"/>
    <s v="Godfrey (1893 - 1917: #75)"/>
    <x v="17"/>
    <n v="23"/>
  </r>
  <r>
    <x v="75"/>
    <s v="Edward (1893 - 1932: #76)"/>
    <x v="14"/>
    <n v="14"/>
  </r>
  <r>
    <x v="76"/>
    <s v="Wilfrid (1893 - 1971: #77)"/>
    <x v="13"/>
    <n v="14"/>
  </r>
  <r>
    <x v="77"/>
    <s v="Vivian (1894 - 1972: #78)"/>
    <x v="17"/>
    <n v="23"/>
  </r>
  <r>
    <x v="78"/>
    <s v="Alwyne (1894 - 1917: #79)"/>
    <x v="16"/>
    <n v="22"/>
  </r>
  <r>
    <x v="79"/>
    <s v="Eric (1894 - 1963: #80)"/>
    <x v="18"/>
    <n v="14"/>
  </r>
  <r>
    <x v="80"/>
    <s v="Reginald (1885 - 1917: #81)"/>
    <x v="15"/>
    <n v="23"/>
  </r>
  <r>
    <x v="81"/>
    <s v="Wilfred (1896 - 1955: #82)"/>
    <x v="17"/>
    <n v="23"/>
  </r>
  <r>
    <x v="82"/>
    <s v="Ruby (1898 - 1977: #83)"/>
    <x v="16"/>
    <n v="22"/>
  </r>
  <r>
    <x v="83"/>
    <s v="Eddie (1902 - 1942: #84)"/>
    <x v="17"/>
    <n v="23"/>
  </r>
  <r>
    <x v="84"/>
    <s v="Anne (1912 - 2004: #85)"/>
    <x v="19"/>
    <n v="28"/>
  </r>
  <r>
    <x v="85"/>
    <s v="Peter (1913 - 2008: #86)"/>
    <x v="20"/>
    <n v="34"/>
  </r>
  <r>
    <x v="86"/>
    <s v="John (1913 - 1913: #87)"/>
    <x v="19"/>
    <n v="28"/>
  </r>
  <r>
    <x v="87"/>
    <s v="Delia (1915 - 2007: #88)"/>
    <x v="21"/>
    <n v="44"/>
  </r>
  <r>
    <x v="88"/>
    <s v="Sir Francis/Frank (1916 - 2006: #89)"/>
    <x v="22"/>
    <n v="32"/>
  </r>
  <r>
    <x v="89"/>
    <s v="Averil (1917 - 1993: #90)"/>
    <x v="23"/>
    <n v="41"/>
  </r>
  <r>
    <x v="90"/>
    <s v="Martin (1917 - 1926: #91)"/>
    <x v="19"/>
    <n v="28"/>
  </r>
  <r>
    <x v="91"/>
    <s v="Daphne (1917 - 1992: #92)"/>
    <x v="22"/>
    <n v="32"/>
  </r>
  <r>
    <x v="92"/>
    <s v="Jill (1920 - 2002: #93)"/>
    <x v="24"/>
    <n v="45"/>
  </r>
  <r>
    <x v="93"/>
    <s v="Alwyne (1920 - 2014: #94)"/>
    <x v="24"/>
    <n v="45"/>
  </r>
  <r>
    <x v="94"/>
    <s v="Hester (1920 - 2002: #95)"/>
    <x v="19"/>
    <n v="28"/>
  </r>
  <r>
    <x v="95"/>
    <s v="Edward (1921 - 1977: #96)"/>
    <x v="21"/>
    <n v="44"/>
  </r>
  <r>
    <x v="96"/>
    <s v="Audrey (1922 - 2005: #97)"/>
    <x v="25"/>
    <n v="41"/>
  </r>
  <r>
    <x v="97"/>
    <s v="Peter (1922 - : #98)"/>
    <x v="26"/>
    <n v="30"/>
  </r>
  <r>
    <x v="98"/>
    <s v="Peter (1923 - 1974: #99)"/>
    <x v="21"/>
    <n v="44"/>
  </r>
  <r>
    <x v="99"/>
    <s v="Larch (1923 - 2013: #100)"/>
    <x v="19"/>
    <n v="28"/>
  </r>
  <r>
    <x v="100"/>
    <s v="Catherine (1923 - 2014: #101)"/>
    <x v="19"/>
    <n v="28"/>
  </r>
  <r>
    <x v="101"/>
    <s v="Zelda (1923 - 2014: #102)"/>
    <x v="27"/>
    <n v="30"/>
  </r>
  <r>
    <x v="102"/>
    <s v="Lavinia (1923 - 1995: #103)"/>
    <x v="28"/>
    <n v="44"/>
  </r>
  <r>
    <x v="103"/>
    <s v="Sir Julian (1926 - 2018: #104)"/>
    <x v="28"/>
    <n v="44"/>
  </r>
  <r>
    <x v="104"/>
    <s v="Geoffrey (1926 - 2018: #105)"/>
    <x v="26"/>
    <n v="30"/>
  </r>
  <r>
    <x v="105"/>
    <s v="Denise (1928 - : #106)"/>
    <x v="26"/>
    <n v="30"/>
  </r>
  <r>
    <x v="106"/>
    <s v="Wooie (1928 - 1996: #107)"/>
    <x v="29"/>
    <n v="34"/>
  </r>
  <r>
    <x v="107"/>
    <s v="Jos (1931 - : #108)"/>
    <x v="30"/>
    <n v="35"/>
  </r>
  <r>
    <x v="108"/>
    <s v="Margaret (1932 - : #109)"/>
    <x v="31"/>
    <n v="29"/>
  </r>
  <r>
    <x v="109"/>
    <s v="Jean (1933 - : #110)"/>
    <x v="31"/>
    <n v="29"/>
  </r>
  <r>
    <x v="110"/>
    <s v="Andrew (1934 - 1975: #111)"/>
    <x v="26"/>
    <n v="30"/>
  </r>
  <r>
    <x v="111"/>
    <s v="Deen (1936 - 2016: #112)"/>
    <x v="30"/>
    <n v="35"/>
  </r>
  <r>
    <x v="112"/>
    <s v="Willie (1937 - 1994: #113)"/>
    <x v="32"/>
    <n v="46"/>
  </r>
  <r>
    <x v="113"/>
    <s v="Michael (1938 - : #114)"/>
    <x v="31"/>
    <n v="29"/>
  </r>
  <r>
    <x v="114"/>
    <s v="Belinda (1939 - 2018: #115)"/>
    <x v="32"/>
    <n v="46"/>
  </r>
  <r>
    <x v="115"/>
    <s v="Peggy (1939 - : #116)"/>
    <x v="30"/>
    <n v="35"/>
  </r>
  <r>
    <x v="116"/>
    <s v="Patrick (1942 - : #117)"/>
    <x v="30"/>
    <n v="35"/>
  </r>
  <r>
    <x v="117"/>
    <s v="Patricia (1942 - 1942: #118)"/>
    <x v="30"/>
    <n v="35"/>
  </r>
  <r>
    <x v="118"/>
    <s v="Peter (1942 - : #119)"/>
    <x v="31"/>
    <n v="29"/>
  </r>
  <r>
    <x v="119"/>
    <s v="Caroline (1947 - : #120)"/>
    <x v="33"/>
    <n v="66"/>
  </r>
  <r>
    <x v="120"/>
    <s v="David (1949 - : #121)"/>
    <x v="33"/>
    <n v="66"/>
  </r>
  <r>
    <x v="121"/>
    <s v="Martin (1949 - : #122)"/>
    <x v="34"/>
    <n v="77"/>
  </r>
  <r>
    <x v="122"/>
    <s v="Janet (1949 - : #123)"/>
    <x v="35"/>
    <n v="54"/>
  </r>
  <r>
    <x v="123"/>
    <s v="Rob (1949 - : #124)"/>
    <x v="36"/>
    <n v="68"/>
  </r>
  <r>
    <x v="124"/>
    <s v="Rona (1951 - : #125)"/>
    <x v="37"/>
    <n v="71"/>
  </r>
  <r>
    <x v="125"/>
    <s v="Paddy (1951 - : #126)"/>
    <x v="36"/>
    <n v="68"/>
  </r>
  <r>
    <x v="126"/>
    <s v="Vivian (1951 - : #127)"/>
    <x v="32"/>
    <n v="46"/>
  </r>
  <r>
    <x v="127"/>
    <s v="Julie (1952 - : #128)"/>
    <x v="38"/>
    <n v="77"/>
  </r>
  <r>
    <x v="128"/>
    <s v="Diana (1952 - : #129)"/>
    <x v="35"/>
    <n v="54"/>
  </r>
  <r>
    <x v="129"/>
    <s v="David (1952 - : #130)"/>
    <x v="37"/>
    <n v="71"/>
  </r>
  <r>
    <x v="130"/>
    <s v="Dominic (1953 - : #131)"/>
    <x v="36"/>
    <n v="68"/>
  </r>
  <r>
    <x v="131"/>
    <s v="Penelope (1954 - 1954: #132)"/>
    <x v="38"/>
    <n v="77"/>
  </r>
  <r>
    <x v="132"/>
    <s v="Jeremy (1954 - : #133)"/>
    <x v="34"/>
    <n v="77"/>
  </r>
  <r>
    <x v="133"/>
    <s v="William (1955 - : #134)"/>
    <x v="38"/>
    <n v="77"/>
  </r>
  <r>
    <x v="134"/>
    <s v="Jim (1955 - : #135)"/>
    <x v="37"/>
    <n v="71"/>
  </r>
  <r>
    <x v="135"/>
    <s v="Tim (1957 - : #136)"/>
    <x v="36"/>
    <n v="68"/>
  </r>
  <r>
    <x v="136"/>
    <s v="Henrietta (1959 - : #137)"/>
    <x v="39"/>
    <n v="66"/>
  </r>
  <r>
    <x v="137"/>
    <s v="Thomas (1959 - : #138)"/>
    <x v="40"/>
    <n v="56"/>
  </r>
  <r>
    <x v="138"/>
    <s v="Alex (1959 - : #139)"/>
    <x v="36"/>
    <n v="68"/>
  </r>
  <r>
    <x v="139"/>
    <s v="Virginia (1961 - : #140)"/>
    <x v="32"/>
    <n v="46"/>
  </r>
  <r>
    <x v="140"/>
    <s v="Alexandra (1961 - : #141)"/>
    <x v="41"/>
    <n v="72"/>
  </r>
  <r>
    <x v="141"/>
    <s v="Rick (1962 - : #142)"/>
    <x v="36"/>
    <n v="68"/>
  </r>
  <r>
    <x v="142"/>
    <s v="Harriet (1962 - : #143)"/>
    <x v="40"/>
    <n v="56"/>
  </r>
  <r>
    <x v="143"/>
    <s v="Andrew (1962 - : #144)"/>
    <x v="39"/>
    <n v="66"/>
  </r>
  <r>
    <x v="144"/>
    <s v="Tony (1963 - : #145)"/>
    <x v="38"/>
    <n v="77"/>
  </r>
  <r>
    <x v="145"/>
    <s v="Charles (1963 - : #146)"/>
    <x v="41"/>
    <n v="72"/>
  </r>
  <r>
    <x v="146"/>
    <s v="Susannah (1965 - : #147)"/>
    <x v="42"/>
    <n v="55"/>
  </r>
  <r>
    <x v="147"/>
    <s v="Francis (1966 - 1996: #148)"/>
    <x v="41"/>
    <n v="72"/>
  </r>
  <r>
    <x v="148"/>
    <s v="Anthony (1966 - : #149)"/>
    <x v="43"/>
    <n v="78"/>
  </r>
  <r>
    <x v="149"/>
    <s v="James (1966 - : #150)"/>
    <x v="40"/>
    <n v="56"/>
  </r>
  <r>
    <x v="150"/>
    <s v="Elspeth (1967 - : #151)"/>
    <x v="42"/>
    <n v="55"/>
  </r>
  <r>
    <x v="151"/>
    <s v="Mary (1967 - : #152)"/>
    <x v="41"/>
    <n v="72"/>
  </r>
  <r>
    <x v="152"/>
    <s v="Richard (1968 - : #153)"/>
    <x v="42"/>
    <n v="55"/>
  </r>
  <r>
    <x v="153"/>
    <s v="Sophie (1969 - : #154)"/>
    <x v="38"/>
    <n v="77"/>
  </r>
  <r>
    <x v="154"/>
    <s v="William (1973 - : #155)"/>
    <x v="44"/>
    <n v="80"/>
  </r>
  <r>
    <x v="155"/>
    <s v="Amy (1975 - : #156)"/>
    <x v="44"/>
    <n v="80"/>
  </r>
  <r>
    <x v="156"/>
    <s v="Tessa (1975 - : #157)"/>
    <x v="45"/>
    <n v="80"/>
  </r>
  <r>
    <x v="157"/>
    <s v="Chloe (1977 - : #158)"/>
    <x v="45"/>
    <n v="80"/>
  </r>
  <r>
    <x v="158"/>
    <s v="Daisy (1979 - : #159)"/>
    <x v="45"/>
    <n v="80"/>
  </r>
  <r>
    <x v="159"/>
    <s v="John (1982 - : #160)"/>
    <x v="46"/>
    <n v="94"/>
  </r>
  <r>
    <x v="160"/>
    <s v="Molly (1982 - : #161)"/>
    <x v="44"/>
    <n v="80"/>
  </r>
  <r>
    <x v="161"/>
    <s v="David (1984 - : #162)"/>
    <x v="46"/>
    <n v="94"/>
  </r>
  <r>
    <x v="162"/>
    <s v="Harriet (1984 - : #163)"/>
    <x v="44"/>
    <n v="80"/>
  </r>
  <r>
    <x v="163"/>
    <s v="Poppy (1984 - : #164)"/>
    <x v="47"/>
    <n v="94"/>
  </r>
  <r>
    <x v="164"/>
    <s v="Rose (1986 - : #165)"/>
    <x v="47"/>
    <n v="94"/>
  </r>
  <r>
    <x v="165"/>
    <s v="Gareth (1988 - : #166)"/>
    <x v="48"/>
    <n v="86"/>
  </r>
  <r>
    <x v="166"/>
    <s v="Ben (1988 - : #167)"/>
    <x v="46"/>
    <n v="94"/>
  </r>
  <r>
    <x v="167"/>
    <s v="Camilla (1988 - : #168)"/>
    <x v="49"/>
    <n v="100"/>
  </r>
  <r>
    <x v="168"/>
    <s v="James (1988 - : #169)"/>
    <x v="50"/>
    <n v="96"/>
  </r>
  <r>
    <x v="169"/>
    <s v="Sophie (1989 - : #170)"/>
    <x v="49"/>
    <n v="100"/>
  </r>
  <r>
    <x v="170"/>
    <s v="Rupert (1990 - : #171)"/>
    <x v="50"/>
    <n v="96"/>
  </r>
  <r>
    <x v="171"/>
    <s v="Florina (1991 - : #172)"/>
    <x v="47"/>
    <n v="94"/>
  </r>
  <r>
    <x v="172"/>
    <s v="Curtis (1992 - : #173)"/>
    <x v="51"/>
    <n v="86"/>
  </r>
  <r>
    <x v="173"/>
    <s v="Tabitha (1992 - : #174)"/>
    <x v="50"/>
    <n v="96"/>
  </r>
  <r>
    <x v="174"/>
    <s v="Christopher (1993 - : #175)"/>
    <x v="49"/>
    <n v="100"/>
  </r>
  <r>
    <x v="175"/>
    <s v="Sam (1994 - : #176)"/>
    <x v="52"/>
    <n v="94"/>
  </r>
  <r>
    <x v="176"/>
    <s v="Spencer (1995 - : #177)"/>
    <x v="51"/>
    <n v="86"/>
  </r>
  <r>
    <x v="177"/>
    <s v="William (1996 - : #178)"/>
    <x v="53"/>
    <n v="100"/>
  </r>
  <r>
    <x v="178"/>
    <s v="Josh (1996 - : #179)"/>
    <x v="52"/>
    <n v="94"/>
  </r>
  <r>
    <x v="179"/>
    <s v="George (1998 - : #180)"/>
    <x v="54"/>
    <n v="104"/>
  </r>
  <r>
    <x v="180"/>
    <s v="Eliza (1999 - : #181)"/>
    <x v="53"/>
    <n v="100"/>
  </r>
  <r>
    <x v="181"/>
    <s v="Rosanna (2000 - : #182)"/>
    <x v="54"/>
    <n v="104"/>
  </r>
  <r>
    <x v="182"/>
    <s v="Matilda (2006 - : #183)"/>
    <x v="55"/>
    <n v="119"/>
  </r>
  <r>
    <x v="183"/>
    <s v="Delilah (2006 - : #184)"/>
    <x v="56"/>
    <n v="113"/>
  </r>
  <r>
    <x v="184"/>
    <s v="Katherine (2007 - : #185)"/>
    <x v="55"/>
    <n v="119"/>
  </r>
  <r>
    <x v="185"/>
    <s v="Henry (2010 - : #186)"/>
    <x v="55"/>
    <n v="119"/>
  </r>
  <r>
    <x v="186"/>
    <s v="Olivia (2014 - : #187)"/>
    <x v="57"/>
    <n v="131"/>
  </r>
  <r>
    <x v="187"/>
    <s v="Archie (2017 - : #188)"/>
    <x v="58"/>
    <n v="131"/>
  </r>
  <r>
    <x v="188"/>
    <s v="Rory (2019 - : #189)"/>
    <x v="58"/>
    <n v="131"/>
  </r>
  <r>
    <x v="189"/>
    <s v="Daisy (2021 - : #190)"/>
    <x v="57"/>
    <n v="131"/>
  </r>
  <r>
    <x v="190"/>
    <m/>
    <x v="59"/>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x v="0"/>
    <s v="William (1729 - 1800: #1)"/>
    <n v="0"/>
    <x v="0"/>
  </r>
  <r>
    <x v="1"/>
    <s v="Jane (1765 - 1832: #2)"/>
    <n v="1"/>
    <x v="1"/>
  </r>
  <r>
    <x v="2"/>
    <s v="Lewis (1768 - 1858: #3)"/>
    <n v="1"/>
    <x v="1"/>
  </r>
  <r>
    <x v="3"/>
    <s v="William (1770 - 1828: #4)"/>
    <n v="1"/>
    <x v="1"/>
  </r>
  <r>
    <x v="4"/>
    <s v="Catherine (1772 - 1798: #5)"/>
    <n v="1"/>
    <x v="1"/>
  </r>
  <r>
    <x v="5"/>
    <s v="Thomas (1775 - 1853: #6)"/>
    <n v="1"/>
    <x v="1"/>
  </r>
  <r>
    <x v="6"/>
    <s v="Gwenllian (1777 - 1779: #7)"/>
    <n v="1"/>
    <x v="1"/>
  </r>
  <r>
    <x v="7"/>
    <s v="Edward (1780 - 1863: #8)"/>
    <n v="1"/>
    <x v="1"/>
  </r>
  <r>
    <x v="8"/>
    <s v="Samuel (1796 - 1883: #9)"/>
    <n v="3"/>
    <x v="2"/>
  </r>
  <r>
    <x v="9"/>
    <s v="William (1809 - 1879: #10)"/>
    <n v="4"/>
    <x v="2"/>
  </r>
  <r>
    <x v="10"/>
    <s v="Sarah (1810 - 1858: #11)"/>
    <n v="8"/>
    <x v="2"/>
  </r>
  <r>
    <x v="11"/>
    <s v="Eliza (1810 - 1861: #12)"/>
    <n v="4"/>
    <x v="2"/>
  </r>
  <r>
    <x v="12"/>
    <s v="Lewis (1811 - 1891: #13)"/>
    <n v="8"/>
    <x v="2"/>
  </r>
  <r>
    <x v="13"/>
    <s v="Thomas (1812 - 1857: #14)"/>
    <n v="4"/>
    <x v="2"/>
  </r>
  <r>
    <x v="14"/>
    <s v="Annie (1813 - 1834: #15)"/>
    <n v="8"/>
    <x v="2"/>
  </r>
  <r>
    <x v="15"/>
    <s v="Maria (1814 - 1900: #16)"/>
    <n v="4"/>
    <x v="2"/>
  </r>
  <r>
    <x v="16"/>
    <s v="Edward (1815 - 1815: #17)"/>
    <n v="4"/>
    <x v="2"/>
  </r>
  <r>
    <x v="17"/>
    <s v="Kate (1815 - 1905: #18)"/>
    <n v="8"/>
    <x v="2"/>
  </r>
  <r>
    <x v="18"/>
    <s v="Hannah (1817 - 1907: #19)"/>
    <n v="8"/>
    <x v="2"/>
  </r>
  <r>
    <x v="19"/>
    <s v="John (1817 - 1818: #20)"/>
    <n v="4"/>
    <x v="2"/>
  </r>
  <r>
    <x v="20"/>
    <s v="Lewis (1819 - 1841: #21)"/>
    <n v="4"/>
    <x v="2"/>
  </r>
  <r>
    <x v="21"/>
    <s v="Edward (1820 - 1890: #22)"/>
    <n v="8"/>
    <x v="2"/>
  </r>
  <r>
    <x v="22"/>
    <s v="William (1821 - 1885: #23)"/>
    <n v="8"/>
    <x v="2"/>
  </r>
  <r>
    <x v="23"/>
    <s v="Fanny (1824 - 1856: #24)"/>
    <n v="8"/>
    <x v="2"/>
  </r>
  <r>
    <x v="24"/>
    <s v="Henry (1832 - 1833: #25)"/>
    <n v="9"/>
    <x v="3"/>
  </r>
  <r>
    <x v="25"/>
    <s v="The Hon Harriet (1837 - 1920: #26)"/>
    <n v="9"/>
    <x v="3"/>
  </r>
  <r>
    <x v="26"/>
    <s v="William (1843 - 1843: #27)"/>
    <n v="14"/>
    <x v="4"/>
  </r>
  <r>
    <x v="27"/>
    <s v="The Rev Lewis (1844 - 1905: #28)"/>
    <n v="14"/>
    <x v="4"/>
  </r>
  <r>
    <x v="28"/>
    <s v="Arthur (1845 - 1930: #29)"/>
    <n v="14"/>
    <x v="4"/>
  </r>
  <r>
    <x v="29"/>
    <s v="Archie (1847 - 1922: #30)"/>
    <n v="14"/>
    <x v="4"/>
  </r>
  <r>
    <x v="30"/>
    <s v="Mary (1848 - 1934: #31)"/>
    <n v="22"/>
    <x v="5"/>
  </r>
  <r>
    <x v="31"/>
    <s v="Frank (1848 - 1934: #32)"/>
    <n v="14"/>
    <x v="4"/>
  </r>
  <r>
    <x v="32"/>
    <s v="Alfred (1849 - 1881: #33)"/>
    <n v="14"/>
    <x v="4"/>
  </r>
  <r>
    <x v="33"/>
    <s v="Ted (1851 - 1922: #34)"/>
    <n v="14"/>
    <x v="4"/>
  </r>
  <r>
    <x v="34"/>
    <s v="Lewis (1852 - 1908: #35)"/>
    <n v="23"/>
    <x v="5"/>
  </r>
  <r>
    <x v="35"/>
    <s v="Elinor (1853 - 1895: #36)"/>
    <n v="22"/>
    <x v="5"/>
  </r>
  <r>
    <x v="36"/>
    <s v="Annie (1853 - 1946: #37)"/>
    <n v="14"/>
    <x v="4"/>
  </r>
  <r>
    <x v="37"/>
    <s v="Gertrude (1854 - 1924: #38)"/>
    <n v="23"/>
    <x v="5"/>
  </r>
  <r>
    <x v="38"/>
    <s v="Fa (1855 - 1927: #39)"/>
    <n v="22"/>
    <x v="5"/>
  </r>
  <r>
    <x v="39"/>
    <s v="Harriet (1856 - 1921: #40)"/>
    <n v="23"/>
    <x v="5"/>
  </r>
  <r>
    <x v="40"/>
    <s v="Frederic (1856 - 1936: #41)"/>
    <n v="22"/>
    <x v="5"/>
  </r>
  <r>
    <x v="41"/>
    <s v="Dulcie (1858 - 1905: #42)"/>
    <n v="23"/>
    <x v="5"/>
  </r>
  <r>
    <x v="42"/>
    <s v="Meg (1859 - 1936: #43)"/>
    <n v="22"/>
    <x v="5"/>
  </r>
  <r>
    <x v="43"/>
    <s v="Harry (1861 - 1938: #44)"/>
    <n v="23"/>
    <x v="5"/>
  </r>
  <r>
    <x v="44"/>
    <s v="Llewellyn (1861 - 1939: #45)"/>
    <n v="22"/>
    <x v="5"/>
  </r>
  <r>
    <x v="45"/>
    <s v="William (1863 - 1923: #46)"/>
    <n v="23"/>
    <x v="5"/>
  </r>
  <r>
    <x v="46"/>
    <s v="Caroline (1864 - 1940: #47)"/>
    <n v="22"/>
    <x v="5"/>
  </r>
  <r>
    <x v="47"/>
    <s v="Caroline (1865 - 1938: #48)"/>
    <n v="23"/>
    <x v="5"/>
  </r>
  <r>
    <x v="48"/>
    <s v="Mary (1867 - 1867: #49)"/>
    <n v="23"/>
    <x v="5"/>
  </r>
  <r>
    <x v="49"/>
    <s v="Arthur (1868 - 1911: #50)"/>
    <n v="23"/>
    <x v="5"/>
  </r>
  <r>
    <x v="50"/>
    <s v="Lewis (1875 - 1947: #51)"/>
    <n v="28"/>
    <x v="6"/>
  </r>
  <r>
    <x v="51"/>
    <s v="Lewis (1880 - 1918: #52)"/>
    <n v="41"/>
    <x v="7"/>
  </r>
  <r>
    <x v="52"/>
    <s v="Edward (1881 - 1962: #53)"/>
    <n v="41"/>
    <x v="7"/>
  </r>
  <r>
    <x v="53"/>
    <s v="Alfred (1882 - 1919: #54)"/>
    <n v="32"/>
    <x v="6"/>
  </r>
  <r>
    <x v="54"/>
    <s v="Dick (1882 - 1950: #55)"/>
    <n v="35"/>
    <x v="8"/>
  </r>
  <r>
    <x v="55"/>
    <s v="Tommy (1882 - 1944: #56)"/>
    <n v="28"/>
    <x v="6"/>
  </r>
  <r>
    <x v="56"/>
    <s v="Robert (1884 - 1917: #57)"/>
    <n v="35"/>
    <x v="8"/>
  </r>
  <r>
    <x v="57"/>
    <s v="Rt Rev Philip (1884 - 1952: #58)"/>
    <n v="28"/>
    <x v="6"/>
  </r>
  <r>
    <x v="58"/>
    <s v="Evelyn (1885 - 1962: #59)"/>
    <n v="41"/>
    <x v="7"/>
  </r>
  <r>
    <x v="59"/>
    <s v="Kitty (1885 - 1989: #60)"/>
    <n v="28"/>
    <x v="6"/>
  </r>
  <r>
    <x v="60"/>
    <s v="Reggie (1886 - 1961: #61)"/>
    <n v="30"/>
    <x v="6"/>
  </r>
  <r>
    <x v="61"/>
    <s v="Robert (1887 - 1977: #62)"/>
    <n v="30"/>
    <x v="6"/>
  </r>
  <r>
    <x v="62"/>
    <s v="Mary (1887 - 1968: #63)"/>
    <n v="41"/>
    <x v="7"/>
  </r>
  <r>
    <x v="63"/>
    <s v="Gertrude (1887 - 1917: #64)"/>
    <n v="35"/>
    <x v="8"/>
  </r>
  <r>
    <x v="64"/>
    <s v="Nan (1889 - 1967: #65)"/>
    <n v="34"/>
    <x v="6"/>
  </r>
  <r>
    <x v="65"/>
    <s v="William (1889 - 1947: #66)"/>
    <n v="44"/>
    <x v="8"/>
  </r>
  <r>
    <x v="66"/>
    <s v="Tony/Dodo (1889 - 1956: #67)"/>
    <n v="32"/>
    <x v="6"/>
  </r>
  <r>
    <x v="67"/>
    <s v="Cecil (1890 - 1963: #68)"/>
    <n v="45"/>
    <x v="7"/>
  </r>
  <r>
    <x v="68"/>
    <s v="Geoffrey (1890 - 1914: #69)"/>
    <n v="30"/>
    <x v="6"/>
  </r>
  <r>
    <x v="69"/>
    <s v="Diana (1890 - 1963: #70)"/>
    <n v="46"/>
    <x v="8"/>
  </r>
  <r>
    <x v="70"/>
    <s v="Arthur (1890 - 1974: #71)"/>
    <n v="34"/>
    <x v="6"/>
  </r>
  <r>
    <x v="71"/>
    <s v="Sir Henry/Budget (1891 - 1973: #72)"/>
    <n v="44"/>
    <x v="8"/>
  </r>
  <r>
    <x v="72"/>
    <s v="Eric (1891 - 1967: #73)"/>
    <n v="45"/>
    <x v="7"/>
  </r>
  <r>
    <x v="73"/>
    <s v="Cecily (1891 - 1891: #74)"/>
    <n v="41"/>
    <x v="7"/>
  </r>
  <r>
    <x v="74"/>
    <s v="Godfrey (1893 - 1917: #75)"/>
    <n v="46"/>
    <x v="8"/>
  </r>
  <r>
    <x v="75"/>
    <s v="Edward (1893 - 1932: #76)"/>
    <n v="34"/>
    <x v="6"/>
  </r>
  <r>
    <x v="76"/>
    <s v="Wilfrid (1893 - 1971: #77)"/>
    <n v="30"/>
    <x v="6"/>
  </r>
  <r>
    <x v="77"/>
    <s v="Vivian (1894 - 1972: #78)"/>
    <n v="46"/>
    <x v="8"/>
  </r>
  <r>
    <x v="78"/>
    <s v="Alwyne (1894 - 1917: #79)"/>
    <n v="45"/>
    <x v="7"/>
  </r>
  <r>
    <x v="79"/>
    <s v="Eric (1894 - 1963: #80)"/>
    <n v="29"/>
    <x v="6"/>
  </r>
  <r>
    <x v="80"/>
    <s v="Reginald (1885 - 1917: #81)"/>
    <n v="44"/>
    <x v="8"/>
  </r>
  <r>
    <x v="81"/>
    <s v="Wilfred (1896 - 1955: #82)"/>
    <n v="46"/>
    <x v="8"/>
  </r>
  <r>
    <x v="82"/>
    <s v="Ruby (1898 - 1977: #83)"/>
    <n v="45"/>
    <x v="7"/>
  </r>
  <r>
    <x v="83"/>
    <s v="Eddie (1902 - 1942: #84)"/>
    <n v="46"/>
    <x v="8"/>
  </r>
  <r>
    <x v="84"/>
    <s v="Anne (1912 - 2004: #85)"/>
    <n v="56"/>
    <x v="9"/>
  </r>
  <r>
    <x v="85"/>
    <s v="Peter (1913 - 2008: #86)"/>
    <n v="71"/>
    <x v="10"/>
  </r>
  <r>
    <x v="86"/>
    <s v="John (1913 - 1943: #87)"/>
    <n v="56"/>
    <x v="9"/>
  </r>
  <r>
    <x v="87"/>
    <s v="Delia (1915 - 2007: #88)"/>
    <n v="66"/>
    <x v="11"/>
  </r>
  <r>
    <x v="88"/>
    <s v="Sir Francis/Frank (1916 - 2006: #89)"/>
    <n v="54"/>
    <x v="12"/>
  </r>
  <r>
    <x v="89"/>
    <s v="Averil (1917 - 1993: #90)"/>
    <n v="52"/>
    <x v="13"/>
  </r>
  <r>
    <x v="90"/>
    <s v="Martin (1917 - 1926: #91)"/>
    <n v="56"/>
    <x v="9"/>
  </r>
  <r>
    <x v="91"/>
    <s v="Daphne (1917 - 1992: #92)"/>
    <n v="54"/>
    <x v="12"/>
  </r>
  <r>
    <x v="92"/>
    <s v="Jill (1920 - 2002: #93)"/>
    <n v="68"/>
    <x v="14"/>
  </r>
  <r>
    <x v="93"/>
    <s v="Alwyne (1920 - 2014: #94)"/>
    <n v="68"/>
    <x v="14"/>
  </r>
  <r>
    <x v="94"/>
    <s v="Hester (1920 - 2002: #95)"/>
    <n v="56"/>
    <x v="9"/>
  </r>
  <r>
    <x v="95"/>
    <s v="Edward (1921 - 1977: #96)"/>
    <n v="66"/>
    <x v="11"/>
  </r>
  <r>
    <x v="96"/>
    <s v="Audrey (1922 - 2005: #97)"/>
    <n v="53"/>
    <x v="13"/>
  </r>
  <r>
    <x v="97"/>
    <s v="Peter (1922 - : #98)"/>
    <n v="77"/>
    <x v="15"/>
  </r>
  <r>
    <x v="98"/>
    <s v="Peter (1923 - 1974: #99)"/>
    <n v="66"/>
    <x v="11"/>
  </r>
  <r>
    <x v="99"/>
    <s v="Larch (1923 - 2013: #100)"/>
    <n v="56"/>
    <x v="9"/>
  </r>
  <r>
    <x v="100"/>
    <s v="Catherine (1923 - 2014: #101)"/>
    <n v="56"/>
    <x v="9"/>
  </r>
  <r>
    <x v="101"/>
    <s v="Zelda (1923 - 2014: #102)"/>
    <n v="62"/>
    <x v="15"/>
  </r>
  <r>
    <x v="102"/>
    <s v="Lavinia (1923 - 1995: #103)"/>
    <n v="72"/>
    <x v="11"/>
  </r>
  <r>
    <x v="103"/>
    <s v="Sir Julian (1926 - 2018: #104)"/>
    <n v="72"/>
    <x v="11"/>
  </r>
  <r>
    <x v="104"/>
    <s v="Geoffrey (1926 - 2018: #105)"/>
    <n v="77"/>
    <x v="15"/>
  </r>
  <r>
    <x v="105"/>
    <s v="Denise (1928 - : #106)"/>
    <n v="77"/>
    <x v="15"/>
  </r>
  <r>
    <x v="106"/>
    <s v="Wooie (1928 - 1996: #107)"/>
    <n v="76"/>
    <x v="10"/>
  </r>
  <r>
    <x v="107"/>
    <s v="Jos (1931 - : #108)"/>
    <n v="55"/>
    <x v="16"/>
  </r>
  <r>
    <x v="108"/>
    <s v="Margaret (1932 - : #109)"/>
    <n v="80"/>
    <x v="17"/>
  </r>
  <r>
    <x v="109"/>
    <s v="Jean (1933 - : #110)"/>
    <n v="80"/>
    <x v="17"/>
  </r>
  <r>
    <x v="110"/>
    <s v="Andrew (1934 - 1975: #111)"/>
    <n v="77"/>
    <x v="15"/>
  </r>
  <r>
    <x v="111"/>
    <s v="Deen (1936 - 2016: #112)"/>
    <n v="55"/>
    <x v="16"/>
  </r>
  <r>
    <x v="112"/>
    <s v="Willie (1937 - 1994: #113)"/>
    <n v="78"/>
    <x v="18"/>
  </r>
  <r>
    <x v="113"/>
    <s v="Michael (1938 - : #114)"/>
    <n v="80"/>
    <x v="17"/>
  </r>
  <r>
    <x v="114"/>
    <s v="Belinda (1939 - 2018: #115)"/>
    <n v="78"/>
    <x v="18"/>
  </r>
  <r>
    <x v="115"/>
    <s v="Peggy (1939 - : #116)"/>
    <n v="55"/>
    <x v="16"/>
  </r>
  <r>
    <x v="116"/>
    <s v="Patrick (1942 - : #117)"/>
    <n v="55"/>
    <x v="16"/>
  </r>
  <r>
    <x v="117"/>
    <s v="Patricia (1942 - 1942: #118)"/>
    <n v="55"/>
    <x v="16"/>
  </r>
  <r>
    <x v="118"/>
    <s v="Peter (1942 - : #119)"/>
    <n v="80"/>
    <x v="17"/>
  </r>
  <r>
    <x v="119"/>
    <s v="Caroline (1947 - : #120)"/>
    <n v="96"/>
    <x v="19"/>
  </r>
  <r>
    <x v="120"/>
    <s v="David (1949 - : #121)"/>
    <n v="96"/>
    <x v="19"/>
  </r>
  <r>
    <x v="121"/>
    <s v="Martin (1949 - : #122)"/>
    <n v="105"/>
    <x v="20"/>
  </r>
  <r>
    <x v="122"/>
    <s v="Janet (1949 - : #123)"/>
    <n v="89"/>
    <x v="21"/>
  </r>
  <r>
    <x v="123"/>
    <s v="Rob (1949 - : #124)"/>
    <n v="94"/>
    <x v="22"/>
  </r>
  <r>
    <x v="124"/>
    <s v="Rona (1951 - : #125)"/>
    <n v="86"/>
    <x v="23"/>
  </r>
  <r>
    <x v="125"/>
    <s v="Paddy (1951 - : #126)"/>
    <n v="94"/>
    <x v="22"/>
  </r>
  <r>
    <x v="126"/>
    <s v="Vivian (1951 - : #127)"/>
    <n v="78"/>
    <x v="18"/>
  </r>
  <r>
    <x v="127"/>
    <s v="Julie (1952 - : #128)"/>
    <n v="98"/>
    <x v="20"/>
  </r>
  <r>
    <x v="128"/>
    <s v="Diana (1952 - : #129)"/>
    <n v="89"/>
    <x v="21"/>
  </r>
  <r>
    <x v="129"/>
    <s v="David (1952 - : #130)"/>
    <n v="86"/>
    <x v="23"/>
  </r>
  <r>
    <x v="130"/>
    <s v="Dominic (1953 - : #131)"/>
    <n v="94"/>
    <x v="22"/>
  </r>
  <r>
    <x v="131"/>
    <s v="Penelope (1954 - 1954: #132)"/>
    <n v="98"/>
    <x v="20"/>
  </r>
  <r>
    <x v="132"/>
    <s v="Jeremy (1954 - : #133)"/>
    <n v="105"/>
    <x v="20"/>
  </r>
  <r>
    <x v="133"/>
    <s v="William (1955 - : #134)"/>
    <n v="98"/>
    <x v="20"/>
  </r>
  <r>
    <x v="134"/>
    <s v="Jim (1955 - : #135)"/>
    <n v="86"/>
    <x v="23"/>
  </r>
  <r>
    <x v="135"/>
    <s v="Tim (1957 - : #136)"/>
    <n v="94"/>
    <x v="22"/>
  </r>
  <r>
    <x v="136"/>
    <s v="Henrietta (1959 - : #137)"/>
    <n v="99"/>
    <x v="19"/>
  </r>
  <r>
    <x v="137"/>
    <s v="Thomas (1959 - : #138)"/>
    <n v="100"/>
    <x v="24"/>
  </r>
  <r>
    <x v="138"/>
    <s v="Alex (1959 - : #139)"/>
    <n v="94"/>
    <x v="22"/>
  </r>
  <r>
    <x v="139"/>
    <s v="Virginia (1961 - : #140)"/>
    <n v="78"/>
    <x v="18"/>
  </r>
  <r>
    <x v="140"/>
    <s v="Alexandra (1961 - : #141)"/>
    <n v="104"/>
    <x v="25"/>
  </r>
  <r>
    <x v="141"/>
    <s v="Rick (1962 - : #142)"/>
    <n v="94"/>
    <x v="22"/>
  </r>
  <r>
    <x v="142"/>
    <s v="Harriet (1962 - : #143)"/>
    <n v="100"/>
    <x v="24"/>
  </r>
  <r>
    <x v="143"/>
    <s v="Andrew (1962 - : #144)"/>
    <n v="99"/>
    <x v="19"/>
  </r>
  <r>
    <x v="144"/>
    <s v="Tony (1963 - : #145)"/>
    <n v="98"/>
    <x v="20"/>
  </r>
  <r>
    <x v="145"/>
    <s v="Charles (1963 - : #146)"/>
    <n v="104"/>
    <x v="25"/>
  </r>
  <r>
    <x v="146"/>
    <s v="Susannah (1965 - : #147)"/>
    <n v="117"/>
    <x v="26"/>
  </r>
  <r>
    <x v="147"/>
    <s v="Francis (1966 - 1966: #148)"/>
    <n v="104"/>
    <x v="25"/>
  </r>
  <r>
    <x v="148"/>
    <s v="Anthony (1966 - : #149)"/>
    <n v="113"/>
    <x v="27"/>
  </r>
  <r>
    <x v="149"/>
    <s v="James (1966 - : #150)"/>
    <n v="100"/>
    <x v="24"/>
  </r>
  <r>
    <x v="150"/>
    <s v="Elspeth (1967 - : #151)"/>
    <n v="117"/>
    <x v="26"/>
  </r>
  <r>
    <x v="151"/>
    <s v="Mary (1967 - : #152)"/>
    <n v="104"/>
    <x v="25"/>
  </r>
  <r>
    <x v="152"/>
    <s v="Richard (1968 - : #153)"/>
    <n v="117"/>
    <x v="26"/>
  </r>
  <r>
    <x v="153"/>
    <s v="Sophie (1969 - : #154)"/>
    <n v="98"/>
    <x v="20"/>
  </r>
  <r>
    <x v="154"/>
    <s v="William (1973 - : #155)"/>
    <n v="119"/>
    <x v="28"/>
  </r>
  <r>
    <x v="155"/>
    <s v="Amy (1975 - : #156)"/>
    <n v="119"/>
    <x v="28"/>
  </r>
  <r>
    <x v="156"/>
    <s v="Tessa (1975 - : #157)"/>
    <n v="114"/>
    <x v="28"/>
  </r>
  <r>
    <x v="157"/>
    <s v="Chloe (1977 - : #158)"/>
    <n v="114"/>
    <x v="28"/>
  </r>
  <r>
    <x v="158"/>
    <s v="Daisy (1979 - : #159)"/>
    <n v="114"/>
    <x v="28"/>
  </r>
  <r>
    <x v="159"/>
    <s v="John (1982 - : #160)"/>
    <n v="131"/>
    <x v="29"/>
  </r>
  <r>
    <x v="160"/>
    <s v="Molly (1982 - : #161)"/>
    <n v="119"/>
    <x v="28"/>
  </r>
  <r>
    <x v="161"/>
    <s v="David (1984 - : #162)"/>
    <n v="131"/>
    <x v="29"/>
  </r>
  <r>
    <x v="162"/>
    <s v="Harriet (1984 - : #163)"/>
    <n v="119"/>
    <x v="28"/>
  </r>
  <r>
    <x v="163"/>
    <s v="Poppy (1984 - : #164)"/>
    <n v="136"/>
    <x v="29"/>
  </r>
  <r>
    <x v="164"/>
    <s v="Rose (1986 - : #165)"/>
    <n v="136"/>
    <x v="29"/>
  </r>
  <r>
    <x v="165"/>
    <s v="Gareth (1988 - : #166)"/>
    <n v="130"/>
    <x v="30"/>
  </r>
  <r>
    <x v="166"/>
    <s v="Ben (1988 - : #167)"/>
    <n v="131"/>
    <x v="29"/>
  </r>
  <r>
    <x v="167"/>
    <s v="Camilla (1988 - : #168)"/>
    <n v="138"/>
    <x v="31"/>
  </r>
  <r>
    <x v="168"/>
    <s v="James (1988 - : #169)"/>
    <n v="121"/>
    <x v="32"/>
  </r>
  <r>
    <x v="169"/>
    <s v="Sophie (1989 - : #170)"/>
    <n v="138"/>
    <x v="31"/>
  </r>
  <r>
    <x v="170"/>
    <s v="Rupert (1990 - : #171)"/>
    <n v="121"/>
    <x v="32"/>
  </r>
  <r>
    <x v="171"/>
    <s v="Florina (1991 - : #172)"/>
    <n v="136"/>
    <x v="29"/>
  </r>
  <r>
    <x v="172"/>
    <s v="Curtis (1992 - : #173)"/>
    <n v="135"/>
    <x v="30"/>
  </r>
  <r>
    <x v="173"/>
    <s v="Tabitha (1992 - : #174)"/>
    <n v="121"/>
    <x v="32"/>
  </r>
  <r>
    <x v="174"/>
    <s v="Kit (1993 - : #175)"/>
    <n v="138"/>
    <x v="31"/>
  </r>
  <r>
    <x v="175"/>
    <s v="Sam (1994 - : #176)"/>
    <n v="142"/>
    <x v="29"/>
  </r>
  <r>
    <x v="176"/>
    <s v="Spencer (1995 - : #177)"/>
    <n v="135"/>
    <x v="30"/>
  </r>
  <r>
    <x v="177"/>
    <s v="William (1996 - : #178)"/>
    <n v="150"/>
    <x v="31"/>
  </r>
  <r>
    <x v="178"/>
    <s v="Josh (1996 - : #179)"/>
    <n v="142"/>
    <x v="29"/>
  </r>
  <r>
    <x v="179"/>
    <s v="George (1998 - : #180)"/>
    <n v="146"/>
    <x v="33"/>
  </r>
  <r>
    <x v="180"/>
    <s v="Eliza (1999 - : #181)"/>
    <n v="150"/>
    <x v="31"/>
  </r>
  <r>
    <x v="181"/>
    <s v="Rosanna (2000 - : #182)"/>
    <n v="146"/>
    <x v="33"/>
  </r>
  <r>
    <x v="182"/>
    <s v="Matilda (2006 - : #183)"/>
    <n v="155"/>
    <x v="34"/>
  </r>
  <r>
    <x v="183"/>
    <s v="Delilah (2006 - : #184)"/>
    <n v="149"/>
    <x v="35"/>
  </r>
  <r>
    <x v="184"/>
    <s v="Katherine (2007 - : #185)"/>
    <n v="155"/>
    <x v="34"/>
  </r>
  <r>
    <x v="185"/>
    <s v="Henry (2010 - : #186)"/>
    <n v="155"/>
    <x v="34"/>
  </r>
  <r>
    <x v="186"/>
    <s v="Olivia (2014 - : #187)"/>
    <n v="167"/>
    <x v="36"/>
  </r>
  <r>
    <x v="187"/>
    <s v="Archie (2017 - : #188)"/>
    <n v="162"/>
    <x v="36"/>
  </r>
  <r>
    <x v="188"/>
    <s v="Rory (2019 - : #189)"/>
    <n v="162"/>
    <x v="36"/>
  </r>
  <r>
    <x v="189"/>
    <s v="Daisy (2021 - : #190)"/>
    <n v="167"/>
    <x v="36"/>
  </r>
  <r>
    <x v="190"/>
    <m/>
    <m/>
    <x v="37"/>
  </r>
  <r>
    <x v="190"/>
    <m/>
    <m/>
    <x v="37"/>
  </r>
  <r>
    <x v="190"/>
    <m/>
    <m/>
    <x v="37"/>
  </r>
  <r>
    <x v="190"/>
    <m/>
    <m/>
    <x v="37"/>
  </r>
  <r>
    <x v="190"/>
    <m/>
    <m/>
    <x v="37"/>
  </r>
  <r>
    <x v="190"/>
    <m/>
    <m/>
    <x v="37"/>
  </r>
  <r>
    <x v="190"/>
    <m/>
    <m/>
    <x v="3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x v="0"/>
    <s v="2aa"/>
    <x v="0"/>
    <s v="a"/>
    <s v="a"/>
  </r>
  <r>
    <x v="1"/>
    <s v="2ca"/>
    <x v="0"/>
    <s v="c"/>
    <s v="a"/>
  </r>
  <r>
    <x v="2"/>
    <s v="18ba"/>
    <x v="1"/>
    <s v="b"/>
    <s v="a"/>
  </r>
  <r>
    <x v="3"/>
    <s v="18bb"/>
    <x v="1"/>
    <s v="b"/>
    <s v="b"/>
  </r>
  <r>
    <x v="4"/>
    <s v="18bc"/>
    <x v="1"/>
    <s v="b"/>
    <s v="c"/>
  </r>
  <r>
    <x v="5"/>
    <s v="18bd"/>
    <x v="1"/>
    <s v="b"/>
    <s v="d"/>
  </r>
  <r>
    <x v="6"/>
    <s v="18ea"/>
    <x v="1"/>
    <s v="e"/>
    <s v="a"/>
  </r>
  <r>
    <x v="7"/>
    <s v="36aa"/>
    <x v="2"/>
    <s v="a"/>
    <s v="a"/>
  </r>
  <r>
    <x v="8"/>
    <s v="36ab"/>
    <x v="2"/>
    <s v="a"/>
    <s v="b"/>
  </r>
  <r>
    <x v="9"/>
    <s v="36da"/>
    <x v="2"/>
    <s v="d"/>
    <s v="a"/>
  </r>
  <r>
    <x v="10"/>
    <s v="36db"/>
    <x v="2"/>
    <s v="d"/>
    <s v="b"/>
  </r>
  <r>
    <x v="11"/>
    <s v="47aa"/>
    <x v="3"/>
    <s v="a"/>
    <s v="a"/>
  </r>
  <r>
    <x v="12"/>
    <s v="47ab"/>
    <x v="3"/>
    <s v="a"/>
    <s v="b"/>
  </r>
  <r>
    <x v="13"/>
    <s v="63aa"/>
    <x v="4"/>
    <s v="a"/>
    <s v="a"/>
  </r>
  <r>
    <x v="14"/>
    <s v="63ab"/>
    <x v="4"/>
    <s v="a"/>
    <s v="b"/>
  </r>
  <r>
    <x v="15"/>
    <s v="65ca"/>
    <x v="5"/>
    <s v="c"/>
    <s v="a"/>
  </r>
  <r>
    <x v="16"/>
    <s v="65cb"/>
    <x v="5"/>
    <s v="c"/>
    <s v="b"/>
  </r>
  <r>
    <x v="17"/>
    <s v="70aa"/>
    <x v="6"/>
    <s v="a"/>
    <s v="a"/>
  </r>
  <r>
    <x v="18"/>
    <s v="70ab"/>
    <x v="6"/>
    <s v="a"/>
    <s v="b"/>
  </r>
  <r>
    <x v="19"/>
    <s v="70ac"/>
    <x v="6"/>
    <s v="a"/>
    <s v="c"/>
  </r>
  <r>
    <x v="20"/>
    <s v="70ba"/>
    <x v="6"/>
    <s v="b"/>
    <s v="a"/>
  </r>
  <r>
    <x v="21"/>
    <s v="70bb"/>
    <x v="6"/>
    <s v="b"/>
    <s v="b"/>
  </r>
  <r>
    <x v="22"/>
    <s v="70ca"/>
    <x v="6"/>
    <s v="c"/>
    <s v="a"/>
  </r>
  <r>
    <x v="23"/>
    <s v="70cb"/>
    <x v="6"/>
    <s v="c"/>
    <s v="b"/>
  </r>
  <r>
    <x v="24"/>
    <s v="70cc"/>
    <x v="6"/>
    <s v="c"/>
    <s v="c"/>
  </r>
  <r>
    <x v="25"/>
    <s v="70cd"/>
    <x v="6"/>
    <s v="c"/>
    <s v="d"/>
  </r>
  <r>
    <x v="26"/>
    <s v="70da"/>
    <x v="6"/>
    <s v="d"/>
    <s v="a"/>
  </r>
  <r>
    <x v="27"/>
    <s v="70db"/>
    <x v="6"/>
    <s v="d"/>
    <s v="b"/>
  </r>
  <r>
    <x v="28"/>
    <s v="70dc"/>
    <x v="6"/>
    <s v="d"/>
    <s v="c"/>
  </r>
  <r>
    <x v="29"/>
    <s v="85aa"/>
    <x v="7"/>
    <s v="a"/>
    <s v="a"/>
  </r>
  <r>
    <x v="30"/>
    <s v="85ab"/>
    <x v="7"/>
    <s v="a"/>
    <s v="b"/>
  </r>
  <r>
    <x v="31"/>
    <s v="85ac"/>
    <x v="7"/>
    <s v="a"/>
    <s v="c"/>
  </r>
  <r>
    <x v="32"/>
    <s v="85ba"/>
    <x v="7"/>
    <s v="b"/>
    <s v="a"/>
  </r>
  <r>
    <x v="33"/>
    <s v="85bb"/>
    <x v="7"/>
    <s v="b"/>
    <s v="b"/>
  </r>
  <r>
    <x v="34"/>
    <s v="85bc"/>
    <x v="7"/>
    <s v="b"/>
    <s v="c"/>
  </r>
  <r>
    <x v="35"/>
    <s v="85bd"/>
    <x v="7"/>
    <s v="b"/>
    <s v="d"/>
  </r>
  <r>
    <x v="36"/>
    <s v="85ca"/>
    <x v="7"/>
    <s v="c"/>
    <s v="a"/>
  </r>
  <r>
    <x v="37"/>
    <s v="85cb"/>
    <x v="7"/>
    <s v="c"/>
    <s v="b"/>
  </r>
  <r>
    <x v="38"/>
    <s v="85da"/>
    <x v="7"/>
    <s v="d"/>
    <s v="a"/>
  </r>
  <r>
    <x v="39"/>
    <s v="85db"/>
    <x v="7"/>
    <s v="d"/>
    <s v="b"/>
  </r>
  <r>
    <x v="40"/>
    <s v="88aa"/>
    <x v="8"/>
    <s v="a"/>
    <s v="a"/>
  </r>
  <r>
    <x v="41"/>
    <s v="88ab"/>
    <x v="8"/>
    <s v="a"/>
    <s v="b"/>
  </r>
  <r>
    <x v="42"/>
    <s v="88ac"/>
    <x v="8"/>
    <s v="a"/>
    <s v="c"/>
  </r>
  <r>
    <x v="43"/>
    <s v="88ad"/>
    <x v="8"/>
    <s v="a"/>
    <s v="d"/>
  </r>
  <r>
    <x v="44"/>
    <s v="88ba"/>
    <x v="8"/>
    <s v="b"/>
    <s v="a"/>
  </r>
  <r>
    <x v="45"/>
    <s v="88ca"/>
    <x v="8"/>
    <s v="c"/>
    <s v="a"/>
  </r>
  <r>
    <x v="46"/>
    <s v="90aa"/>
    <x v="9"/>
    <s v="a"/>
    <s v="a"/>
  </r>
  <r>
    <x v="47"/>
    <s v="90ab"/>
    <x v="9"/>
    <s v="a"/>
    <s v="b"/>
  </r>
  <r>
    <x v="48"/>
    <s v="90ba"/>
    <x v="9"/>
    <s v="b"/>
    <s v="a"/>
  </r>
  <r>
    <x v="49"/>
    <s v="90bb"/>
    <x v="9"/>
    <s v="b"/>
    <s v="b"/>
  </r>
  <r>
    <x v="50"/>
    <s v="90ca"/>
    <x v="9"/>
    <s v="c"/>
    <s v="a"/>
  </r>
  <r>
    <x v="51"/>
    <s v="90cb"/>
    <x v="9"/>
    <s v="c"/>
    <s v="b"/>
  </r>
  <r>
    <x v="52"/>
    <s v="90cc"/>
    <x v="9"/>
    <s v="c"/>
    <s v="c"/>
  </r>
  <r>
    <x v="53"/>
    <s v="92aa"/>
    <x v="10"/>
    <s v="a"/>
    <s v="a"/>
  </r>
  <r>
    <x v="54"/>
    <s v="92ab"/>
    <x v="10"/>
    <s v="a"/>
    <s v="b"/>
  </r>
  <r>
    <x v="55"/>
    <s v="92ac"/>
    <x v="10"/>
    <s v="a"/>
    <s v="c"/>
  </r>
  <r>
    <x v="56"/>
    <s v="92ad"/>
    <x v="10"/>
    <s v="a"/>
    <s v="d"/>
  </r>
  <r>
    <x v="57"/>
    <s v="92ba"/>
    <x v="10"/>
    <s v="b"/>
    <s v="a"/>
  </r>
  <r>
    <x v="58"/>
    <s v="92bb"/>
    <x v="10"/>
    <s v="b"/>
    <s v="b"/>
  </r>
  <r>
    <x v="59"/>
    <s v="92bc"/>
    <x v="10"/>
    <s v="b"/>
    <s v="c"/>
  </r>
  <r>
    <x v="60"/>
    <s v="92bd"/>
    <x v="10"/>
    <s v="b"/>
    <s v="d"/>
  </r>
  <r>
    <x v="61"/>
    <s v="92da"/>
    <x v="10"/>
    <s v="d"/>
    <s v="a"/>
  </r>
  <r>
    <x v="62"/>
    <s v="92db"/>
    <x v="10"/>
    <s v="d"/>
    <s v="b"/>
  </r>
  <r>
    <x v="63"/>
    <s v="95ba"/>
    <x v="11"/>
    <s v="b"/>
    <s v="a"/>
  </r>
  <r>
    <x v="64"/>
    <s v="95bb"/>
    <x v="11"/>
    <s v="b"/>
    <s v="b"/>
  </r>
  <r>
    <x v="65"/>
    <s v="95bc"/>
    <x v="11"/>
    <s v="b"/>
    <s v="c"/>
  </r>
  <r>
    <x v="66"/>
    <s v="97aa"/>
    <x v="12"/>
    <s v="a"/>
    <s v="a"/>
  </r>
  <r>
    <x v="67"/>
    <s v="97ab"/>
    <x v="12"/>
    <s v="a"/>
    <s v="b"/>
  </r>
  <r>
    <x v="68"/>
    <s v="97ea"/>
    <x v="12"/>
    <s v="e"/>
    <s v="a"/>
  </r>
  <r>
    <x v="69"/>
    <s v="97eb"/>
    <x v="12"/>
    <s v="e"/>
    <s v="b"/>
  </r>
  <r>
    <x v="70"/>
    <s v="97ec"/>
    <x v="12"/>
    <s v="e"/>
    <s v="c"/>
  </r>
  <r>
    <x v="71"/>
    <s v="101aa"/>
    <x v="13"/>
    <s v="a"/>
    <s v="a"/>
  </r>
  <r>
    <x v="72"/>
    <s v="101ab"/>
    <x v="13"/>
    <s v="a"/>
    <s v="b"/>
  </r>
  <r>
    <x v="73"/>
    <s v="101ba"/>
    <x v="13"/>
    <s v="b"/>
    <s v="a"/>
  </r>
  <r>
    <x v="74"/>
    <s v="101bb"/>
    <x v="13"/>
    <s v="b"/>
    <s v="b"/>
  </r>
  <r>
    <x v="75"/>
    <s v="101bc"/>
    <x v="13"/>
    <s v="b"/>
    <s v="c"/>
  </r>
  <r>
    <x v="76"/>
    <s v="101ca"/>
    <x v="13"/>
    <s v="c"/>
    <s v="a"/>
  </r>
  <r>
    <x v="77"/>
    <s v="101cb"/>
    <x v="13"/>
    <s v="c"/>
    <s v="b"/>
  </r>
  <r>
    <x v="78"/>
    <s v="101cc"/>
    <x v="13"/>
    <s v="c"/>
    <s v="c"/>
  </r>
  <r>
    <x v="79"/>
    <s v="101da"/>
    <x v="13"/>
    <s v="d"/>
    <s v="a"/>
  </r>
  <r>
    <x v="80"/>
    <s v="101db"/>
    <x v="13"/>
    <s v="d"/>
    <s v="b"/>
  </r>
  <r>
    <x v="81"/>
    <s v="101dc"/>
    <x v="13"/>
    <s v="d"/>
    <s v="c"/>
  </r>
  <r>
    <x v="82"/>
    <s v="101ea"/>
    <x v="13"/>
    <s v="e"/>
    <s v="a"/>
  </r>
  <r>
    <x v="83"/>
    <s v="101eb"/>
    <x v="13"/>
    <s v="e"/>
    <s v="b"/>
  </r>
  <r>
    <x v="84"/>
    <s v="101ec"/>
    <x v="13"/>
    <s v="e"/>
    <s v="c"/>
  </r>
  <r>
    <x v="85"/>
    <s v="101fa"/>
    <x v="13"/>
    <s v="f"/>
    <s v="a"/>
  </r>
  <r>
    <x v="86"/>
    <s v="101fb"/>
    <x v="13"/>
    <s v="f"/>
    <s v="b"/>
  </r>
  <r>
    <x v="87"/>
    <s v="102ba"/>
    <x v="14"/>
    <s v="b"/>
    <s v="a"/>
  </r>
  <r>
    <x v="88"/>
    <s v="102bb"/>
    <x v="14"/>
    <s v="b"/>
    <s v="b"/>
  </r>
  <r>
    <x v="89"/>
    <s v="103aa"/>
    <x v="15"/>
    <s v="a"/>
    <s v="a"/>
  </r>
  <r>
    <x v="90"/>
    <s v="103ab"/>
    <x v="15"/>
    <s v="a"/>
    <s v="b"/>
  </r>
  <r>
    <x v="91"/>
    <s v="103ac"/>
    <x v="15"/>
    <s v="a"/>
    <s v="c"/>
  </r>
  <r>
    <x v="92"/>
    <s v="103ba"/>
    <x v="15"/>
    <s v="b"/>
    <s v="a"/>
  </r>
  <r>
    <x v="93"/>
    <s v="103bb"/>
    <x v="15"/>
    <s v="b"/>
    <s v="b"/>
  </r>
  <r>
    <x v="94"/>
    <s v="103bc"/>
    <x v="15"/>
    <s v="b"/>
    <s v="c"/>
  </r>
  <r>
    <x v="95"/>
    <s v="103bd"/>
    <x v="15"/>
    <s v="b"/>
    <s v="d"/>
  </r>
  <r>
    <x v="96"/>
    <s v="103ca"/>
    <x v="15"/>
    <s v="c"/>
    <s v="a"/>
  </r>
  <r>
    <x v="97"/>
    <s v="103cb"/>
    <x v="15"/>
    <s v="c"/>
    <s v="b"/>
  </r>
  <r>
    <x v="98"/>
    <s v="103cc"/>
    <x v="15"/>
    <s v="c"/>
    <s v="c"/>
  </r>
  <r>
    <x v="99"/>
    <s v="103da"/>
    <x v="15"/>
    <s v="d"/>
    <s v="a"/>
  </r>
  <r>
    <x v="100"/>
    <s v="103db"/>
    <x v="15"/>
    <s v="d"/>
    <s v="b"/>
  </r>
  <r>
    <x v="101"/>
    <s v="103dc"/>
    <x v="15"/>
    <s v="d"/>
    <s v="c"/>
  </r>
  <r>
    <x v="102"/>
    <s v="106aa"/>
    <x v="16"/>
    <s v="a"/>
    <s v="a"/>
  </r>
  <r>
    <x v="103"/>
    <s v="106ab"/>
    <x v="16"/>
    <s v="a"/>
    <s v="b"/>
  </r>
  <r>
    <x v="104"/>
    <s v="106ac"/>
    <x v="16"/>
    <s v="a"/>
    <s v="c"/>
  </r>
  <r>
    <x v="105"/>
    <s v="106ad"/>
    <x v="16"/>
    <s v="a"/>
    <s v="d"/>
  </r>
  <r>
    <x v="106"/>
    <s v="106ba"/>
    <x v="16"/>
    <s v="b"/>
    <s v="a"/>
  </r>
  <r>
    <x v="107"/>
    <s v="106bb"/>
    <x v="16"/>
    <s v="b"/>
    <s v="b"/>
  </r>
  <r>
    <x v="108"/>
    <s v="107aa"/>
    <x v="17"/>
    <s v="a"/>
    <s v="a"/>
  </r>
  <r>
    <x v="109"/>
    <s v="107ab"/>
    <x v="17"/>
    <s v="a"/>
    <s v="b"/>
  </r>
  <r>
    <x v="110"/>
    <s v="107ac"/>
    <x v="17"/>
    <s v="a"/>
    <s v="c"/>
  </r>
  <r>
    <x v="111"/>
    <s v="107ad"/>
    <x v="17"/>
    <s v="a"/>
    <s v="d"/>
  </r>
  <r>
    <x v="112"/>
    <s v="107ba"/>
    <x v="17"/>
    <s v="b"/>
    <s v="a"/>
  </r>
  <r>
    <x v="113"/>
    <s v="107bb"/>
    <x v="17"/>
    <s v="b"/>
    <s v="b"/>
  </r>
  <r>
    <x v="114"/>
    <s v="107bc"/>
    <x v="17"/>
    <s v="b"/>
    <s v="c"/>
  </r>
  <r>
    <x v="115"/>
    <s v="107ca"/>
    <x v="17"/>
    <s v="c"/>
    <s v="a"/>
  </r>
  <r>
    <x v="116"/>
    <s v="107cb"/>
    <x v="17"/>
    <s v="c"/>
    <s v="b"/>
  </r>
  <r>
    <x v="117"/>
    <s v="107cc"/>
    <x v="17"/>
    <s v="c"/>
    <s v="c"/>
  </r>
  <r>
    <x v="118"/>
    <s v="107cd"/>
    <x v="17"/>
    <s v="c"/>
    <s v="d"/>
  </r>
  <r>
    <x v="119"/>
    <s v="107da"/>
    <x v="17"/>
    <s v="d"/>
    <s v="a"/>
  </r>
  <r>
    <x v="120"/>
    <s v="107db"/>
    <x v="17"/>
    <s v="d"/>
    <s v="b"/>
  </r>
  <r>
    <x v="121"/>
    <s v="108aa"/>
    <x v="18"/>
    <s v="a"/>
    <s v="a"/>
  </r>
  <r>
    <x v="122"/>
    <s v="108ab"/>
    <x v="18"/>
    <s v="a"/>
    <s v="b"/>
  </r>
  <r>
    <x v="123"/>
    <s v="108ba"/>
    <x v="18"/>
    <s v="b"/>
    <s v="a"/>
  </r>
  <r>
    <x v="124"/>
    <s v="108bb"/>
    <x v="18"/>
    <s v="b"/>
    <s v="b"/>
  </r>
  <r>
    <x v="125"/>
    <s v="108ca"/>
    <x v="18"/>
    <s v="c"/>
    <s v="a"/>
  </r>
  <r>
    <x v="126"/>
    <s v="109ba"/>
    <x v="19"/>
    <s v="b"/>
    <s v="a"/>
  </r>
  <r>
    <x v="127"/>
    <s v="109bb"/>
    <x v="19"/>
    <s v="b"/>
    <s v="b"/>
  </r>
  <r>
    <x v="128"/>
    <s v="109bc"/>
    <x v="19"/>
    <s v="b"/>
    <s v="c"/>
  </r>
  <r>
    <x v="129"/>
    <s v="109bd"/>
    <x v="19"/>
    <s v="b"/>
    <s v="d"/>
  </r>
  <r>
    <x v="130"/>
    <s v="110aa"/>
    <x v="20"/>
    <s v="a"/>
    <s v="a"/>
  </r>
  <r>
    <x v="131"/>
    <s v="110ab"/>
    <x v="20"/>
    <s v="a"/>
    <s v="b"/>
  </r>
  <r>
    <x v="132"/>
    <s v="110ac"/>
    <x v="20"/>
    <s v="a"/>
    <s v="c"/>
  </r>
  <r>
    <x v="133"/>
    <s v="110ca"/>
    <x v="20"/>
    <s v="c"/>
    <s v="a"/>
  </r>
  <r>
    <x v="134"/>
    <s v="110da"/>
    <x v="20"/>
    <s v="d"/>
    <s v="a"/>
  </r>
  <r>
    <x v="135"/>
    <s v="110db"/>
    <x v="20"/>
    <s v="d"/>
    <s v="b"/>
  </r>
  <r>
    <x v="136"/>
    <s v="115aa"/>
    <x v="21"/>
    <s v="a"/>
    <s v="a"/>
  </r>
  <r>
    <x v="137"/>
    <s v="115ab"/>
    <x v="21"/>
    <s v="a"/>
    <s v="b"/>
  </r>
  <r>
    <x v="138"/>
    <s v="115ac"/>
    <x v="21"/>
    <s v="a"/>
    <s v="c"/>
  </r>
  <r>
    <x v="139"/>
    <s v="115ba"/>
    <x v="21"/>
    <s v="b"/>
    <s v="a"/>
  </r>
  <r>
    <x v="140"/>
    <s v="115bb"/>
    <x v="21"/>
    <s v="b"/>
    <s v="b"/>
  </r>
  <r>
    <x v="141"/>
    <s v="115bc"/>
    <x v="21"/>
    <s v="b"/>
    <s v="c"/>
  </r>
  <r>
    <x v="142"/>
    <s v="123aa"/>
    <x v="22"/>
    <s v="a"/>
    <s v="a"/>
  </r>
  <r>
    <x v="143"/>
    <s v="123ab"/>
    <x v="22"/>
    <s v="a"/>
    <s v="b"/>
  </r>
  <r>
    <x v="144"/>
    <s v="123ba"/>
    <x v="22"/>
    <s v="b"/>
    <s v="a"/>
  </r>
  <r>
    <x v="145"/>
    <s v="123bb"/>
    <x v="22"/>
    <s v="b"/>
    <s v="b"/>
  </r>
  <r>
    <x v="146"/>
    <s v="123bc"/>
    <x v="22"/>
    <s v="b"/>
    <s v="c"/>
  </r>
  <r>
    <x v="147"/>
    <s v="143aa"/>
    <x v="23"/>
    <s v="a"/>
    <s v="a"/>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s v="2a"/>
    <x v="0"/>
    <s v="a"/>
  </r>
  <r>
    <x v="1"/>
    <s v="2b"/>
    <x v="0"/>
    <s v="b"/>
  </r>
  <r>
    <x v="2"/>
    <s v="2c"/>
    <x v="0"/>
    <s v="c"/>
  </r>
  <r>
    <x v="3"/>
    <s v="11a"/>
    <x v="1"/>
    <s v="a"/>
  </r>
  <r>
    <x v="4"/>
    <s v="11b"/>
    <x v="1"/>
    <s v="b"/>
  </r>
  <r>
    <x v="5"/>
    <s v="11c"/>
    <x v="1"/>
    <s v="c"/>
  </r>
  <r>
    <x v="6"/>
    <s v="11d"/>
    <x v="1"/>
    <s v="d"/>
  </r>
  <r>
    <x v="7"/>
    <s v="11e"/>
    <x v="1"/>
    <s v="e"/>
  </r>
  <r>
    <x v="8"/>
    <s v="18a"/>
    <x v="2"/>
    <s v="a"/>
  </r>
  <r>
    <x v="9"/>
    <s v="18b"/>
    <x v="2"/>
    <s v="b"/>
  </r>
  <r>
    <x v="10"/>
    <s v="18c"/>
    <x v="2"/>
    <s v="c"/>
  </r>
  <r>
    <x v="11"/>
    <s v="18d"/>
    <x v="2"/>
    <s v="d"/>
  </r>
  <r>
    <x v="12"/>
    <s v="18e"/>
    <x v="2"/>
    <s v="e"/>
  </r>
  <r>
    <x v="13"/>
    <s v="19a"/>
    <x v="3"/>
    <s v="a"/>
  </r>
  <r>
    <x v="14"/>
    <s v="19b"/>
    <x v="3"/>
    <s v="b"/>
  </r>
  <r>
    <x v="15"/>
    <s v="19c"/>
    <x v="3"/>
    <s v="c"/>
  </r>
  <r>
    <x v="16"/>
    <s v="19d"/>
    <x v="3"/>
    <s v="d"/>
  </r>
  <r>
    <x v="17"/>
    <s v="19e"/>
    <x v="3"/>
    <s v="e"/>
  </r>
  <r>
    <x v="18"/>
    <s v="36a"/>
    <x v="4"/>
    <s v="a"/>
  </r>
  <r>
    <x v="19"/>
    <s v="36b"/>
    <x v="4"/>
    <s v="b"/>
  </r>
  <r>
    <x v="20"/>
    <s v="36c"/>
    <x v="4"/>
    <s v="c"/>
  </r>
  <r>
    <x v="21"/>
    <s v="36d"/>
    <x v="4"/>
    <s v="d"/>
  </r>
  <r>
    <x v="22"/>
    <s v="36e"/>
    <x v="4"/>
    <s v="e"/>
  </r>
  <r>
    <x v="23"/>
    <s v="36f"/>
    <x v="4"/>
    <s v="f"/>
  </r>
  <r>
    <x v="24"/>
    <s v="36g"/>
    <x v="4"/>
    <s v="g"/>
  </r>
  <r>
    <x v="25"/>
    <s v="36h"/>
    <x v="4"/>
    <s v="h"/>
  </r>
  <r>
    <x v="26"/>
    <s v="42a"/>
    <x v="5"/>
    <s v="a"/>
  </r>
  <r>
    <x v="27"/>
    <s v="47a"/>
    <x v="6"/>
    <s v="a"/>
  </r>
  <r>
    <x v="28"/>
    <s v="47b"/>
    <x v="6"/>
    <s v="b"/>
  </r>
  <r>
    <x v="29"/>
    <s v="48a"/>
    <x v="7"/>
    <s v="a"/>
  </r>
  <r>
    <x v="30"/>
    <s v="63a"/>
    <x v="8"/>
    <s v="a"/>
  </r>
  <r>
    <x v="31"/>
    <s v="63b"/>
    <x v="8"/>
    <s v="b"/>
  </r>
  <r>
    <x v="32"/>
    <s v="63c"/>
    <x v="8"/>
    <s v="c"/>
  </r>
  <r>
    <x v="33"/>
    <s v="65a"/>
    <x v="9"/>
    <s v="a"/>
  </r>
  <r>
    <x v="34"/>
    <s v="65b"/>
    <x v="9"/>
    <s v="b"/>
  </r>
  <r>
    <x v="35"/>
    <s v="65c"/>
    <x v="9"/>
    <s v="c"/>
  </r>
  <r>
    <x v="36"/>
    <s v="70a"/>
    <x v="10"/>
    <s v="a"/>
  </r>
  <r>
    <x v="37"/>
    <s v="70b"/>
    <x v="10"/>
    <s v="b"/>
  </r>
  <r>
    <x v="38"/>
    <s v="70c"/>
    <x v="10"/>
    <s v="c"/>
  </r>
  <r>
    <x v="39"/>
    <s v="70d"/>
    <x v="10"/>
    <s v="d"/>
  </r>
  <r>
    <x v="40"/>
    <s v="70e"/>
    <x v="10"/>
    <s v="e"/>
  </r>
  <r>
    <x v="41"/>
    <s v="70f"/>
    <x v="10"/>
    <s v="f"/>
  </r>
  <r>
    <x v="42"/>
    <s v="85a"/>
    <x v="11"/>
    <s v="a"/>
  </r>
  <r>
    <x v="43"/>
    <s v="85b"/>
    <x v="11"/>
    <s v="b"/>
  </r>
  <r>
    <x v="44"/>
    <s v="85c"/>
    <x v="11"/>
    <s v="c"/>
  </r>
  <r>
    <x v="45"/>
    <s v="85d"/>
    <x v="11"/>
    <s v="d"/>
  </r>
  <r>
    <x v="46"/>
    <s v="88a"/>
    <x v="12"/>
    <s v="a"/>
  </r>
  <r>
    <x v="47"/>
    <s v="88b"/>
    <x v="12"/>
    <s v="b"/>
  </r>
  <r>
    <x v="48"/>
    <s v="88c"/>
    <x v="12"/>
    <s v="c"/>
  </r>
  <r>
    <x v="49"/>
    <s v="90a"/>
    <x v="13"/>
    <s v="a"/>
  </r>
  <r>
    <x v="50"/>
    <s v="90b"/>
    <x v="13"/>
    <s v="b"/>
  </r>
  <r>
    <x v="51"/>
    <s v="90c"/>
    <x v="13"/>
    <s v="c"/>
  </r>
  <r>
    <x v="52"/>
    <s v="92a"/>
    <x v="14"/>
    <s v="a"/>
  </r>
  <r>
    <x v="53"/>
    <s v="92b"/>
    <x v="14"/>
    <s v="b"/>
  </r>
  <r>
    <x v="54"/>
    <s v="92c"/>
    <x v="14"/>
    <s v="c"/>
  </r>
  <r>
    <x v="55"/>
    <s v="92d"/>
    <x v="14"/>
    <s v="d"/>
  </r>
  <r>
    <x v="56"/>
    <s v="95a"/>
    <x v="15"/>
    <s v="a"/>
  </r>
  <r>
    <x v="57"/>
    <s v="95b"/>
    <x v="15"/>
    <s v="b"/>
  </r>
  <r>
    <x v="58"/>
    <s v="97a"/>
    <x v="16"/>
    <s v="a"/>
  </r>
  <r>
    <x v="59"/>
    <s v="97b"/>
    <x v="16"/>
    <s v="b"/>
  </r>
  <r>
    <x v="60"/>
    <s v="97c"/>
    <x v="16"/>
    <s v="c"/>
  </r>
  <r>
    <x v="61"/>
    <s v="97d"/>
    <x v="16"/>
    <s v="d"/>
  </r>
  <r>
    <x v="62"/>
    <s v="97e"/>
    <x v="16"/>
    <s v="e"/>
  </r>
  <r>
    <x v="63"/>
    <s v="101a"/>
    <x v="17"/>
    <s v="a"/>
  </r>
  <r>
    <x v="64"/>
    <s v="101b"/>
    <x v="17"/>
    <s v="b"/>
  </r>
  <r>
    <x v="65"/>
    <s v="101c"/>
    <x v="17"/>
    <s v="c"/>
  </r>
  <r>
    <x v="66"/>
    <s v="101d"/>
    <x v="17"/>
    <s v="d"/>
  </r>
  <r>
    <x v="67"/>
    <s v="101e"/>
    <x v="17"/>
    <s v="e"/>
  </r>
  <r>
    <x v="68"/>
    <s v="101f"/>
    <x v="17"/>
    <s v="f"/>
  </r>
  <r>
    <x v="69"/>
    <s v="102a"/>
    <x v="18"/>
    <s v="a"/>
  </r>
  <r>
    <x v="70"/>
    <s v="102b"/>
    <x v="18"/>
    <s v="b"/>
  </r>
  <r>
    <x v="71"/>
    <s v="102c"/>
    <x v="18"/>
    <s v="c"/>
  </r>
  <r>
    <x v="72"/>
    <s v="103a"/>
    <x v="19"/>
    <s v="a"/>
  </r>
  <r>
    <x v="73"/>
    <s v="103b"/>
    <x v="19"/>
    <s v="b"/>
  </r>
  <r>
    <x v="74"/>
    <s v="103c"/>
    <x v="19"/>
    <s v="c"/>
  </r>
  <r>
    <x v="75"/>
    <s v="103d"/>
    <x v="19"/>
    <s v="d"/>
  </r>
  <r>
    <x v="76"/>
    <s v="106a"/>
    <x v="20"/>
    <s v="a"/>
  </r>
  <r>
    <x v="77"/>
    <s v="106b"/>
    <x v="20"/>
    <s v="b"/>
  </r>
  <r>
    <x v="78"/>
    <s v="107a"/>
    <x v="21"/>
    <s v="a"/>
  </r>
  <r>
    <x v="79"/>
    <s v="107b"/>
    <x v="21"/>
    <s v="b"/>
  </r>
  <r>
    <x v="80"/>
    <s v="107c"/>
    <x v="21"/>
    <s v="c"/>
  </r>
  <r>
    <x v="81"/>
    <s v="107d"/>
    <x v="21"/>
    <s v="d"/>
  </r>
  <r>
    <x v="82"/>
    <s v="107e"/>
    <x v="21"/>
    <s v="e"/>
  </r>
  <r>
    <x v="83"/>
    <s v="108a"/>
    <x v="22"/>
    <s v="a"/>
  </r>
  <r>
    <x v="84"/>
    <s v="108b"/>
    <x v="22"/>
    <s v="b"/>
  </r>
  <r>
    <x v="85"/>
    <s v="108c"/>
    <x v="22"/>
    <s v="c"/>
  </r>
  <r>
    <x v="86"/>
    <s v="108d"/>
    <x v="22"/>
    <s v="d"/>
  </r>
  <r>
    <x v="87"/>
    <s v="109a"/>
    <x v="23"/>
    <s v="a"/>
  </r>
  <r>
    <x v="88"/>
    <s v="109b"/>
    <x v="23"/>
    <s v="b"/>
  </r>
  <r>
    <x v="89"/>
    <s v="110a"/>
    <x v="24"/>
    <s v="a"/>
  </r>
  <r>
    <x v="90"/>
    <s v="110b"/>
    <x v="24"/>
    <s v="b"/>
  </r>
  <r>
    <x v="91"/>
    <s v="110c"/>
    <x v="24"/>
    <s v="c"/>
  </r>
  <r>
    <x v="92"/>
    <s v="110d"/>
    <x v="24"/>
    <s v="d"/>
  </r>
  <r>
    <x v="93"/>
    <s v="112a"/>
    <x v="25"/>
    <s v="a"/>
  </r>
  <r>
    <x v="94"/>
    <s v="112b"/>
    <x v="25"/>
    <s v="b"/>
  </r>
  <r>
    <x v="95"/>
    <s v="112c"/>
    <x v="25"/>
    <s v="c"/>
  </r>
  <r>
    <x v="96"/>
    <s v="112d"/>
    <x v="25"/>
    <s v="d"/>
  </r>
  <r>
    <x v="97"/>
    <s v="115a"/>
    <x v="26"/>
    <s v="a"/>
  </r>
  <r>
    <x v="98"/>
    <s v="115b"/>
    <x v="26"/>
    <s v="b"/>
  </r>
  <r>
    <x v="99"/>
    <s v="115c"/>
    <x v="26"/>
    <s v="c"/>
  </r>
  <r>
    <x v="100"/>
    <s v="115d"/>
    <x v="26"/>
    <s v="d"/>
  </r>
  <r>
    <x v="101"/>
    <s v="115e"/>
    <x v="26"/>
    <s v="e"/>
  </r>
  <r>
    <x v="102"/>
    <s v="116a"/>
    <x v="27"/>
    <s v="a"/>
  </r>
  <r>
    <x v="103"/>
    <s v="116b"/>
    <x v="27"/>
    <s v="b"/>
  </r>
  <r>
    <x v="104"/>
    <s v="116c"/>
    <x v="27"/>
    <s v="c"/>
  </r>
  <r>
    <x v="105"/>
    <s v="123a"/>
    <x v="28"/>
    <s v="a"/>
  </r>
  <r>
    <x v="106"/>
    <s v="123b"/>
    <x v="28"/>
    <s v="b"/>
  </r>
  <r>
    <x v="107"/>
    <s v="125a"/>
    <x v="29"/>
    <s v="a"/>
  </r>
  <r>
    <x v="108"/>
    <s v="125b"/>
    <x v="29"/>
    <s v="b"/>
  </r>
  <r>
    <x v="109"/>
    <s v="128a"/>
    <x v="30"/>
    <s v="a"/>
  </r>
  <r>
    <x v="110"/>
    <s v="128b"/>
    <x v="30"/>
    <s v="b"/>
  </r>
  <r>
    <x v="111"/>
    <s v="137a"/>
    <x v="31"/>
    <s v="a"/>
  </r>
  <r>
    <x v="112"/>
    <s v="140a"/>
    <x v="32"/>
    <s v="a"/>
  </r>
  <r>
    <x v="113"/>
    <s v="140b"/>
    <x v="32"/>
    <s v="b"/>
  </r>
  <r>
    <x v="114"/>
    <s v="141a"/>
    <x v="33"/>
    <s v="a"/>
  </r>
  <r>
    <x v="115"/>
    <s v="141b"/>
    <x v="33"/>
    <s v="b"/>
  </r>
  <r>
    <x v="116"/>
    <s v="143a"/>
    <x v="34"/>
    <s v="a"/>
  </r>
  <r>
    <x v="117"/>
    <s v="143b"/>
    <x v="34"/>
    <s v="b"/>
  </r>
  <r>
    <x v="118"/>
    <s v="152a"/>
    <x v="35"/>
    <s v="a"/>
  </r>
  <r>
    <x v="119"/>
    <s v="152b"/>
    <x v="35"/>
    <s v="b"/>
  </r>
  <r>
    <x v="120"/>
    <s v="154a"/>
    <x v="36"/>
    <s v="a"/>
  </r>
  <r>
    <x v="121"/>
    <s v="154b"/>
    <x v="36"/>
    <s v="b"/>
  </r>
  <r>
    <x v="122"/>
    <s v="154c"/>
    <x v="36"/>
    <s v="c"/>
  </r>
  <r>
    <x v="123"/>
    <s v="156a"/>
    <x v="37"/>
    <s v="a"/>
  </r>
  <r>
    <x v="124"/>
    <s v="156b"/>
    <x v="37"/>
    <s v="b"/>
  </r>
  <r>
    <x v="125"/>
    <s v="157a"/>
    <x v="38"/>
    <s v="a"/>
  </r>
  <r>
    <x v="126"/>
    <s v="157b"/>
    <x v="38"/>
    <s v="b"/>
  </r>
  <r>
    <x v="127"/>
    <s v="158a"/>
    <x v="39"/>
    <s v="a"/>
  </r>
  <r>
    <x v="128"/>
    <s v="159a"/>
    <x v="40"/>
    <s v="a"/>
  </r>
  <r>
    <x v="129"/>
    <s v="159b"/>
    <x v="40"/>
    <s v="b"/>
  </r>
  <r>
    <x v="130"/>
    <s v="161a"/>
    <x v="41"/>
    <s v="a"/>
  </r>
  <r>
    <x v="131"/>
    <s v="161b"/>
    <x v="41"/>
    <s v="b"/>
  </r>
  <r>
    <x v="132"/>
    <s v="163a"/>
    <x v="42"/>
    <s v="a"/>
  </r>
  <r>
    <x v="133"/>
    <s v="163b"/>
    <x v="42"/>
    <s v="b"/>
  </r>
  <r>
    <x v="134"/>
    <s v="164a"/>
    <x v="43"/>
    <s v="a"/>
  </r>
  <r>
    <x v="135"/>
    <s v="164b"/>
    <x v="43"/>
    <s v="b"/>
  </r>
  <r>
    <x v="136"/>
    <s v="164c"/>
    <x v="43"/>
    <s v="c"/>
  </r>
  <r>
    <x v="137"/>
    <s v="165a"/>
    <x v="44"/>
    <s v="a"/>
  </r>
  <r>
    <x v="138"/>
    <s v="165b"/>
    <x v="44"/>
    <s v="b"/>
  </r>
  <r>
    <x v="139"/>
    <s v="168a"/>
    <x v="45"/>
    <s v="a"/>
  </r>
  <r>
    <x v="140"/>
    <s v="168b"/>
    <x v="45"/>
    <s v="b"/>
  </r>
  <r>
    <x v="141"/>
    <s v="170a"/>
    <x v="46"/>
    <s v="a"/>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s v="2a"/>
    <n v="2"/>
    <s v="a"/>
    <x v="0"/>
  </r>
  <r>
    <x v="1"/>
    <s v="2b"/>
    <n v="2"/>
    <s v="b"/>
    <x v="0"/>
  </r>
  <r>
    <x v="2"/>
    <s v="2c"/>
    <n v="2"/>
    <s v="c"/>
    <x v="0"/>
  </r>
  <r>
    <x v="3"/>
    <s v="11a"/>
    <n v="11"/>
    <s v="a"/>
    <x v="1"/>
  </r>
  <r>
    <x v="4"/>
    <s v="11b"/>
    <n v="11"/>
    <s v="b"/>
    <x v="1"/>
  </r>
  <r>
    <x v="5"/>
    <s v="11c"/>
    <n v="11"/>
    <s v="c"/>
    <x v="1"/>
  </r>
  <r>
    <x v="6"/>
    <s v="11d"/>
    <n v="11"/>
    <s v="d"/>
    <x v="1"/>
  </r>
  <r>
    <x v="7"/>
    <s v="11e"/>
    <n v="11"/>
    <s v="e"/>
    <x v="1"/>
  </r>
  <r>
    <x v="8"/>
    <s v="18a"/>
    <n v="18"/>
    <s v="a"/>
    <x v="1"/>
  </r>
  <r>
    <x v="9"/>
    <s v="18b"/>
    <n v="18"/>
    <s v="b"/>
    <x v="1"/>
  </r>
  <r>
    <x v="10"/>
    <s v="18c"/>
    <n v="18"/>
    <s v="c"/>
    <x v="1"/>
  </r>
  <r>
    <x v="11"/>
    <s v="18d"/>
    <n v="18"/>
    <s v="d"/>
    <x v="1"/>
  </r>
  <r>
    <x v="12"/>
    <s v="18e"/>
    <n v="18"/>
    <s v="e"/>
    <x v="1"/>
  </r>
  <r>
    <x v="13"/>
    <s v="19a"/>
    <n v="19"/>
    <s v="a"/>
    <x v="1"/>
  </r>
  <r>
    <x v="14"/>
    <s v="19b"/>
    <n v="19"/>
    <s v="b"/>
    <x v="1"/>
  </r>
  <r>
    <x v="15"/>
    <s v="19c"/>
    <n v="19"/>
    <s v="c"/>
    <x v="1"/>
  </r>
  <r>
    <x v="16"/>
    <s v="19d"/>
    <n v="19"/>
    <s v="d"/>
    <x v="1"/>
  </r>
  <r>
    <x v="17"/>
    <s v="19e"/>
    <n v="19"/>
    <s v="e"/>
    <x v="1"/>
  </r>
  <r>
    <x v="18"/>
    <s v="36a"/>
    <n v="36"/>
    <s v="a"/>
    <x v="2"/>
  </r>
  <r>
    <x v="19"/>
    <s v="36b"/>
    <n v="36"/>
    <s v="b"/>
    <x v="2"/>
  </r>
  <r>
    <x v="20"/>
    <s v="36c"/>
    <n v="36"/>
    <s v="c"/>
    <x v="2"/>
  </r>
  <r>
    <x v="21"/>
    <s v="36d"/>
    <n v="36"/>
    <s v="d"/>
    <x v="2"/>
  </r>
  <r>
    <x v="22"/>
    <s v="36e"/>
    <n v="36"/>
    <s v="e"/>
    <x v="2"/>
  </r>
  <r>
    <x v="23"/>
    <s v="36f"/>
    <n v="36"/>
    <s v="f"/>
    <x v="2"/>
  </r>
  <r>
    <x v="24"/>
    <s v="36g"/>
    <n v="36"/>
    <s v="g"/>
    <x v="2"/>
  </r>
  <r>
    <x v="25"/>
    <s v="36h"/>
    <n v="36"/>
    <s v="h"/>
    <x v="2"/>
  </r>
  <r>
    <x v="26"/>
    <s v="42a"/>
    <n v="42"/>
    <s v="a"/>
    <x v="3"/>
  </r>
  <r>
    <x v="27"/>
    <s v="47a"/>
    <n v="47"/>
    <s v="a"/>
    <x v="2"/>
  </r>
  <r>
    <x v="28"/>
    <s v="47b"/>
    <n v="47"/>
    <s v="b"/>
    <x v="2"/>
  </r>
  <r>
    <x v="29"/>
    <s v="48a"/>
    <n v="48"/>
    <s v="a"/>
    <x v="3"/>
  </r>
  <r>
    <x v="30"/>
    <s v="63a"/>
    <n v="63"/>
    <s v="a"/>
    <x v="4"/>
  </r>
  <r>
    <x v="31"/>
    <s v="63b"/>
    <n v="63"/>
    <s v="b"/>
    <x v="4"/>
  </r>
  <r>
    <x v="32"/>
    <s v="63c"/>
    <n v="63"/>
    <s v="c"/>
    <x v="4"/>
  </r>
  <r>
    <x v="33"/>
    <s v="65a"/>
    <n v="65"/>
    <s v="a"/>
    <x v="5"/>
  </r>
  <r>
    <x v="34"/>
    <s v="65b"/>
    <n v="65"/>
    <s v="b"/>
    <x v="5"/>
  </r>
  <r>
    <x v="35"/>
    <s v="65c"/>
    <n v="65"/>
    <s v="c"/>
    <x v="5"/>
  </r>
  <r>
    <x v="36"/>
    <s v="70a"/>
    <n v="70"/>
    <s v="a"/>
    <x v="6"/>
  </r>
  <r>
    <x v="37"/>
    <s v="70b"/>
    <n v="70"/>
    <s v="b"/>
    <x v="6"/>
  </r>
  <r>
    <x v="38"/>
    <s v="70c"/>
    <n v="70"/>
    <s v="c"/>
    <x v="6"/>
  </r>
  <r>
    <x v="39"/>
    <s v="70d"/>
    <n v="70"/>
    <s v="d"/>
    <x v="6"/>
  </r>
  <r>
    <x v="40"/>
    <s v="70e"/>
    <n v="70"/>
    <s v="e"/>
    <x v="6"/>
  </r>
  <r>
    <x v="41"/>
    <s v="70f"/>
    <n v="70"/>
    <s v="f"/>
    <x v="6"/>
  </r>
  <r>
    <x v="42"/>
    <s v="85a"/>
    <n v="85"/>
    <s v="a"/>
    <x v="7"/>
  </r>
  <r>
    <x v="43"/>
    <s v="85b"/>
    <n v="85"/>
    <s v="b"/>
    <x v="7"/>
  </r>
  <r>
    <x v="44"/>
    <s v="85c"/>
    <n v="85"/>
    <s v="c"/>
    <x v="7"/>
  </r>
  <r>
    <x v="45"/>
    <s v="85d"/>
    <n v="85"/>
    <s v="d"/>
    <x v="7"/>
  </r>
  <r>
    <x v="46"/>
    <s v="88a"/>
    <n v="88"/>
    <s v="a"/>
    <x v="8"/>
  </r>
  <r>
    <x v="47"/>
    <s v="88b"/>
    <n v="88"/>
    <s v="b"/>
    <x v="8"/>
  </r>
  <r>
    <x v="48"/>
    <s v="88c"/>
    <n v="88"/>
    <s v="c"/>
    <x v="8"/>
  </r>
  <r>
    <x v="49"/>
    <s v="90a"/>
    <n v="90"/>
    <s v="a"/>
    <x v="9"/>
  </r>
  <r>
    <x v="50"/>
    <s v="90b"/>
    <n v="90"/>
    <s v="b"/>
    <x v="9"/>
  </r>
  <r>
    <x v="51"/>
    <s v="90c"/>
    <n v="90"/>
    <s v="c"/>
    <x v="9"/>
  </r>
  <r>
    <x v="52"/>
    <s v="92a"/>
    <n v="92"/>
    <s v="a"/>
    <x v="10"/>
  </r>
  <r>
    <x v="53"/>
    <s v="92b"/>
    <n v="92"/>
    <s v="b"/>
    <x v="10"/>
  </r>
  <r>
    <x v="54"/>
    <s v="92c"/>
    <n v="92"/>
    <s v="c"/>
    <x v="10"/>
  </r>
  <r>
    <x v="55"/>
    <s v="92d"/>
    <n v="92"/>
    <s v="d"/>
    <x v="10"/>
  </r>
  <r>
    <x v="56"/>
    <s v="95a"/>
    <n v="95"/>
    <s v="a"/>
    <x v="7"/>
  </r>
  <r>
    <x v="57"/>
    <s v="95b"/>
    <n v="95"/>
    <s v="b"/>
    <x v="7"/>
  </r>
  <r>
    <x v="58"/>
    <s v="97a"/>
    <n v="97"/>
    <s v="a"/>
    <x v="11"/>
  </r>
  <r>
    <x v="59"/>
    <s v="97b"/>
    <n v="97"/>
    <s v="b"/>
    <x v="11"/>
  </r>
  <r>
    <x v="60"/>
    <s v="97c"/>
    <n v="97"/>
    <s v="c"/>
    <x v="11"/>
  </r>
  <r>
    <x v="61"/>
    <s v="97d"/>
    <n v="97"/>
    <s v="d"/>
    <x v="11"/>
  </r>
  <r>
    <x v="62"/>
    <s v="97e"/>
    <n v="97"/>
    <s v="e"/>
    <x v="11"/>
  </r>
  <r>
    <x v="63"/>
    <s v="101a"/>
    <n v="101"/>
    <s v="a"/>
    <x v="7"/>
  </r>
  <r>
    <x v="64"/>
    <s v="101b"/>
    <n v="101"/>
    <s v="b"/>
    <x v="7"/>
  </r>
  <r>
    <x v="65"/>
    <s v="101c"/>
    <n v="101"/>
    <s v="c"/>
    <x v="7"/>
  </r>
  <r>
    <x v="66"/>
    <s v="101d"/>
    <n v="101"/>
    <s v="d"/>
    <x v="7"/>
  </r>
  <r>
    <x v="67"/>
    <s v="101e"/>
    <n v="101"/>
    <s v="e"/>
    <x v="7"/>
  </r>
  <r>
    <x v="68"/>
    <s v="101f"/>
    <n v="101"/>
    <s v="f"/>
    <x v="7"/>
  </r>
  <r>
    <x v="69"/>
    <s v="102a"/>
    <n v="102"/>
    <s v="a"/>
    <x v="12"/>
  </r>
  <r>
    <x v="70"/>
    <s v="102b"/>
    <n v="102"/>
    <s v="b"/>
    <x v="12"/>
  </r>
  <r>
    <x v="71"/>
    <s v="102c"/>
    <n v="102"/>
    <s v="c"/>
    <x v="12"/>
  </r>
  <r>
    <x v="72"/>
    <s v="103a"/>
    <n v="103"/>
    <s v="a"/>
    <x v="13"/>
  </r>
  <r>
    <x v="73"/>
    <s v="103b"/>
    <n v="103"/>
    <s v="b"/>
    <x v="13"/>
  </r>
  <r>
    <x v="74"/>
    <s v="103c"/>
    <n v="103"/>
    <s v="c"/>
    <x v="13"/>
  </r>
  <r>
    <x v="75"/>
    <s v="103d"/>
    <n v="103"/>
    <s v="d"/>
    <x v="13"/>
  </r>
  <r>
    <x v="76"/>
    <s v="106a"/>
    <n v="106"/>
    <s v="a"/>
    <x v="14"/>
  </r>
  <r>
    <x v="77"/>
    <s v="106b"/>
    <n v="106"/>
    <s v="b"/>
    <x v="14"/>
  </r>
  <r>
    <x v="78"/>
    <s v="107a"/>
    <n v="107"/>
    <s v="a"/>
    <x v="15"/>
  </r>
  <r>
    <x v="79"/>
    <s v="107b"/>
    <n v="107"/>
    <s v="b"/>
    <x v="15"/>
  </r>
  <r>
    <x v="80"/>
    <s v="107c"/>
    <n v="107"/>
    <s v="c"/>
    <x v="15"/>
  </r>
  <r>
    <x v="81"/>
    <s v="107d"/>
    <n v="107"/>
    <s v="d"/>
    <x v="15"/>
  </r>
  <r>
    <x v="82"/>
    <s v="107e"/>
    <n v="107"/>
    <s v="e"/>
    <x v="15"/>
  </r>
  <r>
    <x v="83"/>
    <s v="108a"/>
    <n v="108"/>
    <s v="a"/>
    <x v="16"/>
  </r>
  <r>
    <x v="84"/>
    <s v="108b"/>
    <n v="108"/>
    <s v="b"/>
    <x v="16"/>
  </r>
  <r>
    <x v="85"/>
    <s v="108c"/>
    <n v="108"/>
    <s v="c"/>
    <x v="16"/>
  </r>
  <r>
    <x v="86"/>
    <s v="108d"/>
    <n v="108"/>
    <s v="d"/>
    <x v="16"/>
  </r>
  <r>
    <x v="87"/>
    <s v="109a"/>
    <n v="109"/>
    <s v="a"/>
    <x v="17"/>
  </r>
  <r>
    <x v="88"/>
    <s v="109b"/>
    <n v="109"/>
    <s v="b"/>
    <x v="17"/>
  </r>
  <r>
    <x v="89"/>
    <s v="110a"/>
    <n v="110"/>
    <s v="a"/>
    <x v="17"/>
  </r>
  <r>
    <x v="90"/>
    <s v="110b"/>
    <n v="110"/>
    <s v="b"/>
    <x v="17"/>
  </r>
  <r>
    <x v="91"/>
    <s v="110c"/>
    <n v="110"/>
    <s v="c"/>
    <x v="17"/>
  </r>
  <r>
    <x v="92"/>
    <s v="110d"/>
    <n v="110"/>
    <s v="d"/>
    <x v="17"/>
  </r>
  <r>
    <x v="93"/>
    <s v="112a"/>
    <n v="112"/>
    <s v="a"/>
    <x v="16"/>
  </r>
  <r>
    <x v="94"/>
    <s v="112b"/>
    <n v="112"/>
    <s v="b"/>
    <x v="16"/>
  </r>
  <r>
    <x v="95"/>
    <s v="112c"/>
    <n v="112"/>
    <s v="c"/>
    <x v="16"/>
  </r>
  <r>
    <x v="96"/>
    <s v="112d"/>
    <n v="112"/>
    <s v="d"/>
    <x v="16"/>
  </r>
  <r>
    <x v="97"/>
    <s v="115a"/>
    <n v="115"/>
    <s v="a"/>
    <x v="18"/>
  </r>
  <r>
    <x v="98"/>
    <s v="115b"/>
    <n v="115"/>
    <s v="b"/>
    <x v="18"/>
  </r>
  <r>
    <x v="99"/>
    <s v="115c"/>
    <n v="115"/>
    <s v="c"/>
    <x v="18"/>
  </r>
  <r>
    <x v="100"/>
    <s v="115d"/>
    <n v="115"/>
    <s v="d"/>
    <x v="18"/>
  </r>
  <r>
    <x v="101"/>
    <s v="115e"/>
    <n v="115"/>
    <s v="e"/>
    <x v="18"/>
  </r>
  <r>
    <x v="102"/>
    <s v="116a"/>
    <n v="116"/>
    <s v="a"/>
    <x v="16"/>
  </r>
  <r>
    <x v="103"/>
    <s v="116b"/>
    <n v="116"/>
    <s v="b"/>
    <x v="16"/>
  </r>
  <r>
    <x v="104"/>
    <s v="116c"/>
    <n v="116"/>
    <s v="c"/>
    <x v="16"/>
  </r>
  <r>
    <x v="105"/>
    <s v="123a"/>
    <n v="123"/>
    <s v="a"/>
    <x v="19"/>
  </r>
  <r>
    <x v="106"/>
    <s v="123b"/>
    <n v="123"/>
    <s v="b"/>
    <x v="19"/>
  </r>
  <r>
    <x v="107"/>
    <s v="125a"/>
    <n v="125"/>
    <s v="a"/>
    <x v="20"/>
  </r>
  <r>
    <x v="108"/>
    <s v="125b"/>
    <n v="125"/>
    <s v="b"/>
    <x v="20"/>
  </r>
  <r>
    <x v="109"/>
    <s v="128a"/>
    <n v="128"/>
    <s v="a"/>
    <x v="21"/>
  </r>
  <r>
    <x v="110"/>
    <s v="128b"/>
    <n v="128"/>
    <s v="b"/>
    <x v="21"/>
  </r>
  <r>
    <x v="111"/>
    <s v="137a"/>
    <n v="137"/>
    <s v="a"/>
    <x v="22"/>
  </r>
  <r>
    <x v="112"/>
    <s v="140a"/>
    <n v="140"/>
    <s v="a"/>
    <x v="18"/>
  </r>
  <r>
    <x v="113"/>
    <s v="140b"/>
    <n v="140"/>
    <s v="b"/>
    <x v="18"/>
  </r>
  <r>
    <x v="114"/>
    <s v="141a"/>
    <n v="141"/>
    <s v="a"/>
    <x v="23"/>
  </r>
  <r>
    <x v="115"/>
    <s v="141b"/>
    <n v="141"/>
    <s v="b"/>
    <x v="23"/>
  </r>
  <r>
    <x v="116"/>
    <s v="143a"/>
    <n v="143"/>
    <s v="a"/>
    <x v="24"/>
  </r>
  <r>
    <x v="117"/>
    <s v="143b"/>
    <n v="143"/>
    <s v="b"/>
    <x v="24"/>
  </r>
  <r>
    <x v="118"/>
    <s v="152a"/>
    <n v="152"/>
    <s v="a"/>
    <x v="23"/>
  </r>
  <r>
    <x v="119"/>
    <s v="152b"/>
    <n v="152"/>
    <s v="b"/>
    <x v="23"/>
  </r>
  <r>
    <x v="120"/>
    <s v="154a"/>
    <n v="154"/>
    <s v="a"/>
    <x v="21"/>
  </r>
  <r>
    <x v="121"/>
    <s v="154b"/>
    <n v="154"/>
    <s v="b"/>
    <x v="21"/>
  </r>
  <r>
    <x v="122"/>
    <s v="154c"/>
    <n v="154"/>
    <s v="c"/>
    <x v="21"/>
  </r>
  <r>
    <x v="123"/>
    <s v="156a"/>
    <n v="156"/>
    <s v="a"/>
    <x v="25"/>
  </r>
  <r>
    <x v="124"/>
    <s v="156b"/>
    <n v="156"/>
    <s v="b"/>
    <x v="25"/>
  </r>
  <r>
    <x v="125"/>
    <s v="157a"/>
    <n v="157"/>
    <s v="a"/>
    <x v="26"/>
  </r>
  <r>
    <x v="126"/>
    <s v="157b"/>
    <n v="157"/>
    <s v="b"/>
    <x v="26"/>
  </r>
  <r>
    <x v="127"/>
    <s v="158a"/>
    <n v="158"/>
    <s v="a"/>
    <x v="26"/>
  </r>
  <r>
    <x v="128"/>
    <s v="159a"/>
    <n v="159"/>
    <s v="a"/>
    <x v="26"/>
  </r>
  <r>
    <x v="129"/>
    <s v="159b"/>
    <n v="159"/>
    <s v="b"/>
    <x v="26"/>
  </r>
  <r>
    <x v="130"/>
    <s v="161a"/>
    <n v="161"/>
    <s v="a"/>
    <x v="25"/>
  </r>
  <r>
    <x v="131"/>
    <s v="161b"/>
    <n v="161"/>
    <s v="b"/>
    <x v="25"/>
  </r>
  <r>
    <x v="132"/>
    <s v="163a"/>
    <n v="163"/>
    <s v="a"/>
    <x v="25"/>
  </r>
  <r>
    <x v="133"/>
    <s v="163b"/>
    <n v="163"/>
    <s v="b"/>
    <x v="25"/>
  </r>
  <r>
    <x v="134"/>
    <s v="164a"/>
    <n v="164"/>
    <s v="a"/>
    <x v="27"/>
  </r>
  <r>
    <x v="135"/>
    <s v="164b"/>
    <n v="164"/>
    <s v="b"/>
    <x v="27"/>
  </r>
  <r>
    <x v="136"/>
    <s v="164c"/>
    <n v="164"/>
    <s v="c"/>
    <x v="27"/>
  </r>
  <r>
    <x v="137"/>
    <s v="165a"/>
    <n v="165"/>
    <s v="a"/>
    <x v="27"/>
  </r>
  <r>
    <x v="138"/>
    <s v="165b"/>
    <n v="165"/>
    <s v="b"/>
    <x v="27"/>
  </r>
  <r>
    <x v="139"/>
    <s v="168a"/>
    <n v="168"/>
    <s v="a"/>
    <x v="28"/>
  </r>
  <r>
    <x v="140"/>
    <s v="168b"/>
    <n v="168"/>
    <s v="b"/>
    <x v="28"/>
  </r>
  <r>
    <x v="141"/>
    <s v="170a"/>
    <n v="170"/>
    <s v="a"/>
    <x v="28"/>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x v="0"/>
    <s v="Lewis DAVIES or DANIEL (Unknown–Unknown)"/>
    <s v="Lewis DAVIES or DANIEL (Unknown–Unknown"/>
    <s v="Lewis DAVIES or DANIEL (Unknown–Unknown: #2a)"/>
  </r>
  <r>
    <x v="0"/>
    <x v="1"/>
    <s v="Ann DAVIES or DANIEL (Unknown–Unknown)"/>
    <s v="Ann DAVIES or DANIEL (Unknown–Unknown"/>
    <s v="Ann DAVIES or DANIEL (Unknown–Unknown: #2b)"/>
  </r>
  <r>
    <x v="0"/>
    <x v="2"/>
    <s v="William DAVIES or DANIEL (1800–1832)"/>
    <s v="William DAVIES or DANIEL (1800–1832"/>
    <s v="William DAVIES or DANIEL (1800–1832: #2c)"/>
  </r>
  <r>
    <x v="1"/>
    <x v="3"/>
    <s v="Emma BENYON (1838–1913)"/>
    <s v="Emma BENYON (1838–1913"/>
    <s v="Emma BENYON (1838–1913: #11a)"/>
  </r>
  <r>
    <x v="1"/>
    <x v="4"/>
    <s v="Sarah BENYON (1839–1863)"/>
    <s v="Sarah BENYON (1839–1863"/>
    <s v="Sarah BENYON (1839–1863: #11b)"/>
  </r>
  <r>
    <x v="1"/>
    <x v="5"/>
    <s v="Henry BENYON (1841–1861)"/>
    <s v="Henry BENYON (1841–1861"/>
    <s v="Henry BENYON (1841–1861: #11c)"/>
  </r>
  <r>
    <x v="1"/>
    <x v="6"/>
    <s v="Fanny BENYON (1842–1845)"/>
    <s v="Fanny BENYON (1842–1845"/>
    <s v="Fanny BENYON (1842–1845: #11d)"/>
  </r>
  <r>
    <x v="1"/>
    <x v="7"/>
    <s v="Edward Loyd BENYON (1845–1903)"/>
    <s v="Edward Loyd BENYON (1845–1903"/>
    <s v="Edward Loyd BENYON (1845–1903: #11e)"/>
  </r>
  <r>
    <x v="2"/>
    <x v="8"/>
    <s v="Margaret Dyce NICOL (1844–1927)"/>
    <s v="Margaret Dyce NICOL (1844–1927"/>
    <s v="Margaret Dyce NICOL (1844–1927: #18a)"/>
  </r>
  <r>
    <x v="2"/>
    <x v="9"/>
    <s v="William Edward NICOL (1846–1914)"/>
    <s v="William Edward NICOL (1846–1914"/>
    <s v="William Edward NICOL (1846–1914: #18b)"/>
  </r>
  <r>
    <x v="2"/>
    <x v="10"/>
    <s v="James Dyce NICOL (1848–1938)"/>
    <s v="James Dyce NICOL (1848–1938"/>
    <s v="James Dyce NICOL (1848–1938: #18c)"/>
  </r>
  <r>
    <x v="2"/>
    <x v="11"/>
    <s v="Sarah Loyd NICOL (1854–1943)"/>
    <s v="Sarah Loyd NICOL (1854–1943"/>
    <s v="Sarah Loyd NICOL (1854–1943: #18d)"/>
  </r>
  <r>
    <x v="2"/>
    <x v="12"/>
    <s v="Lewis Loyd NICOL (1858–1935)"/>
    <s v="Lewis Loyd NICOL (1858–1935"/>
    <s v="Lewis Loyd NICOL (1858–1935: #18e)"/>
  </r>
  <r>
    <x v="3"/>
    <x v="13"/>
    <s v="William ENTWISLE (1839–1860)"/>
    <s v="William ENTWISLE (1839–1860"/>
    <s v="William ENTWISLE (1839–1860: #19a)"/>
  </r>
  <r>
    <x v="3"/>
    <x v="14"/>
    <s v="Richard ENTWISLE (1840–1894)"/>
    <s v="Richard ENTWISLE (1840–1894"/>
    <s v="Richard ENTWISLE (1840–1894: #19b)"/>
  </r>
  <r>
    <x v="3"/>
    <x v="15"/>
    <s v="Frederica Frances ENTWISLE (1842–1916)"/>
    <s v="Frederica Frances ENTWISLE (1842–1916"/>
    <s v="Frederica Frances ENTWISLE (1842–1916: #19c)"/>
  </r>
  <r>
    <x v="3"/>
    <x v="16"/>
    <s v="Bernard Henry ENTWISLE (1847–1877)"/>
    <s v="Bernard Henry ENTWISLE (1847–1877"/>
    <s v="Bernard Henry ENTWISLE (1847–1877: #19d)"/>
  </r>
  <r>
    <x v="3"/>
    <x v="17"/>
    <s v="Edward Loyd ENTWISLE (1852–1881)"/>
    <s v="Edward Loyd ENTWISLE (1852–1881"/>
    <s v="Edward Loyd ENTWISLE (1852–1881: #19e)"/>
  </r>
  <r>
    <x v="4"/>
    <x v="18"/>
    <s v="George Loyd COURTHOPE (1877–1955)"/>
    <s v="George Loyd COURTHOPE (1877–1955"/>
    <s v="George Loyd COURTHOPE (1877–1955: #36a)"/>
  </r>
  <r>
    <x v="4"/>
    <x v="19"/>
    <s v="Alexander COURTHOPE (1878–1892)"/>
    <s v="Alexander COURTHOPE (1878–1892"/>
    <s v="Alexander COURTHOPE (1878–1892: #36b)"/>
  </r>
  <r>
    <x v="4"/>
    <x v="20"/>
    <s v="John Edward COURTHOPE (1882–1954)"/>
    <s v="John Edward COURTHOPE (1882–1954"/>
    <s v="John Edward COURTHOPE (1882–1954: #36c)"/>
  </r>
  <r>
    <x v="4"/>
    <x v="21"/>
    <s v="Barbara Frances COURTHOPE (1883–1972)"/>
    <s v="Barbara Frances COURTHOPE (1883–1972"/>
    <s v="Barbara Frances COURTHOPE (1883–1972: #36d)"/>
  </r>
  <r>
    <x v="4"/>
    <x v="22"/>
    <s v="Elinor Joan COURTHOPE (1886–1974)"/>
    <s v="Elinor Joan COURTHOPE (1886–1974"/>
    <s v="Elinor Joan COURTHOPE (1886–1974: #36e)"/>
  </r>
  <r>
    <x v="4"/>
    <x v="23"/>
    <s v="Richard Foster COURTHOPE (1888–1889)"/>
    <s v="Richard Foster COURTHOPE (1888–1889"/>
    <s v="Richard Foster COURTHOPE (1888–1889: #36f)"/>
  </r>
  <r>
    <x v="4"/>
    <x v="24"/>
    <s v="Robert COURTHOPE (1891–1966)"/>
    <s v="Robert COURTHOPE (1891–1966"/>
    <s v="Robert COURTHOPE (1891–1966: #36g)"/>
  </r>
  <r>
    <x v="4"/>
    <x v="25"/>
    <s v="Margery COURTHOPE (1893–1901)"/>
    <s v="Margery COURTHOPE (1893–1901"/>
    <s v="Margery COURTHOPE (1893–1901: #36h)"/>
  </r>
  <r>
    <x v="5"/>
    <x v="26"/>
    <s v="Ambrose William GODDARD (1892– )"/>
    <s v="Ambrose William GODDARD (1892– "/>
    <s v="Ambrose William GODDARD (1892– : #42a)"/>
  </r>
  <r>
    <x v="6"/>
    <x v="27"/>
    <s v="Alfred Edward Loyd HARDCASTLE (1893–1955)"/>
    <s v="Alfred Edward Loyd HARDCASTLE (1893–1955"/>
    <s v="Alfred Edward Loyd HARDCASTLE (1893–1955: #47a)"/>
  </r>
  <r>
    <x v="6"/>
    <x v="28"/>
    <s v="Canon Joseph Anthony Loyd HARDCASTLE (1899–1972)"/>
    <s v="Canon Joseph Anthony Loyd HARDCASTLE (1899–1972"/>
    <s v="Canon Joseph Anthony Loyd HARDCASTLE (1899–1972: #47b)"/>
  </r>
  <r>
    <x v="7"/>
    <x v="29"/>
    <s v="Louisa Mabell D'OYLY (1904–1983)"/>
    <s v="Louisa Mabell D'OYLY (1904–1983"/>
    <s v="Louisa Mabell D'OYLY (1904–1983: #48a)"/>
  </r>
  <r>
    <x v="8"/>
    <x v="30"/>
    <s v="Frederic Withers Loyd MOORE (1926–2019)"/>
    <s v="Frederic Withers Loyd MOORE (1926–2019"/>
    <s v="Frederic Withers Loyd MOORE (1926–2019: #63a)"/>
  </r>
  <r>
    <x v="8"/>
    <x v="31"/>
    <s v="Emma Isabel MOORE (1929–2020)"/>
    <s v="Emma Isabel MOORE (1929–2020"/>
    <s v="Emma Isabel MOORE (1929–2020: #63b)"/>
  </r>
  <r>
    <x v="8"/>
    <x v="32"/>
    <s v="Veronica Ashwell MOORE (1930–1934)"/>
    <s v="Veronica Ashwell MOORE (1930–1934"/>
    <s v="Veronica Ashwell MOORE (1930–1934: #63c)"/>
  </r>
  <r>
    <x v="9"/>
    <x v="33"/>
    <s v="Audrey Haig WHEELER (1913– )"/>
    <s v="Audrey Haig WHEELER (1913– "/>
    <s v="Audrey Haig WHEELER (1913– : #65a)"/>
  </r>
  <r>
    <x v="9"/>
    <x v="34"/>
    <s v="Norma Monica Haig WHEELER (1924– )"/>
    <s v="Norma Monica Haig WHEELER (1924– "/>
    <s v="Norma Monica Haig WHEELER (1924– : #65b)"/>
  </r>
  <r>
    <x v="9"/>
    <x v="35"/>
    <s v="Basil Norman Haig WHEELER (1926– )"/>
    <s v="Basil Norman Haig WHEELER (1926– "/>
    <s v="Basil Norman Haig WHEELER (1926– : #65c)"/>
  </r>
  <r>
    <x v="10"/>
    <x v="36"/>
    <s v="Cynthia Violet MICKLEM (1921–1990)"/>
    <s v="Cynthia Violet MICKLEM (1921–1990"/>
    <s v="Cynthia Violet MICKLEM (1921–1990: #70a)"/>
  </r>
  <r>
    <x v="10"/>
    <x v="37"/>
    <s v="Dora Margaret MICKLEM (1924– )"/>
    <s v="Dora Margaret MICKLEM (1924– "/>
    <s v="Dora Margaret MICKLEM (1924– : #70b)"/>
  </r>
  <r>
    <x v="10"/>
    <x v="38"/>
    <s v="Anne Gertrude MICKLEM (1925– )"/>
    <s v="Anne Gertrude MICKLEM (1925– "/>
    <s v="Anne Gertrude MICKLEM (1925– : #70c)"/>
  </r>
  <r>
    <x v="10"/>
    <x v="39"/>
    <s v="Thomas Charles Weguelin MICKLEM (1926– )"/>
    <s v="Thomas Charles Weguelin MICKLEM (1926– "/>
    <s v="Thomas Charles Weguelin MICKLEM (1926– : #70d)"/>
  </r>
  <r>
    <x v="10"/>
    <x v="40"/>
    <s v="Elizabeth Paula MICKLEM (1929– )"/>
    <s v="Elizabeth Paula MICKLEM (1929– "/>
    <s v="Elizabeth Paula MICKLEM (1929– : #70e)"/>
  </r>
  <r>
    <x v="10"/>
    <x v="41"/>
    <s v="Nathaniel Henry Stirling MICKLEM (1931–1950)"/>
    <s v="Nathaniel Henry Stirling MICKLEM (1931–1950"/>
    <s v="Nathaniel Henry Stirling MICKLEM (1931–1950: #70f)"/>
  </r>
  <r>
    <x v="11"/>
    <x v="42"/>
    <s v="Martin James LANE FOX (1938–2016)"/>
    <s v="Martin James LANE FOX (1938–2016"/>
    <s v="Martin James LANE FOX (1938–2016: #85a)"/>
  </r>
  <r>
    <x v="11"/>
    <x v="43"/>
    <s v="Edward James LANE FOX (1939– )"/>
    <s v="Edward James LANE FOX (1939– "/>
    <s v="Edward James LANE FOX (1939– : #85b)"/>
  </r>
  <r>
    <x v="11"/>
    <x v="44"/>
    <s v="Jenny LANE FOX (1944– )"/>
    <s v="Jenny LANE FOX (1944– "/>
    <s v="Jenny LANE FOX (1944– : #85c)"/>
  </r>
  <r>
    <x v="11"/>
    <x v="45"/>
    <s v="Robin James LANE FOX (1946– )"/>
    <s v="Robin James LANE FOX (1946– "/>
    <s v="Robin James LANE FOX (1946– : #85d)"/>
  </r>
  <r>
    <x v="12"/>
    <x v="46"/>
    <s v="Lady Diana Elizabeth Virginia Sydney BAIRD (1937– )"/>
    <s v="Lady Diana Elizabeth Virginia Sydney BAIRD (1937– "/>
    <s v="Lady Diana Elizabeth Virginia Sydney BAIRD (1937– : #88a)"/>
  </r>
  <r>
    <x v="12"/>
    <x v="47"/>
    <s v="Michael Canning William John KEITH (1939–2004)"/>
    <s v="Michael Canning William John KEITH (1939–2004"/>
    <s v="Michael Canning William John KEITH (1939–2004: #88b)"/>
  </r>
  <r>
    <x v="12"/>
    <x v="48"/>
    <s v="The Hon Alexander David BAIRD (1946– )"/>
    <s v="The Hon Alexander David BAIRD (1946– "/>
    <s v="The Hon Alexander David BAIRD (1946– : #88c)"/>
  </r>
  <r>
    <x v="13"/>
    <x v="49"/>
    <s v="June MARSHAM-TOWNHEND (1942– )"/>
    <s v="June MARSHAM-TOWNHEND (1942– "/>
    <s v="June MARSHAM-TOWNHEND (1942– : #90a)"/>
  </r>
  <r>
    <x v="13"/>
    <x v="50"/>
    <s v="Susan MARSHAM-TOWNHEND (1944– )"/>
    <s v="Susan MARSHAM-TOWNHEND (1944– "/>
    <s v="Susan MARSHAM-TOWNHEND (1944– : #90b)"/>
  </r>
  <r>
    <x v="13"/>
    <x v="51"/>
    <s v="Jonathan Edmund Stephenson CLARKE (1950– )"/>
    <s v="Jonathan Edmund Stephenson CLARKE (1950– "/>
    <s v="Jonathan Edmund Stephenson CLARKE (1950– : #90c)"/>
  </r>
  <r>
    <x v="14"/>
    <x v="52"/>
    <s v="Timothy William Trelawny TATTON-BROWN (1947– )"/>
    <s v="Timothy William Trelawny TATTON-BROWN (1947– "/>
    <s v="Timothy William Trelawny TATTON-BROWN (1947– : #92a)"/>
  </r>
  <r>
    <x v="14"/>
    <x v="53"/>
    <s v="Giles Eden TATTON-BROWN (1948– )"/>
    <s v="Giles Eden TATTON-BROWN (1948– "/>
    <s v="Giles Eden TATTON-BROWN (1948– : #92b)"/>
  </r>
  <r>
    <x v="14"/>
    <x v="54"/>
    <s v="Anthea Mary TATTON-BROWN (1951– )"/>
    <s v="Anthea Mary TATTON-BROWN (1951– "/>
    <s v="Anthea Mary TATTON-BROWN (1951– : #92c)"/>
  </r>
  <r>
    <x v="14"/>
    <x v="55"/>
    <s v="Frances Maud TATTON-BROWN (1954– )"/>
    <s v="Frances Maud TATTON-BROWN (1954– "/>
    <s v="Frances Maud TATTON-BROWN (1954– : #92d)"/>
  </r>
  <r>
    <x v="15"/>
    <x v="56"/>
    <s v="Henrietta Catherine KNIGHT (1946– )"/>
    <s v="Henrietta Catherine KNIGHT (1946– "/>
    <s v="Henrietta Catherine KNIGHT (1946– : #95a)"/>
  </r>
  <r>
    <x v="15"/>
    <x v="57"/>
    <s v="Celia Elizabeth KNIGHT (1949–2020)"/>
    <s v="Celia Elizabeth KNIGHT (1949–2020"/>
    <s v="Celia Elizabeth KNIGHT (1949–2020: #95b)"/>
  </r>
  <r>
    <x v="16"/>
    <x v="58"/>
    <s v="Julian Edward Loyd SALE (1951– )"/>
    <s v="Julian Edward Loyd SALE (1951– "/>
    <s v="Julian Edward Loyd SALE (1951– : #97a)"/>
  </r>
  <r>
    <x v="16"/>
    <x v="59"/>
    <s v="Iona Marian SALE (1954– )"/>
    <s v="Iona Marian SALE (1954– "/>
    <s v="Iona Marian SALE (1954– : #97b)"/>
  </r>
  <r>
    <x v="16"/>
    <x v="60"/>
    <s v="Charles Robert SALE (1956–1957)"/>
    <s v="Charles Robert SALE (1956–1957"/>
    <s v="Charles Robert SALE (1956–1957: #97c)"/>
  </r>
  <r>
    <x v="16"/>
    <x v="61"/>
    <s v="Roderick Peter Abell SALE (1959– )"/>
    <s v="Roderick Peter Abell SALE (1959– "/>
    <s v="Roderick Peter Abell SALE (1959– : #97d)"/>
  </r>
  <r>
    <x v="16"/>
    <x v="62"/>
    <s v="Edward John Andrew SALE (1963– )"/>
    <s v="Edward John Andrew SALE (1963– "/>
    <s v="Edward John Andrew SALE (1963– : #97e)"/>
  </r>
  <r>
    <x v="17"/>
    <x v="63"/>
    <s v="Lady Selina Catherine MEADE (1950– )"/>
    <s v="Lady Selina Catherine MEADE (1950– "/>
    <s v="Lady Selina Catherine MEADE (1950– : #101a)"/>
  </r>
  <r>
    <x v="17"/>
    <x v="64"/>
    <s v="Lady Mary Jane MEADE (1952– )"/>
    <s v="Lady Mary Jane MEADE (1952– "/>
    <s v="Lady Mary Jane MEADE (1952– : #101b)"/>
  </r>
  <r>
    <x v="17"/>
    <x v="65"/>
    <s v="Lady Julia Elizabeth MEADE (1953– )"/>
    <s v="Lady Julia Elizabeth MEADE (1953– "/>
    <s v="Lady Julia Elizabeth MEADE (1953– : #101c)"/>
  </r>
  <r>
    <x v="17"/>
    <x v="66"/>
    <s v="Lady Laura Louise MEADE (1957– )"/>
    <s v="Lady Laura Louise MEADE (1957– "/>
    <s v="Lady Laura Louise MEADE (1957– : #101d)"/>
  </r>
  <r>
    <x v="17"/>
    <x v="67"/>
    <s v="Lady Katherine Anne MEADE (1959– )"/>
    <s v="Lady Katherine Anne MEADE (1959– "/>
    <s v="Lady Katherine Anne MEADE (1959– : #101e)"/>
  </r>
  <r>
    <x v="17"/>
    <x v="68"/>
    <s v="Lady Sophia Hester MEADE (1963– )"/>
    <s v="Lady Sophia Hester MEADE (1963– "/>
    <s v="Lady Sophia Hester MEADE (1963– : #101f)"/>
  </r>
  <r>
    <x v="18"/>
    <x v="69"/>
    <s v="Teressa Mary DUNLOP (1956– )"/>
    <s v="Teressa Mary DUNLOP (1956– "/>
    <s v="Teressa Mary DUNLOP (1956– : #102a)"/>
  </r>
  <r>
    <x v="18"/>
    <x v="70"/>
    <s v="Lindsay Fergus DUNLOP (1958– )"/>
    <s v="Lindsay Fergus DUNLOP (1958– "/>
    <s v="Lindsay Fergus DUNLOP (1958– : #102b)"/>
  </r>
  <r>
    <x v="18"/>
    <x v="71"/>
    <s v="Celina Elizabeth DUNLOP (1960– )"/>
    <s v="Celina Elizabeth DUNLOP (1960– "/>
    <s v="Celina Elizabeth DUNLOP (1960– : #102c)"/>
  </r>
  <r>
    <x v="19"/>
    <x v="72"/>
    <s v="James Anthony GORE-BROWNE (1947– )"/>
    <s v="James Anthony GORE-BROWNE (1947– "/>
    <s v="James Anthony GORE-BROWNE (1947– : #103a)"/>
  </r>
  <r>
    <x v="19"/>
    <x v="73"/>
    <s v="Georgina Mary GORE-BROWNE (1949– )"/>
    <s v="Georgina Mary GORE-BROWNE (1949– "/>
    <s v="Georgina Mary GORE-BROWNE (1949– : #103b)"/>
  </r>
  <r>
    <x v="19"/>
    <x v="74"/>
    <s v="David Charles GORE-BROWNE (1952–2012)"/>
    <s v="David Charles GORE-BROWNE (1952–2012"/>
    <s v="David Charles GORE-BROWNE (1952–2012: #103c)"/>
  </r>
  <r>
    <x v="19"/>
    <x v="75"/>
    <s v="Patrick Robert GORE-BROWNE (1956– )"/>
    <s v="Patrick Robert GORE-BROWNE (1956– "/>
    <s v="Patrick Robert GORE-BROWNE (1956– : #103d)"/>
  </r>
  <r>
    <x v="20"/>
    <x v="76"/>
    <s v="The Hon Geva Charlotte Caroline WINN (1955– )"/>
    <s v="The Hon Geva Charlotte Caroline WINN (1955– "/>
    <s v="The Hon Geva Charlotte Caroline WINN (1955– : #106a)"/>
  </r>
  <r>
    <x v="20"/>
    <x v="77"/>
    <s v="Charles Rowland Andrew WINN (1959– )"/>
    <s v="Charles Rowland Andrew WINN (1959– "/>
    <s v="Charles Rowland Andrew WINN (1959– : #106b)"/>
  </r>
  <r>
    <x v="21"/>
    <x v="78"/>
    <s v="Lorraine Mary GRAHAM (1951– )"/>
    <s v="Lorraine Mary GRAHAM (1951– "/>
    <s v="Lorraine Mary GRAHAM (1951– : #107a)"/>
  </r>
  <r>
    <x v="21"/>
    <x v="79"/>
    <s v="Nora Ann ORR (1955– )"/>
    <s v="Nora Ann ORR (1955– "/>
    <s v="Nora Ann ORR (1955– : #107b)"/>
  </r>
  <r>
    <x v="21"/>
    <x v="80"/>
    <s v="Michael Kirkman Loyd ORR (1956– )"/>
    <s v="Michael Kirkman Loyd ORR (1956– "/>
    <s v="Michael Kirkman Loyd ORR (1956– : #107c)"/>
  </r>
  <r>
    <x v="21"/>
    <x v="81"/>
    <s v="Edward William ORR (1959– )"/>
    <s v="Edward William ORR (1959– "/>
    <s v="Edward William ORR (1959– : #107d)"/>
  </r>
  <r>
    <x v="21"/>
    <x v="82"/>
    <s v="Heather Lynn ORR (1970– )"/>
    <s v="Heather Lynn ORR (1970– "/>
    <s v="Heather Lynn ORR (1970– : #107e)"/>
  </r>
  <r>
    <x v="22"/>
    <x v="83"/>
    <s v="Frances Mary HOYLE (1953– )"/>
    <s v="Frances Mary HOYLE (1953– "/>
    <s v="Frances Mary HOYLE (1953– : #108a)"/>
  </r>
  <r>
    <x v="22"/>
    <x v="84"/>
    <s v="Richard William Lewis HOYLE (1956– )"/>
    <s v="Richard William Lewis HOYLE (1956– "/>
    <s v="Richard William Lewis HOYLE (1956– : #108b)"/>
  </r>
  <r>
    <x v="22"/>
    <x v="85"/>
    <s v="David John HOYLE (1961– )"/>
    <s v="David John HOYLE (1961– "/>
    <s v="David John HOYLE (1961– : #108c)"/>
  </r>
  <r>
    <x v="22"/>
    <x v="86"/>
    <s v="Peter James HOYLE (1963– )"/>
    <s v="Peter James HOYLE (1963– "/>
    <s v="Peter James HOYLE (1963– : #108d)"/>
  </r>
  <r>
    <x v="23"/>
    <x v="87"/>
    <s v="Jennet WALTON (1964– )"/>
    <s v="Jennet WALTON (1964– "/>
    <s v="Jennet WALTON (1964– : #109a)"/>
  </r>
  <r>
    <x v="23"/>
    <x v="88"/>
    <s v="Timothy WALTON (1967– )"/>
    <s v="Timothy WALTON (1967– "/>
    <s v="Timothy WALTON (1967– : #109b)"/>
  </r>
  <r>
    <x v="24"/>
    <x v="89"/>
    <s v="John Drummond BOYCE (1961– )"/>
    <s v="John Drummond BOYCE (1961– "/>
    <s v="John Drummond BOYCE (1961– : #110a)"/>
  </r>
  <r>
    <x v="24"/>
    <x v="90"/>
    <s v="Joanna Mary BOYCE (1963– )"/>
    <s v="Joanna Mary BOYCE (1963– "/>
    <s v="Joanna Mary BOYCE (1963– : #110b)"/>
  </r>
  <r>
    <x v="24"/>
    <x v="91"/>
    <s v="Robert Eric BOYCE (1964– )"/>
    <s v="Robert Eric BOYCE (1964– "/>
    <s v="Robert Eric BOYCE (1964– : #110c)"/>
  </r>
  <r>
    <x v="24"/>
    <x v="92"/>
    <s v="Paula Margaret BOYCE (1966– )"/>
    <s v="Paula Margaret BOYCE (1966– "/>
    <s v="Paula Margaret BOYCE (1966– : #110d)"/>
  </r>
  <r>
    <x v="25"/>
    <x v="93"/>
    <s v="Kevin John DOWNES (1958– )"/>
    <s v="Kevin John DOWNES (1958– "/>
    <s v="Kevin John DOWNES (1958– : #112a)"/>
  </r>
  <r>
    <x v="25"/>
    <x v="94"/>
    <s v="Lynda Carol DOWNES (1960– )"/>
    <s v="Lynda Carol DOWNES (1960– "/>
    <s v="Lynda Carol DOWNES (1960– : #112b)"/>
  </r>
  <r>
    <x v="25"/>
    <x v="95"/>
    <s v="Graeme Richard DOWNES (1961– )"/>
    <s v="Graeme Richard DOWNES (1961– "/>
    <s v="Graeme Richard DOWNES (1961– : #112c)"/>
  </r>
  <r>
    <x v="25"/>
    <x v="96"/>
    <s v="Lesley Karen DOWNES (1963– )"/>
    <s v="Lesley Karen DOWNES (1963– "/>
    <s v="Lesley Karen DOWNES (1963– : #112d)"/>
  </r>
  <r>
    <x v="26"/>
    <x v="97"/>
    <s v="The Hon Isabel Alicia Clare CROSSLEY (1964– )"/>
    <s v="The Hon Isabel Alicia Clare CROSSLEY (1964– "/>
    <s v="The Hon Isabel Alicia Clare CROSSLEY (1964– : #115a)"/>
  </r>
  <r>
    <x v="26"/>
    <x v="98"/>
    <s v="The Hon Camilla Mary Lara CROSSLEY (1967– )"/>
    <s v="The Hon Camilla Mary Lara CROSSLEY (1967– "/>
    <s v="The Hon Camilla Mary Lara CROSSLEY (1967– : #115b)"/>
  </r>
  <r>
    <x v="26"/>
    <x v="99"/>
    <s v="The Hon Alicia Phyllis Belinda CROSSLEY (1969– )"/>
    <s v="The Hon Alicia Phyllis Belinda CROSSLEY (1969– "/>
    <s v="The Hon Alicia Phyllis Belinda CROSSLEY (1969– : #115c)"/>
  </r>
  <r>
    <x v="26"/>
    <x v="100"/>
    <s v="The Hon Hugh Francis Savile CROSSLEY (1971– )"/>
    <s v="The Hon Hugh Francis Savile CROSSLEY (1971– "/>
    <s v="The Hon Hugh Francis Savile CROSSLEY (1971– : #115d)"/>
  </r>
  <r>
    <x v="26"/>
    <x v="101"/>
    <s v="The Hon Bridget Vivian CROSSLEY (1974– )"/>
    <s v="The Hon Bridget Vivian CROSSLEY (1974– "/>
    <s v="The Hon Bridget Vivian CROSSLEY (1974– : #115e)"/>
  </r>
  <r>
    <x v="27"/>
    <x v="102"/>
    <s v="Carl CLULOW (1970–1970)"/>
    <s v="Carl CLULOW (1970–1970"/>
    <s v="Carl CLULOW (1970–1970: #116a)"/>
  </r>
  <r>
    <x v="27"/>
    <x v="103"/>
    <s v="Kate CLULOW (1971– )"/>
    <s v="Kate CLULOW (1971– "/>
    <s v="Kate CLULOW (1971– : #116b)"/>
  </r>
  <r>
    <x v="27"/>
    <x v="104"/>
    <s v="Clare CLULOW (1973– )"/>
    <s v="Clare CLULOW (1973– "/>
    <s v="Clare CLULOW (1973– : #116c)"/>
  </r>
  <r>
    <x v="28"/>
    <x v="105"/>
    <s v="Katharine Jane Loyd BOSMAN (1978– )"/>
    <s v="Katharine Jane Loyd BOSMAN (1978– "/>
    <s v="Katharine Jane Loyd BOSMAN (1978– : #123a)"/>
  </r>
  <r>
    <x v="28"/>
    <x v="106"/>
    <s v="Adam Terrence Loyd BOSMAN (1980– )"/>
    <s v="Adam Terrence Loyd BOSMAN (1980– "/>
    <s v="Adam Terrence Loyd BOSMAN (1980– : #123b)"/>
  </r>
  <r>
    <x v="29"/>
    <x v="107"/>
    <s v="Bryan Patrick HAWKEY (1976– )"/>
    <s v="Bryan Patrick HAWKEY (1976– "/>
    <s v="Bryan Patrick HAWKEY (1976– : #125a)"/>
  </r>
  <r>
    <x v="29"/>
    <x v="108"/>
    <s v="Allison Mary HAWKEY (1978– )"/>
    <s v="Allison Mary HAWKEY (1978– "/>
    <s v="Allison Mary HAWKEY (1978– : #125b)"/>
  </r>
  <r>
    <x v="30"/>
    <x v="109"/>
    <s v="Chloe Louise PEMBERTON (1991– )"/>
    <s v="Chloe Louise PEMBERTON (1991– "/>
    <s v="Chloe Louise PEMBERTON (1991– : #128a)"/>
  </r>
  <r>
    <x v="30"/>
    <x v="110"/>
    <s v="Kate Isobel PEMBERTON (1993– )"/>
    <s v="Kate Isobel PEMBERTON (1993– "/>
    <s v="Kate Isobel PEMBERTON (1993– : #128b)"/>
  </r>
  <r>
    <x v="31"/>
    <x v="111"/>
    <s v="Honor Constance Virginia GELL (1998– )"/>
    <s v="Honor Constance Virginia GELL (1998– "/>
    <s v="Honor Constance Virginia GELL (1998– : #137a)"/>
  </r>
  <r>
    <x v="32"/>
    <x v="112"/>
    <s v="Daisy Elizabeth MILLER (1995– )"/>
    <s v="Daisy Elizabeth MILLER (1995– "/>
    <s v="Daisy Elizabeth MILLER (1995– : #140a)"/>
  </r>
  <r>
    <x v="32"/>
    <x v="113"/>
    <s v="Violet Emma MILLER (1995– )"/>
    <s v="Violet Emma MILLER (1995– "/>
    <s v="Violet Emma MILLER (1995– : #140b)"/>
  </r>
  <r>
    <x v="33"/>
    <x v="114"/>
    <s v="Letitia May Rose Campbell BYATT (1996– )"/>
    <s v="Letitia May Rose Campbell BYATT (1996– "/>
    <s v="Letitia May Rose Campbell BYATT (1996– : #141a)"/>
  </r>
  <r>
    <x v="33"/>
    <x v="115"/>
    <s v="Henry Hew Duncan Campbell BYATT (1998–2017)"/>
    <s v="Henry Hew Duncan Campbell BYATT (1998–2017"/>
    <s v="Henry Hew Duncan Campbell BYATT (1998–2017: #141b)"/>
  </r>
  <r>
    <x v="34"/>
    <x v="116"/>
    <s v="Emily Harriert ASHE (1988– )"/>
    <s v="Emily Harriert ASHE (1988– "/>
    <s v="Emily Harriert ASHE (1988– : #143a)"/>
  </r>
  <r>
    <x v="34"/>
    <x v="117"/>
    <s v="Charles Windham ASHE (1990– )"/>
    <s v="Charles Windham ASHE (1990– "/>
    <s v="Charles Windham ASHE (1990– : #143b)"/>
  </r>
  <r>
    <x v="35"/>
    <x v="118"/>
    <s v="Clementine WHITCOMB (1999– )"/>
    <s v="Clementine WHITCOMB (1999– "/>
    <s v="Clementine WHITCOMB (1999– : #152a)"/>
  </r>
  <r>
    <x v="35"/>
    <x v="119"/>
    <s v="Augustin WHITCOMB (2001– )"/>
    <s v="Augustin WHITCOMB (2001– "/>
    <s v="Augustin WHITCOMB (2001– : #152b)"/>
  </r>
  <r>
    <x v="36"/>
    <x v="120"/>
    <s v="Frederick Otto NEWING (2006– )"/>
    <s v="Frederick Otto NEWING (2006– "/>
    <s v="Frederick Otto NEWING (2006– : #154a)"/>
  </r>
  <r>
    <x v="36"/>
    <x v="121"/>
    <s v="Henry Augustus NEWING (2008– )"/>
    <s v="Henry Augustus NEWING (2008– "/>
    <s v="Henry Augustus NEWING (2008– : #154b)"/>
  </r>
  <r>
    <x v="36"/>
    <x v="122"/>
    <s v="Albert NEWING (2015–2015)"/>
    <s v="Albert NEWING (2015–2015"/>
    <s v="Albert NEWING (2015–2015: #154c)"/>
  </r>
  <r>
    <x v="37"/>
    <x v="123"/>
    <s v="Michael Peter GRINDAL (2014– )"/>
    <s v="Michael Peter GRINDAL (2014– "/>
    <s v="Michael Peter GRINDAL (2014– : #156a)"/>
  </r>
  <r>
    <x v="37"/>
    <x v="124"/>
    <s v="Dorothy Mary Jennifer GRINDAL (2016– )"/>
    <s v="Dorothy Mary Jennifer GRINDAL (2016– "/>
    <s v="Dorothy Mary Jennifer GRINDAL (2016– : #156b)"/>
  </r>
  <r>
    <x v="38"/>
    <x v="125"/>
    <s v="Henry John Loyd SIMMONDS (2012– )"/>
    <s v="Henry John Loyd SIMMONDS (2012– "/>
    <s v="Henry John Loyd SIMMONDS (2012– : #157a)"/>
  </r>
  <r>
    <x v="38"/>
    <x v="126"/>
    <s v="Emily Mary Loyd SIMMONDS (2014– )"/>
    <s v="Emily Mary Loyd SIMMONDS (2014– "/>
    <s v="Emily Mary Loyd SIMMONDS (2014– : #157b)"/>
  </r>
  <r>
    <x v="39"/>
    <x v="127"/>
    <s v="Theodore Richard KYLE (2010– )"/>
    <s v="Theodore Richard KYLE (2010– "/>
    <s v="Theodore Richard KYLE (2010– : #158a)"/>
  </r>
  <r>
    <x v="40"/>
    <x v="128"/>
    <s v="Thomas Philip Loyd GARDENER (2010– )"/>
    <s v="Thomas Philip Loyd GARDENER (2010– "/>
    <s v="Thomas Philip Loyd GARDENER (2010– : #159a)"/>
  </r>
  <r>
    <x v="40"/>
    <x v="129"/>
    <s v="Alice Daphne Straker GARDENER (2013– )"/>
    <s v="Alice Daphne Straker GARDENER (2013– "/>
    <s v="Alice Daphne Straker GARDENER (2013– : #159b)"/>
  </r>
  <r>
    <x v="41"/>
    <x v="130"/>
    <s v="Alexia Charlotte HAYNS (2014– )"/>
    <s v="Alexia Charlotte HAYNS (2014– "/>
    <s v="Alexia Charlotte HAYNS (2014– : #161a)"/>
  </r>
  <r>
    <x v="41"/>
    <x v="131"/>
    <s v="Edward Loyd Bickford HAYNS (2016– )"/>
    <s v="Edward Loyd Bickford HAYNS (2016– "/>
    <s v="Edward Loyd Bickford HAYNS (2016– : #161b)"/>
  </r>
  <r>
    <x v="42"/>
    <x v="132"/>
    <s v="_x000a_Thomas Stephen DINSMORE (2012– )"/>
    <s v="_x000a_Thomas Stephen DINSMORE (2012– "/>
    <s v="_x000a_Thomas Stephen DINSMORE (2012– : #163a)"/>
  </r>
  <r>
    <x v="42"/>
    <x v="133"/>
    <s v="Mary Charlotte DINSMORE (2014– )"/>
    <s v="Mary Charlotte DINSMORE (2014– "/>
    <s v="Mary Charlotte DINSMORE (2014– : #163b)"/>
  </r>
  <r>
    <x v="43"/>
    <x v="134"/>
    <s v="Fredrick Peter Loyd LEASK (2016– )"/>
    <s v="Fredrick Peter Loyd LEASK (2016– "/>
    <s v="Fredrick Peter Loyd LEASK (2016– : #164a)"/>
  </r>
  <r>
    <x v="43"/>
    <x v="135"/>
    <s v="Hamish Alexander Cormack LEASK (2018– )"/>
    <s v="Hamish Alexander Cormack LEASK (2018– "/>
    <s v="Hamish Alexander Cormack LEASK (2018– : #164b)"/>
  </r>
  <r>
    <x v="43"/>
    <x v="136"/>
    <s v="Otto Angus Davis LEASK (2020– )"/>
    <s v="Otto Angus Davis LEASK (2020– "/>
    <s v="Otto Angus Davis LEASK (2020– : #164c)"/>
  </r>
  <r>
    <x v="44"/>
    <x v="137"/>
    <s v="Leila Cherry PURI (2017– )"/>
    <s v="Leila Cherry PURI (2017– "/>
    <s v="Leila Cherry PURI (2017– : #165a)"/>
  </r>
  <r>
    <x v="44"/>
    <x v="138"/>
    <s v="Alana Kailash PURI (2019– )"/>
    <s v="Alana Kailash PURI (2019– "/>
    <s v="Alana Kailash PURI (2019– : #165b)"/>
  </r>
  <r>
    <x v="45"/>
    <x v="139"/>
    <s v="Nicholas Rudyard Wroughton POWELL (2020– )"/>
    <s v="Nicholas Rudyard Wroughton POWELL (2020– "/>
    <s v="Nicholas Rudyard Wroughton POWELL (2020– : #168a)"/>
  </r>
  <r>
    <x v="45"/>
    <x v="140"/>
    <s v="Florence Sofia Berners POWELL (2022– )"/>
    <s v="Florence Sofia Berners POWELL (2022– "/>
    <s v="Florence Sofia Berners POWELL (2022– : #168b)"/>
  </r>
  <r>
    <x v="46"/>
    <x v="141"/>
    <s v="Angus Thomas Folliott POWELL (2021– )"/>
    <s v="Angus Thomas Folliott POWELL (2021– "/>
    <s v="Angus Thomas Folliott POWELL (2021– : #170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EBE71F-978F-2748-9CE0-D186EF661FFE}" name="PivotTable1" cacheId="2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X1:BY49" firstHeaderRow="1" firstDataRow="1" firstDataCol="1"/>
  <pivotFields count="5">
    <pivotField axis="axisRow" dataField="1" showAll="0">
      <items count="95">
        <item m="1" x="50"/>
        <item m="1" x="52"/>
        <item m="1" x="54"/>
        <item m="1" x="61"/>
        <item m="1" x="65"/>
        <item m="1" x="67"/>
        <item m="1" x="69"/>
        <item m="1" x="58"/>
        <item m="1" x="76"/>
        <item m="1" x="78"/>
        <item m="1" x="83"/>
        <item m="1" x="85"/>
        <item m="1" x="57"/>
        <item m="1" x="63"/>
        <item m="1" x="70"/>
        <item m="1" x="88"/>
        <item m="1" x="55"/>
        <item m="1" x="56"/>
        <item m="1" x="62"/>
        <item m="1" x="84"/>
        <item m="1" x="86"/>
        <item m="1" x="89"/>
        <item m="1" x="91"/>
        <item m="1" x="92"/>
        <item m="1" x="93"/>
        <item m="1" x="59"/>
        <item m="1" x="66"/>
        <item m="1" x="68"/>
        <item m="1" x="71"/>
        <item m="1" x="75"/>
        <item m="1" x="81"/>
        <item m="1" x="90"/>
        <item m="1" x="73"/>
        <item m="1" x="49"/>
        <item m="1" x="79"/>
        <item m="1" x="47"/>
        <item m="1" x="77"/>
        <item m="1" x="53"/>
        <item m="1" x="72"/>
        <item m="1" x="74"/>
        <item m="1" x="60"/>
        <item m="1" x="64"/>
        <item m="1" x="87"/>
        <item m="1" x="48"/>
        <item m="1" x="51"/>
        <item m="1" x="80"/>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items count="143">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3"/>
        <item x="4"/>
        <item x="5"/>
        <item x="6"/>
        <item x="7"/>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8"/>
        <item x="9"/>
        <item x="10"/>
        <item x="11"/>
        <item x="12"/>
        <item x="13"/>
        <item x="14"/>
        <item x="15"/>
        <item x="16"/>
        <item x="17"/>
        <item x="0"/>
        <item x="1"/>
        <item x="2"/>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showAll="0"/>
    <pivotField showAll="0"/>
  </pivotFields>
  <rowFields count="1">
    <field x="0"/>
  </rowFields>
  <rowItems count="48">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Count of Mother's Loyd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3038D0-20FE-F14C-B0B3-4B5BF3B9A337}" name="PivotTable9" cacheId="2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S1:IC63" firstHeaderRow="1" firstDataRow="2" firstDataCol="1"/>
  <pivotFields count="4">
    <pivotField axis="axisCol" dataField="1"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showAll="0"/>
    <pivotField axis="axisRow" showAll="0">
      <items count="61">
        <item x="0"/>
        <item x="1"/>
        <item x="2"/>
        <item x="3"/>
        <item x="4"/>
        <item x="5"/>
        <item x="6"/>
        <item x="7"/>
        <item x="8"/>
        <item x="9"/>
        <item x="18"/>
        <item x="13"/>
        <item x="11"/>
        <item x="14"/>
        <item x="12"/>
        <item x="10"/>
        <item x="15"/>
        <item x="16"/>
        <item x="17"/>
        <item x="23"/>
        <item x="25"/>
        <item x="22"/>
        <item x="30"/>
        <item x="19"/>
        <item x="27"/>
        <item x="21"/>
        <item x="24"/>
        <item x="20"/>
        <item x="28"/>
        <item x="29"/>
        <item x="26"/>
        <item x="32"/>
        <item x="31"/>
        <item x="37"/>
        <item x="35"/>
        <item x="36"/>
        <item x="33"/>
        <item x="38"/>
        <item x="39"/>
        <item x="40"/>
        <item x="41"/>
        <item x="34"/>
        <item x="43"/>
        <item x="45"/>
        <item x="42"/>
        <item x="44"/>
        <item x="50"/>
        <item x="48"/>
        <item x="46"/>
        <item x="51"/>
        <item x="47"/>
        <item x="49"/>
        <item x="52"/>
        <item x="54"/>
        <item x="56"/>
        <item x="53"/>
        <item x="55"/>
        <item x="58"/>
        <item x="57"/>
        <item x="59"/>
        <item t="default"/>
      </items>
    </pivotField>
    <pivotField showAll="0"/>
  </pivotFields>
  <rowFields count="1">
    <field x="2"/>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0"/>
  </colFields>
  <colItems count="1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t="grand">
      <x/>
    </i>
  </colItems>
  <dataFields count="1">
    <dataField name="Sum of Loyd #"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2D4069-3567-B444-B57E-478492A02BDC}" name="PivotTable4" cacheId="2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S1:BI79" firstHeaderRow="1" firstDataRow="3" firstDataCol="1"/>
  <pivotFields count="21">
    <pivotField axis="axisRow"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m="1" x="2"/>
        <item t="default"/>
      </items>
    </pivotField>
    <pivotField showAll="0"/>
    <pivotField showAll="0"/>
    <pivotField showAll="0"/>
    <pivotField axis="axisCol" dataField="1" numFmtId="1" showAll="0">
      <items count="9">
        <item m="1" x="7"/>
        <item x="1"/>
        <item x="0"/>
        <item x="2"/>
        <item x="3"/>
        <item x="4"/>
        <item x="5"/>
        <item x="6"/>
        <item t="default"/>
      </items>
    </pivotField>
  </pivotFields>
  <rowFields count="1">
    <field x="0"/>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Fields count="2">
    <field x="16"/>
    <field x="20"/>
  </colFields>
  <colItems count="16">
    <i>
      <x/>
      <x v="1"/>
    </i>
    <i r="1">
      <x v="3"/>
    </i>
    <i r="1">
      <x v="4"/>
    </i>
    <i r="1">
      <x v="5"/>
    </i>
    <i r="1">
      <x v="6"/>
    </i>
    <i r="1">
      <x v="7"/>
    </i>
    <i t="default">
      <x/>
    </i>
    <i>
      <x v="1"/>
      <x v="1"/>
    </i>
    <i r="1">
      <x v="2"/>
    </i>
    <i r="1">
      <x v="3"/>
    </i>
    <i r="1">
      <x v="4"/>
    </i>
    <i r="1">
      <x v="5"/>
    </i>
    <i r="1">
      <x v="6"/>
    </i>
    <i r="1">
      <x v="7"/>
    </i>
    <i t="default">
      <x v="1"/>
    </i>
    <i t="grand">
      <x/>
    </i>
  </colItems>
  <dataFields count="1">
    <dataField name="Count of 1=Child of Loyd"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6FB770-996D-1344-8481-3BDEDBC95980}" name="PivotTable1" cacheId="2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3:GQ52" firstHeaderRow="1" firstDataRow="2" firstDataCol="1"/>
  <pivotFields count="4">
    <pivotField axis="axisCol" dataField="1"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showAll="0"/>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s>
  <rowFields count="1">
    <field x="2"/>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0"/>
  </colFields>
  <col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t="grand">
      <x/>
    </i>
  </colItems>
  <dataFields count="1">
    <dataField name="Sum of Child Number"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94ECAC-BAC8-BA44-BCCA-FD94979B79E7}" name="PivotTable17" cacheId="25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W1:IG41" firstHeaderRow="1" firstDataRow="2" firstDataCol="1"/>
  <pivotFields count="4">
    <pivotField axis="axisCol" dataField="1"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90"/>
        <item x="182"/>
        <item x="183"/>
        <item x="184"/>
        <item x="185"/>
        <item x="186"/>
        <item x="187"/>
        <item x="188"/>
        <item x="189"/>
        <item t="default"/>
      </items>
    </pivotField>
    <pivotField showAll="0"/>
    <pivotField showAll="0"/>
    <pivotField axis="axisRow" showAll="0">
      <items count="39">
        <item x="0"/>
        <item x="1"/>
        <item x="2"/>
        <item x="3"/>
        <item x="4"/>
        <item x="5"/>
        <item x="6"/>
        <item x="7"/>
        <item x="8"/>
        <item x="9"/>
        <item x="17"/>
        <item x="15"/>
        <item x="12"/>
        <item x="10"/>
        <item x="16"/>
        <item x="13"/>
        <item x="11"/>
        <item x="14"/>
        <item x="18"/>
        <item x="21"/>
        <item x="26"/>
        <item x="24"/>
        <item x="19"/>
        <item x="22"/>
        <item x="23"/>
        <item x="25"/>
        <item x="20"/>
        <item x="27"/>
        <item x="28"/>
        <item x="30"/>
        <item x="29"/>
        <item x="32"/>
        <item x="31"/>
        <item x="33"/>
        <item x="35"/>
        <item x="34"/>
        <item x="36"/>
        <item x="37"/>
        <item t="default"/>
      </items>
    </pivotField>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0"/>
  </colFields>
  <colItems count="1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t="grand">
      <x/>
    </i>
  </colItems>
  <dataFields count="1">
    <dataField name="Sum of Loyd #"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AD23E8-DC69-AE41-9E0B-B9505F0987CC}" name="PivotTable1" cacheId="2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W3:HP29" firstHeaderRow="1" firstDataRow="2" firstDataCol="1"/>
  <pivotFields count="5">
    <pivotField axis="axisCol"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m="1" x="149"/>
        <item x="68"/>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148"/>
        <item x="69"/>
        <item x="70"/>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0"/>
  </colFields>
  <colItems count="1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8"/>
    </i>
    <i>
      <x v="149"/>
    </i>
    <i t="grand">
      <x/>
    </i>
  </colItems>
  <dataFields count="1">
    <dataField name="Sum of Grandchild Number"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137DC-2779-A84F-B290-6CCF6A440512}" name="PivotTable2" cacheId="2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Y3:HL34" firstHeaderRow="1" firstDataRow="2" firstDataCol="1"/>
  <pivotFields count="5">
    <pivotField axis="axisCol" dataField="1"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showAll="0"/>
    <pivotField showAll="0"/>
    <pivotField showAll="0"/>
    <pivotField axis="axisRow" showAll="0">
      <items count="30">
        <item x="0"/>
        <item x="1"/>
        <item x="2"/>
        <item x="3"/>
        <item x="5"/>
        <item x="4"/>
        <item x="6"/>
        <item x="9"/>
        <item x="11"/>
        <item x="10"/>
        <item x="16"/>
        <item x="7"/>
        <item x="12"/>
        <item x="8"/>
        <item x="13"/>
        <item x="15"/>
        <item x="14"/>
        <item x="18"/>
        <item x="17"/>
        <item x="20"/>
        <item x="19"/>
        <item x="21"/>
        <item x="22"/>
        <item x="24"/>
        <item x="23"/>
        <item x="26"/>
        <item x="25"/>
        <item x="27"/>
        <item x="28"/>
        <item t="default"/>
      </items>
    </pivotField>
  </pivotFields>
  <rowFields count="1">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0"/>
  </colFields>
  <col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t="grand">
      <x/>
    </i>
  </colItems>
  <dataFields count="1">
    <dataField name="Sum of Child Number"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W1" dT="2022-11-24T15:15:29.68" personId="{F58423EC-3A33-B34E-A681-7885EE13C2C1}" id="{EA78C321-3A7D-0541-8936-3FC053C9CB27}">
    <text>Red columns are calculated
 - so DO NOT Edit</text>
  </threadedComment>
  <threadedComment ref="AB2" dT="2023-08-10T13:59:59.94" personId="{F58423EC-3A33-B34E-A681-7885EE13C2C1}" id="{6E4DFA0E-B563-A24A-8C60-C07BCE1B7EBE}">
    <text>Can change this date to calculate current ages of Living Loyds at any date post 2022 Loyd Book</text>
  </threadedComment>
</ThreadedComments>
</file>

<file path=xl/threadedComments/threadedComment2.xml><?xml version="1.0" encoding="utf-8"?>
<ThreadedComments xmlns="http://schemas.microsoft.com/office/spreadsheetml/2018/threadedcomments" xmlns:x="http://schemas.openxmlformats.org/spreadsheetml/2006/main">
  <threadedComment ref="AJ1" dT="2022-11-24T15:15:29.68" personId="{F58423EC-3A33-B34E-A681-7885EE13C2C1}" id="{9A34FE0A-CC3C-2F44-9455-DAE53A5B70AE}">
    <text>Red columns are calculated
 - so DO NOT Edit</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tim.loyd@btinternet.com" TargetMode="External"/><Relationship Id="rId7" Type="http://schemas.openxmlformats.org/officeDocument/2006/relationships/hyperlink" Target="mailto:loydthreepwood@gmail.com" TargetMode="External"/><Relationship Id="rId2" Type="http://schemas.openxmlformats.org/officeDocument/2006/relationships/hyperlink" Target="mailto:dominicloyd@btinternet.com" TargetMode="External"/><Relationship Id="rId1" Type="http://schemas.openxmlformats.org/officeDocument/2006/relationships/hyperlink" Target="mailto:streetb03@hotmail.com" TargetMode="External"/><Relationship Id="rId6" Type="http://schemas.openxmlformats.org/officeDocument/2006/relationships/hyperlink" Target="mailto:loydthreepwood@gmail.com" TargetMode="External"/><Relationship Id="rId5" Type="http://schemas.openxmlformats.org/officeDocument/2006/relationships/hyperlink" Target="mailto:paddyloyd@talk21.com" TargetMode="External"/><Relationship Id="rId4" Type="http://schemas.openxmlformats.org/officeDocument/2006/relationships/hyperlink" Target="mailto:abloyd@aol.co.uk"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2.xml.rels><?xml version="1.0" encoding="UTF-8" standalone="yes"?>
<Relationships xmlns="http://schemas.openxmlformats.org/package/2006/relationships"><Relationship Id="rId3" Type="http://schemas.openxmlformats.org/officeDocument/2006/relationships/hyperlink" Target="mailto:loydthreepwood@gmail.com" TargetMode="External"/><Relationship Id="rId2" Type="http://schemas.openxmlformats.org/officeDocument/2006/relationships/hyperlink" Target="mailto:loydthreepwood@gmail.com" TargetMode="External"/><Relationship Id="rId1" Type="http://schemas.openxmlformats.org/officeDocument/2006/relationships/hyperlink" Target="mailto:michael@loydthreepwood.com" TargetMode="External"/><Relationship Id="rId4" Type="http://schemas.openxmlformats.org/officeDocument/2006/relationships/hyperlink" Target="mailto:loydthreepwoo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4C79-0EFD-F645-84DD-74B4ACB18C42}">
  <dimension ref="A1:V173"/>
  <sheetViews>
    <sheetView topLeftCell="C1" workbookViewId="0">
      <pane xSplit="6" ySplit="2" topLeftCell="I35" activePane="bottomRight" state="frozen"/>
      <selection activeCell="C1" sqref="C1"/>
      <selection pane="topRight" activeCell="I1" sqref="I1"/>
      <selection pane="bottomLeft" activeCell="C3" sqref="C3"/>
      <selection pane="bottomRight" activeCell="J33" sqref="J33"/>
    </sheetView>
  </sheetViews>
  <sheetFormatPr baseColWidth="10" defaultRowHeight="16"/>
  <cols>
    <col min="8" max="8" width="34.6640625" bestFit="1" customWidth="1"/>
    <col min="9" max="9" width="15.5" customWidth="1"/>
    <col min="10" max="10" width="26.33203125" bestFit="1" customWidth="1"/>
    <col min="12" max="12" width="27.83203125" bestFit="1" customWidth="1"/>
    <col min="13" max="13" width="97" bestFit="1" customWidth="1"/>
    <col min="16" max="16" width="20.1640625" customWidth="1"/>
    <col min="17" max="17" width="13.1640625" customWidth="1"/>
    <col min="18" max="18" width="22.83203125" customWidth="1"/>
    <col min="19" max="19" width="36.1640625" customWidth="1"/>
    <col min="20" max="20" width="48.6640625" bestFit="1" customWidth="1"/>
  </cols>
  <sheetData>
    <row r="1" spans="1:22" ht="17" thickBot="1">
      <c r="A1" t="s">
        <v>780</v>
      </c>
      <c r="F1" s="60" t="s">
        <v>1301</v>
      </c>
      <c r="H1" s="60" t="s">
        <v>1304</v>
      </c>
    </row>
    <row r="2" spans="1:22" ht="52" thickBot="1">
      <c r="A2">
        <v>1</v>
      </c>
      <c r="B2">
        <f>COUNTIF('Loyd List 1-190 - Edit'!$R$3:$R$184,'Data check lookup table'!A2)</f>
        <v>7</v>
      </c>
      <c r="D2">
        <f>COUNTIF(B2:B173,"&gt;0")</f>
        <v>1</v>
      </c>
      <c r="G2" s="44" t="s">
        <v>1142</v>
      </c>
      <c r="H2" s="94" t="s">
        <v>1141</v>
      </c>
      <c r="I2" s="45" t="s">
        <v>793</v>
      </c>
      <c r="J2" s="94" t="s">
        <v>1145</v>
      </c>
      <c r="K2" s="94" t="s">
        <v>1143</v>
      </c>
      <c r="L2" s="46" t="s">
        <v>1144</v>
      </c>
      <c r="M2" s="45" t="s">
        <v>1306</v>
      </c>
      <c r="N2" s="94" t="s">
        <v>1298</v>
      </c>
      <c r="O2" s="46" t="s">
        <v>1297</v>
      </c>
      <c r="P2" s="36" t="s">
        <v>1300</v>
      </c>
      <c r="Q2" s="36" t="s">
        <v>1302</v>
      </c>
      <c r="R2" s="36" t="s">
        <v>1303</v>
      </c>
      <c r="S2" s="36" t="s">
        <v>1305</v>
      </c>
      <c r="T2" s="36" t="s">
        <v>1307</v>
      </c>
      <c r="U2" s="36" t="s">
        <v>1311</v>
      </c>
    </row>
    <row r="3" spans="1:22">
      <c r="A3" t="e">
        <f>#REF!+1</f>
        <v>#REF!</v>
      </c>
      <c r="B3">
        <f>COUNTIF('Loyd List 1-190 - Edit'!$R$3:$R$184,'Data check lookup table'!A3)</f>
        <v>0</v>
      </c>
      <c r="G3" s="82">
        <v>109</v>
      </c>
      <c r="H3" s="63" t="str">
        <f t="shared" ref="H3:H24" si="0">VLOOKUP(G3,namewithfather,2,FALSE)</f>
        <v>Margaret (109): 1932–</v>
      </c>
      <c r="I3" s="86">
        <f t="shared" ref="I3:I24" si="1">VLOOKUP(G3,namewithfather,3,FALSE)</f>
        <v>80</v>
      </c>
      <c r="J3" s="15" t="str">
        <f t="shared" ref="J3:L24" si="2">VLOOKUP(I3,namewithfather,2,FALSE)</f>
        <v>Eric (80): 1894–1963</v>
      </c>
      <c r="K3" s="93">
        <f t="shared" ref="K3:K24" si="3">VLOOKUP(I3,namewithfather,3,FALSE)</f>
        <v>29</v>
      </c>
      <c r="L3" s="67" t="str">
        <f t="shared" si="2"/>
        <v>Arthur (29): 1845–1930</v>
      </c>
      <c r="M3" s="57">
        <f>VLOOKUP(G3,'Loyd List 1-190 - Edit'!$P$3:$AN$184,25,FALSE)</f>
        <v>1</v>
      </c>
      <c r="N3" s="52">
        <f>VLOOKUP(G3,'Loyd List 1-190 - Edit'!$P$3:$AGI$184,26,FALSE)</f>
        <v>90</v>
      </c>
      <c r="O3" s="52">
        <f>VLOOKUP(G3,'Loyd List 1-190 - Edit'!$P$3:$AM$184,22,FALSE)</f>
        <v>3</v>
      </c>
      <c r="P3" t="s">
        <v>916</v>
      </c>
      <c r="S3" t="s">
        <v>1952</v>
      </c>
      <c r="V3" t="s">
        <v>1952</v>
      </c>
    </row>
    <row r="4" spans="1:22">
      <c r="A4" t="e">
        <f t="shared" ref="A4:A57" si="4">A3+1</f>
        <v>#REF!</v>
      </c>
      <c r="B4">
        <f>COUNTIF('Loyd List 1-190 - Edit'!$R$3:$R$184,'Data check lookup table'!A4)</f>
        <v>0</v>
      </c>
      <c r="G4" s="83">
        <v>110</v>
      </c>
      <c r="H4" s="64" t="str">
        <f t="shared" si="0"/>
        <v>Jean (110): 1933–</v>
      </c>
      <c r="I4" s="87">
        <f t="shared" si="1"/>
        <v>80</v>
      </c>
      <c r="J4" s="17" t="str">
        <f t="shared" si="2"/>
        <v>Eric (80): 1894–1963</v>
      </c>
      <c r="K4" s="90">
        <f t="shared" si="3"/>
        <v>29</v>
      </c>
      <c r="L4" s="68" t="str">
        <f t="shared" si="2"/>
        <v>Arthur (29): 1845–1930</v>
      </c>
      <c r="M4" s="58">
        <f>VLOOKUP(G4,'Loyd List 1-190 - Edit'!$P$3:$AN$184,25,FALSE)</f>
        <v>1</v>
      </c>
      <c r="N4" s="53">
        <f>VLOOKUP(G4,'Loyd List 1-190 - Edit'!$P$3:$AGI$184,26,FALSE)</f>
        <v>88</v>
      </c>
      <c r="O4" s="53">
        <f>VLOOKUP(G4,'Loyd List 1-190 - Edit'!$P$3:$AM$184,22,FALSE)</f>
        <v>8</v>
      </c>
      <c r="P4" t="s">
        <v>916</v>
      </c>
      <c r="S4" t="s">
        <v>1952</v>
      </c>
      <c r="V4" t="s">
        <v>1952</v>
      </c>
    </row>
    <row r="5" spans="1:22">
      <c r="A5" t="e">
        <f t="shared" si="4"/>
        <v>#REF!</v>
      </c>
      <c r="B5">
        <f>COUNTIF('Loyd List 1-190 - Edit'!$R$3:$R$184,'Data check lookup table'!A5)</f>
        <v>0</v>
      </c>
      <c r="G5" s="83">
        <v>114</v>
      </c>
      <c r="H5" s="64" t="str">
        <f t="shared" si="0"/>
        <v>Michael (114): 1938–</v>
      </c>
      <c r="I5" s="87">
        <f t="shared" si="1"/>
        <v>80</v>
      </c>
      <c r="J5" s="17" t="str">
        <f t="shared" si="2"/>
        <v>Eric (80): 1894–1963</v>
      </c>
      <c r="K5" s="90">
        <f t="shared" si="3"/>
        <v>29</v>
      </c>
      <c r="L5" s="68" t="str">
        <f t="shared" si="2"/>
        <v>Arthur (29): 1845–1930</v>
      </c>
      <c r="M5" s="58">
        <f>VLOOKUP(G5,'Loyd List 1-190 - Edit'!$P$3:$AN$184,25,FALSE)</f>
        <v>1</v>
      </c>
      <c r="N5" s="53">
        <f>VLOOKUP(G5,'Loyd List 1-190 - Edit'!$P$3:$AGI$184,26,FALSE)</f>
        <v>83</v>
      </c>
      <c r="O5" s="53">
        <f>VLOOKUP(G5,'Loyd List 1-190 - Edit'!$P$3:$AM$184,22,FALSE)</f>
        <v>8</v>
      </c>
      <c r="P5" t="s">
        <v>916</v>
      </c>
      <c r="S5" s="203" t="s">
        <v>3857</v>
      </c>
      <c r="V5" s="203" t="s">
        <v>3857</v>
      </c>
    </row>
    <row r="6" spans="1:22" ht="17" thickBot="1">
      <c r="A6" t="e">
        <f t="shared" si="4"/>
        <v>#REF!</v>
      </c>
      <c r="B6">
        <f>COUNTIF('Loyd List 1-190 - Edit'!$R$3:$R$184,'Data check lookup table'!A6)</f>
        <v>0</v>
      </c>
      <c r="G6" s="84">
        <v>119</v>
      </c>
      <c r="H6" s="65" t="str">
        <f t="shared" si="0"/>
        <v>Peter (119): 1942–</v>
      </c>
      <c r="I6" s="88">
        <f t="shared" si="1"/>
        <v>80</v>
      </c>
      <c r="J6" s="18" t="str">
        <f t="shared" si="2"/>
        <v>Eric (80): 1894–1963</v>
      </c>
      <c r="K6" s="91">
        <f t="shared" si="3"/>
        <v>29</v>
      </c>
      <c r="L6" s="69" t="str">
        <f t="shared" si="2"/>
        <v>Arthur (29): 1845–1930</v>
      </c>
      <c r="M6" s="58">
        <f>VLOOKUP(G6,'Loyd List 1-190 - Edit'!$P$3:$AN$184,25,FALSE)</f>
        <v>1</v>
      </c>
      <c r="N6" s="54">
        <f>VLOOKUP(G6,'Loyd List 1-190 - Edit'!$P$3:$AGI$184,26,FALSE)</f>
        <v>79</v>
      </c>
      <c r="O6" s="54">
        <f>VLOOKUP(G6,'Loyd List 1-190 - Edit'!$P$3:$AM$184,22,FALSE)</f>
        <v>9</v>
      </c>
      <c r="P6" t="s">
        <v>916</v>
      </c>
      <c r="S6" t="s">
        <v>1952</v>
      </c>
      <c r="V6" t="s">
        <v>1952</v>
      </c>
    </row>
    <row r="7" spans="1:22">
      <c r="A7" t="e">
        <f t="shared" si="4"/>
        <v>#REF!</v>
      </c>
      <c r="B7">
        <f>COUNTIF('Loyd List 1-190 - Edit'!$R$3:$R$184,'Data check lookup table'!A7)</f>
        <v>0</v>
      </c>
      <c r="G7" s="82">
        <v>102</v>
      </c>
      <c r="H7" s="63" t="str">
        <f t="shared" si="0"/>
        <v>Zelda (102): 1923–2014</v>
      </c>
      <c r="I7" s="86">
        <f t="shared" si="1"/>
        <v>62</v>
      </c>
      <c r="J7" s="15" t="str">
        <f t="shared" si="2"/>
        <v>Bobby (62): 1887–1977</v>
      </c>
      <c r="K7" s="93">
        <f t="shared" si="3"/>
        <v>30</v>
      </c>
      <c r="L7" s="67" t="str">
        <f t="shared" si="2"/>
        <v>Archie (30): 1847–1922</v>
      </c>
      <c r="M7" s="57">
        <f>VLOOKUP(G7,'Loyd List 1-190 - Edit'!$P$3:$AN$184,25,FALSE)</f>
        <v>30</v>
      </c>
      <c r="N7" s="52">
        <f>VLOOKUP(G7,'Loyd List 1-190 - Edit'!$P$3:$AGI$184,26,FALSE)</f>
        <v>90</v>
      </c>
      <c r="O7" s="52">
        <f>VLOOKUP(G7,'Loyd List 1-190 - Edit'!$P$3:$AM$184,22,FALSE)</f>
        <v>5</v>
      </c>
      <c r="P7" t="s">
        <v>916</v>
      </c>
      <c r="S7" t="s">
        <v>2394</v>
      </c>
    </row>
    <row r="8" spans="1:22">
      <c r="A8" t="e">
        <f t="shared" si="4"/>
        <v>#REF!</v>
      </c>
      <c r="B8">
        <f>COUNTIF('Loyd List 1-190 - Edit'!$R$3:$R$184,'Data check lookup table'!A8)</f>
        <v>0</v>
      </c>
      <c r="G8" s="83">
        <v>98</v>
      </c>
      <c r="H8" s="64" t="str">
        <f t="shared" si="0"/>
        <v>Peter (98): 1922–2022</v>
      </c>
      <c r="I8" s="87">
        <f t="shared" si="1"/>
        <v>77</v>
      </c>
      <c r="J8" s="17" t="str">
        <f t="shared" si="2"/>
        <v>Wilfrid (77): 1893–1971</v>
      </c>
      <c r="K8" s="90">
        <f t="shared" si="3"/>
        <v>30</v>
      </c>
      <c r="L8" s="68" t="str">
        <f t="shared" si="2"/>
        <v>Archie (30): 1847–1922</v>
      </c>
      <c r="M8" s="58">
        <f>VLOOKUP(G8,'Loyd List 1-190 - Edit'!$P$3:$AN$184,25,FALSE)</f>
        <v>13</v>
      </c>
      <c r="N8" s="53">
        <f>VLOOKUP(G8,'Loyd List 1-190 - Edit'!$P$3:$AGI$184,26,FALSE)</f>
        <v>99</v>
      </c>
      <c r="O8" s="53">
        <f>VLOOKUP(G8,'Loyd List 1-190 - Edit'!$P$3:$AM$184,22,FALSE)</f>
        <v>8</v>
      </c>
      <c r="P8" t="s">
        <v>916</v>
      </c>
      <c r="S8" t="s">
        <v>1964</v>
      </c>
      <c r="V8" t="s">
        <v>1964</v>
      </c>
    </row>
    <row r="9" spans="1:22" ht="17" thickBot="1">
      <c r="A9" t="e">
        <f t="shared" si="4"/>
        <v>#REF!</v>
      </c>
      <c r="B9">
        <f>COUNTIF('Loyd List 1-190 - Edit'!$R$3:$R$184,'Data check lookup table'!A9)</f>
        <v>0</v>
      </c>
      <c r="G9" s="84">
        <v>106</v>
      </c>
      <c r="H9" s="65" t="str">
        <f t="shared" si="0"/>
        <v>Denise (106): 1928–</v>
      </c>
      <c r="I9" s="88">
        <f t="shared" si="1"/>
        <v>77</v>
      </c>
      <c r="J9" s="18" t="str">
        <f t="shared" si="2"/>
        <v>Wilfrid (77): 1893–1971</v>
      </c>
      <c r="K9" s="91">
        <f t="shared" si="3"/>
        <v>30</v>
      </c>
      <c r="L9" s="69" t="str">
        <f t="shared" si="2"/>
        <v>Archie (30): 1847–1922</v>
      </c>
      <c r="M9" s="59">
        <f>VLOOKUP(G9,'Loyd List 1-190 - Edit'!$P$3:$AN$184,25,FALSE)</f>
        <v>1</v>
      </c>
      <c r="N9" s="54">
        <f>VLOOKUP(G9,'Loyd List 1-190 - Edit'!$P$3:$AGI$184,26,FALSE)</f>
        <v>93</v>
      </c>
      <c r="O9" s="54">
        <f>VLOOKUP(G9,'Loyd List 1-190 - Edit'!$P$3:$AM$184,22,FALSE)</f>
        <v>11</v>
      </c>
      <c r="P9" t="s">
        <v>916</v>
      </c>
      <c r="S9" t="s">
        <v>1964</v>
      </c>
      <c r="V9" t="s">
        <v>1964</v>
      </c>
    </row>
    <row r="10" spans="1:22">
      <c r="A10" t="e">
        <f>#REF!+1</f>
        <v>#REF!</v>
      </c>
      <c r="B10">
        <f>COUNTIF('Loyd List 1-190 - Edit'!$R$3:$R$184,'Data check lookup table'!A10)</f>
        <v>0</v>
      </c>
      <c r="G10" s="83">
        <v>116</v>
      </c>
      <c r="H10" s="64" t="str">
        <f t="shared" si="0"/>
        <v>Peggy (116): 1939–</v>
      </c>
      <c r="I10" s="87">
        <f t="shared" si="1"/>
        <v>55</v>
      </c>
      <c r="J10" s="17" t="str">
        <f t="shared" si="2"/>
        <v>Dick (55): 1882–1950</v>
      </c>
      <c r="K10" s="90">
        <f t="shared" si="3"/>
        <v>35</v>
      </c>
      <c r="L10" s="68" t="str">
        <f t="shared" si="2"/>
        <v>Lewis (35): 1852–1908</v>
      </c>
      <c r="M10" s="58">
        <f>VLOOKUP(G10,'Loyd List 1-190 - Edit'!$P$3:$AN$184,25,FALSE)</f>
        <v>1</v>
      </c>
      <c r="N10" s="53">
        <f>VLOOKUP(G10,'Loyd List 1-190 - Edit'!$P$3:$AGI$184,26,FALSE)</f>
        <v>82</v>
      </c>
      <c r="O10" s="53">
        <f>VLOOKUP(G10,'Loyd List 1-190 - Edit'!$P$3:$AM$184,22,FALSE)</f>
        <v>11</v>
      </c>
      <c r="P10" t="s">
        <v>916</v>
      </c>
      <c r="S10" t="s">
        <v>1402</v>
      </c>
      <c r="V10" t="s">
        <v>1402</v>
      </c>
    </row>
    <row r="11" spans="1:22" ht="17" thickBot="1">
      <c r="A11" t="e">
        <f t="shared" si="4"/>
        <v>#REF!</v>
      </c>
      <c r="B11">
        <f>COUNTIF('Loyd List 1-190 - Edit'!$R$3:$R$184,'Data check lookup table'!A11)</f>
        <v>0</v>
      </c>
      <c r="G11" s="84">
        <v>117</v>
      </c>
      <c r="H11" s="65" t="str">
        <f t="shared" si="0"/>
        <v>Patrick (117): 1942–</v>
      </c>
      <c r="I11" s="88">
        <f t="shared" si="1"/>
        <v>55</v>
      </c>
      <c r="J11" s="18" t="str">
        <f t="shared" si="2"/>
        <v>Dick (55): 1882–1950</v>
      </c>
      <c r="K11" s="91">
        <f t="shared" si="3"/>
        <v>35</v>
      </c>
      <c r="L11" s="69" t="str">
        <f t="shared" si="2"/>
        <v>Lewis (35): 1852–1908</v>
      </c>
      <c r="M11" s="58">
        <f>VLOOKUP(G11,'Loyd List 1-190 - Edit'!$P$3:$AN$184,25,FALSE)</f>
        <v>1</v>
      </c>
      <c r="N11" s="54">
        <f>VLOOKUP(G11,'Loyd List 1-190 - Edit'!$P$3:$AGI$184,26,FALSE)</f>
        <v>80</v>
      </c>
      <c r="O11" s="54">
        <f>VLOOKUP(G11,'Loyd List 1-190 - Edit'!$P$3:$AM$184,22,FALSE)</f>
        <v>3</v>
      </c>
      <c r="P11" t="s">
        <v>916</v>
      </c>
      <c r="S11" t="s">
        <v>1402</v>
      </c>
      <c r="V11" t="s">
        <v>1402</v>
      </c>
    </row>
    <row r="12" spans="1:22" ht="17" thickBot="1">
      <c r="A12" t="e">
        <f t="shared" si="4"/>
        <v>#REF!</v>
      </c>
      <c r="B12">
        <f>COUNTIF('Loyd List 1-190 - Edit'!$R$3:$R$184,'Data check lookup table'!A12)</f>
        <v>0</v>
      </c>
      <c r="G12" s="85">
        <v>97</v>
      </c>
      <c r="H12" s="66" t="str">
        <f t="shared" si="0"/>
        <v>Audrey (97): 1922–2005</v>
      </c>
      <c r="I12" s="89">
        <f t="shared" si="1"/>
        <v>53</v>
      </c>
      <c r="J12" s="47" t="str">
        <f t="shared" si="2"/>
        <v>Edward (53): 1881–1962</v>
      </c>
      <c r="K12" s="92">
        <f t="shared" si="3"/>
        <v>41</v>
      </c>
      <c r="L12" s="70" t="str">
        <f t="shared" si="2"/>
        <v>Frederic (41): 1856–1936</v>
      </c>
      <c r="M12" s="56">
        <f>VLOOKUP(G12,'Loyd List 1-190 - Edit'!$P$3:$AN$184,25,FALSE)</f>
        <v>4</v>
      </c>
      <c r="N12" s="55">
        <f>VLOOKUP(G12,'Loyd List 1-190 - Edit'!$P$3:$AGI$184,26,FALSE)</f>
        <v>83</v>
      </c>
      <c r="O12" s="55">
        <f>VLOOKUP(G12,'Loyd List 1-190 - Edit'!$P$3:$AM$184,22,FALSE)</f>
        <v>4</v>
      </c>
      <c r="P12" t="s">
        <v>1192</v>
      </c>
      <c r="S12" t="s">
        <v>4432</v>
      </c>
    </row>
    <row r="13" spans="1:22">
      <c r="A13" t="e">
        <f>#REF!+1</f>
        <v>#REF!</v>
      </c>
      <c r="B13">
        <f>COUNTIF('Loyd List 1-190 - Edit'!$R$3:$R$184,'Data check lookup table'!A13)</f>
        <v>0</v>
      </c>
      <c r="G13" s="83">
        <v>127</v>
      </c>
      <c r="H13" s="64" t="str">
        <f t="shared" si="0"/>
        <v>Vivian (127): 1951–</v>
      </c>
      <c r="I13" s="87">
        <f t="shared" si="1"/>
        <v>78</v>
      </c>
      <c r="J13" s="17" t="str">
        <f t="shared" si="2"/>
        <v>Vivian (78): 1894–1972</v>
      </c>
      <c r="K13" s="90">
        <f t="shared" si="3"/>
        <v>46</v>
      </c>
      <c r="L13" s="68" t="str">
        <f t="shared" si="2"/>
        <v>William (46): 1863–1923</v>
      </c>
      <c r="M13" s="58">
        <f>VLOOKUP(G13,'Loyd List 1-190 - Edit'!$P$3:$AN$184,25,FALSE)</f>
        <v>1</v>
      </c>
      <c r="N13" s="53">
        <f>VLOOKUP(G13,'Loyd List 1-190 - Edit'!$P$3:$AGI$184,26,FALSE)</f>
        <v>70</v>
      </c>
      <c r="O13" s="53">
        <f>VLOOKUP(G13,'Loyd List 1-190 - Edit'!$P$3:$AM$184,22,FALSE)</f>
        <v>11</v>
      </c>
      <c r="P13" t="s">
        <v>912</v>
      </c>
      <c r="S13" t="s">
        <v>2443</v>
      </c>
      <c r="V13" t="s">
        <v>2443</v>
      </c>
    </row>
    <row r="14" spans="1:22" ht="17" thickBot="1">
      <c r="A14" t="e">
        <f t="shared" si="4"/>
        <v>#REF!</v>
      </c>
      <c r="B14">
        <f>COUNTIF('Loyd List 1-190 - Edit'!$R$3:$R$184,'Data check lookup table'!A14)</f>
        <v>0</v>
      </c>
      <c r="G14" s="84">
        <v>140</v>
      </c>
      <c r="H14" s="65" t="str">
        <f t="shared" si="0"/>
        <v>Ginie (140): 1961–</v>
      </c>
      <c r="I14" s="88">
        <f t="shared" si="1"/>
        <v>78</v>
      </c>
      <c r="J14" s="18" t="str">
        <f t="shared" si="2"/>
        <v>Vivian (78): 1894–1972</v>
      </c>
      <c r="K14" s="91">
        <f t="shared" si="3"/>
        <v>46</v>
      </c>
      <c r="L14" s="69" t="str">
        <f t="shared" si="2"/>
        <v>William (46): 1863–1923</v>
      </c>
      <c r="M14" s="59">
        <f>VLOOKUP(G14,'Loyd List 1-190 - Edit'!$P$3:$AN$184,25,FALSE)</f>
        <v>1</v>
      </c>
      <c r="N14" s="54">
        <f>VLOOKUP(G14,'Loyd List 1-190 - Edit'!$P$3:$AGI$184,26,FALSE)</f>
        <v>60</v>
      </c>
      <c r="O14" s="54">
        <f>VLOOKUP(G14,'Loyd List 1-190 - Edit'!$P$3:$AM$184,22,FALSE)</f>
        <v>8</v>
      </c>
      <c r="P14" t="s">
        <v>912</v>
      </c>
      <c r="S14" t="s">
        <v>2444</v>
      </c>
      <c r="V14" t="s">
        <v>2444</v>
      </c>
    </row>
    <row r="15" spans="1:22">
      <c r="A15" t="e">
        <f t="shared" si="4"/>
        <v>#REF!</v>
      </c>
      <c r="B15">
        <f>COUNTIF('Loyd List 1-190 - Edit'!$R$3:$R$184,'Data check lookup table'!A15)</f>
        <v>0</v>
      </c>
      <c r="G15" s="82">
        <v>123</v>
      </c>
      <c r="H15" s="63" t="str">
        <f t="shared" si="0"/>
        <v>Janet (123): 1949–</v>
      </c>
      <c r="I15" s="86">
        <f t="shared" si="1"/>
        <v>89</v>
      </c>
      <c r="J15" s="15" t="str">
        <f t="shared" si="2"/>
        <v>Sir Francis/Frank (89): 1916–2006</v>
      </c>
      <c r="K15" s="93">
        <f t="shared" si="3"/>
        <v>54</v>
      </c>
      <c r="L15" s="67" t="str">
        <f t="shared" si="2"/>
        <v>Alfred (54): 1882–1919</v>
      </c>
      <c r="M15" s="57">
        <f>VLOOKUP(G15,'Loyd List 1-190 - Edit'!$P$3:$AN$184,25,FALSE)</f>
        <v>1</v>
      </c>
      <c r="N15" s="52">
        <f>VLOOKUP(G15,'Loyd List 1-190 - Edit'!$P$3:$AGI$184,26,FALSE)</f>
        <v>73</v>
      </c>
      <c r="O15" s="52">
        <f>VLOOKUP(G15,'Loyd List 1-190 - Edit'!$P$3:$AM$184,22,FALSE)</f>
        <v>5</v>
      </c>
      <c r="P15" t="s">
        <v>912</v>
      </c>
      <c r="S15" t="s">
        <v>2445</v>
      </c>
      <c r="V15" t="s">
        <v>2445</v>
      </c>
    </row>
    <row r="16" spans="1:22" ht="17" thickBot="1">
      <c r="A16" t="e">
        <f t="shared" si="4"/>
        <v>#REF!</v>
      </c>
      <c r="B16">
        <f>COUNTIF('Loyd List 1-190 - Edit'!$R$3:$R$184,'Data check lookup table'!A16)</f>
        <v>0</v>
      </c>
      <c r="G16" s="84">
        <v>129</v>
      </c>
      <c r="H16" s="65" t="str">
        <f t="shared" si="0"/>
        <v>Diana (129): 1952–</v>
      </c>
      <c r="I16" s="88">
        <f t="shared" si="1"/>
        <v>89</v>
      </c>
      <c r="J16" s="18" t="str">
        <f t="shared" si="2"/>
        <v>Sir Francis/Frank (89): 1916–2006</v>
      </c>
      <c r="K16" s="91">
        <f t="shared" si="3"/>
        <v>54</v>
      </c>
      <c r="L16" s="69" t="str">
        <f t="shared" si="2"/>
        <v>Alfred (54): 1882–1919</v>
      </c>
      <c r="M16" s="58">
        <f>VLOOKUP(G16,'Loyd List 1-190 - Edit'!$P$3:$AN$184,25,FALSE)</f>
        <v>1</v>
      </c>
      <c r="N16" s="54">
        <f>VLOOKUP(G16,'Loyd List 1-190 - Edit'!$P$3:$AGI$184,26,FALSE)</f>
        <v>70</v>
      </c>
      <c r="O16" s="54">
        <f>VLOOKUP(G16,'Loyd List 1-190 - Edit'!$P$3:$AM$184,22,FALSE)</f>
        <v>5</v>
      </c>
      <c r="P16" t="s">
        <v>912</v>
      </c>
      <c r="S16" t="s">
        <v>2446</v>
      </c>
      <c r="V16" t="s">
        <v>2446</v>
      </c>
    </row>
    <row r="17" spans="1:22">
      <c r="A17" t="e">
        <f t="shared" si="4"/>
        <v>#REF!</v>
      </c>
      <c r="B17">
        <f>COUNTIF('Loyd List 1-190 - Edit'!$R$3:$R$184,'Data check lookup table'!A17)</f>
        <v>0</v>
      </c>
      <c r="G17" s="82">
        <v>147</v>
      </c>
      <c r="H17" s="63" t="str">
        <f t="shared" si="0"/>
        <v>Susannah (147): 1965–</v>
      </c>
      <c r="I17" s="86">
        <f t="shared" si="1"/>
        <v>117</v>
      </c>
      <c r="J17" s="15" t="str">
        <f t="shared" si="2"/>
        <v>Patrick (117): 1942–</v>
      </c>
      <c r="K17" s="93">
        <f t="shared" si="3"/>
        <v>55</v>
      </c>
      <c r="L17" s="67" t="str">
        <f t="shared" si="2"/>
        <v>Dick (55): 1882–1950</v>
      </c>
      <c r="M17" s="57">
        <f>VLOOKUP(G17,'Loyd List 1-190 - Edit'!$P$3:$AN$184,25,FALSE)</f>
        <v>1</v>
      </c>
      <c r="N17" s="52">
        <f>VLOOKUP(G17,'Loyd List 1-190 - Edit'!$P$3:$AGI$184,26,FALSE)</f>
        <v>56</v>
      </c>
      <c r="O17" s="52">
        <f>VLOOKUP(G17,'Loyd List 1-190 - Edit'!$P$3:$AM$184,22,FALSE)</f>
        <v>9</v>
      </c>
      <c r="P17" t="s">
        <v>916</v>
      </c>
      <c r="S17" t="s">
        <v>1402</v>
      </c>
      <c r="V17" t="s">
        <v>1402</v>
      </c>
    </row>
    <row r="18" spans="1:22">
      <c r="A18" t="e">
        <f t="shared" si="4"/>
        <v>#REF!</v>
      </c>
      <c r="B18">
        <f>COUNTIF('Loyd List 1-190 - Edit'!$R$3:$R$184,'Data check lookup table'!A18)</f>
        <v>0</v>
      </c>
      <c r="G18" s="83">
        <v>151</v>
      </c>
      <c r="H18" s="64" t="str">
        <f t="shared" si="0"/>
        <v>Elspeth (151): 1967–</v>
      </c>
      <c r="I18" s="87">
        <f t="shared" si="1"/>
        <v>117</v>
      </c>
      <c r="J18" s="17" t="str">
        <f t="shared" si="2"/>
        <v>Patrick (117): 1942–</v>
      </c>
      <c r="K18" s="90">
        <f t="shared" si="3"/>
        <v>55</v>
      </c>
      <c r="L18" s="68" t="str">
        <f t="shared" si="2"/>
        <v>Dick (55): 1882–1950</v>
      </c>
      <c r="M18" s="58">
        <f>VLOOKUP(G18,'Loyd List 1-190 - Edit'!$P$3:$AN$184,25,FALSE)</f>
        <v>1</v>
      </c>
      <c r="N18" s="53">
        <f>VLOOKUP(G18,'Loyd List 1-190 - Edit'!$P$3:$AGI$184,26,FALSE)</f>
        <v>55</v>
      </c>
      <c r="O18" s="53">
        <f>VLOOKUP(G18,'Loyd List 1-190 - Edit'!$P$3:$AM$184,22,FALSE)</f>
        <v>5</v>
      </c>
      <c r="P18" t="s">
        <v>916</v>
      </c>
      <c r="S18" t="s">
        <v>1402</v>
      </c>
      <c r="V18" t="s">
        <v>1402</v>
      </c>
    </row>
    <row r="19" spans="1:22" ht="17" thickBot="1">
      <c r="A19" t="e">
        <f t="shared" si="4"/>
        <v>#REF!</v>
      </c>
      <c r="B19">
        <f>COUNTIF('Loyd List 1-190 - Edit'!$R$3:$R$184,'Data check lookup table'!A19)</f>
        <v>0</v>
      </c>
      <c r="G19" s="84">
        <v>153</v>
      </c>
      <c r="H19" s="65" t="str">
        <f t="shared" si="0"/>
        <v>Richard (153): 1968–</v>
      </c>
      <c r="I19" s="88">
        <f t="shared" si="1"/>
        <v>117</v>
      </c>
      <c r="J19" s="18" t="str">
        <f t="shared" si="2"/>
        <v>Patrick (117): 1942–</v>
      </c>
      <c r="K19" s="91">
        <f t="shared" si="3"/>
        <v>55</v>
      </c>
      <c r="L19" s="69" t="str">
        <f t="shared" si="2"/>
        <v>Dick (55): 1882–1950</v>
      </c>
      <c r="M19" s="59">
        <f>VLOOKUP(G19,'Loyd List 1-190 - Edit'!$P$3:$AN$184,25,FALSE)</f>
        <v>1</v>
      </c>
      <c r="N19" s="54">
        <f>VLOOKUP(G19,'Loyd List 1-190 - Edit'!$P$3:$AGI$184,26,FALSE)</f>
        <v>54</v>
      </c>
      <c r="O19" s="54">
        <f>VLOOKUP(G19,'Loyd List 1-190 - Edit'!$P$3:$AM$184,22,FALSE)</f>
        <v>6</v>
      </c>
      <c r="P19" t="s">
        <v>916</v>
      </c>
      <c r="R19" s="61"/>
      <c r="S19" t="s">
        <v>1402</v>
      </c>
      <c r="V19" t="s">
        <v>1402</v>
      </c>
    </row>
    <row r="20" spans="1:22">
      <c r="A20" t="e">
        <f t="shared" si="4"/>
        <v>#REF!</v>
      </c>
      <c r="B20">
        <f>COUNTIF('Loyd List 1-190 - Edit'!$R$3:$R$184,'Data check lookup table'!A20)</f>
        <v>0</v>
      </c>
      <c r="G20" s="82">
        <v>138</v>
      </c>
      <c r="H20" s="63" t="str">
        <f t="shared" si="0"/>
        <v>Thomas (138): 1959–</v>
      </c>
      <c r="I20" s="86">
        <f t="shared" si="1"/>
        <v>100</v>
      </c>
      <c r="J20" s="15" t="str">
        <f t="shared" si="2"/>
        <v>Christopher (100): 1923–2013</v>
      </c>
      <c r="K20" s="93">
        <f t="shared" si="3"/>
        <v>56</v>
      </c>
      <c r="L20" s="67" t="str">
        <f t="shared" si="2"/>
        <v>Tommy (56): 1882–1944</v>
      </c>
      <c r="M20" s="57">
        <f>VLOOKUP(G20,'Loyd List 1-190 - Edit'!$P$3:$AN$184,25,FALSE)</f>
        <v>1</v>
      </c>
      <c r="N20" s="48">
        <f>VLOOKUP(G20,'Loyd List 1-190 - Edit'!$P$3:$AGI$184,26,FALSE)</f>
        <v>63</v>
      </c>
      <c r="O20" s="48">
        <f>VLOOKUP(G20,'Loyd List 1-190 - Edit'!$P$3:$AM$184,22,FALSE)</f>
        <v>2</v>
      </c>
      <c r="P20" t="s">
        <v>916</v>
      </c>
      <c r="R20" s="61" t="s">
        <v>1401</v>
      </c>
      <c r="S20" t="s">
        <v>1398</v>
      </c>
      <c r="U20">
        <v>138</v>
      </c>
      <c r="V20" t="s">
        <v>1398</v>
      </c>
    </row>
    <row r="21" spans="1:22">
      <c r="A21" t="e">
        <f t="shared" si="4"/>
        <v>#REF!</v>
      </c>
      <c r="B21">
        <f>COUNTIF('Loyd List 1-190 - Edit'!$R$3:$R$184,'Data check lookup table'!A21)</f>
        <v>0</v>
      </c>
      <c r="G21" s="83">
        <v>143</v>
      </c>
      <c r="H21" s="64" t="str">
        <f t="shared" si="0"/>
        <v>Harriet (143): 1962–</v>
      </c>
      <c r="I21" s="87">
        <f t="shared" si="1"/>
        <v>100</v>
      </c>
      <c r="J21" s="17" t="str">
        <f t="shared" si="2"/>
        <v>Christopher (100): 1923–2013</v>
      </c>
      <c r="K21" s="90">
        <f t="shared" si="3"/>
        <v>56</v>
      </c>
      <c r="L21" s="68" t="str">
        <f t="shared" si="2"/>
        <v>Tommy (56): 1882–1944</v>
      </c>
      <c r="M21" s="58">
        <f>VLOOKUP(G21,'Loyd List 1-190 - Edit'!$P$3:$AN$184,25,FALSE)</f>
        <v>1</v>
      </c>
      <c r="N21" s="49">
        <f>VLOOKUP(G21,'Loyd List 1-190 - Edit'!$P$3:$AGI$184,26,FALSE)</f>
        <v>60</v>
      </c>
      <c r="O21" s="49">
        <f>VLOOKUP(G21,'Loyd List 1-190 - Edit'!$P$3:$AM$184,22,FALSE)</f>
        <v>6</v>
      </c>
      <c r="P21" t="s">
        <v>916</v>
      </c>
      <c r="R21" s="61"/>
      <c r="S21" t="s">
        <v>1398</v>
      </c>
      <c r="U21">
        <v>138</v>
      </c>
      <c r="V21" t="s">
        <v>1398</v>
      </c>
    </row>
    <row r="22" spans="1:22" ht="17" thickBot="1">
      <c r="A22" t="e">
        <f t="shared" si="4"/>
        <v>#REF!</v>
      </c>
      <c r="B22">
        <f>COUNTIF('Loyd List 1-190 - Edit'!$R$3:$R$184,'Data check lookup table'!A22)</f>
        <v>0</v>
      </c>
      <c r="G22" s="84">
        <v>150</v>
      </c>
      <c r="H22" s="65" t="str">
        <f t="shared" si="0"/>
        <v>James (150): 1966–</v>
      </c>
      <c r="I22" s="88">
        <f t="shared" si="1"/>
        <v>100</v>
      </c>
      <c r="J22" s="18" t="str">
        <f t="shared" si="2"/>
        <v>Christopher (100): 1923–2013</v>
      </c>
      <c r="K22" s="91">
        <f t="shared" si="3"/>
        <v>56</v>
      </c>
      <c r="L22" s="69" t="str">
        <f t="shared" si="2"/>
        <v>Tommy (56): 1882–1944</v>
      </c>
      <c r="M22" s="59">
        <f>VLOOKUP(G22,'Loyd List 1-190 - Edit'!$P$3:$AN$184,25,FALSE)</f>
        <v>1</v>
      </c>
      <c r="N22" s="50">
        <f>VLOOKUP(G22,'Loyd List 1-190 - Edit'!$P$3:$AGI$184,26,FALSE)</f>
        <v>55</v>
      </c>
      <c r="O22" s="50">
        <f>VLOOKUP(G22,'Loyd List 1-190 - Edit'!$P$3:$AM$184,22,FALSE)</f>
        <v>9</v>
      </c>
      <c r="P22" t="s">
        <v>916</v>
      </c>
      <c r="R22" s="61"/>
      <c r="S22" t="s">
        <v>1398</v>
      </c>
      <c r="U22">
        <v>138</v>
      </c>
      <c r="V22" t="s">
        <v>1398</v>
      </c>
    </row>
    <row r="23" spans="1:22">
      <c r="A23" t="e">
        <f t="shared" si="4"/>
        <v>#REF!</v>
      </c>
      <c r="B23">
        <f>COUNTIF('Loyd List 1-190 - Edit'!$R$3:$R$184,'Data check lookup table'!A23)</f>
        <v>0</v>
      </c>
      <c r="G23" s="82">
        <v>120</v>
      </c>
      <c r="H23" s="63" t="str">
        <f t="shared" si="0"/>
        <v>Caroline (120): 1947–2022</v>
      </c>
      <c r="I23" s="86">
        <f t="shared" si="1"/>
        <v>96</v>
      </c>
      <c r="J23" s="15" t="str">
        <f t="shared" si="2"/>
        <v>Edward (96): 1921–1977</v>
      </c>
      <c r="K23" s="93">
        <f t="shared" si="3"/>
        <v>66</v>
      </c>
      <c r="L23" s="67" t="str">
        <f t="shared" si="2"/>
        <v>William (66): 1889–1947</v>
      </c>
      <c r="M23" s="57">
        <f>VLOOKUP(G23,'Loyd List 1-190 - Edit'!$P$3:$AN$184,25,FALSE)</f>
        <v>13</v>
      </c>
      <c r="N23" s="48">
        <f>VLOOKUP(G23,'Loyd List 1-190 - Edit'!$P$3:$AGI$184,26,FALSE)</f>
        <v>75</v>
      </c>
      <c r="O23" s="48">
        <f>VLOOKUP(G23,'Loyd List 1-190 - Edit'!$P$3:$AM$184,22,FALSE)</f>
        <v>1</v>
      </c>
      <c r="P23" t="s">
        <v>912</v>
      </c>
      <c r="R23" s="61"/>
      <c r="S23" t="s">
        <v>4432</v>
      </c>
      <c r="V23" t="s">
        <v>1399</v>
      </c>
    </row>
    <row r="24" spans="1:22">
      <c r="A24" t="e">
        <f t="shared" si="4"/>
        <v>#REF!</v>
      </c>
      <c r="B24">
        <f>COUNTIF('Loyd List 1-190 - Edit'!$R$3:$R$184,'Data check lookup table'!A24)</f>
        <v>0</v>
      </c>
      <c r="G24" s="83">
        <v>121</v>
      </c>
      <c r="H24" s="64" t="str">
        <f t="shared" si="0"/>
        <v>David (121): 1949–</v>
      </c>
      <c r="I24" s="87">
        <f t="shared" si="1"/>
        <v>96</v>
      </c>
      <c r="J24" s="17" t="str">
        <f t="shared" si="2"/>
        <v>Edward (96): 1921–1977</v>
      </c>
      <c r="K24" s="90">
        <f t="shared" si="3"/>
        <v>66</v>
      </c>
      <c r="L24" s="68" t="str">
        <f t="shared" si="2"/>
        <v>William (66): 1889–1947</v>
      </c>
      <c r="M24" s="58">
        <f>VLOOKUP(G24,'Loyd List 1-190 - Edit'!$P$3:$AN$184,25,FALSE)</f>
        <v>1</v>
      </c>
      <c r="N24" s="49">
        <f>VLOOKUP(G24,'Loyd List 1-190 - Edit'!$P$3:$AGI$184,26,FALSE)</f>
        <v>73</v>
      </c>
      <c r="O24" s="49">
        <f>VLOOKUP(G24,'Loyd List 1-190 - Edit'!$P$3:$AM$184,22,FALSE)</f>
        <v>1</v>
      </c>
      <c r="P24" t="s">
        <v>912</v>
      </c>
      <c r="R24" s="61"/>
      <c r="S24" t="s">
        <v>1399</v>
      </c>
      <c r="V24" t="s">
        <v>1399</v>
      </c>
    </row>
    <row r="25" spans="1:22">
      <c r="A25" t="e">
        <f t="shared" si="4"/>
        <v>#REF!</v>
      </c>
      <c r="B25">
        <f>COUNTIF('Loyd List 1-190 - Edit'!$R$3:$R$184,'Data check lookup table'!A25)</f>
        <v>0</v>
      </c>
      <c r="G25" s="83">
        <v>137</v>
      </c>
      <c r="H25" s="64" t="str">
        <f t="shared" ref="H25:H56" si="5">VLOOKUP(G25,namewithfather,2,FALSE)</f>
        <v>Henrietta (137): 1959–</v>
      </c>
      <c r="I25" s="87">
        <f t="shared" ref="I25:I56" si="6">VLOOKUP(G25,namewithfather,3,FALSE)</f>
        <v>99</v>
      </c>
      <c r="J25" s="17" t="str">
        <f t="shared" ref="J25:L56" si="7">VLOOKUP(I25,namewithfather,2,FALSE)</f>
        <v>Peter (99): 1923–1974</v>
      </c>
      <c r="K25" s="90">
        <f t="shared" ref="K25:K56" si="8">VLOOKUP(I25,namewithfather,3,FALSE)</f>
        <v>66</v>
      </c>
      <c r="L25" s="68" t="str">
        <f t="shared" si="7"/>
        <v>William (66): 1889–1947</v>
      </c>
      <c r="M25" s="58">
        <f>VLOOKUP(G25,'Loyd List 1-190 - Edit'!$P$3:$AN$184,25,FALSE)</f>
        <v>1</v>
      </c>
      <c r="N25" s="49">
        <f>VLOOKUP(G25,'Loyd List 1-190 - Edit'!$P$3:$AGI$184,26,FALSE)</f>
        <v>63</v>
      </c>
      <c r="O25" s="49">
        <f>VLOOKUP(G25,'Loyd List 1-190 - Edit'!$P$3:$AM$184,22,FALSE)</f>
        <v>1</v>
      </c>
      <c r="P25" t="s">
        <v>912</v>
      </c>
      <c r="R25" s="61" t="s">
        <v>1413</v>
      </c>
      <c r="S25" t="s">
        <v>1414</v>
      </c>
      <c r="V25" t="s">
        <v>1414</v>
      </c>
    </row>
    <row r="26" spans="1:22" ht="17" thickBot="1">
      <c r="A26" t="e">
        <f t="shared" si="4"/>
        <v>#REF!</v>
      </c>
      <c r="B26">
        <f>COUNTIF('Loyd List 1-190 - Edit'!$R$3:$R$184,'Data check lookup table'!A26)</f>
        <v>0</v>
      </c>
      <c r="G26" s="84">
        <v>144</v>
      </c>
      <c r="H26" s="65" t="str">
        <f t="shared" si="5"/>
        <v>Andrew (144): 1962–</v>
      </c>
      <c r="I26" s="88">
        <f t="shared" si="6"/>
        <v>99</v>
      </c>
      <c r="J26" s="18" t="str">
        <f t="shared" si="7"/>
        <v>Peter (99): 1923–1974</v>
      </c>
      <c r="K26" s="91">
        <f t="shared" si="8"/>
        <v>66</v>
      </c>
      <c r="L26" s="69" t="str">
        <f t="shared" si="7"/>
        <v>William (66): 1889–1947</v>
      </c>
      <c r="M26" s="58">
        <f>VLOOKUP(G26,'Loyd List 1-190 - Edit'!$P$3:$AN$184,25,FALSE)</f>
        <v>1</v>
      </c>
      <c r="N26" s="50">
        <f>VLOOKUP(G26,'Loyd List 1-190 - Edit'!$P$3:$AGI$184,26,FALSE)</f>
        <v>59</v>
      </c>
      <c r="O26" s="50">
        <f>VLOOKUP(G26,'Loyd List 1-190 - Edit'!$P$3:$AM$184,22,FALSE)</f>
        <v>11</v>
      </c>
      <c r="P26" t="s">
        <v>912</v>
      </c>
      <c r="R26" s="61" t="s">
        <v>1412</v>
      </c>
      <c r="S26" t="s">
        <v>1400</v>
      </c>
      <c r="V26" t="s">
        <v>1400</v>
      </c>
    </row>
    <row r="27" spans="1:22">
      <c r="A27" t="e">
        <f t="shared" si="4"/>
        <v>#REF!</v>
      </c>
      <c r="B27">
        <f>COUNTIF('Loyd List 1-190 - Edit'!$R$3:$R$184,'Data check lookup table'!A27)</f>
        <v>0</v>
      </c>
      <c r="G27" s="82">
        <v>124</v>
      </c>
      <c r="H27" s="63" t="str">
        <f t="shared" si="5"/>
        <v>Rob (124): 1949–</v>
      </c>
      <c r="I27" s="86">
        <f t="shared" si="6"/>
        <v>94</v>
      </c>
      <c r="J27" s="15" t="str">
        <f t="shared" si="7"/>
        <v>Alwyne (94): 1920–2014</v>
      </c>
      <c r="K27" s="93">
        <f t="shared" si="8"/>
        <v>68</v>
      </c>
      <c r="L27" s="67" t="str">
        <f t="shared" si="7"/>
        <v>Cecil (68): 1890–1963</v>
      </c>
      <c r="M27" s="57">
        <f>VLOOKUP(G27,'Loyd List 1-190 - Edit'!$P$3:$AN$184,25,FALSE)</f>
        <v>1</v>
      </c>
      <c r="N27" s="48">
        <f>VLOOKUP(G27,'Loyd List 1-190 - Edit'!$P$3:$AGI$184,26,FALSE)</f>
        <v>72</v>
      </c>
      <c r="O27" s="48">
        <f>VLOOKUP(G27,'Loyd List 1-190 - Edit'!$P$3:$AM$184,22,FALSE)</f>
        <v>7</v>
      </c>
      <c r="P27" t="s">
        <v>912</v>
      </c>
      <c r="R27" s="61"/>
      <c r="S27" t="s">
        <v>3588</v>
      </c>
      <c r="V27" t="s">
        <v>3127</v>
      </c>
    </row>
    <row r="28" spans="1:22" ht="17" thickBot="1">
      <c r="A28" t="e">
        <f t="shared" si="4"/>
        <v>#REF!</v>
      </c>
      <c r="B28">
        <f>COUNTIF('Loyd List 1-190 - Edit'!$R$3:$R$184,'Data check lookup table'!A28)</f>
        <v>0</v>
      </c>
      <c r="G28" s="83">
        <v>126</v>
      </c>
      <c r="H28" s="64" t="str">
        <f t="shared" si="5"/>
        <v>Paddy (126): 1951–</v>
      </c>
      <c r="I28" s="87">
        <f t="shared" si="6"/>
        <v>94</v>
      </c>
      <c r="J28" s="17" t="str">
        <f t="shared" si="7"/>
        <v>Alwyne (94): 1920–2014</v>
      </c>
      <c r="K28" s="90">
        <f t="shared" si="8"/>
        <v>68</v>
      </c>
      <c r="L28" s="68" t="str">
        <f t="shared" si="7"/>
        <v>Cecil (68): 1890–1963</v>
      </c>
      <c r="M28" s="58">
        <f>VLOOKUP(G28,'Loyd List 1-190 - Edit'!$P$3:$AN$184,25,FALSE)</f>
        <v>1</v>
      </c>
      <c r="N28" s="49">
        <f>VLOOKUP(G28,'Loyd List 1-190 - Edit'!$P$3:$AGI$184,26,FALSE)</f>
        <v>71</v>
      </c>
      <c r="O28" s="49">
        <f>VLOOKUP(G28,'Loyd List 1-190 - Edit'!$P$3:$AM$184,22,FALSE)</f>
        <v>6</v>
      </c>
      <c r="P28" t="s">
        <v>912</v>
      </c>
      <c r="R28" s="61"/>
      <c r="S28" t="s">
        <v>1423</v>
      </c>
      <c r="V28" t="s">
        <v>1423</v>
      </c>
    </row>
    <row r="29" spans="1:22">
      <c r="A29" t="e">
        <f t="shared" si="4"/>
        <v>#REF!</v>
      </c>
      <c r="B29">
        <f>COUNTIF('Loyd List 1-190 - Edit'!$R$3:$R$184,'Data check lookup table'!A29)</f>
        <v>0</v>
      </c>
      <c r="G29" s="83">
        <v>131</v>
      </c>
      <c r="H29" s="64" t="str">
        <f t="shared" si="5"/>
        <v>Dominic (131): 1953–</v>
      </c>
      <c r="I29" s="87">
        <f t="shared" si="6"/>
        <v>94</v>
      </c>
      <c r="J29" s="17" t="str">
        <f t="shared" si="7"/>
        <v>Alwyne (94): 1920–2014</v>
      </c>
      <c r="K29" s="90">
        <f t="shared" si="8"/>
        <v>68</v>
      </c>
      <c r="L29" s="68" t="str">
        <f t="shared" si="7"/>
        <v>Cecil (68): 1890–1963</v>
      </c>
      <c r="M29" s="58">
        <f>VLOOKUP(G29,'Loyd List 1-190 - Edit'!$P$3:$AN$184,25,FALSE)</f>
        <v>1</v>
      </c>
      <c r="N29" s="49">
        <f>VLOOKUP(G29,'Loyd List 1-190 - Edit'!$P$3:$AGI$184,26,FALSE)</f>
        <v>69</v>
      </c>
      <c r="O29" s="49">
        <f>VLOOKUP(G29,'Loyd List 1-190 - Edit'!$P$3:$AM$184,22,FALSE)</f>
        <v>3</v>
      </c>
      <c r="P29" t="s">
        <v>912</v>
      </c>
      <c r="R29" s="61"/>
      <c r="S29" t="s">
        <v>1419</v>
      </c>
      <c r="T29" s="57" t="s">
        <v>1166</v>
      </c>
      <c r="V29" t="s">
        <v>1419</v>
      </c>
    </row>
    <row r="30" spans="1:22">
      <c r="A30" t="e">
        <f t="shared" si="4"/>
        <v>#REF!</v>
      </c>
      <c r="B30">
        <f>COUNTIF('Loyd List 1-190 - Edit'!$R$3:$R$184,'Data check lookup table'!A30)</f>
        <v>0</v>
      </c>
      <c r="G30" s="83">
        <v>136</v>
      </c>
      <c r="H30" s="64" t="str">
        <f t="shared" si="5"/>
        <v>Tim (136): 1957–</v>
      </c>
      <c r="I30" s="87">
        <f t="shared" si="6"/>
        <v>94</v>
      </c>
      <c r="J30" s="17" t="str">
        <f t="shared" si="7"/>
        <v>Alwyne (94): 1920–2014</v>
      </c>
      <c r="K30" s="90">
        <f t="shared" si="8"/>
        <v>68</v>
      </c>
      <c r="L30" s="68" t="str">
        <f t="shared" si="7"/>
        <v>Cecil (68): 1890–1963</v>
      </c>
      <c r="M30" s="58">
        <f>VLOOKUP(G30,'Loyd List 1-190 - Edit'!$P$3:$AN$184,25,FALSE)</f>
        <v>1</v>
      </c>
      <c r="N30" s="49">
        <f>VLOOKUP(G30,'Loyd List 1-190 - Edit'!$P$3:$AGI$184,26,FALSE)</f>
        <v>65</v>
      </c>
      <c r="O30" s="49">
        <f>VLOOKUP(G30,'Loyd List 1-190 - Edit'!$P$3:$AM$184,22,FALSE)</f>
        <v>6</v>
      </c>
      <c r="P30" t="s">
        <v>912</v>
      </c>
      <c r="R30" s="61"/>
      <c r="S30" t="s">
        <v>1420</v>
      </c>
      <c r="V30" t="s">
        <v>1420</v>
      </c>
    </row>
    <row r="31" spans="1:22">
      <c r="A31" t="e">
        <f t="shared" si="4"/>
        <v>#REF!</v>
      </c>
      <c r="B31">
        <f>COUNTIF('Loyd List 1-190 - Edit'!$R$3:$R$184,'Data check lookup table'!A31)</f>
        <v>0</v>
      </c>
      <c r="G31" s="83">
        <v>139</v>
      </c>
      <c r="H31" s="64" t="str">
        <f t="shared" si="5"/>
        <v>Alex (139): 1959–</v>
      </c>
      <c r="I31" s="87">
        <f t="shared" si="6"/>
        <v>94</v>
      </c>
      <c r="J31" s="17" t="str">
        <f t="shared" si="7"/>
        <v>Alwyne (94): 1920–2014</v>
      </c>
      <c r="K31" s="90">
        <f t="shared" si="8"/>
        <v>68</v>
      </c>
      <c r="L31" s="68" t="str">
        <f t="shared" si="7"/>
        <v>Cecil (68): 1890–1963</v>
      </c>
      <c r="M31" s="58">
        <f>VLOOKUP(G31,'Loyd List 1-190 - Edit'!$P$3:$AN$184,25,FALSE)</f>
        <v>1</v>
      </c>
      <c r="N31" s="49">
        <f>VLOOKUP(G31,'Loyd List 1-190 - Edit'!$P$3:$AGI$184,26,FALSE)</f>
        <v>63</v>
      </c>
      <c r="O31" s="49">
        <f>VLOOKUP(G31,'Loyd List 1-190 - Edit'!$P$3:$AM$184,22,FALSE)</f>
        <v>3</v>
      </c>
      <c r="P31" t="s">
        <v>912</v>
      </c>
      <c r="R31" s="61"/>
      <c r="S31" t="s">
        <v>1421</v>
      </c>
      <c r="V31" t="s">
        <v>1421</v>
      </c>
    </row>
    <row r="32" spans="1:22" ht="17" thickBot="1">
      <c r="A32" t="e">
        <f t="shared" si="4"/>
        <v>#REF!</v>
      </c>
      <c r="B32">
        <f>COUNTIF('Loyd List 1-190 - Edit'!$R$3:$R$184,'Data check lookup table'!A32)</f>
        <v>0</v>
      </c>
      <c r="G32" s="84">
        <v>142</v>
      </c>
      <c r="H32" s="65" t="str">
        <f t="shared" si="5"/>
        <v>Rick (142): 1962–</v>
      </c>
      <c r="I32" s="88">
        <f t="shared" si="6"/>
        <v>94</v>
      </c>
      <c r="J32" s="18" t="str">
        <f t="shared" si="7"/>
        <v>Alwyne (94): 1920–2014</v>
      </c>
      <c r="K32" s="91">
        <f t="shared" si="8"/>
        <v>68</v>
      </c>
      <c r="L32" s="69" t="str">
        <f t="shared" si="7"/>
        <v>Cecil (68): 1890–1963</v>
      </c>
      <c r="M32" s="58">
        <f>VLOOKUP(G32,'Loyd List 1-190 - Edit'!$P$3:$AN$184,25,FALSE)</f>
        <v>1</v>
      </c>
      <c r="N32" s="50">
        <f>VLOOKUP(G32,'Loyd List 1-190 - Edit'!$P$3:$AGI$184,26,FALSE)</f>
        <v>60</v>
      </c>
      <c r="O32" s="50">
        <f>VLOOKUP(G32,'Loyd List 1-190 - Edit'!$P$3:$AM$184,22,FALSE)</f>
        <v>3</v>
      </c>
      <c r="P32" t="s">
        <v>912</v>
      </c>
      <c r="R32" s="61"/>
      <c r="S32" t="s">
        <v>1422</v>
      </c>
      <c r="V32" t="s">
        <v>1422</v>
      </c>
    </row>
    <row r="33" spans="1:22">
      <c r="A33" t="e">
        <f t="shared" si="4"/>
        <v>#REF!</v>
      </c>
      <c r="B33">
        <f>COUNTIF('Loyd List 1-190 - Edit'!$R$3:$R$184,'Data check lookup table'!A33)</f>
        <v>0</v>
      </c>
      <c r="G33" s="82">
        <v>125</v>
      </c>
      <c r="H33" s="63" t="str">
        <f t="shared" si="5"/>
        <v>Rona (125): 1951–</v>
      </c>
      <c r="I33" s="86">
        <f t="shared" si="6"/>
        <v>86</v>
      </c>
      <c r="J33" s="15" t="str">
        <f t="shared" si="7"/>
        <v>Peter (86): 1913–2008</v>
      </c>
      <c r="K33" s="93">
        <f t="shared" si="8"/>
        <v>71</v>
      </c>
      <c r="L33" s="67" t="str">
        <f t="shared" si="7"/>
        <v>Arthur (71): 1890–1974</v>
      </c>
      <c r="M33" s="57">
        <f>VLOOKUP(G33,'Loyd List 1-190 - Edit'!$P$3:$AN$184,25,FALSE)</f>
        <v>1</v>
      </c>
      <c r="N33" s="48">
        <f>VLOOKUP(G33,'Loyd List 1-190 - Edit'!$P$3:$AGI$184,26,FALSE)</f>
        <v>71</v>
      </c>
      <c r="O33" s="48">
        <f>VLOOKUP(G33,'Loyd List 1-190 - Edit'!$P$3:$AM$184,22,FALSE)</f>
        <v>2</v>
      </c>
      <c r="P33" t="s">
        <v>912</v>
      </c>
      <c r="R33" s="61"/>
      <c r="S33" t="s">
        <v>1954</v>
      </c>
      <c r="V33" t="s">
        <v>1954</v>
      </c>
    </row>
    <row r="34" spans="1:22">
      <c r="A34" t="e">
        <f t="shared" si="4"/>
        <v>#REF!</v>
      </c>
      <c r="B34">
        <f>COUNTIF('Loyd List 1-190 - Edit'!$R$3:$R$184,'Data check lookup table'!A34)</f>
        <v>0</v>
      </c>
      <c r="G34" s="83">
        <v>130</v>
      </c>
      <c r="H34" s="64" t="str">
        <f t="shared" si="5"/>
        <v>David (130): 1952–</v>
      </c>
      <c r="I34" s="87">
        <f t="shared" si="6"/>
        <v>86</v>
      </c>
      <c r="J34" s="17" t="str">
        <f t="shared" si="7"/>
        <v>Peter (86): 1913–2008</v>
      </c>
      <c r="K34" s="90">
        <f t="shared" si="8"/>
        <v>71</v>
      </c>
      <c r="L34" s="68" t="str">
        <f t="shared" si="7"/>
        <v>Arthur (71): 1890–1974</v>
      </c>
      <c r="M34" s="58">
        <f>VLOOKUP(G34,'Loyd List 1-190 - Edit'!$P$3:$AN$184,25,FALSE)</f>
        <v>1</v>
      </c>
      <c r="N34" s="49">
        <f>VLOOKUP(G34,'Loyd List 1-190 - Edit'!$P$3:$AGI$184,26,FALSE)</f>
        <v>70</v>
      </c>
      <c r="O34" s="49">
        <f>VLOOKUP(G34,'Loyd List 1-190 - Edit'!$P$3:$AM$184,22,FALSE)</f>
        <v>6</v>
      </c>
      <c r="P34" t="s">
        <v>912</v>
      </c>
      <c r="R34" s="61"/>
      <c r="S34" t="s">
        <v>1953</v>
      </c>
      <c r="V34" t="s">
        <v>1953</v>
      </c>
    </row>
    <row r="35" spans="1:22" ht="17" thickBot="1">
      <c r="A35" t="e">
        <f t="shared" si="4"/>
        <v>#REF!</v>
      </c>
      <c r="B35">
        <f>COUNTIF('Loyd List 1-190 - Edit'!$R$3:$R$184,'Data check lookup table'!A35)</f>
        <v>0</v>
      </c>
      <c r="G35" s="84">
        <v>135</v>
      </c>
      <c r="H35" s="65" t="str">
        <f t="shared" si="5"/>
        <v>Jim (135): 1955–</v>
      </c>
      <c r="I35" s="88">
        <f t="shared" si="6"/>
        <v>86</v>
      </c>
      <c r="J35" s="18" t="str">
        <f t="shared" si="7"/>
        <v>Peter (86): 1913–2008</v>
      </c>
      <c r="K35" s="91">
        <f t="shared" si="8"/>
        <v>71</v>
      </c>
      <c r="L35" s="69" t="str">
        <f t="shared" si="7"/>
        <v>Arthur (71): 1890–1974</v>
      </c>
      <c r="M35" s="59">
        <f>VLOOKUP(G35,'Loyd List 1-190 - Edit'!$P$3:$AN$184,25,FALSE)</f>
        <v>1</v>
      </c>
      <c r="N35" s="50">
        <f>VLOOKUP(G35,'Loyd List 1-190 - Edit'!$P$3:$AGI$184,26,FALSE)</f>
        <v>66</v>
      </c>
      <c r="O35" s="50">
        <f>VLOOKUP(G35,'Loyd List 1-190 - Edit'!$P$3:$AM$184,22,FALSE)</f>
        <v>8</v>
      </c>
      <c r="P35" t="s">
        <v>912</v>
      </c>
      <c r="R35" s="61"/>
      <c r="S35" t="s">
        <v>1955</v>
      </c>
      <c r="V35" t="s">
        <v>1955</v>
      </c>
    </row>
    <row r="36" spans="1:22">
      <c r="A36" t="e">
        <f t="shared" si="4"/>
        <v>#REF!</v>
      </c>
      <c r="B36">
        <f>COUNTIF('Loyd List 1-190 - Edit'!$R$3:$R$184,'Data check lookup table'!A36)</f>
        <v>0</v>
      </c>
      <c r="G36" s="82">
        <v>141</v>
      </c>
      <c r="H36" s="63" t="str">
        <f t="shared" si="5"/>
        <v>Alexandra (141): 1961–</v>
      </c>
      <c r="I36" s="86">
        <f t="shared" si="6"/>
        <v>104</v>
      </c>
      <c r="J36" s="15" t="str">
        <f t="shared" si="7"/>
        <v>Sir Julian (104): 1926–2018</v>
      </c>
      <c r="K36" s="93">
        <f t="shared" si="8"/>
        <v>72</v>
      </c>
      <c r="L36" s="67" t="str">
        <f t="shared" si="7"/>
        <v>Charles (72): 1891–1973</v>
      </c>
      <c r="M36" s="57">
        <f>VLOOKUP(G36,'Loyd List 1-190 - Edit'!$P$3:$AN$184,25,FALSE)</f>
        <v>1</v>
      </c>
      <c r="N36" s="48">
        <f>VLOOKUP(G36,'Loyd List 1-190 - Edit'!$P$3:$AGI$184,26,FALSE)</f>
        <v>60</v>
      </c>
      <c r="O36" s="48">
        <f>VLOOKUP(G36,'Loyd List 1-190 - Edit'!$P$3:$AM$184,22,FALSE)</f>
        <v>10</v>
      </c>
      <c r="P36" t="s">
        <v>916</v>
      </c>
      <c r="Q36" s="61" t="s">
        <v>1309</v>
      </c>
      <c r="R36" s="61" t="s">
        <v>1310</v>
      </c>
      <c r="S36" s="71" t="s">
        <v>1397</v>
      </c>
      <c r="V36" t="s">
        <v>1397</v>
      </c>
    </row>
    <row r="37" spans="1:22">
      <c r="A37" t="e">
        <f t="shared" si="4"/>
        <v>#REF!</v>
      </c>
      <c r="B37">
        <f>COUNTIF('Loyd List 1-190 - Edit'!$R$3:$R$184,'Data check lookup table'!A37)</f>
        <v>0</v>
      </c>
      <c r="G37" s="83">
        <v>146</v>
      </c>
      <c r="H37" s="64" t="str">
        <f t="shared" si="5"/>
        <v>Charles (146): 1963–</v>
      </c>
      <c r="I37" s="87">
        <f t="shared" si="6"/>
        <v>104</v>
      </c>
      <c r="J37" s="17" t="str">
        <f t="shared" si="7"/>
        <v>Sir Julian (104): 1926–2018</v>
      </c>
      <c r="K37" s="90">
        <f t="shared" si="8"/>
        <v>72</v>
      </c>
      <c r="L37" s="68" t="str">
        <f t="shared" si="7"/>
        <v>Charles (72): 1891–1973</v>
      </c>
      <c r="M37" s="58">
        <f>VLOOKUP(G37,'Loyd List 1-190 - Edit'!$P$3:$AN$184,25,FALSE)</f>
        <v>1</v>
      </c>
      <c r="N37" s="49">
        <f>VLOOKUP(G37,'Loyd List 1-190 - Edit'!$P$3:$AGI$184,26,FALSE)</f>
        <v>59</v>
      </c>
      <c r="O37" s="49">
        <f>VLOOKUP(G37,'Loyd List 1-190 - Edit'!$P$3:$AM$184,22,FALSE)</f>
        <v>3</v>
      </c>
      <c r="P37" t="s">
        <v>916</v>
      </c>
      <c r="Q37" t="s">
        <v>1411</v>
      </c>
      <c r="S37" t="s">
        <v>1843</v>
      </c>
      <c r="V37" t="s">
        <v>1843</v>
      </c>
    </row>
    <row r="38" spans="1:22" ht="17" thickBot="1">
      <c r="A38" t="e">
        <f t="shared" si="4"/>
        <v>#REF!</v>
      </c>
      <c r="B38">
        <f>COUNTIF('Loyd List 1-190 - Edit'!$R$3:$R$184,'Data check lookup table'!A38)</f>
        <v>0</v>
      </c>
      <c r="G38" s="84">
        <v>152</v>
      </c>
      <c r="H38" s="65" t="str">
        <f t="shared" si="5"/>
        <v>Mary Rose (152): 1967–</v>
      </c>
      <c r="I38" s="88">
        <f t="shared" si="6"/>
        <v>104</v>
      </c>
      <c r="J38" s="18" t="str">
        <f t="shared" si="7"/>
        <v>Sir Julian (104): 1926–2018</v>
      </c>
      <c r="K38" s="91">
        <f t="shared" si="8"/>
        <v>72</v>
      </c>
      <c r="L38" s="69" t="str">
        <f t="shared" si="7"/>
        <v>Charles (72): 1891–1973</v>
      </c>
      <c r="M38" s="59">
        <f>VLOOKUP(G38,'Loyd List 1-190 - Edit'!$P$3:$AN$184,25,FALSE)</f>
        <v>1</v>
      </c>
      <c r="N38" s="50">
        <f>VLOOKUP(G38,'Loyd List 1-190 - Edit'!$P$3:$AGI$184,26,FALSE)</f>
        <v>55</v>
      </c>
      <c r="O38" s="50">
        <f>VLOOKUP(G38,'Loyd List 1-190 - Edit'!$P$3:$AM$184,22,FALSE)</f>
        <v>6</v>
      </c>
      <c r="P38" t="s">
        <v>916</v>
      </c>
      <c r="R38" s="61" t="s">
        <v>1406</v>
      </c>
      <c r="S38" t="s">
        <v>1407</v>
      </c>
      <c r="V38" t="s">
        <v>1407</v>
      </c>
    </row>
    <row r="39" spans="1:22">
      <c r="A39" t="e">
        <f t="shared" si="4"/>
        <v>#REF!</v>
      </c>
      <c r="B39">
        <f>COUNTIF('Loyd List 1-190 - Edit'!$R$3:$R$184,'Data check lookup table'!A39)</f>
        <v>0</v>
      </c>
      <c r="G39" s="82">
        <v>128</v>
      </c>
      <c r="H39" s="63" t="str">
        <f t="shared" si="5"/>
        <v>Julie (128): 1952–</v>
      </c>
      <c r="I39" s="86">
        <f t="shared" si="6"/>
        <v>98</v>
      </c>
      <c r="J39" s="15" t="str">
        <f t="shared" si="7"/>
        <v>Peter (98): 1922–2022</v>
      </c>
      <c r="K39" s="93">
        <f t="shared" si="8"/>
        <v>77</v>
      </c>
      <c r="L39" s="67" t="str">
        <f t="shared" si="7"/>
        <v>Wilfrid (77): 1893–1971</v>
      </c>
      <c r="M39" s="57">
        <f>VLOOKUP(G39,'Loyd List 1-190 - Edit'!$P$3:$AN$184,25,FALSE)</f>
        <v>1</v>
      </c>
      <c r="N39" s="48">
        <f>VLOOKUP(G39,'Loyd List 1-190 - Edit'!$P$3:$AGI$184,26,FALSE)</f>
        <v>70</v>
      </c>
      <c r="O39" s="48">
        <f>VLOOKUP(G39,'Loyd List 1-190 - Edit'!$P$3:$AM$184,22,FALSE)</f>
        <v>4</v>
      </c>
      <c r="P39" t="s">
        <v>916</v>
      </c>
      <c r="S39" t="s">
        <v>1964</v>
      </c>
      <c r="V39" t="s">
        <v>3128</v>
      </c>
    </row>
    <row r="40" spans="1:22">
      <c r="A40" t="e">
        <f t="shared" si="4"/>
        <v>#REF!</v>
      </c>
      <c r="B40">
        <f>COUNTIF('Loyd List 1-190 - Edit'!$R$3:$R$184,'Data check lookup table'!A40)</f>
        <v>0</v>
      </c>
      <c r="G40" s="83">
        <v>134</v>
      </c>
      <c r="H40" s="64" t="str">
        <f t="shared" si="5"/>
        <v>William (134): 1955–</v>
      </c>
      <c r="I40" s="87">
        <f t="shared" si="6"/>
        <v>98</v>
      </c>
      <c r="J40" s="17" t="str">
        <f t="shared" si="7"/>
        <v>Peter (98): 1922–2022</v>
      </c>
      <c r="K40" s="90">
        <f t="shared" si="8"/>
        <v>77</v>
      </c>
      <c r="L40" s="68" t="str">
        <f t="shared" si="7"/>
        <v>Wilfrid (77): 1893–1971</v>
      </c>
      <c r="M40" s="58">
        <f>VLOOKUP(G40,'Loyd List 1-190 - Edit'!$P$3:$AN$184,25,FALSE)</f>
        <v>1</v>
      </c>
      <c r="N40" s="49">
        <f>VLOOKUP(G40,'Loyd List 1-190 - Edit'!$P$3:$AGI$184,26,FALSE)</f>
        <v>67</v>
      </c>
      <c r="O40" s="49">
        <f>VLOOKUP(G40,'Loyd List 1-190 - Edit'!$P$3:$AM$184,22,FALSE)</f>
        <v>6</v>
      </c>
      <c r="P40" t="s">
        <v>916</v>
      </c>
      <c r="S40" t="s">
        <v>1964</v>
      </c>
      <c r="V40" t="s">
        <v>3129</v>
      </c>
    </row>
    <row r="41" spans="1:22">
      <c r="A41" t="e">
        <f t="shared" si="4"/>
        <v>#REF!</v>
      </c>
      <c r="B41">
        <f>COUNTIF('Loyd List 1-190 - Edit'!$R$3:$R$184,'Data check lookup table'!A41)</f>
        <v>0</v>
      </c>
      <c r="G41" s="83">
        <v>145</v>
      </c>
      <c r="H41" s="64" t="str">
        <f t="shared" si="5"/>
        <v>Tony (145): 1963–</v>
      </c>
      <c r="I41" s="87">
        <f t="shared" si="6"/>
        <v>98</v>
      </c>
      <c r="J41" s="17" t="str">
        <f t="shared" si="7"/>
        <v>Peter (98): 1922–2022</v>
      </c>
      <c r="K41" s="90">
        <f t="shared" si="8"/>
        <v>77</v>
      </c>
      <c r="L41" s="68" t="str">
        <f t="shared" si="7"/>
        <v>Wilfrid (77): 1893–1971</v>
      </c>
      <c r="M41" s="58">
        <f>VLOOKUP(G41,'Loyd List 1-190 - Edit'!$P$3:$AN$184,25,FALSE)</f>
        <v>1</v>
      </c>
      <c r="N41" s="49">
        <f>VLOOKUP(G41,'Loyd List 1-190 - Edit'!$P$3:$AGI$184,26,FALSE)</f>
        <v>59</v>
      </c>
      <c r="O41" s="49">
        <f>VLOOKUP(G41,'Loyd List 1-190 - Edit'!$P$3:$AM$184,22,FALSE)</f>
        <v>2</v>
      </c>
      <c r="P41" t="s">
        <v>916</v>
      </c>
      <c r="S41" t="s">
        <v>1964</v>
      </c>
      <c r="V41" t="s">
        <v>3130</v>
      </c>
    </row>
    <row r="42" spans="1:22">
      <c r="A42" t="e">
        <f t="shared" si="4"/>
        <v>#REF!</v>
      </c>
      <c r="B42">
        <f>COUNTIF('Loyd List 1-190 - Edit'!$R$3:$R$184,'Data check lookup table'!A42)</f>
        <v>0</v>
      </c>
      <c r="G42" s="83">
        <v>154</v>
      </c>
      <c r="H42" s="64" t="str">
        <f t="shared" si="5"/>
        <v>Sophie (154): 1969–</v>
      </c>
      <c r="I42" s="87">
        <f t="shared" si="6"/>
        <v>98</v>
      </c>
      <c r="J42" s="17" t="str">
        <f t="shared" si="7"/>
        <v>Peter (98): 1922–2022</v>
      </c>
      <c r="K42" s="90">
        <f t="shared" si="8"/>
        <v>77</v>
      </c>
      <c r="L42" s="68" t="str">
        <f t="shared" si="7"/>
        <v>Wilfrid (77): 1893–1971</v>
      </c>
      <c r="M42" s="58">
        <f>VLOOKUP(G42,'Loyd List 1-190 - Edit'!$P$3:$AN$184,25,FALSE)</f>
        <v>1</v>
      </c>
      <c r="N42" s="49">
        <f>VLOOKUP(G42,'Loyd List 1-190 - Edit'!$P$3:$AGI$184,26,FALSE)</f>
        <v>53</v>
      </c>
      <c r="O42" s="49">
        <f>VLOOKUP(G42,'Loyd List 1-190 - Edit'!$P$3:$AM$184,22,FALSE)</f>
        <v>6</v>
      </c>
      <c r="P42" t="s">
        <v>916</v>
      </c>
      <c r="S42" t="s">
        <v>1964</v>
      </c>
      <c r="V42" t="s">
        <v>3131</v>
      </c>
    </row>
    <row r="43" spans="1:22">
      <c r="A43" t="e">
        <f t="shared" si="4"/>
        <v>#REF!</v>
      </c>
      <c r="B43">
        <f>COUNTIF('Loyd List 1-190 - Edit'!$R$3:$R$184,'Data check lookup table'!A43)</f>
        <v>0</v>
      </c>
      <c r="G43" s="83">
        <v>122</v>
      </c>
      <c r="H43" s="64" t="str">
        <f t="shared" si="5"/>
        <v>Martin (122): 1949–</v>
      </c>
      <c r="I43" s="87">
        <f t="shared" si="6"/>
        <v>105</v>
      </c>
      <c r="J43" s="17" t="str">
        <f t="shared" si="7"/>
        <v>Geoffrey (105): 1926–2018</v>
      </c>
      <c r="K43" s="90">
        <f t="shared" si="8"/>
        <v>77</v>
      </c>
      <c r="L43" s="68" t="str">
        <f t="shared" si="7"/>
        <v>Wilfrid (77): 1893–1971</v>
      </c>
      <c r="M43" s="58">
        <f>VLOOKUP(G43,'Loyd List 1-190 - Edit'!$P$3:$AN$184,25,FALSE)</f>
        <v>1</v>
      </c>
      <c r="N43" s="49">
        <f>VLOOKUP(G43,'Loyd List 1-190 - Edit'!$P$3:$AGI$184,26,FALSE)</f>
        <v>73</v>
      </c>
      <c r="O43" s="49">
        <f>VLOOKUP(G43,'Loyd List 1-190 - Edit'!$P$3:$AM$184,22,FALSE)</f>
        <v>2</v>
      </c>
      <c r="P43" t="s">
        <v>916</v>
      </c>
      <c r="S43" t="s">
        <v>1844</v>
      </c>
      <c r="V43" t="s">
        <v>1844</v>
      </c>
    </row>
    <row r="44" spans="1:22" ht="17" thickBot="1">
      <c r="A44" t="e">
        <f t="shared" si="4"/>
        <v>#REF!</v>
      </c>
      <c r="B44">
        <f>COUNTIF('Loyd List 1-190 - Edit'!$R$3:$R$184,'Data check lookup table'!A44)</f>
        <v>0</v>
      </c>
      <c r="G44" s="84">
        <v>133</v>
      </c>
      <c r="H44" s="65" t="str">
        <f t="shared" si="5"/>
        <v>Jeremy (133): 1954–</v>
      </c>
      <c r="I44" s="88">
        <f t="shared" si="6"/>
        <v>105</v>
      </c>
      <c r="J44" s="18" t="str">
        <f t="shared" si="7"/>
        <v>Geoffrey (105): 1926–2018</v>
      </c>
      <c r="K44" s="91">
        <f t="shared" si="8"/>
        <v>77</v>
      </c>
      <c r="L44" s="69" t="str">
        <f t="shared" si="7"/>
        <v>Wilfrid (77): 1893–1971</v>
      </c>
      <c r="M44" s="58">
        <f>VLOOKUP(G44,'Loyd List 1-190 - Edit'!$P$3:$AN$184,25,FALSE)</f>
        <v>1</v>
      </c>
      <c r="N44" s="50">
        <f>VLOOKUP(G44,'Loyd List 1-190 - Edit'!$P$3:$AGI$184,26,FALSE)</f>
        <v>67</v>
      </c>
      <c r="O44" s="50">
        <f>VLOOKUP(G44,'Loyd List 1-190 - Edit'!$P$3:$AM$184,22,FALSE)</f>
        <v>7</v>
      </c>
      <c r="P44" t="s">
        <v>916</v>
      </c>
      <c r="S44" t="s">
        <v>1844</v>
      </c>
      <c r="V44" t="s">
        <v>1844</v>
      </c>
    </row>
    <row r="45" spans="1:22" ht="17" thickBot="1">
      <c r="A45" t="e">
        <f t="shared" si="4"/>
        <v>#REF!</v>
      </c>
      <c r="B45">
        <f>COUNTIF('Loyd List 1-190 - Edit'!$R$3:$R$184,'Data check lookup table'!A45)</f>
        <v>0</v>
      </c>
      <c r="G45" s="85">
        <v>149</v>
      </c>
      <c r="H45" s="66" t="str">
        <f t="shared" si="5"/>
        <v>Anthony (149): 1966–</v>
      </c>
      <c r="I45" s="89">
        <f t="shared" si="6"/>
        <v>113</v>
      </c>
      <c r="J45" s="47" t="str">
        <f t="shared" si="7"/>
        <v>Willie (113): 1937–1994</v>
      </c>
      <c r="K45" s="92">
        <f t="shared" si="8"/>
        <v>78</v>
      </c>
      <c r="L45" s="70" t="str">
        <f t="shared" si="7"/>
        <v>Vivian (78): 1894–1972</v>
      </c>
      <c r="M45" s="56">
        <f>VLOOKUP(G45,'Loyd List 1-190 - Edit'!$P$3:$AN$184,25,FALSE)</f>
        <v>1</v>
      </c>
      <c r="N45" s="51">
        <f>VLOOKUP(G45,'Loyd List 1-190 - Edit'!$P$3:$AGI$184,26,FALSE)</f>
        <v>55</v>
      </c>
      <c r="O45" s="51">
        <f>VLOOKUP(G45,'Loyd List 1-190 - Edit'!$P$3:$AM$184,22,FALSE)</f>
        <v>9</v>
      </c>
      <c r="P45" t="s">
        <v>912</v>
      </c>
      <c r="S45" t="s">
        <v>2919</v>
      </c>
      <c r="V45" t="s">
        <v>3132</v>
      </c>
    </row>
    <row r="46" spans="1:22">
      <c r="A46" t="e">
        <f t="shared" si="4"/>
        <v>#REF!</v>
      </c>
      <c r="B46">
        <f>COUNTIF('Loyd List 1-190 - Edit'!$R$3:$R$184,'Data check lookup table'!A46)</f>
        <v>0</v>
      </c>
      <c r="G46" s="82">
        <v>157</v>
      </c>
      <c r="H46" s="63" t="str">
        <f t="shared" si="5"/>
        <v>Tess (157): 1975–</v>
      </c>
      <c r="I46" s="86">
        <f t="shared" si="6"/>
        <v>114</v>
      </c>
      <c r="J46" s="15" t="str">
        <f t="shared" si="7"/>
        <v>Michael (114): 1938–</v>
      </c>
      <c r="K46" s="93">
        <f t="shared" si="8"/>
        <v>80</v>
      </c>
      <c r="L46" s="67" t="str">
        <f t="shared" si="7"/>
        <v>Eric (80): 1894–1963</v>
      </c>
      <c r="M46" s="57">
        <f>VLOOKUP(G46,'Loyd List 1-190 - Edit'!$P$3:$AN$184,25,FALSE)</f>
        <v>1</v>
      </c>
      <c r="N46" s="48">
        <f>VLOOKUP(G46,'Loyd List 1-190 - Edit'!$P$3:$AGI$184,26,FALSE)</f>
        <v>46</v>
      </c>
      <c r="O46" s="48">
        <f>VLOOKUP(G46,'Loyd List 1-190 - Edit'!$P$3:$AM$184,22,FALSE)</f>
        <v>7</v>
      </c>
      <c r="P46" t="s">
        <v>916</v>
      </c>
      <c r="S46" t="s">
        <v>1952</v>
      </c>
      <c r="V46" t="s">
        <v>1952</v>
      </c>
    </row>
    <row r="47" spans="1:22">
      <c r="A47" t="e">
        <f t="shared" si="4"/>
        <v>#REF!</v>
      </c>
      <c r="B47">
        <f>COUNTIF('Loyd List 1-190 - Edit'!$R$3:$R$184,'Data check lookup table'!A47)</f>
        <v>0</v>
      </c>
      <c r="G47" s="83">
        <v>158</v>
      </c>
      <c r="H47" s="64" t="str">
        <f t="shared" si="5"/>
        <v>Chloe (158): 1977–</v>
      </c>
      <c r="I47" s="87">
        <f t="shared" si="6"/>
        <v>114</v>
      </c>
      <c r="J47" s="17" t="str">
        <f t="shared" si="7"/>
        <v>Michael (114): 1938–</v>
      </c>
      <c r="K47" s="90">
        <f t="shared" si="8"/>
        <v>80</v>
      </c>
      <c r="L47" s="68" t="str">
        <f t="shared" si="7"/>
        <v>Eric (80): 1894–1963</v>
      </c>
      <c r="M47" s="58">
        <f>VLOOKUP(G47,'Loyd List 1-190 - Edit'!$P$3:$AN$184,25,FALSE)</f>
        <v>1</v>
      </c>
      <c r="N47" s="49">
        <f>VLOOKUP(G47,'Loyd List 1-190 - Edit'!$P$3:$AGI$184,26,FALSE)</f>
        <v>44</v>
      </c>
      <c r="O47" s="49">
        <f>VLOOKUP(G47,'Loyd List 1-190 - Edit'!$P$3:$AM$184,22,FALSE)</f>
        <v>8</v>
      </c>
      <c r="P47" t="s">
        <v>916</v>
      </c>
      <c r="S47" t="s">
        <v>1952</v>
      </c>
      <c r="V47" t="s">
        <v>1952</v>
      </c>
    </row>
    <row r="48" spans="1:22">
      <c r="A48" t="e">
        <f t="shared" si="4"/>
        <v>#REF!</v>
      </c>
      <c r="B48">
        <f>COUNTIF('Loyd List 1-190 - Edit'!$R$3:$R$184,'Data check lookup table'!A48)</f>
        <v>0</v>
      </c>
      <c r="G48" s="83">
        <v>159</v>
      </c>
      <c r="H48" s="64" t="str">
        <f t="shared" si="5"/>
        <v>Daisy (159): 1979–</v>
      </c>
      <c r="I48" s="87">
        <f t="shared" si="6"/>
        <v>114</v>
      </c>
      <c r="J48" s="17" t="str">
        <f t="shared" si="7"/>
        <v>Michael (114): 1938–</v>
      </c>
      <c r="K48" s="90">
        <f t="shared" si="8"/>
        <v>80</v>
      </c>
      <c r="L48" s="68" t="str">
        <f t="shared" si="7"/>
        <v>Eric (80): 1894–1963</v>
      </c>
      <c r="M48" s="58">
        <f>VLOOKUP(G48,'Loyd List 1-190 - Edit'!$P$3:$AN$184,25,FALSE)</f>
        <v>1</v>
      </c>
      <c r="N48" s="49">
        <f>VLOOKUP(G48,'Loyd List 1-190 - Edit'!$P$3:$AGI$184,26,FALSE)</f>
        <v>42</v>
      </c>
      <c r="O48" s="49">
        <f>VLOOKUP(G48,'Loyd List 1-190 - Edit'!$P$3:$AM$184,22,FALSE)</f>
        <v>8</v>
      </c>
      <c r="P48" t="s">
        <v>916</v>
      </c>
      <c r="S48" t="s">
        <v>1952</v>
      </c>
      <c r="V48" t="s">
        <v>1952</v>
      </c>
    </row>
    <row r="49" spans="1:22">
      <c r="A49" t="e">
        <f t="shared" si="4"/>
        <v>#REF!</v>
      </c>
      <c r="B49">
        <f>COUNTIF('Loyd List 1-190 - Edit'!$R$3:$R$184,'Data check lookup table'!A49)</f>
        <v>0</v>
      </c>
      <c r="G49" s="83">
        <v>155</v>
      </c>
      <c r="H49" s="64" t="str">
        <f t="shared" si="5"/>
        <v>William (155): 1973–</v>
      </c>
      <c r="I49" s="87">
        <f t="shared" si="6"/>
        <v>119</v>
      </c>
      <c r="J49" s="17" t="str">
        <f t="shared" si="7"/>
        <v>Peter (119): 1942–</v>
      </c>
      <c r="K49" s="90">
        <f t="shared" si="8"/>
        <v>80</v>
      </c>
      <c r="L49" s="68" t="str">
        <f t="shared" si="7"/>
        <v>Eric (80): 1894–1963</v>
      </c>
      <c r="M49" s="58">
        <f>VLOOKUP(G49,'Loyd List 1-190 - Edit'!$P$3:$AN$184,25,FALSE)</f>
        <v>1</v>
      </c>
      <c r="N49" s="49">
        <f>VLOOKUP(G49,'Loyd List 1-190 - Edit'!$P$3:$AGI$184,26,FALSE)</f>
        <v>49</v>
      </c>
      <c r="O49" s="49">
        <f>VLOOKUP(G49,'Loyd List 1-190 - Edit'!$P$3:$AM$184,22,FALSE)</f>
        <v>4</v>
      </c>
      <c r="P49" t="s">
        <v>916</v>
      </c>
      <c r="S49" t="s">
        <v>1952</v>
      </c>
      <c r="V49" t="s">
        <v>1952</v>
      </c>
    </row>
    <row r="50" spans="1:22">
      <c r="A50" t="e">
        <f t="shared" si="4"/>
        <v>#REF!</v>
      </c>
      <c r="B50">
        <f>COUNTIF('Loyd List 1-190 - Edit'!$R$3:$R$184,'Data check lookup table'!A50)</f>
        <v>0</v>
      </c>
      <c r="G50" s="83">
        <v>156</v>
      </c>
      <c r="H50" s="64" t="str">
        <f t="shared" si="5"/>
        <v>Amy (156): 1975–</v>
      </c>
      <c r="I50" s="87">
        <f t="shared" si="6"/>
        <v>119</v>
      </c>
      <c r="J50" s="17" t="str">
        <f t="shared" si="7"/>
        <v>Peter (119): 1942–</v>
      </c>
      <c r="K50" s="90">
        <f t="shared" si="8"/>
        <v>80</v>
      </c>
      <c r="L50" s="68" t="str">
        <f t="shared" si="7"/>
        <v>Eric (80): 1894–1963</v>
      </c>
      <c r="M50" s="58">
        <f>VLOOKUP(G50,'Loyd List 1-190 - Edit'!$P$3:$AN$184,25,FALSE)</f>
        <v>1</v>
      </c>
      <c r="N50" s="49">
        <f>VLOOKUP(G50,'Loyd List 1-190 - Edit'!$P$3:$AGI$184,26,FALSE)</f>
        <v>47</v>
      </c>
      <c r="O50" s="49">
        <f>VLOOKUP(G50,'Loyd List 1-190 - Edit'!$P$3:$AM$184,22,FALSE)</f>
        <v>3</v>
      </c>
      <c r="P50" t="s">
        <v>916</v>
      </c>
      <c r="S50" t="s">
        <v>1952</v>
      </c>
      <c r="V50" t="s">
        <v>1952</v>
      </c>
    </row>
    <row r="51" spans="1:22">
      <c r="A51" t="e">
        <f t="shared" si="4"/>
        <v>#REF!</v>
      </c>
      <c r="B51">
        <f>COUNTIF('Loyd List 1-190 - Edit'!$R$3:$R$184,'Data check lookup table'!A51)</f>
        <v>0</v>
      </c>
      <c r="G51" s="83">
        <v>161</v>
      </c>
      <c r="H51" s="64" t="str">
        <f t="shared" si="5"/>
        <v>Molly (161): 1982–</v>
      </c>
      <c r="I51" s="87">
        <f t="shared" si="6"/>
        <v>119</v>
      </c>
      <c r="J51" s="17" t="str">
        <f t="shared" si="7"/>
        <v>Peter (119): 1942–</v>
      </c>
      <c r="K51" s="90">
        <f t="shared" si="8"/>
        <v>80</v>
      </c>
      <c r="L51" s="68" t="str">
        <f t="shared" si="7"/>
        <v>Eric (80): 1894–1963</v>
      </c>
      <c r="M51" s="58">
        <f>VLOOKUP(G51,'Loyd List 1-190 - Edit'!$P$3:$AN$184,25,FALSE)</f>
        <v>1</v>
      </c>
      <c r="N51" s="49">
        <f>VLOOKUP(G51,'Loyd List 1-190 - Edit'!$P$3:$AGI$184,26,FALSE)</f>
        <v>40</v>
      </c>
      <c r="O51" s="49">
        <f>VLOOKUP(G51,'Loyd List 1-190 - Edit'!$P$3:$AM$184,22,FALSE)</f>
        <v>4</v>
      </c>
      <c r="P51" t="s">
        <v>916</v>
      </c>
      <c r="S51" t="s">
        <v>1952</v>
      </c>
      <c r="V51" t="s">
        <v>1952</v>
      </c>
    </row>
    <row r="52" spans="1:22" ht="17" thickBot="1">
      <c r="A52" t="e">
        <f t="shared" si="4"/>
        <v>#REF!</v>
      </c>
      <c r="B52">
        <f>COUNTIF('Loyd List 1-190 - Edit'!$R$3:$R$184,'Data check lookup table'!A52)</f>
        <v>0</v>
      </c>
      <c r="G52" s="84">
        <v>163</v>
      </c>
      <c r="H52" s="65" t="str">
        <f t="shared" si="5"/>
        <v>Harriet (163): 1984–</v>
      </c>
      <c r="I52" s="88">
        <f t="shared" si="6"/>
        <v>119</v>
      </c>
      <c r="J52" s="18" t="str">
        <f t="shared" si="7"/>
        <v>Peter (119): 1942–</v>
      </c>
      <c r="K52" s="91">
        <f t="shared" si="8"/>
        <v>80</v>
      </c>
      <c r="L52" s="69" t="str">
        <f t="shared" si="7"/>
        <v>Eric (80): 1894–1963</v>
      </c>
      <c r="M52" s="58">
        <f>VLOOKUP(G52,'Loyd List 1-190 - Edit'!$P$3:$AN$184,25,FALSE)</f>
        <v>1</v>
      </c>
      <c r="N52" s="50">
        <f>VLOOKUP(G52,'Loyd List 1-190 - Edit'!$P$3:$AGI$184,26,FALSE)</f>
        <v>38</v>
      </c>
      <c r="O52" s="50">
        <f>VLOOKUP(G52,'Loyd List 1-190 - Edit'!$P$3:$AM$184,22,FALSE)</f>
        <v>5</v>
      </c>
      <c r="P52" t="s">
        <v>916</v>
      </c>
      <c r="S52" t="s">
        <v>1952</v>
      </c>
      <c r="V52" t="s">
        <v>1952</v>
      </c>
    </row>
    <row r="53" spans="1:22">
      <c r="A53" t="e">
        <f t="shared" si="4"/>
        <v>#REF!</v>
      </c>
      <c r="B53">
        <f>COUNTIF('Loyd List 1-190 - Edit'!$R$3:$R$184,'Data check lookup table'!A53)</f>
        <v>0</v>
      </c>
      <c r="G53" s="82">
        <v>166</v>
      </c>
      <c r="H53" s="63" t="str">
        <f t="shared" si="5"/>
        <v>Gareth (166): 1988–</v>
      </c>
      <c r="I53" s="86">
        <f t="shared" si="6"/>
        <v>130</v>
      </c>
      <c r="J53" s="15" t="str">
        <f t="shared" si="7"/>
        <v>David (130): 1952–</v>
      </c>
      <c r="K53" s="93">
        <f t="shared" si="8"/>
        <v>86</v>
      </c>
      <c r="L53" s="67" t="str">
        <f t="shared" si="7"/>
        <v>Peter (86): 1913–2008</v>
      </c>
      <c r="M53" s="57">
        <f>VLOOKUP(G53,'Loyd List 1-190 - Edit'!$P$3:$AN$184,25,FALSE)</f>
        <v>1</v>
      </c>
      <c r="N53" s="48">
        <f>VLOOKUP(G53,'Loyd List 1-190 - Edit'!$P$3:$AGI$184,26,FALSE)</f>
        <v>34</v>
      </c>
      <c r="O53" s="48">
        <f>VLOOKUP(G53,'Loyd List 1-190 - Edit'!$P$3:$AM$184,22,FALSE)</f>
        <v>1</v>
      </c>
      <c r="P53" t="s">
        <v>912</v>
      </c>
      <c r="S53" t="s">
        <v>1953</v>
      </c>
      <c r="V53" t="s">
        <v>1953</v>
      </c>
    </row>
    <row r="54" spans="1:22">
      <c r="A54" t="e">
        <f t="shared" si="4"/>
        <v>#REF!</v>
      </c>
      <c r="B54">
        <f>COUNTIF('Loyd List 1-190 - Edit'!$R$3:$R$184,'Data check lookup table'!A54)</f>
        <v>0</v>
      </c>
      <c r="G54" s="83">
        <v>173</v>
      </c>
      <c r="H54" s="64" t="str">
        <f t="shared" si="5"/>
        <v>Curtis (173): 1992–</v>
      </c>
      <c r="I54" s="87">
        <f t="shared" si="6"/>
        <v>135</v>
      </c>
      <c r="J54" s="17" t="str">
        <f t="shared" si="7"/>
        <v>Jim (135): 1955–</v>
      </c>
      <c r="K54" s="90">
        <f t="shared" si="8"/>
        <v>86</v>
      </c>
      <c r="L54" s="68" t="str">
        <f t="shared" si="7"/>
        <v>Peter (86): 1913–2008</v>
      </c>
      <c r="M54" s="58">
        <f>VLOOKUP(G54,'Loyd List 1-190 - Edit'!$P$3:$AN$184,25,FALSE)</f>
        <v>1</v>
      </c>
      <c r="N54" s="49">
        <f>VLOOKUP(G54,'Loyd List 1-190 - Edit'!$P$3:$AGI$184,26,FALSE)</f>
        <v>30</v>
      </c>
      <c r="O54" s="49">
        <f>VLOOKUP(G54,'Loyd List 1-190 - Edit'!$P$3:$AM$184,22,FALSE)</f>
        <v>1</v>
      </c>
      <c r="P54" t="s">
        <v>912</v>
      </c>
      <c r="S54" t="s">
        <v>1955</v>
      </c>
      <c r="V54" t="s">
        <v>1955</v>
      </c>
    </row>
    <row r="55" spans="1:22" ht="17" thickBot="1">
      <c r="A55" t="e">
        <f t="shared" si="4"/>
        <v>#REF!</v>
      </c>
      <c r="B55">
        <f>COUNTIF('Loyd List 1-190 - Edit'!$R$3:$R$184,'Data check lookup table'!A55)</f>
        <v>0</v>
      </c>
      <c r="G55" s="84">
        <v>177</v>
      </c>
      <c r="H55" s="65" t="str">
        <f t="shared" si="5"/>
        <v>Spencer (177): 1995–</v>
      </c>
      <c r="I55" s="88">
        <f t="shared" si="6"/>
        <v>135</v>
      </c>
      <c r="J55" s="18" t="str">
        <f t="shared" si="7"/>
        <v>Jim (135): 1955–</v>
      </c>
      <c r="K55" s="91">
        <f t="shared" si="8"/>
        <v>86</v>
      </c>
      <c r="L55" s="69" t="str">
        <f t="shared" si="7"/>
        <v>Peter (86): 1913–2008</v>
      </c>
      <c r="M55" s="59">
        <f>VLOOKUP(G55,'Loyd List 1-190 - Edit'!$P$3:$AN$184,25,FALSE)</f>
        <v>1</v>
      </c>
      <c r="N55" s="50">
        <f>VLOOKUP(G55,'Loyd List 1-190 - Edit'!$P$3:$AGI$184,26,FALSE)</f>
        <v>26</v>
      </c>
      <c r="O55" s="50">
        <f>VLOOKUP(G55,'Loyd List 1-190 - Edit'!$P$3:$AM$184,22,FALSE)</f>
        <v>7</v>
      </c>
      <c r="P55" t="s">
        <v>912</v>
      </c>
      <c r="R55" s="31" t="s">
        <v>1656</v>
      </c>
      <c r="S55" s="31" t="s">
        <v>1955</v>
      </c>
      <c r="T55" s="31"/>
      <c r="V55" t="s">
        <v>1955</v>
      </c>
    </row>
    <row r="56" spans="1:22">
      <c r="A56" t="e">
        <f t="shared" si="4"/>
        <v>#REF!</v>
      </c>
      <c r="B56">
        <f>COUNTIF('Loyd List 1-190 - Edit'!$R$3:$R$184,'Data check lookup table'!A56)</f>
        <v>0</v>
      </c>
      <c r="G56" s="82">
        <v>160</v>
      </c>
      <c r="H56" s="63" t="str">
        <f t="shared" si="5"/>
        <v>John (160): 1982–</v>
      </c>
      <c r="I56" s="86">
        <f t="shared" si="6"/>
        <v>131</v>
      </c>
      <c r="J56" s="15" t="str">
        <f t="shared" si="7"/>
        <v>Dominic (131): 1953–</v>
      </c>
      <c r="K56" s="93">
        <f t="shared" si="8"/>
        <v>94</v>
      </c>
      <c r="L56" s="67" t="str">
        <f t="shared" si="7"/>
        <v>Alwyne (94): 1920–2014</v>
      </c>
      <c r="M56" s="57">
        <f>VLOOKUP(G56,'Loyd List 1-190 - Edit'!$P$3:$AN$184,25,FALSE)</f>
        <v>1</v>
      </c>
      <c r="N56" s="48">
        <f>VLOOKUP(G56,'Loyd List 1-190 - Edit'!$P$3:$AGI$184,26,FALSE)</f>
        <v>40</v>
      </c>
      <c r="O56" s="48">
        <f>VLOOKUP(G56,'Loyd List 1-190 - Edit'!$P$3:$AM$184,22,FALSE)</f>
        <v>1</v>
      </c>
      <c r="P56" t="s">
        <v>912</v>
      </c>
      <c r="S56" t="s">
        <v>1415</v>
      </c>
      <c r="V56" t="s">
        <v>1415</v>
      </c>
    </row>
    <row r="57" spans="1:22">
      <c r="A57" t="e">
        <f t="shared" si="4"/>
        <v>#REF!</v>
      </c>
      <c r="B57">
        <f>COUNTIF('Loyd List 1-190 - Edit'!$R$3:$R$184,'Data check lookup table'!A57)</f>
        <v>0</v>
      </c>
      <c r="G57" s="83">
        <v>162</v>
      </c>
      <c r="H57" s="64" t="str">
        <f t="shared" ref="H57:H73" si="9">VLOOKUP(G57,namewithfather,2,FALSE)</f>
        <v>David (162): 1984–</v>
      </c>
      <c r="I57" s="87">
        <f t="shared" ref="I57:I73" si="10">VLOOKUP(G57,namewithfather,3,FALSE)</f>
        <v>131</v>
      </c>
      <c r="J57" s="17" t="str">
        <f t="shared" ref="J57:L73" si="11">VLOOKUP(I57,namewithfather,2,FALSE)</f>
        <v>Dominic (131): 1953–</v>
      </c>
      <c r="K57" s="90">
        <f t="shared" ref="K57:K73" si="12">VLOOKUP(I57,namewithfather,3,FALSE)</f>
        <v>94</v>
      </c>
      <c r="L57" s="68" t="str">
        <f t="shared" si="11"/>
        <v>Alwyne (94): 1920–2014</v>
      </c>
      <c r="M57" s="58">
        <f>VLOOKUP(G57,'Loyd List 1-190 - Edit'!$P$3:$AN$184,25,FALSE)</f>
        <v>1</v>
      </c>
      <c r="N57" s="49">
        <f>VLOOKUP(G57,'Loyd List 1-190 - Edit'!$P$3:$AGI$184,26,FALSE)</f>
        <v>38</v>
      </c>
      <c r="O57" s="49">
        <f>VLOOKUP(G57,'Loyd List 1-190 - Edit'!$P$3:$AM$184,22,FALSE)</f>
        <v>4</v>
      </c>
      <c r="P57" t="s">
        <v>912</v>
      </c>
      <c r="S57" t="s">
        <v>1416</v>
      </c>
      <c r="V57" t="s">
        <v>3773</v>
      </c>
    </row>
    <row r="58" spans="1:22">
      <c r="A58" t="e">
        <f t="shared" ref="A58:A121" si="13">A57+1</f>
        <v>#REF!</v>
      </c>
      <c r="B58">
        <f>COUNTIF('Loyd List 1-190 - Edit'!$R$3:$R$184,'Data check lookup table'!A58)</f>
        <v>0</v>
      </c>
      <c r="G58" s="83">
        <v>167</v>
      </c>
      <c r="H58" s="64" t="str">
        <f t="shared" si="9"/>
        <v>Ben (167): 1988–</v>
      </c>
      <c r="I58" s="87">
        <f t="shared" si="10"/>
        <v>131</v>
      </c>
      <c r="J58" s="17" t="str">
        <f t="shared" si="11"/>
        <v>Dominic (131): 1953–</v>
      </c>
      <c r="K58" s="90">
        <f t="shared" si="12"/>
        <v>94</v>
      </c>
      <c r="L58" s="68" t="str">
        <f t="shared" si="11"/>
        <v>Alwyne (94): 1920–2014</v>
      </c>
      <c r="M58" s="58">
        <f>VLOOKUP(G58,'Loyd List 1-190 - Edit'!$P$3:$AN$184,25,FALSE)</f>
        <v>1</v>
      </c>
      <c r="N58" s="49">
        <f>VLOOKUP(G58,'Loyd List 1-190 - Edit'!$P$3:$AGI$184,26,FALSE)</f>
        <v>34</v>
      </c>
      <c r="O58" s="49">
        <f>VLOOKUP(G58,'Loyd List 1-190 - Edit'!$P$3:$AM$184,22,FALSE)</f>
        <v>3</v>
      </c>
      <c r="P58" t="s">
        <v>912</v>
      </c>
      <c r="S58" t="s">
        <v>1417</v>
      </c>
      <c r="V58" t="s">
        <v>1417</v>
      </c>
    </row>
    <row r="59" spans="1:22">
      <c r="A59" t="e">
        <f t="shared" si="13"/>
        <v>#REF!</v>
      </c>
      <c r="B59">
        <f>COUNTIF('Loyd List 1-190 - Edit'!$R$3:$R$184,'Data check lookup table'!A59)</f>
        <v>0</v>
      </c>
      <c r="G59" s="83">
        <v>164</v>
      </c>
      <c r="H59" s="64" t="str">
        <f t="shared" si="9"/>
        <v>Poppy (164): 1984–</v>
      </c>
      <c r="I59" s="87">
        <f t="shared" si="10"/>
        <v>136</v>
      </c>
      <c r="J59" s="17" t="str">
        <f t="shared" si="11"/>
        <v>Tim (136): 1957–</v>
      </c>
      <c r="K59" s="90">
        <f t="shared" si="12"/>
        <v>94</v>
      </c>
      <c r="L59" s="68" t="str">
        <f t="shared" si="11"/>
        <v>Alwyne (94): 1920–2014</v>
      </c>
      <c r="M59" s="58">
        <f>VLOOKUP(G59,'Loyd List 1-190 - Edit'!$P$3:$AN$184,25,FALSE)</f>
        <v>1</v>
      </c>
      <c r="N59" s="49">
        <f>VLOOKUP(G59,'Loyd List 1-190 - Edit'!$P$3:$AGI$184,26,FALSE)</f>
        <v>37</v>
      </c>
      <c r="O59" s="49">
        <f>VLOOKUP(G59,'Loyd List 1-190 - Edit'!$P$3:$AM$184,22,FALSE)</f>
        <v>12</v>
      </c>
      <c r="P59" t="s">
        <v>912</v>
      </c>
      <c r="R59" s="61" t="s">
        <v>1424</v>
      </c>
      <c r="S59" t="s">
        <v>2748</v>
      </c>
      <c r="T59" t="s">
        <v>1426</v>
      </c>
      <c r="V59" t="s">
        <v>2748</v>
      </c>
    </row>
    <row r="60" spans="1:22">
      <c r="A60" t="e">
        <f t="shared" si="13"/>
        <v>#REF!</v>
      </c>
      <c r="B60">
        <f>COUNTIF('Loyd List 1-190 - Edit'!$R$3:$R$184,'Data check lookup table'!A60)</f>
        <v>0</v>
      </c>
      <c r="G60" s="83">
        <v>165</v>
      </c>
      <c r="H60" s="64" t="str">
        <f t="shared" si="9"/>
        <v>Rose (165): 1986–</v>
      </c>
      <c r="I60" s="87">
        <f t="shared" si="10"/>
        <v>136</v>
      </c>
      <c r="J60" s="17" t="str">
        <f t="shared" si="11"/>
        <v>Tim (136): 1957–</v>
      </c>
      <c r="K60" s="90">
        <f t="shared" si="12"/>
        <v>94</v>
      </c>
      <c r="L60" s="68" t="str">
        <f t="shared" si="11"/>
        <v>Alwyne (94): 1920–2014</v>
      </c>
      <c r="M60" s="58">
        <f>VLOOKUP(G60,'Loyd List 1-190 - Edit'!$P$3:$AN$184,25,FALSE)</f>
        <v>1</v>
      </c>
      <c r="N60" s="49">
        <f>VLOOKUP(G60,'Loyd List 1-190 - Edit'!$P$3:$AGI$184,26,FALSE)</f>
        <v>35</v>
      </c>
      <c r="O60" s="49">
        <f>VLOOKUP(G60,'Loyd List 1-190 - Edit'!$P$3:$AM$184,22,FALSE)</f>
        <v>7</v>
      </c>
      <c r="P60" t="s">
        <v>912</v>
      </c>
      <c r="R60" s="61" t="s">
        <v>1425</v>
      </c>
      <c r="S60" t="s">
        <v>1958</v>
      </c>
      <c r="V60" t="s">
        <v>1958</v>
      </c>
    </row>
    <row r="61" spans="1:22">
      <c r="A61" t="e">
        <f t="shared" si="13"/>
        <v>#REF!</v>
      </c>
      <c r="B61">
        <f>COUNTIF('Loyd List 1-190 - Edit'!$R$3:$R$184,'Data check lookup table'!A61)</f>
        <v>0</v>
      </c>
      <c r="G61" s="83">
        <v>172</v>
      </c>
      <c r="H61" s="64" t="str">
        <f t="shared" si="9"/>
        <v>Florina (172): 1991–</v>
      </c>
      <c r="I61" s="87">
        <f t="shared" si="10"/>
        <v>136</v>
      </c>
      <c r="J61" s="17" t="str">
        <f t="shared" si="11"/>
        <v>Tim (136): 1957–</v>
      </c>
      <c r="K61" s="90">
        <f t="shared" si="12"/>
        <v>94</v>
      </c>
      <c r="L61" s="68" t="str">
        <f t="shared" si="11"/>
        <v>Alwyne (94): 1920–2014</v>
      </c>
      <c r="M61" s="58">
        <f>VLOOKUP(G61,'Loyd List 1-190 - Edit'!$P$3:$AN$184,25,FALSE)</f>
        <v>1</v>
      </c>
      <c r="N61" s="49">
        <f>VLOOKUP(G61,'Loyd List 1-190 - Edit'!$P$3:$AGI$184,26,FALSE)</f>
        <v>30</v>
      </c>
      <c r="O61" s="49">
        <f>VLOOKUP(G61,'Loyd List 1-190 - Edit'!$P$3:$AM$184,22,FALSE)</f>
        <v>12</v>
      </c>
      <c r="P61" t="s">
        <v>912</v>
      </c>
      <c r="S61" t="s">
        <v>1418</v>
      </c>
      <c r="V61" t="s">
        <v>1418</v>
      </c>
    </row>
    <row r="62" spans="1:22">
      <c r="A62" t="e">
        <f t="shared" si="13"/>
        <v>#REF!</v>
      </c>
      <c r="B62">
        <f>COUNTIF('Loyd List 1-190 - Edit'!$R$3:$R$184,'Data check lookup table'!A62)</f>
        <v>0</v>
      </c>
      <c r="G62" s="83">
        <v>176</v>
      </c>
      <c r="H62" s="64" t="str">
        <f t="shared" si="9"/>
        <v>Sam (176): 1994–</v>
      </c>
      <c r="I62" s="87">
        <f t="shared" si="10"/>
        <v>142</v>
      </c>
      <c r="J62" s="17" t="str">
        <f t="shared" si="11"/>
        <v>Rick (142): 1962–</v>
      </c>
      <c r="K62" s="90">
        <f t="shared" si="12"/>
        <v>94</v>
      </c>
      <c r="L62" s="68" t="str">
        <f t="shared" si="11"/>
        <v>Alwyne (94): 1920–2014</v>
      </c>
      <c r="M62" s="58">
        <f>VLOOKUP(G62,'Loyd List 1-190 - Edit'!$P$3:$AN$184,25,FALSE)</f>
        <v>1</v>
      </c>
      <c r="N62" s="49">
        <f>VLOOKUP(G62,'Loyd List 1-190 - Edit'!$P$3:$AGI$184,26,FALSE)</f>
        <v>28</v>
      </c>
      <c r="O62" s="49">
        <f>VLOOKUP(G62,'Loyd List 1-190 - Edit'!$P$3:$AM$184,22,FALSE)</f>
        <v>1</v>
      </c>
      <c r="P62" t="s">
        <v>912</v>
      </c>
      <c r="S62" t="s">
        <v>1956</v>
      </c>
      <c r="V62" t="s">
        <v>1956</v>
      </c>
    </row>
    <row r="63" spans="1:22" ht="17" thickBot="1">
      <c r="A63" t="e">
        <f t="shared" si="13"/>
        <v>#REF!</v>
      </c>
      <c r="B63">
        <f>COUNTIF('Loyd List 1-190 - Edit'!$R$3:$R$184,'Data check lookup table'!A63)</f>
        <v>0</v>
      </c>
      <c r="G63" s="84">
        <v>179</v>
      </c>
      <c r="H63" s="65" t="str">
        <f t="shared" si="9"/>
        <v>Josh (179): 1996–</v>
      </c>
      <c r="I63" s="88">
        <f t="shared" si="10"/>
        <v>142</v>
      </c>
      <c r="J63" s="18" t="str">
        <f t="shared" si="11"/>
        <v>Rick (142): 1962–</v>
      </c>
      <c r="K63" s="91">
        <f t="shared" si="12"/>
        <v>94</v>
      </c>
      <c r="L63" s="69" t="str">
        <f t="shared" si="11"/>
        <v>Alwyne (94): 1920–2014</v>
      </c>
      <c r="M63" s="59">
        <f>VLOOKUP(G63,'Loyd List 1-190 - Edit'!$P$3:$AN$184,25,FALSE)</f>
        <v>1</v>
      </c>
      <c r="N63" s="50">
        <f>VLOOKUP(G63,'Loyd List 1-190 - Edit'!$P$3:$AGI$184,26,FALSE)</f>
        <v>25</v>
      </c>
      <c r="O63" s="50">
        <f>VLOOKUP(G63,'Loyd List 1-190 - Edit'!$P$3:$AM$184,22,FALSE)</f>
        <v>12</v>
      </c>
      <c r="P63" t="s">
        <v>912</v>
      </c>
      <c r="S63" t="s">
        <v>1957</v>
      </c>
      <c r="V63" t="s">
        <v>1957</v>
      </c>
    </row>
    <row r="64" spans="1:22">
      <c r="A64" t="e">
        <f t="shared" si="13"/>
        <v>#REF!</v>
      </c>
      <c r="B64">
        <f>COUNTIF('Loyd List 1-190 - Edit'!$R$3:$R$184,'Data check lookup table'!A64)</f>
        <v>0</v>
      </c>
      <c r="G64" s="82">
        <v>169</v>
      </c>
      <c r="H64" s="63" t="str">
        <f t="shared" si="9"/>
        <v>James (169): 1988–</v>
      </c>
      <c r="I64" s="86">
        <f t="shared" si="10"/>
        <v>121</v>
      </c>
      <c r="J64" s="15" t="str">
        <f t="shared" si="11"/>
        <v>David (121): 1949–</v>
      </c>
      <c r="K64" s="93">
        <f t="shared" si="12"/>
        <v>96</v>
      </c>
      <c r="L64" s="67" t="str">
        <f t="shared" si="11"/>
        <v>Edward (96): 1921–1977</v>
      </c>
      <c r="M64" s="57">
        <f>VLOOKUP(G64,'Loyd List 1-190 - Edit'!$P$3:$AN$184,25,FALSE)</f>
        <v>1</v>
      </c>
      <c r="N64" s="48">
        <f>VLOOKUP(G64,'Loyd List 1-190 - Edit'!$P$3:$AGI$184,26,FALSE)</f>
        <v>33</v>
      </c>
      <c r="O64" s="48">
        <f>VLOOKUP(G64,'Loyd List 1-190 - Edit'!$P$3:$AM$184,22,FALSE)</f>
        <v>9</v>
      </c>
      <c r="P64" t="s">
        <v>912</v>
      </c>
      <c r="S64" t="s">
        <v>1410</v>
      </c>
      <c r="V64" t="s">
        <v>1410</v>
      </c>
    </row>
    <row r="65" spans="1:22">
      <c r="A65" t="e">
        <f t="shared" si="13"/>
        <v>#REF!</v>
      </c>
      <c r="B65">
        <f>COUNTIF('Loyd List 1-190 - Edit'!$R$3:$R$184,'Data check lookup table'!A65)</f>
        <v>0</v>
      </c>
      <c r="G65" s="83">
        <v>171</v>
      </c>
      <c r="H65" s="64" t="str">
        <f t="shared" si="9"/>
        <v>Rupert (171): 1990–</v>
      </c>
      <c r="I65" s="87">
        <f t="shared" si="10"/>
        <v>121</v>
      </c>
      <c r="J65" s="17" t="str">
        <f t="shared" si="11"/>
        <v>David (121): 1949–</v>
      </c>
      <c r="K65" s="90">
        <f t="shared" si="12"/>
        <v>96</v>
      </c>
      <c r="L65" s="68" t="str">
        <f t="shared" si="11"/>
        <v>Edward (96): 1921–1977</v>
      </c>
      <c r="M65" s="58">
        <f>VLOOKUP(G65,'Loyd List 1-190 - Edit'!$P$3:$AN$184,25,FALSE)</f>
        <v>1</v>
      </c>
      <c r="N65" s="49">
        <f>VLOOKUP(G65,'Loyd List 1-190 - Edit'!$P$3:$AGI$184,26,FALSE)</f>
        <v>32</v>
      </c>
      <c r="O65" s="49">
        <f>VLOOKUP(G65,'Loyd List 1-190 - Edit'!$P$3:$AM$184,22,FALSE)</f>
        <v>2</v>
      </c>
      <c r="P65" t="s">
        <v>912</v>
      </c>
      <c r="S65" t="s">
        <v>1408</v>
      </c>
      <c r="V65" t="s">
        <v>1408</v>
      </c>
    </row>
    <row r="66" spans="1:22" ht="17" thickBot="1">
      <c r="A66" t="e">
        <f t="shared" si="13"/>
        <v>#REF!</v>
      </c>
      <c r="B66">
        <f>COUNTIF('Loyd List 1-190 - Edit'!$R$3:$R$184,'Data check lookup table'!A66)</f>
        <v>0</v>
      </c>
      <c r="G66" s="84">
        <v>174</v>
      </c>
      <c r="H66" s="65" t="str">
        <f t="shared" si="9"/>
        <v>Tabitha (174): 1992–</v>
      </c>
      <c r="I66" s="88">
        <f t="shared" si="10"/>
        <v>121</v>
      </c>
      <c r="J66" s="18" t="str">
        <f t="shared" si="11"/>
        <v>David (121): 1949–</v>
      </c>
      <c r="K66" s="91">
        <f t="shared" si="12"/>
        <v>96</v>
      </c>
      <c r="L66" s="69" t="str">
        <f t="shared" si="11"/>
        <v>Edward (96): 1921–1977</v>
      </c>
      <c r="M66" s="59">
        <f>VLOOKUP(G66,'Loyd List 1-190 - Edit'!$P$3:$AN$184,25,FALSE)</f>
        <v>1</v>
      </c>
      <c r="N66" s="50">
        <f>VLOOKUP(G66,'Loyd List 1-190 - Edit'!$P$3:$AGI$184,26,FALSE)</f>
        <v>29</v>
      </c>
      <c r="O66" s="50">
        <f>VLOOKUP(G66,'Loyd List 1-190 - Edit'!$P$3:$AM$184,22,FALSE)</f>
        <v>11</v>
      </c>
      <c r="P66" t="s">
        <v>912</v>
      </c>
      <c r="S66" t="s">
        <v>1409</v>
      </c>
      <c r="V66" t="s">
        <v>1409</v>
      </c>
    </row>
    <row r="67" spans="1:22">
      <c r="A67" t="e">
        <f t="shared" si="13"/>
        <v>#REF!</v>
      </c>
      <c r="B67">
        <f>COUNTIF('Loyd List 1-190 - Edit'!$R$3:$R$184,'Data check lookup table'!A67)</f>
        <v>0</v>
      </c>
      <c r="G67" s="82">
        <v>168</v>
      </c>
      <c r="H67" s="63" t="str">
        <f t="shared" si="9"/>
        <v>Camilla (168): 1988–</v>
      </c>
      <c r="I67" s="86">
        <f t="shared" si="10"/>
        <v>138</v>
      </c>
      <c r="J67" s="15" t="str">
        <f t="shared" si="11"/>
        <v>Thomas (138): 1959–</v>
      </c>
      <c r="K67" s="93">
        <f t="shared" si="12"/>
        <v>100</v>
      </c>
      <c r="L67" s="67" t="str">
        <f t="shared" si="11"/>
        <v>Christopher (100): 1923–2013</v>
      </c>
      <c r="M67" s="57">
        <f>VLOOKUP(G67,'Loyd List 1-190 - Edit'!$P$3:$AN$184,25,FALSE)</f>
        <v>1</v>
      </c>
      <c r="N67" s="48">
        <f>VLOOKUP(G67,'Loyd List 1-190 - Edit'!$P$3:$AGI$184,26,FALSE)</f>
        <v>34</v>
      </c>
      <c r="O67" s="48">
        <f>VLOOKUP(G67,'Loyd List 1-190 - Edit'!$P$3:$AM$184,22,FALSE)</f>
        <v>5</v>
      </c>
      <c r="P67" t="s">
        <v>916</v>
      </c>
      <c r="S67" t="s">
        <v>1398</v>
      </c>
      <c r="V67" t="s">
        <v>1398</v>
      </c>
    </row>
    <row r="68" spans="1:22">
      <c r="A68" t="e">
        <f t="shared" si="13"/>
        <v>#REF!</v>
      </c>
      <c r="B68">
        <f>COUNTIF('Loyd List 1-190 - Edit'!$R$3:$R$184,'Data check lookup table'!A68)</f>
        <v>0</v>
      </c>
      <c r="G68" s="83">
        <v>170</v>
      </c>
      <c r="H68" s="64" t="str">
        <f t="shared" si="9"/>
        <v>Sophie (170): 1989–</v>
      </c>
      <c r="I68" s="87">
        <f t="shared" si="10"/>
        <v>138</v>
      </c>
      <c r="J68" s="17" t="str">
        <f t="shared" si="11"/>
        <v>Thomas (138): 1959–</v>
      </c>
      <c r="K68" s="90">
        <f t="shared" si="12"/>
        <v>100</v>
      </c>
      <c r="L68" s="68" t="str">
        <f t="shared" si="11"/>
        <v>Christopher (100): 1923–2013</v>
      </c>
      <c r="M68" s="58">
        <f>VLOOKUP(G68,'Loyd List 1-190 - Edit'!$P$3:$AN$184,25,FALSE)</f>
        <v>1</v>
      </c>
      <c r="N68" s="49">
        <f>VLOOKUP(G68,'Loyd List 1-190 - Edit'!$P$3:$AGI$184,26,FALSE)</f>
        <v>32</v>
      </c>
      <c r="O68" s="49">
        <f>VLOOKUP(G68,'Loyd List 1-190 - Edit'!$P$3:$AM$184,22,FALSE)</f>
        <v>12</v>
      </c>
      <c r="P68" t="s">
        <v>916</v>
      </c>
      <c r="S68" t="s">
        <v>1398</v>
      </c>
      <c r="V68" t="s">
        <v>1398</v>
      </c>
    </row>
    <row r="69" spans="1:22">
      <c r="A69" t="e">
        <f t="shared" si="13"/>
        <v>#REF!</v>
      </c>
      <c r="B69">
        <f>COUNTIF('Loyd List 1-190 - Edit'!$R$3:$R$184,'Data check lookup table'!A69)</f>
        <v>0</v>
      </c>
      <c r="G69" s="83">
        <v>175</v>
      </c>
      <c r="H69" s="64" t="str">
        <f t="shared" si="9"/>
        <v>Kit (175): 1993–</v>
      </c>
      <c r="I69" s="87">
        <f t="shared" si="10"/>
        <v>138</v>
      </c>
      <c r="J69" s="17" t="str">
        <f t="shared" si="11"/>
        <v>Thomas (138): 1959–</v>
      </c>
      <c r="K69" s="90">
        <f t="shared" si="12"/>
        <v>100</v>
      </c>
      <c r="L69" s="68" t="str">
        <f t="shared" si="11"/>
        <v>Christopher (100): 1923–2013</v>
      </c>
      <c r="M69" s="58">
        <f>VLOOKUP(G69,'Loyd List 1-190 - Edit'!$P$3:$AN$184,25,FALSE)</f>
        <v>1</v>
      </c>
      <c r="N69" s="49">
        <f>VLOOKUP(G69,'Loyd List 1-190 - Edit'!$P$3:$AGI$184,26,FALSE)</f>
        <v>29</v>
      </c>
      <c r="O69" s="49">
        <f>VLOOKUP(G69,'Loyd List 1-190 - Edit'!$P$3:$AM$184,22,FALSE)</f>
        <v>1</v>
      </c>
      <c r="P69" t="s">
        <v>916</v>
      </c>
      <c r="S69" t="s">
        <v>1398</v>
      </c>
      <c r="V69" t="s">
        <v>1398</v>
      </c>
    </row>
    <row r="70" spans="1:22">
      <c r="A70" t="e">
        <f t="shared" si="13"/>
        <v>#REF!</v>
      </c>
      <c r="B70">
        <f>COUNTIF('Loyd List 1-190 - Edit'!$R$3:$R$184,'Data check lookup table'!A70)</f>
        <v>0</v>
      </c>
      <c r="G70" s="83">
        <v>178</v>
      </c>
      <c r="H70" s="64" t="str">
        <f t="shared" si="9"/>
        <v>William (178): 1996–</v>
      </c>
      <c r="I70" s="87">
        <f t="shared" si="10"/>
        <v>150</v>
      </c>
      <c r="J70" s="17" t="str">
        <f t="shared" si="11"/>
        <v>James (150): 1966–</v>
      </c>
      <c r="K70" s="90">
        <f t="shared" si="12"/>
        <v>100</v>
      </c>
      <c r="L70" s="68" t="str">
        <f t="shared" si="11"/>
        <v>Christopher (100): 1923–2013</v>
      </c>
      <c r="M70" s="58">
        <f>VLOOKUP(G70,'Loyd List 1-190 - Edit'!$P$3:$AN$184,25,FALSE)</f>
        <v>1</v>
      </c>
      <c r="N70" s="49">
        <f>VLOOKUP(G70,'Loyd List 1-190 - Edit'!$P$3:$AGI$184,26,FALSE)</f>
        <v>25</v>
      </c>
      <c r="O70" s="49">
        <f>VLOOKUP(G70,'Loyd List 1-190 - Edit'!$P$3:$AM$184,22,FALSE)</f>
        <v>12</v>
      </c>
      <c r="P70" t="s">
        <v>916</v>
      </c>
      <c r="S70" t="s">
        <v>1398</v>
      </c>
      <c r="V70" t="s">
        <v>1398</v>
      </c>
    </row>
    <row r="71" spans="1:22" ht="17" thickBot="1">
      <c r="A71" t="e">
        <f t="shared" si="13"/>
        <v>#REF!</v>
      </c>
      <c r="B71">
        <f>COUNTIF('Loyd List 1-190 - Edit'!$R$3:$R$184,'Data check lookup table'!A71)</f>
        <v>0</v>
      </c>
      <c r="G71" s="84">
        <v>181</v>
      </c>
      <c r="H71" s="65" t="str">
        <f t="shared" si="9"/>
        <v>Eliza (181): 1999–</v>
      </c>
      <c r="I71" s="88">
        <f t="shared" si="10"/>
        <v>150</v>
      </c>
      <c r="J71" s="18" t="str">
        <f t="shared" si="11"/>
        <v>James (150): 1966–</v>
      </c>
      <c r="K71" s="91">
        <f t="shared" si="12"/>
        <v>100</v>
      </c>
      <c r="L71" s="69" t="str">
        <f t="shared" si="11"/>
        <v>Christopher (100): 1923–2013</v>
      </c>
      <c r="M71" s="59">
        <f>VLOOKUP(G71,'Loyd List 1-190 - Edit'!$P$3:$AN$184,25,FALSE)</f>
        <v>1</v>
      </c>
      <c r="N71" s="50">
        <f>VLOOKUP(G71,'Loyd List 1-190 - Edit'!$P$3:$AGI$184,26,FALSE)</f>
        <v>23</v>
      </c>
      <c r="O71" s="50">
        <f>VLOOKUP(G71,'Loyd List 1-190 - Edit'!$P$3:$AM$184,22,FALSE)</f>
        <v>2</v>
      </c>
      <c r="P71" t="s">
        <v>916</v>
      </c>
      <c r="S71" t="s">
        <v>1398</v>
      </c>
      <c r="V71" t="s">
        <v>1398</v>
      </c>
    </row>
    <row r="72" spans="1:22">
      <c r="A72" t="e">
        <f t="shared" si="13"/>
        <v>#REF!</v>
      </c>
      <c r="B72">
        <f>COUNTIF('Loyd List 1-190 - Edit'!$R$3:$R$184,'Data check lookup table'!A72)</f>
        <v>0</v>
      </c>
      <c r="G72" s="82">
        <v>180</v>
      </c>
      <c r="H72" s="63" t="str">
        <f t="shared" si="9"/>
        <v>George (180): 1998–</v>
      </c>
      <c r="I72" s="86">
        <f t="shared" si="10"/>
        <v>146</v>
      </c>
      <c r="J72" s="15" t="str">
        <f t="shared" si="11"/>
        <v>Charles (146): 1963–</v>
      </c>
      <c r="K72" s="93">
        <f t="shared" si="12"/>
        <v>104</v>
      </c>
      <c r="L72" s="67" t="str">
        <f t="shared" si="11"/>
        <v>Sir Julian (104): 1926–2018</v>
      </c>
      <c r="M72" s="57">
        <f>VLOOKUP(G72,'Loyd List 1-190 - Edit'!$P$3:$AN$184,25,FALSE)</f>
        <v>1</v>
      </c>
      <c r="N72" s="48">
        <f>VLOOKUP(G72,'Loyd List 1-190 - Edit'!$P$3:$AGI$184,26,FALSE)</f>
        <v>23</v>
      </c>
      <c r="O72" s="48">
        <f>VLOOKUP(G72,'Loyd List 1-190 - Edit'!$P$3:$AM$184,22,FALSE)</f>
        <v>11</v>
      </c>
      <c r="P72" t="s">
        <v>912</v>
      </c>
      <c r="S72" t="s">
        <v>1405</v>
      </c>
      <c r="V72" t="s">
        <v>3133</v>
      </c>
    </row>
    <row r="73" spans="1:22" ht="17" thickBot="1">
      <c r="A73" t="e">
        <f t="shared" si="13"/>
        <v>#REF!</v>
      </c>
      <c r="B73">
        <f>COUNTIF('Loyd List 1-190 - Edit'!$R$3:$R$184,'Data check lookup table'!A73)</f>
        <v>0</v>
      </c>
      <c r="G73" s="84">
        <v>182</v>
      </c>
      <c r="H73" s="65" t="str">
        <f t="shared" si="9"/>
        <v>Rosanna (182): 2000–</v>
      </c>
      <c r="I73" s="88">
        <f t="shared" si="10"/>
        <v>146</v>
      </c>
      <c r="J73" s="18" t="str">
        <f t="shared" si="11"/>
        <v>Charles (146): 1963–</v>
      </c>
      <c r="K73" s="91">
        <f t="shared" si="12"/>
        <v>104</v>
      </c>
      <c r="L73" s="69" t="str">
        <f t="shared" si="11"/>
        <v>Sir Julian (104): 1926–2018</v>
      </c>
      <c r="M73" s="59">
        <f>VLOOKUP(G73,'Loyd List 1-190 - Edit'!$P$3:$AN$184,25,FALSE)</f>
        <v>1</v>
      </c>
      <c r="N73" s="50">
        <f>VLOOKUP(G73,'Loyd List 1-190 - Edit'!$P$3:$AGI$184,26,FALSE)</f>
        <v>21</v>
      </c>
      <c r="O73" s="50">
        <f>VLOOKUP(G73,'Loyd List 1-190 - Edit'!$P$3:$AM$184,22,FALSE)</f>
        <v>7</v>
      </c>
      <c r="P73" t="s">
        <v>912</v>
      </c>
      <c r="R73" s="61" t="s">
        <v>3787</v>
      </c>
      <c r="S73" t="s">
        <v>1405</v>
      </c>
      <c r="V73" t="s">
        <v>3134</v>
      </c>
    </row>
    <row r="74" spans="1:22">
      <c r="A74" t="e">
        <f t="shared" si="13"/>
        <v>#REF!</v>
      </c>
      <c r="B74">
        <f>COUNTIF('Loyd List 1-190 - Edit'!$R$3:$R$184,'Data check lookup table'!A74)</f>
        <v>0</v>
      </c>
    </row>
    <row r="75" spans="1:22">
      <c r="A75" t="e">
        <f t="shared" si="13"/>
        <v>#REF!</v>
      </c>
      <c r="B75">
        <f>COUNTIF('Loyd List 1-190 - Edit'!$R$3:$R$184,'Data check lookup table'!A75)</f>
        <v>0</v>
      </c>
    </row>
    <row r="76" spans="1:22">
      <c r="A76" t="e">
        <f t="shared" si="13"/>
        <v>#REF!</v>
      </c>
      <c r="B76">
        <f>COUNTIF('Loyd List 1-190 - Edit'!$R$3:$R$184,'Data check lookup table'!A76)</f>
        <v>0</v>
      </c>
    </row>
    <row r="77" spans="1:22">
      <c r="A77" t="e">
        <f t="shared" si="13"/>
        <v>#REF!</v>
      </c>
      <c r="B77">
        <f>COUNTIF('Loyd List 1-190 - Edit'!$R$3:$R$184,'Data check lookup table'!A77)</f>
        <v>0</v>
      </c>
    </row>
    <row r="78" spans="1:22">
      <c r="A78" t="e">
        <f t="shared" si="13"/>
        <v>#REF!</v>
      </c>
      <c r="B78">
        <f>COUNTIF('Loyd List 1-190 - Edit'!$R$3:$R$184,'Data check lookup table'!A78)</f>
        <v>0</v>
      </c>
    </row>
    <row r="79" spans="1:22">
      <c r="A79" t="e">
        <f t="shared" si="13"/>
        <v>#REF!</v>
      </c>
      <c r="B79">
        <f>COUNTIF('Loyd List 1-190 - Edit'!$R$3:$R$184,'Data check lookup table'!A79)</f>
        <v>0</v>
      </c>
    </row>
    <row r="80" spans="1:22">
      <c r="A80" t="e">
        <f t="shared" si="13"/>
        <v>#REF!</v>
      </c>
      <c r="B80">
        <f>COUNTIF('Loyd List 1-190 - Edit'!$R$3:$R$184,'Data check lookup table'!A80)</f>
        <v>0</v>
      </c>
    </row>
    <row r="81" spans="1:2">
      <c r="A81" t="e">
        <f t="shared" si="13"/>
        <v>#REF!</v>
      </c>
      <c r="B81">
        <f>COUNTIF('Loyd List 1-190 - Edit'!$R$3:$R$184,'Data check lookup table'!A81)</f>
        <v>0</v>
      </c>
    </row>
    <row r="82" spans="1:2">
      <c r="A82" t="e">
        <f t="shared" si="13"/>
        <v>#REF!</v>
      </c>
      <c r="B82">
        <f>COUNTIF('Loyd List 1-190 - Edit'!$R$3:$R$184,'Data check lookup table'!A82)</f>
        <v>0</v>
      </c>
    </row>
    <row r="83" spans="1:2">
      <c r="A83" t="e">
        <f t="shared" si="13"/>
        <v>#REF!</v>
      </c>
      <c r="B83">
        <f>COUNTIF('Loyd List 1-190 - Edit'!$R$3:$R$184,'Data check lookup table'!A83)</f>
        <v>0</v>
      </c>
    </row>
    <row r="84" spans="1:2">
      <c r="A84" t="e">
        <f t="shared" si="13"/>
        <v>#REF!</v>
      </c>
      <c r="B84">
        <f>COUNTIF('Loyd List 1-190 - Edit'!$R$3:$R$184,'Data check lookup table'!A84)</f>
        <v>0</v>
      </c>
    </row>
    <row r="85" spans="1:2">
      <c r="A85" t="e">
        <f t="shared" si="13"/>
        <v>#REF!</v>
      </c>
      <c r="B85">
        <f>COUNTIF('Loyd List 1-190 - Edit'!$R$3:$R$184,'Data check lookup table'!A85)</f>
        <v>0</v>
      </c>
    </row>
    <row r="86" spans="1:2">
      <c r="A86" t="e">
        <f t="shared" si="13"/>
        <v>#REF!</v>
      </c>
      <c r="B86">
        <f>COUNTIF('Loyd List 1-190 - Edit'!$R$3:$R$184,'Data check lookup table'!A86)</f>
        <v>0</v>
      </c>
    </row>
    <row r="87" spans="1:2">
      <c r="A87" t="e">
        <f t="shared" si="13"/>
        <v>#REF!</v>
      </c>
      <c r="B87">
        <f>COUNTIF('Loyd List 1-190 - Edit'!$R$3:$R$184,'Data check lookup table'!A87)</f>
        <v>0</v>
      </c>
    </row>
    <row r="88" spans="1:2">
      <c r="A88" t="e">
        <f t="shared" si="13"/>
        <v>#REF!</v>
      </c>
      <c r="B88">
        <f>COUNTIF('Loyd List 1-190 - Edit'!$R$3:$R$184,'Data check lookup table'!A88)</f>
        <v>0</v>
      </c>
    </row>
    <row r="89" spans="1:2">
      <c r="A89" t="e">
        <f t="shared" si="13"/>
        <v>#REF!</v>
      </c>
      <c r="B89">
        <f>COUNTIF('Loyd List 1-190 - Edit'!$R$3:$R$184,'Data check lookup table'!A89)</f>
        <v>0</v>
      </c>
    </row>
    <row r="90" spans="1:2">
      <c r="A90" t="e">
        <f t="shared" si="13"/>
        <v>#REF!</v>
      </c>
      <c r="B90">
        <f>COUNTIF('Loyd List 1-190 - Edit'!$R$3:$R$184,'Data check lookup table'!A90)</f>
        <v>0</v>
      </c>
    </row>
    <row r="91" spans="1:2">
      <c r="A91" t="e">
        <f t="shared" si="13"/>
        <v>#REF!</v>
      </c>
      <c r="B91">
        <f>COUNTIF('Loyd List 1-190 - Edit'!$R$3:$R$184,'Data check lookup table'!A91)</f>
        <v>0</v>
      </c>
    </row>
    <row r="92" spans="1:2">
      <c r="A92" t="e">
        <f t="shared" si="13"/>
        <v>#REF!</v>
      </c>
      <c r="B92">
        <f>COUNTIF('Loyd List 1-190 - Edit'!$R$3:$R$184,'Data check lookup table'!A92)</f>
        <v>0</v>
      </c>
    </row>
    <row r="93" spans="1:2">
      <c r="A93" t="e">
        <f t="shared" si="13"/>
        <v>#REF!</v>
      </c>
      <c r="B93">
        <f>COUNTIF('Loyd List 1-190 - Edit'!$R$3:$R$184,'Data check lookup table'!A93)</f>
        <v>0</v>
      </c>
    </row>
    <row r="94" spans="1:2">
      <c r="A94" t="e">
        <f t="shared" si="13"/>
        <v>#REF!</v>
      </c>
      <c r="B94">
        <f>COUNTIF('Loyd List 1-190 - Edit'!$R$3:$R$184,'Data check lookup table'!A94)</f>
        <v>0</v>
      </c>
    </row>
    <row r="95" spans="1:2">
      <c r="A95" t="e">
        <f t="shared" si="13"/>
        <v>#REF!</v>
      </c>
      <c r="B95">
        <f>COUNTIF('Loyd List 1-190 - Edit'!$R$3:$R$184,'Data check lookup table'!A95)</f>
        <v>0</v>
      </c>
    </row>
    <row r="96" spans="1:2">
      <c r="A96" t="e">
        <f t="shared" si="13"/>
        <v>#REF!</v>
      </c>
      <c r="B96">
        <f>COUNTIF('Loyd List 1-190 - Edit'!$R$3:$R$184,'Data check lookup table'!A96)</f>
        <v>0</v>
      </c>
    </row>
    <row r="97" spans="1:2">
      <c r="A97" t="e">
        <f t="shared" si="13"/>
        <v>#REF!</v>
      </c>
      <c r="B97">
        <f>COUNTIF('Loyd List 1-190 - Edit'!$R$3:$R$184,'Data check lookup table'!A97)</f>
        <v>0</v>
      </c>
    </row>
    <row r="98" spans="1:2">
      <c r="A98" t="e">
        <f t="shared" si="13"/>
        <v>#REF!</v>
      </c>
      <c r="B98">
        <f>COUNTIF('Loyd List 1-190 - Edit'!$R$3:$R$184,'Data check lookup table'!A98)</f>
        <v>0</v>
      </c>
    </row>
    <row r="99" spans="1:2">
      <c r="A99" t="e">
        <f t="shared" si="13"/>
        <v>#REF!</v>
      </c>
      <c r="B99">
        <f>COUNTIF('Loyd List 1-190 - Edit'!$R$3:$R$184,'Data check lookup table'!A99)</f>
        <v>0</v>
      </c>
    </row>
    <row r="100" spans="1:2">
      <c r="A100" t="e">
        <f t="shared" si="13"/>
        <v>#REF!</v>
      </c>
      <c r="B100">
        <f>COUNTIF('Loyd List 1-190 - Edit'!$R$3:$R$184,'Data check lookup table'!A100)</f>
        <v>0</v>
      </c>
    </row>
    <row r="101" spans="1:2">
      <c r="A101" t="e">
        <f t="shared" si="13"/>
        <v>#REF!</v>
      </c>
      <c r="B101">
        <f>COUNTIF('Loyd List 1-190 - Edit'!$R$3:$R$184,'Data check lookup table'!A101)</f>
        <v>0</v>
      </c>
    </row>
    <row r="102" spans="1:2">
      <c r="A102" t="e">
        <f t="shared" si="13"/>
        <v>#REF!</v>
      </c>
      <c r="B102">
        <f>COUNTIF('Loyd List 1-190 - Edit'!$R$3:$R$184,'Data check lookup table'!A102)</f>
        <v>0</v>
      </c>
    </row>
    <row r="103" spans="1:2">
      <c r="A103" t="e">
        <f t="shared" si="13"/>
        <v>#REF!</v>
      </c>
      <c r="B103">
        <f>COUNTIF('Loyd List 1-190 - Edit'!$R$3:$R$184,'Data check lookup table'!A103)</f>
        <v>0</v>
      </c>
    </row>
    <row r="104" spans="1:2">
      <c r="A104" t="e">
        <f t="shared" si="13"/>
        <v>#REF!</v>
      </c>
      <c r="B104">
        <f>COUNTIF('Loyd List 1-190 - Edit'!$R$3:$R$184,'Data check lookup table'!A104)</f>
        <v>0</v>
      </c>
    </row>
    <row r="105" spans="1:2">
      <c r="A105" t="e">
        <f t="shared" si="13"/>
        <v>#REF!</v>
      </c>
      <c r="B105">
        <f>COUNTIF('Loyd List 1-190 - Edit'!$R$3:$R$184,'Data check lookup table'!A105)</f>
        <v>0</v>
      </c>
    </row>
    <row r="106" spans="1:2">
      <c r="A106" t="e">
        <f t="shared" si="13"/>
        <v>#REF!</v>
      </c>
      <c r="B106">
        <f>COUNTIF('Loyd List 1-190 - Edit'!$R$3:$R$184,'Data check lookup table'!A106)</f>
        <v>0</v>
      </c>
    </row>
    <row r="107" spans="1:2">
      <c r="A107" t="e">
        <f t="shared" si="13"/>
        <v>#REF!</v>
      </c>
      <c r="B107">
        <f>COUNTIF('Loyd List 1-190 - Edit'!$R$3:$R$184,'Data check lookup table'!A107)</f>
        <v>0</v>
      </c>
    </row>
    <row r="108" spans="1:2">
      <c r="A108" t="e">
        <f t="shared" si="13"/>
        <v>#REF!</v>
      </c>
      <c r="B108">
        <f>COUNTIF('Loyd List 1-190 - Edit'!$R$3:$R$184,'Data check lookup table'!A108)</f>
        <v>0</v>
      </c>
    </row>
    <row r="109" spans="1:2">
      <c r="A109" t="e">
        <f t="shared" si="13"/>
        <v>#REF!</v>
      </c>
      <c r="B109">
        <f>COUNTIF('Loyd List 1-190 - Edit'!$R$3:$R$184,'Data check lookup table'!A109)</f>
        <v>0</v>
      </c>
    </row>
    <row r="110" spans="1:2">
      <c r="A110" t="e">
        <f t="shared" si="13"/>
        <v>#REF!</v>
      </c>
      <c r="B110">
        <f>COUNTIF('Loyd List 1-190 - Edit'!$R$3:$R$184,'Data check lookup table'!A110)</f>
        <v>0</v>
      </c>
    </row>
    <row r="111" spans="1:2">
      <c r="A111" t="e">
        <f t="shared" si="13"/>
        <v>#REF!</v>
      </c>
      <c r="B111">
        <f>COUNTIF('Loyd List 1-190 - Edit'!$R$3:$R$184,'Data check lookup table'!A111)</f>
        <v>0</v>
      </c>
    </row>
    <row r="112" spans="1:2">
      <c r="A112" t="e">
        <f t="shared" si="13"/>
        <v>#REF!</v>
      </c>
      <c r="B112">
        <f>COUNTIF('Loyd List 1-190 - Edit'!$R$3:$R$184,'Data check lookup table'!A112)</f>
        <v>0</v>
      </c>
    </row>
    <row r="113" spans="1:2">
      <c r="A113" t="e">
        <f t="shared" si="13"/>
        <v>#REF!</v>
      </c>
      <c r="B113">
        <f>COUNTIF('Loyd List 1-190 - Edit'!$R$3:$R$184,'Data check lookup table'!A113)</f>
        <v>0</v>
      </c>
    </row>
    <row r="114" spans="1:2">
      <c r="A114" t="e">
        <f t="shared" si="13"/>
        <v>#REF!</v>
      </c>
      <c r="B114">
        <f>COUNTIF('Loyd List 1-190 - Edit'!$R$3:$R$184,'Data check lookup table'!A114)</f>
        <v>0</v>
      </c>
    </row>
    <row r="115" spans="1:2">
      <c r="A115" t="e">
        <f t="shared" si="13"/>
        <v>#REF!</v>
      </c>
      <c r="B115">
        <f>COUNTIF('Loyd List 1-190 - Edit'!$R$3:$R$184,'Data check lookup table'!A115)</f>
        <v>0</v>
      </c>
    </row>
    <row r="116" spans="1:2">
      <c r="A116" t="e">
        <f t="shared" si="13"/>
        <v>#REF!</v>
      </c>
      <c r="B116">
        <f>COUNTIF('Loyd List 1-190 - Edit'!$R$3:$R$184,'Data check lookup table'!A116)</f>
        <v>0</v>
      </c>
    </row>
    <row r="117" spans="1:2">
      <c r="A117" t="e">
        <f t="shared" si="13"/>
        <v>#REF!</v>
      </c>
      <c r="B117">
        <f>COUNTIF('Loyd List 1-190 - Edit'!$R$3:$R$184,'Data check lookup table'!A117)</f>
        <v>0</v>
      </c>
    </row>
    <row r="118" spans="1:2">
      <c r="A118" t="e">
        <f t="shared" si="13"/>
        <v>#REF!</v>
      </c>
      <c r="B118">
        <f>COUNTIF('Loyd List 1-190 - Edit'!$R$3:$R$184,'Data check lookup table'!A118)</f>
        <v>0</v>
      </c>
    </row>
    <row r="119" spans="1:2">
      <c r="A119" t="e">
        <f t="shared" si="13"/>
        <v>#REF!</v>
      </c>
      <c r="B119">
        <f>COUNTIF('Loyd List 1-190 - Edit'!$R$3:$R$184,'Data check lookup table'!A119)</f>
        <v>0</v>
      </c>
    </row>
    <row r="120" spans="1:2">
      <c r="A120" t="e">
        <f t="shared" si="13"/>
        <v>#REF!</v>
      </c>
      <c r="B120">
        <f>COUNTIF('Loyd List 1-190 - Edit'!$R$3:$R$184,'Data check lookup table'!A120)</f>
        <v>0</v>
      </c>
    </row>
    <row r="121" spans="1:2">
      <c r="A121" t="e">
        <f t="shared" si="13"/>
        <v>#REF!</v>
      </c>
      <c r="B121">
        <f>COUNTIF('Loyd List 1-190 - Edit'!$R$3:$R$184,'Data check lookup table'!A121)</f>
        <v>0</v>
      </c>
    </row>
    <row r="122" spans="1:2">
      <c r="A122" t="e">
        <f t="shared" ref="A122:A173" si="14">A121+1</f>
        <v>#REF!</v>
      </c>
      <c r="B122">
        <f>COUNTIF('Loyd List 1-190 - Edit'!$R$3:$R$184,'Data check lookup table'!A122)</f>
        <v>0</v>
      </c>
    </row>
    <row r="123" spans="1:2">
      <c r="A123" t="e">
        <f t="shared" si="14"/>
        <v>#REF!</v>
      </c>
      <c r="B123">
        <f>COUNTIF('Loyd List 1-190 - Edit'!$R$3:$R$184,'Data check lookup table'!A123)</f>
        <v>0</v>
      </c>
    </row>
    <row r="124" spans="1:2">
      <c r="A124" t="e">
        <f t="shared" si="14"/>
        <v>#REF!</v>
      </c>
      <c r="B124">
        <f>COUNTIF('Loyd List 1-190 - Edit'!$R$3:$R$184,'Data check lookup table'!A124)</f>
        <v>0</v>
      </c>
    </row>
    <row r="125" spans="1:2">
      <c r="A125" t="e">
        <f t="shared" si="14"/>
        <v>#REF!</v>
      </c>
      <c r="B125">
        <f>COUNTIF('Loyd List 1-190 - Edit'!$R$3:$R$184,'Data check lookup table'!A125)</f>
        <v>0</v>
      </c>
    </row>
    <row r="126" spans="1:2">
      <c r="A126" t="e">
        <f t="shared" si="14"/>
        <v>#REF!</v>
      </c>
      <c r="B126">
        <f>COUNTIF('Loyd List 1-190 - Edit'!$R$3:$R$184,'Data check lookup table'!A126)</f>
        <v>0</v>
      </c>
    </row>
    <row r="127" spans="1:2">
      <c r="A127" t="e">
        <f t="shared" si="14"/>
        <v>#REF!</v>
      </c>
      <c r="B127">
        <f>COUNTIF('Loyd List 1-190 - Edit'!$R$3:$R$184,'Data check lookup table'!A127)</f>
        <v>0</v>
      </c>
    </row>
    <row r="128" spans="1:2">
      <c r="A128" t="e">
        <f t="shared" si="14"/>
        <v>#REF!</v>
      </c>
      <c r="B128">
        <f>COUNTIF('Loyd List 1-190 - Edit'!$R$3:$R$184,'Data check lookup table'!A128)</f>
        <v>0</v>
      </c>
    </row>
    <row r="129" spans="1:2">
      <c r="A129" t="e">
        <f t="shared" si="14"/>
        <v>#REF!</v>
      </c>
      <c r="B129">
        <f>COUNTIF('Loyd List 1-190 - Edit'!$R$3:$R$184,'Data check lookup table'!A129)</f>
        <v>0</v>
      </c>
    </row>
    <row r="130" spans="1:2">
      <c r="A130" t="e">
        <f t="shared" si="14"/>
        <v>#REF!</v>
      </c>
      <c r="B130">
        <f>COUNTIF('Loyd List 1-190 - Edit'!$R$3:$R$184,'Data check lookup table'!A130)</f>
        <v>0</v>
      </c>
    </row>
    <row r="131" spans="1:2">
      <c r="A131" t="e">
        <f t="shared" si="14"/>
        <v>#REF!</v>
      </c>
      <c r="B131">
        <f>COUNTIF('Loyd List 1-190 - Edit'!$R$3:$R$184,'Data check lookup table'!A131)</f>
        <v>0</v>
      </c>
    </row>
    <row r="132" spans="1:2">
      <c r="A132" t="e">
        <f t="shared" si="14"/>
        <v>#REF!</v>
      </c>
      <c r="B132">
        <f>COUNTIF('Loyd List 1-190 - Edit'!$R$3:$R$184,'Data check lookup table'!A132)</f>
        <v>0</v>
      </c>
    </row>
    <row r="133" spans="1:2">
      <c r="A133" t="e">
        <f t="shared" si="14"/>
        <v>#REF!</v>
      </c>
      <c r="B133">
        <f>COUNTIF('Loyd List 1-190 - Edit'!$R$3:$R$184,'Data check lookup table'!A133)</f>
        <v>0</v>
      </c>
    </row>
    <row r="134" spans="1:2">
      <c r="A134" t="e">
        <f t="shared" si="14"/>
        <v>#REF!</v>
      </c>
      <c r="B134">
        <f>COUNTIF('Loyd List 1-190 - Edit'!$R$3:$R$184,'Data check lookup table'!A134)</f>
        <v>0</v>
      </c>
    </row>
    <row r="135" spans="1:2">
      <c r="A135" t="e">
        <f t="shared" si="14"/>
        <v>#REF!</v>
      </c>
      <c r="B135">
        <f>COUNTIF('Loyd List 1-190 - Edit'!$R$3:$R$184,'Data check lookup table'!A135)</f>
        <v>0</v>
      </c>
    </row>
    <row r="136" spans="1:2">
      <c r="A136" t="e">
        <f t="shared" si="14"/>
        <v>#REF!</v>
      </c>
      <c r="B136">
        <f>COUNTIF('Loyd List 1-190 - Edit'!$R$3:$R$184,'Data check lookup table'!A136)</f>
        <v>0</v>
      </c>
    </row>
    <row r="137" spans="1:2">
      <c r="A137" t="e">
        <f t="shared" si="14"/>
        <v>#REF!</v>
      </c>
      <c r="B137">
        <f>COUNTIF('Loyd List 1-190 - Edit'!$R$3:$R$184,'Data check lookup table'!A137)</f>
        <v>0</v>
      </c>
    </row>
    <row r="138" spans="1:2">
      <c r="A138" t="e">
        <f t="shared" si="14"/>
        <v>#REF!</v>
      </c>
      <c r="B138">
        <f>COUNTIF('Loyd List 1-190 - Edit'!$R$3:$R$184,'Data check lookup table'!A138)</f>
        <v>0</v>
      </c>
    </row>
    <row r="139" spans="1:2">
      <c r="A139" t="e">
        <f t="shared" si="14"/>
        <v>#REF!</v>
      </c>
      <c r="B139">
        <f>COUNTIF('Loyd List 1-190 - Edit'!$R$3:$R$184,'Data check lookup table'!A139)</f>
        <v>0</v>
      </c>
    </row>
    <row r="140" spans="1:2">
      <c r="A140" t="e">
        <f t="shared" si="14"/>
        <v>#REF!</v>
      </c>
      <c r="B140">
        <f>COUNTIF('Loyd List 1-190 - Edit'!$R$3:$R$184,'Data check lookup table'!A140)</f>
        <v>0</v>
      </c>
    </row>
    <row r="141" spans="1:2">
      <c r="A141" t="e">
        <f t="shared" si="14"/>
        <v>#REF!</v>
      </c>
      <c r="B141">
        <f>COUNTIF('Loyd List 1-190 - Edit'!$R$3:$R$184,'Data check lookup table'!A141)</f>
        <v>0</v>
      </c>
    </row>
    <row r="142" spans="1:2">
      <c r="A142" t="e">
        <f t="shared" si="14"/>
        <v>#REF!</v>
      </c>
      <c r="B142">
        <f>COUNTIF('Loyd List 1-190 - Edit'!$R$3:$R$184,'Data check lookup table'!A142)</f>
        <v>0</v>
      </c>
    </row>
    <row r="143" spans="1:2">
      <c r="A143" t="e">
        <f t="shared" si="14"/>
        <v>#REF!</v>
      </c>
      <c r="B143">
        <f>COUNTIF('Loyd List 1-190 - Edit'!$R$3:$R$184,'Data check lookup table'!A143)</f>
        <v>0</v>
      </c>
    </row>
    <row r="144" spans="1:2">
      <c r="A144" t="e">
        <f t="shared" si="14"/>
        <v>#REF!</v>
      </c>
      <c r="B144">
        <f>COUNTIF('Loyd List 1-190 - Edit'!$R$3:$R$184,'Data check lookup table'!A144)</f>
        <v>0</v>
      </c>
    </row>
    <row r="145" spans="1:2">
      <c r="A145" t="e">
        <f t="shared" si="14"/>
        <v>#REF!</v>
      </c>
      <c r="B145">
        <f>COUNTIF('Loyd List 1-190 - Edit'!$R$3:$R$184,'Data check lookup table'!A145)</f>
        <v>0</v>
      </c>
    </row>
    <row r="146" spans="1:2">
      <c r="A146" t="e">
        <f t="shared" si="14"/>
        <v>#REF!</v>
      </c>
      <c r="B146">
        <f>COUNTIF('Loyd List 1-190 - Edit'!$R$3:$R$184,'Data check lookup table'!A146)</f>
        <v>0</v>
      </c>
    </row>
    <row r="147" spans="1:2">
      <c r="A147" t="e">
        <f t="shared" si="14"/>
        <v>#REF!</v>
      </c>
      <c r="B147">
        <f>COUNTIF('Loyd List 1-190 - Edit'!$R$3:$R$184,'Data check lookup table'!A147)</f>
        <v>0</v>
      </c>
    </row>
    <row r="148" spans="1:2">
      <c r="A148" t="e">
        <f t="shared" si="14"/>
        <v>#REF!</v>
      </c>
      <c r="B148">
        <f>COUNTIF('Loyd List 1-190 - Edit'!$R$3:$R$184,'Data check lookup table'!A148)</f>
        <v>0</v>
      </c>
    </row>
    <row r="149" spans="1:2">
      <c r="A149" t="e">
        <f t="shared" si="14"/>
        <v>#REF!</v>
      </c>
      <c r="B149">
        <f>COUNTIF('Loyd List 1-190 - Edit'!$R$3:$R$184,'Data check lookup table'!A149)</f>
        <v>0</v>
      </c>
    </row>
    <row r="150" spans="1:2">
      <c r="A150" t="e">
        <f t="shared" si="14"/>
        <v>#REF!</v>
      </c>
      <c r="B150">
        <f>COUNTIF('Loyd List 1-190 - Edit'!$R$3:$R$184,'Data check lookup table'!A150)</f>
        <v>0</v>
      </c>
    </row>
    <row r="151" spans="1:2">
      <c r="A151" t="e">
        <f t="shared" si="14"/>
        <v>#REF!</v>
      </c>
      <c r="B151">
        <f>COUNTIF('Loyd List 1-190 - Edit'!$R$3:$R$184,'Data check lookup table'!A151)</f>
        <v>0</v>
      </c>
    </row>
    <row r="152" spans="1:2">
      <c r="A152" t="e">
        <f t="shared" si="14"/>
        <v>#REF!</v>
      </c>
      <c r="B152">
        <f>COUNTIF('Loyd List 1-190 - Edit'!$R$3:$R$184,'Data check lookup table'!A152)</f>
        <v>0</v>
      </c>
    </row>
    <row r="153" spans="1:2">
      <c r="A153" t="e">
        <f t="shared" si="14"/>
        <v>#REF!</v>
      </c>
      <c r="B153">
        <f>COUNTIF('Loyd List 1-190 - Edit'!$R$3:$R$184,'Data check lookup table'!A153)</f>
        <v>0</v>
      </c>
    </row>
    <row r="154" spans="1:2">
      <c r="A154" t="e">
        <f t="shared" si="14"/>
        <v>#REF!</v>
      </c>
      <c r="B154">
        <f>COUNTIF('Loyd List 1-190 - Edit'!$R$3:$R$184,'Data check lookup table'!A154)</f>
        <v>0</v>
      </c>
    </row>
    <row r="155" spans="1:2">
      <c r="A155" t="e">
        <f t="shared" si="14"/>
        <v>#REF!</v>
      </c>
      <c r="B155">
        <f>COUNTIF('Loyd List 1-190 - Edit'!$R$3:$R$184,'Data check lookup table'!A155)</f>
        <v>0</v>
      </c>
    </row>
    <row r="156" spans="1:2">
      <c r="A156" t="e">
        <f t="shared" si="14"/>
        <v>#REF!</v>
      </c>
      <c r="B156">
        <f>COUNTIF('Loyd List 1-190 - Edit'!$R$3:$R$184,'Data check lookup table'!A156)</f>
        <v>0</v>
      </c>
    </row>
    <row r="157" spans="1:2">
      <c r="A157" t="e">
        <f t="shared" si="14"/>
        <v>#REF!</v>
      </c>
      <c r="B157">
        <f>COUNTIF('Loyd List 1-190 - Edit'!$R$3:$R$184,'Data check lookup table'!A157)</f>
        <v>0</v>
      </c>
    </row>
    <row r="158" spans="1:2">
      <c r="A158" t="e">
        <f t="shared" si="14"/>
        <v>#REF!</v>
      </c>
      <c r="B158">
        <f>COUNTIF('Loyd List 1-190 - Edit'!$R$3:$R$184,'Data check lookup table'!A158)</f>
        <v>0</v>
      </c>
    </row>
    <row r="159" spans="1:2">
      <c r="A159" t="e">
        <f t="shared" si="14"/>
        <v>#REF!</v>
      </c>
      <c r="B159">
        <f>COUNTIF('Loyd List 1-190 - Edit'!$R$3:$R$184,'Data check lookup table'!A159)</f>
        <v>0</v>
      </c>
    </row>
    <row r="160" spans="1:2">
      <c r="A160" t="e">
        <f t="shared" si="14"/>
        <v>#REF!</v>
      </c>
      <c r="B160">
        <f>COUNTIF('Loyd List 1-190 - Edit'!$R$3:$R$184,'Data check lookup table'!A160)</f>
        <v>0</v>
      </c>
    </row>
    <row r="161" spans="1:2">
      <c r="A161" t="e">
        <f t="shared" si="14"/>
        <v>#REF!</v>
      </c>
      <c r="B161">
        <f>COUNTIF('Loyd List 1-190 - Edit'!$R$3:$R$184,'Data check lookup table'!A161)</f>
        <v>0</v>
      </c>
    </row>
    <row r="162" spans="1:2">
      <c r="A162" t="e">
        <f t="shared" si="14"/>
        <v>#REF!</v>
      </c>
      <c r="B162">
        <f>COUNTIF('Loyd List 1-190 - Edit'!$R$3:$R$184,'Data check lookup table'!A162)</f>
        <v>0</v>
      </c>
    </row>
    <row r="163" spans="1:2">
      <c r="A163" t="e">
        <f t="shared" si="14"/>
        <v>#REF!</v>
      </c>
      <c r="B163">
        <f>COUNTIF('Loyd List 1-190 - Edit'!$R$3:$R$184,'Data check lookup table'!A163)</f>
        <v>0</v>
      </c>
    </row>
    <row r="164" spans="1:2">
      <c r="A164" t="e">
        <f t="shared" si="14"/>
        <v>#REF!</v>
      </c>
      <c r="B164">
        <f>COUNTIF('Loyd List 1-190 - Edit'!$R$3:$R$184,'Data check lookup table'!A164)</f>
        <v>0</v>
      </c>
    </row>
    <row r="165" spans="1:2">
      <c r="A165" t="e">
        <f t="shared" si="14"/>
        <v>#REF!</v>
      </c>
      <c r="B165">
        <f>COUNTIF('Loyd List 1-190 - Edit'!$R$3:$R$184,'Data check lookup table'!A165)</f>
        <v>0</v>
      </c>
    </row>
    <row r="166" spans="1:2">
      <c r="A166" t="e">
        <f t="shared" si="14"/>
        <v>#REF!</v>
      </c>
      <c r="B166">
        <f>COUNTIF('Loyd List 1-190 - Edit'!$R$3:$R$184,'Data check lookup table'!A166)</f>
        <v>0</v>
      </c>
    </row>
    <row r="167" spans="1:2">
      <c r="A167" t="e">
        <f t="shared" si="14"/>
        <v>#REF!</v>
      </c>
      <c r="B167">
        <f>COUNTIF('Loyd List 1-190 - Edit'!$R$3:$R$184,'Data check lookup table'!A167)</f>
        <v>0</v>
      </c>
    </row>
    <row r="168" spans="1:2">
      <c r="A168" t="e">
        <f t="shared" si="14"/>
        <v>#REF!</v>
      </c>
      <c r="B168">
        <f>COUNTIF('Loyd List 1-190 - Edit'!$R$3:$R$184,'Data check lookup table'!A168)</f>
        <v>0</v>
      </c>
    </row>
    <row r="169" spans="1:2">
      <c r="A169" t="e">
        <f t="shared" si="14"/>
        <v>#REF!</v>
      </c>
      <c r="B169">
        <f>COUNTIF('Loyd List 1-190 - Edit'!$R$3:$R$184,'Data check lookup table'!A169)</f>
        <v>0</v>
      </c>
    </row>
    <row r="170" spans="1:2">
      <c r="A170" t="e">
        <f t="shared" si="14"/>
        <v>#REF!</v>
      </c>
      <c r="B170">
        <f>COUNTIF('Loyd List 1-190 - Edit'!$R$3:$R$184,'Data check lookup table'!A170)</f>
        <v>0</v>
      </c>
    </row>
    <row r="171" spans="1:2">
      <c r="A171" t="e">
        <f t="shared" si="14"/>
        <v>#REF!</v>
      </c>
      <c r="B171">
        <f>COUNTIF('Loyd List 1-190 - Edit'!$R$3:$R$184,'Data check lookup table'!A171)</f>
        <v>0</v>
      </c>
    </row>
    <row r="172" spans="1:2">
      <c r="A172" t="e">
        <f t="shared" si="14"/>
        <v>#REF!</v>
      </c>
      <c r="B172">
        <f>COUNTIF('Loyd List 1-190 - Edit'!$R$3:$R$184,'Data check lookup table'!A172)</f>
        <v>0</v>
      </c>
    </row>
    <row r="173" spans="1:2">
      <c r="A173" t="e">
        <f t="shared" si="14"/>
        <v>#REF!</v>
      </c>
      <c r="B173">
        <f>COUNTIF('Loyd List 1-190 - Edit'!$R$3:$R$184,'Data check lookup table'!A173)</f>
        <v>0</v>
      </c>
    </row>
  </sheetData>
  <autoFilter ref="G2:U73" xr:uid="{63A5ED3B-C514-DB43-993F-A95E0E2B4527}"/>
  <hyperlinks>
    <hyperlink ref="S58" r:id="rId1" tooltip="mailto:streetb03@hotmail.com" display="mailto:streetb03@hotmail.com" xr:uid="{14099574-036C-294B-91E4-DA938568D98F}"/>
    <hyperlink ref="S29" r:id="rId2" tooltip="mailto:dominicloyd@btinternet.com" display="mailto:dominicloyd@btinternet.com" xr:uid="{BA966F18-1B3F-AE40-8DD2-EE95D577CCCE}"/>
    <hyperlink ref="S30" r:id="rId3" tooltip="mailto:tim.loyd@btinternet.com" display="mailto:tim.loyd@btinternet.com" xr:uid="{0C5EE4A6-7B08-E347-B1DA-958740D2E1D0}"/>
    <hyperlink ref="S31" r:id="rId4" tooltip="mailto:abloyd@aol.co.uk" display="mailto:abloyd@aol.co.uk" xr:uid="{F0312366-4CAE-C944-900D-2FEC2BFFE587}"/>
    <hyperlink ref="S28" r:id="rId5" tooltip="mailto:paddyloyd@talk21.com" display="mailto:paddyloyd@talk21.com" xr:uid="{DC381AA1-A0E8-7243-A3FA-2B1D06913C47}"/>
    <hyperlink ref="V5" r:id="rId6" tooltip="mailto:loydthreepwood@gmail.com" display="mailto:loydthreepwood@gmail.com" xr:uid="{37DE4F36-7A87-CA49-8CE4-31F7C41F7FAB}"/>
    <hyperlink ref="S5" r:id="rId7" tooltip="mailto:loydthreepwood@gmail.com" display="mailto:loydthreepwood@gmail.com" xr:uid="{B028AAE9-ECC6-1A46-A4DF-D0097926F526}"/>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2382-A8A1-754C-8610-05B2AC236C91}">
  <dimension ref="A1:BI244"/>
  <sheetViews>
    <sheetView zoomScale="91" workbookViewId="0">
      <pane xSplit="2" ySplit="2" topLeftCell="AA3" activePane="bottomRight" state="frozen"/>
      <selection pane="topRight" activeCell="C1" sqref="C1"/>
      <selection pane="bottomLeft" activeCell="A3" sqref="A3"/>
      <selection pane="bottomRight" activeCell="AB3" sqref="AB3"/>
    </sheetView>
  </sheetViews>
  <sheetFormatPr baseColWidth="10" defaultRowHeight="16"/>
  <cols>
    <col min="1" max="1" width="14.6640625" bestFit="1" customWidth="1"/>
    <col min="2" max="2" width="14" bestFit="1" customWidth="1"/>
    <col min="4" max="4" width="20" customWidth="1"/>
    <col min="5" max="6" width="20.6640625" customWidth="1"/>
    <col min="7" max="7" width="9.6640625" bestFit="1" customWidth="1"/>
    <col min="8" max="8" width="9.83203125" customWidth="1"/>
    <col min="9" max="9" width="15.33203125" bestFit="1" customWidth="1"/>
    <col min="10" max="10" width="15.33203125" customWidth="1"/>
    <col min="11" max="11" width="12.83203125" customWidth="1"/>
    <col min="12" max="12" width="10" customWidth="1"/>
    <col min="13" max="13" width="28.5" customWidth="1"/>
    <col min="14" max="14" width="12.1640625" customWidth="1"/>
    <col min="15" max="15" width="13.5" customWidth="1"/>
    <col min="16" max="16" width="13.83203125" customWidth="1"/>
    <col min="17" max="18" width="12" customWidth="1"/>
    <col min="19" max="19" width="16.1640625" customWidth="1"/>
    <col min="22" max="22" width="25.83203125" bestFit="1" customWidth="1"/>
    <col min="23" max="23" width="23" bestFit="1" customWidth="1"/>
    <col min="24" max="24" width="29" bestFit="1" customWidth="1"/>
    <col min="25" max="25" width="37.6640625" bestFit="1" customWidth="1"/>
    <col min="26" max="26" width="61.5" customWidth="1"/>
    <col min="27" max="27" width="177.6640625" bestFit="1" customWidth="1"/>
    <col min="28" max="28" width="183.5" bestFit="1" customWidth="1"/>
    <col min="29" max="29" width="96.5" customWidth="1"/>
    <col min="30" max="30" width="74.1640625" style="31" customWidth="1"/>
    <col min="31" max="31" width="96.5" customWidth="1"/>
    <col min="32" max="32" width="63.5" customWidth="1"/>
    <col min="33" max="33" width="33.33203125" style="116" customWidth="1"/>
    <col min="34" max="34" width="35" style="116" customWidth="1"/>
    <col min="35" max="35" width="35.6640625" style="116" customWidth="1"/>
    <col min="36" max="36" width="15.6640625" style="116" customWidth="1"/>
    <col min="37" max="37" width="35" style="116" customWidth="1"/>
    <col min="38" max="38" width="153.6640625" style="116" customWidth="1"/>
    <col min="39" max="39" width="29.6640625" customWidth="1"/>
    <col min="40" max="40" width="28.83203125" bestFit="1" customWidth="1"/>
    <col min="41" max="48" width="28.83203125" customWidth="1"/>
    <col min="49" max="50" width="27.1640625" customWidth="1"/>
    <col min="51" max="51" width="28.83203125" bestFit="1" customWidth="1"/>
    <col min="52" max="52" width="23.83203125" bestFit="1" customWidth="1"/>
    <col min="53" max="54" width="23.6640625" bestFit="1" customWidth="1"/>
  </cols>
  <sheetData>
    <row r="1" spans="1:61" s="99" customFormat="1">
      <c r="B1" s="116">
        <v>3</v>
      </c>
      <c r="C1" s="116">
        <v>4</v>
      </c>
      <c r="D1" s="116">
        <v>5</v>
      </c>
      <c r="E1" s="116">
        <v>2</v>
      </c>
      <c r="F1" s="116">
        <v>6</v>
      </c>
      <c r="G1" s="116">
        <v>7</v>
      </c>
      <c r="H1" s="116">
        <v>8</v>
      </c>
      <c r="I1" s="116">
        <v>11</v>
      </c>
      <c r="J1" s="116">
        <v>13</v>
      </c>
      <c r="K1" s="116">
        <v>32</v>
      </c>
      <c r="L1" s="116">
        <v>16</v>
      </c>
      <c r="M1" s="116">
        <v>12</v>
      </c>
      <c r="N1" s="116">
        <f>M1</f>
        <v>12</v>
      </c>
      <c r="O1" s="116">
        <f>N1</f>
        <v>12</v>
      </c>
      <c r="P1" s="116">
        <f>O1</f>
        <v>12</v>
      </c>
      <c r="Q1" s="116">
        <f>P1</f>
        <v>12</v>
      </c>
      <c r="R1" s="116">
        <f>Q1</f>
        <v>12</v>
      </c>
      <c r="S1" s="116">
        <v>12</v>
      </c>
      <c r="T1" s="116"/>
      <c r="U1" s="116"/>
      <c r="W1" s="99">
        <f>LEN(C3)</f>
        <v>0</v>
      </c>
      <c r="Z1" s="116">
        <v>4</v>
      </c>
      <c r="AD1" s="31"/>
      <c r="AG1" s="116"/>
      <c r="AH1" s="116"/>
      <c r="AI1" s="116"/>
      <c r="AJ1" s="116">
        <v>12</v>
      </c>
      <c r="AK1" s="116">
        <v>7</v>
      </c>
      <c r="AL1" s="116"/>
      <c r="AX1" s="145">
        <v>28</v>
      </c>
      <c r="AY1" s="146">
        <v>13</v>
      </c>
    </row>
    <row r="2" spans="1:61" s="100" customFormat="1" ht="51">
      <c r="A2" s="100" t="str">
        <f>'Loyd List 1-190 - Edit'!C1</f>
        <v>Loyd #</v>
      </c>
      <c r="B2" s="100" t="str">
        <f>VLOOKUP($A2,'Loyd List 1-190 - Edit'!$C$1:$AQ$184,'Book Details - NO EDIT'!B$1,FALSE)</f>
        <v>1st Name</v>
      </c>
      <c r="C2" s="100" t="str">
        <f>VLOOKUP($A2,'Loyd List 1-190 - Edit'!$C$1:$AQ$184,'Book Details - NO EDIT'!C$1,FALSE)</f>
        <v>2nd Name</v>
      </c>
      <c r="D2" s="100" t="str">
        <f>VLOOKUP($A2,'Loyd List 1-190 - Edit'!$C$1:$AQ$184,'Book Details - NO EDIT'!D$1,FALSE)</f>
        <v>3rd Name</v>
      </c>
      <c r="E2" s="100" t="str">
        <f>VLOOKUP($A2,'Loyd List 1-190 - Edit'!$C$1:$AQ$184,'Book Details - NO EDIT'!E$1,FALSE)</f>
        <v>Surname</v>
      </c>
      <c r="F2" s="100" t="str">
        <f>VLOOKUP($A2,'Loyd List 1-190 - Edit'!$C$1:$AQ$184,'Book Details - NO EDIT'!F$1,FALSE)</f>
        <v>Known as</v>
      </c>
      <c r="G2" s="100" t="str">
        <f>VLOOKUP($A2,'Loyd List 1-190 - Edit'!$C$1:$AQ$184,'Book Details - NO EDIT'!G$1,FALSE)</f>
        <v>Year of Birth</v>
      </c>
      <c r="H2" s="100" t="str">
        <f>VLOOKUP($A2,'Loyd List 1-190 - Edit'!$C$1:$AQ$184,'Book Details - NO EDIT'!H$1,FALSE)</f>
        <v>Year of Death</v>
      </c>
      <c r="I2" s="100" t="str">
        <f>VLOOKUP($A2,'Loyd List 1-190 - Edit'!$C$1:$AQ$184,'Book Details - NO EDIT'!I$1,FALSE)</f>
        <v>Dob Entered</v>
      </c>
      <c r="J2" s="100" t="str">
        <f>VLOOKUP($A2,'Loyd List 1-190 - Edit'!$C$1:$AQ$184,'Book Details - NO EDIT'!J$1,FALSE)</f>
        <v>DoD</v>
      </c>
      <c r="K2" s="100" t="str">
        <f>VLOOKUP($A2,'Loyd List 1-190 - Edit'!$C$1:$AQ$220,'Book Details - NO EDIT'!K$1,FALSE)</f>
        <v>Sex</v>
      </c>
      <c r="L2" s="100" t="str">
        <f>VLOOKUP($A2,'Loyd List 1-190 - Edit'!$C$1:$AQ$184,'Book Details - NO EDIT'!L$1,FALSE)</f>
        <v>Father's Loyd #</v>
      </c>
      <c r="M2" s="100" t="s">
        <v>2958</v>
      </c>
      <c r="N2" s="100" t="s">
        <v>2959</v>
      </c>
      <c r="O2" s="100" t="s">
        <v>2960</v>
      </c>
      <c r="P2" s="100" t="s">
        <v>2961</v>
      </c>
      <c r="Q2" s="100" t="s">
        <v>2962</v>
      </c>
      <c r="R2" s="100" t="s">
        <v>2963</v>
      </c>
      <c r="S2" s="100" t="s">
        <v>3137</v>
      </c>
      <c r="T2" s="100" t="s">
        <v>2351</v>
      </c>
      <c r="U2" s="100" t="s">
        <v>780</v>
      </c>
      <c r="V2" s="100" t="s">
        <v>2964</v>
      </c>
      <c r="W2" s="100" t="s">
        <v>2965</v>
      </c>
      <c r="X2" s="100" t="s">
        <v>2966</v>
      </c>
      <c r="Y2" s="100" t="s">
        <v>2967</v>
      </c>
      <c r="Z2" s="100" t="s">
        <v>2998</v>
      </c>
      <c r="AA2" s="100" t="s">
        <v>2995</v>
      </c>
      <c r="AB2" s="36" t="s">
        <v>2999</v>
      </c>
      <c r="AC2" s="36" t="s">
        <v>3028</v>
      </c>
      <c r="AD2" s="36" t="s">
        <v>3038</v>
      </c>
      <c r="AE2" s="36" t="s">
        <v>3036</v>
      </c>
      <c r="AF2" s="36" t="s">
        <v>3037</v>
      </c>
      <c r="AG2" s="100" t="s">
        <v>2969</v>
      </c>
      <c r="AH2" s="100" t="s">
        <v>3002</v>
      </c>
      <c r="AI2" s="100" t="s">
        <v>3039</v>
      </c>
      <c r="AJ2" s="130" t="str">
        <f>IF(VLOOKUP($A2,'Loyd List 1-190 - Edit'!$C$1:$AQ$184,'Book Details - NO EDIT'!AJ$1,FALSE)="","",(VLOOKUP($A2,'Loyd List 1-190 - Edit'!$C$1:$AQ$184,'Book Details - NO EDIT'!AJ$1,FALSE)))</f>
        <v xml:space="preserve">DoM </v>
      </c>
      <c r="AK2" s="129" t="s">
        <v>4431</v>
      </c>
      <c r="AL2" s="129" t="str">
        <f>VLOOKUP(A2,'Updated Bios &amp; Spouse Details'!$A$1:$J$200,5,FALSE)</f>
        <v>Additional Biographical Information (Short address)</v>
      </c>
      <c r="AM2" s="100" t="s">
        <v>3041</v>
      </c>
      <c r="AW2" s="100" t="s">
        <v>3155</v>
      </c>
      <c r="AX2" s="100" t="s">
        <v>3157</v>
      </c>
      <c r="AY2" s="36" t="s">
        <v>3160</v>
      </c>
    </row>
    <row r="3" spans="1:61" s="99" customFormat="1" ht="147" customHeight="1">
      <c r="A3" s="139">
        <f>'Loyd List 1-190 - Edit'!C3</f>
        <v>1</v>
      </c>
      <c r="B3" s="99" t="str">
        <f>VLOOKUP($A3,'Loyd List 1-190 - Edit'!$C$1:$AQ$220,'Book Details - NO EDIT'!B$1,FALSE)</f>
        <v>William</v>
      </c>
      <c r="C3" s="99" t="str">
        <f>IF(VLOOKUP($A3,'Loyd List 1-190 - Edit'!$C$1:$AQ$220,'Book Details - NO EDIT'!C$1,FALSE)="","",VLOOKUP($A3,'Loyd List 1-190 - Edit'!$C$1:$AQ$220,'Book Details - NO EDIT'!C$1,FALSE))</f>
        <v/>
      </c>
      <c r="D3" s="99" t="str">
        <f>IF(VLOOKUP($A3,'Loyd List 1-190 - Edit'!$C$1:$AQ$220,'Book Details - NO EDIT'!D$1,FALSE)="","",VLOOKUP($A3,'Loyd List 1-190 - Edit'!$C$1:$AQ$220,'Book Details - NO EDIT'!D$1,FALSE))</f>
        <v/>
      </c>
      <c r="E3" s="99" t="str">
        <f>IF(VLOOKUP($A3,'Loyd List 1-190 - Edit'!$C$1:$AQ$220,'Book Details - NO EDIT'!E$1,FALSE)="","",VLOOKUP($A3,'Loyd List 1-190 - Edit'!$C$1:$AQ$220,'Book Details - NO EDIT'!E$1,FALSE))</f>
        <v>LLOYD</v>
      </c>
      <c r="F3" s="99" t="str">
        <f>IF(VLOOKUP($A3,'Loyd List 1-190 - Edit'!$C$1:$AQ$220,'Book Details - NO EDIT'!F$1,FALSE)="",B3,VLOOKUP($A3,'Loyd List 1-190 - Edit'!$C$1:$AQ$220,'Book Details - NO EDIT'!F$1,FALSE))</f>
        <v>William</v>
      </c>
      <c r="G3" s="140">
        <f>IF(VLOOKUP($A3,'Loyd List 1-190 - Edit'!$C$1:$AQ$220,'Book Details - NO EDIT'!G$1,FALSE)="","",VALUE(VLOOKUP($A3,'Loyd List 1-190 - Edit'!$C$1:$AQ$220,'Book Details - NO EDIT'!G$1,FALSE)))</f>
        <v>1729</v>
      </c>
      <c r="H3" s="140">
        <f>IF(VLOOKUP($A3,'Loyd List 1-190 - Edit'!$C$1:$AQ$220,'Book Details - NO EDIT'!H$1,FALSE)="","",VALUE(VLOOKUP($A3,'Loyd List 1-190 - Edit'!$C$1:$AQ$220,'Book Details - NO EDIT'!H$1,FALSE)))</f>
        <v>1800</v>
      </c>
      <c r="I3" s="141" t="str">
        <f>IF(VLOOKUP($A3,'Loyd List 1-190 - Edit'!$C$1:$AQ$220,'Book Details - NO EDIT'!I$1,FALSE)="","",(VLOOKUP($A3,'Loyd List 1-190 - Edit'!$C$1:$AQ$220,'Book Details - NO EDIT'!I$1,FALSE)))</f>
        <v>20/09/1729</v>
      </c>
      <c r="J3" s="141" t="str">
        <f>IF(VLOOKUP($A3,'Loyd List 1-190 - Edit'!$C$1:$AQ$220,'Book Details - NO EDIT'!J$1,FALSE)="","",(VLOOKUP($A3,'Loyd List 1-190 - Edit'!$C$1:$AQ$220,'Book Details - NO EDIT'!J$1,FALSE)))</f>
        <v>13/05/1800</v>
      </c>
      <c r="K3" s="100" t="str">
        <f>VLOOKUP($A3,'Loyd List 1-190 - Edit'!$C$1:$AQ$220,'Book Details - NO EDIT'!K$1,FALSE)</f>
        <v>Boy</v>
      </c>
      <c r="L3" s="140">
        <f>VLOOKUP($A3,'Loyd List 1-190 - Edit'!$C$1:$AQ$220,'Book Details - NO EDIT'!L$1,FALSE)</f>
        <v>0</v>
      </c>
      <c r="M3" s="140" t="s">
        <v>4337</v>
      </c>
      <c r="N3" s="140" t="str">
        <f t="shared" ref="N3:S3" si="0">IF(ISNA(VLOOKUP(M3,$A$3:$L$220,N$1,FALSE)),"",(VLOOKUP(M3,$A$3:$L$220,N$1,FALSE)))</f>
        <v/>
      </c>
      <c r="O3" s="140" t="str">
        <f t="shared" si="0"/>
        <v/>
      </c>
      <c r="P3" s="140" t="str">
        <f t="shared" si="0"/>
        <v/>
      </c>
      <c r="Q3" s="140" t="str">
        <f t="shared" si="0"/>
        <v/>
      </c>
      <c r="R3" s="140" t="str">
        <f t="shared" si="0"/>
        <v/>
      </c>
      <c r="S3" s="140" t="str">
        <f t="shared" si="0"/>
        <v/>
      </c>
      <c r="T3" s="140">
        <f t="shared" ref="T3:T66" si="1">IF(L3=1,1,IF(M3=1,2,IF(N3=1,3,IF(O3=1,4,IF(P3=1,5,IF(Q3=1,6,IF(R3=1,7,IF(S3=1,8,0))))))))</f>
        <v>0</v>
      </c>
      <c r="U3" s="139">
        <f>A3</f>
        <v>1</v>
      </c>
      <c r="V3" s="31" t="str">
        <f>_xlfn.CONCAT(F3," (",G3,"–",H3,")")</f>
        <v>William (1729–1800)</v>
      </c>
      <c r="W3" s="31" t="str">
        <f>_xlfn.CONCAT(F3," (#",A3,")")</f>
        <v>William (#1)</v>
      </c>
      <c r="X3" s="99" t="str">
        <f>_xlfn.CONCAT(F3," (",G3,"–",H3,": #",A3,")")</f>
        <v>William (1729–1800: #1)</v>
      </c>
      <c r="Y3" s="99" t="str">
        <f t="shared" ref="Y3:Y34" si="2">_xlfn.CONCAT(B3," ",IF(C3="",E3,_xlfn.CONCAT(C3," ",IF(D3="",E3,_xlfn.CONCAT(D3," ",E3)))))</f>
        <v>William LLOYD</v>
      </c>
      <c r="Z3" s="200" t="s">
        <v>4338</v>
      </c>
      <c r="AA3" s="200" t="s">
        <v>4336</v>
      </c>
      <c r="AB3" s="142" t="str">
        <f>VLOOKUP(U3,'Siblings of those BORN Loyd'!$A$2:$G$230,7,FALSE)</f>
        <v>5 – Gwenllian Lloyd (1719 - c1800) Edward Lloyd (1721 - 1751) Elizabeth Lloyd (1726 - 1777) Jane Lloyd (recorded living in 1766) Catherine Lloyd (recorded living in 1766)</v>
      </c>
      <c r="AC3" s="115" t="str">
        <f>IF(ISNA(IF(K3="Boy",VLOOKUP(A3,'Siblings of those BORN Loyd'!$AP$3:$AQ$70,2,FALSE),VLOOKUP(A3,'Children of Female Loyds'!$AR$5:$AT$60,3,FALSE))),AM3,IF(K3="Boy",VLOOKUP(A3,'Siblings of those BORN Loyd'!$AP$3:$AQ$70,2,FALSE),VLOOKUP(A3,'Children of Female Loyds'!$AR$5:$AT$60,3,FALSE)))</f>
        <v>7 - Jane (1765–1832: #2); Lewis LOYD (1768–1858: #3); William (1770–1828: #4); Catherine (1772–1798: #5); Thomas (1775–1853: #6); Gwenllian (1777–1779: #7); Edward (1780–1863: #8)</v>
      </c>
      <c r="AD3" s="97" t="str">
        <f>IF(AE3="d.s.p",_xlfn.CONCAT(AE3,"."),IF(AG3=0,"-",_xlfn.CONCAT(AG3," - ",AE3,"   ",AF3)))</f>
        <v xml:space="preserve">19 - Samuel (1796–1883: #9); William (1809–1879: #10); Sarah (1810–1858: #11); Eliza (1810–1861: #12); Lewis (1811–1891: #13); Thomas (1812–1857: #14); Annie (1813–1834: #15); Maria (1814–1900: #16); Edward (1815–1815: #17); Kate (1815–1905: #18); Hannah (1817–1907: #19); John (1817–1818: #20); Lewis (1819–1841: #21); Edward (1820–1890: #22) ;William (1821–1885: #23); Fanny (1824–1856: #24)   Lewis DAVIES or DANIEL (Unknown - Unknown:  #2a) Ann DAVIES or DANIEL (Unknown - Unknown:  #2b) William DAVIES or DANIEL (1800 - 1832:  #2c)            </v>
      </c>
      <c r="AE3" s="105" t="str">
        <f>IF(ISNA(IF(K3="Boy",VLOOKUP(A3,'Grandchildren of Male Loyds'!$AQ$3:$AS$51,3,FALSE),VLOOKUP(A3,'Grandchildren of Female Loyds'!$AX$5:$AZ$63,3,FALSE))),AM3,IF(K3="Boy",VLOOKUP(A3,'Grandchildren of Male Loyds'!$AQ$3:$AS$51,3,FALSE),VLOOKUP(A3,'Grandchildren of Female Loyds'!$AX$5:$AZ$63,3,FALSE)))</f>
        <v>Samuel (1796–1883: #9); William (1809–1879: #10); Sarah (1810–1858: #11); Eliza (1810–1861: #12); Lewis (1811–1891: #13); Thomas (1812–1857: #14); Annie (1813–1834: #15); Maria (1814–1900: #16); Edward (1815–1815: #17); Kate (1815–1905: #18); Hannah (1817–1907: #19); John (1817–1818: #20); Lewis (1819–1841: #21); Edward (1820–1890: #22) ;William (1821–1885: #23); Fanny (1824–1856: #24)</v>
      </c>
      <c r="AF3" s="105" t="str">
        <f>IF(ISNA(VLOOKUP(A3,'Grandchildren Loyd Daughters'!$BD$5:$BF$50,4,FALSE)),"",VLOOKUP(A3,'Grandchildren Loyd Daughters'!$BD$5:$BF$50,3,FALSE))</f>
        <v xml:space="preserve">Lewis DAVIES or DANIEL (Unknown - Unknown:  #2a) Ann DAVIES or DANIEL (Unknown - Unknown:  #2b) William DAVIES or DANIEL (1800 - 1832:  #2c)            </v>
      </c>
      <c r="AG3" s="129">
        <f>IF(ISNA(VLOOKUP(A3,'Grandchildren of Male Loyds'!$AQ$3:$AR$60,2,FALSE)),0,VLOOKUP(A3,'Grandchildren of Male Loyds'!$AQ$3:$AR$60,2,FALSE))+IF(ISNA(VLOOKUP(A3,'Grandchildren of Female Loyds'!$AX$5:$AY$50,2,FALSE)),0,VLOOKUP(A3,'Grandchildren of Female Loyds'!$AX$5:$AY$50,2,FALSE))+IF(ISNA(VLOOKUP(A3,'Grandchildren Loyd Daughters'!$BD$5:$BE$50,2,FALSE)),0,VLOOKUP(A3,'Grandchildren Loyd Daughters'!$BD$5:$BE$50,2,FALSE))</f>
        <v>19</v>
      </c>
      <c r="AH3" s="129" t="str">
        <f>VLOOKUP($U3,'Loyd List 1-190 - Edit'!$P$3:$AJ$220,21,FALSE)</f>
        <v>Jane (b. , d. 26/11/1761)</v>
      </c>
      <c r="AI3" s="129" t="str">
        <f>VLOOKUP(A3,'Updated Bios &amp; Spouse Details'!$A$1:$J$200,7,FALSE)</f>
        <v>Anne WILLIAM (b. 1738 , d. 24 May 1801)</v>
      </c>
      <c r="AJ3" s="130" t="str">
        <f>IF(VLOOKUP($A3,'Loyd List 1-190 - Edit'!$C$1:$AQ$220,'Book Details - NO EDIT'!AJ$1,FALSE)="","",(VLOOKUP($A3,'Loyd List 1-190 - Edit'!$C$1:$AQ$220,'Book Details - NO EDIT'!AJ$1,FALSE)))</f>
        <v>03/01/1765</v>
      </c>
      <c r="AK3" s="129" t="str">
        <f>VLOOKUP(A3,'Updated Bios &amp; Spouse Details'!$A$1:$J$200,8,FALSE)</f>
        <v>Married Anne at Llanfair-ar-y-bryn, Llandovery, daughter of John WILLIAM of Llanfair-ar-y-bryn, Llandovery. Anne buried 28 May 1801 at Cilycwm.</v>
      </c>
      <c r="AL3" s="131" t="str">
        <f>VLOOKUP(A3,'Updated Bios &amp; Spouse Details'!$A$1:$J$200,5,FALSE)</f>
        <v xml:space="preserve">Yeoman of Cwm-y-to fach and afterwards (1795) of Court Henry [1] in the parish of Cilycwm, Carmarthenshire. 3rd and youngest son of Lewis LLOYD (c.1690–1758: #0) [2]  of Cwm-y-to fach in the parish of Llanwrda. Baptised 20 Sep 1729 at Llanwrda. Died 13 May 1800. Buried 16 May 1800 at Cilycwm. Issue: 3 daughters, 4 sons. Will dated 8 July 1799, proved 24 May 1800 at Carmarthen. Original in National Library of Wales, Aberystwyth. Churchwarden Llanwrda 1766 and 1791 Tombstone in Cilycwm Churchyard. Issue: 4 sons, 3 daughters. Footnote: [1] Court Henry (spelt CWRT HENRY on first Ordnance Survey maps printed in 1865) was sold by Lord Overstone in 1881 for £1,000. [2] Lewis Lloyd died 24 Aug 1758. Buried 25 or 26 Aug 1758 at Llanwrda. Lewis' will dated 8 Jan 1757, proved 10 Jul 1760. Total assets £12-3 shillings. Original in the National Library of Wales, Aberystwyth (Testators’ Wills index St David’s Diocese).                                                                    </v>
      </c>
      <c r="AM3" s="105" t="str">
        <f>IF(AND(LEN(H3)&gt;0,ISNA(IF(K3="Boy",VLOOKUP(A3,'Siblings of those BORN Loyd'!$AP$3:$AQ$70,2,FALSE),VLOOKUP(A3,'Children of Female Loyds'!$AR$5:$AS$60,2,FALSE)))),"d.s.p","")</f>
        <v/>
      </c>
      <c r="AW3" s="116" t="str">
        <f>VLOOKUP(A3,'Updated Bios &amp; Spouse Details'!$A$1:$J$193,6,FALSE)</f>
        <v>Wales</v>
      </c>
      <c r="AX3" s="131">
        <f>VLOOKUP($A3,'Loyd List 1-190 - Edit'!$P$2:$AQ$220,AX$1,FALSE)</f>
        <v>1</v>
      </c>
      <c r="AY3" s="116" t="str">
        <f>IF(ISNA(VLOOKUP(A3,'Data check lookup table'!$G$2:$V$73,13,FALSE))," - ",VLOOKUP(A3,'Data check lookup table'!$G$2:$V$73,13,FALSE))</f>
        <v xml:space="preserve"> - </v>
      </c>
      <c r="AZ3" s="147" t="str">
        <f>TEXT(J3,"dd/mm/yyyy")</f>
        <v>13/05/1800</v>
      </c>
      <c r="BI3" s="147" t="s">
        <v>957</v>
      </c>
    </row>
    <row r="4" spans="1:61" s="99" customFormat="1" ht="63" customHeight="1">
      <c r="A4" s="139">
        <f>'Loyd List 1-190 - Edit'!C4</f>
        <v>2</v>
      </c>
      <c r="B4" s="99" t="str">
        <f>VLOOKUP($A4,'Loyd List 1-190 - Edit'!$C$1:$AQ$220,'Book Details - NO EDIT'!B$1,FALSE)</f>
        <v>Jane</v>
      </c>
      <c r="C4" s="99" t="str">
        <f>IF(VLOOKUP($A4,'Loyd List 1-190 - Edit'!$C$1:$AQ$220,'Book Details - NO EDIT'!C$1,FALSE)="","",VLOOKUP($A4,'Loyd List 1-190 - Edit'!$C$1:$AQ$220,'Book Details - NO EDIT'!C$1,FALSE))</f>
        <v/>
      </c>
      <c r="D4" s="99" t="str">
        <f>IF(VLOOKUP($A4,'Loyd List 1-190 - Edit'!$C$1:$AQ$220,'Book Details - NO EDIT'!D$1,FALSE)="","",VLOOKUP($A4,'Loyd List 1-190 - Edit'!$C$1:$AQ$220,'Book Details - NO EDIT'!D$1,FALSE))</f>
        <v/>
      </c>
      <c r="E4" s="99" t="str">
        <f>IF(VLOOKUP($A4,'Loyd List 1-190 - Edit'!$C$1:$AQ$220,'Book Details - NO EDIT'!E$1,FALSE)="","",VLOOKUP($A4,'Loyd List 1-190 - Edit'!$C$1:$AQ$220,'Book Details - NO EDIT'!E$1,FALSE))</f>
        <v>LLOYD</v>
      </c>
      <c r="F4" s="99" t="str">
        <f>IF(VLOOKUP($A4,'Loyd List 1-190 - Edit'!$C$1:$AQ$220,'Book Details - NO EDIT'!F$1,FALSE)="",B4,VLOOKUP($A4,'Loyd List 1-190 - Edit'!$C$1:$AQ$220,'Book Details - NO EDIT'!F$1,FALSE))</f>
        <v>Jane</v>
      </c>
      <c r="G4" s="140">
        <f>IF(VLOOKUP($A4,'Loyd List 1-190 - Edit'!$C$1:$AQ$220,'Book Details - NO EDIT'!G$1,FALSE)="","",VALUE(VLOOKUP($A4,'Loyd List 1-190 - Edit'!$C$1:$AQ$220,'Book Details - NO EDIT'!G$1,FALSE)))</f>
        <v>1765</v>
      </c>
      <c r="H4" s="140">
        <f>IF(VLOOKUP($A4,'Loyd List 1-190 - Edit'!$C$1:$AQ$220,'Book Details - NO EDIT'!H$1,FALSE)="","",VALUE(VLOOKUP($A4,'Loyd List 1-190 - Edit'!$C$1:$AQ$220,'Book Details - NO EDIT'!H$1,FALSE)))</f>
        <v>1832</v>
      </c>
      <c r="I4" s="141" t="str">
        <f>IF(VLOOKUP($A4,'Loyd List 1-190 - Edit'!$C$1:$AQ$220,'Book Details - NO EDIT'!I$1,FALSE)="","",(VLOOKUP($A4,'Loyd List 1-190 - Edit'!$C$1:$AQ$220,'Book Details - NO EDIT'!I$1,FALSE)))</f>
        <v>29/10/1765</v>
      </c>
      <c r="J4" s="141" t="str">
        <f>IF(VLOOKUP($A4,'Loyd List 1-190 - Edit'!$C$1:$AQ$220,'Book Details - NO EDIT'!J$1,FALSE)="","",(VLOOKUP($A4,'Loyd List 1-190 - Edit'!$C$1:$AQ$220,'Book Details - NO EDIT'!J$1,FALSE)))</f>
        <v>11/05/1832</v>
      </c>
      <c r="K4" s="100" t="str">
        <f>VLOOKUP($A4,'Loyd List 1-190 - Edit'!$C$1:$AQ$220,'Book Details - NO EDIT'!K$1,FALSE)</f>
        <v>Girl</v>
      </c>
      <c r="L4" s="140">
        <f>VLOOKUP($A4,'Loyd List 1-190 - Edit'!$C$1:$AQ$220,'Book Details - NO EDIT'!L$1,FALSE)</f>
        <v>1</v>
      </c>
      <c r="M4" s="140">
        <f t="shared" ref="M4:P67" si="3">IF(ISNA(VLOOKUP(L4,$A$3:$L$220,M$1,FALSE)),"",(VLOOKUP(L4,$A$3:$L$220,M$1,FALSE)))</f>
        <v>0</v>
      </c>
      <c r="N4" s="140" t="str">
        <f t="shared" si="3"/>
        <v/>
      </c>
      <c r="O4" s="140" t="str">
        <f t="shared" si="3"/>
        <v/>
      </c>
      <c r="P4" s="140" t="str">
        <f t="shared" si="3"/>
        <v/>
      </c>
      <c r="Q4" s="140" t="str">
        <f t="shared" ref="Q4:R67" si="4">IF(ISNA(VLOOKUP(P4,$A$3:$L$220,Q$1,FALSE)),"",(VLOOKUP(P4,$A$3:$L$220,Q$1,FALSE)))</f>
        <v/>
      </c>
      <c r="R4" s="140" t="str">
        <f t="shared" si="4"/>
        <v/>
      </c>
      <c r="S4" s="140" t="str">
        <f t="shared" ref="S4:S67" si="5">IF(ISNA(VLOOKUP(R4,$A$3:$L$220,S$1,FALSE)),"",(VLOOKUP(R4,$A$3:$L$220,S$1,FALSE)))</f>
        <v/>
      </c>
      <c r="T4" s="140">
        <f t="shared" si="1"/>
        <v>1</v>
      </c>
      <c r="U4" s="139">
        <f t="shared" ref="U4:U67" si="6">A4</f>
        <v>2</v>
      </c>
      <c r="V4" s="31" t="str">
        <f t="shared" ref="V4:V67" si="7">_xlfn.CONCAT(F4," (",G4,"–",H4,")")</f>
        <v>Jane (1765–1832)</v>
      </c>
      <c r="W4" s="31" t="str">
        <f t="shared" ref="W4:W67" si="8">_xlfn.CONCAT(F4," (#",A4,")")</f>
        <v>Jane (#2)</v>
      </c>
      <c r="X4" s="99" t="str">
        <f t="shared" ref="X4:X67" si="9">_xlfn.CONCAT(F4," (",G4,"–",H4,": #",A4,")")</f>
        <v>Jane (1765–1832: #2)</v>
      </c>
      <c r="Y4" s="99" t="str">
        <f t="shared" si="2"/>
        <v>Jane LLOYD</v>
      </c>
      <c r="Z4" s="99" t="str">
        <f t="shared" ref="Z4:Z67" si="10">VLOOKUP(L4,$U$2:$X$230,Z$1,FALSE)</f>
        <v>William (1729–1800: #1)</v>
      </c>
      <c r="AA4" s="99" t="str">
        <f>_xlfn.CONCAT(AN4," ",AO4," ",AP4," ",AQ4," ",AR4," ",AS4," ",AT4," ",AU4)</f>
        <v xml:space="preserve">William (1729–1800: #1)       </v>
      </c>
      <c r="AB4" s="142" t="str">
        <f>VLOOKUP(U4,'Siblings of those BORN Loyd'!$A$2:$G$230,7,FALSE)</f>
        <v xml:space="preserve">6 – Lewis LOYD (1768–1858: #3) William (1770–1828: #4) Catherine (1772–1798: #5) Thomas (1775–1853: #6) Gwenllian (1777–1779: #7) Edward (1780–1863: #8)  </v>
      </c>
      <c r="AC4" s="115" t="str">
        <f>IF(ISNA(IF(K4="Boy",VLOOKUP(A4,'Siblings of those BORN Loyd'!$AP$3:$AQ$70,2,FALSE),VLOOKUP(A4,'Children of Female Loyds'!$AR$5:$AT$60,3,FALSE))),AM4,IF(K4="Boy",VLOOKUP(A4,'Siblings of those BORN Loyd'!$AP$3:$AQ$70,2,FALSE),VLOOKUP(A4,'Children of Female Loyds'!$AR$5:$AT$60,3,FALSE)))</f>
        <v xml:space="preserve">3 - Lewis DAVIES or DANIEL (Unknown - Unknown: #2a) Ann DAVIES or DANIEL (Unknown - Unknown: #2b) William DAVIES or DANIEL (1800 - 1832: #2c)     </v>
      </c>
      <c r="AD4" s="97" t="str">
        <f t="shared" ref="AD4:AD9" si="11">IF(AE4="d.s.p",_xlfn.CONCAT(AE4,"."),IF(AG4=0,"-",_xlfn.CONCAT(AG4," - ",AE4,"   ",AF4)))</f>
        <v xml:space="preserve">2 - William DAVIES (Date unknown -1908: #2aa) Catherine DAVIES (1829 -1866: #2ca)                 </v>
      </c>
      <c r="AE4" s="105" t="str">
        <f>IF(ISNA(IF(K4="Boy",VLOOKUP(A4,'Grandchildren of Male Loyds'!$AQ$3:$AS$51,3,FALSE),VLOOKUP(A4,'Grandchildren of Female Loyds'!$AX$5:$AZ$63,3,FALSE))),AM4,IF(K4="Boy",VLOOKUP(A4,'Grandchildren of Male Loyds'!$AQ$3:$AS$51,3,FALSE),VLOOKUP(A4,'Grandchildren of Female Loyds'!$AX$5:$AZ$63,3,FALSE)))</f>
        <v xml:space="preserve">William DAVIES (Date unknown -1908: #2aa) Catherine DAVIES (1829 -1866: #2ca)              </v>
      </c>
      <c r="AF4" s="105" t="str">
        <f>IF(ISNA(VLOOKUP(A4,'Grandchildren Loyd Daughters'!$BD$5:$BF$50,4,FALSE)),"",VLOOKUP(A4,'Grandchildren Loyd Daughters'!$BD$5:$BF$50,3,FALSE))</f>
        <v/>
      </c>
      <c r="AG4" s="129">
        <f>IF(ISNA(VLOOKUP(A4,'Grandchildren of Male Loyds'!$AQ$3:$AR$60,2,FALSE)),0,VLOOKUP(A4,'Grandchildren of Male Loyds'!$AQ$3:$AR$60,2,FALSE))+IF(ISNA(VLOOKUP(A4,'Grandchildren of Female Loyds'!$AX$5:$AY$50,2,FALSE)),0,VLOOKUP(A4,'Grandchildren of Female Loyds'!$AX$5:$AY$50,2,FALSE))+IF(ISNA(VLOOKUP(A4,'Grandchildren Loyd Daughters'!$BD$5:$BE$50,2,FALSE)),0,VLOOKUP(A4,'Grandchildren Loyd Daughters'!$BD$5:$BE$50,2,FALSE))</f>
        <v>2</v>
      </c>
      <c r="AH4" s="129" t="str">
        <f>VLOOKUP($U4,'Loyd List 1-190 - Edit'!$P$3:$AJ$220,21,FALSE)</f>
        <v>Anne WILLIAM (b. 1738, d. 24 May 1801)</v>
      </c>
      <c r="AI4" s="129" t="str">
        <f>VLOOKUP(A4,'Updated Bios &amp; Spouse Details'!$A$1:$J$200,7,FALSE)</f>
        <v>Lewis DANIEL or DAVIES</v>
      </c>
      <c r="AJ4" s="130" t="str">
        <f>IF(VLOOKUP($A4,'Loyd List 1-190 - Edit'!$C$1:$AQ$220,'Book Details - NO EDIT'!AJ$1,FALSE)="","",(VLOOKUP($A4,'Loyd List 1-190 - Edit'!$C$1:$AQ$220,'Book Details - NO EDIT'!AJ$1,FALSE)))</f>
        <v>03/02/1795</v>
      </c>
      <c r="AK4" s="129" t="str">
        <f>VLOOKUP(A4,'Updated Bios &amp; Spouse Details'!$A$1:$J$200,8,FALSE)</f>
        <v>Married at Llanwrda,Lewis  of Caio, Carmarthenshire, Yeoman, afterwards of Court Henry after her father’s death in 1800.</v>
      </c>
      <c r="AL4" s="131" t="str">
        <f>VLOOKUP(A4,'Updated Bios &amp; Spouse Details'!$A$1:$J$200,5,FALSE)</f>
        <v>Jane was the eldest daughter of William LLOYD (1729–1800: #1) of Court Henry, Cilycwm, Carmarthenshire. b. 29 Oct 1765, baptised  4 or 9 Nov 1765 at Llanwrda.  Died 11 May 1832, buried at Cilycwm. Issue: 2 sons 1 daughter.</v>
      </c>
      <c r="AM4" s="105" t="str">
        <f>IF(AND(LEN(H4)&gt;0,ISNA(IF(K4="Boy",VLOOKUP(A4,'Siblings of those BORN Loyd'!$AP$3:$AQ$70,2,FALSE),VLOOKUP(A4,'Children of Female Loyds'!$AR$5:$AS$60,2,FALSE)))),"d.s.p","")</f>
        <v/>
      </c>
      <c r="AN4" s="99" t="str">
        <f t="shared" ref="AN4:AN35" si="12">(IF(OR(L4=0,LEN(L4)=0),"",_xlfn.CONCAT(VLOOKUP(L4,$U$3:$X$230,4,FALSE))))</f>
        <v>William (1729–1800: #1)</v>
      </c>
      <c r="AO4" s="99" t="str">
        <f t="shared" ref="AO4:AU4" si="13">(IF(OR(M4=0,LEN(M4)=0),"",_xlfn.CONCAT(VLOOKUP(M4,$U$3:$X$230,4,FALSE))))</f>
        <v/>
      </c>
      <c r="AP4" s="99" t="str">
        <f t="shared" si="13"/>
        <v/>
      </c>
      <c r="AQ4" s="99" t="str">
        <f t="shared" si="13"/>
        <v/>
      </c>
      <c r="AR4" s="99" t="str">
        <f t="shared" si="13"/>
        <v/>
      </c>
      <c r="AS4" s="99" t="str">
        <f t="shared" si="13"/>
        <v/>
      </c>
      <c r="AT4" s="99" t="str">
        <f t="shared" si="13"/>
        <v/>
      </c>
      <c r="AU4" s="99" t="str">
        <f t="shared" si="13"/>
        <v/>
      </c>
      <c r="AW4" s="116" t="str">
        <f>VLOOKUP(A4,'Updated Bios &amp; Spouse Details'!$A$1:$J$193,6,FALSE)</f>
        <v>Wales</v>
      </c>
      <c r="AX4" s="131">
        <f>VLOOKUP($A4,'Loyd List 1-190 - Edit'!$P$2:$AQ$220,AX$1,FALSE)</f>
        <v>2</v>
      </c>
      <c r="AY4" s="116" t="str">
        <f>IF(ISNA(VLOOKUP(A4,'Data check lookup table'!$G$2:$V$73,13,FALSE))," - ",VLOOKUP(A4,'Data check lookup table'!$G$2:$V$73,13,FALSE))</f>
        <v xml:space="preserve"> - </v>
      </c>
      <c r="AZ4" s="147" t="str">
        <f t="shared" ref="AZ4:AZ67" si="14">TEXT(J4,"dd/mm/yyyy")</f>
        <v>11/05/1832</v>
      </c>
      <c r="BA4" s="99" t="str">
        <f t="shared" ref="BA4:BA35" si="15">(IF(OR(Q4=0,LEN(Q4)=0),"",_xlfn.CONCAT(", ",VLOOKUP(Q4,$U$3:$X$230,4,FALSE))))</f>
        <v/>
      </c>
      <c r="BB4" s="99" t="str">
        <f t="shared" ref="BB4:BB35" si="16">(IF(OR(R4=0,LEN(R4)=0),"",_xlfn.CONCAT("; ",VLOOKUP(R4,$U$3:$X$230,4,FALSE))))</f>
        <v/>
      </c>
      <c r="BI4" s="147" t="s">
        <v>960</v>
      </c>
    </row>
    <row r="5" spans="1:61" s="99" customFormat="1" ht="408" customHeight="1">
      <c r="A5" s="139">
        <f>'Loyd List 1-190 - Edit'!C5</f>
        <v>3</v>
      </c>
      <c r="B5" s="99" t="str">
        <f>VLOOKUP($A5,'Loyd List 1-190 - Edit'!$C$1:$AQ$220,'Book Details - NO EDIT'!B$1,FALSE)</f>
        <v>Lewis</v>
      </c>
      <c r="C5" s="99" t="str">
        <f>IF(VLOOKUP($A5,'Loyd List 1-190 - Edit'!$C$1:$AQ$220,'Book Details - NO EDIT'!C$1,FALSE)="","",VLOOKUP($A5,'Loyd List 1-190 - Edit'!$C$1:$AQ$220,'Book Details - NO EDIT'!C$1,FALSE))</f>
        <v/>
      </c>
      <c r="D5" s="99" t="str">
        <f>IF(VLOOKUP($A5,'Loyd List 1-190 - Edit'!$C$1:$AQ$220,'Book Details - NO EDIT'!D$1,FALSE)="","",VLOOKUP($A5,'Loyd List 1-190 - Edit'!$C$1:$AQ$220,'Book Details - NO EDIT'!D$1,FALSE))</f>
        <v/>
      </c>
      <c r="E5" s="99" t="str">
        <f>IF(VLOOKUP($A5,'Loyd List 1-190 - Edit'!$C$1:$AQ$220,'Book Details - NO EDIT'!E$1,FALSE)="","",VLOOKUP($A5,'Loyd List 1-190 - Edit'!$C$1:$AQ$220,'Book Details - NO EDIT'!E$1,FALSE))</f>
        <v>LOYD</v>
      </c>
      <c r="F5" s="99" t="str">
        <f>IF(VLOOKUP($A5,'Loyd List 1-190 - Edit'!$C$1:$AQ$220,'Book Details - NO EDIT'!F$1,FALSE)="",B5,VLOOKUP($A5,'Loyd List 1-190 - Edit'!$C$1:$AQ$220,'Book Details - NO EDIT'!F$1,FALSE))</f>
        <v>Lewis LOYD</v>
      </c>
      <c r="G5" s="140">
        <f>IF(VLOOKUP($A5,'Loyd List 1-190 - Edit'!$C$1:$AQ$220,'Book Details - NO EDIT'!G$1,FALSE)="","",VALUE(VLOOKUP($A5,'Loyd List 1-190 - Edit'!$C$1:$AQ$220,'Book Details - NO EDIT'!G$1,FALSE)))</f>
        <v>1768</v>
      </c>
      <c r="H5" s="140">
        <f>IF(VLOOKUP($A5,'Loyd List 1-190 - Edit'!$C$1:$AQ$220,'Book Details - NO EDIT'!H$1,FALSE)="","",VALUE(VLOOKUP($A5,'Loyd List 1-190 - Edit'!$C$1:$AQ$220,'Book Details - NO EDIT'!H$1,FALSE)))</f>
        <v>1858</v>
      </c>
      <c r="I5" s="141" t="str">
        <f>IF(VLOOKUP($A5,'Loyd List 1-190 - Edit'!$C$1:$AQ$220,'Book Details - NO EDIT'!I$1,FALSE)="","",(VLOOKUP($A5,'Loyd List 1-190 - Edit'!$C$1:$AQ$220,'Book Details - NO EDIT'!I$1,FALSE)))</f>
        <v>01/01/1768</v>
      </c>
      <c r="J5" s="141" t="str">
        <f>IF(VLOOKUP($A5,'Loyd List 1-190 - Edit'!$C$1:$AQ$220,'Book Details - NO EDIT'!J$1,FALSE)="","",(VLOOKUP($A5,'Loyd List 1-190 - Edit'!$C$1:$AQ$220,'Book Details - NO EDIT'!J$1,FALSE)))</f>
        <v>13/05/1858</v>
      </c>
      <c r="K5" s="100" t="str">
        <f>VLOOKUP($A5,'Loyd List 1-190 - Edit'!$C$1:$AQ$220,'Book Details - NO EDIT'!K$1,FALSE)</f>
        <v>Boy</v>
      </c>
      <c r="L5" s="140">
        <f>VLOOKUP($A5,'Loyd List 1-190 - Edit'!$C$1:$AQ$220,'Book Details - NO EDIT'!L$1,FALSE)</f>
        <v>1</v>
      </c>
      <c r="M5" s="140">
        <f t="shared" si="3"/>
        <v>0</v>
      </c>
      <c r="N5" s="140" t="str">
        <f t="shared" si="3"/>
        <v/>
      </c>
      <c r="O5" s="140" t="str">
        <f t="shared" si="3"/>
        <v/>
      </c>
      <c r="P5" s="140" t="str">
        <f t="shared" si="3"/>
        <v/>
      </c>
      <c r="Q5" s="140" t="str">
        <f t="shared" si="4"/>
        <v/>
      </c>
      <c r="R5" s="140" t="str">
        <f t="shared" si="4"/>
        <v/>
      </c>
      <c r="S5" s="140" t="str">
        <f t="shared" si="5"/>
        <v/>
      </c>
      <c r="T5" s="140">
        <f t="shared" si="1"/>
        <v>1</v>
      </c>
      <c r="U5" s="139">
        <f t="shared" si="6"/>
        <v>3</v>
      </c>
      <c r="V5" s="31" t="str">
        <f t="shared" si="7"/>
        <v>Lewis LOYD (1768–1858)</v>
      </c>
      <c r="W5" s="31" t="str">
        <f t="shared" si="8"/>
        <v>Lewis LOYD (#3)</v>
      </c>
      <c r="X5" s="99" t="str">
        <f t="shared" si="9"/>
        <v>Lewis LOYD (1768–1858: #3)</v>
      </c>
      <c r="Y5" s="99" t="str">
        <f t="shared" si="2"/>
        <v>Lewis LOYD</v>
      </c>
      <c r="Z5" s="99" t="str">
        <f t="shared" si="10"/>
        <v>William (1729–1800: #1)</v>
      </c>
      <c r="AA5" s="99" t="str">
        <f t="shared" ref="AA5:AA68" si="17">_xlfn.CONCAT(AN5," ",AO5," ",AP5," ",AQ5," ",AR5," ",AS5," ",AT5," ",AU5)</f>
        <v xml:space="preserve">William (1729–1800: #1)       </v>
      </c>
      <c r="AB5" s="142" t="str">
        <f>VLOOKUP(U5,'Siblings of those BORN Loyd'!$A$2:$G$230,7,FALSE)</f>
        <v xml:space="preserve">6 – Jane (1765–1832: #2)  William (1770–1828: #4) Catherine (1772–1798: #5) Thomas (1775–1853: #6) Gwenllian (1777–1779: #7) Edward (1780–1863: #8)  </v>
      </c>
      <c r="AC5" s="115" t="str">
        <f>IF(ISNA(IF(K5="Boy",VLOOKUP(A5,'Siblings of those BORN Loyd'!$AP$3:$AQ$70,2,FALSE),VLOOKUP(A5,'Children of Female Loyds'!$AR$5:$AT$60,3,FALSE))),AM5,IF(K5="Boy",VLOOKUP(A5,'Siblings of those BORN Loyd'!$AP$3:$AQ$70,2,FALSE),VLOOKUP(A5,'Children of Female Loyds'!$AR$5:$AT$60,3,FALSE)))</f>
        <v>1 - Samuel (1796–1883: #9)</v>
      </c>
      <c r="AD5" s="97" t="str">
        <f t="shared" si="11"/>
        <v xml:space="preserve">2 - Henry (1832–1833: #25); The Hon Harriet (1837–1920: #26)   </v>
      </c>
      <c r="AE5" s="105" t="str">
        <f>IF(ISNA(IF(K5="Boy",VLOOKUP(A5,'Grandchildren of Male Loyds'!$AQ$3:$AS$51,3,FALSE),VLOOKUP(A5,'Grandchildren of Female Loyds'!$AX$5:$AZ$63,3,FALSE))),AM5,IF(K5="Boy",VLOOKUP(A5,'Grandchildren of Male Loyds'!$AQ$3:$AS$51,3,FALSE),VLOOKUP(A5,'Grandchildren of Female Loyds'!$AX$5:$AZ$63,3,FALSE)))</f>
        <v>Henry (1832–1833: #25); The Hon Harriet (1837–1920: #26)</v>
      </c>
      <c r="AF5" s="105" t="str">
        <f>IF(ISNA(VLOOKUP(A5,'Grandchildren Loyd Daughters'!$BD$5:$BF$50,4,FALSE)),"",VLOOKUP(A5,'Grandchildren Loyd Daughters'!$BD$5:$BF$50,3,FALSE))</f>
        <v/>
      </c>
      <c r="AG5" s="129">
        <f>IF(ISNA(VLOOKUP(A5,'Grandchildren of Male Loyds'!$AQ$3:$AR$60,2,FALSE)),0,VLOOKUP(A5,'Grandchildren of Male Loyds'!$AQ$3:$AR$60,2,FALSE))+IF(ISNA(VLOOKUP(A5,'Grandchildren of Female Loyds'!$AX$5:$AY$50,2,FALSE)),0,VLOOKUP(A5,'Grandchildren of Female Loyds'!$AX$5:$AY$50,2,FALSE))+IF(ISNA(VLOOKUP(A5,'Grandchildren Loyd Daughters'!$BD$5:$BE$50,2,FALSE)),0,VLOOKUP(A5,'Grandchildren Loyd Daughters'!$BD$5:$BE$50,2,FALSE))</f>
        <v>2</v>
      </c>
      <c r="AH5" s="129" t="str">
        <f>VLOOKUP($U5,'Loyd List 1-190 - Edit'!$P$3:$AJ$220,21,FALSE)</f>
        <v>Anne WILLIAM (b. 1738, d. 24 May 1801)</v>
      </c>
      <c r="AI5" s="129" t="str">
        <f>VLOOKUP(A5,'Updated Bios &amp; Spouse Details'!$A$1:$J$200,7,FALSE)</f>
        <v>(1) Sarah  JONES 7 (b. 9 Sep 1759, d. 1 Oct 1821).</v>
      </c>
      <c r="AJ5" s="130" t="str">
        <f>IF(VLOOKUP($A5,'Loyd List 1-190 - Edit'!$C$1:$AQ$220,'Book Details - NO EDIT'!AJ$1,FALSE)="","",(VLOOKUP($A5,'Loyd List 1-190 - Edit'!$C$1:$AQ$220,'Book Details - NO EDIT'!AJ$1,FALSE)))</f>
        <v>11/11/1793</v>
      </c>
      <c r="AK5" s="129" t="str">
        <f>VLOOKUP(A5,'Updated Bios &amp; Spouse Details'!$A$1:$J$200,8,FALSE)</f>
        <v>(1) 11 Nov 1793 Sarah (b. 9 Sep 1759, d. 1 Oct 1821) at Broughton New Hall, daughter of John JONES (1713-75) banker and Tea dealer of Manchester and founder of the King Street Bank. Sarah buried at Cross Street Chapel, Manchester. (2) Married Mrs. Mary CHAMPION (d. 1 Feb 1835) on 21 Jan 1823.</v>
      </c>
      <c r="AL5" s="131" t="str">
        <f>VLOOKUP(A5,'Updated Bios &amp; Spouse Details'!$A$1:$J$200,5,FALSE)</f>
        <v>Lewis lived at 43 Lothbury, London and of Overstone Park, Northamptonshire. Eldest son of William LLOYD (1729–1800: #1) of Court Henry, Cilycwm, Carmarthenshire. Born 1 Jan 1768, baptised  5 Jan 1768 at Llanwrda. Educated at Mr. David PRICE’s school [5] at Llanycrwys near Lampeter and at the Presbyterian Academy of Carmarthen, Swansea (1785-89). Rode to Manchester in September 1789. Entered Manchester Unitarian College. Appointed Tutor in Belle Letters at Manchester 1790-92. Became Supply Preacher at Dob Lane Chapel, Failsworth, Manchester [6]. Also preached at Blackley where he met his future wife, Sarah Jones. Lewis joined the Bank before relocating to the London branch as partner with Daniel, Jones, Barker, Loyd &amp; Co. 1793. Jones, Loyd, Hulme &amp; Co. 1798. Jones, Loyd &amp; Co. 1808. Retired from Bank 1844. Changed the family name to LOYD about 1795. Obtained the grant of arms 10 Apr 1835 on his appointment as High Sheriff of Northamptonshire, and registered it at the College of Arms in the name of his father in order to include his brothers and their descendants. Died 13 May 1858 at Overstone, buried at Overstone. Will dated 21 Nov 1843. Estate left to Lord OVERSTONE:- Land £1,172,091, Securities £701,102, Personal effects £5,639. Issue: (1st wife) 1 son (who later became Lord OVERSTONE). Portrait by Eden Upton EDDIS in possession of Christopher Lewis LOYD (1923–2013: #100). Able and far-sighted to a degree, this extraordinary man (Lewis LOYD), of whom unfortunately not very much is known, was endowed with a biting wit; when, in 1828, Frys &amp; Chapman - Joseph Fry was the husband of the great reformer Mrs Elizabeth Fry (nee Gurney) - had to close its doors, he told a Quaker client who had been wise enough previously to withdraw his money and to entrust it to a “more sophisticated house”, “Thou wer’t right, friend: it is wiser to place thy money with a rich sinner than with a poor saint.” Overstone Library, Reading University.  Footnotes: [5] When David PRICE’s youngest son, Lewis, died in London, his old pupil, Lewis LOYD, was at his bedside. [6] “At the time in question.....to get to Dob Lane Chapel from the College was quite a journey. Lewis Loyd made his way to it Sunday by Sunday, upon the identical little white pony which had carried him from Carmarthenshire to Manchester, trotting, not along a wearily-extended street, but between hedgerows and pastures. It was a wild and rebellious little animal, and until the time for its master’s return to Dawson Street in the evening, was turned into a meadow belonging to a Mr Barrett, a leading man at Dob Lane Chapel, and at whose house Lewis Loyd was usually the welcome guest. Another leading member of the Dob Lane congregation was a Mr Samuel Taylor, a merchant in Princess Street, whose residence was at Moston. It was from this old gentleman, if tradition be trustworthy, that Lewis Loyd received his first lessons in the inestimable and immortal science of how to get rich. Mr Taylor seems to have discovered very early that Lewis had a remarkable gift for figures and accounts. He certainly led him on to a realization of his native powers. Probably it was Mr Taylor who, after service one fine morning, presented the young preacher with a bank note in acknowledgment of the excellent way in which he acquitted himself in the pulpit. Money in those days was a scarce article with the budding Croesus. His salary, it is said, was £40 a year. He thanked the donor cordially, and added that on the same terms he would gladly pray for him every Sunday of the year. Whether it was at this particular period, or a trifle later, that Lewis Loyd was engaged in writing his tract upon Original Sin, there is no evidence to show. (The tract in question was one of a series of ‘Letters to the Inhabitants of Wigan occasioned by the Rev Mr Tawell’s Discourse on the Divinity of Jesus Christ, 1791’. The volume, which is rare, consists of one hundred and sixty pages (size 12mo), twelve of which are Lewis Loyd’s.)” - Grindon p 58-59. Roddy SALE (#97d), in 2021, has portrait of Samuel &amp; William Jones (1746 – 1819) of Greenhill and William Jones (1757 – 1821) who owned Wolvey in Warwickshire (left to Lord Overstone).</v>
      </c>
      <c r="AM5" s="105" t="str">
        <f>IF(AND(LEN(H5)&gt;0,ISNA(IF(K5="Boy",VLOOKUP(A5,'Siblings of those BORN Loyd'!$AP$3:$AQ$70,2,FALSE),VLOOKUP(A5,'Children of Female Loyds'!$AR$5:$AS$60,2,FALSE)))),"d.s.p","")</f>
        <v/>
      </c>
      <c r="AN5" s="99" t="str">
        <f t="shared" si="12"/>
        <v>William (1729–1800: #1)</v>
      </c>
      <c r="AO5" s="99" t="str">
        <f t="shared" ref="AO5:AO68" si="18">(IF(OR(M5=0,LEN(M5)=0),"",_xlfn.CONCAT(VLOOKUP(M5,$U$3:$X$230,4,FALSE))))</f>
        <v/>
      </c>
      <c r="AP5" s="99" t="str">
        <f t="shared" ref="AP5:AP68" si="19">(IF(OR(N5=0,LEN(N5)=0),"",_xlfn.CONCAT(VLOOKUP(N5,$U$3:$X$230,4,FALSE))))</f>
        <v/>
      </c>
      <c r="AQ5" s="99" t="str">
        <f t="shared" ref="AQ5:AQ68" si="20">(IF(OR(O5=0,LEN(O5)=0),"",_xlfn.CONCAT(VLOOKUP(O5,$U$3:$X$230,4,FALSE))))</f>
        <v/>
      </c>
      <c r="AR5" s="99" t="str">
        <f t="shared" ref="AR5:AR68" si="21">(IF(OR(P5=0,LEN(P5)=0),"",_xlfn.CONCAT(VLOOKUP(P5,$U$3:$X$230,4,FALSE))))</f>
        <v/>
      </c>
      <c r="AS5" s="99" t="str">
        <f t="shared" ref="AS5:AS68" si="22">(IF(OR(Q5=0,LEN(Q5)=0),"",_xlfn.CONCAT(VLOOKUP(Q5,$U$3:$X$230,4,FALSE))))</f>
        <v/>
      </c>
      <c r="AT5" s="99" t="str">
        <f t="shared" ref="AT5:AT68" si="23">(IF(OR(R5=0,LEN(R5)=0),"",_xlfn.CONCAT(VLOOKUP(R5,$U$3:$X$230,4,FALSE))))</f>
        <v/>
      </c>
      <c r="AU5" s="99" t="str">
        <f t="shared" ref="AU5:AU68" si="24">(IF(OR(S5=0,LEN(S5)=0),"",_xlfn.CONCAT(VLOOKUP(S5,$U$3:$X$230,4,FALSE))))</f>
        <v/>
      </c>
      <c r="AW5" s="116" t="str">
        <f>VLOOKUP(A5,'Updated Bios &amp; Spouse Details'!$A$1:$J$193,6,FALSE)</f>
        <v>Wales &amp; England</v>
      </c>
      <c r="AX5" s="131">
        <f>VLOOKUP($A5,'Loyd List 1-190 - Edit'!$P$2:$AQ$220,AX$1,FALSE)</f>
        <v>3</v>
      </c>
      <c r="AY5" s="116" t="str">
        <f>IF(ISNA(VLOOKUP(A5,'Data check lookup table'!$G$2:$V$73,13,FALSE))," - ",VLOOKUP(A5,'Data check lookup table'!$G$2:$V$73,13,FALSE))</f>
        <v xml:space="preserve"> - </v>
      </c>
      <c r="AZ5" s="147" t="str">
        <f t="shared" si="14"/>
        <v>13/05/1858</v>
      </c>
      <c r="BA5" s="99" t="str">
        <f t="shared" si="15"/>
        <v/>
      </c>
      <c r="BB5" s="99" t="str">
        <f t="shared" si="16"/>
        <v/>
      </c>
      <c r="BI5" s="147" t="s">
        <v>963</v>
      </c>
    </row>
    <row r="6" spans="1:61" s="99" customFormat="1" ht="153">
      <c r="A6" s="139">
        <f>'Loyd List 1-190 - Edit'!C6</f>
        <v>4</v>
      </c>
      <c r="B6" s="99" t="str">
        <f>VLOOKUP($A6,'Loyd List 1-190 - Edit'!$C$1:$AQ$220,'Book Details - NO EDIT'!B$1,FALSE)</f>
        <v>William</v>
      </c>
      <c r="C6" s="99" t="str">
        <f>IF(VLOOKUP($A6,'Loyd List 1-190 - Edit'!$C$1:$AQ$220,'Book Details - NO EDIT'!C$1,FALSE)="","",VLOOKUP($A6,'Loyd List 1-190 - Edit'!$C$1:$AQ$220,'Book Details - NO EDIT'!C$1,FALSE))</f>
        <v/>
      </c>
      <c r="D6" s="99" t="str">
        <f>IF(VLOOKUP($A6,'Loyd List 1-190 - Edit'!$C$1:$AQ$220,'Book Details - NO EDIT'!D$1,FALSE)="","",VLOOKUP($A6,'Loyd List 1-190 - Edit'!$C$1:$AQ$220,'Book Details - NO EDIT'!D$1,FALSE))</f>
        <v/>
      </c>
      <c r="E6" s="99" t="str">
        <f>IF(VLOOKUP($A6,'Loyd List 1-190 - Edit'!$C$1:$AQ$220,'Book Details - NO EDIT'!E$1,FALSE)="","",VLOOKUP($A6,'Loyd List 1-190 - Edit'!$C$1:$AQ$220,'Book Details - NO EDIT'!E$1,FALSE))</f>
        <v>LOYD</v>
      </c>
      <c r="F6" s="99" t="str">
        <f>IF(VLOOKUP($A6,'Loyd List 1-190 - Edit'!$C$1:$AQ$220,'Book Details - NO EDIT'!F$1,FALSE)="",B6,VLOOKUP($A6,'Loyd List 1-190 - Edit'!$C$1:$AQ$220,'Book Details - NO EDIT'!F$1,FALSE))</f>
        <v>William</v>
      </c>
      <c r="G6" s="140">
        <f>IF(VLOOKUP($A6,'Loyd List 1-190 - Edit'!$C$1:$AQ$220,'Book Details - NO EDIT'!G$1,FALSE)="","",VALUE(VLOOKUP($A6,'Loyd List 1-190 - Edit'!$C$1:$AQ$220,'Book Details - NO EDIT'!G$1,FALSE)))</f>
        <v>1770</v>
      </c>
      <c r="H6" s="140">
        <f>IF(VLOOKUP($A6,'Loyd List 1-190 - Edit'!$C$1:$AQ$220,'Book Details - NO EDIT'!H$1,FALSE)="","",VALUE(VLOOKUP($A6,'Loyd List 1-190 - Edit'!$C$1:$AQ$220,'Book Details - NO EDIT'!H$1,FALSE)))</f>
        <v>1828</v>
      </c>
      <c r="I6" s="141" t="str">
        <f>IF(VLOOKUP($A6,'Loyd List 1-190 - Edit'!$C$1:$AQ$220,'Book Details - NO EDIT'!I$1,FALSE)="","",(VLOOKUP($A6,'Loyd List 1-190 - Edit'!$C$1:$AQ$220,'Book Details - NO EDIT'!I$1,FALSE)))</f>
        <v>07/05/1770</v>
      </c>
      <c r="J6" s="141" t="str">
        <f>IF(VLOOKUP($A6,'Loyd List 1-190 - Edit'!$C$1:$AQ$220,'Book Details - NO EDIT'!J$1,FALSE)="","",(VLOOKUP($A6,'Loyd List 1-190 - Edit'!$C$1:$AQ$220,'Book Details - NO EDIT'!J$1,FALSE)))</f>
        <v>04/02/1828</v>
      </c>
      <c r="K6" s="100" t="str">
        <f>VLOOKUP($A6,'Loyd List 1-190 - Edit'!$C$1:$AQ$220,'Book Details - NO EDIT'!K$1,FALSE)</f>
        <v>Boy</v>
      </c>
      <c r="L6" s="140">
        <f>VLOOKUP($A6,'Loyd List 1-190 - Edit'!$C$1:$AQ$220,'Book Details - NO EDIT'!L$1,FALSE)</f>
        <v>1</v>
      </c>
      <c r="M6" s="140">
        <f t="shared" si="3"/>
        <v>0</v>
      </c>
      <c r="N6" s="140" t="str">
        <f t="shared" si="3"/>
        <v/>
      </c>
      <c r="O6" s="140" t="str">
        <f t="shared" si="3"/>
        <v/>
      </c>
      <c r="P6" s="140" t="str">
        <f t="shared" si="3"/>
        <v/>
      </c>
      <c r="Q6" s="140" t="str">
        <f t="shared" si="4"/>
        <v/>
      </c>
      <c r="R6" s="140" t="str">
        <f t="shared" si="4"/>
        <v/>
      </c>
      <c r="S6" s="140" t="str">
        <f t="shared" si="5"/>
        <v/>
      </c>
      <c r="T6" s="140">
        <f t="shared" si="1"/>
        <v>1</v>
      </c>
      <c r="U6" s="139">
        <f t="shared" si="6"/>
        <v>4</v>
      </c>
      <c r="V6" s="31" t="str">
        <f t="shared" si="7"/>
        <v>William (1770–1828)</v>
      </c>
      <c r="W6" s="31" t="str">
        <f t="shared" si="8"/>
        <v>William (#4)</v>
      </c>
      <c r="X6" s="99" t="str">
        <f t="shared" si="9"/>
        <v>William (1770–1828: #4)</v>
      </c>
      <c r="Y6" s="99" t="str">
        <f t="shared" si="2"/>
        <v>William LOYD</v>
      </c>
      <c r="Z6" s="99" t="str">
        <f t="shared" si="10"/>
        <v>William (1729–1800: #1)</v>
      </c>
      <c r="AA6" s="99" t="str">
        <f t="shared" si="17"/>
        <v xml:space="preserve">William (1729–1800: #1)       </v>
      </c>
      <c r="AB6" s="142" t="str">
        <f>VLOOKUP(U6,'Siblings of those BORN Loyd'!$A$2:$G$230,7,FALSE)</f>
        <v xml:space="preserve">6 – Jane (1765–1832: #2) Lewis LOYD (1768–1858: #3)  Catherine (1772–1798: #5) Thomas (1775–1853: #6) Gwenllian (1777–1779: #7) Edward (1780–1863: #8)  </v>
      </c>
      <c r="AC6" s="115" t="str">
        <f>IF(ISNA(IF(K6="Boy",VLOOKUP(A6,'Siblings of those BORN Loyd'!$AP$3:$AQ$70,2,FALSE),VLOOKUP(A6,'Children of Female Loyds'!$AR$5:$AT$60,3,FALSE))),AM6,IF(K6="Boy",VLOOKUP(A6,'Siblings of those BORN Loyd'!$AP$3:$AQ$70,2,FALSE),VLOOKUP(A6,'Children of Female Loyds'!$AR$5:$AT$60,3,FALSE)))</f>
        <v>7 - William (1809–1879: #10); Eliza (1810–1861: #12); Thomas (1812–1857: #14); Maria (1814–1900: #16); Edward (1815–1815: #17); John (1817–1818: #20); Lewis (1819–1841: #21)</v>
      </c>
      <c r="AD6" s="97" t="str">
        <f t="shared" si="11"/>
        <v xml:space="preserve">8 - William (1843–1843: #27); The Rev Lewis (1844–1905: #28); Arthur (1845–1930: #29); Archie (1847–1922: #30); Frank (1848–1934: #32); Alfred (1849–1881: #33); Ted (1851–1922: #34); Annie (1853–1946: #37)   </v>
      </c>
      <c r="AE6" s="105" t="str">
        <f>IF(ISNA(IF(K6="Boy",VLOOKUP(A6,'Grandchildren of Male Loyds'!$AQ$3:$AS$51,3,FALSE),VLOOKUP(A6,'Grandchildren of Female Loyds'!$AX$5:$AZ$63,3,FALSE))),AM6,IF(K6="Boy",VLOOKUP(A6,'Grandchildren of Male Loyds'!$AQ$3:$AS$51,3,FALSE),VLOOKUP(A6,'Grandchildren of Female Loyds'!$AX$5:$AZ$63,3,FALSE)))</f>
        <v>William (1843–1843: #27); The Rev Lewis (1844–1905: #28); Arthur (1845–1930: #29); Archie (1847–1922: #30); Frank (1848–1934: #32); Alfred (1849–1881: #33); Ted (1851–1922: #34); Annie (1853–1946: #37)</v>
      </c>
      <c r="AF6" s="105" t="str">
        <f>IF(ISNA(VLOOKUP(A6,'Grandchildren Loyd Daughters'!$BD$5:$BF$50,4,FALSE)),"",VLOOKUP(A6,'Grandchildren Loyd Daughters'!$BD$5:$BF$50,3,FALSE))</f>
        <v/>
      </c>
      <c r="AG6" s="129">
        <f>IF(ISNA(VLOOKUP(A6,'Grandchildren of Male Loyds'!$AQ$3:$AR$60,2,FALSE)),0,VLOOKUP(A6,'Grandchildren of Male Loyds'!$AQ$3:$AR$60,2,FALSE))+IF(ISNA(VLOOKUP(A6,'Grandchildren of Female Loyds'!$AX$5:$AY$50,2,FALSE)),0,VLOOKUP(A6,'Grandchildren of Female Loyds'!$AX$5:$AY$50,2,FALSE))+IF(ISNA(VLOOKUP(A6,'Grandchildren Loyd Daughters'!$BD$5:$BE$50,2,FALSE)),0,VLOOKUP(A6,'Grandchildren Loyd Daughters'!$BD$5:$BE$50,2,FALSE))</f>
        <v>8</v>
      </c>
      <c r="AH6" s="129" t="str">
        <f>VLOOKUP($U6,'Loyd List 1-190 - Edit'!$P$3:$AJ$220,21,FALSE)</f>
        <v>Anne WILLIAM (b. 1738, d. 24 May 1801)</v>
      </c>
      <c r="AI6" s="129" t="str">
        <f>VLOOKUP(A6,'Updated Bios &amp; Spouse Details'!$A$1:$J$200,7,FALSE)</f>
        <v>Martha KIRKMAN (b. 17 Nov 1775, d. 4 Feb 1857)</v>
      </c>
      <c r="AJ6" s="130" t="str">
        <f>IF(VLOOKUP($A6,'Loyd List 1-190 - Edit'!$C$1:$AQ$220,'Book Details - NO EDIT'!AJ$1,FALSE)="","",(VLOOKUP($A6,'Loyd List 1-190 - Edit'!$C$1:$AQ$220,'Book Details - NO EDIT'!AJ$1,FALSE)))</f>
        <v>05/01/1809</v>
      </c>
      <c r="AK6" s="129" t="str">
        <f>VLOOKUP(A6,'Updated Bios &amp; Spouse Details'!$A$1:$J$200,8,FALSE)</f>
        <v>Married Martha, daughter of Thomas KIRKMAN of Manchester, at Manchester Collegiate Church (later Manchester Cathedral). Martha died at 17 Marlborough Place, St John’s Wood, London, and is buried at Kensal Green.</v>
      </c>
      <c r="AL6" s="131" t="str">
        <f>VLOOKUP(A6,'Updated Bios &amp; Spouse Details'!$A$1:$J$200,5,FALSE)</f>
        <v>William lived at 7 Bread Street, Cheapside and later of 13 Portland Place, Clapham Road, London. 2nd son of William LLOYD (1729–1800: #1) of Court Henry, Cilycwm, Carmarthenshire. Born 7 May 1770, baptised  11 or 14 May 1770 at Llanwrda.  Warehouseman. He was the only one of the four brothers who was unsuccessful in business. The diaries of his son, William Kirkman LOYD (1809-1879: #10), recorded that in 1867 he received from his father’s solicitor various old papers connected with his father’s affairs which he destroyed in 1871 thus removing evidence of the extent of his father’s debts [8]. Died 17 Aug 1828, buried 25 Aug 1828 at Bunhill Fields, London EC1 in family grave (plan 15, grave no. 223). His gold watch is in possession of John Michael LOYD (1938- ). Issue: 5 sons, 2 daughters. Footnote: [8] In Oct 1864, Lord OVERSTONE (Samuel Jones LOYD 1796-1883) wrote “He carried on a concern of his own in which he was uniformly unsuccessful, and thus became the cause of much anxiety and serious loss to the other members of the family. ....To save the name of the family from dishonour it became necessary to discharge his trading debts - about £45,000 - and this burden was borne by the prosperous members of the family in the proportion in which they then shared the profits of the Banking business - ie My Father (#3), Myself (#9), and Mr Edw[ar]d Loyd (#8) - each one third” - O’Brien page 1053.</v>
      </c>
      <c r="AM6" s="105" t="str">
        <f>IF(AND(LEN(H6)&gt;0,ISNA(IF(K6="Boy",VLOOKUP(A6,'Siblings of those BORN Loyd'!$AP$3:$AQ$70,2,FALSE),VLOOKUP(A6,'Children of Female Loyds'!$AR$5:$AS$60,2,FALSE)))),"d.s.p","")</f>
        <v/>
      </c>
      <c r="AN6" s="99" t="str">
        <f t="shared" si="12"/>
        <v>William (1729–1800: #1)</v>
      </c>
      <c r="AO6" s="99" t="str">
        <f t="shared" si="18"/>
        <v/>
      </c>
      <c r="AP6" s="99" t="str">
        <f t="shared" si="19"/>
        <v/>
      </c>
      <c r="AQ6" s="99" t="str">
        <f t="shared" si="20"/>
        <v/>
      </c>
      <c r="AR6" s="99" t="str">
        <f t="shared" si="21"/>
        <v/>
      </c>
      <c r="AS6" s="99" t="str">
        <f t="shared" si="22"/>
        <v/>
      </c>
      <c r="AT6" s="99" t="str">
        <f t="shared" si="23"/>
        <v/>
      </c>
      <c r="AU6" s="99" t="str">
        <f t="shared" si="24"/>
        <v/>
      </c>
      <c r="AW6" s="116" t="str">
        <f>VLOOKUP(A6,'Updated Bios &amp; Spouse Details'!$A$1:$J$193,6,FALSE)</f>
        <v>Wales &amp; England</v>
      </c>
      <c r="AX6" s="131">
        <f>VLOOKUP($A6,'Loyd List 1-190 - Edit'!$P$2:$AQ$220,AX$1,FALSE)</f>
        <v>4</v>
      </c>
      <c r="AY6" s="116" t="str">
        <f>IF(ISNA(VLOOKUP(A6,'Data check lookup table'!$G$2:$V$73,13,FALSE))," - ",VLOOKUP(A6,'Data check lookup table'!$G$2:$V$73,13,FALSE))</f>
        <v xml:space="preserve"> - </v>
      </c>
      <c r="AZ6" s="147" t="str">
        <f t="shared" si="14"/>
        <v>04/02/1828</v>
      </c>
      <c r="BA6" s="99" t="str">
        <f t="shared" si="15"/>
        <v/>
      </c>
      <c r="BB6" s="99" t="str">
        <f t="shared" si="16"/>
        <v/>
      </c>
      <c r="BI6" s="147" t="s">
        <v>1002</v>
      </c>
    </row>
    <row r="7" spans="1:61" s="99" customFormat="1" ht="64" customHeight="1">
      <c r="A7" s="139">
        <f>'Loyd List 1-190 - Edit'!C7</f>
        <v>5</v>
      </c>
      <c r="B7" s="99" t="str">
        <f>VLOOKUP($A7,'Loyd List 1-190 - Edit'!$C$1:$AQ$220,'Book Details - NO EDIT'!B$1,FALSE)</f>
        <v>Catherine</v>
      </c>
      <c r="C7" s="99" t="str">
        <f>IF(VLOOKUP($A7,'Loyd List 1-190 - Edit'!$C$1:$AQ$220,'Book Details - NO EDIT'!C$1,FALSE)="","",VLOOKUP($A7,'Loyd List 1-190 - Edit'!$C$1:$AQ$220,'Book Details - NO EDIT'!C$1,FALSE))</f>
        <v/>
      </c>
      <c r="D7" s="99" t="str">
        <f>IF(VLOOKUP($A7,'Loyd List 1-190 - Edit'!$C$1:$AQ$220,'Book Details - NO EDIT'!D$1,FALSE)="","",VLOOKUP($A7,'Loyd List 1-190 - Edit'!$C$1:$AQ$220,'Book Details - NO EDIT'!D$1,FALSE))</f>
        <v/>
      </c>
      <c r="E7" s="99" t="str">
        <f>IF(VLOOKUP($A7,'Loyd List 1-190 - Edit'!$C$1:$AQ$220,'Book Details - NO EDIT'!E$1,FALSE)="","",VLOOKUP($A7,'Loyd List 1-190 - Edit'!$C$1:$AQ$220,'Book Details - NO EDIT'!E$1,FALSE))</f>
        <v>LLOYD</v>
      </c>
      <c r="F7" s="99" t="str">
        <f>IF(VLOOKUP($A7,'Loyd List 1-190 - Edit'!$C$1:$AQ$220,'Book Details - NO EDIT'!F$1,FALSE)="",B7,VLOOKUP($A7,'Loyd List 1-190 - Edit'!$C$1:$AQ$220,'Book Details - NO EDIT'!F$1,FALSE))</f>
        <v>Catherine</v>
      </c>
      <c r="G7" s="140">
        <f>IF(VLOOKUP($A7,'Loyd List 1-190 - Edit'!$C$1:$AQ$220,'Book Details - NO EDIT'!G$1,FALSE)="","",VALUE(VLOOKUP($A7,'Loyd List 1-190 - Edit'!$C$1:$AQ$220,'Book Details - NO EDIT'!G$1,FALSE)))</f>
        <v>1772</v>
      </c>
      <c r="H7" s="140">
        <f>IF(VLOOKUP($A7,'Loyd List 1-190 - Edit'!$C$1:$AQ$220,'Book Details - NO EDIT'!H$1,FALSE)="","",VALUE(VLOOKUP($A7,'Loyd List 1-190 - Edit'!$C$1:$AQ$220,'Book Details - NO EDIT'!H$1,FALSE)))</f>
        <v>1798</v>
      </c>
      <c r="I7" s="141" t="str">
        <f>IF(VLOOKUP($A7,'Loyd List 1-190 - Edit'!$C$1:$AQ$220,'Book Details - NO EDIT'!I$1,FALSE)="","",(VLOOKUP($A7,'Loyd List 1-190 - Edit'!$C$1:$AQ$220,'Book Details - NO EDIT'!I$1,FALSE)))</f>
        <v>19/02/1772</v>
      </c>
      <c r="J7" s="141" t="str">
        <f>IF(VLOOKUP($A7,'Loyd List 1-190 - Edit'!$C$1:$AQ$220,'Book Details - NO EDIT'!J$1,FALSE)="","",(VLOOKUP($A7,'Loyd List 1-190 - Edit'!$C$1:$AQ$220,'Book Details - NO EDIT'!J$1,FALSE)))</f>
        <v>09/12/1798</v>
      </c>
      <c r="K7" s="100" t="str">
        <f>VLOOKUP($A7,'Loyd List 1-190 - Edit'!$C$1:$AQ$220,'Book Details - NO EDIT'!K$1,FALSE)</f>
        <v>Girl</v>
      </c>
      <c r="L7" s="140">
        <f>VLOOKUP($A7,'Loyd List 1-190 - Edit'!$C$1:$AQ$220,'Book Details - NO EDIT'!L$1,FALSE)</f>
        <v>1</v>
      </c>
      <c r="M7" s="140">
        <f t="shared" si="3"/>
        <v>0</v>
      </c>
      <c r="N7" s="140" t="str">
        <f t="shared" si="3"/>
        <v/>
      </c>
      <c r="O7" s="140" t="str">
        <f t="shared" si="3"/>
        <v/>
      </c>
      <c r="P7" s="140" t="str">
        <f t="shared" si="3"/>
        <v/>
      </c>
      <c r="Q7" s="140" t="str">
        <f t="shared" si="4"/>
        <v/>
      </c>
      <c r="R7" s="140" t="str">
        <f t="shared" si="4"/>
        <v/>
      </c>
      <c r="S7" s="140" t="str">
        <f t="shared" si="5"/>
        <v/>
      </c>
      <c r="T7" s="140">
        <f t="shared" si="1"/>
        <v>1</v>
      </c>
      <c r="U7" s="139">
        <f t="shared" si="6"/>
        <v>5</v>
      </c>
      <c r="V7" s="31" t="str">
        <f t="shared" si="7"/>
        <v>Catherine (1772–1798)</v>
      </c>
      <c r="W7" s="31" t="str">
        <f t="shared" si="8"/>
        <v>Catherine (#5)</v>
      </c>
      <c r="X7" s="99" t="str">
        <f t="shared" si="9"/>
        <v>Catherine (1772–1798: #5)</v>
      </c>
      <c r="Y7" s="99" t="str">
        <f t="shared" si="2"/>
        <v>Catherine LLOYD</v>
      </c>
      <c r="Z7" s="99" t="str">
        <f t="shared" si="10"/>
        <v>William (1729–1800: #1)</v>
      </c>
      <c r="AA7" s="99" t="str">
        <f t="shared" si="17"/>
        <v xml:space="preserve">William (1729–1800: #1)       </v>
      </c>
      <c r="AB7" s="142" t="str">
        <f>VLOOKUP(U7,'Siblings of those BORN Loyd'!$A$2:$G$230,7,FALSE)</f>
        <v xml:space="preserve">6 – Jane (1765–1832: #2) Lewis LOYD (1768–1858: #3) William (1770–1828: #4)  Thomas (1775–1853: #6) Gwenllian (1777–1779: #7) Edward (1780–1863: #8)  </v>
      </c>
      <c r="AC7" s="115" t="str">
        <f>IF(ISNA(IF(K7="Boy",VLOOKUP(A7,'Siblings of those BORN Loyd'!$AP$3:$AQ$70,2,FALSE),VLOOKUP(A7,'Children of Female Loyds'!$AR$5:$AT$60,3,FALSE))),AM7,IF(K7="Boy",VLOOKUP(A7,'Siblings of those BORN Loyd'!$AP$3:$AQ$70,2,FALSE),VLOOKUP(A7,'Children of Female Loyds'!$AR$5:$AT$60,3,FALSE)))</f>
        <v>d.s.p</v>
      </c>
      <c r="AD7" s="97" t="str">
        <f t="shared" si="11"/>
        <v>d.s.p.</v>
      </c>
      <c r="AE7" s="105" t="str">
        <f>IF(ISNA(IF(K7="Boy",VLOOKUP(A7,'Grandchildren of Male Loyds'!$AQ$3:$AS$51,3,FALSE),VLOOKUP(A7,'Grandchildren of Female Loyds'!$AX$5:$AZ$63,3,FALSE))),AM7,IF(K7="Boy",VLOOKUP(A7,'Grandchildren of Male Loyds'!$AQ$3:$AS$51,3,FALSE),VLOOKUP(A7,'Grandchildren of Female Loyds'!$AX$5:$AZ$63,3,FALSE)))</f>
        <v>d.s.p</v>
      </c>
      <c r="AF7" s="105" t="str">
        <f>IF(ISNA(VLOOKUP(A7,'Grandchildren Loyd Daughters'!$BD$5:$BF$50,4,FALSE)),"",VLOOKUP(A7,'Grandchildren Loyd Daughters'!$BD$5:$BF$50,3,FALSE))</f>
        <v/>
      </c>
      <c r="AG7" s="129">
        <f>IF(ISNA(VLOOKUP(A7,'Grandchildren of Male Loyds'!$AQ$3:$AR$60,2,FALSE)),0,VLOOKUP(A7,'Grandchildren of Male Loyds'!$AQ$3:$AR$60,2,FALSE))+IF(ISNA(VLOOKUP(A7,'Grandchildren of Female Loyds'!$AX$5:$AY$50,2,FALSE)),0,VLOOKUP(A7,'Grandchildren of Female Loyds'!$AX$5:$AY$50,2,FALSE))+IF(ISNA(VLOOKUP(A7,'Grandchildren Loyd Daughters'!$BD$5:$BE$50,2,FALSE)),0,VLOOKUP(A7,'Grandchildren Loyd Daughters'!$BD$5:$BE$50,2,FALSE))</f>
        <v>0</v>
      </c>
      <c r="AH7" s="129" t="str">
        <f>VLOOKUP($U7,'Loyd List 1-190 - Edit'!$P$3:$AJ$220,21,FALSE)</f>
        <v>Anne WILLIAM (b. 1738, d. 24 May 1801)</v>
      </c>
      <c r="AI7" s="129" t="str">
        <f>VLOOKUP(A7,'Updated Bios &amp; Spouse Details'!$A$1:$J$200,7,FALSE)</f>
        <v>Unmarried</v>
      </c>
      <c r="AJ7" s="130" t="str">
        <f>IF(VLOOKUP($A7,'Loyd List 1-190 - Edit'!$C$1:$AQ$220,'Book Details - NO EDIT'!AJ$1,FALSE)="","",(VLOOKUP($A7,'Loyd List 1-190 - Edit'!$C$1:$AQ$220,'Book Details - NO EDIT'!AJ$1,FALSE)))</f>
        <v xml:space="preserve"> -</v>
      </c>
      <c r="AK7" s="129" t="str">
        <f>VLOOKUP(A7,'Updated Bios &amp; Spouse Details'!$A$1:$J$200,8,FALSE)</f>
        <v xml:space="preserve"> -</v>
      </c>
      <c r="AL7" s="131" t="str">
        <f>VLOOKUP(A7,'Updated Bios &amp; Spouse Details'!$A$1:$J$200,5,FALSE)</f>
        <v>Catherine was the 2nd daughter of William LLOYD (1729–1800: #1) of Court Henry, Cilycwm, Carmarthenshire. Born 19th Feb 1772, and baptised 25 Feb 1772 at Llanwrda. Died, unmarried, 9 Dec 1798, buried 12 Dec 1798 at Cilycwm. DSP</v>
      </c>
      <c r="AM7" s="105" t="str">
        <f>IF(AND(LEN(H7)&gt;0,ISNA(IF(K7="Boy",VLOOKUP(A7,'Siblings of those BORN Loyd'!$AP$3:$AQ$70,2,FALSE),VLOOKUP(A7,'Children of Female Loyds'!$AR$5:$AS$60,2,FALSE)))),"d.s.p","")</f>
        <v>d.s.p</v>
      </c>
      <c r="AN7" s="99" t="str">
        <f t="shared" si="12"/>
        <v>William (1729–1800: #1)</v>
      </c>
      <c r="AO7" s="99" t="str">
        <f t="shared" si="18"/>
        <v/>
      </c>
      <c r="AP7" s="99" t="str">
        <f t="shared" si="19"/>
        <v/>
      </c>
      <c r="AQ7" s="99" t="str">
        <f t="shared" si="20"/>
        <v/>
      </c>
      <c r="AR7" s="99" t="str">
        <f t="shared" si="21"/>
        <v/>
      </c>
      <c r="AS7" s="99" t="str">
        <f t="shared" si="22"/>
        <v/>
      </c>
      <c r="AT7" s="99" t="str">
        <f t="shared" si="23"/>
        <v/>
      </c>
      <c r="AU7" s="99" t="str">
        <f t="shared" si="24"/>
        <v/>
      </c>
      <c r="AW7" s="116" t="str">
        <f>VLOOKUP(A7,'Updated Bios &amp; Spouse Details'!$A$1:$J$193,6,FALSE)</f>
        <v>Wales</v>
      </c>
      <c r="AX7" s="131">
        <f>VLOOKUP($A7,'Loyd List 1-190 - Edit'!$P$2:$AQ$220,AX$1,FALSE)</f>
        <v>5</v>
      </c>
      <c r="AY7" s="116" t="str">
        <f>IF(ISNA(VLOOKUP(A7,'Data check lookup table'!$G$2:$V$73,13,FALSE))," - ",VLOOKUP(A7,'Data check lookup table'!$G$2:$V$73,13,FALSE))</f>
        <v xml:space="preserve"> - </v>
      </c>
      <c r="AZ7" s="147" t="str">
        <f t="shared" si="14"/>
        <v>09/12/1798</v>
      </c>
      <c r="BA7" s="99" t="str">
        <f t="shared" si="15"/>
        <v/>
      </c>
      <c r="BB7" s="99" t="str">
        <f t="shared" si="16"/>
        <v/>
      </c>
      <c r="BI7" s="147" t="s">
        <v>968</v>
      </c>
    </row>
    <row r="8" spans="1:61" s="99" customFormat="1" ht="85">
      <c r="A8" s="139">
        <f>'Loyd List 1-190 - Edit'!C8</f>
        <v>6</v>
      </c>
      <c r="B8" s="99" t="str">
        <f>VLOOKUP($A8,'Loyd List 1-190 - Edit'!$C$1:$AQ$220,'Book Details - NO EDIT'!B$1,FALSE)</f>
        <v>Thomas</v>
      </c>
      <c r="C8" s="99" t="str">
        <f>IF(VLOOKUP($A8,'Loyd List 1-190 - Edit'!$C$1:$AQ$220,'Book Details - NO EDIT'!C$1,FALSE)="","",VLOOKUP($A8,'Loyd List 1-190 - Edit'!$C$1:$AQ$220,'Book Details - NO EDIT'!C$1,FALSE))</f>
        <v/>
      </c>
      <c r="D8" s="99" t="str">
        <f>IF(VLOOKUP($A8,'Loyd List 1-190 - Edit'!$C$1:$AQ$220,'Book Details - NO EDIT'!D$1,FALSE)="","",VLOOKUP($A8,'Loyd List 1-190 - Edit'!$C$1:$AQ$220,'Book Details - NO EDIT'!D$1,FALSE))</f>
        <v/>
      </c>
      <c r="E8" s="99" t="str">
        <f>IF(VLOOKUP($A8,'Loyd List 1-190 - Edit'!$C$1:$AQ$220,'Book Details - NO EDIT'!E$1,FALSE)="","",VLOOKUP($A8,'Loyd List 1-190 - Edit'!$C$1:$AQ$220,'Book Details - NO EDIT'!E$1,FALSE))</f>
        <v>LOYD</v>
      </c>
      <c r="F8" s="99" t="str">
        <f>IF(VLOOKUP($A8,'Loyd List 1-190 - Edit'!$C$1:$AQ$220,'Book Details - NO EDIT'!F$1,FALSE)="",B8,VLOOKUP($A8,'Loyd List 1-190 - Edit'!$C$1:$AQ$220,'Book Details - NO EDIT'!F$1,FALSE))</f>
        <v>Thomas</v>
      </c>
      <c r="G8" s="140">
        <f>IF(VLOOKUP($A8,'Loyd List 1-190 - Edit'!$C$1:$AQ$220,'Book Details - NO EDIT'!G$1,FALSE)="","",VALUE(VLOOKUP($A8,'Loyd List 1-190 - Edit'!$C$1:$AQ$220,'Book Details - NO EDIT'!G$1,FALSE)))</f>
        <v>1775</v>
      </c>
      <c r="H8" s="140">
        <f>IF(VLOOKUP($A8,'Loyd List 1-190 - Edit'!$C$1:$AQ$220,'Book Details - NO EDIT'!H$1,FALSE)="","",VALUE(VLOOKUP($A8,'Loyd List 1-190 - Edit'!$C$1:$AQ$220,'Book Details - NO EDIT'!H$1,FALSE)))</f>
        <v>1853</v>
      </c>
      <c r="I8" s="141" t="str">
        <f>IF(VLOOKUP($A8,'Loyd List 1-190 - Edit'!$C$1:$AQ$220,'Book Details - NO EDIT'!I$1,FALSE)="","",(VLOOKUP($A8,'Loyd List 1-190 - Edit'!$C$1:$AQ$220,'Book Details - NO EDIT'!I$1,FALSE)))</f>
        <v>05/06/1775</v>
      </c>
      <c r="J8" s="141" t="str">
        <f>IF(VLOOKUP($A8,'Loyd List 1-190 - Edit'!$C$1:$AQ$220,'Book Details - NO EDIT'!J$1,FALSE)="","",(VLOOKUP($A8,'Loyd List 1-190 - Edit'!$C$1:$AQ$220,'Book Details - NO EDIT'!J$1,FALSE)))</f>
        <v>28/01/1853</v>
      </c>
      <c r="K8" s="100" t="str">
        <f>VLOOKUP($A8,'Loyd List 1-190 - Edit'!$C$1:$AQ$220,'Book Details - NO EDIT'!K$1,FALSE)</f>
        <v>Boy</v>
      </c>
      <c r="L8" s="140">
        <f>VLOOKUP($A8,'Loyd List 1-190 - Edit'!$C$1:$AQ$220,'Book Details - NO EDIT'!L$1,FALSE)</f>
        <v>1</v>
      </c>
      <c r="M8" s="140">
        <f t="shared" si="3"/>
        <v>0</v>
      </c>
      <c r="N8" s="140" t="str">
        <f t="shared" si="3"/>
        <v/>
      </c>
      <c r="O8" s="140" t="str">
        <f t="shared" si="3"/>
        <v/>
      </c>
      <c r="P8" s="140" t="str">
        <f t="shared" si="3"/>
        <v/>
      </c>
      <c r="Q8" s="140" t="str">
        <f t="shared" si="4"/>
        <v/>
      </c>
      <c r="R8" s="140" t="str">
        <f t="shared" si="4"/>
        <v/>
      </c>
      <c r="S8" s="140" t="str">
        <f t="shared" si="5"/>
        <v/>
      </c>
      <c r="T8" s="140">
        <f t="shared" si="1"/>
        <v>1</v>
      </c>
      <c r="U8" s="139">
        <f t="shared" si="6"/>
        <v>6</v>
      </c>
      <c r="V8" s="31" t="str">
        <f t="shared" si="7"/>
        <v>Thomas (1775–1853)</v>
      </c>
      <c r="W8" s="31" t="str">
        <f t="shared" si="8"/>
        <v>Thomas (#6)</v>
      </c>
      <c r="X8" s="99" t="str">
        <f t="shared" si="9"/>
        <v>Thomas (1775–1853: #6)</v>
      </c>
      <c r="Y8" s="99" t="str">
        <f t="shared" si="2"/>
        <v>Thomas LOYD</v>
      </c>
      <c r="Z8" s="99" t="str">
        <f t="shared" si="10"/>
        <v>William (1729–1800: #1)</v>
      </c>
      <c r="AA8" s="99" t="str">
        <f t="shared" si="17"/>
        <v xml:space="preserve">William (1729–1800: #1)       </v>
      </c>
      <c r="AB8" s="142" t="str">
        <f>VLOOKUP(U8,'Siblings of those BORN Loyd'!$A$2:$G$230,7,FALSE)</f>
        <v xml:space="preserve">6 – Jane (1765–1832: #2) Lewis LOYD (1768–1858: #3) William (1770–1828: #4) Catherine (1772–1798: #5)  Gwenllian (1777–1779: #7) Edward (1780–1863: #8)  </v>
      </c>
      <c r="AC8" s="115" t="str">
        <f>IF(ISNA(IF(K8="Boy",VLOOKUP(A8,'Siblings of those BORN Loyd'!$AP$3:$AQ$70,2,FALSE),VLOOKUP(A8,'Children of Female Loyds'!$AR$5:$AT$60,3,FALSE))),AM8,IF(K8="Boy",VLOOKUP(A8,'Siblings of those BORN Loyd'!$AP$3:$AQ$70,2,FALSE),VLOOKUP(A8,'Children of Female Loyds'!$AR$5:$AT$60,3,FALSE)))</f>
        <v>d.s.p</v>
      </c>
      <c r="AD8" s="97" t="str">
        <f t="shared" si="11"/>
        <v>d.s.p.</v>
      </c>
      <c r="AE8" s="105" t="str">
        <f>IF(ISNA(IF(K8="Boy",VLOOKUP(A8,'Grandchildren of Male Loyds'!$AQ$3:$AS$51,3,FALSE),VLOOKUP(A8,'Grandchildren of Female Loyds'!$AX$5:$AZ$63,3,FALSE))),AM8,IF(K8="Boy",VLOOKUP(A8,'Grandchildren of Male Loyds'!$AQ$3:$AS$51,3,FALSE),VLOOKUP(A8,'Grandchildren of Female Loyds'!$AX$5:$AZ$63,3,FALSE)))</f>
        <v>d.s.p</v>
      </c>
      <c r="AF8" s="105" t="str">
        <f>IF(ISNA(VLOOKUP(A8,'Grandchildren Loyd Daughters'!$BD$5:$BF$50,4,FALSE)),"",VLOOKUP(A8,'Grandchildren Loyd Daughters'!$BD$5:$BF$50,3,FALSE))</f>
        <v/>
      </c>
      <c r="AG8" s="129">
        <f>IF(ISNA(VLOOKUP(A8,'Grandchildren of Male Loyds'!$AQ$3:$AR$60,2,FALSE)),0,VLOOKUP(A8,'Grandchildren of Male Loyds'!$AQ$3:$AR$60,2,FALSE))+IF(ISNA(VLOOKUP(A8,'Grandchildren of Female Loyds'!$AX$5:$AY$50,2,FALSE)),0,VLOOKUP(A8,'Grandchildren of Female Loyds'!$AX$5:$AY$50,2,FALSE))+IF(ISNA(VLOOKUP(A8,'Grandchildren Loyd Daughters'!$BD$5:$BE$50,2,FALSE)),0,VLOOKUP(A8,'Grandchildren Loyd Daughters'!$BD$5:$BE$50,2,FALSE))</f>
        <v>0</v>
      </c>
      <c r="AH8" s="129" t="str">
        <f>VLOOKUP($U8,'Loyd List 1-190 - Edit'!$P$3:$AJ$220,21,FALSE)</f>
        <v>Anne WILLIAM (b. 1738, d. 24 May 1801)</v>
      </c>
      <c r="AI8" s="129" t="str">
        <f>VLOOKUP(A8,'Updated Bios &amp; Spouse Details'!$A$1:$J$200,7,FALSE)</f>
        <v>Unmarried</v>
      </c>
      <c r="AJ8" s="130" t="str">
        <f>IF(VLOOKUP($A8,'Loyd List 1-190 - Edit'!$C$1:$AQ$220,'Book Details - NO EDIT'!AJ$1,FALSE)="","",(VLOOKUP($A8,'Loyd List 1-190 - Edit'!$C$1:$AQ$220,'Book Details - NO EDIT'!AJ$1,FALSE)))</f>
        <v xml:space="preserve"> -</v>
      </c>
      <c r="AK8" s="129" t="str">
        <f>VLOOKUP(A8,'Updated Bios &amp; Spouse Details'!$A$1:$J$200,8,FALSE)</f>
        <v xml:space="preserve"> -</v>
      </c>
      <c r="AL8" s="131" t="str">
        <f>VLOOKUP(A8,'Updated Bios &amp; Spouse Details'!$A$1:$J$200,5,FALSE)</f>
        <v>Thomas lived at Ardwick Terrace, Manchester. 3rd son of William LLOYD (1729–1800: #1) of Court Henry, Cilycwm, Carmarthenshire. Born 5 Jun 1775, and baptised  8 Jun 1775 at Llanwrda. Thomas became head of the Cannon Street calico printers, Loyd &amp; Price in 1823, and  afterwards Loyd, Buchan &amp; Welsh. Died, unmarried, 28 Jan 1853 leaving property worth either, £80,000 [9] including at least £5,000 to his relations in Wales, or £35,000 [10]. Will dated 29 Nov 1845, proved 23 Jun 1853 P.C.C. “Never was there a more good-humoured or friendly man than Thomas Loyd. A bachelor to the end of his days - chatty, frank and communicative - he delighted in company and sensible conversation, and had no objection, like Cato of old, to warm his cold chastity every evening with mellow wine.” - Grindon page 89. Footnotes: [9] According to Grindon. [10] According to O'Brien.</v>
      </c>
      <c r="AM8" s="105" t="str">
        <f>IF(AND(LEN(H8)&gt;0,ISNA(IF(K8="Boy",VLOOKUP(A8,'Siblings of those BORN Loyd'!$AP$3:$AQ$70,2,FALSE),VLOOKUP(A8,'Children of Female Loyds'!$AR$5:$AS$60,2,FALSE)))),"d.s.p","")</f>
        <v>d.s.p</v>
      </c>
      <c r="AN8" s="99" t="str">
        <f t="shared" si="12"/>
        <v>William (1729–1800: #1)</v>
      </c>
      <c r="AO8" s="99" t="str">
        <f t="shared" si="18"/>
        <v/>
      </c>
      <c r="AP8" s="99" t="str">
        <f t="shared" si="19"/>
        <v/>
      </c>
      <c r="AQ8" s="99" t="str">
        <f t="shared" si="20"/>
        <v/>
      </c>
      <c r="AR8" s="99" t="str">
        <f t="shared" si="21"/>
        <v/>
      </c>
      <c r="AS8" s="99" t="str">
        <f t="shared" si="22"/>
        <v/>
      </c>
      <c r="AT8" s="99" t="str">
        <f t="shared" si="23"/>
        <v/>
      </c>
      <c r="AU8" s="99" t="str">
        <f t="shared" si="24"/>
        <v/>
      </c>
      <c r="AW8" s="116" t="str">
        <f>VLOOKUP(A8,'Updated Bios &amp; Spouse Details'!$A$1:$J$193,6,FALSE)</f>
        <v>Wales &amp; England</v>
      </c>
      <c r="AX8" s="131">
        <f>VLOOKUP($A8,'Loyd List 1-190 - Edit'!$P$2:$AQ$220,AX$1,FALSE)</f>
        <v>6</v>
      </c>
      <c r="AY8" s="116" t="str">
        <f>IF(ISNA(VLOOKUP(A8,'Data check lookup table'!$G$2:$V$73,13,FALSE))," - ",VLOOKUP(A8,'Data check lookup table'!$G$2:$V$73,13,FALSE))</f>
        <v xml:space="preserve"> - </v>
      </c>
      <c r="AZ8" s="147" t="str">
        <f t="shared" si="14"/>
        <v>28/01/1853</v>
      </c>
      <c r="BA8" s="99" t="str">
        <f t="shared" si="15"/>
        <v/>
      </c>
      <c r="BB8" s="99" t="str">
        <f t="shared" si="16"/>
        <v/>
      </c>
      <c r="BI8" s="147" t="s">
        <v>970</v>
      </c>
    </row>
    <row r="9" spans="1:61" s="99" customFormat="1" ht="34">
      <c r="A9" s="139">
        <f>'Loyd List 1-190 - Edit'!C9</f>
        <v>7</v>
      </c>
      <c r="B9" s="99" t="str">
        <f>VLOOKUP($A9,'Loyd List 1-190 - Edit'!$C$1:$AQ$220,'Book Details - NO EDIT'!B$1,FALSE)</f>
        <v>Gwenllian</v>
      </c>
      <c r="C9" s="99" t="str">
        <f>IF(VLOOKUP($A9,'Loyd List 1-190 - Edit'!$C$1:$AQ$220,'Book Details - NO EDIT'!C$1,FALSE)="","",VLOOKUP($A9,'Loyd List 1-190 - Edit'!$C$1:$AQ$220,'Book Details - NO EDIT'!C$1,FALSE))</f>
        <v/>
      </c>
      <c r="D9" s="99" t="str">
        <f>IF(VLOOKUP($A9,'Loyd List 1-190 - Edit'!$C$1:$AQ$220,'Book Details - NO EDIT'!D$1,FALSE)="","",VLOOKUP($A9,'Loyd List 1-190 - Edit'!$C$1:$AQ$220,'Book Details - NO EDIT'!D$1,FALSE))</f>
        <v/>
      </c>
      <c r="E9" s="99" t="str">
        <f>IF(VLOOKUP($A9,'Loyd List 1-190 - Edit'!$C$1:$AQ$220,'Book Details - NO EDIT'!E$1,FALSE)="","",VLOOKUP($A9,'Loyd List 1-190 - Edit'!$C$1:$AQ$220,'Book Details - NO EDIT'!E$1,FALSE))</f>
        <v>LLOYD</v>
      </c>
      <c r="F9" s="99" t="str">
        <f>IF(VLOOKUP($A9,'Loyd List 1-190 - Edit'!$C$1:$AQ$220,'Book Details - NO EDIT'!F$1,FALSE)="",B9,VLOOKUP($A9,'Loyd List 1-190 - Edit'!$C$1:$AQ$220,'Book Details - NO EDIT'!F$1,FALSE))</f>
        <v>Gwenllian</v>
      </c>
      <c r="G9" s="140">
        <f>IF(VLOOKUP($A9,'Loyd List 1-190 - Edit'!$C$1:$AQ$220,'Book Details - NO EDIT'!G$1,FALSE)="","",VALUE(VLOOKUP($A9,'Loyd List 1-190 - Edit'!$C$1:$AQ$220,'Book Details - NO EDIT'!G$1,FALSE)))</f>
        <v>1777</v>
      </c>
      <c r="H9" s="140">
        <f>IF(VLOOKUP($A9,'Loyd List 1-190 - Edit'!$C$1:$AQ$220,'Book Details - NO EDIT'!H$1,FALSE)="","",VALUE(VLOOKUP($A9,'Loyd List 1-190 - Edit'!$C$1:$AQ$220,'Book Details - NO EDIT'!H$1,FALSE)))</f>
        <v>1779</v>
      </c>
      <c r="I9" s="141" t="str">
        <f>IF(VLOOKUP($A9,'Loyd List 1-190 - Edit'!$C$1:$AQ$220,'Book Details - NO EDIT'!I$1,FALSE)="","",(VLOOKUP($A9,'Loyd List 1-190 - Edit'!$C$1:$AQ$220,'Book Details - NO EDIT'!I$1,FALSE)))</f>
        <v>19/10/1777</v>
      </c>
      <c r="J9" s="141" t="str">
        <f>IF(VLOOKUP($A9,'Loyd List 1-190 - Edit'!$C$1:$AQ$220,'Book Details - NO EDIT'!J$1,FALSE)="","",(VLOOKUP($A9,'Loyd List 1-190 - Edit'!$C$1:$AQ$220,'Book Details - NO EDIT'!J$1,FALSE)))</f>
        <v>12/10/1779</v>
      </c>
      <c r="K9" s="100" t="str">
        <f>VLOOKUP($A9,'Loyd List 1-190 - Edit'!$C$1:$AQ$220,'Book Details - NO EDIT'!K$1,FALSE)</f>
        <v>Girl</v>
      </c>
      <c r="L9" s="140">
        <f>VLOOKUP($A9,'Loyd List 1-190 - Edit'!$C$1:$AQ$220,'Book Details - NO EDIT'!L$1,FALSE)</f>
        <v>1</v>
      </c>
      <c r="M9" s="140">
        <f t="shared" si="3"/>
        <v>0</v>
      </c>
      <c r="N9" s="140" t="str">
        <f t="shared" si="3"/>
        <v/>
      </c>
      <c r="O9" s="140" t="str">
        <f t="shared" si="3"/>
        <v/>
      </c>
      <c r="P9" s="140" t="str">
        <f t="shared" si="3"/>
        <v/>
      </c>
      <c r="Q9" s="140" t="str">
        <f t="shared" si="4"/>
        <v/>
      </c>
      <c r="R9" s="140" t="str">
        <f t="shared" si="4"/>
        <v/>
      </c>
      <c r="S9" s="140" t="str">
        <f t="shared" si="5"/>
        <v/>
      </c>
      <c r="T9" s="140">
        <f t="shared" si="1"/>
        <v>1</v>
      </c>
      <c r="U9" s="139">
        <f t="shared" si="6"/>
        <v>7</v>
      </c>
      <c r="V9" s="31" t="str">
        <f t="shared" si="7"/>
        <v>Gwenllian (1777–1779)</v>
      </c>
      <c r="W9" s="31" t="str">
        <f t="shared" si="8"/>
        <v>Gwenllian (#7)</v>
      </c>
      <c r="X9" s="99" t="str">
        <f t="shared" si="9"/>
        <v>Gwenllian (1777–1779: #7)</v>
      </c>
      <c r="Y9" s="99" t="str">
        <f t="shared" si="2"/>
        <v>Gwenllian LLOYD</v>
      </c>
      <c r="Z9" s="99" t="str">
        <f t="shared" si="10"/>
        <v>William (1729–1800: #1)</v>
      </c>
      <c r="AA9" s="99" t="str">
        <f t="shared" si="17"/>
        <v xml:space="preserve">William (1729–1800: #1)       </v>
      </c>
      <c r="AB9" s="142" t="str">
        <f>VLOOKUP(U9,'Siblings of those BORN Loyd'!$A$2:$G$230,7,FALSE)</f>
        <v xml:space="preserve">6 – Jane (1765–1832: #2) Lewis LOYD (1768–1858: #3) William (1770–1828: #4) Catherine (1772–1798: #5) Thomas (1775–1853: #6)  Edward (1780–1863: #8)  </v>
      </c>
      <c r="AC9" s="115" t="str">
        <f>IF(ISNA(IF(K9="Boy",VLOOKUP(A9,'Siblings of those BORN Loyd'!$AP$3:$AQ$70,2,FALSE),VLOOKUP(A9,'Children of Female Loyds'!$AR$5:$AT$60,3,FALSE))),AM9,IF(K9="Boy",VLOOKUP(A9,'Siblings of those BORN Loyd'!$AP$3:$AQ$70,2,FALSE),VLOOKUP(A9,'Children of Female Loyds'!$AR$5:$AT$60,3,FALSE)))</f>
        <v>d.s.p</v>
      </c>
      <c r="AD9" s="97" t="str">
        <f t="shared" si="11"/>
        <v>d.s.p.</v>
      </c>
      <c r="AE9" s="105" t="str">
        <f>IF(ISNA(IF(K9="Boy",VLOOKUP(A9,'Grandchildren of Male Loyds'!$AQ$3:$AS$51,3,FALSE),VLOOKUP(A9,'Grandchildren of Female Loyds'!$AX$5:$AZ$63,3,FALSE))),AM9,IF(K9="Boy",VLOOKUP(A9,'Grandchildren of Male Loyds'!$AQ$3:$AS$51,3,FALSE),VLOOKUP(A9,'Grandchildren of Female Loyds'!$AX$5:$AZ$63,3,FALSE)))</f>
        <v>d.s.p</v>
      </c>
      <c r="AF9" s="105" t="str">
        <f>IF(ISNA(VLOOKUP(A9,'Grandchildren Loyd Daughters'!$BD$5:$BF$50,4,FALSE)),"",VLOOKUP(A9,'Grandchildren Loyd Daughters'!$BD$5:$BF$50,3,FALSE))</f>
        <v/>
      </c>
      <c r="AG9" s="129">
        <f>IF(ISNA(VLOOKUP(A9,'Grandchildren of Male Loyds'!$AQ$3:$AR$60,2,FALSE)),0,VLOOKUP(A9,'Grandchildren of Male Loyds'!$AQ$3:$AR$60,2,FALSE))+IF(ISNA(VLOOKUP(A9,'Grandchildren of Female Loyds'!$AX$5:$AY$50,2,FALSE)),0,VLOOKUP(A9,'Grandchildren of Female Loyds'!$AX$5:$AY$50,2,FALSE))+IF(ISNA(VLOOKUP(A9,'Grandchildren Loyd Daughters'!$BD$5:$BE$50,2,FALSE)),0,VLOOKUP(A9,'Grandchildren Loyd Daughters'!$BD$5:$BE$50,2,FALSE))</f>
        <v>0</v>
      </c>
      <c r="AH9" s="129" t="str">
        <f>VLOOKUP($U9,'Loyd List 1-190 - Edit'!$P$3:$AJ$220,21,FALSE)</f>
        <v>Anne WILLIAM (b. 1738, d. 24 May 1801)</v>
      </c>
      <c r="AI9" s="129" t="str">
        <f>VLOOKUP(A9,'Updated Bios &amp; Spouse Details'!$A$1:$J$200,7,FALSE)</f>
        <v>Unmarried</v>
      </c>
      <c r="AJ9" s="130" t="str">
        <f>IF(VLOOKUP($A9,'Loyd List 1-190 - Edit'!$C$1:$AQ$220,'Book Details - NO EDIT'!AJ$1,FALSE)="","",(VLOOKUP($A9,'Loyd List 1-190 - Edit'!$C$1:$AQ$220,'Book Details - NO EDIT'!AJ$1,FALSE)))</f>
        <v xml:space="preserve"> -</v>
      </c>
      <c r="AK9" s="129" t="str">
        <f>VLOOKUP(A9,'Updated Bios &amp; Spouse Details'!$A$1:$J$200,8,FALSE)</f>
        <v xml:space="preserve"> -</v>
      </c>
      <c r="AL9" s="131" t="str">
        <f>VLOOKUP(A9,'Updated Bios &amp; Spouse Details'!$A$1:$J$200,5,FALSE)</f>
        <v>Gwenllian was the 3rd and youngest daughter of William LLOYD (1729-1800: #1) of Court Henry, Cilycwm, Carmarthenshire. Born 19 Oct 1777, and baptised  22 or 23 Oct 1777 at Llanwrda. Died 12 Oct 1779. Buried at Llanwrda.</v>
      </c>
      <c r="AM9" s="105" t="str">
        <f>IF(AND(LEN(H9)&gt;0,ISNA(IF(K9="Boy",VLOOKUP(A9,'Siblings of those BORN Loyd'!$AP$3:$AQ$70,2,FALSE),VLOOKUP(A9,'Children of Female Loyds'!$AR$5:$AS$60,2,FALSE)))),"d.s.p","")</f>
        <v>d.s.p</v>
      </c>
      <c r="AN9" s="99" t="str">
        <f t="shared" si="12"/>
        <v>William (1729–1800: #1)</v>
      </c>
      <c r="AO9" s="99" t="str">
        <f t="shared" si="18"/>
        <v/>
      </c>
      <c r="AP9" s="99" t="str">
        <f t="shared" si="19"/>
        <v/>
      </c>
      <c r="AQ9" s="99" t="str">
        <f t="shared" si="20"/>
        <v/>
      </c>
      <c r="AR9" s="99" t="str">
        <f t="shared" si="21"/>
        <v/>
      </c>
      <c r="AS9" s="99" t="str">
        <f t="shared" si="22"/>
        <v/>
      </c>
      <c r="AT9" s="99" t="str">
        <f t="shared" si="23"/>
        <v/>
      </c>
      <c r="AU9" s="99" t="str">
        <f t="shared" si="24"/>
        <v/>
      </c>
      <c r="AW9" s="116" t="str">
        <f>VLOOKUP(A9,'Updated Bios &amp; Spouse Details'!$A$1:$J$193,6,FALSE)</f>
        <v>Wales</v>
      </c>
      <c r="AX9" s="131">
        <f>VLOOKUP($A9,'Loyd List 1-190 - Edit'!$P$2:$AQ$220,AX$1,FALSE)</f>
        <v>7</v>
      </c>
      <c r="AY9" s="116" t="str">
        <f>IF(ISNA(VLOOKUP(A9,'Data check lookup table'!$G$2:$V$73,13,FALSE))," - ",VLOOKUP(A9,'Data check lookup table'!$G$2:$V$73,13,FALSE))</f>
        <v xml:space="preserve"> - </v>
      </c>
      <c r="AZ9" s="147" t="str">
        <f t="shared" si="14"/>
        <v>12/10/1779</v>
      </c>
      <c r="BA9" s="99" t="str">
        <f t="shared" si="15"/>
        <v/>
      </c>
      <c r="BB9" s="99" t="str">
        <f t="shared" si="16"/>
        <v/>
      </c>
      <c r="BI9" s="147" t="s">
        <v>1197</v>
      </c>
    </row>
    <row r="10" spans="1:61" s="99" customFormat="1" ht="409.6">
      <c r="A10" s="139">
        <f>'Loyd List 1-190 - Edit'!C10</f>
        <v>8</v>
      </c>
      <c r="B10" s="99" t="str">
        <f>VLOOKUP($A10,'Loyd List 1-190 - Edit'!$C$1:$AQ$220,'Book Details - NO EDIT'!B$1,FALSE)</f>
        <v>Edward</v>
      </c>
      <c r="C10" s="99" t="str">
        <f>IF(VLOOKUP($A10,'Loyd List 1-190 - Edit'!$C$1:$AQ$220,'Book Details - NO EDIT'!C$1,FALSE)="","",VLOOKUP($A10,'Loyd List 1-190 - Edit'!$C$1:$AQ$220,'Book Details - NO EDIT'!C$1,FALSE))</f>
        <v/>
      </c>
      <c r="D10" s="99" t="str">
        <f>IF(VLOOKUP($A10,'Loyd List 1-190 - Edit'!$C$1:$AQ$220,'Book Details - NO EDIT'!D$1,FALSE)="","",VLOOKUP($A10,'Loyd List 1-190 - Edit'!$C$1:$AQ$220,'Book Details - NO EDIT'!D$1,FALSE))</f>
        <v/>
      </c>
      <c r="E10" s="99" t="str">
        <f>IF(VLOOKUP($A10,'Loyd List 1-190 - Edit'!$C$1:$AQ$220,'Book Details - NO EDIT'!E$1,FALSE)="","",VLOOKUP($A10,'Loyd List 1-190 - Edit'!$C$1:$AQ$220,'Book Details - NO EDIT'!E$1,FALSE))</f>
        <v>LOYD</v>
      </c>
      <c r="F10" s="99" t="str">
        <f>IF(VLOOKUP($A10,'Loyd List 1-190 - Edit'!$C$1:$AQ$220,'Book Details - NO EDIT'!F$1,FALSE)="",B10,VLOOKUP($A10,'Loyd List 1-190 - Edit'!$C$1:$AQ$220,'Book Details - NO EDIT'!F$1,FALSE))</f>
        <v>Edward</v>
      </c>
      <c r="G10" s="140">
        <f>IF(VLOOKUP($A10,'Loyd List 1-190 - Edit'!$C$1:$AQ$220,'Book Details - NO EDIT'!G$1,FALSE)="","",VALUE(VLOOKUP($A10,'Loyd List 1-190 - Edit'!$C$1:$AQ$220,'Book Details - NO EDIT'!G$1,FALSE)))</f>
        <v>1780</v>
      </c>
      <c r="H10" s="140">
        <f>IF(VLOOKUP($A10,'Loyd List 1-190 - Edit'!$C$1:$AQ$220,'Book Details - NO EDIT'!H$1,FALSE)="","",VALUE(VLOOKUP($A10,'Loyd List 1-190 - Edit'!$C$1:$AQ$220,'Book Details - NO EDIT'!H$1,FALSE)))</f>
        <v>1863</v>
      </c>
      <c r="I10" s="141" t="str">
        <f>IF(VLOOKUP($A10,'Loyd List 1-190 - Edit'!$C$1:$AQ$220,'Book Details - NO EDIT'!I$1,FALSE)="","",(VLOOKUP($A10,'Loyd List 1-190 - Edit'!$C$1:$AQ$220,'Book Details - NO EDIT'!I$1,FALSE)))</f>
        <v>30/01/1780</v>
      </c>
      <c r="J10" s="141" t="str">
        <f>IF(VLOOKUP($A10,'Loyd List 1-190 - Edit'!$C$1:$AQ$220,'Book Details - NO EDIT'!J$1,FALSE)="","",(VLOOKUP($A10,'Loyd List 1-190 - Edit'!$C$1:$AQ$220,'Book Details - NO EDIT'!J$1,FALSE)))</f>
        <v>30/01/1863</v>
      </c>
      <c r="K10" s="100" t="str">
        <f>VLOOKUP($A10,'Loyd List 1-190 - Edit'!$C$1:$AQ$220,'Book Details - NO EDIT'!K$1,FALSE)</f>
        <v>Boy</v>
      </c>
      <c r="L10" s="140">
        <f>VLOOKUP($A10,'Loyd List 1-190 - Edit'!$C$1:$AQ$220,'Book Details - NO EDIT'!L$1,FALSE)</f>
        <v>1</v>
      </c>
      <c r="M10" s="140">
        <f t="shared" si="3"/>
        <v>0</v>
      </c>
      <c r="N10" s="140" t="str">
        <f t="shared" si="3"/>
        <v/>
      </c>
      <c r="O10" s="140" t="str">
        <f t="shared" si="3"/>
        <v/>
      </c>
      <c r="P10" s="140" t="str">
        <f t="shared" si="3"/>
        <v/>
      </c>
      <c r="Q10" s="140" t="str">
        <f t="shared" si="4"/>
        <v/>
      </c>
      <c r="R10" s="140" t="str">
        <f t="shared" si="4"/>
        <v/>
      </c>
      <c r="S10" s="140" t="str">
        <f t="shared" si="5"/>
        <v/>
      </c>
      <c r="T10" s="140">
        <f t="shared" si="1"/>
        <v>1</v>
      </c>
      <c r="U10" s="139">
        <f t="shared" si="6"/>
        <v>8</v>
      </c>
      <c r="V10" s="31" t="str">
        <f t="shared" si="7"/>
        <v>Edward (1780–1863)</v>
      </c>
      <c r="W10" s="31" t="str">
        <f t="shared" si="8"/>
        <v>Edward (#8)</v>
      </c>
      <c r="X10" s="99" t="str">
        <f t="shared" si="9"/>
        <v>Edward (1780–1863: #8)</v>
      </c>
      <c r="Y10" s="99" t="str">
        <f t="shared" si="2"/>
        <v>Edward LOYD</v>
      </c>
      <c r="Z10" s="99" t="str">
        <f t="shared" si="10"/>
        <v>William (1729–1800: #1)</v>
      </c>
      <c r="AA10" s="99" t="str">
        <f t="shared" si="17"/>
        <v xml:space="preserve">William (1729–1800: #1)       </v>
      </c>
      <c r="AB10" s="142" t="str">
        <f>VLOOKUP(U10,'Siblings of those BORN Loyd'!$A$2:$G$230,7,FALSE)</f>
        <v xml:space="preserve">6 – Jane (1765–1832: #2) Lewis LOYD (1768–1858: #3) William (1770–1828: #4) Catherine (1772–1798: #5) Thomas (1775–1853: #6) Gwenllian (1777–1779: #7)   </v>
      </c>
      <c r="AC10" s="115" t="str">
        <f>IF(ISNA(IF(K10="Boy",VLOOKUP(A10,'Siblings of those BORN Loyd'!$AP$3:$AQ$70,2,FALSE),VLOOKUP(A10,'Children of Female Loyds'!$AR$5:$AT$60,3,FALSE))),AM10,IF(K10="Boy",VLOOKUP(A10,'Siblings of those BORN Loyd'!$AP$3:$AQ$70,2,FALSE),VLOOKUP(A10,'Children of Female Loyds'!$AR$5:$AT$60,3,FALSE)))</f>
        <v>8 - Sarah (1810–1858: #11); Lewis (1811–1891: #13); Annie (1813–1834: #15); Kate (1815–1905: #18); Hannah (1817–1907: #19); Edward (1820–1890: #22); William (1821–1885: #23); Fanny (1824–1856: #24)</v>
      </c>
      <c r="AD10" s="97" t="str">
        <f t="shared" ref="AD10:AD15" si="25">IF(AE10="d.s.p",_xlfn.CONCAT(AE10,"."),IF(AG10=0,"-",_xlfn.CONCAT(AG10," - ",AE10,"   ",AF10)))</f>
        <v>31 - Mary (1848–1934: #31); Lewis (1852–1908: #35); Elinor (1853–1895: #36); Gertrude (1854–1924: #38); Fa (1855–1927: #39); Harriet (1856–1921: #40); Frederic (1856–1936: #41); Dulcie (1858–1905: #42); Meg (1859–1936: #43); Harry (1861–1938: #44); Llewellyn (1861–1939: #45); William (1863–1923: #46); Caroline (1864–1940: #47); Caroline (1865–1938: #48) ;Mary (1867–1867: #49); Arthur (1868–1911: #50)   Emma BENYON (1838 - 1913:  #11a) Sarah BENYON (1839 - 1863:  #11b) Henry BENYON (1841 - 1861:  #11c) Fanny BENYON (1842 - 1845:  #11d) Edward BENYON (1845 - 1903:  #11e) Margaret NICOL (1844 - 1927:  #18a) William NICOL (1846 - 1914:  #18b) James NICOL (1848 - 1938:  #18c) Sarah NICOL (1854 - 1943:  #18d) Lewis NICOL (1858 - 1935:  #18e) William ENTWISLE (1839 - 1860:  #19a) Richard ENTWISLE (1840 - 1894:  #19b) Frederica ENTWISLE (1842 - 1916:  #19c) Bernard ENTWISLE (1847 - 1877:  #19d) Edward ENTWISLE (1852 - 1881:  #19e)</v>
      </c>
      <c r="AE10" s="105" t="str">
        <f>IF(ISNA(IF(K10="Boy",VLOOKUP(A10,'Grandchildren of Male Loyds'!$AQ$3:$AS$51,3,FALSE),VLOOKUP(A10,'Grandchildren of Female Loyds'!$AX$5:$AZ$63,3,FALSE))),AM10,IF(K10="Boy",VLOOKUP(A10,'Grandchildren of Male Loyds'!$AQ$3:$AS$51,3,FALSE),VLOOKUP(A10,'Grandchildren of Female Loyds'!$AX$5:$AZ$63,3,FALSE)))</f>
        <v>Mary (1848–1934: #31); Lewis (1852–1908: #35); Elinor (1853–1895: #36); Gertrude (1854–1924: #38); Fa (1855–1927: #39); Harriet (1856–1921: #40); Frederic (1856–1936: #41); Dulcie (1858–1905: #42); Meg (1859–1936: #43); Harry (1861–1938: #44); Llewellyn (1861–1939: #45); William (1863–1923: #46); Caroline (1864–1940: #47); Caroline (1865–1938: #48) ;Mary (1867–1867: #49); Arthur (1868–1911: #50)</v>
      </c>
      <c r="AF10" s="105" t="str">
        <f>IF(ISNA(VLOOKUP(A10,'Grandchildren Loyd Daughters'!$BD$5:$BF$50,4,FALSE)),"",VLOOKUP(A10,'Grandchildren Loyd Daughters'!$BD$5:$BF$50,3,FALSE))</f>
        <v>Emma BENYON (1838 - 1913:  #11a) Sarah BENYON (1839 - 1863:  #11b) Henry BENYON (1841 - 1861:  #11c) Fanny BENYON (1842 - 1845:  #11d) Edward BENYON (1845 - 1903:  #11e) Margaret NICOL (1844 - 1927:  #18a) William NICOL (1846 - 1914:  #18b) James NICOL (1848 - 1938:  #18c) Sarah NICOL (1854 - 1943:  #18d) Lewis NICOL (1858 - 1935:  #18e) William ENTWISLE (1839 - 1860:  #19a) Richard ENTWISLE (1840 - 1894:  #19b) Frederica ENTWISLE (1842 - 1916:  #19c) Bernard ENTWISLE (1847 - 1877:  #19d) Edward ENTWISLE (1852 - 1881:  #19e)</v>
      </c>
      <c r="AG10" s="129">
        <f>IF(ISNA(VLOOKUP(A10,'Grandchildren of Male Loyds'!$AQ$3:$AR$60,2,FALSE)),0,VLOOKUP(A10,'Grandchildren of Male Loyds'!$AQ$3:$AR$60,2,FALSE))+IF(ISNA(VLOOKUP(A10,'Grandchildren of Female Loyds'!$AX$5:$AY$50,2,FALSE)),0,VLOOKUP(A10,'Grandchildren of Female Loyds'!$AX$5:$AY$50,2,FALSE))+IF(ISNA(VLOOKUP(A10,'Grandchildren Loyd Daughters'!$BD$5:$BE$50,2,FALSE)),0,VLOOKUP(A10,'Grandchildren Loyd Daughters'!$BD$5:$BE$50,2,FALSE))</f>
        <v>31</v>
      </c>
      <c r="AH10" s="129" t="str">
        <f>VLOOKUP($U10,'Loyd List 1-190 - Edit'!$P$3:$AJ$220,21,FALSE)</f>
        <v>Anne WILLIAM (b. 1738, d. 24 May 1801)</v>
      </c>
      <c r="AI10" s="129" t="str">
        <f>VLOOKUP(A10,'Updated Bios &amp; Spouse Details'!$A$1:$J$200,7,FALSE)</f>
        <v>Sarah TAYLOR (b.5 Jul 1785, d. 19 Jan 1863)</v>
      </c>
      <c r="AJ10" s="130" t="str">
        <f>IF(VLOOKUP($A10,'Loyd List 1-190 - Edit'!$C$1:$AQ$220,'Book Details - NO EDIT'!AJ$1,FALSE)="","",(VLOOKUP($A10,'Loyd List 1-190 - Edit'!$C$1:$AQ$220,'Book Details - NO EDIT'!AJ$1,FALSE)))</f>
        <v>17/08/1809</v>
      </c>
      <c r="AK10" s="129" t="str">
        <f>VLOOKUP(A10,'Updated Bios &amp; Spouse Details'!$A$1:$J$200,8,FALSE)</f>
        <v>Married Sarah, 3rd daughter of Joseph TAYLOR of Lion Fold, Blackley, Lancashire. at Manchester Collegiate Church (later Manchester Cathedral). Sarah baptised, 7 Aug 1785, at Blackley Chapel. Buried at Addington, near  Croydon. Sarah’s mother married again, after Joseph Taylor, Thomas Henshaw who set up the Henshaw Trust which still exists in 2022 after  Sarah left £20k to the Henshaw Trust in her will.</v>
      </c>
      <c r="AL10" s="131" t="str">
        <f>VLOOKUP(A10,'Updated Bios &amp; Spouse Details'!$A$1:$J$200,5,FALSE)</f>
        <v>At different times Edward lived in King Street, Manchester, at Greenhill, Cheetham Hill, Manchester [11] and later at Coombe House, Coombe Lane, Croydon, Surrey. 4th and youngest son of William LLOYD (1729–1800: #1) of Court Henry, Cilycwm, Carmarthenshire. Born 30 Jan 1780 and baptised  3 Feb 1780 at Llanwrda. Educated probably at Mr. David PRICE’s school at Llanycrwys near Lampeter for a schoolmaster. Came to Manchester and entered Bank as a clerk, became head cashier and then partner. Member of the Billiard Club and Broughton Archers.[12] Became senior partner, Manchester branch, Jones Loyds Bank at 35 King Street, Manchester in 1821. Notable collector of modern English water colours and Dutch old masters. Died 30 Jan 1863 at Coombe House, buried at Addington, near Croydon. Estate worth £600,000. Will dated 9 Apr 1855, proved 18 Mar 1863 P.P.R.. Issue: 3 sons, 5 daughters. Roddy SALE (97d), in 2022, has portrait of Sarah Taylor (daughter of Joseph Taylor) who married Edward Loyd (#8). Footnote: [11]  Greenhill, Cheetham Hill, Manchester was built, and lived in, by Samuel JONES who died 17 Mar 1819. It was then taken over by his partner at the bank, Edward LOYD, who lived there until he retired to Croydon in 1848. By 1877 the house had disappeared. Edward LOYD also owned the manor and huge estate of Minshull Vernon, near Nantwich in Cheshire, although he never live there himself. Some of the property was occupied by his wife’s relatives, and he was the joint benefactor of the church of St Peter, Leighton-cum-Minshull. Vernon Manor was rebuilt in 1849 to a design by Sir Gilbert Scott. On his death Edward  left the estate to his eldest son, Lewis LOYD (1811–91: #13) who, in turn, on his death left it and other property in Cheshire to his grandson, Edward Henry LOYD (1861–1938: #44) who was also known as Harry. [12] “Mr Loyd’s devotedness to the bank was equalled by his attachment to his home ....he rarely allowed himself to be absent for more than a day or two. He was a member of the Billiard Club, but found his chief enjoyment in connection with that famous old body, the Broughton Archers. ... composed exclusively of gentlemen, the admission being almost as strict as to the Billiard Club..... all men who represented the weight and influence of the town. A meeting short of Edward Loyd perhaps was never known ... because ... on the archery ground he divested himself of all his cares, smoothed his ruffled plumage, and warmed and refreshed the very atmosphere with his boundless ‘bonhomie’. He was accustomed to present the club as often as needed with an aum (fifteen dozen) of hock ... Of this celebrated club Mr Edward Loyd may truthfully be declared to have been the life and soul ... as a member ... he did most to render it one of the most charming that ever existed. He was one of the muster upon the lawn at Holland House on the occasion of that celebrated festival when the Broughton Archers acted as body guard to the Queen.” Grindon page 153-57.  “After the death of William Jones  [the son of John Jones (1713–75)] and brother of Sarah, wife of Lewis Loyd (1768–1858: #3) in 1821, the King Street bank fell under the control, purely and solely, of Mr Edward Loyd who splendid management continued unbroken for the long period of twenty-seven years. [On 25 December 1848] the Manchester business was separated from the Metropolitan one, the ancient appellation of William Jones Loyd and co., disappeared; Mr Loyd, 68, retired, and the [his] responsibilities in Manchester were distributed amongst four new partners: Mr Loyd’s son Edward (1820 –90: #22), Mr William Entwisle, Mr Henry Barrett Bury and Mr Thomas Barlow Jervis. “On his retirement from the bank, Mr Loyd removed to Croydon in Surrey. His departure from Manchester touched a larger circle than has ever been affected in our town by the loss of the single member of the community. No man was better known or more generally respected. The many years he was accustomed to making his way to the bank with regularity so exact, riding a little brown pony, familiarly known along the road as “Jacob Faithful”, that his passing any given corner suffice to tell the time of day. Later on, disliking everything that savoured of show and vanity, he exchanged a pony for an unpretentious shut-up carriage. He never failed to enter the bank at 9am, and never left in the evening until the books were all made up and the cash was balanced to the uttermost penny. Many a time he had not scrupled to go in late to a dinner party, even at his own table, rather than neglect his duties at the desk. This did not come of any unworthy ‘amor nummi ; in Edward Loyd there was not the slightest taint of avarice; it was purely out of love of order and precision. This also rendered him indifferent to speculation, the desire to get rich by leaps, which, being a disorderly thing, he constantly discouraged……in his conduct towards others he was always kindly and amicable; he knew not what it was to be contentious, and sought, whenever the occasion arose, to promote peace. Grindon p 150 –53. ”In person Mr Edward Loyd was…well made, and compact. He had a fair, round, rosy, ample face, a fine old last–century castor countenance, a beautifully clear complexion, a baldhead, and lucid grey eyes. Come upon him wherever you might, he always had the air of a gentlemen – a certain refined simplicity tinged with stateliness." Grindon Page P 157.</v>
      </c>
      <c r="AM10" s="105" t="str">
        <f>IF(AND(LEN(H10)&gt;0,ISNA(IF(K10="Boy",VLOOKUP(A10,'Siblings of those BORN Loyd'!$AP$3:$AQ$70,2,FALSE),VLOOKUP(A10,'Children of Female Loyds'!$AR$5:$AS$60,2,FALSE)))),"d.s.p","")</f>
        <v/>
      </c>
      <c r="AN10" s="99" t="str">
        <f t="shared" si="12"/>
        <v>William (1729–1800: #1)</v>
      </c>
      <c r="AO10" s="99" t="str">
        <f t="shared" si="18"/>
        <v/>
      </c>
      <c r="AP10" s="99" t="str">
        <f t="shared" si="19"/>
        <v/>
      </c>
      <c r="AQ10" s="99" t="str">
        <f t="shared" si="20"/>
        <v/>
      </c>
      <c r="AR10" s="99" t="str">
        <f t="shared" si="21"/>
        <v/>
      </c>
      <c r="AS10" s="99" t="str">
        <f t="shared" si="22"/>
        <v/>
      </c>
      <c r="AT10" s="99" t="str">
        <f t="shared" si="23"/>
        <v/>
      </c>
      <c r="AU10" s="99" t="str">
        <f t="shared" si="24"/>
        <v/>
      </c>
      <c r="AW10" s="116" t="str">
        <f>VLOOKUP(A10,'Updated Bios &amp; Spouse Details'!$A$1:$J$193,6,FALSE)</f>
        <v>Wales &amp; England</v>
      </c>
      <c r="AX10" s="131">
        <f>VLOOKUP($A10,'Loyd List 1-190 - Edit'!$P$2:$AQ$220,AX$1,FALSE)</f>
        <v>8</v>
      </c>
      <c r="AY10" s="116" t="str">
        <f>IF(ISNA(VLOOKUP(A10,'Data check lookup table'!$G$2:$V$73,13,FALSE))," - ",VLOOKUP(A10,'Data check lookup table'!$G$2:$V$73,13,FALSE))</f>
        <v xml:space="preserve"> - </v>
      </c>
      <c r="AZ10" s="147" t="str">
        <f t="shared" si="14"/>
        <v>30/01/1863</v>
      </c>
      <c r="BA10" s="99" t="str">
        <f t="shared" si="15"/>
        <v/>
      </c>
      <c r="BB10" s="99" t="str">
        <f t="shared" si="16"/>
        <v/>
      </c>
      <c r="BI10" s="147" t="s">
        <v>991</v>
      </c>
    </row>
    <row r="11" spans="1:61" s="99" customFormat="1" ht="372">
      <c r="A11" s="139">
        <f>'Loyd List 1-190 - Edit'!C11</f>
        <v>9</v>
      </c>
      <c r="B11" s="99" t="str">
        <f>VLOOKUP($A11,'Loyd List 1-190 - Edit'!$C$1:$AQ$220,'Book Details - NO EDIT'!B$1,FALSE)</f>
        <v>Samuel</v>
      </c>
      <c r="C11" s="99" t="str">
        <f>IF(VLOOKUP($A11,'Loyd List 1-190 - Edit'!$C$1:$AQ$220,'Book Details - NO EDIT'!C$1,FALSE)="","",VLOOKUP($A11,'Loyd List 1-190 - Edit'!$C$1:$AQ$220,'Book Details - NO EDIT'!C$1,FALSE))</f>
        <v>Jones</v>
      </c>
      <c r="D11" s="99" t="str">
        <f>IF(VLOOKUP($A11,'Loyd List 1-190 - Edit'!$C$1:$AQ$220,'Book Details - NO EDIT'!D$1,FALSE)="","",VLOOKUP($A11,'Loyd List 1-190 - Edit'!$C$1:$AQ$220,'Book Details - NO EDIT'!D$1,FALSE))</f>
        <v/>
      </c>
      <c r="E11" s="99" t="str">
        <f>IF(VLOOKUP($A11,'Loyd List 1-190 - Edit'!$C$1:$AQ$220,'Book Details - NO EDIT'!E$1,FALSE)="","",VLOOKUP($A11,'Loyd List 1-190 - Edit'!$C$1:$AQ$220,'Book Details - NO EDIT'!E$1,FALSE))</f>
        <v>LOYD</v>
      </c>
      <c r="F11" s="99" t="str">
        <f>IF(VLOOKUP($A11,'Loyd List 1-190 - Edit'!$C$1:$AQ$220,'Book Details - NO EDIT'!F$1,FALSE)="",B11,VLOOKUP($A11,'Loyd List 1-190 - Edit'!$C$1:$AQ$220,'Book Details - NO EDIT'!F$1,FALSE))</f>
        <v>Samuel</v>
      </c>
      <c r="G11" s="140">
        <f>IF(VLOOKUP($A11,'Loyd List 1-190 - Edit'!$C$1:$AQ$220,'Book Details - NO EDIT'!G$1,FALSE)="","",VALUE(VLOOKUP($A11,'Loyd List 1-190 - Edit'!$C$1:$AQ$220,'Book Details - NO EDIT'!G$1,FALSE)))</f>
        <v>1796</v>
      </c>
      <c r="H11" s="140">
        <f>IF(VLOOKUP($A11,'Loyd List 1-190 - Edit'!$C$1:$AQ$220,'Book Details - NO EDIT'!H$1,FALSE)="","",VALUE(VLOOKUP($A11,'Loyd List 1-190 - Edit'!$C$1:$AQ$220,'Book Details - NO EDIT'!H$1,FALSE)))</f>
        <v>1883</v>
      </c>
      <c r="I11" s="141" t="str">
        <f>IF(VLOOKUP($A11,'Loyd List 1-190 - Edit'!$C$1:$AQ$220,'Book Details - NO EDIT'!I$1,FALSE)="","",(VLOOKUP($A11,'Loyd List 1-190 - Edit'!$C$1:$AQ$220,'Book Details - NO EDIT'!I$1,FALSE)))</f>
        <v>25/09/1796</v>
      </c>
      <c r="J11" s="141" t="str">
        <f>IF(VLOOKUP($A11,'Loyd List 1-190 - Edit'!$C$1:$AQ$220,'Book Details - NO EDIT'!J$1,FALSE)="","",(VLOOKUP($A11,'Loyd List 1-190 - Edit'!$C$1:$AQ$220,'Book Details - NO EDIT'!J$1,FALSE)))</f>
        <v>17/11/1883</v>
      </c>
      <c r="K11" s="100" t="str">
        <f>VLOOKUP($A11,'Loyd List 1-190 - Edit'!$C$1:$AQ$220,'Book Details - NO EDIT'!K$1,FALSE)</f>
        <v>Boy</v>
      </c>
      <c r="L11" s="140">
        <f>VLOOKUP($A11,'Loyd List 1-190 - Edit'!$C$1:$AQ$220,'Book Details - NO EDIT'!L$1,FALSE)</f>
        <v>3</v>
      </c>
      <c r="M11" s="140">
        <f t="shared" si="3"/>
        <v>1</v>
      </c>
      <c r="N11" s="140">
        <f t="shared" si="3"/>
        <v>0</v>
      </c>
      <c r="O11" s="140" t="str">
        <f t="shared" si="3"/>
        <v/>
      </c>
      <c r="P11" s="140" t="str">
        <f t="shared" si="3"/>
        <v/>
      </c>
      <c r="Q11" s="140" t="str">
        <f t="shared" si="4"/>
        <v/>
      </c>
      <c r="R11" s="140" t="str">
        <f t="shared" si="4"/>
        <v/>
      </c>
      <c r="S11" s="140" t="str">
        <f t="shared" si="5"/>
        <v/>
      </c>
      <c r="T11" s="140">
        <f t="shared" si="1"/>
        <v>2</v>
      </c>
      <c r="U11" s="139">
        <f t="shared" si="6"/>
        <v>9</v>
      </c>
      <c r="V11" s="31" t="str">
        <f t="shared" si="7"/>
        <v>Samuel (1796–1883)</v>
      </c>
      <c r="W11" s="31" t="str">
        <f t="shared" si="8"/>
        <v>Samuel (#9)</v>
      </c>
      <c r="X11" s="99" t="str">
        <f t="shared" si="9"/>
        <v>Samuel (1796–1883: #9)</v>
      </c>
      <c r="Y11" s="99" t="str">
        <f t="shared" si="2"/>
        <v>Samuel Jones LOYD</v>
      </c>
      <c r="Z11" s="99" t="str">
        <f t="shared" si="10"/>
        <v>Lewis LOYD (1768–1858: #3)</v>
      </c>
      <c r="AA11" s="99" t="str">
        <f t="shared" si="17"/>
        <v xml:space="preserve">Lewis LOYD (1768–1858: #3) William (1729–1800: #1)      </v>
      </c>
      <c r="AB11" s="142" t="str">
        <f>VLOOKUP(U11,'Siblings of those BORN Loyd'!$A$2:$G$230,7,FALSE)</f>
        <v>0 – Only chlid</v>
      </c>
      <c r="AC11" s="115" t="str">
        <f>IF(ISNA(IF(K11="Boy",VLOOKUP(A11,'Siblings of those BORN Loyd'!$AP$3:$AQ$70,2,FALSE),VLOOKUP(A11,'Children of Female Loyds'!$AR$5:$AT$60,3,FALSE))),AM11,IF(K11="Boy",VLOOKUP(A11,'Siblings of those BORN Loyd'!$AP$3:$AQ$70,2,FALSE),VLOOKUP(A11,'Children of Female Loyds'!$AR$5:$AT$60,3,FALSE)))</f>
        <v>2 - Henry (1832–1833: #25); The Hon Harriet (1837–1920: #26)</v>
      </c>
      <c r="AD11" s="97" t="str">
        <f t="shared" si="25"/>
        <v>-</v>
      </c>
      <c r="AE11" s="105" t="str">
        <f>IF(ISNA(IF(K11="Boy",VLOOKUP(A11,'Grandchildren of Male Loyds'!$AQ$3:$AS$51,3,FALSE),VLOOKUP(A11,'Grandchildren of Female Loyds'!$AX$5:$AZ$63,3,FALSE))),AM11,IF(K11="Boy",VLOOKUP(A11,'Grandchildren of Male Loyds'!$AQ$3:$AS$51,3,FALSE),VLOOKUP(A11,'Grandchildren of Female Loyds'!$AX$5:$AZ$63,3,FALSE)))</f>
        <v/>
      </c>
      <c r="AF11" s="105" t="str">
        <f>IF(ISNA(VLOOKUP(A11,'Grandchildren Loyd Daughters'!$BD$5:$BF$50,4,FALSE)),"",VLOOKUP(A11,'Grandchildren Loyd Daughters'!$BD$5:$BF$50,3,FALSE))</f>
        <v/>
      </c>
      <c r="AG11" s="129">
        <f>IF(ISNA(VLOOKUP(A11,'Grandchildren of Male Loyds'!$AQ$3:$AR$60,2,FALSE)),0,VLOOKUP(A11,'Grandchildren of Male Loyds'!$AQ$3:$AR$60,2,FALSE))+IF(ISNA(VLOOKUP(A11,'Grandchildren of Female Loyds'!$AX$5:$AY$50,2,FALSE)),0,VLOOKUP(A11,'Grandchildren of Female Loyds'!$AX$5:$AY$50,2,FALSE))+IF(ISNA(VLOOKUP(A11,'Grandchildren Loyd Daughters'!$BD$5:$BE$50,2,FALSE)),0,VLOOKUP(A11,'Grandchildren Loyd Daughters'!$BD$5:$BE$50,2,FALSE))</f>
        <v>0</v>
      </c>
      <c r="AH11" s="129" t="str">
        <f>VLOOKUP($U11,'Loyd List 1-190 - Edit'!$P$3:$AJ$220,21,FALSE)</f>
        <v>Sarah  JONES (b. 9 Sep 1759, d. 1 Oct 1821)</v>
      </c>
      <c r="AI11" s="129" t="str">
        <f>VLOOKUP(A11,'Updated Bios &amp; Spouse Details'!$A$1:$J$200,7,FALSE)</f>
        <v>Harriet  WRIGHT (b. 1798/99, d. 6 Nov 1864)</v>
      </c>
      <c r="AJ11" s="130" t="str">
        <f>IF(VLOOKUP($A11,'Loyd List 1-190 - Edit'!$C$1:$AQ$220,'Book Details - NO EDIT'!AJ$1,FALSE)="","",(VLOOKUP($A11,'Loyd List 1-190 - Edit'!$C$1:$AQ$220,'Book Details - NO EDIT'!AJ$1,FALSE)))</f>
        <v>10/08/1829</v>
      </c>
      <c r="AK11" s="129" t="str">
        <f>VLOOKUP(A11,'Updated Bios &amp; Spouse Details'!$A$1:$J$200,8,FALSE)</f>
        <v>Harriet, daughter of Ichabod WRIGHT of Mapperley Hall, Nottinghamshire. Buried at Lockinge, Nr. Wantage. Harriet Wright’s sister married Fredrick Paul IRBY ( Jan 1866). Their daughter later married Lewis Loyd (1811 - 1891: #13). The Wright’s also related to Foster-Harter, a cousin through Caroline Foster Loyd (1864 -1940: #47).</v>
      </c>
      <c r="AL11" s="131" t="str">
        <f>VLOOKUP(A11,'Updated Bios &amp; Spouse Details'!$A$1:$J$200,5,FALSE)</f>
        <v xml:space="preserve">Samuel, the 1st and last Baron OVERSTONE of Overstone and Fotheringhay both in the county of Northamptonshire, of Overstone Park [13], Northamptonshire, and of 2 Carlton Gardens, London SW1. Only son of Lewis LOYD (1768–1858: #3) of 43 Lothbury, London and of Overstone Park, Northamptonshire. Born 25 Sep 1796 at 43 Lothbury. Educated: Eton 1808/09-13 and Trinity College, Cambridge (MA 1818). Oxford (Hon DCL 1864). Career: Partner in Jones Loyds Bank 1817. MP for Hythe 1819-26. Partner in Jones Loyds Bank 1817. MP for Hythe 1819-26. Exchequer Bill (subsequently Public Works Loan) Commissioner 1831-75. Witness before Bank Charter Committee 1832. ‘Reflections and Further Reflections’ published 1837. Witness before Bank Charter Committee 1832. ‘Reflections and Further Reflections’ published 1837. Hand Loom Weavers Commissioner 1837-40. Appeared before Select Committee on Postage 1838. Articles published. Appeared before Committee on Banks of Issue 1840. Writer for Morning Chronicle 1840-1841. Appeared before Committee on Bills of Exchange 1841. Joined Anti Corn Law League 1843. Chairman of British Association for the relief of the Extreme Distress in Ireland and Scotland 1846-49. Commissioner for the Great Exhibition 1850. Raised to Peerage 5 Mar 1850 [14]. Trustee of National Gallery 1850. Senator of London University 1850-77. Letters to The Times signed ‘Mercator’ 1855-57. Exchequer Bill (subsequently Public Works Loan) Commissioner 1831-75. Decimal Coinage Commissioner 1855-60. Consulted by government over future of Act of 1844. Appeared before Committee on Bank Acts 1857. Active in opposition to GLADSTONE’s financial policy 1860. Member of Volunteer Commission 1862. Resigns from Senate of London University 1883. By c1881, Lord OVERSTONE was in receipt of an income that was equivalent to 0.02 per cent of total United Kingdom taxable income, and his investments in land comprised 0.1 per cent of the total land area of Britain. Although he was, therefore, the possessor of one of the largest fortunes of his day, he gave away considerable sums of money (averaging one-third of his total expenditure between 1863 and 1882) to relatives [15], friends and employees as well as to established charities. Died 17 Nov 1883 at 2 Carlton Gardens, London and buried at Lockinge, leaving Securities of £2,188,084, and Landed Property £3,114,262 (much settled on his son-in-law before his death). Issue: 1 son, 1 daughter. Portrait by Frank HOLL in possession of Christopher (1923–2013: #100) and subsequently with Thomas (1959– : #138). “The chief of the new commercial aristocracy is supposed to be Lord Overstone, one of the wealthiest subjects in the world, his fortune being estimated at five millions” - Great Governing Families of England 1865. Footnotes: [13] The building of the present large house was started in 1861 at the wish of Lady Overstone in place of the previous house which Lewis (1768–1858: #3) bought from the Kipling family. Three and a half years later Lady Overstone died and Lord Overstone disliked the new house so much that he lived almost entirely with his daughter and son-in-law at Lockinge and at 2 Carlton Gardens where his daughter and son-in-law also continued to live after Lord Overstone’s death. [14] Samuel's elevation to the peerage gave rise to the following lines: ‘The Banker Lord must have his name destroyed; The peerage must be pure, no peer a (l)Loyd; No longer by his City title known - Lord Overgold is now Lord Overstone’ - Grindon page 168. [15] His “papers contain many details of the extensive financial support which he gave to Mrs T K Loyd [widow of Thomas Kirkman LOYD (1812-57)] and her children. He seems to have supported them, paid for their education, and launched them on their careers” - O’Brien page 1057. </v>
      </c>
      <c r="AM11" s="105" t="str">
        <f>IF(AND(LEN(H11)&gt;0,ISNA(IF(K11="Boy",VLOOKUP(A11,'Siblings of those BORN Loyd'!$AP$3:$AQ$70,2,FALSE),VLOOKUP(A11,'Children of Female Loyds'!$AR$5:$AS$60,2,FALSE)))),"d.s.p","")</f>
        <v/>
      </c>
      <c r="AN11" s="99" t="str">
        <f t="shared" si="12"/>
        <v>Lewis LOYD (1768–1858: #3)</v>
      </c>
      <c r="AO11" s="99" t="str">
        <f t="shared" si="18"/>
        <v>William (1729–1800: #1)</v>
      </c>
      <c r="AP11" s="99" t="str">
        <f t="shared" si="19"/>
        <v/>
      </c>
      <c r="AQ11" s="99" t="str">
        <f t="shared" si="20"/>
        <v/>
      </c>
      <c r="AR11" s="99" t="str">
        <f t="shared" si="21"/>
        <v/>
      </c>
      <c r="AS11" s="99" t="str">
        <f t="shared" si="22"/>
        <v/>
      </c>
      <c r="AT11" s="99" t="str">
        <f t="shared" si="23"/>
        <v/>
      </c>
      <c r="AU11" s="99" t="str">
        <f t="shared" si="24"/>
        <v/>
      </c>
      <c r="AW11" s="116" t="str">
        <f>VLOOKUP(A11,'Updated Bios &amp; Spouse Details'!$A$1:$J$193,6,FALSE)</f>
        <v>England</v>
      </c>
      <c r="AX11" s="131">
        <f>VLOOKUP($A11,'Loyd List 1-190 - Edit'!$P$2:$AQ$220,AX$1,FALSE)</f>
        <v>9</v>
      </c>
      <c r="AY11" s="116" t="str">
        <f>IF(ISNA(VLOOKUP(A11,'Data check lookup table'!$G$2:$V$73,13,FALSE))," - ",VLOOKUP(A11,'Data check lookup table'!$G$2:$V$73,13,FALSE))</f>
        <v xml:space="preserve"> - </v>
      </c>
      <c r="AZ11" s="147" t="str">
        <f t="shared" si="14"/>
        <v>17/11/1883</v>
      </c>
      <c r="BA11" s="99" t="str">
        <f t="shared" si="15"/>
        <v/>
      </c>
      <c r="BB11" s="99" t="str">
        <f t="shared" si="16"/>
        <v/>
      </c>
      <c r="BI11" s="147" t="s">
        <v>994</v>
      </c>
    </row>
    <row r="12" spans="1:61" s="99" customFormat="1" ht="409.6">
      <c r="A12" s="139">
        <f>'Loyd List 1-190 - Edit'!C12</f>
        <v>10</v>
      </c>
      <c r="B12" s="99" t="str">
        <f>VLOOKUP($A12,'Loyd List 1-190 - Edit'!$C$1:$AQ$220,'Book Details - NO EDIT'!B$1,FALSE)</f>
        <v>William</v>
      </c>
      <c r="C12" s="99" t="str">
        <f>IF(VLOOKUP($A12,'Loyd List 1-190 - Edit'!$C$1:$AQ$220,'Book Details - NO EDIT'!C$1,FALSE)="","",VLOOKUP($A12,'Loyd List 1-190 - Edit'!$C$1:$AQ$220,'Book Details - NO EDIT'!C$1,FALSE))</f>
        <v>Kirkman</v>
      </c>
      <c r="D12" s="99" t="str">
        <f>IF(VLOOKUP($A12,'Loyd List 1-190 - Edit'!$C$1:$AQ$220,'Book Details - NO EDIT'!D$1,FALSE)="","",VLOOKUP($A12,'Loyd List 1-190 - Edit'!$C$1:$AQ$220,'Book Details - NO EDIT'!D$1,FALSE))</f>
        <v/>
      </c>
      <c r="E12" s="99" t="str">
        <f>IF(VLOOKUP($A12,'Loyd List 1-190 - Edit'!$C$1:$AQ$220,'Book Details - NO EDIT'!E$1,FALSE)="","",VLOOKUP($A12,'Loyd List 1-190 - Edit'!$C$1:$AQ$220,'Book Details - NO EDIT'!E$1,FALSE))</f>
        <v>LOYD</v>
      </c>
      <c r="F12" s="99" t="str">
        <f>IF(VLOOKUP($A12,'Loyd List 1-190 - Edit'!$C$1:$AQ$220,'Book Details - NO EDIT'!F$1,FALSE)="",B12,VLOOKUP($A12,'Loyd List 1-190 - Edit'!$C$1:$AQ$220,'Book Details - NO EDIT'!F$1,FALSE))</f>
        <v>William</v>
      </c>
      <c r="G12" s="140">
        <f>IF(VLOOKUP($A12,'Loyd List 1-190 - Edit'!$C$1:$AQ$220,'Book Details - NO EDIT'!G$1,FALSE)="","",VALUE(VLOOKUP($A12,'Loyd List 1-190 - Edit'!$C$1:$AQ$220,'Book Details - NO EDIT'!G$1,FALSE)))</f>
        <v>1809</v>
      </c>
      <c r="H12" s="140">
        <f>IF(VLOOKUP($A12,'Loyd List 1-190 - Edit'!$C$1:$AQ$220,'Book Details - NO EDIT'!H$1,FALSE)="","",VALUE(VLOOKUP($A12,'Loyd List 1-190 - Edit'!$C$1:$AQ$220,'Book Details - NO EDIT'!H$1,FALSE)))</f>
        <v>1879</v>
      </c>
      <c r="I12" s="141" t="str">
        <f>IF(VLOOKUP($A12,'Loyd List 1-190 - Edit'!$C$1:$AQ$220,'Book Details - NO EDIT'!I$1,FALSE)="","",(VLOOKUP($A12,'Loyd List 1-190 - Edit'!$C$1:$AQ$220,'Book Details - NO EDIT'!I$1,FALSE)))</f>
        <v>09/10/1809</v>
      </c>
      <c r="J12" s="141" t="str">
        <f>IF(VLOOKUP($A12,'Loyd List 1-190 - Edit'!$C$1:$AQ$220,'Book Details - NO EDIT'!J$1,FALSE)="","",(VLOOKUP($A12,'Loyd List 1-190 - Edit'!$C$1:$AQ$220,'Book Details - NO EDIT'!J$1,FALSE)))</f>
        <v>14/06/1879</v>
      </c>
      <c r="K12" s="100" t="str">
        <f>VLOOKUP($A12,'Loyd List 1-190 - Edit'!$C$1:$AQ$220,'Book Details - NO EDIT'!K$1,FALSE)</f>
        <v>Boy</v>
      </c>
      <c r="L12" s="140">
        <f>VLOOKUP($A12,'Loyd List 1-190 - Edit'!$C$1:$AQ$220,'Book Details - NO EDIT'!L$1,FALSE)</f>
        <v>4</v>
      </c>
      <c r="M12" s="140">
        <f t="shared" si="3"/>
        <v>1</v>
      </c>
      <c r="N12" s="140">
        <f t="shared" si="3"/>
        <v>0</v>
      </c>
      <c r="O12" s="140" t="str">
        <f t="shared" si="3"/>
        <v/>
      </c>
      <c r="P12" s="140" t="str">
        <f t="shared" si="3"/>
        <v/>
      </c>
      <c r="Q12" s="140" t="str">
        <f t="shared" si="4"/>
        <v/>
      </c>
      <c r="R12" s="140" t="str">
        <f t="shared" si="4"/>
        <v/>
      </c>
      <c r="S12" s="140" t="str">
        <f t="shared" si="5"/>
        <v/>
      </c>
      <c r="T12" s="140">
        <f t="shared" si="1"/>
        <v>2</v>
      </c>
      <c r="U12" s="139">
        <f t="shared" si="6"/>
        <v>10</v>
      </c>
      <c r="V12" s="31" t="str">
        <f t="shared" si="7"/>
        <v>William (1809–1879)</v>
      </c>
      <c r="W12" s="31" t="str">
        <f t="shared" si="8"/>
        <v>William (#10)</v>
      </c>
      <c r="X12" s="99" t="str">
        <f t="shared" si="9"/>
        <v>William (1809–1879: #10)</v>
      </c>
      <c r="Y12" s="99" t="str">
        <f t="shared" si="2"/>
        <v>William Kirkman LOYD</v>
      </c>
      <c r="Z12" s="99" t="str">
        <f t="shared" si="10"/>
        <v>William (1770–1828: #4)</v>
      </c>
      <c r="AA12" s="99" t="str">
        <f t="shared" si="17"/>
        <v xml:space="preserve">William (1770–1828: #4) William (1729–1800: #1)      </v>
      </c>
      <c r="AB12" s="142" t="str">
        <f>VLOOKUP(U12,'Siblings of those BORN Loyd'!$A$2:$G$230,7,FALSE)</f>
        <v xml:space="preserve">6 – Eliza (1810–1861: #12) Thomas (1812–1857: #14) Maria (1814–1900: #16) Edward (1815–1815: #17) John (1817–1818: #20) Lewis (1819–1841: #21)  </v>
      </c>
      <c r="AC12" s="115" t="str">
        <f>IF(ISNA(IF(K12="Boy",VLOOKUP(A12,'Siblings of those BORN Loyd'!$AP$3:$AQ$70,2,FALSE),VLOOKUP(A12,'Children of Female Loyds'!$AR$5:$AT$60,3,FALSE))),AM12,IF(K12="Boy",VLOOKUP(A12,'Siblings of those BORN Loyd'!$AP$3:$AQ$70,2,FALSE),VLOOKUP(A12,'Children of Female Loyds'!$AR$5:$AT$60,3,FALSE)))</f>
        <v>d.s.p</v>
      </c>
      <c r="AD12" s="97" t="str">
        <f t="shared" si="25"/>
        <v>d.s.p.</v>
      </c>
      <c r="AE12" s="105" t="str">
        <f>IF(ISNA(IF(K12="Boy",VLOOKUP(A12,'Grandchildren of Male Loyds'!$AQ$3:$AS$51,3,FALSE),VLOOKUP(A12,'Grandchildren of Female Loyds'!$AX$5:$AZ$63,3,FALSE))),AM12,IF(K12="Boy",VLOOKUP(A12,'Grandchildren of Male Loyds'!$AQ$3:$AS$51,3,FALSE),VLOOKUP(A12,'Grandchildren of Female Loyds'!$AX$5:$AZ$63,3,FALSE)))</f>
        <v>d.s.p</v>
      </c>
      <c r="AF12" s="105" t="str">
        <f>IF(ISNA(VLOOKUP(A12,'Grandchildren Loyd Daughters'!$BD$5:$BF$50,4,FALSE)),"",VLOOKUP(A12,'Grandchildren Loyd Daughters'!$BD$5:$BF$50,3,FALSE))</f>
        <v/>
      </c>
      <c r="AG12" s="129">
        <f>IF(ISNA(VLOOKUP(A12,'Grandchildren of Male Loyds'!$AQ$3:$AR$60,2,FALSE)),0,VLOOKUP(A12,'Grandchildren of Male Loyds'!$AQ$3:$AR$60,2,FALSE))+IF(ISNA(VLOOKUP(A12,'Grandchildren of Female Loyds'!$AX$5:$AY$50,2,FALSE)),0,VLOOKUP(A12,'Grandchildren of Female Loyds'!$AX$5:$AY$50,2,FALSE))+IF(ISNA(VLOOKUP(A12,'Grandchildren Loyd Daughters'!$BD$5:$BE$50,2,FALSE)),0,VLOOKUP(A12,'Grandchildren Loyd Daughters'!$BD$5:$BE$50,2,FALSE))</f>
        <v>0</v>
      </c>
      <c r="AH12" s="129" t="str">
        <f>VLOOKUP($U12,'Loyd List 1-190 - Edit'!$P$3:$AJ$220,21,FALSE)</f>
        <v>Martha KIRKMAN (b. 17 Nov 1775, d. 4 Feb 1857)</v>
      </c>
      <c r="AI12" s="129" t="str">
        <f>VLOOKUP(A12,'Updated Bios &amp; Spouse Details'!$A$1:$J$200,7,FALSE)</f>
        <v>Unmarried</v>
      </c>
      <c r="AJ12" s="130" t="str">
        <f>IF(VLOOKUP($A12,'Loyd List 1-190 - Edit'!$C$1:$AQ$220,'Book Details - NO EDIT'!AJ$1,FALSE)="","",(VLOOKUP($A12,'Loyd List 1-190 - Edit'!$C$1:$AQ$220,'Book Details - NO EDIT'!AJ$1,FALSE)))</f>
        <v xml:space="preserve"> -</v>
      </c>
      <c r="AK12" s="129" t="str">
        <f>VLOOKUP(A12,'Updated Bios &amp; Spouse Details'!$A$1:$J$200,8,FALSE)</f>
        <v xml:space="preserve"> -</v>
      </c>
      <c r="AL12" s="131" t="str">
        <f>VLOOKUP(A12,'Updated Bios &amp; Spouse Details'!$A$1:$J$200,5,FALSE)</f>
        <v>Eldest son of William LOYD (1770–1828: #4) of 7 Bread Street, Cheapside, London EC2. Born 9 Oct 1809. Educated at the Charterhouse in London. Appointed a student at Addiscombe, the East India Company’s military college in Surrey in Jan 1824. Commissioned 2nd Lieutenant 18 Dec 1825. Sailed for Madras 8 Mar 1826, arrived 12 Jul 1826 (aged 16). Joined 3rd Battalion, Madras Artillery. Promoted Lieutenant 6 Aug 1827. Acting Staff Officer 1828/29. Adjutant, 2nd Battalion Sep 1831-Jan 1835. D Troop, Horse Brigade Jan 1835-Oct 1838. Appointed to Artillery of Nizam of Hyderabad Oct 1838. Gazetted Captain 1840. Active Service in 1841, 1849 and 1851. Gazetted Major Nov 1851. Active service in 1853. Retired with rank of Lieut Colonel, Madras Artillery 1854. Departed India 30 Aug 1854. Arrived London after 28 years service 20 Oct 1854. Became guardian of the seven young children of his brother Thomas Kirkman LOYD (1812–57: #14), killed in Indian Mutiny. He lived at: 17 Marlborough Place, St John’s Wood, London NW8. 1854-57; Brighton and elsewhere (1857-1860; 30 Leinster Square, London W2. (1860-64); 7 Gloucester Place, London. (1864-66); 45 Dover St, London W1. (1866-74); 7 Broadwater Down, Tunbridge Wells, Kent. (1874-79). William died, unmarried, 14 Jun 1879 and was buried 21 Jun 1879 in the Tunbridge Wells Cemetery. DSP Portrait by Eden Upton EDDIS in possession of Peter Haig LOYD (1922–2022: #98) until passed to William (1973– : #155). “After the Colonel had served continuously in the tropics for more than a quarter of a century, his health began to fail. In the autumn of 1853 he was granted, on medical recommendation, eight months leave of absence for the purpose of taking a sea voyage, and obtaining a change of air which, it was hoped, would restore his health. On the 1 Nov 1853 he started his eight months’ sick leave, and saw a railway train for the first time in his life at Bombay in the middle of the month. From Bombay he went to Ceylon where he met his brother, T K Loyd - my grandfather. They travelled together by sea to Calcutta where they remained for a short time. The Colonel returned alone by sea to Bombay, and went from there to Mahabaleshwar where he remained for three months. As might perhaps be expected, this continued sojourn in the tropics failed to restore him to health, and he had to leave India. He retired from the service with the rank and pension of a Lieut. Colonel. On 30 Aug 1854, he left Bombay by steamship for Suez. Thence he proceeded by the overland route to Alexandria where he embarked on an Austrian Lloyd steamer for Trieste. From there he travelled, by Venice, across Europe by train and diligence, reaching London on 20 Oct 1854 after twenty-eight years’ absence. To return to England in middle life with impaired health after an uninterrupted spell of service in India, seems to have been quite usual in those days. In order to understand properly the Colonel’s papers it is necessary to go back a little. His father, William (1809–1879: #4), was the only one of the four brothers who came from Wales in search of fortune to fail in business [and as a result of which] his brothers had assisted him and his family. When the Colonel returned from India, his surviving uncles were old men, and their sons and daughters thoroughly well established in England. His English diaries are very interesting because he moved about so much and had so many friends. One of the points which impresses...is the genius he possessed for enjoying the friendship of people of widely varying circumstances and interests. In spite of troubles and bereavements, not very good health and the inherent loneliness of the man with no family of his own, he must have had some very happy times: discovering his native Islands; constantly staying in the country houses of his relatives and friends; frequently travelling abroad; hunting and shooting a little in England; always helping those around him and delighting in their affection; and meeting through the Overstones and others much that was distinguished and interesting in English life. For his mind, informed by wide reading and by constant travel, his delightful personality and his innate goodness gave him the key to many worlds. The Colonel never married and the chief concern of his life became the guardianship of the seven children of his brother, my grandfather, who perished in the Indian Mutiny, leaving a widow and young family. The Colonel assumed a father’s responsibility to them and carried out this labour of love with unswerving devotion and unselfishness. In return he possessed their deep affection and lived to see them grow up and start in the professions he was at such pains to help them enter. Lord Overstone and his cousins stood behind the little group with their wise and generous support. The very difficult and delicate task of negotiating between the young family of his dead brother and his wealthy cousins devolved upon the Colonel. It is impossible to read [his] diaries without noticing the exceeding kindness of these cousins to the Colonel’s ‘wards’; not only financially but in other ways as well. All [these] circumstances....combined to save the Colonel from the lonely years in England that so often awaited men who had spent their youth and their health in India. His restlessness is manifested by his frequent changes of abode, as well as by his love of movement” - from notes of Reggie (1886–1961: #61).</v>
      </c>
      <c r="AM12" s="105" t="str">
        <f>IF(AND(LEN(H12)&gt;0,ISNA(IF(K12="Boy",VLOOKUP(A12,'Siblings of those BORN Loyd'!$AP$3:$AQ$70,2,FALSE),VLOOKUP(A12,'Children of Female Loyds'!$AR$5:$AS$60,2,FALSE)))),"d.s.p","")</f>
        <v>d.s.p</v>
      </c>
      <c r="AN12" s="99" t="str">
        <f t="shared" si="12"/>
        <v>William (1770–1828: #4)</v>
      </c>
      <c r="AO12" s="99" t="str">
        <f t="shared" si="18"/>
        <v>William (1729–1800: #1)</v>
      </c>
      <c r="AP12" s="99" t="str">
        <f t="shared" si="19"/>
        <v/>
      </c>
      <c r="AQ12" s="99" t="str">
        <f t="shared" si="20"/>
        <v/>
      </c>
      <c r="AR12" s="99" t="str">
        <f t="shared" si="21"/>
        <v/>
      </c>
      <c r="AS12" s="99" t="str">
        <f t="shared" si="22"/>
        <v/>
      </c>
      <c r="AT12" s="99" t="str">
        <f t="shared" si="23"/>
        <v/>
      </c>
      <c r="AU12" s="99" t="str">
        <f t="shared" si="24"/>
        <v/>
      </c>
      <c r="AW12" s="116" t="str">
        <f>VLOOKUP(A12,'Updated Bios &amp; Spouse Details'!$A$1:$J$193,6,FALSE)</f>
        <v>England &amp; India</v>
      </c>
      <c r="AX12" s="131">
        <f>VLOOKUP($A12,'Loyd List 1-190 - Edit'!$P$2:$AQ$220,AX$1,FALSE)</f>
        <v>10</v>
      </c>
      <c r="AY12" s="116" t="str">
        <f>IF(ISNA(VLOOKUP(A12,'Data check lookup table'!$G$2:$V$73,13,FALSE))," - ",VLOOKUP(A12,'Data check lookup table'!$G$2:$V$73,13,FALSE))</f>
        <v xml:space="preserve"> - </v>
      </c>
      <c r="AZ12" s="147" t="str">
        <f t="shared" si="14"/>
        <v>14/06/1879</v>
      </c>
      <c r="BA12" s="99" t="str">
        <f t="shared" si="15"/>
        <v/>
      </c>
      <c r="BB12" s="99" t="str">
        <f t="shared" si="16"/>
        <v/>
      </c>
      <c r="BI12" s="147" t="s">
        <v>997</v>
      </c>
    </row>
    <row r="13" spans="1:61" s="99" customFormat="1" ht="85">
      <c r="A13" s="139">
        <f>'Loyd List 1-190 - Edit'!C13</f>
        <v>11</v>
      </c>
      <c r="B13" s="99" t="str">
        <f>VLOOKUP($A13,'Loyd List 1-190 - Edit'!$C$1:$AQ$220,'Book Details - NO EDIT'!B$1,FALSE)</f>
        <v>Sarah</v>
      </c>
      <c r="C13" s="99" t="str">
        <f>IF(VLOOKUP($A13,'Loyd List 1-190 - Edit'!$C$1:$AQ$220,'Book Details - NO EDIT'!C$1,FALSE)="","",VLOOKUP($A13,'Loyd List 1-190 - Edit'!$C$1:$AQ$220,'Book Details - NO EDIT'!C$1,FALSE))</f>
        <v/>
      </c>
      <c r="D13" s="99" t="str">
        <f>IF(VLOOKUP($A13,'Loyd List 1-190 - Edit'!$C$1:$AQ$220,'Book Details - NO EDIT'!D$1,FALSE)="","",VLOOKUP($A13,'Loyd List 1-190 - Edit'!$C$1:$AQ$220,'Book Details - NO EDIT'!D$1,FALSE))</f>
        <v/>
      </c>
      <c r="E13" s="99" t="str">
        <f>IF(VLOOKUP($A13,'Loyd List 1-190 - Edit'!$C$1:$AQ$220,'Book Details - NO EDIT'!E$1,FALSE)="","",VLOOKUP($A13,'Loyd List 1-190 - Edit'!$C$1:$AQ$220,'Book Details - NO EDIT'!E$1,FALSE))</f>
        <v>LOYD</v>
      </c>
      <c r="F13" s="99" t="str">
        <f>IF(VLOOKUP($A13,'Loyd List 1-190 - Edit'!$C$1:$AQ$220,'Book Details - NO EDIT'!F$1,FALSE)="",B13,VLOOKUP($A13,'Loyd List 1-190 - Edit'!$C$1:$AQ$220,'Book Details - NO EDIT'!F$1,FALSE))</f>
        <v>Sarah</v>
      </c>
      <c r="G13" s="140">
        <f>IF(VLOOKUP($A13,'Loyd List 1-190 - Edit'!$C$1:$AQ$220,'Book Details - NO EDIT'!G$1,FALSE)="","",VALUE(VLOOKUP($A13,'Loyd List 1-190 - Edit'!$C$1:$AQ$220,'Book Details - NO EDIT'!G$1,FALSE)))</f>
        <v>1810</v>
      </c>
      <c r="H13" s="140">
        <f>IF(VLOOKUP($A13,'Loyd List 1-190 - Edit'!$C$1:$AQ$220,'Book Details - NO EDIT'!H$1,FALSE)="","",VALUE(VLOOKUP($A13,'Loyd List 1-190 - Edit'!$C$1:$AQ$220,'Book Details - NO EDIT'!H$1,FALSE)))</f>
        <v>1858</v>
      </c>
      <c r="I13" s="141" t="str">
        <f>IF(VLOOKUP($A13,'Loyd List 1-190 - Edit'!$C$1:$AQ$220,'Book Details - NO EDIT'!I$1,FALSE)="","",(VLOOKUP($A13,'Loyd List 1-190 - Edit'!$C$1:$AQ$220,'Book Details - NO EDIT'!I$1,FALSE)))</f>
        <v>30/05/1810</v>
      </c>
      <c r="J13" s="141" t="str">
        <f>IF(VLOOKUP($A13,'Loyd List 1-190 - Edit'!$C$1:$AQ$220,'Book Details - NO EDIT'!J$1,FALSE)="","",(VLOOKUP($A13,'Loyd List 1-190 - Edit'!$C$1:$AQ$220,'Book Details - NO EDIT'!J$1,FALSE)))</f>
        <v>15/06/1858</v>
      </c>
      <c r="K13" s="100" t="str">
        <f>VLOOKUP($A13,'Loyd List 1-190 - Edit'!$C$1:$AQ$220,'Book Details - NO EDIT'!K$1,FALSE)</f>
        <v>Girl</v>
      </c>
      <c r="L13" s="140">
        <f>VLOOKUP($A13,'Loyd List 1-190 - Edit'!$C$1:$AQ$220,'Book Details - NO EDIT'!L$1,FALSE)</f>
        <v>8</v>
      </c>
      <c r="M13" s="140">
        <f t="shared" si="3"/>
        <v>1</v>
      </c>
      <c r="N13" s="140">
        <f t="shared" si="3"/>
        <v>0</v>
      </c>
      <c r="O13" s="140" t="str">
        <f t="shared" si="3"/>
        <v/>
      </c>
      <c r="P13" s="140" t="str">
        <f t="shared" si="3"/>
        <v/>
      </c>
      <c r="Q13" s="140" t="str">
        <f t="shared" si="4"/>
        <v/>
      </c>
      <c r="R13" s="140" t="str">
        <f t="shared" si="4"/>
        <v/>
      </c>
      <c r="S13" s="140" t="str">
        <f t="shared" si="5"/>
        <v/>
      </c>
      <c r="T13" s="140">
        <f t="shared" si="1"/>
        <v>2</v>
      </c>
      <c r="U13" s="139">
        <f t="shared" si="6"/>
        <v>11</v>
      </c>
      <c r="V13" s="31" t="str">
        <f t="shared" si="7"/>
        <v>Sarah (1810–1858)</v>
      </c>
      <c r="W13" s="31" t="str">
        <f t="shared" si="8"/>
        <v>Sarah (#11)</v>
      </c>
      <c r="X13" s="99" t="str">
        <f t="shared" si="9"/>
        <v>Sarah (1810–1858: #11)</v>
      </c>
      <c r="Y13" s="99" t="str">
        <f t="shared" si="2"/>
        <v>Sarah LOYD</v>
      </c>
      <c r="Z13" s="99" t="str">
        <f t="shared" si="10"/>
        <v>Edward (1780–1863: #8)</v>
      </c>
      <c r="AA13" s="99" t="str">
        <f t="shared" si="17"/>
        <v xml:space="preserve">Edward (1780–1863: #8) William (1729–1800: #1)      </v>
      </c>
      <c r="AB13" s="142" t="str">
        <f>VLOOKUP(U13,'Siblings of those BORN Loyd'!$A$2:$G$230,7,FALSE)</f>
        <v xml:space="preserve">7 – Lewis (1811–1891: #13) Annie (1813–1834: #15) Kate (1815–1905: #18) Hannah (1817–1907: #19) Edward (1820–1890: #22) William (1821–1885: #23) Fanny (1824–1856: #24) </v>
      </c>
      <c r="AC13" s="115" t="str">
        <f>IF(ISNA(IF(K13="Boy",VLOOKUP(A13,'Siblings of those BORN Loyd'!$AP$3:$AQ$70,2,FALSE),VLOOKUP(A13,'Children of Female Loyds'!$AR$5:$AT$60,3,FALSE))),AM13,IF(K13="Boy",VLOOKUP(A13,'Siblings of those BORN Loyd'!$AP$3:$AQ$70,2,FALSE),VLOOKUP(A13,'Children of Female Loyds'!$AR$5:$AT$60,3,FALSE)))</f>
        <v xml:space="preserve">5 - Emma BENYON (1838 - 1913: #11a) Sarah BENYON (1839 - 1863: #11b) Henry BENYON (1841 - 1861: #11c) Fanny BENYON (1842 - 1845: #11d) Edward BENYON (1845 - 1903: #11e)   </v>
      </c>
      <c r="AD13" s="97" t="str">
        <f t="shared" si="25"/>
        <v>-</v>
      </c>
      <c r="AE13" s="105" t="str">
        <f>IF(ISNA(IF(K13="Boy",VLOOKUP(A13,'Grandchildren of Male Loyds'!$AQ$3:$AS$51,3,FALSE),VLOOKUP(A13,'Grandchildren of Female Loyds'!$AX$5:$AZ$63,3,FALSE))),AM13,IF(K13="Boy",VLOOKUP(A13,'Grandchildren of Male Loyds'!$AQ$3:$AS$51,3,FALSE),VLOOKUP(A13,'Grandchildren of Female Loyds'!$AX$5:$AZ$63,3,FALSE)))</f>
        <v/>
      </c>
      <c r="AF13" s="105" t="str">
        <f>IF(ISNA(VLOOKUP(A13,'Grandchildren Loyd Daughters'!$BD$5:$BF$50,4,FALSE)),"",VLOOKUP(A13,'Grandchildren Loyd Daughters'!$BD$5:$BF$50,3,FALSE))</f>
        <v/>
      </c>
      <c r="AG13" s="129">
        <f>IF(ISNA(VLOOKUP(A13,'Grandchildren of Male Loyds'!$AQ$3:$AR$60,2,FALSE)),0,VLOOKUP(A13,'Grandchildren of Male Loyds'!$AQ$3:$AR$60,2,FALSE))+IF(ISNA(VLOOKUP(A13,'Grandchildren of Female Loyds'!$AX$5:$AY$50,2,FALSE)),0,VLOOKUP(A13,'Grandchildren of Female Loyds'!$AX$5:$AY$50,2,FALSE))+IF(ISNA(VLOOKUP(A13,'Grandchildren Loyd Daughters'!$BD$5:$BE$50,2,FALSE)),0,VLOOKUP(A13,'Grandchildren Loyd Daughters'!$BD$5:$BE$50,2,FALSE))</f>
        <v>0</v>
      </c>
      <c r="AH13" s="129" t="str">
        <f>VLOOKUP($U13,'Loyd List 1-190 - Edit'!$P$3:$AJ$220,21,FALSE)</f>
        <v>Sarah TAYLOR (b.5 Jul 1785, d. 19 Jan 1863)</v>
      </c>
      <c r="AI13" s="129" t="str">
        <f>VLOOKUP(A13,'Updated Bios &amp; Spouse Details'!$A$1:$J$200,7,FALSE)</f>
        <v>Henry Bombonus BENYON (b. 3 Mar 1806, d. 25 Feb 1849)</v>
      </c>
      <c r="AJ13" s="130" t="str">
        <f>IF(VLOOKUP($A13,'Loyd List 1-190 - Edit'!$C$1:$AQ$220,'Book Details - NO EDIT'!AJ$1,FALSE)="","",(VLOOKUP($A13,'Loyd List 1-190 - Edit'!$C$1:$AQ$220,'Book Details - NO EDIT'!AJ$1,FALSE)))</f>
        <v>01/10/1835</v>
      </c>
      <c r="AK13" s="129" t="str">
        <f>VLOOKUP(A13,'Updated Bios &amp; Spouse Details'!$A$1:$J$200,8,FALSE)</f>
        <v>Married Henry at the Collegiate Church, Manchester (later Manchester Cathedral). Henry buried with his daughter, Fanny, in a vault at Roundhay Church) of Roundhay Lodge, Leeds.</v>
      </c>
      <c r="AL13" s="131" t="str">
        <f>VLOOKUP(A13,'Updated Bios &amp; Spouse Details'!$A$1:$J$200,5,FALSE)</f>
        <v>Sarah was the eldest daughter of Edward (1780–1863: #8) of Coombe House, Coombe Lane, Croydon, Surrey. Born 30 May 1810.  Died 15 Jun 1858, buried at Hollington, Nr. Hastings, Sussex. Roddy SALE (#97d), in 2022, has portrait of Sarah BENYON (1839 – 1863: #11b). Issue: 3 daughters, 2 sons.</v>
      </c>
      <c r="AM13" s="105" t="str">
        <f>IF(AND(LEN(H13)&gt;0,ISNA(IF(K13="Boy",VLOOKUP(A13,'Siblings of those BORN Loyd'!$AP$3:$AQ$70,2,FALSE),VLOOKUP(A13,'Children of Female Loyds'!$AR$5:$AS$60,2,FALSE)))),"d.s.p","")</f>
        <v/>
      </c>
      <c r="AN13" s="99" t="str">
        <f t="shared" si="12"/>
        <v>Edward (1780–1863: #8)</v>
      </c>
      <c r="AO13" s="99" t="str">
        <f t="shared" si="18"/>
        <v>William (1729–1800: #1)</v>
      </c>
      <c r="AP13" s="99" t="str">
        <f t="shared" si="19"/>
        <v/>
      </c>
      <c r="AQ13" s="99" t="str">
        <f t="shared" si="20"/>
        <v/>
      </c>
      <c r="AR13" s="99" t="str">
        <f t="shared" si="21"/>
        <v/>
      </c>
      <c r="AS13" s="99" t="str">
        <f t="shared" si="22"/>
        <v/>
      </c>
      <c r="AT13" s="99" t="str">
        <f t="shared" si="23"/>
        <v/>
      </c>
      <c r="AU13" s="99" t="str">
        <f t="shared" si="24"/>
        <v/>
      </c>
      <c r="AW13" s="116" t="str">
        <f>VLOOKUP(A13,'Updated Bios &amp; Spouse Details'!$A$1:$J$193,6,FALSE)</f>
        <v>England</v>
      </c>
      <c r="AX13" s="131">
        <f>VLOOKUP($A13,'Loyd List 1-190 - Edit'!$P$2:$AQ$220,AX$1,FALSE)</f>
        <v>11</v>
      </c>
      <c r="AY13" s="116" t="str">
        <f>IF(ISNA(VLOOKUP(A13,'Data check lookup table'!$G$2:$V$73,13,FALSE))," - ",VLOOKUP(A13,'Data check lookup table'!$G$2:$V$73,13,FALSE))</f>
        <v xml:space="preserve"> - </v>
      </c>
      <c r="AZ13" s="147" t="str">
        <f t="shared" si="14"/>
        <v>15/06/1858</v>
      </c>
      <c r="BA13" s="99" t="str">
        <f t="shared" si="15"/>
        <v/>
      </c>
      <c r="BB13" s="99" t="str">
        <f t="shared" si="16"/>
        <v/>
      </c>
      <c r="BI13" s="147" t="s">
        <v>1001</v>
      </c>
    </row>
    <row r="14" spans="1:61" s="99" customFormat="1" ht="34">
      <c r="A14" s="139">
        <f>'Loyd List 1-190 - Edit'!C14</f>
        <v>12</v>
      </c>
      <c r="B14" s="99" t="str">
        <f>VLOOKUP($A14,'Loyd List 1-190 - Edit'!$C$1:$AQ$220,'Book Details - NO EDIT'!B$1,FALSE)</f>
        <v>Eliza</v>
      </c>
      <c r="C14" s="99" t="str">
        <f>IF(VLOOKUP($A14,'Loyd List 1-190 - Edit'!$C$1:$AQ$220,'Book Details - NO EDIT'!C$1,FALSE)="","",VLOOKUP($A14,'Loyd List 1-190 - Edit'!$C$1:$AQ$220,'Book Details - NO EDIT'!C$1,FALSE))</f>
        <v/>
      </c>
      <c r="D14" s="99" t="str">
        <f>IF(VLOOKUP($A14,'Loyd List 1-190 - Edit'!$C$1:$AQ$220,'Book Details - NO EDIT'!D$1,FALSE)="","",VLOOKUP($A14,'Loyd List 1-190 - Edit'!$C$1:$AQ$220,'Book Details - NO EDIT'!D$1,FALSE))</f>
        <v/>
      </c>
      <c r="E14" s="99" t="str">
        <f>IF(VLOOKUP($A14,'Loyd List 1-190 - Edit'!$C$1:$AQ$220,'Book Details - NO EDIT'!E$1,FALSE)="","",VLOOKUP($A14,'Loyd List 1-190 - Edit'!$C$1:$AQ$220,'Book Details - NO EDIT'!E$1,FALSE))</f>
        <v>LOYD</v>
      </c>
      <c r="F14" s="99" t="str">
        <f>IF(VLOOKUP($A14,'Loyd List 1-190 - Edit'!$C$1:$AQ$220,'Book Details - NO EDIT'!F$1,FALSE)="",B14,VLOOKUP($A14,'Loyd List 1-190 - Edit'!$C$1:$AQ$220,'Book Details - NO EDIT'!F$1,FALSE))</f>
        <v>Eliza</v>
      </c>
      <c r="G14" s="140">
        <f>IF(VLOOKUP($A14,'Loyd List 1-190 - Edit'!$C$1:$AQ$220,'Book Details - NO EDIT'!G$1,FALSE)="","",VALUE(VLOOKUP($A14,'Loyd List 1-190 - Edit'!$C$1:$AQ$220,'Book Details - NO EDIT'!G$1,FALSE)))</f>
        <v>1810</v>
      </c>
      <c r="H14" s="140">
        <f>IF(VLOOKUP($A14,'Loyd List 1-190 - Edit'!$C$1:$AQ$220,'Book Details - NO EDIT'!H$1,FALSE)="","",VALUE(VLOOKUP($A14,'Loyd List 1-190 - Edit'!$C$1:$AQ$220,'Book Details - NO EDIT'!H$1,FALSE)))</f>
        <v>1861</v>
      </c>
      <c r="I14" s="141" t="str">
        <f>IF(VLOOKUP($A14,'Loyd List 1-190 - Edit'!$C$1:$AQ$220,'Book Details - NO EDIT'!I$1,FALSE)="","",(VLOOKUP($A14,'Loyd List 1-190 - Edit'!$C$1:$AQ$220,'Book Details - NO EDIT'!I$1,FALSE)))</f>
        <v>30/11/1810</v>
      </c>
      <c r="J14" s="141" t="str">
        <f>IF(VLOOKUP($A14,'Loyd List 1-190 - Edit'!$C$1:$AQ$220,'Book Details - NO EDIT'!J$1,FALSE)="","",(VLOOKUP($A14,'Loyd List 1-190 - Edit'!$C$1:$AQ$220,'Book Details - NO EDIT'!J$1,FALSE)))</f>
        <v>03/10/1861</v>
      </c>
      <c r="K14" s="100" t="str">
        <f>VLOOKUP($A14,'Loyd List 1-190 - Edit'!$C$1:$AQ$220,'Book Details - NO EDIT'!K$1,FALSE)</f>
        <v>Girl</v>
      </c>
      <c r="L14" s="140">
        <f>VLOOKUP($A14,'Loyd List 1-190 - Edit'!$C$1:$AQ$220,'Book Details - NO EDIT'!L$1,FALSE)</f>
        <v>4</v>
      </c>
      <c r="M14" s="140">
        <f t="shared" si="3"/>
        <v>1</v>
      </c>
      <c r="N14" s="140">
        <f t="shared" si="3"/>
        <v>0</v>
      </c>
      <c r="O14" s="140" t="str">
        <f t="shared" si="3"/>
        <v/>
      </c>
      <c r="P14" s="140" t="str">
        <f t="shared" si="3"/>
        <v/>
      </c>
      <c r="Q14" s="140" t="str">
        <f t="shared" si="4"/>
        <v/>
      </c>
      <c r="R14" s="140" t="str">
        <f t="shared" si="4"/>
        <v/>
      </c>
      <c r="S14" s="140" t="str">
        <f t="shared" si="5"/>
        <v/>
      </c>
      <c r="T14" s="140">
        <f t="shared" si="1"/>
        <v>2</v>
      </c>
      <c r="U14" s="139">
        <f t="shared" si="6"/>
        <v>12</v>
      </c>
      <c r="V14" s="31" t="str">
        <f t="shared" si="7"/>
        <v>Eliza (1810–1861)</v>
      </c>
      <c r="W14" s="31" t="str">
        <f t="shared" si="8"/>
        <v>Eliza (#12)</v>
      </c>
      <c r="X14" s="99" t="str">
        <f t="shared" si="9"/>
        <v>Eliza (1810–1861: #12)</v>
      </c>
      <c r="Y14" s="99" t="str">
        <f t="shared" si="2"/>
        <v>Eliza LOYD</v>
      </c>
      <c r="Z14" s="99" t="str">
        <f t="shared" si="10"/>
        <v>William (1770–1828: #4)</v>
      </c>
      <c r="AA14" s="99" t="str">
        <f t="shared" si="17"/>
        <v xml:space="preserve">William (1770–1828: #4) William (1729–1800: #1)      </v>
      </c>
      <c r="AB14" s="142" t="str">
        <f>VLOOKUP(U14,'Siblings of those BORN Loyd'!$A$2:$G$230,7,FALSE)</f>
        <v xml:space="preserve">6 – William (1809–1879: #10)  Thomas (1812–1857: #14) Maria (1814–1900: #16) Edward (1815–1815: #17) John (1817–1818: #20) Lewis (1819–1841: #21)  </v>
      </c>
      <c r="AC14" s="115" t="str">
        <f>IF(ISNA(IF(K14="Boy",VLOOKUP(A14,'Siblings of those BORN Loyd'!$AP$3:$AQ$70,2,FALSE),VLOOKUP(A14,'Children of Female Loyds'!$AR$5:$AT$60,3,FALSE))),AM14,IF(K14="Boy",VLOOKUP(A14,'Siblings of those BORN Loyd'!$AP$3:$AQ$70,2,FALSE),VLOOKUP(A14,'Children of Female Loyds'!$AR$5:$AT$60,3,FALSE)))</f>
        <v>d.s.p</v>
      </c>
      <c r="AD14" s="97" t="str">
        <f t="shared" si="25"/>
        <v>d.s.p.</v>
      </c>
      <c r="AE14" s="105" t="str">
        <f>IF(ISNA(IF(K14="Boy",VLOOKUP(A14,'Grandchildren of Male Loyds'!$AQ$3:$AS$51,3,FALSE),VLOOKUP(A14,'Grandchildren of Female Loyds'!$AX$5:$AZ$63,3,FALSE))),AM14,IF(K14="Boy",VLOOKUP(A14,'Grandchildren of Male Loyds'!$AQ$3:$AS$51,3,FALSE),VLOOKUP(A14,'Grandchildren of Female Loyds'!$AX$5:$AZ$63,3,FALSE)))</f>
        <v>d.s.p</v>
      </c>
      <c r="AF14" s="105" t="str">
        <f>IF(ISNA(VLOOKUP(A14,'Grandchildren Loyd Daughters'!$BD$5:$BF$50,4,FALSE)),"",VLOOKUP(A14,'Grandchildren Loyd Daughters'!$BD$5:$BF$50,3,FALSE))</f>
        <v/>
      </c>
      <c r="AG14" s="129">
        <f>IF(ISNA(VLOOKUP(A14,'Grandchildren of Male Loyds'!$AQ$3:$AR$60,2,FALSE)),0,VLOOKUP(A14,'Grandchildren of Male Loyds'!$AQ$3:$AR$60,2,FALSE))+IF(ISNA(VLOOKUP(A14,'Grandchildren of Female Loyds'!$AX$5:$AY$50,2,FALSE)),0,VLOOKUP(A14,'Grandchildren of Female Loyds'!$AX$5:$AY$50,2,FALSE))+IF(ISNA(VLOOKUP(A14,'Grandchildren Loyd Daughters'!$BD$5:$BE$50,2,FALSE)),0,VLOOKUP(A14,'Grandchildren Loyd Daughters'!$BD$5:$BE$50,2,FALSE))</f>
        <v>0</v>
      </c>
      <c r="AH14" s="129" t="str">
        <f>VLOOKUP($U14,'Loyd List 1-190 - Edit'!$P$3:$AJ$220,21,FALSE)</f>
        <v>Martha KIRKMAN (b. 17 Nov 1775, d. 4 Feb 1857)</v>
      </c>
      <c r="AI14" s="129" t="str">
        <f>VLOOKUP(A14,'Updated Bios &amp; Spouse Details'!$A$1:$J$200,7,FALSE)</f>
        <v>Unmarried</v>
      </c>
      <c r="AJ14" s="130" t="str">
        <f>IF(VLOOKUP($A14,'Loyd List 1-190 - Edit'!$C$1:$AQ$220,'Book Details - NO EDIT'!AJ$1,FALSE)="","",(VLOOKUP($A14,'Loyd List 1-190 - Edit'!$C$1:$AQ$220,'Book Details - NO EDIT'!AJ$1,FALSE)))</f>
        <v xml:space="preserve"> -</v>
      </c>
      <c r="AK14" s="129" t="str">
        <f>VLOOKUP(A14,'Updated Bios &amp; Spouse Details'!$A$1:$J$200,8,FALSE)</f>
        <v xml:space="preserve"> -</v>
      </c>
      <c r="AL14" s="131" t="str">
        <f>VLOOKUP(A14,'Updated Bios &amp; Spouse Details'!$A$1:$J$200,5,FALSE)</f>
        <v xml:space="preserve">Eliza was the elder daughter of William  (1770–1828: #4) of 7 Bread Street, Cheapside, London EC2. Born 30 Nov 1810. Died, unmarried, 3 Oct 1861 at 30 Leinster Square, London W2. DSP   </v>
      </c>
      <c r="AM14" s="105" t="str">
        <f>IF(AND(LEN(H14)&gt;0,ISNA(IF(K14="Boy",VLOOKUP(A14,'Siblings of those BORN Loyd'!$AP$3:$AQ$70,2,FALSE),VLOOKUP(A14,'Children of Female Loyds'!$AR$5:$AS$60,2,FALSE)))),"d.s.p","")</f>
        <v>d.s.p</v>
      </c>
      <c r="AN14" s="99" t="str">
        <f t="shared" si="12"/>
        <v>William (1770–1828: #4)</v>
      </c>
      <c r="AO14" s="99" t="str">
        <f t="shared" si="18"/>
        <v>William (1729–1800: #1)</v>
      </c>
      <c r="AP14" s="99" t="str">
        <f t="shared" si="19"/>
        <v/>
      </c>
      <c r="AQ14" s="99" t="str">
        <f t="shared" si="20"/>
        <v/>
      </c>
      <c r="AR14" s="99" t="str">
        <f t="shared" si="21"/>
        <v/>
      </c>
      <c r="AS14" s="99" t="str">
        <f t="shared" si="22"/>
        <v/>
      </c>
      <c r="AT14" s="99" t="str">
        <f t="shared" si="23"/>
        <v/>
      </c>
      <c r="AU14" s="99" t="str">
        <f t="shared" si="24"/>
        <v/>
      </c>
      <c r="AW14" s="116" t="str">
        <f>VLOOKUP(A14,'Updated Bios &amp; Spouse Details'!$A$1:$J$193,6,FALSE)</f>
        <v>England</v>
      </c>
      <c r="AX14" s="131">
        <f>VLOOKUP($A14,'Loyd List 1-190 - Edit'!$P$2:$AQ$220,AX$1,FALSE)</f>
        <v>12</v>
      </c>
      <c r="AY14" s="116" t="str">
        <f>IF(ISNA(VLOOKUP(A14,'Data check lookup table'!$G$2:$V$73,13,FALSE))," - ",VLOOKUP(A14,'Data check lookup table'!$G$2:$V$73,13,FALSE))</f>
        <v xml:space="preserve"> - </v>
      </c>
      <c r="AZ14" s="147" t="str">
        <f t="shared" si="14"/>
        <v>03/10/1861</v>
      </c>
      <c r="BA14" s="99" t="str">
        <f t="shared" si="15"/>
        <v/>
      </c>
      <c r="BB14" s="99" t="str">
        <f t="shared" si="16"/>
        <v/>
      </c>
      <c r="BI14" s="147" t="s">
        <v>1004</v>
      </c>
    </row>
    <row r="15" spans="1:61" s="99" customFormat="1" ht="102">
      <c r="A15" s="139">
        <f>'Loyd List 1-190 - Edit'!C15</f>
        <v>13</v>
      </c>
      <c r="B15" s="99" t="str">
        <f>VLOOKUP($A15,'Loyd List 1-190 - Edit'!$C$1:$AQ$220,'Book Details - NO EDIT'!B$1,FALSE)</f>
        <v>Lewis</v>
      </c>
      <c r="C15" s="99" t="str">
        <f>IF(VLOOKUP($A15,'Loyd List 1-190 - Edit'!$C$1:$AQ$220,'Book Details - NO EDIT'!C$1,FALSE)="","",VLOOKUP($A15,'Loyd List 1-190 - Edit'!$C$1:$AQ$220,'Book Details - NO EDIT'!C$1,FALSE))</f>
        <v/>
      </c>
      <c r="D15" s="99" t="str">
        <f>IF(VLOOKUP($A15,'Loyd List 1-190 - Edit'!$C$1:$AQ$220,'Book Details - NO EDIT'!D$1,FALSE)="","",VLOOKUP($A15,'Loyd List 1-190 - Edit'!$C$1:$AQ$220,'Book Details - NO EDIT'!D$1,FALSE))</f>
        <v/>
      </c>
      <c r="E15" s="99" t="str">
        <f>IF(VLOOKUP($A15,'Loyd List 1-190 - Edit'!$C$1:$AQ$220,'Book Details - NO EDIT'!E$1,FALSE)="","",VLOOKUP($A15,'Loyd List 1-190 - Edit'!$C$1:$AQ$220,'Book Details - NO EDIT'!E$1,FALSE))</f>
        <v>LOYD</v>
      </c>
      <c r="F15" s="99" t="str">
        <f>IF(VLOOKUP($A15,'Loyd List 1-190 - Edit'!$C$1:$AQ$220,'Book Details - NO EDIT'!F$1,FALSE)="",B15,VLOOKUP($A15,'Loyd List 1-190 - Edit'!$C$1:$AQ$220,'Book Details - NO EDIT'!F$1,FALSE))</f>
        <v>Lewis</v>
      </c>
      <c r="G15" s="140">
        <f>IF(VLOOKUP($A15,'Loyd List 1-190 - Edit'!$C$1:$AQ$220,'Book Details - NO EDIT'!G$1,FALSE)="","",VALUE(VLOOKUP($A15,'Loyd List 1-190 - Edit'!$C$1:$AQ$220,'Book Details - NO EDIT'!G$1,FALSE)))</f>
        <v>1811</v>
      </c>
      <c r="H15" s="140">
        <f>IF(VLOOKUP($A15,'Loyd List 1-190 - Edit'!$C$1:$AQ$220,'Book Details - NO EDIT'!H$1,FALSE)="","",VALUE(VLOOKUP($A15,'Loyd List 1-190 - Edit'!$C$1:$AQ$220,'Book Details - NO EDIT'!H$1,FALSE)))</f>
        <v>1891</v>
      </c>
      <c r="I15" s="141" t="str">
        <f>IF(VLOOKUP($A15,'Loyd List 1-190 - Edit'!$C$1:$AQ$220,'Book Details - NO EDIT'!I$1,FALSE)="","",(VLOOKUP($A15,'Loyd List 1-190 - Edit'!$C$1:$AQ$220,'Book Details - NO EDIT'!I$1,FALSE)))</f>
        <v>10/08/1811</v>
      </c>
      <c r="J15" s="141" t="str">
        <f>IF(VLOOKUP($A15,'Loyd List 1-190 - Edit'!$C$1:$AQ$220,'Book Details - NO EDIT'!J$1,FALSE)="","",(VLOOKUP($A15,'Loyd List 1-190 - Edit'!$C$1:$AQ$220,'Book Details - NO EDIT'!J$1,FALSE)))</f>
        <v>19/07/1891</v>
      </c>
      <c r="K15" s="100" t="str">
        <f>VLOOKUP($A15,'Loyd List 1-190 - Edit'!$C$1:$AQ$220,'Book Details - NO EDIT'!K$1,FALSE)</f>
        <v>Boy</v>
      </c>
      <c r="L15" s="140">
        <f>VLOOKUP($A15,'Loyd List 1-190 - Edit'!$C$1:$AQ$220,'Book Details - NO EDIT'!L$1,FALSE)</f>
        <v>8</v>
      </c>
      <c r="M15" s="140">
        <f t="shared" si="3"/>
        <v>1</v>
      </c>
      <c r="N15" s="140">
        <f t="shared" si="3"/>
        <v>0</v>
      </c>
      <c r="O15" s="140" t="str">
        <f t="shared" si="3"/>
        <v/>
      </c>
      <c r="P15" s="140" t="str">
        <f t="shared" si="3"/>
        <v/>
      </c>
      <c r="Q15" s="140" t="str">
        <f t="shared" si="4"/>
        <v/>
      </c>
      <c r="R15" s="140" t="str">
        <f t="shared" si="4"/>
        <v/>
      </c>
      <c r="S15" s="140" t="str">
        <f t="shared" si="5"/>
        <v/>
      </c>
      <c r="T15" s="140">
        <f t="shared" si="1"/>
        <v>2</v>
      </c>
      <c r="U15" s="139">
        <f t="shared" si="6"/>
        <v>13</v>
      </c>
      <c r="V15" s="31" t="str">
        <f t="shared" si="7"/>
        <v>Lewis (1811–1891)</v>
      </c>
      <c r="W15" s="31" t="str">
        <f t="shared" si="8"/>
        <v>Lewis (#13)</v>
      </c>
      <c r="X15" s="99" t="str">
        <f t="shared" si="9"/>
        <v>Lewis (1811–1891: #13)</v>
      </c>
      <c r="Y15" s="99" t="str">
        <f t="shared" si="2"/>
        <v>Lewis LOYD</v>
      </c>
      <c r="Z15" s="99" t="str">
        <f t="shared" si="10"/>
        <v>Edward (1780–1863: #8)</v>
      </c>
      <c r="AA15" s="99" t="str">
        <f t="shared" si="17"/>
        <v xml:space="preserve">Edward (1780–1863: #8) William (1729–1800: #1)      </v>
      </c>
      <c r="AB15" s="142" t="str">
        <f>VLOOKUP(U15,'Siblings of those BORN Loyd'!$A$2:$G$230,7,FALSE)</f>
        <v xml:space="preserve">7 – Sarah (1810–1858: #11)  Annie (1813–1834: #15) Kate (1815–1905: #18) Hannah (1817–1907: #19) Edward (1820–1890: #22) William (1821–1885: #23) Fanny (1824–1856: #24) </v>
      </c>
      <c r="AC15" s="115" t="str">
        <f>IF(ISNA(IF(K15="Boy",VLOOKUP(A15,'Siblings of those BORN Loyd'!$AP$3:$AQ$70,2,FALSE),VLOOKUP(A15,'Children of Female Loyds'!$AR$5:$AT$60,3,FALSE))),AM15,IF(K15="Boy",VLOOKUP(A15,'Siblings of those BORN Loyd'!$AP$3:$AQ$70,2,FALSE),VLOOKUP(A15,'Children of Female Loyds'!$AR$5:$AT$60,3,FALSE)))</f>
        <v>d.s.p</v>
      </c>
      <c r="AD15" s="97" t="str">
        <f t="shared" si="25"/>
        <v>d.s.p.</v>
      </c>
      <c r="AE15" s="105" t="str">
        <f>IF(ISNA(IF(K15="Boy",VLOOKUP(A15,'Grandchildren of Male Loyds'!$AQ$3:$AS$51,3,FALSE),VLOOKUP(A15,'Grandchildren of Female Loyds'!$AX$5:$AZ$63,3,FALSE))),AM15,IF(K15="Boy",VLOOKUP(A15,'Grandchildren of Male Loyds'!$AQ$3:$AS$51,3,FALSE),VLOOKUP(A15,'Grandchildren of Female Loyds'!$AX$5:$AZ$63,3,FALSE)))</f>
        <v>d.s.p</v>
      </c>
      <c r="AF15" s="105" t="str">
        <f>IF(ISNA(VLOOKUP(A15,'Grandchildren Loyd Daughters'!$BD$5:$BF$50,4,FALSE)),"",VLOOKUP(A15,'Grandchildren Loyd Daughters'!$BD$5:$BF$50,3,FALSE))</f>
        <v/>
      </c>
      <c r="AG15" s="129">
        <f>IF(ISNA(VLOOKUP(A15,'Grandchildren of Male Loyds'!$AQ$3:$AR$60,2,FALSE)),0,VLOOKUP(A15,'Grandchildren of Male Loyds'!$AQ$3:$AR$60,2,FALSE))+IF(ISNA(VLOOKUP(A15,'Grandchildren of Female Loyds'!$AX$5:$AY$50,2,FALSE)),0,VLOOKUP(A15,'Grandchildren of Female Loyds'!$AX$5:$AY$50,2,FALSE))+IF(ISNA(VLOOKUP(A15,'Grandchildren Loyd Daughters'!$BD$5:$BE$50,2,FALSE)),0,VLOOKUP(A15,'Grandchildren Loyd Daughters'!$BD$5:$BE$50,2,FALSE))</f>
        <v>0</v>
      </c>
      <c r="AH15" s="129" t="str">
        <f>VLOOKUP($U15,'Loyd List 1-190 - Edit'!$P$3:$AJ$220,21,FALSE)</f>
        <v>Sarah TAYLOR (b.5 Jul 1785, d. 19 Jan 1863)</v>
      </c>
      <c r="AI15" s="129" t="str">
        <f>VLOOKUP(A15,'Updated Bios &amp; Spouse Details'!$A$1:$J$200,7,FALSE)</f>
        <v>Frances Harriet IRBY (b. 25 Feb 1817, d. 27 Jan 1902)</v>
      </c>
      <c r="AJ15" s="130" t="str">
        <f>IF(VLOOKUP($A15,'Loyd List 1-190 - Edit'!$C$1:$AQ$220,'Book Details - NO EDIT'!AJ$1,FALSE)="","",(VLOOKUP($A15,'Loyd List 1-190 - Edit'!$C$1:$AQ$220,'Book Details - NO EDIT'!AJ$1,FALSE)))</f>
        <v>19/06/1845</v>
      </c>
      <c r="AK15" s="129" t="str">
        <f>VLOOKUP(A15,'Updated Bios &amp; Spouse Details'!$A$1:$J$200,8,FALSE)</f>
        <v>Married at St George’s, Hanover Square, London. Frances eldest daughter of Rear Admiral The Hon Frederick Paul IRBY CB of Boyland Hall, Norfolk. Frances's mother, Frances WRIGHT, was Lady OVERSTONE’S sister.</v>
      </c>
      <c r="AL15" s="131" t="str">
        <f>VLOOKUP(A15,'Updated Bios &amp; Spouse Details'!$A$1:$J$200,5,FALSE)</f>
        <v>Lewis lived at 20 Hyde Park Gardens, London SW7 and at Monk’s Orchard, West Wickham, Kent. Eldest son of Edward (1780–1863: #8) of Coombe House, Coombe Lane, Croydon, Surrey. Born 10 Aug 1811 and baptised  4 Sept 1811 at St Ann’s, Manchester. Educated: Eton and Trinity College, Cambridge. Career: Banker in the London house of Jones Loyd &amp; Co. JP Surrey. High Sheriff 1863. Commissioner of Lieutenancy for the City of London. Founded the church of St John the Evangelist, Waterloo Road, Cheetham, Manchester at a cost of £20,000 and endowed benefice with income of £200 per annum. Died 19 Jul 1891, buried at Addington, Nr. Croydon, Surrey. DSP Will dated 1885. Estate £598,798. Roddy SALE (#97d), in 2022, has IRBY family tree (from Lewis). Frank Sale (#97ea) visited the church, which transferred to the New Testament, but has a revisionary clause that if the church should close then the property reverts to the Loyd estate. Roddy also has portrait of Lewis as a young man.</v>
      </c>
      <c r="AM15" s="105" t="str">
        <f>IF(AND(LEN(H15)&gt;0,ISNA(IF(K15="Boy",VLOOKUP(A15,'Siblings of those BORN Loyd'!$AP$3:$AQ$70,2,FALSE),VLOOKUP(A15,'Children of Female Loyds'!$AR$5:$AS$60,2,FALSE)))),"d.s.p","")</f>
        <v>d.s.p</v>
      </c>
      <c r="AN15" s="99" t="str">
        <f t="shared" si="12"/>
        <v>Edward (1780–1863: #8)</v>
      </c>
      <c r="AO15" s="99" t="str">
        <f t="shared" si="18"/>
        <v>William (1729–1800: #1)</v>
      </c>
      <c r="AP15" s="99" t="str">
        <f t="shared" si="19"/>
        <v/>
      </c>
      <c r="AQ15" s="99" t="str">
        <f t="shared" si="20"/>
        <v/>
      </c>
      <c r="AR15" s="99" t="str">
        <f t="shared" si="21"/>
        <v/>
      </c>
      <c r="AS15" s="99" t="str">
        <f t="shared" si="22"/>
        <v/>
      </c>
      <c r="AT15" s="99" t="str">
        <f t="shared" si="23"/>
        <v/>
      </c>
      <c r="AU15" s="99" t="str">
        <f t="shared" si="24"/>
        <v/>
      </c>
      <c r="AW15" s="116" t="str">
        <f>VLOOKUP(A15,'Updated Bios &amp; Spouse Details'!$A$1:$J$193,6,FALSE)</f>
        <v>England</v>
      </c>
      <c r="AX15" s="131">
        <f>VLOOKUP($A15,'Loyd List 1-190 - Edit'!$P$2:$AQ$220,AX$1,FALSE)</f>
        <v>13</v>
      </c>
      <c r="AY15" s="116" t="str">
        <f>IF(ISNA(VLOOKUP(A15,'Data check lookup table'!$G$2:$V$73,13,FALSE))," - ",VLOOKUP(A15,'Data check lookup table'!$G$2:$V$73,13,FALSE))</f>
        <v xml:space="preserve"> - </v>
      </c>
      <c r="AZ15" s="147" t="str">
        <f t="shared" si="14"/>
        <v>19/07/1891</v>
      </c>
      <c r="BA15" s="99" t="str">
        <f t="shared" si="15"/>
        <v/>
      </c>
      <c r="BB15" s="99" t="str">
        <f t="shared" si="16"/>
        <v/>
      </c>
      <c r="BI15" s="147" t="s">
        <v>1006</v>
      </c>
    </row>
    <row r="16" spans="1:61" s="99" customFormat="1" ht="409.6">
      <c r="A16" s="139">
        <f>'Loyd List 1-190 - Edit'!C16</f>
        <v>14</v>
      </c>
      <c r="B16" s="99" t="str">
        <f>VLOOKUP($A16,'Loyd List 1-190 - Edit'!$C$1:$AQ$220,'Book Details - NO EDIT'!B$1,FALSE)</f>
        <v>Thomas</v>
      </c>
      <c r="C16" s="99" t="str">
        <f>IF(VLOOKUP($A16,'Loyd List 1-190 - Edit'!$C$1:$AQ$220,'Book Details - NO EDIT'!C$1,FALSE)="","",VLOOKUP($A16,'Loyd List 1-190 - Edit'!$C$1:$AQ$220,'Book Details - NO EDIT'!C$1,FALSE))</f>
        <v>Kirkman</v>
      </c>
      <c r="D16" s="99" t="str">
        <f>IF(VLOOKUP($A16,'Loyd List 1-190 - Edit'!$C$1:$AQ$220,'Book Details - NO EDIT'!D$1,FALSE)="","",VLOOKUP($A16,'Loyd List 1-190 - Edit'!$C$1:$AQ$220,'Book Details - NO EDIT'!D$1,FALSE))</f>
        <v/>
      </c>
      <c r="E16" s="99" t="str">
        <f>IF(VLOOKUP($A16,'Loyd List 1-190 - Edit'!$C$1:$AQ$220,'Book Details - NO EDIT'!E$1,FALSE)="","",VLOOKUP($A16,'Loyd List 1-190 - Edit'!$C$1:$AQ$220,'Book Details - NO EDIT'!E$1,FALSE))</f>
        <v>LOYD</v>
      </c>
      <c r="F16" s="99" t="str">
        <f>IF(VLOOKUP($A16,'Loyd List 1-190 - Edit'!$C$1:$AQ$220,'Book Details - NO EDIT'!F$1,FALSE)="",B16,VLOOKUP($A16,'Loyd List 1-190 - Edit'!$C$1:$AQ$220,'Book Details - NO EDIT'!F$1,FALSE))</f>
        <v>Thomas</v>
      </c>
      <c r="G16" s="140">
        <f>IF(VLOOKUP($A16,'Loyd List 1-190 - Edit'!$C$1:$AQ$220,'Book Details - NO EDIT'!G$1,FALSE)="","",VALUE(VLOOKUP($A16,'Loyd List 1-190 - Edit'!$C$1:$AQ$220,'Book Details - NO EDIT'!G$1,FALSE)))</f>
        <v>1812</v>
      </c>
      <c r="H16" s="140">
        <f>IF(VLOOKUP($A16,'Loyd List 1-190 - Edit'!$C$1:$AQ$220,'Book Details - NO EDIT'!H$1,FALSE)="","",VALUE(VLOOKUP($A16,'Loyd List 1-190 - Edit'!$C$1:$AQ$220,'Book Details - NO EDIT'!H$1,FALSE)))</f>
        <v>1857</v>
      </c>
      <c r="I16" s="141" t="str">
        <f>IF(VLOOKUP($A16,'Loyd List 1-190 - Edit'!$C$1:$AQ$220,'Book Details - NO EDIT'!I$1,FALSE)="","",(VLOOKUP($A16,'Loyd List 1-190 - Edit'!$C$1:$AQ$220,'Book Details - NO EDIT'!I$1,FALSE)))</f>
        <v>10/10/1812</v>
      </c>
      <c r="J16" s="141" t="str">
        <f>IF(VLOOKUP($A16,'Loyd List 1-190 - Edit'!$C$1:$AQ$220,'Book Details - NO EDIT'!J$1,FALSE)="","",(VLOOKUP($A16,'Loyd List 1-190 - Edit'!$C$1:$AQ$220,'Book Details - NO EDIT'!J$1,FALSE)))</f>
        <v>19/06/1857</v>
      </c>
      <c r="K16" s="100" t="str">
        <f>VLOOKUP($A16,'Loyd List 1-190 - Edit'!$C$1:$AQ$220,'Book Details - NO EDIT'!K$1,FALSE)</f>
        <v>Boy</v>
      </c>
      <c r="L16" s="140">
        <f>VLOOKUP($A16,'Loyd List 1-190 - Edit'!$C$1:$AQ$220,'Book Details - NO EDIT'!L$1,FALSE)</f>
        <v>4</v>
      </c>
      <c r="M16" s="140">
        <f t="shared" si="3"/>
        <v>1</v>
      </c>
      <c r="N16" s="140">
        <f t="shared" si="3"/>
        <v>0</v>
      </c>
      <c r="O16" s="140" t="str">
        <f t="shared" si="3"/>
        <v/>
      </c>
      <c r="P16" s="140" t="str">
        <f t="shared" si="3"/>
        <v/>
      </c>
      <c r="Q16" s="140" t="str">
        <f t="shared" si="4"/>
        <v/>
      </c>
      <c r="R16" s="140" t="str">
        <f t="shared" si="4"/>
        <v/>
      </c>
      <c r="S16" s="140" t="str">
        <f t="shared" si="5"/>
        <v/>
      </c>
      <c r="T16" s="140">
        <f t="shared" si="1"/>
        <v>2</v>
      </c>
      <c r="U16" s="139">
        <f t="shared" si="6"/>
        <v>14</v>
      </c>
      <c r="V16" s="31" t="str">
        <f t="shared" si="7"/>
        <v>Thomas (1812–1857)</v>
      </c>
      <c r="W16" s="31" t="str">
        <f t="shared" si="8"/>
        <v>Thomas (#14)</v>
      </c>
      <c r="X16" s="99" t="str">
        <f t="shared" si="9"/>
        <v>Thomas (1812–1857: #14)</v>
      </c>
      <c r="Y16" s="99" t="str">
        <f t="shared" si="2"/>
        <v>Thomas Kirkman LOYD</v>
      </c>
      <c r="Z16" s="99" t="str">
        <f t="shared" si="10"/>
        <v>William (1770–1828: #4)</v>
      </c>
      <c r="AA16" s="99" t="str">
        <f t="shared" si="17"/>
        <v xml:space="preserve">William (1770–1828: #4) William (1729–1800: #1)      </v>
      </c>
      <c r="AB16" s="142" t="str">
        <f>VLOOKUP(U16,'Siblings of those BORN Loyd'!$A$2:$G$230,7,FALSE)</f>
        <v xml:space="preserve">6 – William (1809–1879: #10) Eliza (1810–1861: #12)  Maria (1814–1900: #16) Edward (1815–1815: #17) John (1817–1818: #20) Lewis (1819–1841: #21)  </v>
      </c>
      <c r="AC16" s="115" t="str">
        <f>IF(ISNA(IF(K16="Boy",VLOOKUP(A16,'Siblings of those BORN Loyd'!$AP$3:$AQ$70,2,FALSE),VLOOKUP(A16,'Children of Female Loyds'!$AR$5:$AT$60,3,FALSE))),AM16,IF(K16="Boy",VLOOKUP(A16,'Siblings of those BORN Loyd'!$AP$3:$AQ$70,2,FALSE),VLOOKUP(A16,'Children of Female Loyds'!$AR$5:$AT$60,3,FALSE)))</f>
        <v>8 - William (1843–1843: #27); The Rev Lewis (1844–1905: #28); Arthur (1845–1930: #29); Archie (1847–1922: #30); Frank (1848–1934: #32); Alfred (1849–1881: #33); Ted (1851–1922: #34); Annie (1853–1946: #37)</v>
      </c>
      <c r="AD16" s="97" t="str">
        <f t="shared" ref="AD16:AD79" si="26">IF(AE16="d.s.p",_xlfn.CONCAT(AE16,"."),IF(AG16=0,"-",_xlfn.CONCAT(AG16," - ",AE16,"   ",AF16)))</f>
        <v xml:space="preserve">14 - Lewis (1875–1947: #51); Alfred (1882–1919: #54); Tommy (1882–1944: #56); Rt Rev Philip (1884–1952: #58); Kitty (1885–1989: #60); Reggie (1886–1961: #61); Bobby (1887–1977: #62); Nan (1889–1967: #65); Tony/Dodo (1889–1956: #67); Geoffrey (1890–1914: #69); Arthur (1890–1974: #71); Edward (1893–1932: #76); Wilfrid (1893–1971: #77); Eric (1894–1963: #80)   </v>
      </c>
      <c r="AE16" s="105" t="str">
        <f>IF(ISNA(IF(K16="Boy",VLOOKUP(A16,'Grandchildren of Male Loyds'!$AQ$3:$AS$51,3,FALSE),VLOOKUP(A16,'Grandchildren of Female Loyds'!$AX$5:$AZ$63,3,FALSE))),AM16,IF(K16="Boy",VLOOKUP(A16,'Grandchildren of Male Loyds'!$AQ$3:$AS$51,3,FALSE),VLOOKUP(A16,'Grandchildren of Female Loyds'!$AX$5:$AZ$63,3,FALSE)))</f>
        <v>Lewis (1875–1947: #51); Alfred (1882–1919: #54); Tommy (1882–1944: #56); Rt Rev Philip (1884–1952: #58); Kitty (1885–1989: #60); Reggie (1886–1961: #61); Bobby (1887–1977: #62); Nan (1889–1967: #65); Tony/Dodo (1889–1956: #67); Geoffrey (1890–1914: #69); Arthur (1890–1974: #71); Edward (1893–1932: #76); Wilfrid (1893–1971: #77); Eric (1894–1963: #80)</v>
      </c>
      <c r="AF16" s="105" t="str">
        <f>IF(ISNA(VLOOKUP(A16,'Grandchildren Loyd Daughters'!$BD$5:$BF$50,4,FALSE)),"",VLOOKUP(A16,'Grandchildren Loyd Daughters'!$BD$5:$BF$50,3,FALSE))</f>
        <v/>
      </c>
      <c r="AG16" s="129">
        <f>IF(ISNA(VLOOKUP(A16,'Grandchildren of Male Loyds'!$AQ$3:$AR$60,2,FALSE)),0,VLOOKUP(A16,'Grandchildren of Male Loyds'!$AQ$3:$AR$60,2,FALSE))+IF(ISNA(VLOOKUP(A16,'Grandchildren of Female Loyds'!$AX$5:$AY$50,2,FALSE)),0,VLOOKUP(A16,'Grandchildren of Female Loyds'!$AX$5:$AY$50,2,FALSE))+IF(ISNA(VLOOKUP(A16,'Grandchildren Loyd Daughters'!$BD$5:$BE$50,2,FALSE)),0,VLOOKUP(A16,'Grandchildren Loyd Daughters'!$BD$5:$BE$50,2,FALSE))</f>
        <v>14</v>
      </c>
      <c r="AH16" s="129" t="str">
        <f>VLOOKUP($U16,'Loyd List 1-190 - Edit'!$P$3:$AJ$220,21,FALSE)</f>
        <v>Martha KIRKMAN (b. 17 Nov 1775, d. 4 Feb 1857)</v>
      </c>
      <c r="AI16" s="129" t="str">
        <f>VLOOKUP(A16,'Updated Bios &amp; Spouse Details'!$A$1:$J$200,7,FALSE)</f>
        <v>Annie Hurst HAIG (b. 3 Oct 1816, d. 28 May 1885)</v>
      </c>
      <c r="AJ16" s="130" t="str">
        <f>IF(VLOOKUP($A16,'Loyd List 1-190 - Edit'!$C$1:$AQ$220,'Book Details - NO EDIT'!AJ$1,FALSE)="","",(VLOOKUP($A16,'Loyd List 1-190 - Edit'!$C$1:$AQ$220,'Book Details - NO EDIT'!AJ$1,FALSE)))</f>
        <v>10/02/1842</v>
      </c>
      <c r="AK16" s="129" t="str">
        <f>VLOOKUP(A16,'Updated Bios &amp; Spouse Details'!$A$1:$J$200,8,FALSE)</f>
        <v>Married at Agra, Annie, daughter of Captain James HAIG (b. c1768, d. 11 Sep 1832 buried at St Paul’s, Bedford) of Bedford, 3rd in descent from Anthony, 21st Laird of Bemersyde. Owing to a carriage accident Annie was unable to accompany her husband to India on his last return there and thus survived the Mutiny. Annie died at Riola, Vergato, Florence, Italy, buried 1 Jun 1885 in Protestant Cemetery, Florence. Annie's Estate £2,971.  After leaving the Royal Navy with the rank of Lieutenant, James HAIG bought a small ship and, putting a skipper and crew on board, traded with her, and other ships like her, for many years in the East Indies. When he married, he bought a house in the Crescent, then being built, in Bedford where his children grew up, the boys going to Bedford School). Portraits of James Haig and his wife, Maria, were in possession of the Rev Lewis Haig (1844-1905: #28), then Bishop Philip Henry (1884-1952: #58) who gave them to Reggie (1886- 1961: #61), who, in turn, left them as part of his estate to Peter (1922-2022: #98). “All my childhood I remember a portrait my Father had of James Haig,.....I remember my Father told us small children not to shoot our arrows at his portrait when we were all shooting madly, and James looked at us so sternly!” - in a letter from Kitty (1885-1989: #60) dated 4 Nov 1987 to Peter (1922- 2022: #98).</v>
      </c>
      <c r="AL16" s="131" t="str">
        <f>VLOOKUP(A16,'Updated Bios &amp; Spouse Details'!$A$1:$J$200,5,FALSE)</f>
        <v>Thomas of Humeerpoor [17], North West Provinces, India. 2nd son of William (1770–1828: #4) of 7 Bread Street, Cheapside, London EC2. Born 10 Oct 1812 at Cheapside. Educated Haileybury 1831-32. Career: Joined Bengal Civil Service 1833. Magistrate and Collector of Humeerpoor. Killed in Indian Mutiny 19 Jun 1857 at Humeerpoor. His wife Annie [18], daughter of Captain James HAIG [19], survived the mutiny. Issue: 7 sons, 1 daughter. Original portrait in possession of Michael (1938– : #114). Copy of a document in writing of Thomas Kirkman LOYD dated one week before his murder by the Sepoys in the Indian Mutiny:  “In case of my death I make my watch [20] a present to Gungah-Sahale, my Serishtadar, for faithful service since I have been in the district. My watch-chain and two seals, one with my crest, and one with “Annie” on it, I wish, if preserved, to go to my family; the chain and crest [21] to my son Arthur (as I know my brother Lewis’s (1819–1841: #21) watch is intended for my dear son Lewis (1844–1905: #28)) and the “Annie” seal to my dear little daughter Annie (1853–1946: #37). My father’s snuff-box to be dear little Archie’s (1847–1922: #30), and the little cross and chain Annie’s (#37), and all the other little things that may escape to be divided amongst my dear children, whom with my dearest wife may God preserve for ever and ever. We have authentic information that the whole English population of Allahabad have been destroyed and we expect our fate to be the same here very long. I trust I die with no enmity in my heart towards anyone, and I pray God to forgive me all my sins and to accept me thro’ the alone merits of His dear Son our Saviour Jesus Christ. (Signed) T. K. LOYD Humeerpore 12 Jun 1857.” Footnote: [17] Or ‘Humeerpore’. Now Hamirpur, Uttar Pradesh, India. [18]  Owing to a carriage accident she was unable to accompany her husband to India on his last return there, and thus survived the Mutiny. [19] Portraits of  Captain James HAIG and his wife, Maria, were in possession of the Rev Lewis (1844–1905: #28), then of Bishop Philip (1884–1952: #58) who gave them to Reginald (1886- 1961: #61), who, in turn, left them as part of his estate to Peter (1922–2022: #98). Now in possession of William (1973– : #155).  “All my childhood I remember a portrait my Father had of James Haig,....I remember my Father told us small children not to shoot our arrows at his portrait when we were all shooting madly, and James looked at us so sternly!” In a letter from Mary Beatrix LOYD (1885-1989: #60)[Kitty KONSTAM] dated 4 Nov 1987 to Peter (1922–2022: #98). [20] Apparently his Serishtadar (or servant) held him in such high regard that he returned his gold watch to the family and was in the possession of Christopher Lewis LOYD (1923–2013: #100) and is now in the possession of Michael (1938– : #114).</v>
      </c>
      <c r="AM16" s="105" t="str">
        <f>IF(AND(LEN(H16)&gt;0,ISNA(IF(K16="Boy",VLOOKUP(A16,'Siblings of those BORN Loyd'!$AP$3:$AQ$70,2,FALSE),VLOOKUP(A16,'Children of Female Loyds'!$AR$5:$AS$60,2,FALSE)))),"d.s.p","")</f>
        <v/>
      </c>
      <c r="AN16" s="99" t="str">
        <f t="shared" si="12"/>
        <v>William (1770–1828: #4)</v>
      </c>
      <c r="AO16" s="99" t="str">
        <f t="shared" si="18"/>
        <v>William (1729–1800: #1)</v>
      </c>
      <c r="AP16" s="99" t="str">
        <f t="shared" si="19"/>
        <v/>
      </c>
      <c r="AQ16" s="99" t="str">
        <f t="shared" si="20"/>
        <v/>
      </c>
      <c r="AR16" s="99" t="str">
        <f t="shared" si="21"/>
        <v/>
      </c>
      <c r="AS16" s="99" t="str">
        <f t="shared" si="22"/>
        <v/>
      </c>
      <c r="AT16" s="99" t="str">
        <f t="shared" si="23"/>
        <v/>
      </c>
      <c r="AU16" s="99" t="str">
        <f t="shared" si="24"/>
        <v/>
      </c>
      <c r="AW16" s="116" t="str">
        <f>VLOOKUP(A16,'Updated Bios &amp; Spouse Details'!$A$1:$J$193,6,FALSE)</f>
        <v>England &amp; India</v>
      </c>
      <c r="AX16" s="131">
        <f>VLOOKUP($A16,'Loyd List 1-190 - Edit'!$P$2:$AQ$220,AX$1,FALSE)</f>
        <v>14</v>
      </c>
      <c r="AY16" s="116" t="str">
        <f>IF(ISNA(VLOOKUP(A16,'Data check lookup table'!$G$2:$V$73,13,FALSE))," - ",VLOOKUP(A16,'Data check lookup table'!$G$2:$V$73,13,FALSE))</f>
        <v xml:space="preserve"> - </v>
      </c>
      <c r="AZ16" s="147" t="str">
        <f t="shared" si="14"/>
        <v>19/06/1857</v>
      </c>
      <c r="BA16" s="99" t="str">
        <f t="shared" si="15"/>
        <v/>
      </c>
      <c r="BB16" s="99" t="str">
        <f t="shared" si="16"/>
        <v/>
      </c>
      <c r="BI16" s="147" t="s">
        <v>1009</v>
      </c>
    </row>
    <row r="17" spans="1:61" s="99" customFormat="1" ht="34">
      <c r="A17" s="139">
        <f>'Loyd List 1-190 - Edit'!C17</f>
        <v>15</v>
      </c>
      <c r="B17" s="99" t="str">
        <f>VLOOKUP($A17,'Loyd List 1-190 - Edit'!$C$1:$AQ$220,'Book Details - NO EDIT'!B$1,FALSE)</f>
        <v>Ann</v>
      </c>
      <c r="C17" s="99" t="str">
        <f>IF(VLOOKUP($A17,'Loyd List 1-190 - Edit'!$C$1:$AQ$220,'Book Details - NO EDIT'!C$1,FALSE)="","",VLOOKUP($A17,'Loyd List 1-190 - Edit'!$C$1:$AQ$220,'Book Details - NO EDIT'!C$1,FALSE))</f>
        <v/>
      </c>
      <c r="D17" s="99" t="str">
        <f>IF(VLOOKUP($A17,'Loyd List 1-190 - Edit'!$C$1:$AQ$220,'Book Details - NO EDIT'!D$1,FALSE)="","",VLOOKUP($A17,'Loyd List 1-190 - Edit'!$C$1:$AQ$220,'Book Details - NO EDIT'!D$1,FALSE))</f>
        <v/>
      </c>
      <c r="E17" s="99" t="str">
        <f>IF(VLOOKUP($A17,'Loyd List 1-190 - Edit'!$C$1:$AQ$220,'Book Details - NO EDIT'!E$1,FALSE)="","",VLOOKUP($A17,'Loyd List 1-190 - Edit'!$C$1:$AQ$220,'Book Details - NO EDIT'!E$1,FALSE))</f>
        <v>LOYD</v>
      </c>
      <c r="F17" s="99" t="str">
        <f>IF(VLOOKUP($A17,'Loyd List 1-190 - Edit'!$C$1:$AQ$220,'Book Details - NO EDIT'!F$1,FALSE)="",B17,VLOOKUP($A17,'Loyd List 1-190 - Edit'!$C$1:$AQ$220,'Book Details - NO EDIT'!F$1,FALSE))</f>
        <v>Annie</v>
      </c>
      <c r="G17" s="140">
        <f>IF(VLOOKUP($A17,'Loyd List 1-190 - Edit'!$C$1:$AQ$220,'Book Details - NO EDIT'!G$1,FALSE)="","",VALUE(VLOOKUP($A17,'Loyd List 1-190 - Edit'!$C$1:$AQ$220,'Book Details - NO EDIT'!G$1,FALSE)))</f>
        <v>1813</v>
      </c>
      <c r="H17" s="140">
        <f>IF(VLOOKUP($A17,'Loyd List 1-190 - Edit'!$C$1:$AQ$220,'Book Details - NO EDIT'!H$1,FALSE)="","",VALUE(VLOOKUP($A17,'Loyd List 1-190 - Edit'!$C$1:$AQ$220,'Book Details - NO EDIT'!H$1,FALSE)))</f>
        <v>1834</v>
      </c>
      <c r="I17" s="141" t="str">
        <f>IF(VLOOKUP($A17,'Loyd List 1-190 - Edit'!$C$1:$AQ$220,'Book Details - NO EDIT'!I$1,FALSE)="","",(VLOOKUP($A17,'Loyd List 1-190 - Edit'!$C$1:$AQ$220,'Book Details - NO EDIT'!I$1,FALSE)))</f>
        <v>26/02/1813</v>
      </c>
      <c r="J17" s="141" t="str">
        <f>IF(VLOOKUP($A17,'Loyd List 1-190 - Edit'!$C$1:$AQ$220,'Book Details - NO EDIT'!J$1,FALSE)="","",(VLOOKUP($A17,'Loyd List 1-190 - Edit'!$C$1:$AQ$220,'Book Details - NO EDIT'!J$1,FALSE)))</f>
        <v>10/09/1834</v>
      </c>
      <c r="K17" s="100" t="str">
        <f>VLOOKUP($A17,'Loyd List 1-190 - Edit'!$C$1:$AQ$220,'Book Details - NO EDIT'!K$1,FALSE)</f>
        <v>Girl</v>
      </c>
      <c r="L17" s="140">
        <f>VLOOKUP($A17,'Loyd List 1-190 - Edit'!$C$1:$AQ$220,'Book Details - NO EDIT'!L$1,FALSE)</f>
        <v>8</v>
      </c>
      <c r="M17" s="140">
        <f t="shared" si="3"/>
        <v>1</v>
      </c>
      <c r="N17" s="140">
        <f t="shared" si="3"/>
        <v>0</v>
      </c>
      <c r="O17" s="140" t="str">
        <f t="shared" si="3"/>
        <v/>
      </c>
      <c r="P17" s="140" t="str">
        <f t="shared" si="3"/>
        <v/>
      </c>
      <c r="Q17" s="140" t="str">
        <f t="shared" si="4"/>
        <v/>
      </c>
      <c r="R17" s="140" t="str">
        <f t="shared" si="4"/>
        <v/>
      </c>
      <c r="S17" s="140" t="str">
        <f t="shared" si="5"/>
        <v/>
      </c>
      <c r="T17" s="140">
        <f t="shared" si="1"/>
        <v>2</v>
      </c>
      <c r="U17" s="139">
        <f t="shared" si="6"/>
        <v>15</v>
      </c>
      <c r="V17" s="31" t="str">
        <f t="shared" si="7"/>
        <v>Annie (1813–1834)</v>
      </c>
      <c r="W17" s="31" t="str">
        <f t="shared" si="8"/>
        <v>Annie (#15)</v>
      </c>
      <c r="X17" s="99" t="str">
        <f t="shared" si="9"/>
        <v>Annie (1813–1834: #15)</v>
      </c>
      <c r="Y17" s="99" t="str">
        <f t="shared" si="2"/>
        <v>Ann LOYD</v>
      </c>
      <c r="Z17" s="99" t="str">
        <f t="shared" si="10"/>
        <v>Edward (1780–1863: #8)</v>
      </c>
      <c r="AA17" s="99" t="str">
        <f t="shared" si="17"/>
        <v xml:space="preserve">Edward (1780–1863: #8) William (1729–1800: #1)      </v>
      </c>
      <c r="AB17" s="142" t="str">
        <f>VLOOKUP(U17,'Siblings of those BORN Loyd'!$A$2:$G$230,7,FALSE)</f>
        <v xml:space="preserve">7 – Sarah (1810–1858: #11) Lewis (1811–1891: #13)  Kate (1815–1905: #18) Hannah (1817–1907: #19) Edward (1820–1890: #22) William (1821–1885: #23) Fanny (1824–1856: #24) </v>
      </c>
      <c r="AC17" s="115" t="str">
        <f>IF(ISNA(IF(K17="Boy",VLOOKUP(A17,'Siblings of those BORN Loyd'!$AP$3:$AQ$70,2,FALSE),VLOOKUP(A17,'Children of Female Loyds'!$AR$5:$AT$60,3,FALSE))),AM17,IF(K17="Boy",VLOOKUP(A17,'Siblings of those BORN Loyd'!$AP$3:$AQ$70,2,FALSE),VLOOKUP(A17,'Children of Female Loyds'!$AR$5:$AT$60,3,FALSE)))</f>
        <v>d.s.p</v>
      </c>
      <c r="AD17" s="97" t="str">
        <f t="shared" si="26"/>
        <v>d.s.p.</v>
      </c>
      <c r="AE17" s="105" t="str">
        <f>IF(ISNA(IF(K17="Boy",VLOOKUP(A17,'Grandchildren of Male Loyds'!$AQ$3:$AS$51,3,FALSE),VLOOKUP(A17,'Grandchildren of Female Loyds'!$AX$5:$AZ$63,3,FALSE))),AM17,IF(K17="Boy",VLOOKUP(A17,'Grandchildren of Male Loyds'!$AQ$3:$AS$51,3,FALSE),VLOOKUP(A17,'Grandchildren of Female Loyds'!$AX$5:$AZ$63,3,FALSE)))</f>
        <v>d.s.p</v>
      </c>
      <c r="AF17" s="105" t="str">
        <f>IF(ISNA(VLOOKUP(A17,'Grandchildren Loyd Daughters'!$BD$5:$BF$50,4,FALSE)),"",VLOOKUP(A17,'Grandchildren Loyd Daughters'!$BD$5:$BF$50,3,FALSE))</f>
        <v/>
      </c>
      <c r="AG17" s="129">
        <f>IF(ISNA(VLOOKUP(A17,'Grandchildren of Male Loyds'!$AQ$3:$AR$60,2,FALSE)),0,VLOOKUP(A17,'Grandchildren of Male Loyds'!$AQ$3:$AR$60,2,FALSE))+IF(ISNA(VLOOKUP(A17,'Grandchildren of Female Loyds'!$AX$5:$AY$50,2,FALSE)),0,VLOOKUP(A17,'Grandchildren of Female Loyds'!$AX$5:$AY$50,2,FALSE))+IF(ISNA(VLOOKUP(A17,'Grandchildren Loyd Daughters'!$BD$5:$BE$50,2,FALSE)),0,VLOOKUP(A17,'Grandchildren Loyd Daughters'!$BD$5:$BE$50,2,FALSE))</f>
        <v>0</v>
      </c>
      <c r="AH17" s="129" t="str">
        <f>VLOOKUP($U17,'Loyd List 1-190 - Edit'!$P$3:$AJ$220,21,FALSE)</f>
        <v>Sarah TAYLOR (b.5 Jul 1785, d. 19 Jan 1863)</v>
      </c>
      <c r="AI17" s="129" t="str">
        <f>VLOOKUP(A17,'Updated Bios &amp; Spouse Details'!$A$1:$J$200,7,FALSE)</f>
        <v>Died in infancy.</v>
      </c>
      <c r="AJ17" s="130" t="str">
        <f>IF(VLOOKUP($A17,'Loyd List 1-190 - Edit'!$C$1:$AQ$220,'Book Details - NO EDIT'!AJ$1,FALSE)="","",(VLOOKUP($A17,'Loyd List 1-190 - Edit'!$C$1:$AQ$220,'Book Details - NO EDIT'!AJ$1,FALSE)))</f>
        <v xml:space="preserve"> -</v>
      </c>
      <c r="AK17" s="129" t="str">
        <f>VLOOKUP(A17,'Updated Bios &amp; Spouse Details'!$A$1:$J$200,8,FALSE)</f>
        <v xml:space="preserve"> - </v>
      </c>
      <c r="AL17" s="131" t="str">
        <f>VLOOKUP(A17,'Updated Bios &amp; Spouse Details'!$A$1:$J$200,5,FALSE)</f>
        <v>Ann also known as Annie was the 2nd daughter of Edward (1780–1863: #8) of Coombe House, Coombe Lane, Croydon, Surrey. Born 26 Feb 1813. Died, unmarried, 10 Sep 1834. DSP</v>
      </c>
      <c r="AM17" s="105" t="str">
        <f>IF(AND(LEN(H17)&gt;0,ISNA(IF(K17="Boy",VLOOKUP(A17,'Siblings of those BORN Loyd'!$AP$3:$AQ$70,2,FALSE),VLOOKUP(A17,'Children of Female Loyds'!$AR$5:$AS$60,2,FALSE)))),"d.s.p","")</f>
        <v>d.s.p</v>
      </c>
      <c r="AN17" s="99" t="str">
        <f t="shared" si="12"/>
        <v>Edward (1780–1863: #8)</v>
      </c>
      <c r="AO17" s="99" t="str">
        <f t="shared" si="18"/>
        <v>William (1729–1800: #1)</v>
      </c>
      <c r="AP17" s="99" t="str">
        <f t="shared" si="19"/>
        <v/>
      </c>
      <c r="AQ17" s="99" t="str">
        <f t="shared" si="20"/>
        <v/>
      </c>
      <c r="AR17" s="99" t="str">
        <f t="shared" si="21"/>
        <v/>
      </c>
      <c r="AS17" s="99" t="str">
        <f t="shared" si="22"/>
        <v/>
      </c>
      <c r="AT17" s="99" t="str">
        <f t="shared" si="23"/>
        <v/>
      </c>
      <c r="AU17" s="99" t="str">
        <f t="shared" si="24"/>
        <v/>
      </c>
      <c r="AW17" s="116" t="str">
        <f>VLOOKUP(A17,'Updated Bios &amp; Spouse Details'!$A$1:$J$193,6,FALSE)</f>
        <v>England</v>
      </c>
      <c r="AX17" s="131">
        <f>VLOOKUP($A17,'Loyd List 1-190 - Edit'!$P$2:$AQ$220,AX$1,FALSE)</f>
        <v>15</v>
      </c>
      <c r="AY17" s="116" t="str">
        <f>IF(ISNA(VLOOKUP(A17,'Data check lookup table'!$G$2:$V$73,13,FALSE))," - ",VLOOKUP(A17,'Data check lookup table'!$G$2:$V$73,13,FALSE))</f>
        <v xml:space="preserve"> - </v>
      </c>
      <c r="AZ17" s="147" t="str">
        <f t="shared" si="14"/>
        <v>10/09/1834</v>
      </c>
      <c r="BA17" s="99" t="str">
        <f t="shared" si="15"/>
        <v/>
      </c>
      <c r="BB17" s="99" t="str">
        <f t="shared" si="16"/>
        <v/>
      </c>
      <c r="BI17" s="147" t="s">
        <v>1013</v>
      </c>
    </row>
    <row r="18" spans="1:61" s="99" customFormat="1" ht="85">
      <c r="A18" s="139">
        <f>'Loyd List 1-190 - Edit'!C18</f>
        <v>16</v>
      </c>
      <c r="B18" s="99" t="str">
        <f>VLOOKUP($A18,'Loyd List 1-190 - Edit'!$C$1:$AQ$220,'Book Details - NO EDIT'!B$1,FALSE)</f>
        <v>Maria</v>
      </c>
      <c r="C18" s="99" t="str">
        <f>IF(VLOOKUP($A18,'Loyd List 1-190 - Edit'!$C$1:$AQ$220,'Book Details - NO EDIT'!C$1,FALSE)="","",VLOOKUP($A18,'Loyd List 1-190 - Edit'!$C$1:$AQ$220,'Book Details - NO EDIT'!C$1,FALSE))</f>
        <v/>
      </c>
      <c r="D18" s="99" t="str">
        <f>IF(VLOOKUP($A18,'Loyd List 1-190 - Edit'!$C$1:$AQ$220,'Book Details - NO EDIT'!D$1,FALSE)="","",VLOOKUP($A18,'Loyd List 1-190 - Edit'!$C$1:$AQ$220,'Book Details - NO EDIT'!D$1,FALSE))</f>
        <v/>
      </c>
      <c r="E18" s="99" t="str">
        <f>IF(VLOOKUP($A18,'Loyd List 1-190 - Edit'!$C$1:$AQ$220,'Book Details - NO EDIT'!E$1,FALSE)="","",VLOOKUP($A18,'Loyd List 1-190 - Edit'!$C$1:$AQ$220,'Book Details - NO EDIT'!E$1,FALSE))</f>
        <v>LOYD</v>
      </c>
      <c r="F18" s="99" t="str">
        <f>IF(VLOOKUP($A18,'Loyd List 1-190 - Edit'!$C$1:$AQ$220,'Book Details - NO EDIT'!F$1,FALSE)="",B18,VLOOKUP($A18,'Loyd List 1-190 - Edit'!$C$1:$AQ$220,'Book Details - NO EDIT'!F$1,FALSE))</f>
        <v>Maria</v>
      </c>
      <c r="G18" s="140">
        <f>IF(VLOOKUP($A18,'Loyd List 1-190 - Edit'!$C$1:$AQ$220,'Book Details - NO EDIT'!G$1,FALSE)="","",VALUE(VLOOKUP($A18,'Loyd List 1-190 - Edit'!$C$1:$AQ$220,'Book Details - NO EDIT'!G$1,FALSE)))</f>
        <v>1814</v>
      </c>
      <c r="H18" s="140">
        <f>IF(VLOOKUP($A18,'Loyd List 1-190 - Edit'!$C$1:$AQ$220,'Book Details - NO EDIT'!H$1,FALSE)="","",VALUE(VLOOKUP($A18,'Loyd List 1-190 - Edit'!$C$1:$AQ$220,'Book Details - NO EDIT'!H$1,FALSE)))</f>
        <v>1900</v>
      </c>
      <c r="I18" s="141" t="str">
        <f>IF(VLOOKUP($A18,'Loyd List 1-190 - Edit'!$C$1:$AQ$220,'Book Details - NO EDIT'!I$1,FALSE)="","",(VLOOKUP($A18,'Loyd List 1-190 - Edit'!$C$1:$AQ$220,'Book Details - NO EDIT'!I$1,FALSE)))</f>
        <v>17/02/1814</v>
      </c>
      <c r="J18" s="141" t="str">
        <f>IF(VLOOKUP($A18,'Loyd List 1-190 - Edit'!$C$1:$AQ$220,'Book Details - NO EDIT'!J$1,FALSE)="","",(VLOOKUP($A18,'Loyd List 1-190 - Edit'!$C$1:$AQ$220,'Book Details - NO EDIT'!J$1,FALSE)))</f>
        <v>16/09/1900</v>
      </c>
      <c r="K18" s="100" t="str">
        <f>VLOOKUP($A18,'Loyd List 1-190 - Edit'!$C$1:$AQ$220,'Book Details - NO EDIT'!K$1,FALSE)</f>
        <v>Girl</v>
      </c>
      <c r="L18" s="140">
        <f>VLOOKUP($A18,'Loyd List 1-190 - Edit'!$C$1:$AQ$220,'Book Details - NO EDIT'!L$1,FALSE)</f>
        <v>4</v>
      </c>
      <c r="M18" s="140">
        <f t="shared" si="3"/>
        <v>1</v>
      </c>
      <c r="N18" s="140">
        <f t="shared" si="3"/>
        <v>0</v>
      </c>
      <c r="O18" s="140" t="str">
        <f t="shared" si="3"/>
        <v/>
      </c>
      <c r="P18" s="140" t="str">
        <f t="shared" si="3"/>
        <v/>
      </c>
      <c r="Q18" s="140" t="str">
        <f t="shared" si="4"/>
        <v/>
      </c>
      <c r="R18" s="140" t="str">
        <f t="shared" si="4"/>
        <v/>
      </c>
      <c r="S18" s="140" t="str">
        <f t="shared" si="5"/>
        <v/>
      </c>
      <c r="T18" s="140">
        <f t="shared" si="1"/>
        <v>2</v>
      </c>
      <c r="U18" s="139">
        <f t="shared" si="6"/>
        <v>16</v>
      </c>
      <c r="V18" s="31" t="str">
        <f t="shared" si="7"/>
        <v>Maria (1814–1900)</v>
      </c>
      <c r="W18" s="31" t="str">
        <f t="shared" si="8"/>
        <v>Maria (#16)</v>
      </c>
      <c r="X18" s="99" t="str">
        <f t="shared" si="9"/>
        <v>Maria (1814–1900: #16)</v>
      </c>
      <c r="Y18" s="99" t="str">
        <f t="shared" si="2"/>
        <v>Maria LOYD</v>
      </c>
      <c r="Z18" s="99" t="str">
        <f t="shared" si="10"/>
        <v>William (1770–1828: #4)</v>
      </c>
      <c r="AA18" s="99" t="str">
        <f t="shared" si="17"/>
        <v xml:space="preserve">William (1770–1828: #4) William (1729–1800: #1)      </v>
      </c>
      <c r="AB18" s="142" t="str">
        <f>VLOOKUP(U18,'Siblings of those BORN Loyd'!$A$2:$G$230,7,FALSE)</f>
        <v xml:space="preserve">6 – William (1809–1879: #10) Eliza (1810–1861: #12) Thomas (1812–1857: #14)  Edward (1815–1815: #17) John (1817–1818: #20) Lewis (1819–1841: #21)  </v>
      </c>
      <c r="AC18" s="115" t="str">
        <f>IF(ISNA(IF(K18="Boy",VLOOKUP(A18,'Siblings of those BORN Loyd'!$AP$3:$AQ$70,2,FALSE),VLOOKUP(A18,'Children of Female Loyds'!$AR$5:$AT$60,3,FALSE))),AM18,IF(K18="Boy",VLOOKUP(A18,'Siblings of those BORN Loyd'!$AP$3:$AQ$70,2,FALSE),VLOOKUP(A18,'Children of Female Loyds'!$AR$5:$AT$60,3,FALSE)))</f>
        <v>d.s.p</v>
      </c>
      <c r="AD18" s="97" t="str">
        <f t="shared" si="26"/>
        <v>d.s.p.</v>
      </c>
      <c r="AE18" s="105" t="str">
        <f>IF(ISNA(IF(K18="Boy",VLOOKUP(A18,'Grandchildren of Male Loyds'!$AQ$3:$AS$51,3,FALSE),VLOOKUP(A18,'Grandchildren of Female Loyds'!$AX$5:$AZ$63,3,FALSE))),AM18,IF(K18="Boy",VLOOKUP(A18,'Grandchildren of Male Loyds'!$AQ$3:$AS$51,3,FALSE),VLOOKUP(A18,'Grandchildren of Female Loyds'!$AX$5:$AZ$63,3,FALSE)))</f>
        <v>d.s.p</v>
      </c>
      <c r="AF18" s="105" t="str">
        <f>IF(ISNA(VLOOKUP(A18,'Grandchildren Loyd Daughters'!$BD$5:$BF$50,4,FALSE)),"",VLOOKUP(A18,'Grandchildren Loyd Daughters'!$BD$5:$BF$50,3,FALSE))</f>
        <v/>
      </c>
      <c r="AG18" s="129">
        <f>IF(ISNA(VLOOKUP(A18,'Grandchildren of Male Loyds'!$AQ$3:$AR$60,2,FALSE)),0,VLOOKUP(A18,'Grandchildren of Male Loyds'!$AQ$3:$AR$60,2,FALSE))+IF(ISNA(VLOOKUP(A18,'Grandchildren of Female Loyds'!$AX$5:$AY$50,2,FALSE)),0,VLOOKUP(A18,'Grandchildren of Female Loyds'!$AX$5:$AY$50,2,FALSE))+IF(ISNA(VLOOKUP(A18,'Grandchildren Loyd Daughters'!$BD$5:$BE$50,2,FALSE)),0,VLOOKUP(A18,'Grandchildren Loyd Daughters'!$BD$5:$BE$50,2,FALSE))</f>
        <v>0</v>
      </c>
      <c r="AH18" s="129" t="str">
        <f>VLOOKUP($U18,'Loyd List 1-190 - Edit'!$P$3:$AJ$220,21,FALSE)</f>
        <v>Martha KIRKMAN (b. 17 Nov 1775, d. 4 Feb 1857)</v>
      </c>
      <c r="AI18" s="129" t="str">
        <f>VLOOKUP(A18,'Updated Bios &amp; Spouse Details'!$A$1:$J$200,7,FALSE)</f>
        <v>Thomas NORTH (b. 1809/10, d. 30 Oct 1886)</v>
      </c>
      <c r="AJ18" s="130" t="str">
        <f>IF(VLOOKUP($A18,'Loyd List 1-190 - Edit'!$C$1:$AQ$220,'Book Details - NO EDIT'!AJ$1,FALSE)="","",(VLOOKUP($A18,'Loyd List 1-190 - Edit'!$C$1:$AQ$220,'Book Details - NO EDIT'!AJ$1,FALSE)))</f>
        <v>18/12/1847</v>
      </c>
      <c r="AK18" s="129" t="str">
        <f>VLOOKUP(A18,'Updated Bios &amp; Spouse Details'!$A$1:$J$200,8,FALSE)</f>
        <v>Married at Marylebone Church, London, Thomas  of Loders, Bridport, Dorset. Moved to Northcote, Frant Road, Frant, Sussex in 1868. Thomas died at Northcote, Frant.</v>
      </c>
      <c r="AL18" s="131" t="str">
        <f>VLOOKUP(A18,'Updated Bios &amp; Spouse Details'!$A$1:$J$200,5,FALSE)</f>
        <v>Maria was the younger daughter of William (1770–1828: #4) of 7 Bread Street, Cheapside, London EC2. Born 17 Feb 1814. Moved to  Northcote, Frant Road, Frant, Sussex in 1868 two years after the death of her husband Thomas. Died, 16 Sep 1900 at Northcote and buried at Tunbridge Wells. DSP</v>
      </c>
      <c r="AM18" s="105" t="str">
        <f>IF(AND(LEN(H18)&gt;0,ISNA(IF(K18="Boy",VLOOKUP(A18,'Siblings of those BORN Loyd'!$AP$3:$AQ$70,2,FALSE),VLOOKUP(A18,'Children of Female Loyds'!$AR$5:$AS$60,2,FALSE)))),"d.s.p","")</f>
        <v>d.s.p</v>
      </c>
      <c r="AN18" s="99" t="str">
        <f t="shared" si="12"/>
        <v>William (1770–1828: #4)</v>
      </c>
      <c r="AO18" s="99" t="str">
        <f t="shared" si="18"/>
        <v>William (1729–1800: #1)</v>
      </c>
      <c r="AP18" s="99" t="str">
        <f t="shared" si="19"/>
        <v/>
      </c>
      <c r="AQ18" s="99" t="str">
        <f t="shared" si="20"/>
        <v/>
      </c>
      <c r="AR18" s="99" t="str">
        <f t="shared" si="21"/>
        <v/>
      </c>
      <c r="AS18" s="99" t="str">
        <f t="shared" si="22"/>
        <v/>
      </c>
      <c r="AT18" s="99" t="str">
        <f t="shared" si="23"/>
        <v/>
      </c>
      <c r="AU18" s="99" t="str">
        <f t="shared" si="24"/>
        <v/>
      </c>
      <c r="AW18" s="116" t="str">
        <f>VLOOKUP(A18,'Updated Bios &amp; Spouse Details'!$A$1:$J$193,6,FALSE)</f>
        <v>England</v>
      </c>
      <c r="AX18" s="131">
        <f>VLOOKUP($A18,'Loyd List 1-190 - Edit'!$P$2:$AQ$220,AX$1,FALSE)</f>
        <v>16</v>
      </c>
      <c r="AY18" s="116" t="str">
        <f>IF(ISNA(VLOOKUP(A18,'Data check lookup table'!$G$2:$V$73,13,FALSE))," - ",VLOOKUP(A18,'Data check lookup table'!$G$2:$V$73,13,FALSE))</f>
        <v xml:space="preserve"> - </v>
      </c>
      <c r="AZ18" s="147" t="str">
        <f t="shared" si="14"/>
        <v>16/09/1900</v>
      </c>
      <c r="BA18" s="99" t="str">
        <f t="shared" si="15"/>
        <v/>
      </c>
      <c r="BB18" s="99" t="str">
        <f t="shared" si="16"/>
        <v/>
      </c>
      <c r="BI18" s="147" t="s">
        <v>3158</v>
      </c>
    </row>
    <row r="19" spans="1:61" s="99" customFormat="1" ht="34">
      <c r="A19" s="139">
        <f>'Loyd List 1-190 - Edit'!C19</f>
        <v>17</v>
      </c>
      <c r="B19" s="99" t="str">
        <f>VLOOKUP($A19,'Loyd List 1-190 - Edit'!$C$1:$AQ$220,'Book Details - NO EDIT'!B$1,FALSE)</f>
        <v>Edward</v>
      </c>
      <c r="C19" s="99" t="str">
        <f>IF(VLOOKUP($A19,'Loyd List 1-190 - Edit'!$C$1:$AQ$220,'Book Details - NO EDIT'!C$1,FALSE)="","",VLOOKUP($A19,'Loyd List 1-190 - Edit'!$C$1:$AQ$220,'Book Details - NO EDIT'!C$1,FALSE))</f>
        <v>Kirkman</v>
      </c>
      <c r="D19" s="99" t="str">
        <f>IF(VLOOKUP($A19,'Loyd List 1-190 - Edit'!$C$1:$AQ$220,'Book Details - NO EDIT'!D$1,FALSE)="","",VLOOKUP($A19,'Loyd List 1-190 - Edit'!$C$1:$AQ$220,'Book Details - NO EDIT'!D$1,FALSE))</f>
        <v/>
      </c>
      <c r="E19" s="99" t="str">
        <f>IF(VLOOKUP($A19,'Loyd List 1-190 - Edit'!$C$1:$AQ$220,'Book Details - NO EDIT'!E$1,FALSE)="","",VLOOKUP($A19,'Loyd List 1-190 - Edit'!$C$1:$AQ$220,'Book Details - NO EDIT'!E$1,FALSE))</f>
        <v>LOYD</v>
      </c>
      <c r="F19" s="99" t="str">
        <f>IF(VLOOKUP($A19,'Loyd List 1-190 - Edit'!$C$1:$AQ$220,'Book Details - NO EDIT'!F$1,FALSE)="",B19,VLOOKUP($A19,'Loyd List 1-190 - Edit'!$C$1:$AQ$220,'Book Details - NO EDIT'!F$1,FALSE))</f>
        <v>Edward</v>
      </c>
      <c r="G19" s="140">
        <f>IF(VLOOKUP($A19,'Loyd List 1-190 - Edit'!$C$1:$AQ$220,'Book Details - NO EDIT'!G$1,FALSE)="","",VALUE(VLOOKUP($A19,'Loyd List 1-190 - Edit'!$C$1:$AQ$220,'Book Details - NO EDIT'!G$1,FALSE)))</f>
        <v>1815</v>
      </c>
      <c r="H19" s="140">
        <f>IF(VLOOKUP($A19,'Loyd List 1-190 - Edit'!$C$1:$AQ$220,'Book Details - NO EDIT'!H$1,FALSE)="","",VALUE(VLOOKUP($A19,'Loyd List 1-190 - Edit'!$C$1:$AQ$220,'Book Details - NO EDIT'!H$1,FALSE)))</f>
        <v>1815</v>
      </c>
      <c r="I19" s="141" t="str">
        <f>IF(VLOOKUP($A19,'Loyd List 1-190 - Edit'!$C$1:$AQ$220,'Book Details - NO EDIT'!I$1,FALSE)="","",(VLOOKUP($A19,'Loyd List 1-190 - Edit'!$C$1:$AQ$220,'Book Details - NO EDIT'!I$1,FALSE)))</f>
        <v>02/07/1815</v>
      </c>
      <c r="J19" s="141" t="str">
        <f>IF(VLOOKUP($A19,'Loyd List 1-190 - Edit'!$C$1:$AQ$220,'Book Details - NO EDIT'!J$1,FALSE)="","",(VLOOKUP($A19,'Loyd List 1-190 - Edit'!$C$1:$AQ$220,'Book Details - NO EDIT'!J$1,FALSE)))</f>
        <v>23/07/1815</v>
      </c>
      <c r="K19" s="100" t="str">
        <f>VLOOKUP($A19,'Loyd List 1-190 - Edit'!$C$1:$AQ$220,'Book Details - NO EDIT'!K$1,FALSE)</f>
        <v>Boy</v>
      </c>
      <c r="L19" s="140">
        <f>VLOOKUP($A19,'Loyd List 1-190 - Edit'!$C$1:$AQ$220,'Book Details - NO EDIT'!L$1,FALSE)</f>
        <v>4</v>
      </c>
      <c r="M19" s="140">
        <f t="shared" si="3"/>
        <v>1</v>
      </c>
      <c r="N19" s="140">
        <f t="shared" si="3"/>
        <v>0</v>
      </c>
      <c r="O19" s="140" t="str">
        <f t="shared" si="3"/>
        <v/>
      </c>
      <c r="P19" s="140" t="str">
        <f t="shared" si="3"/>
        <v/>
      </c>
      <c r="Q19" s="140" t="str">
        <f t="shared" si="4"/>
        <v/>
      </c>
      <c r="R19" s="140" t="str">
        <f t="shared" si="4"/>
        <v/>
      </c>
      <c r="S19" s="140" t="str">
        <f t="shared" si="5"/>
        <v/>
      </c>
      <c r="T19" s="140">
        <f t="shared" si="1"/>
        <v>2</v>
      </c>
      <c r="U19" s="139">
        <f t="shared" si="6"/>
        <v>17</v>
      </c>
      <c r="V19" s="31" t="str">
        <f t="shared" si="7"/>
        <v>Edward (1815–1815)</v>
      </c>
      <c r="W19" s="31" t="str">
        <f t="shared" si="8"/>
        <v>Edward (#17)</v>
      </c>
      <c r="X19" s="99" t="str">
        <f t="shared" si="9"/>
        <v>Edward (1815–1815: #17)</v>
      </c>
      <c r="Y19" s="99" t="str">
        <f t="shared" si="2"/>
        <v>Edward Kirkman LOYD</v>
      </c>
      <c r="Z19" s="99" t="str">
        <f t="shared" si="10"/>
        <v>William (1770–1828: #4)</v>
      </c>
      <c r="AA19" s="99" t="str">
        <f t="shared" si="17"/>
        <v xml:space="preserve">William (1770–1828: #4) William (1729–1800: #1)      </v>
      </c>
      <c r="AB19" s="142" t="str">
        <f>VLOOKUP(U19,'Siblings of those BORN Loyd'!$A$2:$G$230,7,FALSE)</f>
        <v xml:space="preserve">6 – William (1809–1879: #10) Eliza (1810–1861: #12) Thomas (1812–1857: #14) Maria (1814–1900: #16)  John (1817–1818: #20) Lewis (1819–1841: #21)  </v>
      </c>
      <c r="AC19" s="115" t="str">
        <f>IF(ISNA(IF(K19="Boy",VLOOKUP(A19,'Siblings of those BORN Loyd'!$AP$3:$AQ$70,2,FALSE),VLOOKUP(A19,'Children of Female Loyds'!$AR$5:$AT$60,3,FALSE))),AM19,IF(K19="Boy",VLOOKUP(A19,'Siblings of those BORN Loyd'!$AP$3:$AQ$70,2,FALSE),VLOOKUP(A19,'Children of Female Loyds'!$AR$5:$AT$60,3,FALSE)))</f>
        <v>d.s.p</v>
      </c>
      <c r="AD19" s="97" t="str">
        <f t="shared" si="26"/>
        <v>d.s.p.</v>
      </c>
      <c r="AE19" s="105" t="str">
        <f>IF(ISNA(IF(K19="Boy",VLOOKUP(A19,'Grandchildren of Male Loyds'!$AQ$3:$AS$51,3,FALSE),VLOOKUP(A19,'Grandchildren of Female Loyds'!$AX$5:$AZ$63,3,FALSE))),AM19,IF(K19="Boy",VLOOKUP(A19,'Grandchildren of Male Loyds'!$AQ$3:$AS$51,3,FALSE),VLOOKUP(A19,'Grandchildren of Female Loyds'!$AX$5:$AZ$63,3,FALSE)))</f>
        <v>d.s.p</v>
      </c>
      <c r="AF19" s="105" t="str">
        <f>IF(ISNA(VLOOKUP(A19,'Grandchildren Loyd Daughters'!$BD$5:$BF$50,4,FALSE)),"",VLOOKUP(A19,'Grandchildren Loyd Daughters'!$BD$5:$BF$50,3,FALSE))</f>
        <v/>
      </c>
      <c r="AG19" s="129">
        <f>IF(ISNA(VLOOKUP(A19,'Grandchildren of Male Loyds'!$AQ$3:$AR$60,2,FALSE)),0,VLOOKUP(A19,'Grandchildren of Male Loyds'!$AQ$3:$AR$60,2,FALSE))+IF(ISNA(VLOOKUP(A19,'Grandchildren of Female Loyds'!$AX$5:$AY$50,2,FALSE)),0,VLOOKUP(A19,'Grandchildren of Female Loyds'!$AX$5:$AY$50,2,FALSE))+IF(ISNA(VLOOKUP(A19,'Grandchildren Loyd Daughters'!$BD$5:$BE$50,2,FALSE)),0,VLOOKUP(A19,'Grandchildren Loyd Daughters'!$BD$5:$BE$50,2,FALSE))</f>
        <v>0</v>
      </c>
      <c r="AH19" s="129" t="str">
        <f>VLOOKUP($U19,'Loyd List 1-190 - Edit'!$P$3:$AJ$220,21,FALSE)</f>
        <v>Martha KIRKMAN (b. 17 Nov 1775, d. 4 Feb 1857)</v>
      </c>
      <c r="AI19" s="129" t="str">
        <f>VLOOKUP(A19,'Updated Bios &amp; Spouse Details'!$A$1:$J$200,7,FALSE)</f>
        <v>Died in infancy.</v>
      </c>
      <c r="AJ19" s="130" t="str">
        <f>IF(VLOOKUP($A19,'Loyd List 1-190 - Edit'!$C$1:$AQ$220,'Book Details - NO EDIT'!AJ$1,FALSE)="","",(VLOOKUP($A19,'Loyd List 1-190 - Edit'!$C$1:$AQ$220,'Book Details - NO EDIT'!AJ$1,FALSE)))</f>
        <v xml:space="preserve"> - </v>
      </c>
      <c r="AK19" s="129" t="str">
        <f>VLOOKUP(A19,'Updated Bios &amp; Spouse Details'!$A$1:$J$200,8,FALSE)</f>
        <v xml:space="preserve"> - </v>
      </c>
      <c r="AL19" s="131" t="str">
        <f>VLOOKUP(A19,'Updated Bios &amp; Spouse Details'!$A$1:$J$200,5,FALSE)</f>
        <v>Edward was 3rd son of William (1770–1828: #4) of 7 Bread Street, Cheapside, London EC2. Born 2 Jul 1815. Died in infancy on 23 Jul 1815; buried at Bunhill Fields, London, in the family grave (plan 15, grave no. 223).</v>
      </c>
      <c r="AM19" s="105" t="str">
        <f>IF(AND(LEN(H19)&gt;0,ISNA(IF(K19="Boy",VLOOKUP(A19,'Siblings of those BORN Loyd'!$AP$3:$AQ$70,2,FALSE),VLOOKUP(A19,'Children of Female Loyds'!$AR$5:$AS$60,2,FALSE)))),"d.s.p","")</f>
        <v>d.s.p</v>
      </c>
      <c r="AN19" s="99" t="str">
        <f t="shared" si="12"/>
        <v>William (1770–1828: #4)</v>
      </c>
      <c r="AO19" s="99" t="str">
        <f t="shared" si="18"/>
        <v>William (1729–1800: #1)</v>
      </c>
      <c r="AP19" s="99" t="str">
        <f t="shared" si="19"/>
        <v/>
      </c>
      <c r="AQ19" s="99" t="str">
        <f t="shared" si="20"/>
        <v/>
      </c>
      <c r="AR19" s="99" t="str">
        <f t="shared" si="21"/>
        <v/>
      </c>
      <c r="AS19" s="99" t="str">
        <f t="shared" si="22"/>
        <v/>
      </c>
      <c r="AT19" s="99" t="str">
        <f t="shared" si="23"/>
        <v/>
      </c>
      <c r="AU19" s="99" t="str">
        <f t="shared" si="24"/>
        <v/>
      </c>
      <c r="AW19" s="116" t="str">
        <f>VLOOKUP(A19,'Updated Bios &amp; Spouse Details'!$A$1:$J$193,6,FALSE)</f>
        <v>England</v>
      </c>
      <c r="AX19" s="131">
        <f>VLOOKUP($A19,'Loyd List 1-190 - Edit'!$P$2:$AQ$220,AX$1,FALSE)</f>
        <v>17</v>
      </c>
      <c r="AY19" s="116" t="str">
        <f>IF(ISNA(VLOOKUP(A19,'Data check lookup table'!$G$2:$V$73,13,FALSE))," - ",VLOOKUP(A19,'Data check lookup table'!$G$2:$V$73,13,FALSE))</f>
        <v xml:space="preserve"> - </v>
      </c>
      <c r="AZ19" s="147" t="str">
        <f t="shared" si="14"/>
        <v>23/07/1815</v>
      </c>
      <c r="BA19" s="99" t="str">
        <f t="shared" si="15"/>
        <v/>
      </c>
      <c r="BB19" s="99" t="str">
        <f t="shared" si="16"/>
        <v/>
      </c>
      <c r="BI19" s="147" t="s">
        <v>1018</v>
      </c>
    </row>
    <row r="20" spans="1:61" s="99" customFormat="1" ht="51">
      <c r="A20" s="139">
        <f>'Loyd List 1-190 - Edit'!C20</f>
        <v>18</v>
      </c>
      <c r="B20" s="99" t="str">
        <f>VLOOKUP($A20,'Loyd List 1-190 - Edit'!$C$1:$AQ$220,'Book Details - NO EDIT'!B$1,FALSE)</f>
        <v>Catherine</v>
      </c>
      <c r="C20" s="99" t="str">
        <f>IF(VLOOKUP($A20,'Loyd List 1-190 - Edit'!$C$1:$AQ$220,'Book Details - NO EDIT'!C$1,FALSE)="","",VLOOKUP($A20,'Loyd List 1-190 - Edit'!$C$1:$AQ$220,'Book Details - NO EDIT'!C$1,FALSE))</f>
        <v/>
      </c>
      <c r="D20" s="99" t="str">
        <f>IF(VLOOKUP($A20,'Loyd List 1-190 - Edit'!$C$1:$AQ$220,'Book Details - NO EDIT'!D$1,FALSE)="","",VLOOKUP($A20,'Loyd List 1-190 - Edit'!$C$1:$AQ$220,'Book Details - NO EDIT'!D$1,FALSE))</f>
        <v/>
      </c>
      <c r="E20" s="99" t="str">
        <f>IF(VLOOKUP($A20,'Loyd List 1-190 - Edit'!$C$1:$AQ$220,'Book Details - NO EDIT'!E$1,FALSE)="","",VLOOKUP($A20,'Loyd List 1-190 - Edit'!$C$1:$AQ$220,'Book Details - NO EDIT'!E$1,FALSE))</f>
        <v>LOYD</v>
      </c>
      <c r="F20" s="99" t="str">
        <f>IF(VLOOKUP($A20,'Loyd List 1-190 - Edit'!$C$1:$AQ$220,'Book Details - NO EDIT'!F$1,FALSE)="",B20,VLOOKUP($A20,'Loyd List 1-190 - Edit'!$C$1:$AQ$220,'Book Details - NO EDIT'!F$1,FALSE))</f>
        <v>Kate</v>
      </c>
      <c r="G20" s="140">
        <f>IF(VLOOKUP($A20,'Loyd List 1-190 - Edit'!$C$1:$AQ$220,'Book Details - NO EDIT'!G$1,FALSE)="","",VALUE(VLOOKUP($A20,'Loyd List 1-190 - Edit'!$C$1:$AQ$220,'Book Details - NO EDIT'!G$1,FALSE)))</f>
        <v>1815</v>
      </c>
      <c r="H20" s="140">
        <f>IF(VLOOKUP($A20,'Loyd List 1-190 - Edit'!$C$1:$AQ$220,'Book Details - NO EDIT'!H$1,FALSE)="","",VALUE(VLOOKUP($A20,'Loyd List 1-190 - Edit'!$C$1:$AQ$220,'Book Details - NO EDIT'!H$1,FALSE)))</f>
        <v>1905</v>
      </c>
      <c r="I20" s="141" t="str">
        <f>IF(VLOOKUP($A20,'Loyd List 1-190 - Edit'!$C$1:$AQ$220,'Book Details - NO EDIT'!I$1,FALSE)="","",(VLOOKUP($A20,'Loyd List 1-190 - Edit'!$C$1:$AQ$220,'Book Details - NO EDIT'!I$1,FALSE)))</f>
        <v>26/08/1815</v>
      </c>
      <c r="J20" s="141" t="str">
        <f>IF(VLOOKUP($A20,'Loyd List 1-190 - Edit'!$C$1:$AQ$220,'Book Details - NO EDIT'!J$1,FALSE)="","",(VLOOKUP($A20,'Loyd List 1-190 - Edit'!$C$1:$AQ$220,'Book Details - NO EDIT'!J$1,FALSE)))</f>
        <v>14/12/1905</v>
      </c>
      <c r="K20" s="100" t="str">
        <f>VLOOKUP($A20,'Loyd List 1-190 - Edit'!$C$1:$AQ$220,'Book Details - NO EDIT'!K$1,FALSE)</f>
        <v>Girl</v>
      </c>
      <c r="L20" s="140">
        <f>VLOOKUP($A20,'Loyd List 1-190 - Edit'!$C$1:$AQ$220,'Book Details - NO EDIT'!L$1,FALSE)</f>
        <v>8</v>
      </c>
      <c r="M20" s="140">
        <f t="shared" si="3"/>
        <v>1</v>
      </c>
      <c r="N20" s="140">
        <f t="shared" si="3"/>
        <v>0</v>
      </c>
      <c r="O20" s="140" t="str">
        <f t="shared" si="3"/>
        <v/>
      </c>
      <c r="P20" s="140" t="str">
        <f t="shared" si="3"/>
        <v/>
      </c>
      <c r="Q20" s="140" t="str">
        <f t="shared" si="4"/>
        <v/>
      </c>
      <c r="R20" s="140" t="str">
        <f t="shared" si="4"/>
        <v/>
      </c>
      <c r="S20" s="140" t="str">
        <f t="shared" si="5"/>
        <v/>
      </c>
      <c r="T20" s="140">
        <f t="shared" si="1"/>
        <v>2</v>
      </c>
      <c r="U20" s="139">
        <f t="shared" si="6"/>
        <v>18</v>
      </c>
      <c r="V20" s="31" t="str">
        <f t="shared" si="7"/>
        <v>Kate (1815–1905)</v>
      </c>
      <c r="W20" s="31" t="str">
        <f t="shared" si="8"/>
        <v>Kate (#18)</v>
      </c>
      <c r="X20" s="99" t="str">
        <f t="shared" si="9"/>
        <v>Kate (1815–1905: #18)</v>
      </c>
      <c r="Y20" s="99" t="str">
        <f t="shared" si="2"/>
        <v>Catherine LOYD</v>
      </c>
      <c r="Z20" s="99" t="str">
        <f t="shared" si="10"/>
        <v>Edward (1780–1863: #8)</v>
      </c>
      <c r="AA20" s="99" t="str">
        <f t="shared" si="17"/>
        <v xml:space="preserve">Edward (1780–1863: #8) William (1729–1800: #1)      </v>
      </c>
      <c r="AB20" s="142" t="str">
        <f>VLOOKUP(U20,'Siblings of those BORN Loyd'!$A$2:$G$230,7,FALSE)</f>
        <v xml:space="preserve">7 – Sarah (1810–1858: #11) Lewis (1811–1891: #13) Annie (1813–1834: #15)  Hannah (1817–1907: #19) Edward (1820–1890: #22) William (1821–1885: #23) Fanny (1824–1856: #24) </v>
      </c>
      <c r="AC20" s="115" t="str">
        <f>IF(ISNA(IF(K20="Boy",VLOOKUP(A20,'Siblings of those BORN Loyd'!$AP$3:$AQ$70,2,FALSE),VLOOKUP(A20,'Children of Female Loyds'!$AR$5:$AT$60,3,FALSE))),AM20,IF(K20="Boy",VLOOKUP(A20,'Siblings of those BORN Loyd'!$AP$3:$AQ$70,2,FALSE),VLOOKUP(A20,'Children of Female Loyds'!$AR$5:$AT$60,3,FALSE)))</f>
        <v xml:space="preserve">5 - Margaret NICOL (1844 - 1927: #18a) William NICOL (1846 - 1914: #18b) James NICOL (1848 - 1938: #18c) Sarah NICOL (1854 - 1943: #18d) Lewis NICOL (1858 - 1935: #18e)   </v>
      </c>
      <c r="AD20" s="97" t="str">
        <f t="shared" si="26"/>
        <v xml:space="preserve">5 - Malcolm NICOL (1879 -1891: #18ba) Margery NICOL (1880 -1963: #18bb) Randall NICOL (1882 -1941: #18bc) Dorothy NICOL (1885 -1964: #18bd) Violet NICOL (1887 -1957: #18ea)              </v>
      </c>
      <c r="AE20" s="105" t="str">
        <f>IF(ISNA(IF(K20="Boy",VLOOKUP(A20,'Grandchildren of Male Loyds'!$AQ$3:$AS$51,3,FALSE),VLOOKUP(A20,'Grandchildren of Female Loyds'!$AX$5:$AZ$63,3,FALSE))),AM20,IF(K20="Boy",VLOOKUP(A20,'Grandchildren of Male Loyds'!$AQ$3:$AS$51,3,FALSE),VLOOKUP(A20,'Grandchildren of Female Loyds'!$AX$5:$AZ$63,3,FALSE)))</f>
        <v xml:space="preserve">Malcolm NICOL (1879 -1891: #18ba) Margery NICOL (1880 -1963: #18bb) Randall NICOL (1882 -1941: #18bc) Dorothy NICOL (1885 -1964: #18bd) Violet NICOL (1887 -1957: #18ea)           </v>
      </c>
      <c r="AF20" s="105" t="str">
        <f>IF(ISNA(VLOOKUP(A20,'Grandchildren Loyd Daughters'!$BD$5:$BF$50,4,FALSE)),"",VLOOKUP(A20,'Grandchildren Loyd Daughters'!$BD$5:$BF$50,3,FALSE))</f>
        <v/>
      </c>
      <c r="AG20" s="129">
        <f>IF(ISNA(VLOOKUP(A20,'Grandchildren of Male Loyds'!$AQ$3:$AR$60,2,FALSE)),0,VLOOKUP(A20,'Grandchildren of Male Loyds'!$AQ$3:$AR$60,2,FALSE))+IF(ISNA(VLOOKUP(A20,'Grandchildren of Female Loyds'!$AX$5:$AY$50,2,FALSE)),0,VLOOKUP(A20,'Grandchildren of Female Loyds'!$AX$5:$AY$50,2,FALSE))+IF(ISNA(VLOOKUP(A20,'Grandchildren Loyd Daughters'!$BD$5:$BE$50,2,FALSE)),0,VLOOKUP(A20,'Grandchildren Loyd Daughters'!$BD$5:$BE$50,2,FALSE))</f>
        <v>5</v>
      </c>
      <c r="AH20" s="129" t="str">
        <f>VLOOKUP($U20,'Loyd List 1-190 - Edit'!$P$3:$AJ$220,21,FALSE)</f>
        <v>Sarah TAYLOR (b.5 Jul 1785, d. 19 Jan 1863)</v>
      </c>
      <c r="AI20" s="129" t="str">
        <f>VLOOKUP(A20,'Updated Bios &amp; Spouse Details'!$A$1:$J$200,7,FALSE)</f>
        <v>James Dyce NICOL MP (b. 13 Aug 1805, d. 16 Nov 1872)</v>
      </c>
      <c r="AJ20" s="130" t="str">
        <f>IF(VLOOKUP($A20,'Loyd List 1-190 - Edit'!$C$1:$AQ$220,'Book Details - NO EDIT'!AJ$1,FALSE)="","",(VLOOKUP($A20,'Loyd List 1-190 - Edit'!$C$1:$AQ$220,'Book Details - NO EDIT'!AJ$1,FALSE)))</f>
        <v>14/03/1844</v>
      </c>
      <c r="AK20" s="129" t="str">
        <f>VLOOKUP(A20,'Updated Bios &amp; Spouse Details'!$A$1:$J$200,8,FALSE)</f>
        <v>James of Ballogie, Aberdeenshire and of 5 Hyde Park Terrace, London. James buried Birse Kirkyard.</v>
      </c>
      <c r="AL20" s="131" t="str">
        <f>VLOOKUP(A20,'Updated Bios &amp; Spouse Details'!$A$1:$J$200,5,FALSE)</f>
        <v>Kate was the 3rd daughter of Edward (1780–1863: #8). Born 26 Aug 1815.  Died 14 Dec 1905; buried at Birse Kirkyard. Issue: 2 daughters, 3 sons.</v>
      </c>
      <c r="AM20" s="105" t="str">
        <f>IF(AND(LEN(H20)&gt;0,ISNA(IF(K20="Boy",VLOOKUP(A20,'Siblings of those BORN Loyd'!$AP$3:$AQ$70,2,FALSE),VLOOKUP(A20,'Children of Female Loyds'!$AR$5:$AS$60,2,FALSE)))),"d.s.p","")</f>
        <v/>
      </c>
      <c r="AN20" s="99" t="str">
        <f t="shared" si="12"/>
        <v>Edward (1780–1863: #8)</v>
      </c>
      <c r="AO20" s="99" t="str">
        <f t="shared" si="18"/>
        <v>William (1729–1800: #1)</v>
      </c>
      <c r="AP20" s="99" t="str">
        <f t="shared" si="19"/>
        <v/>
      </c>
      <c r="AQ20" s="99" t="str">
        <f t="shared" si="20"/>
        <v/>
      </c>
      <c r="AR20" s="99" t="str">
        <f t="shared" si="21"/>
        <v/>
      </c>
      <c r="AS20" s="99" t="str">
        <f t="shared" si="22"/>
        <v/>
      </c>
      <c r="AT20" s="99" t="str">
        <f t="shared" si="23"/>
        <v/>
      </c>
      <c r="AU20" s="99" t="str">
        <f t="shared" si="24"/>
        <v/>
      </c>
      <c r="AW20" s="116" t="str">
        <f>VLOOKUP(A20,'Updated Bios &amp; Spouse Details'!$A$1:$J$193,6,FALSE)</f>
        <v>England</v>
      </c>
      <c r="AX20" s="131">
        <f>VLOOKUP($A20,'Loyd List 1-190 - Edit'!$P$2:$AQ$220,AX$1,FALSE)</f>
        <v>18</v>
      </c>
      <c r="AY20" s="116" t="str">
        <f>IF(ISNA(VLOOKUP(A20,'Data check lookup table'!$G$2:$V$73,13,FALSE))," - ",VLOOKUP(A20,'Data check lookup table'!$G$2:$V$73,13,FALSE))</f>
        <v xml:space="preserve"> - </v>
      </c>
      <c r="AZ20" s="147" t="str">
        <f t="shared" si="14"/>
        <v>14/12/1905</v>
      </c>
      <c r="BA20" s="99" t="str">
        <f t="shared" si="15"/>
        <v/>
      </c>
      <c r="BB20" s="99" t="str">
        <f t="shared" si="16"/>
        <v/>
      </c>
      <c r="BI20" s="147" t="s">
        <v>3161</v>
      </c>
    </row>
    <row r="21" spans="1:61" s="99" customFormat="1" ht="187">
      <c r="A21" s="139">
        <f>'Loyd List 1-190 - Edit'!C21</f>
        <v>19</v>
      </c>
      <c r="B21" s="99" t="str">
        <f>VLOOKUP($A21,'Loyd List 1-190 - Edit'!$C$1:$AQ$220,'Book Details - NO EDIT'!B$1,FALSE)</f>
        <v>Hannah</v>
      </c>
      <c r="C21" s="99" t="str">
        <f>IF(VLOOKUP($A21,'Loyd List 1-190 - Edit'!$C$1:$AQ$220,'Book Details - NO EDIT'!C$1,FALSE)="","",VLOOKUP($A21,'Loyd List 1-190 - Edit'!$C$1:$AQ$220,'Book Details - NO EDIT'!C$1,FALSE))</f>
        <v/>
      </c>
      <c r="D21" s="99" t="str">
        <f>IF(VLOOKUP($A21,'Loyd List 1-190 - Edit'!$C$1:$AQ$220,'Book Details - NO EDIT'!D$1,FALSE)="","",VLOOKUP($A21,'Loyd List 1-190 - Edit'!$C$1:$AQ$220,'Book Details - NO EDIT'!D$1,FALSE))</f>
        <v/>
      </c>
      <c r="E21" s="99" t="str">
        <f>IF(VLOOKUP($A21,'Loyd List 1-190 - Edit'!$C$1:$AQ$220,'Book Details - NO EDIT'!E$1,FALSE)="","",VLOOKUP($A21,'Loyd List 1-190 - Edit'!$C$1:$AQ$220,'Book Details - NO EDIT'!E$1,FALSE))</f>
        <v>LOYD</v>
      </c>
      <c r="F21" s="99" t="str">
        <f>IF(VLOOKUP($A21,'Loyd List 1-190 - Edit'!$C$1:$AQ$220,'Book Details - NO EDIT'!F$1,FALSE)="",B21,VLOOKUP($A21,'Loyd List 1-190 - Edit'!$C$1:$AQ$220,'Book Details - NO EDIT'!F$1,FALSE))</f>
        <v>Hannah</v>
      </c>
      <c r="G21" s="140">
        <f>IF(VLOOKUP($A21,'Loyd List 1-190 - Edit'!$C$1:$AQ$220,'Book Details - NO EDIT'!G$1,FALSE)="","",VALUE(VLOOKUP($A21,'Loyd List 1-190 - Edit'!$C$1:$AQ$220,'Book Details - NO EDIT'!G$1,FALSE)))</f>
        <v>1817</v>
      </c>
      <c r="H21" s="140">
        <f>IF(VLOOKUP($A21,'Loyd List 1-190 - Edit'!$C$1:$AQ$220,'Book Details - NO EDIT'!H$1,FALSE)="","",VALUE(VLOOKUP($A21,'Loyd List 1-190 - Edit'!$C$1:$AQ$220,'Book Details - NO EDIT'!H$1,FALSE)))</f>
        <v>1907</v>
      </c>
      <c r="I21" s="141" t="str">
        <f>IF(VLOOKUP($A21,'Loyd List 1-190 - Edit'!$C$1:$AQ$220,'Book Details - NO EDIT'!I$1,FALSE)="","",(VLOOKUP($A21,'Loyd List 1-190 - Edit'!$C$1:$AQ$220,'Book Details - NO EDIT'!I$1,FALSE)))</f>
        <v>09/02/1817</v>
      </c>
      <c r="J21" s="141" t="str">
        <f>IF(VLOOKUP($A21,'Loyd List 1-190 - Edit'!$C$1:$AQ$220,'Book Details - NO EDIT'!J$1,FALSE)="","",(VLOOKUP($A21,'Loyd List 1-190 - Edit'!$C$1:$AQ$220,'Book Details - NO EDIT'!J$1,FALSE)))</f>
        <v>25/11/1907</v>
      </c>
      <c r="K21" s="100" t="str">
        <f>VLOOKUP($A21,'Loyd List 1-190 - Edit'!$C$1:$AQ$220,'Book Details - NO EDIT'!K$1,FALSE)</f>
        <v>Girl</v>
      </c>
      <c r="L21" s="140">
        <f>VLOOKUP($A21,'Loyd List 1-190 - Edit'!$C$1:$AQ$220,'Book Details - NO EDIT'!L$1,FALSE)</f>
        <v>8</v>
      </c>
      <c r="M21" s="140">
        <f t="shared" si="3"/>
        <v>1</v>
      </c>
      <c r="N21" s="140">
        <f t="shared" si="3"/>
        <v>0</v>
      </c>
      <c r="O21" s="140" t="str">
        <f t="shared" si="3"/>
        <v/>
      </c>
      <c r="P21" s="140" t="str">
        <f t="shared" si="3"/>
        <v/>
      </c>
      <c r="Q21" s="140" t="str">
        <f t="shared" si="4"/>
        <v/>
      </c>
      <c r="R21" s="140" t="str">
        <f t="shared" si="4"/>
        <v/>
      </c>
      <c r="S21" s="140" t="str">
        <f t="shared" si="5"/>
        <v/>
      </c>
      <c r="T21" s="140">
        <f t="shared" si="1"/>
        <v>2</v>
      </c>
      <c r="U21" s="139">
        <f t="shared" si="6"/>
        <v>19</v>
      </c>
      <c r="V21" s="31" t="str">
        <f t="shared" si="7"/>
        <v>Hannah (1817–1907)</v>
      </c>
      <c r="W21" s="31" t="str">
        <f t="shared" si="8"/>
        <v>Hannah (#19)</v>
      </c>
      <c r="X21" s="99" t="str">
        <f t="shared" si="9"/>
        <v>Hannah (1817–1907: #19)</v>
      </c>
      <c r="Y21" s="99" t="str">
        <f t="shared" si="2"/>
        <v>Hannah LOYD</v>
      </c>
      <c r="Z21" s="99" t="str">
        <f t="shared" si="10"/>
        <v>Edward (1780–1863: #8)</v>
      </c>
      <c r="AA21" s="99" t="str">
        <f t="shared" si="17"/>
        <v xml:space="preserve">Edward (1780–1863: #8) William (1729–1800: #1)      </v>
      </c>
      <c r="AB21" s="142" t="str">
        <f>VLOOKUP(U21,'Siblings of those BORN Loyd'!$A$2:$G$230,7,FALSE)</f>
        <v xml:space="preserve">7 – Sarah (1810–1858: #11) Lewis (1811–1891: #13) Annie (1813–1834: #15) Kate (1815–1905: #18)  Edward (1820–1890: #22) William (1821–1885: #23) Fanny (1824–1856: #24) </v>
      </c>
      <c r="AC21" s="115" t="str">
        <f>IF(ISNA(IF(K21="Boy",VLOOKUP(A21,'Siblings of those BORN Loyd'!$AP$3:$AQ$70,2,FALSE),VLOOKUP(A21,'Children of Female Loyds'!$AR$5:$AT$60,3,FALSE))),AM21,IF(K21="Boy",VLOOKUP(A21,'Siblings of those BORN Loyd'!$AP$3:$AQ$70,2,FALSE),VLOOKUP(A21,'Children of Female Loyds'!$AR$5:$AT$60,3,FALSE)))</f>
        <v xml:space="preserve">5 - William ENTWISLE (1839 - 1860: #19a) Richard ENTWISLE (1840 - 1894: #19b) Frederica ENTWISLE (1842 - 1916: #19c) Bernard ENTWISLE (1847 - 1877: #19d) Edward ENTWISLE (1852 - 1881: #19e)   </v>
      </c>
      <c r="AD21" s="97" t="str">
        <f t="shared" si="26"/>
        <v>-</v>
      </c>
      <c r="AE21" s="105" t="str">
        <f>IF(ISNA(IF(K21="Boy",VLOOKUP(A21,'Grandchildren of Male Loyds'!$AQ$3:$AS$51,3,FALSE),VLOOKUP(A21,'Grandchildren of Female Loyds'!$AX$5:$AZ$63,3,FALSE))),AM21,IF(K21="Boy",VLOOKUP(A21,'Grandchildren of Male Loyds'!$AQ$3:$AS$51,3,FALSE),VLOOKUP(A21,'Grandchildren of Female Loyds'!$AX$5:$AZ$63,3,FALSE)))</f>
        <v/>
      </c>
      <c r="AF21" s="105" t="str">
        <f>IF(ISNA(VLOOKUP(A21,'Grandchildren Loyd Daughters'!$BD$5:$BF$50,4,FALSE)),"",VLOOKUP(A21,'Grandchildren Loyd Daughters'!$BD$5:$BF$50,3,FALSE))</f>
        <v/>
      </c>
      <c r="AG21" s="129">
        <f>IF(ISNA(VLOOKUP(A21,'Grandchildren of Male Loyds'!$AQ$3:$AR$60,2,FALSE)),0,VLOOKUP(A21,'Grandchildren of Male Loyds'!$AQ$3:$AR$60,2,FALSE))+IF(ISNA(VLOOKUP(A21,'Grandchildren of Female Loyds'!$AX$5:$AY$50,2,FALSE)),0,VLOOKUP(A21,'Grandchildren of Female Loyds'!$AX$5:$AY$50,2,FALSE))+IF(ISNA(VLOOKUP(A21,'Grandchildren Loyd Daughters'!$BD$5:$BE$50,2,FALSE)),0,VLOOKUP(A21,'Grandchildren Loyd Daughters'!$BD$5:$BE$50,2,FALSE))</f>
        <v>0</v>
      </c>
      <c r="AH21" s="129" t="str">
        <f>VLOOKUP($U21,'Loyd List 1-190 - Edit'!$P$3:$AJ$220,21,FALSE)</f>
        <v>Sarah TAYLOR (b.5 Jul 1785, d. 19 Jan 1863)</v>
      </c>
      <c r="AI21" s="129" t="str">
        <f>VLOOKUP(A21,'Updated Bios &amp; Spouse Details'!$A$1:$J$200,7,FALSE)</f>
        <v>William ENTWISLE (b. 30 Sep 1809, d. 18 Aug 1865)</v>
      </c>
      <c r="AJ21" s="130" t="str">
        <f>IF(VLOOKUP($A21,'Loyd List 1-190 - Edit'!$C$1:$AQ$220,'Book Details - NO EDIT'!AJ$1,FALSE)="","",(VLOOKUP($A21,'Loyd List 1-190 - Edit'!$C$1:$AQ$220,'Book Details - NO EDIT'!AJ$1,FALSE)))</f>
        <v>27/04/1837</v>
      </c>
      <c r="AK21" s="129" t="str">
        <f>VLOOKUP(A21,'Updated Bios &amp; Spouse Details'!$A$1:$J$200,8,FALSE)</f>
        <v>William  of Rusholme House, Manchester. Hannah's husband William was born in Manchester and the fourth son of Richard Entwisle. He became an honorary Doctor of Civil Law at the University of Oxford in 1844, and was also a chairman of the Manchester and Leeds Railway Company, and a partner at banking firm Loyd, Entwisle, Bury and Jervis, now part of the Royal Bank of Scotland.</v>
      </c>
      <c r="AL21" s="131" t="str">
        <f>VLOOKUP(A21,'Updated Bios &amp; Spouse Details'!$A$1:$J$200,5,FALSE)</f>
        <v>Hannah lived at The Oaks, Sunningdale, Ascot, Berkshire (in her widowhood) and was the 4th daughter of Edward  (1780–1863: #8). Born 9 Feb 1817. Died  25 Nov 1907 and is buried at Sunningdale. Issue: 4 sons, 1 daughter.</v>
      </c>
      <c r="AM21" s="105" t="str">
        <f>IF(AND(LEN(H21)&gt;0,ISNA(IF(K21="Boy",VLOOKUP(A21,'Siblings of those BORN Loyd'!$AP$3:$AQ$70,2,FALSE),VLOOKUP(A21,'Children of Female Loyds'!$AR$5:$AS$60,2,FALSE)))),"d.s.p","")</f>
        <v/>
      </c>
      <c r="AN21" s="99" t="str">
        <f t="shared" si="12"/>
        <v>Edward (1780–1863: #8)</v>
      </c>
      <c r="AO21" s="99" t="str">
        <f t="shared" si="18"/>
        <v>William (1729–1800: #1)</v>
      </c>
      <c r="AP21" s="99" t="str">
        <f t="shared" si="19"/>
        <v/>
      </c>
      <c r="AQ21" s="99" t="str">
        <f t="shared" si="20"/>
        <v/>
      </c>
      <c r="AR21" s="99" t="str">
        <f t="shared" si="21"/>
        <v/>
      </c>
      <c r="AS21" s="99" t="str">
        <f t="shared" si="22"/>
        <v/>
      </c>
      <c r="AT21" s="99" t="str">
        <f t="shared" si="23"/>
        <v/>
      </c>
      <c r="AU21" s="99" t="str">
        <f t="shared" si="24"/>
        <v/>
      </c>
      <c r="AW21" s="116" t="str">
        <f>VLOOKUP(A21,'Updated Bios &amp; Spouse Details'!$A$1:$J$193,6,FALSE)</f>
        <v>England</v>
      </c>
      <c r="AX21" s="131">
        <f>VLOOKUP($A21,'Loyd List 1-190 - Edit'!$P$2:$AQ$220,AX$1,FALSE)</f>
        <v>19</v>
      </c>
      <c r="AY21" s="116" t="str">
        <f>IF(ISNA(VLOOKUP(A21,'Data check lookup table'!$G$2:$V$73,13,FALSE))," - ",VLOOKUP(A21,'Data check lookup table'!$G$2:$V$73,13,FALSE))</f>
        <v xml:space="preserve"> - </v>
      </c>
      <c r="AZ21" s="147" t="str">
        <f t="shared" si="14"/>
        <v>25/11/1907</v>
      </c>
      <c r="BA21" s="99" t="str">
        <f t="shared" si="15"/>
        <v/>
      </c>
      <c r="BB21" s="99" t="str">
        <f t="shared" si="16"/>
        <v/>
      </c>
      <c r="BI21" s="147" t="s">
        <v>3162</v>
      </c>
    </row>
    <row r="22" spans="1:61" s="99" customFormat="1" ht="34">
      <c r="A22" s="139">
        <f>'Loyd List 1-190 - Edit'!C22</f>
        <v>20</v>
      </c>
      <c r="B22" s="99" t="str">
        <f>VLOOKUP($A22,'Loyd List 1-190 - Edit'!$C$1:$AQ$220,'Book Details - NO EDIT'!B$1,FALSE)</f>
        <v>John</v>
      </c>
      <c r="C22" s="99" t="str">
        <f>IF(VLOOKUP($A22,'Loyd List 1-190 - Edit'!$C$1:$AQ$220,'Book Details - NO EDIT'!C$1,FALSE)="","",VLOOKUP($A22,'Loyd List 1-190 - Edit'!$C$1:$AQ$220,'Book Details - NO EDIT'!C$1,FALSE))</f>
        <v>Kirkman</v>
      </c>
      <c r="D22" s="99" t="str">
        <f>IF(VLOOKUP($A22,'Loyd List 1-190 - Edit'!$C$1:$AQ$220,'Book Details - NO EDIT'!D$1,FALSE)="","",VLOOKUP($A22,'Loyd List 1-190 - Edit'!$C$1:$AQ$220,'Book Details - NO EDIT'!D$1,FALSE))</f>
        <v/>
      </c>
      <c r="E22" s="99" t="str">
        <f>IF(VLOOKUP($A22,'Loyd List 1-190 - Edit'!$C$1:$AQ$220,'Book Details - NO EDIT'!E$1,FALSE)="","",VLOOKUP($A22,'Loyd List 1-190 - Edit'!$C$1:$AQ$220,'Book Details - NO EDIT'!E$1,FALSE))</f>
        <v>LOYD</v>
      </c>
      <c r="F22" s="99" t="str">
        <f>IF(VLOOKUP($A22,'Loyd List 1-190 - Edit'!$C$1:$AQ$220,'Book Details - NO EDIT'!F$1,FALSE)="",B22,VLOOKUP($A22,'Loyd List 1-190 - Edit'!$C$1:$AQ$220,'Book Details - NO EDIT'!F$1,FALSE))</f>
        <v>John</v>
      </c>
      <c r="G22" s="140">
        <f>IF(VLOOKUP($A22,'Loyd List 1-190 - Edit'!$C$1:$AQ$220,'Book Details - NO EDIT'!G$1,FALSE)="","",VALUE(VLOOKUP($A22,'Loyd List 1-190 - Edit'!$C$1:$AQ$220,'Book Details - NO EDIT'!G$1,FALSE)))</f>
        <v>1817</v>
      </c>
      <c r="H22" s="140">
        <f>IF(VLOOKUP($A22,'Loyd List 1-190 - Edit'!$C$1:$AQ$220,'Book Details - NO EDIT'!H$1,FALSE)="","",VALUE(VLOOKUP($A22,'Loyd List 1-190 - Edit'!$C$1:$AQ$220,'Book Details - NO EDIT'!H$1,FALSE)))</f>
        <v>1818</v>
      </c>
      <c r="I22" s="141" t="str">
        <f>IF(VLOOKUP($A22,'Loyd List 1-190 - Edit'!$C$1:$AQ$220,'Book Details - NO EDIT'!I$1,FALSE)="","",(VLOOKUP($A22,'Loyd List 1-190 - Edit'!$C$1:$AQ$220,'Book Details - NO EDIT'!I$1,FALSE)))</f>
        <v>03/10/1817</v>
      </c>
      <c r="J22" s="141" t="str">
        <f>IF(VLOOKUP($A22,'Loyd List 1-190 - Edit'!$C$1:$AQ$220,'Book Details - NO EDIT'!J$1,FALSE)="","",(VLOOKUP($A22,'Loyd List 1-190 - Edit'!$C$1:$AQ$220,'Book Details - NO EDIT'!J$1,FALSE)))</f>
        <v>13/04/1818</v>
      </c>
      <c r="K22" s="100" t="str">
        <f>VLOOKUP($A22,'Loyd List 1-190 - Edit'!$C$1:$AQ$220,'Book Details - NO EDIT'!K$1,FALSE)</f>
        <v>Boy</v>
      </c>
      <c r="L22" s="140">
        <f>VLOOKUP($A22,'Loyd List 1-190 - Edit'!$C$1:$AQ$220,'Book Details - NO EDIT'!L$1,FALSE)</f>
        <v>4</v>
      </c>
      <c r="M22" s="140">
        <f t="shared" si="3"/>
        <v>1</v>
      </c>
      <c r="N22" s="140">
        <f t="shared" si="3"/>
        <v>0</v>
      </c>
      <c r="O22" s="140" t="str">
        <f t="shared" si="3"/>
        <v/>
      </c>
      <c r="P22" s="140" t="str">
        <f t="shared" si="3"/>
        <v/>
      </c>
      <c r="Q22" s="140" t="str">
        <f t="shared" si="4"/>
        <v/>
      </c>
      <c r="R22" s="140" t="str">
        <f t="shared" si="4"/>
        <v/>
      </c>
      <c r="S22" s="140" t="str">
        <f t="shared" si="5"/>
        <v/>
      </c>
      <c r="T22" s="140">
        <f t="shared" si="1"/>
        <v>2</v>
      </c>
      <c r="U22" s="139">
        <f t="shared" si="6"/>
        <v>20</v>
      </c>
      <c r="V22" s="31" t="str">
        <f t="shared" si="7"/>
        <v>John (1817–1818)</v>
      </c>
      <c r="W22" s="31" t="str">
        <f t="shared" si="8"/>
        <v>John (#20)</v>
      </c>
      <c r="X22" s="99" t="str">
        <f t="shared" si="9"/>
        <v>John (1817–1818: #20)</v>
      </c>
      <c r="Y22" s="99" t="str">
        <f t="shared" si="2"/>
        <v>John Kirkman LOYD</v>
      </c>
      <c r="Z22" s="99" t="str">
        <f t="shared" si="10"/>
        <v>William (1770–1828: #4)</v>
      </c>
      <c r="AA22" s="99" t="str">
        <f t="shared" si="17"/>
        <v xml:space="preserve">William (1770–1828: #4) William (1729–1800: #1)      </v>
      </c>
      <c r="AB22" s="142" t="str">
        <f>VLOOKUP(U22,'Siblings of those BORN Loyd'!$A$2:$G$230,7,FALSE)</f>
        <v xml:space="preserve">6 – William (1809–1879: #10) Eliza (1810–1861: #12) Thomas (1812–1857: #14) Maria (1814–1900: #16) Edward (1815–1815: #17)  Lewis (1819–1841: #21)  </v>
      </c>
      <c r="AC22" s="115" t="str">
        <f>IF(ISNA(IF(K22="Boy",VLOOKUP(A22,'Siblings of those BORN Loyd'!$AP$3:$AQ$70,2,FALSE),VLOOKUP(A22,'Children of Female Loyds'!$AR$5:$AT$60,3,FALSE))),AM22,IF(K22="Boy",VLOOKUP(A22,'Siblings of those BORN Loyd'!$AP$3:$AQ$70,2,FALSE),VLOOKUP(A22,'Children of Female Loyds'!$AR$5:$AT$60,3,FALSE)))</f>
        <v>d.s.p</v>
      </c>
      <c r="AD22" s="97" t="str">
        <f t="shared" si="26"/>
        <v>d.s.p.</v>
      </c>
      <c r="AE22" s="105" t="str">
        <f>IF(ISNA(IF(K22="Boy",VLOOKUP(A22,'Grandchildren of Male Loyds'!$AQ$3:$AS$51,3,FALSE),VLOOKUP(A22,'Grandchildren of Female Loyds'!$AX$5:$AZ$63,3,FALSE))),AM22,IF(K22="Boy",VLOOKUP(A22,'Grandchildren of Male Loyds'!$AQ$3:$AS$51,3,FALSE),VLOOKUP(A22,'Grandchildren of Female Loyds'!$AX$5:$AZ$63,3,FALSE)))</f>
        <v>d.s.p</v>
      </c>
      <c r="AF22" s="105" t="str">
        <f>IF(ISNA(VLOOKUP(A22,'Grandchildren Loyd Daughters'!$BD$5:$BF$50,4,FALSE)),"",VLOOKUP(A22,'Grandchildren Loyd Daughters'!$BD$5:$BF$50,3,FALSE))</f>
        <v/>
      </c>
      <c r="AG22" s="129">
        <f>IF(ISNA(VLOOKUP(A22,'Grandchildren of Male Loyds'!$AQ$3:$AR$60,2,FALSE)),0,VLOOKUP(A22,'Grandchildren of Male Loyds'!$AQ$3:$AR$60,2,FALSE))+IF(ISNA(VLOOKUP(A22,'Grandchildren of Female Loyds'!$AX$5:$AY$50,2,FALSE)),0,VLOOKUP(A22,'Grandchildren of Female Loyds'!$AX$5:$AY$50,2,FALSE))+IF(ISNA(VLOOKUP(A22,'Grandchildren Loyd Daughters'!$BD$5:$BE$50,2,FALSE)),0,VLOOKUP(A22,'Grandchildren Loyd Daughters'!$BD$5:$BE$50,2,FALSE))</f>
        <v>0</v>
      </c>
      <c r="AH22" s="129" t="str">
        <f>VLOOKUP($U22,'Loyd List 1-190 - Edit'!$P$3:$AJ$220,21,FALSE)</f>
        <v>Martha KIRKMAN (b. 17 Nov 1775, d. 4 Feb 1857)</v>
      </c>
      <c r="AI22" s="129" t="str">
        <f>VLOOKUP(A22,'Updated Bios &amp; Spouse Details'!$A$1:$J$200,7,FALSE)</f>
        <v>Died in infancy.</v>
      </c>
      <c r="AJ22" s="130" t="str">
        <f>IF(VLOOKUP($A22,'Loyd List 1-190 - Edit'!$C$1:$AQ$220,'Book Details - NO EDIT'!AJ$1,FALSE)="","",(VLOOKUP($A22,'Loyd List 1-190 - Edit'!$C$1:$AQ$220,'Book Details - NO EDIT'!AJ$1,FALSE)))</f>
        <v xml:space="preserve"> - </v>
      </c>
      <c r="AK22" s="129" t="str">
        <f>VLOOKUP(A22,'Updated Bios &amp; Spouse Details'!$A$1:$J$200,8,FALSE)</f>
        <v xml:space="preserve"> - </v>
      </c>
      <c r="AL22" s="131" t="str">
        <f>VLOOKUP(A22,'Updated Bios &amp; Spouse Details'!$A$1:$J$200,5,FALSE)</f>
        <v>John was the 4th son of William (1770–1828: #4) of 7 Bread Street, Cheapside, London EC2. Born  3 Oct 1817. Died in infancy on 13 Apr 1818; buried at Bunhill Fields, London in family grave (plan 15, grave no. 223).</v>
      </c>
      <c r="AM22" s="105" t="str">
        <f>IF(AND(LEN(H22)&gt;0,ISNA(IF(K22="Boy",VLOOKUP(A22,'Siblings of those BORN Loyd'!$AP$3:$AQ$70,2,FALSE),VLOOKUP(A22,'Children of Female Loyds'!$AR$5:$AS$60,2,FALSE)))),"d.s.p","")</f>
        <v>d.s.p</v>
      </c>
      <c r="AN22" s="99" t="str">
        <f t="shared" si="12"/>
        <v>William (1770–1828: #4)</v>
      </c>
      <c r="AO22" s="99" t="str">
        <f t="shared" si="18"/>
        <v>William (1729–1800: #1)</v>
      </c>
      <c r="AP22" s="99" t="str">
        <f t="shared" si="19"/>
        <v/>
      </c>
      <c r="AQ22" s="99" t="str">
        <f t="shared" si="20"/>
        <v/>
      </c>
      <c r="AR22" s="99" t="str">
        <f t="shared" si="21"/>
        <v/>
      </c>
      <c r="AS22" s="99" t="str">
        <f t="shared" si="22"/>
        <v/>
      </c>
      <c r="AT22" s="99" t="str">
        <f t="shared" si="23"/>
        <v/>
      </c>
      <c r="AU22" s="99" t="str">
        <f t="shared" si="24"/>
        <v/>
      </c>
      <c r="AW22" s="116" t="str">
        <f>VLOOKUP(A22,'Updated Bios &amp; Spouse Details'!$A$1:$J$193,6,FALSE)</f>
        <v>England</v>
      </c>
      <c r="AX22" s="131">
        <f>VLOOKUP($A22,'Loyd List 1-190 - Edit'!$P$2:$AQ$220,AX$1,FALSE)</f>
        <v>20</v>
      </c>
      <c r="AY22" s="116" t="str">
        <f>IF(ISNA(VLOOKUP(A22,'Data check lookup table'!$G$2:$V$73,13,FALSE))," - ",VLOOKUP(A22,'Data check lookup table'!$G$2:$V$73,13,FALSE))</f>
        <v xml:space="preserve"> - </v>
      </c>
      <c r="AZ22" s="147" t="str">
        <f t="shared" si="14"/>
        <v>13/04/1818</v>
      </c>
      <c r="BA22" s="99" t="str">
        <f t="shared" si="15"/>
        <v/>
      </c>
      <c r="BB22" s="99" t="str">
        <f t="shared" si="16"/>
        <v/>
      </c>
      <c r="BI22" s="147" t="s">
        <v>1026</v>
      </c>
    </row>
    <row r="23" spans="1:61" s="99" customFormat="1" ht="51">
      <c r="A23" s="139">
        <f>'Loyd List 1-190 - Edit'!C23</f>
        <v>21</v>
      </c>
      <c r="B23" s="99" t="str">
        <f>VLOOKUP($A23,'Loyd List 1-190 - Edit'!$C$1:$AQ$220,'Book Details - NO EDIT'!B$1,FALSE)</f>
        <v>Lewis</v>
      </c>
      <c r="C23" s="99" t="str">
        <f>IF(VLOOKUP($A23,'Loyd List 1-190 - Edit'!$C$1:$AQ$220,'Book Details - NO EDIT'!C$1,FALSE)="","",VLOOKUP($A23,'Loyd List 1-190 - Edit'!$C$1:$AQ$220,'Book Details - NO EDIT'!C$1,FALSE))</f>
        <v xml:space="preserve">Kirkman </v>
      </c>
      <c r="D23" s="99" t="str">
        <f>IF(VLOOKUP($A23,'Loyd List 1-190 - Edit'!$C$1:$AQ$220,'Book Details - NO EDIT'!D$1,FALSE)="","",VLOOKUP($A23,'Loyd List 1-190 - Edit'!$C$1:$AQ$220,'Book Details - NO EDIT'!D$1,FALSE))</f>
        <v/>
      </c>
      <c r="E23" s="99" t="str">
        <f>IF(VLOOKUP($A23,'Loyd List 1-190 - Edit'!$C$1:$AQ$220,'Book Details - NO EDIT'!E$1,FALSE)="","",VLOOKUP($A23,'Loyd List 1-190 - Edit'!$C$1:$AQ$220,'Book Details - NO EDIT'!E$1,FALSE))</f>
        <v>LOYD</v>
      </c>
      <c r="F23" s="99" t="str">
        <f>IF(VLOOKUP($A23,'Loyd List 1-190 - Edit'!$C$1:$AQ$220,'Book Details - NO EDIT'!F$1,FALSE)="",B23,VLOOKUP($A23,'Loyd List 1-190 - Edit'!$C$1:$AQ$220,'Book Details - NO EDIT'!F$1,FALSE))</f>
        <v>Lewis</v>
      </c>
      <c r="G23" s="140">
        <f>IF(VLOOKUP($A23,'Loyd List 1-190 - Edit'!$C$1:$AQ$220,'Book Details - NO EDIT'!G$1,FALSE)="","",VALUE(VLOOKUP($A23,'Loyd List 1-190 - Edit'!$C$1:$AQ$220,'Book Details - NO EDIT'!G$1,FALSE)))</f>
        <v>1819</v>
      </c>
      <c r="H23" s="140">
        <f>IF(VLOOKUP($A23,'Loyd List 1-190 - Edit'!$C$1:$AQ$220,'Book Details - NO EDIT'!H$1,FALSE)="","",VALUE(VLOOKUP($A23,'Loyd List 1-190 - Edit'!$C$1:$AQ$220,'Book Details - NO EDIT'!H$1,FALSE)))</f>
        <v>1841</v>
      </c>
      <c r="I23" s="141" t="str">
        <f>IF(VLOOKUP($A23,'Loyd List 1-190 - Edit'!$C$1:$AQ$220,'Book Details - NO EDIT'!I$1,FALSE)="","",(VLOOKUP($A23,'Loyd List 1-190 - Edit'!$C$1:$AQ$220,'Book Details - NO EDIT'!I$1,FALSE)))</f>
        <v>29/04/1819</v>
      </c>
      <c r="J23" s="141" t="str">
        <f>IF(VLOOKUP($A23,'Loyd List 1-190 - Edit'!$C$1:$AQ$220,'Book Details - NO EDIT'!J$1,FALSE)="","",(VLOOKUP($A23,'Loyd List 1-190 - Edit'!$C$1:$AQ$220,'Book Details - NO EDIT'!J$1,FALSE)))</f>
        <v>07/07/1841</v>
      </c>
      <c r="K23" s="100" t="str">
        <f>VLOOKUP($A23,'Loyd List 1-190 - Edit'!$C$1:$AQ$220,'Book Details - NO EDIT'!K$1,FALSE)</f>
        <v>Boy</v>
      </c>
      <c r="L23" s="140">
        <f>VLOOKUP($A23,'Loyd List 1-190 - Edit'!$C$1:$AQ$220,'Book Details - NO EDIT'!L$1,FALSE)</f>
        <v>4</v>
      </c>
      <c r="M23" s="140">
        <f t="shared" si="3"/>
        <v>1</v>
      </c>
      <c r="N23" s="140">
        <f t="shared" si="3"/>
        <v>0</v>
      </c>
      <c r="O23" s="140" t="str">
        <f t="shared" si="3"/>
        <v/>
      </c>
      <c r="P23" s="140" t="str">
        <f t="shared" si="3"/>
        <v/>
      </c>
      <c r="Q23" s="140" t="str">
        <f t="shared" si="4"/>
        <v/>
      </c>
      <c r="R23" s="140" t="str">
        <f t="shared" si="4"/>
        <v/>
      </c>
      <c r="S23" s="140" t="str">
        <f t="shared" si="5"/>
        <v/>
      </c>
      <c r="T23" s="140">
        <f t="shared" si="1"/>
        <v>2</v>
      </c>
      <c r="U23" s="139">
        <f t="shared" si="6"/>
        <v>21</v>
      </c>
      <c r="V23" s="31" t="str">
        <f t="shared" si="7"/>
        <v>Lewis (1819–1841)</v>
      </c>
      <c r="W23" s="31" t="str">
        <f t="shared" si="8"/>
        <v>Lewis (#21)</v>
      </c>
      <c r="X23" s="99" t="str">
        <f t="shared" si="9"/>
        <v>Lewis (1819–1841: #21)</v>
      </c>
      <c r="Y23" s="99" t="str">
        <f t="shared" si="2"/>
        <v>Lewis Kirkman  LOYD</v>
      </c>
      <c r="Z23" s="99" t="str">
        <f t="shared" si="10"/>
        <v>William (1770–1828: #4)</v>
      </c>
      <c r="AA23" s="99" t="str">
        <f t="shared" si="17"/>
        <v xml:space="preserve">William (1770–1828: #4) William (1729–1800: #1)      </v>
      </c>
      <c r="AB23" s="142" t="str">
        <f>VLOOKUP(U23,'Siblings of those BORN Loyd'!$A$2:$G$230,7,FALSE)</f>
        <v xml:space="preserve">6 – William (1809–1879: #10) Eliza (1810–1861: #12) Thomas (1812–1857: #14) Maria (1814–1900: #16) Edward (1815–1815: #17) John (1817–1818: #20)   </v>
      </c>
      <c r="AC23" s="115" t="str">
        <f>IF(ISNA(IF(K23="Boy",VLOOKUP(A23,'Siblings of those BORN Loyd'!$AP$3:$AQ$70,2,FALSE),VLOOKUP(A23,'Children of Female Loyds'!$AR$5:$AT$60,3,FALSE))),AM23,IF(K23="Boy",VLOOKUP(A23,'Siblings of those BORN Loyd'!$AP$3:$AQ$70,2,FALSE),VLOOKUP(A23,'Children of Female Loyds'!$AR$5:$AT$60,3,FALSE)))</f>
        <v>d.s.p</v>
      </c>
      <c r="AD23" s="97" t="str">
        <f t="shared" si="26"/>
        <v>d.s.p.</v>
      </c>
      <c r="AE23" s="105" t="str">
        <f>IF(ISNA(IF(K23="Boy",VLOOKUP(A23,'Grandchildren of Male Loyds'!$AQ$3:$AS$51,3,FALSE),VLOOKUP(A23,'Grandchildren of Female Loyds'!$AX$5:$AZ$63,3,FALSE))),AM23,IF(K23="Boy",VLOOKUP(A23,'Grandchildren of Male Loyds'!$AQ$3:$AS$51,3,FALSE),VLOOKUP(A23,'Grandchildren of Female Loyds'!$AX$5:$AZ$63,3,FALSE)))</f>
        <v>d.s.p</v>
      </c>
      <c r="AF23" s="105" t="str">
        <f>IF(ISNA(VLOOKUP(A23,'Grandchildren Loyd Daughters'!$BD$5:$BF$50,4,FALSE)),"",VLOOKUP(A23,'Grandchildren Loyd Daughters'!$BD$5:$BF$50,3,FALSE))</f>
        <v/>
      </c>
      <c r="AG23" s="129">
        <f>IF(ISNA(VLOOKUP(A23,'Grandchildren of Male Loyds'!$AQ$3:$AR$60,2,FALSE)),0,VLOOKUP(A23,'Grandchildren of Male Loyds'!$AQ$3:$AR$60,2,FALSE))+IF(ISNA(VLOOKUP(A23,'Grandchildren of Female Loyds'!$AX$5:$AY$50,2,FALSE)),0,VLOOKUP(A23,'Grandchildren of Female Loyds'!$AX$5:$AY$50,2,FALSE))+IF(ISNA(VLOOKUP(A23,'Grandchildren Loyd Daughters'!$BD$5:$BE$50,2,FALSE)),0,VLOOKUP(A23,'Grandchildren Loyd Daughters'!$BD$5:$BE$50,2,FALSE))</f>
        <v>0</v>
      </c>
      <c r="AH23" s="129" t="str">
        <f>VLOOKUP($U23,'Loyd List 1-190 - Edit'!$P$3:$AJ$220,21,FALSE)</f>
        <v>Martha KIRKMAN (b. 17 Nov 1775, d. 4 Feb 1857)</v>
      </c>
      <c r="AI23" s="129" t="str">
        <f>VLOOKUP(A23,'Updated Bios &amp; Spouse Details'!$A$1:$J$200,7,FALSE)</f>
        <v>Unmarried</v>
      </c>
      <c r="AJ23" s="130" t="str">
        <f>IF(VLOOKUP($A23,'Loyd List 1-190 - Edit'!$C$1:$AQ$220,'Book Details - NO EDIT'!AJ$1,FALSE)="","",(VLOOKUP($A23,'Loyd List 1-190 - Edit'!$C$1:$AQ$220,'Book Details - NO EDIT'!AJ$1,FALSE)))</f>
        <v xml:space="preserve"> - </v>
      </c>
      <c r="AK23" s="129" t="str">
        <f>VLOOKUP(A23,'Updated Bios &amp; Spouse Details'!$A$1:$J$200,8,FALSE)</f>
        <v xml:space="preserve"> - </v>
      </c>
      <c r="AL23" s="131" t="str">
        <f>VLOOKUP(A23,'Updated Bios &amp; Spouse Details'!$A$1:$J$200,5,FALSE)</f>
        <v>Lewis was the 5th and youngest son of William (1770–1828: #4) of 7 Bread Street, Cheapside, London EC2. Born 29 Apr 1819. Educated Harrow. Four years a clerk on the London Stock Exchange. Contracted consumption. Died 7 Jul 1841 and buried at Bunhill Fields, London, in family grave (plan 15, grave no. 223). Some of the volumes of the classics, his Harrow school books were in possession of Peter (1922–2022: #98). DSP</v>
      </c>
      <c r="AM23" s="105" t="str">
        <f>IF(AND(LEN(H23)&gt;0,ISNA(IF(K23="Boy",VLOOKUP(A23,'Siblings of those BORN Loyd'!$AP$3:$AQ$70,2,FALSE),VLOOKUP(A23,'Children of Female Loyds'!$AR$5:$AS$60,2,FALSE)))),"d.s.p","")</f>
        <v>d.s.p</v>
      </c>
      <c r="AN23" s="99" t="str">
        <f t="shared" si="12"/>
        <v>William (1770–1828: #4)</v>
      </c>
      <c r="AO23" s="99" t="str">
        <f t="shared" si="18"/>
        <v>William (1729–1800: #1)</v>
      </c>
      <c r="AP23" s="99" t="str">
        <f t="shared" si="19"/>
        <v/>
      </c>
      <c r="AQ23" s="99" t="str">
        <f t="shared" si="20"/>
        <v/>
      </c>
      <c r="AR23" s="99" t="str">
        <f t="shared" si="21"/>
        <v/>
      </c>
      <c r="AS23" s="99" t="str">
        <f t="shared" si="22"/>
        <v/>
      </c>
      <c r="AT23" s="99" t="str">
        <f t="shared" si="23"/>
        <v/>
      </c>
      <c r="AU23" s="99" t="str">
        <f t="shared" si="24"/>
        <v/>
      </c>
      <c r="AW23" s="116" t="str">
        <f>VLOOKUP(A23,'Updated Bios &amp; Spouse Details'!$A$1:$J$193,6,FALSE)</f>
        <v>England</v>
      </c>
      <c r="AX23" s="131">
        <f>VLOOKUP($A23,'Loyd List 1-190 - Edit'!$P$2:$AQ$220,AX$1,FALSE)</f>
        <v>21</v>
      </c>
      <c r="AY23" s="116" t="str">
        <f>IF(ISNA(VLOOKUP(A23,'Data check lookup table'!$G$2:$V$73,13,FALSE))," - ",VLOOKUP(A23,'Data check lookup table'!$G$2:$V$73,13,FALSE))</f>
        <v xml:space="preserve"> - </v>
      </c>
      <c r="AZ23" s="147" t="str">
        <f t="shared" si="14"/>
        <v>07/07/1841</v>
      </c>
      <c r="BA23" s="99" t="str">
        <f t="shared" si="15"/>
        <v/>
      </c>
      <c r="BB23" s="99" t="str">
        <f t="shared" si="16"/>
        <v/>
      </c>
      <c r="BI23" s="147" t="s">
        <v>1029</v>
      </c>
    </row>
    <row r="24" spans="1:61" s="99" customFormat="1" ht="388">
      <c r="A24" s="139">
        <f>'Loyd List 1-190 - Edit'!C24</f>
        <v>22</v>
      </c>
      <c r="B24" s="99" t="str">
        <f>VLOOKUP($A24,'Loyd List 1-190 - Edit'!$C$1:$AQ$220,'Book Details - NO EDIT'!B$1,FALSE)</f>
        <v>Edward</v>
      </c>
      <c r="C24" s="99" t="str">
        <f>IF(VLOOKUP($A24,'Loyd List 1-190 - Edit'!$C$1:$AQ$220,'Book Details - NO EDIT'!C$1,FALSE)="","",VLOOKUP($A24,'Loyd List 1-190 - Edit'!$C$1:$AQ$220,'Book Details - NO EDIT'!C$1,FALSE))</f>
        <v/>
      </c>
      <c r="D24" s="99" t="str">
        <f>IF(VLOOKUP($A24,'Loyd List 1-190 - Edit'!$C$1:$AQ$220,'Book Details - NO EDIT'!D$1,FALSE)="","",VLOOKUP($A24,'Loyd List 1-190 - Edit'!$C$1:$AQ$220,'Book Details - NO EDIT'!D$1,FALSE))</f>
        <v/>
      </c>
      <c r="E24" s="99" t="str">
        <f>IF(VLOOKUP($A24,'Loyd List 1-190 - Edit'!$C$1:$AQ$220,'Book Details - NO EDIT'!E$1,FALSE)="","",VLOOKUP($A24,'Loyd List 1-190 - Edit'!$C$1:$AQ$220,'Book Details - NO EDIT'!E$1,FALSE))</f>
        <v>LOYD</v>
      </c>
      <c r="F24" s="99" t="str">
        <f>IF(VLOOKUP($A24,'Loyd List 1-190 - Edit'!$C$1:$AQ$220,'Book Details - NO EDIT'!F$1,FALSE)="",B24,VLOOKUP($A24,'Loyd List 1-190 - Edit'!$C$1:$AQ$220,'Book Details - NO EDIT'!F$1,FALSE))</f>
        <v>Edward</v>
      </c>
      <c r="G24" s="140">
        <f>IF(VLOOKUP($A24,'Loyd List 1-190 - Edit'!$C$1:$AQ$220,'Book Details - NO EDIT'!G$1,FALSE)="","",VALUE(VLOOKUP($A24,'Loyd List 1-190 - Edit'!$C$1:$AQ$220,'Book Details - NO EDIT'!G$1,FALSE)))</f>
        <v>1820</v>
      </c>
      <c r="H24" s="140">
        <f>IF(VLOOKUP($A24,'Loyd List 1-190 - Edit'!$C$1:$AQ$220,'Book Details - NO EDIT'!H$1,FALSE)="","",VALUE(VLOOKUP($A24,'Loyd List 1-190 - Edit'!$C$1:$AQ$220,'Book Details - NO EDIT'!H$1,FALSE)))</f>
        <v>1890</v>
      </c>
      <c r="I24" s="141" t="str">
        <f>IF(VLOOKUP($A24,'Loyd List 1-190 - Edit'!$C$1:$AQ$220,'Book Details - NO EDIT'!I$1,FALSE)="","",(VLOOKUP($A24,'Loyd List 1-190 - Edit'!$C$1:$AQ$220,'Book Details - NO EDIT'!I$1,FALSE)))</f>
        <v>19/04/1820</v>
      </c>
      <c r="J24" s="141" t="str">
        <f>IF(VLOOKUP($A24,'Loyd List 1-190 - Edit'!$C$1:$AQ$220,'Book Details - NO EDIT'!J$1,FALSE)="","",(VLOOKUP($A24,'Loyd List 1-190 - Edit'!$C$1:$AQ$220,'Book Details - NO EDIT'!J$1,FALSE)))</f>
        <v>21/12/1890</v>
      </c>
      <c r="K24" s="100" t="str">
        <f>VLOOKUP($A24,'Loyd List 1-190 - Edit'!$C$1:$AQ$220,'Book Details - NO EDIT'!K$1,FALSE)</f>
        <v>Boy</v>
      </c>
      <c r="L24" s="140">
        <f>VLOOKUP($A24,'Loyd List 1-190 - Edit'!$C$1:$AQ$220,'Book Details - NO EDIT'!L$1,FALSE)</f>
        <v>8</v>
      </c>
      <c r="M24" s="140">
        <f t="shared" si="3"/>
        <v>1</v>
      </c>
      <c r="N24" s="140">
        <f t="shared" si="3"/>
        <v>0</v>
      </c>
      <c r="O24" s="140" t="str">
        <f t="shared" si="3"/>
        <v/>
      </c>
      <c r="P24" s="140" t="str">
        <f t="shared" si="3"/>
        <v/>
      </c>
      <c r="Q24" s="140" t="str">
        <f t="shared" si="4"/>
        <v/>
      </c>
      <c r="R24" s="140" t="str">
        <f t="shared" si="4"/>
        <v/>
      </c>
      <c r="S24" s="140" t="str">
        <f t="shared" si="5"/>
        <v/>
      </c>
      <c r="T24" s="140">
        <f t="shared" si="1"/>
        <v>2</v>
      </c>
      <c r="U24" s="139">
        <f t="shared" si="6"/>
        <v>22</v>
      </c>
      <c r="V24" s="31" t="str">
        <f t="shared" si="7"/>
        <v>Edward (1820–1890)</v>
      </c>
      <c r="W24" s="31" t="str">
        <f t="shared" si="8"/>
        <v>Edward (#22)</v>
      </c>
      <c r="X24" s="99" t="str">
        <f t="shared" si="9"/>
        <v>Edward (1820–1890: #22)</v>
      </c>
      <c r="Y24" s="99" t="str">
        <f t="shared" si="2"/>
        <v>Edward LOYD</v>
      </c>
      <c r="Z24" s="99" t="str">
        <f t="shared" si="10"/>
        <v>Edward (1780–1863: #8)</v>
      </c>
      <c r="AA24" s="99" t="str">
        <f t="shared" si="17"/>
        <v xml:space="preserve">Edward (1780–1863: #8) William (1729–1800: #1)      </v>
      </c>
      <c r="AB24" s="142" t="str">
        <f>VLOOKUP(U24,'Siblings of those BORN Loyd'!$A$2:$G$230,7,FALSE)</f>
        <v xml:space="preserve">7 – Sarah (1810–1858: #11) Lewis (1811–1891: #13) Annie (1813–1834: #15) Kate (1815–1905: #18) Hannah (1817–1907: #19)  William (1821–1885: #23) Fanny (1824–1856: #24) </v>
      </c>
      <c r="AC24" s="115" t="str">
        <f>IF(ISNA(IF(K24="Boy",VLOOKUP(A24,'Siblings of those BORN Loyd'!$AP$3:$AQ$70,2,FALSE),VLOOKUP(A24,'Children of Female Loyds'!$AR$5:$AT$60,3,FALSE))),AM24,IF(K24="Boy",VLOOKUP(A24,'Siblings of those BORN Loyd'!$AP$3:$AQ$70,2,FALSE),VLOOKUP(A24,'Children of Female Loyds'!$AR$5:$AT$60,3,FALSE)))</f>
        <v>7 - Mary (1848–1934: #31); Elinor (1853–1895: #36); Fa (1855–1927: #39); Frederic (1856–1936: #41); Meg (1859–1936: #43); Llewellyn (1861–1939: #45); Caroline (1864–1940: #47)</v>
      </c>
      <c r="AD24" s="97" t="str">
        <f t="shared" si="26"/>
        <v xml:space="preserve">19 - Lewis (1880–1918: #52); Edward (1881–1962: #53); Evelyn (1885–1962: #59); Mary (1887–1968: #63); Cecil (1890–1963: #68); Eric (1891–1967: #73); Cecily (1891–1891: #74); Alwyne (1894–1917: #79); Ruby (1898–1977: #83)   George COURTHOPE (1877 - 1955:  #36a) Alexander COURTHOPE (1878 - 1892:  #36b) John COURTHOPE (1882 - 1954:  #36c) Barbara COURTHOPE (1883 - 1972:  #36d) Elinor COURTHOPE (1886 - 1974:  #36e) Richard COURTHOPE (1888 - 1889:  #36f) Robert COURTHOPE (1891 - 1966:  #36g) Margery COURTHOPE (1893 - 1901:  #36h) Loyd HARDCASTLE (1893 - 1955:  #47a) Canon Joseph HARDCASTLE (1899 - 1972:  #47b)     </v>
      </c>
      <c r="AE24" s="105" t="str">
        <f>IF(ISNA(IF(K24="Boy",VLOOKUP(A24,'Grandchildren of Male Loyds'!$AQ$3:$AS$51,3,FALSE),VLOOKUP(A24,'Grandchildren of Female Loyds'!$AX$5:$AZ$63,3,FALSE))),AM24,IF(K24="Boy",VLOOKUP(A24,'Grandchildren of Male Loyds'!$AQ$3:$AS$51,3,FALSE),VLOOKUP(A24,'Grandchildren of Female Loyds'!$AX$5:$AZ$63,3,FALSE)))</f>
        <v>Lewis (1880–1918: #52); Edward (1881–1962: #53); Evelyn (1885–1962: #59); Mary (1887–1968: #63); Cecil (1890–1963: #68); Eric (1891–1967: #73); Cecily (1891–1891: #74); Alwyne (1894–1917: #79); Ruby (1898–1977: #83)</v>
      </c>
      <c r="AF24" s="105" t="str">
        <f>IF(ISNA(VLOOKUP(A24,'Grandchildren Loyd Daughters'!$BD$5:$BF$50,4,FALSE)),"",VLOOKUP(A24,'Grandchildren Loyd Daughters'!$BD$5:$BF$50,3,FALSE))</f>
        <v xml:space="preserve">George COURTHOPE (1877 - 1955:  #36a) Alexander COURTHOPE (1878 - 1892:  #36b) John COURTHOPE (1882 - 1954:  #36c) Barbara COURTHOPE (1883 - 1972:  #36d) Elinor COURTHOPE (1886 - 1974:  #36e) Richard COURTHOPE (1888 - 1889:  #36f) Robert COURTHOPE (1891 - 1966:  #36g) Margery COURTHOPE (1893 - 1901:  #36h) Loyd HARDCASTLE (1893 - 1955:  #47a) Canon Joseph HARDCASTLE (1899 - 1972:  #47b)     </v>
      </c>
      <c r="AG24" s="129">
        <f>IF(ISNA(VLOOKUP(A24,'Grandchildren of Male Loyds'!$AQ$3:$AR$60,2,FALSE)),0,VLOOKUP(A24,'Grandchildren of Male Loyds'!$AQ$3:$AR$60,2,FALSE))+IF(ISNA(VLOOKUP(A24,'Grandchildren of Female Loyds'!$AX$5:$AY$50,2,FALSE)),0,VLOOKUP(A24,'Grandchildren of Female Loyds'!$AX$5:$AY$50,2,FALSE))+IF(ISNA(VLOOKUP(A24,'Grandchildren Loyd Daughters'!$BD$5:$BE$50,2,FALSE)),0,VLOOKUP(A24,'Grandchildren Loyd Daughters'!$BD$5:$BE$50,2,FALSE))</f>
        <v>19</v>
      </c>
      <c r="AH24" s="129" t="str">
        <f>VLOOKUP($U24,'Loyd List 1-190 - Edit'!$P$3:$AJ$220,21,FALSE)</f>
        <v>Sarah TAYLOR (b.5 Jul 1785, d. 19 Jan 1863)</v>
      </c>
      <c r="AI24" s="129" t="str">
        <f>VLOOKUP(A24,'Updated Bios &amp; Spouse Details'!$A$1:$J$200,7,FALSE)</f>
        <v>Caroline Louisa FOSTER (b. 6 Aug 1825, d. 8 Feb 1900)</v>
      </c>
      <c r="AJ24" s="130" t="str">
        <f>IF(VLOOKUP($A24,'Loyd List 1-190 - Edit'!$C$1:$AQ$220,'Book Details - NO EDIT'!AJ$1,FALSE)="","",(VLOOKUP($A24,'Loyd List 1-190 - Edit'!$C$1:$AQ$220,'Book Details - NO EDIT'!AJ$1,FALSE)))</f>
        <v>12/03/1846</v>
      </c>
      <c r="AK24" s="129" t="str">
        <f>VLOOKUP(A24,'Updated Bios &amp; Spouse Details'!$A$1:$J$200,8,FALSE)</f>
        <v>Married at Ashton on Mersey, Cheshire, Caroline eldest daughter of John Frederic FOSTER (1795-1858) of Sale Priory, Cheshire and of Kempston, Bedfordshire. Louisa buried at Hawkhurst.</v>
      </c>
      <c r="AL24" s="131" t="str">
        <f>VLOOKUP(A24,'Updated Bios &amp; Spouse Details'!$A$1:$J$200,5,FALSE)</f>
        <v>Edward lived at Prestwich Lodge, Manchester and later at Lillesden House [22], Hawkhurst, Kent. 2nd son of Edward (1780–1863: #8). Born 19 Apr 1820 and baptised 6 Nov 1820 at St Anne’s, Manchester. Education: Eton and Trinity College, Cambridge. Career: Banker of Jones Loyd &amp; Co. of King Street, Manchester. Lt. Colonel 1st Manchester R.V. during 1863-67. DL, JP Lancashire. JP Kent. High Sheriff in 1876. The patron and benefactor of All Saint’s, Gurnard, Nr. Cowes, Isle of Wight, consecrated 9 Jun 1893, contributed £250 before his death towards the total cost of £1,347. Member Royal Yacht Squadron 1866-90. Died 21 Dec 1890; buried at Hawkhurst. Will dated 1888. Estate £140,294. Issue: 2 sons, 5 daughters. Portraits of him and his wife, his gold repeater watch and picture of one of his yachts, “Day Dream” (92 ton Yawl) that Edward owned between 1866 and 1870, are in the possession of Paddy (1951– : #126). Roddy SALE (#97d), in 2021, has a copy of a portrait bust of Edward (1820–1890: #22). The West Window in the Holy Trinity Church Cowes, Isle of Wight, is dedicated to Edward (1820–1890: #22) with a memorial on the left (north?) wall to his wife Caroline Louisa Foster (1825–1900). Behind the church is Thornhill (Edward's IoW residence), overlooking the Royal Yacht Squadron. Footnote: [22] Edward bought Lillesden estate of some 500 acres in 1854, pulled down the old Elizabethan house and built a new mansion finished in 1855. LOYD Crest and his monogram over the doors. “COMING OF AGE AT LILLESDEN PARK - On Thursday last [26 April 1877], the eldest son [Frederick Edward LOYD (1856-1936)] of Lieutenant-Colonel, Edward Loyd, of Lillesden came of age, and there were great rejoicings. Lieutenant-Colonel Loyd and the members of his family are greatly beloved for their kind and generous deeds, and all classes in the neighbourhood appeared to vie with each other in evincing an interest in the event, and in testifying their good wishes for the health and happiness of the heir of Lillesden and all the members of his family. At an early hour the bells of the parish church sent forth a merry peal, and in the course of the morning a deputation of the tradesmen and inhabitants of the village paid a visit to Lillesden for the purpose of presenting an illuminated address to the hero of the day. This address contained suitable congratulations, and earnest hopes for his future health and happiness. It is almost needless to say that the deputation met with a very cordial reception, and after the presentation, which was preceded by a few appropriate remarks from the spokesman of the party, Mr Loyd thanked them for the interest they had manifested in him, and expressed his appreciation of the kindness of his visitors. Throughout the village there were great rejoicings, and the school children were very liberally entertained with buns, oranges, and other similar commodities which gladden the juvenile heart. The workpeople on Col. Loyd’s estate were regaled with an excellent dinner at the Eight Bells Inn, and, under the presidency of Mr Lansdell, a most enjoyable evening was spent. A fine fat bullock, well known on the farm, and rejoicing in the name of “King Koffee”, was killed in celebration of the coming of age, and a great portion of the meat gratuitously distributed. A large exhibition of bunting was to be observed at the Moor, and in other parts of the neighbourhood, and one enthusiastic tradesman, as the shades of evening crept on, illuminated the district with coloured fire, and despatched balloons on an aerial voyage. A large and distinguished company were entertained at the mansion, for whose amusement ample provision was made during the day, and in the evening a grand ball was held. The orchestra was occupied by Mr E. Johnson’s popular quadrille band from Tunbridge Wells, which played in first class style. The party included.......” etc. - report in local press.</v>
      </c>
      <c r="AM24" s="105" t="str">
        <f>IF(AND(LEN(H24)&gt;0,ISNA(IF(K24="Boy",VLOOKUP(A24,'Siblings of those BORN Loyd'!$AP$3:$AQ$70,2,FALSE),VLOOKUP(A24,'Children of Female Loyds'!$AR$5:$AS$60,2,FALSE)))),"d.s.p","")</f>
        <v/>
      </c>
      <c r="AN24" s="99" t="str">
        <f t="shared" si="12"/>
        <v>Edward (1780–1863: #8)</v>
      </c>
      <c r="AO24" s="99" t="str">
        <f t="shared" si="18"/>
        <v>William (1729–1800: #1)</v>
      </c>
      <c r="AP24" s="99" t="str">
        <f t="shared" si="19"/>
        <v/>
      </c>
      <c r="AQ24" s="99" t="str">
        <f t="shared" si="20"/>
        <v/>
      </c>
      <c r="AR24" s="99" t="str">
        <f t="shared" si="21"/>
        <v/>
      </c>
      <c r="AS24" s="99" t="str">
        <f t="shared" si="22"/>
        <v/>
      </c>
      <c r="AT24" s="99" t="str">
        <f t="shared" si="23"/>
        <v/>
      </c>
      <c r="AU24" s="99" t="str">
        <f t="shared" si="24"/>
        <v/>
      </c>
      <c r="AW24" s="116" t="str">
        <f>VLOOKUP(A24,'Updated Bios &amp; Spouse Details'!$A$1:$J$193,6,FALSE)</f>
        <v>England</v>
      </c>
      <c r="AX24" s="131">
        <f>VLOOKUP($A24,'Loyd List 1-190 - Edit'!$P$2:$AQ$220,AX$1,FALSE)</f>
        <v>22</v>
      </c>
      <c r="AY24" s="116" t="str">
        <f>IF(ISNA(VLOOKUP(A24,'Data check lookup table'!$G$2:$V$73,13,FALSE))," - ",VLOOKUP(A24,'Data check lookup table'!$G$2:$V$73,13,FALSE))</f>
        <v xml:space="preserve"> - </v>
      </c>
      <c r="AZ24" s="147" t="str">
        <f t="shared" si="14"/>
        <v>21/12/1890</v>
      </c>
      <c r="BA24" s="99" t="str">
        <f t="shared" si="15"/>
        <v/>
      </c>
      <c r="BB24" s="99" t="str">
        <f t="shared" si="16"/>
        <v/>
      </c>
      <c r="BI24" s="147" t="s">
        <v>1032</v>
      </c>
    </row>
    <row r="25" spans="1:61" s="99" customFormat="1" ht="85">
      <c r="A25" s="139">
        <f>'Loyd List 1-190 - Edit'!C25</f>
        <v>23</v>
      </c>
      <c r="B25" s="99" t="str">
        <f>VLOOKUP($A25,'Loyd List 1-190 - Edit'!$C$1:$AQ$220,'Book Details - NO EDIT'!B$1,FALSE)</f>
        <v>William</v>
      </c>
      <c r="C25" s="99" t="str">
        <f>IF(VLOOKUP($A25,'Loyd List 1-190 - Edit'!$C$1:$AQ$220,'Book Details - NO EDIT'!C$1,FALSE)="","",VLOOKUP($A25,'Loyd List 1-190 - Edit'!$C$1:$AQ$220,'Book Details - NO EDIT'!C$1,FALSE))</f>
        <v>Jones</v>
      </c>
      <c r="D25" s="99" t="str">
        <f>IF(VLOOKUP($A25,'Loyd List 1-190 - Edit'!$C$1:$AQ$220,'Book Details - NO EDIT'!D$1,FALSE)="","",VLOOKUP($A25,'Loyd List 1-190 - Edit'!$C$1:$AQ$220,'Book Details - NO EDIT'!D$1,FALSE))</f>
        <v/>
      </c>
      <c r="E25" s="99" t="str">
        <f>IF(VLOOKUP($A25,'Loyd List 1-190 - Edit'!$C$1:$AQ$220,'Book Details - NO EDIT'!E$1,FALSE)="","",VLOOKUP($A25,'Loyd List 1-190 - Edit'!$C$1:$AQ$220,'Book Details - NO EDIT'!E$1,FALSE))</f>
        <v>LOYD</v>
      </c>
      <c r="F25" s="99" t="str">
        <f>IF(VLOOKUP($A25,'Loyd List 1-190 - Edit'!$C$1:$AQ$220,'Book Details - NO EDIT'!F$1,FALSE)="",B25,VLOOKUP($A25,'Loyd List 1-190 - Edit'!$C$1:$AQ$220,'Book Details - NO EDIT'!F$1,FALSE))</f>
        <v>William</v>
      </c>
      <c r="G25" s="140">
        <f>IF(VLOOKUP($A25,'Loyd List 1-190 - Edit'!$C$1:$AQ$220,'Book Details - NO EDIT'!G$1,FALSE)="","",VALUE(VLOOKUP($A25,'Loyd List 1-190 - Edit'!$C$1:$AQ$220,'Book Details - NO EDIT'!G$1,FALSE)))</f>
        <v>1821</v>
      </c>
      <c r="H25" s="140">
        <f>IF(VLOOKUP($A25,'Loyd List 1-190 - Edit'!$C$1:$AQ$220,'Book Details - NO EDIT'!H$1,FALSE)="","",VALUE(VLOOKUP($A25,'Loyd List 1-190 - Edit'!$C$1:$AQ$220,'Book Details - NO EDIT'!H$1,FALSE)))</f>
        <v>1885</v>
      </c>
      <c r="I25" s="141" t="str">
        <f>IF(VLOOKUP($A25,'Loyd List 1-190 - Edit'!$C$1:$AQ$220,'Book Details - NO EDIT'!I$1,FALSE)="","",(VLOOKUP($A25,'Loyd List 1-190 - Edit'!$C$1:$AQ$220,'Book Details - NO EDIT'!I$1,FALSE)))</f>
        <v>02/08/1821</v>
      </c>
      <c r="J25" s="141" t="str">
        <f>IF(VLOOKUP($A25,'Loyd List 1-190 - Edit'!$C$1:$AQ$220,'Book Details - NO EDIT'!J$1,FALSE)="","",(VLOOKUP($A25,'Loyd List 1-190 - Edit'!$C$1:$AQ$220,'Book Details - NO EDIT'!J$1,FALSE)))</f>
        <v>28/08/1885</v>
      </c>
      <c r="K25" s="100" t="str">
        <f>VLOOKUP($A25,'Loyd List 1-190 - Edit'!$C$1:$AQ$220,'Book Details - NO EDIT'!K$1,FALSE)</f>
        <v>Boy</v>
      </c>
      <c r="L25" s="140">
        <f>VLOOKUP($A25,'Loyd List 1-190 - Edit'!$C$1:$AQ$220,'Book Details - NO EDIT'!L$1,FALSE)</f>
        <v>8</v>
      </c>
      <c r="M25" s="140">
        <f t="shared" si="3"/>
        <v>1</v>
      </c>
      <c r="N25" s="140">
        <f t="shared" si="3"/>
        <v>0</v>
      </c>
      <c r="O25" s="140" t="str">
        <f t="shared" si="3"/>
        <v/>
      </c>
      <c r="P25" s="140" t="str">
        <f t="shared" si="3"/>
        <v/>
      </c>
      <c r="Q25" s="140" t="str">
        <f t="shared" si="4"/>
        <v/>
      </c>
      <c r="R25" s="140" t="str">
        <f t="shared" si="4"/>
        <v/>
      </c>
      <c r="S25" s="140" t="str">
        <f t="shared" si="5"/>
        <v/>
      </c>
      <c r="T25" s="140">
        <f t="shared" si="1"/>
        <v>2</v>
      </c>
      <c r="U25" s="139">
        <f t="shared" si="6"/>
        <v>23</v>
      </c>
      <c r="V25" s="31" t="str">
        <f t="shared" si="7"/>
        <v>William (1821–1885)</v>
      </c>
      <c r="W25" s="31" t="str">
        <f t="shared" si="8"/>
        <v>William (#23)</v>
      </c>
      <c r="X25" s="99" t="str">
        <f t="shared" si="9"/>
        <v>William (1821–1885: #23)</v>
      </c>
      <c r="Y25" s="99" t="str">
        <f t="shared" si="2"/>
        <v>William Jones LOYD</v>
      </c>
      <c r="Z25" s="99" t="str">
        <f t="shared" si="10"/>
        <v>Edward (1780–1863: #8)</v>
      </c>
      <c r="AA25" s="99" t="str">
        <f t="shared" si="17"/>
        <v xml:space="preserve">Edward (1780–1863: #8) William (1729–1800: #1)      </v>
      </c>
      <c r="AB25" s="142" t="str">
        <f>VLOOKUP(U25,'Siblings of those BORN Loyd'!$A$2:$G$230,7,FALSE)</f>
        <v xml:space="preserve">7 – Sarah (1810–1858: #11) Lewis (1811–1891: #13) Annie (1813–1834: #15) Kate (1815–1905: #18) Hannah (1817–1907: #19) Edward (1820–1890: #22)  Fanny (1824–1856: #24) </v>
      </c>
      <c r="AC25" s="115" t="str">
        <f>IF(ISNA(IF(K25="Boy",VLOOKUP(A25,'Siblings of those BORN Loyd'!$AP$3:$AQ$70,2,FALSE),VLOOKUP(A25,'Children of Female Loyds'!$AR$5:$AT$60,3,FALSE))),AM25,IF(K25="Boy",VLOOKUP(A25,'Siblings of those BORN Loyd'!$AP$3:$AQ$70,2,FALSE),VLOOKUP(A25,'Children of Female Loyds'!$AR$5:$AT$60,3,FALSE)))</f>
        <v>9 - Lewis (1852–1908: #35); Gertrude (1854–1924: #38); Harriet (1856–1921: #40); Dulcie (1858–1905: #42); Harry (1861–1938: #44); William (1863–1923: #46); Caroline (1865–1938: #48); Mary (1867–1867: #49); Arthur (1868–1911: #50)</v>
      </c>
      <c r="AD25" s="97" t="str">
        <f t="shared" si="26"/>
        <v xml:space="preserve">13 - Dick (1882–1950: #55); Robert (1884–1917: #57); Gertrude (1887–1917: #64); William (1889–1947: #66); Diana (1890–1963: #70); Charles (1891–1973: #72); Godfrey (1893–1917: #75); Vivian (1894–1972: #78); Reginald (1885–1917: #81); Wilfred (1896–1955: #82); Eddie (1902–1942: #84)   Ambrose GODDARD (1892 - :  #42a) Mabell D'OYLY (1904 - 1983:  #48a)             </v>
      </c>
      <c r="AE25" s="105" t="str">
        <f>IF(ISNA(IF(K25="Boy",VLOOKUP(A25,'Grandchildren of Male Loyds'!$AQ$3:$AS$51,3,FALSE),VLOOKUP(A25,'Grandchildren of Female Loyds'!$AX$5:$AZ$63,3,FALSE))),AM25,IF(K25="Boy",VLOOKUP(A25,'Grandchildren of Male Loyds'!$AQ$3:$AS$51,3,FALSE),VLOOKUP(A25,'Grandchildren of Female Loyds'!$AX$5:$AZ$63,3,FALSE)))</f>
        <v>Dick (1882–1950: #55); Robert (1884–1917: #57); Gertrude (1887–1917: #64); William (1889–1947: #66); Diana (1890–1963: #70); Charles (1891–1973: #72); Godfrey (1893–1917: #75); Vivian (1894–1972: #78); Reginald (1885–1917: #81); Wilfred (1896–1955: #82); Eddie (1902–1942: #84)</v>
      </c>
      <c r="AF25" s="105" t="str">
        <f>IF(ISNA(VLOOKUP(A25,'Grandchildren Loyd Daughters'!$BD$5:$BF$50,4,FALSE)),"",VLOOKUP(A25,'Grandchildren Loyd Daughters'!$BD$5:$BF$50,3,FALSE))</f>
        <v xml:space="preserve">Ambrose GODDARD (1892 - :  #42a) Mabell D'OYLY (1904 - 1983:  #48a)             </v>
      </c>
      <c r="AG25" s="129">
        <f>IF(ISNA(VLOOKUP(A25,'Grandchildren of Male Loyds'!$AQ$3:$AR$60,2,FALSE)),0,VLOOKUP(A25,'Grandchildren of Male Loyds'!$AQ$3:$AR$60,2,FALSE))+IF(ISNA(VLOOKUP(A25,'Grandchildren of Female Loyds'!$AX$5:$AY$50,2,FALSE)),0,VLOOKUP(A25,'Grandchildren of Female Loyds'!$AX$5:$AY$50,2,FALSE))+IF(ISNA(VLOOKUP(A25,'Grandchildren Loyd Daughters'!$BD$5:$BE$50,2,FALSE)),0,VLOOKUP(A25,'Grandchildren Loyd Daughters'!$BD$5:$BE$50,2,FALSE))</f>
        <v>13</v>
      </c>
      <c r="AH25" s="129" t="str">
        <f>VLOOKUP($U25,'Loyd List 1-190 - Edit'!$P$3:$AJ$220,21,FALSE)</f>
        <v>Sarah TAYLOR (b.5 Jul 1785, d. 19 Jan 1863)</v>
      </c>
      <c r="AI25" s="129" t="str">
        <f>VLOOKUP(A25,'Updated Bios &amp; Spouse Details'!$A$1:$J$200,7,FALSE)</f>
        <v>Caroline Gertrude Walker VIVIAN (b. 1829, d. 28 Nov 1893)</v>
      </c>
      <c r="AJ25" s="130" t="str">
        <f>IF(VLOOKUP($A25,'Loyd List 1-190 - Edit'!$C$1:$AQ$220,'Book Details - NO EDIT'!AJ$1,FALSE)="","",(VLOOKUP($A25,'Loyd List 1-190 - Edit'!$C$1:$AQ$220,'Book Details - NO EDIT'!AJ$1,FALSE)))</f>
        <v>21/06/1848</v>
      </c>
      <c r="AK25" s="129" t="str">
        <f>VLOOKUP(A25,'Updated Bios &amp; Spouse Details'!$A$1:$J$200,8,FALSE)</f>
        <v>Married at St George’s, Hanover Square, London. Caroline daughter of the late John Henry VIVIAN MP of Singleton, Glamorgan. Caroline buried at Langleybury.</v>
      </c>
      <c r="AL25" s="131" t="str">
        <f>VLOOKUP(A25,'Updated Bios &amp; Spouse Details'!$A$1:$J$200,5,FALSE)</f>
        <v>William of Langleybury, near Watford, Hertfordshire and of 93 Eaton Place, London SW1 was the 3rd and youngest son of Edward (1780–1863: #8). Born 2 Aug 1821, baptised 13 May 1822 at the Collegiate Church Manchester (later Manchester Cathedral). Educated Eton and Trinity College, Cambridge (BA 1843, MA 1846). Member of the London house of Jones Loyd &amp; Co. JP, DL for Hertfordshire. High Sheriff 1861. Built the church of St Paul, Langleybury 1864. Died 28 Aug 1885; buried at Langleybury. Estate £347,726. Issue: 4 sons, 5 daughters.</v>
      </c>
      <c r="AM25" s="105" t="str">
        <f>IF(AND(LEN(H25)&gt;0,ISNA(IF(K25="Boy",VLOOKUP(A25,'Siblings of those BORN Loyd'!$AP$3:$AQ$70,2,FALSE),VLOOKUP(A25,'Children of Female Loyds'!$AR$5:$AS$60,2,FALSE)))),"d.s.p","")</f>
        <v/>
      </c>
      <c r="AN25" s="99" t="str">
        <f t="shared" si="12"/>
        <v>Edward (1780–1863: #8)</v>
      </c>
      <c r="AO25" s="99" t="str">
        <f t="shared" si="18"/>
        <v>William (1729–1800: #1)</v>
      </c>
      <c r="AP25" s="99" t="str">
        <f t="shared" si="19"/>
        <v/>
      </c>
      <c r="AQ25" s="99" t="str">
        <f t="shared" si="20"/>
        <v/>
      </c>
      <c r="AR25" s="99" t="str">
        <f t="shared" si="21"/>
        <v/>
      </c>
      <c r="AS25" s="99" t="str">
        <f t="shared" si="22"/>
        <v/>
      </c>
      <c r="AT25" s="99" t="str">
        <f t="shared" si="23"/>
        <v/>
      </c>
      <c r="AU25" s="99" t="str">
        <f t="shared" si="24"/>
        <v/>
      </c>
      <c r="AW25" s="116" t="str">
        <f>VLOOKUP(A25,'Updated Bios &amp; Spouse Details'!$A$1:$J$193,6,FALSE)</f>
        <v>England</v>
      </c>
      <c r="AX25" s="131">
        <f>VLOOKUP($A25,'Loyd List 1-190 - Edit'!$P$2:$AQ$220,AX$1,FALSE)</f>
        <v>23</v>
      </c>
      <c r="AY25" s="116" t="str">
        <f>IF(ISNA(VLOOKUP(A25,'Data check lookup table'!$G$2:$V$73,13,FALSE))," - ",VLOOKUP(A25,'Data check lookup table'!$G$2:$V$73,13,FALSE))</f>
        <v xml:space="preserve"> - </v>
      </c>
      <c r="AZ25" s="147" t="str">
        <f t="shared" si="14"/>
        <v>28/08/1885</v>
      </c>
      <c r="BA25" s="99" t="str">
        <f t="shared" si="15"/>
        <v/>
      </c>
      <c r="BB25" s="99" t="str">
        <f t="shared" si="16"/>
        <v/>
      </c>
      <c r="BI25" s="147" t="s">
        <v>1035</v>
      </c>
    </row>
    <row r="26" spans="1:61" s="99" customFormat="1" ht="119">
      <c r="A26" s="139">
        <f>'Loyd List 1-190 - Edit'!C26</f>
        <v>24</v>
      </c>
      <c r="B26" s="99" t="str">
        <f>VLOOKUP($A26,'Loyd List 1-190 - Edit'!$C$1:$AQ$220,'Book Details - NO EDIT'!B$1,FALSE)</f>
        <v>Frances</v>
      </c>
      <c r="C26" s="99" t="str">
        <f>IF(VLOOKUP($A26,'Loyd List 1-190 - Edit'!$C$1:$AQ$220,'Book Details - NO EDIT'!C$1,FALSE)="","",VLOOKUP($A26,'Loyd List 1-190 - Edit'!$C$1:$AQ$220,'Book Details - NO EDIT'!C$1,FALSE))</f>
        <v/>
      </c>
      <c r="D26" s="99" t="str">
        <f>IF(VLOOKUP($A26,'Loyd List 1-190 - Edit'!$C$1:$AQ$220,'Book Details - NO EDIT'!D$1,FALSE)="","",VLOOKUP($A26,'Loyd List 1-190 - Edit'!$C$1:$AQ$220,'Book Details - NO EDIT'!D$1,FALSE))</f>
        <v/>
      </c>
      <c r="E26" s="99" t="str">
        <f>IF(VLOOKUP($A26,'Loyd List 1-190 - Edit'!$C$1:$AQ$220,'Book Details - NO EDIT'!E$1,FALSE)="","",VLOOKUP($A26,'Loyd List 1-190 - Edit'!$C$1:$AQ$220,'Book Details - NO EDIT'!E$1,FALSE))</f>
        <v>LOYD</v>
      </c>
      <c r="F26" s="99" t="str">
        <f>IF(VLOOKUP($A26,'Loyd List 1-190 - Edit'!$C$1:$AQ$220,'Book Details - NO EDIT'!F$1,FALSE)="",B26,VLOOKUP($A26,'Loyd List 1-190 - Edit'!$C$1:$AQ$220,'Book Details - NO EDIT'!F$1,FALSE))</f>
        <v>Fanny</v>
      </c>
      <c r="G26" s="140">
        <f>IF(VLOOKUP($A26,'Loyd List 1-190 - Edit'!$C$1:$AQ$220,'Book Details - NO EDIT'!G$1,FALSE)="","",VALUE(VLOOKUP($A26,'Loyd List 1-190 - Edit'!$C$1:$AQ$220,'Book Details - NO EDIT'!G$1,FALSE)))</f>
        <v>1824</v>
      </c>
      <c r="H26" s="140">
        <f>IF(VLOOKUP($A26,'Loyd List 1-190 - Edit'!$C$1:$AQ$220,'Book Details - NO EDIT'!H$1,FALSE)="","",VALUE(VLOOKUP($A26,'Loyd List 1-190 - Edit'!$C$1:$AQ$220,'Book Details - NO EDIT'!H$1,FALSE)))</f>
        <v>1856</v>
      </c>
      <c r="I26" s="141" t="str">
        <f>IF(VLOOKUP($A26,'Loyd List 1-190 - Edit'!$C$1:$AQ$220,'Book Details - NO EDIT'!I$1,FALSE)="","",(VLOOKUP($A26,'Loyd List 1-190 - Edit'!$C$1:$AQ$220,'Book Details - NO EDIT'!I$1,FALSE)))</f>
        <v>24/11/1824</v>
      </c>
      <c r="J26" s="141" t="str">
        <f>IF(VLOOKUP($A26,'Loyd List 1-190 - Edit'!$C$1:$AQ$220,'Book Details - NO EDIT'!J$1,FALSE)="","",(VLOOKUP($A26,'Loyd List 1-190 - Edit'!$C$1:$AQ$220,'Book Details - NO EDIT'!J$1,FALSE)))</f>
        <v>20/09/1856</v>
      </c>
      <c r="K26" s="100" t="str">
        <f>VLOOKUP($A26,'Loyd List 1-190 - Edit'!$C$1:$AQ$220,'Book Details - NO EDIT'!K$1,FALSE)</f>
        <v>Girl</v>
      </c>
      <c r="L26" s="140">
        <f>VLOOKUP($A26,'Loyd List 1-190 - Edit'!$C$1:$AQ$220,'Book Details - NO EDIT'!L$1,FALSE)</f>
        <v>8</v>
      </c>
      <c r="M26" s="140">
        <f t="shared" si="3"/>
        <v>1</v>
      </c>
      <c r="N26" s="140">
        <f t="shared" si="3"/>
        <v>0</v>
      </c>
      <c r="O26" s="140" t="str">
        <f t="shared" si="3"/>
        <v/>
      </c>
      <c r="P26" s="140" t="str">
        <f t="shared" si="3"/>
        <v/>
      </c>
      <c r="Q26" s="140" t="str">
        <f t="shared" si="4"/>
        <v/>
      </c>
      <c r="R26" s="140" t="str">
        <f t="shared" si="4"/>
        <v/>
      </c>
      <c r="S26" s="140" t="str">
        <f t="shared" si="5"/>
        <v/>
      </c>
      <c r="T26" s="140">
        <f t="shared" si="1"/>
        <v>2</v>
      </c>
      <c r="U26" s="139">
        <f t="shared" si="6"/>
        <v>24</v>
      </c>
      <c r="V26" s="31" t="str">
        <f t="shared" si="7"/>
        <v>Fanny (1824–1856)</v>
      </c>
      <c r="W26" s="31" t="str">
        <f t="shared" si="8"/>
        <v>Fanny (#24)</v>
      </c>
      <c r="X26" s="99" t="str">
        <f t="shared" si="9"/>
        <v>Fanny (1824–1856: #24)</v>
      </c>
      <c r="Y26" s="99" t="str">
        <f t="shared" si="2"/>
        <v>Frances LOYD</v>
      </c>
      <c r="Z26" s="99" t="str">
        <f t="shared" si="10"/>
        <v>Edward (1780–1863: #8)</v>
      </c>
      <c r="AA26" s="99" t="str">
        <f t="shared" si="17"/>
        <v xml:space="preserve">Edward (1780–1863: #8) William (1729–1800: #1)      </v>
      </c>
      <c r="AB26" s="142" t="str">
        <f>VLOOKUP(U26,'Siblings of those BORN Loyd'!$A$2:$G$230,7,FALSE)</f>
        <v xml:space="preserve">7 – Sarah (1810–1858: #11) Lewis (1811–1891: #13) Annie (1813–1834: #15) Kate (1815–1905: #18) Hannah (1817–1907: #19) Edward (1820–1890: #22) William (1821–1885: #23)  </v>
      </c>
      <c r="AC26" s="115" t="str">
        <f>IF(ISNA(IF(K26="Boy",VLOOKUP(A26,'Siblings of those BORN Loyd'!$AP$3:$AQ$70,2,FALSE),VLOOKUP(A26,'Children of Female Loyds'!$AR$5:$AT$60,3,FALSE))),AM26,IF(K26="Boy",VLOOKUP(A26,'Siblings of those BORN Loyd'!$AP$3:$AQ$70,2,FALSE),VLOOKUP(A26,'Children of Female Loyds'!$AR$5:$AT$60,3,FALSE)))</f>
        <v>d.s.p</v>
      </c>
      <c r="AD26" s="97" t="str">
        <f t="shared" si="26"/>
        <v>d.s.p.</v>
      </c>
      <c r="AE26" s="105" t="str">
        <f>IF(ISNA(IF(K26="Boy",VLOOKUP(A26,'Grandchildren of Male Loyds'!$AQ$3:$AS$51,3,FALSE),VLOOKUP(A26,'Grandchildren of Female Loyds'!$AX$5:$AZ$63,3,FALSE))),AM26,IF(K26="Boy",VLOOKUP(A26,'Grandchildren of Male Loyds'!$AQ$3:$AS$51,3,FALSE),VLOOKUP(A26,'Grandchildren of Female Loyds'!$AX$5:$AZ$63,3,FALSE)))</f>
        <v>d.s.p</v>
      </c>
      <c r="AF26" s="105" t="str">
        <f>IF(ISNA(VLOOKUP(A26,'Grandchildren Loyd Daughters'!$BD$5:$BF$50,4,FALSE)),"",VLOOKUP(A26,'Grandchildren Loyd Daughters'!$BD$5:$BF$50,3,FALSE))</f>
        <v/>
      </c>
      <c r="AG26" s="129">
        <f>IF(ISNA(VLOOKUP(A26,'Grandchildren of Male Loyds'!$AQ$3:$AR$60,2,FALSE)),0,VLOOKUP(A26,'Grandchildren of Male Loyds'!$AQ$3:$AR$60,2,FALSE))+IF(ISNA(VLOOKUP(A26,'Grandchildren of Female Loyds'!$AX$5:$AY$50,2,FALSE)),0,VLOOKUP(A26,'Grandchildren of Female Loyds'!$AX$5:$AY$50,2,FALSE))+IF(ISNA(VLOOKUP(A26,'Grandchildren Loyd Daughters'!$BD$5:$BE$50,2,FALSE)),0,VLOOKUP(A26,'Grandchildren Loyd Daughters'!$BD$5:$BE$50,2,FALSE))</f>
        <v>0</v>
      </c>
      <c r="AH26" s="129" t="str">
        <f>VLOOKUP($U26,'Loyd List 1-190 - Edit'!$P$3:$AJ$220,21,FALSE)</f>
        <v>Sarah TAYLOR (b.5 Jul 1785, d. 19 Jan 1863)</v>
      </c>
      <c r="AI26" s="129" t="str">
        <f>VLOOKUP(A26,'Updated Bios &amp; Spouse Details'!$A$1:$J$200,7,FALSE)</f>
        <v>James Sidney STOPFORD (b. 1807/08, d. 8 Jul 1885)</v>
      </c>
      <c r="AJ26" s="130" t="str">
        <f>IF(VLOOKUP($A26,'Loyd List 1-190 - Edit'!$C$1:$AQ$220,'Book Details - NO EDIT'!AJ$1,FALSE)="","",(VLOOKUP($A26,'Loyd List 1-190 - Edit'!$C$1:$AQ$220,'Book Details - NO EDIT'!AJ$1,FALSE)))</f>
        <v>16/09/1847</v>
      </c>
      <c r="AK26" s="129" t="str">
        <f>VLOOKUP(A26,'Updated Bios &amp; Spouse Details'!$A$1:$J$200,8,FALSE)</f>
        <v xml:space="preserve">James, 5th son of the Rev the Hon Richard Bruce STOPFORD. James survived Fanny by almost 30 years and  married a second time, 12 Mar 1868, to Catherine Mary (d. 1884) daughter of Sir Thomas Wuthen WALLER.  James  died at The Oaks, Sunninghill. </v>
      </c>
      <c r="AL26" s="131" t="str">
        <f>VLOOKUP(A26,'Updated Bios &amp; Spouse Details'!$A$1:$J$200,5,FALSE)</f>
        <v xml:space="preserve">Fanny was the 5th and youngest daughter of Edward (1780–1863: #8). Born 24 Nov 1824.  DSP 20 Sep 1856. 23. DSP                                                              </v>
      </c>
      <c r="AM26" s="105" t="str">
        <f>IF(AND(LEN(H26)&gt;0,ISNA(IF(K26="Boy",VLOOKUP(A26,'Siblings of those BORN Loyd'!$AP$3:$AQ$70,2,FALSE),VLOOKUP(A26,'Children of Female Loyds'!$AR$5:$AS$60,2,FALSE)))),"d.s.p","")</f>
        <v>d.s.p</v>
      </c>
      <c r="AN26" s="99" t="str">
        <f t="shared" si="12"/>
        <v>Edward (1780–1863: #8)</v>
      </c>
      <c r="AO26" s="99" t="str">
        <f t="shared" si="18"/>
        <v>William (1729–1800: #1)</v>
      </c>
      <c r="AP26" s="99" t="str">
        <f t="shared" si="19"/>
        <v/>
      </c>
      <c r="AQ26" s="99" t="str">
        <f t="shared" si="20"/>
        <v/>
      </c>
      <c r="AR26" s="99" t="str">
        <f t="shared" si="21"/>
        <v/>
      </c>
      <c r="AS26" s="99" t="str">
        <f t="shared" si="22"/>
        <v/>
      </c>
      <c r="AT26" s="99" t="str">
        <f t="shared" si="23"/>
        <v/>
      </c>
      <c r="AU26" s="99" t="str">
        <f t="shared" si="24"/>
        <v/>
      </c>
      <c r="AW26" s="116" t="str">
        <f>VLOOKUP(A26,'Updated Bios &amp; Spouse Details'!$A$1:$J$193,6,FALSE)</f>
        <v>England</v>
      </c>
      <c r="AX26" s="131">
        <f>VLOOKUP($A26,'Loyd List 1-190 - Edit'!$P$2:$AQ$220,AX$1,FALSE)</f>
        <v>24</v>
      </c>
      <c r="AY26" s="116" t="str">
        <f>IF(ISNA(VLOOKUP(A26,'Data check lookup table'!$G$2:$V$73,13,FALSE))," - ",VLOOKUP(A26,'Data check lookup table'!$G$2:$V$73,13,FALSE))</f>
        <v xml:space="preserve"> - </v>
      </c>
      <c r="AZ26" s="147" t="str">
        <f t="shared" si="14"/>
        <v>20/09/1856</v>
      </c>
      <c r="BA26" s="99" t="str">
        <f t="shared" si="15"/>
        <v/>
      </c>
      <c r="BB26" s="99" t="str">
        <f t="shared" si="16"/>
        <v/>
      </c>
      <c r="BI26" s="147" t="s">
        <v>1040</v>
      </c>
    </row>
    <row r="27" spans="1:61" s="99" customFormat="1" ht="34">
      <c r="A27" s="139">
        <f>'Loyd List 1-190 - Edit'!C27</f>
        <v>25</v>
      </c>
      <c r="B27" s="99" t="str">
        <f>VLOOKUP($A27,'Loyd List 1-190 - Edit'!$C$1:$AQ$220,'Book Details - NO EDIT'!B$1,FALSE)</f>
        <v>Henry</v>
      </c>
      <c r="C27" s="99" t="str">
        <f>IF(VLOOKUP($A27,'Loyd List 1-190 - Edit'!$C$1:$AQ$220,'Book Details - NO EDIT'!C$1,FALSE)="","",VLOOKUP($A27,'Loyd List 1-190 - Edit'!$C$1:$AQ$220,'Book Details - NO EDIT'!C$1,FALSE))</f>
        <v>Jones</v>
      </c>
      <c r="D27" s="99" t="str">
        <f>IF(VLOOKUP($A27,'Loyd List 1-190 - Edit'!$C$1:$AQ$220,'Book Details - NO EDIT'!D$1,FALSE)="","",VLOOKUP($A27,'Loyd List 1-190 - Edit'!$C$1:$AQ$220,'Book Details - NO EDIT'!D$1,FALSE))</f>
        <v/>
      </c>
      <c r="E27" s="99" t="str">
        <f>IF(VLOOKUP($A27,'Loyd List 1-190 - Edit'!$C$1:$AQ$220,'Book Details - NO EDIT'!E$1,FALSE)="","",VLOOKUP($A27,'Loyd List 1-190 - Edit'!$C$1:$AQ$220,'Book Details - NO EDIT'!E$1,FALSE))</f>
        <v>LOYD</v>
      </c>
      <c r="F27" s="99" t="str">
        <f>IF(VLOOKUP($A27,'Loyd List 1-190 - Edit'!$C$1:$AQ$220,'Book Details - NO EDIT'!F$1,FALSE)="",B27,VLOOKUP($A27,'Loyd List 1-190 - Edit'!$C$1:$AQ$220,'Book Details - NO EDIT'!F$1,FALSE))</f>
        <v>Henry</v>
      </c>
      <c r="G27" s="140">
        <f>IF(VLOOKUP($A27,'Loyd List 1-190 - Edit'!$C$1:$AQ$220,'Book Details - NO EDIT'!G$1,FALSE)="","",VALUE(VLOOKUP($A27,'Loyd List 1-190 - Edit'!$C$1:$AQ$220,'Book Details - NO EDIT'!G$1,FALSE)))</f>
        <v>1832</v>
      </c>
      <c r="H27" s="140">
        <f>IF(VLOOKUP($A27,'Loyd List 1-190 - Edit'!$C$1:$AQ$220,'Book Details - NO EDIT'!H$1,FALSE)="","",VALUE(VLOOKUP($A27,'Loyd List 1-190 - Edit'!$C$1:$AQ$220,'Book Details - NO EDIT'!H$1,FALSE)))</f>
        <v>1833</v>
      </c>
      <c r="I27" s="141" t="str">
        <f>IF(VLOOKUP($A27,'Loyd List 1-190 - Edit'!$C$1:$AQ$220,'Book Details - NO EDIT'!I$1,FALSE)="","",(VLOOKUP($A27,'Loyd List 1-190 - Edit'!$C$1:$AQ$220,'Book Details - NO EDIT'!I$1,FALSE)))</f>
        <v>20/12/1832</v>
      </c>
      <c r="J27" s="141" t="str">
        <f>IF(VLOOKUP($A27,'Loyd List 1-190 - Edit'!$C$1:$AQ$220,'Book Details - NO EDIT'!J$1,FALSE)="","",(VLOOKUP($A27,'Loyd List 1-190 - Edit'!$C$1:$AQ$220,'Book Details - NO EDIT'!J$1,FALSE)))</f>
        <v>31/03/1833</v>
      </c>
      <c r="K27" s="100" t="str">
        <f>VLOOKUP($A27,'Loyd List 1-190 - Edit'!$C$1:$AQ$220,'Book Details - NO EDIT'!K$1,FALSE)</f>
        <v>Boy</v>
      </c>
      <c r="L27" s="140">
        <f>VLOOKUP($A27,'Loyd List 1-190 - Edit'!$C$1:$AQ$220,'Book Details - NO EDIT'!L$1,FALSE)</f>
        <v>9</v>
      </c>
      <c r="M27" s="140">
        <f t="shared" si="3"/>
        <v>3</v>
      </c>
      <c r="N27" s="140">
        <f t="shared" si="3"/>
        <v>1</v>
      </c>
      <c r="O27" s="140">
        <f t="shared" si="3"/>
        <v>0</v>
      </c>
      <c r="P27" s="140" t="str">
        <f t="shared" si="3"/>
        <v/>
      </c>
      <c r="Q27" s="140" t="str">
        <f t="shared" si="4"/>
        <v/>
      </c>
      <c r="R27" s="140" t="str">
        <f t="shared" si="4"/>
        <v/>
      </c>
      <c r="S27" s="140" t="str">
        <f t="shared" si="5"/>
        <v/>
      </c>
      <c r="T27" s="140">
        <f t="shared" si="1"/>
        <v>3</v>
      </c>
      <c r="U27" s="139">
        <f t="shared" si="6"/>
        <v>25</v>
      </c>
      <c r="V27" s="31" t="str">
        <f t="shared" si="7"/>
        <v>Henry (1832–1833)</v>
      </c>
      <c r="W27" s="31" t="str">
        <f t="shared" si="8"/>
        <v>Henry (#25)</v>
      </c>
      <c r="X27" s="99" t="str">
        <f t="shared" si="9"/>
        <v>Henry (1832–1833: #25)</v>
      </c>
      <c r="Y27" s="99" t="str">
        <f t="shared" si="2"/>
        <v>Henry Jones LOYD</v>
      </c>
      <c r="Z27" s="99" t="str">
        <f t="shared" si="10"/>
        <v>Samuel (1796–1883: #9)</v>
      </c>
      <c r="AA27" s="99" t="str">
        <f t="shared" si="17"/>
        <v xml:space="preserve">Samuel (1796–1883: #9) Lewis LOYD (1768–1858: #3) William (1729–1800: #1)     </v>
      </c>
      <c r="AB27" s="142" t="str">
        <f>VLOOKUP(U27,'Siblings of those BORN Loyd'!$A$2:$G$230,7,FALSE)</f>
        <v xml:space="preserve">1 – The Hon Harriet (1837–1920: #26)       </v>
      </c>
      <c r="AC27" s="115" t="str">
        <f>IF(ISNA(IF(K27="Boy",VLOOKUP(A27,'Siblings of those BORN Loyd'!$AP$3:$AQ$70,2,FALSE),VLOOKUP(A27,'Children of Female Loyds'!$AR$5:$AT$60,3,FALSE))),AM27,IF(K27="Boy",VLOOKUP(A27,'Siblings of those BORN Loyd'!$AP$3:$AQ$70,2,FALSE),VLOOKUP(A27,'Children of Female Loyds'!$AR$5:$AT$60,3,FALSE)))</f>
        <v>d.s.p</v>
      </c>
      <c r="AD27" s="97" t="str">
        <f t="shared" si="26"/>
        <v>d.s.p.</v>
      </c>
      <c r="AE27" s="105" t="str">
        <f>IF(ISNA(IF(K27="Boy",VLOOKUP(A27,'Grandchildren of Male Loyds'!$AQ$3:$AS$51,3,FALSE),VLOOKUP(A27,'Grandchildren of Female Loyds'!$AX$5:$AZ$63,3,FALSE))),AM27,IF(K27="Boy",VLOOKUP(A27,'Grandchildren of Male Loyds'!$AQ$3:$AS$51,3,FALSE),VLOOKUP(A27,'Grandchildren of Female Loyds'!$AX$5:$AZ$63,3,FALSE)))</f>
        <v>d.s.p</v>
      </c>
      <c r="AF27" s="105" t="str">
        <f>IF(ISNA(VLOOKUP(A27,'Grandchildren Loyd Daughters'!$BD$5:$BF$50,4,FALSE)),"",VLOOKUP(A27,'Grandchildren Loyd Daughters'!$BD$5:$BF$50,3,FALSE))</f>
        <v/>
      </c>
      <c r="AG27" s="129">
        <f>IF(ISNA(VLOOKUP(A27,'Grandchildren of Male Loyds'!$AQ$3:$AR$60,2,FALSE)),0,VLOOKUP(A27,'Grandchildren of Male Loyds'!$AQ$3:$AR$60,2,FALSE))+IF(ISNA(VLOOKUP(A27,'Grandchildren of Female Loyds'!$AX$5:$AY$50,2,FALSE)),0,VLOOKUP(A27,'Grandchildren of Female Loyds'!$AX$5:$AY$50,2,FALSE))+IF(ISNA(VLOOKUP(A27,'Grandchildren Loyd Daughters'!$BD$5:$BE$50,2,FALSE)),0,VLOOKUP(A27,'Grandchildren Loyd Daughters'!$BD$5:$BE$50,2,FALSE))</f>
        <v>0</v>
      </c>
      <c r="AH27" s="129" t="str">
        <f>VLOOKUP($U27,'Loyd List 1-190 - Edit'!$P$3:$AJ$220,21,FALSE)</f>
        <v>Harriet  WRIGHT (b. 1798/99, d. 6 Nov 1864)</v>
      </c>
      <c r="AI27" s="129" t="str">
        <f>VLOOKUP(A27,'Updated Bios &amp; Spouse Details'!$A$1:$J$200,7,FALSE)</f>
        <v>Died in infancy.</v>
      </c>
      <c r="AJ27" s="130" t="str">
        <f>IF(VLOOKUP($A27,'Loyd List 1-190 - Edit'!$C$1:$AQ$220,'Book Details - NO EDIT'!AJ$1,FALSE)="","",(VLOOKUP($A27,'Loyd List 1-190 - Edit'!$C$1:$AQ$220,'Book Details - NO EDIT'!AJ$1,FALSE)))</f>
        <v xml:space="preserve"> - </v>
      </c>
      <c r="AK27" s="129" t="str">
        <f>VLOOKUP(A27,'Updated Bios &amp; Spouse Details'!$A$1:$J$200,8,FALSE)</f>
        <v xml:space="preserve"> - </v>
      </c>
      <c r="AL27" s="131" t="str">
        <f>VLOOKUP(A27,'Updated Bios &amp; Spouse Details'!$A$1:$J$200,5,FALSE)</f>
        <v>Henry was the only son of Samuel (Baron OVERSTONE) (1796–1883: #9). Born 20 Dec 1832. Died in infancy on 31 Mar 1833; buried at Overstone.</v>
      </c>
      <c r="AM27" s="105" t="str">
        <f>IF(AND(LEN(H27)&gt;0,ISNA(IF(K27="Boy",VLOOKUP(A27,'Siblings of those BORN Loyd'!$AP$3:$AQ$70,2,FALSE),VLOOKUP(A27,'Children of Female Loyds'!$AR$5:$AS$60,2,FALSE)))),"d.s.p","")</f>
        <v>d.s.p</v>
      </c>
      <c r="AN27" s="99" t="str">
        <f t="shared" si="12"/>
        <v>Samuel (1796–1883: #9)</v>
      </c>
      <c r="AO27" s="99" t="str">
        <f t="shared" si="18"/>
        <v>Lewis LOYD (1768–1858: #3)</v>
      </c>
      <c r="AP27" s="99" t="str">
        <f t="shared" si="19"/>
        <v>William (1729–1800: #1)</v>
      </c>
      <c r="AQ27" s="99" t="str">
        <f t="shared" si="20"/>
        <v/>
      </c>
      <c r="AR27" s="99" t="str">
        <f t="shared" si="21"/>
        <v/>
      </c>
      <c r="AS27" s="99" t="str">
        <f t="shared" si="22"/>
        <v/>
      </c>
      <c r="AT27" s="99" t="str">
        <f t="shared" si="23"/>
        <v/>
      </c>
      <c r="AU27" s="99" t="str">
        <f t="shared" si="24"/>
        <v/>
      </c>
      <c r="AW27" s="116" t="str">
        <f>VLOOKUP(A27,'Updated Bios &amp; Spouse Details'!$A$1:$J$193,6,FALSE)</f>
        <v>England</v>
      </c>
      <c r="AX27" s="131">
        <f>VLOOKUP($A27,'Loyd List 1-190 - Edit'!$P$2:$AQ$220,AX$1,FALSE)</f>
        <v>25</v>
      </c>
      <c r="AY27" s="116" t="str">
        <f>IF(ISNA(VLOOKUP(A27,'Data check lookup table'!$G$2:$V$73,13,FALSE))," - ",VLOOKUP(A27,'Data check lookup table'!$G$2:$V$73,13,FALSE))</f>
        <v xml:space="preserve"> - </v>
      </c>
      <c r="AZ27" s="147" t="str">
        <f t="shared" si="14"/>
        <v>31/03/1833</v>
      </c>
      <c r="BA27" s="99" t="str">
        <f t="shared" si="15"/>
        <v/>
      </c>
      <c r="BB27" s="99" t="str">
        <f t="shared" si="16"/>
        <v/>
      </c>
      <c r="BI27" s="147" t="s">
        <v>1042</v>
      </c>
    </row>
    <row r="28" spans="1:61" s="99" customFormat="1" ht="409.6">
      <c r="A28" s="139">
        <f>'Loyd List 1-190 - Edit'!C28</f>
        <v>26</v>
      </c>
      <c r="B28" s="99" t="str">
        <f>VLOOKUP($A28,'Loyd List 1-190 - Edit'!$C$1:$AQ$220,'Book Details - NO EDIT'!B$1,FALSE)</f>
        <v>The Hon Harriet</v>
      </c>
      <c r="C28" s="99" t="str">
        <f>IF(VLOOKUP($A28,'Loyd List 1-190 - Edit'!$C$1:$AQ$220,'Book Details - NO EDIT'!C$1,FALSE)="","",VLOOKUP($A28,'Loyd List 1-190 - Edit'!$C$1:$AQ$220,'Book Details - NO EDIT'!C$1,FALSE))</f>
        <v>Sarah</v>
      </c>
      <c r="D28" s="99" t="str">
        <f>IF(VLOOKUP($A28,'Loyd List 1-190 - Edit'!$C$1:$AQ$220,'Book Details - NO EDIT'!D$1,FALSE)="","",VLOOKUP($A28,'Loyd List 1-190 - Edit'!$C$1:$AQ$220,'Book Details - NO EDIT'!D$1,FALSE))</f>
        <v>Jones</v>
      </c>
      <c r="E28" s="99" t="str">
        <f>IF(VLOOKUP($A28,'Loyd List 1-190 - Edit'!$C$1:$AQ$220,'Book Details - NO EDIT'!E$1,FALSE)="","",VLOOKUP($A28,'Loyd List 1-190 - Edit'!$C$1:$AQ$220,'Book Details - NO EDIT'!E$1,FALSE))</f>
        <v>LOYD</v>
      </c>
      <c r="F28" s="99" t="str">
        <f>IF(VLOOKUP($A28,'Loyd List 1-190 - Edit'!$C$1:$AQ$220,'Book Details - NO EDIT'!F$1,FALSE)="",B28,VLOOKUP($A28,'Loyd List 1-190 - Edit'!$C$1:$AQ$220,'Book Details - NO EDIT'!F$1,FALSE))</f>
        <v>The Hon Harriet</v>
      </c>
      <c r="G28" s="140">
        <f>IF(VLOOKUP($A28,'Loyd List 1-190 - Edit'!$C$1:$AQ$220,'Book Details - NO EDIT'!G$1,FALSE)="","",VALUE(VLOOKUP($A28,'Loyd List 1-190 - Edit'!$C$1:$AQ$220,'Book Details - NO EDIT'!G$1,FALSE)))</f>
        <v>1837</v>
      </c>
      <c r="H28" s="140">
        <f>IF(VLOOKUP($A28,'Loyd List 1-190 - Edit'!$C$1:$AQ$220,'Book Details - NO EDIT'!H$1,FALSE)="","",VALUE(VLOOKUP($A28,'Loyd List 1-190 - Edit'!$C$1:$AQ$220,'Book Details - NO EDIT'!H$1,FALSE)))</f>
        <v>1920</v>
      </c>
      <c r="I28" s="141" t="str">
        <f>IF(VLOOKUP($A28,'Loyd List 1-190 - Edit'!$C$1:$AQ$220,'Book Details - NO EDIT'!I$1,FALSE)="","",(VLOOKUP($A28,'Loyd List 1-190 - Edit'!$C$1:$AQ$220,'Book Details - NO EDIT'!I$1,FALSE)))</f>
        <v>30/06/1837</v>
      </c>
      <c r="J28" s="141" t="str">
        <f>IF(VLOOKUP($A28,'Loyd List 1-190 - Edit'!$C$1:$AQ$220,'Book Details - NO EDIT'!J$1,FALSE)="","",(VLOOKUP($A28,'Loyd List 1-190 - Edit'!$C$1:$AQ$220,'Book Details - NO EDIT'!J$1,FALSE)))</f>
        <v>09/08/1920</v>
      </c>
      <c r="K28" s="100" t="str">
        <f>VLOOKUP($A28,'Loyd List 1-190 - Edit'!$C$1:$AQ$220,'Book Details - NO EDIT'!K$1,FALSE)</f>
        <v>Girl</v>
      </c>
      <c r="L28" s="140">
        <f>VLOOKUP($A28,'Loyd List 1-190 - Edit'!$C$1:$AQ$220,'Book Details - NO EDIT'!L$1,FALSE)</f>
        <v>9</v>
      </c>
      <c r="M28" s="140">
        <f t="shared" si="3"/>
        <v>3</v>
      </c>
      <c r="N28" s="140">
        <f t="shared" si="3"/>
        <v>1</v>
      </c>
      <c r="O28" s="140">
        <f t="shared" si="3"/>
        <v>0</v>
      </c>
      <c r="P28" s="140" t="str">
        <f t="shared" si="3"/>
        <v/>
      </c>
      <c r="Q28" s="140" t="str">
        <f t="shared" si="4"/>
        <v/>
      </c>
      <c r="R28" s="140" t="str">
        <f t="shared" si="4"/>
        <v/>
      </c>
      <c r="S28" s="140" t="str">
        <f t="shared" si="5"/>
        <v/>
      </c>
      <c r="T28" s="140">
        <f t="shared" si="1"/>
        <v>3</v>
      </c>
      <c r="U28" s="139">
        <f t="shared" si="6"/>
        <v>26</v>
      </c>
      <c r="V28" s="31" t="str">
        <f t="shared" si="7"/>
        <v>The Hon Harriet (1837–1920)</v>
      </c>
      <c r="W28" s="31" t="str">
        <f t="shared" si="8"/>
        <v>The Hon Harriet (#26)</v>
      </c>
      <c r="X28" s="99" t="str">
        <f t="shared" si="9"/>
        <v>The Hon Harriet (1837–1920: #26)</v>
      </c>
      <c r="Y28" s="99" t="str">
        <f t="shared" si="2"/>
        <v>The Hon Harriet Sarah Jones LOYD</v>
      </c>
      <c r="Z28" s="99" t="str">
        <f t="shared" si="10"/>
        <v>Samuel (1796–1883: #9)</v>
      </c>
      <c r="AA28" s="99" t="str">
        <f t="shared" si="17"/>
        <v xml:space="preserve">Samuel (1796–1883: #9) Lewis LOYD (1768–1858: #3) William (1729–1800: #1)     </v>
      </c>
      <c r="AB28" s="142" t="str">
        <f>VLOOKUP(U28,'Siblings of those BORN Loyd'!$A$2:$G$230,7,FALSE)</f>
        <v xml:space="preserve">1 – Henry (1832–1833: #25)        </v>
      </c>
      <c r="AC28" s="115" t="str">
        <f>IF(ISNA(IF(K28="Boy",VLOOKUP(A28,'Siblings of those BORN Loyd'!$AP$3:$AQ$70,2,FALSE),VLOOKUP(A28,'Children of Female Loyds'!$AR$5:$AT$60,3,FALSE))),AM28,IF(K28="Boy",VLOOKUP(A28,'Siblings of those BORN Loyd'!$AP$3:$AQ$70,2,FALSE),VLOOKUP(A28,'Children of Female Loyds'!$AR$5:$AT$60,3,FALSE)))</f>
        <v>d.s.p</v>
      </c>
      <c r="AD28" s="97" t="str">
        <f t="shared" si="26"/>
        <v>d.s.p.</v>
      </c>
      <c r="AE28" s="105" t="str">
        <f>IF(ISNA(IF(K28="Boy",VLOOKUP(A28,'Grandchildren of Male Loyds'!$AQ$3:$AS$51,3,FALSE),VLOOKUP(A28,'Grandchildren of Female Loyds'!$AX$5:$AZ$63,3,FALSE))),AM28,IF(K28="Boy",VLOOKUP(A28,'Grandchildren of Male Loyds'!$AQ$3:$AS$51,3,FALSE),VLOOKUP(A28,'Grandchildren of Female Loyds'!$AX$5:$AZ$63,3,FALSE)))</f>
        <v>d.s.p</v>
      </c>
      <c r="AF28" s="105" t="str">
        <f>IF(ISNA(VLOOKUP(A28,'Grandchildren Loyd Daughters'!$BD$5:$BF$50,4,FALSE)),"",VLOOKUP(A28,'Grandchildren Loyd Daughters'!$BD$5:$BF$50,3,FALSE))</f>
        <v/>
      </c>
      <c r="AG28" s="129">
        <f>IF(ISNA(VLOOKUP(A28,'Grandchildren of Male Loyds'!$AQ$3:$AR$60,2,FALSE)),0,VLOOKUP(A28,'Grandchildren of Male Loyds'!$AQ$3:$AR$60,2,FALSE))+IF(ISNA(VLOOKUP(A28,'Grandchildren of Female Loyds'!$AX$5:$AY$50,2,FALSE)),0,VLOOKUP(A28,'Grandchildren of Female Loyds'!$AX$5:$AY$50,2,FALSE))+IF(ISNA(VLOOKUP(A28,'Grandchildren Loyd Daughters'!$BD$5:$BE$50,2,FALSE)),0,VLOOKUP(A28,'Grandchildren Loyd Daughters'!$BD$5:$BE$50,2,FALSE))</f>
        <v>0</v>
      </c>
      <c r="AH28" s="129" t="str">
        <f>VLOOKUP($U28,'Loyd List 1-190 - Edit'!$P$3:$AJ$220,21,FALSE)</f>
        <v>Harriet  WRIGHT (b. 1798/99, d. 6 Nov 1864)</v>
      </c>
      <c r="AI28" s="129" t="str">
        <f>VLOOKUP(A28,'Updated Bios &amp; Spouse Details'!$A$1:$J$200,7,FALSE)</f>
        <v>Robert James LINDSAY (b. 16 Apr 1832, d. 10 Jan 1901)</v>
      </c>
      <c r="AJ28" s="130" t="str">
        <f>IF(VLOOKUP($A28,'Loyd List 1-190 - Edit'!$C$1:$AQ$220,'Book Details - NO EDIT'!AJ$1,FALSE)="","",(VLOOKUP($A28,'Loyd List 1-190 - Edit'!$C$1:$AQ$220,'Book Details - NO EDIT'!AJ$1,FALSE)))</f>
        <v>17/11/1858</v>
      </c>
      <c r="AK28" s="129" t="str">
        <f>VLOOKUP(A28,'Updated Bios &amp; Spouse Details'!$A$1:$J$200,8,FALSE)</f>
        <v>Married at St Martin’s in the Fields, London. Robert, educated Eton (1846-50). Lieut Colonel, Scots Fusiliers Guards, 2nd son of Lieut General James LINDSAY of Balcarres, Co. Fife and Anne, daughter of Sir Coutts TROTTER, Bart of Westville, Lincolnshire. Robert had served in the Crimea War 1854-55, greatly distinguishing himself in the defence of the Queen’s Colour at Alma, and in command of his company at Inkerman. Awarded Victoria Cross 24 Feb 1857. Retired from Army 1859. (Mentioned in Pan Books - “Battles of the Crimea War”). On his marriage he assumed the surname of LOYD LINDSAY. MP for Berkshire 1865-85. Founded British Red Cross Society 1870. Lord Lieutenant and JP for Berkshire 1886-1901. Equerry to HRH The Prince of Wales 1874 (later Edward VII). Financial Secretary to War Office 1877-80. Created KCB 1881. Raised to Peerage as Baron WANTAGE of Lockinge 1885. Founder and Director of the Wantage Tramway. Ran from Wantage Road GWR to Wantage 1873. Tramway finally dissolved 1947. (See “The Wantage Tramway” Abbey Press, Abington 1958.)  Robert buried at Ardington, Nr. Lockinge.</v>
      </c>
      <c r="AL28" s="131" t="str">
        <f>VLOOKUP(A28,'Updated Bios &amp; Spouse Details'!$A$1:$J$200,5,FALSE)</f>
        <v xml:space="preserve">Lady WANTAGE of Lockinge House [24] Wantage, and of 2 Carlton Gardens, London SW1 was the only daughter of Samuel Jones LOYD, Baron OVERSTONE (1796–1883: #9). Born 30 Jun 1837. Harriet DSP on 9 Aug 1920 and is buried at Ardington, near Lockinge. DSP Estate £768,587. Portrait by Philip LASZLO de LOMBOS in possession of Christopher (1923-2013: #100). Footnote: [24] Lockinge House, built 1773, was given by Lord Overstone to his daughter Harriet and son-in-law after their marriage. After her husband Robert died in 1901 Harriet wrote a book entitled  'Lord Wantage, V.C.; K.C.B. - A Memoir' which was published in 1907.  A copy is in the possession of Dominic (1953– : #131) and Roddy SALE ((397d) also has a copy of a memoire of Lord Wantage written by his wife The Hon Harriet (1837–1920: #26). </v>
      </c>
      <c r="AM28" s="105" t="str">
        <f>IF(AND(LEN(H28)&gt;0,ISNA(IF(K28="Boy",VLOOKUP(A28,'Siblings of those BORN Loyd'!$AP$3:$AQ$70,2,FALSE),VLOOKUP(A28,'Children of Female Loyds'!$AR$5:$AS$60,2,FALSE)))),"d.s.p","")</f>
        <v>d.s.p</v>
      </c>
      <c r="AN28" s="99" t="str">
        <f t="shared" si="12"/>
        <v>Samuel (1796–1883: #9)</v>
      </c>
      <c r="AO28" s="99" t="str">
        <f t="shared" si="18"/>
        <v>Lewis LOYD (1768–1858: #3)</v>
      </c>
      <c r="AP28" s="99" t="str">
        <f t="shared" si="19"/>
        <v>William (1729–1800: #1)</v>
      </c>
      <c r="AQ28" s="99" t="str">
        <f t="shared" si="20"/>
        <v/>
      </c>
      <c r="AR28" s="99" t="str">
        <f t="shared" si="21"/>
        <v/>
      </c>
      <c r="AS28" s="99" t="str">
        <f t="shared" si="22"/>
        <v/>
      </c>
      <c r="AT28" s="99" t="str">
        <f t="shared" si="23"/>
        <v/>
      </c>
      <c r="AU28" s="99" t="str">
        <f t="shared" si="24"/>
        <v/>
      </c>
      <c r="AW28" s="116" t="str">
        <f>VLOOKUP(A28,'Updated Bios &amp; Spouse Details'!$A$1:$J$193,6,FALSE)</f>
        <v>England</v>
      </c>
      <c r="AX28" s="131">
        <f>VLOOKUP($A28,'Loyd List 1-190 - Edit'!$P$2:$AQ$220,AX$1,FALSE)</f>
        <v>26</v>
      </c>
      <c r="AY28" s="116" t="str">
        <f>IF(ISNA(VLOOKUP(A28,'Data check lookup table'!$G$2:$V$73,13,FALSE))," - ",VLOOKUP(A28,'Data check lookup table'!$G$2:$V$73,13,FALSE))</f>
        <v xml:space="preserve"> - </v>
      </c>
      <c r="AZ28" s="147" t="str">
        <f t="shared" si="14"/>
        <v>09/08/1920</v>
      </c>
      <c r="BA28" s="99" t="str">
        <f t="shared" si="15"/>
        <v/>
      </c>
      <c r="BB28" s="99" t="str">
        <f t="shared" si="16"/>
        <v/>
      </c>
      <c r="BI28" s="147" t="s">
        <v>3163</v>
      </c>
    </row>
    <row r="29" spans="1:61" s="99" customFormat="1" ht="34">
      <c r="A29" s="139">
        <f>'Loyd List 1-190 - Edit'!C29</f>
        <v>27</v>
      </c>
      <c r="B29" s="99" t="str">
        <f>VLOOKUP($A29,'Loyd List 1-190 - Edit'!$C$1:$AQ$220,'Book Details - NO EDIT'!B$1,FALSE)</f>
        <v>William</v>
      </c>
      <c r="C29" s="99" t="str">
        <f>IF(VLOOKUP($A29,'Loyd List 1-190 - Edit'!$C$1:$AQ$220,'Book Details - NO EDIT'!C$1,FALSE)="","",VLOOKUP($A29,'Loyd List 1-190 - Edit'!$C$1:$AQ$220,'Book Details - NO EDIT'!C$1,FALSE))</f>
        <v>Kirkman</v>
      </c>
      <c r="D29" s="99" t="str">
        <f>IF(VLOOKUP($A29,'Loyd List 1-190 - Edit'!$C$1:$AQ$220,'Book Details - NO EDIT'!D$1,FALSE)="","",VLOOKUP($A29,'Loyd List 1-190 - Edit'!$C$1:$AQ$220,'Book Details - NO EDIT'!D$1,FALSE))</f>
        <v/>
      </c>
      <c r="E29" s="99" t="str">
        <f>IF(VLOOKUP($A29,'Loyd List 1-190 - Edit'!$C$1:$AQ$220,'Book Details - NO EDIT'!E$1,FALSE)="","",VLOOKUP($A29,'Loyd List 1-190 - Edit'!$C$1:$AQ$220,'Book Details - NO EDIT'!E$1,FALSE))</f>
        <v>LOYD</v>
      </c>
      <c r="F29" s="99" t="str">
        <f>IF(VLOOKUP($A29,'Loyd List 1-190 - Edit'!$C$1:$AQ$220,'Book Details - NO EDIT'!F$1,FALSE)="",B29,VLOOKUP($A29,'Loyd List 1-190 - Edit'!$C$1:$AQ$220,'Book Details - NO EDIT'!F$1,FALSE))</f>
        <v>William</v>
      </c>
      <c r="G29" s="140">
        <f>IF(VLOOKUP($A29,'Loyd List 1-190 - Edit'!$C$1:$AQ$220,'Book Details - NO EDIT'!G$1,FALSE)="","",VALUE(VLOOKUP($A29,'Loyd List 1-190 - Edit'!$C$1:$AQ$220,'Book Details - NO EDIT'!G$1,FALSE)))</f>
        <v>1843</v>
      </c>
      <c r="H29" s="140">
        <f>IF(VLOOKUP($A29,'Loyd List 1-190 - Edit'!$C$1:$AQ$220,'Book Details - NO EDIT'!H$1,FALSE)="","",VALUE(VLOOKUP($A29,'Loyd List 1-190 - Edit'!$C$1:$AQ$220,'Book Details - NO EDIT'!H$1,FALSE)))</f>
        <v>1843</v>
      </c>
      <c r="I29" s="141" t="str">
        <f>IF(VLOOKUP($A29,'Loyd List 1-190 - Edit'!$C$1:$AQ$220,'Book Details - NO EDIT'!I$1,FALSE)="","",(VLOOKUP($A29,'Loyd List 1-190 - Edit'!$C$1:$AQ$220,'Book Details - NO EDIT'!I$1,FALSE)))</f>
        <v>17/01/1843</v>
      </c>
      <c r="J29" s="141" t="str">
        <f>IF(VLOOKUP($A29,'Loyd List 1-190 - Edit'!$C$1:$AQ$220,'Book Details - NO EDIT'!J$1,FALSE)="","",(VLOOKUP($A29,'Loyd List 1-190 - Edit'!$C$1:$AQ$220,'Book Details - NO EDIT'!J$1,FALSE)))</f>
        <v>30/05/1843</v>
      </c>
      <c r="K29" s="100" t="str">
        <f>VLOOKUP($A29,'Loyd List 1-190 - Edit'!$C$1:$AQ$220,'Book Details - NO EDIT'!K$1,FALSE)</f>
        <v>Boy</v>
      </c>
      <c r="L29" s="140">
        <f>VLOOKUP($A29,'Loyd List 1-190 - Edit'!$C$1:$AQ$220,'Book Details - NO EDIT'!L$1,FALSE)</f>
        <v>14</v>
      </c>
      <c r="M29" s="140">
        <f t="shared" si="3"/>
        <v>4</v>
      </c>
      <c r="N29" s="140">
        <f t="shared" si="3"/>
        <v>1</v>
      </c>
      <c r="O29" s="140">
        <f t="shared" si="3"/>
        <v>0</v>
      </c>
      <c r="P29" s="140" t="str">
        <f t="shared" si="3"/>
        <v/>
      </c>
      <c r="Q29" s="140" t="str">
        <f t="shared" si="4"/>
        <v/>
      </c>
      <c r="R29" s="140" t="str">
        <f t="shared" si="4"/>
        <v/>
      </c>
      <c r="S29" s="140" t="str">
        <f t="shared" si="5"/>
        <v/>
      </c>
      <c r="T29" s="140">
        <f t="shared" si="1"/>
        <v>3</v>
      </c>
      <c r="U29" s="139">
        <f t="shared" si="6"/>
        <v>27</v>
      </c>
      <c r="V29" s="31" t="str">
        <f t="shared" si="7"/>
        <v>William (1843–1843)</v>
      </c>
      <c r="W29" s="31" t="str">
        <f t="shared" si="8"/>
        <v>William (#27)</v>
      </c>
      <c r="X29" s="99" t="str">
        <f t="shared" si="9"/>
        <v>William (1843–1843: #27)</v>
      </c>
      <c r="Y29" s="99" t="str">
        <f t="shared" si="2"/>
        <v>William Kirkman LOYD</v>
      </c>
      <c r="Z29" s="99" t="str">
        <f t="shared" si="10"/>
        <v>Thomas (1812–1857: #14)</v>
      </c>
      <c r="AA29" s="99" t="str">
        <f t="shared" si="17"/>
        <v xml:space="preserve">Thomas (1812–1857: #14) William (1770–1828: #4) William (1729–1800: #1)     </v>
      </c>
      <c r="AB29" s="142" t="str">
        <f>VLOOKUP(U29,'Siblings of those BORN Loyd'!$A$2:$G$230,7,FALSE)</f>
        <v xml:space="preserve">7 – The Rev Lewis (1844–1905: #28) Arthur (1845–1930: #29) Archie (1847–1922: #30) Frank (1848–1934: #32) Alfred (1849–1881: #33) Ted (1851–1922: #34) Annie (1853–1946: #37) </v>
      </c>
      <c r="AC29" s="115" t="str">
        <f>IF(ISNA(IF(K29="Boy",VLOOKUP(A29,'Siblings of those BORN Loyd'!$AP$3:$AQ$70,2,FALSE),VLOOKUP(A29,'Children of Female Loyds'!$AR$5:$AT$60,3,FALSE))),AM29,IF(K29="Boy",VLOOKUP(A29,'Siblings of those BORN Loyd'!$AP$3:$AQ$70,2,FALSE),VLOOKUP(A29,'Children of Female Loyds'!$AR$5:$AT$60,3,FALSE)))</f>
        <v>d.s.p</v>
      </c>
      <c r="AD29" s="97" t="str">
        <f t="shared" si="26"/>
        <v>d.s.p.</v>
      </c>
      <c r="AE29" s="105" t="str">
        <f>IF(ISNA(IF(K29="Boy",VLOOKUP(A29,'Grandchildren of Male Loyds'!$AQ$3:$AS$51,3,FALSE),VLOOKUP(A29,'Grandchildren of Female Loyds'!$AX$5:$AZ$63,3,FALSE))),AM29,IF(K29="Boy",VLOOKUP(A29,'Grandchildren of Male Loyds'!$AQ$3:$AS$51,3,FALSE),VLOOKUP(A29,'Grandchildren of Female Loyds'!$AX$5:$AZ$63,3,FALSE)))</f>
        <v>d.s.p</v>
      </c>
      <c r="AF29" s="105" t="str">
        <f>IF(ISNA(VLOOKUP(A29,'Grandchildren Loyd Daughters'!$BD$5:$BF$50,4,FALSE)),"",VLOOKUP(A29,'Grandchildren Loyd Daughters'!$BD$5:$BF$50,3,FALSE))</f>
        <v/>
      </c>
      <c r="AG29" s="129">
        <f>IF(ISNA(VLOOKUP(A29,'Grandchildren of Male Loyds'!$AQ$3:$AR$60,2,FALSE)),0,VLOOKUP(A29,'Grandchildren of Male Loyds'!$AQ$3:$AR$60,2,FALSE))+IF(ISNA(VLOOKUP(A29,'Grandchildren of Female Loyds'!$AX$5:$AY$50,2,FALSE)),0,VLOOKUP(A29,'Grandchildren of Female Loyds'!$AX$5:$AY$50,2,FALSE))+IF(ISNA(VLOOKUP(A29,'Grandchildren Loyd Daughters'!$BD$5:$BE$50,2,FALSE)),0,VLOOKUP(A29,'Grandchildren Loyd Daughters'!$BD$5:$BE$50,2,FALSE))</f>
        <v>0</v>
      </c>
      <c r="AH29" s="129" t="str">
        <f>VLOOKUP($U29,'Loyd List 1-190 - Edit'!$P$3:$AJ$220,21,FALSE)</f>
        <v>Annie Hurst HAIG (b. 3 Oct 1816, d. 28 May 1885)</v>
      </c>
      <c r="AI29" s="129" t="str">
        <f>VLOOKUP(A29,'Updated Bios &amp; Spouse Details'!$A$1:$J$200,7,FALSE)</f>
        <v>Died in infancy.</v>
      </c>
      <c r="AJ29" s="130" t="str">
        <f>IF(VLOOKUP($A29,'Loyd List 1-190 - Edit'!$C$1:$AQ$220,'Book Details - NO EDIT'!AJ$1,FALSE)="","",(VLOOKUP($A29,'Loyd List 1-190 - Edit'!$C$1:$AQ$220,'Book Details - NO EDIT'!AJ$1,FALSE)))</f>
        <v xml:space="preserve"> - </v>
      </c>
      <c r="AK29" s="129" t="str">
        <f>VLOOKUP(A29,'Updated Bios &amp; Spouse Details'!$A$1:$J$200,8,FALSE)</f>
        <v xml:space="preserve"> - </v>
      </c>
      <c r="AL29" s="131" t="str">
        <f>VLOOKUP(A29,'Updated Bios &amp; Spouse Details'!$A$1:$J$200,5,FALSE)</f>
        <v>William was the eldest son of Thomas (1812–1857: #14). Born 17 Jan 1843. Died in infancy on 30 May 1843 in India.</v>
      </c>
      <c r="AM29" s="105" t="str">
        <f>IF(AND(LEN(H29)&gt;0,ISNA(IF(K29="Boy",VLOOKUP(A29,'Siblings of those BORN Loyd'!$AP$3:$AQ$70,2,FALSE),VLOOKUP(A29,'Children of Female Loyds'!$AR$5:$AS$60,2,FALSE)))),"d.s.p","")</f>
        <v>d.s.p</v>
      </c>
      <c r="AN29" s="99" t="str">
        <f t="shared" si="12"/>
        <v>Thomas (1812–1857: #14)</v>
      </c>
      <c r="AO29" s="99" t="str">
        <f t="shared" si="18"/>
        <v>William (1770–1828: #4)</v>
      </c>
      <c r="AP29" s="99" t="str">
        <f t="shared" si="19"/>
        <v>William (1729–1800: #1)</v>
      </c>
      <c r="AQ29" s="99" t="str">
        <f t="shared" si="20"/>
        <v/>
      </c>
      <c r="AR29" s="99" t="str">
        <f t="shared" si="21"/>
        <v/>
      </c>
      <c r="AS29" s="99" t="str">
        <f t="shared" si="22"/>
        <v/>
      </c>
      <c r="AT29" s="99" t="str">
        <f t="shared" si="23"/>
        <v/>
      </c>
      <c r="AU29" s="99" t="str">
        <f t="shared" si="24"/>
        <v/>
      </c>
      <c r="AW29" s="116" t="str">
        <f>VLOOKUP(A29,'Updated Bios &amp; Spouse Details'!$A$1:$J$193,6,FALSE)</f>
        <v>England</v>
      </c>
      <c r="AX29" s="131">
        <f>VLOOKUP($A29,'Loyd List 1-190 - Edit'!$P$2:$AQ$220,AX$1,FALSE)</f>
        <v>27</v>
      </c>
      <c r="AY29" s="116" t="str">
        <f>IF(ISNA(VLOOKUP(A29,'Data check lookup table'!$G$2:$V$73,13,FALSE))," - ",VLOOKUP(A29,'Data check lookup table'!$G$2:$V$73,13,FALSE))</f>
        <v xml:space="preserve"> - </v>
      </c>
      <c r="AZ29" s="147" t="str">
        <f t="shared" si="14"/>
        <v>30/05/1843</v>
      </c>
      <c r="BA29" s="99" t="str">
        <f t="shared" si="15"/>
        <v/>
      </c>
      <c r="BB29" s="99" t="str">
        <f t="shared" si="16"/>
        <v/>
      </c>
      <c r="BI29" s="147" t="s">
        <v>1046</v>
      </c>
    </row>
    <row r="30" spans="1:61" s="99" customFormat="1" ht="68">
      <c r="A30" s="139">
        <f>'Loyd List 1-190 - Edit'!C30</f>
        <v>28</v>
      </c>
      <c r="B30" s="99" t="str">
        <f>VLOOKUP($A30,'Loyd List 1-190 - Edit'!$C$1:$AQ$220,'Book Details - NO EDIT'!B$1,FALSE)</f>
        <v>The Rev Lewis</v>
      </c>
      <c r="C30" s="99" t="str">
        <f>IF(VLOOKUP($A30,'Loyd List 1-190 - Edit'!$C$1:$AQ$220,'Book Details - NO EDIT'!C$1,FALSE)="","",VLOOKUP($A30,'Loyd List 1-190 - Edit'!$C$1:$AQ$220,'Book Details - NO EDIT'!C$1,FALSE))</f>
        <v xml:space="preserve">Haig </v>
      </c>
      <c r="D30" s="99" t="str">
        <f>IF(VLOOKUP($A30,'Loyd List 1-190 - Edit'!$C$1:$AQ$220,'Book Details - NO EDIT'!D$1,FALSE)="","",VLOOKUP($A30,'Loyd List 1-190 - Edit'!$C$1:$AQ$220,'Book Details - NO EDIT'!D$1,FALSE))</f>
        <v/>
      </c>
      <c r="E30" s="99" t="str">
        <f>IF(VLOOKUP($A30,'Loyd List 1-190 - Edit'!$C$1:$AQ$220,'Book Details - NO EDIT'!E$1,FALSE)="","",VLOOKUP($A30,'Loyd List 1-190 - Edit'!$C$1:$AQ$220,'Book Details - NO EDIT'!E$1,FALSE))</f>
        <v>LOYD</v>
      </c>
      <c r="F30" s="99" t="str">
        <f>IF(VLOOKUP($A30,'Loyd List 1-190 - Edit'!$C$1:$AQ$220,'Book Details - NO EDIT'!F$1,FALSE)="",B30,VLOOKUP($A30,'Loyd List 1-190 - Edit'!$C$1:$AQ$220,'Book Details - NO EDIT'!F$1,FALSE))</f>
        <v>The Rev Lewis</v>
      </c>
      <c r="G30" s="140">
        <f>IF(VLOOKUP($A30,'Loyd List 1-190 - Edit'!$C$1:$AQ$220,'Book Details - NO EDIT'!G$1,FALSE)="","",VALUE(VLOOKUP($A30,'Loyd List 1-190 - Edit'!$C$1:$AQ$220,'Book Details - NO EDIT'!G$1,FALSE)))</f>
        <v>1844</v>
      </c>
      <c r="H30" s="140">
        <f>IF(VLOOKUP($A30,'Loyd List 1-190 - Edit'!$C$1:$AQ$220,'Book Details - NO EDIT'!H$1,FALSE)="","",VALUE(VLOOKUP($A30,'Loyd List 1-190 - Edit'!$C$1:$AQ$220,'Book Details - NO EDIT'!H$1,FALSE)))</f>
        <v>1905</v>
      </c>
      <c r="I30" s="141" t="str">
        <f>IF(VLOOKUP($A30,'Loyd List 1-190 - Edit'!$C$1:$AQ$220,'Book Details - NO EDIT'!I$1,FALSE)="","",(VLOOKUP($A30,'Loyd List 1-190 - Edit'!$C$1:$AQ$220,'Book Details - NO EDIT'!I$1,FALSE)))</f>
        <v>28/03/1844</v>
      </c>
      <c r="J30" s="141" t="str">
        <f>IF(VLOOKUP($A30,'Loyd List 1-190 - Edit'!$C$1:$AQ$220,'Book Details - NO EDIT'!J$1,FALSE)="","",(VLOOKUP($A30,'Loyd List 1-190 - Edit'!$C$1:$AQ$220,'Book Details - NO EDIT'!J$1,FALSE)))</f>
        <v>04/08/1905</v>
      </c>
      <c r="K30" s="100" t="str">
        <f>VLOOKUP($A30,'Loyd List 1-190 - Edit'!$C$1:$AQ$220,'Book Details - NO EDIT'!K$1,FALSE)</f>
        <v>Boy</v>
      </c>
      <c r="L30" s="140">
        <f>VLOOKUP($A30,'Loyd List 1-190 - Edit'!$C$1:$AQ$220,'Book Details - NO EDIT'!L$1,FALSE)</f>
        <v>14</v>
      </c>
      <c r="M30" s="140">
        <f t="shared" si="3"/>
        <v>4</v>
      </c>
      <c r="N30" s="140">
        <f t="shared" si="3"/>
        <v>1</v>
      </c>
      <c r="O30" s="140">
        <f t="shared" si="3"/>
        <v>0</v>
      </c>
      <c r="P30" s="140" t="str">
        <f t="shared" si="3"/>
        <v/>
      </c>
      <c r="Q30" s="140" t="str">
        <f t="shared" si="4"/>
        <v/>
      </c>
      <c r="R30" s="140" t="str">
        <f t="shared" si="4"/>
        <v/>
      </c>
      <c r="S30" s="140" t="str">
        <f t="shared" si="5"/>
        <v/>
      </c>
      <c r="T30" s="140">
        <f t="shared" si="1"/>
        <v>3</v>
      </c>
      <c r="U30" s="139">
        <f t="shared" si="6"/>
        <v>28</v>
      </c>
      <c r="V30" s="31" t="str">
        <f t="shared" si="7"/>
        <v>The Rev Lewis (1844–1905)</v>
      </c>
      <c r="W30" s="31" t="str">
        <f t="shared" si="8"/>
        <v>The Rev Lewis (#28)</v>
      </c>
      <c r="X30" s="99" t="str">
        <f t="shared" si="9"/>
        <v>The Rev Lewis (1844–1905: #28)</v>
      </c>
      <c r="Y30" s="99" t="str">
        <f t="shared" si="2"/>
        <v>The Rev Lewis Haig  LOYD</v>
      </c>
      <c r="Z30" s="99" t="str">
        <f t="shared" si="10"/>
        <v>Thomas (1812–1857: #14)</v>
      </c>
      <c r="AA30" s="99" t="str">
        <f t="shared" si="17"/>
        <v xml:space="preserve">Thomas (1812–1857: #14) William (1770–1828: #4) William (1729–1800: #1)     </v>
      </c>
      <c r="AB30" s="142" t="str">
        <f>VLOOKUP(U30,'Siblings of those BORN Loyd'!$A$2:$G$230,7,FALSE)</f>
        <v xml:space="preserve">7 – William (1843–1843: #27)  Arthur (1845–1930: #29) Archie (1847–1922: #30) Frank (1848–1934: #32) Alfred (1849–1881: #33) Ted (1851–1922: #34) Annie (1853–1946: #37) </v>
      </c>
      <c r="AC30" s="115" t="str">
        <f>IF(ISNA(IF(K30="Boy",VLOOKUP(A30,'Siblings of those BORN Loyd'!$AP$3:$AQ$70,2,FALSE),VLOOKUP(A30,'Children of Female Loyds'!$AR$5:$AT$60,3,FALSE))),AM30,IF(K30="Boy",VLOOKUP(A30,'Siblings of those BORN Loyd'!$AP$3:$AQ$70,2,FALSE),VLOOKUP(A30,'Children of Female Loyds'!$AR$5:$AT$60,3,FALSE)))</f>
        <v>4 - Lewis (1875–1947: #51); Tommy (1882–1944: #56); Rt Rev Philip (1884–1952: #58); Kitty (1885–1989: #60)</v>
      </c>
      <c r="AD30" s="97" t="str">
        <f t="shared" si="26"/>
        <v xml:space="preserve">6 - Anne (1912–2004: #85); John (1913–1943: #87); Martin (1917–1926: #91); Hester (1920–2002: #95); Christopher (1923–2013: #100); Catherine (1923–2014: #101)   </v>
      </c>
      <c r="AE30" s="105" t="str">
        <f>IF(ISNA(IF(K30="Boy",VLOOKUP(A30,'Grandchildren of Male Loyds'!$AQ$3:$AS$51,3,FALSE),VLOOKUP(A30,'Grandchildren of Female Loyds'!$AX$5:$AZ$63,3,FALSE))),AM30,IF(K30="Boy",VLOOKUP(A30,'Grandchildren of Male Loyds'!$AQ$3:$AS$51,3,FALSE),VLOOKUP(A30,'Grandchildren of Female Loyds'!$AX$5:$AZ$63,3,FALSE)))</f>
        <v>Anne (1912–2004: #85); John (1913–1943: #87); Martin (1917–1926: #91); Hester (1920–2002: #95); Christopher (1923–2013: #100); Catherine (1923–2014: #101)</v>
      </c>
      <c r="AF30" s="105" t="str">
        <f>IF(ISNA(VLOOKUP(A30,'Grandchildren Loyd Daughters'!$BD$5:$BF$50,4,FALSE)),"",VLOOKUP(A30,'Grandchildren Loyd Daughters'!$BD$5:$BF$50,3,FALSE))</f>
        <v/>
      </c>
      <c r="AG30" s="129">
        <f>IF(ISNA(VLOOKUP(A30,'Grandchildren of Male Loyds'!$AQ$3:$AR$60,2,FALSE)),0,VLOOKUP(A30,'Grandchildren of Male Loyds'!$AQ$3:$AR$60,2,FALSE))+IF(ISNA(VLOOKUP(A30,'Grandchildren of Female Loyds'!$AX$5:$AY$50,2,FALSE)),0,VLOOKUP(A30,'Grandchildren of Female Loyds'!$AX$5:$AY$50,2,FALSE))+IF(ISNA(VLOOKUP(A30,'Grandchildren Loyd Daughters'!$BD$5:$BE$50,2,FALSE)),0,VLOOKUP(A30,'Grandchildren Loyd Daughters'!$BD$5:$BE$50,2,FALSE))</f>
        <v>6</v>
      </c>
      <c r="AH30" s="129" t="str">
        <f>VLOOKUP($U30,'Loyd List 1-190 - Edit'!$P$3:$AJ$220,21,FALSE)</f>
        <v>Annie Hurst HAIG (b. 3 Oct 1816, d. 28 May 1885)</v>
      </c>
      <c r="AI30" s="129" t="str">
        <f>VLOOKUP(A30,'Updated Bios &amp; Spouse Details'!$A$1:$J$200,7,FALSE)</f>
        <v>Emily Harriet (Milly) SMYTH (b. 30 Aug 1852, d. 25 Feb 1911)</v>
      </c>
      <c r="AJ30" s="130" t="str">
        <f>IF(VLOOKUP($A30,'Loyd List 1-190 - Edit'!$C$1:$AQ$220,'Book Details - NO EDIT'!AJ$1,FALSE)="","",(VLOOKUP($A30,'Loyd List 1-190 - Edit'!$C$1:$AQ$220,'Book Details - NO EDIT'!AJ$1,FALSE)))</f>
        <v>27/10/1874</v>
      </c>
      <c r="AK30" s="129" t="str">
        <f>VLOOKUP(A30,'Updated Bios &amp; Spouse Details'!$A$1:$J$200,8,FALSE)</f>
        <v>Married at Little Houghton, Northamptonshire, Milly daughter of the Rev Christopher SMYTH of Little Houghton, Northamptonshire.</v>
      </c>
      <c r="AL30" s="131" t="str">
        <f>VLOOKUP(A30,'Updated Bios &amp; Spouse Details'!$A$1:$J$200,5,FALSE)</f>
        <v>Lewis was the 2nd son of Thomas (1812–1857: #14) . Born 28 Mar 1844 at Simla, India. Educated MA. Rector of Abington, Northamptonshire 1870-77. Vicar of St Laurence, Northampton 1877-85. Vicar of Wing, Buckinghamshire 1885. Rector of Orlingbury, Northamptonshire. Died 4 Aug 1905, at Grange Gardens, Eastbourne; buried at Wing, Buckinghamshire. Issue: 3 sons, 1 daughter.</v>
      </c>
      <c r="AM30" s="105" t="str">
        <f>IF(AND(LEN(H30)&gt;0,ISNA(IF(K30="Boy",VLOOKUP(A30,'Siblings of those BORN Loyd'!$AP$3:$AQ$70,2,FALSE),VLOOKUP(A30,'Children of Female Loyds'!$AR$5:$AS$60,2,FALSE)))),"d.s.p","")</f>
        <v/>
      </c>
      <c r="AN30" s="99" t="str">
        <f t="shared" si="12"/>
        <v>Thomas (1812–1857: #14)</v>
      </c>
      <c r="AO30" s="99" t="str">
        <f t="shared" si="18"/>
        <v>William (1770–1828: #4)</v>
      </c>
      <c r="AP30" s="99" t="str">
        <f t="shared" si="19"/>
        <v>William (1729–1800: #1)</v>
      </c>
      <c r="AQ30" s="99" t="str">
        <f t="shared" si="20"/>
        <v/>
      </c>
      <c r="AR30" s="99" t="str">
        <f t="shared" si="21"/>
        <v/>
      </c>
      <c r="AS30" s="99" t="str">
        <f t="shared" si="22"/>
        <v/>
      </c>
      <c r="AT30" s="99" t="str">
        <f t="shared" si="23"/>
        <v/>
      </c>
      <c r="AU30" s="99" t="str">
        <f t="shared" si="24"/>
        <v/>
      </c>
      <c r="AW30" s="116" t="str">
        <f>VLOOKUP(A30,'Updated Bios &amp; Spouse Details'!$A$1:$J$193,6,FALSE)</f>
        <v>England</v>
      </c>
      <c r="AX30" s="131">
        <f>VLOOKUP($A30,'Loyd List 1-190 - Edit'!$P$2:$AQ$220,AX$1,FALSE)</f>
        <v>28</v>
      </c>
      <c r="AY30" s="116" t="str">
        <f>IF(ISNA(VLOOKUP(A30,'Data check lookup table'!$G$2:$V$73,13,FALSE))," - ",VLOOKUP(A30,'Data check lookup table'!$G$2:$V$73,13,FALSE))</f>
        <v xml:space="preserve"> - </v>
      </c>
      <c r="AZ30" s="147" t="str">
        <f t="shared" si="14"/>
        <v>04/08/1905</v>
      </c>
      <c r="BA30" s="99" t="str">
        <f t="shared" si="15"/>
        <v/>
      </c>
      <c r="BB30" s="99" t="str">
        <f t="shared" si="16"/>
        <v/>
      </c>
      <c r="BI30" s="147" t="s">
        <v>3164</v>
      </c>
    </row>
    <row r="31" spans="1:61" s="99" customFormat="1" ht="238">
      <c r="A31" s="139">
        <f>'Loyd List 1-190 - Edit'!C31</f>
        <v>29</v>
      </c>
      <c r="B31" s="99" t="str">
        <f>VLOOKUP($A31,'Loyd List 1-190 - Edit'!$C$1:$AQ$220,'Book Details - NO EDIT'!B$1,FALSE)</f>
        <v>Arthur</v>
      </c>
      <c r="C31" s="99" t="str">
        <f>IF(VLOOKUP($A31,'Loyd List 1-190 - Edit'!$C$1:$AQ$220,'Book Details - NO EDIT'!C$1,FALSE)="","",VLOOKUP($A31,'Loyd List 1-190 - Edit'!$C$1:$AQ$220,'Book Details - NO EDIT'!C$1,FALSE))</f>
        <v>Purvis</v>
      </c>
      <c r="D31" s="99" t="str">
        <f>IF(VLOOKUP($A31,'Loyd List 1-190 - Edit'!$C$1:$AQ$220,'Book Details - NO EDIT'!D$1,FALSE)="","",VLOOKUP($A31,'Loyd List 1-190 - Edit'!$C$1:$AQ$220,'Book Details - NO EDIT'!D$1,FALSE))</f>
        <v/>
      </c>
      <c r="E31" s="99" t="str">
        <f>IF(VLOOKUP($A31,'Loyd List 1-190 - Edit'!$C$1:$AQ$220,'Book Details - NO EDIT'!E$1,FALSE)="","",VLOOKUP($A31,'Loyd List 1-190 - Edit'!$C$1:$AQ$220,'Book Details - NO EDIT'!E$1,FALSE))</f>
        <v>LOYD</v>
      </c>
      <c r="F31" s="99" t="str">
        <f>IF(VLOOKUP($A31,'Loyd List 1-190 - Edit'!$C$1:$AQ$220,'Book Details - NO EDIT'!F$1,FALSE)="",B31,VLOOKUP($A31,'Loyd List 1-190 - Edit'!$C$1:$AQ$220,'Book Details - NO EDIT'!F$1,FALSE))</f>
        <v>Arthur</v>
      </c>
      <c r="G31" s="140">
        <f>IF(VLOOKUP($A31,'Loyd List 1-190 - Edit'!$C$1:$AQ$220,'Book Details - NO EDIT'!G$1,FALSE)="","",VALUE(VLOOKUP($A31,'Loyd List 1-190 - Edit'!$C$1:$AQ$220,'Book Details - NO EDIT'!G$1,FALSE)))</f>
        <v>1845</v>
      </c>
      <c r="H31" s="140">
        <f>IF(VLOOKUP($A31,'Loyd List 1-190 - Edit'!$C$1:$AQ$220,'Book Details - NO EDIT'!H$1,FALSE)="","",VALUE(VLOOKUP($A31,'Loyd List 1-190 - Edit'!$C$1:$AQ$220,'Book Details - NO EDIT'!H$1,FALSE)))</f>
        <v>1930</v>
      </c>
      <c r="I31" s="141" t="str">
        <f>IF(VLOOKUP($A31,'Loyd List 1-190 - Edit'!$C$1:$AQ$220,'Book Details - NO EDIT'!I$1,FALSE)="","",(VLOOKUP($A31,'Loyd List 1-190 - Edit'!$C$1:$AQ$220,'Book Details - NO EDIT'!I$1,FALSE)))</f>
        <v>28/09/1845</v>
      </c>
      <c r="J31" s="141" t="str">
        <f>IF(VLOOKUP($A31,'Loyd List 1-190 - Edit'!$C$1:$AQ$220,'Book Details - NO EDIT'!J$1,FALSE)="","",(VLOOKUP($A31,'Loyd List 1-190 - Edit'!$C$1:$AQ$220,'Book Details - NO EDIT'!J$1,FALSE)))</f>
        <v>19/03/1930</v>
      </c>
      <c r="K31" s="100" t="str">
        <f>VLOOKUP($A31,'Loyd List 1-190 - Edit'!$C$1:$AQ$220,'Book Details - NO EDIT'!K$1,FALSE)</f>
        <v>Boy</v>
      </c>
      <c r="L31" s="140">
        <f>VLOOKUP($A31,'Loyd List 1-190 - Edit'!$C$1:$AQ$220,'Book Details - NO EDIT'!L$1,FALSE)</f>
        <v>14</v>
      </c>
      <c r="M31" s="140">
        <f t="shared" si="3"/>
        <v>4</v>
      </c>
      <c r="N31" s="140">
        <f t="shared" si="3"/>
        <v>1</v>
      </c>
      <c r="O31" s="140">
        <f t="shared" si="3"/>
        <v>0</v>
      </c>
      <c r="P31" s="140" t="str">
        <f t="shared" si="3"/>
        <v/>
      </c>
      <c r="Q31" s="140" t="str">
        <f t="shared" si="4"/>
        <v/>
      </c>
      <c r="R31" s="140" t="str">
        <f t="shared" si="4"/>
        <v/>
      </c>
      <c r="S31" s="140" t="str">
        <f t="shared" si="5"/>
        <v/>
      </c>
      <c r="T31" s="140">
        <f t="shared" si="1"/>
        <v>3</v>
      </c>
      <c r="U31" s="139">
        <f t="shared" si="6"/>
        <v>29</v>
      </c>
      <c r="V31" s="31" t="str">
        <f t="shared" si="7"/>
        <v>Arthur (1845–1930)</v>
      </c>
      <c r="W31" s="31" t="str">
        <f t="shared" si="8"/>
        <v>Arthur (#29)</v>
      </c>
      <c r="X31" s="99" t="str">
        <f t="shared" si="9"/>
        <v>Arthur (1845–1930: #29)</v>
      </c>
      <c r="Y31" s="99" t="str">
        <f t="shared" si="2"/>
        <v>Arthur Purvis LOYD</v>
      </c>
      <c r="Z31" s="99" t="str">
        <f t="shared" si="10"/>
        <v>Thomas (1812–1857: #14)</v>
      </c>
      <c r="AA31" s="99" t="str">
        <f t="shared" si="17"/>
        <v xml:space="preserve">Thomas (1812–1857: #14) William (1770–1828: #4) William (1729–1800: #1)     </v>
      </c>
      <c r="AB31" s="142" t="str">
        <f>VLOOKUP(U31,'Siblings of those BORN Loyd'!$A$2:$G$230,7,FALSE)</f>
        <v xml:space="preserve">7 – William (1843–1843: #27) The Rev Lewis (1844–1905: #28)  Archie (1847–1922: #30) Frank (1848–1934: #32) Alfred (1849–1881: #33) Ted (1851–1922: #34) Annie (1853–1946: #37) </v>
      </c>
      <c r="AC31" s="115" t="str">
        <f>IF(ISNA(IF(K31="Boy",VLOOKUP(A31,'Siblings of those BORN Loyd'!$AP$3:$AQ$70,2,FALSE),VLOOKUP(A31,'Children of Female Loyds'!$AR$5:$AT$60,3,FALSE))),AM31,IF(K31="Boy",VLOOKUP(A31,'Siblings of those BORN Loyd'!$AP$3:$AQ$70,2,FALSE),VLOOKUP(A31,'Children of Female Loyds'!$AR$5:$AT$60,3,FALSE)))</f>
        <v>1 - Eric (1894–1963: #80)</v>
      </c>
      <c r="AD31" s="97" t="str">
        <f t="shared" si="26"/>
        <v xml:space="preserve">4 - Margaret (1932–: #109); Jean (1933–: #110); Michael (1938–: #114); Peter (1942–: #119)   </v>
      </c>
      <c r="AE31" s="105" t="str">
        <f>IF(ISNA(IF(K31="Boy",VLOOKUP(A31,'Grandchildren of Male Loyds'!$AQ$3:$AS$51,3,FALSE),VLOOKUP(A31,'Grandchildren of Female Loyds'!$AX$5:$AZ$63,3,FALSE))),AM31,IF(K31="Boy",VLOOKUP(A31,'Grandchildren of Male Loyds'!$AQ$3:$AS$51,3,FALSE),VLOOKUP(A31,'Grandchildren of Female Loyds'!$AX$5:$AZ$63,3,FALSE)))</f>
        <v>Margaret (1932–: #109); Jean (1933–: #110); Michael (1938–: #114); Peter (1942–: #119)</v>
      </c>
      <c r="AF31" s="105" t="str">
        <f>IF(ISNA(VLOOKUP(A31,'Grandchildren Loyd Daughters'!$BD$5:$BF$50,4,FALSE)),"",VLOOKUP(A31,'Grandchildren Loyd Daughters'!$BD$5:$BF$50,3,FALSE))</f>
        <v/>
      </c>
      <c r="AG31" s="129">
        <f>IF(ISNA(VLOOKUP(A31,'Grandchildren of Male Loyds'!$AQ$3:$AR$60,2,FALSE)),0,VLOOKUP(A31,'Grandchildren of Male Loyds'!$AQ$3:$AR$60,2,FALSE))+IF(ISNA(VLOOKUP(A31,'Grandchildren of Female Loyds'!$AX$5:$AY$50,2,FALSE)),0,VLOOKUP(A31,'Grandchildren of Female Loyds'!$AX$5:$AY$50,2,FALSE))+IF(ISNA(VLOOKUP(A31,'Grandchildren Loyd Daughters'!$BD$5:$BE$50,2,FALSE)),0,VLOOKUP(A31,'Grandchildren Loyd Daughters'!$BD$5:$BE$50,2,FALSE))</f>
        <v>4</v>
      </c>
      <c r="AH31" s="129" t="str">
        <f>VLOOKUP($U31,'Loyd List 1-190 - Edit'!$P$3:$AJ$220,21,FALSE)</f>
        <v>Annie Hurst HAIG (b. 3 Oct 1816, d. 28 May 1885)</v>
      </c>
      <c r="AI31" s="129" t="str">
        <f>VLOOKUP(A31,'Updated Bios &amp; Spouse Details'!$A$1:$J$200,7,FALSE)</f>
        <v>Mary Douglas Reid (Minnie) AULD (b. 3 Aug 1850, d. May 1938)</v>
      </c>
      <c r="AJ31" s="130" t="str">
        <f>IF(VLOOKUP($A31,'Loyd List 1-190 - Edit'!$C$1:$AQ$220,'Book Details - NO EDIT'!AJ$1,FALSE)="","",(VLOOKUP($A31,'Loyd List 1-190 - Edit'!$C$1:$AQ$220,'Book Details - NO EDIT'!AJ$1,FALSE)))</f>
        <v>18/10/1882</v>
      </c>
      <c r="AK31" s="129" t="str">
        <f>VLOOKUP(A31,'Updated Bios &amp; Spouse Details'!$A$1:$J$200,8,FALSE)</f>
        <v>Married at St Mary and the Angels (Roman Catholic), Kensington, London, Minnie eldest daughter of T. K. AULD of 90 Portland Place, London, W1. Minnie buried with her husband at Brompton.</v>
      </c>
      <c r="AL31" s="131" t="str">
        <f>VLOOKUP(A31,'Updated Bios &amp; Spouse Details'!$A$1:$J$200,5,FALSE)</f>
        <v>Arthur lived at 42 Thurloe Square, London SW7 and was 3rd son of Thomas  (1812–1857: #14) . Born 28 Sep 1845 at Agra, India. Educated St Clare, Kent and RMC Sandhurst.  Cornet 21st Hussars Jul 1865. Joined Regt at Umballa, Punjab, India Oct 1865. Lieutenant Oct 1868. Adjutant May 1873-Dec 1877. Captain Dec 1877. Major Jul 1881. Retired Feb 1884. Recalled to serve in Boer War as Remount Officer. Commanded Advance Remount Depot, Pretoria 1900. Despatches. Lieut Colonel Nov 1900. Ornithologist.  [27] Died 19 Mar 1930 at 42 Thurloe Square, buried with his grandmother, Maria Haig, at Brompton (grave no. 4844). Issue: 1 son. Footnote: [27] He was a keen amateur ornithologist with many references to birds in his letters from a very young age. Most of his diaries, in the possession of Margaret (1932– : #109), later Margaret WALTON, contain descriptions of birds. In 1894, he produced a beautiful, leather bound, hand written book “Bird Notes” with pen and ink diagrams of the anatomy of birds, which is now in the possession of Michael (1938– : #114). Brigadier Clive Simpson, one of our foremost authorities on British Birds, reviewing the book in 1995, wrote of “the wonder of the reader at the meticulous care of the author; the beauty of his penmanship; the artistry of his ‘Synoptical Tables of Subdivisions’, with their subtle changes in the signs of the lettering and their clever construction. Above all, the reader becomes aware of the author’s love of his subject and his determination to make his book as beautiful as the birds of which he writes. The book is a work of art and should be recognized as such.”  “He (Arthur] and his wife never settled down until Eric (1894-1963: #80) was born. They had always lived itinerant lives, he in the Army in India, England and Ireland and Minnie in Ceylon and then Mexico. They visited many countries together between 1887 and 1893 including North Africa, Egypt, Turkey and Norway. The story goes that early in 1894 Minnie, then aged 43, complained to a friend that they were about to embark on another voyage and she was pregnant again - having up to that time had nine miscarriages! The friend insisted on her consulting a doctor with the result that she was made to rest for nine months and my father was born in September 1894. They then bought a house near Salisbury ...” Margaret (1932– : #109), later Margaret WALTON.</v>
      </c>
      <c r="AM31" s="105" t="str">
        <f>IF(AND(LEN(H31)&gt;0,ISNA(IF(K31="Boy",VLOOKUP(A31,'Siblings of those BORN Loyd'!$AP$3:$AQ$70,2,FALSE),VLOOKUP(A31,'Children of Female Loyds'!$AR$5:$AS$60,2,FALSE)))),"d.s.p","")</f>
        <v/>
      </c>
      <c r="AN31" s="99" t="str">
        <f t="shared" si="12"/>
        <v>Thomas (1812–1857: #14)</v>
      </c>
      <c r="AO31" s="99" t="str">
        <f t="shared" si="18"/>
        <v>William (1770–1828: #4)</v>
      </c>
      <c r="AP31" s="99" t="str">
        <f t="shared" si="19"/>
        <v>William (1729–1800: #1)</v>
      </c>
      <c r="AQ31" s="99" t="str">
        <f t="shared" si="20"/>
        <v/>
      </c>
      <c r="AR31" s="99" t="str">
        <f t="shared" si="21"/>
        <v/>
      </c>
      <c r="AS31" s="99" t="str">
        <f t="shared" si="22"/>
        <v/>
      </c>
      <c r="AT31" s="99" t="str">
        <f t="shared" si="23"/>
        <v/>
      </c>
      <c r="AU31" s="99" t="str">
        <f t="shared" si="24"/>
        <v/>
      </c>
      <c r="AW31" s="116" t="str">
        <f>VLOOKUP(A31,'Updated Bios &amp; Spouse Details'!$A$1:$J$193,6,FALSE)</f>
        <v>India, England and Ireland</v>
      </c>
      <c r="AX31" s="131">
        <f>VLOOKUP($A31,'Loyd List 1-190 - Edit'!$P$2:$AQ$220,AX$1,FALSE)</f>
        <v>29</v>
      </c>
      <c r="AY31" s="116" t="str">
        <f>IF(ISNA(VLOOKUP(A31,'Data check lookup table'!$G$2:$V$73,13,FALSE))," - ",VLOOKUP(A31,'Data check lookup table'!$G$2:$V$73,13,FALSE))</f>
        <v xml:space="preserve"> - </v>
      </c>
      <c r="AZ31" s="147" t="str">
        <f t="shared" si="14"/>
        <v>19/03/1930</v>
      </c>
      <c r="BA31" s="99" t="str">
        <f t="shared" si="15"/>
        <v/>
      </c>
      <c r="BB31" s="99" t="str">
        <f t="shared" si="16"/>
        <v/>
      </c>
      <c r="BI31" s="147" t="s">
        <v>3170</v>
      </c>
    </row>
    <row r="32" spans="1:61" s="99" customFormat="1" ht="255">
      <c r="A32" s="139">
        <f>'Loyd List 1-190 - Edit'!C32</f>
        <v>30</v>
      </c>
      <c r="B32" s="99" t="str">
        <f>VLOOKUP($A32,'Loyd List 1-190 - Edit'!$C$1:$AQ$220,'Book Details - NO EDIT'!B$1,FALSE)</f>
        <v>Archie</v>
      </c>
      <c r="C32" s="99" t="str">
        <f>IF(VLOOKUP($A32,'Loyd List 1-190 - Edit'!$C$1:$AQ$220,'Book Details - NO EDIT'!C$1,FALSE)="","",VLOOKUP($A32,'Loyd List 1-190 - Edit'!$C$1:$AQ$220,'Book Details - NO EDIT'!C$1,FALSE))</f>
        <v>Kirkman</v>
      </c>
      <c r="D32" s="99" t="str">
        <f>IF(VLOOKUP($A32,'Loyd List 1-190 - Edit'!$C$1:$AQ$220,'Book Details - NO EDIT'!D$1,FALSE)="","",VLOOKUP($A32,'Loyd List 1-190 - Edit'!$C$1:$AQ$220,'Book Details - NO EDIT'!D$1,FALSE))</f>
        <v/>
      </c>
      <c r="E32" s="99" t="str">
        <f>IF(VLOOKUP($A32,'Loyd List 1-190 - Edit'!$C$1:$AQ$220,'Book Details - NO EDIT'!E$1,FALSE)="","",VLOOKUP($A32,'Loyd List 1-190 - Edit'!$C$1:$AQ$220,'Book Details - NO EDIT'!E$1,FALSE))</f>
        <v>LOYD</v>
      </c>
      <c r="F32" s="99" t="str">
        <f>IF(VLOOKUP($A32,'Loyd List 1-190 - Edit'!$C$1:$AQ$220,'Book Details - NO EDIT'!F$1,FALSE)="",B32,VLOOKUP($A32,'Loyd List 1-190 - Edit'!$C$1:$AQ$220,'Book Details - NO EDIT'!F$1,FALSE))</f>
        <v>Archie</v>
      </c>
      <c r="G32" s="140">
        <f>IF(VLOOKUP($A32,'Loyd List 1-190 - Edit'!$C$1:$AQ$220,'Book Details - NO EDIT'!G$1,FALSE)="","",VALUE(VLOOKUP($A32,'Loyd List 1-190 - Edit'!$C$1:$AQ$220,'Book Details - NO EDIT'!G$1,FALSE)))</f>
        <v>1847</v>
      </c>
      <c r="H32" s="140">
        <f>IF(VLOOKUP($A32,'Loyd List 1-190 - Edit'!$C$1:$AQ$220,'Book Details - NO EDIT'!H$1,FALSE)="","",VALUE(VLOOKUP($A32,'Loyd List 1-190 - Edit'!$C$1:$AQ$220,'Book Details - NO EDIT'!H$1,FALSE)))</f>
        <v>1922</v>
      </c>
      <c r="I32" s="141" t="str">
        <f>IF(VLOOKUP($A32,'Loyd List 1-190 - Edit'!$C$1:$AQ$220,'Book Details - NO EDIT'!I$1,FALSE)="","",(VLOOKUP($A32,'Loyd List 1-190 - Edit'!$C$1:$AQ$220,'Book Details - NO EDIT'!I$1,FALSE)))</f>
        <v>22/01/1847</v>
      </c>
      <c r="J32" s="141" t="str">
        <f>IF(VLOOKUP($A32,'Loyd List 1-190 - Edit'!$C$1:$AQ$220,'Book Details - NO EDIT'!J$1,FALSE)="","",(VLOOKUP($A32,'Loyd List 1-190 - Edit'!$C$1:$AQ$220,'Book Details - NO EDIT'!J$1,FALSE)))</f>
        <v>01/12/1922</v>
      </c>
      <c r="K32" s="100" t="str">
        <f>VLOOKUP($A32,'Loyd List 1-190 - Edit'!$C$1:$AQ$220,'Book Details - NO EDIT'!K$1,FALSE)</f>
        <v>Boy</v>
      </c>
      <c r="L32" s="140">
        <f>VLOOKUP($A32,'Loyd List 1-190 - Edit'!$C$1:$AQ$220,'Book Details - NO EDIT'!L$1,FALSE)</f>
        <v>14</v>
      </c>
      <c r="M32" s="140">
        <f t="shared" si="3"/>
        <v>4</v>
      </c>
      <c r="N32" s="140">
        <f t="shared" si="3"/>
        <v>1</v>
      </c>
      <c r="O32" s="140">
        <f t="shared" si="3"/>
        <v>0</v>
      </c>
      <c r="P32" s="140" t="str">
        <f t="shared" si="3"/>
        <v/>
      </c>
      <c r="Q32" s="140" t="str">
        <f t="shared" si="4"/>
        <v/>
      </c>
      <c r="R32" s="140" t="str">
        <f t="shared" si="4"/>
        <v/>
      </c>
      <c r="S32" s="140" t="str">
        <f t="shared" si="5"/>
        <v/>
      </c>
      <c r="T32" s="140">
        <f t="shared" si="1"/>
        <v>3</v>
      </c>
      <c r="U32" s="139">
        <f t="shared" si="6"/>
        <v>30</v>
      </c>
      <c r="V32" s="31" t="str">
        <f t="shared" si="7"/>
        <v>Archie (1847–1922)</v>
      </c>
      <c r="W32" s="31" t="str">
        <f t="shared" si="8"/>
        <v>Archie (#30)</v>
      </c>
      <c r="X32" s="99" t="str">
        <f t="shared" si="9"/>
        <v>Archie (1847–1922: #30)</v>
      </c>
      <c r="Y32" s="99" t="str">
        <f t="shared" si="2"/>
        <v>Archie Kirkman LOYD</v>
      </c>
      <c r="Z32" s="99" t="str">
        <f t="shared" si="10"/>
        <v>Thomas (1812–1857: #14)</v>
      </c>
      <c r="AA32" s="99" t="str">
        <f t="shared" si="17"/>
        <v xml:space="preserve">Thomas (1812–1857: #14) William (1770–1828: #4) William (1729–1800: #1)     </v>
      </c>
      <c r="AB32" s="142" t="str">
        <f>VLOOKUP(U32,'Siblings of those BORN Loyd'!$A$2:$G$230,7,FALSE)</f>
        <v xml:space="preserve">7 – William (1843–1843: #27) The Rev Lewis (1844–1905: #28) Arthur (1845–1930: #29)  Frank (1848–1934: #32) Alfred (1849–1881: #33) Ted (1851–1922: #34) Annie (1853–1946: #37) </v>
      </c>
      <c r="AC32" s="115" t="str">
        <f>IF(ISNA(IF(K32="Boy",VLOOKUP(A32,'Siblings of those BORN Loyd'!$AP$3:$AQ$70,2,FALSE),VLOOKUP(A32,'Children of Female Loyds'!$AR$5:$AT$60,3,FALSE))),AM32,IF(K32="Boy",VLOOKUP(A32,'Siblings of those BORN Loyd'!$AP$3:$AQ$70,2,FALSE),VLOOKUP(A32,'Children of Female Loyds'!$AR$5:$AT$60,3,FALSE)))</f>
        <v>4 - Reggie (1886–1961: #61); Bobby (1887–1977: #62); Geoffrey (1890–1914: #69); Wilfrid (1893–1971: #77)</v>
      </c>
      <c r="AD32" s="97" t="str">
        <f t="shared" si="26"/>
        <v xml:space="preserve">5 - Peter (1922–2022: #98); Zelda (1923–2014: #102); Geoffrey (1926–2018: #105); Denise (1928–: #106); Andrew (1934–1975: #111)   </v>
      </c>
      <c r="AE32" s="105" t="str">
        <f>IF(ISNA(IF(K32="Boy",VLOOKUP(A32,'Grandchildren of Male Loyds'!$AQ$3:$AS$51,3,FALSE),VLOOKUP(A32,'Grandchildren of Female Loyds'!$AX$5:$AZ$63,3,FALSE))),AM32,IF(K32="Boy",VLOOKUP(A32,'Grandchildren of Male Loyds'!$AQ$3:$AS$51,3,FALSE),VLOOKUP(A32,'Grandchildren of Female Loyds'!$AX$5:$AZ$63,3,FALSE)))</f>
        <v>Peter (1922–2022: #98); Zelda (1923–2014: #102); Geoffrey (1926–2018: #105); Denise (1928–: #106); Andrew (1934–1975: #111)</v>
      </c>
      <c r="AF32" s="105" t="str">
        <f>IF(ISNA(VLOOKUP(A32,'Grandchildren Loyd Daughters'!$BD$5:$BF$50,4,FALSE)),"",VLOOKUP(A32,'Grandchildren Loyd Daughters'!$BD$5:$BF$50,3,FALSE))</f>
        <v/>
      </c>
      <c r="AG32" s="129">
        <f>IF(ISNA(VLOOKUP(A32,'Grandchildren of Male Loyds'!$AQ$3:$AR$60,2,FALSE)),0,VLOOKUP(A32,'Grandchildren of Male Loyds'!$AQ$3:$AR$60,2,FALSE))+IF(ISNA(VLOOKUP(A32,'Grandchildren of Female Loyds'!$AX$5:$AY$50,2,FALSE)),0,VLOOKUP(A32,'Grandchildren of Female Loyds'!$AX$5:$AY$50,2,FALSE))+IF(ISNA(VLOOKUP(A32,'Grandchildren Loyd Daughters'!$BD$5:$BE$50,2,FALSE)),0,VLOOKUP(A32,'Grandchildren Loyd Daughters'!$BD$5:$BE$50,2,FALSE))</f>
        <v>5</v>
      </c>
      <c r="AH32" s="129" t="str">
        <f>VLOOKUP($U32,'Loyd List 1-190 - Edit'!$P$3:$AJ$220,21,FALSE)</f>
        <v>Annie Hurst HAIG (b. 3 Oct 1816, d. 28 May 1885)</v>
      </c>
      <c r="AI32" s="129" t="str">
        <f>VLOOKUP(A32,'Updated Bios &amp; Spouse Details'!$A$1:$J$200,7,FALSE)</f>
        <v>Henrietta Louisa CLUTTERBUCK (b. 23 Jan 1856, d. 14 Jan 1931)</v>
      </c>
      <c r="AJ32" s="130" t="str">
        <f>IF(VLOOKUP($A32,'Loyd List 1-190 - Edit'!$C$1:$AQ$220,'Book Details - NO EDIT'!AJ$1,FALSE)="","",(VLOOKUP($A32,'Loyd List 1-190 - Edit'!$C$1:$AQ$220,'Book Details - NO EDIT'!AJ$1,FALSE)))</f>
        <v>24/06/1885</v>
      </c>
      <c r="AK32" s="129" t="str">
        <f>VLOOKUP(A32,'Updated Bios &amp; Spouse Details'!$A$1:$J$200,8,FALSE)</f>
        <v>Married at St. James’s, Piccadilly, London. Henrietta daughter of Edmund Lewis CLUTTERBUCK DL, JP of Hardenhuish Park, Chippenham, Wiltshire. Henrietta died at 60A Cadogan Square, buried at West Hendred, Berkshire.</v>
      </c>
      <c r="AL32" s="131" t="str">
        <f>VLOOKUP(A32,'Updated Bios &amp; Spouse Details'!$A$1:$J$200,5,FALSE)</f>
        <v>Archie lived at Downs House [28], East Hendred, Berkshire and of 60A Cadogan Square, London SW1. 4th son of Thomas (1812–1857: #14). Born 22 Jan 1847 at Agra, India. Educated St Clare, Kent and Brighton College. Passed 3rd in open competition for Indian Civil Service, and Prize-man in English Law. Indian Civil Service 1867-69. Barrister-at-Law, Middle Temple 1868. QC 1892 (later KC on the death of Queen Victoria). Northern, and later, Midland Circuit, and Leicester and Northampton Sessions. Bencher 1894. Lent Reader 1907. MP for North Berkshire (Abingdon Division) 1895-1905 and 1916-18. Vice-Chairman, Council of the British Red Cross Society [29]. DL, JP, CA Berkshire. Died 1 Dec 1922 at 60A Cadogan Square, buried 4 Dec 1922 at West Hendred, Berkshire. Two portraits by Catherine OULESS of him (1913) and his wife (1914) passed from Reggie (1886–1961: #61) in 1961 to Peter (1922–2022: #98) and to Fergus DUNLOP  (1958– :#102b) in 2013. Issue: 4 sons. Archie Kirkman Loyd was actively involved in the work of the Red Cross Society from its foundation in 1870 by Lord Wantage, husband of The Hon Harriet (#26), with whom, in the law vacations, he often travelled abroad on Red Cross work. "During the armistice (Feb 1871) in the Franco-German war, in response to the call for special diet for the besieged, he entered Paris with a large quantity of port wine and lime juice to overcome scurvy, and then purchased quantities of vegetables for the hospitals. In 1876 he travelled with Lord Wantage through Serbia and Turkey, and was present at the decisive battle of Alexinatz. Returning from Constantinople, he established a temporary hospital at Scutari in Albania. In 1877, when Russia and Turkey were at war, he took thirteen tons of medicines and surgical appliances to Romania and, after an adventurous journey, reached the Russian Emperor’s headquarters at Gorni-Studen, near Plevna where he was presented to the Czar who commanded that every facility should be given to him for carrying out his mission" - the journal of the British Red Cross Society, Vol 1 No. 5 May 1914. Footnote: [28] Lord WANTAGE had lent to Archie Hodcott, West Ilsley, Berkshire in 1891 and built on the west wing for him which he had used as his country retreat until 1899. Lord WANTAGE then lent him Downs House which Lady WANTAGE conveyed to him in 1912. (29) Wrote “An outline of the History of the British Red Cross Society 1870-1914” published by The Abbey Press, Oct 1917.</v>
      </c>
      <c r="AM32" s="105" t="str">
        <f>IF(AND(LEN(H32)&gt;0,ISNA(IF(K32="Boy",VLOOKUP(A32,'Siblings of those BORN Loyd'!$AP$3:$AQ$70,2,FALSE),VLOOKUP(A32,'Children of Female Loyds'!$AR$5:$AS$60,2,FALSE)))),"d.s.p","")</f>
        <v/>
      </c>
      <c r="AN32" s="99" t="str">
        <f t="shared" si="12"/>
        <v>Thomas (1812–1857: #14)</v>
      </c>
      <c r="AO32" s="99" t="str">
        <f t="shared" si="18"/>
        <v>William (1770–1828: #4)</v>
      </c>
      <c r="AP32" s="99" t="str">
        <f t="shared" si="19"/>
        <v>William (1729–1800: #1)</v>
      </c>
      <c r="AQ32" s="99" t="str">
        <f t="shared" si="20"/>
        <v/>
      </c>
      <c r="AR32" s="99" t="str">
        <f t="shared" si="21"/>
        <v/>
      </c>
      <c r="AS32" s="99" t="str">
        <f t="shared" si="22"/>
        <v/>
      </c>
      <c r="AT32" s="99" t="str">
        <f t="shared" si="23"/>
        <v/>
      </c>
      <c r="AU32" s="99" t="str">
        <f t="shared" si="24"/>
        <v/>
      </c>
      <c r="AW32" s="116" t="str">
        <f>VLOOKUP(A32,'Updated Bios &amp; Spouse Details'!$A$1:$J$193,6,FALSE)</f>
        <v>India, Eastern Europe &amp; England</v>
      </c>
      <c r="AX32" s="131">
        <f>VLOOKUP($A32,'Loyd List 1-190 - Edit'!$P$2:$AQ$220,AX$1,FALSE)</f>
        <v>30</v>
      </c>
      <c r="AY32" s="116" t="str">
        <f>IF(ISNA(VLOOKUP(A32,'Data check lookup table'!$G$2:$V$73,13,FALSE))," - ",VLOOKUP(A32,'Data check lookup table'!$G$2:$V$73,13,FALSE))</f>
        <v xml:space="preserve"> - </v>
      </c>
      <c r="AZ32" s="147" t="str">
        <f t="shared" si="14"/>
        <v>01/12/1922</v>
      </c>
      <c r="BA32" s="99" t="str">
        <f t="shared" si="15"/>
        <v/>
      </c>
      <c r="BB32" s="99" t="str">
        <f t="shared" si="16"/>
        <v/>
      </c>
      <c r="BI32" s="147" t="s">
        <v>3165</v>
      </c>
    </row>
    <row r="33" spans="1:61" s="99" customFormat="1" ht="34">
      <c r="A33" s="139">
        <f>'Loyd List 1-190 - Edit'!C33</f>
        <v>31</v>
      </c>
      <c r="B33" s="99" t="str">
        <f>VLOOKUP($A33,'Loyd List 1-190 - Edit'!$C$1:$AQ$220,'Book Details - NO EDIT'!B$1,FALSE)</f>
        <v>Mary</v>
      </c>
      <c r="C33" s="99" t="str">
        <f>IF(VLOOKUP($A33,'Loyd List 1-190 - Edit'!$C$1:$AQ$220,'Book Details - NO EDIT'!C$1,FALSE)="","",VLOOKUP($A33,'Loyd List 1-190 - Edit'!$C$1:$AQ$220,'Book Details - NO EDIT'!C$1,FALSE))</f>
        <v>Louisa</v>
      </c>
      <c r="D33" s="99" t="str">
        <f>IF(VLOOKUP($A33,'Loyd List 1-190 - Edit'!$C$1:$AQ$220,'Book Details - NO EDIT'!D$1,FALSE)="","",VLOOKUP($A33,'Loyd List 1-190 - Edit'!$C$1:$AQ$220,'Book Details - NO EDIT'!D$1,FALSE))</f>
        <v/>
      </c>
      <c r="E33" s="99" t="str">
        <f>IF(VLOOKUP($A33,'Loyd List 1-190 - Edit'!$C$1:$AQ$220,'Book Details - NO EDIT'!E$1,FALSE)="","",VLOOKUP($A33,'Loyd List 1-190 - Edit'!$C$1:$AQ$220,'Book Details - NO EDIT'!E$1,FALSE))</f>
        <v>LOYD</v>
      </c>
      <c r="F33" s="99" t="str">
        <f>IF(VLOOKUP($A33,'Loyd List 1-190 - Edit'!$C$1:$AQ$220,'Book Details - NO EDIT'!F$1,FALSE)="",B33,VLOOKUP($A33,'Loyd List 1-190 - Edit'!$C$1:$AQ$220,'Book Details - NO EDIT'!F$1,FALSE))</f>
        <v>Mary</v>
      </c>
      <c r="G33" s="140">
        <f>IF(VLOOKUP($A33,'Loyd List 1-190 - Edit'!$C$1:$AQ$220,'Book Details - NO EDIT'!G$1,FALSE)="","",VALUE(VLOOKUP($A33,'Loyd List 1-190 - Edit'!$C$1:$AQ$220,'Book Details - NO EDIT'!G$1,FALSE)))</f>
        <v>1848</v>
      </c>
      <c r="H33" s="140">
        <f>IF(VLOOKUP($A33,'Loyd List 1-190 - Edit'!$C$1:$AQ$220,'Book Details - NO EDIT'!H$1,FALSE)="","",VALUE(VLOOKUP($A33,'Loyd List 1-190 - Edit'!$C$1:$AQ$220,'Book Details - NO EDIT'!H$1,FALSE)))</f>
        <v>1934</v>
      </c>
      <c r="I33" s="141" t="str">
        <f>IF(VLOOKUP($A33,'Loyd List 1-190 - Edit'!$C$1:$AQ$220,'Book Details - NO EDIT'!I$1,FALSE)="","",(VLOOKUP($A33,'Loyd List 1-190 - Edit'!$C$1:$AQ$220,'Book Details - NO EDIT'!I$1,FALSE)))</f>
        <v>05/03/1848</v>
      </c>
      <c r="J33" s="141" t="str">
        <f>IF(VLOOKUP($A33,'Loyd List 1-190 - Edit'!$C$1:$AQ$220,'Book Details - NO EDIT'!J$1,FALSE)="","",(VLOOKUP($A33,'Loyd List 1-190 - Edit'!$C$1:$AQ$220,'Book Details - NO EDIT'!J$1,FALSE)))</f>
        <v>09/08/1934</v>
      </c>
      <c r="K33" s="100" t="str">
        <f>VLOOKUP($A33,'Loyd List 1-190 - Edit'!$C$1:$AQ$220,'Book Details - NO EDIT'!K$1,FALSE)</f>
        <v>Girl</v>
      </c>
      <c r="L33" s="140">
        <f>VLOOKUP($A33,'Loyd List 1-190 - Edit'!$C$1:$AQ$220,'Book Details - NO EDIT'!L$1,FALSE)</f>
        <v>22</v>
      </c>
      <c r="M33" s="140">
        <f t="shared" si="3"/>
        <v>8</v>
      </c>
      <c r="N33" s="140">
        <f t="shared" si="3"/>
        <v>1</v>
      </c>
      <c r="O33" s="140">
        <f t="shared" si="3"/>
        <v>0</v>
      </c>
      <c r="P33" s="140" t="str">
        <f t="shared" si="3"/>
        <v/>
      </c>
      <c r="Q33" s="140" t="str">
        <f t="shared" si="4"/>
        <v/>
      </c>
      <c r="R33" s="140" t="str">
        <f t="shared" si="4"/>
        <v/>
      </c>
      <c r="S33" s="140" t="str">
        <f t="shared" si="5"/>
        <v/>
      </c>
      <c r="T33" s="140">
        <f t="shared" si="1"/>
        <v>3</v>
      </c>
      <c r="U33" s="139">
        <f t="shared" si="6"/>
        <v>31</v>
      </c>
      <c r="V33" s="31" t="str">
        <f t="shared" si="7"/>
        <v>Mary (1848–1934)</v>
      </c>
      <c r="W33" s="31" t="str">
        <f t="shared" si="8"/>
        <v>Mary (#31)</v>
      </c>
      <c r="X33" s="99" t="str">
        <f t="shared" si="9"/>
        <v>Mary (1848–1934: #31)</v>
      </c>
      <c r="Y33" s="99" t="str">
        <f t="shared" si="2"/>
        <v>Mary Louisa LOYD</v>
      </c>
      <c r="Z33" s="99" t="str">
        <f t="shared" si="10"/>
        <v>Edward (1820–1890: #22)</v>
      </c>
      <c r="AA33" s="99" t="str">
        <f t="shared" si="17"/>
        <v xml:space="preserve">Edward (1820–1890: #22) Edward (1780–1863: #8) William (1729–1800: #1)     </v>
      </c>
      <c r="AB33" s="142" t="str">
        <f>VLOOKUP(U33,'Siblings of those BORN Loyd'!$A$2:$G$230,7,FALSE)</f>
        <v xml:space="preserve">6 – Elinor (1853–1895: #36) Fa (1855–1927: #39) Frederic (1856–1936: #41) Meg (1859–1936: #43) Llewellyn (1861–1939: #45) Caroline (1864–1940: #47)  </v>
      </c>
      <c r="AC33" s="115" t="str">
        <f>IF(ISNA(IF(K33="Boy",VLOOKUP(A33,'Siblings of those BORN Loyd'!$AP$3:$AQ$70,2,FALSE),VLOOKUP(A33,'Children of Female Loyds'!$AR$5:$AT$60,3,FALSE))),AM33,IF(K33="Boy",VLOOKUP(A33,'Siblings of those BORN Loyd'!$AP$3:$AQ$70,2,FALSE),VLOOKUP(A33,'Children of Female Loyds'!$AR$5:$AT$60,3,FALSE)))</f>
        <v>d.s.p</v>
      </c>
      <c r="AD33" s="97" t="str">
        <f t="shared" si="26"/>
        <v>d.s.p.</v>
      </c>
      <c r="AE33" s="105" t="str">
        <f>IF(ISNA(IF(K33="Boy",VLOOKUP(A33,'Grandchildren of Male Loyds'!$AQ$3:$AS$51,3,FALSE),VLOOKUP(A33,'Grandchildren of Female Loyds'!$AX$5:$AZ$63,3,FALSE))),AM33,IF(K33="Boy",VLOOKUP(A33,'Grandchildren of Male Loyds'!$AQ$3:$AS$51,3,FALSE),VLOOKUP(A33,'Grandchildren of Female Loyds'!$AX$5:$AZ$63,3,FALSE)))</f>
        <v>d.s.p</v>
      </c>
      <c r="AF33" s="105" t="str">
        <f>IF(ISNA(VLOOKUP(A33,'Grandchildren Loyd Daughters'!$BD$5:$BF$50,4,FALSE)),"",VLOOKUP(A33,'Grandchildren Loyd Daughters'!$BD$5:$BF$50,3,FALSE))</f>
        <v/>
      </c>
      <c r="AG33" s="129">
        <f>IF(ISNA(VLOOKUP(A33,'Grandchildren of Male Loyds'!$AQ$3:$AR$60,2,FALSE)),0,VLOOKUP(A33,'Grandchildren of Male Loyds'!$AQ$3:$AR$60,2,FALSE))+IF(ISNA(VLOOKUP(A33,'Grandchildren of Female Loyds'!$AX$5:$AY$50,2,FALSE)),0,VLOOKUP(A33,'Grandchildren of Female Loyds'!$AX$5:$AY$50,2,FALSE))+IF(ISNA(VLOOKUP(A33,'Grandchildren Loyd Daughters'!$BD$5:$BE$50,2,FALSE)),0,VLOOKUP(A33,'Grandchildren Loyd Daughters'!$BD$5:$BE$50,2,FALSE))</f>
        <v>0</v>
      </c>
      <c r="AH33" s="129" t="str">
        <f>VLOOKUP($U33,'Loyd List 1-190 - Edit'!$P$3:$AJ$220,21,FALSE)</f>
        <v>Caroline Louisa FOSTER (b. 6 Aug 1825, d. 8 Feb 1900)</v>
      </c>
      <c r="AI33" s="129" t="str">
        <f>VLOOKUP(A33,'Updated Bios &amp; Spouse Details'!$A$1:$J$200,7,FALSE)</f>
        <v>Unmarried</v>
      </c>
      <c r="AJ33" s="130" t="str">
        <f>IF(VLOOKUP($A33,'Loyd List 1-190 - Edit'!$C$1:$AQ$220,'Book Details - NO EDIT'!AJ$1,FALSE)="","",(VLOOKUP($A33,'Loyd List 1-190 - Edit'!$C$1:$AQ$220,'Book Details - NO EDIT'!AJ$1,FALSE)))</f>
        <v xml:space="preserve"> - </v>
      </c>
      <c r="AK33" s="129" t="str">
        <f>VLOOKUP(A33,'Updated Bios &amp; Spouse Details'!$A$1:$J$200,8,FALSE)</f>
        <v xml:space="preserve"> - </v>
      </c>
      <c r="AL33" s="131" t="str">
        <f>VLOOKUP(A33,'Updated Bios &amp; Spouse Details'!$A$1:$J$200,5,FALSE)</f>
        <v>Mary lived at Cwrt Henri [30] Hawkhurst, Kent and was the eldest daughter of Edward (1820–1890: #22). Born 5 Mar 1848 at Prestwich Lodge, Manchester, baptised 26 Apr 1848 at Prestwich Church. Died, unmarried, 15 Jun 1930, buried at Hawkhurst. Footnote: [30] After her death, the house reverted to its original name of "Stoneden".</v>
      </c>
      <c r="AM33" s="105" t="str">
        <f>IF(AND(LEN(H33)&gt;0,ISNA(IF(K33="Boy",VLOOKUP(A33,'Siblings of those BORN Loyd'!$AP$3:$AQ$70,2,FALSE),VLOOKUP(A33,'Children of Female Loyds'!$AR$5:$AS$60,2,FALSE)))),"d.s.p","")</f>
        <v>d.s.p</v>
      </c>
      <c r="AN33" s="99" t="str">
        <f t="shared" si="12"/>
        <v>Edward (1820–1890: #22)</v>
      </c>
      <c r="AO33" s="99" t="str">
        <f t="shared" si="18"/>
        <v>Edward (1780–1863: #8)</v>
      </c>
      <c r="AP33" s="99" t="str">
        <f t="shared" si="19"/>
        <v>William (1729–1800: #1)</v>
      </c>
      <c r="AQ33" s="99" t="str">
        <f t="shared" si="20"/>
        <v/>
      </c>
      <c r="AR33" s="99" t="str">
        <f t="shared" si="21"/>
        <v/>
      </c>
      <c r="AS33" s="99" t="str">
        <f t="shared" si="22"/>
        <v/>
      </c>
      <c r="AT33" s="99" t="str">
        <f t="shared" si="23"/>
        <v/>
      </c>
      <c r="AU33" s="99" t="str">
        <f t="shared" si="24"/>
        <v/>
      </c>
      <c r="AW33" s="116" t="str">
        <f>VLOOKUP(A33,'Updated Bios &amp; Spouse Details'!$A$1:$J$193,6,FALSE)</f>
        <v>England</v>
      </c>
      <c r="AX33" s="131">
        <f>VLOOKUP($A33,'Loyd List 1-190 - Edit'!$P$2:$AQ$220,AX$1,FALSE)</f>
        <v>31</v>
      </c>
      <c r="AY33" s="116" t="str">
        <f>IF(ISNA(VLOOKUP(A33,'Data check lookup table'!$G$2:$V$73,13,FALSE))," - ",VLOOKUP(A33,'Data check lookup table'!$G$2:$V$73,13,FALSE))</f>
        <v xml:space="preserve"> - </v>
      </c>
      <c r="AZ33" s="147" t="str">
        <f t="shared" si="14"/>
        <v>09/08/1934</v>
      </c>
      <c r="BA33" s="99" t="str">
        <f t="shared" si="15"/>
        <v/>
      </c>
      <c r="BB33" s="99" t="str">
        <f t="shared" si="16"/>
        <v/>
      </c>
      <c r="BI33" s="147" t="s">
        <v>3166</v>
      </c>
    </row>
    <row r="34" spans="1:61" s="99" customFormat="1" ht="85">
      <c r="A34" s="139">
        <f>'Loyd List 1-190 - Edit'!C34</f>
        <v>32</v>
      </c>
      <c r="B34" s="99" t="str">
        <f>VLOOKUP($A34,'Loyd List 1-190 - Edit'!$C$1:$AQ$220,'Book Details - NO EDIT'!B$1,FALSE)</f>
        <v>Frank</v>
      </c>
      <c r="C34" s="99" t="str">
        <f>IF(VLOOKUP($A34,'Loyd List 1-190 - Edit'!$C$1:$AQ$220,'Book Details - NO EDIT'!C$1,FALSE)="","",VLOOKUP($A34,'Loyd List 1-190 - Edit'!$C$1:$AQ$220,'Book Details - NO EDIT'!C$1,FALSE))</f>
        <v>Kirkman</v>
      </c>
      <c r="D34" s="99" t="str">
        <f>IF(VLOOKUP($A34,'Loyd List 1-190 - Edit'!$C$1:$AQ$220,'Book Details - NO EDIT'!D$1,FALSE)="","",VLOOKUP($A34,'Loyd List 1-190 - Edit'!$C$1:$AQ$220,'Book Details - NO EDIT'!D$1,FALSE))</f>
        <v/>
      </c>
      <c r="E34" s="99" t="str">
        <f>IF(VLOOKUP($A34,'Loyd List 1-190 - Edit'!$C$1:$AQ$220,'Book Details - NO EDIT'!E$1,FALSE)="","",VLOOKUP($A34,'Loyd List 1-190 - Edit'!$C$1:$AQ$220,'Book Details - NO EDIT'!E$1,FALSE))</f>
        <v>LOYD</v>
      </c>
      <c r="F34" s="99" t="str">
        <f>IF(VLOOKUP($A34,'Loyd List 1-190 - Edit'!$C$1:$AQ$220,'Book Details - NO EDIT'!F$1,FALSE)="",B34,VLOOKUP($A34,'Loyd List 1-190 - Edit'!$C$1:$AQ$220,'Book Details - NO EDIT'!F$1,FALSE))</f>
        <v>Frank</v>
      </c>
      <c r="G34" s="140">
        <f>IF(VLOOKUP($A34,'Loyd List 1-190 - Edit'!$C$1:$AQ$220,'Book Details - NO EDIT'!G$1,FALSE)="","",VALUE(VLOOKUP($A34,'Loyd List 1-190 - Edit'!$C$1:$AQ$220,'Book Details - NO EDIT'!G$1,FALSE)))</f>
        <v>1848</v>
      </c>
      <c r="H34" s="140">
        <f>IF(VLOOKUP($A34,'Loyd List 1-190 - Edit'!$C$1:$AQ$220,'Book Details - NO EDIT'!H$1,FALSE)="","",VALUE(VLOOKUP($A34,'Loyd List 1-190 - Edit'!$C$1:$AQ$220,'Book Details - NO EDIT'!H$1,FALSE)))</f>
        <v>1934</v>
      </c>
      <c r="I34" s="141" t="str">
        <f>IF(VLOOKUP($A34,'Loyd List 1-190 - Edit'!$C$1:$AQ$220,'Book Details - NO EDIT'!I$1,FALSE)="","",(VLOOKUP($A34,'Loyd List 1-190 - Edit'!$C$1:$AQ$220,'Book Details - NO EDIT'!I$1,FALSE)))</f>
        <v>13/08/1848</v>
      </c>
      <c r="J34" s="141" t="str">
        <f>IF(VLOOKUP($A34,'Loyd List 1-190 - Edit'!$C$1:$AQ$220,'Book Details - NO EDIT'!J$1,FALSE)="","",(VLOOKUP($A34,'Loyd List 1-190 - Edit'!$C$1:$AQ$220,'Book Details - NO EDIT'!J$1,FALSE)))</f>
        <v>08/09/1934</v>
      </c>
      <c r="K34" s="100" t="str">
        <f>VLOOKUP($A34,'Loyd List 1-190 - Edit'!$C$1:$AQ$220,'Book Details - NO EDIT'!K$1,FALSE)</f>
        <v>Boy</v>
      </c>
      <c r="L34" s="140">
        <f>VLOOKUP($A34,'Loyd List 1-190 - Edit'!$C$1:$AQ$220,'Book Details - NO EDIT'!L$1,FALSE)</f>
        <v>14</v>
      </c>
      <c r="M34" s="140">
        <f t="shared" si="3"/>
        <v>4</v>
      </c>
      <c r="N34" s="140">
        <f t="shared" si="3"/>
        <v>1</v>
      </c>
      <c r="O34" s="140">
        <f t="shared" si="3"/>
        <v>0</v>
      </c>
      <c r="P34" s="140" t="str">
        <f t="shared" si="3"/>
        <v/>
      </c>
      <c r="Q34" s="140" t="str">
        <f t="shared" si="4"/>
        <v/>
      </c>
      <c r="R34" s="140" t="str">
        <f t="shared" si="4"/>
        <v/>
      </c>
      <c r="S34" s="140" t="str">
        <f t="shared" si="5"/>
        <v/>
      </c>
      <c r="T34" s="140">
        <f t="shared" si="1"/>
        <v>3</v>
      </c>
      <c r="U34" s="139">
        <f t="shared" si="6"/>
        <v>32</v>
      </c>
      <c r="V34" s="31" t="str">
        <f t="shared" si="7"/>
        <v>Frank (1848–1934)</v>
      </c>
      <c r="W34" s="31" t="str">
        <f t="shared" si="8"/>
        <v>Frank (#32)</v>
      </c>
      <c r="X34" s="99" t="str">
        <f t="shared" si="9"/>
        <v>Frank (1848–1934: #32)</v>
      </c>
      <c r="Y34" s="99" t="str">
        <f t="shared" si="2"/>
        <v>Frank Kirkman LOYD</v>
      </c>
      <c r="Z34" s="99" t="str">
        <f t="shared" si="10"/>
        <v>Thomas (1812–1857: #14)</v>
      </c>
      <c r="AA34" s="99" t="str">
        <f t="shared" si="17"/>
        <v xml:space="preserve">Thomas (1812–1857: #14) William (1770–1828: #4) William (1729–1800: #1)     </v>
      </c>
      <c r="AB34" s="142" t="str">
        <f>VLOOKUP(U34,'Siblings of those BORN Loyd'!$A$2:$G$230,7,FALSE)</f>
        <v xml:space="preserve">7 – William (1843–1843: #27) The Rev Lewis (1844–1905: #28) Arthur (1845–1930: #29) Archie (1847–1922: #30)  Alfred (1849–1881: #33) Ted (1851–1922: #34) Annie (1853–1946: #37) </v>
      </c>
      <c r="AC34" s="115" t="str">
        <f>IF(ISNA(IF(K34="Boy",VLOOKUP(A34,'Siblings of those BORN Loyd'!$AP$3:$AQ$70,2,FALSE),VLOOKUP(A34,'Children of Female Loyds'!$AR$5:$AT$60,3,FALSE))),AM34,IF(K34="Boy",VLOOKUP(A34,'Siblings of those BORN Loyd'!$AP$3:$AQ$70,2,FALSE),VLOOKUP(A34,'Children of Female Loyds'!$AR$5:$AT$60,3,FALSE)))</f>
        <v>2 - Alfred (1882–1919: #54); Tony/Dodo (1889–1956: #67)</v>
      </c>
      <c r="AD34" s="97" t="str">
        <f t="shared" si="26"/>
        <v xml:space="preserve">2 - Sir Francis/Frank (1916–2006: #89); Daphne (1917–1992: #92)   </v>
      </c>
      <c r="AE34" s="105" t="str">
        <f>IF(ISNA(IF(K34="Boy",VLOOKUP(A34,'Grandchildren of Male Loyds'!$AQ$3:$AS$51,3,FALSE),VLOOKUP(A34,'Grandchildren of Female Loyds'!$AX$5:$AZ$63,3,FALSE))),AM34,IF(K34="Boy",VLOOKUP(A34,'Grandchildren of Male Loyds'!$AQ$3:$AS$51,3,FALSE),VLOOKUP(A34,'Grandchildren of Female Loyds'!$AX$5:$AZ$63,3,FALSE)))</f>
        <v>Sir Francis/Frank (1916–2006: #89); Daphne (1917–1992: #92)</v>
      </c>
      <c r="AF34" s="105" t="str">
        <f>IF(ISNA(VLOOKUP(A34,'Grandchildren Loyd Daughters'!$BD$5:$BF$50,4,FALSE)),"",VLOOKUP(A34,'Grandchildren Loyd Daughters'!$BD$5:$BF$50,3,FALSE))</f>
        <v/>
      </c>
      <c r="AG34" s="129">
        <f>IF(ISNA(VLOOKUP(A34,'Grandchildren of Male Loyds'!$AQ$3:$AR$60,2,FALSE)),0,VLOOKUP(A34,'Grandchildren of Male Loyds'!$AQ$3:$AR$60,2,FALSE))+IF(ISNA(VLOOKUP(A34,'Grandchildren of Female Loyds'!$AX$5:$AY$50,2,FALSE)),0,VLOOKUP(A34,'Grandchildren of Female Loyds'!$AX$5:$AY$50,2,FALSE))+IF(ISNA(VLOOKUP(A34,'Grandchildren Loyd Daughters'!$BD$5:$BE$50,2,FALSE)),0,VLOOKUP(A34,'Grandchildren Loyd Daughters'!$BD$5:$BE$50,2,FALSE))</f>
        <v>2</v>
      </c>
      <c r="AH34" s="129" t="str">
        <f>VLOOKUP($U34,'Loyd List 1-190 - Edit'!$P$3:$AJ$220,21,FALSE)</f>
        <v>Annie Hurst HAIG (b. 3 Oct 1816, d. 28 May 1885)</v>
      </c>
      <c r="AI34" s="129" t="str">
        <f>VLOOKUP(A34,'Updated Bios &amp; Spouse Details'!$A$1:$J$200,7,FALSE)</f>
        <v>Frances Maria Jane FETHERSTONHAUGH (b. 10 Feb 1855, d. 6 May 1929)</v>
      </c>
      <c r="AJ34" s="130" t="str">
        <f>IF(VLOOKUP($A34,'Loyd List 1-190 - Edit'!$C$1:$AQ$220,'Book Details - NO EDIT'!AJ$1,FALSE)="","",(VLOOKUP($A34,'Loyd List 1-190 - Edit'!$C$1:$AQ$220,'Book Details - NO EDIT'!AJ$1,FALSE)))</f>
        <v>06/04/1880</v>
      </c>
      <c r="AK34" s="129" t="str">
        <f>VLOOKUP(A34,'Updated Bios &amp; Spouse Details'!$A$1:$J$200,8,FALSE)</f>
        <v>Married at Holy Trinity, Dublin. Frances daughter of William FETHERSTONHAUGH JP of Carrick, Co. Meath, Ireland. Frances died at Lealands House, Groombridge, Sussex.</v>
      </c>
      <c r="AL34" s="131" t="str">
        <f>VLOOKUP(A34,'Updated Bios &amp; Spouse Details'!$A$1:$J$200,5,FALSE)</f>
        <v>Frank lived at Lealands House, Groombridge, Sussex and was the 5th son of Thomas (1812–1857: #14). Born 13 Aug 1848 at Mussoorie, India.  55th Regiment, The Royal Inniskelling Fusiliers, 13 Jan 1868-30 Nov 1880. Adjutant 55 Rifles, 1 Nov 1879-30 Nov 1880. 108th Regiment, the Cheshire Militia 1 Dec 1880-Jun 1888. Lieut Colonel. JP for Sussex 1895. Died 9 Aug 1934 at Jevington Gardens, Eastbourne, Sussex. Issue: 2 sons.</v>
      </c>
      <c r="AM34" s="105" t="str">
        <f>IF(AND(LEN(H34)&gt;0,ISNA(IF(K34="Boy",VLOOKUP(A34,'Siblings of those BORN Loyd'!$AP$3:$AQ$70,2,FALSE),VLOOKUP(A34,'Children of Female Loyds'!$AR$5:$AS$60,2,FALSE)))),"d.s.p","")</f>
        <v/>
      </c>
      <c r="AN34" s="99" t="str">
        <f t="shared" si="12"/>
        <v>Thomas (1812–1857: #14)</v>
      </c>
      <c r="AO34" s="99" t="str">
        <f t="shared" si="18"/>
        <v>William (1770–1828: #4)</v>
      </c>
      <c r="AP34" s="99" t="str">
        <f t="shared" si="19"/>
        <v>William (1729–1800: #1)</v>
      </c>
      <c r="AQ34" s="99" t="str">
        <f t="shared" si="20"/>
        <v/>
      </c>
      <c r="AR34" s="99" t="str">
        <f t="shared" si="21"/>
        <v/>
      </c>
      <c r="AS34" s="99" t="str">
        <f t="shared" si="22"/>
        <v/>
      </c>
      <c r="AT34" s="99" t="str">
        <f t="shared" si="23"/>
        <v/>
      </c>
      <c r="AU34" s="99" t="str">
        <f t="shared" si="24"/>
        <v/>
      </c>
      <c r="AW34" s="116" t="str">
        <f>VLOOKUP(A34,'Updated Bios &amp; Spouse Details'!$A$1:$J$193,6,FALSE)</f>
        <v>India and England</v>
      </c>
      <c r="AX34" s="131">
        <f>VLOOKUP($A34,'Loyd List 1-190 - Edit'!$P$2:$AQ$220,AX$1,FALSE)</f>
        <v>32</v>
      </c>
      <c r="AY34" s="116" t="str">
        <f>IF(ISNA(VLOOKUP(A34,'Data check lookup table'!$G$2:$V$73,13,FALSE))," - ",VLOOKUP(A34,'Data check lookup table'!$G$2:$V$73,13,FALSE))</f>
        <v xml:space="preserve"> - </v>
      </c>
      <c r="AZ34" s="147" t="str">
        <f t="shared" si="14"/>
        <v>08/09/1934</v>
      </c>
      <c r="BA34" s="99" t="str">
        <f t="shared" si="15"/>
        <v/>
      </c>
      <c r="BB34" s="99" t="str">
        <f t="shared" si="16"/>
        <v/>
      </c>
      <c r="BI34" s="147" t="s">
        <v>3167</v>
      </c>
    </row>
    <row r="35" spans="1:61" s="99" customFormat="1" ht="34">
      <c r="A35" s="139">
        <f>'Loyd List 1-190 - Edit'!C35</f>
        <v>33</v>
      </c>
      <c r="B35" s="99" t="str">
        <f>VLOOKUP($A35,'Loyd List 1-190 - Edit'!$C$1:$AQ$220,'Book Details - NO EDIT'!B$1,FALSE)</f>
        <v>Alfred</v>
      </c>
      <c r="C35" s="99" t="str">
        <f>IF(VLOOKUP($A35,'Loyd List 1-190 - Edit'!$C$1:$AQ$220,'Book Details - NO EDIT'!C$1,FALSE)="","",VLOOKUP($A35,'Loyd List 1-190 - Edit'!$C$1:$AQ$220,'Book Details - NO EDIT'!C$1,FALSE))</f>
        <v>Kirkman</v>
      </c>
      <c r="D35" s="99" t="str">
        <f>IF(VLOOKUP($A35,'Loyd List 1-190 - Edit'!$C$1:$AQ$220,'Book Details - NO EDIT'!D$1,FALSE)="","",VLOOKUP($A35,'Loyd List 1-190 - Edit'!$C$1:$AQ$220,'Book Details - NO EDIT'!D$1,FALSE))</f>
        <v/>
      </c>
      <c r="E35" s="99" t="str">
        <f>IF(VLOOKUP($A35,'Loyd List 1-190 - Edit'!$C$1:$AQ$220,'Book Details - NO EDIT'!E$1,FALSE)="","",VLOOKUP($A35,'Loyd List 1-190 - Edit'!$C$1:$AQ$220,'Book Details - NO EDIT'!E$1,FALSE))</f>
        <v>LOYD</v>
      </c>
      <c r="F35" s="99" t="str">
        <f>IF(VLOOKUP($A35,'Loyd List 1-190 - Edit'!$C$1:$AQ$220,'Book Details - NO EDIT'!F$1,FALSE)="",B35,VLOOKUP($A35,'Loyd List 1-190 - Edit'!$C$1:$AQ$220,'Book Details - NO EDIT'!F$1,FALSE))</f>
        <v>Alfred</v>
      </c>
      <c r="G35" s="140">
        <f>IF(VLOOKUP($A35,'Loyd List 1-190 - Edit'!$C$1:$AQ$220,'Book Details - NO EDIT'!G$1,FALSE)="","",VALUE(VLOOKUP($A35,'Loyd List 1-190 - Edit'!$C$1:$AQ$220,'Book Details - NO EDIT'!G$1,FALSE)))</f>
        <v>1849</v>
      </c>
      <c r="H35" s="140">
        <f>IF(VLOOKUP($A35,'Loyd List 1-190 - Edit'!$C$1:$AQ$220,'Book Details - NO EDIT'!H$1,FALSE)="","",VALUE(VLOOKUP($A35,'Loyd List 1-190 - Edit'!$C$1:$AQ$220,'Book Details - NO EDIT'!H$1,FALSE)))</f>
        <v>1881</v>
      </c>
      <c r="I35" s="141" t="str">
        <f>IF(VLOOKUP($A35,'Loyd List 1-190 - Edit'!$C$1:$AQ$220,'Book Details - NO EDIT'!I$1,FALSE)="","",(VLOOKUP($A35,'Loyd List 1-190 - Edit'!$C$1:$AQ$220,'Book Details - NO EDIT'!I$1,FALSE)))</f>
        <v>16/10/1849</v>
      </c>
      <c r="J35" s="141" t="str">
        <f>IF(VLOOKUP($A35,'Loyd List 1-190 - Edit'!$C$1:$AQ$220,'Book Details - NO EDIT'!J$1,FALSE)="","",(VLOOKUP($A35,'Loyd List 1-190 - Edit'!$C$1:$AQ$220,'Book Details - NO EDIT'!J$1,FALSE)))</f>
        <v>20/04/1881</v>
      </c>
      <c r="K35" s="100" t="str">
        <f>VLOOKUP($A35,'Loyd List 1-190 - Edit'!$C$1:$AQ$220,'Book Details - NO EDIT'!K$1,FALSE)</f>
        <v>Boy</v>
      </c>
      <c r="L35" s="140">
        <f>VLOOKUP($A35,'Loyd List 1-190 - Edit'!$C$1:$AQ$220,'Book Details - NO EDIT'!L$1,FALSE)</f>
        <v>14</v>
      </c>
      <c r="M35" s="140">
        <f t="shared" si="3"/>
        <v>4</v>
      </c>
      <c r="N35" s="140">
        <f t="shared" si="3"/>
        <v>1</v>
      </c>
      <c r="O35" s="140">
        <f t="shared" si="3"/>
        <v>0</v>
      </c>
      <c r="P35" s="140" t="str">
        <f t="shared" si="3"/>
        <v/>
      </c>
      <c r="Q35" s="140" t="str">
        <f t="shared" si="4"/>
        <v/>
      </c>
      <c r="R35" s="140" t="str">
        <f t="shared" si="4"/>
        <v/>
      </c>
      <c r="S35" s="140" t="str">
        <f t="shared" si="5"/>
        <v/>
      </c>
      <c r="T35" s="140">
        <f t="shared" si="1"/>
        <v>3</v>
      </c>
      <c r="U35" s="139">
        <f t="shared" si="6"/>
        <v>33</v>
      </c>
      <c r="V35" s="31" t="str">
        <f t="shared" si="7"/>
        <v>Alfred (1849–1881)</v>
      </c>
      <c r="W35" s="31" t="str">
        <f t="shared" si="8"/>
        <v>Alfred (#33)</v>
      </c>
      <c r="X35" s="99" t="str">
        <f t="shared" si="9"/>
        <v>Alfred (1849–1881: #33)</v>
      </c>
      <c r="Y35" s="99" t="str">
        <f t="shared" ref="Y35:Y66" si="27">_xlfn.CONCAT(B35," ",IF(C35="",E35,_xlfn.CONCAT(C35," ",IF(D35="",E35,_xlfn.CONCAT(D35," ",E35)))))</f>
        <v>Alfred Kirkman LOYD</v>
      </c>
      <c r="Z35" s="99" t="str">
        <f t="shared" si="10"/>
        <v>Thomas (1812–1857: #14)</v>
      </c>
      <c r="AA35" s="99" t="str">
        <f t="shared" si="17"/>
        <v xml:space="preserve">Thomas (1812–1857: #14) William (1770–1828: #4) William (1729–1800: #1)     </v>
      </c>
      <c r="AB35" s="142" t="str">
        <f>VLOOKUP(U35,'Siblings of those BORN Loyd'!$A$2:$G$230,7,FALSE)</f>
        <v xml:space="preserve">7 – William (1843–1843: #27) The Rev Lewis (1844–1905: #28) Arthur (1845–1930: #29) Archie (1847–1922: #30) Frank (1848–1934: #32)  Ted (1851–1922: #34) Annie (1853–1946: #37) </v>
      </c>
      <c r="AC35" s="115" t="str">
        <f>IF(ISNA(IF(K35="Boy",VLOOKUP(A35,'Siblings of those BORN Loyd'!$AP$3:$AQ$70,2,FALSE),VLOOKUP(A35,'Children of Female Loyds'!$AR$5:$AT$60,3,FALSE))),AM35,IF(K35="Boy",VLOOKUP(A35,'Siblings of those BORN Loyd'!$AP$3:$AQ$70,2,FALSE),VLOOKUP(A35,'Children of Female Loyds'!$AR$5:$AT$60,3,FALSE)))</f>
        <v>d.s.p</v>
      </c>
      <c r="AD35" s="97" t="str">
        <f t="shared" si="26"/>
        <v>d.s.p.</v>
      </c>
      <c r="AE35" s="105" t="str">
        <f>IF(ISNA(IF(K35="Boy",VLOOKUP(A35,'Grandchildren of Male Loyds'!$AQ$3:$AS$51,3,FALSE),VLOOKUP(A35,'Grandchildren of Female Loyds'!$AX$5:$AZ$63,3,FALSE))),AM35,IF(K35="Boy",VLOOKUP(A35,'Grandchildren of Male Loyds'!$AQ$3:$AS$51,3,FALSE),VLOOKUP(A35,'Grandchildren of Female Loyds'!$AX$5:$AZ$63,3,FALSE)))</f>
        <v>d.s.p</v>
      </c>
      <c r="AF35" s="105" t="str">
        <f>IF(ISNA(VLOOKUP(A35,'Grandchildren Loyd Daughters'!$BD$5:$BF$50,4,FALSE)),"",VLOOKUP(A35,'Grandchildren Loyd Daughters'!$BD$5:$BF$50,3,FALSE))</f>
        <v/>
      </c>
      <c r="AG35" s="129">
        <f>IF(ISNA(VLOOKUP(A35,'Grandchildren of Male Loyds'!$AQ$3:$AR$60,2,FALSE)),0,VLOOKUP(A35,'Grandchildren of Male Loyds'!$AQ$3:$AR$60,2,FALSE))+IF(ISNA(VLOOKUP(A35,'Grandchildren of Female Loyds'!$AX$5:$AY$50,2,FALSE)),0,VLOOKUP(A35,'Grandchildren of Female Loyds'!$AX$5:$AY$50,2,FALSE))+IF(ISNA(VLOOKUP(A35,'Grandchildren Loyd Daughters'!$BD$5:$BE$50,2,FALSE)),0,VLOOKUP(A35,'Grandchildren Loyd Daughters'!$BD$5:$BE$50,2,FALSE))</f>
        <v>0</v>
      </c>
      <c r="AH35" s="129" t="str">
        <f>VLOOKUP($U35,'Loyd List 1-190 - Edit'!$P$3:$AJ$220,21,FALSE)</f>
        <v>Annie Hurst HAIG (b. 3 Oct 1816, d. 28 May 1885)</v>
      </c>
      <c r="AI35" s="129" t="str">
        <f>VLOOKUP(A35,'Updated Bios &amp; Spouse Details'!$A$1:$J$200,7,FALSE)</f>
        <v>Unmarried</v>
      </c>
      <c r="AJ35" s="130" t="str">
        <f>IF(VLOOKUP($A35,'Loyd List 1-190 - Edit'!$C$1:$AQ$220,'Book Details - NO EDIT'!AJ$1,FALSE)="","",(VLOOKUP($A35,'Loyd List 1-190 - Edit'!$C$1:$AQ$220,'Book Details - NO EDIT'!AJ$1,FALSE)))</f>
        <v xml:space="preserve"> - </v>
      </c>
      <c r="AK35" s="129" t="str">
        <f>VLOOKUP(A35,'Updated Bios &amp; Spouse Details'!$A$1:$J$200,8,FALSE)</f>
        <v xml:space="preserve"> - </v>
      </c>
      <c r="AL35" s="131" t="str">
        <f>VLOOKUP(A35,'Updated Bios &amp; Spouse Details'!$A$1:$J$200,5,FALSE)</f>
        <v>Alfred was the 6th son of Thomas (1812–1857: #14). Born 16 Oct 1849 at Landour, India. Royal Artillery Captain 23 Jul 1870 to 9 Apr 1880.  Served in India. Died, unmarried, 20 Apr 1881 at Sheerness, Kent. DSP</v>
      </c>
      <c r="AM35" s="105" t="str">
        <f>IF(AND(LEN(H35)&gt;0,ISNA(IF(K35="Boy",VLOOKUP(A35,'Siblings of those BORN Loyd'!$AP$3:$AQ$70,2,FALSE),VLOOKUP(A35,'Children of Female Loyds'!$AR$5:$AS$60,2,FALSE)))),"d.s.p","")</f>
        <v>d.s.p</v>
      </c>
      <c r="AN35" s="99" t="str">
        <f t="shared" si="12"/>
        <v>Thomas (1812–1857: #14)</v>
      </c>
      <c r="AO35" s="99" t="str">
        <f t="shared" si="18"/>
        <v>William (1770–1828: #4)</v>
      </c>
      <c r="AP35" s="99" t="str">
        <f t="shared" si="19"/>
        <v>William (1729–1800: #1)</v>
      </c>
      <c r="AQ35" s="99" t="str">
        <f t="shared" si="20"/>
        <v/>
      </c>
      <c r="AR35" s="99" t="str">
        <f t="shared" si="21"/>
        <v/>
      </c>
      <c r="AS35" s="99" t="str">
        <f t="shared" si="22"/>
        <v/>
      </c>
      <c r="AT35" s="99" t="str">
        <f t="shared" si="23"/>
        <v/>
      </c>
      <c r="AU35" s="99" t="str">
        <f t="shared" si="24"/>
        <v/>
      </c>
      <c r="AW35" s="116" t="str">
        <f>VLOOKUP(A35,'Updated Bios &amp; Spouse Details'!$A$1:$J$193,6,FALSE)</f>
        <v>India and England</v>
      </c>
      <c r="AX35" s="131">
        <f>VLOOKUP($A35,'Loyd List 1-190 - Edit'!$P$2:$AQ$220,AX$1,FALSE)</f>
        <v>33</v>
      </c>
      <c r="AY35" s="116" t="str">
        <f>IF(ISNA(VLOOKUP(A35,'Data check lookup table'!$G$2:$V$73,13,FALSE))," - ",VLOOKUP(A35,'Data check lookup table'!$G$2:$V$73,13,FALSE))</f>
        <v xml:space="preserve"> - </v>
      </c>
      <c r="AZ35" s="147" t="str">
        <f t="shared" si="14"/>
        <v>20/04/1881</v>
      </c>
      <c r="BA35" s="99" t="str">
        <f t="shared" si="15"/>
        <v/>
      </c>
      <c r="BB35" s="99" t="str">
        <f t="shared" si="16"/>
        <v/>
      </c>
      <c r="BI35" s="147" t="s">
        <v>1065</v>
      </c>
    </row>
    <row r="36" spans="1:61" s="99" customFormat="1" ht="102">
      <c r="A36" s="139">
        <f>'Loyd List 1-190 - Edit'!C36</f>
        <v>34</v>
      </c>
      <c r="B36" s="99" t="str">
        <f>VLOOKUP($A36,'Loyd List 1-190 - Edit'!$C$1:$AQ$220,'Book Details - NO EDIT'!B$1,FALSE)</f>
        <v>Edward</v>
      </c>
      <c r="C36" s="99" t="str">
        <f>IF(VLOOKUP($A36,'Loyd List 1-190 - Edit'!$C$1:$AQ$220,'Book Details - NO EDIT'!C$1,FALSE)="","",VLOOKUP($A36,'Loyd List 1-190 - Edit'!$C$1:$AQ$220,'Book Details - NO EDIT'!C$1,FALSE))</f>
        <v>Kirkman</v>
      </c>
      <c r="D36" s="99" t="str">
        <f>IF(VLOOKUP($A36,'Loyd List 1-190 - Edit'!$C$1:$AQ$220,'Book Details - NO EDIT'!D$1,FALSE)="","",VLOOKUP($A36,'Loyd List 1-190 - Edit'!$C$1:$AQ$220,'Book Details - NO EDIT'!D$1,FALSE))</f>
        <v/>
      </c>
      <c r="E36" s="99" t="str">
        <f>IF(VLOOKUP($A36,'Loyd List 1-190 - Edit'!$C$1:$AQ$220,'Book Details - NO EDIT'!E$1,FALSE)="","",VLOOKUP($A36,'Loyd List 1-190 - Edit'!$C$1:$AQ$220,'Book Details - NO EDIT'!E$1,FALSE))</f>
        <v xml:space="preserve">LOYD </v>
      </c>
      <c r="F36" s="99" t="str">
        <f>IF(VLOOKUP($A36,'Loyd List 1-190 - Edit'!$C$1:$AQ$220,'Book Details - NO EDIT'!F$1,FALSE)="",B36,VLOOKUP($A36,'Loyd List 1-190 - Edit'!$C$1:$AQ$220,'Book Details - NO EDIT'!F$1,FALSE))</f>
        <v>Ted</v>
      </c>
      <c r="G36" s="140">
        <f>IF(VLOOKUP($A36,'Loyd List 1-190 - Edit'!$C$1:$AQ$220,'Book Details - NO EDIT'!G$1,FALSE)="","",VALUE(VLOOKUP($A36,'Loyd List 1-190 - Edit'!$C$1:$AQ$220,'Book Details - NO EDIT'!G$1,FALSE)))</f>
        <v>1851</v>
      </c>
      <c r="H36" s="140">
        <f>IF(VLOOKUP($A36,'Loyd List 1-190 - Edit'!$C$1:$AQ$220,'Book Details - NO EDIT'!H$1,FALSE)="","",VALUE(VLOOKUP($A36,'Loyd List 1-190 - Edit'!$C$1:$AQ$220,'Book Details - NO EDIT'!H$1,FALSE)))</f>
        <v>1922</v>
      </c>
      <c r="I36" s="141" t="str">
        <f>IF(VLOOKUP($A36,'Loyd List 1-190 - Edit'!$C$1:$AQ$220,'Book Details - NO EDIT'!I$1,FALSE)="","",(VLOOKUP($A36,'Loyd List 1-190 - Edit'!$C$1:$AQ$220,'Book Details - NO EDIT'!I$1,FALSE)))</f>
        <v>06/08/1851</v>
      </c>
      <c r="J36" s="141" t="str">
        <f>IF(VLOOKUP($A36,'Loyd List 1-190 - Edit'!$C$1:$AQ$220,'Book Details - NO EDIT'!J$1,FALSE)="","",(VLOOKUP($A36,'Loyd List 1-190 - Edit'!$C$1:$AQ$220,'Book Details - NO EDIT'!J$1,FALSE)))</f>
        <v>23/10/1922</v>
      </c>
      <c r="K36" s="100" t="str">
        <f>VLOOKUP($A36,'Loyd List 1-190 - Edit'!$C$1:$AQ$220,'Book Details - NO EDIT'!K$1,FALSE)</f>
        <v>Boy</v>
      </c>
      <c r="L36" s="140">
        <f>VLOOKUP($A36,'Loyd List 1-190 - Edit'!$C$1:$AQ$220,'Book Details - NO EDIT'!L$1,FALSE)</f>
        <v>14</v>
      </c>
      <c r="M36" s="140">
        <f t="shared" si="3"/>
        <v>4</v>
      </c>
      <c r="N36" s="140">
        <f t="shared" si="3"/>
        <v>1</v>
      </c>
      <c r="O36" s="140">
        <f t="shared" si="3"/>
        <v>0</v>
      </c>
      <c r="P36" s="140" t="str">
        <f t="shared" si="3"/>
        <v/>
      </c>
      <c r="Q36" s="140" t="str">
        <f t="shared" si="4"/>
        <v/>
      </c>
      <c r="R36" s="140" t="str">
        <f t="shared" si="4"/>
        <v/>
      </c>
      <c r="S36" s="140" t="str">
        <f t="shared" si="5"/>
        <v/>
      </c>
      <c r="T36" s="140">
        <f t="shared" si="1"/>
        <v>3</v>
      </c>
      <c r="U36" s="139">
        <f t="shared" si="6"/>
        <v>34</v>
      </c>
      <c r="V36" s="31" t="str">
        <f t="shared" si="7"/>
        <v>Ted (1851–1922)</v>
      </c>
      <c r="W36" s="31" t="str">
        <f t="shared" si="8"/>
        <v>Ted (#34)</v>
      </c>
      <c r="X36" s="99" t="str">
        <f t="shared" si="9"/>
        <v>Ted (1851–1922: #34)</v>
      </c>
      <c r="Y36" s="99" t="str">
        <f t="shared" si="27"/>
        <v xml:space="preserve">Edward Kirkman LOYD </v>
      </c>
      <c r="Z36" s="99" t="str">
        <f t="shared" si="10"/>
        <v>Thomas (1812–1857: #14)</v>
      </c>
      <c r="AA36" s="99" t="str">
        <f t="shared" si="17"/>
        <v xml:space="preserve">Thomas (1812–1857: #14) William (1770–1828: #4) William (1729–1800: #1)     </v>
      </c>
      <c r="AB36" s="142" t="str">
        <f>VLOOKUP(U36,'Siblings of those BORN Loyd'!$A$2:$G$230,7,FALSE)</f>
        <v xml:space="preserve">7 – William (1843–1843: #27) The Rev Lewis (1844–1905: #28) Arthur (1845–1930: #29) Archie (1847–1922: #30) Frank (1848–1934: #32) Alfred (1849–1881: #33)  Annie (1853–1946: #37) </v>
      </c>
      <c r="AC36" s="115" t="str">
        <f>IF(ISNA(IF(K36="Boy",VLOOKUP(A36,'Siblings of those BORN Loyd'!$AP$3:$AQ$70,2,FALSE),VLOOKUP(A36,'Children of Female Loyds'!$AR$5:$AT$60,3,FALSE))),AM36,IF(K36="Boy",VLOOKUP(A36,'Siblings of those BORN Loyd'!$AP$3:$AQ$70,2,FALSE),VLOOKUP(A36,'Children of Female Loyds'!$AR$5:$AT$60,3,FALSE)))</f>
        <v>3 - Nan (1889–1967: #65); Arthur (1890–1974: #71); Edward (1893–1932: #76)</v>
      </c>
      <c r="AD36" s="97" t="str">
        <f t="shared" si="26"/>
        <v xml:space="preserve">5 - Peter (1913–2008: #86); Wooie (1928–1996: #107)   Audrey WHEELER (1913 - :  #65a) Norma WHEELER (1924 - :  #65b) Basil WHEELER (1926 - :  #65c)            </v>
      </c>
      <c r="AE36" s="105" t="str">
        <f>IF(ISNA(IF(K36="Boy",VLOOKUP(A36,'Grandchildren of Male Loyds'!$AQ$3:$AS$51,3,FALSE),VLOOKUP(A36,'Grandchildren of Female Loyds'!$AX$5:$AZ$63,3,FALSE))),AM36,IF(K36="Boy",VLOOKUP(A36,'Grandchildren of Male Loyds'!$AQ$3:$AS$51,3,FALSE),VLOOKUP(A36,'Grandchildren of Female Loyds'!$AX$5:$AZ$63,3,FALSE)))</f>
        <v>Peter (1913–2008: #86); Wooie (1928–1996: #107)</v>
      </c>
      <c r="AF36" s="105" t="str">
        <f>IF(ISNA(VLOOKUP(A36,'Grandchildren Loyd Daughters'!$BD$5:$BF$50,4,FALSE)),"",VLOOKUP(A36,'Grandchildren Loyd Daughters'!$BD$5:$BF$50,3,FALSE))</f>
        <v xml:space="preserve">Audrey WHEELER (1913 - :  #65a) Norma WHEELER (1924 - :  #65b) Basil WHEELER (1926 - :  #65c)            </v>
      </c>
      <c r="AG36" s="129">
        <f>IF(ISNA(VLOOKUP(A36,'Grandchildren of Male Loyds'!$AQ$3:$AR$60,2,FALSE)),0,VLOOKUP(A36,'Grandchildren of Male Loyds'!$AQ$3:$AR$60,2,FALSE))+IF(ISNA(VLOOKUP(A36,'Grandchildren of Female Loyds'!$AX$5:$AY$50,2,FALSE)),0,VLOOKUP(A36,'Grandchildren of Female Loyds'!$AX$5:$AY$50,2,FALSE))+IF(ISNA(VLOOKUP(A36,'Grandchildren Loyd Daughters'!$BD$5:$BE$50,2,FALSE)),0,VLOOKUP(A36,'Grandchildren Loyd Daughters'!$BD$5:$BE$50,2,FALSE))</f>
        <v>5</v>
      </c>
      <c r="AH36" s="129" t="str">
        <f>VLOOKUP($U36,'Loyd List 1-190 - Edit'!$P$3:$AJ$220,21,FALSE)</f>
        <v>Annie Hurst HAIG (b. 3 Oct 1816, d. 28 May 1885)</v>
      </c>
      <c r="AI36" s="129" t="str">
        <f>VLOOKUP(A36,'Updated Bios &amp; Spouse Details'!$A$1:$J$200,7,FALSE)</f>
        <v>Millicent Blandinah KESTEVEN (b. 1850/51, d. 22 Jun 1945)</v>
      </c>
      <c r="AJ36" s="130" t="str">
        <f>IF(VLOOKUP($A36,'Loyd List 1-190 - Edit'!$C$1:$AQ$220,'Book Details - NO EDIT'!AJ$1,FALSE)="","",(VLOOKUP($A36,'Loyd List 1-190 - Edit'!$C$1:$AQ$220,'Book Details - NO EDIT'!AJ$1,FALSE)))</f>
        <v>11/04/1888</v>
      </c>
      <c r="AK36" s="129" t="str">
        <f>VLOOKUP(A36,'Updated Bios &amp; Spouse Details'!$A$1:$J$200,8,FALSE)</f>
        <v>Married at Holy Trinity, Waltham Cross, Hertfordshire. Millicent daughter of William Bedford KESTEVEN of The Cedars, Theobalds, Cheshunt, Hertfordshire. Died at Rugby, Warwickshire.</v>
      </c>
      <c r="AL36" s="131" t="str">
        <f>VLOOKUP(A36,'Updated Bios &amp; Spouse Details'!$A$1:$J$200,5,FALSE)</f>
        <v>Ted lived at Spencer House, Aylesbury, Buckinghamshire and was the  7th and youngest son of Thomas (1812–1857: #14). Born 6 Aug 1851 at 17, Marlborough Place, St John’s Wood, London. He joined the 28th Regiment, 1st Glosters, from 6 Jul 1870. Retired with rank of Captain. Died 23 Oct 1922 at Broadstairs, Kent. Issue: 2 sons, 1 daughter.</v>
      </c>
      <c r="AM36" s="105" t="str">
        <f>IF(AND(LEN(H36)&gt;0,ISNA(IF(K36="Boy",VLOOKUP(A36,'Siblings of those BORN Loyd'!$AP$3:$AQ$70,2,FALSE),VLOOKUP(A36,'Children of Female Loyds'!$AR$5:$AS$60,2,FALSE)))),"d.s.p","")</f>
        <v/>
      </c>
      <c r="AN36" s="99" t="str">
        <f t="shared" ref="AN36:AN67" si="28">(IF(OR(L36=0,LEN(L36)=0),"",_xlfn.CONCAT(VLOOKUP(L36,$U$3:$X$230,4,FALSE))))</f>
        <v>Thomas (1812–1857: #14)</v>
      </c>
      <c r="AO36" s="99" t="str">
        <f t="shared" si="18"/>
        <v>William (1770–1828: #4)</v>
      </c>
      <c r="AP36" s="99" t="str">
        <f t="shared" si="19"/>
        <v>William (1729–1800: #1)</v>
      </c>
      <c r="AQ36" s="99" t="str">
        <f t="shared" si="20"/>
        <v/>
      </c>
      <c r="AR36" s="99" t="str">
        <f t="shared" si="21"/>
        <v/>
      </c>
      <c r="AS36" s="99" t="str">
        <f t="shared" si="22"/>
        <v/>
      </c>
      <c r="AT36" s="99" t="str">
        <f t="shared" si="23"/>
        <v/>
      </c>
      <c r="AU36" s="99" t="str">
        <f t="shared" si="24"/>
        <v/>
      </c>
      <c r="AW36" s="116" t="str">
        <f>VLOOKUP(A36,'Updated Bios &amp; Spouse Details'!$A$1:$J$193,6,FALSE)</f>
        <v>England</v>
      </c>
      <c r="AX36" s="131">
        <f>VLOOKUP($A36,'Loyd List 1-190 - Edit'!$P$2:$AQ$220,AX$1,FALSE)</f>
        <v>34</v>
      </c>
      <c r="AY36" s="116" t="str">
        <f>IF(ISNA(VLOOKUP(A36,'Data check lookup table'!$G$2:$V$73,13,FALSE))," - ",VLOOKUP(A36,'Data check lookup table'!$G$2:$V$73,13,FALSE))</f>
        <v xml:space="preserve"> - </v>
      </c>
      <c r="AZ36" s="147" t="str">
        <f t="shared" si="14"/>
        <v>23/10/1922</v>
      </c>
      <c r="BA36" s="99" t="str">
        <f t="shared" ref="BA36:BA67" si="29">(IF(OR(Q36=0,LEN(Q36)=0),"",_xlfn.CONCAT(", ",VLOOKUP(Q36,$U$3:$X$230,4,FALSE))))</f>
        <v/>
      </c>
      <c r="BB36" s="99" t="str">
        <f t="shared" ref="BB36:BB67" si="30">(IF(OR(R36=0,LEN(R36)=0),"",_xlfn.CONCAT("; ",VLOOKUP(R36,$U$3:$X$230,4,FALSE))))</f>
        <v/>
      </c>
      <c r="BI36" s="147" t="s">
        <v>3168</v>
      </c>
    </row>
    <row r="37" spans="1:61" s="99" customFormat="1" ht="85">
      <c r="A37" s="139">
        <f>'Loyd List 1-190 - Edit'!C37</f>
        <v>35</v>
      </c>
      <c r="B37" s="99" t="str">
        <f>VLOOKUP($A37,'Loyd List 1-190 - Edit'!$C$1:$AQ$220,'Book Details - NO EDIT'!B$1,FALSE)</f>
        <v>Lewis</v>
      </c>
      <c r="C37" s="99" t="str">
        <f>IF(VLOOKUP($A37,'Loyd List 1-190 - Edit'!$C$1:$AQ$220,'Book Details - NO EDIT'!C$1,FALSE)="","",VLOOKUP($A37,'Loyd List 1-190 - Edit'!$C$1:$AQ$220,'Book Details - NO EDIT'!C$1,FALSE))</f>
        <v>Vivian</v>
      </c>
      <c r="D37" s="99" t="str">
        <f>IF(VLOOKUP($A37,'Loyd List 1-190 - Edit'!$C$1:$AQ$220,'Book Details - NO EDIT'!D$1,FALSE)="","",VLOOKUP($A37,'Loyd List 1-190 - Edit'!$C$1:$AQ$220,'Book Details - NO EDIT'!D$1,FALSE))</f>
        <v/>
      </c>
      <c r="E37" s="99" t="str">
        <f>IF(VLOOKUP($A37,'Loyd List 1-190 - Edit'!$C$1:$AQ$220,'Book Details - NO EDIT'!E$1,FALSE)="","",VLOOKUP($A37,'Loyd List 1-190 - Edit'!$C$1:$AQ$220,'Book Details - NO EDIT'!E$1,FALSE))</f>
        <v>LOYD</v>
      </c>
      <c r="F37" s="99" t="str">
        <f>IF(VLOOKUP($A37,'Loyd List 1-190 - Edit'!$C$1:$AQ$220,'Book Details - NO EDIT'!F$1,FALSE)="",B37,VLOOKUP($A37,'Loyd List 1-190 - Edit'!$C$1:$AQ$220,'Book Details - NO EDIT'!F$1,FALSE))</f>
        <v>Lewis</v>
      </c>
      <c r="G37" s="140">
        <f>IF(VLOOKUP($A37,'Loyd List 1-190 - Edit'!$C$1:$AQ$220,'Book Details - NO EDIT'!G$1,FALSE)="","",VALUE(VLOOKUP($A37,'Loyd List 1-190 - Edit'!$C$1:$AQ$220,'Book Details - NO EDIT'!G$1,FALSE)))</f>
        <v>1852</v>
      </c>
      <c r="H37" s="140">
        <f>IF(VLOOKUP($A37,'Loyd List 1-190 - Edit'!$C$1:$AQ$220,'Book Details - NO EDIT'!H$1,FALSE)="","",VALUE(VLOOKUP($A37,'Loyd List 1-190 - Edit'!$C$1:$AQ$220,'Book Details - NO EDIT'!H$1,FALSE)))</f>
        <v>1908</v>
      </c>
      <c r="I37" s="141" t="str">
        <f>IF(VLOOKUP($A37,'Loyd List 1-190 - Edit'!$C$1:$AQ$220,'Book Details - NO EDIT'!I$1,FALSE)="","",(VLOOKUP($A37,'Loyd List 1-190 - Edit'!$C$1:$AQ$220,'Book Details - NO EDIT'!I$1,FALSE)))</f>
        <v>14/11/1852</v>
      </c>
      <c r="J37" s="141" t="str">
        <f>IF(VLOOKUP($A37,'Loyd List 1-190 - Edit'!$C$1:$AQ$220,'Book Details - NO EDIT'!J$1,FALSE)="","",(VLOOKUP($A37,'Loyd List 1-190 - Edit'!$C$1:$AQ$220,'Book Details - NO EDIT'!J$1,FALSE)))</f>
        <v>21/09/1908</v>
      </c>
      <c r="K37" s="100" t="str">
        <f>VLOOKUP($A37,'Loyd List 1-190 - Edit'!$C$1:$AQ$220,'Book Details - NO EDIT'!K$1,FALSE)</f>
        <v>Boy</v>
      </c>
      <c r="L37" s="140">
        <f>VLOOKUP($A37,'Loyd List 1-190 - Edit'!$C$1:$AQ$220,'Book Details - NO EDIT'!L$1,FALSE)</f>
        <v>23</v>
      </c>
      <c r="M37" s="140">
        <f t="shared" si="3"/>
        <v>8</v>
      </c>
      <c r="N37" s="140">
        <f t="shared" si="3"/>
        <v>1</v>
      </c>
      <c r="O37" s="140">
        <f t="shared" si="3"/>
        <v>0</v>
      </c>
      <c r="P37" s="140" t="str">
        <f t="shared" si="3"/>
        <v/>
      </c>
      <c r="Q37" s="140" t="str">
        <f t="shared" si="4"/>
        <v/>
      </c>
      <c r="R37" s="140" t="str">
        <f t="shared" si="4"/>
        <v/>
      </c>
      <c r="S37" s="140" t="str">
        <f t="shared" si="5"/>
        <v/>
      </c>
      <c r="T37" s="140">
        <f t="shared" si="1"/>
        <v>3</v>
      </c>
      <c r="U37" s="139">
        <f t="shared" si="6"/>
        <v>35</v>
      </c>
      <c r="V37" s="31" t="str">
        <f t="shared" si="7"/>
        <v>Lewis (1852–1908)</v>
      </c>
      <c r="W37" s="31" t="str">
        <f t="shared" si="8"/>
        <v>Lewis (#35)</v>
      </c>
      <c r="X37" s="99" t="str">
        <f t="shared" si="9"/>
        <v>Lewis (1852–1908: #35)</v>
      </c>
      <c r="Y37" s="99" t="str">
        <f t="shared" si="27"/>
        <v>Lewis Vivian LOYD</v>
      </c>
      <c r="Z37" s="99" t="str">
        <f t="shared" si="10"/>
        <v>William (1821–1885: #23)</v>
      </c>
      <c r="AA37" s="99" t="str">
        <f t="shared" si="17"/>
        <v xml:space="preserve">William (1821–1885: #23) Edward (1780–1863: #8) William (1729–1800: #1)     </v>
      </c>
      <c r="AB37" s="142" t="str">
        <f>VLOOKUP(U37,'Siblings of those BORN Loyd'!$A$2:$G$230,7,FALSE)</f>
        <v>8 – Gertrude (1854–1924: #38) Harriet (1856–1921: #40) Dulcie (1858–1905: #42) Harry (1861–1938: #44) William (1863–1923: #46) Caroline (1865–1938: #48) Mary (1867–1867: #49) Arthur (1868–1911: #50)</v>
      </c>
      <c r="AC37" s="115" t="str">
        <f>IF(ISNA(IF(K37="Boy",VLOOKUP(A37,'Siblings of those BORN Loyd'!$AP$3:$AQ$70,2,FALSE),VLOOKUP(A37,'Children of Female Loyds'!$AR$5:$AT$60,3,FALSE))),AM37,IF(K37="Boy",VLOOKUP(A37,'Siblings of those BORN Loyd'!$AP$3:$AQ$70,2,FALSE),VLOOKUP(A37,'Children of Female Loyds'!$AR$5:$AT$60,3,FALSE)))</f>
        <v>3 - Dick (1882–1950: #55); Robert (1884–1917: #57); Gertrude (1887–1917: #64)</v>
      </c>
      <c r="AD37" s="97" t="str">
        <f t="shared" si="26"/>
        <v xml:space="preserve">5 - Jos (1931–: #108); Deen (1936–2016: #112); Peggy (1939–: #116); Patrick (1942–: #117); Patricia (1942–1942: #118)   </v>
      </c>
      <c r="AE37" s="105" t="str">
        <f>IF(ISNA(IF(K37="Boy",VLOOKUP(A37,'Grandchildren of Male Loyds'!$AQ$3:$AS$51,3,FALSE),VLOOKUP(A37,'Grandchildren of Female Loyds'!$AX$5:$AZ$63,3,FALSE))),AM37,IF(K37="Boy",VLOOKUP(A37,'Grandchildren of Male Loyds'!$AQ$3:$AS$51,3,FALSE),VLOOKUP(A37,'Grandchildren of Female Loyds'!$AX$5:$AZ$63,3,FALSE)))</f>
        <v>Jos (1931–: #108); Deen (1936–2016: #112); Peggy (1939–: #116); Patrick (1942–: #117); Patricia (1942–1942: #118)</v>
      </c>
      <c r="AF37" s="105" t="str">
        <f>IF(ISNA(VLOOKUP(A37,'Grandchildren Loyd Daughters'!$BD$5:$BF$50,4,FALSE)),"",VLOOKUP(A37,'Grandchildren Loyd Daughters'!$BD$5:$BF$50,3,FALSE))</f>
        <v/>
      </c>
      <c r="AG37" s="129">
        <f>IF(ISNA(VLOOKUP(A37,'Grandchildren of Male Loyds'!$AQ$3:$AR$60,2,FALSE)),0,VLOOKUP(A37,'Grandchildren of Male Loyds'!$AQ$3:$AR$60,2,FALSE))+IF(ISNA(VLOOKUP(A37,'Grandchildren of Female Loyds'!$AX$5:$AY$50,2,FALSE)),0,VLOOKUP(A37,'Grandchildren of Female Loyds'!$AX$5:$AY$50,2,FALSE))+IF(ISNA(VLOOKUP(A37,'Grandchildren Loyd Daughters'!$BD$5:$BE$50,2,FALSE)),0,VLOOKUP(A37,'Grandchildren Loyd Daughters'!$BD$5:$BE$50,2,FALSE))</f>
        <v>5</v>
      </c>
      <c r="AH37" s="129" t="str">
        <f>VLOOKUP($U37,'Loyd List 1-190 - Edit'!$P$3:$AJ$220,21,FALSE)</f>
        <v>Caroline Gertrude Walker VIVIAN (b. 1829, d. 28 Nov 1893)</v>
      </c>
      <c r="AI37" s="129" t="str">
        <f>VLOOKUP(A37,'Updated Bios &amp; Spouse Details'!$A$1:$J$200,7,FALSE)</f>
        <v>Lady Mary Sophia HELY-HUTCHINSON (b. 22 Sep 1853, d. 30 Jul 1936)</v>
      </c>
      <c r="AJ37" s="130" t="str">
        <f>IF(VLOOKUP($A37,'Loyd List 1-190 - Edit'!$C$1:$AQ$220,'Book Details - NO EDIT'!AJ$1,FALSE)="","",(VLOOKUP($A37,'Loyd List 1-190 - Edit'!$C$1:$AQ$220,'Book Details - NO EDIT'!AJ$1,FALSE)))</f>
        <v>14/08/1879</v>
      </c>
      <c r="AK37" s="129" t="str">
        <f>VLOOKUP(A37,'Updated Bios &amp; Spouse Details'!$A$1:$J$200,8,FALSE)</f>
        <v>Married at St George’s, Hanover Square, London, Mary eldest daughter of the 4th Earl of DONOUGHMORE.</v>
      </c>
      <c r="AL37" s="131" t="str">
        <f>VLOOKUP(A37,'Updated Bios &amp; Spouse Details'!$A$1:$J$200,5,FALSE)</f>
        <v>Lewis lived at Withybrook, Wolvey and Grandborough, Warwickshire and at Coldham, Cambridgeshire. He was the eldest son of William  (1821–1885: #23). Born 14 Nov 1852. Educated Eton 1866-69. DL, JP Warwickshire and Cambridgeshire. JP Co. Tipperary. Lieutenant, Grenadier Guards 1872-83. Served in Egyptian War 1882. Director L &amp; NW Railway from 1885. MP for Chatham 1892-95. Lt. Colonel and Hon. Colonel–2 Vol. Battalion, Warwickshire Regiment 1888-94. Brigadier General commanding South Midland Vol. Inf. Brigade from 1894. Died 21 Sep 1908. Lewis was left Overstone Park by Lord Overstone but Lady Wantage was allowed to use it during her lifetime. He had earlier sold his interest in it to Sir Harry Mallaby-Deeley (1863–1937), hence the property was sold post 1920.  Issue: 2 sons, 1 daughter.</v>
      </c>
      <c r="AM37" s="105" t="str">
        <f>IF(AND(LEN(H37)&gt;0,ISNA(IF(K37="Boy",VLOOKUP(A37,'Siblings of those BORN Loyd'!$AP$3:$AQ$70,2,FALSE),VLOOKUP(A37,'Children of Female Loyds'!$AR$5:$AS$60,2,FALSE)))),"d.s.p","")</f>
        <v/>
      </c>
      <c r="AN37" s="99" t="str">
        <f t="shared" si="28"/>
        <v>William (1821–1885: #23)</v>
      </c>
      <c r="AO37" s="99" t="str">
        <f t="shared" si="18"/>
        <v>Edward (1780–1863: #8)</v>
      </c>
      <c r="AP37" s="99" t="str">
        <f t="shared" si="19"/>
        <v>William (1729–1800: #1)</v>
      </c>
      <c r="AQ37" s="99" t="str">
        <f t="shared" si="20"/>
        <v/>
      </c>
      <c r="AR37" s="99" t="str">
        <f t="shared" si="21"/>
        <v/>
      </c>
      <c r="AS37" s="99" t="str">
        <f t="shared" si="22"/>
        <v/>
      </c>
      <c r="AT37" s="99" t="str">
        <f t="shared" si="23"/>
        <v/>
      </c>
      <c r="AU37" s="99" t="str">
        <f t="shared" si="24"/>
        <v/>
      </c>
      <c r="AW37" s="116" t="str">
        <f>VLOOKUP(A37,'Updated Bios &amp; Spouse Details'!$A$1:$J$193,6,FALSE)</f>
        <v>England and Egypt</v>
      </c>
      <c r="AX37" s="131">
        <f>VLOOKUP($A37,'Loyd List 1-190 - Edit'!$P$2:$AQ$220,AX$1,FALSE)</f>
        <v>35</v>
      </c>
      <c r="AY37" s="116" t="str">
        <f>IF(ISNA(VLOOKUP(A37,'Data check lookup table'!$G$2:$V$73,13,FALSE))," - ",VLOOKUP(A37,'Data check lookup table'!$G$2:$V$73,13,FALSE))</f>
        <v xml:space="preserve"> - </v>
      </c>
      <c r="AZ37" s="147" t="str">
        <f t="shared" si="14"/>
        <v>21/09/1908</v>
      </c>
      <c r="BA37" s="99" t="str">
        <f t="shared" si="29"/>
        <v/>
      </c>
      <c r="BB37" s="99" t="str">
        <f t="shared" si="30"/>
        <v/>
      </c>
      <c r="BI37" s="147" t="s">
        <v>3169</v>
      </c>
    </row>
    <row r="38" spans="1:61" s="99" customFormat="1" ht="85">
      <c r="A38" s="139">
        <f>'Loyd List 1-190 - Edit'!C38</f>
        <v>36</v>
      </c>
      <c r="B38" s="99" t="str">
        <f>VLOOKUP($A38,'Loyd List 1-190 - Edit'!$C$1:$AQ$220,'Book Details - NO EDIT'!B$1,FALSE)</f>
        <v>Elinor</v>
      </c>
      <c r="C38" s="99" t="str">
        <f>IF(VLOOKUP($A38,'Loyd List 1-190 - Edit'!$C$1:$AQ$220,'Book Details - NO EDIT'!C$1,FALSE)="","",VLOOKUP($A38,'Loyd List 1-190 - Edit'!$C$1:$AQ$220,'Book Details - NO EDIT'!C$1,FALSE))</f>
        <v>Sarah</v>
      </c>
      <c r="D38" s="99" t="str">
        <f>IF(VLOOKUP($A38,'Loyd List 1-190 - Edit'!$C$1:$AQ$220,'Book Details - NO EDIT'!D$1,FALSE)="","",VLOOKUP($A38,'Loyd List 1-190 - Edit'!$C$1:$AQ$220,'Book Details - NO EDIT'!D$1,FALSE))</f>
        <v/>
      </c>
      <c r="E38" s="99" t="str">
        <f>IF(VLOOKUP($A38,'Loyd List 1-190 - Edit'!$C$1:$AQ$220,'Book Details - NO EDIT'!E$1,FALSE)="","",VLOOKUP($A38,'Loyd List 1-190 - Edit'!$C$1:$AQ$220,'Book Details - NO EDIT'!E$1,FALSE))</f>
        <v>LOYD</v>
      </c>
      <c r="F38" s="99" t="str">
        <f>IF(VLOOKUP($A38,'Loyd List 1-190 - Edit'!$C$1:$AQ$220,'Book Details - NO EDIT'!F$1,FALSE)="",B38,VLOOKUP($A38,'Loyd List 1-190 - Edit'!$C$1:$AQ$220,'Book Details - NO EDIT'!F$1,FALSE))</f>
        <v>Elinor</v>
      </c>
      <c r="G38" s="140">
        <f>IF(VLOOKUP($A38,'Loyd List 1-190 - Edit'!$C$1:$AQ$220,'Book Details - NO EDIT'!G$1,FALSE)="","",VALUE(VLOOKUP($A38,'Loyd List 1-190 - Edit'!$C$1:$AQ$220,'Book Details - NO EDIT'!G$1,FALSE)))</f>
        <v>1853</v>
      </c>
      <c r="H38" s="140">
        <f>IF(VLOOKUP($A38,'Loyd List 1-190 - Edit'!$C$1:$AQ$220,'Book Details - NO EDIT'!H$1,FALSE)="","",VALUE(VLOOKUP($A38,'Loyd List 1-190 - Edit'!$C$1:$AQ$220,'Book Details - NO EDIT'!H$1,FALSE)))</f>
        <v>1895</v>
      </c>
      <c r="I38" s="141" t="str">
        <f>IF(VLOOKUP($A38,'Loyd List 1-190 - Edit'!$C$1:$AQ$220,'Book Details - NO EDIT'!I$1,FALSE)="","",(VLOOKUP($A38,'Loyd List 1-190 - Edit'!$C$1:$AQ$220,'Book Details - NO EDIT'!I$1,FALSE)))</f>
        <v>18/01/1853</v>
      </c>
      <c r="J38" s="141" t="str">
        <f>IF(VLOOKUP($A38,'Loyd List 1-190 - Edit'!$C$1:$AQ$220,'Book Details - NO EDIT'!J$1,FALSE)="","",(VLOOKUP($A38,'Loyd List 1-190 - Edit'!$C$1:$AQ$220,'Book Details - NO EDIT'!J$1,FALSE)))</f>
        <v>25/12/1895</v>
      </c>
      <c r="K38" s="100" t="str">
        <f>VLOOKUP($A38,'Loyd List 1-190 - Edit'!$C$1:$AQ$220,'Book Details - NO EDIT'!K$1,FALSE)</f>
        <v>Girl</v>
      </c>
      <c r="L38" s="140">
        <f>VLOOKUP($A38,'Loyd List 1-190 - Edit'!$C$1:$AQ$220,'Book Details - NO EDIT'!L$1,FALSE)</f>
        <v>22</v>
      </c>
      <c r="M38" s="140">
        <f t="shared" si="3"/>
        <v>8</v>
      </c>
      <c r="N38" s="140">
        <f t="shared" si="3"/>
        <v>1</v>
      </c>
      <c r="O38" s="140">
        <f t="shared" si="3"/>
        <v>0</v>
      </c>
      <c r="P38" s="140" t="str">
        <f t="shared" si="3"/>
        <v/>
      </c>
      <c r="Q38" s="140" t="str">
        <f t="shared" si="4"/>
        <v/>
      </c>
      <c r="R38" s="140" t="str">
        <f t="shared" si="4"/>
        <v/>
      </c>
      <c r="S38" s="140" t="str">
        <f t="shared" si="5"/>
        <v/>
      </c>
      <c r="T38" s="140">
        <f t="shared" si="1"/>
        <v>3</v>
      </c>
      <c r="U38" s="139">
        <f t="shared" si="6"/>
        <v>36</v>
      </c>
      <c r="V38" s="31" t="str">
        <f t="shared" si="7"/>
        <v>Elinor (1853–1895)</v>
      </c>
      <c r="W38" s="31" t="str">
        <f t="shared" si="8"/>
        <v>Elinor (#36)</v>
      </c>
      <c r="X38" s="99" t="str">
        <f t="shared" si="9"/>
        <v>Elinor (1853–1895: #36)</v>
      </c>
      <c r="Y38" s="99" t="str">
        <f t="shared" si="27"/>
        <v>Elinor Sarah LOYD</v>
      </c>
      <c r="Z38" s="99" t="str">
        <f t="shared" si="10"/>
        <v>Edward (1820–1890: #22)</v>
      </c>
      <c r="AA38" s="99" t="str">
        <f t="shared" si="17"/>
        <v xml:space="preserve">Edward (1820–1890: #22) Edward (1780–1863: #8) William (1729–1800: #1)     </v>
      </c>
      <c r="AB38" s="142" t="str">
        <f>VLOOKUP(U38,'Siblings of those BORN Loyd'!$A$2:$G$230,7,FALSE)</f>
        <v xml:space="preserve">6 – Mary (1848–1934: #31)  Fa (1855–1927: #39) Frederic (1856–1936: #41) Meg (1859–1936: #43) Llewellyn (1861–1939: #45) Caroline (1864–1940: #47)  </v>
      </c>
      <c r="AC38" s="115" t="str">
        <f>IF(ISNA(IF(K38="Boy",VLOOKUP(A38,'Siblings of those BORN Loyd'!$AP$3:$AQ$70,2,FALSE),VLOOKUP(A38,'Children of Female Loyds'!$AR$5:$AT$60,3,FALSE))),AM38,IF(K38="Boy",VLOOKUP(A38,'Siblings of those BORN Loyd'!$AP$3:$AQ$70,2,FALSE),VLOOKUP(A38,'Children of Female Loyds'!$AR$5:$AT$60,3,FALSE)))</f>
        <v>8 - George COURTHOPE (1877 - 1955: #36a) Alexander COURTHOPE (1878 - 1892: #36b) John COURTHOPE (1882 - 1954: #36c) Barbara COURTHOPE (1883 - 1972: #36d) Elinor COURTHOPE (1886 - 1974: #36e) Richard COURTHOPE (1888 - 1889: #36f) Robert COURTHOPE (1891 - 1966: #36g) Margery COURTHOPE (1893 - 1901: #36h)</v>
      </c>
      <c r="AD38" s="97" t="str">
        <f t="shared" si="26"/>
        <v xml:space="preserve">4 - Beryl COURTHOPE (1900 -1974: #36aa) Daphne COURTHOPE (1902 -1980: #36ab) Elinor POWELL (1911 -1997: #36da) John POWELL (1913 -1944: #36db)               </v>
      </c>
      <c r="AE38" s="105" t="str">
        <f>IF(ISNA(IF(K38="Boy",VLOOKUP(A38,'Grandchildren of Male Loyds'!$AQ$3:$AS$51,3,FALSE),VLOOKUP(A38,'Grandchildren of Female Loyds'!$AX$5:$AZ$63,3,FALSE))),AM38,IF(K38="Boy",VLOOKUP(A38,'Grandchildren of Male Loyds'!$AQ$3:$AS$51,3,FALSE),VLOOKUP(A38,'Grandchildren of Female Loyds'!$AX$5:$AZ$63,3,FALSE)))</f>
        <v xml:space="preserve">Beryl COURTHOPE (1900 -1974: #36aa) Daphne COURTHOPE (1902 -1980: #36ab) Elinor POWELL (1911 -1997: #36da) John POWELL (1913 -1944: #36db)            </v>
      </c>
      <c r="AF38" s="105" t="str">
        <f>IF(ISNA(VLOOKUP(A38,'Grandchildren Loyd Daughters'!$BD$5:$BF$50,4,FALSE)),"",VLOOKUP(A38,'Grandchildren Loyd Daughters'!$BD$5:$BF$50,3,FALSE))</f>
        <v/>
      </c>
      <c r="AG38" s="129">
        <f>IF(ISNA(VLOOKUP(A38,'Grandchildren of Male Loyds'!$AQ$3:$AR$60,2,FALSE)),0,VLOOKUP(A38,'Grandchildren of Male Loyds'!$AQ$3:$AR$60,2,FALSE))+IF(ISNA(VLOOKUP(A38,'Grandchildren of Female Loyds'!$AX$5:$AY$50,2,FALSE)),0,VLOOKUP(A38,'Grandchildren of Female Loyds'!$AX$5:$AY$50,2,FALSE))+IF(ISNA(VLOOKUP(A38,'Grandchildren Loyd Daughters'!$BD$5:$BE$50,2,FALSE)),0,VLOOKUP(A38,'Grandchildren Loyd Daughters'!$BD$5:$BE$50,2,FALSE))</f>
        <v>4</v>
      </c>
      <c r="AH38" s="129" t="str">
        <f>VLOOKUP($U38,'Loyd List 1-190 - Edit'!$P$3:$AJ$220,21,FALSE)</f>
        <v>Caroline Louisa FOSTER (b. 6 Aug 1825, d. 8 Feb 1900)</v>
      </c>
      <c r="AI38" s="129" t="str">
        <f>VLOOKUP(A38,'Updated Bios &amp; Spouse Details'!$A$1:$J$200,7,FALSE)</f>
        <v>George John COURTHOPE (b. 3 Mar 1848, d. 8 Sep 1910)</v>
      </c>
      <c r="AJ38" s="130" t="str">
        <f>IF(VLOOKUP($A38,'Loyd List 1-190 - Edit'!$C$1:$AQ$220,'Book Details - NO EDIT'!AJ$1,FALSE)="","",(VLOOKUP($A38,'Loyd List 1-190 - Edit'!$C$1:$AQ$220,'Book Details - NO EDIT'!AJ$1,FALSE)))</f>
        <v>21/09/1876</v>
      </c>
      <c r="AK38" s="129" t="str">
        <f>VLOOKUP(A38,'Updated Bios &amp; Spouse Details'!$A$1:$J$200,8,FALSE)</f>
        <v>Married at Hawkhurst. George of Whiligh, Ticehurst, Sussex and of Sprivers, Horsmonden, Kent, son of George Campion COURTHOPE (b. 1811, d. 1895).</v>
      </c>
      <c r="AL38" s="131" t="str">
        <f>VLOOKUP(A38,'Updated Bios &amp; Spouse Details'!$A$1:$J$200,5,FALSE)</f>
        <v xml:space="preserve">Elinor was the 2nd daughter of Edward (1820–1890: #22). Born 18 Jan 1853 at Prestwich Lodge, Manchester, baptised 17 Feb 1853 at Prestwich Lodge (privately), christened 22 Apr 1853 at Prestwich Church. Following her marriage to George COURTHOPE, Elinor lived at the Whiligh estate [1] Sussex where she gave birth to 8 children. Elinor died Dec 1895 at Sprivers, (later a National Trust property) Horsmonden and buried at Horsmonden, Kent. Footnote: [1] Whiligh was the home of the Courthope family. Most of the extensive estate straddling Wadhurst and Ticehurst parishes was used for timber production. In a remarkable feat of continuity oaks from the estate were used, both to build the roof of the Hall of the Palace of Westminster in the 14th century and to rebuild it again after bombing raids during WWII. </v>
      </c>
      <c r="AM38" s="105" t="str">
        <f>IF(AND(LEN(H38)&gt;0,ISNA(IF(K38="Boy",VLOOKUP(A38,'Siblings of those BORN Loyd'!$AP$3:$AQ$70,2,FALSE),VLOOKUP(A38,'Children of Female Loyds'!$AR$5:$AS$60,2,FALSE)))),"d.s.p","")</f>
        <v/>
      </c>
      <c r="AN38" s="99" t="str">
        <f t="shared" si="28"/>
        <v>Edward (1820–1890: #22)</v>
      </c>
      <c r="AO38" s="99" t="str">
        <f t="shared" si="18"/>
        <v>Edward (1780–1863: #8)</v>
      </c>
      <c r="AP38" s="99" t="str">
        <f t="shared" si="19"/>
        <v>William (1729–1800: #1)</v>
      </c>
      <c r="AQ38" s="99" t="str">
        <f t="shared" si="20"/>
        <v/>
      </c>
      <c r="AR38" s="99" t="str">
        <f t="shared" si="21"/>
        <v/>
      </c>
      <c r="AS38" s="99" t="str">
        <f t="shared" si="22"/>
        <v/>
      </c>
      <c r="AT38" s="99" t="str">
        <f t="shared" si="23"/>
        <v/>
      </c>
      <c r="AU38" s="99" t="str">
        <f t="shared" si="24"/>
        <v/>
      </c>
      <c r="AW38" s="116" t="str">
        <f>VLOOKUP(A38,'Updated Bios &amp; Spouse Details'!$A$1:$J$193,6,FALSE)</f>
        <v>England</v>
      </c>
      <c r="AX38" s="131">
        <f>VLOOKUP($A38,'Loyd List 1-190 - Edit'!$P$2:$AQ$220,AX$1,FALSE)</f>
        <v>36</v>
      </c>
      <c r="AY38" s="116" t="str">
        <f>IF(ISNA(VLOOKUP(A38,'Data check lookup table'!$G$2:$V$73,13,FALSE))," - ",VLOOKUP(A38,'Data check lookup table'!$G$2:$V$73,13,FALSE))</f>
        <v xml:space="preserve"> - </v>
      </c>
      <c r="AZ38" s="147" t="str">
        <f t="shared" si="14"/>
        <v>25/12/1895</v>
      </c>
      <c r="BA38" s="99" t="str">
        <f t="shared" si="29"/>
        <v/>
      </c>
      <c r="BB38" s="99" t="str">
        <f t="shared" si="30"/>
        <v/>
      </c>
      <c r="BI38" s="147" t="s">
        <v>1073</v>
      </c>
    </row>
    <row r="39" spans="1:61" s="99" customFormat="1" ht="51">
      <c r="A39" s="139">
        <f>'Loyd List 1-190 - Edit'!C39</f>
        <v>37</v>
      </c>
      <c r="B39" s="99" t="str">
        <f>VLOOKUP($A39,'Loyd List 1-190 - Edit'!$C$1:$AQ$220,'Book Details - NO EDIT'!B$1,FALSE)</f>
        <v>Annie</v>
      </c>
      <c r="C39" s="99" t="str">
        <f>IF(VLOOKUP($A39,'Loyd List 1-190 - Edit'!$C$1:$AQ$220,'Book Details - NO EDIT'!C$1,FALSE)="","",VLOOKUP($A39,'Loyd List 1-190 - Edit'!$C$1:$AQ$220,'Book Details - NO EDIT'!C$1,FALSE))</f>
        <v/>
      </c>
      <c r="D39" s="99" t="str">
        <f>IF(VLOOKUP($A39,'Loyd List 1-190 - Edit'!$C$1:$AQ$220,'Book Details - NO EDIT'!D$1,FALSE)="","",VLOOKUP($A39,'Loyd List 1-190 - Edit'!$C$1:$AQ$220,'Book Details - NO EDIT'!D$1,FALSE))</f>
        <v/>
      </c>
      <c r="E39" s="99" t="str">
        <f>IF(VLOOKUP($A39,'Loyd List 1-190 - Edit'!$C$1:$AQ$220,'Book Details - NO EDIT'!E$1,FALSE)="","",VLOOKUP($A39,'Loyd List 1-190 - Edit'!$C$1:$AQ$220,'Book Details - NO EDIT'!E$1,FALSE))</f>
        <v>LOYD</v>
      </c>
      <c r="F39" s="99" t="str">
        <f>IF(VLOOKUP($A39,'Loyd List 1-190 - Edit'!$C$1:$AQ$220,'Book Details - NO EDIT'!F$1,FALSE)="",B39,VLOOKUP($A39,'Loyd List 1-190 - Edit'!$C$1:$AQ$220,'Book Details - NO EDIT'!F$1,FALSE))</f>
        <v>Annie</v>
      </c>
      <c r="G39" s="140">
        <f>IF(VLOOKUP($A39,'Loyd List 1-190 - Edit'!$C$1:$AQ$220,'Book Details - NO EDIT'!G$1,FALSE)="","",VALUE(VLOOKUP($A39,'Loyd List 1-190 - Edit'!$C$1:$AQ$220,'Book Details - NO EDIT'!G$1,FALSE)))</f>
        <v>1853</v>
      </c>
      <c r="H39" s="140">
        <f>IF(VLOOKUP($A39,'Loyd List 1-190 - Edit'!$C$1:$AQ$220,'Book Details - NO EDIT'!H$1,FALSE)="","",VALUE(VLOOKUP($A39,'Loyd List 1-190 - Edit'!$C$1:$AQ$220,'Book Details - NO EDIT'!H$1,FALSE)))</f>
        <v>1946</v>
      </c>
      <c r="I39" s="141" t="str">
        <f>IF(VLOOKUP($A39,'Loyd List 1-190 - Edit'!$C$1:$AQ$220,'Book Details - NO EDIT'!I$1,FALSE)="","",(VLOOKUP($A39,'Loyd List 1-190 - Edit'!$C$1:$AQ$220,'Book Details - NO EDIT'!I$1,FALSE)))</f>
        <v>01/07/1853</v>
      </c>
      <c r="J39" s="141" t="str">
        <f>IF(VLOOKUP($A39,'Loyd List 1-190 - Edit'!$C$1:$AQ$220,'Book Details - NO EDIT'!J$1,FALSE)="","",(VLOOKUP($A39,'Loyd List 1-190 - Edit'!$C$1:$AQ$220,'Book Details - NO EDIT'!J$1,FALSE)))</f>
        <v>17/09/1946</v>
      </c>
      <c r="K39" s="100" t="str">
        <f>VLOOKUP($A39,'Loyd List 1-190 - Edit'!$C$1:$AQ$220,'Book Details - NO EDIT'!K$1,FALSE)</f>
        <v>Girl</v>
      </c>
      <c r="L39" s="140">
        <f>VLOOKUP($A39,'Loyd List 1-190 - Edit'!$C$1:$AQ$220,'Book Details - NO EDIT'!L$1,FALSE)</f>
        <v>14</v>
      </c>
      <c r="M39" s="140">
        <f t="shared" si="3"/>
        <v>4</v>
      </c>
      <c r="N39" s="140">
        <f t="shared" si="3"/>
        <v>1</v>
      </c>
      <c r="O39" s="140">
        <f t="shared" si="3"/>
        <v>0</v>
      </c>
      <c r="P39" s="140" t="str">
        <f t="shared" si="3"/>
        <v/>
      </c>
      <c r="Q39" s="140" t="str">
        <f t="shared" si="4"/>
        <v/>
      </c>
      <c r="R39" s="140" t="str">
        <f t="shared" si="4"/>
        <v/>
      </c>
      <c r="S39" s="140" t="str">
        <f t="shared" si="5"/>
        <v/>
      </c>
      <c r="T39" s="140">
        <f t="shared" si="1"/>
        <v>3</v>
      </c>
      <c r="U39" s="139">
        <f t="shared" si="6"/>
        <v>37</v>
      </c>
      <c r="V39" s="31" t="str">
        <f t="shared" si="7"/>
        <v>Annie (1853–1946)</v>
      </c>
      <c r="W39" s="31" t="str">
        <f t="shared" si="8"/>
        <v>Annie (#37)</v>
      </c>
      <c r="X39" s="99" t="str">
        <f t="shared" si="9"/>
        <v>Annie (1853–1946: #37)</v>
      </c>
      <c r="Y39" s="99" t="str">
        <f t="shared" si="27"/>
        <v>Annie LOYD</v>
      </c>
      <c r="Z39" s="99" t="str">
        <f t="shared" si="10"/>
        <v>Thomas (1812–1857: #14)</v>
      </c>
      <c r="AA39" s="99" t="str">
        <f t="shared" si="17"/>
        <v xml:space="preserve">Thomas (1812–1857: #14) William (1770–1828: #4) William (1729–1800: #1)     </v>
      </c>
      <c r="AB39" s="142" t="str">
        <f>VLOOKUP(U39,'Siblings of those BORN Loyd'!$A$2:$G$230,7,FALSE)</f>
        <v xml:space="preserve">7 – William (1843–1843: #27) The Rev Lewis (1844–1905: #28) Arthur (1845–1930: #29) Archie (1847–1922: #30) Frank (1848–1934: #32) Alfred (1849–1881: #33) Ted (1851–1922: #34)  </v>
      </c>
      <c r="AC39" s="115" t="str">
        <f>IF(ISNA(IF(K39="Boy",VLOOKUP(A39,'Siblings of those BORN Loyd'!$AP$3:$AQ$70,2,FALSE),VLOOKUP(A39,'Children of Female Loyds'!$AR$5:$AT$60,3,FALSE))),AM39,IF(K39="Boy",VLOOKUP(A39,'Siblings of those BORN Loyd'!$AP$3:$AQ$70,2,FALSE),VLOOKUP(A39,'Children of Female Loyds'!$AR$5:$AT$60,3,FALSE)))</f>
        <v>d.s.p</v>
      </c>
      <c r="AD39" s="97" t="str">
        <f t="shared" si="26"/>
        <v>d.s.p.</v>
      </c>
      <c r="AE39" s="105" t="str">
        <f>IF(ISNA(IF(K39="Boy",VLOOKUP(A39,'Grandchildren of Male Loyds'!$AQ$3:$AS$51,3,FALSE),VLOOKUP(A39,'Grandchildren of Female Loyds'!$AX$5:$AZ$63,3,FALSE))),AM39,IF(K39="Boy",VLOOKUP(A39,'Grandchildren of Male Loyds'!$AQ$3:$AS$51,3,FALSE),VLOOKUP(A39,'Grandchildren of Female Loyds'!$AX$5:$AZ$63,3,FALSE)))</f>
        <v>d.s.p</v>
      </c>
      <c r="AF39" s="105" t="str">
        <f>IF(ISNA(VLOOKUP(A39,'Grandchildren Loyd Daughters'!$BD$5:$BF$50,4,FALSE)),"",VLOOKUP(A39,'Grandchildren Loyd Daughters'!$BD$5:$BF$50,3,FALSE))</f>
        <v/>
      </c>
      <c r="AG39" s="129">
        <f>IF(ISNA(VLOOKUP(A39,'Grandchildren of Male Loyds'!$AQ$3:$AR$60,2,FALSE)),0,VLOOKUP(A39,'Grandchildren of Male Loyds'!$AQ$3:$AR$60,2,FALSE))+IF(ISNA(VLOOKUP(A39,'Grandchildren of Female Loyds'!$AX$5:$AY$50,2,FALSE)),0,VLOOKUP(A39,'Grandchildren of Female Loyds'!$AX$5:$AY$50,2,FALSE))+IF(ISNA(VLOOKUP(A39,'Grandchildren Loyd Daughters'!$BD$5:$BE$50,2,FALSE)),0,VLOOKUP(A39,'Grandchildren Loyd Daughters'!$BD$5:$BE$50,2,FALSE))</f>
        <v>0</v>
      </c>
      <c r="AH39" s="129" t="str">
        <f>VLOOKUP($U39,'Loyd List 1-190 - Edit'!$P$3:$AJ$220,21,FALSE)</f>
        <v>Annie Hurst HAIG (b. 3 Oct 1816, d. 28 May 1885)</v>
      </c>
      <c r="AI39" s="129" t="str">
        <f>VLOOKUP(A39,'Updated Bios &amp; Spouse Details'!$A$1:$J$200,7,FALSE)</f>
        <v>Unmarried</v>
      </c>
      <c r="AJ39" s="130" t="str">
        <f>IF(VLOOKUP($A39,'Loyd List 1-190 - Edit'!$C$1:$AQ$220,'Book Details - NO EDIT'!AJ$1,FALSE)="","",(VLOOKUP($A39,'Loyd List 1-190 - Edit'!$C$1:$AQ$220,'Book Details - NO EDIT'!AJ$1,FALSE)))</f>
        <v xml:space="preserve"> - </v>
      </c>
      <c r="AK39" s="129" t="str">
        <f>VLOOKUP(A39,'Updated Bios &amp; Spouse Details'!$A$1:$J$200,8,FALSE)</f>
        <v xml:space="preserve"> - </v>
      </c>
      <c r="AL39" s="131" t="str">
        <f>VLOOKUP(A39,'Updated Bios &amp; Spouse Details'!$A$1:$J$200,5,FALSE)</f>
        <v>Annie was the only daughter of Thomas (1812–1857: #14). Born 1 Jul 1853 at Broadstairs, Kent. Although little has been recorded about her, family letters indicate that she nursed her mother assiduously in the weeks before her death in 1885 and it seems she was a kind and caring person - see biography for Alwyne (1920–2014: #94). She is reputed to have been the last surviving person to receive a pension from the Indian Mutiny. Died, unmarried, 17 Sep 1946 at Tunbridge Wells, Kent. DSP</v>
      </c>
      <c r="AM39" s="105" t="str">
        <f>IF(AND(LEN(H39)&gt;0,ISNA(IF(K39="Boy",VLOOKUP(A39,'Siblings of those BORN Loyd'!$AP$3:$AQ$70,2,FALSE),VLOOKUP(A39,'Children of Female Loyds'!$AR$5:$AS$60,2,FALSE)))),"d.s.p","")</f>
        <v>d.s.p</v>
      </c>
      <c r="AN39" s="99" t="str">
        <f t="shared" si="28"/>
        <v>Thomas (1812–1857: #14)</v>
      </c>
      <c r="AO39" s="99" t="str">
        <f t="shared" si="18"/>
        <v>William (1770–1828: #4)</v>
      </c>
      <c r="AP39" s="99" t="str">
        <f t="shared" si="19"/>
        <v>William (1729–1800: #1)</v>
      </c>
      <c r="AQ39" s="99" t="str">
        <f t="shared" si="20"/>
        <v/>
      </c>
      <c r="AR39" s="99" t="str">
        <f t="shared" si="21"/>
        <v/>
      </c>
      <c r="AS39" s="99" t="str">
        <f t="shared" si="22"/>
        <v/>
      </c>
      <c r="AT39" s="99" t="str">
        <f t="shared" si="23"/>
        <v/>
      </c>
      <c r="AU39" s="99" t="str">
        <f t="shared" si="24"/>
        <v/>
      </c>
      <c r="AW39" s="116" t="str">
        <f>VLOOKUP(A39,'Updated Bios &amp; Spouse Details'!$A$1:$J$193,6,FALSE)</f>
        <v>England</v>
      </c>
      <c r="AX39" s="131">
        <f>VLOOKUP($A39,'Loyd List 1-190 - Edit'!$P$2:$AQ$220,AX$1,FALSE)</f>
        <v>37</v>
      </c>
      <c r="AY39" s="116" t="str">
        <f>IF(ISNA(VLOOKUP(A39,'Data check lookup table'!$G$2:$V$73,13,FALSE))," - ",VLOOKUP(A39,'Data check lookup table'!$G$2:$V$73,13,FALSE))</f>
        <v xml:space="preserve"> - </v>
      </c>
      <c r="AZ39" s="147" t="str">
        <f t="shared" si="14"/>
        <v>17/09/1946</v>
      </c>
      <c r="BA39" s="99" t="str">
        <f t="shared" si="29"/>
        <v/>
      </c>
      <c r="BB39" s="99" t="str">
        <f t="shared" si="30"/>
        <v/>
      </c>
      <c r="BI39" s="147" t="s">
        <v>3171</v>
      </c>
    </row>
    <row r="40" spans="1:61" s="99" customFormat="1" ht="34">
      <c r="A40" s="139">
        <f>'Loyd List 1-190 - Edit'!C40</f>
        <v>38</v>
      </c>
      <c r="B40" s="99" t="str">
        <f>VLOOKUP($A40,'Loyd List 1-190 - Edit'!$C$1:$AQ$220,'Book Details - NO EDIT'!B$1,FALSE)</f>
        <v>Gertrude</v>
      </c>
      <c r="C40" s="99" t="str">
        <f>IF(VLOOKUP($A40,'Loyd List 1-190 - Edit'!$C$1:$AQ$220,'Book Details - NO EDIT'!C$1,FALSE)="","",VLOOKUP($A40,'Loyd List 1-190 - Edit'!$C$1:$AQ$220,'Book Details - NO EDIT'!C$1,FALSE))</f>
        <v>Sarah</v>
      </c>
      <c r="D40" s="99" t="str">
        <f>IF(VLOOKUP($A40,'Loyd List 1-190 - Edit'!$C$1:$AQ$220,'Book Details - NO EDIT'!D$1,FALSE)="","",VLOOKUP($A40,'Loyd List 1-190 - Edit'!$C$1:$AQ$220,'Book Details - NO EDIT'!D$1,FALSE))</f>
        <v/>
      </c>
      <c r="E40" s="99" t="str">
        <f>IF(VLOOKUP($A40,'Loyd List 1-190 - Edit'!$C$1:$AQ$220,'Book Details - NO EDIT'!E$1,FALSE)="","",VLOOKUP($A40,'Loyd List 1-190 - Edit'!$C$1:$AQ$220,'Book Details - NO EDIT'!E$1,FALSE))</f>
        <v>LOYD</v>
      </c>
      <c r="F40" s="99" t="str">
        <f>IF(VLOOKUP($A40,'Loyd List 1-190 - Edit'!$C$1:$AQ$220,'Book Details - NO EDIT'!F$1,FALSE)="",B40,VLOOKUP($A40,'Loyd List 1-190 - Edit'!$C$1:$AQ$220,'Book Details - NO EDIT'!F$1,FALSE))</f>
        <v>Gertrude</v>
      </c>
      <c r="G40" s="140">
        <f>IF(VLOOKUP($A40,'Loyd List 1-190 - Edit'!$C$1:$AQ$220,'Book Details - NO EDIT'!G$1,FALSE)="","",VALUE(VLOOKUP($A40,'Loyd List 1-190 - Edit'!$C$1:$AQ$220,'Book Details - NO EDIT'!G$1,FALSE)))</f>
        <v>1854</v>
      </c>
      <c r="H40" s="140">
        <f>IF(VLOOKUP($A40,'Loyd List 1-190 - Edit'!$C$1:$AQ$220,'Book Details - NO EDIT'!H$1,FALSE)="","",VALUE(VLOOKUP($A40,'Loyd List 1-190 - Edit'!$C$1:$AQ$220,'Book Details - NO EDIT'!H$1,FALSE)))</f>
        <v>1924</v>
      </c>
      <c r="I40" s="141" t="str">
        <f>IF(VLOOKUP($A40,'Loyd List 1-190 - Edit'!$C$1:$AQ$220,'Book Details - NO EDIT'!I$1,FALSE)="","",(VLOOKUP($A40,'Loyd List 1-190 - Edit'!$C$1:$AQ$220,'Book Details - NO EDIT'!I$1,FALSE)))</f>
        <v>24/09/1854</v>
      </c>
      <c r="J40" s="141" t="str">
        <f>IF(VLOOKUP($A40,'Loyd List 1-190 - Edit'!$C$1:$AQ$220,'Book Details - NO EDIT'!J$1,FALSE)="","",(VLOOKUP($A40,'Loyd List 1-190 - Edit'!$C$1:$AQ$220,'Book Details - NO EDIT'!J$1,FALSE)))</f>
        <v>30/06/1924</v>
      </c>
      <c r="K40" s="100" t="str">
        <f>VLOOKUP($A40,'Loyd List 1-190 - Edit'!$C$1:$AQ$220,'Book Details - NO EDIT'!K$1,FALSE)</f>
        <v>Girl</v>
      </c>
      <c r="L40" s="140">
        <f>VLOOKUP($A40,'Loyd List 1-190 - Edit'!$C$1:$AQ$220,'Book Details - NO EDIT'!L$1,FALSE)</f>
        <v>23</v>
      </c>
      <c r="M40" s="140">
        <f t="shared" si="3"/>
        <v>8</v>
      </c>
      <c r="N40" s="140">
        <f t="shared" si="3"/>
        <v>1</v>
      </c>
      <c r="O40" s="140">
        <f t="shared" si="3"/>
        <v>0</v>
      </c>
      <c r="P40" s="140" t="str">
        <f t="shared" si="3"/>
        <v/>
      </c>
      <c r="Q40" s="140" t="str">
        <f t="shared" si="4"/>
        <v/>
      </c>
      <c r="R40" s="140" t="str">
        <f t="shared" si="4"/>
        <v/>
      </c>
      <c r="S40" s="140" t="str">
        <f t="shared" si="5"/>
        <v/>
      </c>
      <c r="T40" s="140">
        <f t="shared" si="1"/>
        <v>3</v>
      </c>
      <c r="U40" s="139">
        <f t="shared" si="6"/>
        <v>38</v>
      </c>
      <c r="V40" s="31" t="str">
        <f t="shared" si="7"/>
        <v>Gertrude (1854–1924)</v>
      </c>
      <c r="W40" s="31" t="str">
        <f t="shared" si="8"/>
        <v>Gertrude (#38)</v>
      </c>
      <c r="X40" s="99" t="str">
        <f t="shared" si="9"/>
        <v>Gertrude (1854–1924: #38)</v>
      </c>
      <c r="Y40" s="99" t="str">
        <f t="shared" si="27"/>
        <v>Gertrude Sarah LOYD</v>
      </c>
      <c r="Z40" s="99" t="str">
        <f t="shared" si="10"/>
        <v>William (1821–1885: #23)</v>
      </c>
      <c r="AA40" s="99" t="str">
        <f t="shared" si="17"/>
        <v xml:space="preserve">William (1821–1885: #23) Edward (1780–1863: #8) William (1729–1800: #1)     </v>
      </c>
      <c r="AB40" s="142" t="str">
        <f>VLOOKUP(U40,'Siblings of those BORN Loyd'!$A$2:$G$230,7,FALSE)</f>
        <v>8 – Lewis (1852–1908: #35)  Harriet (1856–1921: #40) Dulcie (1858–1905: #42) Harry (1861–1938: #44) William (1863–1923: #46) Caroline (1865–1938: #48) Mary (1867–1867: #49) Arthur (1868–1911: #50)</v>
      </c>
      <c r="AC40" s="115" t="str">
        <f>IF(ISNA(IF(K40="Boy",VLOOKUP(A40,'Siblings of those BORN Loyd'!$AP$3:$AQ$70,2,FALSE),VLOOKUP(A40,'Children of Female Loyds'!$AR$5:$AT$60,3,FALSE))),AM40,IF(K40="Boy",VLOOKUP(A40,'Siblings of those BORN Loyd'!$AP$3:$AQ$70,2,FALSE),VLOOKUP(A40,'Children of Female Loyds'!$AR$5:$AT$60,3,FALSE)))</f>
        <v>d.s.p</v>
      </c>
      <c r="AD40" s="97" t="str">
        <f t="shared" si="26"/>
        <v>d.s.p.</v>
      </c>
      <c r="AE40" s="105" t="str">
        <f>IF(ISNA(IF(K40="Boy",VLOOKUP(A40,'Grandchildren of Male Loyds'!$AQ$3:$AS$51,3,FALSE),VLOOKUP(A40,'Grandchildren of Female Loyds'!$AX$5:$AZ$63,3,FALSE))),AM40,IF(K40="Boy",VLOOKUP(A40,'Grandchildren of Male Loyds'!$AQ$3:$AS$51,3,FALSE),VLOOKUP(A40,'Grandchildren of Female Loyds'!$AX$5:$AZ$63,3,FALSE)))</f>
        <v>d.s.p</v>
      </c>
      <c r="AF40" s="105" t="str">
        <f>IF(ISNA(VLOOKUP(A40,'Grandchildren Loyd Daughters'!$BD$5:$BF$50,4,FALSE)),"",VLOOKUP(A40,'Grandchildren Loyd Daughters'!$BD$5:$BF$50,3,FALSE))</f>
        <v/>
      </c>
      <c r="AG40" s="129">
        <f>IF(ISNA(VLOOKUP(A40,'Grandchildren of Male Loyds'!$AQ$3:$AR$60,2,FALSE)),0,VLOOKUP(A40,'Grandchildren of Male Loyds'!$AQ$3:$AR$60,2,FALSE))+IF(ISNA(VLOOKUP(A40,'Grandchildren of Female Loyds'!$AX$5:$AY$50,2,FALSE)),0,VLOOKUP(A40,'Grandchildren of Female Loyds'!$AX$5:$AY$50,2,FALSE))+IF(ISNA(VLOOKUP(A40,'Grandchildren Loyd Daughters'!$BD$5:$BE$50,2,FALSE)),0,VLOOKUP(A40,'Grandchildren Loyd Daughters'!$BD$5:$BE$50,2,FALSE))</f>
        <v>0</v>
      </c>
      <c r="AH40" s="129" t="str">
        <f>VLOOKUP($U40,'Loyd List 1-190 - Edit'!$P$3:$AJ$220,21,FALSE)</f>
        <v>Caroline Gertrude Walker VIVIAN (b. 1829, d. 28 Nov 1893)</v>
      </c>
      <c r="AI40" s="129" t="str">
        <f>VLOOKUP(A40,'Updated Bios &amp; Spouse Details'!$A$1:$J$200,7,FALSE)</f>
        <v>Unmarried</v>
      </c>
      <c r="AJ40" s="130" t="str">
        <f>IF(VLOOKUP($A40,'Loyd List 1-190 - Edit'!$C$1:$AQ$220,'Book Details - NO EDIT'!AJ$1,FALSE)="","",(VLOOKUP($A40,'Loyd List 1-190 - Edit'!$C$1:$AQ$220,'Book Details - NO EDIT'!AJ$1,FALSE)))</f>
        <v xml:space="preserve"> - </v>
      </c>
      <c r="AK40" s="129" t="str">
        <f>VLOOKUP(A40,'Updated Bios &amp; Spouse Details'!$A$1:$J$200,8,FALSE)</f>
        <v xml:space="preserve"> - </v>
      </c>
      <c r="AL40" s="131" t="str">
        <f>VLOOKUP(A40,'Updated Bios &amp; Spouse Details'!$A$1:$J$200,5,FALSE)</f>
        <v>Gertrude was the eldest daughter of William  (1821–1885: #23) of Langleybury, near Watford, Hertfordshire. Born 24 Sep 1854. Died, unmarried, 30 Jun 1924, buried at Kings Langley, Hertfordshire. DSP</v>
      </c>
      <c r="AM40" s="105" t="str">
        <f>IF(AND(LEN(H40)&gt;0,ISNA(IF(K40="Boy",VLOOKUP(A40,'Siblings of those BORN Loyd'!$AP$3:$AQ$70,2,FALSE),VLOOKUP(A40,'Children of Female Loyds'!$AR$5:$AS$60,2,FALSE)))),"d.s.p","")</f>
        <v>d.s.p</v>
      </c>
      <c r="AN40" s="99" t="str">
        <f t="shared" si="28"/>
        <v>William (1821–1885: #23)</v>
      </c>
      <c r="AO40" s="99" t="str">
        <f t="shared" si="18"/>
        <v>Edward (1780–1863: #8)</v>
      </c>
      <c r="AP40" s="99" t="str">
        <f t="shared" si="19"/>
        <v>William (1729–1800: #1)</v>
      </c>
      <c r="AQ40" s="99" t="str">
        <f t="shared" si="20"/>
        <v/>
      </c>
      <c r="AR40" s="99" t="str">
        <f t="shared" si="21"/>
        <v/>
      </c>
      <c r="AS40" s="99" t="str">
        <f t="shared" si="22"/>
        <v/>
      </c>
      <c r="AT40" s="99" t="str">
        <f t="shared" si="23"/>
        <v/>
      </c>
      <c r="AU40" s="99" t="str">
        <f t="shared" si="24"/>
        <v/>
      </c>
      <c r="AW40" s="116" t="str">
        <f>VLOOKUP(A40,'Updated Bios &amp; Spouse Details'!$A$1:$J$193,6,FALSE)</f>
        <v>England</v>
      </c>
      <c r="AX40" s="131">
        <f>VLOOKUP($A40,'Loyd List 1-190 - Edit'!$P$2:$AQ$220,AX$1,FALSE)</f>
        <v>38</v>
      </c>
      <c r="AY40" s="116" t="str">
        <f>IF(ISNA(VLOOKUP(A40,'Data check lookup table'!$G$2:$V$73,13,FALSE))," - ",VLOOKUP(A40,'Data check lookup table'!$G$2:$V$73,13,FALSE))</f>
        <v xml:space="preserve"> - </v>
      </c>
      <c r="AZ40" s="147" t="str">
        <f t="shared" si="14"/>
        <v>30/06/1924</v>
      </c>
      <c r="BA40" s="99" t="str">
        <f t="shared" si="29"/>
        <v/>
      </c>
      <c r="BB40" s="99" t="str">
        <f t="shared" si="30"/>
        <v/>
      </c>
      <c r="BI40" s="147" t="s">
        <v>3172</v>
      </c>
    </row>
    <row r="41" spans="1:61" s="99" customFormat="1" ht="34">
      <c r="A41" s="139">
        <f>'Loyd List 1-190 - Edit'!C41</f>
        <v>39</v>
      </c>
      <c r="B41" s="99" t="str">
        <f>VLOOKUP($A41,'Loyd List 1-190 - Edit'!$C$1:$AQ$220,'Book Details - NO EDIT'!B$1,FALSE)</f>
        <v>Frances</v>
      </c>
      <c r="C41" s="99" t="str">
        <f>IF(VLOOKUP($A41,'Loyd List 1-190 - Edit'!$C$1:$AQ$220,'Book Details - NO EDIT'!C$1,FALSE)="","",VLOOKUP($A41,'Loyd List 1-190 - Edit'!$C$1:$AQ$220,'Book Details - NO EDIT'!C$1,FALSE))</f>
        <v>Helen</v>
      </c>
      <c r="D41" s="99" t="str">
        <f>IF(VLOOKUP($A41,'Loyd List 1-190 - Edit'!$C$1:$AQ$220,'Book Details - NO EDIT'!D$1,FALSE)="","",VLOOKUP($A41,'Loyd List 1-190 - Edit'!$C$1:$AQ$220,'Book Details - NO EDIT'!D$1,FALSE))</f>
        <v/>
      </c>
      <c r="E41" s="99" t="str">
        <f>IF(VLOOKUP($A41,'Loyd List 1-190 - Edit'!$C$1:$AQ$220,'Book Details - NO EDIT'!E$1,FALSE)="","",VLOOKUP($A41,'Loyd List 1-190 - Edit'!$C$1:$AQ$220,'Book Details - NO EDIT'!E$1,FALSE))</f>
        <v>LOYD</v>
      </c>
      <c r="F41" s="99" t="str">
        <f>IF(VLOOKUP($A41,'Loyd List 1-190 - Edit'!$C$1:$AQ$220,'Book Details - NO EDIT'!F$1,FALSE)="",B41,VLOOKUP($A41,'Loyd List 1-190 - Edit'!$C$1:$AQ$220,'Book Details - NO EDIT'!F$1,FALSE))</f>
        <v>Fa</v>
      </c>
      <c r="G41" s="140">
        <f>IF(VLOOKUP($A41,'Loyd List 1-190 - Edit'!$C$1:$AQ$220,'Book Details - NO EDIT'!G$1,FALSE)="","",VALUE(VLOOKUP($A41,'Loyd List 1-190 - Edit'!$C$1:$AQ$220,'Book Details - NO EDIT'!G$1,FALSE)))</f>
        <v>1855</v>
      </c>
      <c r="H41" s="140">
        <f>IF(VLOOKUP($A41,'Loyd List 1-190 - Edit'!$C$1:$AQ$220,'Book Details - NO EDIT'!H$1,FALSE)="","",VALUE(VLOOKUP($A41,'Loyd List 1-190 - Edit'!$C$1:$AQ$220,'Book Details - NO EDIT'!H$1,FALSE)))</f>
        <v>1927</v>
      </c>
      <c r="I41" s="141" t="str">
        <f>IF(VLOOKUP($A41,'Loyd List 1-190 - Edit'!$C$1:$AQ$220,'Book Details - NO EDIT'!I$1,FALSE)="","",(VLOOKUP($A41,'Loyd List 1-190 - Edit'!$C$1:$AQ$220,'Book Details - NO EDIT'!I$1,FALSE)))</f>
        <v>08/02/1855</v>
      </c>
      <c r="J41" s="141" t="str">
        <f>IF(VLOOKUP($A41,'Loyd List 1-190 - Edit'!$C$1:$AQ$220,'Book Details - NO EDIT'!J$1,FALSE)="","",(VLOOKUP($A41,'Loyd List 1-190 - Edit'!$C$1:$AQ$220,'Book Details - NO EDIT'!J$1,FALSE)))</f>
        <v>10/05/1927</v>
      </c>
      <c r="K41" s="100" t="str">
        <f>VLOOKUP($A41,'Loyd List 1-190 - Edit'!$C$1:$AQ$220,'Book Details - NO EDIT'!K$1,FALSE)</f>
        <v>Girl</v>
      </c>
      <c r="L41" s="140">
        <f>VLOOKUP($A41,'Loyd List 1-190 - Edit'!$C$1:$AQ$220,'Book Details - NO EDIT'!L$1,FALSE)</f>
        <v>22</v>
      </c>
      <c r="M41" s="140">
        <f t="shared" si="3"/>
        <v>8</v>
      </c>
      <c r="N41" s="140">
        <f t="shared" si="3"/>
        <v>1</v>
      </c>
      <c r="O41" s="140">
        <f t="shared" si="3"/>
        <v>0</v>
      </c>
      <c r="P41" s="140" t="str">
        <f t="shared" si="3"/>
        <v/>
      </c>
      <c r="Q41" s="140" t="str">
        <f t="shared" si="4"/>
        <v/>
      </c>
      <c r="R41" s="140" t="str">
        <f t="shared" si="4"/>
        <v/>
      </c>
      <c r="S41" s="140" t="str">
        <f t="shared" si="5"/>
        <v/>
      </c>
      <c r="T41" s="140">
        <f t="shared" si="1"/>
        <v>3</v>
      </c>
      <c r="U41" s="139">
        <f t="shared" si="6"/>
        <v>39</v>
      </c>
      <c r="V41" s="31" t="str">
        <f t="shared" si="7"/>
        <v>Fa (1855–1927)</v>
      </c>
      <c r="W41" s="31" t="str">
        <f t="shared" si="8"/>
        <v>Fa (#39)</v>
      </c>
      <c r="X41" s="99" t="str">
        <f t="shared" si="9"/>
        <v>Fa (1855–1927: #39)</v>
      </c>
      <c r="Y41" s="99" t="str">
        <f t="shared" si="27"/>
        <v>Frances Helen LOYD</v>
      </c>
      <c r="Z41" s="99" t="str">
        <f t="shared" si="10"/>
        <v>Edward (1820–1890: #22)</v>
      </c>
      <c r="AA41" s="99" t="str">
        <f t="shared" si="17"/>
        <v xml:space="preserve">Edward (1820–1890: #22) Edward (1780–1863: #8) William (1729–1800: #1)     </v>
      </c>
      <c r="AB41" s="142" t="str">
        <f>VLOOKUP(U41,'Siblings of those BORN Loyd'!$A$2:$G$230,7,FALSE)</f>
        <v xml:space="preserve">6 – Mary (1848–1934: #31) Elinor (1853–1895: #36)  Frederic (1856–1936: #41) Meg (1859–1936: #43) Llewellyn (1861–1939: #45) Caroline (1864–1940: #47)  </v>
      </c>
      <c r="AC41" s="115" t="str">
        <f>IF(ISNA(IF(K41="Boy",VLOOKUP(A41,'Siblings of those BORN Loyd'!$AP$3:$AQ$70,2,FALSE),VLOOKUP(A41,'Children of Female Loyds'!$AR$5:$AT$60,3,FALSE))),AM41,IF(K41="Boy",VLOOKUP(A41,'Siblings of those BORN Loyd'!$AP$3:$AQ$70,2,FALSE),VLOOKUP(A41,'Children of Female Loyds'!$AR$5:$AT$60,3,FALSE)))</f>
        <v>d.s.p</v>
      </c>
      <c r="AD41" s="97" t="str">
        <f t="shared" si="26"/>
        <v>d.s.p.</v>
      </c>
      <c r="AE41" s="105" t="str">
        <f>IF(ISNA(IF(K41="Boy",VLOOKUP(A41,'Grandchildren of Male Loyds'!$AQ$3:$AS$51,3,FALSE),VLOOKUP(A41,'Grandchildren of Female Loyds'!$AX$5:$AZ$63,3,FALSE))),AM41,IF(K41="Boy",VLOOKUP(A41,'Grandchildren of Male Loyds'!$AQ$3:$AS$51,3,FALSE),VLOOKUP(A41,'Grandchildren of Female Loyds'!$AX$5:$AZ$63,3,FALSE)))</f>
        <v>d.s.p</v>
      </c>
      <c r="AF41" s="105" t="str">
        <f>IF(ISNA(VLOOKUP(A41,'Grandchildren Loyd Daughters'!$BD$5:$BF$50,4,FALSE)),"",VLOOKUP(A41,'Grandchildren Loyd Daughters'!$BD$5:$BF$50,3,FALSE))</f>
        <v/>
      </c>
      <c r="AG41" s="129">
        <f>IF(ISNA(VLOOKUP(A41,'Grandchildren of Male Loyds'!$AQ$3:$AR$60,2,FALSE)),0,VLOOKUP(A41,'Grandchildren of Male Loyds'!$AQ$3:$AR$60,2,FALSE))+IF(ISNA(VLOOKUP(A41,'Grandchildren of Female Loyds'!$AX$5:$AY$50,2,FALSE)),0,VLOOKUP(A41,'Grandchildren of Female Loyds'!$AX$5:$AY$50,2,FALSE))+IF(ISNA(VLOOKUP(A41,'Grandchildren Loyd Daughters'!$BD$5:$BE$50,2,FALSE)),0,VLOOKUP(A41,'Grandchildren Loyd Daughters'!$BD$5:$BE$50,2,FALSE))</f>
        <v>0</v>
      </c>
      <c r="AH41" s="129" t="str">
        <f>VLOOKUP($U41,'Loyd List 1-190 - Edit'!$P$3:$AJ$220,21,FALSE)</f>
        <v>Caroline Louisa FOSTER (b. 6 Aug 1825, d. 8 Feb 1900)</v>
      </c>
      <c r="AI41" s="129" t="str">
        <f>VLOOKUP(A41,'Updated Bios &amp; Spouse Details'!$A$1:$J$200,7,FALSE)</f>
        <v>Unmarried</v>
      </c>
      <c r="AJ41" s="130" t="str">
        <f>IF(VLOOKUP($A41,'Loyd List 1-190 - Edit'!$C$1:$AQ$220,'Book Details - NO EDIT'!AJ$1,FALSE)="","",(VLOOKUP($A41,'Loyd List 1-190 - Edit'!$C$1:$AQ$220,'Book Details - NO EDIT'!AJ$1,FALSE)))</f>
        <v xml:space="preserve"> - </v>
      </c>
      <c r="AK41" s="129" t="str">
        <f>VLOOKUP(A41,'Updated Bios &amp; Spouse Details'!$A$1:$J$200,8,FALSE)</f>
        <v xml:space="preserve"> - </v>
      </c>
      <c r="AL41" s="131" t="str">
        <f>VLOOKUP(A41,'Updated Bios &amp; Spouse Details'!$A$1:$J$200,5,FALSE)</f>
        <v>Fa was the 3rd daughter of Edward (1820–1890: #22). Born 8 Feb 1855 at Prestwich Lodge, Manchester, baptised 3 Apr 1855 at Hawkhurst, Kent. Died, unmarried, 10 May 1927; buried on 14 May 1927 at Northwood Cemetery, Cowes, Isle of Wight (grave no. 6359). DSP</v>
      </c>
      <c r="AM41" s="105" t="str">
        <f>IF(AND(LEN(H41)&gt;0,ISNA(IF(K41="Boy",VLOOKUP(A41,'Siblings of those BORN Loyd'!$AP$3:$AQ$70,2,FALSE),VLOOKUP(A41,'Children of Female Loyds'!$AR$5:$AS$60,2,FALSE)))),"d.s.p","")</f>
        <v>d.s.p</v>
      </c>
      <c r="AN41" s="99" t="str">
        <f t="shared" si="28"/>
        <v>Edward (1820–1890: #22)</v>
      </c>
      <c r="AO41" s="99" t="str">
        <f t="shared" si="18"/>
        <v>Edward (1780–1863: #8)</v>
      </c>
      <c r="AP41" s="99" t="str">
        <f t="shared" si="19"/>
        <v>William (1729–1800: #1)</v>
      </c>
      <c r="AQ41" s="99" t="str">
        <f t="shared" si="20"/>
        <v/>
      </c>
      <c r="AR41" s="99" t="str">
        <f t="shared" si="21"/>
        <v/>
      </c>
      <c r="AS41" s="99" t="str">
        <f t="shared" si="22"/>
        <v/>
      </c>
      <c r="AT41" s="99" t="str">
        <f t="shared" si="23"/>
        <v/>
      </c>
      <c r="AU41" s="99" t="str">
        <f t="shared" si="24"/>
        <v/>
      </c>
      <c r="AW41" s="116" t="str">
        <f>VLOOKUP(A41,'Updated Bios &amp; Spouse Details'!$A$1:$J$193,6,FALSE)</f>
        <v>England</v>
      </c>
      <c r="AX41" s="131">
        <f>VLOOKUP($A41,'Loyd List 1-190 - Edit'!$P$2:$AQ$220,AX$1,FALSE)</f>
        <v>39</v>
      </c>
      <c r="AY41" s="116" t="str">
        <f>IF(ISNA(VLOOKUP(A41,'Data check lookup table'!$G$2:$V$73,13,FALSE))," - ",VLOOKUP(A41,'Data check lookup table'!$G$2:$V$73,13,FALSE))</f>
        <v xml:space="preserve"> - </v>
      </c>
      <c r="AZ41" s="147" t="str">
        <f t="shared" si="14"/>
        <v>10/05/1927</v>
      </c>
      <c r="BA41" s="99" t="str">
        <f t="shared" si="29"/>
        <v/>
      </c>
      <c r="BB41" s="99" t="str">
        <f t="shared" si="30"/>
        <v/>
      </c>
      <c r="BI41" s="147" t="s">
        <v>3173</v>
      </c>
    </row>
    <row r="42" spans="1:61" s="99" customFormat="1" ht="34">
      <c r="A42" s="139">
        <f>'Loyd List 1-190 - Edit'!C42</f>
        <v>40</v>
      </c>
      <c r="B42" s="99" t="str">
        <f>VLOOKUP($A42,'Loyd List 1-190 - Edit'!$C$1:$AQ$220,'Book Details - NO EDIT'!B$1,FALSE)</f>
        <v>Harriet</v>
      </c>
      <c r="C42" s="99" t="str">
        <f>IF(VLOOKUP($A42,'Loyd List 1-190 - Edit'!$C$1:$AQ$220,'Book Details - NO EDIT'!C$1,FALSE)="","",VLOOKUP($A42,'Loyd List 1-190 - Edit'!$C$1:$AQ$220,'Book Details - NO EDIT'!C$1,FALSE))</f>
        <v>Edith</v>
      </c>
      <c r="D42" s="99" t="str">
        <f>IF(VLOOKUP($A42,'Loyd List 1-190 - Edit'!$C$1:$AQ$220,'Book Details - NO EDIT'!D$1,FALSE)="","",VLOOKUP($A42,'Loyd List 1-190 - Edit'!$C$1:$AQ$220,'Book Details - NO EDIT'!D$1,FALSE))</f>
        <v/>
      </c>
      <c r="E42" s="99" t="str">
        <f>IF(VLOOKUP($A42,'Loyd List 1-190 - Edit'!$C$1:$AQ$220,'Book Details - NO EDIT'!E$1,FALSE)="","",VLOOKUP($A42,'Loyd List 1-190 - Edit'!$C$1:$AQ$220,'Book Details - NO EDIT'!E$1,FALSE))</f>
        <v>LOYD</v>
      </c>
      <c r="F42" s="99" t="str">
        <f>IF(VLOOKUP($A42,'Loyd List 1-190 - Edit'!$C$1:$AQ$220,'Book Details - NO EDIT'!F$1,FALSE)="",B42,VLOOKUP($A42,'Loyd List 1-190 - Edit'!$C$1:$AQ$220,'Book Details - NO EDIT'!F$1,FALSE))</f>
        <v>Harriet</v>
      </c>
      <c r="G42" s="140">
        <f>IF(VLOOKUP($A42,'Loyd List 1-190 - Edit'!$C$1:$AQ$220,'Book Details - NO EDIT'!G$1,FALSE)="","",VALUE(VLOOKUP($A42,'Loyd List 1-190 - Edit'!$C$1:$AQ$220,'Book Details - NO EDIT'!G$1,FALSE)))</f>
        <v>1856</v>
      </c>
      <c r="H42" s="140">
        <f>IF(VLOOKUP($A42,'Loyd List 1-190 - Edit'!$C$1:$AQ$220,'Book Details - NO EDIT'!H$1,FALSE)="","",VALUE(VLOOKUP($A42,'Loyd List 1-190 - Edit'!$C$1:$AQ$220,'Book Details - NO EDIT'!H$1,FALSE)))</f>
        <v>1921</v>
      </c>
      <c r="I42" s="141" t="str">
        <f>IF(VLOOKUP($A42,'Loyd List 1-190 - Edit'!$C$1:$AQ$220,'Book Details - NO EDIT'!I$1,FALSE)="","",(VLOOKUP($A42,'Loyd List 1-190 - Edit'!$C$1:$AQ$220,'Book Details - NO EDIT'!I$1,FALSE)))</f>
        <v>17/01/1856</v>
      </c>
      <c r="J42" s="141" t="str">
        <f>IF(VLOOKUP($A42,'Loyd List 1-190 - Edit'!$C$1:$AQ$220,'Book Details - NO EDIT'!J$1,FALSE)="","",(VLOOKUP($A42,'Loyd List 1-190 - Edit'!$C$1:$AQ$220,'Book Details - NO EDIT'!J$1,FALSE)))</f>
        <v>29/08/1921</v>
      </c>
      <c r="K42" s="100" t="str">
        <f>VLOOKUP($A42,'Loyd List 1-190 - Edit'!$C$1:$AQ$220,'Book Details - NO EDIT'!K$1,FALSE)</f>
        <v>Girl</v>
      </c>
      <c r="L42" s="140">
        <f>VLOOKUP($A42,'Loyd List 1-190 - Edit'!$C$1:$AQ$220,'Book Details - NO EDIT'!L$1,FALSE)</f>
        <v>23</v>
      </c>
      <c r="M42" s="140">
        <f t="shared" si="3"/>
        <v>8</v>
      </c>
      <c r="N42" s="140">
        <f t="shared" si="3"/>
        <v>1</v>
      </c>
      <c r="O42" s="140">
        <f t="shared" si="3"/>
        <v>0</v>
      </c>
      <c r="P42" s="140" t="str">
        <f t="shared" si="3"/>
        <v/>
      </c>
      <c r="Q42" s="140" t="str">
        <f t="shared" si="4"/>
        <v/>
      </c>
      <c r="R42" s="140" t="str">
        <f t="shared" si="4"/>
        <v/>
      </c>
      <c r="S42" s="140" t="str">
        <f t="shared" si="5"/>
        <v/>
      </c>
      <c r="T42" s="140">
        <f t="shared" si="1"/>
        <v>3</v>
      </c>
      <c r="U42" s="139">
        <f t="shared" si="6"/>
        <v>40</v>
      </c>
      <c r="V42" s="31" t="str">
        <f t="shared" si="7"/>
        <v>Harriet (1856–1921)</v>
      </c>
      <c r="W42" s="31" t="str">
        <f t="shared" si="8"/>
        <v>Harriet (#40)</v>
      </c>
      <c r="X42" s="99" t="str">
        <f t="shared" si="9"/>
        <v>Harriet (1856–1921: #40)</v>
      </c>
      <c r="Y42" s="99" t="str">
        <f t="shared" si="27"/>
        <v>Harriet Edith LOYD</v>
      </c>
      <c r="Z42" s="99" t="str">
        <f t="shared" si="10"/>
        <v>William (1821–1885: #23)</v>
      </c>
      <c r="AA42" s="99" t="str">
        <f t="shared" si="17"/>
        <v xml:space="preserve">William (1821–1885: #23) Edward (1780–1863: #8) William (1729–1800: #1)     </v>
      </c>
      <c r="AB42" s="142" t="str">
        <f>VLOOKUP(U42,'Siblings of those BORN Loyd'!$A$2:$G$230,7,FALSE)</f>
        <v>8 – Lewis (1852–1908: #35) Gertrude (1854–1924: #38)  Dulcie (1858–1905: #42) Harry (1861–1938: #44) William (1863–1923: #46) Caroline (1865–1938: #48) Mary (1867–1867: #49) Arthur (1868–1911: #50)</v>
      </c>
      <c r="AC42" s="115" t="str">
        <f>IF(ISNA(IF(K42="Boy",VLOOKUP(A42,'Siblings of those BORN Loyd'!$AP$3:$AQ$70,2,FALSE),VLOOKUP(A42,'Children of Female Loyds'!$AR$5:$AT$60,3,FALSE))),AM42,IF(K42="Boy",VLOOKUP(A42,'Siblings of those BORN Loyd'!$AP$3:$AQ$70,2,FALSE),VLOOKUP(A42,'Children of Female Loyds'!$AR$5:$AT$60,3,FALSE)))</f>
        <v>d.s.p</v>
      </c>
      <c r="AD42" s="97" t="str">
        <f t="shared" si="26"/>
        <v>d.s.p.</v>
      </c>
      <c r="AE42" s="105" t="str">
        <f>IF(ISNA(IF(K42="Boy",VLOOKUP(A42,'Grandchildren of Male Loyds'!$AQ$3:$AS$51,3,FALSE),VLOOKUP(A42,'Grandchildren of Female Loyds'!$AX$5:$AZ$63,3,FALSE))),AM42,IF(K42="Boy",VLOOKUP(A42,'Grandchildren of Male Loyds'!$AQ$3:$AS$51,3,FALSE),VLOOKUP(A42,'Grandchildren of Female Loyds'!$AX$5:$AZ$63,3,FALSE)))</f>
        <v>d.s.p</v>
      </c>
      <c r="AF42" s="105" t="str">
        <f>IF(ISNA(VLOOKUP(A42,'Grandchildren Loyd Daughters'!$BD$5:$BF$50,4,FALSE)),"",VLOOKUP(A42,'Grandchildren Loyd Daughters'!$BD$5:$BF$50,3,FALSE))</f>
        <v/>
      </c>
      <c r="AG42" s="129">
        <f>IF(ISNA(VLOOKUP(A42,'Grandchildren of Male Loyds'!$AQ$3:$AR$60,2,FALSE)),0,VLOOKUP(A42,'Grandchildren of Male Loyds'!$AQ$3:$AR$60,2,FALSE))+IF(ISNA(VLOOKUP(A42,'Grandchildren of Female Loyds'!$AX$5:$AY$50,2,FALSE)),0,VLOOKUP(A42,'Grandchildren of Female Loyds'!$AX$5:$AY$50,2,FALSE))+IF(ISNA(VLOOKUP(A42,'Grandchildren Loyd Daughters'!$BD$5:$BE$50,2,FALSE)),0,VLOOKUP(A42,'Grandchildren Loyd Daughters'!$BD$5:$BE$50,2,FALSE))</f>
        <v>0</v>
      </c>
      <c r="AH42" s="129" t="str">
        <f>VLOOKUP($U42,'Loyd List 1-190 - Edit'!$P$3:$AJ$220,21,FALSE)</f>
        <v>Caroline Gertrude Walker VIVIAN (b. 1829, d. 28 Nov 1893)</v>
      </c>
      <c r="AI42" s="129" t="str">
        <f>VLOOKUP(A42,'Updated Bios &amp; Spouse Details'!$A$1:$J$200,7,FALSE)</f>
        <v>Unmarried</v>
      </c>
      <c r="AJ42" s="130" t="str">
        <f>IF(VLOOKUP($A42,'Loyd List 1-190 - Edit'!$C$1:$AQ$220,'Book Details - NO EDIT'!AJ$1,FALSE)="","",(VLOOKUP($A42,'Loyd List 1-190 - Edit'!$C$1:$AQ$220,'Book Details - NO EDIT'!AJ$1,FALSE)))</f>
        <v xml:space="preserve"> - </v>
      </c>
      <c r="AK42" s="129" t="str">
        <f>VLOOKUP(A42,'Updated Bios &amp; Spouse Details'!$A$1:$J$200,8,FALSE)</f>
        <v xml:space="preserve"> - </v>
      </c>
      <c r="AL42" s="131" t="str">
        <f>VLOOKUP(A42,'Updated Bios &amp; Spouse Details'!$A$1:$J$200,5,FALSE)</f>
        <v>Harriet was the 2nd daughter of William (1821–1885: #23) of Langleybury, near Watford, Hertfordshire. Born 17 Jan 1856. Died, unmarried, 29 Aug 1921, buried at Kings Langley, Hertfordshire. DSP</v>
      </c>
      <c r="AM42" s="105" t="str">
        <f>IF(AND(LEN(H42)&gt;0,ISNA(IF(K42="Boy",VLOOKUP(A42,'Siblings of those BORN Loyd'!$AP$3:$AQ$70,2,FALSE),VLOOKUP(A42,'Children of Female Loyds'!$AR$5:$AS$60,2,FALSE)))),"d.s.p","")</f>
        <v>d.s.p</v>
      </c>
      <c r="AN42" s="99" t="str">
        <f t="shared" si="28"/>
        <v>William (1821–1885: #23)</v>
      </c>
      <c r="AO42" s="99" t="str">
        <f t="shared" si="18"/>
        <v>Edward (1780–1863: #8)</v>
      </c>
      <c r="AP42" s="99" t="str">
        <f t="shared" si="19"/>
        <v>William (1729–1800: #1)</v>
      </c>
      <c r="AQ42" s="99" t="str">
        <f t="shared" si="20"/>
        <v/>
      </c>
      <c r="AR42" s="99" t="str">
        <f t="shared" si="21"/>
        <v/>
      </c>
      <c r="AS42" s="99" t="str">
        <f t="shared" si="22"/>
        <v/>
      </c>
      <c r="AT42" s="99" t="str">
        <f t="shared" si="23"/>
        <v/>
      </c>
      <c r="AU42" s="99" t="str">
        <f t="shared" si="24"/>
        <v/>
      </c>
      <c r="AW42" s="116" t="str">
        <f>VLOOKUP(A42,'Updated Bios &amp; Spouse Details'!$A$1:$J$193,6,FALSE)</f>
        <v>England</v>
      </c>
      <c r="AX42" s="131">
        <f>VLOOKUP($A42,'Loyd List 1-190 - Edit'!$P$2:$AQ$220,AX$1,FALSE)</f>
        <v>40</v>
      </c>
      <c r="AY42" s="116" t="str">
        <f>IF(ISNA(VLOOKUP(A42,'Data check lookup table'!$G$2:$V$73,13,FALSE))," - ",VLOOKUP(A42,'Data check lookup table'!$G$2:$V$73,13,FALSE))</f>
        <v xml:space="preserve"> - </v>
      </c>
      <c r="AZ42" s="147" t="str">
        <f t="shared" si="14"/>
        <v>29/08/1921</v>
      </c>
      <c r="BA42" s="99" t="str">
        <f t="shared" si="29"/>
        <v/>
      </c>
      <c r="BB42" s="99" t="str">
        <f t="shared" si="30"/>
        <v/>
      </c>
      <c r="BI42" s="147" t="s">
        <v>3174</v>
      </c>
    </row>
    <row r="43" spans="1:61" s="99" customFormat="1" ht="85">
      <c r="A43" s="139">
        <f>'Loyd List 1-190 - Edit'!C43</f>
        <v>41</v>
      </c>
      <c r="B43" s="99" t="str">
        <f>VLOOKUP($A43,'Loyd List 1-190 - Edit'!$C$1:$AQ$220,'Book Details - NO EDIT'!B$1,FALSE)</f>
        <v>Frederic</v>
      </c>
      <c r="C43" s="99" t="str">
        <f>IF(VLOOKUP($A43,'Loyd List 1-190 - Edit'!$C$1:$AQ$220,'Book Details - NO EDIT'!C$1,FALSE)="","",VLOOKUP($A43,'Loyd List 1-190 - Edit'!$C$1:$AQ$220,'Book Details - NO EDIT'!C$1,FALSE))</f>
        <v>Edward</v>
      </c>
      <c r="D43" s="99" t="str">
        <f>IF(VLOOKUP($A43,'Loyd List 1-190 - Edit'!$C$1:$AQ$220,'Book Details - NO EDIT'!D$1,FALSE)="","",VLOOKUP($A43,'Loyd List 1-190 - Edit'!$C$1:$AQ$220,'Book Details - NO EDIT'!D$1,FALSE))</f>
        <v/>
      </c>
      <c r="E43" s="99" t="str">
        <f>IF(VLOOKUP($A43,'Loyd List 1-190 - Edit'!$C$1:$AQ$220,'Book Details - NO EDIT'!E$1,FALSE)="","",VLOOKUP($A43,'Loyd List 1-190 - Edit'!$C$1:$AQ$220,'Book Details - NO EDIT'!E$1,FALSE))</f>
        <v>LOYD</v>
      </c>
      <c r="F43" s="99" t="str">
        <f>IF(VLOOKUP($A43,'Loyd List 1-190 - Edit'!$C$1:$AQ$220,'Book Details - NO EDIT'!F$1,FALSE)="",B43,VLOOKUP($A43,'Loyd List 1-190 - Edit'!$C$1:$AQ$220,'Book Details - NO EDIT'!F$1,FALSE))</f>
        <v>Frederic</v>
      </c>
      <c r="G43" s="140">
        <f>IF(VLOOKUP($A43,'Loyd List 1-190 - Edit'!$C$1:$AQ$220,'Book Details - NO EDIT'!G$1,FALSE)="","",VALUE(VLOOKUP($A43,'Loyd List 1-190 - Edit'!$C$1:$AQ$220,'Book Details - NO EDIT'!G$1,FALSE)))</f>
        <v>1856</v>
      </c>
      <c r="H43" s="140">
        <f>IF(VLOOKUP($A43,'Loyd List 1-190 - Edit'!$C$1:$AQ$220,'Book Details - NO EDIT'!H$1,FALSE)="","",VALUE(VLOOKUP($A43,'Loyd List 1-190 - Edit'!$C$1:$AQ$220,'Book Details - NO EDIT'!H$1,FALSE)))</f>
        <v>1936</v>
      </c>
      <c r="I43" s="141" t="str">
        <f>IF(VLOOKUP($A43,'Loyd List 1-190 - Edit'!$C$1:$AQ$220,'Book Details - NO EDIT'!I$1,FALSE)="","",(VLOOKUP($A43,'Loyd List 1-190 - Edit'!$C$1:$AQ$220,'Book Details - NO EDIT'!I$1,FALSE)))</f>
        <v>26/04/1856</v>
      </c>
      <c r="J43" s="141" t="str">
        <f>IF(VLOOKUP($A43,'Loyd List 1-190 - Edit'!$C$1:$AQ$220,'Book Details - NO EDIT'!J$1,FALSE)="","",(VLOOKUP($A43,'Loyd List 1-190 - Edit'!$C$1:$AQ$220,'Book Details - NO EDIT'!J$1,FALSE)))</f>
        <v>25/06/1936</v>
      </c>
      <c r="K43" s="100" t="str">
        <f>VLOOKUP($A43,'Loyd List 1-190 - Edit'!$C$1:$AQ$220,'Book Details - NO EDIT'!K$1,FALSE)</f>
        <v>Boy</v>
      </c>
      <c r="L43" s="140">
        <f>VLOOKUP($A43,'Loyd List 1-190 - Edit'!$C$1:$AQ$220,'Book Details - NO EDIT'!L$1,FALSE)</f>
        <v>22</v>
      </c>
      <c r="M43" s="140">
        <f t="shared" si="3"/>
        <v>8</v>
      </c>
      <c r="N43" s="140">
        <f t="shared" si="3"/>
        <v>1</v>
      </c>
      <c r="O43" s="140">
        <f t="shared" si="3"/>
        <v>0</v>
      </c>
      <c r="P43" s="140" t="str">
        <f t="shared" si="3"/>
        <v/>
      </c>
      <c r="Q43" s="140" t="str">
        <f t="shared" si="4"/>
        <v/>
      </c>
      <c r="R43" s="140" t="str">
        <f t="shared" si="4"/>
        <v/>
      </c>
      <c r="S43" s="140" t="str">
        <f t="shared" si="5"/>
        <v/>
      </c>
      <c r="T43" s="140">
        <f t="shared" si="1"/>
        <v>3</v>
      </c>
      <c r="U43" s="139">
        <f t="shared" si="6"/>
        <v>41</v>
      </c>
      <c r="V43" s="31" t="str">
        <f t="shared" si="7"/>
        <v>Frederic (1856–1936)</v>
      </c>
      <c r="W43" s="31" t="str">
        <f t="shared" si="8"/>
        <v>Frederic (#41)</v>
      </c>
      <c r="X43" s="99" t="str">
        <f t="shared" si="9"/>
        <v>Frederic (1856–1936: #41)</v>
      </c>
      <c r="Y43" s="99" t="str">
        <f t="shared" si="27"/>
        <v>Frederic Edward LOYD</v>
      </c>
      <c r="Z43" s="99" t="str">
        <f t="shared" si="10"/>
        <v>Edward (1820–1890: #22)</v>
      </c>
      <c r="AA43" s="99" t="str">
        <f t="shared" si="17"/>
        <v xml:space="preserve">Edward (1820–1890: #22) Edward (1780–1863: #8) William (1729–1800: #1)     </v>
      </c>
      <c r="AB43" s="142" t="str">
        <f>VLOOKUP(U43,'Siblings of those BORN Loyd'!$A$2:$G$230,7,FALSE)</f>
        <v xml:space="preserve">6 – Mary (1848–1934: #31) Elinor (1853–1895: #36) Fa (1855–1927: #39)  Meg (1859–1936: #43) Llewellyn (1861–1939: #45) Caroline (1864–1940: #47)  </v>
      </c>
      <c r="AC43" s="115" t="str">
        <f>IF(ISNA(IF(K43="Boy",VLOOKUP(A43,'Siblings of those BORN Loyd'!$AP$3:$AQ$70,2,FALSE),VLOOKUP(A43,'Children of Female Loyds'!$AR$5:$AT$60,3,FALSE))),AM43,IF(K43="Boy",VLOOKUP(A43,'Siblings of those BORN Loyd'!$AP$3:$AQ$70,2,FALSE),VLOOKUP(A43,'Children of Female Loyds'!$AR$5:$AT$60,3,FALSE)))</f>
        <v>5 - Lewis (1880–1918: #52); Edward (1881–1962: #53); Evelyn (1885–1962: #59); Mary (1887–1968: #63); Cecily (1891–1891: #74)</v>
      </c>
      <c r="AD43" s="97" t="str">
        <f t="shared" si="26"/>
        <v xml:space="preserve">5 - Averil (1917–1993: #90); Audrey (1922–2005: #97)   Loyd MOORE (1926 - 2019:  #63a) Isabel MOORE (1929 - 2020:  #63b) Veronica MOORE (1930 - 1934:  #63c)            </v>
      </c>
      <c r="AE43" s="105" t="str">
        <f>IF(ISNA(IF(K43="Boy",VLOOKUP(A43,'Grandchildren of Male Loyds'!$AQ$3:$AS$51,3,FALSE),VLOOKUP(A43,'Grandchildren of Female Loyds'!$AX$5:$AZ$63,3,FALSE))),AM43,IF(K43="Boy",VLOOKUP(A43,'Grandchildren of Male Loyds'!$AQ$3:$AS$51,3,FALSE),VLOOKUP(A43,'Grandchildren of Female Loyds'!$AX$5:$AZ$63,3,FALSE)))</f>
        <v>Averil (1917–1993: #90); Audrey (1922–2005: #97)</v>
      </c>
      <c r="AF43" s="105" t="str">
        <f>IF(ISNA(VLOOKUP(A43,'Grandchildren Loyd Daughters'!$BD$5:$BF$50,4,FALSE)),"",VLOOKUP(A43,'Grandchildren Loyd Daughters'!$BD$5:$BF$50,3,FALSE))</f>
        <v xml:space="preserve">Loyd MOORE (1926 - 2019:  #63a) Isabel MOORE (1929 - 2020:  #63b) Veronica MOORE (1930 - 1934:  #63c)            </v>
      </c>
      <c r="AG43" s="129">
        <f>IF(ISNA(VLOOKUP(A43,'Grandchildren of Male Loyds'!$AQ$3:$AR$60,2,FALSE)),0,VLOOKUP(A43,'Grandchildren of Male Loyds'!$AQ$3:$AR$60,2,FALSE))+IF(ISNA(VLOOKUP(A43,'Grandchildren of Female Loyds'!$AX$5:$AY$50,2,FALSE)),0,VLOOKUP(A43,'Grandchildren of Female Loyds'!$AX$5:$AY$50,2,FALSE))+IF(ISNA(VLOOKUP(A43,'Grandchildren Loyd Daughters'!$BD$5:$BE$50,2,FALSE)),0,VLOOKUP(A43,'Grandchildren Loyd Daughters'!$BD$5:$BE$50,2,FALSE))</f>
        <v>5</v>
      </c>
      <c r="AH43" s="129" t="str">
        <f>VLOOKUP($U43,'Loyd List 1-190 - Edit'!$P$3:$AJ$220,21,FALSE)</f>
        <v>Caroline Louisa FOSTER (b. 6 Aug 1825, d. 8 Feb 1900)</v>
      </c>
      <c r="AI43" s="129" t="str">
        <f>VLOOKUP(A43,'Updated Bios &amp; Spouse Details'!$A$1:$J$200,7,FALSE)</f>
        <v>Isabella (Isabel) CURREY (b. 26 Apr 1855, d. 16 Jan 1926)</v>
      </c>
      <c r="AJ43" s="130" t="str">
        <f>IF(VLOOKUP($A43,'Loyd List 1-190 - Edit'!$C$1:$AQ$220,'Book Details - NO EDIT'!AJ$1,FALSE)="","",(VLOOKUP($A43,'Loyd List 1-190 - Edit'!$C$1:$AQ$220,'Book Details - NO EDIT'!AJ$1,FALSE)))</f>
        <v>17/04/1879</v>
      </c>
      <c r="AK43" s="129" t="str">
        <f>VLOOKUP(A43,'Updated Bios &amp; Spouse Details'!$A$1:$J$200,8,FALSE)</f>
        <v>Married at St. James’s, Piccadilly, London. Isabel youngest daughter of Frederick CURREY FLS, FRS, Barrister-at-Law. Isabel died at Shaw Hill House and is buried at Shaw.</v>
      </c>
      <c r="AL43" s="131" t="str">
        <f>VLOOKUP(A43,'Updated Bios &amp; Spouse Details'!$A$1:$J$200,5,FALSE)</f>
        <v>Frederic lived at Monk’s Orchard [1] West Wickham, Kent until 1924; then at Albyns, Romford, Essex and then of Shaw Hill House, Melksham, Wiltshire. He was the elder son of Edward (1820–1890: #22). Born 26 Apr 1856 at Prestwich Lodge, Manchester, baptised 2 Jul 1856 at Prestwich Church. Educated Eton 1870-73 and Trinity College, Cambridge. Barrister-at-Law, Inner Temple 1889. JP Surrey, Hertfordshire 1892 and Essex 1902. Died 25 Jun 1936 at Shaw Hill House, buried at Shaw, Wiltshire. Issue: 2 sons, 3 daughters. Footnote: [1] Under the provision of his father's will, Frederick's younger brother Llewellyn (#45) would only inherit Lillesden estate if Frederic inherited Monks Orchard, Beckenham estate from his uncle Lewis (#13) who also left £600,000, half of which went to Frederic and the other to his nephew, Edward (#44).</v>
      </c>
      <c r="AM43" s="105" t="str">
        <f>IF(AND(LEN(H43)&gt;0,ISNA(IF(K43="Boy",VLOOKUP(A43,'Siblings of those BORN Loyd'!$AP$3:$AQ$70,2,FALSE),VLOOKUP(A43,'Children of Female Loyds'!$AR$5:$AS$60,2,FALSE)))),"d.s.p","")</f>
        <v/>
      </c>
      <c r="AN43" s="99" t="str">
        <f t="shared" si="28"/>
        <v>Edward (1820–1890: #22)</v>
      </c>
      <c r="AO43" s="99" t="str">
        <f t="shared" si="18"/>
        <v>Edward (1780–1863: #8)</v>
      </c>
      <c r="AP43" s="99" t="str">
        <f t="shared" si="19"/>
        <v>William (1729–1800: #1)</v>
      </c>
      <c r="AQ43" s="99" t="str">
        <f t="shared" si="20"/>
        <v/>
      </c>
      <c r="AR43" s="99" t="str">
        <f t="shared" si="21"/>
        <v/>
      </c>
      <c r="AS43" s="99" t="str">
        <f t="shared" si="22"/>
        <v/>
      </c>
      <c r="AT43" s="99" t="str">
        <f t="shared" si="23"/>
        <v/>
      </c>
      <c r="AU43" s="99" t="str">
        <f t="shared" si="24"/>
        <v/>
      </c>
      <c r="AW43" s="116" t="str">
        <f>VLOOKUP(A43,'Updated Bios &amp; Spouse Details'!$A$1:$J$193,6,FALSE)</f>
        <v>England</v>
      </c>
      <c r="AX43" s="131">
        <f>VLOOKUP($A43,'Loyd List 1-190 - Edit'!$P$2:$AQ$220,AX$1,FALSE)</f>
        <v>41</v>
      </c>
      <c r="AY43" s="116" t="str">
        <f>IF(ISNA(VLOOKUP(A43,'Data check lookup table'!$G$2:$V$73,13,FALSE))," - ",VLOOKUP(A43,'Data check lookup table'!$G$2:$V$73,13,FALSE))</f>
        <v xml:space="preserve"> - </v>
      </c>
      <c r="AZ43" s="147" t="str">
        <f t="shared" si="14"/>
        <v>25/06/1936</v>
      </c>
      <c r="BA43" s="99" t="str">
        <f t="shared" si="29"/>
        <v/>
      </c>
      <c r="BB43" s="99" t="str">
        <f t="shared" si="30"/>
        <v/>
      </c>
      <c r="BI43" s="147" t="s">
        <v>3175</v>
      </c>
    </row>
    <row r="44" spans="1:61" s="99" customFormat="1" ht="51">
      <c r="A44" s="139">
        <f>'Loyd List 1-190 - Edit'!C44</f>
        <v>42</v>
      </c>
      <c r="B44" s="99" t="str">
        <f>VLOOKUP($A44,'Loyd List 1-190 - Edit'!$C$1:$AQ$220,'Book Details - NO EDIT'!B$1,FALSE)</f>
        <v>Dulcie</v>
      </c>
      <c r="C44" s="99" t="str">
        <f>IF(VLOOKUP($A44,'Loyd List 1-190 - Edit'!$C$1:$AQ$220,'Book Details - NO EDIT'!C$1,FALSE)="","",VLOOKUP($A44,'Loyd List 1-190 - Edit'!$C$1:$AQ$220,'Book Details - NO EDIT'!C$1,FALSE))</f>
        <v>Gwendoline</v>
      </c>
      <c r="D44" s="99" t="str">
        <f>IF(VLOOKUP($A44,'Loyd List 1-190 - Edit'!$C$1:$AQ$220,'Book Details - NO EDIT'!D$1,FALSE)="","",VLOOKUP($A44,'Loyd List 1-190 - Edit'!$C$1:$AQ$220,'Book Details - NO EDIT'!D$1,FALSE))</f>
        <v/>
      </c>
      <c r="E44" s="99" t="str">
        <f>IF(VLOOKUP($A44,'Loyd List 1-190 - Edit'!$C$1:$AQ$220,'Book Details - NO EDIT'!E$1,FALSE)="","",VLOOKUP($A44,'Loyd List 1-190 - Edit'!$C$1:$AQ$220,'Book Details - NO EDIT'!E$1,FALSE))</f>
        <v>LOYD</v>
      </c>
      <c r="F44" s="99" t="str">
        <f>IF(VLOOKUP($A44,'Loyd List 1-190 - Edit'!$C$1:$AQ$220,'Book Details - NO EDIT'!F$1,FALSE)="",B44,VLOOKUP($A44,'Loyd List 1-190 - Edit'!$C$1:$AQ$220,'Book Details - NO EDIT'!F$1,FALSE))</f>
        <v>Dulcie</v>
      </c>
      <c r="G44" s="140">
        <f>IF(VLOOKUP($A44,'Loyd List 1-190 - Edit'!$C$1:$AQ$220,'Book Details - NO EDIT'!G$1,FALSE)="","",VALUE(VLOOKUP($A44,'Loyd List 1-190 - Edit'!$C$1:$AQ$220,'Book Details - NO EDIT'!G$1,FALSE)))</f>
        <v>1858</v>
      </c>
      <c r="H44" s="140">
        <f>IF(VLOOKUP($A44,'Loyd List 1-190 - Edit'!$C$1:$AQ$220,'Book Details - NO EDIT'!H$1,FALSE)="","",VALUE(VLOOKUP($A44,'Loyd List 1-190 - Edit'!$C$1:$AQ$220,'Book Details - NO EDIT'!H$1,FALSE)))</f>
        <v>1905</v>
      </c>
      <c r="I44" s="141" t="str">
        <f>IF(VLOOKUP($A44,'Loyd List 1-190 - Edit'!$C$1:$AQ$220,'Book Details - NO EDIT'!I$1,FALSE)="","",(VLOOKUP($A44,'Loyd List 1-190 - Edit'!$C$1:$AQ$220,'Book Details - NO EDIT'!I$1,FALSE)))</f>
        <v>06/10/1858</v>
      </c>
      <c r="J44" s="141" t="str">
        <f>IF(VLOOKUP($A44,'Loyd List 1-190 - Edit'!$C$1:$AQ$220,'Book Details - NO EDIT'!J$1,FALSE)="","",(VLOOKUP($A44,'Loyd List 1-190 - Edit'!$C$1:$AQ$220,'Book Details - NO EDIT'!J$1,FALSE)))</f>
        <v>08/07/1905</v>
      </c>
      <c r="K44" s="100" t="str">
        <f>VLOOKUP($A44,'Loyd List 1-190 - Edit'!$C$1:$AQ$220,'Book Details - NO EDIT'!K$1,FALSE)</f>
        <v>Girl</v>
      </c>
      <c r="L44" s="140">
        <f>VLOOKUP($A44,'Loyd List 1-190 - Edit'!$C$1:$AQ$220,'Book Details - NO EDIT'!L$1,FALSE)</f>
        <v>23</v>
      </c>
      <c r="M44" s="140">
        <f t="shared" si="3"/>
        <v>8</v>
      </c>
      <c r="N44" s="140">
        <f t="shared" si="3"/>
        <v>1</v>
      </c>
      <c r="O44" s="140">
        <f t="shared" si="3"/>
        <v>0</v>
      </c>
      <c r="P44" s="140" t="str">
        <f t="shared" si="3"/>
        <v/>
      </c>
      <c r="Q44" s="140" t="str">
        <f t="shared" si="4"/>
        <v/>
      </c>
      <c r="R44" s="140" t="str">
        <f t="shared" si="4"/>
        <v/>
      </c>
      <c r="S44" s="140" t="str">
        <f t="shared" si="5"/>
        <v/>
      </c>
      <c r="T44" s="140">
        <f t="shared" si="1"/>
        <v>3</v>
      </c>
      <c r="U44" s="139">
        <f t="shared" si="6"/>
        <v>42</v>
      </c>
      <c r="V44" s="31" t="str">
        <f t="shared" si="7"/>
        <v>Dulcie (1858–1905)</v>
      </c>
      <c r="W44" s="31" t="str">
        <f t="shared" si="8"/>
        <v>Dulcie (#42)</v>
      </c>
      <c r="X44" s="99" t="str">
        <f t="shared" si="9"/>
        <v>Dulcie (1858–1905: #42)</v>
      </c>
      <c r="Y44" s="99" t="str">
        <f t="shared" si="27"/>
        <v>Dulcie Gwendoline LOYD</v>
      </c>
      <c r="Z44" s="99" t="str">
        <f t="shared" si="10"/>
        <v>William (1821–1885: #23)</v>
      </c>
      <c r="AA44" s="99" t="str">
        <f t="shared" si="17"/>
        <v xml:space="preserve">William (1821–1885: #23) Edward (1780–1863: #8) William (1729–1800: #1)     </v>
      </c>
      <c r="AB44" s="142" t="str">
        <f>VLOOKUP(U44,'Siblings of those BORN Loyd'!$A$2:$G$230,7,FALSE)</f>
        <v>8 – Lewis (1852–1908: #35) Gertrude (1854–1924: #38) Harriet (1856–1921: #40)  Harry (1861–1938: #44) William (1863–1923: #46) Caroline (1865–1938: #48) Mary (1867–1867: #49) Arthur (1868–1911: #50)</v>
      </c>
      <c r="AC44" s="115" t="str">
        <f>IF(ISNA(IF(K44="Boy",VLOOKUP(A44,'Siblings of those BORN Loyd'!$AP$3:$AQ$70,2,FALSE),VLOOKUP(A44,'Children of Female Loyds'!$AR$5:$AT$60,3,FALSE))),AM44,IF(K44="Boy",VLOOKUP(A44,'Siblings of those BORN Loyd'!$AP$3:$AQ$70,2,FALSE),VLOOKUP(A44,'Children of Female Loyds'!$AR$5:$AT$60,3,FALSE)))</f>
        <v xml:space="preserve">1 - Ambrose GODDARD (1892 - : #42a)       </v>
      </c>
      <c r="AD44" s="97" t="str">
        <f t="shared" si="26"/>
        <v>-</v>
      </c>
      <c r="AE44" s="105" t="str">
        <f>IF(ISNA(IF(K44="Boy",VLOOKUP(A44,'Grandchildren of Male Loyds'!$AQ$3:$AS$51,3,FALSE),VLOOKUP(A44,'Grandchildren of Female Loyds'!$AX$5:$AZ$63,3,FALSE))),AM44,IF(K44="Boy",VLOOKUP(A44,'Grandchildren of Male Loyds'!$AQ$3:$AS$51,3,FALSE),VLOOKUP(A44,'Grandchildren of Female Loyds'!$AX$5:$AZ$63,3,FALSE)))</f>
        <v/>
      </c>
      <c r="AF44" s="105" t="str">
        <f>IF(ISNA(VLOOKUP(A44,'Grandchildren Loyd Daughters'!$BD$5:$BF$50,4,FALSE)),"",VLOOKUP(A44,'Grandchildren Loyd Daughters'!$BD$5:$BF$50,3,FALSE))</f>
        <v/>
      </c>
      <c r="AG44" s="129">
        <f>IF(ISNA(VLOOKUP(A44,'Grandchildren of Male Loyds'!$AQ$3:$AR$60,2,FALSE)),0,VLOOKUP(A44,'Grandchildren of Male Loyds'!$AQ$3:$AR$60,2,FALSE))+IF(ISNA(VLOOKUP(A44,'Grandchildren of Female Loyds'!$AX$5:$AY$50,2,FALSE)),0,VLOOKUP(A44,'Grandchildren of Female Loyds'!$AX$5:$AY$50,2,FALSE))+IF(ISNA(VLOOKUP(A44,'Grandchildren Loyd Daughters'!$BD$5:$BE$50,2,FALSE)),0,VLOOKUP(A44,'Grandchildren Loyd Daughters'!$BD$5:$BE$50,2,FALSE))</f>
        <v>0</v>
      </c>
      <c r="AH44" s="129" t="str">
        <f>VLOOKUP($U44,'Loyd List 1-190 - Edit'!$P$3:$AJ$220,21,FALSE)</f>
        <v>Caroline Gertrude Walker VIVIAN (b. 1829, d. 28 Nov 1893)</v>
      </c>
      <c r="AI44" s="129" t="str">
        <f>VLOOKUP(A44,'Updated Bios &amp; Spouse Details'!$A$1:$J$200,7,FALSE)</f>
        <v>Edward Hesketh GODDARD (b. 19 Oct 1855, d. Oct/Dec 1920)</v>
      </c>
      <c r="AJ44" s="130" t="str">
        <f>IF(VLOOKUP($A44,'Loyd List 1-190 - Edit'!$C$1:$AQ$220,'Book Details - NO EDIT'!AJ$1,FALSE)="","",(VLOOKUP($A44,'Loyd List 1-190 - Edit'!$C$1:$AQ$220,'Book Details - NO EDIT'!AJ$1,FALSE)))</f>
        <v>13/04/1891</v>
      </c>
      <c r="AK44" s="129" t="str">
        <f>VLOOKUP(A44,'Updated Bios &amp; Spouse Details'!$A$1:$J$200,8,FALSE)</f>
        <v>Edward Captain, Dorset Regiment and 3rd son of Ambrose GODDARD of The Lawn, Swindon, Wiltshire.</v>
      </c>
      <c r="AL44" s="131" t="str">
        <f>VLOOKUP(A44,'Updated Bios &amp; Spouse Details'!$A$1:$J$200,5,FALSE)</f>
        <v>Dulcie was the 3rd daughter of William (1821–1885: #23). Born 6 Oct 1858.  Died 8 Jul 1905.</v>
      </c>
      <c r="AM44" s="105" t="str">
        <f>IF(AND(LEN(H44)&gt;0,ISNA(IF(K44="Boy",VLOOKUP(A44,'Siblings of those BORN Loyd'!$AP$3:$AQ$70,2,FALSE),VLOOKUP(A44,'Children of Female Loyds'!$AR$5:$AS$60,2,FALSE)))),"d.s.p","")</f>
        <v/>
      </c>
      <c r="AN44" s="99" t="str">
        <f t="shared" si="28"/>
        <v>William (1821–1885: #23)</v>
      </c>
      <c r="AO44" s="99" t="str">
        <f t="shared" si="18"/>
        <v>Edward (1780–1863: #8)</v>
      </c>
      <c r="AP44" s="99" t="str">
        <f t="shared" si="19"/>
        <v>William (1729–1800: #1)</v>
      </c>
      <c r="AQ44" s="99" t="str">
        <f t="shared" si="20"/>
        <v/>
      </c>
      <c r="AR44" s="99" t="str">
        <f t="shared" si="21"/>
        <v/>
      </c>
      <c r="AS44" s="99" t="str">
        <f t="shared" si="22"/>
        <v/>
      </c>
      <c r="AT44" s="99" t="str">
        <f t="shared" si="23"/>
        <v/>
      </c>
      <c r="AU44" s="99" t="str">
        <f t="shared" si="24"/>
        <v/>
      </c>
      <c r="AW44" s="116" t="str">
        <f>VLOOKUP(A44,'Updated Bios &amp; Spouse Details'!$A$1:$J$193,6,FALSE)</f>
        <v>England</v>
      </c>
      <c r="AX44" s="131">
        <f>VLOOKUP($A44,'Loyd List 1-190 - Edit'!$P$2:$AQ$220,AX$1,FALSE)</f>
        <v>42</v>
      </c>
      <c r="AY44" s="116" t="str">
        <f>IF(ISNA(VLOOKUP(A44,'Data check lookup table'!$G$2:$V$73,13,FALSE))," - ",VLOOKUP(A44,'Data check lookup table'!$G$2:$V$73,13,FALSE))</f>
        <v xml:space="preserve"> - </v>
      </c>
      <c r="AZ44" s="147" t="str">
        <f t="shared" si="14"/>
        <v>08/07/1905</v>
      </c>
      <c r="BA44" s="99" t="str">
        <f t="shared" si="29"/>
        <v/>
      </c>
      <c r="BB44" s="99" t="str">
        <f t="shared" si="30"/>
        <v/>
      </c>
      <c r="BI44" s="147" t="s">
        <v>3176</v>
      </c>
    </row>
    <row r="45" spans="1:61" s="99" customFormat="1" ht="51">
      <c r="A45" s="139">
        <f>'Loyd List 1-190 - Edit'!C45</f>
        <v>43</v>
      </c>
      <c r="B45" s="99" t="str">
        <f>VLOOKUP($A45,'Loyd List 1-190 - Edit'!$C$1:$AQ$220,'Book Details - NO EDIT'!B$1,FALSE)</f>
        <v>Margaret</v>
      </c>
      <c r="C45" s="99" t="str">
        <f>IF(VLOOKUP($A45,'Loyd List 1-190 - Edit'!$C$1:$AQ$220,'Book Details - NO EDIT'!C$1,FALSE)="","",VLOOKUP($A45,'Loyd List 1-190 - Edit'!$C$1:$AQ$220,'Book Details - NO EDIT'!C$1,FALSE))</f>
        <v>Foster</v>
      </c>
      <c r="D45" s="99" t="str">
        <f>IF(VLOOKUP($A45,'Loyd List 1-190 - Edit'!$C$1:$AQ$220,'Book Details - NO EDIT'!D$1,FALSE)="","",VLOOKUP($A45,'Loyd List 1-190 - Edit'!$C$1:$AQ$220,'Book Details - NO EDIT'!D$1,FALSE))</f>
        <v/>
      </c>
      <c r="E45" s="99" t="str">
        <f>IF(VLOOKUP($A45,'Loyd List 1-190 - Edit'!$C$1:$AQ$220,'Book Details - NO EDIT'!E$1,FALSE)="","",VLOOKUP($A45,'Loyd List 1-190 - Edit'!$C$1:$AQ$220,'Book Details - NO EDIT'!E$1,FALSE))</f>
        <v>LOYD</v>
      </c>
      <c r="F45" s="99" t="str">
        <f>IF(VLOOKUP($A45,'Loyd List 1-190 - Edit'!$C$1:$AQ$220,'Book Details - NO EDIT'!F$1,FALSE)="",B45,VLOOKUP($A45,'Loyd List 1-190 - Edit'!$C$1:$AQ$220,'Book Details - NO EDIT'!F$1,FALSE))</f>
        <v>Meg</v>
      </c>
      <c r="G45" s="140">
        <f>IF(VLOOKUP($A45,'Loyd List 1-190 - Edit'!$C$1:$AQ$220,'Book Details - NO EDIT'!G$1,FALSE)="","",VALUE(VLOOKUP($A45,'Loyd List 1-190 - Edit'!$C$1:$AQ$220,'Book Details - NO EDIT'!G$1,FALSE)))</f>
        <v>1859</v>
      </c>
      <c r="H45" s="140">
        <f>IF(VLOOKUP($A45,'Loyd List 1-190 - Edit'!$C$1:$AQ$220,'Book Details - NO EDIT'!H$1,FALSE)="","",VALUE(VLOOKUP($A45,'Loyd List 1-190 - Edit'!$C$1:$AQ$220,'Book Details - NO EDIT'!H$1,FALSE)))</f>
        <v>1936</v>
      </c>
      <c r="I45" s="141" t="str">
        <f>IF(VLOOKUP($A45,'Loyd List 1-190 - Edit'!$C$1:$AQ$220,'Book Details - NO EDIT'!I$1,FALSE)="","",(VLOOKUP($A45,'Loyd List 1-190 - Edit'!$C$1:$AQ$220,'Book Details - NO EDIT'!I$1,FALSE)))</f>
        <v>02/08/1859</v>
      </c>
      <c r="J45" s="141" t="str">
        <f>IF(VLOOKUP($A45,'Loyd List 1-190 - Edit'!$C$1:$AQ$220,'Book Details - NO EDIT'!J$1,FALSE)="","",(VLOOKUP($A45,'Loyd List 1-190 - Edit'!$C$1:$AQ$220,'Book Details - NO EDIT'!J$1,FALSE)))</f>
        <v>29/06/1936</v>
      </c>
      <c r="K45" s="100" t="str">
        <f>VLOOKUP($A45,'Loyd List 1-190 - Edit'!$C$1:$AQ$220,'Book Details - NO EDIT'!K$1,FALSE)</f>
        <v>Girl</v>
      </c>
      <c r="L45" s="140">
        <f>VLOOKUP($A45,'Loyd List 1-190 - Edit'!$C$1:$AQ$220,'Book Details - NO EDIT'!L$1,FALSE)</f>
        <v>22</v>
      </c>
      <c r="M45" s="140">
        <f t="shared" si="3"/>
        <v>8</v>
      </c>
      <c r="N45" s="140">
        <f t="shared" si="3"/>
        <v>1</v>
      </c>
      <c r="O45" s="140">
        <f t="shared" si="3"/>
        <v>0</v>
      </c>
      <c r="P45" s="140" t="str">
        <f t="shared" si="3"/>
        <v/>
      </c>
      <c r="Q45" s="140" t="str">
        <f t="shared" si="4"/>
        <v/>
      </c>
      <c r="R45" s="140" t="str">
        <f t="shared" si="4"/>
        <v/>
      </c>
      <c r="S45" s="140" t="str">
        <f t="shared" si="5"/>
        <v/>
      </c>
      <c r="T45" s="140">
        <f t="shared" si="1"/>
        <v>3</v>
      </c>
      <c r="U45" s="139">
        <f t="shared" si="6"/>
        <v>43</v>
      </c>
      <c r="V45" s="31" t="str">
        <f t="shared" si="7"/>
        <v>Meg (1859–1936)</v>
      </c>
      <c r="W45" s="31" t="str">
        <f t="shared" si="8"/>
        <v>Meg (#43)</v>
      </c>
      <c r="X45" s="99" t="str">
        <f t="shared" si="9"/>
        <v>Meg (1859–1936: #43)</v>
      </c>
      <c r="Y45" s="99" t="str">
        <f t="shared" si="27"/>
        <v>Margaret Foster LOYD</v>
      </c>
      <c r="Z45" s="99" t="str">
        <f t="shared" si="10"/>
        <v>Edward (1820–1890: #22)</v>
      </c>
      <c r="AA45" s="99" t="str">
        <f t="shared" si="17"/>
        <v xml:space="preserve">Edward (1820–1890: #22) Edward (1780–1863: #8) William (1729–1800: #1)     </v>
      </c>
      <c r="AB45" s="142" t="str">
        <f>VLOOKUP(U45,'Siblings of those BORN Loyd'!$A$2:$G$230,7,FALSE)</f>
        <v xml:space="preserve">6 – Mary (1848–1934: #31) Elinor (1853–1895: #36) Fa (1855–1927: #39) Frederic (1856–1936: #41)  Llewellyn (1861–1939: #45) Caroline (1864–1940: #47)  </v>
      </c>
      <c r="AC45" s="115" t="str">
        <f>IF(ISNA(IF(K45="Boy",VLOOKUP(A45,'Siblings of those BORN Loyd'!$AP$3:$AQ$70,2,FALSE),VLOOKUP(A45,'Children of Female Loyds'!$AR$5:$AT$60,3,FALSE))),AM45,IF(K45="Boy",VLOOKUP(A45,'Siblings of those BORN Loyd'!$AP$3:$AQ$70,2,FALSE),VLOOKUP(A45,'Children of Female Loyds'!$AR$5:$AT$60,3,FALSE)))</f>
        <v>d.s.p</v>
      </c>
      <c r="AD45" s="97" t="str">
        <f t="shared" si="26"/>
        <v>d.s.p.</v>
      </c>
      <c r="AE45" s="105" t="str">
        <f>IF(ISNA(IF(K45="Boy",VLOOKUP(A45,'Grandchildren of Male Loyds'!$AQ$3:$AS$51,3,FALSE),VLOOKUP(A45,'Grandchildren of Female Loyds'!$AX$5:$AZ$63,3,FALSE))),AM45,IF(K45="Boy",VLOOKUP(A45,'Grandchildren of Male Loyds'!$AQ$3:$AS$51,3,FALSE),VLOOKUP(A45,'Grandchildren of Female Loyds'!$AX$5:$AZ$63,3,FALSE)))</f>
        <v>d.s.p</v>
      </c>
      <c r="AF45" s="105" t="str">
        <f>IF(ISNA(VLOOKUP(A45,'Grandchildren Loyd Daughters'!$BD$5:$BF$50,4,FALSE)),"",VLOOKUP(A45,'Grandchildren Loyd Daughters'!$BD$5:$BF$50,3,FALSE))</f>
        <v/>
      </c>
      <c r="AG45" s="129">
        <f>IF(ISNA(VLOOKUP(A45,'Grandchildren of Male Loyds'!$AQ$3:$AR$60,2,FALSE)),0,VLOOKUP(A45,'Grandchildren of Male Loyds'!$AQ$3:$AR$60,2,FALSE))+IF(ISNA(VLOOKUP(A45,'Grandchildren of Female Loyds'!$AX$5:$AY$50,2,FALSE)),0,VLOOKUP(A45,'Grandchildren of Female Loyds'!$AX$5:$AY$50,2,FALSE))+IF(ISNA(VLOOKUP(A45,'Grandchildren Loyd Daughters'!$BD$5:$BE$50,2,FALSE)),0,VLOOKUP(A45,'Grandchildren Loyd Daughters'!$BD$5:$BE$50,2,FALSE))</f>
        <v>0</v>
      </c>
      <c r="AH45" s="129" t="str">
        <f>VLOOKUP($U45,'Loyd List 1-190 - Edit'!$P$3:$AJ$220,21,FALSE)</f>
        <v>Caroline Louisa FOSTER (b. 6 Aug 1825, d. 8 Feb 1900)</v>
      </c>
      <c r="AI45" s="129" t="str">
        <f>VLOOKUP(A45,'Updated Bios &amp; Spouse Details'!$A$1:$J$200,7,FALSE)</f>
        <v>Unmarried</v>
      </c>
      <c r="AJ45" s="130" t="str">
        <f>IF(VLOOKUP($A45,'Loyd List 1-190 - Edit'!$C$1:$AQ$220,'Book Details - NO EDIT'!AJ$1,FALSE)="","",(VLOOKUP($A45,'Loyd List 1-190 - Edit'!$C$1:$AQ$220,'Book Details - NO EDIT'!AJ$1,FALSE)))</f>
        <v xml:space="preserve"> - </v>
      </c>
      <c r="AK45" s="129" t="str">
        <f>VLOOKUP(A45,'Updated Bios &amp; Spouse Details'!$A$1:$J$200,8,FALSE)</f>
        <v xml:space="preserve"> - </v>
      </c>
      <c r="AL45" s="131" t="str">
        <f>VLOOKUP(A45,'Updated Bios &amp; Spouse Details'!$A$1:$J$200,5,FALSE)</f>
        <v xml:space="preserve">Meg was the 4th daughter of Edward (1820–1890: #22). Born 2 Aug 1859 at Prestwich Lodge, Manchester. Baptised 19 Sep 1859 at Prestwich Church. Died, unmarried, 29 Jun 1936, buried at Hawkhurst. Roddy SALE (#97d) has Meg’s diaries from the estate of Alwyne (1920–2014: #94). Issue: 1 daughter.
</v>
      </c>
      <c r="AM45" s="105" t="str">
        <f>IF(AND(LEN(H45)&gt;0,ISNA(IF(K45="Boy",VLOOKUP(A45,'Siblings of those BORN Loyd'!$AP$3:$AQ$70,2,FALSE),VLOOKUP(A45,'Children of Female Loyds'!$AR$5:$AS$60,2,FALSE)))),"d.s.p","")</f>
        <v>d.s.p</v>
      </c>
      <c r="AN45" s="99" t="str">
        <f t="shared" si="28"/>
        <v>Edward (1820–1890: #22)</v>
      </c>
      <c r="AO45" s="99" t="str">
        <f t="shared" si="18"/>
        <v>Edward (1780–1863: #8)</v>
      </c>
      <c r="AP45" s="99" t="str">
        <f t="shared" si="19"/>
        <v>William (1729–1800: #1)</v>
      </c>
      <c r="AQ45" s="99" t="str">
        <f t="shared" si="20"/>
        <v/>
      </c>
      <c r="AR45" s="99" t="str">
        <f t="shared" si="21"/>
        <v/>
      </c>
      <c r="AS45" s="99" t="str">
        <f t="shared" si="22"/>
        <v/>
      </c>
      <c r="AT45" s="99" t="str">
        <f t="shared" si="23"/>
        <v/>
      </c>
      <c r="AU45" s="99" t="str">
        <f t="shared" si="24"/>
        <v/>
      </c>
      <c r="AW45" s="116" t="str">
        <f>VLOOKUP(A45,'Updated Bios &amp; Spouse Details'!$A$1:$J$193,6,FALSE)</f>
        <v>England</v>
      </c>
      <c r="AX45" s="131">
        <f>VLOOKUP($A45,'Loyd List 1-190 - Edit'!$P$2:$AQ$220,AX$1,FALSE)</f>
        <v>43</v>
      </c>
      <c r="AY45" s="116" t="str">
        <f>IF(ISNA(VLOOKUP(A45,'Data check lookup table'!$G$2:$V$73,13,FALSE))," - ",VLOOKUP(A45,'Data check lookup table'!$G$2:$V$73,13,FALSE))</f>
        <v xml:space="preserve"> - </v>
      </c>
      <c r="AZ45" s="147" t="str">
        <f t="shared" si="14"/>
        <v>29/06/1936</v>
      </c>
      <c r="BA45" s="99" t="str">
        <f t="shared" si="29"/>
        <v/>
      </c>
      <c r="BB45" s="99" t="str">
        <f t="shared" si="30"/>
        <v/>
      </c>
      <c r="BI45" s="147" t="s">
        <v>3177</v>
      </c>
    </row>
    <row r="46" spans="1:61" s="99" customFormat="1" ht="306">
      <c r="A46" s="139">
        <f>'Loyd List 1-190 - Edit'!C46</f>
        <v>44</v>
      </c>
      <c r="B46" s="99" t="str">
        <f>VLOOKUP($A46,'Loyd List 1-190 - Edit'!$C$1:$AQ$220,'Book Details - NO EDIT'!B$1,FALSE)</f>
        <v>Edward</v>
      </c>
      <c r="C46" s="99" t="str">
        <f>IF(VLOOKUP($A46,'Loyd List 1-190 - Edit'!$C$1:$AQ$220,'Book Details - NO EDIT'!C$1,FALSE)="","",VLOOKUP($A46,'Loyd List 1-190 - Edit'!$C$1:$AQ$220,'Book Details - NO EDIT'!C$1,FALSE))</f>
        <v>Henry</v>
      </c>
      <c r="D46" s="99" t="str">
        <f>IF(VLOOKUP($A46,'Loyd List 1-190 - Edit'!$C$1:$AQ$220,'Book Details - NO EDIT'!D$1,FALSE)="","",VLOOKUP($A46,'Loyd List 1-190 - Edit'!$C$1:$AQ$220,'Book Details - NO EDIT'!D$1,FALSE))</f>
        <v/>
      </c>
      <c r="E46" s="99" t="str">
        <f>IF(VLOOKUP($A46,'Loyd List 1-190 - Edit'!$C$1:$AQ$220,'Book Details - NO EDIT'!E$1,FALSE)="","",VLOOKUP($A46,'Loyd List 1-190 - Edit'!$C$1:$AQ$220,'Book Details - NO EDIT'!E$1,FALSE))</f>
        <v>LOYD</v>
      </c>
      <c r="F46" s="99" t="str">
        <f>IF(VLOOKUP($A46,'Loyd List 1-190 - Edit'!$C$1:$AQ$220,'Book Details - NO EDIT'!F$1,FALSE)="",B46,VLOOKUP($A46,'Loyd List 1-190 - Edit'!$C$1:$AQ$220,'Book Details - NO EDIT'!F$1,FALSE))</f>
        <v>Harry</v>
      </c>
      <c r="G46" s="140">
        <f>IF(VLOOKUP($A46,'Loyd List 1-190 - Edit'!$C$1:$AQ$220,'Book Details - NO EDIT'!G$1,FALSE)="","",VALUE(VLOOKUP($A46,'Loyd List 1-190 - Edit'!$C$1:$AQ$220,'Book Details - NO EDIT'!G$1,FALSE)))</f>
        <v>1861</v>
      </c>
      <c r="H46" s="140">
        <f>IF(VLOOKUP($A46,'Loyd List 1-190 - Edit'!$C$1:$AQ$220,'Book Details - NO EDIT'!H$1,FALSE)="","",VALUE(VLOOKUP($A46,'Loyd List 1-190 - Edit'!$C$1:$AQ$220,'Book Details - NO EDIT'!H$1,FALSE)))</f>
        <v>1938</v>
      </c>
      <c r="I46" s="141" t="str">
        <f>IF(VLOOKUP($A46,'Loyd List 1-190 - Edit'!$C$1:$AQ$220,'Book Details - NO EDIT'!I$1,FALSE)="","",(VLOOKUP($A46,'Loyd List 1-190 - Edit'!$C$1:$AQ$220,'Book Details - NO EDIT'!I$1,FALSE)))</f>
        <v>02/04/1861</v>
      </c>
      <c r="J46" s="141" t="str">
        <f>IF(VLOOKUP($A46,'Loyd List 1-190 - Edit'!$C$1:$AQ$220,'Book Details - NO EDIT'!J$1,FALSE)="","",(VLOOKUP($A46,'Loyd List 1-190 - Edit'!$C$1:$AQ$220,'Book Details - NO EDIT'!J$1,FALSE)))</f>
        <v>06/11/1938</v>
      </c>
      <c r="K46" s="100" t="str">
        <f>VLOOKUP($A46,'Loyd List 1-190 - Edit'!$C$1:$AQ$220,'Book Details - NO EDIT'!K$1,FALSE)</f>
        <v>Boy</v>
      </c>
      <c r="L46" s="140">
        <f>VLOOKUP($A46,'Loyd List 1-190 - Edit'!$C$1:$AQ$220,'Book Details - NO EDIT'!L$1,FALSE)</f>
        <v>23</v>
      </c>
      <c r="M46" s="140">
        <f t="shared" si="3"/>
        <v>8</v>
      </c>
      <c r="N46" s="140">
        <f t="shared" si="3"/>
        <v>1</v>
      </c>
      <c r="O46" s="140">
        <f t="shared" si="3"/>
        <v>0</v>
      </c>
      <c r="P46" s="140" t="str">
        <f t="shared" si="3"/>
        <v/>
      </c>
      <c r="Q46" s="140" t="str">
        <f t="shared" si="4"/>
        <v/>
      </c>
      <c r="R46" s="140" t="str">
        <f t="shared" si="4"/>
        <v/>
      </c>
      <c r="S46" s="140" t="str">
        <f t="shared" si="5"/>
        <v/>
      </c>
      <c r="T46" s="140">
        <f t="shared" si="1"/>
        <v>3</v>
      </c>
      <c r="U46" s="139">
        <f t="shared" si="6"/>
        <v>44</v>
      </c>
      <c r="V46" s="31" t="str">
        <f t="shared" si="7"/>
        <v>Harry (1861–1938)</v>
      </c>
      <c r="W46" s="31" t="str">
        <f t="shared" si="8"/>
        <v>Harry (#44)</v>
      </c>
      <c r="X46" s="99" t="str">
        <f t="shared" si="9"/>
        <v>Harry (1861–1938: #44)</v>
      </c>
      <c r="Y46" s="99" t="str">
        <f t="shared" si="27"/>
        <v>Edward Henry LOYD</v>
      </c>
      <c r="Z46" s="99" t="str">
        <f t="shared" si="10"/>
        <v>William (1821–1885: #23)</v>
      </c>
      <c r="AA46" s="99" t="str">
        <f t="shared" si="17"/>
        <v xml:space="preserve">William (1821–1885: #23) Edward (1780–1863: #8) William (1729–1800: #1)     </v>
      </c>
      <c r="AB46" s="142" t="str">
        <f>VLOOKUP(U46,'Siblings of those BORN Loyd'!$A$2:$G$230,7,FALSE)</f>
        <v>8 – Lewis (1852–1908: #35) Gertrude (1854–1924: #38) Harriet (1856–1921: #40) Dulcie (1858–1905: #42)  William (1863–1923: #46) Caroline (1865–1938: #48) Mary (1867–1867: #49) Arthur (1868–1911: #50)</v>
      </c>
      <c r="AC46" s="115" t="str">
        <f>IF(ISNA(IF(K46="Boy",VLOOKUP(A46,'Siblings of those BORN Loyd'!$AP$3:$AQ$70,2,FALSE),VLOOKUP(A46,'Children of Female Loyds'!$AR$5:$AT$60,3,FALSE))),AM46,IF(K46="Boy",VLOOKUP(A46,'Siblings of those BORN Loyd'!$AP$3:$AQ$70,2,FALSE),VLOOKUP(A46,'Children of Female Loyds'!$AR$5:$AT$60,3,FALSE)))</f>
        <v>3 - William (1889–1947: #66); Charles (1891–1973: #72); Reginald (1885–1917: #81)</v>
      </c>
      <c r="AD46" s="97" t="str">
        <f t="shared" si="26"/>
        <v xml:space="preserve">5 - Delia (1915–2007: #88); Edward (1921–1977: #96); Peter (1923–1974: #99); Lavinia (1923–1995: #103); Sir Julian (1926–2018: #104)   </v>
      </c>
      <c r="AE46" s="105" t="str">
        <f>IF(ISNA(IF(K46="Boy",VLOOKUP(A46,'Grandchildren of Male Loyds'!$AQ$3:$AS$51,3,FALSE),VLOOKUP(A46,'Grandchildren of Female Loyds'!$AX$5:$AZ$63,3,FALSE))),AM46,IF(K46="Boy",VLOOKUP(A46,'Grandchildren of Male Loyds'!$AQ$3:$AS$51,3,FALSE),VLOOKUP(A46,'Grandchildren of Female Loyds'!$AX$5:$AZ$63,3,FALSE)))</f>
        <v>Delia (1915–2007: #88); Edward (1921–1977: #96); Peter (1923–1974: #99); Lavinia (1923–1995: #103); Sir Julian (1926–2018: #104)</v>
      </c>
      <c r="AF46" s="105" t="str">
        <f>IF(ISNA(VLOOKUP(A46,'Grandchildren Loyd Daughters'!$BD$5:$BF$50,4,FALSE)),"",VLOOKUP(A46,'Grandchildren Loyd Daughters'!$BD$5:$BF$50,3,FALSE))</f>
        <v/>
      </c>
      <c r="AG46" s="129">
        <f>IF(ISNA(VLOOKUP(A46,'Grandchildren of Male Loyds'!$AQ$3:$AR$60,2,FALSE)),0,VLOOKUP(A46,'Grandchildren of Male Loyds'!$AQ$3:$AR$60,2,FALSE))+IF(ISNA(VLOOKUP(A46,'Grandchildren of Female Loyds'!$AX$5:$AY$50,2,FALSE)),0,VLOOKUP(A46,'Grandchildren of Female Loyds'!$AX$5:$AY$50,2,FALSE))+IF(ISNA(VLOOKUP(A46,'Grandchildren Loyd Daughters'!$BD$5:$BE$50,2,FALSE)),0,VLOOKUP(A46,'Grandchildren Loyd Daughters'!$BD$5:$BE$50,2,FALSE))</f>
        <v>5</v>
      </c>
      <c r="AH46" s="129" t="str">
        <f>VLOOKUP($U46,'Loyd List 1-190 - Edit'!$P$3:$AJ$220,21,FALSE)</f>
        <v>Caroline Gertrude Walker VIVIAN (b. 1829, d. 28 Nov 1893)</v>
      </c>
      <c r="AI46" s="129" t="str">
        <f>VLOOKUP(A46,'Updated Bios &amp; Spouse Details'!$A$1:$J$200,7,FALSE)</f>
        <v>(1) The Hon Clementina Georgina BROWNLOW (b. 13 Jan 1868, d. 1 Sep 1929)</v>
      </c>
      <c r="AJ46" s="130" t="str">
        <f>IF(VLOOKUP($A46,'Loyd List 1-190 - Edit'!$C$1:$AQ$220,'Book Details - NO EDIT'!AJ$1,FALSE)="","",(VLOOKUP($A46,'Loyd List 1-190 - Edit'!$C$1:$AQ$220,'Book Details - NO EDIT'!AJ$1,FALSE)))</f>
        <v>26/07/1888</v>
      </c>
      <c r="AK46" s="129" t="str">
        <f>VLOOKUP(A46,'Updated Bios &amp; Spouse Details'!$A$1:$J$200,8,FALSE)</f>
        <v>Married: (1) 26 Jul 1888 the Hon Clementina Georgina (b. 13 Jan 1868, d. 1 Sep 1929) 5th daughter of Charles BROWNLOW, 2nd Baron LURGAN KP (1831-82) of Brownlow House, Lurgan, co Armagh. Lord-in-Waiting to HM Queen Victoria. (2) 16 Feb 1931, Mrs. Clementina Elizabeth Charlotte VILLIERS (b. 07/1870, d. 6 Feb 1933) daughter of Colonel Ernest VILLIERS and widow of Montague Whittington PRICE, DL of 67 Eaton Place, London SW1. (3) 19 Mar 1936 at St Saviour’s, Walton Street, London, Mrs Ruth Ethel Fuller ACLAND- HOOD (b. 1870, d. 23 Nov 1955) 3rd daughter of the late Major Hugh Francis Lethbridge ASTLEY JP, and widow of Harry ACLAND- HOOD.</v>
      </c>
      <c r="AL46" s="131" t="str">
        <f>VLOOKUP(A46,'Updated Bios &amp; Spouse Details'!$A$1:$J$200,5,FALSE)</f>
        <v>Edward lived at Langleybury, near Watford, Hertfordshire and was the 2nd son of William (1821–1885: #23). Educated Eton 1874-78 and Trinity College, Cambridge. DL. Alderman, Hertfordshire County Council. JP, High Sheriff 1894. Major, Hertfordshire Imp. Yeomanry 1891-1902. Chairman, Colne Valley Water Company. Director, Guardian Assurance. Died 6 Nov 1938. Issue: (1st wife) 3 sons. Edward left the MINSHULL VERNON estate by Lewis (1844–1905: #28). Roddy SALE (#97d) visited in 2021 and saw the Loyd window in the church.</v>
      </c>
      <c r="AM46" s="105" t="str">
        <f>IF(AND(LEN(H46)&gt;0,ISNA(IF(K46="Boy",VLOOKUP(A46,'Siblings of those BORN Loyd'!$AP$3:$AQ$70,2,FALSE),VLOOKUP(A46,'Children of Female Loyds'!$AR$5:$AS$60,2,FALSE)))),"d.s.p","")</f>
        <v/>
      </c>
      <c r="AN46" s="99" t="str">
        <f t="shared" si="28"/>
        <v>William (1821–1885: #23)</v>
      </c>
      <c r="AO46" s="99" t="str">
        <f t="shared" si="18"/>
        <v>Edward (1780–1863: #8)</v>
      </c>
      <c r="AP46" s="99" t="str">
        <f t="shared" si="19"/>
        <v>William (1729–1800: #1)</v>
      </c>
      <c r="AQ46" s="99" t="str">
        <f t="shared" si="20"/>
        <v/>
      </c>
      <c r="AR46" s="99" t="str">
        <f t="shared" si="21"/>
        <v/>
      </c>
      <c r="AS46" s="99" t="str">
        <f t="shared" si="22"/>
        <v/>
      </c>
      <c r="AT46" s="99" t="str">
        <f t="shared" si="23"/>
        <v/>
      </c>
      <c r="AU46" s="99" t="str">
        <f t="shared" si="24"/>
        <v/>
      </c>
      <c r="AW46" s="116" t="str">
        <f>VLOOKUP(A46,'Updated Bios &amp; Spouse Details'!$A$1:$J$193,6,FALSE)</f>
        <v>England</v>
      </c>
      <c r="AX46" s="131">
        <f>VLOOKUP($A46,'Loyd List 1-190 - Edit'!$P$2:$AQ$220,AX$1,FALSE)</f>
        <v>44</v>
      </c>
      <c r="AY46" s="116" t="str">
        <f>IF(ISNA(VLOOKUP(A46,'Data check lookup table'!$G$2:$V$73,13,FALSE))," - ",VLOOKUP(A46,'Data check lookup table'!$G$2:$V$73,13,FALSE))</f>
        <v xml:space="preserve"> - </v>
      </c>
      <c r="AZ46" s="147" t="str">
        <f t="shared" si="14"/>
        <v>06/11/1938</v>
      </c>
      <c r="BA46" s="99" t="str">
        <f t="shared" si="29"/>
        <v/>
      </c>
      <c r="BB46" s="99" t="str">
        <f t="shared" si="30"/>
        <v/>
      </c>
      <c r="BI46" s="147" t="s">
        <v>3178</v>
      </c>
    </row>
    <row r="47" spans="1:61" s="99" customFormat="1" ht="136">
      <c r="A47" s="139">
        <f>'Loyd List 1-190 - Edit'!C47</f>
        <v>45</v>
      </c>
      <c r="B47" s="99" t="str">
        <f>VLOOKUP($A47,'Loyd List 1-190 - Edit'!$C$1:$AQ$220,'Book Details - NO EDIT'!B$1,FALSE)</f>
        <v>Llewellyn</v>
      </c>
      <c r="C47" s="99" t="str">
        <f>IF(VLOOKUP($A47,'Loyd List 1-190 - Edit'!$C$1:$AQ$220,'Book Details - NO EDIT'!C$1,FALSE)="","",VLOOKUP($A47,'Loyd List 1-190 - Edit'!$C$1:$AQ$220,'Book Details - NO EDIT'!C$1,FALSE))</f>
        <v>Foster</v>
      </c>
      <c r="D47" s="99" t="str">
        <f>IF(VLOOKUP($A47,'Loyd List 1-190 - Edit'!$C$1:$AQ$220,'Book Details - NO EDIT'!D$1,FALSE)="","",VLOOKUP($A47,'Loyd List 1-190 - Edit'!$C$1:$AQ$220,'Book Details - NO EDIT'!D$1,FALSE))</f>
        <v/>
      </c>
      <c r="E47" s="99" t="str">
        <f>IF(VLOOKUP($A47,'Loyd List 1-190 - Edit'!$C$1:$AQ$220,'Book Details - NO EDIT'!E$1,FALSE)="","",VLOOKUP($A47,'Loyd List 1-190 - Edit'!$C$1:$AQ$220,'Book Details - NO EDIT'!E$1,FALSE))</f>
        <v>LOYD</v>
      </c>
      <c r="F47" s="99" t="str">
        <f>IF(VLOOKUP($A47,'Loyd List 1-190 - Edit'!$C$1:$AQ$220,'Book Details - NO EDIT'!F$1,FALSE)="",B47,VLOOKUP($A47,'Loyd List 1-190 - Edit'!$C$1:$AQ$220,'Book Details - NO EDIT'!F$1,FALSE))</f>
        <v>Llewellyn</v>
      </c>
      <c r="G47" s="140">
        <f>IF(VLOOKUP($A47,'Loyd List 1-190 - Edit'!$C$1:$AQ$220,'Book Details - NO EDIT'!G$1,FALSE)="","",VALUE(VLOOKUP($A47,'Loyd List 1-190 - Edit'!$C$1:$AQ$220,'Book Details - NO EDIT'!G$1,FALSE)))</f>
        <v>1861</v>
      </c>
      <c r="H47" s="140">
        <f>IF(VLOOKUP($A47,'Loyd List 1-190 - Edit'!$C$1:$AQ$220,'Book Details - NO EDIT'!H$1,FALSE)="","",VALUE(VLOOKUP($A47,'Loyd List 1-190 - Edit'!$C$1:$AQ$220,'Book Details - NO EDIT'!H$1,FALSE)))</f>
        <v>1939</v>
      </c>
      <c r="I47" s="141" t="str">
        <f>IF(VLOOKUP($A47,'Loyd List 1-190 - Edit'!$C$1:$AQ$220,'Book Details - NO EDIT'!I$1,FALSE)="","",(VLOOKUP($A47,'Loyd List 1-190 - Edit'!$C$1:$AQ$220,'Book Details - NO EDIT'!I$1,FALSE)))</f>
        <v>30/06/1861</v>
      </c>
      <c r="J47" s="141" t="str">
        <f>IF(VLOOKUP($A47,'Loyd List 1-190 - Edit'!$C$1:$AQ$220,'Book Details - NO EDIT'!J$1,FALSE)="","",(VLOOKUP($A47,'Loyd List 1-190 - Edit'!$C$1:$AQ$220,'Book Details - NO EDIT'!J$1,FALSE)))</f>
        <v>27/12/1939</v>
      </c>
      <c r="K47" s="100" t="str">
        <f>VLOOKUP($A47,'Loyd List 1-190 - Edit'!$C$1:$AQ$220,'Book Details - NO EDIT'!K$1,FALSE)</f>
        <v>Boy</v>
      </c>
      <c r="L47" s="140">
        <f>VLOOKUP($A47,'Loyd List 1-190 - Edit'!$C$1:$AQ$220,'Book Details - NO EDIT'!L$1,FALSE)</f>
        <v>22</v>
      </c>
      <c r="M47" s="140">
        <f t="shared" si="3"/>
        <v>8</v>
      </c>
      <c r="N47" s="140">
        <f t="shared" si="3"/>
        <v>1</v>
      </c>
      <c r="O47" s="140">
        <f t="shared" si="3"/>
        <v>0</v>
      </c>
      <c r="P47" s="140" t="str">
        <f t="shared" si="3"/>
        <v/>
      </c>
      <c r="Q47" s="140" t="str">
        <f t="shared" si="4"/>
        <v/>
      </c>
      <c r="R47" s="140" t="str">
        <f t="shared" si="4"/>
        <v/>
      </c>
      <c r="S47" s="140" t="str">
        <f t="shared" si="5"/>
        <v/>
      </c>
      <c r="T47" s="140">
        <f t="shared" si="1"/>
        <v>3</v>
      </c>
      <c r="U47" s="139">
        <f t="shared" si="6"/>
        <v>45</v>
      </c>
      <c r="V47" s="31" t="str">
        <f t="shared" si="7"/>
        <v>Llewellyn (1861–1939)</v>
      </c>
      <c r="W47" s="31" t="str">
        <f t="shared" si="8"/>
        <v>Llewellyn (#45)</v>
      </c>
      <c r="X47" s="99" t="str">
        <f t="shared" si="9"/>
        <v>Llewellyn (1861–1939: #45)</v>
      </c>
      <c r="Y47" s="99" t="str">
        <f t="shared" si="27"/>
        <v>Llewellyn Foster LOYD</v>
      </c>
      <c r="Z47" s="99" t="str">
        <f t="shared" si="10"/>
        <v>Edward (1820–1890: #22)</v>
      </c>
      <c r="AA47" s="99" t="str">
        <f t="shared" si="17"/>
        <v xml:space="preserve">Edward (1820–1890: #22) Edward (1780–1863: #8) William (1729–1800: #1)     </v>
      </c>
      <c r="AB47" s="142" t="str">
        <f>VLOOKUP(U47,'Siblings of those BORN Loyd'!$A$2:$G$230,7,FALSE)</f>
        <v xml:space="preserve">6 – Mary (1848–1934: #31) Elinor (1853–1895: #36) Fa (1855–1927: #39) Frederic (1856–1936: #41) Meg (1859–1936: #43)  Caroline (1864–1940: #47)  </v>
      </c>
      <c r="AC47" s="115" t="str">
        <f>IF(ISNA(IF(K47="Boy",VLOOKUP(A47,'Siblings of those BORN Loyd'!$AP$3:$AQ$70,2,FALSE),VLOOKUP(A47,'Children of Female Loyds'!$AR$5:$AT$60,3,FALSE))),AM47,IF(K47="Boy",VLOOKUP(A47,'Siblings of those BORN Loyd'!$AP$3:$AQ$70,2,FALSE),VLOOKUP(A47,'Children of Female Loyds'!$AR$5:$AT$60,3,FALSE)))</f>
        <v>4 - Cecil (1890–1963: #68); Eric (1891–1967: #73); Alwyne (1894–1917: #79); Ruby (1898–1977: #83)</v>
      </c>
      <c r="AD47" s="97" t="str">
        <f t="shared" si="26"/>
        <v xml:space="preserve">2 - Jill (1920–2002: #93); Alwyne (1920–2014: #94)   </v>
      </c>
      <c r="AE47" s="105" t="str">
        <f>IF(ISNA(IF(K47="Boy",VLOOKUP(A47,'Grandchildren of Male Loyds'!$AQ$3:$AS$51,3,FALSE),VLOOKUP(A47,'Grandchildren of Female Loyds'!$AX$5:$AZ$63,3,FALSE))),AM47,IF(K47="Boy",VLOOKUP(A47,'Grandchildren of Male Loyds'!$AQ$3:$AS$51,3,FALSE),VLOOKUP(A47,'Grandchildren of Female Loyds'!$AX$5:$AZ$63,3,FALSE)))</f>
        <v>Jill (1920–2002: #93); Alwyne (1920–2014: #94)</v>
      </c>
      <c r="AF47" s="105" t="str">
        <f>IF(ISNA(VLOOKUP(A47,'Grandchildren Loyd Daughters'!$BD$5:$BF$50,4,FALSE)),"",VLOOKUP(A47,'Grandchildren Loyd Daughters'!$BD$5:$BF$50,3,FALSE))</f>
        <v/>
      </c>
      <c r="AG47" s="129">
        <f>IF(ISNA(VLOOKUP(A47,'Grandchildren of Male Loyds'!$AQ$3:$AR$60,2,FALSE)),0,VLOOKUP(A47,'Grandchildren of Male Loyds'!$AQ$3:$AR$60,2,FALSE))+IF(ISNA(VLOOKUP(A47,'Grandchildren of Female Loyds'!$AX$5:$AY$50,2,FALSE)),0,VLOOKUP(A47,'Grandchildren of Female Loyds'!$AX$5:$AY$50,2,FALSE))+IF(ISNA(VLOOKUP(A47,'Grandchildren Loyd Daughters'!$BD$5:$BE$50,2,FALSE)),0,VLOOKUP(A47,'Grandchildren Loyd Daughters'!$BD$5:$BE$50,2,FALSE))</f>
        <v>2</v>
      </c>
      <c r="AH47" s="129" t="str">
        <f>VLOOKUP($U47,'Loyd List 1-190 - Edit'!$P$3:$AJ$220,21,FALSE)</f>
        <v>Caroline Louisa FOSTER (b. 6 Aug 1825, d. 8 Feb 1900)</v>
      </c>
      <c r="AI47" s="129" t="str">
        <f>VLOOKUP(A47,'Updated Bios &amp; Spouse Details'!$A$1:$J$200,7,FALSE)</f>
        <v>Rebecca Olivia LEWIS (b.13 Aug 1860, d. 18 Mar 1927)</v>
      </c>
      <c r="AJ47" s="130" t="str">
        <f>IF(VLOOKUP($A47,'Loyd List 1-190 - Edit'!$C$1:$AQ$220,'Book Details - NO EDIT'!AJ$1,FALSE)="","",(VLOOKUP($A47,'Loyd List 1-190 - Edit'!$C$1:$AQ$220,'Book Details - NO EDIT'!AJ$1,FALSE)))</f>
        <v>04/02/1889</v>
      </c>
      <c r="AK47" s="129" t="str">
        <f>VLOOKUP(A47,'Updated Bios &amp; Spouse Details'!$A$1:$J$200,8,FALSE)</f>
        <v>Married Rebecca at British Vice Consulate, Pau, France, by her father, daughter of the Rt Rev John Travers LEWIS, (1825-1901) Archbishop of Ontario and Metropolitan of Canada. Rebecca born at Brockville, Canada, died at Lillesden Frith (also known as the Beeches) and buried at Hawkhurst.</v>
      </c>
      <c r="AL47" s="131" t="str">
        <f>VLOOKUP(A47,'Updated Bios &amp; Spouse Details'!$A$1:$J$200,5,FALSE)</f>
        <v>Llewellyn lived at Lillesden House [31], Hawkhurst, Kent and was the younger son of Edward (1820–1890: #22). Born 30 Jun 1861 at Prestwich Lodge, Manchester. Baptised 7 Aug 1861 at Prestwich Church. Educated Eton 1875-77 and Christ Church, Oxford 1881. JP Kent. Member Royal Yacht Squadron 1892-1939. Yacht SS ‘Lotus’ (70 tons) owned 1890-1906. Died, 27 Dec 1939, at Lillesden Frith (also known as The Beeches) and buried at Hawkhurst, Kent. Issue: 3 sons, 1 daughter. Llewellyn is featured in a group portrait (c1910) in the Royal Yacht Squadron at Cowes, next to Kaiser Wilhelm II. Paddy (1951– : #126) has the portrait of Llewellyn in RYS attire and Llewellyn's house, 'Thornhill' on the Isle of Wight, has now been converted into apartments. Footnote: [31] Llewellyn sold Lillesden House c1923-25 and it became: first a boys Preparatory school and then a girls school until 1998, when it was sold. All the land of the 500 acre estate had been sold by his death. The house is a grade II listed building and, by 1999, was being lived in and returned to a private house before being converted into luxury apartments in 2018.</v>
      </c>
      <c r="AM47" s="105" t="str">
        <f>IF(AND(LEN(H47)&gt;0,ISNA(IF(K47="Boy",VLOOKUP(A47,'Siblings of those BORN Loyd'!$AP$3:$AQ$70,2,FALSE),VLOOKUP(A47,'Children of Female Loyds'!$AR$5:$AS$60,2,FALSE)))),"d.s.p","")</f>
        <v/>
      </c>
      <c r="AN47" s="99" t="str">
        <f t="shared" si="28"/>
        <v>Edward (1820–1890: #22)</v>
      </c>
      <c r="AO47" s="99" t="str">
        <f t="shared" si="18"/>
        <v>Edward (1780–1863: #8)</v>
      </c>
      <c r="AP47" s="99" t="str">
        <f t="shared" si="19"/>
        <v>William (1729–1800: #1)</v>
      </c>
      <c r="AQ47" s="99" t="str">
        <f t="shared" si="20"/>
        <v/>
      </c>
      <c r="AR47" s="99" t="str">
        <f t="shared" si="21"/>
        <v/>
      </c>
      <c r="AS47" s="99" t="str">
        <f t="shared" si="22"/>
        <v/>
      </c>
      <c r="AT47" s="99" t="str">
        <f t="shared" si="23"/>
        <v/>
      </c>
      <c r="AU47" s="99" t="str">
        <f t="shared" si="24"/>
        <v/>
      </c>
      <c r="AW47" s="116" t="str">
        <f>VLOOKUP(A47,'Updated Bios &amp; Spouse Details'!$A$1:$J$193,6,FALSE)</f>
        <v>England</v>
      </c>
      <c r="AX47" s="131">
        <f>VLOOKUP($A47,'Loyd List 1-190 - Edit'!$P$2:$AQ$220,AX$1,FALSE)</f>
        <v>45</v>
      </c>
      <c r="AY47" s="116" t="str">
        <f>IF(ISNA(VLOOKUP(A47,'Data check lookup table'!$G$2:$V$73,13,FALSE))," - ",VLOOKUP(A47,'Data check lookup table'!$G$2:$V$73,13,FALSE))</f>
        <v xml:space="preserve"> - </v>
      </c>
      <c r="AZ47" s="147" t="str">
        <f t="shared" si="14"/>
        <v>27/12/1939</v>
      </c>
      <c r="BA47" s="99" t="str">
        <f t="shared" si="29"/>
        <v/>
      </c>
      <c r="BB47" s="99" t="str">
        <f t="shared" si="30"/>
        <v/>
      </c>
      <c r="BI47" s="147" t="s">
        <v>3179</v>
      </c>
    </row>
    <row r="48" spans="1:61" s="99" customFormat="1" ht="68">
      <c r="A48" s="139">
        <f>'Loyd List 1-190 - Edit'!C48</f>
        <v>46</v>
      </c>
      <c r="B48" s="99" t="str">
        <f>VLOOKUP($A48,'Loyd List 1-190 - Edit'!$C$1:$AQ$220,'Book Details - NO EDIT'!B$1,FALSE)</f>
        <v>William</v>
      </c>
      <c r="C48" s="99" t="str">
        <f>IF(VLOOKUP($A48,'Loyd List 1-190 - Edit'!$C$1:$AQ$220,'Book Details - NO EDIT'!C$1,FALSE)="","",VLOOKUP($A48,'Loyd List 1-190 - Edit'!$C$1:$AQ$220,'Book Details - NO EDIT'!C$1,FALSE))</f>
        <v>Graham</v>
      </c>
      <c r="D48" s="99" t="str">
        <f>IF(VLOOKUP($A48,'Loyd List 1-190 - Edit'!$C$1:$AQ$220,'Book Details - NO EDIT'!D$1,FALSE)="","",VLOOKUP($A48,'Loyd List 1-190 - Edit'!$C$1:$AQ$220,'Book Details - NO EDIT'!D$1,FALSE))</f>
        <v/>
      </c>
      <c r="E48" s="99" t="str">
        <f>IF(VLOOKUP($A48,'Loyd List 1-190 - Edit'!$C$1:$AQ$220,'Book Details - NO EDIT'!E$1,FALSE)="","",VLOOKUP($A48,'Loyd List 1-190 - Edit'!$C$1:$AQ$220,'Book Details - NO EDIT'!E$1,FALSE))</f>
        <v>LOYD</v>
      </c>
      <c r="F48" s="99" t="str">
        <f>IF(VLOOKUP($A48,'Loyd List 1-190 - Edit'!$C$1:$AQ$220,'Book Details - NO EDIT'!F$1,FALSE)="",B48,VLOOKUP($A48,'Loyd List 1-190 - Edit'!$C$1:$AQ$220,'Book Details - NO EDIT'!F$1,FALSE))</f>
        <v>William</v>
      </c>
      <c r="G48" s="140">
        <f>IF(VLOOKUP($A48,'Loyd List 1-190 - Edit'!$C$1:$AQ$220,'Book Details - NO EDIT'!G$1,FALSE)="","",VALUE(VLOOKUP($A48,'Loyd List 1-190 - Edit'!$C$1:$AQ$220,'Book Details - NO EDIT'!G$1,FALSE)))</f>
        <v>1863</v>
      </c>
      <c r="H48" s="140">
        <f>IF(VLOOKUP($A48,'Loyd List 1-190 - Edit'!$C$1:$AQ$220,'Book Details - NO EDIT'!H$1,FALSE)="","",VALUE(VLOOKUP($A48,'Loyd List 1-190 - Edit'!$C$1:$AQ$220,'Book Details - NO EDIT'!H$1,FALSE)))</f>
        <v>1923</v>
      </c>
      <c r="I48" s="141" t="str">
        <f>IF(VLOOKUP($A48,'Loyd List 1-190 - Edit'!$C$1:$AQ$220,'Book Details - NO EDIT'!I$1,FALSE)="","",(VLOOKUP($A48,'Loyd List 1-190 - Edit'!$C$1:$AQ$220,'Book Details - NO EDIT'!I$1,FALSE)))</f>
        <v>30/09/1863</v>
      </c>
      <c r="J48" s="141" t="str">
        <f>IF(VLOOKUP($A48,'Loyd List 1-190 - Edit'!$C$1:$AQ$220,'Book Details - NO EDIT'!J$1,FALSE)="","",(VLOOKUP($A48,'Loyd List 1-190 - Edit'!$C$1:$AQ$220,'Book Details - NO EDIT'!J$1,FALSE)))</f>
        <v>18/06/1923</v>
      </c>
      <c r="K48" s="100" t="str">
        <f>VLOOKUP($A48,'Loyd List 1-190 - Edit'!$C$1:$AQ$220,'Book Details - NO EDIT'!K$1,FALSE)</f>
        <v>Boy</v>
      </c>
      <c r="L48" s="140">
        <f>VLOOKUP($A48,'Loyd List 1-190 - Edit'!$C$1:$AQ$220,'Book Details - NO EDIT'!L$1,FALSE)</f>
        <v>23</v>
      </c>
      <c r="M48" s="140">
        <f t="shared" si="3"/>
        <v>8</v>
      </c>
      <c r="N48" s="140">
        <f t="shared" si="3"/>
        <v>1</v>
      </c>
      <c r="O48" s="140">
        <f t="shared" si="3"/>
        <v>0</v>
      </c>
      <c r="P48" s="140" t="str">
        <f t="shared" si="3"/>
        <v/>
      </c>
      <c r="Q48" s="140" t="str">
        <f t="shared" si="4"/>
        <v/>
      </c>
      <c r="R48" s="140" t="str">
        <f t="shared" si="4"/>
        <v/>
      </c>
      <c r="S48" s="140" t="str">
        <f t="shared" si="5"/>
        <v/>
      </c>
      <c r="T48" s="140">
        <f t="shared" si="1"/>
        <v>3</v>
      </c>
      <c r="U48" s="139">
        <f t="shared" si="6"/>
        <v>46</v>
      </c>
      <c r="V48" s="31" t="str">
        <f t="shared" si="7"/>
        <v>William (1863–1923)</v>
      </c>
      <c r="W48" s="31" t="str">
        <f t="shared" si="8"/>
        <v>William (#46)</v>
      </c>
      <c r="X48" s="99" t="str">
        <f t="shared" si="9"/>
        <v>William (1863–1923: #46)</v>
      </c>
      <c r="Y48" s="99" t="str">
        <f t="shared" si="27"/>
        <v>William Graham LOYD</v>
      </c>
      <c r="Z48" s="99" t="str">
        <f t="shared" si="10"/>
        <v>William (1821–1885: #23)</v>
      </c>
      <c r="AA48" s="99" t="str">
        <f t="shared" si="17"/>
        <v xml:space="preserve">William (1821–1885: #23) Edward (1780–1863: #8) William (1729–1800: #1)     </v>
      </c>
      <c r="AB48" s="142" t="str">
        <f>VLOOKUP(U48,'Siblings of those BORN Loyd'!$A$2:$G$230,7,FALSE)</f>
        <v>8 – Lewis (1852–1908: #35) Gertrude (1854–1924: #38) Harriet (1856–1921: #40) Dulcie (1858–1905: #42) Harry (1861–1938: #44)  Caroline (1865–1938: #48) Mary (1867–1867: #49) Arthur (1868–1911: #50)</v>
      </c>
      <c r="AC48" s="115" t="str">
        <f>IF(ISNA(IF(K48="Boy",VLOOKUP(A48,'Siblings of those BORN Loyd'!$AP$3:$AQ$70,2,FALSE),VLOOKUP(A48,'Children of Female Loyds'!$AR$5:$AT$60,3,FALSE))),AM48,IF(K48="Boy",VLOOKUP(A48,'Siblings of those BORN Loyd'!$AP$3:$AQ$70,2,FALSE),VLOOKUP(A48,'Children of Female Loyds'!$AR$5:$AT$60,3,FALSE)))</f>
        <v>5 - Diana (1890–1963: #70); Godfrey (1893–1917: #75); Vivian (1894–1972: #78); Wilfred (1896–1955: #82); Eddie (1902–1942: #84)</v>
      </c>
      <c r="AD48" s="97" t="str">
        <f t="shared" si="26"/>
        <v xml:space="preserve">10 - Willie (1937–1994: #113); Belinda (1939–2018: #115); Vivian (1951–: #127); Ginie (1961–: #140)   Cynthia MICKLEM (1921 - 1990:  #70a) Dora MICKLEM (1924 - :  #70b) Anne MICKLEM (1925 - :  #70c) Tom MICKLEM (1926 - :  #70d) Elizabeth MICKLEM (1929 - :  #70e) Nathaniel MICKLEM (1931 - 1950:  #70f)         </v>
      </c>
      <c r="AE48" s="105" t="str">
        <f>IF(ISNA(IF(K48="Boy",VLOOKUP(A48,'Grandchildren of Male Loyds'!$AQ$3:$AS$51,3,FALSE),VLOOKUP(A48,'Grandchildren of Female Loyds'!$AX$5:$AZ$63,3,FALSE))),AM48,IF(K48="Boy",VLOOKUP(A48,'Grandchildren of Male Loyds'!$AQ$3:$AS$51,3,FALSE),VLOOKUP(A48,'Grandchildren of Female Loyds'!$AX$5:$AZ$63,3,FALSE)))</f>
        <v>Willie (1937–1994: #113); Belinda (1939–2018: #115); Vivian (1951–: #127); Ginie (1961–: #140)</v>
      </c>
      <c r="AF48" s="105" t="str">
        <f>IF(ISNA(VLOOKUP(A48,'Grandchildren Loyd Daughters'!$BD$5:$BF$50,4,FALSE)),"",VLOOKUP(A48,'Grandchildren Loyd Daughters'!$BD$5:$BF$50,3,FALSE))</f>
        <v xml:space="preserve">Cynthia MICKLEM (1921 - 1990:  #70a) Dora MICKLEM (1924 - :  #70b) Anne MICKLEM (1925 - :  #70c) Tom MICKLEM (1926 - :  #70d) Elizabeth MICKLEM (1929 - :  #70e) Nathaniel MICKLEM (1931 - 1950:  #70f)         </v>
      </c>
      <c r="AG48" s="129">
        <f>IF(ISNA(VLOOKUP(A48,'Grandchildren of Male Loyds'!$AQ$3:$AR$60,2,FALSE)),0,VLOOKUP(A48,'Grandchildren of Male Loyds'!$AQ$3:$AR$60,2,FALSE))+IF(ISNA(VLOOKUP(A48,'Grandchildren of Female Loyds'!$AX$5:$AY$50,2,FALSE)),0,VLOOKUP(A48,'Grandchildren of Female Loyds'!$AX$5:$AY$50,2,FALSE))+IF(ISNA(VLOOKUP(A48,'Grandchildren Loyd Daughters'!$BD$5:$BE$50,2,FALSE)),0,VLOOKUP(A48,'Grandchildren Loyd Daughters'!$BD$5:$BE$50,2,FALSE))</f>
        <v>10</v>
      </c>
      <c r="AH48" s="129" t="str">
        <f>VLOOKUP($U48,'Loyd List 1-190 - Edit'!$P$3:$AJ$220,21,FALSE)</f>
        <v>Caroline Gertrude Walker VIVIAN (b. 1829, d. 28 Nov 1893)</v>
      </c>
      <c r="AI48" s="129" t="str">
        <f>VLOOKUP(A48,'Updated Bios &amp; Spouse Details'!$A$1:$J$200,7,FALSE)</f>
        <v xml:space="preserve">Emily Diana Maria BEAUMONT (b. 25 Dec 1860, d. 4 Jul 1956) </v>
      </c>
      <c r="AJ48" s="130" t="str">
        <f>IF(VLOOKUP($A48,'Loyd List 1-190 - Edit'!$C$1:$AQ$220,'Book Details - NO EDIT'!AJ$1,FALSE)="","",(VLOOKUP($A48,'Loyd List 1-190 - Edit'!$C$1:$AQ$220,'Book Details - NO EDIT'!AJ$1,FALSE)))</f>
        <v>14/01/1888</v>
      </c>
      <c r="AK48" s="129" t="str">
        <f>VLOOKUP(A48,'Updated Bios &amp; Spouse Details'!$A$1:$J$200,8,FALSE)</f>
        <v>Diana 2nd daughter of Henry Frederick BEAUMONT DL of Whitley Beaumont, Yorkshire. Diana died at Whitley, Priory Road, Sunningdale, Chobham, Surrey.</v>
      </c>
      <c r="AL48" s="131" t="str">
        <f>VLOOKUP(A48,'Updated Bios &amp; Spouse Details'!$A$1:$J$200,5,FALSE)</f>
        <v>William lived at Stonehill, Bagshot, Surrey and of Ovington House, Ovington Gardens, London SW3 and was the 3rd son of William (1821–1885: #23). Born 30 Sep 1863. Educated Eton 1876-80.  JP Berkshire. Captain 2nd Vol Battalion, Welsh Regiment 1883-92. Died 18 Jun 1923. Issue: 4 sons, 1 daughter.</v>
      </c>
      <c r="AM48" s="105" t="str">
        <f>IF(AND(LEN(H48)&gt;0,ISNA(IF(K48="Boy",VLOOKUP(A48,'Siblings of those BORN Loyd'!$AP$3:$AQ$70,2,FALSE),VLOOKUP(A48,'Children of Female Loyds'!$AR$5:$AS$60,2,FALSE)))),"d.s.p","")</f>
        <v/>
      </c>
      <c r="AN48" s="99" t="str">
        <f t="shared" si="28"/>
        <v>William (1821–1885: #23)</v>
      </c>
      <c r="AO48" s="99" t="str">
        <f t="shared" si="18"/>
        <v>Edward (1780–1863: #8)</v>
      </c>
      <c r="AP48" s="99" t="str">
        <f t="shared" si="19"/>
        <v>William (1729–1800: #1)</v>
      </c>
      <c r="AQ48" s="99" t="str">
        <f t="shared" si="20"/>
        <v/>
      </c>
      <c r="AR48" s="99" t="str">
        <f t="shared" si="21"/>
        <v/>
      </c>
      <c r="AS48" s="99" t="str">
        <f t="shared" si="22"/>
        <v/>
      </c>
      <c r="AT48" s="99" t="str">
        <f t="shared" si="23"/>
        <v/>
      </c>
      <c r="AU48" s="99" t="str">
        <f t="shared" si="24"/>
        <v/>
      </c>
      <c r="AW48" s="116" t="str">
        <f>VLOOKUP(A48,'Updated Bios &amp; Spouse Details'!$A$1:$J$193,6,FALSE)</f>
        <v>England</v>
      </c>
      <c r="AX48" s="131">
        <f>VLOOKUP($A48,'Loyd List 1-190 - Edit'!$P$2:$AQ$220,AX$1,FALSE)</f>
        <v>46</v>
      </c>
      <c r="AY48" s="116" t="str">
        <f>IF(ISNA(VLOOKUP(A48,'Data check lookup table'!$G$2:$V$73,13,FALSE))," - ",VLOOKUP(A48,'Data check lookup table'!$G$2:$V$73,13,FALSE))</f>
        <v xml:space="preserve"> - </v>
      </c>
      <c r="AZ48" s="147" t="str">
        <f t="shared" si="14"/>
        <v>18/06/1923</v>
      </c>
      <c r="BA48" s="99" t="str">
        <f t="shared" si="29"/>
        <v/>
      </c>
      <c r="BB48" s="99" t="str">
        <f t="shared" si="30"/>
        <v/>
      </c>
      <c r="BI48" s="147" t="s">
        <v>3180</v>
      </c>
    </row>
    <row r="49" spans="1:61" s="99" customFormat="1" ht="68">
      <c r="A49" s="139">
        <f>'Loyd List 1-190 - Edit'!C49</f>
        <v>47</v>
      </c>
      <c r="B49" s="99" t="str">
        <f>VLOOKUP($A49,'Loyd List 1-190 - Edit'!$C$1:$AQ$220,'Book Details - NO EDIT'!B$1,FALSE)</f>
        <v>Caroline</v>
      </c>
      <c r="C49" s="99" t="str">
        <f>IF(VLOOKUP($A49,'Loyd List 1-190 - Edit'!$C$1:$AQ$220,'Book Details - NO EDIT'!C$1,FALSE)="","",VLOOKUP($A49,'Loyd List 1-190 - Edit'!$C$1:$AQ$220,'Book Details - NO EDIT'!C$1,FALSE))</f>
        <v>Foster</v>
      </c>
      <c r="D49" s="99" t="str">
        <f>IF(VLOOKUP($A49,'Loyd List 1-190 - Edit'!$C$1:$AQ$220,'Book Details - NO EDIT'!D$1,FALSE)="","",VLOOKUP($A49,'Loyd List 1-190 - Edit'!$C$1:$AQ$220,'Book Details - NO EDIT'!D$1,FALSE))</f>
        <v/>
      </c>
      <c r="E49" s="99" t="str">
        <f>IF(VLOOKUP($A49,'Loyd List 1-190 - Edit'!$C$1:$AQ$220,'Book Details - NO EDIT'!E$1,FALSE)="","",VLOOKUP($A49,'Loyd List 1-190 - Edit'!$C$1:$AQ$220,'Book Details - NO EDIT'!E$1,FALSE))</f>
        <v>LOYD</v>
      </c>
      <c r="F49" s="99" t="str">
        <f>IF(VLOOKUP($A49,'Loyd List 1-190 - Edit'!$C$1:$AQ$220,'Book Details - NO EDIT'!F$1,FALSE)="",B49,VLOOKUP($A49,'Loyd List 1-190 - Edit'!$C$1:$AQ$220,'Book Details - NO EDIT'!F$1,FALSE))</f>
        <v>Caroline</v>
      </c>
      <c r="G49" s="140">
        <f>IF(VLOOKUP($A49,'Loyd List 1-190 - Edit'!$C$1:$AQ$220,'Book Details - NO EDIT'!G$1,FALSE)="","",VALUE(VLOOKUP($A49,'Loyd List 1-190 - Edit'!$C$1:$AQ$220,'Book Details - NO EDIT'!G$1,FALSE)))</f>
        <v>1864</v>
      </c>
      <c r="H49" s="140">
        <f>IF(VLOOKUP($A49,'Loyd List 1-190 - Edit'!$C$1:$AQ$220,'Book Details - NO EDIT'!H$1,FALSE)="","",VALUE(VLOOKUP($A49,'Loyd List 1-190 - Edit'!$C$1:$AQ$220,'Book Details - NO EDIT'!H$1,FALSE)))</f>
        <v>1940</v>
      </c>
      <c r="I49" s="141" t="str">
        <f>IF(VLOOKUP($A49,'Loyd List 1-190 - Edit'!$C$1:$AQ$220,'Book Details - NO EDIT'!I$1,FALSE)="","",(VLOOKUP($A49,'Loyd List 1-190 - Edit'!$C$1:$AQ$220,'Book Details - NO EDIT'!I$1,FALSE)))</f>
        <v>10/07/1864</v>
      </c>
      <c r="J49" s="141" t="str">
        <f>IF(VLOOKUP($A49,'Loyd List 1-190 - Edit'!$C$1:$AQ$220,'Book Details - NO EDIT'!J$1,FALSE)="","",(VLOOKUP($A49,'Loyd List 1-190 - Edit'!$C$1:$AQ$220,'Book Details - NO EDIT'!J$1,FALSE)))</f>
        <v>03/12/1940</v>
      </c>
      <c r="K49" s="100" t="str">
        <f>VLOOKUP($A49,'Loyd List 1-190 - Edit'!$C$1:$AQ$220,'Book Details - NO EDIT'!K$1,FALSE)</f>
        <v>Girl</v>
      </c>
      <c r="L49" s="140">
        <f>VLOOKUP($A49,'Loyd List 1-190 - Edit'!$C$1:$AQ$220,'Book Details - NO EDIT'!L$1,FALSE)</f>
        <v>22</v>
      </c>
      <c r="M49" s="140">
        <f t="shared" si="3"/>
        <v>8</v>
      </c>
      <c r="N49" s="140">
        <f t="shared" si="3"/>
        <v>1</v>
      </c>
      <c r="O49" s="140">
        <f t="shared" si="3"/>
        <v>0</v>
      </c>
      <c r="P49" s="140" t="str">
        <f t="shared" si="3"/>
        <v/>
      </c>
      <c r="Q49" s="140" t="str">
        <f t="shared" si="4"/>
        <v/>
      </c>
      <c r="R49" s="140" t="str">
        <f t="shared" si="4"/>
        <v/>
      </c>
      <c r="S49" s="140" t="str">
        <f t="shared" si="5"/>
        <v/>
      </c>
      <c r="T49" s="140">
        <f t="shared" si="1"/>
        <v>3</v>
      </c>
      <c r="U49" s="139">
        <f t="shared" si="6"/>
        <v>47</v>
      </c>
      <c r="V49" s="31" t="str">
        <f t="shared" si="7"/>
        <v>Caroline (1864–1940)</v>
      </c>
      <c r="W49" s="31" t="str">
        <f t="shared" si="8"/>
        <v>Caroline (#47)</v>
      </c>
      <c r="X49" s="99" t="str">
        <f t="shared" si="9"/>
        <v>Caroline (1864–1940: #47)</v>
      </c>
      <c r="Y49" s="99" t="str">
        <f t="shared" si="27"/>
        <v>Caroline Foster LOYD</v>
      </c>
      <c r="Z49" s="99" t="str">
        <f t="shared" si="10"/>
        <v>Edward (1820–1890: #22)</v>
      </c>
      <c r="AA49" s="99" t="str">
        <f t="shared" si="17"/>
        <v xml:space="preserve">Edward (1820–1890: #22) Edward (1780–1863: #8) William (1729–1800: #1)     </v>
      </c>
      <c r="AB49" s="142" t="str">
        <f>VLOOKUP(U49,'Siblings of those BORN Loyd'!$A$2:$G$230,7,FALSE)</f>
        <v xml:space="preserve">6 – Mary (1848–1934: #31) Elinor (1853–1895: #36) Fa (1855–1927: #39) Frederic (1856–1936: #41) Meg (1859–1936: #43) Llewellyn (1861–1939: #45)   </v>
      </c>
      <c r="AC49" s="115" t="str">
        <f>IF(ISNA(IF(K49="Boy",VLOOKUP(A49,'Siblings of those BORN Loyd'!$AP$3:$AQ$70,2,FALSE),VLOOKUP(A49,'Children of Female Loyds'!$AR$5:$AT$60,3,FALSE))),AM49,IF(K49="Boy",VLOOKUP(A49,'Siblings of those BORN Loyd'!$AP$3:$AQ$70,2,FALSE),VLOOKUP(A49,'Children of Female Loyds'!$AR$5:$AT$60,3,FALSE)))</f>
        <v xml:space="preserve">2 - Loyd HARDCASTLE (1893 - 1955: #47a) Canon Joseph HARDCASTLE (1899 - 1972: #47b)      </v>
      </c>
      <c r="AD49" s="97" t="str">
        <f t="shared" si="26"/>
        <v xml:space="preserve">2 - John HARDCASTLE (1923 -: #47aa) Priscilla HARDCASTLE (1954 -: #47ab)                 </v>
      </c>
      <c r="AE49" s="105" t="str">
        <f>IF(ISNA(IF(K49="Boy",VLOOKUP(A49,'Grandchildren of Male Loyds'!$AQ$3:$AS$51,3,FALSE),VLOOKUP(A49,'Grandchildren of Female Loyds'!$AX$5:$AZ$63,3,FALSE))),AM49,IF(K49="Boy",VLOOKUP(A49,'Grandchildren of Male Loyds'!$AQ$3:$AS$51,3,FALSE),VLOOKUP(A49,'Grandchildren of Female Loyds'!$AX$5:$AZ$63,3,FALSE)))</f>
        <v xml:space="preserve">John HARDCASTLE (1923 -: #47aa) Priscilla HARDCASTLE (1954 -: #47ab)              </v>
      </c>
      <c r="AF49" s="105" t="str">
        <f>IF(ISNA(VLOOKUP(A49,'Grandchildren Loyd Daughters'!$BD$5:$BF$50,4,FALSE)),"",VLOOKUP(A49,'Grandchildren Loyd Daughters'!$BD$5:$BF$50,3,FALSE))</f>
        <v/>
      </c>
      <c r="AG49" s="129">
        <f>IF(ISNA(VLOOKUP(A49,'Grandchildren of Male Loyds'!$AQ$3:$AR$60,2,FALSE)),0,VLOOKUP(A49,'Grandchildren of Male Loyds'!$AQ$3:$AR$60,2,FALSE))+IF(ISNA(VLOOKUP(A49,'Grandchildren of Female Loyds'!$AX$5:$AY$50,2,FALSE)),0,VLOOKUP(A49,'Grandchildren of Female Loyds'!$AX$5:$AY$50,2,FALSE))+IF(ISNA(VLOOKUP(A49,'Grandchildren Loyd Daughters'!$BD$5:$BE$50,2,FALSE)),0,VLOOKUP(A49,'Grandchildren Loyd Daughters'!$BD$5:$BE$50,2,FALSE))</f>
        <v>2</v>
      </c>
      <c r="AH49" s="129" t="str">
        <f>VLOOKUP($U49,'Loyd List 1-190 - Edit'!$P$3:$AJ$220,21,FALSE)</f>
        <v>Caroline Louisa FOSTER (b. 6 Aug 1825, d. 8 Feb 1900)</v>
      </c>
      <c r="AI49" s="129" t="str">
        <f>VLOOKUP(A49,'Updated Bios &amp; Spouse Details'!$A$1:$J$200,7,FALSE)</f>
        <v>Alfred HARDCASTLE (b. 30 Mar 1857, d. 1 Aug 1927)</v>
      </c>
      <c r="AJ49" s="130" t="str">
        <f>IF(VLOOKUP($A49,'Loyd List 1-190 - Edit'!$C$1:$AQ$220,'Book Details - NO EDIT'!AJ$1,FALSE)="","",(VLOOKUP($A49,'Loyd List 1-190 - Edit'!$C$1:$AQ$220,'Book Details - NO EDIT'!AJ$1,FALSE)))</f>
        <v>08/03/1892</v>
      </c>
      <c r="AK49" s="129" t="str">
        <f>VLOOKUP(A49,'Updated Bios &amp; Spouse Details'!$A$1:$J$200,8,FALSE)</f>
        <v>Married at St Lawrence’s, Hawkhurst, Alfred eldest son of Edward HARDCASTLE MP of New Lodge, Hawkhurst, Kent.</v>
      </c>
      <c r="AL49" s="131" t="str">
        <f>VLOOKUP(A49,'Updated Bios &amp; Spouse Details'!$A$1:$J$200,5,FALSE)</f>
        <v>Caroline was the 5th and youngest daughter of Edward (1820–1890: #22). Born 10 Jul 1864 at Prestwich Lodge, Manchester. Baptised 30 Aug 1864 at Prestwich Church. Died 3 Dec 1940. Issue: 2 sons.</v>
      </c>
      <c r="AM49" s="105" t="str">
        <f>IF(AND(LEN(H49)&gt;0,ISNA(IF(K49="Boy",VLOOKUP(A49,'Siblings of those BORN Loyd'!$AP$3:$AQ$70,2,FALSE),VLOOKUP(A49,'Children of Female Loyds'!$AR$5:$AS$60,2,FALSE)))),"d.s.p","")</f>
        <v/>
      </c>
      <c r="AN49" s="99" t="str">
        <f t="shared" si="28"/>
        <v>Edward (1820–1890: #22)</v>
      </c>
      <c r="AO49" s="99" t="str">
        <f t="shared" si="18"/>
        <v>Edward (1780–1863: #8)</v>
      </c>
      <c r="AP49" s="99" t="str">
        <f t="shared" si="19"/>
        <v>William (1729–1800: #1)</v>
      </c>
      <c r="AQ49" s="99" t="str">
        <f t="shared" si="20"/>
        <v/>
      </c>
      <c r="AR49" s="99" t="str">
        <f t="shared" si="21"/>
        <v/>
      </c>
      <c r="AS49" s="99" t="str">
        <f t="shared" si="22"/>
        <v/>
      </c>
      <c r="AT49" s="99" t="str">
        <f t="shared" si="23"/>
        <v/>
      </c>
      <c r="AU49" s="99" t="str">
        <f t="shared" si="24"/>
        <v/>
      </c>
      <c r="AW49" s="116" t="str">
        <f>VLOOKUP(A49,'Updated Bios &amp; Spouse Details'!$A$1:$J$193,6,FALSE)</f>
        <v>England</v>
      </c>
      <c r="AX49" s="131">
        <f>VLOOKUP($A49,'Loyd List 1-190 - Edit'!$P$2:$AQ$220,AX$1,FALSE)</f>
        <v>47</v>
      </c>
      <c r="AY49" s="116" t="str">
        <f>IF(ISNA(VLOOKUP(A49,'Data check lookup table'!$G$2:$V$73,13,FALSE))," - ",VLOOKUP(A49,'Data check lookup table'!$G$2:$V$73,13,FALSE))</f>
        <v xml:space="preserve"> - </v>
      </c>
      <c r="AZ49" s="147" t="str">
        <f t="shared" si="14"/>
        <v>03/12/1940</v>
      </c>
      <c r="BA49" s="99" t="str">
        <f t="shared" si="29"/>
        <v/>
      </c>
      <c r="BB49" s="99" t="str">
        <f t="shared" si="30"/>
        <v/>
      </c>
      <c r="BI49" s="147" t="s">
        <v>3181</v>
      </c>
    </row>
    <row r="50" spans="1:61" s="99" customFormat="1" ht="68">
      <c r="A50" s="139">
        <f>'Loyd List 1-190 - Edit'!C50</f>
        <v>48</v>
      </c>
      <c r="B50" s="99" t="str">
        <f>VLOOKUP($A50,'Loyd List 1-190 - Edit'!$C$1:$AQ$220,'Book Details - NO EDIT'!B$1,FALSE)</f>
        <v>Caroline</v>
      </c>
      <c r="C50" s="99" t="str">
        <f>IF(VLOOKUP($A50,'Loyd List 1-190 - Edit'!$C$1:$AQ$220,'Book Details - NO EDIT'!C$1,FALSE)="","",VLOOKUP($A50,'Loyd List 1-190 - Edit'!$C$1:$AQ$220,'Book Details - NO EDIT'!C$1,FALSE))</f>
        <v>Beatrice</v>
      </c>
      <c r="D50" s="99" t="str">
        <f>IF(VLOOKUP($A50,'Loyd List 1-190 - Edit'!$C$1:$AQ$220,'Book Details - NO EDIT'!D$1,FALSE)="","",VLOOKUP($A50,'Loyd List 1-190 - Edit'!$C$1:$AQ$220,'Book Details - NO EDIT'!D$1,FALSE))</f>
        <v/>
      </c>
      <c r="E50" s="99" t="str">
        <f>IF(VLOOKUP($A50,'Loyd List 1-190 - Edit'!$C$1:$AQ$220,'Book Details - NO EDIT'!E$1,FALSE)="","",VLOOKUP($A50,'Loyd List 1-190 - Edit'!$C$1:$AQ$220,'Book Details - NO EDIT'!E$1,FALSE))</f>
        <v>LOYD</v>
      </c>
      <c r="F50" s="99" t="str">
        <f>IF(VLOOKUP($A50,'Loyd List 1-190 - Edit'!$C$1:$AQ$220,'Book Details - NO EDIT'!F$1,FALSE)="",B50,VLOOKUP($A50,'Loyd List 1-190 - Edit'!$C$1:$AQ$220,'Book Details - NO EDIT'!F$1,FALSE))</f>
        <v>Caroline</v>
      </c>
      <c r="G50" s="140">
        <f>IF(VLOOKUP($A50,'Loyd List 1-190 - Edit'!$C$1:$AQ$220,'Book Details - NO EDIT'!G$1,FALSE)="","",VALUE(VLOOKUP($A50,'Loyd List 1-190 - Edit'!$C$1:$AQ$220,'Book Details - NO EDIT'!G$1,FALSE)))</f>
        <v>1865</v>
      </c>
      <c r="H50" s="140">
        <f>IF(VLOOKUP($A50,'Loyd List 1-190 - Edit'!$C$1:$AQ$220,'Book Details - NO EDIT'!H$1,FALSE)="","",VALUE(VLOOKUP($A50,'Loyd List 1-190 - Edit'!$C$1:$AQ$220,'Book Details - NO EDIT'!H$1,FALSE)))</f>
        <v>1938</v>
      </c>
      <c r="I50" s="141" t="str">
        <f>IF(VLOOKUP($A50,'Loyd List 1-190 - Edit'!$C$1:$AQ$220,'Book Details - NO EDIT'!I$1,FALSE)="","",(VLOOKUP($A50,'Loyd List 1-190 - Edit'!$C$1:$AQ$220,'Book Details - NO EDIT'!I$1,FALSE)))</f>
        <v>02/04/1865</v>
      </c>
      <c r="J50" s="141" t="str">
        <f>IF(VLOOKUP($A50,'Loyd List 1-190 - Edit'!$C$1:$AQ$220,'Book Details - NO EDIT'!J$1,FALSE)="","",(VLOOKUP($A50,'Loyd List 1-190 - Edit'!$C$1:$AQ$220,'Book Details - NO EDIT'!J$1,FALSE)))</f>
        <v>21/02/1938</v>
      </c>
      <c r="K50" s="100" t="str">
        <f>VLOOKUP($A50,'Loyd List 1-190 - Edit'!$C$1:$AQ$220,'Book Details - NO EDIT'!K$1,FALSE)</f>
        <v>Girl</v>
      </c>
      <c r="L50" s="140">
        <f>VLOOKUP($A50,'Loyd List 1-190 - Edit'!$C$1:$AQ$220,'Book Details - NO EDIT'!L$1,FALSE)</f>
        <v>23</v>
      </c>
      <c r="M50" s="140">
        <f t="shared" si="3"/>
        <v>8</v>
      </c>
      <c r="N50" s="140">
        <f t="shared" si="3"/>
        <v>1</v>
      </c>
      <c r="O50" s="140">
        <f t="shared" si="3"/>
        <v>0</v>
      </c>
      <c r="P50" s="140" t="str">
        <f t="shared" si="3"/>
        <v/>
      </c>
      <c r="Q50" s="140" t="str">
        <f t="shared" si="4"/>
        <v/>
      </c>
      <c r="R50" s="140" t="str">
        <f t="shared" si="4"/>
        <v/>
      </c>
      <c r="S50" s="140" t="str">
        <f t="shared" si="5"/>
        <v/>
      </c>
      <c r="T50" s="140">
        <f t="shared" si="1"/>
        <v>3</v>
      </c>
      <c r="U50" s="139">
        <f t="shared" si="6"/>
        <v>48</v>
      </c>
      <c r="V50" s="31" t="str">
        <f t="shared" si="7"/>
        <v>Caroline (1865–1938)</v>
      </c>
      <c r="W50" s="31" t="str">
        <f t="shared" si="8"/>
        <v>Caroline (#48)</v>
      </c>
      <c r="X50" s="99" t="str">
        <f t="shared" si="9"/>
        <v>Caroline (1865–1938: #48)</v>
      </c>
      <c r="Y50" s="99" t="str">
        <f t="shared" si="27"/>
        <v>Caroline Beatrice LOYD</v>
      </c>
      <c r="Z50" s="99" t="str">
        <f t="shared" si="10"/>
        <v>William (1821–1885: #23)</v>
      </c>
      <c r="AA50" s="99" t="str">
        <f t="shared" si="17"/>
        <v xml:space="preserve">William (1821–1885: #23) Edward (1780–1863: #8) William (1729–1800: #1)     </v>
      </c>
      <c r="AB50" s="142" t="str">
        <f>VLOOKUP(U50,'Siblings of those BORN Loyd'!$A$2:$G$230,7,FALSE)</f>
        <v>8 – Lewis (1852–1908: #35) Gertrude (1854–1924: #38) Harriet (1856–1921: #40) Dulcie (1858–1905: #42) Harry (1861–1938: #44) William (1863–1923: #46)  Mary (1867–1867: #49) Arthur (1868–1911: #50)</v>
      </c>
      <c r="AC50" s="115" t="str">
        <f>IF(ISNA(IF(K50="Boy",VLOOKUP(A50,'Siblings of those BORN Loyd'!$AP$3:$AQ$70,2,FALSE),VLOOKUP(A50,'Children of Female Loyds'!$AR$5:$AT$60,3,FALSE))),AM50,IF(K50="Boy",VLOOKUP(A50,'Siblings of those BORN Loyd'!$AP$3:$AQ$70,2,FALSE),VLOOKUP(A50,'Children of Female Loyds'!$AR$5:$AT$60,3,FALSE)))</f>
        <v xml:space="preserve">1 - Mabell D'OYLY (1904 - 1983: #48a)       </v>
      </c>
      <c r="AD50" s="97" t="str">
        <f t="shared" si="26"/>
        <v>-</v>
      </c>
      <c r="AE50" s="105" t="str">
        <f>IF(ISNA(IF(K50="Boy",VLOOKUP(A50,'Grandchildren of Male Loyds'!$AQ$3:$AS$51,3,FALSE),VLOOKUP(A50,'Grandchildren of Female Loyds'!$AX$5:$AZ$63,3,FALSE))),AM50,IF(K50="Boy",VLOOKUP(A50,'Grandchildren of Male Loyds'!$AQ$3:$AS$51,3,FALSE),VLOOKUP(A50,'Grandchildren of Female Loyds'!$AX$5:$AZ$63,3,FALSE)))</f>
        <v/>
      </c>
      <c r="AF50" s="105" t="str">
        <f>IF(ISNA(VLOOKUP(A50,'Grandchildren Loyd Daughters'!$BD$5:$BF$50,4,FALSE)),"",VLOOKUP(A50,'Grandchildren Loyd Daughters'!$BD$5:$BF$50,3,FALSE))</f>
        <v/>
      </c>
      <c r="AG50" s="129">
        <f>IF(ISNA(VLOOKUP(A50,'Grandchildren of Male Loyds'!$AQ$3:$AR$60,2,FALSE)),0,VLOOKUP(A50,'Grandchildren of Male Loyds'!$AQ$3:$AR$60,2,FALSE))+IF(ISNA(VLOOKUP(A50,'Grandchildren of Female Loyds'!$AX$5:$AY$50,2,FALSE)),0,VLOOKUP(A50,'Grandchildren of Female Loyds'!$AX$5:$AY$50,2,FALSE))+IF(ISNA(VLOOKUP(A50,'Grandchildren Loyd Daughters'!$BD$5:$BE$50,2,FALSE)),0,VLOOKUP(A50,'Grandchildren Loyd Daughters'!$BD$5:$BE$50,2,FALSE))</f>
        <v>0</v>
      </c>
      <c r="AH50" s="129" t="str">
        <f>VLOOKUP($U50,'Loyd List 1-190 - Edit'!$P$3:$AJ$220,21,FALSE)</f>
        <v>Caroline Gertrude Walker VIVIAN (b. 1829, d. 28 Nov 1893)</v>
      </c>
      <c r="AI50" s="129" t="str">
        <f>VLOOKUP(A50,'Updated Bios &amp; Spouse Details'!$A$1:$J$200,7,FALSE)</f>
        <v>George Halford D’OYLY (b. 21 Feb 1855, d. 21 Feb 1909)</v>
      </c>
      <c r="AJ50" s="130">
        <f>IF(VLOOKUP($A50,'Loyd List 1-190 - Edit'!$C$1:$AQ$220,'Book Details - NO EDIT'!AJ$1,FALSE)="","",(VLOOKUP($A50,'Loyd List 1-190 - Edit'!$C$1:$AQ$220,'Book Details - NO EDIT'!AJ$1,FALSE)))</f>
        <v>557</v>
      </c>
      <c r="AK50" s="129" t="str">
        <f>VLOOKUP(A50,'Updated Bios &amp; Spouse Details'!$A$1:$J$200,8,FALSE)</f>
        <v>Married, near Ashford in Kent, George, a Major in the Devon Regiment, and son of the Rev Charles John D’OYLY of Great Chart.</v>
      </c>
      <c r="AL50" s="131" t="str">
        <f>VLOOKUP(A50,'Updated Bios &amp; Spouse Details'!$A$1:$J$200,5,FALSE)</f>
        <v>Caroline was the 4th daughter of William (1821–1885: #23). Born 2 Apr 1865. Died 21 Feb 1938.</v>
      </c>
      <c r="AM50" s="105" t="str">
        <f>IF(AND(LEN(H50)&gt;0,ISNA(IF(K50="Boy",VLOOKUP(A50,'Siblings of those BORN Loyd'!$AP$3:$AQ$70,2,FALSE),VLOOKUP(A50,'Children of Female Loyds'!$AR$5:$AS$60,2,FALSE)))),"d.s.p","")</f>
        <v/>
      </c>
      <c r="AN50" s="99" t="str">
        <f t="shared" si="28"/>
        <v>William (1821–1885: #23)</v>
      </c>
      <c r="AO50" s="99" t="str">
        <f t="shared" si="18"/>
        <v>Edward (1780–1863: #8)</v>
      </c>
      <c r="AP50" s="99" t="str">
        <f t="shared" si="19"/>
        <v>William (1729–1800: #1)</v>
      </c>
      <c r="AQ50" s="99" t="str">
        <f t="shared" si="20"/>
        <v/>
      </c>
      <c r="AR50" s="99" t="str">
        <f t="shared" si="21"/>
        <v/>
      </c>
      <c r="AS50" s="99" t="str">
        <f t="shared" si="22"/>
        <v/>
      </c>
      <c r="AT50" s="99" t="str">
        <f t="shared" si="23"/>
        <v/>
      </c>
      <c r="AU50" s="99" t="str">
        <f t="shared" si="24"/>
        <v/>
      </c>
      <c r="AW50" s="116" t="str">
        <f>VLOOKUP(A50,'Updated Bios &amp; Spouse Details'!$A$1:$J$193,6,FALSE)</f>
        <v>England</v>
      </c>
      <c r="AX50" s="131">
        <f>VLOOKUP($A50,'Loyd List 1-190 - Edit'!$P$2:$AQ$220,AX$1,FALSE)</f>
        <v>48</v>
      </c>
      <c r="AY50" s="116" t="str">
        <f>IF(ISNA(VLOOKUP(A50,'Data check lookup table'!$G$2:$V$73,13,FALSE))," - ",VLOOKUP(A50,'Data check lookup table'!$G$2:$V$73,13,FALSE))</f>
        <v xml:space="preserve"> - </v>
      </c>
      <c r="AZ50" s="147" t="str">
        <f t="shared" si="14"/>
        <v>21/02/1938</v>
      </c>
      <c r="BA50" s="99" t="str">
        <f t="shared" si="29"/>
        <v/>
      </c>
      <c r="BB50" s="99" t="str">
        <f t="shared" si="30"/>
        <v/>
      </c>
      <c r="BI50" s="147" t="s">
        <v>3182</v>
      </c>
    </row>
    <row r="51" spans="1:61" s="99" customFormat="1" ht="34">
      <c r="A51" s="139">
        <f>'Loyd List 1-190 - Edit'!C51</f>
        <v>49</v>
      </c>
      <c r="B51" s="99" t="str">
        <f>VLOOKUP($A51,'Loyd List 1-190 - Edit'!$C$1:$AQ$220,'Book Details - NO EDIT'!B$1,FALSE)</f>
        <v>Mary</v>
      </c>
      <c r="C51" s="99" t="str">
        <f>IF(VLOOKUP($A51,'Loyd List 1-190 - Edit'!$C$1:$AQ$220,'Book Details - NO EDIT'!C$1,FALSE)="","",VLOOKUP($A51,'Loyd List 1-190 - Edit'!$C$1:$AQ$220,'Book Details - NO EDIT'!C$1,FALSE))</f>
        <v>Winifrid</v>
      </c>
      <c r="D51" s="99" t="str">
        <f>IF(VLOOKUP($A51,'Loyd List 1-190 - Edit'!$C$1:$AQ$220,'Book Details - NO EDIT'!D$1,FALSE)="","",VLOOKUP($A51,'Loyd List 1-190 - Edit'!$C$1:$AQ$220,'Book Details - NO EDIT'!D$1,FALSE))</f>
        <v/>
      </c>
      <c r="E51" s="99" t="str">
        <f>IF(VLOOKUP($A51,'Loyd List 1-190 - Edit'!$C$1:$AQ$220,'Book Details - NO EDIT'!E$1,FALSE)="","",VLOOKUP($A51,'Loyd List 1-190 - Edit'!$C$1:$AQ$220,'Book Details - NO EDIT'!E$1,FALSE))</f>
        <v>LOYD</v>
      </c>
      <c r="F51" s="99" t="str">
        <f>IF(VLOOKUP($A51,'Loyd List 1-190 - Edit'!$C$1:$AQ$220,'Book Details - NO EDIT'!F$1,FALSE)="",B51,VLOOKUP($A51,'Loyd List 1-190 - Edit'!$C$1:$AQ$220,'Book Details - NO EDIT'!F$1,FALSE))</f>
        <v>Mary</v>
      </c>
      <c r="G51" s="140">
        <f>IF(VLOOKUP($A51,'Loyd List 1-190 - Edit'!$C$1:$AQ$220,'Book Details - NO EDIT'!G$1,FALSE)="","",VALUE(VLOOKUP($A51,'Loyd List 1-190 - Edit'!$C$1:$AQ$220,'Book Details - NO EDIT'!G$1,FALSE)))</f>
        <v>1867</v>
      </c>
      <c r="H51" s="140">
        <f>IF(VLOOKUP($A51,'Loyd List 1-190 - Edit'!$C$1:$AQ$220,'Book Details - NO EDIT'!H$1,FALSE)="","",VALUE(VLOOKUP($A51,'Loyd List 1-190 - Edit'!$C$1:$AQ$220,'Book Details - NO EDIT'!H$1,FALSE)))</f>
        <v>1867</v>
      </c>
      <c r="I51" s="141" t="str">
        <f>IF(VLOOKUP($A51,'Loyd List 1-190 - Edit'!$C$1:$AQ$220,'Book Details - NO EDIT'!I$1,FALSE)="","",(VLOOKUP($A51,'Loyd List 1-190 - Edit'!$C$1:$AQ$220,'Book Details - NO EDIT'!I$1,FALSE)))</f>
        <v>19/01/1867</v>
      </c>
      <c r="J51" s="141" t="str">
        <f>IF(VLOOKUP($A51,'Loyd List 1-190 - Edit'!$C$1:$AQ$220,'Book Details - NO EDIT'!J$1,FALSE)="","",(VLOOKUP($A51,'Loyd List 1-190 - Edit'!$C$1:$AQ$220,'Book Details - NO EDIT'!J$1,FALSE)))</f>
        <v>19/01/1867</v>
      </c>
      <c r="K51" s="100" t="str">
        <f>VLOOKUP($A51,'Loyd List 1-190 - Edit'!$C$1:$AQ$220,'Book Details - NO EDIT'!K$1,FALSE)</f>
        <v>Girl</v>
      </c>
      <c r="L51" s="140">
        <f>VLOOKUP($A51,'Loyd List 1-190 - Edit'!$C$1:$AQ$220,'Book Details - NO EDIT'!L$1,FALSE)</f>
        <v>23</v>
      </c>
      <c r="M51" s="140">
        <f t="shared" si="3"/>
        <v>8</v>
      </c>
      <c r="N51" s="140">
        <f t="shared" si="3"/>
        <v>1</v>
      </c>
      <c r="O51" s="140">
        <f t="shared" si="3"/>
        <v>0</v>
      </c>
      <c r="P51" s="140" t="str">
        <f t="shared" si="3"/>
        <v/>
      </c>
      <c r="Q51" s="140" t="str">
        <f t="shared" si="4"/>
        <v/>
      </c>
      <c r="R51" s="140" t="str">
        <f t="shared" si="4"/>
        <v/>
      </c>
      <c r="S51" s="140" t="str">
        <f t="shared" si="5"/>
        <v/>
      </c>
      <c r="T51" s="140">
        <f t="shared" si="1"/>
        <v>3</v>
      </c>
      <c r="U51" s="139">
        <f t="shared" si="6"/>
        <v>49</v>
      </c>
      <c r="V51" s="31" t="str">
        <f t="shared" si="7"/>
        <v>Mary (1867–1867)</v>
      </c>
      <c r="W51" s="31" t="str">
        <f t="shared" si="8"/>
        <v>Mary (#49)</v>
      </c>
      <c r="X51" s="99" t="str">
        <f t="shared" si="9"/>
        <v>Mary (1867–1867: #49)</v>
      </c>
      <c r="Y51" s="99" t="str">
        <f t="shared" si="27"/>
        <v>Mary Winifrid LOYD</v>
      </c>
      <c r="Z51" s="99" t="str">
        <f t="shared" si="10"/>
        <v>William (1821–1885: #23)</v>
      </c>
      <c r="AA51" s="99" t="str">
        <f t="shared" si="17"/>
        <v xml:space="preserve">William (1821–1885: #23) Edward (1780–1863: #8) William (1729–1800: #1)     </v>
      </c>
      <c r="AB51" s="142" t="str">
        <f>VLOOKUP(U51,'Siblings of those BORN Loyd'!$A$2:$G$230,7,FALSE)</f>
        <v>8 – Lewis (1852–1908: #35) Gertrude (1854–1924: #38) Harriet (1856–1921: #40) Dulcie (1858–1905: #42) Harry (1861–1938: #44) William (1863–1923: #46) Caroline (1865–1938: #48)  Arthur (1868–1911: #50)</v>
      </c>
      <c r="AC51" s="115" t="str">
        <f>IF(ISNA(IF(K51="Boy",VLOOKUP(A51,'Siblings of those BORN Loyd'!$AP$3:$AQ$70,2,FALSE),VLOOKUP(A51,'Children of Female Loyds'!$AR$5:$AT$60,3,FALSE))),AM51,IF(K51="Boy",VLOOKUP(A51,'Siblings of those BORN Loyd'!$AP$3:$AQ$70,2,FALSE),VLOOKUP(A51,'Children of Female Loyds'!$AR$5:$AT$60,3,FALSE)))</f>
        <v>d.s.p</v>
      </c>
      <c r="AD51" s="97" t="str">
        <f t="shared" si="26"/>
        <v>d.s.p.</v>
      </c>
      <c r="AE51" s="105" t="str">
        <f>IF(ISNA(IF(K51="Boy",VLOOKUP(A51,'Grandchildren of Male Loyds'!$AQ$3:$AS$51,3,FALSE),VLOOKUP(A51,'Grandchildren of Female Loyds'!$AX$5:$AZ$63,3,FALSE))),AM51,IF(K51="Boy",VLOOKUP(A51,'Grandchildren of Male Loyds'!$AQ$3:$AS$51,3,FALSE),VLOOKUP(A51,'Grandchildren of Female Loyds'!$AX$5:$AZ$63,3,FALSE)))</f>
        <v>d.s.p</v>
      </c>
      <c r="AF51" s="105" t="str">
        <f>IF(ISNA(VLOOKUP(A51,'Grandchildren Loyd Daughters'!$BD$5:$BF$50,4,FALSE)),"",VLOOKUP(A51,'Grandchildren Loyd Daughters'!$BD$5:$BF$50,3,FALSE))</f>
        <v/>
      </c>
      <c r="AG51" s="129">
        <f>IF(ISNA(VLOOKUP(A51,'Grandchildren of Male Loyds'!$AQ$3:$AR$60,2,FALSE)),0,VLOOKUP(A51,'Grandchildren of Male Loyds'!$AQ$3:$AR$60,2,FALSE))+IF(ISNA(VLOOKUP(A51,'Grandchildren of Female Loyds'!$AX$5:$AY$50,2,FALSE)),0,VLOOKUP(A51,'Grandchildren of Female Loyds'!$AX$5:$AY$50,2,FALSE))+IF(ISNA(VLOOKUP(A51,'Grandchildren Loyd Daughters'!$BD$5:$BE$50,2,FALSE)),0,VLOOKUP(A51,'Grandchildren Loyd Daughters'!$BD$5:$BE$50,2,FALSE))</f>
        <v>0</v>
      </c>
      <c r="AH51" s="129" t="str">
        <f>VLOOKUP($U51,'Loyd List 1-190 - Edit'!$P$3:$AJ$220,21,FALSE)</f>
        <v>Caroline Gertrude Walker VIVIAN (b. 1829, d. 28 Nov 1893)</v>
      </c>
      <c r="AI51" s="129" t="str">
        <f>VLOOKUP(A51,'Updated Bios &amp; Spouse Details'!$A$1:$J$200,7,FALSE)</f>
        <v>Died in infancy.</v>
      </c>
      <c r="AJ51" s="130" t="str">
        <f>IF(VLOOKUP($A51,'Loyd List 1-190 - Edit'!$C$1:$AQ$220,'Book Details - NO EDIT'!AJ$1,FALSE)="","",(VLOOKUP($A51,'Loyd List 1-190 - Edit'!$C$1:$AQ$220,'Book Details - NO EDIT'!AJ$1,FALSE)))</f>
        <v xml:space="preserve"> - </v>
      </c>
      <c r="AK51" s="129" t="str">
        <f>VLOOKUP(A51,'Updated Bios &amp; Spouse Details'!$A$1:$J$200,8,FALSE)</f>
        <v xml:space="preserve"> - </v>
      </c>
      <c r="AL51" s="131" t="str">
        <f>VLOOKUP(A51,'Updated Bios &amp; Spouse Details'!$A$1:$J$200,5,FALSE)</f>
        <v>Mary was the 5th and youngest daughter of William (1821–1885: #23). Born 19 Jan 1867. Died in infancy on 19 Jan 1867.</v>
      </c>
      <c r="AM51" s="105" t="str">
        <f>IF(AND(LEN(H51)&gt;0,ISNA(IF(K51="Boy",VLOOKUP(A51,'Siblings of those BORN Loyd'!$AP$3:$AQ$70,2,FALSE),VLOOKUP(A51,'Children of Female Loyds'!$AR$5:$AS$60,2,FALSE)))),"d.s.p","")</f>
        <v>d.s.p</v>
      </c>
      <c r="AN51" s="99" t="str">
        <f t="shared" si="28"/>
        <v>William (1821–1885: #23)</v>
      </c>
      <c r="AO51" s="99" t="str">
        <f t="shared" si="18"/>
        <v>Edward (1780–1863: #8)</v>
      </c>
      <c r="AP51" s="99" t="str">
        <f t="shared" si="19"/>
        <v>William (1729–1800: #1)</v>
      </c>
      <c r="AQ51" s="99" t="str">
        <f t="shared" si="20"/>
        <v/>
      </c>
      <c r="AR51" s="99" t="str">
        <f t="shared" si="21"/>
        <v/>
      </c>
      <c r="AS51" s="99" t="str">
        <f t="shared" si="22"/>
        <v/>
      </c>
      <c r="AT51" s="99" t="str">
        <f t="shared" si="23"/>
        <v/>
      </c>
      <c r="AU51" s="99" t="str">
        <f t="shared" si="24"/>
        <v/>
      </c>
      <c r="AW51" s="116" t="str">
        <f>VLOOKUP(A51,'Updated Bios &amp; Spouse Details'!$A$1:$J$193,6,FALSE)</f>
        <v>England</v>
      </c>
      <c r="AX51" s="131">
        <f>VLOOKUP($A51,'Loyd List 1-190 - Edit'!$P$2:$AQ$220,AX$1,FALSE)</f>
        <v>49</v>
      </c>
      <c r="AY51" s="116" t="str">
        <f>IF(ISNA(VLOOKUP(A51,'Data check lookup table'!$G$2:$V$73,13,FALSE))," - ",VLOOKUP(A51,'Data check lookup table'!$G$2:$V$73,13,FALSE))</f>
        <v xml:space="preserve"> - </v>
      </c>
      <c r="AZ51" s="147" t="str">
        <f t="shared" si="14"/>
        <v>19/01/1867</v>
      </c>
      <c r="BA51" s="99" t="str">
        <f t="shared" si="29"/>
        <v/>
      </c>
      <c r="BB51" s="99" t="str">
        <f t="shared" si="30"/>
        <v/>
      </c>
      <c r="BI51" s="147" t="s">
        <v>1104</v>
      </c>
    </row>
    <row r="52" spans="1:61" s="99" customFormat="1" ht="102">
      <c r="A52" s="139">
        <f>'Loyd List 1-190 - Edit'!C52</f>
        <v>50</v>
      </c>
      <c r="B52" s="99" t="str">
        <f>VLOOKUP($A52,'Loyd List 1-190 - Edit'!$C$1:$AQ$220,'Book Details - NO EDIT'!B$1,FALSE)</f>
        <v>Arthur</v>
      </c>
      <c r="C52" s="99" t="str">
        <f>IF(VLOOKUP($A52,'Loyd List 1-190 - Edit'!$C$1:$AQ$220,'Book Details - NO EDIT'!C$1,FALSE)="","",VLOOKUP($A52,'Loyd List 1-190 - Edit'!$C$1:$AQ$220,'Book Details - NO EDIT'!C$1,FALSE))</f>
        <v>Heneage</v>
      </c>
      <c r="D52" s="99" t="str">
        <f>IF(VLOOKUP($A52,'Loyd List 1-190 - Edit'!$C$1:$AQ$220,'Book Details - NO EDIT'!D$1,FALSE)="","",VLOOKUP($A52,'Loyd List 1-190 - Edit'!$C$1:$AQ$220,'Book Details - NO EDIT'!D$1,FALSE))</f>
        <v/>
      </c>
      <c r="E52" s="99" t="str">
        <f>IF(VLOOKUP($A52,'Loyd List 1-190 - Edit'!$C$1:$AQ$220,'Book Details - NO EDIT'!E$1,FALSE)="","",VLOOKUP($A52,'Loyd List 1-190 - Edit'!$C$1:$AQ$220,'Book Details - NO EDIT'!E$1,FALSE))</f>
        <v>LOYD</v>
      </c>
      <c r="F52" s="99" t="str">
        <f>IF(VLOOKUP($A52,'Loyd List 1-190 - Edit'!$C$1:$AQ$220,'Book Details - NO EDIT'!F$1,FALSE)="",B52,VLOOKUP($A52,'Loyd List 1-190 - Edit'!$C$1:$AQ$220,'Book Details - NO EDIT'!F$1,FALSE))</f>
        <v>Arthur</v>
      </c>
      <c r="G52" s="140">
        <f>IF(VLOOKUP($A52,'Loyd List 1-190 - Edit'!$C$1:$AQ$220,'Book Details - NO EDIT'!G$1,FALSE)="","",VALUE(VLOOKUP($A52,'Loyd List 1-190 - Edit'!$C$1:$AQ$220,'Book Details - NO EDIT'!G$1,FALSE)))</f>
        <v>1868</v>
      </c>
      <c r="H52" s="140">
        <f>IF(VLOOKUP($A52,'Loyd List 1-190 - Edit'!$C$1:$AQ$220,'Book Details - NO EDIT'!H$1,FALSE)="","",VALUE(VLOOKUP($A52,'Loyd List 1-190 - Edit'!$C$1:$AQ$220,'Book Details - NO EDIT'!H$1,FALSE)))</f>
        <v>1911</v>
      </c>
      <c r="I52" s="141" t="str">
        <f>IF(VLOOKUP($A52,'Loyd List 1-190 - Edit'!$C$1:$AQ$220,'Book Details - NO EDIT'!I$1,FALSE)="","",(VLOOKUP($A52,'Loyd List 1-190 - Edit'!$C$1:$AQ$220,'Book Details - NO EDIT'!I$1,FALSE)))</f>
        <v>20/07/1868</v>
      </c>
      <c r="J52" s="141" t="str">
        <f>IF(VLOOKUP($A52,'Loyd List 1-190 - Edit'!$C$1:$AQ$220,'Book Details - NO EDIT'!J$1,FALSE)="","",(VLOOKUP($A52,'Loyd List 1-190 - Edit'!$C$1:$AQ$220,'Book Details - NO EDIT'!J$1,FALSE)))</f>
        <v>21/06/1911</v>
      </c>
      <c r="K52" s="100" t="str">
        <f>VLOOKUP($A52,'Loyd List 1-190 - Edit'!$C$1:$AQ$220,'Book Details - NO EDIT'!K$1,FALSE)</f>
        <v>Boy</v>
      </c>
      <c r="L52" s="140">
        <f>VLOOKUP($A52,'Loyd List 1-190 - Edit'!$C$1:$AQ$220,'Book Details - NO EDIT'!L$1,FALSE)</f>
        <v>23</v>
      </c>
      <c r="M52" s="140">
        <f t="shared" si="3"/>
        <v>8</v>
      </c>
      <c r="N52" s="140">
        <f t="shared" si="3"/>
        <v>1</v>
      </c>
      <c r="O52" s="140">
        <f t="shared" si="3"/>
        <v>0</v>
      </c>
      <c r="P52" s="140" t="str">
        <f t="shared" si="3"/>
        <v/>
      </c>
      <c r="Q52" s="140" t="str">
        <f t="shared" si="4"/>
        <v/>
      </c>
      <c r="R52" s="140" t="str">
        <f t="shared" si="4"/>
        <v/>
      </c>
      <c r="S52" s="140" t="str">
        <f t="shared" si="5"/>
        <v/>
      </c>
      <c r="T52" s="140">
        <f t="shared" si="1"/>
        <v>3</v>
      </c>
      <c r="U52" s="139">
        <f t="shared" si="6"/>
        <v>50</v>
      </c>
      <c r="V52" s="31" t="str">
        <f t="shared" si="7"/>
        <v>Arthur (1868–1911)</v>
      </c>
      <c r="W52" s="31" t="str">
        <f t="shared" si="8"/>
        <v>Arthur (#50)</v>
      </c>
      <c r="X52" s="99" t="str">
        <f t="shared" si="9"/>
        <v>Arthur (1868–1911: #50)</v>
      </c>
      <c r="Y52" s="99" t="str">
        <f t="shared" si="27"/>
        <v>Arthur Heneage LOYD</v>
      </c>
      <c r="Z52" s="99" t="str">
        <f t="shared" si="10"/>
        <v>William (1821–1885: #23)</v>
      </c>
      <c r="AA52" s="99" t="str">
        <f t="shared" si="17"/>
        <v xml:space="preserve">William (1821–1885: #23) Edward (1780–1863: #8) William (1729–1800: #1)     </v>
      </c>
      <c r="AB52" s="142" t="str">
        <f>VLOOKUP(U52,'Siblings of those BORN Loyd'!$A$2:$G$230,7,FALSE)</f>
        <v xml:space="preserve">8 – Lewis (1852–1908: #35) Gertrude (1854–1924: #38) Harriet (1856–1921: #40) Dulcie (1858–1905: #42) Harry (1861–1938: #44) William (1863–1923: #46) Caroline (1865–1938: #48) Mary (1867–1867: #49) </v>
      </c>
      <c r="AC52" s="115" t="str">
        <f>IF(ISNA(IF(K52="Boy",VLOOKUP(A52,'Siblings of those BORN Loyd'!$AP$3:$AQ$70,2,FALSE),VLOOKUP(A52,'Children of Female Loyds'!$AR$5:$AT$60,3,FALSE))),AM52,IF(K52="Boy",VLOOKUP(A52,'Siblings of those BORN Loyd'!$AP$3:$AQ$70,2,FALSE),VLOOKUP(A52,'Children of Female Loyds'!$AR$5:$AT$60,3,FALSE)))</f>
        <v>d.s.p</v>
      </c>
      <c r="AD52" s="97" t="str">
        <f t="shared" si="26"/>
        <v>d.s.p.</v>
      </c>
      <c r="AE52" s="105" t="str">
        <f>IF(ISNA(IF(K52="Boy",VLOOKUP(A52,'Grandchildren of Male Loyds'!$AQ$3:$AS$51,3,FALSE),VLOOKUP(A52,'Grandchildren of Female Loyds'!$AX$5:$AZ$63,3,FALSE))),AM52,IF(K52="Boy",VLOOKUP(A52,'Grandchildren of Male Loyds'!$AQ$3:$AS$51,3,FALSE),VLOOKUP(A52,'Grandchildren of Female Loyds'!$AX$5:$AZ$63,3,FALSE)))</f>
        <v>d.s.p</v>
      </c>
      <c r="AF52" s="105" t="str">
        <f>IF(ISNA(VLOOKUP(A52,'Grandchildren Loyd Daughters'!$BD$5:$BF$50,4,FALSE)),"",VLOOKUP(A52,'Grandchildren Loyd Daughters'!$BD$5:$BF$50,3,FALSE))</f>
        <v/>
      </c>
      <c r="AG52" s="129">
        <f>IF(ISNA(VLOOKUP(A52,'Grandchildren of Male Loyds'!$AQ$3:$AR$60,2,FALSE)),0,VLOOKUP(A52,'Grandchildren of Male Loyds'!$AQ$3:$AR$60,2,FALSE))+IF(ISNA(VLOOKUP(A52,'Grandchildren of Female Loyds'!$AX$5:$AY$50,2,FALSE)),0,VLOOKUP(A52,'Grandchildren of Female Loyds'!$AX$5:$AY$50,2,FALSE))+IF(ISNA(VLOOKUP(A52,'Grandchildren Loyd Daughters'!$BD$5:$BE$50,2,FALSE)),0,VLOOKUP(A52,'Grandchildren Loyd Daughters'!$BD$5:$BE$50,2,FALSE))</f>
        <v>0</v>
      </c>
      <c r="AH52" s="129" t="str">
        <f>VLOOKUP($U52,'Loyd List 1-190 - Edit'!$P$3:$AJ$220,21,FALSE)</f>
        <v>Caroline Gertrude Walker VIVIAN (b. 1829, d. 28 Nov 1893)</v>
      </c>
      <c r="AI52" s="129" t="str">
        <f>VLOOKUP(A52,'Updated Bios &amp; Spouse Details'!$A$1:$J$200,7,FALSE)</f>
        <v>Kathleen Agnes HEATH (b. 9 Sep 1872, d. 28 Oct 1913)</v>
      </c>
      <c r="AJ52" s="130" t="str">
        <f>IF(VLOOKUP($A52,'Loyd List 1-190 - Edit'!$C$1:$AQ$220,'Book Details - NO EDIT'!AJ$1,FALSE)="","",(VLOOKUP($A52,'Loyd List 1-190 - Edit'!$C$1:$AQ$220,'Book Details - NO EDIT'!AJ$1,FALSE)))</f>
        <v>06/03/1894</v>
      </c>
      <c r="AK52" s="129" t="str">
        <f>VLOOKUP(A52,'Updated Bios &amp; Spouse Details'!$A$1:$J$200,8,FALSE)</f>
        <v>Married, at St Nicholas’, Strood, Kent, Kathleen daughter of Richard HEATH of Strood, Kent. Kathleen was born in Strood, Kent and died at Bute Street Hospital, Vancouver, British Columbia, Canada.</v>
      </c>
      <c r="AL52" s="131" t="str">
        <f>VLOOKUP(A52,'Updated Bios &amp; Spouse Details'!$A$1:$J$200,5,FALSE)</f>
        <v>Arthur lived at Idaho [33], Ringwood, Hampshire. 4th and youngest son of William (1821–1885: #23). Born 20 Jul 1868 at 77 Eaton Square, London, SW1. Educated Eton 1881-84.  Captain, 2 Vol. Battalion, Warwickshire Regiment 1891-96. 4 Vol. Battalion, Hampshire Regiment 1897-1900. Died 21 Jun 1911 of pneumonia in Las Palmas. DSP Footnote: [33] Idaho was a log house designed by the Architect, Kirtland CUTTER, of Spokane, USA and built in 1897 among pinewoods south of the town.</v>
      </c>
      <c r="AM52" s="105" t="str">
        <f>IF(AND(LEN(H52)&gt;0,ISNA(IF(K52="Boy",VLOOKUP(A52,'Siblings of those BORN Loyd'!$AP$3:$AQ$70,2,FALSE),VLOOKUP(A52,'Children of Female Loyds'!$AR$5:$AS$60,2,FALSE)))),"d.s.p","")</f>
        <v>d.s.p</v>
      </c>
      <c r="AN52" s="99" t="str">
        <f t="shared" si="28"/>
        <v>William (1821–1885: #23)</v>
      </c>
      <c r="AO52" s="99" t="str">
        <f t="shared" si="18"/>
        <v>Edward (1780–1863: #8)</v>
      </c>
      <c r="AP52" s="99" t="str">
        <f t="shared" si="19"/>
        <v>William (1729–1800: #1)</v>
      </c>
      <c r="AQ52" s="99" t="str">
        <f t="shared" si="20"/>
        <v/>
      </c>
      <c r="AR52" s="99" t="str">
        <f t="shared" si="21"/>
        <v/>
      </c>
      <c r="AS52" s="99" t="str">
        <f t="shared" si="22"/>
        <v/>
      </c>
      <c r="AT52" s="99" t="str">
        <f t="shared" si="23"/>
        <v/>
      </c>
      <c r="AU52" s="99" t="str">
        <f t="shared" si="24"/>
        <v/>
      </c>
      <c r="AW52" s="116" t="str">
        <f>VLOOKUP(A52,'Updated Bios &amp; Spouse Details'!$A$1:$J$193,6,FALSE)</f>
        <v>England and USA</v>
      </c>
      <c r="AX52" s="131">
        <f>VLOOKUP($A52,'Loyd List 1-190 - Edit'!$P$2:$AQ$220,AX$1,FALSE)</f>
        <v>50</v>
      </c>
      <c r="AY52" s="116" t="str">
        <f>IF(ISNA(VLOOKUP(A52,'Data check lookup table'!$G$2:$V$73,13,FALSE))," - ",VLOOKUP(A52,'Data check lookup table'!$G$2:$V$73,13,FALSE))</f>
        <v xml:space="preserve"> - </v>
      </c>
      <c r="AZ52" s="147" t="str">
        <f t="shared" si="14"/>
        <v>21/06/1911</v>
      </c>
      <c r="BA52" s="99" t="str">
        <f t="shared" si="29"/>
        <v/>
      </c>
      <c r="BB52" s="99" t="str">
        <f t="shared" si="30"/>
        <v/>
      </c>
      <c r="BI52" s="147" t="s">
        <v>3183</v>
      </c>
    </row>
    <row r="53" spans="1:61" s="99" customFormat="1" ht="102">
      <c r="A53" s="139">
        <f>'Loyd List 1-190 - Edit'!C53</f>
        <v>51</v>
      </c>
      <c r="B53" s="99" t="str">
        <f>VLOOKUP($A53,'Loyd List 1-190 - Edit'!$C$1:$AQ$220,'Book Details - NO EDIT'!B$1,FALSE)</f>
        <v>Lewis</v>
      </c>
      <c r="C53" s="99" t="str">
        <f>IF(VLOOKUP($A53,'Loyd List 1-190 - Edit'!$C$1:$AQ$220,'Book Details - NO EDIT'!C$1,FALSE)="","",VLOOKUP($A53,'Loyd List 1-190 - Edit'!$C$1:$AQ$220,'Book Details - NO EDIT'!C$1,FALSE))</f>
        <v xml:space="preserve">Christopher </v>
      </c>
      <c r="D53" s="99" t="str">
        <f>IF(VLOOKUP($A53,'Loyd List 1-190 - Edit'!$C$1:$AQ$220,'Book Details - NO EDIT'!D$1,FALSE)="","",VLOOKUP($A53,'Loyd List 1-190 - Edit'!$C$1:$AQ$220,'Book Details - NO EDIT'!D$1,FALSE))</f>
        <v/>
      </c>
      <c r="E53" s="99" t="str">
        <f>IF(VLOOKUP($A53,'Loyd List 1-190 - Edit'!$C$1:$AQ$220,'Book Details - NO EDIT'!E$1,FALSE)="","",VLOOKUP($A53,'Loyd List 1-190 - Edit'!$C$1:$AQ$220,'Book Details - NO EDIT'!E$1,FALSE))</f>
        <v>LOYD</v>
      </c>
      <c r="F53" s="99" t="str">
        <f>IF(VLOOKUP($A53,'Loyd List 1-190 - Edit'!$C$1:$AQ$220,'Book Details - NO EDIT'!F$1,FALSE)="",B53,VLOOKUP($A53,'Loyd List 1-190 - Edit'!$C$1:$AQ$220,'Book Details - NO EDIT'!F$1,FALSE))</f>
        <v>Lewis</v>
      </c>
      <c r="G53" s="140">
        <f>IF(VLOOKUP($A53,'Loyd List 1-190 - Edit'!$C$1:$AQ$220,'Book Details - NO EDIT'!G$1,FALSE)="","",VALUE(VLOOKUP($A53,'Loyd List 1-190 - Edit'!$C$1:$AQ$220,'Book Details - NO EDIT'!G$1,FALSE)))</f>
        <v>1875</v>
      </c>
      <c r="H53" s="140">
        <f>IF(VLOOKUP($A53,'Loyd List 1-190 - Edit'!$C$1:$AQ$220,'Book Details - NO EDIT'!H$1,FALSE)="","",VALUE(VLOOKUP($A53,'Loyd List 1-190 - Edit'!$C$1:$AQ$220,'Book Details - NO EDIT'!H$1,FALSE)))</f>
        <v>1947</v>
      </c>
      <c r="I53" s="141" t="str">
        <f>IF(VLOOKUP($A53,'Loyd List 1-190 - Edit'!$C$1:$AQ$220,'Book Details - NO EDIT'!I$1,FALSE)="","",(VLOOKUP($A53,'Loyd List 1-190 - Edit'!$C$1:$AQ$220,'Book Details - NO EDIT'!I$1,FALSE)))</f>
        <v>27/09/1875</v>
      </c>
      <c r="J53" s="141" t="str">
        <f>IF(VLOOKUP($A53,'Loyd List 1-190 - Edit'!$C$1:$AQ$220,'Book Details - NO EDIT'!J$1,FALSE)="","",(VLOOKUP($A53,'Loyd List 1-190 - Edit'!$C$1:$AQ$220,'Book Details - NO EDIT'!J$1,FALSE)))</f>
        <v>17/08/1947</v>
      </c>
      <c r="K53" s="100" t="str">
        <f>VLOOKUP($A53,'Loyd List 1-190 - Edit'!$C$1:$AQ$220,'Book Details - NO EDIT'!K$1,FALSE)</f>
        <v>Boy</v>
      </c>
      <c r="L53" s="140">
        <f>VLOOKUP($A53,'Loyd List 1-190 - Edit'!$C$1:$AQ$220,'Book Details - NO EDIT'!L$1,FALSE)</f>
        <v>28</v>
      </c>
      <c r="M53" s="140">
        <f t="shared" si="3"/>
        <v>14</v>
      </c>
      <c r="N53" s="140">
        <f t="shared" si="3"/>
        <v>4</v>
      </c>
      <c r="O53" s="140">
        <f t="shared" si="3"/>
        <v>1</v>
      </c>
      <c r="P53" s="140">
        <f t="shared" si="3"/>
        <v>0</v>
      </c>
      <c r="Q53" s="140" t="str">
        <f t="shared" si="4"/>
        <v/>
      </c>
      <c r="R53" s="140" t="str">
        <f t="shared" si="4"/>
        <v/>
      </c>
      <c r="S53" s="140" t="str">
        <f t="shared" si="5"/>
        <v/>
      </c>
      <c r="T53" s="140">
        <f t="shared" si="1"/>
        <v>4</v>
      </c>
      <c r="U53" s="139">
        <f t="shared" si="6"/>
        <v>51</v>
      </c>
      <c r="V53" s="31" t="str">
        <f t="shared" si="7"/>
        <v>Lewis (1875–1947)</v>
      </c>
      <c r="W53" s="31" t="str">
        <f t="shared" si="8"/>
        <v>Lewis (#51)</v>
      </c>
      <c r="X53" s="99" t="str">
        <f t="shared" si="9"/>
        <v>Lewis (1875–1947: #51)</v>
      </c>
      <c r="Y53" s="99" t="str">
        <f t="shared" si="27"/>
        <v>Lewis Christopher  LOYD</v>
      </c>
      <c r="Z53" s="99" t="str">
        <f t="shared" si="10"/>
        <v>The Rev Lewis (1844–1905: #28)</v>
      </c>
      <c r="AA53" s="99" t="str">
        <f t="shared" si="17"/>
        <v xml:space="preserve">The Rev Lewis (1844–1905: #28) Thomas (1812–1857: #14) William (1770–1828: #4) William (1729–1800: #1)    </v>
      </c>
      <c r="AB53" s="142" t="str">
        <f>VLOOKUP(U53,'Siblings of those BORN Loyd'!$A$2:$G$230,7,FALSE)</f>
        <v xml:space="preserve">3 – Tommy (1882–1944: #56) Rt Rev Philip (1884–1952: #58) Kitty (1885–1989: #60)     </v>
      </c>
      <c r="AC53" s="115" t="str">
        <f>IF(ISNA(IF(K53="Boy",VLOOKUP(A53,'Siblings of those BORN Loyd'!$AP$3:$AQ$70,2,FALSE),VLOOKUP(A53,'Children of Female Loyds'!$AR$5:$AT$60,3,FALSE))),AM53,IF(K53="Boy",VLOOKUP(A53,'Siblings of those BORN Loyd'!$AP$3:$AQ$70,2,FALSE),VLOOKUP(A53,'Children of Female Loyds'!$AR$5:$AT$60,3,FALSE)))</f>
        <v>d.s.p</v>
      </c>
      <c r="AD53" s="97" t="str">
        <f t="shared" si="26"/>
        <v>d.s.p.</v>
      </c>
      <c r="AE53" s="105" t="str">
        <f>IF(ISNA(IF(K53="Boy",VLOOKUP(A53,'Grandchildren of Male Loyds'!$AQ$3:$AS$51,3,FALSE),VLOOKUP(A53,'Grandchildren of Female Loyds'!$AX$5:$AZ$63,3,FALSE))),AM53,IF(K53="Boy",VLOOKUP(A53,'Grandchildren of Male Loyds'!$AQ$3:$AS$51,3,FALSE),VLOOKUP(A53,'Grandchildren of Female Loyds'!$AX$5:$AZ$63,3,FALSE)))</f>
        <v>d.s.p</v>
      </c>
      <c r="AF53" s="105" t="str">
        <f>IF(ISNA(VLOOKUP(A53,'Grandchildren Loyd Daughters'!$BD$5:$BF$50,4,FALSE)),"",VLOOKUP(A53,'Grandchildren Loyd Daughters'!$BD$5:$BF$50,3,FALSE))</f>
        <v/>
      </c>
      <c r="AG53" s="129">
        <f>IF(ISNA(VLOOKUP(A53,'Grandchildren of Male Loyds'!$AQ$3:$AR$60,2,FALSE)),0,VLOOKUP(A53,'Grandchildren of Male Loyds'!$AQ$3:$AR$60,2,FALSE))+IF(ISNA(VLOOKUP(A53,'Grandchildren of Female Loyds'!$AX$5:$AY$50,2,FALSE)),0,VLOOKUP(A53,'Grandchildren of Female Loyds'!$AX$5:$AY$50,2,FALSE))+IF(ISNA(VLOOKUP(A53,'Grandchildren Loyd Daughters'!$BD$5:$BE$50,2,FALSE)),0,VLOOKUP(A53,'Grandchildren Loyd Daughters'!$BD$5:$BE$50,2,FALSE))</f>
        <v>0</v>
      </c>
      <c r="AH53" s="129" t="str">
        <f>VLOOKUP($U53,'Loyd List 1-190 - Edit'!$P$3:$AJ$220,21,FALSE)</f>
        <v xml:space="preserve">Emily Harriet (Milly) SMYTH (b. 30 Aug 1852, d. 25 Feb 1911) </v>
      </c>
      <c r="AI53" s="129" t="str">
        <f>VLOOKUP(A53,'Updated Bios &amp; Spouse Details'!$A$1:$J$200,7,FALSE)</f>
        <v>Unmarried</v>
      </c>
      <c r="AJ53" s="130" t="str">
        <f>IF(VLOOKUP($A53,'Loyd List 1-190 - Edit'!$C$1:$AQ$220,'Book Details - NO EDIT'!AJ$1,FALSE)="","",(VLOOKUP($A53,'Loyd List 1-190 - Edit'!$C$1:$AQ$220,'Book Details - NO EDIT'!AJ$1,FALSE)))</f>
        <v xml:space="preserve"> - </v>
      </c>
      <c r="AK53" s="129" t="str">
        <f>VLOOKUP(A53,'Updated Bios &amp; Spouse Details'!$A$1:$J$200,8,FALSE)</f>
        <v xml:space="preserve"> - </v>
      </c>
      <c r="AL53" s="131" t="str">
        <f>VLOOKUP(A53,'Updated Bios &amp; Spouse Details'!$A$1:$J$200,5,FALSE)</f>
        <v>Lewis lived at 18 Tite Street, Chelsea, London SW3. eldest son of The Rev Lewis (1844–1905: #28). Born 27 Sep 1875 at Abington Rectory, Northampton. Educated Eton 1889-94 and Trinity College, Cambridge (BA). Career: Barrister-at-Law, Inner Temple 1901 Midland Circuit; Department of the Treasury Solicitor 1917-36 and 1939-46. Author of, “The Origins of some Anglo-Norman Families,” published by Harleian Society 1951. Compiled “A Short Account of the Family of LLOYD of Dugoedydd, Cwm-y-to fach and Court Henry, Camarthenshire, Wales” 1911; and the family tree showing roots back to Thomas LLOYD (1653–1736: #-1) of Dugoedydd 1914. (See pull-out copy at end of Loyd Book in 2000). Died, unmarried, 17 Aug 1947. DSP Lewis created the original family tree of 1914 showing our roots to Wales going back to Thomas LLOYD of Dugoedydd, which provided the basis for much of the later work for the editions of the "Loyd Who's Who."</v>
      </c>
      <c r="AM53" s="105" t="str">
        <f>IF(AND(LEN(H53)&gt;0,ISNA(IF(K53="Boy",VLOOKUP(A53,'Siblings of those BORN Loyd'!$AP$3:$AQ$70,2,FALSE),VLOOKUP(A53,'Children of Female Loyds'!$AR$5:$AS$60,2,FALSE)))),"d.s.p","")</f>
        <v>d.s.p</v>
      </c>
      <c r="AN53" s="99" t="str">
        <f t="shared" si="28"/>
        <v>The Rev Lewis (1844–1905: #28)</v>
      </c>
      <c r="AO53" s="99" t="str">
        <f t="shared" si="18"/>
        <v>Thomas (1812–1857: #14)</v>
      </c>
      <c r="AP53" s="99" t="str">
        <f t="shared" si="19"/>
        <v>William (1770–1828: #4)</v>
      </c>
      <c r="AQ53" s="99" t="str">
        <f t="shared" si="20"/>
        <v>William (1729–1800: #1)</v>
      </c>
      <c r="AR53" s="99" t="str">
        <f t="shared" si="21"/>
        <v/>
      </c>
      <c r="AS53" s="99" t="str">
        <f t="shared" si="22"/>
        <v/>
      </c>
      <c r="AT53" s="99" t="str">
        <f t="shared" si="23"/>
        <v/>
      </c>
      <c r="AU53" s="99" t="str">
        <f t="shared" si="24"/>
        <v/>
      </c>
      <c r="AW53" s="116" t="str">
        <f>VLOOKUP(A53,'Updated Bios &amp; Spouse Details'!$A$1:$J$193,6,FALSE)</f>
        <v>England</v>
      </c>
      <c r="AX53" s="131">
        <f>VLOOKUP($A53,'Loyd List 1-190 - Edit'!$P$2:$AQ$220,AX$1,FALSE)</f>
        <v>51</v>
      </c>
      <c r="AY53" s="116" t="str">
        <f>IF(ISNA(VLOOKUP(A53,'Data check lookup table'!$G$2:$V$73,13,FALSE))," - ",VLOOKUP(A53,'Data check lookup table'!$G$2:$V$73,13,FALSE))</f>
        <v xml:space="preserve"> - </v>
      </c>
      <c r="AZ53" s="147" t="str">
        <f t="shared" si="14"/>
        <v>17/08/1947</v>
      </c>
      <c r="BA53" s="99" t="str">
        <f t="shared" si="29"/>
        <v/>
      </c>
      <c r="BB53" s="99" t="str">
        <f t="shared" si="30"/>
        <v/>
      </c>
      <c r="BI53" s="147" t="s">
        <v>3184</v>
      </c>
    </row>
    <row r="54" spans="1:61" s="99" customFormat="1" ht="187">
      <c r="A54" s="139">
        <f>'Loyd List 1-190 - Edit'!C54</f>
        <v>52</v>
      </c>
      <c r="B54" s="99" t="str">
        <f>VLOOKUP($A54,'Loyd List 1-190 - Edit'!$C$1:$AQ$220,'Book Details - NO EDIT'!B$1,FALSE)</f>
        <v>Lewis</v>
      </c>
      <c r="C54" s="99" t="str">
        <f>IF(VLOOKUP($A54,'Loyd List 1-190 - Edit'!$C$1:$AQ$220,'Book Details - NO EDIT'!C$1,FALSE)="","",VLOOKUP($A54,'Loyd List 1-190 - Edit'!$C$1:$AQ$220,'Book Details - NO EDIT'!C$1,FALSE))</f>
        <v>Frederic</v>
      </c>
      <c r="D54" s="99" t="str">
        <f>IF(VLOOKUP($A54,'Loyd List 1-190 - Edit'!$C$1:$AQ$220,'Book Details - NO EDIT'!D$1,FALSE)="","",VLOOKUP($A54,'Loyd List 1-190 - Edit'!$C$1:$AQ$220,'Book Details - NO EDIT'!D$1,FALSE))</f>
        <v>Innes</v>
      </c>
      <c r="E54" s="99" t="str">
        <f>IF(VLOOKUP($A54,'Loyd List 1-190 - Edit'!$C$1:$AQ$220,'Book Details - NO EDIT'!E$1,FALSE)="","",VLOOKUP($A54,'Loyd List 1-190 - Edit'!$C$1:$AQ$220,'Book Details - NO EDIT'!E$1,FALSE))</f>
        <v>LOYD</v>
      </c>
      <c r="F54" s="99" t="str">
        <f>IF(VLOOKUP($A54,'Loyd List 1-190 - Edit'!$C$1:$AQ$220,'Book Details - NO EDIT'!F$1,FALSE)="",B54,VLOOKUP($A54,'Loyd List 1-190 - Edit'!$C$1:$AQ$220,'Book Details - NO EDIT'!F$1,FALSE))</f>
        <v>Lewis</v>
      </c>
      <c r="G54" s="140">
        <f>IF(VLOOKUP($A54,'Loyd List 1-190 - Edit'!$C$1:$AQ$220,'Book Details - NO EDIT'!G$1,FALSE)="","",VALUE(VLOOKUP($A54,'Loyd List 1-190 - Edit'!$C$1:$AQ$220,'Book Details - NO EDIT'!G$1,FALSE)))</f>
        <v>1880</v>
      </c>
      <c r="H54" s="140">
        <f>IF(VLOOKUP($A54,'Loyd List 1-190 - Edit'!$C$1:$AQ$220,'Book Details - NO EDIT'!H$1,FALSE)="","",VALUE(VLOOKUP($A54,'Loyd List 1-190 - Edit'!$C$1:$AQ$220,'Book Details - NO EDIT'!H$1,FALSE)))</f>
        <v>1918</v>
      </c>
      <c r="I54" s="141" t="str">
        <f>IF(VLOOKUP($A54,'Loyd List 1-190 - Edit'!$C$1:$AQ$220,'Book Details - NO EDIT'!I$1,FALSE)="","",(VLOOKUP($A54,'Loyd List 1-190 - Edit'!$C$1:$AQ$220,'Book Details - NO EDIT'!I$1,FALSE)))</f>
        <v>06/10/1880</v>
      </c>
      <c r="J54" s="141" t="str">
        <f>IF(VLOOKUP($A54,'Loyd List 1-190 - Edit'!$C$1:$AQ$220,'Book Details - NO EDIT'!J$1,FALSE)="","",(VLOOKUP($A54,'Loyd List 1-190 - Edit'!$C$1:$AQ$220,'Book Details - NO EDIT'!J$1,FALSE)))</f>
        <v>21/09/1918</v>
      </c>
      <c r="K54" s="100" t="str">
        <f>VLOOKUP($A54,'Loyd List 1-190 - Edit'!$C$1:$AQ$220,'Book Details - NO EDIT'!K$1,FALSE)</f>
        <v>Boy</v>
      </c>
      <c r="L54" s="140">
        <f>VLOOKUP($A54,'Loyd List 1-190 - Edit'!$C$1:$AQ$220,'Book Details - NO EDIT'!L$1,FALSE)</f>
        <v>41</v>
      </c>
      <c r="M54" s="140">
        <f t="shared" si="3"/>
        <v>22</v>
      </c>
      <c r="N54" s="140">
        <f t="shared" si="3"/>
        <v>8</v>
      </c>
      <c r="O54" s="140">
        <f t="shared" si="3"/>
        <v>1</v>
      </c>
      <c r="P54" s="140">
        <f t="shared" si="3"/>
        <v>0</v>
      </c>
      <c r="Q54" s="140" t="str">
        <f t="shared" si="4"/>
        <v/>
      </c>
      <c r="R54" s="140" t="str">
        <f t="shared" si="4"/>
        <v/>
      </c>
      <c r="S54" s="140" t="str">
        <f t="shared" si="5"/>
        <v/>
      </c>
      <c r="T54" s="140">
        <f t="shared" si="1"/>
        <v>4</v>
      </c>
      <c r="U54" s="139">
        <f t="shared" si="6"/>
        <v>52</v>
      </c>
      <c r="V54" s="31" t="str">
        <f t="shared" si="7"/>
        <v>Lewis (1880–1918)</v>
      </c>
      <c r="W54" s="31" t="str">
        <f t="shared" si="8"/>
        <v>Lewis (#52)</v>
      </c>
      <c r="X54" s="99" t="str">
        <f t="shared" si="9"/>
        <v>Lewis (1880–1918: #52)</v>
      </c>
      <c r="Y54" s="99" t="str">
        <f t="shared" si="27"/>
        <v>Lewis Frederic Innes LOYD</v>
      </c>
      <c r="Z54" s="99" t="str">
        <f t="shared" si="10"/>
        <v>Frederic (1856–1936: #41)</v>
      </c>
      <c r="AA54" s="99" t="str">
        <f t="shared" si="17"/>
        <v xml:space="preserve">Frederic (1856–1936: #41) Edward (1820–1890: #22) Edward (1780–1863: #8) William (1729–1800: #1)    </v>
      </c>
      <c r="AB54" s="142" t="str">
        <f>VLOOKUP(U54,'Siblings of those BORN Loyd'!$A$2:$G$230,7,FALSE)</f>
        <v xml:space="preserve">4 – Edward (1881–1962: #53) Evelyn (1885–1962: #59) Mary (1887–1968: #63) Cecily (1891–1891: #74)    </v>
      </c>
      <c r="AC54" s="115" t="str">
        <f>IF(ISNA(IF(K54="Boy",VLOOKUP(A54,'Siblings of those BORN Loyd'!$AP$3:$AQ$70,2,FALSE),VLOOKUP(A54,'Children of Female Loyds'!$AR$5:$AT$60,3,FALSE))),AM54,IF(K54="Boy",VLOOKUP(A54,'Siblings of those BORN Loyd'!$AP$3:$AQ$70,2,FALSE),VLOOKUP(A54,'Children of Female Loyds'!$AR$5:$AT$60,3,FALSE)))</f>
        <v>1 - Averil (1917–1993: #90)</v>
      </c>
      <c r="AD54" s="97" t="str">
        <f t="shared" si="26"/>
        <v xml:space="preserve">3 -    June MARSHAM-TOWNHEND (1942 - :  #90a) Suki MARSHAM-TOWNHEND (1944 - :  #90b) Jonathan CLARKE (1950 - :  #90c)            </v>
      </c>
      <c r="AE54" s="105" t="str">
        <f>IF(ISNA(IF(K54="Boy",VLOOKUP(A54,'Grandchildren of Male Loyds'!$AQ$3:$AS$51,3,FALSE),VLOOKUP(A54,'Grandchildren of Female Loyds'!$AX$5:$AZ$63,3,FALSE))),AM54,IF(K54="Boy",VLOOKUP(A54,'Grandchildren of Male Loyds'!$AQ$3:$AS$51,3,FALSE),VLOOKUP(A54,'Grandchildren of Female Loyds'!$AX$5:$AZ$63,3,FALSE)))</f>
        <v/>
      </c>
      <c r="AF54" s="105" t="str">
        <f>IF(ISNA(VLOOKUP(A54,'Grandchildren Loyd Daughters'!$BD$5:$BF$50,4,FALSE)),"",VLOOKUP(A54,'Grandchildren Loyd Daughters'!$BD$5:$BF$50,3,FALSE))</f>
        <v xml:space="preserve">June MARSHAM-TOWNHEND (1942 - :  #90a) Suki MARSHAM-TOWNHEND (1944 - :  #90b) Jonathan CLARKE (1950 - :  #90c)            </v>
      </c>
      <c r="AG54" s="129">
        <f>IF(ISNA(VLOOKUP(A54,'Grandchildren of Male Loyds'!$AQ$3:$AR$60,2,FALSE)),0,VLOOKUP(A54,'Grandchildren of Male Loyds'!$AQ$3:$AR$60,2,FALSE))+IF(ISNA(VLOOKUP(A54,'Grandchildren of Female Loyds'!$AX$5:$AY$50,2,FALSE)),0,VLOOKUP(A54,'Grandchildren of Female Loyds'!$AX$5:$AY$50,2,FALSE))+IF(ISNA(VLOOKUP(A54,'Grandchildren Loyd Daughters'!$BD$5:$BE$50,2,FALSE)),0,VLOOKUP(A54,'Grandchildren Loyd Daughters'!$BD$5:$BE$50,2,FALSE))</f>
        <v>3</v>
      </c>
      <c r="AH54" s="129" t="str">
        <f>VLOOKUP($U54,'Loyd List 1-190 - Edit'!$P$3:$AJ$220,21,FALSE)</f>
        <v>Isabella (Isabel) CURREY (b. 26 Apr 1855, d. 16 Jan 1926)</v>
      </c>
      <c r="AI54" s="129" t="str">
        <f>VLOOKUP(A54,'Updated Bios &amp; Spouse Details'!$A$1:$J$200,7,FALSE)</f>
        <v>Mary Christobel CHARRINGTON (b. 18 Nov 1894, d. 9 Jan 1977)</v>
      </c>
      <c r="AJ54" s="130">
        <f>IF(VLOOKUP($A54,'Loyd List 1-190 - Edit'!$C$1:$AQ$220,'Book Details - NO EDIT'!AJ$1,FALSE)="","",(VLOOKUP($A54,'Loyd List 1-190 - Edit'!$C$1:$AQ$220,'Book Details - NO EDIT'!AJ$1,FALSE)))</f>
        <v>5407</v>
      </c>
      <c r="AK54" s="129" t="str">
        <f>VLOOKUP(A54,'Updated Bios &amp; Spouse Details'!$A$1:$J$200,8,FALSE)</f>
        <v>Married Mary youngest daughter of Colonel Francis CHARRINGTON CMG, Staffordshire Regiment, of Pishiobury Park, Hertfordshire. Mary Christobel later married: Secondly, 8 Jun 1920 Lieut Colonel Frank KING DSO, OBE, 4th Hussars. (Div 1925); Thirdly, Oct 1925 Ralph Lambton STOBART MC (d. Mar 1942); &amp;  Fourthly 3 Jun 1946 Jack Sidney SMITH of Chatley Wood, Ringwood, Hampshire.</v>
      </c>
      <c r="AL54" s="131" t="str">
        <f>VLOOKUP(A54,'Updated Bios &amp; Spouse Details'!$A$1:$J$200,5,FALSE)</f>
        <v>Lewis was the elder son of Frederic (1856–1936: #41). He lived firstly at Monk's Orchard, Kent and then Albyns, Romford, Essex and then at Shaw Hill House, Melksham, Wiltshire. Born 6 Oct 1880. Educated Eton 1894-98 and Trinity College, Cambridge. Career: Barrister-at-Law, Inner Temple 1906. Served in WWI in Gallipoli as Major, Lovat’s Scouts, attached Worcestershire Yeomanry. Died 21 Sep 1918 at 12 Landsdowne Road, Dublin, of influenza (1) and pneumonia. Issue: 1 daughter. Footnote: (1) The 1918 influenza pandemic was the most severe pandemic in recent history. It was caused by an H1N1 virus with genes of avian origin. Although there is not universal consensus regarding where the virus originated, it spread worldwide during 1918-1919.  In the United States, it was first identified in military personnel in spring 1918. It is estimated that about 500 million people or one-third of the world’s population became infected with this virus. The number of deaths was estimated to be at least 50 million worldwide</v>
      </c>
      <c r="AM54" s="105" t="str">
        <f>IF(AND(LEN(H54)&gt;0,ISNA(IF(K54="Boy",VLOOKUP(A54,'Siblings of those BORN Loyd'!$AP$3:$AQ$70,2,FALSE),VLOOKUP(A54,'Children of Female Loyds'!$AR$5:$AS$60,2,FALSE)))),"d.s.p","")</f>
        <v/>
      </c>
      <c r="AN54" s="99" t="str">
        <f t="shared" si="28"/>
        <v>Frederic (1856–1936: #41)</v>
      </c>
      <c r="AO54" s="99" t="str">
        <f t="shared" si="18"/>
        <v>Edward (1820–1890: #22)</v>
      </c>
      <c r="AP54" s="99" t="str">
        <f t="shared" si="19"/>
        <v>Edward (1780–1863: #8)</v>
      </c>
      <c r="AQ54" s="99" t="str">
        <f t="shared" si="20"/>
        <v>William (1729–1800: #1)</v>
      </c>
      <c r="AR54" s="99" t="str">
        <f t="shared" si="21"/>
        <v/>
      </c>
      <c r="AS54" s="99" t="str">
        <f t="shared" si="22"/>
        <v/>
      </c>
      <c r="AT54" s="99" t="str">
        <f t="shared" si="23"/>
        <v/>
      </c>
      <c r="AU54" s="99" t="str">
        <f t="shared" si="24"/>
        <v/>
      </c>
      <c r="AW54" s="116" t="str">
        <f>VLOOKUP(A54,'Updated Bios &amp; Spouse Details'!$A$1:$J$193,6,FALSE)</f>
        <v>England</v>
      </c>
      <c r="AX54" s="131">
        <f>VLOOKUP($A54,'Loyd List 1-190 - Edit'!$P$2:$AQ$220,AX$1,FALSE)</f>
        <v>52</v>
      </c>
      <c r="AY54" s="116" t="str">
        <f>IF(ISNA(VLOOKUP(A54,'Data check lookup table'!$G$2:$V$73,13,FALSE))," - ",VLOOKUP(A54,'Data check lookup table'!$G$2:$V$73,13,FALSE))</f>
        <v xml:space="preserve"> - </v>
      </c>
      <c r="AZ54" s="147" t="str">
        <f t="shared" si="14"/>
        <v>21/09/1918</v>
      </c>
      <c r="BA54" s="99" t="str">
        <f t="shared" si="29"/>
        <v/>
      </c>
      <c r="BB54" s="99" t="str">
        <f t="shared" si="30"/>
        <v/>
      </c>
      <c r="BI54" s="147" t="s">
        <v>3185</v>
      </c>
    </row>
    <row r="55" spans="1:61" s="99" customFormat="1" ht="68">
      <c r="A55" s="139">
        <f>'Loyd List 1-190 - Edit'!C55</f>
        <v>53</v>
      </c>
      <c r="B55" s="99" t="str">
        <f>VLOOKUP($A55,'Loyd List 1-190 - Edit'!$C$1:$AQ$220,'Book Details - NO EDIT'!B$1,FALSE)</f>
        <v>Edward</v>
      </c>
      <c r="C55" s="99" t="str">
        <f>IF(VLOOKUP($A55,'Loyd List 1-190 - Edit'!$C$1:$AQ$220,'Book Details - NO EDIT'!C$1,FALSE)="","",VLOOKUP($A55,'Loyd List 1-190 - Edit'!$C$1:$AQ$220,'Book Details - NO EDIT'!C$1,FALSE))</f>
        <v>Noel</v>
      </c>
      <c r="D55" s="99" t="str">
        <f>IF(VLOOKUP($A55,'Loyd List 1-190 - Edit'!$C$1:$AQ$220,'Book Details - NO EDIT'!D$1,FALSE)="","",VLOOKUP($A55,'Loyd List 1-190 - Edit'!$C$1:$AQ$220,'Book Details - NO EDIT'!D$1,FALSE))</f>
        <v>Farnham</v>
      </c>
      <c r="E55" s="99" t="str">
        <f>IF(VLOOKUP($A55,'Loyd List 1-190 - Edit'!$C$1:$AQ$220,'Book Details - NO EDIT'!E$1,FALSE)="","",VLOOKUP($A55,'Loyd List 1-190 - Edit'!$C$1:$AQ$220,'Book Details - NO EDIT'!E$1,FALSE))</f>
        <v>LOYD</v>
      </c>
      <c r="F55" s="99" t="str">
        <f>IF(VLOOKUP($A55,'Loyd List 1-190 - Edit'!$C$1:$AQ$220,'Book Details - NO EDIT'!F$1,FALSE)="",B55,VLOOKUP($A55,'Loyd List 1-190 - Edit'!$C$1:$AQ$220,'Book Details - NO EDIT'!F$1,FALSE))</f>
        <v>Edward</v>
      </c>
      <c r="G55" s="140">
        <f>IF(VLOOKUP($A55,'Loyd List 1-190 - Edit'!$C$1:$AQ$220,'Book Details - NO EDIT'!G$1,FALSE)="","",VALUE(VLOOKUP($A55,'Loyd List 1-190 - Edit'!$C$1:$AQ$220,'Book Details - NO EDIT'!G$1,FALSE)))</f>
        <v>1881</v>
      </c>
      <c r="H55" s="140">
        <f>IF(VLOOKUP($A55,'Loyd List 1-190 - Edit'!$C$1:$AQ$220,'Book Details - NO EDIT'!H$1,FALSE)="","",VALUE(VLOOKUP($A55,'Loyd List 1-190 - Edit'!$C$1:$AQ$220,'Book Details - NO EDIT'!H$1,FALSE)))</f>
        <v>1962</v>
      </c>
      <c r="I55" s="141" t="str">
        <f>IF(VLOOKUP($A55,'Loyd List 1-190 - Edit'!$C$1:$AQ$220,'Book Details - NO EDIT'!I$1,FALSE)="","",(VLOOKUP($A55,'Loyd List 1-190 - Edit'!$C$1:$AQ$220,'Book Details - NO EDIT'!I$1,FALSE)))</f>
        <v>23/12/1881</v>
      </c>
      <c r="J55" s="141" t="str">
        <f>IF(VLOOKUP($A55,'Loyd List 1-190 - Edit'!$C$1:$AQ$220,'Book Details - NO EDIT'!J$1,FALSE)="","",(VLOOKUP($A55,'Loyd List 1-190 - Edit'!$C$1:$AQ$220,'Book Details - NO EDIT'!J$1,FALSE)))</f>
        <v>06/02/1962</v>
      </c>
      <c r="K55" s="100" t="str">
        <f>VLOOKUP($A55,'Loyd List 1-190 - Edit'!$C$1:$AQ$220,'Book Details - NO EDIT'!K$1,FALSE)</f>
        <v>Boy</v>
      </c>
      <c r="L55" s="140">
        <f>VLOOKUP($A55,'Loyd List 1-190 - Edit'!$C$1:$AQ$220,'Book Details - NO EDIT'!L$1,FALSE)</f>
        <v>41</v>
      </c>
      <c r="M55" s="140">
        <f t="shared" si="3"/>
        <v>22</v>
      </c>
      <c r="N55" s="140">
        <f t="shared" si="3"/>
        <v>8</v>
      </c>
      <c r="O55" s="140">
        <f t="shared" si="3"/>
        <v>1</v>
      </c>
      <c r="P55" s="140">
        <f t="shared" si="3"/>
        <v>0</v>
      </c>
      <c r="Q55" s="140" t="str">
        <f t="shared" si="4"/>
        <v/>
      </c>
      <c r="R55" s="140" t="str">
        <f t="shared" si="4"/>
        <v/>
      </c>
      <c r="S55" s="140" t="str">
        <f t="shared" si="5"/>
        <v/>
      </c>
      <c r="T55" s="140">
        <f t="shared" si="1"/>
        <v>4</v>
      </c>
      <c r="U55" s="139">
        <f t="shared" si="6"/>
        <v>53</v>
      </c>
      <c r="V55" s="31" t="str">
        <f t="shared" si="7"/>
        <v>Edward (1881–1962)</v>
      </c>
      <c r="W55" s="31" t="str">
        <f t="shared" si="8"/>
        <v>Edward (#53)</v>
      </c>
      <c r="X55" s="99" t="str">
        <f t="shared" si="9"/>
        <v>Edward (1881–1962: #53)</v>
      </c>
      <c r="Y55" s="99" t="str">
        <f t="shared" si="27"/>
        <v>Edward Noel Farnham LOYD</v>
      </c>
      <c r="Z55" s="99" t="str">
        <f t="shared" si="10"/>
        <v>Frederic (1856–1936: #41)</v>
      </c>
      <c r="AA55" s="99" t="str">
        <f t="shared" si="17"/>
        <v xml:space="preserve">Frederic (1856–1936: #41) Edward (1820–1890: #22) Edward (1780–1863: #8) William (1729–1800: #1)    </v>
      </c>
      <c r="AB55" s="142" t="str">
        <f>VLOOKUP(U55,'Siblings of those BORN Loyd'!$A$2:$G$230,7,FALSE)</f>
        <v xml:space="preserve">4 – Lewis (1880–1918: #52)  Evelyn (1885–1962: #59) Mary (1887–1968: #63) Cecily (1891–1891: #74)    </v>
      </c>
      <c r="AC55" s="115" t="str">
        <f>IF(ISNA(IF(K55="Boy",VLOOKUP(A55,'Siblings of those BORN Loyd'!$AP$3:$AQ$70,2,FALSE),VLOOKUP(A55,'Children of Female Loyds'!$AR$5:$AT$60,3,FALSE))),AM55,IF(K55="Boy",VLOOKUP(A55,'Siblings of those BORN Loyd'!$AP$3:$AQ$70,2,FALSE),VLOOKUP(A55,'Children of Female Loyds'!$AR$5:$AT$60,3,FALSE)))</f>
        <v>1 - Audrey (1922–2005: #97)</v>
      </c>
      <c r="AD55" s="97" t="str">
        <f t="shared" si="26"/>
        <v xml:space="preserve">5 -    Julian SALE (1951 - :  #97a) Iona SALE (1954 - :  #97b) Charles SALE (1956 - 1957:  #97c) Roddy SALE (1959 - :  #97d) Edward SALE (1963 - :  #97e)          </v>
      </c>
      <c r="AE55" s="105" t="str">
        <f>IF(ISNA(IF(K55="Boy",VLOOKUP(A55,'Grandchildren of Male Loyds'!$AQ$3:$AS$51,3,FALSE),VLOOKUP(A55,'Grandchildren of Female Loyds'!$AX$5:$AZ$63,3,FALSE))),AM55,IF(K55="Boy",VLOOKUP(A55,'Grandchildren of Male Loyds'!$AQ$3:$AS$51,3,FALSE),VLOOKUP(A55,'Grandchildren of Female Loyds'!$AX$5:$AZ$63,3,FALSE)))</f>
        <v/>
      </c>
      <c r="AF55" s="105" t="str">
        <f>IF(ISNA(VLOOKUP(A55,'Grandchildren Loyd Daughters'!$BD$5:$BF$50,4,FALSE)),"",VLOOKUP(A55,'Grandchildren Loyd Daughters'!$BD$5:$BF$50,3,FALSE))</f>
        <v xml:space="preserve">Julian SALE (1951 - :  #97a) Iona SALE (1954 - :  #97b) Charles SALE (1956 - 1957:  #97c) Roddy SALE (1959 - :  #97d) Edward SALE (1963 - :  #97e)          </v>
      </c>
      <c r="AG55" s="129">
        <f>IF(ISNA(VLOOKUP(A55,'Grandchildren of Male Loyds'!$AQ$3:$AR$60,2,FALSE)),0,VLOOKUP(A55,'Grandchildren of Male Loyds'!$AQ$3:$AR$60,2,FALSE))+IF(ISNA(VLOOKUP(A55,'Grandchildren of Female Loyds'!$AX$5:$AY$50,2,FALSE)),0,VLOOKUP(A55,'Grandchildren of Female Loyds'!$AX$5:$AY$50,2,FALSE))+IF(ISNA(VLOOKUP(A55,'Grandchildren Loyd Daughters'!$BD$5:$BE$50,2,FALSE)),0,VLOOKUP(A55,'Grandchildren Loyd Daughters'!$BD$5:$BE$50,2,FALSE))</f>
        <v>5</v>
      </c>
      <c r="AH55" s="129" t="str">
        <f>VLOOKUP($U55,'Loyd List 1-190 - Edit'!$P$3:$AJ$220,21,FALSE)</f>
        <v>Isabella (Isabel) CURREY (b. 26 Apr 1855, d. 16 Jan 1926)</v>
      </c>
      <c r="AI55" s="129" t="str">
        <f>VLOOKUP(A55,'Updated Bios &amp; Spouse Details'!$A$1:$J$200,7,FALSE)</f>
        <v>Kathleen Elizabeth Lilian DONOVAN (b. 21 Mar 1896, d. 7 Dec 1983)</v>
      </c>
      <c r="AJ55" s="130">
        <f>IF(VLOOKUP($A55,'Loyd List 1-190 - Edit'!$C$1:$AQ$220,'Book Details - NO EDIT'!AJ$1,FALSE)="","",(VLOOKUP($A55,'Loyd List 1-190 - Edit'!$C$1:$AQ$220,'Book Details - NO EDIT'!AJ$1,FALSE)))</f>
        <v>7126</v>
      </c>
      <c r="AK55" s="129" t="str">
        <f>VLOOKUP(A55,'Updated Bios &amp; Spouse Details'!$A$1:$J$200,8,FALSE)</f>
        <v>Kathleen only daughter of the Rev Sydney Charles DONOVAN MA (1894-1929), Rector of All Saints’, East Horndon, Essex.</v>
      </c>
      <c r="AL55" s="131" t="str">
        <f>VLOOKUP(A55,'Updated Bios &amp; Spouse Details'!$A$1:$J$200,5,FALSE)</f>
        <v>Edward lived at Haughton House, Churchill, Oxfordshire and was the younger son of Frederic (1856–1936: #41). Born 23 Dec 1881. Educated Eton 1895-99 and Trinity College, Cambridge (BA 1903, MA 1906).  Career: DL, JP, CC. Barrister-at-Law, Inner Temple 1906. Served in World War I in France as Corporal, Royal Scots Greys and later as Major, Warwickshire Yeomanry. Died 6 Feb 1962. Issue: 1 daughter.</v>
      </c>
      <c r="AM55" s="105" t="str">
        <f>IF(AND(LEN(H55)&gt;0,ISNA(IF(K55="Boy",VLOOKUP(A55,'Siblings of those BORN Loyd'!$AP$3:$AQ$70,2,FALSE),VLOOKUP(A55,'Children of Female Loyds'!$AR$5:$AS$60,2,FALSE)))),"d.s.p","")</f>
        <v/>
      </c>
      <c r="AN55" s="99" t="str">
        <f t="shared" si="28"/>
        <v>Frederic (1856–1936: #41)</v>
      </c>
      <c r="AO55" s="99" t="str">
        <f t="shared" si="18"/>
        <v>Edward (1820–1890: #22)</v>
      </c>
      <c r="AP55" s="99" t="str">
        <f t="shared" si="19"/>
        <v>Edward (1780–1863: #8)</v>
      </c>
      <c r="AQ55" s="99" t="str">
        <f t="shared" si="20"/>
        <v>William (1729–1800: #1)</v>
      </c>
      <c r="AR55" s="99" t="str">
        <f t="shared" si="21"/>
        <v/>
      </c>
      <c r="AS55" s="99" t="str">
        <f t="shared" si="22"/>
        <v/>
      </c>
      <c r="AT55" s="99" t="str">
        <f t="shared" si="23"/>
        <v/>
      </c>
      <c r="AU55" s="99" t="str">
        <f t="shared" si="24"/>
        <v/>
      </c>
      <c r="AW55" s="116" t="str">
        <f>VLOOKUP(A55,'Updated Bios &amp; Spouse Details'!$A$1:$J$193,6,FALSE)</f>
        <v>England</v>
      </c>
      <c r="AX55" s="131">
        <f>VLOOKUP($A55,'Loyd List 1-190 - Edit'!$P$2:$AQ$220,AX$1,FALSE)</f>
        <v>53</v>
      </c>
      <c r="AY55" s="116" t="str">
        <f>IF(ISNA(VLOOKUP(A55,'Data check lookup table'!$G$2:$V$73,13,FALSE))," - ",VLOOKUP(A55,'Data check lookup table'!$G$2:$V$73,13,FALSE))</f>
        <v xml:space="preserve"> - </v>
      </c>
      <c r="AZ55" s="147" t="str">
        <f t="shared" si="14"/>
        <v>06/02/1962</v>
      </c>
      <c r="BA55" s="99" t="str">
        <f t="shared" si="29"/>
        <v/>
      </c>
      <c r="BB55" s="99" t="str">
        <f t="shared" si="30"/>
        <v/>
      </c>
      <c r="BI55" s="147" t="s">
        <v>3186</v>
      </c>
    </row>
    <row r="56" spans="1:61" s="99" customFormat="1" ht="68">
      <c r="A56" s="139">
        <f>'Loyd List 1-190 - Edit'!C56</f>
        <v>54</v>
      </c>
      <c r="B56" s="99" t="str">
        <f>VLOOKUP($A56,'Loyd List 1-190 - Edit'!$C$1:$AQ$220,'Book Details - NO EDIT'!B$1,FALSE)</f>
        <v>Alfred</v>
      </c>
      <c r="C56" s="99" t="str">
        <f>IF(VLOOKUP($A56,'Loyd List 1-190 - Edit'!$C$1:$AQ$220,'Book Details - NO EDIT'!C$1,FALSE)="","",VLOOKUP($A56,'Loyd List 1-190 - Edit'!$C$1:$AQ$220,'Book Details - NO EDIT'!C$1,FALSE))</f>
        <v>William</v>
      </c>
      <c r="D56" s="99" t="str">
        <f>IF(VLOOKUP($A56,'Loyd List 1-190 - Edit'!$C$1:$AQ$220,'Book Details - NO EDIT'!D$1,FALSE)="","",VLOOKUP($A56,'Loyd List 1-190 - Edit'!$C$1:$AQ$220,'Book Details - NO EDIT'!D$1,FALSE))</f>
        <v>Kirkman</v>
      </c>
      <c r="E56" s="99" t="str">
        <f>IF(VLOOKUP($A56,'Loyd List 1-190 - Edit'!$C$1:$AQ$220,'Book Details - NO EDIT'!E$1,FALSE)="","",VLOOKUP($A56,'Loyd List 1-190 - Edit'!$C$1:$AQ$220,'Book Details - NO EDIT'!E$1,FALSE))</f>
        <v>LOYD</v>
      </c>
      <c r="F56" s="99" t="str">
        <f>IF(VLOOKUP($A56,'Loyd List 1-190 - Edit'!$C$1:$AQ$220,'Book Details - NO EDIT'!F$1,FALSE)="",B56,VLOOKUP($A56,'Loyd List 1-190 - Edit'!$C$1:$AQ$220,'Book Details - NO EDIT'!F$1,FALSE))</f>
        <v>Alfred</v>
      </c>
      <c r="G56" s="140">
        <f>IF(VLOOKUP($A56,'Loyd List 1-190 - Edit'!$C$1:$AQ$220,'Book Details - NO EDIT'!G$1,FALSE)="","",VALUE(VLOOKUP($A56,'Loyd List 1-190 - Edit'!$C$1:$AQ$220,'Book Details - NO EDIT'!G$1,FALSE)))</f>
        <v>1882</v>
      </c>
      <c r="H56" s="140">
        <f>IF(VLOOKUP($A56,'Loyd List 1-190 - Edit'!$C$1:$AQ$220,'Book Details - NO EDIT'!H$1,FALSE)="","",VALUE(VLOOKUP($A56,'Loyd List 1-190 - Edit'!$C$1:$AQ$220,'Book Details - NO EDIT'!H$1,FALSE)))</f>
        <v>1919</v>
      </c>
      <c r="I56" s="141" t="str">
        <f>IF(VLOOKUP($A56,'Loyd List 1-190 - Edit'!$C$1:$AQ$220,'Book Details - NO EDIT'!I$1,FALSE)="","",(VLOOKUP($A56,'Loyd List 1-190 - Edit'!$C$1:$AQ$220,'Book Details - NO EDIT'!I$1,FALSE)))</f>
        <v>10/02/1882</v>
      </c>
      <c r="J56" s="141" t="str">
        <f>IF(VLOOKUP($A56,'Loyd List 1-190 - Edit'!$C$1:$AQ$220,'Book Details - NO EDIT'!J$1,FALSE)="","",(VLOOKUP($A56,'Loyd List 1-190 - Edit'!$C$1:$AQ$220,'Book Details - NO EDIT'!J$1,FALSE)))</f>
        <v>13/02/1919</v>
      </c>
      <c r="K56" s="100" t="str">
        <f>VLOOKUP($A56,'Loyd List 1-190 - Edit'!$C$1:$AQ$220,'Book Details - NO EDIT'!K$1,FALSE)</f>
        <v>Boy</v>
      </c>
      <c r="L56" s="140">
        <f>VLOOKUP($A56,'Loyd List 1-190 - Edit'!$C$1:$AQ$220,'Book Details - NO EDIT'!L$1,FALSE)</f>
        <v>32</v>
      </c>
      <c r="M56" s="140">
        <f t="shared" si="3"/>
        <v>14</v>
      </c>
      <c r="N56" s="140">
        <f t="shared" si="3"/>
        <v>4</v>
      </c>
      <c r="O56" s="140">
        <f t="shared" si="3"/>
        <v>1</v>
      </c>
      <c r="P56" s="140">
        <f t="shared" si="3"/>
        <v>0</v>
      </c>
      <c r="Q56" s="140" t="str">
        <f t="shared" si="4"/>
        <v/>
      </c>
      <c r="R56" s="140" t="str">
        <f t="shared" si="4"/>
        <v/>
      </c>
      <c r="S56" s="140" t="str">
        <f t="shared" si="5"/>
        <v/>
      </c>
      <c r="T56" s="140">
        <f t="shared" si="1"/>
        <v>4</v>
      </c>
      <c r="U56" s="139">
        <f t="shared" si="6"/>
        <v>54</v>
      </c>
      <c r="V56" s="31" t="str">
        <f t="shared" si="7"/>
        <v>Alfred (1882–1919)</v>
      </c>
      <c r="W56" s="31" t="str">
        <f t="shared" si="8"/>
        <v>Alfred (#54)</v>
      </c>
      <c r="X56" s="99" t="str">
        <f t="shared" si="9"/>
        <v>Alfred (1882–1919: #54)</v>
      </c>
      <c r="Y56" s="99" t="str">
        <f t="shared" si="27"/>
        <v>Alfred William Kirkman LOYD</v>
      </c>
      <c r="Z56" s="99" t="str">
        <f t="shared" si="10"/>
        <v>Frank (1848–1934: #32)</v>
      </c>
      <c r="AA56" s="99" t="str">
        <f t="shared" si="17"/>
        <v xml:space="preserve">Frank (1848–1934: #32) Thomas (1812–1857: #14) William (1770–1828: #4) William (1729–1800: #1)    </v>
      </c>
      <c r="AB56" s="142" t="str">
        <f>VLOOKUP(U56,'Siblings of those BORN Loyd'!$A$2:$G$230,7,FALSE)</f>
        <v xml:space="preserve">1 – Tony/Dodo (1889–1956: #67)       </v>
      </c>
      <c r="AC56" s="115" t="str">
        <f>IF(ISNA(IF(K56="Boy",VLOOKUP(A56,'Siblings of those BORN Loyd'!$AP$3:$AQ$70,2,FALSE),VLOOKUP(A56,'Children of Female Loyds'!$AR$5:$AT$60,3,FALSE))),AM56,IF(K56="Boy",VLOOKUP(A56,'Siblings of those BORN Loyd'!$AP$3:$AQ$70,2,FALSE),VLOOKUP(A56,'Children of Female Loyds'!$AR$5:$AT$60,3,FALSE)))</f>
        <v>2 - Sir Francis/Frank (1916–2006: #89); Daphne (1917–1992: #92)</v>
      </c>
      <c r="AD56" s="97" t="str">
        <f t="shared" si="26"/>
        <v xml:space="preserve">6 - Janet (1949–: #123); Diana (1952–: #129)   Tim TATTON-BROWN (1947 - :  #92a) Giles TATTON-BROWN (1948 - :  #92b) Anthea TATTON-BROWN (1951 - :  #92c) Fanny TATTON-BROWN (1954 - :  #92d)           </v>
      </c>
      <c r="AE56" s="105" t="str">
        <f>IF(ISNA(IF(K56="Boy",VLOOKUP(A56,'Grandchildren of Male Loyds'!$AQ$3:$AS$51,3,FALSE),VLOOKUP(A56,'Grandchildren of Female Loyds'!$AX$5:$AZ$63,3,FALSE))),AM56,IF(K56="Boy",VLOOKUP(A56,'Grandchildren of Male Loyds'!$AQ$3:$AS$51,3,FALSE),VLOOKUP(A56,'Grandchildren of Female Loyds'!$AX$5:$AZ$63,3,FALSE)))</f>
        <v>Janet (1949–: #123); Diana (1952–: #129)</v>
      </c>
      <c r="AF56" s="105" t="str">
        <f>IF(ISNA(VLOOKUP(A56,'Grandchildren Loyd Daughters'!$BD$5:$BF$50,4,FALSE)),"",VLOOKUP(A56,'Grandchildren Loyd Daughters'!$BD$5:$BF$50,3,FALSE))</f>
        <v xml:space="preserve">Tim TATTON-BROWN (1947 - :  #92a) Giles TATTON-BROWN (1948 - :  #92b) Anthea TATTON-BROWN (1951 - :  #92c) Fanny TATTON-BROWN (1954 - :  #92d)           </v>
      </c>
      <c r="AG56" s="129">
        <f>IF(ISNA(VLOOKUP(A56,'Grandchildren of Male Loyds'!$AQ$3:$AR$60,2,FALSE)),0,VLOOKUP(A56,'Grandchildren of Male Loyds'!$AQ$3:$AR$60,2,FALSE))+IF(ISNA(VLOOKUP(A56,'Grandchildren of Female Loyds'!$AX$5:$AY$50,2,FALSE)),0,VLOOKUP(A56,'Grandchildren of Female Loyds'!$AX$5:$AY$50,2,FALSE))+IF(ISNA(VLOOKUP(A56,'Grandchildren Loyd Daughters'!$BD$5:$BE$50,2,FALSE)),0,VLOOKUP(A56,'Grandchildren Loyd Daughters'!$BD$5:$BE$50,2,FALSE))</f>
        <v>6</v>
      </c>
      <c r="AH56" s="129" t="str">
        <f>VLOOKUP($U56,'Loyd List 1-190 - Edit'!$P$3:$AJ$220,21,FALSE)</f>
        <v>Frances Maria Jane FETHERSTONHAUGH (b. 10 Feb 1855, d. 6 May 1929)</v>
      </c>
      <c r="AI56" s="129" t="str">
        <f>VLOOKUP(A56,'Updated Bios &amp; Spouse Details'!$A$1:$J$200,7,FALSE)</f>
        <v>Ada Maud Keele GILES (b. 11 Apr 1884, d. 19 Jul 1955)</v>
      </c>
      <c r="AJ56" s="130">
        <f>IF(VLOOKUP($A56,'Loyd List 1-190 - Edit'!$C$1:$AQ$220,'Book Details - NO EDIT'!AJ$1,FALSE)="","",(VLOOKUP($A56,'Loyd List 1-190 - Edit'!$C$1:$AQ$220,'Book Details - NO EDIT'!AJ$1,FALSE)))</f>
        <v>5509</v>
      </c>
      <c r="AK56" s="129" t="str">
        <f>VLOOKUP(A56,'Updated Bios &amp; Spouse Details'!$A$1:$J$200,8,FALSE)</f>
        <v>Married at All Saints’, Woodham, Ada elder daughter of Trelawny B GILES of Grange Cottage, Horsell, Woking, Surrey.</v>
      </c>
      <c r="AL56" s="131" t="str">
        <f>VLOOKUP(A56,'Updated Bios &amp; Spouse Details'!$A$1:$J$200,5,FALSE)</f>
        <v>Alfred lived at Lealands House, Groombridge, Sussex and was the elder son of Frank (1848–1934: #32). Born 10 Feb 1882. Educated Eton 1895-98 and RMC Sandhurst.  Royal Sussex Regiment. Boer War 1901-02 Queen’s Medal and 4 clasps. Captain 1910. Major 1916-19. Served in WWI in France as Brigade Major. Died 13 Feb 1919 at Greystones Military Hospital, Blackpool, Lancashire of heart failure following influenza. Issue: 1 son, 1 daughter.</v>
      </c>
      <c r="AM56" s="105" t="str">
        <f>IF(AND(LEN(H56)&gt;0,ISNA(IF(K56="Boy",VLOOKUP(A56,'Siblings of those BORN Loyd'!$AP$3:$AQ$70,2,FALSE),VLOOKUP(A56,'Children of Female Loyds'!$AR$5:$AS$60,2,FALSE)))),"d.s.p","")</f>
        <v/>
      </c>
      <c r="AN56" s="99" t="str">
        <f t="shared" si="28"/>
        <v>Frank (1848–1934: #32)</v>
      </c>
      <c r="AO56" s="99" t="str">
        <f t="shared" si="18"/>
        <v>Thomas (1812–1857: #14)</v>
      </c>
      <c r="AP56" s="99" t="str">
        <f t="shared" si="19"/>
        <v>William (1770–1828: #4)</v>
      </c>
      <c r="AQ56" s="99" t="str">
        <f t="shared" si="20"/>
        <v>William (1729–1800: #1)</v>
      </c>
      <c r="AR56" s="99" t="str">
        <f t="shared" si="21"/>
        <v/>
      </c>
      <c r="AS56" s="99" t="str">
        <f t="shared" si="22"/>
        <v/>
      </c>
      <c r="AT56" s="99" t="str">
        <f t="shared" si="23"/>
        <v/>
      </c>
      <c r="AU56" s="99" t="str">
        <f t="shared" si="24"/>
        <v/>
      </c>
      <c r="AW56" s="116" t="str">
        <f>VLOOKUP(A56,'Updated Bios &amp; Spouse Details'!$A$1:$J$193,6,FALSE)</f>
        <v>England</v>
      </c>
      <c r="AX56" s="131">
        <f>VLOOKUP($A56,'Loyd List 1-190 - Edit'!$P$2:$AQ$220,AX$1,FALSE)</f>
        <v>54</v>
      </c>
      <c r="AY56" s="116" t="str">
        <f>IF(ISNA(VLOOKUP(A56,'Data check lookup table'!$G$2:$V$73,13,FALSE))," - ",VLOOKUP(A56,'Data check lookup table'!$G$2:$V$73,13,FALSE))</f>
        <v xml:space="preserve"> - </v>
      </c>
      <c r="AZ56" s="147" t="str">
        <f t="shared" si="14"/>
        <v>13/02/1919</v>
      </c>
      <c r="BA56" s="99" t="str">
        <f t="shared" si="29"/>
        <v/>
      </c>
      <c r="BB56" s="99" t="str">
        <f t="shared" si="30"/>
        <v/>
      </c>
      <c r="BI56" s="147" t="s">
        <v>3187</v>
      </c>
    </row>
    <row r="57" spans="1:61" s="99" customFormat="1" ht="204">
      <c r="A57" s="139">
        <f>'Loyd List 1-190 - Edit'!C57</f>
        <v>55</v>
      </c>
      <c r="B57" s="99" t="str">
        <f>VLOOKUP($A57,'Loyd List 1-190 - Edit'!$C$1:$AQ$220,'Book Details - NO EDIT'!B$1,FALSE)</f>
        <v>Lewis</v>
      </c>
      <c r="C57" s="99" t="str">
        <f>IF(VLOOKUP($A57,'Loyd List 1-190 - Edit'!$C$1:$AQ$220,'Book Details - NO EDIT'!C$1,FALSE)="","",VLOOKUP($A57,'Loyd List 1-190 - Edit'!$C$1:$AQ$220,'Book Details - NO EDIT'!C$1,FALSE))</f>
        <v>Richard</v>
      </c>
      <c r="D57" s="99" t="str">
        <f>IF(VLOOKUP($A57,'Loyd List 1-190 - Edit'!$C$1:$AQ$220,'Book Details - NO EDIT'!D$1,FALSE)="","",VLOOKUP($A57,'Loyd List 1-190 - Edit'!$C$1:$AQ$220,'Book Details - NO EDIT'!D$1,FALSE))</f>
        <v>William</v>
      </c>
      <c r="E57" s="99" t="str">
        <f>IF(VLOOKUP($A57,'Loyd List 1-190 - Edit'!$C$1:$AQ$220,'Book Details - NO EDIT'!E$1,FALSE)="","",VLOOKUP($A57,'Loyd List 1-190 - Edit'!$C$1:$AQ$220,'Book Details - NO EDIT'!E$1,FALSE))</f>
        <v>LOYD</v>
      </c>
      <c r="F57" s="99" t="str">
        <f>IF(VLOOKUP($A57,'Loyd List 1-190 - Edit'!$C$1:$AQ$220,'Book Details - NO EDIT'!F$1,FALSE)="",B57,VLOOKUP($A57,'Loyd List 1-190 - Edit'!$C$1:$AQ$220,'Book Details - NO EDIT'!F$1,FALSE))</f>
        <v>Dick</v>
      </c>
      <c r="G57" s="140">
        <f>IF(VLOOKUP($A57,'Loyd List 1-190 - Edit'!$C$1:$AQ$220,'Book Details - NO EDIT'!G$1,FALSE)="","",VALUE(VLOOKUP($A57,'Loyd List 1-190 - Edit'!$C$1:$AQ$220,'Book Details - NO EDIT'!G$1,FALSE)))</f>
        <v>1882</v>
      </c>
      <c r="H57" s="140">
        <f>IF(VLOOKUP($A57,'Loyd List 1-190 - Edit'!$C$1:$AQ$220,'Book Details - NO EDIT'!H$1,FALSE)="","",VALUE(VLOOKUP($A57,'Loyd List 1-190 - Edit'!$C$1:$AQ$220,'Book Details - NO EDIT'!H$1,FALSE)))</f>
        <v>1950</v>
      </c>
      <c r="I57" s="141" t="str">
        <f>IF(VLOOKUP($A57,'Loyd List 1-190 - Edit'!$C$1:$AQ$220,'Book Details - NO EDIT'!I$1,FALSE)="","",(VLOOKUP($A57,'Loyd List 1-190 - Edit'!$C$1:$AQ$220,'Book Details - NO EDIT'!I$1,FALSE)))</f>
        <v>17/04/1882</v>
      </c>
      <c r="J57" s="141" t="str">
        <f>IF(VLOOKUP($A57,'Loyd List 1-190 - Edit'!$C$1:$AQ$220,'Book Details - NO EDIT'!J$1,FALSE)="","",(VLOOKUP($A57,'Loyd List 1-190 - Edit'!$C$1:$AQ$220,'Book Details - NO EDIT'!J$1,FALSE)))</f>
        <v>01/02/1950</v>
      </c>
      <c r="K57" s="100" t="str">
        <f>VLOOKUP($A57,'Loyd List 1-190 - Edit'!$C$1:$AQ$220,'Book Details - NO EDIT'!K$1,FALSE)</f>
        <v>Boy</v>
      </c>
      <c r="L57" s="140">
        <f>VLOOKUP($A57,'Loyd List 1-190 - Edit'!$C$1:$AQ$220,'Book Details - NO EDIT'!L$1,FALSE)</f>
        <v>35</v>
      </c>
      <c r="M57" s="140">
        <f t="shared" si="3"/>
        <v>23</v>
      </c>
      <c r="N57" s="140">
        <f t="shared" si="3"/>
        <v>8</v>
      </c>
      <c r="O57" s="140">
        <f t="shared" si="3"/>
        <v>1</v>
      </c>
      <c r="P57" s="140">
        <f t="shared" si="3"/>
        <v>0</v>
      </c>
      <c r="Q57" s="140" t="str">
        <f t="shared" si="4"/>
        <v/>
      </c>
      <c r="R57" s="140" t="str">
        <f t="shared" si="4"/>
        <v/>
      </c>
      <c r="S57" s="140" t="str">
        <f t="shared" si="5"/>
        <v/>
      </c>
      <c r="T57" s="140">
        <f t="shared" si="1"/>
        <v>4</v>
      </c>
      <c r="U57" s="139">
        <f t="shared" si="6"/>
        <v>55</v>
      </c>
      <c r="V57" s="31" t="str">
        <f t="shared" si="7"/>
        <v>Dick (1882–1950)</v>
      </c>
      <c r="W57" s="31" t="str">
        <f t="shared" si="8"/>
        <v>Dick (#55)</v>
      </c>
      <c r="X57" s="99" t="str">
        <f t="shared" si="9"/>
        <v>Dick (1882–1950: #55)</v>
      </c>
      <c r="Y57" s="99" t="str">
        <f t="shared" si="27"/>
        <v>Lewis Richard William LOYD</v>
      </c>
      <c r="Z57" s="99" t="str">
        <f t="shared" si="10"/>
        <v>Lewis (1852–1908: #35)</v>
      </c>
      <c r="AA57" s="99" t="str">
        <f t="shared" si="17"/>
        <v xml:space="preserve">Lewis (1852–1908: #35) William (1821–1885: #23) Edward (1780–1863: #8) William (1729–1800: #1)    </v>
      </c>
      <c r="AB57" s="142" t="str">
        <f>VLOOKUP(U57,'Siblings of those BORN Loyd'!$A$2:$G$230,7,FALSE)</f>
        <v xml:space="preserve">2 – Robert (1884–1917: #57) Gertrude (1887–1917: #64)      </v>
      </c>
      <c r="AC57" s="115" t="str">
        <f>IF(ISNA(IF(K57="Boy",VLOOKUP(A57,'Siblings of those BORN Loyd'!$AP$3:$AQ$70,2,FALSE),VLOOKUP(A57,'Children of Female Loyds'!$AR$5:$AT$60,3,FALSE))),AM57,IF(K57="Boy",VLOOKUP(A57,'Siblings of those BORN Loyd'!$AP$3:$AQ$70,2,FALSE),VLOOKUP(A57,'Children of Female Loyds'!$AR$5:$AT$60,3,FALSE)))</f>
        <v>5 - Jos (1931–: #108); Deen (1936–2016: #112); Peggy (1939–: #116); Patrick (1942–: #117); Patricia (1942–1942: #118)</v>
      </c>
      <c r="AD57" s="97" t="str">
        <f t="shared" si="26"/>
        <v xml:space="preserve">14 - Susannah (1965–: #147); Elspeth (1967–: #151); Richard (1968–: #153)   Frances HOYLE (1953 - :  #108a) Richard HOYLE (1956 - :  #108b) David HOYLE (1961 - :  #108c) Peter HOYLE (1963 - :  #108d) Kevin DOWNES (1958 - :  #112a) Lynda DOWNES (1960 - :  #112b) Graeme DOWNES (1961 - :  #112c) Lesley DOWNES (1963 - :  #112d) Carl CLULOW (1970 - 1970:  #116a) Kate CLULOW (1971 - :  #116b) Clare CLULOW (1973 - :  #116c)    </v>
      </c>
      <c r="AE57" s="105" t="str">
        <f>IF(ISNA(IF(K57="Boy",VLOOKUP(A57,'Grandchildren of Male Loyds'!$AQ$3:$AS$51,3,FALSE),VLOOKUP(A57,'Grandchildren of Female Loyds'!$AX$5:$AZ$63,3,FALSE))),AM57,IF(K57="Boy",VLOOKUP(A57,'Grandchildren of Male Loyds'!$AQ$3:$AS$51,3,FALSE),VLOOKUP(A57,'Grandchildren of Female Loyds'!$AX$5:$AZ$63,3,FALSE)))</f>
        <v>Susannah (1965–: #147); Elspeth (1967–: #151); Richard (1968–: #153)</v>
      </c>
      <c r="AF57" s="105" t="str">
        <f>IF(ISNA(VLOOKUP(A57,'Grandchildren Loyd Daughters'!$BD$5:$BF$50,4,FALSE)),"",VLOOKUP(A57,'Grandchildren Loyd Daughters'!$BD$5:$BF$50,3,FALSE))</f>
        <v xml:space="preserve">Frances HOYLE (1953 - :  #108a) Richard HOYLE (1956 - :  #108b) David HOYLE (1961 - :  #108c) Peter HOYLE (1963 - :  #108d) Kevin DOWNES (1958 - :  #112a) Lynda DOWNES (1960 - :  #112b) Graeme DOWNES (1961 - :  #112c) Lesley DOWNES (1963 - :  #112d) Carl CLULOW (1970 - 1970:  #116a) Kate CLULOW (1971 - :  #116b) Clare CLULOW (1973 - :  #116c)    </v>
      </c>
      <c r="AG57" s="129">
        <f>IF(ISNA(VLOOKUP(A57,'Grandchildren of Male Loyds'!$AQ$3:$AR$60,2,FALSE)),0,VLOOKUP(A57,'Grandchildren of Male Loyds'!$AQ$3:$AR$60,2,FALSE))+IF(ISNA(VLOOKUP(A57,'Grandchildren of Female Loyds'!$AX$5:$AY$50,2,FALSE)),0,VLOOKUP(A57,'Grandchildren of Female Loyds'!$AX$5:$AY$50,2,FALSE))+IF(ISNA(VLOOKUP(A57,'Grandchildren Loyd Daughters'!$BD$5:$BE$50,2,FALSE)),0,VLOOKUP(A57,'Grandchildren Loyd Daughters'!$BD$5:$BE$50,2,FALSE))</f>
        <v>14</v>
      </c>
      <c r="AH57" s="129" t="str">
        <f>VLOOKUP($U57,'Loyd List 1-190 - Edit'!$P$3:$AJ$220,21,FALSE)</f>
        <v>Lady Mary Sophia HELY-HUTCHINSON (b. 22 Sep 1853, d. 30 Jul 1936)</v>
      </c>
      <c r="AI57" s="129" t="str">
        <f>VLOOKUP(A57,'Updated Bios &amp; Spouse Details'!$A$1:$J$200,7,FALSE)</f>
        <v>(1) Ilma May MONTAGUE (b. 1878/79, )</v>
      </c>
      <c r="AJ57" s="130">
        <f>IF(VLOOKUP($A57,'Loyd List 1-190 - Edit'!$C$1:$AQ$220,'Book Details - NO EDIT'!AJ$1,FALSE)="","",(VLOOKUP($A57,'Loyd List 1-190 - Edit'!$C$1:$AQ$220,'Book Details - NO EDIT'!AJ$1,FALSE)))</f>
        <v>720</v>
      </c>
      <c r="AK57" s="129" t="str">
        <f>VLOOKUP(A57,'Updated Bios &amp; Spouse Details'!$A$1:$J$200,8,FALSE)</f>
        <v>Married (1) Ilma at St Giles Register Office, London. (2) 11 Dec 1935 at the British Consulate, Paris, Alice Selina MYHILL (b. 1 Nov 1909, ). Alice, (aka "Lovely"), daughter of Charles MYHILL of Martham, Norfolk. Later Alice married secondly 18 Jun 1955 Robert Reginald ARKELL-LOYD (b. , d. 11 Mar 1977). Reginald of Greystone, Teignmouth, Devon, formerly ARKEL, changed his name by deed poll in 1955 to ARKELL-LOYD.</v>
      </c>
      <c r="AL57" s="131" t="str">
        <f>VLOOKUP(A57,'Updated Bios &amp; Spouse Details'!$A$1:$J$200,5,FALSE)</f>
        <v>Lewis was the elder son of Lewis (1852–1908: #35) of Withybrook, Wolvey, Warwickshire . Born 17 Apr 1882. Educated Eton 1896-99 and Christ Church, Oxford.  Served in World War I in France and Egypt as Air Mechanic and later as Lieutenant Royal Air Force. Died 1 Feb 1950, buried at Teignmouth, Devon. Issue: (2nd wife) 1 son, 4 daughters.</v>
      </c>
      <c r="AM57" s="105" t="str">
        <f>IF(AND(LEN(H57)&gt;0,ISNA(IF(K57="Boy",VLOOKUP(A57,'Siblings of those BORN Loyd'!$AP$3:$AQ$70,2,FALSE),VLOOKUP(A57,'Children of Female Loyds'!$AR$5:$AS$60,2,FALSE)))),"d.s.p","")</f>
        <v/>
      </c>
      <c r="AN57" s="99" t="str">
        <f t="shared" si="28"/>
        <v>Lewis (1852–1908: #35)</v>
      </c>
      <c r="AO57" s="99" t="str">
        <f t="shared" si="18"/>
        <v>William (1821–1885: #23)</v>
      </c>
      <c r="AP57" s="99" t="str">
        <f t="shared" si="19"/>
        <v>Edward (1780–1863: #8)</v>
      </c>
      <c r="AQ57" s="99" t="str">
        <f t="shared" si="20"/>
        <v>William (1729–1800: #1)</v>
      </c>
      <c r="AR57" s="99" t="str">
        <f t="shared" si="21"/>
        <v/>
      </c>
      <c r="AS57" s="99" t="str">
        <f t="shared" si="22"/>
        <v/>
      </c>
      <c r="AT57" s="99" t="str">
        <f t="shared" si="23"/>
        <v/>
      </c>
      <c r="AU57" s="99" t="str">
        <f t="shared" si="24"/>
        <v/>
      </c>
      <c r="AW57" s="116" t="str">
        <f>VLOOKUP(A57,'Updated Bios &amp; Spouse Details'!$A$1:$J$193,6,FALSE)</f>
        <v>England, France and Egypt</v>
      </c>
      <c r="AX57" s="131">
        <f>VLOOKUP($A57,'Loyd List 1-190 - Edit'!$P$2:$AQ$220,AX$1,FALSE)</f>
        <v>55</v>
      </c>
      <c r="AY57" s="116" t="str">
        <f>IF(ISNA(VLOOKUP(A57,'Data check lookup table'!$G$2:$V$73,13,FALSE))," - ",VLOOKUP(A57,'Data check lookup table'!$G$2:$V$73,13,FALSE))</f>
        <v xml:space="preserve"> - </v>
      </c>
      <c r="AZ57" s="147" t="str">
        <f t="shared" si="14"/>
        <v>01/02/1950</v>
      </c>
      <c r="BA57" s="99" t="str">
        <f t="shared" si="29"/>
        <v/>
      </c>
      <c r="BB57" s="99" t="str">
        <f t="shared" si="30"/>
        <v/>
      </c>
      <c r="BI57" s="147" t="s">
        <v>3188</v>
      </c>
    </row>
    <row r="58" spans="1:61" s="99" customFormat="1" ht="102">
      <c r="A58" s="139">
        <f>'Loyd List 1-190 - Edit'!C58</f>
        <v>56</v>
      </c>
      <c r="B58" s="99" t="str">
        <f>VLOOKUP($A58,'Loyd List 1-190 - Edit'!$C$1:$AQ$220,'Book Details - NO EDIT'!B$1,FALSE)</f>
        <v>Arthur</v>
      </c>
      <c r="C58" s="99" t="str">
        <f>IF(VLOOKUP($A58,'Loyd List 1-190 - Edit'!$C$1:$AQ$220,'Book Details - NO EDIT'!C$1,FALSE)="","",VLOOKUP($A58,'Loyd List 1-190 - Edit'!$C$1:$AQ$220,'Book Details - NO EDIT'!C$1,FALSE))</f>
        <v>Thomas</v>
      </c>
      <c r="D58" s="99" t="str">
        <f>IF(VLOOKUP($A58,'Loyd List 1-190 - Edit'!$C$1:$AQ$220,'Book Details - NO EDIT'!D$1,FALSE)="","",VLOOKUP($A58,'Loyd List 1-190 - Edit'!$C$1:$AQ$220,'Book Details - NO EDIT'!D$1,FALSE))</f>
        <v/>
      </c>
      <c r="E58" s="99" t="str">
        <f>IF(VLOOKUP($A58,'Loyd List 1-190 - Edit'!$C$1:$AQ$220,'Book Details - NO EDIT'!E$1,FALSE)="","",VLOOKUP($A58,'Loyd List 1-190 - Edit'!$C$1:$AQ$220,'Book Details - NO EDIT'!E$1,FALSE))</f>
        <v>LOYD</v>
      </c>
      <c r="F58" s="99" t="str">
        <f>IF(VLOOKUP($A58,'Loyd List 1-190 - Edit'!$C$1:$AQ$220,'Book Details - NO EDIT'!F$1,FALSE)="",B58,VLOOKUP($A58,'Loyd List 1-190 - Edit'!$C$1:$AQ$220,'Book Details - NO EDIT'!F$1,FALSE))</f>
        <v>Tommy</v>
      </c>
      <c r="G58" s="140">
        <f>IF(VLOOKUP($A58,'Loyd List 1-190 - Edit'!$C$1:$AQ$220,'Book Details - NO EDIT'!G$1,FALSE)="","",VALUE(VLOOKUP($A58,'Loyd List 1-190 - Edit'!$C$1:$AQ$220,'Book Details - NO EDIT'!G$1,FALSE)))</f>
        <v>1882</v>
      </c>
      <c r="H58" s="140">
        <f>IF(VLOOKUP($A58,'Loyd List 1-190 - Edit'!$C$1:$AQ$220,'Book Details - NO EDIT'!H$1,FALSE)="","",VALUE(VLOOKUP($A58,'Loyd List 1-190 - Edit'!$C$1:$AQ$220,'Book Details - NO EDIT'!H$1,FALSE)))</f>
        <v>1944</v>
      </c>
      <c r="I58" s="141" t="str">
        <f>IF(VLOOKUP($A58,'Loyd List 1-190 - Edit'!$C$1:$AQ$220,'Book Details - NO EDIT'!I$1,FALSE)="","",(VLOOKUP($A58,'Loyd List 1-190 - Edit'!$C$1:$AQ$220,'Book Details - NO EDIT'!I$1,FALSE)))</f>
        <v>19/04/1882</v>
      </c>
      <c r="J58" s="141" t="str">
        <f>IF(VLOOKUP($A58,'Loyd List 1-190 - Edit'!$C$1:$AQ$220,'Book Details - NO EDIT'!J$1,FALSE)="","",(VLOOKUP($A58,'Loyd List 1-190 - Edit'!$C$1:$AQ$220,'Book Details - NO EDIT'!J$1,FALSE)))</f>
        <v>04/11/1944</v>
      </c>
      <c r="K58" s="100" t="str">
        <f>VLOOKUP($A58,'Loyd List 1-190 - Edit'!$C$1:$AQ$220,'Book Details - NO EDIT'!K$1,FALSE)</f>
        <v>Boy</v>
      </c>
      <c r="L58" s="140">
        <f>VLOOKUP($A58,'Loyd List 1-190 - Edit'!$C$1:$AQ$220,'Book Details - NO EDIT'!L$1,FALSE)</f>
        <v>28</v>
      </c>
      <c r="M58" s="140">
        <f t="shared" si="3"/>
        <v>14</v>
      </c>
      <c r="N58" s="140">
        <f t="shared" si="3"/>
        <v>4</v>
      </c>
      <c r="O58" s="140">
        <f t="shared" si="3"/>
        <v>1</v>
      </c>
      <c r="P58" s="140">
        <f t="shared" si="3"/>
        <v>0</v>
      </c>
      <c r="Q58" s="140" t="str">
        <f t="shared" si="4"/>
        <v/>
      </c>
      <c r="R58" s="140" t="str">
        <f t="shared" si="4"/>
        <v/>
      </c>
      <c r="S58" s="140" t="str">
        <f t="shared" si="5"/>
        <v/>
      </c>
      <c r="T58" s="140">
        <f t="shared" si="1"/>
        <v>4</v>
      </c>
      <c r="U58" s="139">
        <f t="shared" si="6"/>
        <v>56</v>
      </c>
      <c r="V58" s="31" t="str">
        <f t="shared" si="7"/>
        <v>Tommy (1882–1944)</v>
      </c>
      <c r="W58" s="31" t="str">
        <f t="shared" si="8"/>
        <v>Tommy (#56)</v>
      </c>
      <c r="X58" s="99" t="str">
        <f t="shared" si="9"/>
        <v>Tommy (1882–1944: #56)</v>
      </c>
      <c r="Y58" s="99" t="str">
        <f t="shared" si="27"/>
        <v>Arthur Thomas LOYD</v>
      </c>
      <c r="Z58" s="99" t="str">
        <f t="shared" si="10"/>
        <v>The Rev Lewis (1844–1905: #28)</v>
      </c>
      <c r="AA58" s="99" t="str">
        <f t="shared" si="17"/>
        <v xml:space="preserve">The Rev Lewis (1844–1905: #28) Thomas (1812–1857: #14) William (1770–1828: #4) William (1729–1800: #1)    </v>
      </c>
      <c r="AB58" s="142" t="str">
        <f>VLOOKUP(U58,'Siblings of those BORN Loyd'!$A$2:$G$230,7,FALSE)</f>
        <v xml:space="preserve">3 – Lewis (1875–1947: #51)  Rt Rev Philip (1884–1952: #58) Kitty (1885–1989: #60)     </v>
      </c>
      <c r="AC58" s="115" t="str">
        <f>IF(ISNA(IF(K58="Boy",VLOOKUP(A58,'Siblings of those BORN Loyd'!$AP$3:$AQ$70,2,FALSE),VLOOKUP(A58,'Children of Female Loyds'!$AR$5:$AT$60,3,FALSE))),AM58,IF(K58="Boy",VLOOKUP(A58,'Siblings of those BORN Loyd'!$AP$3:$AQ$70,2,FALSE),VLOOKUP(A58,'Children of Female Loyds'!$AR$5:$AT$60,3,FALSE)))</f>
        <v>6 - Anne (1912–2004: #85); John (1913–1943: #87); Martin (1917–1926: #91); Hester (1920–2002: #95); Christopher (1923–2013: #100); Catherine (1923–2014: #101)</v>
      </c>
      <c r="AD58" s="97" t="str">
        <f t="shared" si="26"/>
        <v xml:space="preserve">15 - Thomas (1959–: #138); Harriet (1962–: #143); James (1966–: #150)   Martin LANE FOX (1938 - 2016:  #85a) Edward LANE FOX (1939 - :  #85b) Jenny LANE FOX (1944 - :  #85c) Robin LANE FOX (1946 - :  #85d) Henrietta KNIGHT (1946 - :  #95a) Ce-Ce KNIGHT (1949 - 2020:  #95b) Lady Selina MEADE (1950 - :  #101a) Lady Mary MEADE (1952 - :  #101b) Lady Julia MEADE (1953 - :  #101c) Lady Laura MEADE (1957 - :  #101d) Lady Katherine MEADE (1959 - :  #101e) Lady Sophia MEADE (1963 - :  #101f)   </v>
      </c>
      <c r="AE58" s="105" t="str">
        <f>IF(ISNA(IF(K58="Boy",VLOOKUP(A58,'Grandchildren of Male Loyds'!$AQ$3:$AS$51,3,FALSE),VLOOKUP(A58,'Grandchildren of Female Loyds'!$AX$5:$AZ$63,3,FALSE))),AM58,IF(K58="Boy",VLOOKUP(A58,'Grandchildren of Male Loyds'!$AQ$3:$AS$51,3,FALSE),VLOOKUP(A58,'Grandchildren of Female Loyds'!$AX$5:$AZ$63,3,FALSE)))</f>
        <v>Thomas (1959–: #138); Harriet (1962–: #143); James (1966–: #150)</v>
      </c>
      <c r="AF58" s="105" t="str">
        <f>IF(ISNA(VLOOKUP(A58,'Grandchildren Loyd Daughters'!$BD$5:$BF$50,4,FALSE)),"",VLOOKUP(A58,'Grandchildren Loyd Daughters'!$BD$5:$BF$50,3,FALSE))</f>
        <v xml:space="preserve">Martin LANE FOX (1938 - 2016:  #85a) Edward LANE FOX (1939 - :  #85b) Jenny LANE FOX (1944 - :  #85c) Robin LANE FOX (1946 - :  #85d) Henrietta KNIGHT (1946 - :  #95a) Ce-Ce KNIGHT (1949 - 2020:  #95b) Lady Selina MEADE (1950 - :  #101a) Lady Mary MEADE (1952 - :  #101b) Lady Julia MEADE (1953 - :  #101c) Lady Laura MEADE (1957 - :  #101d) Lady Katherine MEADE (1959 - :  #101e) Lady Sophia MEADE (1963 - :  #101f)   </v>
      </c>
      <c r="AG58" s="129">
        <f>IF(ISNA(VLOOKUP(A58,'Grandchildren of Male Loyds'!$AQ$3:$AR$60,2,FALSE)),0,VLOOKUP(A58,'Grandchildren of Male Loyds'!$AQ$3:$AR$60,2,FALSE))+IF(ISNA(VLOOKUP(A58,'Grandchildren of Female Loyds'!$AX$5:$AY$50,2,FALSE)),0,VLOOKUP(A58,'Grandchildren of Female Loyds'!$AX$5:$AY$50,2,FALSE))+IF(ISNA(VLOOKUP(A58,'Grandchildren Loyd Daughters'!$BD$5:$BE$50,2,FALSE)),0,VLOOKUP(A58,'Grandchildren Loyd Daughters'!$BD$5:$BE$50,2,FALSE))</f>
        <v>15</v>
      </c>
      <c r="AH58" s="129" t="str">
        <f>VLOOKUP($U58,'Loyd List 1-190 - Edit'!$P$3:$AJ$220,21,FALSE)</f>
        <v xml:space="preserve">Emily Harriet (Milly) SMYTH (b. 30 Aug 1852, d. 25 Feb 1911) </v>
      </c>
      <c r="AI58" s="129" t="str">
        <f>VLOOKUP(A58,'Updated Bios &amp; Spouse Details'!$A$1:$J$200,7,FALSE)</f>
        <v>Dorothy WILLERT (b. 19 Jan 1886, d. 15 Jan 1966)</v>
      </c>
      <c r="AJ58" s="130">
        <f>IF(VLOOKUP($A58,'Loyd List 1-190 - Edit'!$C$1:$AQ$220,'Book Details - NO EDIT'!AJ$1,FALSE)="","",(VLOOKUP($A58,'Loyd List 1-190 - Edit'!$C$1:$AQ$220,'Book Details - NO EDIT'!AJ$1,FALSE)))</f>
        <v>4223</v>
      </c>
      <c r="AK58" s="129" t="str">
        <f>VLOOKUP(A58,'Updated Bios &amp; Spouse Details'!$A$1:$J$200,8,FALSE)</f>
        <v>Dorothy  only daughter of Paul Ferdinand WILLERT (1844-1912) of Headington Hill, Oxford. Dorothy is buried at Lockinge.</v>
      </c>
      <c r="AL58" s="131" t="str">
        <f>VLOOKUP(A58,'Updated Bios &amp; Spouse Details'!$A$1:$J$200,5,FALSE)</f>
        <v>Arthur lived at Lockinge House, Wantage, Berkshire and was the 2nd son of the Rev Lewis (1844 -1905: #28). Born 19 Apr 1882. Educated Eton 1895-1900 and Hertford College, Oxford (BA 1904, MA 1918). Career: Egyptian Public Service 1905-18. OBE 1908. Secretary to Lord MILNER, Egyptian Commissioner 1919. JP 1921. MP for Abingdon 1921-23. Ecclesiastical Commissioner 1923. DL 1926. High Sheriff 1927. Lord Lieutenant 1935. Vice-Chairman County Council 1931-38. Chairman County Council 1938. Hon Colonel 80th AA Regiment (TA). Warden of Bradfield College 1938-44 and there is a boys’ house named ‘Loyd’ at the school. Died 4 Nov 1944, buried at Lockinge. Estate £1,157,484. Issue: 3 sons, 3 daughters.</v>
      </c>
      <c r="AM58" s="105" t="str">
        <f>IF(AND(LEN(H58)&gt;0,ISNA(IF(K58="Boy",VLOOKUP(A58,'Siblings of those BORN Loyd'!$AP$3:$AQ$70,2,FALSE),VLOOKUP(A58,'Children of Female Loyds'!$AR$5:$AS$60,2,FALSE)))),"d.s.p","")</f>
        <v/>
      </c>
      <c r="AN58" s="99" t="str">
        <f t="shared" si="28"/>
        <v>The Rev Lewis (1844–1905: #28)</v>
      </c>
      <c r="AO58" s="99" t="str">
        <f t="shared" si="18"/>
        <v>Thomas (1812–1857: #14)</v>
      </c>
      <c r="AP58" s="99" t="str">
        <f t="shared" si="19"/>
        <v>William (1770–1828: #4)</v>
      </c>
      <c r="AQ58" s="99" t="str">
        <f t="shared" si="20"/>
        <v>William (1729–1800: #1)</v>
      </c>
      <c r="AR58" s="99" t="str">
        <f t="shared" si="21"/>
        <v/>
      </c>
      <c r="AS58" s="99" t="str">
        <f t="shared" si="22"/>
        <v/>
      </c>
      <c r="AT58" s="99" t="str">
        <f t="shared" si="23"/>
        <v/>
      </c>
      <c r="AU58" s="99" t="str">
        <f t="shared" si="24"/>
        <v/>
      </c>
      <c r="AW58" s="116" t="str">
        <f>VLOOKUP(A58,'Updated Bios &amp; Spouse Details'!$A$1:$J$193,6,FALSE)</f>
        <v>England and Egypt</v>
      </c>
      <c r="AX58" s="131">
        <f>VLOOKUP($A58,'Loyd List 1-190 - Edit'!$P$2:$AQ$220,AX$1,FALSE)</f>
        <v>56</v>
      </c>
      <c r="AY58" s="116" t="str">
        <f>IF(ISNA(VLOOKUP(A58,'Data check lookup table'!$G$2:$V$73,13,FALSE))," - ",VLOOKUP(A58,'Data check lookup table'!$G$2:$V$73,13,FALSE))</f>
        <v xml:space="preserve"> - </v>
      </c>
      <c r="AZ58" s="147" t="str">
        <f t="shared" si="14"/>
        <v>04/11/1944</v>
      </c>
      <c r="BA58" s="99" t="str">
        <f t="shared" si="29"/>
        <v/>
      </c>
      <c r="BB58" s="99" t="str">
        <f t="shared" si="30"/>
        <v/>
      </c>
      <c r="BI58" s="147" t="s">
        <v>3189</v>
      </c>
    </row>
    <row r="59" spans="1:61" s="99" customFormat="1" ht="34">
      <c r="A59" s="139">
        <f>'Loyd List 1-190 - Edit'!C59</f>
        <v>57</v>
      </c>
      <c r="B59" s="99" t="str">
        <f>VLOOKUP($A59,'Loyd List 1-190 - Edit'!$C$1:$AQ$220,'Book Details - NO EDIT'!B$1,FALSE)</f>
        <v>Robert</v>
      </c>
      <c r="C59" s="99" t="str">
        <f>IF(VLOOKUP($A59,'Loyd List 1-190 - Edit'!$C$1:$AQ$220,'Book Details - NO EDIT'!C$1,FALSE)="","",VLOOKUP($A59,'Loyd List 1-190 - Edit'!$C$1:$AQ$220,'Book Details - NO EDIT'!C$1,FALSE))</f>
        <v>John</v>
      </c>
      <c r="D59" s="99" t="str">
        <f>IF(VLOOKUP($A59,'Loyd List 1-190 - Edit'!$C$1:$AQ$220,'Book Details - NO EDIT'!D$1,FALSE)="","",VLOOKUP($A59,'Loyd List 1-190 - Edit'!$C$1:$AQ$220,'Book Details - NO EDIT'!D$1,FALSE))</f>
        <v xml:space="preserve">Henry </v>
      </c>
      <c r="E59" s="99" t="str">
        <f>IF(VLOOKUP($A59,'Loyd List 1-190 - Edit'!$C$1:$AQ$220,'Book Details - NO EDIT'!E$1,FALSE)="","",VLOOKUP($A59,'Loyd List 1-190 - Edit'!$C$1:$AQ$220,'Book Details - NO EDIT'!E$1,FALSE))</f>
        <v>LOYD</v>
      </c>
      <c r="F59" s="99" t="str">
        <f>IF(VLOOKUP($A59,'Loyd List 1-190 - Edit'!$C$1:$AQ$220,'Book Details - NO EDIT'!F$1,FALSE)="",B59,VLOOKUP($A59,'Loyd List 1-190 - Edit'!$C$1:$AQ$220,'Book Details - NO EDIT'!F$1,FALSE))</f>
        <v>Robert</v>
      </c>
      <c r="G59" s="140">
        <f>IF(VLOOKUP($A59,'Loyd List 1-190 - Edit'!$C$1:$AQ$220,'Book Details - NO EDIT'!G$1,FALSE)="","",VALUE(VLOOKUP($A59,'Loyd List 1-190 - Edit'!$C$1:$AQ$220,'Book Details - NO EDIT'!G$1,FALSE)))</f>
        <v>1884</v>
      </c>
      <c r="H59" s="140">
        <f>IF(VLOOKUP($A59,'Loyd List 1-190 - Edit'!$C$1:$AQ$220,'Book Details - NO EDIT'!H$1,FALSE)="","",VALUE(VLOOKUP($A59,'Loyd List 1-190 - Edit'!$C$1:$AQ$220,'Book Details - NO EDIT'!H$1,FALSE)))</f>
        <v>1917</v>
      </c>
      <c r="I59" s="141" t="str">
        <f>IF(VLOOKUP($A59,'Loyd List 1-190 - Edit'!$C$1:$AQ$220,'Book Details - NO EDIT'!I$1,FALSE)="","",(VLOOKUP($A59,'Loyd List 1-190 - Edit'!$C$1:$AQ$220,'Book Details - NO EDIT'!I$1,FALSE)))</f>
        <v>11/05/1884</v>
      </c>
      <c r="J59" s="141" t="str">
        <f>IF(VLOOKUP($A59,'Loyd List 1-190 - Edit'!$C$1:$AQ$220,'Book Details - NO EDIT'!J$1,FALSE)="","",(VLOOKUP($A59,'Loyd List 1-190 - Edit'!$C$1:$AQ$220,'Book Details - NO EDIT'!J$1,FALSE)))</f>
        <v>23/09/1917</v>
      </c>
      <c r="K59" s="100" t="str">
        <f>VLOOKUP($A59,'Loyd List 1-190 - Edit'!$C$1:$AQ$220,'Book Details - NO EDIT'!K$1,FALSE)</f>
        <v>Boy</v>
      </c>
      <c r="L59" s="140">
        <f>VLOOKUP($A59,'Loyd List 1-190 - Edit'!$C$1:$AQ$220,'Book Details - NO EDIT'!L$1,FALSE)</f>
        <v>35</v>
      </c>
      <c r="M59" s="140">
        <f t="shared" si="3"/>
        <v>23</v>
      </c>
      <c r="N59" s="140">
        <f t="shared" si="3"/>
        <v>8</v>
      </c>
      <c r="O59" s="140">
        <f t="shared" si="3"/>
        <v>1</v>
      </c>
      <c r="P59" s="140">
        <f t="shared" si="3"/>
        <v>0</v>
      </c>
      <c r="Q59" s="140" t="str">
        <f t="shared" si="4"/>
        <v/>
      </c>
      <c r="R59" s="140" t="str">
        <f t="shared" si="4"/>
        <v/>
      </c>
      <c r="S59" s="140" t="str">
        <f t="shared" si="5"/>
        <v/>
      </c>
      <c r="T59" s="140">
        <f t="shared" si="1"/>
        <v>4</v>
      </c>
      <c r="U59" s="139">
        <f t="shared" si="6"/>
        <v>57</v>
      </c>
      <c r="V59" s="31" t="str">
        <f t="shared" si="7"/>
        <v>Robert (1884–1917)</v>
      </c>
      <c r="W59" s="31" t="str">
        <f t="shared" si="8"/>
        <v>Robert (#57)</v>
      </c>
      <c r="X59" s="99" t="str">
        <f t="shared" si="9"/>
        <v>Robert (1884–1917: #57)</v>
      </c>
      <c r="Y59" s="99" t="str">
        <f t="shared" si="27"/>
        <v>Robert John Henry  LOYD</v>
      </c>
      <c r="Z59" s="99" t="str">
        <f t="shared" si="10"/>
        <v>Lewis (1852–1908: #35)</v>
      </c>
      <c r="AA59" s="99" t="str">
        <f t="shared" si="17"/>
        <v xml:space="preserve">Lewis (1852–1908: #35) William (1821–1885: #23) Edward (1780–1863: #8) William (1729–1800: #1)    </v>
      </c>
      <c r="AB59" s="142" t="str">
        <f>VLOOKUP(U59,'Siblings of those BORN Loyd'!$A$2:$G$230,7,FALSE)</f>
        <v xml:space="preserve">2 – Dick (1882–1950: #55)  Gertrude (1887–1917: #64)      </v>
      </c>
      <c r="AC59" s="115" t="str">
        <f>IF(ISNA(IF(K59="Boy",VLOOKUP(A59,'Siblings of those BORN Loyd'!$AP$3:$AQ$70,2,FALSE),VLOOKUP(A59,'Children of Female Loyds'!$AR$5:$AT$60,3,FALSE))),AM59,IF(K59="Boy",VLOOKUP(A59,'Siblings of those BORN Loyd'!$AP$3:$AQ$70,2,FALSE),VLOOKUP(A59,'Children of Female Loyds'!$AR$5:$AT$60,3,FALSE)))</f>
        <v>d.s.p</v>
      </c>
      <c r="AD59" s="97" t="str">
        <f t="shared" si="26"/>
        <v>d.s.p.</v>
      </c>
      <c r="AE59" s="105" t="str">
        <f>IF(ISNA(IF(K59="Boy",VLOOKUP(A59,'Grandchildren of Male Loyds'!$AQ$3:$AS$51,3,FALSE),VLOOKUP(A59,'Grandchildren of Female Loyds'!$AX$5:$AZ$63,3,FALSE))),AM59,IF(K59="Boy",VLOOKUP(A59,'Grandchildren of Male Loyds'!$AQ$3:$AS$51,3,FALSE),VLOOKUP(A59,'Grandchildren of Female Loyds'!$AX$5:$AZ$63,3,FALSE)))</f>
        <v>d.s.p</v>
      </c>
      <c r="AF59" s="105" t="str">
        <f>IF(ISNA(VLOOKUP(A59,'Grandchildren Loyd Daughters'!$BD$5:$BF$50,4,FALSE)),"",VLOOKUP(A59,'Grandchildren Loyd Daughters'!$BD$5:$BF$50,3,FALSE))</f>
        <v/>
      </c>
      <c r="AG59" s="129">
        <f>IF(ISNA(VLOOKUP(A59,'Grandchildren of Male Loyds'!$AQ$3:$AR$60,2,FALSE)),0,VLOOKUP(A59,'Grandchildren of Male Loyds'!$AQ$3:$AR$60,2,FALSE))+IF(ISNA(VLOOKUP(A59,'Grandchildren of Female Loyds'!$AX$5:$AY$50,2,FALSE)),0,VLOOKUP(A59,'Grandchildren of Female Loyds'!$AX$5:$AY$50,2,FALSE))+IF(ISNA(VLOOKUP(A59,'Grandchildren Loyd Daughters'!$BD$5:$BE$50,2,FALSE)),0,VLOOKUP(A59,'Grandchildren Loyd Daughters'!$BD$5:$BE$50,2,FALSE))</f>
        <v>0</v>
      </c>
      <c r="AH59" s="129" t="str">
        <f>VLOOKUP($U59,'Loyd List 1-190 - Edit'!$P$3:$AJ$220,21,FALSE)</f>
        <v>Lady Mary Sophia HELY-HUTCHINSON (b. 22 Sep 1853, d. 30 Jul 1936)</v>
      </c>
      <c r="AI59" s="129" t="str">
        <f>VLOOKUP(A59,'Updated Bios &amp; Spouse Details'!$A$1:$J$200,7,FALSE)</f>
        <v>Unmarried</v>
      </c>
      <c r="AJ59" s="130" t="str">
        <f>IF(VLOOKUP($A59,'Loyd List 1-190 - Edit'!$C$1:$AQ$220,'Book Details - NO EDIT'!AJ$1,FALSE)="","",(VLOOKUP($A59,'Loyd List 1-190 - Edit'!$C$1:$AQ$220,'Book Details - NO EDIT'!AJ$1,FALSE)))</f>
        <v xml:space="preserve"> - </v>
      </c>
      <c r="AK59" s="129" t="str">
        <f>VLOOKUP(A59,'Updated Bios &amp; Spouse Details'!$A$1:$J$200,8,FALSE)</f>
        <v xml:space="preserve"> - </v>
      </c>
      <c r="AL59" s="131" t="str">
        <f>VLOOKUP(A59,'Updated Bios &amp; Spouse Details'!$A$1:$J$200,5,FALSE)</f>
        <v>Robert was the younger son of Lewis (1852–1908: #35) of Withybrook, Wolvey, etc. Born 11 May 1884. Died, unmarried, 23 Sep 1917. DSP</v>
      </c>
      <c r="AM59" s="105" t="str">
        <f>IF(AND(LEN(H59)&gt;0,ISNA(IF(K59="Boy",VLOOKUP(A59,'Siblings of those BORN Loyd'!$AP$3:$AQ$70,2,FALSE),VLOOKUP(A59,'Children of Female Loyds'!$AR$5:$AS$60,2,FALSE)))),"d.s.p","")</f>
        <v>d.s.p</v>
      </c>
      <c r="AN59" s="99" t="str">
        <f t="shared" si="28"/>
        <v>Lewis (1852–1908: #35)</v>
      </c>
      <c r="AO59" s="99" t="str">
        <f t="shared" si="18"/>
        <v>William (1821–1885: #23)</v>
      </c>
      <c r="AP59" s="99" t="str">
        <f t="shared" si="19"/>
        <v>Edward (1780–1863: #8)</v>
      </c>
      <c r="AQ59" s="99" t="str">
        <f t="shared" si="20"/>
        <v>William (1729–1800: #1)</v>
      </c>
      <c r="AR59" s="99" t="str">
        <f t="shared" si="21"/>
        <v/>
      </c>
      <c r="AS59" s="99" t="str">
        <f t="shared" si="22"/>
        <v/>
      </c>
      <c r="AT59" s="99" t="str">
        <f t="shared" si="23"/>
        <v/>
      </c>
      <c r="AU59" s="99" t="str">
        <f t="shared" si="24"/>
        <v/>
      </c>
      <c r="AW59" s="116" t="str">
        <f>VLOOKUP(A59,'Updated Bios &amp; Spouse Details'!$A$1:$J$193,6,FALSE)</f>
        <v>England</v>
      </c>
      <c r="AX59" s="131">
        <f>VLOOKUP($A59,'Loyd List 1-190 - Edit'!$P$2:$AQ$220,AX$1,FALSE)</f>
        <v>57</v>
      </c>
      <c r="AY59" s="116" t="str">
        <f>IF(ISNA(VLOOKUP(A59,'Data check lookup table'!$G$2:$V$73,13,FALSE))," - ",VLOOKUP(A59,'Data check lookup table'!$G$2:$V$73,13,FALSE))</f>
        <v xml:space="preserve"> - </v>
      </c>
      <c r="AZ59" s="147" t="str">
        <f t="shared" si="14"/>
        <v>23/09/1917</v>
      </c>
      <c r="BA59" s="99" t="str">
        <f t="shared" si="29"/>
        <v/>
      </c>
      <c r="BB59" s="99" t="str">
        <f t="shared" si="30"/>
        <v/>
      </c>
      <c r="BI59" s="147" t="s">
        <v>3190</v>
      </c>
    </row>
    <row r="60" spans="1:61" s="99" customFormat="1" ht="102">
      <c r="A60" s="139">
        <f>'Loyd List 1-190 - Edit'!C60</f>
        <v>58</v>
      </c>
      <c r="B60" s="99" t="str">
        <f>VLOOKUP($A60,'Loyd List 1-190 - Edit'!$C$1:$AQ$220,'Book Details - NO EDIT'!B$1,FALSE)</f>
        <v>Rt Rev Philip</v>
      </c>
      <c r="C60" s="99" t="str">
        <f>IF(VLOOKUP($A60,'Loyd List 1-190 - Edit'!$C$1:$AQ$220,'Book Details - NO EDIT'!C$1,FALSE)="","",VLOOKUP($A60,'Loyd List 1-190 - Edit'!$C$1:$AQ$220,'Book Details - NO EDIT'!C$1,FALSE))</f>
        <v>Henry</v>
      </c>
      <c r="D60" s="99" t="str">
        <f>IF(VLOOKUP($A60,'Loyd List 1-190 - Edit'!$C$1:$AQ$220,'Book Details - NO EDIT'!D$1,FALSE)="","",VLOOKUP($A60,'Loyd List 1-190 - Edit'!$C$1:$AQ$220,'Book Details - NO EDIT'!D$1,FALSE))</f>
        <v/>
      </c>
      <c r="E60" s="99" t="str">
        <f>IF(VLOOKUP($A60,'Loyd List 1-190 - Edit'!$C$1:$AQ$220,'Book Details - NO EDIT'!E$1,FALSE)="","",VLOOKUP($A60,'Loyd List 1-190 - Edit'!$C$1:$AQ$220,'Book Details - NO EDIT'!E$1,FALSE))</f>
        <v>LOYD</v>
      </c>
      <c r="F60" s="99" t="str">
        <f>IF(VLOOKUP($A60,'Loyd List 1-190 - Edit'!$C$1:$AQ$220,'Book Details - NO EDIT'!F$1,FALSE)="",B60,VLOOKUP($A60,'Loyd List 1-190 - Edit'!$C$1:$AQ$220,'Book Details - NO EDIT'!F$1,FALSE))</f>
        <v>Rt Rev Philip</v>
      </c>
      <c r="G60" s="140">
        <f>IF(VLOOKUP($A60,'Loyd List 1-190 - Edit'!$C$1:$AQ$220,'Book Details - NO EDIT'!G$1,FALSE)="","",VALUE(VLOOKUP($A60,'Loyd List 1-190 - Edit'!$C$1:$AQ$220,'Book Details - NO EDIT'!G$1,FALSE)))</f>
        <v>1884</v>
      </c>
      <c r="H60" s="140">
        <f>IF(VLOOKUP($A60,'Loyd List 1-190 - Edit'!$C$1:$AQ$220,'Book Details - NO EDIT'!H$1,FALSE)="","",VALUE(VLOOKUP($A60,'Loyd List 1-190 - Edit'!$C$1:$AQ$220,'Book Details - NO EDIT'!H$1,FALSE)))</f>
        <v>1952</v>
      </c>
      <c r="I60" s="141" t="str">
        <f>IF(VLOOKUP($A60,'Loyd List 1-190 - Edit'!$C$1:$AQ$220,'Book Details - NO EDIT'!I$1,FALSE)="","",(VLOOKUP($A60,'Loyd List 1-190 - Edit'!$C$1:$AQ$220,'Book Details - NO EDIT'!I$1,FALSE)))</f>
        <v>08/07/1884</v>
      </c>
      <c r="J60" s="141" t="str">
        <f>IF(VLOOKUP($A60,'Loyd List 1-190 - Edit'!$C$1:$AQ$220,'Book Details - NO EDIT'!J$1,FALSE)="","",(VLOOKUP($A60,'Loyd List 1-190 - Edit'!$C$1:$AQ$220,'Book Details - NO EDIT'!J$1,FALSE)))</f>
        <v>11/01/1952</v>
      </c>
      <c r="K60" s="100" t="str">
        <f>VLOOKUP($A60,'Loyd List 1-190 - Edit'!$C$1:$AQ$220,'Book Details - NO EDIT'!K$1,FALSE)</f>
        <v>Boy</v>
      </c>
      <c r="L60" s="140">
        <f>VLOOKUP($A60,'Loyd List 1-190 - Edit'!$C$1:$AQ$220,'Book Details - NO EDIT'!L$1,FALSE)</f>
        <v>28</v>
      </c>
      <c r="M60" s="140">
        <f t="shared" si="3"/>
        <v>14</v>
      </c>
      <c r="N60" s="140">
        <f t="shared" si="3"/>
        <v>4</v>
      </c>
      <c r="O60" s="140">
        <f t="shared" si="3"/>
        <v>1</v>
      </c>
      <c r="P60" s="140">
        <f t="shared" si="3"/>
        <v>0</v>
      </c>
      <c r="Q60" s="140" t="str">
        <f t="shared" si="4"/>
        <v/>
      </c>
      <c r="R60" s="140" t="str">
        <f t="shared" si="4"/>
        <v/>
      </c>
      <c r="S60" s="140" t="str">
        <f t="shared" si="5"/>
        <v/>
      </c>
      <c r="T60" s="140">
        <f t="shared" si="1"/>
        <v>4</v>
      </c>
      <c r="U60" s="139">
        <f t="shared" si="6"/>
        <v>58</v>
      </c>
      <c r="V60" s="31" t="str">
        <f t="shared" si="7"/>
        <v>Rt Rev Philip (1884–1952)</v>
      </c>
      <c r="W60" s="31" t="str">
        <f t="shared" si="8"/>
        <v>Rt Rev Philip (#58)</v>
      </c>
      <c r="X60" s="99" t="str">
        <f t="shared" si="9"/>
        <v>Rt Rev Philip (1884–1952: #58)</v>
      </c>
      <c r="Y60" s="99" t="str">
        <f t="shared" si="27"/>
        <v>Rt Rev Philip Henry LOYD</v>
      </c>
      <c r="Z60" s="99" t="str">
        <f t="shared" si="10"/>
        <v>The Rev Lewis (1844–1905: #28)</v>
      </c>
      <c r="AA60" s="99" t="str">
        <f t="shared" si="17"/>
        <v xml:space="preserve">The Rev Lewis (1844–1905: #28) Thomas (1812–1857: #14) William (1770–1828: #4) William (1729–1800: #1)    </v>
      </c>
      <c r="AB60" s="142" t="str">
        <f>VLOOKUP(U60,'Siblings of those BORN Loyd'!$A$2:$G$230,7,FALSE)</f>
        <v xml:space="preserve">3 – Lewis (1875–1947: #51) Tommy (1882–1944: #56)  Kitty (1885–1989: #60)     </v>
      </c>
      <c r="AC60" s="115" t="str">
        <f>IF(ISNA(IF(K60="Boy",VLOOKUP(A60,'Siblings of those BORN Loyd'!$AP$3:$AQ$70,2,FALSE),VLOOKUP(A60,'Children of Female Loyds'!$AR$5:$AT$60,3,FALSE))),AM60,IF(K60="Boy",VLOOKUP(A60,'Siblings of those BORN Loyd'!$AP$3:$AQ$70,2,FALSE),VLOOKUP(A60,'Children of Female Loyds'!$AR$5:$AT$60,3,FALSE)))</f>
        <v>d.s.p</v>
      </c>
      <c r="AD60" s="97" t="str">
        <f t="shared" si="26"/>
        <v>d.s.p.</v>
      </c>
      <c r="AE60" s="105" t="str">
        <f>IF(ISNA(IF(K60="Boy",VLOOKUP(A60,'Grandchildren of Male Loyds'!$AQ$3:$AS$51,3,FALSE),VLOOKUP(A60,'Grandchildren of Female Loyds'!$AX$5:$AZ$63,3,FALSE))),AM60,IF(K60="Boy",VLOOKUP(A60,'Grandchildren of Male Loyds'!$AQ$3:$AS$51,3,FALSE),VLOOKUP(A60,'Grandchildren of Female Loyds'!$AX$5:$AZ$63,3,FALSE)))</f>
        <v>d.s.p</v>
      </c>
      <c r="AF60" s="105" t="str">
        <f>IF(ISNA(VLOOKUP(A60,'Grandchildren Loyd Daughters'!$BD$5:$BF$50,4,FALSE)),"",VLOOKUP(A60,'Grandchildren Loyd Daughters'!$BD$5:$BF$50,3,FALSE))</f>
        <v/>
      </c>
      <c r="AG60" s="129">
        <f>IF(ISNA(VLOOKUP(A60,'Grandchildren of Male Loyds'!$AQ$3:$AR$60,2,FALSE)),0,VLOOKUP(A60,'Grandchildren of Male Loyds'!$AQ$3:$AR$60,2,FALSE))+IF(ISNA(VLOOKUP(A60,'Grandchildren of Female Loyds'!$AX$5:$AY$50,2,FALSE)),0,VLOOKUP(A60,'Grandchildren of Female Loyds'!$AX$5:$AY$50,2,FALSE))+IF(ISNA(VLOOKUP(A60,'Grandchildren Loyd Daughters'!$BD$5:$BE$50,2,FALSE)),0,VLOOKUP(A60,'Grandchildren Loyd Daughters'!$BD$5:$BE$50,2,FALSE))</f>
        <v>0</v>
      </c>
      <c r="AH60" s="129" t="str">
        <f>VLOOKUP($U60,'Loyd List 1-190 - Edit'!$P$3:$AJ$220,21,FALSE)</f>
        <v xml:space="preserve">Emily Harriet (Milly) SMYTH (b. 30 Aug 1852, d. 25 Feb 1911) </v>
      </c>
      <c r="AI60" s="129" t="str">
        <f>VLOOKUP(A60,'Updated Bios &amp; Spouse Details'!$A$1:$J$200,7,FALSE)</f>
        <v>Unmarried</v>
      </c>
      <c r="AJ60" s="130" t="str">
        <f>IF(VLOOKUP($A60,'Loyd List 1-190 - Edit'!$C$1:$AQ$220,'Book Details - NO EDIT'!AJ$1,FALSE)="","",(VLOOKUP($A60,'Loyd List 1-190 - Edit'!$C$1:$AQ$220,'Book Details - NO EDIT'!AJ$1,FALSE)))</f>
        <v xml:space="preserve"> - </v>
      </c>
      <c r="AK60" s="129" t="str">
        <f>VLOOKUP(A60,'Updated Bios &amp; Spouse Details'!$A$1:$J$200,8,FALSE)</f>
        <v xml:space="preserve"> - </v>
      </c>
      <c r="AL60" s="131" t="str">
        <f>VLOOKUP(A60,'Updated Bios &amp; Spouse Details'!$A$1:$J$200,5,FALSE)</f>
        <v>Philip lived in Nasik, Deccan, India and St Albans, Hertfordshire. He was the 3rd and youngest son of the Rev Lewis (1844–1905: #28). Born 8 Jul 1884 at Northampton. Educated Eton 1897-1903, Scholar Kings College, Cambridge, (BA 1906, MA 1911) and Cuddesdon Theological College 1909-10. Career: Deacon 1910. Priest 1911. Curate of St Mary the Virgin of Eton, Hackney Wick, London 1910-12. Vice-principal, Cuddesdon Theological College 1912-15. Missionary of SPG at Miri, India 1915-17 and Ahmednagar, India 1919-21 and 1922-25. Domestic Chaplain to Bishop of Bombay 1917-25. Assistant Bishop of Bombay 1925-29. Bishop of Nasik, Deccan 1929-44. Bishop of St Albans 1944-50. Died, unmarried, 11 Jan 1952 at Bournemouth, buried 15 Jan 1952 in the same grave as his brother, Lewis (1875-1947: #51) in a London graveyard. DSP Biography by R.P. STACEY WADDY, published by A.R. Mowbray &amp; Co. 1954. Philip baptised Robert Sale (c1913, in Bombay, India) who later became the husband of Audrey (1922–2013: #97).</v>
      </c>
      <c r="AM60" s="105" t="str">
        <f>IF(AND(LEN(H60)&gt;0,ISNA(IF(K60="Boy",VLOOKUP(A60,'Siblings of those BORN Loyd'!$AP$3:$AQ$70,2,FALSE),VLOOKUP(A60,'Children of Female Loyds'!$AR$5:$AS$60,2,FALSE)))),"d.s.p","")</f>
        <v>d.s.p</v>
      </c>
      <c r="AN60" s="99" t="str">
        <f t="shared" si="28"/>
        <v>The Rev Lewis (1844–1905: #28)</v>
      </c>
      <c r="AO60" s="99" t="str">
        <f t="shared" si="18"/>
        <v>Thomas (1812–1857: #14)</v>
      </c>
      <c r="AP60" s="99" t="str">
        <f t="shared" si="19"/>
        <v>William (1770–1828: #4)</v>
      </c>
      <c r="AQ60" s="99" t="str">
        <f t="shared" si="20"/>
        <v>William (1729–1800: #1)</v>
      </c>
      <c r="AR60" s="99" t="str">
        <f t="shared" si="21"/>
        <v/>
      </c>
      <c r="AS60" s="99" t="str">
        <f t="shared" si="22"/>
        <v/>
      </c>
      <c r="AT60" s="99" t="str">
        <f t="shared" si="23"/>
        <v/>
      </c>
      <c r="AU60" s="99" t="str">
        <f t="shared" si="24"/>
        <v/>
      </c>
      <c r="AW60" s="116" t="str">
        <f>VLOOKUP(A60,'Updated Bios &amp; Spouse Details'!$A$1:$J$193,6,FALSE)</f>
        <v>England and India</v>
      </c>
      <c r="AX60" s="131">
        <f>VLOOKUP($A60,'Loyd List 1-190 - Edit'!$P$2:$AQ$220,AX$1,FALSE)</f>
        <v>58</v>
      </c>
      <c r="AY60" s="116" t="str">
        <f>IF(ISNA(VLOOKUP(A60,'Data check lookup table'!$G$2:$V$73,13,FALSE))," - ",VLOOKUP(A60,'Data check lookup table'!$G$2:$V$73,13,FALSE))</f>
        <v xml:space="preserve"> - </v>
      </c>
      <c r="AZ60" s="147" t="str">
        <f t="shared" si="14"/>
        <v>11/01/1952</v>
      </c>
      <c r="BA60" s="99" t="str">
        <f t="shared" si="29"/>
        <v/>
      </c>
      <c r="BB60" s="99" t="str">
        <f t="shared" si="30"/>
        <v/>
      </c>
      <c r="BI60" s="147" t="s">
        <v>3191</v>
      </c>
    </row>
    <row r="61" spans="1:61" s="99" customFormat="1" ht="34">
      <c r="A61" s="139">
        <f>'Loyd List 1-190 - Edit'!C61</f>
        <v>59</v>
      </c>
      <c r="B61" s="99" t="str">
        <f>VLOOKUP($A61,'Loyd List 1-190 - Edit'!$C$1:$AQ$220,'Book Details - NO EDIT'!B$1,FALSE)</f>
        <v>Evelyn</v>
      </c>
      <c r="C61" s="99" t="str">
        <f>IF(VLOOKUP($A61,'Loyd List 1-190 - Edit'!$C$1:$AQ$220,'Book Details - NO EDIT'!C$1,FALSE)="","",VLOOKUP($A61,'Loyd List 1-190 - Edit'!$C$1:$AQ$220,'Book Details - NO EDIT'!C$1,FALSE))</f>
        <v>Sarah</v>
      </c>
      <c r="D61" s="99" t="str">
        <f>IF(VLOOKUP($A61,'Loyd List 1-190 - Edit'!$C$1:$AQ$220,'Book Details - NO EDIT'!D$1,FALSE)="","",VLOOKUP($A61,'Loyd List 1-190 - Edit'!$C$1:$AQ$220,'Book Details - NO EDIT'!D$1,FALSE))</f>
        <v/>
      </c>
      <c r="E61" s="99" t="str">
        <f>IF(VLOOKUP($A61,'Loyd List 1-190 - Edit'!$C$1:$AQ$220,'Book Details - NO EDIT'!E$1,FALSE)="","",VLOOKUP($A61,'Loyd List 1-190 - Edit'!$C$1:$AQ$220,'Book Details - NO EDIT'!E$1,FALSE))</f>
        <v>LOYD</v>
      </c>
      <c r="F61" s="99" t="str">
        <f>IF(VLOOKUP($A61,'Loyd List 1-190 - Edit'!$C$1:$AQ$220,'Book Details - NO EDIT'!F$1,FALSE)="",B61,VLOOKUP($A61,'Loyd List 1-190 - Edit'!$C$1:$AQ$220,'Book Details - NO EDIT'!F$1,FALSE))</f>
        <v>Evelyn</v>
      </c>
      <c r="G61" s="140">
        <f>IF(VLOOKUP($A61,'Loyd List 1-190 - Edit'!$C$1:$AQ$220,'Book Details - NO EDIT'!G$1,FALSE)="","",VALUE(VLOOKUP($A61,'Loyd List 1-190 - Edit'!$C$1:$AQ$220,'Book Details - NO EDIT'!G$1,FALSE)))</f>
        <v>1885</v>
      </c>
      <c r="H61" s="140">
        <f>IF(VLOOKUP($A61,'Loyd List 1-190 - Edit'!$C$1:$AQ$220,'Book Details - NO EDIT'!H$1,FALSE)="","",VALUE(VLOOKUP($A61,'Loyd List 1-190 - Edit'!$C$1:$AQ$220,'Book Details - NO EDIT'!H$1,FALSE)))</f>
        <v>1962</v>
      </c>
      <c r="I61" s="141" t="str">
        <f>IF(VLOOKUP($A61,'Loyd List 1-190 - Edit'!$C$1:$AQ$220,'Book Details - NO EDIT'!I$1,FALSE)="","",(VLOOKUP($A61,'Loyd List 1-190 - Edit'!$C$1:$AQ$220,'Book Details - NO EDIT'!I$1,FALSE)))</f>
        <v>17/04/1885</v>
      </c>
      <c r="J61" s="141" t="str">
        <f>IF(VLOOKUP($A61,'Loyd List 1-190 - Edit'!$C$1:$AQ$220,'Book Details - NO EDIT'!J$1,FALSE)="","",(VLOOKUP($A61,'Loyd List 1-190 - Edit'!$C$1:$AQ$220,'Book Details - NO EDIT'!J$1,FALSE)))</f>
        <v>09/08/1962</v>
      </c>
      <c r="K61" s="100" t="str">
        <f>VLOOKUP($A61,'Loyd List 1-190 - Edit'!$C$1:$AQ$220,'Book Details - NO EDIT'!K$1,FALSE)</f>
        <v>Girl</v>
      </c>
      <c r="L61" s="140">
        <f>VLOOKUP($A61,'Loyd List 1-190 - Edit'!$C$1:$AQ$220,'Book Details - NO EDIT'!L$1,FALSE)</f>
        <v>41</v>
      </c>
      <c r="M61" s="140">
        <f t="shared" si="3"/>
        <v>22</v>
      </c>
      <c r="N61" s="140">
        <f t="shared" si="3"/>
        <v>8</v>
      </c>
      <c r="O61" s="140">
        <f t="shared" si="3"/>
        <v>1</v>
      </c>
      <c r="P61" s="140">
        <f t="shared" si="3"/>
        <v>0</v>
      </c>
      <c r="Q61" s="140" t="str">
        <f t="shared" si="4"/>
        <v/>
      </c>
      <c r="R61" s="140" t="str">
        <f t="shared" si="4"/>
        <v/>
      </c>
      <c r="S61" s="140" t="str">
        <f t="shared" si="5"/>
        <v/>
      </c>
      <c r="T61" s="140">
        <f t="shared" si="1"/>
        <v>4</v>
      </c>
      <c r="U61" s="139">
        <f t="shared" si="6"/>
        <v>59</v>
      </c>
      <c r="V61" s="31" t="str">
        <f t="shared" si="7"/>
        <v>Evelyn (1885–1962)</v>
      </c>
      <c r="W61" s="31" t="str">
        <f t="shared" si="8"/>
        <v>Evelyn (#59)</v>
      </c>
      <c r="X61" s="99" t="str">
        <f t="shared" si="9"/>
        <v>Evelyn (1885–1962: #59)</v>
      </c>
      <c r="Y61" s="99" t="str">
        <f t="shared" si="27"/>
        <v>Evelyn Sarah LOYD</v>
      </c>
      <c r="Z61" s="99" t="str">
        <f t="shared" si="10"/>
        <v>Frederic (1856–1936: #41)</v>
      </c>
      <c r="AA61" s="99" t="str">
        <f t="shared" si="17"/>
        <v xml:space="preserve">Frederic (1856–1936: #41) Edward (1820–1890: #22) Edward (1780–1863: #8) William (1729–1800: #1)    </v>
      </c>
      <c r="AB61" s="142" t="str">
        <f>VLOOKUP(U61,'Siblings of those BORN Loyd'!$A$2:$G$230,7,FALSE)</f>
        <v xml:space="preserve">4 – Lewis (1880–1918: #52) Edward (1881–1962: #53)  Mary (1887–1968: #63) Cecily (1891–1891: #74)    </v>
      </c>
      <c r="AC61" s="115" t="str">
        <f>IF(ISNA(IF(K61="Boy",VLOOKUP(A61,'Siblings of those BORN Loyd'!$AP$3:$AQ$70,2,FALSE),VLOOKUP(A61,'Children of Female Loyds'!$AR$5:$AT$60,3,FALSE))),AM61,IF(K61="Boy",VLOOKUP(A61,'Siblings of those BORN Loyd'!$AP$3:$AQ$70,2,FALSE),VLOOKUP(A61,'Children of Female Loyds'!$AR$5:$AT$60,3,FALSE)))</f>
        <v>d.s.p</v>
      </c>
      <c r="AD61" s="97" t="str">
        <f t="shared" si="26"/>
        <v>d.s.p.</v>
      </c>
      <c r="AE61" s="105" t="str">
        <f>IF(ISNA(IF(K61="Boy",VLOOKUP(A61,'Grandchildren of Male Loyds'!$AQ$3:$AS$51,3,FALSE),VLOOKUP(A61,'Grandchildren of Female Loyds'!$AX$5:$AZ$63,3,FALSE))),AM61,IF(K61="Boy",VLOOKUP(A61,'Grandchildren of Male Loyds'!$AQ$3:$AS$51,3,FALSE),VLOOKUP(A61,'Grandchildren of Female Loyds'!$AX$5:$AZ$63,3,FALSE)))</f>
        <v>d.s.p</v>
      </c>
      <c r="AF61" s="105" t="str">
        <f>IF(ISNA(VLOOKUP(A61,'Grandchildren Loyd Daughters'!$BD$5:$BF$50,4,FALSE)),"",VLOOKUP(A61,'Grandchildren Loyd Daughters'!$BD$5:$BF$50,3,FALSE))</f>
        <v/>
      </c>
      <c r="AG61" s="129">
        <f>IF(ISNA(VLOOKUP(A61,'Grandchildren of Male Loyds'!$AQ$3:$AR$60,2,FALSE)),0,VLOOKUP(A61,'Grandchildren of Male Loyds'!$AQ$3:$AR$60,2,FALSE))+IF(ISNA(VLOOKUP(A61,'Grandchildren of Female Loyds'!$AX$5:$AY$50,2,FALSE)),0,VLOOKUP(A61,'Grandchildren of Female Loyds'!$AX$5:$AY$50,2,FALSE))+IF(ISNA(VLOOKUP(A61,'Grandchildren Loyd Daughters'!$BD$5:$BE$50,2,FALSE)),0,VLOOKUP(A61,'Grandchildren Loyd Daughters'!$BD$5:$BE$50,2,FALSE))</f>
        <v>0</v>
      </c>
      <c r="AH61" s="129" t="str">
        <f>VLOOKUP($U61,'Loyd List 1-190 - Edit'!$P$3:$AJ$220,21,FALSE)</f>
        <v>Isabella (Isabel) CURREY (b. 26 Apr 1855, d. 16 Jan 1926)</v>
      </c>
      <c r="AI61" s="129" t="str">
        <f>VLOOKUP(A61,'Updated Bios &amp; Spouse Details'!$A$1:$J$200,7,FALSE)</f>
        <v>Unmarried</v>
      </c>
      <c r="AJ61" s="130" t="str">
        <f>IF(VLOOKUP($A61,'Loyd List 1-190 - Edit'!$C$1:$AQ$220,'Book Details - NO EDIT'!AJ$1,FALSE)="","",(VLOOKUP($A61,'Loyd List 1-190 - Edit'!$C$1:$AQ$220,'Book Details - NO EDIT'!AJ$1,FALSE)))</f>
        <v xml:space="preserve"> - </v>
      </c>
      <c r="AK61" s="129" t="str">
        <f>VLOOKUP(A61,'Updated Bios &amp; Spouse Details'!$A$1:$J$200,8,FALSE)</f>
        <v xml:space="preserve"> - </v>
      </c>
      <c r="AL61" s="131" t="str">
        <f>VLOOKUP(A61,'Updated Bios &amp; Spouse Details'!$A$1:$J$200,5,FALSE)</f>
        <v>Evelyn lived at Tormore, Ardvasar, Skye and was the eldest daughter of Frederic (1856–1936: #41). Born 17 Apr 1885. Died, unmarried, 9 Aug 1962 at Tormore, buried at Kilmore, Sleat. DSP</v>
      </c>
      <c r="AM61" s="105" t="str">
        <f>IF(AND(LEN(H61)&gt;0,ISNA(IF(K61="Boy",VLOOKUP(A61,'Siblings of those BORN Loyd'!$AP$3:$AQ$70,2,FALSE),VLOOKUP(A61,'Children of Female Loyds'!$AR$5:$AS$60,2,FALSE)))),"d.s.p","")</f>
        <v>d.s.p</v>
      </c>
      <c r="AN61" s="99" t="str">
        <f t="shared" si="28"/>
        <v>Frederic (1856–1936: #41)</v>
      </c>
      <c r="AO61" s="99" t="str">
        <f t="shared" si="18"/>
        <v>Edward (1820–1890: #22)</v>
      </c>
      <c r="AP61" s="99" t="str">
        <f t="shared" si="19"/>
        <v>Edward (1780–1863: #8)</v>
      </c>
      <c r="AQ61" s="99" t="str">
        <f t="shared" si="20"/>
        <v>William (1729–1800: #1)</v>
      </c>
      <c r="AR61" s="99" t="str">
        <f t="shared" si="21"/>
        <v/>
      </c>
      <c r="AS61" s="99" t="str">
        <f t="shared" si="22"/>
        <v/>
      </c>
      <c r="AT61" s="99" t="str">
        <f t="shared" si="23"/>
        <v/>
      </c>
      <c r="AU61" s="99" t="str">
        <f t="shared" si="24"/>
        <v/>
      </c>
      <c r="AW61" s="116" t="str">
        <f>VLOOKUP(A61,'Updated Bios &amp; Spouse Details'!$A$1:$J$193,6,FALSE)</f>
        <v>Scotland</v>
      </c>
      <c r="AX61" s="131">
        <f>VLOOKUP($A61,'Loyd List 1-190 - Edit'!$P$2:$AQ$220,AX$1,FALSE)</f>
        <v>59</v>
      </c>
      <c r="AY61" s="116" t="str">
        <f>IF(ISNA(VLOOKUP(A61,'Data check lookup table'!$G$2:$V$73,13,FALSE))," - ",VLOOKUP(A61,'Data check lookup table'!$G$2:$V$73,13,FALSE))</f>
        <v xml:space="preserve"> - </v>
      </c>
      <c r="AZ61" s="147" t="str">
        <f t="shared" si="14"/>
        <v>09/08/1962</v>
      </c>
      <c r="BA61" s="99" t="str">
        <f t="shared" si="29"/>
        <v/>
      </c>
      <c r="BB61" s="99" t="str">
        <f t="shared" si="30"/>
        <v/>
      </c>
      <c r="BI61" s="147" t="s">
        <v>3192</v>
      </c>
    </row>
    <row r="62" spans="1:61" s="99" customFormat="1" ht="119">
      <c r="A62" s="139">
        <f>'Loyd List 1-190 - Edit'!C62</f>
        <v>60</v>
      </c>
      <c r="B62" s="99" t="str">
        <f>VLOOKUP($A62,'Loyd List 1-190 - Edit'!$C$1:$AQ$220,'Book Details - NO EDIT'!B$1,FALSE)</f>
        <v>Mary</v>
      </c>
      <c r="C62" s="99" t="str">
        <f>IF(VLOOKUP($A62,'Loyd List 1-190 - Edit'!$C$1:$AQ$220,'Book Details - NO EDIT'!C$1,FALSE)="","",VLOOKUP($A62,'Loyd List 1-190 - Edit'!$C$1:$AQ$220,'Book Details - NO EDIT'!C$1,FALSE))</f>
        <v>Beatrix</v>
      </c>
      <c r="D62" s="99" t="str">
        <f>IF(VLOOKUP($A62,'Loyd List 1-190 - Edit'!$C$1:$AQ$220,'Book Details - NO EDIT'!D$1,FALSE)="","",VLOOKUP($A62,'Loyd List 1-190 - Edit'!$C$1:$AQ$220,'Book Details - NO EDIT'!D$1,FALSE))</f>
        <v/>
      </c>
      <c r="E62" s="99" t="str">
        <f>IF(VLOOKUP($A62,'Loyd List 1-190 - Edit'!$C$1:$AQ$220,'Book Details - NO EDIT'!E$1,FALSE)="","",VLOOKUP($A62,'Loyd List 1-190 - Edit'!$C$1:$AQ$220,'Book Details - NO EDIT'!E$1,FALSE))</f>
        <v>LOYD</v>
      </c>
      <c r="F62" s="99" t="str">
        <f>IF(VLOOKUP($A62,'Loyd List 1-190 - Edit'!$C$1:$AQ$220,'Book Details - NO EDIT'!F$1,FALSE)="",B62,VLOOKUP($A62,'Loyd List 1-190 - Edit'!$C$1:$AQ$220,'Book Details - NO EDIT'!F$1,FALSE))</f>
        <v>Kitty</v>
      </c>
      <c r="G62" s="140">
        <f>IF(VLOOKUP($A62,'Loyd List 1-190 - Edit'!$C$1:$AQ$220,'Book Details - NO EDIT'!G$1,FALSE)="","",VALUE(VLOOKUP($A62,'Loyd List 1-190 - Edit'!$C$1:$AQ$220,'Book Details - NO EDIT'!G$1,FALSE)))</f>
        <v>1885</v>
      </c>
      <c r="H62" s="140">
        <f>IF(VLOOKUP($A62,'Loyd List 1-190 - Edit'!$C$1:$AQ$220,'Book Details - NO EDIT'!H$1,FALSE)="","",VALUE(VLOOKUP($A62,'Loyd List 1-190 - Edit'!$C$1:$AQ$220,'Book Details - NO EDIT'!H$1,FALSE)))</f>
        <v>1989</v>
      </c>
      <c r="I62" s="141" t="str">
        <f>IF(VLOOKUP($A62,'Loyd List 1-190 - Edit'!$C$1:$AQ$220,'Book Details - NO EDIT'!I$1,FALSE)="","",(VLOOKUP($A62,'Loyd List 1-190 - Edit'!$C$1:$AQ$220,'Book Details - NO EDIT'!I$1,FALSE)))</f>
        <v>26/10/1885</v>
      </c>
      <c r="J62" s="141" t="str">
        <f>IF(VLOOKUP($A62,'Loyd List 1-190 - Edit'!$C$1:$AQ$220,'Book Details - NO EDIT'!J$1,FALSE)="","",(VLOOKUP($A62,'Loyd List 1-190 - Edit'!$C$1:$AQ$220,'Book Details - NO EDIT'!J$1,FALSE)))</f>
        <v>02/02/1989</v>
      </c>
      <c r="K62" s="100" t="str">
        <f>VLOOKUP($A62,'Loyd List 1-190 - Edit'!$C$1:$AQ$220,'Book Details - NO EDIT'!K$1,FALSE)</f>
        <v>Girl</v>
      </c>
      <c r="L62" s="140">
        <f>VLOOKUP($A62,'Loyd List 1-190 - Edit'!$C$1:$AQ$220,'Book Details - NO EDIT'!L$1,FALSE)</f>
        <v>28</v>
      </c>
      <c r="M62" s="140">
        <f t="shared" si="3"/>
        <v>14</v>
      </c>
      <c r="N62" s="140">
        <f t="shared" si="3"/>
        <v>4</v>
      </c>
      <c r="O62" s="140">
        <f t="shared" si="3"/>
        <v>1</v>
      </c>
      <c r="P62" s="140">
        <f t="shared" si="3"/>
        <v>0</v>
      </c>
      <c r="Q62" s="140" t="str">
        <f t="shared" si="4"/>
        <v/>
      </c>
      <c r="R62" s="140" t="str">
        <f t="shared" si="4"/>
        <v/>
      </c>
      <c r="S62" s="140" t="str">
        <f t="shared" si="5"/>
        <v/>
      </c>
      <c r="T62" s="140">
        <f t="shared" si="1"/>
        <v>4</v>
      </c>
      <c r="U62" s="139">
        <f t="shared" si="6"/>
        <v>60</v>
      </c>
      <c r="V62" s="31" t="str">
        <f t="shared" si="7"/>
        <v>Kitty (1885–1989)</v>
      </c>
      <c r="W62" s="31" t="str">
        <f t="shared" si="8"/>
        <v>Kitty (#60)</v>
      </c>
      <c r="X62" s="99" t="str">
        <f t="shared" si="9"/>
        <v>Kitty (1885–1989: #60)</v>
      </c>
      <c r="Y62" s="99" t="str">
        <f t="shared" si="27"/>
        <v>Mary Beatrix LOYD</v>
      </c>
      <c r="Z62" s="99" t="str">
        <f t="shared" si="10"/>
        <v>The Rev Lewis (1844–1905: #28)</v>
      </c>
      <c r="AA62" s="99" t="str">
        <f t="shared" si="17"/>
        <v xml:space="preserve">The Rev Lewis (1844–1905: #28) Thomas (1812–1857: #14) William (1770–1828: #4) William (1729–1800: #1)    </v>
      </c>
      <c r="AB62" s="142" t="str">
        <f>VLOOKUP(U62,'Siblings of those BORN Loyd'!$A$2:$G$230,7,FALSE)</f>
        <v xml:space="preserve">3 – Lewis (1875–1947: #51) Tommy (1882–1944: #56) Rt Rev Philip (1884–1952: #58)      </v>
      </c>
      <c r="AC62" s="115" t="str">
        <f>IF(ISNA(IF(K62="Boy",VLOOKUP(A62,'Siblings of those BORN Loyd'!$AP$3:$AQ$70,2,FALSE),VLOOKUP(A62,'Children of Female Loyds'!$AR$5:$AT$60,3,FALSE))),AM62,IF(K62="Boy",VLOOKUP(A62,'Siblings of those BORN Loyd'!$AP$3:$AQ$70,2,FALSE),VLOOKUP(A62,'Children of Female Loyds'!$AR$5:$AT$60,3,FALSE)))</f>
        <v>d.s.p</v>
      </c>
      <c r="AD62" s="97" t="str">
        <f t="shared" si="26"/>
        <v>d.s.p.</v>
      </c>
      <c r="AE62" s="105" t="str">
        <f>IF(ISNA(IF(K62="Boy",VLOOKUP(A62,'Grandchildren of Male Loyds'!$AQ$3:$AS$51,3,FALSE),VLOOKUP(A62,'Grandchildren of Female Loyds'!$AX$5:$AZ$63,3,FALSE))),AM62,IF(K62="Boy",VLOOKUP(A62,'Grandchildren of Male Loyds'!$AQ$3:$AS$51,3,FALSE),VLOOKUP(A62,'Grandchildren of Female Loyds'!$AX$5:$AZ$63,3,FALSE)))</f>
        <v>d.s.p</v>
      </c>
      <c r="AF62" s="105" t="str">
        <f>IF(ISNA(VLOOKUP(A62,'Grandchildren Loyd Daughters'!$BD$5:$BF$50,4,FALSE)),"",VLOOKUP(A62,'Grandchildren Loyd Daughters'!$BD$5:$BF$50,3,FALSE))</f>
        <v/>
      </c>
      <c r="AG62" s="129">
        <f>IF(ISNA(VLOOKUP(A62,'Grandchildren of Male Loyds'!$AQ$3:$AR$60,2,FALSE)),0,VLOOKUP(A62,'Grandchildren of Male Loyds'!$AQ$3:$AR$60,2,FALSE))+IF(ISNA(VLOOKUP(A62,'Grandchildren of Female Loyds'!$AX$5:$AY$50,2,FALSE)),0,VLOOKUP(A62,'Grandchildren of Female Loyds'!$AX$5:$AY$50,2,FALSE))+IF(ISNA(VLOOKUP(A62,'Grandchildren Loyd Daughters'!$BD$5:$BE$50,2,FALSE)),0,VLOOKUP(A62,'Grandchildren Loyd Daughters'!$BD$5:$BE$50,2,FALSE))</f>
        <v>0</v>
      </c>
      <c r="AH62" s="129" t="str">
        <f>VLOOKUP($U62,'Loyd List 1-190 - Edit'!$P$3:$AJ$220,21,FALSE)</f>
        <v xml:space="preserve">Emily Harriet (Milly) SMYTH (b. 30 Aug 1852, d. 25 Feb 1911) </v>
      </c>
      <c r="AI62" s="129" t="str">
        <f>VLOOKUP(A62,'Updated Bios &amp; Spouse Details'!$A$1:$J$200,7,FALSE)</f>
        <v>His Honour Edwin Max KONSTAM (b. 6 Jun 1870, d. 7 Apr 1956)</v>
      </c>
      <c r="AJ62" s="130">
        <f>IF(VLOOKUP($A62,'Loyd List 1-190 - Edit'!$C$1:$AQ$220,'Book Details - NO EDIT'!AJ$1,FALSE)="","",(VLOOKUP($A62,'Loyd List 1-190 - Edit'!$C$1:$AQ$220,'Book Details - NO EDIT'!AJ$1,FALSE)))</f>
        <v>6845</v>
      </c>
      <c r="AK62" s="129" t="str">
        <f>VLOOKUP(A62,'Updated Bios &amp; Spouse Details'!$A$1:$J$200,8,FALSE)</f>
        <v>Married, at St Peter’s, Eaton Square, London SW1, Edwin son of H. KONSTAM of 64, Gloucester Place, Portman Square, London W1. Edwin CBE, KC, County Court Judge 1932-45, born in Islington and buried at Brookwood Cemetery.</v>
      </c>
      <c r="AL62" s="131" t="str">
        <f>VLOOKUP(A62,'Updated Bios &amp; Spouse Details'!$A$1:$J$200,5,FALSE)</f>
        <v>Kitty lived at  44, Cranmer Court, Sloane Avenue, London SW3 and was the only daughter of the Rev Lewis (1844–1905: #28). Born 26 Oct 1885. Died 2 Feb 1989, buried at Brookwood Cemetery. DSP Portrait by Philip LASZLO de LOMBOS was last in possession of Christopher (1923–2013: #100).</v>
      </c>
      <c r="AM62" s="105" t="str">
        <f>IF(AND(LEN(H62)&gt;0,ISNA(IF(K62="Boy",VLOOKUP(A62,'Siblings of those BORN Loyd'!$AP$3:$AQ$70,2,FALSE),VLOOKUP(A62,'Children of Female Loyds'!$AR$5:$AS$60,2,FALSE)))),"d.s.p","")</f>
        <v>d.s.p</v>
      </c>
      <c r="AN62" s="99" t="str">
        <f t="shared" si="28"/>
        <v>The Rev Lewis (1844–1905: #28)</v>
      </c>
      <c r="AO62" s="99" t="str">
        <f t="shared" si="18"/>
        <v>Thomas (1812–1857: #14)</v>
      </c>
      <c r="AP62" s="99" t="str">
        <f t="shared" si="19"/>
        <v>William (1770–1828: #4)</v>
      </c>
      <c r="AQ62" s="99" t="str">
        <f t="shared" si="20"/>
        <v>William (1729–1800: #1)</v>
      </c>
      <c r="AR62" s="99" t="str">
        <f t="shared" si="21"/>
        <v/>
      </c>
      <c r="AS62" s="99" t="str">
        <f t="shared" si="22"/>
        <v/>
      </c>
      <c r="AT62" s="99" t="str">
        <f t="shared" si="23"/>
        <v/>
      </c>
      <c r="AU62" s="99" t="str">
        <f t="shared" si="24"/>
        <v/>
      </c>
      <c r="AW62" s="116" t="str">
        <f>VLOOKUP(A62,'Updated Bios &amp; Spouse Details'!$A$1:$J$193,6,FALSE)</f>
        <v>England</v>
      </c>
      <c r="AX62" s="131">
        <f>VLOOKUP($A62,'Loyd List 1-190 - Edit'!$P$2:$AQ$220,AX$1,FALSE)</f>
        <v>60</v>
      </c>
      <c r="AY62" s="116" t="str">
        <f>IF(ISNA(VLOOKUP(A62,'Data check lookup table'!$G$2:$V$73,13,FALSE))," - ",VLOOKUP(A62,'Data check lookup table'!$G$2:$V$73,13,FALSE))</f>
        <v xml:space="preserve"> - </v>
      </c>
      <c r="AZ62" s="147" t="str">
        <f t="shared" si="14"/>
        <v>02/02/1989</v>
      </c>
      <c r="BA62" s="99" t="str">
        <f t="shared" si="29"/>
        <v/>
      </c>
      <c r="BB62" s="99" t="str">
        <f t="shared" si="30"/>
        <v/>
      </c>
      <c r="BI62" s="147" t="s">
        <v>3193</v>
      </c>
    </row>
    <row r="63" spans="1:61" s="99" customFormat="1" ht="102">
      <c r="A63" s="139">
        <f>'Loyd List 1-190 - Edit'!C63</f>
        <v>61</v>
      </c>
      <c r="B63" s="99" t="str">
        <f>VLOOKUP($A63,'Loyd List 1-190 - Edit'!$C$1:$AQ$220,'Book Details - NO EDIT'!B$1,FALSE)</f>
        <v>Reginald</v>
      </c>
      <c r="C63" s="99" t="str">
        <f>IF(VLOOKUP($A63,'Loyd List 1-190 - Edit'!$C$1:$AQ$220,'Book Details - NO EDIT'!C$1,FALSE)="","",VLOOKUP($A63,'Loyd List 1-190 - Edit'!$C$1:$AQ$220,'Book Details - NO EDIT'!C$1,FALSE))</f>
        <v>Arthur</v>
      </c>
      <c r="D63" s="99" t="str">
        <f>IF(VLOOKUP($A63,'Loyd List 1-190 - Edit'!$C$1:$AQ$220,'Book Details - NO EDIT'!D$1,FALSE)="","",VLOOKUP($A63,'Loyd List 1-190 - Edit'!$C$1:$AQ$220,'Book Details - NO EDIT'!D$1,FALSE))</f>
        <v/>
      </c>
      <c r="E63" s="99" t="str">
        <f>IF(VLOOKUP($A63,'Loyd List 1-190 - Edit'!$C$1:$AQ$220,'Book Details - NO EDIT'!E$1,FALSE)="","",VLOOKUP($A63,'Loyd List 1-190 - Edit'!$C$1:$AQ$220,'Book Details - NO EDIT'!E$1,FALSE))</f>
        <v>LOYD</v>
      </c>
      <c r="F63" s="99" t="str">
        <f>IF(VLOOKUP($A63,'Loyd List 1-190 - Edit'!$C$1:$AQ$220,'Book Details - NO EDIT'!F$1,FALSE)="",B63,VLOOKUP($A63,'Loyd List 1-190 - Edit'!$C$1:$AQ$220,'Book Details - NO EDIT'!F$1,FALSE))</f>
        <v>Reggie</v>
      </c>
      <c r="G63" s="140">
        <f>IF(VLOOKUP($A63,'Loyd List 1-190 - Edit'!$C$1:$AQ$220,'Book Details - NO EDIT'!G$1,FALSE)="","",VALUE(VLOOKUP($A63,'Loyd List 1-190 - Edit'!$C$1:$AQ$220,'Book Details - NO EDIT'!G$1,FALSE)))</f>
        <v>1886</v>
      </c>
      <c r="H63" s="140">
        <f>IF(VLOOKUP($A63,'Loyd List 1-190 - Edit'!$C$1:$AQ$220,'Book Details - NO EDIT'!H$1,FALSE)="","",VALUE(VLOOKUP($A63,'Loyd List 1-190 - Edit'!$C$1:$AQ$220,'Book Details - NO EDIT'!H$1,FALSE)))</f>
        <v>1961</v>
      </c>
      <c r="I63" s="141" t="str">
        <f>IF(VLOOKUP($A63,'Loyd List 1-190 - Edit'!$C$1:$AQ$220,'Book Details - NO EDIT'!I$1,FALSE)="","",(VLOOKUP($A63,'Loyd List 1-190 - Edit'!$C$1:$AQ$220,'Book Details - NO EDIT'!I$1,FALSE)))</f>
        <v>21/05/1886</v>
      </c>
      <c r="J63" s="141" t="str">
        <f>IF(VLOOKUP($A63,'Loyd List 1-190 - Edit'!$C$1:$AQ$220,'Book Details - NO EDIT'!J$1,FALSE)="","",(VLOOKUP($A63,'Loyd List 1-190 - Edit'!$C$1:$AQ$220,'Book Details - NO EDIT'!J$1,FALSE)))</f>
        <v>12/03/1961</v>
      </c>
      <c r="K63" s="100" t="str">
        <f>VLOOKUP($A63,'Loyd List 1-190 - Edit'!$C$1:$AQ$220,'Book Details - NO EDIT'!K$1,FALSE)</f>
        <v>Boy</v>
      </c>
      <c r="L63" s="140">
        <f>VLOOKUP($A63,'Loyd List 1-190 - Edit'!$C$1:$AQ$220,'Book Details - NO EDIT'!L$1,FALSE)</f>
        <v>30</v>
      </c>
      <c r="M63" s="140">
        <f t="shared" si="3"/>
        <v>14</v>
      </c>
      <c r="N63" s="140">
        <f t="shared" si="3"/>
        <v>4</v>
      </c>
      <c r="O63" s="140">
        <f t="shared" si="3"/>
        <v>1</v>
      </c>
      <c r="P63" s="140">
        <f t="shared" si="3"/>
        <v>0</v>
      </c>
      <c r="Q63" s="140" t="str">
        <f t="shared" si="4"/>
        <v/>
      </c>
      <c r="R63" s="140" t="str">
        <f t="shared" si="4"/>
        <v/>
      </c>
      <c r="S63" s="140" t="str">
        <f t="shared" si="5"/>
        <v/>
      </c>
      <c r="T63" s="140">
        <f t="shared" si="1"/>
        <v>4</v>
      </c>
      <c r="U63" s="139">
        <f t="shared" si="6"/>
        <v>61</v>
      </c>
      <c r="V63" s="31" t="str">
        <f t="shared" si="7"/>
        <v>Reggie (1886–1961)</v>
      </c>
      <c r="W63" s="31" t="str">
        <f t="shared" si="8"/>
        <v>Reggie (#61)</v>
      </c>
      <c r="X63" s="99" t="str">
        <f t="shared" si="9"/>
        <v>Reggie (1886–1961: #61)</v>
      </c>
      <c r="Y63" s="99" t="str">
        <f t="shared" si="27"/>
        <v>Reginald Arthur LOYD</v>
      </c>
      <c r="Z63" s="99" t="str">
        <f t="shared" si="10"/>
        <v>Archie (1847–1922: #30)</v>
      </c>
      <c r="AA63" s="99" t="str">
        <f t="shared" si="17"/>
        <v xml:space="preserve">Archie (1847–1922: #30) Thomas (1812–1857: #14) William (1770–1828: #4) William (1729–1800: #1)    </v>
      </c>
      <c r="AB63" s="142" t="str">
        <f>VLOOKUP(U63,'Siblings of those BORN Loyd'!$A$2:$G$230,7,FALSE)</f>
        <v xml:space="preserve">3 – Bobby (1887–1977: #62) Geoffrey (1890–1914: #69) Wilfrid (1893–1971: #77)     </v>
      </c>
      <c r="AC63" s="115" t="str">
        <f>IF(ISNA(IF(K63="Boy",VLOOKUP(A63,'Siblings of those BORN Loyd'!$AP$3:$AQ$70,2,FALSE),VLOOKUP(A63,'Children of Female Loyds'!$AR$5:$AT$60,3,FALSE))),AM63,IF(K63="Boy",VLOOKUP(A63,'Siblings of those BORN Loyd'!$AP$3:$AQ$70,2,FALSE),VLOOKUP(A63,'Children of Female Loyds'!$AR$5:$AT$60,3,FALSE)))</f>
        <v>d.s.p</v>
      </c>
      <c r="AD63" s="97" t="str">
        <f t="shared" si="26"/>
        <v>d.s.p.</v>
      </c>
      <c r="AE63" s="105" t="str">
        <f>IF(ISNA(IF(K63="Boy",VLOOKUP(A63,'Grandchildren of Male Loyds'!$AQ$3:$AS$51,3,FALSE),VLOOKUP(A63,'Grandchildren of Female Loyds'!$AX$5:$AZ$63,3,FALSE))),AM63,IF(K63="Boy",VLOOKUP(A63,'Grandchildren of Male Loyds'!$AQ$3:$AS$51,3,FALSE),VLOOKUP(A63,'Grandchildren of Female Loyds'!$AX$5:$AZ$63,3,FALSE)))</f>
        <v>d.s.p</v>
      </c>
      <c r="AF63" s="105" t="str">
        <f>IF(ISNA(VLOOKUP(A63,'Grandchildren Loyd Daughters'!$BD$5:$BF$50,4,FALSE)),"",VLOOKUP(A63,'Grandchildren Loyd Daughters'!$BD$5:$BF$50,3,FALSE))</f>
        <v/>
      </c>
      <c r="AG63" s="129">
        <f>IF(ISNA(VLOOKUP(A63,'Grandchildren of Male Loyds'!$AQ$3:$AR$60,2,FALSE)),0,VLOOKUP(A63,'Grandchildren of Male Loyds'!$AQ$3:$AR$60,2,FALSE))+IF(ISNA(VLOOKUP(A63,'Grandchildren of Female Loyds'!$AX$5:$AY$50,2,FALSE)),0,VLOOKUP(A63,'Grandchildren of Female Loyds'!$AX$5:$AY$50,2,FALSE))+IF(ISNA(VLOOKUP(A63,'Grandchildren Loyd Daughters'!$BD$5:$BE$50,2,FALSE)),0,VLOOKUP(A63,'Grandchildren Loyd Daughters'!$BD$5:$BE$50,2,FALSE))</f>
        <v>0</v>
      </c>
      <c r="AH63" s="129" t="str">
        <f>VLOOKUP($U63,'Loyd List 1-190 - Edit'!$P$3:$AJ$220,21,FALSE)</f>
        <v>Henrietta Louisa CLUTTERBUCK (b. 23 Jan 1856, d. 14 Jan 1931)</v>
      </c>
      <c r="AI63" s="129" t="str">
        <f>VLOOKUP(A63,'Updated Bios &amp; Spouse Details'!$A$1:$J$200,7,FALSE)</f>
        <v>Unmarried</v>
      </c>
      <c r="AJ63" s="130" t="str">
        <f>IF(VLOOKUP($A63,'Loyd List 1-190 - Edit'!$C$1:$AQ$220,'Book Details - NO EDIT'!AJ$1,FALSE)="","",(VLOOKUP($A63,'Loyd List 1-190 - Edit'!$C$1:$AQ$220,'Book Details - NO EDIT'!AJ$1,FALSE)))</f>
        <v xml:space="preserve"> - </v>
      </c>
      <c r="AK63" s="129" t="str">
        <f>VLOOKUP(A63,'Updated Bios &amp; Spouse Details'!$A$1:$J$200,8,FALSE)</f>
        <v xml:space="preserve"> - </v>
      </c>
      <c r="AL63" s="131" t="str">
        <f>VLOOKUP(A63,'Updated Bios &amp; Spouse Details'!$A$1:$J$200,5,FALSE)</f>
        <v xml:space="preserve">Reggie lived at Downs House, East Hendred, Berkshire and was the eldest son of Archie (1847–1922: #30). Born 21 May 1886 at 18 Radnor Place, London W2. Baptised 24 Jun 1886 at St John’s, Paddington. Educated Eton 1899-1904 and Trinity College, Cambridge (BA 1908). Served in World War I in France and England as Captain, Remount Service. Inherited Downs House on the death  of his father. The Downs  landholding was expanded but later sold. Transcribed and privately published his brother, Geoffrey’s (1890–1914: #69), war diary, in 1935. Died (unmarried) 12 Mar 1961 at Oxford. Buried 17 Mar 1961 at West Hendred, Berkshire. As of 2022, his library of books is held by Peter (1942– : #119). Photo: Reggie Loyd outside St Anne's, Bowden Hill on March 18th 1919, as Best Man at wedding of his brother, Bobbie, to Olive Gladstone
</v>
      </c>
      <c r="AM63" s="105" t="str">
        <f>IF(AND(LEN(H63)&gt;0,ISNA(IF(K63="Boy",VLOOKUP(A63,'Siblings of those BORN Loyd'!$AP$3:$AQ$70,2,FALSE),VLOOKUP(A63,'Children of Female Loyds'!$AR$5:$AS$60,2,FALSE)))),"d.s.p","")</f>
        <v>d.s.p</v>
      </c>
      <c r="AN63" s="99" t="str">
        <f t="shared" si="28"/>
        <v>Archie (1847–1922: #30)</v>
      </c>
      <c r="AO63" s="99" t="str">
        <f t="shared" si="18"/>
        <v>Thomas (1812–1857: #14)</v>
      </c>
      <c r="AP63" s="99" t="str">
        <f t="shared" si="19"/>
        <v>William (1770–1828: #4)</v>
      </c>
      <c r="AQ63" s="99" t="str">
        <f t="shared" si="20"/>
        <v>William (1729–1800: #1)</v>
      </c>
      <c r="AR63" s="99" t="str">
        <f t="shared" si="21"/>
        <v/>
      </c>
      <c r="AS63" s="99" t="str">
        <f t="shared" si="22"/>
        <v/>
      </c>
      <c r="AT63" s="99" t="str">
        <f t="shared" si="23"/>
        <v/>
      </c>
      <c r="AU63" s="99" t="str">
        <f t="shared" si="24"/>
        <v/>
      </c>
      <c r="AW63" s="116" t="str">
        <f>VLOOKUP(A63,'Updated Bios &amp; Spouse Details'!$A$1:$J$193,6,FALSE)</f>
        <v>England and France</v>
      </c>
      <c r="AX63" s="131">
        <f>VLOOKUP($A63,'Loyd List 1-190 - Edit'!$P$2:$AQ$220,AX$1,FALSE)</f>
        <v>61</v>
      </c>
      <c r="AY63" s="116" t="str">
        <f>IF(ISNA(VLOOKUP(A63,'Data check lookup table'!$G$2:$V$73,13,FALSE))," - ",VLOOKUP(A63,'Data check lookup table'!$G$2:$V$73,13,FALSE))</f>
        <v xml:space="preserve"> - </v>
      </c>
      <c r="AZ63" s="147" t="str">
        <f t="shared" si="14"/>
        <v>12/03/1961</v>
      </c>
      <c r="BA63" s="99" t="str">
        <f t="shared" si="29"/>
        <v/>
      </c>
      <c r="BB63" s="99" t="str">
        <f t="shared" si="30"/>
        <v/>
      </c>
      <c r="BI63" s="147" t="s">
        <v>3194</v>
      </c>
    </row>
    <row r="64" spans="1:61" s="99" customFormat="1" ht="136">
      <c r="A64" s="139">
        <f>'Loyd List 1-190 - Edit'!C64</f>
        <v>62</v>
      </c>
      <c r="B64" s="99" t="str">
        <f>VLOOKUP($A64,'Loyd List 1-190 - Edit'!$C$1:$AQ$220,'Book Details - NO EDIT'!B$1,FALSE)</f>
        <v>Robert</v>
      </c>
      <c r="C64" s="99" t="str">
        <f>IF(VLOOKUP($A64,'Loyd List 1-190 - Edit'!$C$1:$AQ$220,'Book Details - NO EDIT'!C$1,FALSE)="","",VLOOKUP($A64,'Loyd List 1-190 - Edit'!$C$1:$AQ$220,'Book Details - NO EDIT'!C$1,FALSE))</f>
        <v>Lindsay</v>
      </c>
      <c r="D64" s="99" t="str">
        <f>IF(VLOOKUP($A64,'Loyd List 1-190 - Edit'!$C$1:$AQ$220,'Book Details - NO EDIT'!D$1,FALSE)="","",VLOOKUP($A64,'Loyd List 1-190 - Edit'!$C$1:$AQ$220,'Book Details - NO EDIT'!D$1,FALSE))</f>
        <v/>
      </c>
      <c r="E64" s="99" t="str">
        <f>IF(VLOOKUP($A64,'Loyd List 1-190 - Edit'!$C$1:$AQ$220,'Book Details - NO EDIT'!E$1,FALSE)="","",VLOOKUP($A64,'Loyd List 1-190 - Edit'!$C$1:$AQ$220,'Book Details - NO EDIT'!E$1,FALSE))</f>
        <v>LOYD</v>
      </c>
      <c r="F64" s="99" t="str">
        <f>IF(VLOOKUP($A64,'Loyd List 1-190 - Edit'!$C$1:$AQ$220,'Book Details - NO EDIT'!F$1,FALSE)="",B64,VLOOKUP($A64,'Loyd List 1-190 - Edit'!$C$1:$AQ$220,'Book Details - NO EDIT'!F$1,FALSE))</f>
        <v>Bobby</v>
      </c>
      <c r="G64" s="140">
        <f>IF(VLOOKUP($A64,'Loyd List 1-190 - Edit'!$C$1:$AQ$220,'Book Details - NO EDIT'!G$1,FALSE)="","",VALUE(VLOOKUP($A64,'Loyd List 1-190 - Edit'!$C$1:$AQ$220,'Book Details - NO EDIT'!G$1,FALSE)))</f>
        <v>1887</v>
      </c>
      <c r="H64" s="140">
        <f>IF(VLOOKUP($A64,'Loyd List 1-190 - Edit'!$C$1:$AQ$220,'Book Details - NO EDIT'!H$1,FALSE)="","",VALUE(VLOOKUP($A64,'Loyd List 1-190 - Edit'!$C$1:$AQ$220,'Book Details - NO EDIT'!H$1,FALSE)))</f>
        <v>1977</v>
      </c>
      <c r="I64" s="141" t="str">
        <f>IF(VLOOKUP($A64,'Loyd List 1-190 - Edit'!$C$1:$AQ$220,'Book Details - NO EDIT'!I$1,FALSE)="","",(VLOOKUP($A64,'Loyd List 1-190 - Edit'!$C$1:$AQ$220,'Book Details - NO EDIT'!I$1,FALSE)))</f>
        <v>16/09/1887</v>
      </c>
      <c r="J64" s="141" t="str">
        <f>IF(VLOOKUP($A64,'Loyd List 1-190 - Edit'!$C$1:$AQ$220,'Book Details - NO EDIT'!J$1,FALSE)="","",(VLOOKUP($A64,'Loyd List 1-190 - Edit'!$C$1:$AQ$220,'Book Details - NO EDIT'!J$1,FALSE)))</f>
        <v>25/06/1977</v>
      </c>
      <c r="K64" s="100" t="str">
        <f>VLOOKUP($A64,'Loyd List 1-190 - Edit'!$C$1:$AQ$220,'Book Details - NO EDIT'!K$1,FALSE)</f>
        <v>Boy</v>
      </c>
      <c r="L64" s="140">
        <f>VLOOKUP($A64,'Loyd List 1-190 - Edit'!$C$1:$AQ$220,'Book Details - NO EDIT'!L$1,FALSE)</f>
        <v>30</v>
      </c>
      <c r="M64" s="140">
        <f t="shared" si="3"/>
        <v>14</v>
      </c>
      <c r="N64" s="140">
        <f t="shared" si="3"/>
        <v>4</v>
      </c>
      <c r="O64" s="140">
        <f t="shared" si="3"/>
        <v>1</v>
      </c>
      <c r="P64" s="140">
        <f t="shared" si="3"/>
        <v>0</v>
      </c>
      <c r="Q64" s="140" t="str">
        <f t="shared" si="4"/>
        <v/>
      </c>
      <c r="R64" s="140" t="str">
        <f t="shared" si="4"/>
        <v/>
      </c>
      <c r="S64" s="140" t="str">
        <f t="shared" si="5"/>
        <v/>
      </c>
      <c r="T64" s="140">
        <f t="shared" si="1"/>
        <v>4</v>
      </c>
      <c r="U64" s="139">
        <f t="shared" si="6"/>
        <v>62</v>
      </c>
      <c r="V64" s="31" t="str">
        <f t="shared" si="7"/>
        <v>Bobby (1887–1977)</v>
      </c>
      <c r="W64" s="31" t="str">
        <f t="shared" si="8"/>
        <v>Bobby (#62)</v>
      </c>
      <c r="X64" s="99" t="str">
        <f t="shared" si="9"/>
        <v>Bobby (1887–1977: #62)</v>
      </c>
      <c r="Y64" s="99" t="str">
        <f t="shared" si="27"/>
        <v>Robert Lindsay LOYD</v>
      </c>
      <c r="Z64" s="99" t="str">
        <f t="shared" si="10"/>
        <v>Archie (1847–1922: #30)</v>
      </c>
      <c r="AA64" s="99" t="str">
        <f t="shared" si="17"/>
        <v xml:space="preserve">Archie (1847–1922: #30) Thomas (1812–1857: #14) William (1770–1828: #4) William (1729–1800: #1)    </v>
      </c>
      <c r="AB64" s="142" t="str">
        <f>VLOOKUP(U64,'Siblings of those BORN Loyd'!$A$2:$G$230,7,FALSE)</f>
        <v xml:space="preserve">3 – Reggie (1886–1961: #61)  Geoffrey (1890–1914: #69) Wilfrid (1893–1971: #77)     </v>
      </c>
      <c r="AC64" s="115" t="str">
        <f>IF(ISNA(IF(K64="Boy",VLOOKUP(A64,'Siblings of those BORN Loyd'!$AP$3:$AQ$70,2,FALSE),VLOOKUP(A64,'Children of Female Loyds'!$AR$5:$AT$60,3,FALSE))),AM64,IF(K64="Boy",VLOOKUP(A64,'Siblings of those BORN Loyd'!$AP$3:$AQ$70,2,FALSE),VLOOKUP(A64,'Children of Female Loyds'!$AR$5:$AT$60,3,FALSE)))</f>
        <v>1 - Zelda (1923–2014: #102)</v>
      </c>
      <c r="AD64" s="97" t="str">
        <f t="shared" si="26"/>
        <v xml:space="preserve">3 -    Tess DUNLOP (1956 - :  #102a) Fergus DUNLOP (1958 - :  #102b) Celina DUNLOP (1960 - :  #102c)            </v>
      </c>
      <c r="AE64" s="105" t="str">
        <f>IF(ISNA(IF(K64="Boy",VLOOKUP(A64,'Grandchildren of Male Loyds'!$AQ$3:$AS$51,3,FALSE),VLOOKUP(A64,'Grandchildren of Female Loyds'!$AX$5:$AZ$63,3,FALSE))),AM64,IF(K64="Boy",VLOOKUP(A64,'Grandchildren of Male Loyds'!$AQ$3:$AS$51,3,FALSE),VLOOKUP(A64,'Grandchildren of Female Loyds'!$AX$5:$AZ$63,3,FALSE)))</f>
        <v/>
      </c>
      <c r="AF64" s="105" t="str">
        <f>IF(ISNA(VLOOKUP(A64,'Grandchildren Loyd Daughters'!$BD$5:$BF$50,4,FALSE)),"",VLOOKUP(A64,'Grandchildren Loyd Daughters'!$BD$5:$BF$50,3,FALSE))</f>
        <v xml:space="preserve">Tess DUNLOP (1956 - :  #102a) Fergus DUNLOP (1958 - :  #102b) Celina DUNLOP (1960 - :  #102c)            </v>
      </c>
      <c r="AG64" s="129">
        <f>IF(ISNA(VLOOKUP(A64,'Grandchildren of Male Loyds'!$AQ$3:$AR$60,2,FALSE)),0,VLOOKUP(A64,'Grandchildren of Male Loyds'!$AQ$3:$AR$60,2,FALSE))+IF(ISNA(VLOOKUP(A64,'Grandchildren of Female Loyds'!$AX$5:$AY$50,2,FALSE)),0,VLOOKUP(A64,'Grandchildren of Female Loyds'!$AX$5:$AY$50,2,FALSE))+IF(ISNA(VLOOKUP(A64,'Grandchildren Loyd Daughters'!$BD$5:$BE$50,2,FALSE)),0,VLOOKUP(A64,'Grandchildren Loyd Daughters'!$BD$5:$BE$50,2,FALSE))</f>
        <v>3</v>
      </c>
      <c r="AH64" s="129" t="str">
        <f>VLOOKUP($U64,'Loyd List 1-190 - Edit'!$P$3:$AJ$220,21,FALSE)</f>
        <v>Henrietta Louisa CLUTTERBUCK (b. 23 Jan 1856, d. 14 Jan 1931)</v>
      </c>
      <c r="AI64" s="129" t="str">
        <f>VLOOKUP(A64,'Updated Bios &amp; Spouse Details'!$A$1:$J$200,7,FALSE)</f>
        <v>Olive Mary GLADSTONE (b. 7 May 1893, d. 7 Aug 1977)</v>
      </c>
      <c r="AJ64" s="130">
        <f>IF(VLOOKUP($A64,'Loyd List 1-190 - Edit'!$C$1:$AQ$220,'Book Details - NO EDIT'!AJ$1,FALSE)="","",(VLOOKUP($A64,'Loyd List 1-190 - Edit'!$C$1:$AQ$220,'Book Details - NO EDIT'!AJ$1,FALSE)))</f>
        <v>7017</v>
      </c>
      <c r="AK64" s="129" t="str">
        <f>VLOOKUP(A64,'Updated Bios &amp; Spouse Details'!$A$1:$J$200,8,FALSE)</f>
        <v>Married Olive, at St Anne’s, Bowden Hill, Wiltshire, 2nd daughter of Sir John Evelyn GLADSTONE Bart: DL, JP of Bowden Park, Chippenham, Wiltshire. Olive Mary died at Kings Walden, Windsor, Berkshire, buried 19 Aug 1977 at West Hendred, Berkshire.</v>
      </c>
      <c r="AL64" s="131" t="str">
        <f>VLOOKUP(A64,'Updated Bios &amp; Spouse Details'!$A$1:$J$200,5,FALSE)</f>
        <v>Bobby lived at Kings Walden, Windsor, Berkshire and was the 2nd son of Archie (1847–1922: #30). Born 16 Sep 1887 at Lockinge House, Wantage, Berkshire, baptised 27 Oct 1887 at Lockinge. Educated Eton 1900-05 and Magdelen College, Oxford (BA 1911, MA 1924). Commissioned 28th January 1911 as Lieutenant 16th (Queens) Lancers, seconded in February 1914 to the 1st Cavalry Brigade as Signals Officer, mobilised 4th August 1914, one of the Old Contemptibles, Battle of Mons 23rd August 1914, Battle of the Marne, 5th September 1914, etc., (despatches 3 times). MC 1916. Military OBE 1919. Major, 1st Life Guards (1920–1934). Served in World War II as 2nd in Command 152nd Officer Cadet Training Unit, Catterick, Yorkshire, 1939-42. Trustee, Gardner’s Trust for the Blind (1942, Chairman 1956-1974), Princess Louise Hospital for Children, (Chairman 1937-40); and the London Foot Hospital, (Trustee 1936, Chairman 1947-8). Knight of St John 1950. Almoner 1948. Grand Master’s Order of Service to Freemasonry 1953. Died 25 Jun 1977 at Wexham Park Hospital, Slough, Berkshire. Buried 6 Jul 1977 at West Hendred, Berkshire. Issue: 1 daughter. Photo: Robert Lindsay Loyd (Bobbie) in 16th (Queen’s) Lancers uniform with medal ribbon, late 1918/early 1919, photo by Elliot and Fry.</v>
      </c>
      <c r="AM64" s="105" t="str">
        <f>IF(AND(LEN(H64)&gt;0,ISNA(IF(K64="Boy",VLOOKUP(A64,'Siblings of those BORN Loyd'!$AP$3:$AQ$70,2,FALSE),VLOOKUP(A64,'Children of Female Loyds'!$AR$5:$AS$60,2,FALSE)))),"d.s.p","")</f>
        <v/>
      </c>
      <c r="AN64" s="99" t="str">
        <f t="shared" si="28"/>
        <v>Archie (1847–1922: #30)</v>
      </c>
      <c r="AO64" s="99" t="str">
        <f t="shared" si="18"/>
        <v>Thomas (1812–1857: #14)</v>
      </c>
      <c r="AP64" s="99" t="str">
        <f t="shared" si="19"/>
        <v>William (1770–1828: #4)</v>
      </c>
      <c r="AQ64" s="99" t="str">
        <f t="shared" si="20"/>
        <v>William (1729–1800: #1)</v>
      </c>
      <c r="AR64" s="99" t="str">
        <f t="shared" si="21"/>
        <v/>
      </c>
      <c r="AS64" s="99" t="str">
        <f t="shared" si="22"/>
        <v/>
      </c>
      <c r="AT64" s="99" t="str">
        <f t="shared" si="23"/>
        <v/>
      </c>
      <c r="AU64" s="99" t="str">
        <f t="shared" si="24"/>
        <v/>
      </c>
      <c r="AW64" s="116" t="str">
        <f>VLOOKUP(A64,'Updated Bios &amp; Spouse Details'!$A$1:$J$193,6,FALSE)</f>
        <v>England and France</v>
      </c>
      <c r="AX64" s="131">
        <f>VLOOKUP($A64,'Loyd List 1-190 - Edit'!$P$2:$AQ$220,AX$1,FALSE)</f>
        <v>62</v>
      </c>
      <c r="AY64" s="116" t="str">
        <f>IF(ISNA(VLOOKUP(A64,'Data check lookup table'!$G$2:$V$73,13,FALSE))," - ",VLOOKUP(A64,'Data check lookup table'!$G$2:$V$73,13,FALSE))</f>
        <v xml:space="preserve"> - </v>
      </c>
      <c r="AZ64" s="147" t="str">
        <f t="shared" si="14"/>
        <v>25/06/1977</v>
      </c>
      <c r="BA64" s="99" t="str">
        <f t="shared" si="29"/>
        <v/>
      </c>
      <c r="BB64" s="99" t="str">
        <f t="shared" si="30"/>
        <v/>
      </c>
      <c r="BI64" s="147" t="s">
        <v>3195</v>
      </c>
    </row>
    <row r="65" spans="1:61" s="99" customFormat="1" ht="68">
      <c r="A65" s="139">
        <f>'Loyd List 1-190 - Edit'!C65</f>
        <v>63</v>
      </c>
      <c r="B65" s="99" t="str">
        <f>VLOOKUP($A65,'Loyd List 1-190 - Edit'!$C$1:$AQ$220,'Book Details - NO EDIT'!B$1,FALSE)</f>
        <v>Mary</v>
      </c>
      <c r="C65" s="99" t="str">
        <f>IF(VLOOKUP($A65,'Loyd List 1-190 - Edit'!$C$1:$AQ$220,'Book Details - NO EDIT'!C$1,FALSE)="","",VLOOKUP($A65,'Loyd List 1-190 - Edit'!$C$1:$AQ$220,'Book Details - NO EDIT'!C$1,FALSE))</f>
        <v>Innes</v>
      </c>
      <c r="D65" s="99" t="str">
        <f>IF(VLOOKUP($A65,'Loyd List 1-190 - Edit'!$C$1:$AQ$220,'Book Details - NO EDIT'!D$1,FALSE)="","",VLOOKUP($A65,'Loyd List 1-190 - Edit'!$C$1:$AQ$220,'Book Details - NO EDIT'!D$1,FALSE))</f>
        <v>Foster</v>
      </c>
      <c r="E65" s="99" t="str">
        <f>IF(VLOOKUP($A65,'Loyd List 1-190 - Edit'!$C$1:$AQ$220,'Book Details - NO EDIT'!E$1,FALSE)="","",VLOOKUP($A65,'Loyd List 1-190 - Edit'!$C$1:$AQ$220,'Book Details - NO EDIT'!E$1,FALSE))</f>
        <v>LOYD</v>
      </c>
      <c r="F65" s="99" t="str">
        <f>IF(VLOOKUP($A65,'Loyd List 1-190 - Edit'!$C$1:$AQ$220,'Book Details - NO EDIT'!F$1,FALSE)="",B65,VLOOKUP($A65,'Loyd List 1-190 - Edit'!$C$1:$AQ$220,'Book Details - NO EDIT'!F$1,FALSE))</f>
        <v>Mary</v>
      </c>
      <c r="G65" s="140">
        <f>IF(VLOOKUP($A65,'Loyd List 1-190 - Edit'!$C$1:$AQ$220,'Book Details - NO EDIT'!G$1,FALSE)="","",VALUE(VLOOKUP($A65,'Loyd List 1-190 - Edit'!$C$1:$AQ$220,'Book Details - NO EDIT'!G$1,FALSE)))</f>
        <v>1887</v>
      </c>
      <c r="H65" s="140">
        <f>IF(VLOOKUP($A65,'Loyd List 1-190 - Edit'!$C$1:$AQ$220,'Book Details - NO EDIT'!H$1,FALSE)="","",VALUE(VLOOKUP($A65,'Loyd List 1-190 - Edit'!$C$1:$AQ$220,'Book Details - NO EDIT'!H$1,FALSE)))</f>
        <v>1968</v>
      </c>
      <c r="I65" s="141" t="str">
        <f>IF(VLOOKUP($A65,'Loyd List 1-190 - Edit'!$C$1:$AQ$220,'Book Details - NO EDIT'!I$1,FALSE)="","",(VLOOKUP($A65,'Loyd List 1-190 - Edit'!$C$1:$AQ$220,'Book Details - NO EDIT'!I$1,FALSE)))</f>
        <v>23/11/1887</v>
      </c>
      <c r="J65" s="141" t="str">
        <f>IF(VLOOKUP($A65,'Loyd List 1-190 - Edit'!$C$1:$AQ$220,'Book Details - NO EDIT'!J$1,FALSE)="","",(VLOOKUP($A65,'Loyd List 1-190 - Edit'!$C$1:$AQ$220,'Book Details - NO EDIT'!J$1,FALSE)))</f>
        <v>25/09/1968</v>
      </c>
      <c r="K65" s="100" t="str">
        <f>VLOOKUP($A65,'Loyd List 1-190 - Edit'!$C$1:$AQ$220,'Book Details - NO EDIT'!K$1,FALSE)</f>
        <v>Girl</v>
      </c>
      <c r="L65" s="140">
        <f>VLOOKUP($A65,'Loyd List 1-190 - Edit'!$C$1:$AQ$220,'Book Details - NO EDIT'!L$1,FALSE)</f>
        <v>41</v>
      </c>
      <c r="M65" s="140">
        <f t="shared" si="3"/>
        <v>22</v>
      </c>
      <c r="N65" s="140">
        <f t="shared" si="3"/>
        <v>8</v>
      </c>
      <c r="O65" s="140">
        <f t="shared" si="3"/>
        <v>1</v>
      </c>
      <c r="P65" s="140">
        <f t="shared" si="3"/>
        <v>0</v>
      </c>
      <c r="Q65" s="140" t="str">
        <f t="shared" si="4"/>
        <v/>
      </c>
      <c r="R65" s="140" t="str">
        <f t="shared" si="4"/>
        <v/>
      </c>
      <c r="S65" s="140" t="str">
        <f t="shared" si="5"/>
        <v/>
      </c>
      <c r="T65" s="140">
        <f t="shared" si="1"/>
        <v>4</v>
      </c>
      <c r="U65" s="139">
        <f t="shared" si="6"/>
        <v>63</v>
      </c>
      <c r="V65" s="31" t="str">
        <f t="shared" si="7"/>
        <v>Mary (1887–1968)</v>
      </c>
      <c r="W65" s="31" t="str">
        <f t="shared" si="8"/>
        <v>Mary (#63)</v>
      </c>
      <c r="X65" s="99" t="str">
        <f t="shared" si="9"/>
        <v>Mary (1887–1968: #63)</v>
      </c>
      <c r="Y65" s="99" t="str">
        <f t="shared" si="27"/>
        <v>Mary Innes Foster LOYD</v>
      </c>
      <c r="Z65" s="99" t="str">
        <f t="shared" si="10"/>
        <v>Frederic (1856–1936: #41)</v>
      </c>
      <c r="AA65" s="99" t="str">
        <f t="shared" si="17"/>
        <v xml:space="preserve">Frederic (1856–1936: #41) Edward (1820–1890: #22) Edward (1780–1863: #8) William (1729–1800: #1)    </v>
      </c>
      <c r="AB65" s="142" t="str">
        <f>VLOOKUP(U65,'Siblings of those BORN Loyd'!$A$2:$G$230,7,FALSE)</f>
        <v xml:space="preserve">4 – Lewis (1880–1918: #52) Edward (1881–1962: #53) Evelyn (1885–1962: #59)  Cecily (1891–1891: #74)    </v>
      </c>
      <c r="AC65" s="115" t="str">
        <f>IF(ISNA(IF(K65="Boy",VLOOKUP(A65,'Siblings of those BORN Loyd'!$AP$3:$AQ$70,2,FALSE),VLOOKUP(A65,'Children of Female Loyds'!$AR$5:$AT$60,3,FALSE))),AM65,IF(K65="Boy",VLOOKUP(A65,'Siblings of those BORN Loyd'!$AP$3:$AQ$70,2,FALSE),VLOOKUP(A65,'Children of Female Loyds'!$AR$5:$AT$60,3,FALSE)))</f>
        <v xml:space="preserve">3 - Loyd MOORE (1926 - 2019: #63a) Isabel MOORE (1929 - 2020: #63b) Veronica MOORE (1930 - 1934: #63c)     </v>
      </c>
      <c r="AD65" s="97" t="str">
        <f t="shared" si="26"/>
        <v xml:space="preserve">2 - Arthur MOORE (1950 -: #63aa) Gareth MOORE (1985 -: #63ab)                 </v>
      </c>
      <c r="AE65" s="105" t="str">
        <f>IF(ISNA(IF(K65="Boy",VLOOKUP(A65,'Grandchildren of Male Loyds'!$AQ$3:$AS$51,3,FALSE),VLOOKUP(A65,'Grandchildren of Female Loyds'!$AX$5:$AZ$63,3,FALSE))),AM65,IF(K65="Boy",VLOOKUP(A65,'Grandchildren of Male Loyds'!$AQ$3:$AS$51,3,FALSE),VLOOKUP(A65,'Grandchildren of Female Loyds'!$AX$5:$AZ$63,3,FALSE)))</f>
        <v xml:space="preserve">Arthur MOORE (1950 -: #63aa) Gareth MOORE (1985 -: #63ab)              </v>
      </c>
      <c r="AF65" s="105" t="str">
        <f>IF(ISNA(VLOOKUP(A65,'Grandchildren Loyd Daughters'!$BD$5:$BF$50,4,FALSE)),"",VLOOKUP(A65,'Grandchildren Loyd Daughters'!$BD$5:$BF$50,3,FALSE))</f>
        <v/>
      </c>
      <c r="AG65" s="129">
        <f>IF(ISNA(VLOOKUP(A65,'Grandchildren of Male Loyds'!$AQ$3:$AR$60,2,FALSE)),0,VLOOKUP(A65,'Grandchildren of Male Loyds'!$AQ$3:$AR$60,2,FALSE))+IF(ISNA(VLOOKUP(A65,'Grandchildren of Female Loyds'!$AX$5:$AY$50,2,FALSE)),0,VLOOKUP(A65,'Grandchildren of Female Loyds'!$AX$5:$AY$50,2,FALSE))+IF(ISNA(VLOOKUP(A65,'Grandchildren Loyd Daughters'!$BD$5:$BE$50,2,FALSE)),0,VLOOKUP(A65,'Grandchildren Loyd Daughters'!$BD$5:$BE$50,2,FALSE))</f>
        <v>2</v>
      </c>
      <c r="AH65" s="129" t="str">
        <f>VLOOKUP($U65,'Loyd List 1-190 - Edit'!$P$3:$AJ$220,21,FALSE)</f>
        <v>Isabella (Isabel) CURREY (b. 26 Apr 1855, d. 16 Jan 1926)</v>
      </c>
      <c r="AI65" s="129" t="str">
        <f>VLOOKUP(A65,'Updated Bios &amp; Spouse Details'!$A$1:$J$200,7,FALSE)</f>
        <v>William Withers MOORE (b. 4 Aug 1855, d. 20 Feb 1944)</v>
      </c>
      <c r="AJ65" s="130">
        <f>IF(VLOOKUP($A65,'Loyd List 1-190 - Edit'!$C$1:$AQ$220,'Book Details - NO EDIT'!AJ$1,FALSE)="","",(VLOOKUP($A65,'Loyd List 1-190 - Edit'!$C$1:$AQ$220,'Book Details - NO EDIT'!AJ$1,FALSE)))</f>
        <v>9298</v>
      </c>
      <c r="AK65" s="129" t="str">
        <f>VLOOKUP(A65,'Updated Bios &amp; Spouse Details'!$A$1:$J$200,8,FALSE)</f>
        <v>Married William at St Peter &amp; St Paul (The Abbey) Bath. William died at Bath, Somerset and buried in Lansdown Cemetery, Bath as his second wife.</v>
      </c>
      <c r="AL65" s="131" t="str">
        <f>VLOOKUP(A65,'Updated Bios &amp; Spouse Details'!$A$1:$J$200,5,FALSE)</f>
        <v xml:space="preserve">Mary was the 2nd daughter of Frederic  (1856–1936: #41) of Shaw Hill House, Melksham, Wiltshire and of Albyns, Romford, Essex. Born 23 Nov 1887. Died 15 Sep 1968 in Skye. Buried in Lansdown Cemetery, Bath. Issue: 1 son, 2 daughters.                                     </v>
      </c>
      <c r="AM65" s="105" t="str">
        <f>IF(AND(LEN(H65)&gt;0,ISNA(IF(K65="Boy",VLOOKUP(A65,'Siblings of those BORN Loyd'!$AP$3:$AQ$70,2,FALSE),VLOOKUP(A65,'Children of Female Loyds'!$AR$5:$AS$60,2,FALSE)))),"d.s.p","")</f>
        <v/>
      </c>
      <c r="AN65" s="99" t="str">
        <f t="shared" si="28"/>
        <v>Frederic (1856–1936: #41)</v>
      </c>
      <c r="AO65" s="99" t="str">
        <f t="shared" si="18"/>
        <v>Edward (1820–1890: #22)</v>
      </c>
      <c r="AP65" s="99" t="str">
        <f t="shared" si="19"/>
        <v>Edward (1780–1863: #8)</v>
      </c>
      <c r="AQ65" s="99" t="str">
        <f t="shared" si="20"/>
        <v>William (1729–1800: #1)</v>
      </c>
      <c r="AR65" s="99" t="str">
        <f t="shared" si="21"/>
        <v/>
      </c>
      <c r="AS65" s="99" t="str">
        <f t="shared" si="22"/>
        <v/>
      </c>
      <c r="AT65" s="99" t="str">
        <f t="shared" si="23"/>
        <v/>
      </c>
      <c r="AU65" s="99" t="str">
        <f t="shared" si="24"/>
        <v/>
      </c>
      <c r="AW65" s="116" t="str">
        <f>VLOOKUP(A65,'Updated Bios &amp; Spouse Details'!$A$1:$J$193,6,FALSE)</f>
        <v>England and Scotland</v>
      </c>
      <c r="AX65" s="131">
        <f>VLOOKUP($A65,'Loyd List 1-190 - Edit'!$P$2:$AQ$220,AX$1,FALSE)</f>
        <v>63</v>
      </c>
      <c r="AY65" s="116" t="str">
        <f>IF(ISNA(VLOOKUP(A65,'Data check lookup table'!$G$2:$V$73,13,FALSE))," - ",VLOOKUP(A65,'Data check lookup table'!$G$2:$V$73,13,FALSE))</f>
        <v xml:space="preserve"> - </v>
      </c>
      <c r="AZ65" s="147" t="str">
        <f t="shared" si="14"/>
        <v>25/09/1968</v>
      </c>
      <c r="BA65" s="99" t="str">
        <f t="shared" si="29"/>
        <v/>
      </c>
      <c r="BB65" s="99" t="str">
        <f t="shared" si="30"/>
        <v/>
      </c>
      <c r="BI65" s="147" t="s">
        <v>3196</v>
      </c>
    </row>
    <row r="66" spans="1:61" s="99" customFormat="1" ht="83" customHeight="1">
      <c r="A66" s="139">
        <f>'Loyd List 1-190 - Edit'!C66</f>
        <v>64</v>
      </c>
      <c r="B66" s="99" t="str">
        <f>VLOOKUP($A66,'Loyd List 1-190 - Edit'!$C$1:$AQ$220,'Book Details - NO EDIT'!B$1,FALSE)</f>
        <v>Gertrude</v>
      </c>
      <c r="C66" s="99" t="str">
        <f>IF(VLOOKUP($A66,'Loyd List 1-190 - Edit'!$C$1:$AQ$220,'Book Details - NO EDIT'!C$1,FALSE)="","",VLOOKUP($A66,'Loyd List 1-190 - Edit'!$C$1:$AQ$220,'Book Details - NO EDIT'!C$1,FALSE))</f>
        <v>Harriet</v>
      </c>
      <c r="D66" s="99" t="str">
        <f>IF(VLOOKUP($A66,'Loyd List 1-190 - Edit'!$C$1:$AQ$220,'Book Details - NO EDIT'!D$1,FALSE)="","",VLOOKUP($A66,'Loyd List 1-190 - Edit'!$C$1:$AQ$220,'Book Details - NO EDIT'!D$1,FALSE))</f>
        <v>Joselyn</v>
      </c>
      <c r="E66" s="99" t="str">
        <f>IF(VLOOKUP($A66,'Loyd List 1-190 - Edit'!$C$1:$AQ$220,'Book Details - NO EDIT'!E$1,FALSE)="","",VLOOKUP($A66,'Loyd List 1-190 - Edit'!$C$1:$AQ$220,'Book Details - NO EDIT'!E$1,FALSE))</f>
        <v>LOYD</v>
      </c>
      <c r="F66" s="99" t="str">
        <f>IF(VLOOKUP($A66,'Loyd List 1-190 - Edit'!$C$1:$AQ$220,'Book Details - NO EDIT'!F$1,FALSE)="",B66,VLOOKUP($A66,'Loyd List 1-190 - Edit'!$C$1:$AQ$220,'Book Details - NO EDIT'!F$1,FALSE))</f>
        <v>Gertrude</v>
      </c>
      <c r="G66" s="140">
        <f>IF(VLOOKUP($A66,'Loyd List 1-190 - Edit'!$C$1:$AQ$220,'Book Details - NO EDIT'!G$1,FALSE)="","",VALUE(VLOOKUP($A66,'Loyd List 1-190 - Edit'!$C$1:$AQ$220,'Book Details - NO EDIT'!G$1,FALSE)))</f>
        <v>1887</v>
      </c>
      <c r="H66" s="140">
        <f>IF(VLOOKUP($A66,'Loyd List 1-190 - Edit'!$C$1:$AQ$220,'Book Details - NO EDIT'!H$1,FALSE)="","",VALUE(VLOOKUP($A66,'Loyd List 1-190 - Edit'!$C$1:$AQ$220,'Book Details - NO EDIT'!H$1,FALSE)))</f>
        <v>1917</v>
      </c>
      <c r="I66" s="141" t="str">
        <f>IF(VLOOKUP($A66,'Loyd List 1-190 - Edit'!$C$1:$AQ$220,'Book Details - NO EDIT'!I$1,FALSE)="","",(VLOOKUP($A66,'Loyd List 1-190 - Edit'!$C$1:$AQ$220,'Book Details - NO EDIT'!I$1,FALSE)))</f>
        <v>22/12/1887</v>
      </c>
      <c r="J66" s="141" t="str">
        <f>IF(VLOOKUP($A66,'Loyd List 1-190 - Edit'!$C$1:$AQ$220,'Book Details - NO EDIT'!J$1,FALSE)="","",(VLOOKUP($A66,'Loyd List 1-190 - Edit'!$C$1:$AQ$220,'Book Details - NO EDIT'!J$1,FALSE)))</f>
        <v>13/06/1917</v>
      </c>
      <c r="K66" s="100" t="str">
        <f>VLOOKUP($A66,'Loyd List 1-190 - Edit'!$C$1:$AQ$220,'Book Details - NO EDIT'!K$1,FALSE)</f>
        <v>Girl</v>
      </c>
      <c r="L66" s="140">
        <f>VLOOKUP($A66,'Loyd List 1-190 - Edit'!$C$1:$AQ$220,'Book Details - NO EDIT'!L$1,FALSE)</f>
        <v>35</v>
      </c>
      <c r="M66" s="140">
        <f t="shared" si="3"/>
        <v>23</v>
      </c>
      <c r="N66" s="140">
        <f t="shared" si="3"/>
        <v>8</v>
      </c>
      <c r="O66" s="140">
        <f t="shared" si="3"/>
        <v>1</v>
      </c>
      <c r="P66" s="140">
        <f t="shared" si="3"/>
        <v>0</v>
      </c>
      <c r="Q66" s="140" t="str">
        <f t="shared" si="4"/>
        <v/>
      </c>
      <c r="R66" s="140" t="str">
        <f t="shared" si="4"/>
        <v/>
      </c>
      <c r="S66" s="140" t="str">
        <f t="shared" si="5"/>
        <v/>
      </c>
      <c r="T66" s="140">
        <f t="shared" si="1"/>
        <v>4</v>
      </c>
      <c r="U66" s="139">
        <f t="shared" si="6"/>
        <v>64</v>
      </c>
      <c r="V66" s="31" t="str">
        <f t="shared" si="7"/>
        <v>Gertrude (1887–1917)</v>
      </c>
      <c r="W66" s="31" t="str">
        <f t="shared" si="8"/>
        <v>Gertrude (#64)</v>
      </c>
      <c r="X66" s="99" t="str">
        <f t="shared" si="9"/>
        <v>Gertrude (1887–1917: #64)</v>
      </c>
      <c r="Y66" s="99" t="str">
        <f t="shared" si="27"/>
        <v>Gertrude Harriet Joselyn LOYD</v>
      </c>
      <c r="Z66" s="99" t="str">
        <f t="shared" si="10"/>
        <v>Lewis (1852–1908: #35)</v>
      </c>
      <c r="AA66" s="99" t="str">
        <f t="shared" si="17"/>
        <v xml:space="preserve">Lewis (1852–1908: #35) William (1821–1885: #23) Edward (1780–1863: #8) William (1729–1800: #1)    </v>
      </c>
      <c r="AB66" s="142" t="str">
        <f>VLOOKUP(U66,'Siblings of those BORN Loyd'!$A$2:$G$230,7,FALSE)</f>
        <v xml:space="preserve">2 – Dick (1882–1950: #55) Robert (1884–1917: #57)       </v>
      </c>
      <c r="AC66" s="115" t="str">
        <f>IF(ISNA(IF(K66="Boy",VLOOKUP(A66,'Siblings of those BORN Loyd'!$AP$3:$AQ$70,2,FALSE),VLOOKUP(A66,'Children of Female Loyds'!$AR$5:$AT$60,3,FALSE))),AM66,IF(K66="Boy",VLOOKUP(A66,'Siblings of those BORN Loyd'!$AP$3:$AQ$70,2,FALSE),VLOOKUP(A66,'Children of Female Loyds'!$AR$5:$AT$60,3,FALSE)))</f>
        <v>d.s.p</v>
      </c>
      <c r="AD66" s="97" t="str">
        <f t="shared" si="26"/>
        <v>d.s.p.</v>
      </c>
      <c r="AE66" s="105" t="str">
        <f>IF(ISNA(IF(K66="Boy",VLOOKUP(A66,'Grandchildren of Male Loyds'!$AQ$3:$AS$51,3,FALSE),VLOOKUP(A66,'Grandchildren of Female Loyds'!$AX$5:$AZ$63,3,FALSE))),AM66,IF(K66="Boy",VLOOKUP(A66,'Grandchildren of Male Loyds'!$AQ$3:$AS$51,3,FALSE),VLOOKUP(A66,'Grandchildren of Female Loyds'!$AX$5:$AZ$63,3,FALSE)))</f>
        <v>d.s.p</v>
      </c>
      <c r="AF66" s="105" t="str">
        <f>IF(ISNA(VLOOKUP(A66,'Grandchildren Loyd Daughters'!$BD$5:$BF$50,4,FALSE)),"",VLOOKUP(A66,'Grandchildren Loyd Daughters'!$BD$5:$BF$50,3,FALSE))</f>
        <v/>
      </c>
      <c r="AG66" s="129">
        <f>IF(ISNA(VLOOKUP(A66,'Grandchildren of Male Loyds'!$AQ$3:$AR$60,2,FALSE)),0,VLOOKUP(A66,'Grandchildren of Male Loyds'!$AQ$3:$AR$60,2,FALSE))+IF(ISNA(VLOOKUP(A66,'Grandchildren of Female Loyds'!$AX$5:$AY$50,2,FALSE)),0,VLOOKUP(A66,'Grandchildren of Female Loyds'!$AX$5:$AY$50,2,FALSE))+IF(ISNA(VLOOKUP(A66,'Grandchildren Loyd Daughters'!$BD$5:$BE$50,2,FALSE)),0,VLOOKUP(A66,'Grandchildren Loyd Daughters'!$BD$5:$BE$50,2,FALSE))</f>
        <v>0</v>
      </c>
      <c r="AH66" s="129" t="str">
        <f>VLOOKUP($U66,'Loyd List 1-190 - Edit'!$P$3:$AJ$220,21,FALSE)</f>
        <v>Lady Mary Sophia HELY-HUTCHINSON (b. 22 Sep 1853, d. 30 Jul 1936)</v>
      </c>
      <c r="AI66" s="129" t="str">
        <f>VLOOKUP(A66,'Updated Bios &amp; Spouse Details'!$A$1:$J$200,7,FALSE)</f>
        <v>Comdt. Baron Max LEWAL</v>
      </c>
      <c r="AJ66" s="130">
        <f>IF(VLOOKUP($A66,'Loyd List 1-190 - Edit'!$C$1:$AQ$220,'Book Details - NO EDIT'!AJ$1,FALSE)="","",(VLOOKUP($A66,'Loyd List 1-190 - Edit'!$C$1:$AQ$220,'Book Details - NO EDIT'!AJ$1,FALSE)))</f>
        <v>2663</v>
      </c>
      <c r="AK66" s="129" t="str">
        <f>VLOOKUP(A66,'Updated Bios &amp; Spouse Details'!$A$1:$J$200,8,FALSE)</f>
        <v>Comdt. Baron Max, French Cavalry, only son of General LEWAL.</v>
      </c>
      <c r="AL66" s="131" t="str">
        <f>VLOOKUP(A66,'Updated Bios &amp; Spouse Details'!$A$1:$J$200,5,FALSE)</f>
        <v>Gertrude was the only daughter of Lewis (1852–1908: #35). Born 22 Dec 1887. Died in childbirth 13 Jun 1917. DSP</v>
      </c>
      <c r="AM66" s="105" t="str">
        <f>IF(AND(LEN(H66)&gt;0,ISNA(IF(K66="Boy",VLOOKUP(A66,'Siblings of those BORN Loyd'!$AP$3:$AQ$70,2,FALSE),VLOOKUP(A66,'Children of Female Loyds'!$AR$5:$AS$60,2,FALSE)))),"d.s.p","")</f>
        <v>d.s.p</v>
      </c>
      <c r="AN66" s="99" t="str">
        <f t="shared" si="28"/>
        <v>Lewis (1852–1908: #35)</v>
      </c>
      <c r="AO66" s="99" t="str">
        <f t="shared" si="18"/>
        <v>William (1821–1885: #23)</v>
      </c>
      <c r="AP66" s="99" t="str">
        <f t="shared" si="19"/>
        <v>Edward (1780–1863: #8)</v>
      </c>
      <c r="AQ66" s="99" t="str">
        <f t="shared" si="20"/>
        <v>William (1729–1800: #1)</v>
      </c>
      <c r="AR66" s="99" t="str">
        <f t="shared" si="21"/>
        <v/>
      </c>
      <c r="AS66" s="99" t="str">
        <f t="shared" si="22"/>
        <v/>
      </c>
      <c r="AT66" s="99" t="str">
        <f t="shared" si="23"/>
        <v/>
      </c>
      <c r="AU66" s="99" t="str">
        <f t="shared" si="24"/>
        <v/>
      </c>
      <c r="AW66" s="116" t="str">
        <f>VLOOKUP(A66,'Updated Bios &amp; Spouse Details'!$A$1:$J$193,6,FALSE)</f>
        <v>England</v>
      </c>
      <c r="AX66" s="131">
        <f>VLOOKUP($A66,'Loyd List 1-190 - Edit'!$P$2:$AQ$220,AX$1,FALSE)</f>
        <v>64</v>
      </c>
      <c r="AY66" s="116" t="str">
        <f>IF(ISNA(VLOOKUP(A66,'Data check lookup table'!$G$2:$V$73,13,FALSE))," - ",VLOOKUP(A66,'Data check lookup table'!$G$2:$V$73,13,FALSE))</f>
        <v xml:space="preserve"> - </v>
      </c>
      <c r="AZ66" s="147" t="str">
        <f t="shared" si="14"/>
        <v>13/06/1917</v>
      </c>
      <c r="BA66" s="99" t="str">
        <f t="shared" si="29"/>
        <v/>
      </c>
      <c r="BB66" s="99" t="str">
        <f t="shared" si="30"/>
        <v/>
      </c>
      <c r="BI66" s="147" t="s">
        <v>3197</v>
      </c>
    </row>
    <row r="67" spans="1:61" s="99" customFormat="1" ht="119">
      <c r="A67" s="139">
        <f>'Loyd List 1-190 - Edit'!C67</f>
        <v>65</v>
      </c>
      <c r="B67" s="99" t="str">
        <f>VLOOKUP($A67,'Loyd List 1-190 - Edit'!$C$1:$AQ$220,'Book Details - NO EDIT'!B$1,FALSE)</f>
        <v>Melicent</v>
      </c>
      <c r="C67" s="99" t="str">
        <f>IF(VLOOKUP($A67,'Loyd List 1-190 - Edit'!$C$1:$AQ$220,'Book Details - NO EDIT'!C$1,FALSE)="","",VLOOKUP($A67,'Loyd List 1-190 - Edit'!$C$1:$AQ$220,'Book Details - NO EDIT'!C$1,FALSE))</f>
        <v>Annie</v>
      </c>
      <c r="D67" s="99" t="str">
        <f>IF(VLOOKUP($A67,'Loyd List 1-190 - Edit'!$C$1:$AQ$220,'Book Details - NO EDIT'!D$1,FALSE)="","",VLOOKUP($A67,'Loyd List 1-190 - Edit'!$C$1:$AQ$220,'Book Details - NO EDIT'!D$1,FALSE))</f>
        <v>Kirkman</v>
      </c>
      <c r="E67" s="99" t="str">
        <f>IF(VLOOKUP($A67,'Loyd List 1-190 - Edit'!$C$1:$AQ$220,'Book Details - NO EDIT'!E$1,FALSE)="","",VLOOKUP($A67,'Loyd List 1-190 - Edit'!$C$1:$AQ$220,'Book Details - NO EDIT'!E$1,FALSE))</f>
        <v>LOYD</v>
      </c>
      <c r="F67" s="99" t="str">
        <f>IF(VLOOKUP($A67,'Loyd List 1-190 - Edit'!$C$1:$AQ$220,'Book Details - NO EDIT'!F$1,FALSE)="",B67,VLOOKUP($A67,'Loyd List 1-190 - Edit'!$C$1:$AQ$220,'Book Details - NO EDIT'!F$1,FALSE))</f>
        <v>Nan</v>
      </c>
      <c r="G67" s="140">
        <f>IF(VLOOKUP($A67,'Loyd List 1-190 - Edit'!$C$1:$AQ$220,'Book Details - NO EDIT'!G$1,FALSE)="","",VALUE(VLOOKUP($A67,'Loyd List 1-190 - Edit'!$C$1:$AQ$220,'Book Details - NO EDIT'!G$1,FALSE)))</f>
        <v>1889</v>
      </c>
      <c r="H67" s="140">
        <f>IF(VLOOKUP($A67,'Loyd List 1-190 - Edit'!$C$1:$AQ$220,'Book Details - NO EDIT'!H$1,FALSE)="","",VALUE(VLOOKUP($A67,'Loyd List 1-190 - Edit'!$C$1:$AQ$220,'Book Details - NO EDIT'!H$1,FALSE)))</f>
        <v>1967</v>
      </c>
      <c r="I67" s="141" t="str">
        <f>IF(VLOOKUP($A67,'Loyd List 1-190 - Edit'!$C$1:$AQ$220,'Book Details - NO EDIT'!I$1,FALSE)="","",(VLOOKUP($A67,'Loyd List 1-190 - Edit'!$C$1:$AQ$220,'Book Details - NO EDIT'!I$1,FALSE)))</f>
        <v>04/02/1889</v>
      </c>
      <c r="J67" s="141" t="str">
        <f>IF(VLOOKUP($A67,'Loyd List 1-190 - Edit'!$C$1:$AQ$220,'Book Details - NO EDIT'!J$1,FALSE)="","",(VLOOKUP($A67,'Loyd List 1-190 - Edit'!$C$1:$AQ$220,'Book Details - NO EDIT'!J$1,FALSE)))</f>
        <v>14/04/1967</v>
      </c>
      <c r="K67" s="100" t="str">
        <f>VLOOKUP($A67,'Loyd List 1-190 - Edit'!$C$1:$AQ$220,'Book Details - NO EDIT'!K$1,FALSE)</f>
        <v>Girl</v>
      </c>
      <c r="L67" s="140">
        <f>VLOOKUP($A67,'Loyd List 1-190 - Edit'!$C$1:$AQ$220,'Book Details - NO EDIT'!L$1,FALSE)</f>
        <v>34</v>
      </c>
      <c r="M67" s="140">
        <f t="shared" si="3"/>
        <v>14</v>
      </c>
      <c r="N67" s="140">
        <f t="shared" si="3"/>
        <v>4</v>
      </c>
      <c r="O67" s="140">
        <f t="shared" si="3"/>
        <v>1</v>
      </c>
      <c r="P67" s="140">
        <f t="shared" ref="P67:R130" si="31">IF(ISNA(VLOOKUP(O67,$A$3:$L$220,P$1,FALSE)),"",(VLOOKUP(O67,$A$3:$L$220,P$1,FALSE)))</f>
        <v>0</v>
      </c>
      <c r="Q67" s="140" t="str">
        <f t="shared" si="4"/>
        <v/>
      </c>
      <c r="R67" s="140" t="str">
        <f t="shared" si="4"/>
        <v/>
      </c>
      <c r="S67" s="140" t="str">
        <f t="shared" si="5"/>
        <v/>
      </c>
      <c r="T67" s="140">
        <f t="shared" ref="T67:T130" si="32">IF(L67=1,1,IF(M67=1,2,IF(N67=1,3,IF(O67=1,4,IF(P67=1,5,IF(Q67=1,6,IF(R67=1,7,IF(S67=1,8,0))))))))</f>
        <v>4</v>
      </c>
      <c r="U67" s="139">
        <f t="shared" si="6"/>
        <v>65</v>
      </c>
      <c r="V67" s="31" t="str">
        <f t="shared" si="7"/>
        <v>Nan (1889–1967)</v>
      </c>
      <c r="W67" s="31" t="str">
        <f t="shared" si="8"/>
        <v>Nan (#65)</v>
      </c>
      <c r="X67" s="99" t="str">
        <f t="shared" si="9"/>
        <v>Nan (1889–1967: #65)</v>
      </c>
      <c r="Y67" s="99" t="str">
        <f t="shared" ref="Y67:Y98" si="33">_xlfn.CONCAT(B67," ",IF(C67="",E67,_xlfn.CONCAT(C67," ",IF(D67="",E67,_xlfn.CONCAT(D67," ",E67)))))</f>
        <v>Melicent Annie Kirkman LOYD</v>
      </c>
      <c r="Z67" s="99" t="str">
        <f t="shared" si="10"/>
        <v>Ted (1851–1922: #34)</v>
      </c>
      <c r="AA67" s="99" t="str">
        <f t="shared" si="17"/>
        <v xml:space="preserve">Ted (1851–1922: #34) Thomas (1812–1857: #14) William (1770–1828: #4) William (1729–1800: #1)    </v>
      </c>
      <c r="AB67" s="142" t="str">
        <f>VLOOKUP(U67,'Siblings of those BORN Loyd'!$A$2:$G$230,7,FALSE)</f>
        <v xml:space="preserve">2 – Arthur (1890–1974: #71) Edward (1893–1932: #76)      </v>
      </c>
      <c r="AC67" s="115" t="str">
        <f>IF(ISNA(IF(K67="Boy",VLOOKUP(A67,'Siblings of those BORN Loyd'!$AP$3:$AQ$70,2,FALSE),VLOOKUP(A67,'Children of Female Loyds'!$AR$5:$AT$60,3,FALSE))),AM67,IF(K67="Boy",VLOOKUP(A67,'Siblings of those BORN Loyd'!$AP$3:$AQ$70,2,FALSE),VLOOKUP(A67,'Children of Female Loyds'!$AR$5:$AT$60,3,FALSE)))</f>
        <v xml:space="preserve">3 - Audrey WHEELER (1913 - : #65a) Norma WHEELER (1924 - : #65b) Basil WHEELER (1926 - : #65c)     </v>
      </c>
      <c r="AD67" s="97" t="str">
        <f t="shared" si="26"/>
        <v xml:space="preserve">2 - Vanessa WHEELER (1971 -: #65ca) Karen WHEELER (1973 -: #65cb)                 </v>
      </c>
      <c r="AE67" s="105" t="str">
        <f>IF(ISNA(IF(K67="Boy",VLOOKUP(A67,'Grandchildren of Male Loyds'!$AQ$3:$AS$51,3,FALSE),VLOOKUP(A67,'Grandchildren of Female Loyds'!$AX$5:$AZ$63,3,FALSE))),AM67,IF(K67="Boy",VLOOKUP(A67,'Grandchildren of Male Loyds'!$AQ$3:$AS$51,3,FALSE),VLOOKUP(A67,'Grandchildren of Female Loyds'!$AX$5:$AZ$63,3,FALSE)))</f>
        <v xml:space="preserve">Vanessa WHEELER (1971 -: #65ca) Karen WHEELER (1973 -: #65cb)              </v>
      </c>
      <c r="AF67" s="105" t="str">
        <f>IF(ISNA(VLOOKUP(A67,'Grandchildren Loyd Daughters'!$BD$5:$BF$50,4,FALSE)),"",VLOOKUP(A67,'Grandchildren Loyd Daughters'!$BD$5:$BF$50,3,FALSE))</f>
        <v/>
      </c>
      <c r="AG67" s="129">
        <f>IF(ISNA(VLOOKUP(A67,'Grandchildren of Male Loyds'!$AQ$3:$AR$60,2,FALSE)),0,VLOOKUP(A67,'Grandchildren of Male Loyds'!$AQ$3:$AR$60,2,FALSE))+IF(ISNA(VLOOKUP(A67,'Grandchildren of Female Loyds'!$AX$5:$AY$50,2,FALSE)),0,VLOOKUP(A67,'Grandchildren of Female Loyds'!$AX$5:$AY$50,2,FALSE))+IF(ISNA(VLOOKUP(A67,'Grandchildren Loyd Daughters'!$BD$5:$BE$50,2,FALSE)),0,VLOOKUP(A67,'Grandchildren Loyd Daughters'!$BD$5:$BE$50,2,FALSE))</f>
        <v>2</v>
      </c>
      <c r="AH67" s="129" t="str">
        <f>VLOOKUP($U67,'Loyd List 1-190 - Edit'!$P$3:$AJ$220,21,FALSE)</f>
        <v>Millicent Blandinah KESTEVEN (b. 1850/51, d. 22 Jun 1945)</v>
      </c>
      <c r="AI67" s="129" t="str">
        <f>VLOOKUP(A67,'Updated Bios &amp; Spouse Details'!$A$1:$J$200,7,FALSE)</f>
        <v>James Norman WHEELER (b. 17 Apr 1882, d. 6 Jan 1966)</v>
      </c>
      <c r="AJ67" s="130">
        <f>IF(VLOOKUP($A67,'Loyd List 1-190 - Edit'!$C$1:$AQ$220,'Book Details - NO EDIT'!AJ$1,FALSE)="","",(VLOOKUP($A67,'Loyd List 1-190 - Edit'!$C$1:$AQ$220,'Book Details - NO EDIT'!AJ$1,FALSE)))</f>
        <v>4554</v>
      </c>
      <c r="AK67" s="129" t="str">
        <f>VLOOKUP(A67,'Updated Bios &amp; Spouse Details'!$A$1:$J$200,8,FALSE)</f>
        <v>Married Norman, at Wimborne Minster, Dorset, son of the Rev James WHEELER, Rector of Hampreston, Dorset. Norman educated Cambridge and St Thomas’s Hospital, London. World War I, RAMC. Physician and Ophthalmic Surgeon, Rugby.</v>
      </c>
      <c r="AL67" s="131" t="str">
        <f>VLOOKUP(A67,'Updated Bios &amp; Spouse Details'!$A$1:$J$200,5,FALSE)</f>
        <v>Melicent was the only daughter of Edward  (1851–1922: #34). Born 4 Feb 1889.  Died 14 Apr 1967 at St Mawes, Cornwall, buried at St. Just-in-Roseland, Cornwall. Issue: 2 daughters, 1 son.</v>
      </c>
      <c r="AM67" s="105" t="str">
        <f>IF(AND(LEN(H67)&gt;0,ISNA(IF(K67="Boy",VLOOKUP(A67,'Siblings of those BORN Loyd'!$AP$3:$AQ$70,2,FALSE),VLOOKUP(A67,'Children of Female Loyds'!$AR$5:$AS$60,2,FALSE)))),"d.s.p","")</f>
        <v/>
      </c>
      <c r="AN67" s="99" t="str">
        <f t="shared" si="28"/>
        <v>Ted (1851–1922: #34)</v>
      </c>
      <c r="AO67" s="99" t="str">
        <f t="shared" si="18"/>
        <v>Thomas (1812–1857: #14)</v>
      </c>
      <c r="AP67" s="99" t="str">
        <f t="shared" si="19"/>
        <v>William (1770–1828: #4)</v>
      </c>
      <c r="AQ67" s="99" t="str">
        <f t="shared" si="20"/>
        <v>William (1729–1800: #1)</v>
      </c>
      <c r="AR67" s="99" t="str">
        <f t="shared" si="21"/>
        <v/>
      </c>
      <c r="AS67" s="99" t="str">
        <f t="shared" si="22"/>
        <v/>
      </c>
      <c r="AT67" s="99" t="str">
        <f t="shared" si="23"/>
        <v/>
      </c>
      <c r="AU67" s="99" t="str">
        <f t="shared" si="24"/>
        <v/>
      </c>
      <c r="AW67" s="116" t="str">
        <f>VLOOKUP(A67,'Updated Bios &amp; Spouse Details'!$A$1:$J$193,6,FALSE)</f>
        <v>England</v>
      </c>
      <c r="AX67" s="131">
        <f>VLOOKUP($A67,'Loyd List 1-190 - Edit'!$P$2:$AQ$220,AX$1,FALSE)</f>
        <v>65</v>
      </c>
      <c r="AY67" s="116" t="str">
        <f>IF(ISNA(VLOOKUP(A67,'Data check lookup table'!$G$2:$V$73,13,FALSE))," - ",VLOOKUP(A67,'Data check lookup table'!$G$2:$V$73,13,FALSE))</f>
        <v xml:space="preserve"> - </v>
      </c>
      <c r="AZ67" s="147" t="str">
        <f t="shared" si="14"/>
        <v>14/04/1967</v>
      </c>
      <c r="BA67" s="99" t="str">
        <f t="shared" si="29"/>
        <v/>
      </c>
      <c r="BB67" s="99" t="str">
        <f t="shared" si="30"/>
        <v/>
      </c>
      <c r="BI67" s="147" t="s">
        <v>3198</v>
      </c>
    </row>
    <row r="68" spans="1:61" s="99" customFormat="1" ht="51">
      <c r="A68" s="139">
        <f>'Loyd List 1-190 - Edit'!C68</f>
        <v>66</v>
      </c>
      <c r="B68" s="99" t="str">
        <f>VLOOKUP($A68,'Loyd List 1-190 - Edit'!$C$1:$AQ$220,'Book Details - NO EDIT'!B$1,FALSE)</f>
        <v>William</v>
      </c>
      <c r="C68" s="99" t="str">
        <f>IF(VLOOKUP($A68,'Loyd List 1-190 - Edit'!$C$1:$AQ$220,'Book Details - NO EDIT'!C$1,FALSE)="","",VLOOKUP($A68,'Loyd List 1-190 - Edit'!$C$1:$AQ$220,'Book Details - NO EDIT'!C$1,FALSE))</f>
        <v>Lewis</v>
      </c>
      <c r="D68" s="99" t="str">
        <f>IF(VLOOKUP($A68,'Loyd List 1-190 - Edit'!$C$1:$AQ$220,'Book Details - NO EDIT'!D$1,FALSE)="","",VLOOKUP($A68,'Loyd List 1-190 - Edit'!$C$1:$AQ$220,'Book Details - NO EDIT'!D$1,FALSE))</f>
        <v>Brownlow</v>
      </c>
      <c r="E68" s="99" t="str">
        <f>IF(VLOOKUP($A68,'Loyd List 1-190 - Edit'!$C$1:$AQ$220,'Book Details - NO EDIT'!E$1,FALSE)="","",VLOOKUP($A68,'Loyd List 1-190 - Edit'!$C$1:$AQ$220,'Book Details - NO EDIT'!E$1,FALSE))</f>
        <v>LOYD</v>
      </c>
      <c r="F68" s="99" t="str">
        <f>IF(VLOOKUP($A68,'Loyd List 1-190 - Edit'!$C$1:$AQ$220,'Book Details - NO EDIT'!F$1,FALSE)="",B68,VLOOKUP($A68,'Loyd List 1-190 - Edit'!$C$1:$AQ$220,'Book Details - NO EDIT'!F$1,FALSE))</f>
        <v>William</v>
      </c>
      <c r="G68" s="140">
        <f>IF(VLOOKUP($A68,'Loyd List 1-190 - Edit'!$C$1:$AQ$220,'Book Details - NO EDIT'!G$1,FALSE)="","",VALUE(VLOOKUP($A68,'Loyd List 1-190 - Edit'!$C$1:$AQ$220,'Book Details - NO EDIT'!G$1,FALSE)))</f>
        <v>1889</v>
      </c>
      <c r="H68" s="140">
        <f>IF(VLOOKUP($A68,'Loyd List 1-190 - Edit'!$C$1:$AQ$220,'Book Details - NO EDIT'!H$1,FALSE)="","",VALUE(VLOOKUP($A68,'Loyd List 1-190 - Edit'!$C$1:$AQ$220,'Book Details - NO EDIT'!H$1,FALSE)))</f>
        <v>1947</v>
      </c>
      <c r="I68" s="141" t="str">
        <f>IF(VLOOKUP($A68,'Loyd List 1-190 - Edit'!$C$1:$AQ$220,'Book Details - NO EDIT'!I$1,FALSE)="","",(VLOOKUP($A68,'Loyd List 1-190 - Edit'!$C$1:$AQ$220,'Book Details - NO EDIT'!I$1,FALSE)))</f>
        <v>07/05/1889</v>
      </c>
      <c r="J68" s="141" t="str">
        <f>IF(VLOOKUP($A68,'Loyd List 1-190 - Edit'!$C$1:$AQ$220,'Book Details - NO EDIT'!J$1,FALSE)="","",(VLOOKUP($A68,'Loyd List 1-190 - Edit'!$C$1:$AQ$220,'Book Details - NO EDIT'!J$1,FALSE)))</f>
        <v>27/10/1947</v>
      </c>
      <c r="K68" s="100" t="str">
        <f>VLOOKUP($A68,'Loyd List 1-190 - Edit'!$C$1:$AQ$220,'Book Details - NO EDIT'!K$1,FALSE)</f>
        <v>Boy</v>
      </c>
      <c r="L68" s="140">
        <f>VLOOKUP($A68,'Loyd List 1-190 - Edit'!$C$1:$AQ$220,'Book Details - NO EDIT'!L$1,FALSE)</f>
        <v>44</v>
      </c>
      <c r="M68" s="140">
        <f t="shared" ref="M68:R131" si="34">IF(ISNA(VLOOKUP(L68,$A$3:$L$220,M$1,FALSE)),"",(VLOOKUP(L68,$A$3:$L$220,M$1,FALSE)))</f>
        <v>23</v>
      </c>
      <c r="N68" s="140">
        <f t="shared" si="34"/>
        <v>8</v>
      </c>
      <c r="O68" s="140">
        <f t="shared" si="34"/>
        <v>1</v>
      </c>
      <c r="P68" s="140">
        <f t="shared" si="31"/>
        <v>0</v>
      </c>
      <c r="Q68" s="140" t="str">
        <f t="shared" si="31"/>
        <v/>
      </c>
      <c r="R68" s="140" t="str">
        <f t="shared" si="31"/>
        <v/>
      </c>
      <c r="S68" s="140" t="str">
        <f t="shared" ref="S68:S131" si="35">IF(ISNA(VLOOKUP(R68,$A$3:$L$220,S$1,FALSE)),"",(VLOOKUP(R68,$A$3:$L$220,S$1,FALSE)))</f>
        <v/>
      </c>
      <c r="T68" s="140">
        <f t="shared" si="32"/>
        <v>4</v>
      </c>
      <c r="U68" s="139">
        <f t="shared" ref="U68:U131" si="36">A68</f>
        <v>66</v>
      </c>
      <c r="V68" s="31" t="str">
        <f t="shared" ref="V68:V131" si="37">_xlfn.CONCAT(F68," (",G68,"–",H68,")")</f>
        <v>William (1889–1947)</v>
      </c>
      <c r="W68" s="31" t="str">
        <f t="shared" ref="W68:W131" si="38">_xlfn.CONCAT(F68," (#",A68,")")</f>
        <v>William (#66)</v>
      </c>
      <c r="X68" s="99" t="str">
        <f t="shared" ref="X68:X131" si="39">_xlfn.CONCAT(F68," (",G68,"–",H68,": #",A68,")")</f>
        <v>William (1889–1947: #66)</v>
      </c>
      <c r="Y68" s="99" t="str">
        <f t="shared" si="33"/>
        <v>William Lewis Brownlow LOYD</v>
      </c>
      <c r="Z68" s="99" t="str">
        <f t="shared" ref="Z68:Z131" si="40">VLOOKUP(L68,$U$2:$X$230,Z$1,FALSE)</f>
        <v>Harry (1861–1938: #44)</v>
      </c>
      <c r="AA68" s="99" t="str">
        <f t="shared" si="17"/>
        <v xml:space="preserve">Harry (1861–1938: #44) William (1821–1885: #23) Edward (1780–1863: #8) William (1729–1800: #1)    </v>
      </c>
      <c r="AB68" s="142" t="str">
        <f>VLOOKUP(U68,'Siblings of those BORN Loyd'!$A$2:$G$230,7,FALSE)</f>
        <v xml:space="preserve">2 – Charles (1891–1973: #72) Reginald (1885–1917: #81)      </v>
      </c>
      <c r="AC68" s="115" t="str">
        <f>IF(ISNA(IF(K68="Boy",VLOOKUP(A68,'Siblings of those BORN Loyd'!$AP$3:$AQ$70,2,FALSE),VLOOKUP(A68,'Children of Female Loyds'!$AR$5:$AT$60,3,FALSE))),AM68,IF(K68="Boy",VLOOKUP(A68,'Siblings of those BORN Loyd'!$AP$3:$AQ$70,2,FALSE),VLOOKUP(A68,'Children of Female Loyds'!$AR$5:$AT$60,3,FALSE)))</f>
        <v>3 - Delia (1915–2007: #88); Edward (1921–1977: #96); Peter (1923–1974: #99)</v>
      </c>
      <c r="AD68" s="97" t="str">
        <f t="shared" si="26"/>
        <v xml:space="preserve">7 - Caroline (1947–2022: #120); David (1949–: #121); Henrietta (1959–: #137); Andrew (1962–: #144)   Lady Diana BAIRD (1937 - :  #88a) Michael KEITH (1939 - 2004:  #88b) The Hon Alexander BAIRD (1946 - :  #88c)            </v>
      </c>
      <c r="AE68" s="105" t="str">
        <f>IF(ISNA(IF(K68="Boy",VLOOKUP(A68,'Grandchildren of Male Loyds'!$AQ$3:$AS$51,3,FALSE),VLOOKUP(A68,'Grandchildren of Female Loyds'!$AX$5:$AZ$63,3,FALSE))),AM68,IF(K68="Boy",VLOOKUP(A68,'Grandchildren of Male Loyds'!$AQ$3:$AS$51,3,FALSE),VLOOKUP(A68,'Grandchildren of Female Loyds'!$AX$5:$AZ$63,3,FALSE)))</f>
        <v>Caroline (1947–2022: #120); David (1949–: #121); Henrietta (1959–: #137); Andrew (1962–: #144)</v>
      </c>
      <c r="AF68" s="105" t="str">
        <f>IF(ISNA(VLOOKUP(A68,'Grandchildren Loyd Daughters'!$BD$5:$BF$50,4,FALSE)),"",VLOOKUP(A68,'Grandchildren Loyd Daughters'!$BD$5:$BF$50,3,FALSE))</f>
        <v xml:space="preserve">Lady Diana BAIRD (1937 - :  #88a) Michael KEITH (1939 - 2004:  #88b) The Hon Alexander BAIRD (1946 - :  #88c)            </v>
      </c>
      <c r="AG68" s="129">
        <f>IF(ISNA(VLOOKUP(A68,'Grandchildren of Male Loyds'!$AQ$3:$AR$60,2,FALSE)),0,VLOOKUP(A68,'Grandchildren of Male Loyds'!$AQ$3:$AR$60,2,FALSE))+IF(ISNA(VLOOKUP(A68,'Grandchildren of Female Loyds'!$AX$5:$AY$50,2,FALSE)),0,VLOOKUP(A68,'Grandchildren of Female Loyds'!$AX$5:$AY$50,2,FALSE))+IF(ISNA(VLOOKUP(A68,'Grandchildren Loyd Daughters'!$BD$5:$BE$50,2,FALSE)),0,VLOOKUP(A68,'Grandchildren Loyd Daughters'!$BD$5:$BE$50,2,FALSE))</f>
        <v>7</v>
      </c>
      <c r="AH68" s="129" t="str">
        <f>VLOOKUP($U68,'Loyd List 1-190 - Edit'!$P$3:$AJ$220,21,FALSE)</f>
        <v>The Hon Clementina Georgina BROWNLOW (b. 13 Jan 1868, d. 1 Sep 1929)</v>
      </c>
      <c r="AI68" s="129" t="str">
        <f>VLOOKUP(A68,'Updated Bios &amp; Spouse Details'!$A$1:$J$200,7,FALSE)</f>
        <v>The Hon Bettine Henrietta KNATCHBULL-HUGESSEN (b. 15 Sep 1888, d. 9 Aug 1967)</v>
      </c>
      <c r="AJ68" s="130">
        <f>IF(VLOOKUP($A68,'Loyd List 1-190 - Edit'!$C$1:$AQ$220,'Book Details - NO EDIT'!AJ$1,FALSE)="","",(VLOOKUP($A68,'Loyd List 1-190 - Edit'!$C$1:$AQ$220,'Book Details - NO EDIT'!AJ$1,FALSE)))</f>
        <v>4515</v>
      </c>
      <c r="AK68" s="129" t="str">
        <f>VLOOKUP(A68,'Updated Bios &amp; Spouse Details'!$A$1:$J$200,8,FALSE)</f>
        <v>The Hon Bettine Henrietta 2nd daughter of Edward KNATCHBULL-HUGESSEN, 2nd Baron BRABOURNE.</v>
      </c>
      <c r="AL68" s="131" t="str">
        <f>VLOOKUP(A68,'Updated Bios &amp; Spouse Details'!$A$1:$J$200,5,FALSE)</f>
        <v>William lived at Upper House, Shamley Green, Guildford, Surrey and was the eldest son of Edward (1861–1938: #44 ). Born 7 May 1889. Died 27 Oct 1947. Issue: 2 sons, 1 daughter.</v>
      </c>
      <c r="AM68" s="105" t="str">
        <f>IF(AND(LEN(H68)&gt;0,ISNA(IF(K68="Boy",VLOOKUP(A68,'Siblings of those BORN Loyd'!$AP$3:$AQ$70,2,FALSE),VLOOKUP(A68,'Children of Female Loyds'!$AR$5:$AS$60,2,FALSE)))),"d.s.p","")</f>
        <v/>
      </c>
      <c r="AN68" s="99" t="str">
        <f t="shared" ref="AN68:AN99" si="41">(IF(OR(L68=0,LEN(L68)=0),"",_xlfn.CONCAT(VLOOKUP(L68,$U$3:$X$230,4,FALSE))))</f>
        <v>Harry (1861–1938: #44)</v>
      </c>
      <c r="AO68" s="99" t="str">
        <f t="shared" si="18"/>
        <v>William (1821–1885: #23)</v>
      </c>
      <c r="AP68" s="99" t="str">
        <f t="shared" si="19"/>
        <v>Edward (1780–1863: #8)</v>
      </c>
      <c r="AQ68" s="99" t="str">
        <f t="shared" si="20"/>
        <v>William (1729–1800: #1)</v>
      </c>
      <c r="AR68" s="99" t="str">
        <f t="shared" si="21"/>
        <v/>
      </c>
      <c r="AS68" s="99" t="str">
        <f t="shared" si="22"/>
        <v/>
      </c>
      <c r="AT68" s="99" t="str">
        <f t="shared" si="23"/>
        <v/>
      </c>
      <c r="AU68" s="99" t="str">
        <f t="shared" si="24"/>
        <v/>
      </c>
      <c r="AW68" s="116" t="str">
        <f>VLOOKUP(A68,'Updated Bios &amp; Spouse Details'!$A$1:$J$193,6,FALSE)</f>
        <v>England</v>
      </c>
      <c r="AX68" s="131">
        <f>VLOOKUP($A68,'Loyd List 1-190 - Edit'!$P$2:$AQ$220,AX$1,FALSE)</f>
        <v>66</v>
      </c>
      <c r="AY68" s="116" t="str">
        <f>IF(ISNA(VLOOKUP(A68,'Data check lookup table'!$G$2:$V$73,13,FALSE))," - ",VLOOKUP(A68,'Data check lookup table'!$G$2:$V$73,13,FALSE))</f>
        <v xml:space="preserve"> - </v>
      </c>
      <c r="AZ68" s="147" t="str">
        <f t="shared" ref="AZ68:AZ131" si="42">TEXT(J68,"dd/mm/yyyy")</f>
        <v>27/10/1947</v>
      </c>
      <c r="BA68" s="99" t="str">
        <f t="shared" ref="BA68:BA99" si="43">(IF(OR(Q68=0,LEN(Q68)=0),"",_xlfn.CONCAT(", ",VLOOKUP(Q68,$U$3:$X$230,4,FALSE))))</f>
        <v/>
      </c>
      <c r="BB68" s="99" t="str">
        <f t="shared" ref="BB68:BB99" si="44">(IF(OR(R68=0,LEN(R68)=0),"",_xlfn.CONCAT("; ",VLOOKUP(R68,$U$3:$X$230,4,FALSE))))</f>
        <v/>
      </c>
      <c r="BI68" s="147" t="s">
        <v>3199</v>
      </c>
    </row>
    <row r="69" spans="1:61" s="99" customFormat="1" ht="170">
      <c r="A69" s="139">
        <f>'Loyd List 1-190 - Edit'!C69</f>
        <v>67</v>
      </c>
      <c r="B69" s="99" t="str">
        <f>VLOOKUP($A69,'Loyd List 1-190 - Edit'!$C$1:$AQ$220,'Book Details - NO EDIT'!B$1,FALSE)</f>
        <v>Francis</v>
      </c>
      <c r="C69" s="99" t="str">
        <f>IF(VLOOKUP($A69,'Loyd List 1-190 - Edit'!$C$1:$AQ$220,'Book Details - NO EDIT'!C$1,FALSE)="","",VLOOKUP($A69,'Loyd List 1-190 - Edit'!$C$1:$AQ$220,'Book Details - NO EDIT'!C$1,FALSE))</f>
        <v>Fetherstonhaugh</v>
      </c>
      <c r="D69" s="99" t="str">
        <f>IF(VLOOKUP($A69,'Loyd List 1-190 - Edit'!$C$1:$AQ$220,'Book Details - NO EDIT'!D$1,FALSE)="","",VLOOKUP($A69,'Loyd List 1-190 - Edit'!$C$1:$AQ$220,'Book Details - NO EDIT'!D$1,FALSE))</f>
        <v/>
      </c>
      <c r="E69" s="99" t="str">
        <f>IF(VLOOKUP($A69,'Loyd List 1-190 - Edit'!$C$1:$AQ$220,'Book Details - NO EDIT'!E$1,FALSE)="","",VLOOKUP($A69,'Loyd List 1-190 - Edit'!$C$1:$AQ$220,'Book Details - NO EDIT'!E$1,FALSE))</f>
        <v>LOYD</v>
      </c>
      <c r="F69" s="99" t="str">
        <f>IF(VLOOKUP($A69,'Loyd List 1-190 - Edit'!$C$1:$AQ$220,'Book Details - NO EDIT'!F$1,FALSE)="",B69,VLOOKUP($A69,'Loyd List 1-190 - Edit'!$C$1:$AQ$220,'Book Details - NO EDIT'!F$1,FALSE))</f>
        <v>Tony/Dodo</v>
      </c>
      <c r="G69" s="140">
        <f>IF(VLOOKUP($A69,'Loyd List 1-190 - Edit'!$C$1:$AQ$220,'Book Details - NO EDIT'!G$1,FALSE)="","",VALUE(VLOOKUP($A69,'Loyd List 1-190 - Edit'!$C$1:$AQ$220,'Book Details - NO EDIT'!G$1,FALSE)))</f>
        <v>1889</v>
      </c>
      <c r="H69" s="140">
        <f>IF(VLOOKUP($A69,'Loyd List 1-190 - Edit'!$C$1:$AQ$220,'Book Details - NO EDIT'!H$1,FALSE)="","",VALUE(VLOOKUP($A69,'Loyd List 1-190 - Edit'!$C$1:$AQ$220,'Book Details - NO EDIT'!H$1,FALSE)))</f>
        <v>1956</v>
      </c>
      <c r="I69" s="141" t="str">
        <f>IF(VLOOKUP($A69,'Loyd List 1-190 - Edit'!$C$1:$AQ$220,'Book Details - NO EDIT'!I$1,FALSE)="","",(VLOOKUP($A69,'Loyd List 1-190 - Edit'!$C$1:$AQ$220,'Book Details - NO EDIT'!I$1,FALSE)))</f>
        <v>26/05/1889</v>
      </c>
      <c r="J69" s="141" t="str">
        <f>IF(VLOOKUP($A69,'Loyd List 1-190 - Edit'!$C$1:$AQ$220,'Book Details - NO EDIT'!J$1,FALSE)="","",(VLOOKUP($A69,'Loyd List 1-190 - Edit'!$C$1:$AQ$220,'Book Details - NO EDIT'!J$1,FALSE)))</f>
        <v>18/01/1956</v>
      </c>
      <c r="K69" s="100" t="str">
        <f>VLOOKUP($A69,'Loyd List 1-190 - Edit'!$C$1:$AQ$220,'Book Details - NO EDIT'!K$1,FALSE)</f>
        <v>Boy</v>
      </c>
      <c r="L69" s="140">
        <f>VLOOKUP($A69,'Loyd List 1-190 - Edit'!$C$1:$AQ$220,'Book Details - NO EDIT'!L$1,FALSE)</f>
        <v>32</v>
      </c>
      <c r="M69" s="140">
        <f t="shared" si="34"/>
        <v>14</v>
      </c>
      <c r="N69" s="140">
        <f t="shared" si="34"/>
        <v>4</v>
      </c>
      <c r="O69" s="140">
        <f t="shared" si="34"/>
        <v>1</v>
      </c>
      <c r="P69" s="140">
        <f t="shared" si="31"/>
        <v>0</v>
      </c>
      <c r="Q69" s="140" t="str">
        <f t="shared" si="31"/>
        <v/>
      </c>
      <c r="R69" s="140" t="str">
        <f t="shared" si="31"/>
        <v/>
      </c>
      <c r="S69" s="140" t="str">
        <f t="shared" si="35"/>
        <v/>
      </c>
      <c r="T69" s="140">
        <f t="shared" si="32"/>
        <v>4</v>
      </c>
      <c r="U69" s="139">
        <f t="shared" si="36"/>
        <v>67</v>
      </c>
      <c r="V69" s="31" t="str">
        <f t="shared" si="37"/>
        <v>Tony/Dodo (1889–1956)</v>
      </c>
      <c r="W69" s="31" t="str">
        <f t="shared" si="38"/>
        <v>Tony/Dodo (#67)</v>
      </c>
      <c r="X69" s="99" t="str">
        <f t="shared" si="39"/>
        <v>Tony/Dodo (1889–1956: #67)</v>
      </c>
      <c r="Y69" s="99" t="str">
        <f t="shared" si="33"/>
        <v>Francis Fetherstonhaugh LOYD</v>
      </c>
      <c r="Z69" s="99" t="str">
        <f t="shared" si="40"/>
        <v>Frank (1848–1934: #32)</v>
      </c>
      <c r="AA69" s="99" t="str">
        <f t="shared" ref="AA69:AA132" si="45">_xlfn.CONCAT(AN69," ",AO69," ",AP69," ",AQ69," ",AR69," ",AS69," ",AT69," ",AU69)</f>
        <v xml:space="preserve">Frank (1848–1934: #32) Thomas (1812–1857: #14) William (1770–1828: #4) William (1729–1800: #1)    </v>
      </c>
      <c r="AB69" s="142" t="str">
        <f>VLOOKUP(U69,'Siblings of those BORN Loyd'!$A$2:$G$230,7,FALSE)</f>
        <v xml:space="preserve">1 – Alfred (1882–1919: #54)        </v>
      </c>
      <c r="AC69" s="115" t="str">
        <f>IF(ISNA(IF(K69="Boy",VLOOKUP(A69,'Siblings of those BORN Loyd'!$AP$3:$AQ$70,2,FALSE),VLOOKUP(A69,'Children of Female Loyds'!$AR$5:$AT$60,3,FALSE))),AM69,IF(K69="Boy",VLOOKUP(A69,'Siblings of those BORN Loyd'!$AP$3:$AQ$70,2,FALSE),VLOOKUP(A69,'Children of Female Loyds'!$AR$5:$AT$60,3,FALSE)))</f>
        <v>d.s.p</v>
      </c>
      <c r="AD69" s="97" t="str">
        <f t="shared" si="26"/>
        <v>d.s.p.</v>
      </c>
      <c r="AE69" s="105" t="str">
        <f>IF(ISNA(IF(K69="Boy",VLOOKUP(A69,'Grandchildren of Male Loyds'!$AQ$3:$AS$51,3,FALSE),VLOOKUP(A69,'Grandchildren of Female Loyds'!$AX$5:$AZ$63,3,FALSE))),AM69,IF(K69="Boy",VLOOKUP(A69,'Grandchildren of Male Loyds'!$AQ$3:$AS$51,3,FALSE),VLOOKUP(A69,'Grandchildren of Female Loyds'!$AX$5:$AZ$63,3,FALSE)))</f>
        <v>d.s.p</v>
      </c>
      <c r="AF69" s="105" t="str">
        <f>IF(ISNA(VLOOKUP(A69,'Grandchildren Loyd Daughters'!$BD$5:$BF$50,4,FALSE)),"",VLOOKUP(A69,'Grandchildren Loyd Daughters'!$BD$5:$BF$50,3,FALSE))</f>
        <v/>
      </c>
      <c r="AG69" s="129">
        <f>IF(ISNA(VLOOKUP(A69,'Grandchildren of Male Loyds'!$AQ$3:$AR$60,2,FALSE)),0,VLOOKUP(A69,'Grandchildren of Male Loyds'!$AQ$3:$AR$60,2,FALSE))+IF(ISNA(VLOOKUP(A69,'Grandchildren of Female Loyds'!$AX$5:$AY$50,2,FALSE)),0,VLOOKUP(A69,'Grandchildren of Female Loyds'!$AX$5:$AY$50,2,FALSE))+IF(ISNA(VLOOKUP(A69,'Grandchildren Loyd Daughters'!$BD$5:$BE$50,2,FALSE)),0,VLOOKUP(A69,'Grandchildren Loyd Daughters'!$BD$5:$BE$50,2,FALSE))</f>
        <v>0</v>
      </c>
      <c r="AH69" s="129" t="str">
        <f>VLOOKUP($U69,'Loyd List 1-190 - Edit'!$P$3:$AJ$220,21,FALSE)</f>
        <v>Frances Maria Jane FETHERSTONHAUGH (b. 10 Feb 1855, d. 6 May 1929)</v>
      </c>
      <c r="AI69" s="129" t="str">
        <f>VLOOKUP(A69,'Updated Bios &amp; Spouse Details'!$A$1:$J$200,7,FALSE)</f>
        <v>Unmarried</v>
      </c>
      <c r="AJ69" s="130" t="str">
        <f>IF(VLOOKUP($A69,'Loyd List 1-190 - Edit'!$C$1:$AQ$220,'Book Details - NO EDIT'!AJ$1,FALSE)="","",(VLOOKUP($A69,'Loyd List 1-190 - Edit'!$C$1:$AQ$220,'Book Details - NO EDIT'!AJ$1,FALSE)))</f>
        <v xml:space="preserve"> - </v>
      </c>
      <c r="AK69" s="129" t="str">
        <f>VLOOKUP(A69,'Updated Bios &amp; Spouse Details'!$A$1:$J$200,8,FALSE)</f>
        <v xml:space="preserve"> - </v>
      </c>
      <c r="AL69" s="131" t="str">
        <f>VLOOKUP(A69,'Updated Bios &amp; Spouse Details'!$A$1:$J$200,5,FALSE)</f>
        <v>Francis was the younger son of Frank (1848–1934: #32). Born 26 May 1889. Served in World War I as Captain [1], Sherwood Foresters - (wounded-convalesced at Polesden Lacey [2]), Foreign Office and King’s Messenger. Secretary to Sir Ronald CROSS, High Commissioner, Australia 1943. Died, unmarried, 18 Jan 1956 at Grange Cottage, Horsell, Woking, Surrey. Signature of Francis F. Loyd seen in the 1915-1916 patient 'visitors book' at a 'Great War Centenary Exhibition' at Polesden Lacey in October 2016 by Dominic (1953– : #131). DSP Footnote: [1] Wounded, 10 July 1915, bullet wound to right leg [shattered], transported by trawler to hospital ship - source Army records. [2] Frances spent a few months recovering at Polesden Lacey (now National Trust). Between June 1915 until late 1916, the owner, Margaret Greville, opened Polesden Lacey as a convalescent hospital for officers. Having experienced the horrors of war: wounded in the trenches of Ypres, and Loos, subjected to gas attacks, shrapnel wounds and trauma; Polesden Lacey provided a brief respite and a nostalgic glimpse of the privileged world many of these young men had inhabited before the war. They would have been through quite a journey from the dressing stations on the Western Front, to casualty clearing stations and base hospitals in France, before finally being evacuated to hospitals in the UK including King Edward VII hospital in London. More than 80 soldiers spent time at Polesden recovering from their wounds after being evacuated from the front line. While some had minor injuries and may have only stayed briefly at Polesden, others were learning to live with amputations or permanent damage to their lungs and so stayed longer.</v>
      </c>
      <c r="AM69" s="105" t="str">
        <f>IF(AND(LEN(H69)&gt;0,ISNA(IF(K69="Boy",VLOOKUP(A69,'Siblings of those BORN Loyd'!$AP$3:$AQ$70,2,FALSE),VLOOKUP(A69,'Children of Female Loyds'!$AR$5:$AS$60,2,FALSE)))),"d.s.p","")</f>
        <v>d.s.p</v>
      </c>
      <c r="AN69" s="99" t="str">
        <f t="shared" si="41"/>
        <v>Frank (1848–1934: #32)</v>
      </c>
      <c r="AO69" s="99" t="str">
        <f t="shared" ref="AO69:AO132" si="46">(IF(OR(M69=0,LEN(M69)=0),"",_xlfn.CONCAT(VLOOKUP(M69,$U$3:$X$230,4,FALSE))))</f>
        <v>Thomas (1812–1857: #14)</v>
      </c>
      <c r="AP69" s="99" t="str">
        <f t="shared" ref="AP69:AP132" si="47">(IF(OR(N69=0,LEN(N69)=0),"",_xlfn.CONCAT(VLOOKUP(N69,$U$3:$X$230,4,FALSE))))</f>
        <v>William (1770–1828: #4)</v>
      </c>
      <c r="AQ69" s="99" t="str">
        <f t="shared" ref="AQ69:AQ132" si="48">(IF(OR(O69=0,LEN(O69)=0),"",_xlfn.CONCAT(VLOOKUP(O69,$U$3:$X$230,4,FALSE))))</f>
        <v>William (1729–1800: #1)</v>
      </c>
      <c r="AR69" s="99" t="str">
        <f t="shared" ref="AR69:AR132" si="49">(IF(OR(P69=0,LEN(P69)=0),"",_xlfn.CONCAT(VLOOKUP(P69,$U$3:$X$230,4,FALSE))))</f>
        <v/>
      </c>
      <c r="AS69" s="99" t="str">
        <f t="shared" ref="AS69:AS132" si="50">(IF(OR(Q69=0,LEN(Q69)=0),"",_xlfn.CONCAT(VLOOKUP(Q69,$U$3:$X$230,4,FALSE))))</f>
        <v/>
      </c>
      <c r="AT69" s="99" t="str">
        <f t="shared" ref="AT69:AT132" si="51">(IF(OR(R69=0,LEN(R69)=0),"",_xlfn.CONCAT(VLOOKUP(R69,$U$3:$X$230,4,FALSE))))</f>
        <v/>
      </c>
      <c r="AU69" s="99" t="str">
        <f t="shared" ref="AU69:AU132" si="52">(IF(OR(S69=0,LEN(S69)=0),"",_xlfn.CONCAT(VLOOKUP(S69,$U$3:$X$230,4,FALSE))))</f>
        <v/>
      </c>
      <c r="AW69" s="116" t="str">
        <f>VLOOKUP(A69,'Updated Bios &amp; Spouse Details'!$A$1:$J$193,6,FALSE)</f>
        <v>England and Australia</v>
      </c>
      <c r="AX69" s="131">
        <f>VLOOKUP($A69,'Loyd List 1-190 - Edit'!$P$2:$AQ$220,AX$1,FALSE)</f>
        <v>67</v>
      </c>
      <c r="AY69" s="116" t="str">
        <f>IF(ISNA(VLOOKUP(A69,'Data check lookup table'!$G$2:$V$73,13,FALSE))," - ",VLOOKUP(A69,'Data check lookup table'!$G$2:$V$73,13,FALSE))</f>
        <v xml:space="preserve"> - </v>
      </c>
      <c r="AZ69" s="147" t="str">
        <f t="shared" si="42"/>
        <v>18/01/1956</v>
      </c>
      <c r="BA69" s="99" t="str">
        <f t="shared" si="43"/>
        <v/>
      </c>
      <c r="BB69" s="99" t="str">
        <f t="shared" si="44"/>
        <v/>
      </c>
      <c r="BI69" s="147" t="s">
        <v>3200</v>
      </c>
    </row>
    <row r="70" spans="1:61" s="99" customFormat="1" ht="153">
      <c r="A70" s="139">
        <f>'Loyd List 1-190 - Edit'!C70</f>
        <v>68</v>
      </c>
      <c r="B70" s="99" t="str">
        <f>VLOOKUP($A70,'Loyd List 1-190 - Edit'!$C$1:$AQ$220,'Book Details - NO EDIT'!B$1,FALSE)</f>
        <v>Cecil</v>
      </c>
      <c r="C70" s="99" t="str">
        <f>IF(VLOOKUP($A70,'Loyd List 1-190 - Edit'!$C$1:$AQ$220,'Book Details - NO EDIT'!C$1,FALSE)="","",VLOOKUP($A70,'Loyd List 1-190 - Edit'!$C$1:$AQ$220,'Book Details - NO EDIT'!C$1,FALSE))</f>
        <v>Lewellyn</v>
      </c>
      <c r="D70" s="99" t="str">
        <f>IF(VLOOKUP($A70,'Loyd List 1-190 - Edit'!$C$1:$AQ$220,'Book Details - NO EDIT'!D$1,FALSE)="","",VLOOKUP($A70,'Loyd List 1-190 - Edit'!$C$1:$AQ$220,'Book Details - NO EDIT'!D$1,FALSE))</f>
        <v/>
      </c>
      <c r="E70" s="99" t="str">
        <f>IF(VLOOKUP($A70,'Loyd List 1-190 - Edit'!$C$1:$AQ$220,'Book Details - NO EDIT'!E$1,FALSE)="","",VLOOKUP($A70,'Loyd List 1-190 - Edit'!$C$1:$AQ$220,'Book Details - NO EDIT'!E$1,FALSE))</f>
        <v>LOYD</v>
      </c>
      <c r="F70" s="99" t="str">
        <f>IF(VLOOKUP($A70,'Loyd List 1-190 - Edit'!$C$1:$AQ$220,'Book Details - NO EDIT'!F$1,FALSE)="",B70,VLOOKUP($A70,'Loyd List 1-190 - Edit'!$C$1:$AQ$220,'Book Details - NO EDIT'!F$1,FALSE))</f>
        <v>Cecil</v>
      </c>
      <c r="G70" s="140">
        <f>IF(VLOOKUP($A70,'Loyd List 1-190 - Edit'!$C$1:$AQ$220,'Book Details - NO EDIT'!G$1,FALSE)="","",VALUE(VLOOKUP($A70,'Loyd List 1-190 - Edit'!$C$1:$AQ$220,'Book Details - NO EDIT'!G$1,FALSE)))</f>
        <v>1890</v>
      </c>
      <c r="H70" s="140">
        <f>IF(VLOOKUP($A70,'Loyd List 1-190 - Edit'!$C$1:$AQ$220,'Book Details - NO EDIT'!H$1,FALSE)="","",VALUE(VLOOKUP($A70,'Loyd List 1-190 - Edit'!$C$1:$AQ$220,'Book Details - NO EDIT'!H$1,FALSE)))</f>
        <v>1963</v>
      </c>
      <c r="I70" s="141" t="str">
        <f>IF(VLOOKUP($A70,'Loyd List 1-190 - Edit'!$C$1:$AQ$220,'Book Details - NO EDIT'!I$1,FALSE)="","",(VLOOKUP($A70,'Loyd List 1-190 - Edit'!$C$1:$AQ$220,'Book Details - NO EDIT'!I$1,FALSE)))</f>
        <v>20/01/1890</v>
      </c>
      <c r="J70" s="141" t="str">
        <f>IF(VLOOKUP($A70,'Loyd List 1-190 - Edit'!$C$1:$AQ$220,'Book Details - NO EDIT'!J$1,FALSE)="","",(VLOOKUP($A70,'Loyd List 1-190 - Edit'!$C$1:$AQ$220,'Book Details - NO EDIT'!J$1,FALSE)))</f>
        <v>17/01/1963</v>
      </c>
      <c r="K70" s="100" t="str">
        <f>VLOOKUP($A70,'Loyd List 1-190 - Edit'!$C$1:$AQ$220,'Book Details - NO EDIT'!K$1,FALSE)</f>
        <v>Boy</v>
      </c>
      <c r="L70" s="140">
        <f>VLOOKUP($A70,'Loyd List 1-190 - Edit'!$C$1:$AQ$220,'Book Details - NO EDIT'!L$1,FALSE)</f>
        <v>45</v>
      </c>
      <c r="M70" s="140">
        <f t="shared" si="34"/>
        <v>22</v>
      </c>
      <c r="N70" s="140">
        <f t="shared" si="34"/>
        <v>8</v>
      </c>
      <c r="O70" s="140">
        <f t="shared" si="34"/>
        <v>1</v>
      </c>
      <c r="P70" s="140">
        <f t="shared" si="31"/>
        <v>0</v>
      </c>
      <c r="Q70" s="140" t="str">
        <f t="shared" si="31"/>
        <v/>
      </c>
      <c r="R70" s="140" t="str">
        <f t="shared" si="31"/>
        <v/>
      </c>
      <c r="S70" s="140" t="str">
        <f t="shared" si="35"/>
        <v/>
      </c>
      <c r="T70" s="140">
        <f t="shared" si="32"/>
        <v>4</v>
      </c>
      <c r="U70" s="139">
        <f t="shared" si="36"/>
        <v>68</v>
      </c>
      <c r="V70" s="31" t="str">
        <f t="shared" si="37"/>
        <v>Cecil (1890–1963)</v>
      </c>
      <c r="W70" s="31" t="str">
        <f t="shared" si="38"/>
        <v>Cecil (#68)</v>
      </c>
      <c r="X70" s="99" t="str">
        <f t="shared" si="39"/>
        <v>Cecil (1890–1963: #68)</v>
      </c>
      <c r="Y70" s="99" t="str">
        <f t="shared" si="33"/>
        <v>Cecil Lewellyn LOYD</v>
      </c>
      <c r="Z70" s="99" t="str">
        <f t="shared" si="40"/>
        <v>Llewellyn (1861–1939: #45)</v>
      </c>
      <c r="AA70" s="99" t="str">
        <f t="shared" si="45"/>
        <v xml:space="preserve">Llewellyn (1861–1939: #45) Edward (1820–1890: #22) Edward (1780–1863: #8) William (1729–1800: #1)    </v>
      </c>
      <c r="AB70" s="142" t="str">
        <f>VLOOKUP(U70,'Siblings of those BORN Loyd'!$A$2:$G$230,7,FALSE)</f>
        <v xml:space="preserve">3 – Eric (1891–1967: #73) Alwyne (1894–1917: #79) Ruby (1898–1977: #83)     </v>
      </c>
      <c r="AC70" s="115" t="str">
        <f>IF(ISNA(IF(K70="Boy",VLOOKUP(A70,'Siblings of those BORN Loyd'!$AP$3:$AQ$70,2,FALSE),VLOOKUP(A70,'Children of Female Loyds'!$AR$5:$AT$60,3,FALSE))),AM70,IF(K70="Boy",VLOOKUP(A70,'Siblings of those BORN Loyd'!$AP$3:$AQ$70,2,FALSE),VLOOKUP(A70,'Children of Female Loyds'!$AR$5:$AT$60,3,FALSE)))</f>
        <v>2 - Jill (1920–2002: #93); Alwyne (1920–2014: #94)</v>
      </c>
      <c r="AD70" s="97" t="str">
        <f t="shared" si="26"/>
        <v xml:space="preserve">6 - Rob (1949–: #124); Paddy (1951–: #126); Dominic (1953–: #131); Tim (1957–: #136); Alex (1959–: #139); Rick (1962–: #142)   </v>
      </c>
      <c r="AE70" s="105" t="str">
        <f>IF(ISNA(IF(K70="Boy",VLOOKUP(A70,'Grandchildren of Male Loyds'!$AQ$3:$AS$51,3,FALSE),VLOOKUP(A70,'Grandchildren of Female Loyds'!$AX$5:$AZ$63,3,FALSE))),AM70,IF(K70="Boy",VLOOKUP(A70,'Grandchildren of Male Loyds'!$AQ$3:$AS$51,3,FALSE),VLOOKUP(A70,'Grandchildren of Female Loyds'!$AX$5:$AZ$63,3,FALSE)))</f>
        <v>Rob (1949–: #124); Paddy (1951–: #126); Dominic (1953–: #131); Tim (1957–: #136); Alex (1959–: #139); Rick (1962–: #142)</v>
      </c>
      <c r="AF70" s="105" t="str">
        <f>IF(ISNA(VLOOKUP(A70,'Grandchildren Loyd Daughters'!$BD$5:$BF$50,4,FALSE)),"",VLOOKUP(A70,'Grandchildren Loyd Daughters'!$BD$5:$BF$50,3,FALSE))</f>
        <v/>
      </c>
      <c r="AG70" s="129">
        <f>IF(ISNA(VLOOKUP(A70,'Grandchildren of Male Loyds'!$AQ$3:$AR$60,2,FALSE)),0,VLOOKUP(A70,'Grandchildren of Male Loyds'!$AQ$3:$AR$60,2,FALSE))+IF(ISNA(VLOOKUP(A70,'Grandchildren of Female Loyds'!$AX$5:$AY$50,2,FALSE)),0,VLOOKUP(A70,'Grandchildren of Female Loyds'!$AX$5:$AY$50,2,FALSE))+IF(ISNA(VLOOKUP(A70,'Grandchildren Loyd Daughters'!$BD$5:$BE$50,2,FALSE)),0,VLOOKUP(A70,'Grandchildren Loyd Daughters'!$BD$5:$BE$50,2,FALSE))</f>
        <v>6</v>
      </c>
      <c r="AH70" s="129" t="str">
        <f>VLOOKUP($U70,'Loyd List 1-190 - Edit'!$P$3:$AJ$220,21,FALSE)</f>
        <v>Rebecca Olivia LEWIS (b.13 Aug 1860, d. 18 Mar 1927)</v>
      </c>
      <c r="AI70" s="129" t="str">
        <f>VLOOKUP(A70,'Updated Bios &amp; Spouse Details'!$A$1:$J$200,7,FALSE)</f>
        <v>Mrs. Phyllis Marie ETESON (ARCHER) (b.3 Aug 1889, d. 29 Mar 1932)</v>
      </c>
      <c r="AJ70" s="130">
        <f>IF(VLOOKUP($A70,'Loyd List 1-190 - Edit'!$C$1:$AQ$220,'Book Details - NO EDIT'!AJ$1,FALSE)="","",(VLOOKUP($A70,'Loyd List 1-190 - Edit'!$C$1:$AQ$220,'Book Details - NO EDIT'!AJ$1,FALSE)))</f>
        <v>7089</v>
      </c>
      <c r="AK70" s="129" t="str">
        <f>VLOOKUP(A70,'Updated Bios &amp; Spouse Details'!$A$1:$J$200,8,FALSE)</f>
        <v>Married at Kensington Registry Office, Mrs. Phyllis Marie youngest daughter of Surgeon-General Alfred ETESON CB, MD, IA. Phyllis born in Watford, divorced wife of Goodwyn Luddington ARCHER. Phyllis died at 53 Clarendon Road, London W11 and buried in Kensington Cemetery, Hanwell, Uxbridge Road, London W7.</v>
      </c>
      <c r="AL70" s="131" t="str">
        <f>VLOOKUP(A70,'Updated Bios &amp; Spouse Details'!$A$1:$J$200,5,FALSE)</f>
        <v>Cecil was the eldest son of Llewellyn (1861–1939: #45). Born 20 Jan 1890. Educated Eton 1904-08. Served in World War 1 as Lieutenant, 5th Battalion, The East Kent Regiment (The Buffs), RFC and Royal Air Force Technical Officer. Died 17 Jan 1963 at Southmoor House, Draycott Moor, Kingston Bagpuize, Oxfordshire. Cremated, ashes interred at Hawkhurst, Kent.  Issue: 1 son, 1 daughter (twins).</v>
      </c>
      <c r="AM70" s="105" t="str">
        <f>IF(AND(LEN(H70)&gt;0,ISNA(IF(K70="Boy",VLOOKUP(A70,'Siblings of those BORN Loyd'!$AP$3:$AQ$70,2,FALSE),VLOOKUP(A70,'Children of Female Loyds'!$AR$5:$AS$60,2,FALSE)))),"d.s.p","")</f>
        <v/>
      </c>
      <c r="AN70" s="99" t="str">
        <f t="shared" si="41"/>
        <v>Llewellyn (1861–1939: #45)</v>
      </c>
      <c r="AO70" s="99" t="str">
        <f t="shared" si="46"/>
        <v>Edward (1820–1890: #22)</v>
      </c>
      <c r="AP70" s="99" t="str">
        <f t="shared" si="47"/>
        <v>Edward (1780–1863: #8)</v>
      </c>
      <c r="AQ70" s="99" t="str">
        <f t="shared" si="48"/>
        <v>William (1729–1800: #1)</v>
      </c>
      <c r="AR70" s="99" t="str">
        <f t="shared" si="49"/>
        <v/>
      </c>
      <c r="AS70" s="99" t="str">
        <f t="shared" si="50"/>
        <v/>
      </c>
      <c r="AT70" s="99" t="str">
        <f t="shared" si="51"/>
        <v/>
      </c>
      <c r="AU70" s="99" t="str">
        <f t="shared" si="52"/>
        <v/>
      </c>
      <c r="AW70" s="116" t="str">
        <f>VLOOKUP(A70,'Updated Bios &amp; Spouse Details'!$A$1:$J$193,6,FALSE)</f>
        <v>England</v>
      </c>
      <c r="AX70" s="131">
        <f>VLOOKUP($A70,'Loyd List 1-190 - Edit'!$P$2:$AQ$220,AX$1,FALSE)</f>
        <v>68</v>
      </c>
      <c r="AY70" s="116" t="str">
        <f>IF(ISNA(VLOOKUP(A70,'Data check lookup table'!$G$2:$V$73,13,FALSE))," - ",VLOOKUP(A70,'Data check lookup table'!$G$2:$V$73,13,FALSE))</f>
        <v xml:space="preserve"> - </v>
      </c>
      <c r="AZ70" s="147" t="str">
        <f t="shared" si="42"/>
        <v>17/01/1963</v>
      </c>
      <c r="BA70" s="99" t="str">
        <f t="shared" si="43"/>
        <v/>
      </c>
      <c r="BB70" s="99" t="str">
        <f t="shared" si="44"/>
        <v/>
      </c>
      <c r="BI70" s="147" t="s">
        <v>3201</v>
      </c>
    </row>
    <row r="71" spans="1:61" s="99" customFormat="1" ht="170">
      <c r="A71" s="139">
        <f>'Loyd List 1-190 - Edit'!C71</f>
        <v>69</v>
      </c>
      <c r="B71" s="99" t="str">
        <f>VLOOKUP($A71,'Loyd List 1-190 - Edit'!$C$1:$AQ$220,'Book Details - NO EDIT'!B$1,FALSE)</f>
        <v>Geoffrey</v>
      </c>
      <c r="C71" s="99" t="str">
        <f>IF(VLOOKUP($A71,'Loyd List 1-190 - Edit'!$C$1:$AQ$220,'Book Details - NO EDIT'!C$1,FALSE)="","",VLOOKUP($A71,'Loyd List 1-190 - Edit'!$C$1:$AQ$220,'Book Details - NO EDIT'!C$1,FALSE))</f>
        <v>Archibald</v>
      </c>
      <c r="D71" s="99" t="str">
        <f>IF(VLOOKUP($A71,'Loyd List 1-190 - Edit'!$C$1:$AQ$220,'Book Details - NO EDIT'!D$1,FALSE)="","",VLOOKUP($A71,'Loyd List 1-190 - Edit'!$C$1:$AQ$220,'Book Details - NO EDIT'!D$1,FALSE))</f>
        <v/>
      </c>
      <c r="E71" s="99" t="str">
        <f>IF(VLOOKUP($A71,'Loyd List 1-190 - Edit'!$C$1:$AQ$220,'Book Details - NO EDIT'!E$1,FALSE)="","",VLOOKUP($A71,'Loyd List 1-190 - Edit'!$C$1:$AQ$220,'Book Details - NO EDIT'!E$1,FALSE))</f>
        <v>LOYD</v>
      </c>
      <c r="F71" s="99" t="str">
        <f>IF(VLOOKUP($A71,'Loyd List 1-190 - Edit'!$C$1:$AQ$220,'Book Details - NO EDIT'!F$1,FALSE)="",B71,VLOOKUP($A71,'Loyd List 1-190 - Edit'!$C$1:$AQ$220,'Book Details - NO EDIT'!F$1,FALSE))</f>
        <v>Geoffrey</v>
      </c>
      <c r="G71" s="140">
        <f>IF(VLOOKUP($A71,'Loyd List 1-190 - Edit'!$C$1:$AQ$220,'Book Details - NO EDIT'!G$1,FALSE)="","",VALUE(VLOOKUP($A71,'Loyd List 1-190 - Edit'!$C$1:$AQ$220,'Book Details - NO EDIT'!G$1,FALSE)))</f>
        <v>1890</v>
      </c>
      <c r="H71" s="140">
        <f>IF(VLOOKUP($A71,'Loyd List 1-190 - Edit'!$C$1:$AQ$220,'Book Details - NO EDIT'!H$1,FALSE)="","",VALUE(VLOOKUP($A71,'Loyd List 1-190 - Edit'!$C$1:$AQ$220,'Book Details - NO EDIT'!H$1,FALSE)))</f>
        <v>1914</v>
      </c>
      <c r="I71" s="141" t="str">
        <f>IF(VLOOKUP($A71,'Loyd List 1-190 - Edit'!$C$1:$AQ$220,'Book Details - NO EDIT'!I$1,FALSE)="","",(VLOOKUP($A71,'Loyd List 1-190 - Edit'!$C$1:$AQ$220,'Book Details - NO EDIT'!I$1,FALSE)))</f>
        <v>01/05/1890</v>
      </c>
      <c r="J71" s="141" t="str">
        <f>IF(VLOOKUP($A71,'Loyd List 1-190 - Edit'!$C$1:$AQ$220,'Book Details - NO EDIT'!J$1,FALSE)="","",(VLOOKUP($A71,'Loyd List 1-190 - Edit'!$C$1:$AQ$220,'Book Details - NO EDIT'!J$1,FALSE)))</f>
        <v>14/11/1914</v>
      </c>
      <c r="K71" s="100" t="str">
        <f>VLOOKUP($A71,'Loyd List 1-190 - Edit'!$C$1:$AQ$220,'Book Details - NO EDIT'!K$1,FALSE)</f>
        <v>Boy</v>
      </c>
      <c r="L71" s="140">
        <f>VLOOKUP($A71,'Loyd List 1-190 - Edit'!$C$1:$AQ$220,'Book Details - NO EDIT'!L$1,FALSE)</f>
        <v>30</v>
      </c>
      <c r="M71" s="140">
        <f t="shared" si="34"/>
        <v>14</v>
      </c>
      <c r="N71" s="140">
        <f t="shared" si="34"/>
        <v>4</v>
      </c>
      <c r="O71" s="140">
        <f t="shared" si="34"/>
        <v>1</v>
      </c>
      <c r="P71" s="140">
        <f t="shared" si="31"/>
        <v>0</v>
      </c>
      <c r="Q71" s="140" t="str">
        <f t="shared" si="31"/>
        <v/>
      </c>
      <c r="R71" s="140" t="str">
        <f t="shared" si="31"/>
        <v/>
      </c>
      <c r="S71" s="140" t="str">
        <f t="shared" si="35"/>
        <v/>
      </c>
      <c r="T71" s="140">
        <f t="shared" si="32"/>
        <v>4</v>
      </c>
      <c r="U71" s="139">
        <f t="shared" si="36"/>
        <v>69</v>
      </c>
      <c r="V71" s="31" t="str">
        <f t="shared" si="37"/>
        <v>Geoffrey (1890–1914)</v>
      </c>
      <c r="W71" s="31" t="str">
        <f t="shared" si="38"/>
        <v>Geoffrey (#69)</v>
      </c>
      <c r="X71" s="99" t="str">
        <f t="shared" si="39"/>
        <v>Geoffrey (1890–1914: #69)</v>
      </c>
      <c r="Y71" s="99" t="str">
        <f t="shared" si="33"/>
        <v>Geoffrey Archibald LOYD</v>
      </c>
      <c r="Z71" s="99" t="str">
        <f t="shared" si="40"/>
        <v>Archie (1847–1922: #30)</v>
      </c>
      <c r="AA71" s="99" t="str">
        <f t="shared" si="45"/>
        <v xml:space="preserve">Archie (1847–1922: #30) Thomas (1812–1857: #14) William (1770–1828: #4) William (1729–1800: #1)    </v>
      </c>
      <c r="AB71" s="142" t="str">
        <f>VLOOKUP(U71,'Siblings of those BORN Loyd'!$A$2:$G$230,7,FALSE)</f>
        <v xml:space="preserve">3 – Reggie (1886–1961: #61) Bobby (1887–1977: #62)  Wilfrid (1893–1971: #77)     </v>
      </c>
      <c r="AC71" s="115" t="str">
        <f>IF(ISNA(IF(K71="Boy",VLOOKUP(A71,'Siblings of those BORN Loyd'!$AP$3:$AQ$70,2,FALSE),VLOOKUP(A71,'Children of Female Loyds'!$AR$5:$AT$60,3,FALSE))),AM71,IF(K71="Boy",VLOOKUP(A71,'Siblings of those BORN Loyd'!$AP$3:$AQ$70,2,FALSE),VLOOKUP(A71,'Children of Female Loyds'!$AR$5:$AT$60,3,FALSE)))</f>
        <v>d.s.p</v>
      </c>
      <c r="AD71" s="97" t="str">
        <f t="shared" si="26"/>
        <v>d.s.p.</v>
      </c>
      <c r="AE71" s="105" t="str">
        <f>IF(ISNA(IF(K71="Boy",VLOOKUP(A71,'Grandchildren of Male Loyds'!$AQ$3:$AS$51,3,FALSE),VLOOKUP(A71,'Grandchildren of Female Loyds'!$AX$5:$AZ$63,3,FALSE))),AM71,IF(K71="Boy",VLOOKUP(A71,'Grandchildren of Male Loyds'!$AQ$3:$AS$51,3,FALSE),VLOOKUP(A71,'Grandchildren of Female Loyds'!$AX$5:$AZ$63,3,FALSE)))</f>
        <v>d.s.p</v>
      </c>
      <c r="AF71" s="105" t="str">
        <f>IF(ISNA(VLOOKUP(A71,'Grandchildren Loyd Daughters'!$BD$5:$BF$50,4,FALSE)),"",VLOOKUP(A71,'Grandchildren Loyd Daughters'!$BD$5:$BF$50,3,FALSE))</f>
        <v/>
      </c>
      <c r="AG71" s="129">
        <f>IF(ISNA(VLOOKUP(A71,'Grandchildren of Male Loyds'!$AQ$3:$AR$60,2,FALSE)),0,VLOOKUP(A71,'Grandchildren of Male Loyds'!$AQ$3:$AR$60,2,FALSE))+IF(ISNA(VLOOKUP(A71,'Grandchildren of Female Loyds'!$AX$5:$AY$50,2,FALSE)),0,VLOOKUP(A71,'Grandchildren of Female Loyds'!$AX$5:$AY$50,2,FALSE))+IF(ISNA(VLOOKUP(A71,'Grandchildren Loyd Daughters'!$BD$5:$BE$50,2,FALSE)),0,VLOOKUP(A71,'Grandchildren Loyd Daughters'!$BD$5:$BE$50,2,FALSE))</f>
        <v>0</v>
      </c>
      <c r="AH71" s="129" t="str">
        <f>VLOOKUP($U71,'Loyd List 1-190 - Edit'!$P$3:$AJ$220,21,FALSE)</f>
        <v>Henrietta Louisa CLUTTERBUCK (b. 23 Jan 1856, d. 14 Jan 1931)</v>
      </c>
      <c r="AI71" s="129" t="str">
        <f>VLOOKUP(A71,'Updated Bios &amp; Spouse Details'!$A$1:$J$200,7,FALSE)</f>
        <v>Unmarried</v>
      </c>
      <c r="AJ71" s="130" t="str">
        <f>IF(VLOOKUP($A71,'Loyd List 1-190 - Edit'!$C$1:$AQ$220,'Book Details - NO EDIT'!AJ$1,FALSE)="","",(VLOOKUP($A71,'Loyd List 1-190 - Edit'!$C$1:$AQ$220,'Book Details - NO EDIT'!AJ$1,FALSE)))</f>
        <v xml:space="preserve"> - </v>
      </c>
      <c r="AK71" s="129" t="str">
        <f>VLOOKUP(A71,'Updated Bios &amp; Spouse Details'!$A$1:$J$200,8,FALSE)</f>
        <v xml:space="preserve"> - </v>
      </c>
      <c r="AL71" s="131" t="str">
        <f>VLOOKUP(A71,'Updated Bios &amp; Spouse Details'!$A$1:$J$200,5,FALSE)</f>
        <v>Geoffrey was the 3rd son of Archie (1847–1922: #30). Born 22 Jan 1890 at 60A Cadogan Square, London, baptised 28 Mar 1890 at St. Saviour’s, Walton Street, London SW3. Educated Eton 1905-08 and Served in World War I in France as 2nd Lieutenant, Scots Guards, attended 2 Divisional Cyclist Company. Chev. Legion of Honour (7 Sep 1914), (despatches). Lieutenant (posthumously). Wounded before Ypres 13 Nov 1914. Died (unmarried) 14 Nov 1914 of his wounds, attended by his brother, Bobbie (1887–1977: #62), buried at the town cemetery, Poperinghe, Belgium. Grave Ref. I.B.4. A small portrait by Catherine OULESS passed from his brother, Reggie (1886–1961: #61) to Peter (1922–2022: #98) in 1961; and to Celina DUNLOP (1960– : #102c)  in 2013, his signet ring, given to his namesake, Geoffrey (1926–2018: #105), was lost in a car park, and a replica was made subsequently. A campaign chest of Geoffrey’s effects was assembled by Reggie and Bobbie, containing papers and artefacts including: the original manuscript of his war diary running to 12 Nov 1914; shell fragments from the Aisne (his fatal wound was from a shrapnel burst overhead); photographs of Geoffrey at different ages, some with his father or brothers; and his Scots Guards map bag. This chest passed to Zelda (1923–2014: #102) in 1977, and to Celina in 2014 who donated it to Eton’s Macnaughten Library in 2020 on the 106th anniversary of Geoffrey’s death. The curator called it ‘the richest WW1 archive in the collection’. A transcript of the war diary is lodged with the Imperial War Museum, London.</v>
      </c>
      <c r="AM71" s="105" t="str">
        <f>IF(AND(LEN(H71)&gt;0,ISNA(IF(K71="Boy",VLOOKUP(A71,'Siblings of those BORN Loyd'!$AP$3:$AQ$70,2,FALSE),VLOOKUP(A71,'Children of Female Loyds'!$AR$5:$AS$60,2,FALSE)))),"d.s.p","")</f>
        <v>d.s.p</v>
      </c>
      <c r="AN71" s="99" t="str">
        <f t="shared" si="41"/>
        <v>Archie (1847–1922: #30)</v>
      </c>
      <c r="AO71" s="99" t="str">
        <f t="shared" si="46"/>
        <v>Thomas (1812–1857: #14)</v>
      </c>
      <c r="AP71" s="99" t="str">
        <f t="shared" si="47"/>
        <v>William (1770–1828: #4)</v>
      </c>
      <c r="AQ71" s="99" t="str">
        <f t="shared" si="48"/>
        <v>William (1729–1800: #1)</v>
      </c>
      <c r="AR71" s="99" t="str">
        <f t="shared" si="49"/>
        <v/>
      </c>
      <c r="AS71" s="99" t="str">
        <f t="shared" si="50"/>
        <v/>
      </c>
      <c r="AT71" s="99" t="str">
        <f t="shared" si="51"/>
        <v/>
      </c>
      <c r="AU71" s="99" t="str">
        <f t="shared" si="52"/>
        <v/>
      </c>
      <c r="AW71" s="116" t="str">
        <f>VLOOKUP(A71,'Updated Bios &amp; Spouse Details'!$A$1:$J$193,6,FALSE)</f>
        <v>England</v>
      </c>
      <c r="AX71" s="131">
        <f>VLOOKUP($A71,'Loyd List 1-190 - Edit'!$P$2:$AQ$220,AX$1,FALSE)</f>
        <v>69</v>
      </c>
      <c r="AY71" s="116" t="str">
        <f>IF(ISNA(VLOOKUP(A71,'Data check lookup table'!$G$2:$V$73,13,FALSE))," - ",VLOOKUP(A71,'Data check lookup table'!$G$2:$V$73,13,FALSE))</f>
        <v xml:space="preserve"> - </v>
      </c>
      <c r="AZ71" s="147" t="str">
        <f t="shared" si="42"/>
        <v>14/11/1914</v>
      </c>
      <c r="BA71" s="99" t="str">
        <f t="shared" si="43"/>
        <v/>
      </c>
      <c r="BB71" s="99" t="str">
        <f t="shared" si="44"/>
        <v/>
      </c>
      <c r="BI71" s="147" t="s">
        <v>3202</v>
      </c>
    </row>
    <row r="72" spans="1:61" s="99" customFormat="1" ht="136">
      <c r="A72" s="139">
        <f>'Loyd List 1-190 - Edit'!C72</f>
        <v>70</v>
      </c>
      <c r="B72" s="99" t="str">
        <f>VLOOKUP($A72,'Loyd List 1-190 - Edit'!$C$1:$AQ$220,'Book Details - NO EDIT'!B$1,FALSE)</f>
        <v>Diana</v>
      </c>
      <c r="C72" s="99" t="str">
        <f>IF(VLOOKUP($A72,'Loyd List 1-190 - Edit'!$C$1:$AQ$220,'Book Details - NO EDIT'!C$1,FALSE)="","",VLOOKUP($A72,'Loyd List 1-190 - Edit'!$C$1:$AQ$220,'Book Details - NO EDIT'!C$1,FALSE))</f>
        <v>Gertrude</v>
      </c>
      <c r="D72" s="99" t="str">
        <f>IF(VLOOKUP($A72,'Loyd List 1-190 - Edit'!$C$1:$AQ$220,'Book Details - NO EDIT'!D$1,FALSE)="","",VLOOKUP($A72,'Loyd List 1-190 - Edit'!$C$1:$AQ$220,'Book Details - NO EDIT'!D$1,FALSE))</f>
        <v>May</v>
      </c>
      <c r="E72" s="99" t="str">
        <f>IF(VLOOKUP($A72,'Loyd List 1-190 - Edit'!$C$1:$AQ$220,'Book Details - NO EDIT'!E$1,FALSE)="","",VLOOKUP($A72,'Loyd List 1-190 - Edit'!$C$1:$AQ$220,'Book Details - NO EDIT'!E$1,FALSE))</f>
        <v>LOYD</v>
      </c>
      <c r="F72" s="99" t="str">
        <f>IF(VLOOKUP($A72,'Loyd List 1-190 - Edit'!$C$1:$AQ$220,'Book Details - NO EDIT'!F$1,FALSE)="",B72,VLOOKUP($A72,'Loyd List 1-190 - Edit'!$C$1:$AQ$220,'Book Details - NO EDIT'!F$1,FALSE))</f>
        <v>Diana</v>
      </c>
      <c r="G72" s="140">
        <f>IF(VLOOKUP($A72,'Loyd List 1-190 - Edit'!$C$1:$AQ$220,'Book Details - NO EDIT'!G$1,FALSE)="","",VALUE(VLOOKUP($A72,'Loyd List 1-190 - Edit'!$C$1:$AQ$220,'Book Details - NO EDIT'!G$1,FALSE)))</f>
        <v>1890</v>
      </c>
      <c r="H72" s="140">
        <f>IF(VLOOKUP($A72,'Loyd List 1-190 - Edit'!$C$1:$AQ$220,'Book Details - NO EDIT'!H$1,FALSE)="","",VALUE(VLOOKUP($A72,'Loyd List 1-190 - Edit'!$C$1:$AQ$220,'Book Details - NO EDIT'!H$1,FALSE)))</f>
        <v>1963</v>
      </c>
      <c r="I72" s="141" t="str">
        <f>IF(VLOOKUP($A72,'Loyd List 1-190 - Edit'!$C$1:$AQ$220,'Book Details - NO EDIT'!I$1,FALSE)="","",(VLOOKUP($A72,'Loyd List 1-190 - Edit'!$C$1:$AQ$220,'Book Details - NO EDIT'!I$1,FALSE)))</f>
        <v>01/05/1890</v>
      </c>
      <c r="J72" s="141" t="str">
        <f>IF(VLOOKUP($A72,'Loyd List 1-190 - Edit'!$C$1:$AQ$220,'Book Details - NO EDIT'!J$1,FALSE)="","",(VLOOKUP($A72,'Loyd List 1-190 - Edit'!$C$1:$AQ$220,'Book Details - NO EDIT'!J$1,FALSE)))</f>
        <v>01/07/1963</v>
      </c>
      <c r="K72" s="100" t="str">
        <f>VLOOKUP($A72,'Loyd List 1-190 - Edit'!$C$1:$AQ$220,'Book Details - NO EDIT'!K$1,FALSE)</f>
        <v>Girl</v>
      </c>
      <c r="L72" s="140">
        <f>VLOOKUP($A72,'Loyd List 1-190 - Edit'!$C$1:$AQ$220,'Book Details - NO EDIT'!L$1,FALSE)</f>
        <v>46</v>
      </c>
      <c r="M72" s="140">
        <f t="shared" si="34"/>
        <v>23</v>
      </c>
      <c r="N72" s="140">
        <f t="shared" si="34"/>
        <v>8</v>
      </c>
      <c r="O72" s="140">
        <f t="shared" si="34"/>
        <v>1</v>
      </c>
      <c r="P72" s="140">
        <f t="shared" si="31"/>
        <v>0</v>
      </c>
      <c r="Q72" s="140" t="str">
        <f t="shared" si="31"/>
        <v/>
      </c>
      <c r="R72" s="140" t="str">
        <f t="shared" si="31"/>
        <v/>
      </c>
      <c r="S72" s="140" t="str">
        <f t="shared" si="35"/>
        <v/>
      </c>
      <c r="T72" s="140">
        <f t="shared" si="32"/>
        <v>4</v>
      </c>
      <c r="U72" s="139">
        <f t="shared" si="36"/>
        <v>70</v>
      </c>
      <c r="V72" s="31" t="str">
        <f t="shared" si="37"/>
        <v>Diana (1890–1963)</v>
      </c>
      <c r="W72" s="31" t="str">
        <f t="shared" si="38"/>
        <v>Diana (#70)</v>
      </c>
      <c r="X72" s="99" t="str">
        <f t="shared" si="39"/>
        <v>Diana (1890–1963: #70)</v>
      </c>
      <c r="Y72" s="99" t="str">
        <f t="shared" si="33"/>
        <v>Diana Gertrude May LOYD</v>
      </c>
      <c r="Z72" s="99" t="str">
        <f t="shared" si="40"/>
        <v>William (1863–1923: #46)</v>
      </c>
      <c r="AA72" s="99" t="str">
        <f t="shared" si="45"/>
        <v xml:space="preserve">William (1863–1923: #46) William (1821–1885: #23) Edward (1780–1863: #8) William (1729–1800: #1)    </v>
      </c>
      <c r="AB72" s="142" t="str">
        <f>VLOOKUP(U72,'Siblings of those BORN Loyd'!$A$2:$G$230,7,FALSE)</f>
        <v xml:space="preserve">4 – Godfrey (1893–1917: #75) Vivian (1894–1972: #78) Wilfred (1896–1955: #82) Eddie (1902–1942: #84)    </v>
      </c>
      <c r="AC72" s="115" t="str">
        <f>IF(ISNA(IF(K72="Boy",VLOOKUP(A72,'Siblings of those BORN Loyd'!$AP$3:$AQ$70,2,FALSE),VLOOKUP(A72,'Children of Female Loyds'!$AR$5:$AT$60,3,FALSE))),AM72,IF(K72="Boy",VLOOKUP(A72,'Siblings of those BORN Loyd'!$AP$3:$AQ$70,2,FALSE),VLOOKUP(A72,'Children of Female Loyds'!$AR$5:$AT$60,3,FALSE)))</f>
        <v xml:space="preserve">6 - Cynthia MICKLEM (1921 - 1990: #70a) Dora MICKLEM (1924 - : #70b) Anne MICKLEM (1925 - : #70c) Tom MICKLEM (1926 - : #70d) Elizabeth MICKLEM (1929 - : #70e) Nathaniel MICKLEM (1931 - 1950: #70f)  </v>
      </c>
      <c r="AD72" s="97" t="str">
        <f t="shared" si="26"/>
        <v xml:space="preserve">12 - William SHEARER (1951 -: #70aa) Rosemary SHEARER (1952 -: #70ab) Andrew SHEARER (1960 -: #70ac) Peter MELITUS (1955 -: #70ba) Caroline MELITUS (1959 -: #70bb) Hugo PAGE (1951 -: #70ca) Nat PAGE (1953 -: #70cb) Henry PAGE (1953 -: #70cc) Rupert PAGE (1963 -: #70cd) Philippa MICKLEM (1958 -: #70da) Jeremy MICKLEM (1961 -: #70db) Sylvie MICKLEM (1964 -: #70dc)       </v>
      </c>
      <c r="AE72" s="105" t="str">
        <f>IF(ISNA(IF(K72="Boy",VLOOKUP(A72,'Grandchildren of Male Loyds'!$AQ$3:$AS$51,3,FALSE),VLOOKUP(A72,'Grandchildren of Female Loyds'!$AX$5:$AZ$63,3,FALSE))),AM72,IF(K72="Boy",VLOOKUP(A72,'Grandchildren of Male Loyds'!$AQ$3:$AS$51,3,FALSE),VLOOKUP(A72,'Grandchildren of Female Loyds'!$AX$5:$AZ$63,3,FALSE)))</f>
        <v xml:space="preserve">William SHEARER (1951 -: #70aa) Rosemary SHEARER (1952 -: #70ab) Andrew SHEARER (1960 -: #70ac) Peter MELITUS (1955 -: #70ba) Caroline MELITUS (1959 -: #70bb) Hugo PAGE (1951 -: #70ca) Nat PAGE (1953 -: #70cb) Henry PAGE (1953 -: #70cc) Rupert PAGE (1963 -: #70cd) Philippa MICKLEM (1958 -: #70da) Jeremy MICKLEM (1961 -: #70db) Sylvie MICKLEM (1964 -: #70dc)    </v>
      </c>
      <c r="AF72" s="105" t="str">
        <f>IF(ISNA(VLOOKUP(A72,'Grandchildren Loyd Daughters'!$BD$5:$BF$50,4,FALSE)),"",VLOOKUP(A72,'Grandchildren Loyd Daughters'!$BD$5:$BF$50,3,FALSE))</f>
        <v/>
      </c>
      <c r="AG72" s="129">
        <f>IF(ISNA(VLOOKUP(A72,'Grandchildren of Male Loyds'!$AQ$3:$AR$60,2,FALSE)),0,VLOOKUP(A72,'Grandchildren of Male Loyds'!$AQ$3:$AR$60,2,FALSE))+IF(ISNA(VLOOKUP(A72,'Grandchildren of Female Loyds'!$AX$5:$AY$50,2,FALSE)),0,VLOOKUP(A72,'Grandchildren of Female Loyds'!$AX$5:$AY$50,2,FALSE))+IF(ISNA(VLOOKUP(A72,'Grandchildren Loyd Daughters'!$BD$5:$BE$50,2,FALSE)),0,VLOOKUP(A72,'Grandchildren Loyd Daughters'!$BD$5:$BE$50,2,FALSE))</f>
        <v>12</v>
      </c>
      <c r="AH72" s="129" t="str">
        <f>VLOOKUP($U72,'Loyd List 1-190 - Edit'!$P$3:$AJ$220,21,FALSE)</f>
        <v xml:space="preserve">Emily Diana Maria BEAUMONT (b. 25 Dec 1860, d. 4 Jul 1956) </v>
      </c>
      <c r="AI72" s="129" t="str">
        <f>VLOOKUP(A72,'Updated Bios &amp; Spouse Details'!$A$1:$J$200,7,FALSE)</f>
        <v>Charles MICKLEM (b. 17 Jan 1882, d. 26 Jan 1955)</v>
      </c>
      <c r="AJ72" s="130">
        <f>IF(VLOOKUP($A72,'Loyd List 1-190 - Edit'!$C$1:$AQ$220,'Book Details - NO EDIT'!AJ$1,FALSE)="","",(VLOOKUP($A72,'Loyd List 1-190 - Edit'!$C$1:$AQ$220,'Book Details - NO EDIT'!AJ$1,FALSE)))</f>
        <v>7620</v>
      </c>
      <c r="AK72" s="129" t="str">
        <f>VLOOKUP(A72,'Updated Bios &amp; Spouse Details'!$A$1:$J$200,8,FALSE)</f>
        <v>Charles son of Leonard MICKLEM of Abbots Mead, Elstree, Hertfordshire. Served in World War I with Royal Marine Artillery Howitzer Brigade (despatches twice). Major 1917. DSO 1918. Member London Stock Exchange. DL 1938, JP Surrey. High Sheriff of Surrey 1938.</v>
      </c>
      <c r="AL72" s="131" t="str">
        <f>VLOOKUP(A72,'Updated Bios &amp; Spouse Details'!$A$1:$J$200,5,FALSE)</f>
        <v>Diana was the only daughter of William (1863–1923: #46). Born 1 May 1890 at 46 Beaufort Gardens, London SW3. Died 1 July 1963. Issue: 4 daughters, 2 sons.</v>
      </c>
      <c r="AM72" s="105" t="str">
        <f>IF(AND(LEN(H72)&gt;0,ISNA(IF(K72="Boy",VLOOKUP(A72,'Siblings of those BORN Loyd'!$AP$3:$AQ$70,2,FALSE),VLOOKUP(A72,'Children of Female Loyds'!$AR$5:$AS$60,2,FALSE)))),"d.s.p","")</f>
        <v/>
      </c>
      <c r="AN72" s="99" t="str">
        <f t="shared" si="41"/>
        <v>William (1863–1923: #46)</v>
      </c>
      <c r="AO72" s="99" t="str">
        <f t="shared" si="46"/>
        <v>William (1821–1885: #23)</v>
      </c>
      <c r="AP72" s="99" t="str">
        <f t="shared" si="47"/>
        <v>Edward (1780–1863: #8)</v>
      </c>
      <c r="AQ72" s="99" t="str">
        <f t="shared" si="48"/>
        <v>William (1729–1800: #1)</v>
      </c>
      <c r="AR72" s="99" t="str">
        <f t="shared" si="49"/>
        <v/>
      </c>
      <c r="AS72" s="99" t="str">
        <f t="shared" si="50"/>
        <v/>
      </c>
      <c r="AT72" s="99" t="str">
        <f t="shared" si="51"/>
        <v/>
      </c>
      <c r="AU72" s="99" t="str">
        <f t="shared" si="52"/>
        <v/>
      </c>
      <c r="AW72" s="116" t="str">
        <f>VLOOKUP(A72,'Updated Bios &amp; Spouse Details'!$A$1:$J$193,6,FALSE)</f>
        <v>England</v>
      </c>
      <c r="AX72" s="131">
        <f>VLOOKUP($A72,'Loyd List 1-190 - Edit'!$P$2:$AQ$220,AX$1,FALSE)</f>
        <v>70</v>
      </c>
      <c r="AY72" s="116" t="str">
        <f>IF(ISNA(VLOOKUP(A72,'Data check lookup table'!$G$2:$V$73,13,FALSE))," - ",VLOOKUP(A72,'Data check lookup table'!$G$2:$V$73,13,FALSE))</f>
        <v xml:space="preserve"> - </v>
      </c>
      <c r="AZ72" s="147" t="str">
        <f t="shared" si="42"/>
        <v>01/07/1963</v>
      </c>
      <c r="BA72" s="99" t="str">
        <f t="shared" si="43"/>
        <v/>
      </c>
      <c r="BB72" s="99" t="str">
        <f t="shared" si="44"/>
        <v/>
      </c>
      <c r="BI72" s="147" t="s">
        <v>3203</v>
      </c>
    </row>
    <row r="73" spans="1:61" s="99" customFormat="1" ht="153">
      <c r="A73" s="139">
        <f>'Loyd List 1-190 - Edit'!C73</f>
        <v>71</v>
      </c>
      <c r="B73" s="99" t="str">
        <f>VLOOKUP($A73,'Loyd List 1-190 - Edit'!$C$1:$AQ$220,'Book Details - NO EDIT'!B$1,FALSE)</f>
        <v>Arthur</v>
      </c>
      <c r="C73" s="99" t="str">
        <f>IF(VLOOKUP($A73,'Loyd List 1-190 - Edit'!$C$1:$AQ$220,'Book Details - NO EDIT'!C$1,FALSE)="","",VLOOKUP($A73,'Loyd List 1-190 - Edit'!$C$1:$AQ$220,'Book Details - NO EDIT'!C$1,FALSE))</f>
        <v>Kesteven</v>
      </c>
      <c r="D73" s="99" t="str">
        <f>IF(VLOOKUP($A73,'Loyd List 1-190 - Edit'!$C$1:$AQ$220,'Book Details - NO EDIT'!D$1,FALSE)="","",VLOOKUP($A73,'Loyd List 1-190 - Edit'!$C$1:$AQ$220,'Book Details - NO EDIT'!D$1,FALSE))</f>
        <v/>
      </c>
      <c r="E73" s="99" t="str">
        <f>IF(VLOOKUP($A73,'Loyd List 1-190 - Edit'!$C$1:$AQ$220,'Book Details - NO EDIT'!E$1,FALSE)="","",VLOOKUP($A73,'Loyd List 1-190 - Edit'!$C$1:$AQ$220,'Book Details - NO EDIT'!E$1,FALSE))</f>
        <v>LOYD</v>
      </c>
      <c r="F73" s="99" t="str">
        <f>IF(VLOOKUP($A73,'Loyd List 1-190 - Edit'!$C$1:$AQ$220,'Book Details - NO EDIT'!F$1,FALSE)="",B73,VLOOKUP($A73,'Loyd List 1-190 - Edit'!$C$1:$AQ$220,'Book Details - NO EDIT'!F$1,FALSE))</f>
        <v>Arthur</v>
      </c>
      <c r="G73" s="140">
        <f>IF(VLOOKUP($A73,'Loyd List 1-190 - Edit'!$C$1:$AQ$220,'Book Details - NO EDIT'!G$1,FALSE)="","",VALUE(VLOOKUP($A73,'Loyd List 1-190 - Edit'!$C$1:$AQ$220,'Book Details - NO EDIT'!G$1,FALSE)))</f>
        <v>1890</v>
      </c>
      <c r="H73" s="140">
        <f>IF(VLOOKUP($A73,'Loyd List 1-190 - Edit'!$C$1:$AQ$220,'Book Details - NO EDIT'!H$1,FALSE)="","",VALUE(VLOOKUP($A73,'Loyd List 1-190 - Edit'!$C$1:$AQ$220,'Book Details - NO EDIT'!H$1,FALSE)))</f>
        <v>1974</v>
      </c>
      <c r="I73" s="141" t="str">
        <f>IF(VLOOKUP($A73,'Loyd List 1-190 - Edit'!$C$1:$AQ$220,'Book Details - NO EDIT'!I$1,FALSE)="","",(VLOOKUP($A73,'Loyd List 1-190 - Edit'!$C$1:$AQ$220,'Book Details - NO EDIT'!I$1,FALSE)))</f>
        <v>16/11/1890</v>
      </c>
      <c r="J73" s="141" t="str">
        <f>IF(VLOOKUP($A73,'Loyd List 1-190 - Edit'!$C$1:$AQ$220,'Book Details - NO EDIT'!J$1,FALSE)="","",(VLOOKUP($A73,'Loyd List 1-190 - Edit'!$C$1:$AQ$220,'Book Details - NO EDIT'!J$1,FALSE)))</f>
        <v>11/09/1974</v>
      </c>
      <c r="K73" s="100" t="str">
        <f>VLOOKUP($A73,'Loyd List 1-190 - Edit'!$C$1:$AQ$220,'Book Details - NO EDIT'!K$1,FALSE)</f>
        <v>Boy</v>
      </c>
      <c r="L73" s="140">
        <f>VLOOKUP($A73,'Loyd List 1-190 - Edit'!$C$1:$AQ$220,'Book Details - NO EDIT'!L$1,FALSE)</f>
        <v>34</v>
      </c>
      <c r="M73" s="140">
        <f t="shared" si="34"/>
        <v>14</v>
      </c>
      <c r="N73" s="140">
        <f t="shared" si="34"/>
        <v>4</v>
      </c>
      <c r="O73" s="140">
        <f t="shared" si="34"/>
        <v>1</v>
      </c>
      <c r="P73" s="140">
        <f t="shared" si="31"/>
        <v>0</v>
      </c>
      <c r="Q73" s="140" t="str">
        <f t="shared" si="31"/>
        <v/>
      </c>
      <c r="R73" s="140" t="str">
        <f t="shared" si="31"/>
        <v/>
      </c>
      <c r="S73" s="140" t="str">
        <f t="shared" si="35"/>
        <v/>
      </c>
      <c r="T73" s="140">
        <f t="shared" si="32"/>
        <v>4</v>
      </c>
      <c r="U73" s="139">
        <f t="shared" si="36"/>
        <v>71</v>
      </c>
      <c r="V73" s="31" t="str">
        <f t="shared" si="37"/>
        <v>Arthur (1890–1974)</v>
      </c>
      <c r="W73" s="31" t="str">
        <f t="shared" si="38"/>
        <v>Arthur (#71)</v>
      </c>
      <c r="X73" s="99" t="str">
        <f t="shared" si="39"/>
        <v>Arthur (1890–1974: #71)</v>
      </c>
      <c r="Y73" s="99" t="str">
        <f t="shared" si="33"/>
        <v>Arthur Kesteven LOYD</v>
      </c>
      <c r="Z73" s="99" t="str">
        <f t="shared" si="40"/>
        <v>Ted (1851–1922: #34)</v>
      </c>
      <c r="AA73" s="99" t="str">
        <f t="shared" si="45"/>
        <v xml:space="preserve">Ted (1851–1922: #34) Thomas (1812–1857: #14) William (1770–1828: #4) William (1729–1800: #1)    </v>
      </c>
      <c r="AB73" s="142" t="str">
        <f>VLOOKUP(U73,'Siblings of those BORN Loyd'!$A$2:$G$230,7,FALSE)</f>
        <v xml:space="preserve">2 – Nan (1889–1967: #65)  Edward (1893–1932: #76)      </v>
      </c>
      <c r="AC73" s="115" t="str">
        <f>IF(ISNA(IF(K73="Boy",VLOOKUP(A73,'Siblings of those BORN Loyd'!$AP$3:$AQ$70,2,FALSE),VLOOKUP(A73,'Children of Female Loyds'!$AR$5:$AT$60,3,FALSE))),AM73,IF(K73="Boy",VLOOKUP(A73,'Siblings of those BORN Loyd'!$AP$3:$AQ$70,2,FALSE),VLOOKUP(A73,'Children of Female Loyds'!$AR$5:$AT$60,3,FALSE)))</f>
        <v>1 - Peter (1913–2008: #86)</v>
      </c>
      <c r="AD73" s="97" t="str">
        <f t="shared" si="26"/>
        <v xml:space="preserve">3 - Rona (1951–: #125); David (1952–: #130); Jim (1955–: #135)   </v>
      </c>
      <c r="AE73" s="105" t="str">
        <f>IF(ISNA(IF(K73="Boy",VLOOKUP(A73,'Grandchildren of Male Loyds'!$AQ$3:$AS$51,3,FALSE),VLOOKUP(A73,'Grandchildren of Female Loyds'!$AX$5:$AZ$63,3,FALSE))),AM73,IF(K73="Boy",VLOOKUP(A73,'Grandchildren of Male Loyds'!$AQ$3:$AS$51,3,FALSE),VLOOKUP(A73,'Grandchildren of Female Loyds'!$AX$5:$AZ$63,3,FALSE)))</f>
        <v>Rona (1951–: #125); David (1952–: #130); Jim (1955–: #135)</v>
      </c>
      <c r="AF73" s="105" t="str">
        <f>IF(ISNA(VLOOKUP(A73,'Grandchildren Loyd Daughters'!$BD$5:$BF$50,4,FALSE)),"",VLOOKUP(A73,'Grandchildren Loyd Daughters'!$BD$5:$BF$50,3,FALSE))</f>
        <v/>
      </c>
      <c r="AG73" s="129">
        <f>IF(ISNA(VLOOKUP(A73,'Grandchildren of Male Loyds'!$AQ$3:$AR$60,2,FALSE)),0,VLOOKUP(A73,'Grandchildren of Male Loyds'!$AQ$3:$AR$60,2,FALSE))+IF(ISNA(VLOOKUP(A73,'Grandchildren of Female Loyds'!$AX$5:$AY$50,2,FALSE)),0,VLOOKUP(A73,'Grandchildren of Female Loyds'!$AX$5:$AY$50,2,FALSE))+IF(ISNA(VLOOKUP(A73,'Grandchildren Loyd Daughters'!$BD$5:$BE$50,2,FALSE)),0,VLOOKUP(A73,'Grandchildren Loyd Daughters'!$BD$5:$BE$50,2,FALSE))</f>
        <v>3</v>
      </c>
      <c r="AH73" s="129" t="str">
        <f>VLOOKUP($U73,'Loyd List 1-190 - Edit'!$P$3:$AJ$220,21,FALSE)</f>
        <v>Millicent Blandinah KESTEVEN (b. 1850/51, d. 22 Jun 1945)</v>
      </c>
      <c r="AI73" s="129" t="str">
        <f>VLOOKUP(A73,'Updated Bios &amp; Spouse Details'!$A$1:$J$200,7,FALSE)</f>
        <v>(1) Ivy Nina TWINING (b. 2 Aug 1884, d. 12 Jul 1950).</v>
      </c>
      <c r="AJ73" s="130">
        <f>IF(VLOOKUP($A73,'Loyd List 1-190 - Edit'!$C$1:$AQ$220,'Book Details - NO EDIT'!AJ$1,FALSE)="","",(VLOOKUP($A73,'Loyd List 1-190 - Edit'!$C$1:$AQ$220,'Book Details - NO EDIT'!AJ$1,FALSE)))</f>
        <v>4658</v>
      </c>
      <c r="AK73" s="129" t="str">
        <f>VLOOKUP(A73,'Updated Bios &amp; Spouse Details'!$A$1:$J$200,8,FALSE)</f>
        <v>Married (1) Ivy, at Walhachin, British Columbia, 2nd daughter of the Rev R. TWINING, Vicar of Woodfield, Salisbury, Wiltshire. Married (2) Florence Wilson (known as Daisy) BASKETT (b. 16 Jun 1882, d. 29 Jun 1969) 2nd daughter of the Rev H. BASKETT, Vicar of St. Andrews, Donhead, Wiltshire.</v>
      </c>
      <c r="AL73" s="131" t="str">
        <f>VLOOKUP(A73,'Updated Bios &amp; Spouse Details'!$A$1:$J$200,5,FALSE)</f>
        <v>Arthur lived at 450 Cadder Avenue, British Columbia, Canada and was the elder son of Edward (1851–1922: #34). Born 16 Nov 1890. Educated Marlborough.  President, British Columbia Tree Fruits Limited 1940-55. Member, Canadian Horticultural Council. MBE 1946. Died 11 Sep 1974. Buried at Kelowna, British Columbia. Issue: (1st wife) 1 son.</v>
      </c>
      <c r="AM73" s="105" t="str">
        <f>IF(AND(LEN(H73)&gt;0,ISNA(IF(K73="Boy",VLOOKUP(A73,'Siblings of those BORN Loyd'!$AP$3:$AQ$70,2,FALSE),VLOOKUP(A73,'Children of Female Loyds'!$AR$5:$AS$60,2,FALSE)))),"d.s.p","")</f>
        <v/>
      </c>
      <c r="AN73" s="99" t="str">
        <f t="shared" si="41"/>
        <v>Ted (1851–1922: #34)</v>
      </c>
      <c r="AO73" s="99" t="str">
        <f t="shared" si="46"/>
        <v>Thomas (1812–1857: #14)</v>
      </c>
      <c r="AP73" s="99" t="str">
        <f t="shared" si="47"/>
        <v>William (1770–1828: #4)</v>
      </c>
      <c r="AQ73" s="99" t="str">
        <f t="shared" si="48"/>
        <v>William (1729–1800: #1)</v>
      </c>
      <c r="AR73" s="99" t="str">
        <f t="shared" si="49"/>
        <v/>
      </c>
      <c r="AS73" s="99" t="str">
        <f t="shared" si="50"/>
        <v/>
      </c>
      <c r="AT73" s="99" t="str">
        <f t="shared" si="51"/>
        <v/>
      </c>
      <c r="AU73" s="99" t="str">
        <f t="shared" si="52"/>
        <v/>
      </c>
      <c r="AW73" s="116" t="str">
        <f>VLOOKUP(A73,'Updated Bios &amp; Spouse Details'!$A$1:$J$193,6,FALSE)</f>
        <v>England and Canada</v>
      </c>
      <c r="AX73" s="131">
        <f>VLOOKUP($A73,'Loyd List 1-190 - Edit'!$P$2:$AQ$220,AX$1,FALSE)</f>
        <v>71</v>
      </c>
      <c r="AY73" s="116" t="str">
        <f>IF(ISNA(VLOOKUP(A73,'Data check lookup table'!$G$2:$V$73,13,FALSE))," - ",VLOOKUP(A73,'Data check lookup table'!$G$2:$V$73,13,FALSE))</f>
        <v xml:space="preserve"> - </v>
      </c>
      <c r="AZ73" s="147" t="str">
        <f t="shared" si="42"/>
        <v>11/09/1974</v>
      </c>
      <c r="BA73" s="99" t="str">
        <f t="shared" si="43"/>
        <v/>
      </c>
      <c r="BB73" s="99" t="str">
        <f t="shared" si="44"/>
        <v/>
      </c>
      <c r="BI73" s="147" t="s">
        <v>3204</v>
      </c>
    </row>
    <row r="74" spans="1:61" s="99" customFormat="1" ht="119">
      <c r="A74" s="139">
        <f>'Loyd List 1-190 - Edit'!C74</f>
        <v>72</v>
      </c>
      <c r="B74" s="99" t="str">
        <f>VLOOKUP($A74,'Loyd List 1-190 - Edit'!$C$1:$AQ$220,'Book Details - NO EDIT'!B$1,FALSE)</f>
        <v>Henry</v>
      </c>
      <c r="C74" s="99" t="str">
        <f>IF(VLOOKUP($A74,'Loyd List 1-190 - Edit'!$C$1:$AQ$220,'Book Details - NO EDIT'!C$1,FALSE)="","",VLOOKUP($A74,'Loyd List 1-190 - Edit'!$C$1:$AQ$220,'Book Details - NO EDIT'!C$1,FALSE))</f>
        <v>Charles</v>
      </c>
      <c r="D74" s="99" t="str">
        <f>IF(VLOOKUP($A74,'Loyd List 1-190 - Edit'!$C$1:$AQ$220,'Book Details - NO EDIT'!D$1,FALSE)="","",VLOOKUP($A74,'Loyd List 1-190 - Edit'!$C$1:$AQ$220,'Book Details - NO EDIT'!D$1,FALSE))</f>
        <v/>
      </c>
      <c r="E74" s="99" t="str">
        <f>IF(VLOOKUP($A74,'Loyd List 1-190 - Edit'!$C$1:$AQ$220,'Book Details - NO EDIT'!E$1,FALSE)="","",VLOOKUP($A74,'Loyd List 1-190 - Edit'!$C$1:$AQ$220,'Book Details - NO EDIT'!E$1,FALSE))</f>
        <v>LOYD</v>
      </c>
      <c r="F74" s="99" t="str">
        <f>IF(VLOOKUP($A74,'Loyd List 1-190 - Edit'!$C$1:$AQ$220,'Book Details - NO EDIT'!F$1,FALSE)="",B74,VLOOKUP($A74,'Loyd List 1-190 - Edit'!$C$1:$AQ$220,'Book Details - NO EDIT'!F$1,FALSE))</f>
        <v>Charles</v>
      </c>
      <c r="G74" s="140">
        <f>IF(VLOOKUP($A74,'Loyd List 1-190 - Edit'!$C$1:$AQ$220,'Book Details - NO EDIT'!G$1,FALSE)="","",VALUE(VLOOKUP($A74,'Loyd List 1-190 - Edit'!$C$1:$AQ$220,'Book Details - NO EDIT'!G$1,FALSE)))</f>
        <v>1891</v>
      </c>
      <c r="H74" s="140">
        <f>IF(VLOOKUP($A74,'Loyd List 1-190 - Edit'!$C$1:$AQ$220,'Book Details - NO EDIT'!H$1,FALSE)="","",VALUE(VLOOKUP($A74,'Loyd List 1-190 - Edit'!$C$1:$AQ$220,'Book Details - NO EDIT'!H$1,FALSE)))</f>
        <v>1973</v>
      </c>
      <c r="I74" s="141" t="str">
        <f>IF(VLOOKUP($A74,'Loyd List 1-190 - Edit'!$C$1:$AQ$220,'Book Details - NO EDIT'!I$1,FALSE)="","",(VLOOKUP($A74,'Loyd List 1-190 - Edit'!$C$1:$AQ$220,'Book Details - NO EDIT'!I$1,FALSE)))</f>
        <v>21/02/1891</v>
      </c>
      <c r="J74" s="141" t="str">
        <f>IF(VLOOKUP($A74,'Loyd List 1-190 - Edit'!$C$1:$AQ$220,'Book Details - NO EDIT'!J$1,FALSE)="","",(VLOOKUP($A74,'Loyd List 1-190 - Edit'!$C$1:$AQ$220,'Book Details - NO EDIT'!J$1,FALSE)))</f>
        <v>11/11/1973</v>
      </c>
      <c r="K74" s="100" t="str">
        <f>VLOOKUP($A74,'Loyd List 1-190 - Edit'!$C$1:$AQ$220,'Book Details - NO EDIT'!K$1,FALSE)</f>
        <v>Boy</v>
      </c>
      <c r="L74" s="140">
        <f>VLOOKUP($A74,'Loyd List 1-190 - Edit'!$C$1:$AQ$220,'Book Details - NO EDIT'!L$1,FALSE)</f>
        <v>44</v>
      </c>
      <c r="M74" s="140">
        <f t="shared" si="34"/>
        <v>23</v>
      </c>
      <c r="N74" s="140">
        <f t="shared" si="34"/>
        <v>8</v>
      </c>
      <c r="O74" s="140">
        <f t="shared" si="34"/>
        <v>1</v>
      </c>
      <c r="P74" s="140">
        <f t="shared" si="31"/>
        <v>0</v>
      </c>
      <c r="Q74" s="140" t="str">
        <f t="shared" si="31"/>
        <v/>
      </c>
      <c r="R74" s="140" t="str">
        <f t="shared" si="31"/>
        <v/>
      </c>
      <c r="S74" s="140" t="str">
        <f t="shared" si="35"/>
        <v/>
      </c>
      <c r="T74" s="140">
        <f t="shared" si="32"/>
        <v>4</v>
      </c>
      <c r="U74" s="139">
        <f t="shared" si="36"/>
        <v>72</v>
      </c>
      <c r="V74" s="31" t="str">
        <f t="shared" si="37"/>
        <v>Charles (1891–1973)</v>
      </c>
      <c r="W74" s="31" t="str">
        <f t="shared" si="38"/>
        <v>Charles (#72)</v>
      </c>
      <c r="X74" s="99" t="str">
        <f t="shared" si="39"/>
        <v>Charles (1891–1973: #72)</v>
      </c>
      <c r="Y74" s="99" t="str">
        <f t="shared" si="33"/>
        <v>Henry Charles LOYD</v>
      </c>
      <c r="Z74" s="99" t="str">
        <f t="shared" si="40"/>
        <v>Harry (1861–1938: #44)</v>
      </c>
      <c r="AA74" s="99" t="str">
        <f t="shared" si="45"/>
        <v xml:space="preserve">Harry (1861–1938: #44) William (1821–1885: #23) Edward (1780–1863: #8) William (1729–1800: #1)    </v>
      </c>
      <c r="AB74" s="142" t="str">
        <f>VLOOKUP(U74,'Siblings of those BORN Loyd'!$A$2:$G$230,7,FALSE)</f>
        <v xml:space="preserve">2 – William (1889–1947: #66)  Reginald (1885–1917: #81)      </v>
      </c>
      <c r="AC74" s="115" t="str">
        <f>IF(ISNA(IF(K74="Boy",VLOOKUP(A74,'Siblings of those BORN Loyd'!$AP$3:$AQ$70,2,FALSE),VLOOKUP(A74,'Children of Female Loyds'!$AR$5:$AT$60,3,FALSE))),AM74,IF(K74="Boy",VLOOKUP(A74,'Siblings of those BORN Loyd'!$AP$3:$AQ$70,2,FALSE),VLOOKUP(A74,'Children of Female Loyds'!$AR$5:$AT$60,3,FALSE)))</f>
        <v>2 - Lavinia (1923–1995: #103); Sir Julian (1926–2018: #104)</v>
      </c>
      <c r="AD74" s="97" t="str">
        <f t="shared" si="26"/>
        <v xml:space="preserve">8 - Alexandra (1961–: #141); Charles (1963–: #146); Toby (1966–1966: #148); Mary Rose (1967–: #152)   James GORE-BROWNE (1947 - :  #103a) Georgina GORE-BROWNE (1949 - :  #103b) David GORE-BROWNE (1952 - 2012:  #103c) Patrick GORE-BROWNE (1956 - :  #103d)           </v>
      </c>
      <c r="AE74" s="105" t="str">
        <f>IF(ISNA(IF(K74="Boy",VLOOKUP(A74,'Grandchildren of Male Loyds'!$AQ$3:$AS$51,3,FALSE),VLOOKUP(A74,'Grandchildren of Female Loyds'!$AX$5:$AZ$63,3,FALSE))),AM74,IF(K74="Boy",VLOOKUP(A74,'Grandchildren of Male Loyds'!$AQ$3:$AS$51,3,FALSE),VLOOKUP(A74,'Grandchildren of Female Loyds'!$AX$5:$AZ$63,3,FALSE)))</f>
        <v>Alexandra (1961–: #141); Charles (1963–: #146); Toby (1966–1966: #148); Mary Rose (1967–: #152)</v>
      </c>
      <c r="AF74" s="105" t="str">
        <f>IF(ISNA(VLOOKUP(A74,'Grandchildren Loyd Daughters'!$BD$5:$BF$50,4,FALSE)),"",VLOOKUP(A74,'Grandchildren Loyd Daughters'!$BD$5:$BF$50,3,FALSE))</f>
        <v xml:space="preserve">James GORE-BROWNE (1947 - :  #103a) Georgina GORE-BROWNE (1949 - :  #103b) David GORE-BROWNE (1952 - 2012:  #103c) Patrick GORE-BROWNE (1956 - :  #103d)           </v>
      </c>
      <c r="AG74" s="129">
        <f>IF(ISNA(VLOOKUP(A74,'Grandchildren of Male Loyds'!$AQ$3:$AR$60,2,FALSE)),0,VLOOKUP(A74,'Grandchildren of Male Loyds'!$AQ$3:$AR$60,2,FALSE))+IF(ISNA(VLOOKUP(A74,'Grandchildren of Female Loyds'!$AX$5:$AY$50,2,FALSE)),0,VLOOKUP(A74,'Grandchildren of Female Loyds'!$AX$5:$AY$50,2,FALSE))+IF(ISNA(VLOOKUP(A74,'Grandchildren Loyd Daughters'!$BD$5:$BE$50,2,FALSE)),0,VLOOKUP(A74,'Grandchildren Loyd Daughters'!$BD$5:$BE$50,2,FALSE))</f>
        <v>8</v>
      </c>
      <c r="AH74" s="129" t="str">
        <f>VLOOKUP($U74,'Loyd List 1-190 - Edit'!$P$3:$AJ$220,21,FALSE)</f>
        <v>The Hon Clementina Georgina BROWNLOW (b. 13 Jan 1868, d. 1 Sep 1929)</v>
      </c>
      <c r="AI74" s="129" t="str">
        <f>VLOOKUP(A74,'Updated Bios &amp; Spouse Details'!$A$1:$J$200,7,FALSE)</f>
        <v>Lady Moyra BRODRICK (b.11 Jan 1897, d. 1 Apr 1982)</v>
      </c>
      <c r="AJ74" s="130">
        <f>IF(VLOOKUP($A74,'Loyd List 1-190 - Edit'!$C$1:$AQ$220,'Book Details - NO EDIT'!AJ$1,FALSE)="","",(VLOOKUP($A74,'Loyd List 1-190 - Edit'!$C$1:$AQ$220,'Book Details - NO EDIT'!AJ$1,FALSE)))</f>
        <v>8246</v>
      </c>
      <c r="AK74" s="129" t="str">
        <f>VLOOKUP(A74,'Updated Bios &amp; Spouse Details'!$A$1:$J$200,8,FALSE)</f>
        <v>Lady Moyra youngest daughter of the Rt Hon St John Freemantle BRODRICK, 9th Viscount, later 1st Earl of MIDLETON KP.</v>
      </c>
      <c r="AL74" s="131" t="str">
        <f>VLOOKUP(A74,'Updated Bios &amp; Spouse Details'!$A$1:$J$200,5,FALSE)</f>
        <v>Henry, known as Charles and nicknamed "Budget", lived at Mettingham Pines, Bungay, Suffolk and was the 2nd son of Edward (1861–1938: #44). Born 21 Feb 1891. Educated Eton 1904-09 and RMC Sandhurst. Served in World War I in France as Captain Coldstream Guards and Lieut Colonel Staff (wounded 4 times) (despatches 3 times). Commanded 3rd Battalion, Coldstream Guards 1929-32. Officer Commanding Coldstream Guards Regiment 1932-34. GSO 1934-36. Brigadier, General Staff, British Troops, Egypt 1936-38. Commanded 1st Infantry Brigade (Guards) 1938-39. Served in World War II. Commanded 2nd division 1939-40. Chief of General Staff, Home Forces 1941-42. GOC-in-C Southern Command 1942-43. GOC London District 1944-47. Colonel, Coldstream Guards 1945-66. AdC General to HM King George VI 1946-47. MC 1915, DSO 1918, CB 1941, KCB 1943, KCVO 1947, GCVO 1965, Croix de Guerre (France), Comdr. Legion Merit (USA), Gd Offr. Order of Orange, Nassau with Swords (Netherlands). Retired 1947. DL 1954 Norfolk. Died 11 Nov 1973. Issue: 1 son, 1 daughter.</v>
      </c>
      <c r="AM74" s="105" t="str">
        <f>IF(AND(LEN(H74)&gt;0,ISNA(IF(K74="Boy",VLOOKUP(A74,'Siblings of those BORN Loyd'!$AP$3:$AQ$70,2,FALSE),VLOOKUP(A74,'Children of Female Loyds'!$AR$5:$AS$60,2,FALSE)))),"d.s.p","")</f>
        <v/>
      </c>
      <c r="AN74" s="99" t="str">
        <f t="shared" si="41"/>
        <v>Harry (1861–1938: #44)</v>
      </c>
      <c r="AO74" s="99" t="str">
        <f t="shared" si="46"/>
        <v>William (1821–1885: #23)</v>
      </c>
      <c r="AP74" s="99" t="str">
        <f t="shared" si="47"/>
        <v>Edward (1780–1863: #8)</v>
      </c>
      <c r="AQ74" s="99" t="str">
        <f t="shared" si="48"/>
        <v>William (1729–1800: #1)</v>
      </c>
      <c r="AR74" s="99" t="str">
        <f t="shared" si="49"/>
        <v/>
      </c>
      <c r="AS74" s="99" t="str">
        <f t="shared" si="50"/>
        <v/>
      </c>
      <c r="AT74" s="99" t="str">
        <f t="shared" si="51"/>
        <v/>
      </c>
      <c r="AU74" s="99" t="str">
        <f t="shared" si="52"/>
        <v/>
      </c>
      <c r="AW74" s="116" t="str">
        <f>VLOOKUP(A74,'Updated Bios &amp; Spouse Details'!$A$1:$J$193,6,FALSE)</f>
        <v>England, France and Egypt</v>
      </c>
      <c r="AX74" s="131">
        <f>VLOOKUP($A74,'Loyd List 1-190 - Edit'!$P$2:$AQ$220,AX$1,FALSE)</f>
        <v>72</v>
      </c>
      <c r="AY74" s="116" t="str">
        <f>IF(ISNA(VLOOKUP(A74,'Data check lookup table'!$G$2:$V$73,13,FALSE))," - ",VLOOKUP(A74,'Data check lookup table'!$G$2:$V$73,13,FALSE))</f>
        <v xml:space="preserve"> - </v>
      </c>
      <c r="AZ74" s="147" t="str">
        <f t="shared" si="42"/>
        <v>11/11/1973</v>
      </c>
      <c r="BA74" s="99" t="str">
        <f t="shared" si="43"/>
        <v/>
      </c>
      <c r="BB74" s="99" t="str">
        <f t="shared" si="44"/>
        <v/>
      </c>
      <c r="BI74" s="147" t="s">
        <v>3205</v>
      </c>
    </row>
    <row r="75" spans="1:61" s="99" customFormat="1" ht="187">
      <c r="A75" s="139">
        <f>'Loyd List 1-190 - Edit'!C75</f>
        <v>73</v>
      </c>
      <c r="B75" s="99" t="str">
        <f>VLOOKUP($A75,'Loyd List 1-190 - Edit'!$C$1:$AQ$220,'Book Details - NO EDIT'!B$1,FALSE)</f>
        <v>Eric</v>
      </c>
      <c r="C75" s="99" t="str">
        <f>IF(VLOOKUP($A75,'Loyd List 1-190 - Edit'!$C$1:$AQ$220,'Book Details - NO EDIT'!C$1,FALSE)="","",VLOOKUP($A75,'Loyd List 1-190 - Edit'!$C$1:$AQ$220,'Book Details - NO EDIT'!C$1,FALSE))</f>
        <v>Edward</v>
      </c>
      <c r="D75" s="99" t="str">
        <f>IF(VLOOKUP($A75,'Loyd List 1-190 - Edit'!$C$1:$AQ$220,'Book Details - NO EDIT'!D$1,FALSE)="","",VLOOKUP($A75,'Loyd List 1-190 - Edit'!$C$1:$AQ$220,'Book Details - NO EDIT'!D$1,FALSE))</f>
        <v>Foster</v>
      </c>
      <c r="E75" s="99" t="str">
        <f>IF(VLOOKUP($A75,'Loyd List 1-190 - Edit'!$C$1:$AQ$220,'Book Details - NO EDIT'!E$1,FALSE)="","",VLOOKUP($A75,'Loyd List 1-190 - Edit'!$C$1:$AQ$220,'Book Details - NO EDIT'!E$1,FALSE))</f>
        <v>LOYD</v>
      </c>
      <c r="F75" s="99" t="str">
        <f>IF(VLOOKUP($A75,'Loyd List 1-190 - Edit'!$C$1:$AQ$220,'Book Details - NO EDIT'!F$1,FALSE)="",B75,VLOOKUP($A75,'Loyd List 1-190 - Edit'!$C$1:$AQ$220,'Book Details - NO EDIT'!F$1,FALSE))</f>
        <v>Eric</v>
      </c>
      <c r="G75" s="140">
        <f>IF(VLOOKUP($A75,'Loyd List 1-190 - Edit'!$C$1:$AQ$220,'Book Details - NO EDIT'!G$1,FALSE)="","",VALUE(VLOOKUP($A75,'Loyd List 1-190 - Edit'!$C$1:$AQ$220,'Book Details - NO EDIT'!G$1,FALSE)))</f>
        <v>1891</v>
      </c>
      <c r="H75" s="140">
        <f>IF(VLOOKUP($A75,'Loyd List 1-190 - Edit'!$C$1:$AQ$220,'Book Details - NO EDIT'!H$1,FALSE)="","",VALUE(VLOOKUP($A75,'Loyd List 1-190 - Edit'!$C$1:$AQ$220,'Book Details - NO EDIT'!H$1,FALSE)))</f>
        <v>1967</v>
      </c>
      <c r="I75" s="141" t="str">
        <f>IF(VLOOKUP($A75,'Loyd List 1-190 - Edit'!$C$1:$AQ$220,'Book Details - NO EDIT'!I$1,FALSE)="","",(VLOOKUP($A75,'Loyd List 1-190 - Edit'!$C$1:$AQ$220,'Book Details - NO EDIT'!I$1,FALSE)))</f>
        <v>26/04/1891</v>
      </c>
      <c r="J75" s="141" t="str">
        <f>IF(VLOOKUP($A75,'Loyd List 1-190 - Edit'!$C$1:$AQ$220,'Book Details - NO EDIT'!J$1,FALSE)="","",(VLOOKUP($A75,'Loyd List 1-190 - Edit'!$C$1:$AQ$220,'Book Details - NO EDIT'!J$1,FALSE)))</f>
        <v>12/11/1967</v>
      </c>
      <c r="K75" s="100" t="str">
        <f>VLOOKUP($A75,'Loyd List 1-190 - Edit'!$C$1:$AQ$220,'Book Details - NO EDIT'!K$1,FALSE)</f>
        <v>Boy</v>
      </c>
      <c r="L75" s="140">
        <f>VLOOKUP($A75,'Loyd List 1-190 - Edit'!$C$1:$AQ$220,'Book Details - NO EDIT'!L$1,FALSE)</f>
        <v>45</v>
      </c>
      <c r="M75" s="140">
        <f t="shared" si="34"/>
        <v>22</v>
      </c>
      <c r="N75" s="140">
        <f t="shared" si="34"/>
        <v>8</v>
      </c>
      <c r="O75" s="140">
        <f t="shared" si="34"/>
        <v>1</v>
      </c>
      <c r="P75" s="140">
        <f t="shared" si="31"/>
        <v>0</v>
      </c>
      <c r="Q75" s="140" t="str">
        <f t="shared" si="31"/>
        <v/>
      </c>
      <c r="R75" s="140" t="str">
        <f t="shared" si="31"/>
        <v/>
      </c>
      <c r="S75" s="140" t="str">
        <f t="shared" si="35"/>
        <v/>
      </c>
      <c r="T75" s="140">
        <f t="shared" si="32"/>
        <v>4</v>
      </c>
      <c r="U75" s="139">
        <f t="shared" si="36"/>
        <v>73</v>
      </c>
      <c r="V75" s="31" t="str">
        <f t="shared" si="37"/>
        <v>Eric (1891–1967)</v>
      </c>
      <c r="W75" s="31" t="str">
        <f t="shared" si="38"/>
        <v>Eric (#73)</v>
      </c>
      <c r="X75" s="99" t="str">
        <f t="shared" si="39"/>
        <v>Eric (1891–1967: #73)</v>
      </c>
      <c r="Y75" s="99" t="str">
        <f t="shared" si="33"/>
        <v>Eric Edward Foster LOYD</v>
      </c>
      <c r="Z75" s="99" t="str">
        <f t="shared" si="40"/>
        <v>Llewellyn (1861–1939: #45)</v>
      </c>
      <c r="AA75" s="99" t="str">
        <f t="shared" si="45"/>
        <v xml:space="preserve">Llewellyn (1861–1939: #45) Edward (1820–1890: #22) Edward (1780–1863: #8) William (1729–1800: #1)    </v>
      </c>
      <c r="AB75" s="142" t="str">
        <f>VLOOKUP(U75,'Siblings of those BORN Loyd'!$A$2:$G$230,7,FALSE)</f>
        <v xml:space="preserve">3 – Cecil (1890–1963: #68)  Alwyne (1894–1917: #79) Ruby (1898–1977: #83)     </v>
      </c>
      <c r="AC75" s="115" t="str">
        <f>IF(ISNA(IF(K75="Boy",VLOOKUP(A75,'Siblings of those BORN Loyd'!$AP$3:$AQ$70,2,FALSE),VLOOKUP(A75,'Children of Female Loyds'!$AR$5:$AT$60,3,FALSE))),AM75,IF(K75="Boy",VLOOKUP(A75,'Siblings of those BORN Loyd'!$AP$3:$AQ$70,2,FALSE),VLOOKUP(A75,'Children of Female Loyds'!$AR$5:$AT$60,3,FALSE)))</f>
        <v>d.s.p</v>
      </c>
      <c r="AD75" s="97" t="str">
        <f t="shared" si="26"/>
        <v>d.s.p.</v>
      </c>
      <c r="AE75" s="105" t="str">
        <f>IF(ISNA(IF(K75="Boy",VLOOKUP(A75,'Grandchildren of Male Loyds'!$AQ$3:$AS$51,3,FALSE),VLOOKUP(A75,'Grandchildren of Female Loyds'!$AX$5:$AZ$63,3,FALSE))),AM75,IF(K75="Boy",VLOOKUP(A75,'Grandchildren of Male Loyds'!$AQ$3:$AS$51,3,FALSE),VLOOKUP(A75,'Grandchildren of Female Loyds'!$AX$5:$AZ$63,3,FALSE)))</f>
        <v>d.s.p</v>
      </c>
      <c r="AF75" s="105" t="str">
        <f>IF(ISNA(VLOOKUP(A75,'Grandchildren Loyd Daughters'!$BD$5:$BF$50,4,FALSE)),"",VLOOKUP(A75,'Grandchildren Loyd Daughters'!$BD$5:$BF$50,3,FALSE))</f>
        <v/>
      </c>
      <c r="AG75" s="129">
        <f>IF(ISNA(VLOOKUP(A75,'Grandchildren of Male Loyds'!$AQ$3:$AR$60,2,FALSE)),0,VLOOKUP(A75,'Grandchildren of Male Loyds'!$AQ$3:$AR$60,2,FALSE))+IF(ISNA(VLOOKUP(A75,'Grandchildren of Female Loyds'!$AX$5:$AY$50,2,FALSE)),0,VLOOKUP(A75,'Grandchildren of Female Loyds'!$AX$5:$AY$50,2,FALSE))+IF(ISNA(VLOOKUP(A75,'Grandchildren Loyd Daughters'!$BD$5:$BE$50,2,FALSE)),0,VLOOKUP(A75,'Grandchildren Loyd Daughters'!$BD$5:$BE$50,2,FALSE))</f>
        <v>0</v>
      </c>
      <c r="AH75" s="129" t="str">
        <f>VLOOKUP($U75,'Loyd List 1-190 - Edit'!$P$3:$AJ$220,21,FALSE)</f>
        <v>Rebecca Olivia LEWIS (b.13 Aug 1860, d. 18 Mar 1927)</v>
      </c>
      <c r="AI75" s="129" t="str">
        <f>VLOOKUP(A75,'Updated Bios &amp; Spouse Details'!$A$1:$J$200,7,FALSE)</f>
        <v>Alice SCOTT-ANDERSON (b. ?, d. ?)</v>
      </c>
      <c r="AJ75" s="130">
        <f>IF(VLOOKUP($A75,'Loyd List 1-190 - Edit'!$C$1:$AQ$220,'Book Details - NO EDIT'!AJ$1,FALSE)="","",(VLOOKUP($A75,'Loyd List 1-190 - Edit'!$C$1:$AQ$220,'Book Details - NO EDIT'!AJ$1,FALSE)))</f>
        <v>8553</v>
      </c>
      <c r="AK75" s="129" t="str">
        <f>VLOOKUP(A75,'Updated Bios &amp; Spouse Details'!$A$1:$J$200,8,FALSE)</f>
        <v>(1) Married at the Chapel Royal of the Savoy, London WC2, Alice daughter of Captain Thomas SCOTT-ANDERSON, Royal Navy of Newchannelkirk, Lauderdale, Berwickshire, and widow of Lamb (Marquise) O’BRYEN. (Divorced). (2) Married 8 Aug 1957 in Montreal, his cousin Norah Deane (d. 7 Jan 1965) daughter of Charles Edward McKIEL of Montreal, Canada and widow of Archie F. BAILLIE.</v>
      </c>
      <c r="AL75" s="131" t="str">
        <f>VLOOKUP(A75,'Updated Bios &amp; Spouse Details'!$A$1:$J$200,5,FALSE)</f>
        <v xml:space="preserve">Eric lived at Lillesden, Hawkhurst, Kent before moving to Montreal, Canada and was the 2nd son of Llewellyn (1861–1939: #45). Born 26 Apr 1891 in Eastbourne. Educated Eton 1905-09 and Christ Church, Oxford 1909-10. He served in World War I in France as a Lieutenant, Royal Sussex Regiment and Royal Irish Dragoon Guards. He was seconded to the Royal Flying Corps as a Flight Lieutenant in Nov 1917. He became a prisoner of war and finally repatriated back to England 19 Dec 1918. Eric emigrated to Montrea, Canada in 1927. He served as a Lieutenant, Royal Canadian Naval Volunteer Reserve (Navy Intelligence) in WWII from 1942. He was Secretary of the Last Post Fund for the buriel of old soldiers. Eric died 12 Nov 1967 in a fire in his flat in Montreal. DSP </v>
      </c>
      <c r="AM75" s="105" t="str">
        <f>IF(AND(LEN(H75)&gt;0,ISNA(IF(K75="Boy",VLOOKUP(A75,'Siblings of those BORN Loyd'!$AP$3:$AQ$70,2,FALSE),VLOOKUP(A75,'Children of Female Loyds'!$AR$5:$AS$60,2,FALSE)))),"d.s.p","")</f>
        <v>d.s.p</v>
      </c>
      <c r="AN75" s="99" t="str">
        <f t="shared" si="41"/>
        <v>Llewellyn (1861–1939: #45)</v>
      </c>
      <c r="AO75" s="99" t="str">
        <f t="shared" si="46"/>
        <v>Edward (1820–1890: #22)</v>
      </c>
      <c r="AP75" s="99" t="str">
        <f t="shared" si="47"/>
        <v>Edward (1780–1863: #8)</v>
      </c>
      <c r="AQ75" s="99" t="str">
        <f t="shared" si="48"/>
        <v>William (1729–1800: #1)</v>
      </c>
      <c r="AR75" s="99" t="str">
        <f t="shared" si="49"/>
        <v/>
      </c>
      <c r="AS75" s="99" t="str">
        <f t="shared" si="50"/>
        <v/>
      </c>
      <c r="AT75" s="99" t="str">
        <f t="shared" si="51"/>
        <v/>
      </c>
      <c r="AU75" s="99" t="str">
        <f t="shared" si="52"/>
        <v/>
      </c>
      <c r="AW75" s="116" t="str">
        <f>VLOOKUP(A75,'Updated Bios &amp; Spouse Details'!$A$1:$J$193,6,FALSE)</f>
        <v>England, France and Canada</v>
      </c>
      <c r="AX75" s="131">
        <f>VLOOKUP($A75,'Loyd List 1-190 - Edit'!$P$2:$AQ$220,AX$1,FALSE)</f>
        <v>73</v>
      </c>
      <c r="AY75" s="116" t="str">
        <f>IF(ISNA(VLOOKUP(A75,'Data check lookup table'!$G$2:$V$73,13,FALSE))," - ",VLOOKUP(A75,'Data check lookup table'!$G$2:$V$73,13,FALSE))</f>
        <v xml:space="preserve"> - </v>
      </c>
      <c r="AZ75" s="147" t="str">
        <f t="shared" si="42"/>
        <v>12/11/1967</v>
      </c>
      <c r="BA75" s="99" t="str">
        <f t="shared" si="43"/>
        <v/>
      </c>
      <c r="BB75" s="99" t="str">
        <f t="shared" si="44"/>
        <v/>
      </c>
      <c r="BI75" s="147" t="s">
        <v>3206</v>
      </c>
    </row>
    <row r="76" spans="1:61" s="99" customFormat="1" ht="34">
      <c r="A76" s="139">
        <f>'Loyd List 1-190 - Edit'!C76</f>
        <v>74</v>
      </c>
      <c r="B76" s="99" t="str">
        <f>VLOOKUP($A76,'Loyd List 1-190 - Edit'!$C$1:$AQ$220,'Book Details - NO EDIT'!B$1,FALSE)</f>
        <v>Cecily</v>
      </c>
      <c r="C76" s="99" t="str">
        <f>IF(VLOOKUP($A76,'Loyd List 1-190 - Edit'!$C$1:$AQ$220,'Book Details - NO EDIT'!C$1,FALSE)="","",VLOOKUP($A76,'Loyd List 1-190 - Edit'!$C$1:$AQ$220,'Book Details - NO EDIT'!C$1,FALSE))</f>
        <v/>
      </c>
      <c r="D76" s="99" t="str">
        <f>IF(VLOOKUP($A76,'Loyd List 1-190 - Edit'!$C$1:$AQ$220,'Book Details - NO EDIT'!D$1,FALSE)="","",VLOOKUP($A76,'Loyd List 1-190 - Edit'!$C$1:$AQ$220,'Book Details - NO EDIT'!D$1,FALSE))</f>
        <v/>
      </c>
      <c r="E76" s="99" t="str">
        <f>IF(VLOOKUP($A76,'Loyd List 1-190 - Edit'!$C$1:$AQ$220,'Book Details - NO EDIT'!E$1,FALSE)="","",VLOOKUP($A76,'Loyd List 1-190 - Edit'!$C$1:$AQ$220,'Book Details - NO EDIT'!E$1,FALSE))</f>
        <v>LOYD</v>
      </c>
      <c r="F76" s="99" t="str">
        <f>IF(VLOOKUP($A76,'Loyd List 1-190 - Edit'!$C$1:$AQ$220,'Book Details - NO EDIT'!F$1,FALSE)="",B76,VLOOKUP($A76,'Loyd List 1-190 - Edit'!$C$1:$AQ$220,'Book Details - NO EDIT'!F$1,FALSE))</f>
        <v>Cecily</v>
      </c>
      <c r="G76" s="140">
        <f>IF(VLOOKUP($A76,'Loyd List 1-190 - Edit'!$C$1:$AQ$220,'Book Details - NO EDIT'!G$1,FALSE)="","",VALUE(VLOOKUP($A76,'Loyd List 1-190 - Edit'!$C$1:$AQ$220,'Book Details - NO EDIT'!G$1,FALSE)))</f>
        <v>1891</v>
      </c>
      <c r="H76" s="140">
        <f>IF(VLOOKUP($A76,'Loyd List 1-190 - Edit'!$C$1:$AQ$220,'Book Details - NO EDIT'!H$1,FALSE)="","",VALUE(VLOOKUP($A76,'Loyd List 1-190 - Edit'!$C$1:$AQ$220,'Book Details - NO EDIT'!H$1,FALSE)))</f>
        <v>1891</v>
      </c>
      <c r="I76" s="141" t="str">
        <f>IF(VLOOKUP($A76,'Loyd List 1-190 - Edit'!$C$1:$AQ$220,'Book Details - NO EDIT'!I$1,FALSE)="","",(VLOOKUP($A76,'Loyd List 1-190 - Edit'!$C$1:$AQ$220,'Book Details - NO EDIT'!I$1,FALSE)))</f>
        <v>03/06/1891</v>
      </c>
      <c r="J76" s="141" t="str">
        <f>IF(VLOOKUP($A76,'Loyd List 1-190 - Edit'!$C$1:$AQ$220,'Book Details - NO EDIT'!J$1,FALSE)="","",(VLOOKUP($A76,'Loyd List 1-190 - Edit'!$C$1:$AQ$220,'Book Details - NO EDIT'!J$1,FALSE)))</f>
        <v>03/06/1891</v>
      </c>
      <c r="K76" s="100" t="str">
        <f>VLOOKUP($A76,'Loyd List 1-190 - Edit'!$C$1:$AQ$220,'Book Details - NO EDIT'!K$1,FALSE)</f>
        <v>Girl</v>
      </c>
      <c r="L76" s="140">
        <f>VLOOKUP($A76,'Loyd List 1-190 - Edit'!$C$1:$AQ$220,'Book Details - NO EDIT'!L$1,FALSE)</f>
        <v>41</v>
      </c>
      <c r="M76" s="140">
        <f t="shared" si="34"/>
        <v>22</v>
      </c>
      <c r="N76" s="140">
        <f t="shared" si="34"/>
        <v>8</v>
      </c>
      <c r="O76" s="140">
        <f t="shared" si="34"/>
        <v>1</v>
      </c>
      <c r="P76" s="140">
        <f t="shared" si="31"/>
        <v>0</v>
      </c>
      <c r="Q76" s="140" t="str">
        <f t="shared" si="31"/>
        <v/>
      </c>
      <c r="R76" s="140" t="str">
        <f t="shared" si="31"/>
        <v/>
      </c>
      <c r="S76" s="140" t="str">
        <f t="shared" si="35"/>
        <v/>
      </c>
      <c r="T76" s="140">
        <f t="shared" si="32"/>
        <v>4</v>
      </c>
      <c r="U76" s="139">
        <f t="shared" si="36"/>
        <v>74</v>
      </c>
      <c r="V76" s="31" t="str">
        <f t="shared" si="37"/>
        <v>Cecily (1891–1891)</v>
      </c>
      <c r="W76" s="31" t="str">
        <f t="shared" si="38"/>
        <v>Cecily (#74)</v>
      </c>
      <c r="X76" s="99" t="str">
        <f t="shared" si="39"/>
        <v>Cecily (1891–1891: #74)</v>
      </c>
      <c r="Y76" s="99" t="str">
        <f t="shared" si="33"/>
        <v>Cecily LOYD</v>
      </c>
      <c r="Z76" s="99" t="str">
        <f t="shared" si="40"/>
        <v>Frederic (1856–1936: #41)</v>
      </c>
      <c r="AA76" s="99" t="str">
        <f t="shared" si="45"/>
        <v xml:space="preserve">Frederic (1856–1936: #41) Edward (1820–1890: #22) Edward (1780–1863: #8) William (1729–1800: #1)    </v>
      </c>
      <c r="AB76" s="142" t="str">
        <f>VLOOKUP(U76,'Siblings of those BORN Loyd'!$A$2:$G$230,7,FALSE)</f>
        <v xml:space="preserve">4 – Lewis (1880–1918: #52) Edward (1881–1962: #53) Evelyn (1885–1962: #59) Mary (1887–1968: #63)     </v>
      </c>
      <c r="AC76" s="115" t="str">
        <f>IF(ISNA(IF(K76="Boy",VLOOKUP(A76,'Siblings of those BORN Loyd'!$AP$3:$AQ$70,2,FALSE),VLOOKUP(A76,'Children of Female Loyds'!$AR$5:$AT$60,3,FALSE))),AM76,IF(K76="Boy",VLOOKUP(A76,'Siblings of those BORN Loyd'!$AP$3:$AQ$70,2,FALSE),VLOOKUP(A76,'Children of Female Loyds'!$AR$5:$AT$60,3,FALSE)))</f>
        <v>d.s.p</v>
      </c>
      <c r="AD76" s="97" t="str">
        <f t="shared" si="26"/>
        <v>d.s.p.</v>
      </c>
      <c r="AE76" s="105" t="str">
        <f>IF(ISNA(IF(K76="Boy",VLOOKUP(A76,'Grandchildren of Male Loyds'!$AQ$3:$AS$51,3,FALSE),VLOOKUP(A76,'Grandchildren of Female Loyds'!$AX$5:$AZ$63,3,FALSE))),AM76,IF(K76="Boy",VLOOKUP(A76,'Grandchildren of Male Loyds'!$AQ$3:$AS$51,3,FALSE),VLOOKUP(A76,'Grandchildren of Female Loyds'!$AX$5:$AZ$63,3,FALSE)))</f>
        <v>d.s.p</v>
      </c>
      <c r="AF76" s="105" t="str">
        <f>IF(ISNA(VLOOKUP(A76,'Grandchildren Loyd Daughters'!$BD$5:$BF$50,4,FALSE)),"",VLOOKUP(A76,'Grandchildren Loyd Daughters'!$BD$5:$BF$50,3,FALSE))</f>
        <v/>
      </c>
      <c r="AG76" s="129">
        <f>IF(ISNA(VLOOKUP(A76,'Grandchildren of Male Loyds'!$AQ$3:$AR$60,2,FALSE)),0,VLOOKUP(A76,'Grandchildren of Male Loyds'!$AQ$3:$AR$60,2,FALSE))+IF(ISNA(VLOOKUP(A76,'Grandchildren of Female Loyds'!$AX$5:$AY$50,2,FALSE)),0,VLOOKUP(A76,'Grandchildren of Female Loyds'!$AX$5:$AY$50,2,FALSE))+IF(ISNA(VLOOKUP(A76,'Grandchildren Loyd Daughters'!$BD$5:$BE$50,2,FALSE)),0,VLOOKUP(A76,'Grandchildren Loyd Daughters'!$BD$5:$BE$50,2,FALSE))</f>
        <v>0</v>
      </c>
      <c r="AH76" s="129" t="str">
        <f>VLOOKUP($U76,'Loyd List 1-190 - Edit'!$P$3:$AJ$220,21,FALSE)</f>
        <v>Isabella (Isabel) CURREY (b. 26 Apr 1855, d. 16 Jan 1926)</v>
      </c>
      <c r="AI76" s="129" t="str">
        <f>VLOOKUP(A76,'Updated Bios &amp; Spouse Details'!$A$1:$J$200,7,FALSE)</f>
        <v>Died in infancy.</v>
      </c>
      <c r="AJ76" s="130" t="str">
        <f>IF(VLOOKUP($A76,'Loyd List 1-190 - Edit'!$C$1:$AQ$220,'Book Details - NO EDIT'!AJ$1,FALSE)="","",(VLOOKUP($A76,'Loyd List 1-190 - Edit'!$C$1:$AQ$220,'Book Details - NO EDIT'!AJ$1,FALSE)))</f>
        <v xml:space="preserve"> - </v>
      </c>
      <c r="AK76" s="129" t="str">
        <f>VLOOKUP(A76,'Updated Bios &amp; Spouse Details'!$A$1:$J$200,8,FALSE)</f>
        <v xml:space="preserve"> - </v>
      </c>
      <c r="AL76" s="131" t="str">
        <f>VLOOKUP(A76,'Updated Bios &amp; Spouse Details'!$A$1:$J$200,5,FALSE)</f>
        <v xml:space="preserve">Cecily was youngest daughter of Frederic (1856–1936: #41). Born 3 Jun 1891. Died in infancy 3 Jun 1891. Buried at All Saints’, Little Munden, Hertfordshire.                                                           </v>
      </c>
      <c r="AM76" s="105" t="str">
        <f>IF(AND(LEN(H76)&gt;0,ISNA(IF(K76="Boy",VLOOKUP(A76,'Siblings of those BORN Loyd'!$AP$3:$AQ$70,2,FALSE),VLOOKUP(A76,'Children of Female Loyds'!$AR$5:$AS$60,2,FALSE)))),"d.s.p","")</f>
        <v>d.s.p</v>
      </c>
      <c r="AN76" s="99" t="str">
        <f t="shared" si="41"/>
        <v>Frederic (1856–1936: #41)</v>
      </c>
      <c r="AO76" s="99" t="str">
        <f t="shared" si="46"/>
        <v>Edward (1820–1890: #22)</v>
      </c>
      <c r="AP76" s="99" t="str">
        <f t="shared" si="47"/>
        <v>Edward (1780–1863: #8)</v>
      </c>
      <c r="AQ76" s="99" t="str">
        <f t="shared" si="48"/>
        <v>William (1729–1800: #1)</v>
      </c>
      <c r="AR76" s="99" t="str">
        <f t="shared" si="49"/>
        <v/>
      </c>
      <c r="AS76" s="99" t="str">
        <f t="shared" si="50"/>
        <v/>
      </c>
      <c r="AT76" s="99" t="str">
        <f t="shared" si="51"/>
        <v/>
      </c>
      <c r="AU76" s="99" t="str">
        <f t="shared" si="52"/>
        <v/>
      </c>
      <c r="AW76" s="116" t="str">
        <f>VLOOKUP(A76,'Updated Bios &amp; Spouse Details'!$A$1:$J$193,6,FALSE)</f>
        <v>England</v>
      </c>
      <c r="AX76" s="131">
        <f>VLOOKUP($A76,'Loyd List 1-190 - Edit'!$P$2:$AQ$220,AX$1,FALSE)</f>
        <v>74</v>
      </c>
      <c r="AY76" s="116" t="str">
        <f>IF(ISNA(VLOOKUP(A76,'Data check lookup table'!$G$2:$V$73,13,FALSE))," - ",VLOOKUP(A76,'Data check lookup table'!$G$2:$V$73,13,FALSE))</f>
        <v xml:space="preserve"> - </v>
      </c>
      <c r="AZ76" s="147" t="str">
        <f t="shared" si="42"/>
        <v>03/06/1891</v>
      </c>
      <c r="BA76" s="99" t="str">
        <f t="shared" si="43"/>
        <v/>
      </c>
      <c r="BB76" s="99" t="str">
        <f t="shared" si="44"/>
        <v/>
      </c>
      <c r="BI76" s="147" t="s">
        <v>814</v>
      </c>
    </row>
    <row r="77" spans="1:61" s="99" customFormat="1" ht="34">
      <c r="A77" s="139">
        <f>'Loyd List 1-190 - Edit'!C77</f>
        <v>75</v>
      </c>
      <c r="B77" s="99" t="str">
        <f>VLOOKUP($A77,'Loyd List 1-190 - Edit'!$C$1:$AQ$220,'Book Details - NO EDIT'!B$1,FALSE)</f>
        <v>Godfrey</v>
      </c>
      <c r="C77" s="99" t="str">
        <f>IF(VLOOKUP($A77,'Loyd List 1-190 - Edit'!$C$1:$AQ$220,'Book Details - NO EDIT'!C$1,FALSE)="","",VLOOKUP($A77,'Loyd List 1-190 - Edit'!$C$1:$AQ$220,'Book Details - NO EDIT'!C$1,FALSE))</f>
        <v>Beaumont</v>
      </c>
      <c r="D77" s="99" t="str">
        <f>IF(VLOOKUP($A77,'Loyd List 1-190 - Edit'!$C$1:$AQ$220,'Book Details - NO EDIT'!D$1,FALSE)="","",VLOOKUP($A77,'Loyd List 1-190 - Edit'!$C$1:$AQ$220,'Book Details - NO EDIT'!D$1,FALSE))</f>
        <v/>
      </c>
      <c r="E77" s="99" t="str">
        <f>IF(VLOOKUP($A77,'Loyd List 1-190 - Edit'!$C$1:$AQ$220,'Book Details - NO EDIT'!E$1,FALSE)="","",VLOOKUP($A77,'Loyd List 1-190 - Edit'!$C$1:$AQ$220,'Book Details - NO EDIT'!E$1,FALSE))</f>
        <v>LOYD</v>
      </c>
      <c r="F77" s="99" t="str">
        <f>IF(VLOOKUP($A77,'Loyd List 1-190 - Edit'!$C$1:$AQ$220,'Book Details - NO EDIT'!F$1,FALSE)="",B77,VLOOKUP($A77,'Loyd List 1-190 - Edit'!$C$1:$AQ$220,'Book Details - NO EDIT'!F$1,FALSE))</f>
        <v>Godfrey</v>
      </c>
      <c r="G77" s="140">
        <f>IF(VLOOKUP($A77,'Loyd List 1-190 - Edit'!$C$1:$AQ$220,'Book Details - NO EDIT'!G$1,FALSE)="","",VALUE(VLOOKUP($A77,'Loyd List 1-190 - Edit'!$C$1:$AQ$220,'Book Details - NO EDIT'!G$1,FALSE)))</f>
        <v>1893</v>
      </c>
      <c r="H77" s="140">
        <f>IF(VLOOKUP($A77,'Loyd List 1-190 - Edit'!$C$1:$AQ$220,'Book Details - NO EDIT'!H$1,FALSE)="","",VALUE(VLOOKUP($A77,'Loyd List 1-190 - Edit'!$C$1:$AQ$220,'Book Details - NO EDIT'!H$1,FALSE)))</f>
        <v>1917</v>
      </c>
      <c r="I77" s="141" t="str">
        <f>IF(VLOOKUP($A77,'Loyd List 1-190 - Edit'!$C$1:$AQ$220,'Book Details - NO EDIT'!I$1,FALSE)="","",(VLOOKUP($A77,'Loyd List 1-190 - Edit'!$C$1:$AQ$220,'Book Details - NO EDIT'!I$1,FALSE)))</f>
        <v>10/03/1893</v>
      </c>
      <c r="J77" s="141" t="str">
        <f>IF(VLOOKUP($A77,'Loyd List 1-190 - Edit'!$C$1:$AQ$220,'Book Details - NO EDIT'!J$1,FALSE)="","",(VLOOKUP($A77,'Loyd List 1-190 - Edit'!$C$1:$AQ$220,'Book Details - NO EDIT'!J$1,FALSE)))</f>
        <v>01/12/1917</v>
      </c>
      <c r="K77" s="100" t="str">
        <f>VLOOKUP($A77,'Loyd List 1-190 - Edit'!$C$1:$AQ$220,'Book Details - NO EDIT'!K$1,FALSE)</f>
        <v>Boy</v>
      </c>
      <c r="L77" s="140">
        <f>VLOOKUP($A77,'Loyd List 1-190 - Edit'!$C$1:$AQ$220,'Book Details - NO EDIT'!L$1,FALSE)</f>
        <v>46</v>
      </c>
      <c r="M77" s="140">
        <f t="shared" si="34"/>
        <v>23</v>
      </c>
      <c r="N77" s="140">
        <f t="shared" si="34"/>
        <v>8</v>
      </c>
      <c r="O77" s="140">
        <f t="shared" si="34"/>
        <v>1</v>
      </c>
      <c r="P77" s="140">
        <f t="shared" si="31"/>
        <v>0</v>
      </c>
      <c r="Q77" s="140" t="str">
        <f t="shared" si="31"/>
        <v/>
      </c>
      <c r="R77" s="140" t="str">
        <f t="shared" si="31"/>
        <v/>
      </c>
      <c r="S77" s="140" t="str">
        <f t="shared" si="35"/>
        <v/>
      </c>
      <c r="T77" s="140">
        <f t="shared" si="32"/>
        <v>4</v>
      </c>
      <c r="U77" s="139">
        <f t="shared" si="36"/>
        <v>75</v>
      </c>
      <c r="V77" s="31" t="str">
        <f t="shared" si="37"/>
        <v>Godfrey (1893–1917)</v>
      </c>
      <c r="W77" s="31" t="str">
        <f t="shared" si="38"/>
        <v>Godfrey (#75)</v>
      </c>
      <c r="X77" s="99" t="str">
        <f t="shared" si="39"/>
        <v>Godfrey (1893–1917: #75)</v>
      </c>
      <c r="Y77" s="99" t="str">
        <f t="shared" si="33"/>
        <v>Godfrey Beaumont LOYD</v>
      </c>
      <c r="Z77" s="99" t="str">
        <f t="shared" si="40"/>
        <v>William (1863–1923: #46)</v>
      </c>
      <c r="AA77" s="99" t="str">
        <f t="shared" si="45"/>
        <v xml:space="preserve">William (1863–1923: #46) William (1821–1885: #23) Edward (1780–1863: #8) William (1729–1800: #1)    </v>
      </c>
      <c r="AB77" s="142" t="str">
        <f>VLOOKUP(U77,'Siblings of those BORN Loyd'!$A$2:$G$230,7,FALSE)</f>
        <v xml:space="preserve">4 – Diana (1890–1963: #70)  Vivian (1894–1972: #78) Wilfred (1896–1955: #82) Eddie (1902–1942: #84)    </v>
      </c>
      <c r="AC77" s="115" t="str">
        <f>IF(ISNA(IF(K77="Boy",VLOOKUP(A77,'Siblings of those BORN Loyd'!$AP$3:$AQ$70,2,FALSE),VLOOKUP(A77,'Children of Female Loyds'!$AR$5:$AT$60,3,FALSE))),AM77,IF(K77="Boy",VLOOKUP(A77,'Siblings of those BORN Loyd'!$AP$3:$AQ$70,2,FALSE),VLOOKUP(A77,'Children of Female Loyds'!$AR$5:$AT$60,3,FALSE)))</f>
        <v>d.s.p</v>
      </c>
      <c r="AD77" s="97" t="str">
        <f t="shared" si="26"/>
        <v>d.s.p.</v>
      </c>
      <c r="AE77" s="105" t="str">
        <f>IF(ISNA(IF(K77="Boy",VLOOKUP(A77,'Grandchildren of Male Loyds'!$AQ$3:$AS$51,3,FALSE),VLOOKUP(A77,'Grandchildren of Female Loyds'!$AX$5:$AZ$63,3,FALSE))),AM77,IF(K77="Boy",VLOOKUP(A77,'Grandchildren of Male Loyds'!$AQ$3:$AS$51,3,FALSE),VLOOKUP(A77,'Grandchildren of Female Loyds'!$AX$5:$AZ$63,3,FALSE)))</f>
        <v>d.s.p</v>
      </c>
      <c r="AF77" s="105" t="str">
        <f>IF(ISNA(VLOOKUP(A77,'Grandchildren Loyd Daughters'!$BD$5:$BF$50,4,FALSE)),"",VLOOKUP(A77,'Grandchildren Loyd Daughters'!$BD$5:$BF$50,3,FALSE))</f>
        <v/>
      </c>
      <c r="AG77" s="129">
        <f>IF(ISNA(VLOOKUP(A77,'Grandchildren of Male Loyds'!$AQ$3:$AR$60,2,FALSE)),0,VLOOKUP(A77,'Grandchildren of Male Loyds'!$AQ$3:$AR$60,2,FALSE))+IF(ISNA(VLOOKUP(A77,'Grandchildren of Female Loyds'!$AX$5:$AY$50,2,FALSE)),0,VLOOKUP(A77,'Grandchildren of Female Loyds'!$AX$5:$AY$50,2,FALSE))+IF(ISNA(VLOOKUP(A77,'Grandchildren Loyd Daughters'!$BD$5:$BE$50,2,FALSE)),0,VLOOKUP(A77,'Grandchildren Loyd Daughters'!$BD$5:$BE$50,2,FALSE))</f>
        <v>0</v>
      </c>
      <c r="AH77" s="129" t="str">
        <f>VLOOKUP($U77,'Loyd List 1-190 - Edit'!$P$3:$AJ$220,21,FALSE)</f>
        <v xml:space="preserve">Emily Diana Maria BEAUMONT (b. 25 Dec 1860, d. 4 Jul 1956) </v>
      </c>
      <c r="AI77" s="129" t="str">
        <f>VLOOKUP(A77,'Updated Bios &amp; Spouse Details'!$A$1:$J$200,7,FALSE)</f>
        <v>Unmarried</v>
      </c>
      <c r="AJ77" s="130" t="str">
        <f>IF(VLOOKUP($A77,'Loyd List 1-190 - Edit'!$C$1:$AQ$220,'Book Details - NO EDIT'!AJ$1,FALSE)="","",(VLOOKUP($A77,'Loyd List 1-190 - Edit'!$C$1:$AQ$220,'Book Details - NO EDIT'!AJ$1,FALSE)))</f>
        <v xml:space="preserve"> - </v>
      </c>
      <c r="AK77" s="129" t="str">
        <f>VLOOKUP(A77,'Updated Bios &amp; Spouse Details'!$A$1:$J$200,8,FALSE)</f>
        <v xml:space="preserve"> - </v>
      </c>
      <c r="AL77" s="131" t="str">
        <f>VLOOKUP(A77,'Updated Bios &amp; Spouse Details'!$A$1:$J$200,5,FALSE)</f>
        <v>Godfrey was eldest son of William (1863–1923: #46). Born 10 Mar 1893. Served in World War I as Captain, Kings Royal Rifle Corps MC (Posthumously). Died, unmarried, 1 Dec 1917 of wounds received in action. Buried at Tincourt New British cemetery, France. Grave Ref. III.D.5. DSP</v>
      </c>
      <c r="AM77" s="105" t="str">
        <f>IF(AND(LEN(H77)&gt;0,ISNA(IF(K77="Boy",VLOOKUP(A77,'Siblings of those BORN Loyd'!$AP$3:$AQ$70,2,FALSE),VLOOKUP(A77,'Children of Female Loyds'!$AR$5:$AS$60,2,FALSE)))),"d.s.p","")</f>
        <v>d.s.p</v>
      </c>
      <c r="AN77" s="99" t="str">
        <f t="shared" si="41"/>
        <v>William (1863–1923: #46)</v>
      </c>
      <c r="AO77" s="99" t="str">
        <f t="shared" si="46"/>
        <v>William (1821–1885: #23)</v>
      </c>
      <c r="AP77" s="99" t="str">
        <f t="shared" si="47"/>
        <v>Edward (1780–1863: #8)</v>
      </c>
      <c r="AQ77" s="99" t="str">
        <f t="shared" si="48"/>
        <v>William (1729–1800: #1)</v>
      </c>
      <c r="AR77" s="99" t="str">
        <f t="shared" si="49"/>
        <v/>
      </c>
      <c r="AS77" s="99" t="str">
        <f t="shared" si="50"/>
        <v/>
      </c>
      <c r="AT77" s="99" t="str">
        <f t="shared" si="51"/>
        <v/>
      </c>
      <c r="AU77" s="99" t="str">
        <f t="shared" si="52"/>
        <v/>
      </c>
      <c r="AW77" s="116" t="str">
        <f>VLOOKUP(A77,'Updated Bios &amp; Spouse Details'!$A$1:$J$193,6,FALSE)</f>
        <v>England and France</v>
      </c>
      <c r="AX77" s="131">
        <f>VLOOKUP($A77,'Loyd List 1-190 - Edit'!$P$2:$AQ$220,AX$1,FALSE)</f>
        <v>75</v>
      </c>
      <c r="AY77" s="116" t="str">
        <f>IF(ISNA(VLOOKUP(A77,'Data check lookup table'!$G$2:$V$73,13,FALSE))," - ",VLOOKUP(A77,'Data check lookup table'!$G$2:$V$73,13,FALSE))</f>
        <v xml:space="preserve"> - </v>
      </c>
      <c r="AZ77" s="147" t="str">
        <f t="shared" si="42"/>
        <v>01/12/1917</v>
      </c>
      <c r="BA77" s="99" t="str">
        <f t="shared" si="43"/>
        <v/>
      </c>
      <c r="BB77" s="99" t="str">
        <f t="shared" si="44"/>
        <v/>
      </c>
      <c r="BI77" s="147" t="s">
        <v>3207</v>
      </c>
    </row>
    <row r="78" spans="1:61" s="99" customFormat="1" ht="85">
      <c r="A78" s="139">
        <f>'Loyd List 1-190 - Edit'!C78</f>
        <v>76</v>
      </c>
      <c r="B78" s="99" t="str">
        <f>VLOOKUP($A78,'Loyd List 1-190 - Edit'!$C$1:$AQ$220,'Book Details - NO EDIT'!B$1,FALSE)</f>
        <v>Edward</v>
      </c>
      <c r="C78" s="99" t="str">
        <f>IF(VLOOKUP($A78,'Loyd List 1-190 - Edit'!$C$1:$AQ$220,'Book Details - NO EDIT'!C$1,FALSE)="","",VLOOKUP($A78,'Loyd List 1-190 - Edit'!$C$1:$AQ$220,'Book Details - NO EDIT'!C$1,FALSE))</f>
        <v>Basil</v>
      </c>
      <c r="D78" s="99" t="str">
        <f>IF(VLOOKUP($A78,'Loyd List 1-190 - Edit'!$C$1:$AQ$220,'Book Details - NO EDIT'!D$1,FALSE)="","",VLOOKUP($A78,'Loyd List 1-190 - Edit'!$C$1:$AQ$220,'Book Details - NO EDIT'!D$1,FALSE))</f>
        <v>Kirkman</v>
      </c>
      <c r="E78" s="99" t="str">
        <f>IF(VLOOKUP($A78,'Loyd List 1-190 - Edit'!$C$1:$AQ$220,'Book Details - NO EDIT'!E$1,FALSE)="","",VLOOKUP($A78,'Loyd List 1-190 - Edit'!$C$1:$AQ$220,'Book Details - NO EDIT'!E$1,FALSE))</f>
        <v>LOYD</v>
      </c>
      <c r="F78" s="99" t="str">
        <f>IF(VLOOKUP($A78,'Loyd List 1-190 - Edit'!$C$1:$AQ$220,'Book Details - NO EDIT'!F$1,FALSE)="",B78,VLOOKUP($A78,'Loyd List 1-190 - Edit'!$C$1:$AQ$220,'Book Details - NO EDIT'!F$1,FALSE))</f>
        <v>Edward</v>
      </c>
      <c r="G78" s="140">
        <f>IF(VLOOKUP($A78,'Loyd List 1-190 - Edit'!$C$1:$AQ$220,'Book Details - NO EDIT'!G$1,FALSE)="","",VALUE(VLOOKUP($A78,'Loyd List 1-190 - Edit'!$C$1:$AQ$220,'Book Details - NO EDIT'!G$1,FALSE)))</f>
        <v>1893</v>
      </c>
      <c r="H78" s="140">
        <f>IF(VLOOKUP($A78,'Loyd List 1-190 - Edit'!$C$1:$AQ$220,'Book Details - NO EDIT'!H$1,FALSE)="","",VALUE(VLOOKUP($A78,'Loyd List 1-190 - Edit'!$C$1:$AQ$220,'Book Details - NO EDIT'!H$1,FALSE)))</f>
        <v>1932</v>
      </c>
      <c r="I78" s="141" t="str">
        <f>IF(VLOOKUP($A78,'Loyd List 1-190 - Edit'!$C$1:$AQ$220,'Book Details - NO EDIT'!I$1,FALSE)="","",(VLOOKUP($A78,'Loyd List 1-190 - Edit'!$C$1:$AQ$220,'Book Details - NO EDIT'!I$1,FALSE)))</f>
        <v>14/03/1893</v>
      </c>
      <c r="J78" s="141" t="str">
        <f>IF(VLOOKUP($A78,'Loyd List 1-190 - Edit'!$C$1:$AQ$220,'Book Details - NO EDIT'!J$1,FALSE)="","",(VLOOKUP($A78,'Loyd List 1-190 - Edit'!$C$1:$AQ$220,'Book Details - NO EDIT'!J$1,FALSE)))</f>
        <v>25/05/1932</v>
      </c>
      <c r="K78" s="100" t="str">
        <f>VLOOKUP($A78,'Loyd List 1-190 - Edit'!$C$1:$AQ$220,'Book Details - NO EDIT'!K$1,FALSE)</f>
        <v>Boy</v>
      </c>
      <c r="L78" s="140">
        <f>VLOOKUP($A78,'Loyd List 1-190 - Edit'!$C$1:$AQ$220,'Book Details - NO EDIT'!L$1,FALSE)</f>
        <v>34</v>
      </c>
      <c r="M78" s="140">
        <f t="shared" si="34"/>
        <v>14</v>
      </c>
      <c r="N78" s="140">
        <f t="shared" si="34"/>
        <v>4</v>
      </c>
      <c r="O78" s="140">
        <f t="shared" si="34"/>
        <v>1</v>
      </c>
      <c r="P78" s="140">
        <f t="shared" si="31"/>
        <v>0</v>
      </c>
      <c r="Q78" s="140" t="str">
        <f t="shared" si="31"/>
        <v/>
      </c>
      <c r="R78" s="140" t="str">
        <f t="shared" si="31"/>
        <v/>
      </c>
      <c r="S78" s="140" t="str">
        <f t="shared" si="35"/>
        <v/>
      </c>
      <c r="T78" s="140">
        <f t="shared" si="32"/>
        <v>4</v>
      </c>
      <c r="U78" s="139">
        <f t="shared" si="36"/>
        <v>76</v>
      </c>
      <c r="V78" s="31" t="str">
        <f t="shared" si="37"/>
        <v>Edward (1893–1932)</v>
      </c>
      <c r="W78" s="31" t="str">
        <f t="shared" si="38"/>
        <v>Edward (#76)</v>
      </c>
      <c r="X78" s="99" t="str">
        <f t="shared" si="39"/>
        <v>Edward (1893–1932: #76)</v>
      </c>
      <c r="Y78" s="99" t="str">
        <f t="shared" si="33"/>
        <v>Edward Basil Kirkman LOYD</v>
      </c>
      <c r="Z78" s="99" t="str">
        <f t="shared" si="40"/>
        <v>Ted (1851–1922: #34)</v>
      </c>
      <c r="AA78" s="99" t="str">
        <f t="shared" si="45"/>
        <v xml:space="preserve">Ted (1851–1922: #34) Thomas (1812–1857: #14) William (1770–1828: #4) William (1729–1800: #1)    </v>
      </c>
      <c r="AB78" s="142" t="str">
        <f>VLOOKUP(U78,'Siblings of those BORN Loyd'!$A$2:$G$230,7,FALSE)</f>
        <v xml:space="preserve">2 – Nan (1889–1967: #65) Arthur (1890–1974: #71)       </v>
      </c>
      <c r="AC78" s="115" t="str">
        <f>IF(ISNA(IF(K78="Boy",VLOOKUP(A78,'Siblings of those BORN Loyd'!$AP$3:$AQ$70,2,FALSE),VLOOKUP(A78,'Children of Female Loyds'!$AR$5:$AT$60,3,FALSE))),AM78,IF(K78="Boy",VLOOKUP(A78,'Siblings of those BORN Loyd'!$AP$3:$AQ$70,2,FALSE),VLOOKUP(A78,'Children of Female Loyds'!$AR$5:$AT$60,3,FALSE)))</f>
        <v>1 - Wooie (1928–1996: #107)</v>
      </c>
      <c r="AD78" s="97" t="str">
        <f t="shared" si="26"/>
        <v xml:space="preserve">5 -    Lorraine GRAHAM (1951 - :  #107a) Nora ORR (1955 - :  #107b) Michael ORR (1956 - :  #107c) Ted ORR (1959 - :  #107d) Heather ORR (1970 - :  #107e)          </v>
      </c>
      <c r="AE78" s="105" t="str">
        <f>IF(ISNA(IF(K78="Boy",VLOOKUP(A78,'Grandchildren of Male Loyds'!$AQ$3:$AS$51,3,FALSE),VLOOKUP(A78,'Grandchildren of Female Loyds'!$AX$5:$AZ$63,3,FALSE))),AM78,IF(K78="Boy",VLOOKUP(A78,'Grandchildren of Male Loyds'!$AQ$3:$AS$51,3,FALSE),VLOOKUP(A78,'Grandchildren of Female Loyds'!$AX$5:$AZ$63,3,FALSE)))</f>
        <v/>
      </c>
      <c r="AF78" s="105" t="str">
        <f>IF(ISNA(VLOOKUP(A78,'Grandchildren Loyd Daughters'!$BD$5:$BF$50,4,FALSE)),"",VLOOKUP(A78,'Grandchildren Loyd Daughters'!$BD$5:$BF$50,3,FALSE))</f>
        <v xml:space="preserve">Lorraine GRAHAM (1951 - :  #107a) Nora ORR (1955 - :  #107b) Michael ORR (1956 - :  #107c) Ted ORR (1959 - :  #107d) Heather ORR (1970 - :  #107e)          </v>
      </c>
      <c r="AG78" s="129">
        <f>IF(ISNA(VLOOKUP(A78,'Grandchildren of Male Loyds'!$AQ$3:$AR$60,2,FALSE)),0,VLOOKUP(A78,'Grandchildren of Male Loyds'!$AQ$3:$AR$60,2,FALSE))+IF(ISNA(VLOOKUP(A78,'Grandchildren of Female Loyds'!$AX$5:$AY$50,2,FALSE)),0,VLOOKUP(A78,'Grandchildren of Female Loyds'!$AX$5:$AY$50,2,FALSE))+IF(ISNA(VLOOKUP(A78,'Grandchildren Loyd Daughters'!$BD$5:$BE$50,2,FALSE)),0,VLOOKUP(A78,'Grandchildren Loyd Daughters'!$BD$5:$BE$50,2,FALSE))</f>
        <v>5</v>
      </c>
      <c r="AH78" s="129" t="str">
        <f>VLOOKUP($U78,'Loyd List 1-190 - Edit'!$P$3:$AJ$220,21,FALSE)</f>
        <v>Millicent Blandinah KESTEVEN (b. 1850/51, d. 22 Jun 1945)</v>
      </c>
      <c r="AI78" s="129" t="str">
        <f>VLOOKUP(A78,'Updated Bios &amp; Spouse Details'!$A$1:$J$200,7,FALSE)</f>
        <v xml:space="preserve">Nora CARRUTHERS (b. 31 Mar 1907, d?) </v>
      </c>
      <c r="AJ78" s="130">
        <f>IF(VLOOKUP($A78,'Loyd List 1-190 - Edit'!$C$1:$AQ$220,'Book Details - NO EDIT'!AJ$1,FALSE)="","",(VLOOKUP($A78,'Loyd List 1-190 - Edit'!$C$1:$AQ$220,'Book Details - NO EDIT'!AJ$1,FALSE)))</f>
        <v>9681</v>
      </c>
      <c r="AK78" s="129" t="str">
        <f>VLOOKUP(A78,'Updated Bios &amp; Spouse Details'!$A$1:$J$200,8,FALSE)</f>
        <v>Nora eldest daughter of Edward M. CARRUTHERS of Kelowna, British Columbia, Canada. Nora married 2ndly 1939, Charles NESS (d. 18 Jan 1983) of Oslo, Norway and had further issue.</v>
      </c>
      <c r="AL78" s="131" t="str">
        <f>VLOOKUP(A78,'Updated Bios &amp; Spouse Details'!$A$1:$J$200,5,FALSE)</f>
        <v>Edward was the younger son of Edward (1851–1922: #34). Born 14 Mar 1893. Educated Marlborough. Served in World War I as 2nd Lieutenant Royal Irish Rifles (despatches 1917). Captain 11th/12th Bengal Cavalry. Late Probyns Horse T.A. Major British Columbia Dragoons. MC. Arrived in Kelowna in 1923. Career: Orchardist 1923-30. Hotel Manager 1930-32. Died 25 May 1932 at Kelowna, British Columbia after a car accident. Issue: 1 daughter.</v>
      </c>
      <c r="AM78" s="105" t="str">
        <f>IF(AND(LEN(H78)&gt;0,ISNA(IF(K78="Boy",VLOOKUP(A78,'Siblings of those BORN Loyd'!$AP$3:$AQ$70,2,FALSE),VLOOKUP(A78,'Children of Female Loyds'!$AR$5:$AS$60,2,FALSE)))),"d.s.p","")</f>
        <v/>
      </c>
      <c r="AN78" s="99" t="str">
        <f t="shared" si="41"/>
        <v>Ted (1851–1922: #34)</v>
      </c>
      <c r="AO78" s="99" t="str">
        <f t="shared" si="46"/>
        <v>Thomas (1812–1857: #14)</v>
      </c>
      <c r="AP78" s="99" t="str">
        <f t="shared" si="47"/>
        <v>William (1770–1828: #4)</v>
      </c>
      <c r="AQ78" s="99" t="str">
        <f t="shared" si="48"/>
        <v>William (1729–1800: #1)</v>
      </c>
      <c r="AR78" s="99" t="str">
        <f t="shared" si="49"/>
        <v/>
      </c>
      <c r="AS78" s="99" t="str">
        <f t="shared" si="50"/>
        <v/>
      </c>
      <c r="AT78" s="99" t="str">
        <f t="shared" si="51"/>
        <v/>
      </c>
      <c r="AU78" s="99" t="str">
        <f t="shared" si="52"/>
        <v/>
      </c>
      <c r="AW78" s="116" t="str">
        <f>VLOOKUP(A78,'Updated Bios &amp; Spouse Details'!$A$1:$J$193,6,FALSE)</f>
        <v>England, France and Canada</v>
      </c>
      <c r="AX78" s="131">
        <f>VLOOKUP($A78,'Loyd List 1-190 - Edit'!$P$2:$AQ$220,AX$1,FALSE)</f>
        <v>76</v>
      </c>
      <c r="AY78" s="116" t="str">
        <f>IF(ISNA(VLOOKUP(A78,'Data check lookup table'!$G$2:$V$73,13,FALSE))," - ",VLOOKUP(A78,'Data check lookup table'!$G$2:$V$73,13,FALSE))</f>
        <v xml:space="preserve"> - </v>
      </c>
      <c r="AZ78" s="147" t="str">
        <f t="shared" si="42"/>
        <v>25/05/1932</v>
      </c>
      <c r="BA78" s="99" t="str">
        <f t="shared" si="43"/>
        <v/>
      </c>
      <c r="BB78" s="99" t="str">
        <f t="shared" si="44"/>
        <v/>
      </c>
      <c r="BI78" s="147" t="s">
        <v>3208</v>
      </c>
    </row>
    <row r="79" spans="1:61" s="99" customFormat="1" ht="102">
      <c r="A79" s="139">
        <f>'Loyd List 1-190 - Edit'!C79</f>
        <v>77</v>
      </c>
      <c r="B79" s="99" t="str">
        <f>VLOOKUP($A79,'Loyd List 1-190 - Edit'!$C$1:$AQ$220,'Book Details - NO EDIT'!B$1,FALSE)</f>
        <v>Wilfrid</v>
      </c>
      <c r="C79" s="99" t="str">
        <f>IF(VLOOKUP($A79,'Loyd List 1-190 - Edit'!$C$1:$AQ$220,'Book Details - NO EDIT'!C$1,FALSE)="","",VLOOKUP($A79,'Loyd List 1-190 - Edit'!$C$1:$AQ$220,'Book Details - NO EDIT'!C$1,FALSE))</f>
        <v>Haig</v>
      </c>
      <c r="D79" s="99" t="str">
        <f>IF(VLOOKUP($A79,'Loyd List 1-190 - Edit'!$C$1:$AQ$220,'Book Details - NO EDIT'!D$1,FALSE)="","",VLOOKUP($A79,'Loyd List 1-190 - Edit'!$C$1:$AQ$220,'Book Details - NO EDIT'!D$1,FALSE))</f>
        <v/>
      </c>
      <c r="E79" s="99" t="str">
        <f>IF(VLOOKUP($A79,'Loyd List 1-190 - Edit'!$C$1:$AQ$220,'Book Details - NO EDIT'!E$1,FALSE)="","",VLOOKUP($A79,'Loyd List 1-190 - Edit'!$C$1:$AQ$220,'Book Details - NO EDIT'!E$1,FALSE))</f>
        <v>LOYD</v>
      </c>
      <c r="F79" s="99" t="str">
        <f>IF(VLOOKUP($A79,'Loyd List 1-190 - Edit'!$C$1:$AQ$220,'Book Details - NO EDIT'!F$1,FALSE)="",B79,VLOOKUP($A79,'Loyd List 1-190 - Edit'!$C$1:$AQ$220,'Book Details - NO EDIT'!F$1,FALSE))</f>
        <v>Wilfrid</v>
      </c>
      <c r="G79" s="140">
        <f>IF(VLOOKUP($A79,'Loyd List 1-190 - Edit'!$C$1:$AQ$220,'Book Details - NO EDIT'!G$1,FALSE)="","",VALUE(VLOOKUP($A79,'Loyd List 1-190 - Edit'!$C$1:$AQ$220,'Book Details - NO EDIT'!G$1,FALSE)))</f>
        <v>1893</v>
      </c>
      <c r="H79" s="140">
        <f>IF(VLOOKUP($A79,'Loyd List 1-190 - Edit'!$C$1:$AQ$220,'Book Details - NO EDIT'!H$1,FALSE)="","",VALUE(VLOOKUP($A79,'Loyd List 1-190 - Edit'!$C$1:$AQ$220,'Book Details - NO EDIT'!H$1,FALSE)))</f>
        <v>1971</v>
      </c>
      <c r="I79" s="141" t="str">
        <f>IF(VLOOKUP($A79,'Loyd List 1-190 - Edit'!$C$1:$AQ$220,'Book Details - NO EDIT'!I$1,FALSE)="","",(VLOOKUP($A79,'Loyd List 1-190 - Edit'!$C$1:$AQ$220,'Book Details - NO EDIT'!I$1,FALSE)))</f>
        <v>13/09/1893</v>
      </c>
      <c r="J79" s="141" t="str">
        <f>IF(VLOOKUP($A79,'Loyd List 1-190 - Edit'!$C$1:$AQ$220,'Book Details - NO EDIT'!J$1,FALSE)="","",(VLOOKUP($A79,'Loyd List 1-190 - Edit'!$C$1:$AQ$220,'Book Details - NO EDIT'!J$1,FALSE)))</f>
        <v>17/09/1971</v>
      </c>
      <c r="K79" s="100" t="str">
        <f>VLOOKUP($A79,'Loyd List 1-190 - Edit'!$C$1:$AQ$220,'Book Details - NO EDIT'!K$1,FALSE)</f>
        <v>Boy</v>
      </c>
      <c r="L79" s="140">
        <f>VLOOKUP($A79,'Loyd List 1-190 - Edit'!$C$1:$AQ$220,'Book Details - NO EDIT'!L$1,FALSE)</f>
        <v>30</v>
      </c>
      <c r="M79" s="140">
        <f t="shared" si="34"/>
        <v>14</v>
      </c>
      <c r="N79" s="140">
        <f t="shared" si="34"/>
        <v>4</v>
      </c>
      <c r="O79" s="140">
        <f t="shared" si="34"/>
        <v>1</v>
      </c>
      <c r="P79" s="140">
        <f t="shared" si="31"/>
        <v>0</v>
      </c>
      <c r="Q79" s="140" t="str">
        <f t="shared" si="31"/>
        <v/>
      </c>
      <c r="R79" s="140" t="str">
        <f t="shared" si="31"/>
        <v/>
      </c>
      <c r="S79" s="140" t="str">
        <f t="shared" si="35"/>
        <v/>
      </c>
      <c r="T79" s="140">
        <f t="shared" si="32"/>
        <v>4</v>
      </c>
      <c r="U79" s="139">
        <f t="shared" si="36"/>
        <v>77</v>
      </c>
      <c r="V79" s="31" t="str">
        <f t="shared" si="37"/>
        <v>Wilfrid (1893–1971)</v>
      </c>
      <c r="W79" s="31" t="str">
        <f t="shared" si="38"/>
        <v>Wilfrid (#77)</v>
      </c>
      <c r="X79" s="99" t="str">
        <f t="shared" si="39"/>
        <v>Wilfrid (1893–1971: #77)</v>
      </c>
      <c r="Y79" s="99" t="str">
        <f t="shared" si="33"/>
        <v>Wilfrid Haig LOYD</v>
      </c>
      <c r="Z79" s="99" t="str">
        <f t="shared" si="40"/>
        <v>Archie (1847–1922: #30)</v>
      </c>
      <c r="AA79" s="99" t="str">
        <f t="shared" si="45"/>
        <v xml:space="preserve">Archie (1847–1922: #30) Thomas (1812–1857: #14) William (1770–1828: #4) William (1729–1800: #1)    </v>
      </c>
      <c r="AB79" s="142" t="str">
        <f>VLOOKUP(U79,'Siblings of those BORN Loyd'!$A$2:$G$230,7,FALSE)</f>
        <v xml:space="preserve">3 – Reggie (1886–1961: #61) Bobby (1887–1977: #62) Geoffrey (1890–1914: #69)      </v>
      </c>
      <c r="AC79" s="115" t="str">
        <f>IF(ISNA(IF(K79="Boy",VLOOKUP(A79,'Siblings of those BORN Loyd'!$AP$3:$AQ$70,2,FALSE),VLOOKUP(A79,'Children of Female Loyds'!$AR$5:$AT$60,3,FALSE))),AM79,IF(K79="Boy",VLOOKUP(A79,'Siblings of those BORN Loyd'!$AP$3:$AQ$70,2,FALSE),VLOOKUP(A79,'Children of Female Loyds'!$AR$5:$AT$60,3,FALSE)))</f>
        <v>4 - Peter (1922–2022: #98); Geoffrey (1926–2018: #105); Denise (1928–: #106); Andrew (1934–1975: #111)</v>
      </c>
      <c r="AD79" s="97" t="str">
        <f t="shared" si="26"/>
        <v xml:space="preserve">9 - Martin (1949–: #122); Julie (1952–: #128); Penelope (1954–1954: #132); Jeremy (1954–: #133); William (1955–: #134); Tony (1963–: #145); Sophie (1969–: #154)   The Hon Geva WINN (1955 - :  #106a) Charles WINN (1959 - :  #106b)             </v>
      </c>
      <c r="AE79" s="105" t="str">
        <f>IF(ISNA(IF(K79="Boy",VLOOKUP(A79,'Grandchildren of Male Loyds'!$AQ$3:$AS$51,3,FALSE),VLOOKUP(A79,'Grandchildren of Female Loyds'!$AX$5:$AZ$63,3,FALSE))),AM79,IF(K79="Boy",VLOOKUP(A79,'Grandchildren of Male Loyds'!$AQ$3:$AS$51,3,FALSE),VLOOKUP(A79,'Grandchildren of Female Loyds'!$AX$5:$AZ$63,3,FALSE)))</f>
        <v>Martin (1949–: #122); Julie (1952–: #128); Penelope (1954–1954: #132); Jeremy (1954–: #133); William (1955–: #134); Tony (1963–: #145); Sophie (1969–: #154)</v>
      </c>
      <c r="AF79" s="105" t="str">
        <f>IF(ISNA(VLOOKUP(A79,'Grandchildren Loyd Daughters'!$BD$5:$BF$50,4,FALSE)),"",VLOOKUP(A79,'Grandchildren Loyd Daughters'!$BD$5:$BF$50,3,FALSE))</f>
        <v xml:space="preserve">The Hon Geva WINN (1955 - :  #106a) Charles WINN (1959 - :  #106b)             </v>
      </c>
      <c r="AG79" s="129">
        <f>IF(ISNA(VLOOKUP(A79,'Grandchildren of Male Loyds'!$AQ$3:$AR$60,2,FALSE)),0,VLOOKUP(A79,'Grandchildren of Male Loyds'!$AQ$3:$AR$60,2,FALSE))+IF(ISNA(VLOOKUP(A79,'Grandchildren of Female Loyds'!$AX$5:$AY$50,2,FALSE)),0,VLOOKUP(A79,'Grandchildren of Female Loyds'!$AX$5:$AY$50,2,FALSE))+IF(ISNA(VLOOKUP(A79,'Grandchildren Loyd Daughters'!$BD$5:$BE$50,2,FALSE)),0,VLOOKUP(A79,'Grandchildren Loyd Daughters'!$BD$5:$BE$50,2,FALSE))</f>
        <v>9</v>
      </c>
      <c r="AH79" s="129" t="str">
        <f>VLOOKUP($U79,'Loyd List 1-190 - Edit'!$P$3:$AJ$220,21,FALSE)</f>
        <v>Henrietta Louisa CLUTTERBUCK (b. 23 Jan 1856, d. 14 Jan 1931)</v>
      </c>
      <c r="AI79" s="129" t="str">
        <f>VLOOKUP(A79,'Updated Bios &amp; Spouse Details'!$A$1:$J$200,7,FALSE)</f>
        <v>Emily Charlotte Eileen OAKELEY (b. 28 Jan 1896, d. 8 May 1978)</v>
      </c>
      <c r="AJ79" s="130">
        <f>IF(VLOOKUP($A79,'Loyd List 1-190 - Edit'!$C$1:$AQ$220,'Book Details - NO EDIT'!AJ$1,FALSE)="","",(VLOOKUP($A79,'Loyd List 1-190 - Edit'!$C$1:$AQ$220,'Book Details - NO EDIT'!AJ$1,FALSE)))</f>
        <v>8036</v>
      </c>
      <c r="AK79" s="129" t="str">
        <f>VLOOKUP(A79,'Updated Bios &amp; Spouse Details'!$A$1:$J$200,8,FALSE)</f>
        <v>Emily MBE younger daughter of Captain Sir Charles John OAKELEY Bart: Queen’s Own Regiment, of Frittenden, Kent. cremated 17 May 1978 at Putney Vale, ashes interred 27 May 1978 in family grave at West Hendred.</v>
      </c>
      <c r="AL79" s="131" t="str">
        <f>VLOOKUP(A79,'Updated Bios &amp; Spouse Details'!$A$1:$J$200,5,FALSE)</f>
        <v>Wilfred lived at 36 Chester Square, London SW1 and later of Oakhill, Seaview, Isle of Wight. He was 4th and youngest son of Archie (1847–1922: #30). Born 13 Sep 1893 at Hodcott, West Ilsley, Berkshire. Baptised 19 Nov 1893 at West Ilsley. Educated privately and Trinity College, Cambridge. Served in World War I 1914-19. Enlisted as Corporal, Despatch Rider. Served in 1st battle of Ypres. Lieutenant RTO 1915. Captain, Royal Engineers. Member, London Stock Exchange 1922-28. Chairman, Young Conservatives Union 1933-39. Died 17 Sep 1971 at Oakhill, Seaview, Isle of Wight.  Cremated 22 Sep 1971 at Newport, Isle of Wight. Ashes interred in family grave at West Hendred. Issue: 3 sons, 1 daughter.</v>
      </c>
      <c r="AM79" s="105" t="str">
        <f>IF(AND(LEN(H79)&gt;0,ISNA(IF(K79="Boy",VLOOKUP(A79,'Siblings of those BORN Loyd'!$AP$3:$AQ$70,2,FALSE),VLOOKUP(A79,'Children of Female Loyds'!$AR$5:$AS$60,2,FALSE)))),"d.s.p","")</f>
        <v/>
      </c>
      <c r="AN79" s="99" t="str">
        <f t="shared" si="41"/>
        <v>Archie (1847–1922: #30)</v>
      </c>
      <c r="AO79" s="99" t="str">
        <f t="shared" si="46"/>
        <v>Thomas (1812–1857: #14)</v>
      </c>
      <c r="AP79" s="99" t="str">
        <f t="shared" si="47"/>
        <v>William (1770–1828: #4)</v>
      </c>
      <c r="AQ79" s="99" t="str">
        <f t="shared" si="48"/>
        <v>William (1729–1800: #1)</v>
      </c>
      <c r="AR79" s="99" t="str">
        <f t="shared" si="49"/>
        <v/>
      </c>
      <c r="AS79" s="99" t="str">
        <f t="shared" si="50"/>
        <v/>
      </c>
      <c r="AT79" s="99" t="str">
        <f t="shared" si="51"/>
        <v/>
      </c>
      <c r="AU79" s="99" t="str">
        <f t="shared" si="52"/>
        <v/>
      </c>
      <c r="AW79" s="116" t="str">
        <f>VLOOKUP(A79,'Updated Bios &amp; Spouse Details'!$A$1:$J$193,6,FALSE)</f>
        <v>England and France</v>
      </c>
      <c r="AX79" s="131">
        <f>VLOOKUP($A79,'Loyd List 1-190 - Edit'!$P$2:$AQ$220,AX$1,FALSE)</f>
        <v>77</v>
      </c>
      <c r="AY79" s="116" t="str">
        <f>IF(ISNA(VLOOKUP(A79,'Data check lookup table'!$G$2:$V$73,13,FALSE))," - ",VLOOKUP(A79,'Data check lookup table'!$G$2:$V$73,13,FALSE))</f>
        <v xml:space="preserve"> - </v>
      </c>
      <c r="AZ79" s="147" t="str">
        <f t="shared" si="42"/>
        <v>17/09/1971</v>
      </c>
      <c r="BA79" s="99" t="str">
        <f t="shared" si="43"/>
        <v/>
      </c>
      <c r="BB79" s="99" t="str">
        <f t="shared" si="44"/>
        <v/>
      </c>
      <c r="BI79" s="147" t="s">
        <v>3209</v>
      </c>
    </row>
    <row r="80" spans="1:61" s="99" customFormat="1" ht="170">
      <c r="A80" s="139">
        <f>'Loyd List 1-190 - Edit'!C80</f>
        <v>78</v>
      </c>
      <c r="B80" s="99" t="str">
        <f>VLOOKUP($A80,'Loyd List 1-190 - Edit'!$C$1:$AQ$220,'Book Details - NO EDIT'!B$1,FALSE)</f>
        <v>Vivian</v>
      </c>
      <c r="C80" s="99" t="str">
        <f>IF(VLOOKUP($A80,'Loyd List 1-190 - Edit'!$C$1:$AQ$220,'Book Details - NO EDIT'!C$1,FALSE)="","",VLOOKUP($A80,'Loyd List 1-190 - Edit'!$C$1:$AQ$220,'Book Details - NO EDIT'!C$1,FALSE))</f>
        <v>Graham</v>
      </c>
      <c r="D80" s="99" t="str">
        <f>IF(VLOOKUP($A80,'Loyd List 1-190 - Edit'!$C$1:$AQ$220,'Book Details - NO EDIT'!D$1,FALSE)="","",VLOOKUP($A80,'Loyd List 1-190 - Edit'!$C$1:$AQ$220,'Book Details - NO EDIT'!D$1,FALSE))</f>
        <v/>
      </c>
      <c r="E80" s="99" t="str">
        <f>IF(VLOOKUP($A80,'Loyd List 1-190 - Edit'!$C$1:$AQ$220,'Book Details - NO EDIT'!E$1,FALSE)="","",VLOOKUP($A80,'Loyd List 1-190 - Edit'!$C$1:$AQ$220,'Book Details - NO EDIT'!E$1,FALSE))</f>
        <v>LOYD</v>
      </c>
      <c r="F80" s="99" t="str">
        <f>IF(VLOOKUP($A80,'Loyd List 1-190 - Edit'!$C$1:$AQ$220,'Book Details - NO EDIT'!F$1,FALSE)="",B80,VLOOKUP($A80,'Loyd List 1-190 - Edit'!$C$1:$AQ$220,'Book Details - NO EDIT'!F$1,FALSE))</f>
        <v>Vivian</v>
      </c>
      <c r="G80" s="140">
        <f>IF(VLOOKUP($A80,'Loyd List 1-190 - Edit'!$C$1:$AQ$220,'Book Details - NO EDIT'!G$1,FALSE)="","",VALUE(VLOOKUP($A80,'Loyd List 1-190 - Edit'!$C$1:$AQ$220,'Book Details - NO EDIT'!G$1,FALSE)))</f>
        <v>1894</v>
      </c>
      <c r="H80" s="140">
        <f>IF(VLOOKUP($A80,'Loyd List 1-190 - Edit'!$C$1:$AQ$220,'Book Details - NO EDIT'!H$1,FALSE)="","",VALUE(VLOOKUP($A80,'Loyd List 1-190 - Edit'!$C$1:$AQ$220,'Book Details - NO EDIT'!H$1,FALSE)))</f>
        <v>1972</v>
      </c>
      <c r="I80" s="141" t="str">
        <f>IF(VLOOKUP($A80,'Loyd List 1-190 - Edit'!$C$1:$AQ$220,'Book Details - NO EDIT'!I$1,FALSE)="","",(VLOOKUP($A80,'Loyd List 1-190 - Edit'!$C$1:$AQ$220,'Book Details - NO EDIT'!I$1,FALSE)))</f>
        <v>13/05/1894</v>
      </c>
      <c r="J80" s="141" t="str">
        <f>IF(VLOOKUP($A80,'Loyd List 1-190 - Edit'!$C$1:$AQ$220,'Book Details - NO EDIT'!J$1,FALSE)="","",(VLOOKUP($A80,'Loyd List 1-190 - Edit'!$C$1:$AQ$220,'Book Details - NO EDIT'!J$1,FALSE)))</f>
        <v>19/03/1972</v>
      </c>
      <c r="K80" s="100" t="str">
        <f>VLOOKUP($A80,'Loyd List 1-190 - Edit'!$C$1:$AQ$220,'Book Details - NO EDIT'!K$1,FALSE)</f>
        <v>Boy</v>
      </c>
      <c r="L80" s="140">
        <f>VLOOKUP($A80,'Loyd List 1-190 - Edit'!$C$1:$AQ$220,'Book Details - NO EDIT'!L$1,FALSE)</f>
        <v>46</v>
      </c>
      <c r="M80" s="140">
        <f t="shared" si="34"/>
        <v>23</v>
      </c>
      <c r="N80" s="140">
        <f t="shared" si="34"/>
        <v>8</v>
      </c>
      <c r="O80" s="140">
        <f t="shared" si="34"/>
        <v>1</v>
      </c>
      <c r="P80" s="140">
        <f t="shared" si="31"/>
        <v>0</v>
      </c>
      <c r="Q80" s="140" t="str">
        <f t="shared" si="31"/>
        <v/>
      </c>
      <c r="R80" s="140" t="str">
        <f t="shared" si="31"/>
        <v/>
      </c>
      <c r="S80" s="140" t="str">
        <f t="shared" si="35"/>
        <v/>
      </c>
      <c r="T80" s="140">
        <f t="shared" si="32"/>
        <v>4</v>
      </c>
      <c r="U80" s="139">
        <f t="shared" si="36"/>
        <v>78</v>
      </c>
      <c r="V80" s="31" t="str">
        <f t="shared" si="37"/>
        <v>Vivian (1894–1972)</v>
      </c>
      <c r="W80" s="31" t="str">
        <f t="shared" si="38"/>
        <v>Vivian (#78)</v>
      </c>
      <c r="X80" s="99" t="str">
        <f t="shared" si="39"/>
        <v>Vivian (1894–1972: #78)</v>
      </c>
      <c r="Y80" s="99" t="str">
        <f t="shared" si="33"/>
        <v>Vivian Graham LOYD</v>
      </c>
      <c r="Z80" s="99" t="str">
        <f t="shared" si="40"/>
        <v>William (1863–1923: #46)</v>
      </c>
      <c r="AA80" s="99" t="str">
        <f t="shared" si="45"/>
        <v xml:space="preserve">William (1863–1923: #46) William (1821–1885: #23) Edward (1780–1863: #8) William (1729–1800: #1)    </v>
      </c>
      <c r="AB80" s="142" t="str">
        <f>VLOOKUP(U80,'Siblings of those BORN Loyd'!$A$2:$G$230,7,FALSE)</f>
        <v xml:space="preserve">4 – Diana (1890–1963: #70) Godfrey (1893–1917: #75)  Wilfred (1896–1955: #82) Eddie (1902–1942: #84)    </v>
      </c>
      <c r="AC80" s="115" t="str">
        <f>IF(ISNA(IF(K80="Boy",VLOOKUP(A80,'Siblings of those BORN Loyd'!$AP$3:$AQ$70,2,FALSE),VLOOKUP(A80,'Children of Female Loyds'!$AR$5:$AT$60,3,FALSE))),AM80,IF(K80="Boy",VLOOKUP(A80,'Siblings of those BORN Loyd'!$AP$3:$AQ$70,2,FALSE),VLOOKUP(A80,'Children of Female Loyds'!$AR$5:$AT$60,3,FALSE)))</f>
        <v>4 - Willie (1937–1994: #113); Belinda (1939–2018: #115); Vivian (1951–: #127); Ginie (1961–: #140)</v>
      </c>
      <c r="AD80" s="97" t="str">
        <f t="shared" ref="AD80:AD143" si="53">IF(AE80="d.s.p",_xlfn.CONCAT(AE80,"."),IF(AG80=0,"-",_xlfn.CONCAT(AG80," - ",AE80,"   ",AF80)))</f>
        <v xml:space="preserve">8 - Anthony (1966–: #149)   The Hon Isabel CROSSLEY (1964 - :  #115a) The Hon Camilla CROSSLEY (1967 - :  #115b) The Hon Alicia CROSSLEY (1969 - :  #115c) The Hon Hugh CROSSLEY (1971 - :  #115d) The Hon Bridget CROSSLEY (1974 - :  #115e) Daisy MILLER (1995 - :  #140a) Violet MILLER (1995 - :  #140b)        </v>
      </c>
      <c r="AE80" s="105" t="str">
        <f>IF(ISNA(IF(K80="Boy",VLOOKUP(A80,'Grandchildren of Male Loyds'!$AQ$3:$AS$51,3,FALSE),VLOOKUP(A80,'Grandchildren of Female Loyds'!$AX$5:$AZ$63,3,FALSE))),AM80,IF(K80="Boy",VLOOKUP(A80,'Grandchildren of Male Loyds'!$AQ$3:$AS$51,3,FALSE),VLOOKUP(A80,'Grandchildren of Female Loyds'!$AX$5:$AZ$63,3,FALSE)))</f>
        <v>Anthony (1966–: #149)</v>
      </c>
      <c r="AF80" s="105" t="str">
        <f>IF(ISNA(VLOOKUP(A80,'Grandchildren Loyd Daughters'!$BD$5:$BF$50,4,FALSE)),"",VLOOKUP(A80,'Grandchildren Loyd Daughters'!$BD$5:$BF$50,3,FALSE))</f>
        <v xml:space="preserve">The Hon Isabel CROSSLEY (1964 - :  #115a) The Hon Camilla CROSSLEY (1967 - :  #115b) The Hon Alicia CROSSLEY (1969 - :  #115c) The Hon Hugh CROSSLEY (1971 - :  #115d) The Hon Bridget CROSSLEY (1974 - :  #115e) Daisy MILLER (1995 - :  #140a) Violet MILLER (1995 - :  #140b)        </v>
      </c>
      <c r="AG80" s="129">
        <f>IF(ISNA(VLOOKUP(A80,'Grandchildren of Male Loyds'!$AQ$3:$AR$60,2,FALSE)),0,VLOOKUP(A80,'Grandchildren of Male Loyds'!$AQ$3:$AR$60,2,FALSE))+IF(ISNA(VLOOKUP(A80,'Grandchildren of Female Loyds'!$AX$5:$AY$50,2,FALSE)),0,VLOOKUP(A80,'Grandchildren of Female Loyds'!$AX$5:$AY$50,2,FALSE))+IF(ISNA(VLOOKUP(A80,'Grandchildren Loyd Daughters'!$BD$5:$BE$50,2,FALSE)),0,VLOOKUP(A80,'Grandchildren Loyd Daughters'!$BD$5:$BE$50,2,FALSE))</f>
        <v>8</v>
      </c>
      <c r="AH80" s="129" t="str">
        <f>VLOOKUP($U80,'Loyd List 1-190 - Edit'!$P$3:$AJ$220,21,FALSE)</f>
        <v xml:space="preserve">Emily Diana Maria BEAUMONT (b. 25 Dec 1860, d. 4 Jul 1956) </v>
      </c>
      <c r="AI80" s="129" t="str">
        <f>VLOOKUP(A80,'Updated Bios &amp; Spouse Details'!$A$1:$J$200,7,FALSE)</f>
        <v>Enid Beatrice COBB (b. 25 Feb 1900, d. 18 Jun 1990).</v>
      </c>
      <c r="AJ80" s="130">
        <f>IF(VLOOKUP($A80,'Loyd List 1-190 - Edit'!$C$1:$AQ$220,'Book Details - NO EDIT'!AJ$1,FALSE)="","",(VLOOKUP($A80,'Loyd List 1-190 - Edit'!$C$1:$AQ$220,'Book Details - NO EDIT'!AJ$1,FALSE)))</f>
        <v>9090</v>
      </c>
      <c r="AK80" s="129" t="str">
        <f>VLOOKUP(A80,'Updated Bios &amp; Spouse Details'!$A$1:$J$200,8,FALSE)</f>
        <v>Married (1) 19 Nov 1924 Enid Beatrice younger daughter of John Henry COBB of St. James’s Court, London SW1. (Div). Married (2) 7 Jan 1937 Phyllis Mary Porter daughter of Colonel Archibald Montgomery TRINGHAM OBE, DSO of Fallowfield, Puttenham, Nr. Guildford, Surrey. (Divorced). Married (3) 29 Nov 1950 Veronica Elizabeth  daughter of Hugh Arthur HAYNES.</v>
      </c>
      <c r="AL80" s="131" t="str">
        <f>VLOOKUP(A80,'Updated Bios &amp; Spouse Details'!$A$1:$J$200,5,FALSE)</f>
        <v>Vivian lived at Cowarth Park Farm, Sunningdale, Berkshire and was the 2nd son of William (1863–1923: #46). Born 13 May 1894. Educated Wellington. Served in World War I and was commissioned as a Second Lieutenant in the 4th Home Counties (Cinque Ports) Brigade, Royal Field Artillery on 1 May 1913. He served in India from 1914–1916 and Mesopotamia from 1916, where he contracted tuberculosis, which was the reason for his subsequent health problems. He ended the war as a Captain. Career: He founded his own company, Vivian Loyd &amp; Co  as an engineer and later in partnership with John CARDEN, he was responsible for the Carden Loyd carrier used by the Army during World War II. In August 1938, they presented a prototype of a low-cost light tracked artillery tractor and it was subsequently ordered by the British army and during the war, more than 26,000 units were built –2,790 from Loyd’s factory. After the war, he built crawler tractors and agricultural machinery. Vivian died 19 Mar 1972 at Princess Christian Nursing Home, Windsor. Issue: (2nd wife) 1 son, 1 daughter. (3rd wife) 1 son, 1 daughter.</v>
      </c>
      <c r="AM80" s="105" t="str">
        <f>IF(AND(LEN(H80)&gt;0,ISNA(IF(K80="Boy",VLOOKUP(A80,'Siblings of those BORN Loyd'!$AP$3:$AQ$70,2,FALSE),VLOOKUP(A80,'Children of Female Loyds'!$AR$5:$AS$60,2,FALSE)))),"d.s.p","")</f>
        <v/>
      </c>
      <c r="AN80" s="99" t="str">
        <f t="shared" si="41"/>
        <v>William (1863–1923: #46)</v>
      </c>
      <c r="AO80" s="99" t="str">
        <f t="shared" si="46"/>
        <v>William (1821–1885: #23)</v>
      </c>
      <c r="AP80" s="99" t="str">
        <f t="shared" si="47"/>
        <v>Edward (1780–1863: #8)</v>
      </c>
      <c r="AQ80" s="99" t="str">
        <f t="shared" si="48"/>
        <v>William (1729–1800: #1)</v>
      </c>
      <c r="AR80" s="99" t="str">
        <f t="shared" si="49"/>
        <v/>
      </c>
      <c r="AS80" s="99" t="str">
        <f t="shared" si="50"/>
        <v/>
      </c>
      <c r="AT80" s="99" t="str">
        <f t="shared" si="51"/>
        <v/>
      </c>
      <c r="AU80" s="99" t="str">
        <f t="shared" si="52"/>
        <v/>
      </c>
      <c r="AW80" s="116" t="str">
        <f>VLOOKUP(A80,'Updated Bios &amp; Spouse Details'!$A$1:$J$193,6,FALSE)</f>
        <v>England</v>
      </c>
      <c r="AX80" s="131">
        <f>VLOOKUP($A80,'Loyd List 1-190 - Edit'!$P$2:$AQ$220,AX$1,FALSE)</f>
        <v>78</v>
      </c>
      <c r="AY80" s="116" t="str">
        <f>IF(ISNA(VLOOKUP(A80,'Data check lookup table'!$G$2:$V$73,13,FALSE))," - ",VLOOKUP(A80,'Data check lookup table'!$G$2:$V$73,13,FALSE))</f>
        <v xml:space="preserve"> - </v>
      </c>
      <c r="AZ80" s="147" t="str">
        <f t="shared" si="42"/>
        <v>19/03/1972</v>
      </c>
      <c r="BA80" s="99" t="str">
        <f t="shared" si="43"/>
        <v/>
      </c>
      <c r="BB80" s="99" t="str">
        <f t="shared" si="44"/>
        <v/>
      </c>
      <c r="BI80" s="147" t="s">
        <v>3210</v>
      </c>
    </row>
    <row r="81" spans="1:61" s="99" customFormat="1" ht="187">
      <c r="A81" s="139">
        <f>'Loyd List 1-190 - Edit'!C81</f>
        <v>79</v>
      </c>
      <c r="B81" s="99" t="str">
        <f>VLOOKUP($A81,'Loyd List 1-190 - Edit'!$C$1:$AQ$220,'Book Details - NO EDIT'!B$1,FALSE)</f>
        <v>Alwyne</v>
      </c>
      <c r="C81" s="99" t="str">
        <f>IF(VLOOKUP($A81,'Loyd List 1-190 - Edit'!$C$1:$AQ$220,'Book Details - NO EDIT'!C$1,FALSE)="","",VLOOKUP($A81,'Loyd List 1-190 - Edit'!$C$1:$AQ$220,'Book Details - NO EDIT'!C$1,FALSE))</f>
        <v>Travers</v>
      </c>
      <c r="D81" s="99" t="str">
        <f>IF(VLOOKUP($A81,'Loyd List 1-190 - Edit'!$C$1:$AQ$220,'Book Details - NO EDIT'!D$1,FALSE)="","",VLOOKUP($A81,'Loyd List 1-190 - Edit'!$C$1:$AQ$220,'Book Details - NO EDIT'!D$1,FALSE))</f>
        <v/>
      </c>
      <c r="E81" s="99" t="str">
        <f>IF(VLOOKUP($A81,'Loyd List 1-190 - Edit'!$C$1:$AQ$220,'Book Details - NO EDIT'!E$1,FALSE)="","",VLOOKUP($A81,'Loyd List 1-190 - Edit'!$C$1:$AQ$220,'Book Details - NO EDIT'!E$1,FALSE))</f>
        <v>LOYD</v>
      </c>
      <c r="F81" s="99" t="str">
        <f>IF(VLOOKUP($A81,'Loyd List 1-190 - Edit'!$C$1:$AQ$220,'Book Details - NO EDIT'!F$1,FALSE)="",B81,VLOOKUP($A81,'Loyd List 1-190 - Edit'!$C$1:$AQ$220,'Book Details - NO EDIT'!F$1,FALSE))</f>
        <v>Alwyne</v>
      </c>
      <c r="G81" s="140">
        <f>IF(VLOOKUP($A81,'Loyd List 1-190 - Edit'!$C$1:$AQ$220,'Book Details - NO EDIT'!G$1,FALSE)="","",VALUE(VLOOKUP($A81,'Loyd List 1-190 - Edit'!$C$1:$AQ$220,'Book Details - NO EDIT'!G$1,FALSE)))</f>
        <v>1894</v>
      </c>
      <c r="H81" s="140">
        <f>IF(VLOOKUP($A81,'Loyd List 1-190 - Edit'!$C$1:$AQ$220,'Book Details - NO EDIT'!H$1,FALSE)="","",VALUE(VLOOKUP($A81,'Loyd List 1-190 - Edit'!$C$1:$AQ$220,'Book Details - NO EDIT'!H$1,FALSE)))</f>
        <v>1917</v>
      </c>
      <c r="I81" s="141" t="str">
        <f>IF(VLOOKUP($A81,'Loyd List 1-190 - Edit'!$C$1:$AQ$220,'Book Details - NO EDIT'!I$1,FALSE)="","",(VLOOKUP($A81,'Loyd List 1-190 - Edit'!$C$1:$AQ$220,'Book Details - NO EDIT'!I$1,FALSE)))</f>
        <v>12/07/1894</v>
      </c>
      <c r="J81" s="141" t="str">
        <f>IF(VLOOKUP($A81,'Loyd List 1-190 - Edit'!$C$1:$AQ$220,'Book Details - NO EDIT'!J$1,FALSE)="","",(VLOOKUP($A81,'Loyd List 1-190 - Edit'!$C$1:$AQ$220,'Book Details - NO EDIT'!J$1,FALSE)))</f>
        <v>28/09/1917</v>
      </c>
      <c r="K81" s="100" t="str">
        <f>VLOOKUP($A81,'Loyd List 1-190 - Edit'!$C$1:$AQ$220,'Book Details - NO EDIT'!K$1,FALSE)</f>
        <v>Boy</v>
      </c>
      <c r="L81" s="140">
        <f>VLOOKUP($A81,'Loyd List 1-190 - Edit'!$C$1:$AQ$220,'Book Details - NO EDIT'!L$1,FALSE)</f>
        <v>45</v>
      </c>
      <c r="M81" s="140">
        <f t="shared" si="34"/>
        <v>22</v>
      </c>
      <c r="N81" s="140">
        <f t="shared" si="34"/>
        <v>8</v>
      </c>
      <c r="O81" s="140">
        <f t="shared" si="34"/>
        <v>1</v>
      </c>
      <c r="P81" s="140">
        <f t="shared" si="31"/>
        <v>0</v>
      </c>
      <c r="Q81" s="140" t="str">
        <f t="shared" si="31"/>
        <v/>
      </c>
      <c r="R81" s="140" t="str">
        <f t="shared" si="31"/>
        <v/>
      </c>
      <c r="S81" s="140" t="str">
        <f t="shared" si="35"/>
        <v/>
      </c>
      <c r="T81" s="140">
        <f t="shared" si="32"/>
        <v>4</v>
      </c>
      <c r="U81" s="139">
        <f t="shared" si="36"/>
        <v>79</v>
      </c>
      <c r="V81" s="31" t="str">
        <f t="shared" si="37"/>
        <v>Alwyne (1894–1917)</v>
      </c>
      <c r="W81" s="31" t="str">
        <f t="shared" si="38"/>
        <v>Alwyne (#79)</v>
      </c>
      <c r="X81" s="99" t="str">
        <f t="shared" si="39"/>
        <v>Alwyne (1894–1917: #79)</v>
      </c>
      <c r="Y81" s="99" t="str">
        <f t="shared" si="33"/>
        <v>Alwyne Travers LOYD</v>
      </c>
      <c r="Z81" s="99" t="str">
        <f t="shared" si="40"/>
        <v>Llewellyn (1861–1939: #45)</v>
      </c>
      <c r="AA81" s="99" t="str">
        <f t="shared" si="45"/>
        <v xml:space="preserve">Llewellyn (1861–1939: #45) Edward (1820–1890: #22) Edward (1780–1863: #8) William (1729–1800: #1)    </v>
      </c>
      <c r="AB81" s="142" t="str">
        <f>VLOOKUP(U81,'Siblings of those BORN Loyd'!$A$2:$G$230,7,FALSE)</f>
        <v xml:space="preserve">3 – Cecil (1890–1963: #68) Eric (1891–1967: #73)  Ruby (1898–1977: #83)     </v>
      </c>
      <c r="AC81" s="115" t="str">
        <f>IF(ISNA(IF(K81="Boy",VLOOKUP(A81,'Siblings of those BORN Loyd'!$AP$3:$AQ$70,2,FALSE),VLOOKUP(A81,'Children of Female Loyds'!$AR$5:$AT$60,3,FALSE))),AM81,IF(K81="Boy",VLOOKUP(A81,'Siblings of those BORN Loyd'!$AP$3:$AQ$70,2,FALSE),VLOOKUP(A81,'Children of Female Loyds'!$AR$5:$AT$60,3,FALSE)))</f>
        <v>d.s.p</v>
      </c>
      <c r="AD81" s="97" t="str">
        <f t="shared" si="53"/>
        <v>d.s.p.</v>
      </c>
      <c r="AE81" s="105" t="str">
        <f>IF(ISNA(IF(K81="Boy",VLOOKUP(A81,'Grandchildren of Male Loyds'!$AQ$3:$AS$51,3,FALSE),VLOOKUP(A81,'Grandchildren of Female Loyds'!$AX$5:$AZ$63,3,FALSE))),AM81,IF(K81="Boy",VLOOKUP(A81,'Grandchildren of Male Loyds'!$AQ$3:$AS$51,3,FALSE),VLOOKUP(A81,'Grandchildren of Female Loyds'!$AX$5:$AZ$63,3,FALSE)))</f>
        <v>d.s.p</v>
      </c>
      <c r="AF81" s="105" t="str">
        <f>IF(ISNA(VLOOKUP(A81,'Grandchildren Loyd Daughters'!$BD$5:$BF$50,4,FALSE)),"",VLOOKUP(A81,'Grandchildren Loyd Daughters'!$BD$5:$BF$50,3,FALSE))</f>
        <v/>
      </c>
      <c r="AG81" s="129">
        <f>IF(ISNA(VLOOKUP(A81,'Grandchildren of Male Loyds'!$AQ$3:$AR$60,2,FALSE)),0,VLOOKUP(A81,'Grandchildren of Male Loyds'!$AQ$3:$AR$60,2,FALSE))+IF(ISNA(VLOOKUP(A81,'Grandchildren of Female Loyds'!$AX$5:$AY$50,2,FALSE)),0,VLOOKUP(A81,'Grandchildren of Female Loyds'!$AX$5:$AY$50,2,FALSE))+IF(ISNA(VLOOKUP(A81,'Grandchildren Loyd Daughters'!$BD$5:$BE$50,2,FALSE)),0,VLOOKUP(A81,'Grandchildren Loyd Daughters'!$BD$5:$BE$50,2,FALSE))</f>
        <v>0</v>
      </c>
      <c r="AH81" s="129" t="str">
        <f>VLOOKUP($U81,'Loyd List 1-190 - Edit'!$P$3:$AJ$220,21,FALSE)</f>
        <v>Rebecca Olivia LEWIS (b.13 Aug 1860, d. 18 Mar 1927)</v>
      </c>
      <c r="AI81" s="129" t="str">
        <f>VLOOKUP(A81,'Updated Bios &amp; Spouse Details'!$A$1:$J$200,7,FALSE)</f>
        <v>Unmarried</v>
      </c>
      <c r="AJ81" s="130" t="str">
        <f>IF(VLOOKUP($A81,'Loyd List 1-190 - Edit'!$C$1:$AQ$220,'Book Details - NO EDIT'!AJ$1,FALSE)="","",(VLOOKUP($A81,'Loyd List 1-190 - Edit'!$C$1:$AQ$220,'Book Details - NO EDIT'!AJ$1,FALSE)))</f>
        <v xml:space="preserve"> - </v>
      </c>
      <c r="AK81" s="129" t="str">
        <f>VLOOKUP(A81,'Updated Bios &amp; Spouse Details'!$A$1:$J$200,8,FALSE)</f>
        <v xml:space="preserve"> - </v>
      </c>
      <c r="AL81" s="131" t="str">
        <f>VLOOKUP(A81,'Updated Bios &amp; Spouse Details'!$A$1:$J$200,5,FALSE)</f>
        <v>Alwyne was the 3rd and youngest son of Llewellyn (1861–1939: #45). Born 12 Jul 1894. Educated Eton 1907-13. Served in World War I in France. Alwyne  joined the 5th Buffs (East Kent Regiment) as Lieutenant on the outbreak of war, transferring to the RFC and joined 25 squadron on 22 June 1916, aged 21, claiming his first two victories. While serving with 25 Squadron he became a close friend of Arthur Tedder, who later became Marshal of the Royal Air Force]. Alwyne subsequently served in 22 Squadron, and after a rest, joined 32 Squadron in mid 1917, becoming Captain and Flight Commander [1] before he claimed his final four victories to become an 'Ace' .[2] Alwyne was killed in action, 28 September 1917, when his A9211 DH5 aircraft was shot down by anti-aircraft fire at 1pm (caught in enemy barrage), during offensive patrol, over Zillebeke Lake, Belgium.The village of Zillebeke is located about one and a half miles south-east of Ypres, and there is a lake of the same name nearby. Alwyne died at the age of 23 and is buried in Lijssenthoek Military Cemetery, Poperinge, Belgium  (Grave reference XXV - J – 1)  [Website: www.lijssenthoek.be]   Footnote: [1]   Article from the Old Hawkhurst News (Volume 3) dated 1917. The officer commanding his squadron in France, in a letter to his father writes:  “He was second in command of the squadron and would shortly be promoted squadron commander. He was considered to be the best pilot and during his last battle kept the squadron together by his leadership and bravery. He was the life and sole of the men and it impossible to say how much he is missed.” [2] Historically, a flying ace was defined as a military aviator credited with shooting down five or more enemy aircraft during aerial combat. Rob (1949– : #124) is in possession of Alwyne's original flying manual, which was a war service publication, and an undated painting he did of a couple of racing cars.</v>
      </c>
      <c r="AM81" s="105" t="str">
        <f>IF(AND(LEN(H81)&gt;0,ISNA(IF(K81="Boy",VLOOKUP(A81,'Siblings of those BORN Loyd'!$AP$3:$AQ$70,2,FALSE),VLOOKUP(A81,'Children of Female Loyds'!$AR$5:$AS$60,2,FALSE)))),"d.s.p","")</f>
        <v>d.s.p</v>
      </c>
      <c r="AN81" s="99" t="str">
        <f t="shared" si="41"/>
        <v>Llewellyn (1861–1939: #45)</v>
      </c>
      <c r="AO81" s="99" t="str">
        <f t="shared" si="46"/>
        <v>Edward (1820–1890: #22)</v>
      </c>
      <c r="AP81" s="99" t="str">
        <f t="shared" si="47"/>
        <v>Edward (1780–1863: #8)</v>
      </c>
      <c r="AQ81" s="99" t="str">
        <f t="shared" si="48"/>
        <v>William (1729–1800: #1)</v>
      </c>
      <c r="AR81" s="99" t="str">
        <f t="shared" si="49"/>
        <v/>
      </c>
      <c r="AS81" s="99" t="str">
        <f t="shared" si="50"/>
        <v/>
      </c>
      <c r="AT81" s="99" t="str">
        <f t="shared" si="51"/>
        <v/>
      </c>
      <c r="AU81" s="99" t="str">
        <f t="shared" si="52"/>
        <v/>
      </c>
      <c r="AW81" s="116" t="str">
        <f>VLOOKUP(A81,'Updated Bios &amp; Spouse Details'!$A$1:$J$193,6,FALSE)</f>
        <v>England and France</v>
      </c>
      <c r="AX81" s="131">
        <f>VLOOKUP($A81,'Loyd List 1-190 - Edit'!$P$2:$AQ$220,AX$1,FALSE)</f>
        <v>79</v>
      </c>
      <c r="AY81" s="116" t="str">
        <f>IF(ISNA(VLOOKUP(A81,'Data check lookup table'!$G$2:$V$73,13,FALSE))," - ",VLOOKUP(A81,'Data check lookup table'!$G$2:$V$73,13,FALSE))</f>
        <v xml:space="preserve"> - </v>
      </c>
      <c r="AZ81" s="147" t="str">
        <f t="shared" si="42"/>
        <v>28/09/1917</v>
      </c>
      <c r="BA81" s="99" t="str">
        <f t="shared" si="43"/>
        <v/>
      </c>
      <c r="BB81" s="99" t="str">
        <f t="shared" si="44"/>
        <v/>
      </c>
      <c r="BI81" s="147" t="s">
        <v>3211</v>
      </c>
    </row>
    <row r="82" spans="1:61" s="99" customFormat="1" ht="119">
      <c r="A82" s="139">
        <f>'Loyd List 1-190 - Edit'!C82</f>
        <v>80</v>
      </c>
      <c r="B82" s="99" t="str">
        <f>VLOOKUP($A82,'Loyd List 1-190 - Edit'!$C$1:$AQ$220,'Book Details - NO EDIT'!B$1,FALSE)</f>
        <v>Eric</v>
      </c>
      <c r="C82" s="99" t="str">
        <f>IF(VLOOKUP($A82,'Loyd List 1-190 - Edit'!$C$1:$AQ$220,'Book Details - NO EDIT'!C$1,FALSE)="","",VLOOKUP($A82,'Loyd List 1-190 - Edit'!$C$1:$AQ$220,'Book Details - NO EDIT'!C$1,FALSE))</f>
        <v>William</v>
      </c>
      <c r="D82" s="99" t="str">
        <f>IF(VLOOKUP($A82,'Loyd List 1-190 - Edit'!$C$1:$AQ$220,'Book Details - NO EDIT'!D$1,FALSE)="","",VLOOKUP($A82,'Loyd List 1-190 - Edit'!$C$1:$AQ$220,'Book Details - NO EDIT'!D$1,FALSE))</f>
        <v/>
      </c>
      <c r="E82" s="99" t="str">
        <f>IF(VLOOKUP($A82,'Loyd List 1-190 - Edit'!$C$1:$AQ$220,'Book Details - NO EDIT'!E$1,FALSE)="","",VLOOKUP($A82,'Loyd List 1-190 - Edit'!$C$1:$AQ$220,'Book Details - NO EDIT'!E$1,FALSE))</f>
        <v>LOYD</v>
      </c>
      <c r="F82" s="99" t="str">
        <f>IF(VLOOKUP($A82,'Loyd List 1-190 - Edit'!$C$1:$AQ$220,'Book Details - NO EDIT'!F$1,FALSE)="",B82,VLOOKUP($A82,'Loyd List 1-190 - Edit'!$C$1:$AQ$220,'Book Details - NO EDIT'!F$1,FALSE))</f>
        <v>Eric</v>
      </c>
      <c r="G82" s="140">
        <f>IF(VLOOKUP($A82,'Loyd List 1-190 - Edit'!$C$1:$AQ$220,'Book Details - NO EDIT'!G$1,FALSE)="","",VALUE(VLOOKUP($A82,'Loyd List 1-190 - Edit'!$C$1:$AQ$220,'Book Details - NO EDIT'!G$1,FALSE)))</f>
        <v>1894</v>
      </c>
      <c r="H82" s="140">
        <f>IF(VLOOKUP($A82,'Loyd List 1-190 - Edit'!$C$1:$AQ$220,'Book Details - NO EDIT'!H$1,FALSE)="","",VALUE(VLOOKUP($A82,'Loyd List 1-190 - Edit'!$C$1:$AQ$220,'Book Details - NO EDIT'!H$1,FALSE)))</f>
        <v>1963</v>
      </c>
      <c r="I82" s="141" t="str">
        <f>IF(VLOOKUP($A82,'Loyd List 1-190 - Edit'!$C$1:$AQ$220,'Book Details - NO EDIT'!I$1,FALSE)="","",(VLOOKUP($A82,'Loyd List 1-190 - Edit'!$C$1:$AQ$220,'Book Details - NO EDIT'!I$1,FALSE)))</f>
        <v>28/09/1894</v>
      </c>
      <c r="J82" s="141" t="str">
        <f>IF(VLOOKUP($A82,'Loyd List 1-190 - Edit'!$C$1:$AQ$220,'Book Details - NO EDIT'!J$1,FALSE)="","",(VLOOKUP($A82,'Loyd List 1-190 - Edit'!$C$1:$AQ$220,'Book Details - NO EDIT'!J$1,FALSE)))</f>
        <v>19/04/1963</v>
      </c>
      <c r="K82" s="100" t="str">
        <f>VLOOKUP($A82,'Loyd List 1-190 - Edit'!$C$1:$AQ$220,'Book Details - NO EDIT'!K$1,FALSE)</f>
        <v>Boy</v>
      </c>
      <c r="L82" s="140">
        <f>VLOOKUP($A82,'Loyd List 1-190 - Edit'!$C$1:$AQ$220,'Book Details - NO EDIT'!L$1,FALSE)</f>
        <v>29</v>
      </c>
      <c r="M82" s="140">
        <f t="shared" si="34"/>
        <v>14</v>
      </c>
      <c r="N82" s="140">
        <f t="shared" si="34"/>
        <v>4</v>
      </c>
      <c r="O82" s="140">
        <f t="shared" si="34"/>
        <v>1</v>
      </c>
      <c r="P82" s="140">
        <f t="shared" si="31"/>
        <v>0</v>
      </c>
      <c r="Q82" s="140" t="str">
        <f t="shared" si="31"/>
        <v/>
      </c>
      <c r="R82" s="140" t="str">
        <f t="shared" si="31"/>
        <v/>
      </c>
      <c r="S82" s="140" t="str">
        <f t="shared" si="35"/>
        <v/>
      </c>
      <c r="T82" s="140">
        <f t="shared" si="32"/>
        <v>4</v>
      </c>
      <c r="U82" s="139">
        <f t="shared" si="36"/>
        <v>80</v>
      </c>
      <c r="V82" s="31" t="str">
        <f t="shared" si="37"/>
        <v>Eric (1894–1963)</v>
      </c>
      <c r="W82" s="31" t="str">
        <f t="shared" si="38"/>
        <v>Eric (#80)</v>
      </c>
      <c r="X82" s="99" t="str">
        <f t="shared" si="39"/>
        <v>Eric (1894–1963: #80)</v>
      </c>
      <c r="Y82" s="99" t="str">
        <f t="shared" si="33"/>
        <v>Eric William LOYD</v>
      </c>
      <c r="Z82" s="99" t="str">
        <f t="shared" si="40"/>
        <v>Arthur (1845–1930: #29)</v>
      </c>
      <c r="AA82" s="99" t="str">
        <f t="shared" si="45"/>
        <v xml:space="preserve">Arthur (1845–1930: #29) Thomas (1812–1857: #14) William (1770–1828: #4) William (1729–1800: #1)    </v>
      </c>
      <c r="AB82" s="142" t="str">
        <f>VLOOKUP(U82,'Siblings of those BORN Loyd'!$A$2:$G$230,7,FALSE)</f>
        <v>0 – Only chlid</v>
      </c>
      <c r="AC82" s="115" t="str">
        <f>IF(ISNA(IF(K82="Boy",VLOOKUP(A82,'Siblings of those BORN Loyd'!$AP$3:$AQ$70,2,FALSE),VLOOKUP(A82,'Children of Female Loyds'!$AR$5:$AT$60,3,FALSE))),AM82,IF(K82="Boy",VLOOKUP(A82,'Siblings of those BORN Loyd'!$AP$3:$AQ$70,2,FALSE),VLOOKUP(A82,'Children of Female Loyds'!$AR$5:$AT$60,3,FALSE)))</f>
        <v>4 - Margaret (1932–: #109); Jean (1933–: #110); Michael (1938–: #114); Peter (1942–: #119)</v>
      </c>
      <c r="AD82" s="97" t="str">
        <f t="shared" si="53"/>
        <v xml:space="preserve">13 - William (1973–: #155); Amy (1975–: #156); Tess (1975–: #157); Chloe (1977–: #158); Daisy (1979–: #159); Molly (1982–: #161); Harriet (1984–: #163)   Jennet WALTON (1964 - :  #109a) Timothy WALTON (1967 - :  #109b) John BOYCE (1961 - :  #110a) Joanna BOYCE (1963 - :  #110b) Robert BOYCE (1964 - :  #110c) Paula BOYCE (1966 - :  #110d)         </v>
      </c>
      <c r="AE82" s="105" t="str">
        <f>IF(ISNA(IF(K82="Boy",VLOOKUP(A82,'Grandchildren of Male Loyds'!$AQ$3:$AS$51,3,FALSE),VLOOKUP(A82,'Grandchildren of Female Loyds'!$AX$5:$AZ$63,3,FALSE))),AM82,IF(K82="Boy",VLOOKUP(A82,'Grandchildren of Male Loyds'!$AQ$3:$AS$51,3,FALSE),VLOOKUP(A82,'Grandchildren of Female Loyds'!$AX$5:$AZ$63,3,FALSE)))</f>
        <v>William (1973–: #155); Amy (1975–: #156); Tess (1975–: #157); Chloe (1977–: #158); Daisy (1979–: #159); Molly (1982–: #161); Harriet (1984–: #163)</v>
      </c>
      <c r="AF82" s="105" t="str">
        <f>IF(ISNA(VLOOKUP(A82,'Grandchildren Loyd Daughters'!$BD$5:$BF$50,4,FALSE)),"",VLOOKUP(A82,'Grandchildren Loyd Daughters'!$BD$5:$BF$50,3,FALSE))</f>
        <v xml:space="preserve">Jennet WALTON (1964 - :  #109a) Timothy WALTON (1967 - :  #109b) John BOYCE (1961 - :  #110a) Joanna BOYCE (1963 - :  #110b) Robert BOYCE (1964 - :  #110c) Paula BOYCE (1966 - :  #110d)         </v>
      </c>
      <c r="AG82" s="129">
        <f>IF(ISNA(VLOOKUP(A82,'Grandchildren of Male Loyds'!$AQ$3:$AR$60,2,FALSE)),0,VLOOKUP(A82,'Grandchildren of Male Loyds'!$AQ$3:$AR$60,2,FALSE))+IF(ISNA(VLOOKUP(A82,'Grandchildren of Female Loyds'!$AX$5:$AY$50,2,FALSE)),0,VLOOKUP(A82,'Grandchildren of Female Loyds'!$AX$5:$AY$50,2,FALSE))+IF(ISNA(VLOOKUP(A82,'Grandchildren Loyd Daughters'!$BD$5:$BE$50,2,FALSE)),0,VLOOKUP(A82,'Grandchildren Loyd Daughters'!$BD$5:$BE$50,2,FALSE))</f>
        <v>13</v>
      </c>
      <c r="AH82" s="129" t="str">
        <f>VLOOKUP($U82,'Loyd List 1-190 - Edit'!$P$3:$AJ$220,21,FALSE)</f>
        <v>Mary Douglas Reid (Minnie) AULD (b. 3 Aug 1850, d. May 1938)</v>
      </c>
      <c r="AI82" s="129" t="str">
        <f>VLOOKUP(A82,'Updated Bios &amp; Spouse Details'!$A$1:$J$200,7,FALSE)</f>
        <v>Isabel Mary Beatrix PARKER (b. 22 Feb 1903, d. 13 Jan 1992)</v>
      </c>
      <c r="AJ82" s="130">
        <f>IF(VLOOKUP($A82,'Loyd List 1-190 - Edit'!$C$1:$AQ$220,'Book Details - NO EDIT'!AJ$1,FALSE)="","",(VLOOKUP($A82,'Loyd List 1-190 - Edit'!$C$1:$AQ$220,'Book Details - NO EDIT'!AJ$1,FALSE)))</f>
        <v>11471</v>
      </c>
      <c r="AK82" s="129" t="str">
        <f>VLOOKUP(A82,'Updated Bios &amp; Spouse Details'!$A$1:$J$200,8,FALSE)</f>
        <v>Married, at the Brompton Oratory, London SW7, Isabel 2nd daughter of Colonel John William Robinson PARKER CB, FSA, DL of Browsholme Hall, Clitheroe, Lancashire and of Alkincoats, Lancashire. Isabel buried with her husband at St Peter’s, Marlow.</v>
      </c>
      <c r="AL82" s="131" t="str">
        <f>VLOOKUP(A82,'Updated Bios &amp; Spouse Details'!$A$1:$J$200,5,FALSE)</f>
        <v>Eric lived at The Dene, Riverwoods, Marlow, Buckinghamshire and previously of Thurloe Square, London SW7 and was the only son of Arthur (1845–1930: #29). Born 29 Sep 1894, baptised 9 Nov 1894 at St. James’s, Spanish Place, London W1. Educated Eton 1908-12 and Magdalen College, Oxford. Served in World War I in France and Balkans. Captain, Green Howards 1914-26. (Wounded Loos 1915) (despatches). Att. MGC. Selonica and South Russia 1916-19. Served in World War II as Captain Staff, War Office and Royal Hospital, Chelsea. Died 19 Apr 1963, buried at St Peter’s, Marlow. Issue: 2 sons, 2 daughters.</v>
      </c>
      <c r="AM82" s="105" t="str">
        <f>IF(AND(LEN(H82)&gt;0,ISNA(IF(K82="Boy",VLOOKUP(A82,'Siblings of those BORN Loyd'!$AP$3:$AQ$70,2,FALSE),VLOOKUP(A82,'Children of Female Loyds'!$AR$5:$AS$60,2,FALSE)))),"d.s.p","")</f>
        <v/>
      </c>
      <c r="AN82" s="99" t="str">
        <f t="shared" si="41"/>
        <v>Arthur (1845–1930: #29)</v>
      </c>
      <c r="AO82" s="99" t="str">
        <f t="shared" si="46"/>
        <v>Thomas (1812–1857: #14)</v>
      </c>
      <c r="AP82" s="99" t="str">
        <f t="shared" si="47"/>
        <v>William (1770–1828: #4)</v>
      </c>
      <c r="AQ82" s="99" t="str">
        <f t="shared" si="48"/>
        <v>William (1729–1800: #1)</v>
      </c>
      <c r="AR82" s="99" t="str">
        <f t="shared" si="49"/>
        <v/>
      </c>
      <c r="AS82" s="99" t="str">
        <f t="shared" si="50"/>
        <v/>
      </c>
      <c r="AT82" s="99" t="str">
        <f t="shared" si="51"/>
        <v/>
      </c>
      <c r="AU82" s="99" t="str">
        <f t="shared" si="52"/>
        <v/>
      </c>
      <c r="AW82" s="116" t="str">
        <f>VLOOKUP(A82,'Updated Bios &amp; Spouse Details'!$A$1:$J$193,6,FALSE)</f>
        <v>England, France and some Balkan states.</v>
      </c>
      <c r="AX82" s="131">
        <f>VLOOKUP($A82,'Loyd List 1-190 - Edit'!$P$2:$AQ$220,AX$1,FALSE)</f>
        <v>80</v>
      </c>
      <c r="AY82" s="116" t="str">
        <f>IF(ISNA(VLOOKUP(A82,'Data check lookup table'!$G$2:$V$73,13,FALSE))," - ",VLOOKUP(A82,'Data check lookup table'!$G$2:$V$73,13,FALSE))</f>
        <v xml:space="preserve"> - </v>
      </c>
      <c r="AZ82" s="147" t="str">
        <f t="shared" si="42"/>
        <v>19/04/1963</v>
      </c>
      <c r="BA82" s="99" t="str">
        <f t="shared" si="43"/>
        <v/>
      </c>
      <c r="BB82" s="99" t="str">
        <f t="shared" si="44"/>
        <v/>
      </c>
      <c r="BI82" s="147" t="s">
        <v>3212</v>
      </c>
    </row>
    <row r="83" spans="1:61" s="99" customFormat="1" ht="51">
      <c r="A83" s="139">
        <f>'Loyd List 1-190 - Edit'!C83</f>
        <v>81</v>
      </c>
      <c r="B83" s="99" t="str">
        <f>VLOOKUP($A83,'Loyd List 1-190 - Edit'!$C$1:$AQ$220,'Book Details - NO EDIT'!B$1,FALSE)</f>
        <v>Reginald</v>
      </c>
      <c r="C83" s="99" t="str">
        <f>IF(VLOOKUP($A83,'Loyd List 1-190 - Edit'!$C$1:$AQ$220,'Book Details - NO EDIT'!C$1,FALSE)="","",VLOOKUP($A83,'Loyd List 1-190 - Edit'!$C$1:$AQ$220,'Book Details - NO EDIT'!C$1,FALSE))</f>
        <v>Percy</v>
      </c>
      <c r="D83" s="99" t="str">
        <f>IF(VLOOKUP($A83,'Loyd List 1-190 - Edit'!$C$1:$AQ$220,'Book Details - NO EDIT'!D$1,FALSE)="","",VLOOKUP($A83,'Loyd List 1-190 - Edit'!$C$1:$AQ$220,'Book Details - NO EDIT'!D$1,FALSE))</f>
        <v/>
      </c>
      <c r="E83" s="99" t="str">
        <f>IF(VLOOKUP($A83,'Loyd List 1-190 - Edit'!$C$1:$AQ$220,'Book Details - NO EDIT'!E$1,FALSE)="","",VLOOKUP($A83,'Loyd List 1-190 - Edit'!$C$1:$AQ$220,'Book Details - NO EDIT'!E$1,FALSE))</f>
        <v>LOYD</v>
      </c>
      <c r="F83" s="99" t="str">
        <f>IF(VLOOKUP($A83,'Loyd List 1-190 - Edit'!$C$1:$AQ$220,'Book Details - NO EDIT'!F$1,FALSE)="",B83,VLOOKUP($A83,'Loyd List 1-190 - Edit'!$C$1:$AQ$220,'Book Details - NO EDIT'!F$1,FALSE))</f>
        <v>Reginald</v>
      </c>
      <c r="G83" s="140">
        <f>IF(VLOOKUP($A83,'Loyd List 1-190 - Edit'!$C$1:$AQ$220,'Book Details - NO EDIT'!G$1,FALSE)="","",VALUE(VLOOKUP($A83,'Loyd List 1-190 - Edit'!$C$1:$AQ$220,'Book Details - NO EDIT'!G$1,FALSE)))</f>
        <v>1885</v>
      </c>
      <c r="H83" s="140">
        <f>IF(VLOOKUP($A83,'Loyd List 1-190 - Edit'!$C$1:$AQ$220,'Book Details - NO EDIT'!H$1,FALSE)="","",VALUE(VLOOKUP($A83,'Loyd List 1-190 - Edit'!$C$1:$AQ$220,'Book Details - NO EDIT'!H$1,FALSE)))</f>
        <v>1917</v>
      </c>
      <c r="I83" s="141" t="str">
        <f>IF(VLOOKUP($A83,'Loyd List 1-190 - Edit'!$C$1:$AQ$220,'Book Details - NO EDIT'!I$1,FALSE)="","",(VLOOKUP($A83,'Loyd List 1-190 - Edit'!$C$1:$AQ$220,'Book Details - NO EDIT'!I$1,FALSE)))</f>
        <v>20/06/1885</v>
      </c>
      <c r="J83" s="141" t="str">
        <f>IF(VLOOKUP($A83,'Loyd List 1-190 - Edit'!$C$1:$AQ$220,'Book Details - NO EDIT'!J$1,FALSE)="","",(VLOOKUP($A83,'Loyd List 1-190 - Edit'!$C$1:$AQ$220,'Book Details - NO EDIT'!J$1,FALSE)))</f>
        <v>01/12/1917</v>
      </c>
      <c r="K83" s="100" t="str">
        <f>VLOOKUP($A83,'Loyd List 1-190 - Edit'!$C$1:$AQ$220,'Book Details - NO EDIT'!K$1,FALSE)</f>
        <v>Boy</v>
      </c>
      <c r="L83" s="140">
        <f>VLOOKUP($A83,'Loyd List 1-190 - Edit'!$C$1:$AQ$220,'Book Details - NO EDIT'!L$1,FALSE)</f>
        <v>44</v>
      </c>
      <c r="M83" s="140">
        <f t="shared" si="34"/>
        <v>23</v>
      </c>
      <c r="N83" s="140">
        <f t="shared" si="34"/>
        <v>8</v>
      </c>
      <c r="O83" s="140">
        <f t="shared" si="34"/>
        <v>1</v>
      </c>
      <c r="P83" s="140">
        <f t="shared" si="31"/>
        <v>0</v>
      </c>
      <c r="Q83" s="140" t="str">
        <f t="shared" si="31"/>
        <v/>
      </c>
      <c r="R83" s="140" t="str">
        <f t="shared" si="31"/>
        <v/>
      </c>
      <c r="S83" s="140" t="str">
        <f t="shared" si="35"/>
        <v/>
      </c>
      <c r="T83" s="140">
        <f t="shared" si="32"/>
        <v>4</v>
      </c>
      <c r="U83" s="139">
        <f t="shared" si="36"/>
        <v>81</v>
      </c>
      <c r="V83" s="31" t="str">
        <f t="shared" si="37"/>
        <v>Reginald (1885–1917)</v>
      </c>
      <c r="W83" s="31" t="str">
        <f t="shared" si="38"/>
        <v>Reginald (#81)</v>
      </c>
      <c r="X83" s="99" t="str">
        <f t="shared" si="39"/>
        <v>Reginald (1885–1917: #81)</v>
      </c>
      <c r="Y83" s="99" t="str">
        <f t="shared" si="33"/>
        <v>Reginald Percy LOYD</v>
      </c>
      <c r="Z83" s="99" t="str">
        <f t="shared" si="40"/>
        <v>Harry (1861–1938: #44)</v>
      </c>
      <c r="AA83" s="99" t="str">
        <f t="shared" si="45"/>
        <v xml:space="preserve">Harry (1861–1938: #44) William (1821–1885: #23) Edward (1780–1863: #8) William (1729–1800: #1)    </v>
      </c>
      <c r="AB83" s="142" t="str">
        <f>VLOOKUP(U83,'Siblings of those BORN Loyd'!$A$2:$G$230,7,FALSE)</f>
        <v xml:space="preserve">2 – William (1889–1947: #66) Charles (1891–1973: #72)       </v>
      </c>
      <c r="AC83" s="115" t="str">
        <f>IF(ISNA(IF(K83="Boy",VLOOKUP(A83,'Siblings of those BORN Loyd'!$AP$3:$AQ$70,2,FALSE),VLOOKUP(A83,'Children of Female Loyds'!$AR$5:$AT$60,3,FALSE))),AM83,IF(K83="Boy",VLOOKUP(A83,'Siblings of those BORN Loyd'!$AP$3:$AQ$70,2,FALSE),VLOOKUP(A83,'Children of Female Loyds'!$AR$5:$AT$60,3,FALSE)))</f>
        <v>d.s.p</v>
      </c>
      <c r="AD83" s="97" t="str">
        <f t="shared" si="53"/>
        <v>d.s.p.</v>
      </c>
      <c r="AE83" s="105" t="str">
        <f>IF(ISNA(IF(K83="Boy",VLOOKUP(A83,'Grandchildren of Male Loyds'!$AQ$3:$AS$51,3,FALSE),VLOOKUP(A83,'Grandchildren of Female Loyds'!$AX$5:$AZ$63,3,FALSE))),AM83,IF(K83="Boy",VLOOKUP(A83,'Grandchildren of Male Loyds'!$AQ$3:$AS$51,3,FALSE),VLOOKUP(A83,'Grandchildren of Female Loyds'!$AX$5:$AZ$63,3,FALSE)))</f>
        <v>d.s.p</v>
      </c>
      <c r="AF83" s="105" t="str">
        <f>IF(ISNA(VLOOKUP(A83,'Grandchildren Loyd Daughters'!$BD$5:$BF$50,4,FALSE)),"",VLOOKUP(A83,'Grandchildren Loyd Daughters'!$BD$5:$BF$50,3,FALSE))</f>
        <v/>
      </c>
      <c r="AG83" s="129">
        <f>IF(ISNA(VLOOKUP(A83,'Grandchildren of Male Loyds'!$AQ$3:$AR$60,2,FALSE)),0,VLOOKUP(A83,'Grandchildren of Male Loyds'!$AQ$3:$AR$60,2,FALSE))+IF(ISNA(VLOOKUP(A83,'Grandchildren of Female Loyds'!$AX$5:$AY$50,2,FALSE)),0,VLOOKUP(A83,'Grandchildren of Female Loyds'!$AX$5:$AY$50,2,FALSE))+IF(ISNA(VLOOKUP(A83,'Grandchildren Loyd Daughters'!$BD$5:$BE$50,2,FALSE)),0,VLOOKUP(A83,'Grandchildren Loyd Daughters'!$BD$5:$BE$50,2,FALSE))</f>
        <v>0</v>
      </c>
      <c r="AH83" s="129" t="str">
        <f>VLOOKUP($U83,'Loyd List 1-190 - Edit'!$P$3:$AJ$220,21,FALSE)</f>
        <v>The Hon Clementina Georgina BROWNLOW (b. 13 Jan 1868, d. 1 Sep 1929)</v>
      </c>
      <c r="AI83" s="129" t="str">
        <f>VLOOKUP(A83,'Updated Bios &amp; Spouse Details'!$A$1:$J$200,7,FALSE)</f>
        <v>Unmarried</v>
      </c>
      <c r="AJ83" s="130" t="str">
        <f>IF(VLOOKUP($A83,'Loyd List 1-190 - Edit'!$C$1:$AQ$220,'Book Details - NO EDIT'!AJ$1,FALSE)="","",(VLOOKUP($A83,'Loyd List 1-190 - Edit'!$C$1:$AQ$220,'Book Details - NO EDIT'!AJ$1,FALSE)))</f>
        <v xml:space="preserve"> - </v>
      </c>
      <c r="AK83" s="129" t="str">
        <f>VLOOKUP(A83,'Updated Bios &amp; Spouse Details'!$A$1:$J$200,8,FALSE)</f>
        <v xml:space="preserve"> - </v>
      </c>
      <c r="AL83" s="131" t="str">
        <f>VLOOKUP(A83,'Updated Bios &amp; Spouse Details'!$A$1:$J$200,5,FALSE)</f>
        <v>Reginald was the 3rd and youngest son of Edward (1861–1938: #44) Born 20 Jun 1895. Educated Eton 1909-14. Served in World War I in France as Captain, Coldstream Guards MC. Killed in action at Gonnelieu 1 Dec 1917. Buried at Metz-en-Couture communal cemetery, British extension, France. Grave Ref. II.I.15. Died unmarried and DSP</v>
      </c>
      <c r="AM83" s="105" t="str">
        <f>IF(AND(LEN(H83)&gt;0,ISNA(IF(K83="Boy",VLOOKUP(A83,'Siblings of those BORN Loyd'!$AP$3:$AQ$70,2,FALSE),VLOOKUP(A83,'Children of Female Loyds'!$AR$5:$AS$60,2,FALSE)))),"d.s.p","")</f>
        <v>d.s.p</v>
      </c>
      <c r="AN83" s="99" t="str">
        <f t="shared" si="41"/>
        <v>Harry (1861–1938: #44)</v>
      </c>
      <c r="AO83" s="99" t="str">
        <f t="shared" si="46"/>
        <v>William (1821–1885: #23)</v>
      </c>
      <c r="AP83" s="99" t="str">
        <f t="shared" si="47"/>
        <v>Edward (1780–1863: #8)</v>
      </c>
      <c r="AQ83" s="99" t="str">
        <f t="shared" si="48"/>
        <v>William (1729–1800: #1)</v>
      </c>
      <c r="AR83" s="99" t="str">
        <f t="shared" si="49"/>
        <v/>
      </c>
      <c r="AS83" s="99" t="str">
        <f t="shared" si="50"/>
        <v/>
      </c>
      <c r="AT83" s="99" t="str">
        <f t="shared" si="51"/>
        <v/>
      </c>
      <c r="AU83" s="99" t="str">
        <f t="shared" si="52"/>
        <v/>
      </c>
      <c r="AW83" s="116" t="str">
        <f>VLOOKUP(A83,'Updated Bios &amp; Spouse Details'!$A$1:$J$193,6,FALSE)</f>
        <v>England</v>
      </c>
      <c r="AX83" s="131">
        <f>VLOOKUP($A83,'Loyd List 1-190 - Edit'!$P$2:$AQ$220,AX$1,FALSE)</f>
        <v>81</v>
      </c>
      <c r="AY83" s="116" t="str">
        <f>IF(ISNA(VLOOKUP(A83,'Data check lookup table'!$G$2:$V$73,13,FALSE))," - ",VLOOKUP(A83,'Data check lookup table'!$G$2:$V$73,13,FALSE))</f>
        <v xml:space="preserve"> - </v>
      </c>
      <c r="AZ83" s="147" t="str">
        <f t="shared" si="42"/>
        <v>01/12/1917</v>
      </c>
      <c r="BA83" s="99" t="str">
        <f t="shared" si="43"/>
        <v/>
      </c>
      <c r="BB83" s="99" t="str">
        <f t="shared" si="44"/>
        <v/>
      </c>
      <c r="BI83" s="147" t="s">
        <v>3207</v>
      </c>
    </row>
    <row r="84" spans="1:61" s="99" customFormat="1" ht="68">
      <c r="A84" s="139">
        <f>'Loyd List 1-190 - Edit'!C84</f>
        <v>82</v>
      </c>
      <c r="B84" s="99" t="str">
        <f>VLOOKUP($A84,'Loyd List 1-190 - Edit'!$C$1:$AQ$220,'Book Details - NO EDIT'!B$1,FALSE)</f>
        <v>Wilfred</v>
      </c>
      <c r="C84" s="99" t="str">
        <f>IF(VLOOKUP($A84,'Loyd List 1-190 - Edit'!$C$1:$AQ$220,'Book Details - NO EDIT'!C$1,FALSE)="","",VLOOKUP($A84,'Loyd List 1-190 - Edit'!$C$1:$AQ$220,'Book Details - NO EDIT'!C$1,FALSE))</f>
        <v>Everard</v>
      </c>
      <c r="D84" s="99" t="str">
        <f>IF(VLOOKUP($A84,'Loyd List 1-190 - Edit'!$C$1:$AQ$220,'Book Details - NO EDIT'!D$1,FALSE)="","",VLOOKUP($A84,'Loyd List 1-190 - Edit'!$C$1:$AQ$220,'Book Details - NO EDIT'!D$1,FALSE))</f>
        <v/>
      </c>
      <c r="E84" s="99" t="str">
        <f>IF(VLOOKUP($A84,'Loyd List 1-190 - Edit'!$C$1:$AQ$220,'Book Details - NO EDIT'!E$1,FALSE)="","",VLOOKUP($A84,'Loyd List 1-190 - Edit'!$C$1:$AQ$220,'Book Details - NO EDIT'!E$1,FALSE))</f>
        <v>LOYD</v>
      </c>
      <c r="F84" s="99" t="str">
        <f>IF(VLOOKUP($A84,'Loyd List 1-190 - Edit'!$C$1:$AQ$220,'Book Details - NO EDIT'!F$1,FALSE)="",B84,VLOOKUP($A84,'Loyd List 1-190 - Edit'!$C$1:$AQ$220,'Book Details - NO EDIT'!F$1,FALSE))</f>
        <v>Wilfred</v>
      </c>
      <c r="G84" s="140">
        <f>IF(VLOOKUP($A84,'Loyd List 1-190 - Edit'!$C$1:$AQ$220,'Book Details - NO EDIT'!G$1,FALSE)="","",VALUE(VLOOKUP($A84,'Loyd List 1-190 - Edit'!$C$1:$AQ$220,'Book Details - NO EDIT'!G$1,FALSE)))</f>
        <v>1896</v>
      </c>
      <c r="H84" s="140">
        <f>IF(VLOOKUP($A84,'Loyd List 1-190 - Edit'!$C$1:$AQ$220,'Book Details - NO EDIT'!H$1,FALSE)="","",VALUE(VLOOKUP($A84,'Loyd List 1-190 - Edit'!$C$1:$AQ$220,'Book Details - NO EDIT'!H$1,FALSE)))</f>
        <v>1955</v>
      </c>
      <c r="I84" s="141" t="str">
        <f>IF(VLOOKUP($A84,'Loyd List 1-190 - Edit'!$C$1:$AQ$220,'Book Details - NO EDIT'!I$1,FALSE)="","",(VLOOKUP($A84,'Loyd List 1-190 - Edit'!$C$1:$AQ$220,'Book Details - NO EDIT'!I$1,FALSE)))</f>
        <v>14/07/1896</v>
      </c>
      <c r="J84" s="141" t="str">
        <f>IF(VLOOKUP($A84,'Loyd List 1-190 - Edit'!$C$1:$AQ$220,'Book Details - NO EDIT'!J$1,FALSE)="","",(VLOOKUP($A84,'Loyd List 1-190 - Edit'!$C$1:$AQ$220,'Book Details - NO EDIT'!J$1,FALSE)))</f>
        <v>11/10/1955</v>
      </c>
      <c r="K84" s="100" t="str">
        <f>VLOOKUP($A84,'Loyd List 1-190 - Edit'!$C$1:$AQ$220,'Book Details - NO EDIT'!K$1,FALSE)</f>
        <v>Boy</v>
      </c>
      <c r="L84" s="140">
        <f>VLOOKUP($A84,'Loyd List 1-190 - Edit'!$C$1:$AQ$220,'Book Details - NO EDIT'!L$1,FALSE)</f>
        <v>46</v>
      </c>
      <c r="M84" s="140">
        <f t="shared" si="34"/>
        <v>23</v>
      </c>
      <c r="N84" s="140">
        <f t="shared" si="34"/>
        <v>8</v>
      </c>
      <c r="O84" s="140">
        <f t="shared" si="34"/>
        <v>1</v>
      </c>
      <c r="P84" s="140">
        <f t="shared" si="31"/>
        <v>0</v>
      </c>
      <c r="Q84" s="140" t="str">
        <f t="shared" si="31"/>
        <v/>
      </c>
      <c r="R84" s="140" t="str">
        <f t="shared" si="31"/>
        <v/>
      </c>
      <c r="S84" s="140" t="str">
        <f t="shared" si="35"/>
        <v/>
      </c>
      <c r="T84" s="140">
        <f t="shared" si="32"/>
        <v>4</v>
      </c>
      <c r="U84" s="139">
        <f t="shared" si="36"/>
        <v>82</v>
      </c>
      <c r="V84" s="31" t="str">
        <f t="shared" si="37"/>
        <v>Wilfred (1896–1955)</v>
      </c>
      <c r="W84" s="31" t="str">
        <f t="shared" si="38"/>
        <v>Wilfred (#82)</v>
      </c>
      <c r="X84" s="99" t="str">
        <f t="shared" si="39"/>
        <v>Wilfred (1896–1955: #82)</v>
      </c>
      <c r="Y84" s="99" t="str">
        <f t="shared" si="33"/>
        <v>Wilfred Everard LOYD</v>
      </c>
      <c r="Z84" s="99" t="str">
        <f t="shared" si="40"/>
        <v>William (1863–1923: #46)</v>
      </c>
      <c r="AA84" s="99" t="str">
        <f t="shared" si="45"/>
        <v xml:space="preserve">William (1863–1923: #46) William (1821–1885: #23) Edward (1780–1863: #8) William (1729–1800: #1)    </v>
      </c>
      <c r="AB84" s="142" t="str">
        <f>VLOOKUP(U84,'Siblings of those BORN Loyd'!$A$2:$G$230,7,FALSE)</f>
        <v xml:space="preserve">4 – Diana (1890–1963: #70) Godfrey (1893–1917: #75) Vivian (1894–1972: #78)  Eddie (1902–1942: #84)    </v>
      </c>
      <c r="AC84" s="115" t="str">
        <f>IF(ISNA(IF(K84="Boy",VLOOKUP(A84,'Siblings of those BORN Loyd'!$AP$3:$AQ$70,2,FALSE),VLOOKUP(A84,'Children of Female Loyds'!$AR$5:$AT$60,3,FALSE))),AM84,IF(K84="Boy",VLOOKUP(A84,'Siblings of those BORN Loyd'!$AP$3:$AQ$70,2,FALSE),VLOOKUP(A84,'Children of Female Loyds'!$AR$5:$AT$60,3,FALSE)))</f>
        <v>d.s.p</v>
      </c>
      <c r="AD84" s="97" t="str">
        <f t="shared" si="53"/>
        <v>d.s.p.</v>
      </c>
      <c r="AE84" s="105" t="str">
        <f>IF(ISNA(IF(K84="Boy",VLOOKUP(A84,'Grandchildren of Male Loyds'!$AQ$3:$AS$51,3,FALSE),VLOOKUP(A84,'Grandchildren of Female Loyds'!$AX$5:$AZ$63,3,FALSE))),AM84,IF(K84="Boy",VLOOKUP(A84,'Grandchildren of Male Loyds'!$AQ$3:$AS$51,3,FALSE),VLOOKUP(A84,'Grandchildren of Female Loyds'!$AX$5:$AZ$63,3,FALSE)))</f>
        <v>d.s.p</v>
      </c>
      <c r="AF84" s="105" t="str">
        <f>IF(ISNA(VLOOKUP(A84,'Grandchildren Loyd Daughters'!$BD$5:$BF$50,4,FALSE)),"",VLOOKUP(A84,'Grandchildren Loyd Daughters'!$BD$5:$BF$50,3,FALSE))</f>
        <v/>
      </c>
      <c r="AG84" s="129">
        <f>IF(ISNA(VLOOKUP(A84,'Grandchildren of Male Loyds'!$AQ$3:$AR$60,2,FALSE)),0,VLOOKUP(A84,'Grandchildren of Male Loyds'!$AQ$3:$AR$60,2,FALSE))+IF(ISNA(VLOOKUP(A84,'Grandchildren of Female Loyds'!$AX$5:$AY$50,2,FALSE)),0,VLOOKUP(A84,'Grandchildren of Female Loyds'!$AX$5:$AY$50,2,FALSE))+IF(ISNA(VLOOKUP(A84,'Grandchildren Loyd Daughters'!$BD$5:$BE$50,2,FALSE)),0,VLOOKUP(A84,'Grandchildren Loyd Daughters'!$BD$5:$BE$50,2,FALSE))</f>
        <v>0</v>
      </c>
      <c r="AH84" s="129" t="str">
        <f>VLOOKUP($U84,'Loyd List 1-190 - Edit'!$P$3:$AJ$220,21,FALSE)</f>
        <v xml:space="preserve">Emily Diana Maria BEAUMONT (b. 25 Dec 1860, d. 4 Jul 1956) </v>
      </c>
      <c r="AI84" s="129" t="str">
        <f>VLOOKUP(A84,'Updated Bios &amp; Spouse Details'!$A$1:$J$200,7,FALSE)</f>
        <v>Unmarried</v>
      </c>
      <c r="AJ84" s="130" t="str">
        <f>IF(VLOOKUP($A84,'Loyd List 1-190 - Edit'!$C$1:$AQ$220,'Book Details - NO EDIT'!AJ$1,FALSE)="","",(VLOOKUP($A84,'Loyd List 1-190 - Edit'!$C$1:$AQ$220,'Book Details - NO EDIT'!AJ$1,FALSE)))</f>
        <v xml:space="preserve"> - </v>
      </c>
      <c r="AK84" s="129" t="str">
        <f>VLOOKUP(A84,'Updated Bios &amp; Spouse Details'!$A$1:$J$200,8,FALSE)</f>
        <v xml:space="preserve"> - </v>
      </c>
      <c r="AL84" s="131" t="str">
        <f>VLOOKUP(A84,'Updated Bios &amp; Spouse Details'!$A$1:$J$200,5,FALSE)</f>
        <v>Wilfred was the 3rd son of William (1863–1923: #46). Born 14 Jul 1896. Captain, Royal Engineers MC. "Gazette Issue No. 30251 – Military Cross. His Majesty the King has been graciously pleased to confer the Military Cross on the undermentioned Officers and Warrant Officers in recognition of their gallantry and devotion to duty In the Field. For conspicuous gallantry and devotion to duty whilst consolidating positions. He showed great gallantry and determination, carrying on his work in spite of heavy hostile shelling, and setting a splendid example by his disregard for his personal safety. His work on all occasions has been excellent." Wilfred died, unmarried, 11 Oct 1955. DSP</v>
      </c>
      <c r="AM84" s="105" t="str">
        <f>IF(AND(LEN(H84)&gt;0,ISNA(IF(K84="Boy",VLOOKUP(A84,'Siblings of those BORN Loyd'!$AP$3:$AQ$70,2,FALSE),VLOOKUP(A84,'Children of Female Loyds'!$AR$5:$AS$60,2,FALSE)))),"d.s.p","")</f>
        <v>d.s.p</v>
      </c>
      <c r="AN84" s="99" t="str">
        <f t="shared" si="41"/>
        <v>William (1863–1923: #46)</v>
      </c>
      <c r="AO84" s="99" t="str">
        <f t="shared" si="46"/>
        <v>William (1821–1885: #23)</v>
      </c>
      <c r="AP84" s="99" t="str">
        <f t="shared" si="47"/>
        <v>Edward (1780–1863: #8)</v>
      </c>
      <c r="AQ84" s="99" t="str">
        <f t="shared" si="48"/>
        <v>William (1729–1800: #1)</v>
      </c>
      <c r="AR84" s="99" t="str">
        <f t="shared" si="49"/>
        <v/>
      </c>
      <c r="AS84" s="99" t="str">
        <f t="shared" si="50"/>
        <v/>
      </c>
      <c r="AT84" s="99" t="str">
        <f t="shared" si="51"/>
        <v/>
      </c>
      <c r="AU84" s="99" t="str">
        <f t="shared" si="52"/>
        <v/>
      </c>
      <c r="AW84" s="116" t="str">
        <f>VLOOKUP(A84,'Updated Bios &amp; Spouse Details'!$A$1:$J$193,6,FALSE)</f>
        <v>England</v>
      </c>
      <c r="AX84" s="131">
        <f>VLOOKUP($A84,'Loyd List 1-190 - Edit'!$P$2:$AQ$220,AX$1,FALSE)</f>
        <v>82</v>
      </c>
      <c r="AY84" s="116" t="str">
        <f>IF(ISNA(VLOOKUP(A84,'Data check lookup table'!$G$2:$V$73,13,FALSE))," - ",VLOOKUP(A84,'Data check lookup table'!$G$2:$V$73,13,FALSE))</f>
        <v xml:space="preserve"> - </v>
      </c>
      <c r="AZ84" s="147" t="str">
        <f t="shared" si="42"/>
        <v>11/10/1955</v>
      </c>
      <c r="BA84" s="99" t="str">
        <f t="shared" si="43"/>
        <v/>
      </c>
      <c r="BB84" s="99" t="str">
        <f t="shared" si="44"/>
        <v/>
      </c>
      <c r="BI84" s="147" t="s">
        <v>3213</v>
      </c>
    </row>
    <row r="85" spans="1:61" s="99" customFormat="1" ht="85">
      <c r="A85" s="139">
        <f>'Loyd List 1-190 - Edit'!C85</f>
        <v>83</v>
      </c>
      <c r="B85" s="99" t="str">
        <f>VLOOKUP($A85,'Loyd List 1-190 - Edit'!$C$1:$AQ$220,'Book Details - NO EDIT'!B$1,FALSE)</f>
        <v>Ruby</v>
      </c>
      <c r="C85" s="99" t="str">
        <f>IF(VLOOKUP($A85,'Loyd List 1-190 - Edit'!$C$1:$AQ$220,'Book Details - NO EDIT'!C$1,FALSE)="","",VLOOKUP($A85,'Loyd List 1-190 - Edit'!$C$1:$AQ$220,'Book Details - NO EDIT'!C$1,FALSE))</f>
        <v>May</v>
      </c>
      <c r="D85" s="99" t="str">
        <f>IF(VLOOKUP($A85,'Loyd List 1-190 - Edit'!$C$1:$AQ$220,'Book Details - NO EDIT'!D$1,FALSE)="","",VLOOKUP($A85,'Loyd List 1-190 - Edit'!$C$1:$AQ$220,'Book Details - NO EDIT'!D$1,FALSE))</f>
        <v/>
      </c>
      <c r="E85" s="99" t="str">
        <f>IF(VLOOKUP($A85,'Loyd List 1-190 - Edit'!$C$1:$AQ$220,'Book Details - NO EDIT'!E$1,FALSE)="","",VLOOKUP($A85,'Loyd List 1-190 - Edit'!$C$1:$AQ$220,'Book Details - NO EDIT'!E$1,FALSE))</f>
        <v>LOYD</v>
      </c>
      <c r="F85" s="99" t="str">
        <f>IF(VLOOKUP($A85,'Loyd List 1-190 - Edit'!$C$1:$AQ$220,'Book Details - NO EDIT'!F$1,FALSE)="",B85,VLOOKUP($A85,'Loyd List 1-190 - Edit'!$C$1:$AQ$220,'Book Details - NO EDIT'!F$1,FALSE))</f>
        <v>Ruby</v>
      </c>
      <c r="G85" s="140">
        <f>IF(VLOOKUP($A85,'Loyd List 1-190 - Edit'!$C$1:$AQ$220,'Book Details - NO EDIT'!G$1,FALSE)="","",VALUE(VLOOKUP($A85,'Loyd List 1-190 - Edit'!$C$1:$AQ$220,'Book Details - NO EDIT'!G$1,FALSE)))</f>
        <v>1898</v>
      </c>
      <c r="H85" s="140">
        <f>IF(VLOOKUP($A85,'Loyd List 1-190 - Edit'!$C$1:$AQ$220,'Book Details - NO EDIT'!H$1,FALSE)="","",VALUE(VLOOKUP($A85,'Loyd List 1-190 - Edit'!$C$1:$AQ$220,'Book Details - NO EDIT'!H$1,FALSE)))</f>
        <v>1977</v>
      </c>
      <c r="I85" s="141" t="str">
        <f>IF(VLOOKUP($A85,'Loyd List 1-190 - Edit'!$C$1:$AQ$220,'Book Details - NO EDIT'!I$1,FALSE)="","",(VLOOKUP($A85,'Loyd List 1-190 - Edit'!$C$1:$AQ$220,'Book Details - NO EDIT'!I$1,FALSE)))</f>
        <v>11/05/1898</v>
      </c>
      <c r="J85" s="141" t="str">
        <f>IF(VLOOKUP($A85,'Loyd List 1-190 - Edit'!$C$1:$AQ$220,'Book Details - NO EDIT'!J$1,FALSE)="","",(VLOOKUP($A85,'Loyd List 1-190 - Edit'!$C$1:$AQ$220,'Book Details - NO EDIT'!J$1,FALSE)))</f>
        <v>04/06/1977</v>
      </c>
      <c r="K85" s="100" t="str">
        <f>VLOOKUP($A85,'Loyd List 1-190 - Edit'!$C$1:$AQ$220,'Book Details - NO EDIT'!K$1,FALSE)</f>
        <v>Girl</v>
      </c>
      <c r="L85" s="140">
        <f>VLOOKUP($A85,'Loyd List 1-190 - Edit'!$C$1:$AQ$220,'Book Details - NO EDIT'!L$1,FALSE)</f>
        <v>45</v>
      </c>
      <c r="M85" s="140">
        <f t="shared" si="34"/>
        <v>22</v>
      </c>
      <c r="N85" s="140">
        <f t="shared" si="34"/>
        <v>8</v>
      </c>
      <c r="O85" s="140">
        <f t="shared" si="34"/>
        <v>1</v>
      </c>
      <c r="P85" s="140">
        <f t="shared" si="31"/>
        <v>0</v>
      </c>
      <c r="Q85" s="140" t="str">
        <f t="shared" si="31"/>
        <v/>
      </c>
      <c r="R85" s="140" t="str">
        <f t="shared" si="31"/>
        <v/>
      </c>
      <c r="S85" s="140" t="str">
        <f t="shared" si="35"/>
        <v/>
      </c>
      <c r="T85" s="140">
        <f t="shared" si="32"/>
        <v>4</v>
      </c>
      <c r="U85" s="139">
        <f t="shared" si="36"/>
        <v>83</v>
      </c>
      <c r="V85" s="31" t="str">
        <f t="shared" si="37"/>
        <v>Ruby (1898–1977)</v>
      </c>
      <c r="W85" s="31" t="str">
        <f t="shared" si="38"/>
        <v>Ruby (#83)</v>
      </c>
      <c r="X85" s="99" t="str">
        <f t="shared" si="39"/>
        <v>Ruby (1898–1977: #83)</v>
      </c>
      <c r="Y85" s="99" t="str">
        <f t="shared" si="33"/>
        <v>Ruby May LOYD</v>
      </c>
      <c r="Z85" s="99" t="str">
        <f t="shared" si="40"/>
        <v>Llewellyn (1861–1939: #45)</v>
      </c>
      <c r="AA85" s="99" t="str">
        <f t="shared" si="45"/>
        <v xml:space="preserve">Llewellyn (1861–1939: #45) Edward (1820–1890: #22) Edward (1780–1863: #8) William (1729–1800: #1)    </v>
      </c>
      <c r="AB85" s="142" t="str">
        <f>VLOOKUP(U85,'Siblings of those BORN Loyd'!$A$2:$G$230,7,FALSE)</f>
        <v xml:space="preserve">3 – Cecil (1890–1963: #68) Eric (1891–1967: #73) Alwyne (1894–1917: #79)      </v>
      </c>
      <c r="AC85" s="115" t="str">
        <f>IF(ISNA(IF(K85="Boy",VLOOKUP(A85,'Siblings of those BORN Loyd'!$AP$3:$AQ$70,2,FALSE),VLOOKUP(A85,'Children of Female Loyds'!$AR$5:$AT$60,3,FALSE))),AM85,IF(K85="Boy",VLOOKUP(A85,'Siblings of those BORN Loyd'!$AP$3:$AQ$70,2,FALSE),VLOOKUP(A85,'Children of Female Loyds'!$AR$5:$AT$60,3,FALSE)))</f>
        <v>d.s.p</v>
      </c>
      <c r="AD85" s="97" t="str">
        <f t="shared" si="53"/>
        <v>d.s.p.</v>
      </c>
      <c r="AE85" s="105" t="str">
        <f>IF(ISNA(IF(K85="Boy",VLOOKUP(A85,'Grandchildren of Male Loyds'!$AQ$3:$AS$51,3,FALSE),VLOOKUP(A85,'Grandchildren of Female Loyds'!$AX$5:$AZ$63,3,FALSE))),AM85,IF(K85="Boy",VLOOKUP(A85,'Grandchildren of Male Loyds'!$AQ$3:$AS$51,3,FALSE),VLOOKUP(A85,'Grandchildren of Female Loyds'!$AX$5:$AZ$63,3,FALSE)))</f>
        <v>d.s.p</v>
      </c>
      <c r="AF85" s="105" t="str">
        <f>IF(ISNA(VLOOKUP(A85,'Grandchildren Loyd Daughters'!$BD$5:$BF$50,4,FALSE)),"",VLOOKUP(A85,'Grandchildren Loyd Daughters'!$BD$5:$BF$50,3,FALSE))</f>
        <v/>
      </c>
      <c r="AG85" s="129">
        <f>IF(ISNA(VLOOKUP(A85,'Grandchildren of Male Loyds'!$AQ$3:$AR$60,2,FALSE)),0,VLOOKUP(A85,'Grandchildren of Male Loyds'!$AQ$3:$AR$60,2,FALSE))+IF(ISNA(VLOOKUP(A85,'Grandchildren of Female Loyds'!$AX$5:$AY$50,2,FALSE)),0,VLOOKUP(A85,'Grandchildren of Female Loyds'!$AX$5:$AY$50,2,FALSE))+IF(ISNA(VLOOKUP(A85,'Grandchildren Loyd Daughters'!$BD$5:$BE$50,2,FALSE)),0,VLOOKUP(A85,'Grandchildren Loyd Daughters'!$BD$5:$BE$50,2,FALSE))</f>
        <v>0</v>
      </c>
      <c r="AH85" s="129" t="str">
        <f>VLOOKUP($U85,'Loyd List 1-190 - Edit'!$P$3:$AJ$220,21,FALSE)</f>
        <v>Rebecca Olivia LEWIS (b.13 Aug 1860, d. 18 Mar 1927)</v>
      </c>
      <c r="AI85" s="129" t="str">
        <f>VLOOKUP(A85,'Updated Bios &amp; Spouse Details'!$A$1:$J$200,7,FALSE)</f>
        <v>Unmarried</v>
      </c>
      <c r="AJ85" s="130" t="str">
        <f>IF(VLOOKUP($A85,'Loyd List 1-190 - Edit'!$C$1:$AQ$220,'Book Details - NO EDIT'!AJ$1,FALSE)="","",(VLOOKUP($A85,'Loyd List 1-190 - Edit'!$C$1:$AQ$220,'Book Details - NO EDIT'!AJ$1,FALSE)))</f>
        <v xml:space="preserve"> - </v>
      </c>
      <c r="AK85" s="129" t="str">
        <f>VLOOKUP(A85,'Updated Bios &amp; Spouse Details'!$A$1:$J$200,8,FALSE)</f>
        <v xml:space="preserve"> - </v>
      </c>
      <c r="AL85" s="131" t="str">
        <f>VLOOKUP(A85,'Updated Bios &amp; Spouse Details'!$A$1:$J$200,5,FALSE)</f>
        <v>Ruby was the only daughter of Llewellyn (1861–1939: #45) of Lillesden House, Hawkhurst, Kent. Born 11 May 1898. Ruby was educated by governesses at home. At the outbreak of the Great War, the family home Lillesden, was used as a Red Cross Hospital between 1914-16 for Belgium soldiers and Ruby remembered running around, as a 16 year old helping the patients along with her mother Rebecca.  During this time Ruby took many photographs including pictures of the recouperating soldiers. Career: Joint headmistress, Mercers School, Hawkhurst, Kent, 1946-59. Ruby died unmarried on 4 Jun 1977 and was cremated and her ashes interred at Hawkhurst, Kent. DSP Ruby was affectionally known as 'Ruby-the-hat-Loyd' by her nephew and great nephews as she always wore a hat whenever they visited. Dominic (1953– : #131) great-nephew, has her photo album of life at Lillesden in 1916.</v>
      </c>
      <c r="AM85" s="105" t="str">
        <f>IF(AND(LEN(H85)&gt;0,ISNA(IF(K85="Boy",VLOOKUP(A85,'Siblings of those BORN Loyd'!$AP$3:$AQ$70,2,FALSE),VLOOKUP(A85,'Children of Female Loyds'!$AR$5:$AS$60,2,FALSE)))),"d.s.p","")</f>
        <v>d.s.p</v>
      </c>
      <c r="AN85" s="99" t="str">
        <f t="shared" si="41"/>
        <v>Llewellyn (1861–1939: #45)</v>
      </c>
      <c r="AO85" s="99" t="str">
        <f t="shared" si="46"/>
        <v>Edward (1820–1890: #22)</v>
      </c>
      <c r="AP85" s="99" t="str">
        <f t="shared" si="47"/>
        <v>Edward (1780–1863: #8)</v>
      </c>
      <c r="AQ85" s="99" t="str">
        <f t="shared" si="48"/>
        <v>William (1729–1800: #1)</v>
      </c>
      <c r="AR85" s="99" t="str">
        <f t="shared" si="49"/>
        <v/>
      </c>
      <c r="AS85" s="99" t="str">
        <f t="shared" si="50"/>
        <v/>
      </c>
      <c r="AT85" s="99" t="str">
        <f t="shared" si="51"/>
        <v/>
      </c>
      <c r="AU85" s="99" t="str">
        <f t="shared" si="52"/>
        <v/>
      </c>
      <c r="AW85" s="116" t="str">
        <f>VLOOKUP(A85,'Updated Bios &amp; Spouse Details'!$A$1:$J$193,6,FALSE)</f>
        <v>England</v>
      </c>
      <c r="AX85" s="131">
        <f>VLOOKUP($A85,'Loyd List 1-190 - Edit'!$P$2:$AQ$220,AX$1,FALSE)</f>
        <v>83</v>
      </c>
      <c r="AY85" s="116" t="str">
        <f>IF(ISNA(VLOOKUP(A85,'Data check lookup table'!$G$2:$V$73,13,FALSE))," - ",VLOOKUP(A85,'Data check lookup table'!$G$2:$V$73,13,FALSE))</f>
        <v xml:space="preserve"> - </v>
      </c>
      <c r="AZ85" s="147" t="str">
        <f t="shared" si="42"/>
        <v>04/06/1977</v>
      </c>
      <c r="BA85" s="99" t="str">
        <f t="shared" si="43"/>
        <v/>
      </c>
      <c r="BB85" s="99" t="str">
        <f t="shared" si="44"/>
        <v/>
      </c>
      <c r="BI85" s="147" t="s">
        <v>3214</v>
      </c>
    </row>
    <row r="86" spans="1:61" s="99" customFormat="1" ht="34">
      <c r="A86" s="139">
        <f>'Loyd List 1-190 - Edit'!C86</f>
        <v>84</v>
      </c>
      <c r="B86" s="99" t="str">
        <f>VLOOKUP($A86,'Loyd List 1-190 - Edit'!$C$1:$AQ$220,'Book Details - NO EDIT'!B$1,FALSE)</f>
        <v>Edward</v>
      </c>
      <c r="C86" s="99" t="str">
        <f>IF(VLOOKUP($A86,'Loyd List 1-190 - Edit'!$C$1:$AQ$220,'Book Details - NO EDIT'!C$1,FALSE)="","",VLOOKUP($A86,'Loyd List 1-190 - Edit'!$C$1:$AQ$220,'Book Details - NO EDIT'!C$1,FALSE))</f>
        <v>Ernest</v>
      </c>
      <c r="D86" s="99" t="str">
        <f>IF(VLOOKUP($A86,'Loyd List 1-190 - Edit'!$C$1:$AQ$220,'Book Details - NO EDIT'!D$1,FALSE)="","",VLOOKUP($A86,'Loyd List 1-190 - Edit'!$C$1:$AQ$220,'Book Details - NO EDIT'!D$1,FALSE))</f>
        <v/>
      </c>
      <c r="E86" s="99" t="str">
        <f>IF(VLOOKUP($A86,'Loyd List 1-190 - Edit'!$C$1:$AQ$220,'Book Details - NO EDIT'!E$1,FALSE)="","",VLOOKUP($A86,'Loyd List 1-190 - Edit'!$C$1:$AQ$220,'Book Details - NO EDIT'!E$1,FALSE))</f>
        <v>LOYD</v>
      </c>
      <c r="F86" s="99" t="str">
        <f>IF(VLOOKUP($A86,'Loyd List 1-190 - Edit'!$C$1:$AQ$220,'Book Details - NO EDIT'!F$1,FALSE)="",B86,VLOOKUP($A86,'Loyd List 1-190 - Edit'!$C$1:$AQ$220,'Book Details - NO EDIT'!F$1,FALSE))</f>
        <v>Eddie</v>
      </c>
      <c r="G86" s="140">
        <f>IF(VLOOKUP($A86,'Loyd List 1-190 - Edit'!$C$1:$AQ$220,'Book Details - NO EDIT'!G$1,FALSE)="","",VALUE(VLOOKUP($A86,'Loyd List 1-190 - Edit'!$C$1:$AQ$220,'Book Details - NO EDIT'!G$1,FALSE)))</f>
        <v>1902</v>
      </c>
      <c r="H86" s="140">
        <f>IF(VLOOKUP($A86,'Loyd List 1-190 - Edit'!$C$1:$AQ$220,'Book Details - NO EDIT'!H$1,FALSE)="","",VALUE(VLOOKUP($A86,'Loyd List 1-190 - Edit'!$C$1:$AQ$220,'Book Details - NO EDIT'!H$1,FALSE)))</f>
        <v>1942</v>
      </c>
      <c r="I86" s="141">
        <f>IF(VLOOKUP($A86,'Loyd List 1-190 - Edit'!$C$1:$AQ$220,'Book Details - NO EDIT'!I$1,FALSE)="","",(VLOOKUP($A86,'Loyd List 1-190 - Edit'!$C$1:$AQ$220,'Book Details - NO EDIT'!I$1,FALSE)))</f>
        <v>873</v>
      </c>
      <c r="J86" s="141" t="str">
        <f>IF(VLOOKUP($A86,'Loyd List 1-190 - Edit'!$C$1:$AQ$220,'Book Details - NO EDIT'!J$1,FALSE)="","",(VLOOKUP($A86,'Loyd List 1-190 - Edit'!$C$1:$AQ$220,'Book Details - NO EDIT'!J$1,FALSE)))</f>
        <v>12/12/1942</v>
      </c>
      <c r="K86" s="100" t="str">
        <f>VLOOKUP($A86,'Loyd List 1-190 - Edit'!$C$1:$AQ$220,'Book Details - NO EDIT'!K$1,FALSE)</f>
        <v>Boy</v>
      </c>
      <c r="L86" s="140">
        <f>VLOOKUP($A86,'Loyd List 1-190 - Edit'!$C$1:$AQ$220,'Book Details - NO EDIT'!L$1,FALSE)</f>
        <v>46</v>
      </c>
      <c r="M86" s="140">
        <f t="shared" si="34"/>
        <v>23</v>
      </c>
      <c r="N86" s="140">
        <f t="shared" si="34"/>
        <v>8</v>
      </c>
      <c r="O86" s="140">
        <f t="shared" si="34"/>
        <v>1</v>
      </c>
      <c r="P86" s="140">
        <f t="shared" si="31"/>
        <v>0</v>
      </c>
      <c r="Q86" s="140" t="str">
        <f t="shared" si="31"/>
        <v/>
      </c>
      <c r="R86" s="140" t="str">
        <f t="shared" si="31"/>
        <v/>
      </c>
      <c r="S86" s="140" t="str">
        <f t="shared" si="35"/>
        <v/>
      </c>
      <c r="T86" s="140">
        <f t="shared" si="32"/>
        <v>4</v>
      </c>
      <c r="U86" s="139">
        <f t="shared" si="36"/>
        <v>84</v>
      </c>
      <c r="V86" s="31" t="str">
        <f t="shared" si="37"/>
        <v>Eddie (1902–1942)</v>
      </c>
      <c r="W86" s="31" t="str">
        <f t="shared" si="38"/>
        <v>Eddie (#84)</v>
      </c>
      <c r="X86" s="99" t="str">
        <f t="shared" si="39"/>
        <v>Eddie (1902–1942: #84)</v>
      </c>
      <c r="Y86" s="99" t="str">
        <f t="shared" si="33"/>
        <v>Edward Ernest LOYD</v>
      </c>
      <c r="Z86" s="99" t="str">
        <f t="shared" si="40"/>
        <v>William (1863–1923: #46)</v>
      </c>
      <c r="AA86" s="99" t="str">
        <f t="shared" si="45"/>
        <v xml:space="preserve">William (1863–1923: #46) William (1821–1885: #23) Edward (1780–1863: #8) William (1729–1800: #1)    </v>
      </c>
      <c r="AB86" s="142" t="str">
        <f>VLOOKUP(U86,'Siblings of those BORN Loyd'!$A$2:$G$230,7,FALSE)</f>
        <v xml:space="preserve">4 – Diana (1890–1963: #70) Godfrey (1893–1917: #75) Vivian (1894–1972: #78) Wilfred (1896–1955: #82)     </v>
      </c>
      <c r="AC86" s="115" t="str">
        <f>IF(ISNA(IF(K86="Boy",VLOOKUP(A86,'Siblings of those BORN Loyd'!$AP$3:$AQ$70,2,FALSE),VLOOKUP(A86,'Children of Female Loyds'!$AR$5:$AT$60,3,FALSE))),AM86,IF(K86="Boy",VLOOKUP(A86,'Siblings of those BORN Loyd'!$AP$3:$AQ$70,2,FALSE),VLOOKUP(A86,'Children of Female Loyds'!$AR$5:$AT$60,3,FALSE)))</f>
        <v>d.s.p</v>
      </c>
      <c r="AD86" s="97" t="str">
        <f t="shared" si="53"/>
        <v>d.s.p.</v>
      </c>
      <c r="AE86" s="105" t="str">
        <f>IF(ISNA(IF(K86="Boy",VLOOKUP(A86,'Grandchildren of Male Loyds'!$AQ$3:$AS$51,3,FALSE),VLOOKUP(A86,'Grandchildren of Female Loyds'!$AX$5:$AZ$63,3,FALSE))),AM86,IF(K86="Boy",VLOOKUP(A86,'Grandchildren of Male Loyds'!$AQ$3:$AS$51,3,FALSE),VLOOKUP(A86,'Grandchildren of Female Loyds'!$AX$5:$AZ$63,3,FALSE)))</f>
        <v>d.s.p</v>
      </c>
      <c r="AF86" s="105" t="str">
        <f>IF(ISNA(VLOOKUP(A86,'Grandchildren Loyd Daughters'!$BD$5:$BF$50,4,FALSE)),"",VLOOKUP(A86,'Grandchildren Loyd Daughters'!$BD$5:$BF$50,3,FALSE))</f>
        <v/>
      </c>
      <c r="AG86" s="129">
        <f>IF(ISNA(VLOOKUP(A86,'Grandchildren of Male Loyds'!$AQ$3:$AR$60,2,FALSE)),0,VLOOKUP(A86,'Grandchildren of Male Loyds'!$AQ$3:$AR$60,2,FALSE))+IF(ISNA(VLOOKUP(A86,'Grandchildren of Female Loyds'!$AX$5:$AY$50,2,FALSE)),0,VLOOKUP(A86,'Grandchildren of Female Loyds'!$AX$5:$AY$50,2,FALSE))+IF(ISNA(VLOOKUP(A86,'Grandchildren Loyd Daughters'!$BD$5:$BE$50,2,FALSE)),0,VLOOKUP(A86,'Grandchildren Loyd Daughters'!$BD$5:$BE$50,2,FALSE))</f>
        <v>0</v>
      </c>
      <c r="AH86" s="129" t="str">
        <f>VLOOKUP($U86,'Loyd List 1-190 - Edit'!$P$3:$AJ$220,21,FALSE)</f>
        <v xml:space="preserve">Emily Diana Maria BEAUMONT (b. 25 Dec 1860, d. 4 Jul 1956) </v>
      </c>
      <c r="AI86" s="129" t="str">
        <f>VLOOKUP(A86,'Updated Bios &amp; Spouse Details'!$A$1:$J$200,7,FALSE)</f>
        <v>Unmarried</v>
      </c>
      <c r="AJ86" s="130" t="str">
        <f>IF(VLOOKUP($A86,'Loyd List 1-190 - Edit'!$C$1:$AQ$220,'Book Details - NO EDIT'!AJ$1,FALSE)="","",(VLOOKUP($A86,'Loyd List 1-190 - Edit'!$C$1:$AQ$220,'Book Details - NO EDIT'!AJ$1,FALSE)))</f>
        <v xml:space="preserve"> - </v>
      </c>
      <c r="AK86" s="129" t="str">
        <f>VLOOKUP(A86,'Updated Bios &amp; Spouse Details'!$A$1:$J$200,8,FALSE)</f>
        <v xml:space="preserve"> - </v>
      </c>
      <c r="AL86" s="131" t="str">
        <f>VLOOKUP(A86,'Updated Bios &amp; Spouse Details'!$A$1:$J$200,5,FALSE)</f>
        <v>Edward, aka Eddie, was the 4th and youngest son of William (1863–1923: #46). Born 22 May 1902. Educated Eton 1916-18. Died, unmarried, 12 Dec 1942 after a long illness. DSP</v>
      </c>
      <c r="AM86" s="105" t="str">
        <f>IF(AND(LEN(H86)&gt;0,ISNA(IF(K86="Boy",VLOOKUP(A86,'Siblings of those BORN Loyd'!$AP$3:$AQ$70,2,FALSE),VLOOKUP(A86,'Children of Female Loyds'!$AR$5:$AS$60,2,FALSE)))),"d.s.p","")</f>
        <v>d.s.p</v>
      </c>
      <c r="AN86" s="99" t="str">
        <f t="shared" si="41"/>
        <v>William (1863–1923: #46)</v>
      </c>
      <c r="AO86" s="99" t="str">
        <f t="shared" si="46"/>
        <v>William (1821–1885: #23)</v>
      </c>
      <c r="AP86" s="99" t="str">
        <f t="shared" si="47"/>
        <v>Edward (1780–1863: #8)</v>
      </c>
      <c r="AQ86" s="99" t="str">
        <f t="shared" si="48"/>
        <v>William (1729–1800: #1)</v>
      </c>
      <c r="AR86" s="99" t="str">
        <f t="shared" si="49"/>
        <v/>
      </c>
      <c r="AS86" s="99" t="str">
        <f t="shared" si="50"/>
        <v/>
      </c>
      <c r="AT86" s="99" t="str">
        <f t="shared" si="51"/>
        <v/>
      </c>
      <c r="AU86" s="99" t="str">
        <f t="shared" si="52"/>
        <v/>
      </c>
      <c r="AW86" s="116" t="str">
        <f>VLOOKUP(A86,'Updated Bios &amp; Spouse Details'!$A$1:$J$193,6,FALSE)</f>
        <v>England</v>
      </c>
      <c r="AX86" s="131">
        <f>VLOOKUP($A86,'Loyd List 1-190 - Edit'!$P$2:$AQ$220,AX$1,FALSE)</f>
        <v>84</v>
      </c>
      <c r="AY86" s="116" t="str">
        <f>IF(ISNA(VLOOKUP(A86,'Data check lookup table'!$G$2:$V$73,13,FALSE))," - ",VLOOKUP(A86,'Data check lookup table'!$G$2:$V$73,13,FALSE))</f>
        <v xml:space="preserve"> - </v>
      </c>
      <c r="AZ86" s="147" t="str">
        <f t="shared" si="42"/>
        <v>12/12/1942</v>
      </c>
      <c r="BA86" s="99" t="str">
        <f t="shared" si="43"/>
        <v/>
      </c>
      <c r="BB86" s="99" t="str">
        <f t="shared" si="44"/>
        <v/>
      </c>
      <c r="BI86" s="147" t="s">
        <v>3159</v>
      </c>
    </row>
    <row r="87" spans="1:61" s="99" customFormat="1" ht="102">
      <c r="A87" s="139">
        <f>'Loyd List 1-190 - Edit'!C87</f>
        <v>85</v>
      </c>
      <c r="B87" s="99" t="str">
        <f>VLOOKUP($A87,'Loyd List 1-190 - Edit'!$C$1:$AQ$220,'Book Details - NO EDIT'!B$1,FALSE)</f>
        <v>Anne</v>
      </c>
      <c r="C87" s="99" t="str">
        <f>IF(VLOOKUP($A87,'Loyd List 1-190 - Edit'!$C$1:$AQ$220,'Book Details - NO EDIT'!C$1,FALSE)="","",VLOOKUP($A87,'Loyd List 1-190 - Edit'!$C$1:$AQ$220,'Book Details - NO EDIT'!C$1,FALSE))</f>
        <v/>
      </c>
      <c r="D87" s="99" t="str">
        <f>IF(VLOOKUP($A87,'Loyd List 1-190 - Edit'!$C$1:$AQ$220,'Book Details - NO EDIT'!D$1,FALSE)="","",VLOOKUP($A87,'Loyd List 1-190 - Edit'!$C$1:$AQ$220,'Book Details - NO EDIT'!D$1,FALSE))</f>
        <v/>
      </c>
      <c r="E87" s="99" t="str">
        <f>IF(VLOOKUP($A87,'Loyd List 1-190 - Edit'!$C$1:$AQ$220,'Book Details - NO EDIT'!E$1,FALSE)="","",VLOOKUP($A87,'Loyd List 1-190 - Edit'!$C$1:$AQ$220,'Book Details - NO EDIT'!E$1,FALSE))</f>
        <v>LOYD</v>
      </c>
      <c r="F87" s="99" t="str">
        <f>IF(VLOOKUP($A87,'Loyd List 1-190 - Edit'!$C$1:$AQ$220,'Book Details - NO EDIT'!F$1,FALSE)="",B87,VLOOKUP($A87,'Loyd List 1-190 - Edit'!$C$1:$AQ$220,'Book Details - NO EDIT'!F$1,FALSE))</f>
        <v>Anne</v>
      </c>
      <c r="G87" s="140">
        <f>IF(VLOOKUP($A87,'Loyd List 1-190 - Edit'!$C$1:$AQ$220,'Book Details - NO EDIT'!G$1,FALSE)="","",VALUE(VLOOKUP($A87,'Loyd List 1-190 - Edit'!$C$1:$AQ$220,'Book Details - NO EDIT'!G$1,FALSE)))</f>
        <v>1912</v>
      </c>
      <c r="H87" s="140">
        <f>IF(VLOOKUP($A87,'Loyd List 1-190 - Edit'!$C$1:$AQ$220,'Book Details - NO EDIT'!H$1,FALSE)="","",VALUE(VLOOKUP($A87,'Loyd List 1-190 - Edit'!$C$1:$AQ$220,'Book Details - NO EDIT'!H$1,FALSE)))</f>
        <v>2004</v>
      </c>
      <c r="I87" s="141">
        <f>IF(VLOOKUP($A87,'Loyd List 1-190 - Edit'!$C$1:$AQ$220,'Book Details - NO EDIT'!I$1,FALSE)="","",(VLOOKUP($A87,'Loyd List 1-190 - Edit'!$C$1:$AQ$220,'Book Details - NO EDIT'!I$1,FALSE)))</f>
        <v>4671</v>
      </c>
      <c r="J87" s="141" t="str">
        <f>IF(VLOOKUP($A87,'Loyd List 1-190 - Edit'!$C$1:$AQ$220,'Book Details - NO EDIT'!J$1,FALSE)="","",(VLOOKUP($A87,'Loyd List 1-190 - Edit'!$C$1:$AQ$220,'Book Details - NO EDIT'!J$1,FALSE)))</f>
        <v>02/09/2004</v>
      </c>
      <c r="K87" s="100" t="str">
        <f>VLOOKUP($A87,'Loyd List 1-190 - Edit'!$C$1:$AQ$220,'Book Details - NO EDIT'!K$1,FALSE)</f>
        <v>Girl</v>
      </c>
      <c r="L87" s="140">
        <f>VLOOKUP($A87,'Loyd List 1-190 - Edit'!$C$1:$AQ$220,'Book Details - NO EDIT'!L$1,FALSE)</f>
        <v>56</v>
      </c>
      <c r="M87" s="140">
        <f t="shared" si="34"/>
        <v>28</v>
      </c>
      <c r="N87" s="140">
        <f t="shared" si="34"/>
        <v>14</v>
      </c>
      <c r="O87" s="140">
        <f t="shared" si="34"/>
        <v>4</v>
      </c>
      <c r="P87" s="140">
        <f t="shared" si="31"/>
        <v>1</v>
      </c>
      <c r="Q87" s="140">
        <f t="shared" si="31"/>
        <v>0</v>
      </c>
      <c r="R87" s="140" t="str">
        <f t="shared" si="31"/>
        <v/>
      </c>
      <c r="S87" s="140" t="str">
        <f t="shared" si="35"/>
        <v/>
      </c>
      <c r="T87" s="140">
        <f t="shared" si="32"/>
        <v>5</v>
      </c>
      <c r="U87" s="139">
        <f t="shared" si="36"/>
        <v>85</v>
      </c>
      <c r="V87" s="31" t="str">
        <f t="shared" si="37"/>
        <v>Anne (1912–2004)</v>
      </c>
      <c r="W87" s="31" t="str">
        <f t="shared" si="38"/>
        <v>Anne (#85)</v>
      </c>
      <c r="X87" s="99" t="str">
        <f t="shared" si="39"/>
        <v>Anne (1912–2004: #85)</v>
      </c>
      <c r="Y87" s="99" t="str">
        <f t="shared" si="33"/>
        <v>Anne LOYD</v>
      </c>
      <c r="Z87" s="99" t="str">
        <f t="shared" si="40"/>
        <v>Tommy (1882–1944: #56)</v>
      </c>
      <c r="AA87" s="99" t="str">
        <f t="shared" si="45"/>
        <v xml:space="preserve">Tommy (1882–1944: #56) The Rev Lewis (1844–1905: #28) Thomas (1812–1857: #14) William (1770–1828: #4) William (1729–1800: #1)   </v>
      </c>
      <c r="AB87" s="142" t="str">
        <f>VLOOKUP(U87,'Siblings of those BORN Loyd'!$A$2:$G$230,7,FALSE)</f>
        <v xml:space="preserve">5 – John (1913–1943: #87) Martin (1917–1926: #91) Hester (1920–2002: #95) Christopher (1923–2013: #100) Catherine (1923–2014: #101)   </v>
      </c>
      <c r="AC87" s="115" t="str">
        <f>IF(ISNA(IF(K87="Boy",VLOOKUP(A87,'Siblings of those BORN Loyd'!$AP$3:$AQ$70,2,FALSE),VLOOKUP(A87,'Children of Female Loyds'!$AR$5:$AT$60,3,FALSE))),AM87,IF(K87="Boy",VLOOKUP(A87,'Siblings of those BORN Loyd'!$AP$3:$AQ$70,2,FALSE),VLOOKUP(A87,'Children of Female Loyds'!$AR$5:$AT$60,3,FALSE)))</f>
        <v xml:space="preserve">4 - Martin LANE FOX (1938 - 2016: #85a) Edward LANE FOX (1939 - : #85b) Jenny LANE FOX (1944 - : #85c) Robin LANE FOX (1946 - : #85d)    </v>
      </c>
      <c r="AD87" s="97" t="str">
        <f t="shared" si="53"/>
        <v xml:space="preserve">11 - Charlotte LANE FOX (1967 -: #85aa) Oliver LANE FOX (1968 -: #85ab) Sophie LANE FOX (1972 -: #85ac) Lucy LANE FOX (1965 -: #85ba) Serena LANE FOX (1967 -: #85bb) Emily LANE FOX (1969 -: #85bc) Charles LANE FOX (1977 -: #85bd) James TENNYSON d'EYNCOURT (1978 -: #85ca) Frances TENNYSON d'EYNCOURT (1980 -: #85cb) Martha LANE FOX (1973 -: #85da) Henry LANE FOX (1974 -: #85db)        </v>
      </c>
      <c r="AE87" s="105" t="str">
        <f>IF(ISNA(IF(K87="Boy",VLOOKUP(A87,'Grandchildren of Male Loyds'!$AQ$3:$AS$51,3,FALSE),VLOOKUP(A87,'Grandchildren of Female Loyds'!$AX$5:$AZ$63,3,FALSE))),AM87,IF(K87="Boy",VLOOKUP(A87,'Grandchildren of Male Loyds'!$AQ$3:$AS$51,3,FALSE),VLOOKUP(A87,'Grandchildren of Female Loyds'!$AX$5:$AZ$63,3,FALSE)))</f>
        <v xml:space="preserve">Charlotte LANE FOX (1967 -: #85aa) Oliver LANE FOX (1968 -: #85ab) Sophie LANE FOX (1972 -: #85ac) Lucy LANE FOX (1965 -: #85ba) Serena LANE FOX (1967 -: #85bb) Emily LANE FOX (1969 -: #85bc) Charles LANE FOX (1977 -: #85bd) James TENNYSON d'EYNCOURT (1978 -: #85ca) Frances TENNYSON d'EYNCOURT (1980 -: #85cb) Martha LANE FOX (1973 -: #85da) Henry LANE FOX (1974 -: #85db)     </v>
      </c>
      <c r="AF87" s="105" t="str">
        <f>IF(ISNA(VLOOKUP(A87,'Grandchildren Loyd Daughters'!$BD$5:$BF$50,4,FALSE)),"",VLOOKUP(A87,'Grandchildren Loyd Daughters'!$BD$5:$BF$50,3,FALSE))</f>
        <v/>
      </c>
      <c r="AG87" s="129">
        <f>IF(ISNA(VLOOKUP(A87,'Grandchildren of Male Loyds'!$AQ$3:$AR$60,2,FALSE)),0,VLOOKUP(A87,'Grandchildren of Male Loyds'!$AQ$3:$AR$60,2,FALSE))+IF(ISNA(VLOOKUP(A87,'Grandchildren of Female Loyds'!$AX$5:$AY$50,2,FALSE)),0,VLOOKUP(A87,'Grandchildren of Female Loyds'!$AX$5:$AY$50,2,FALSE))+IF(ISNA(VLOOKUP(A87,'Grandchildren Loyd Daughters'!$BD$5:$BE$50,2,FALSE)),0,VLOOKUP(A87,'Grandchildren Loyd Daughters'!$BD$5:$BE$50,2,FALSE))</f>
        <v>11</v>
      </c>
      <c r="AH87" s="129" t="str">
        <f>VLOOKUP($U87,'Loyd List 1-190 - Edit'!$P$3:$AJ$220,21,FALSE)</f>
        <v>Dorothy WILLERT (b. 19 Jan 1886, d. 15 Jan 1966)</v>
      </c>
      <c r="AI87" s="129" t="str">
        <f>VLOOKUP(A87,'Updated Bios &amp; Spouse Details'!$A$1:$J$200,7,FALSE)</f>
        <v>James Henry (known as Jimmy) FRICS (b. 14 Jun 1912, d. 1 Nov 1988)</v>
      </c>
      <c r="AJ87" s="130">
        <f>IF(VLOOKUP($A87,'Loyd List 1-190 - Edit'!$C$1:$AQ$220,'Book Details - NO EDIT'!AJ$1,FALSE)="","",(VLOOKUP($A87,'Loyd List 1-190 - Edit'!$C$1:$AQ$220,'Book Details - NO EDIT'!AJ$1,FALSE)))</f>
        <v>13527</v>
      </c>
      <c r="AK87" s="129" t="str">
        <f>VLOOKUP(A87,'Updated Bios &amp; Spouse Details'!$A$1:$J$200,8,FALSE)</f>
        <v>Jimmy of Middleton House, Middleton Cheney, Banbury, Oxfordshire, and of 5 Mount Street, London, W1, only son of Captain Edward LANE FOX, Yorkshire Yeomanry. Educated Eton, and Magdalen College, Oxford.</v>
      </c>
      <c r="AL87" s="131" t="str">
        <f>VLOOKUP(A87,'Updated Bios &amp; Spouse Details'!$A$1:$J$200,5,FALSE)</f>
        <v>Anne was the eldest daughter of Arthur (1882–1944: #56). Born 14 Oct 1912 in London. Died 2 Sep 2004. Issue: 3 sons, 1 daughter.</v>
      </c>
      <c r="AM87" s="105" t="str">
        <f>IF(AND(LEN(H87)&gt;0,ISNA(IF(K87="Boy",VLOOKUP(A87,'Siblings of those BORN Loyd'!$AP$3:$AQ$70,2,FALSE),VLOOKUP(A87,'Children of Female Loyds'!$AR$5:$AS$60,2,FALSE)))),"d.s.p","")</f>
        <v/>
      </c>
      <c r="AN87" s="99" t="str">
        <f t="shared" si="41"/>
        <v>Tommy (1882–1944: #56)</v>
      </c>
      <c r="AO87" s="99" t="str">
        <f t="shared" si="46"/>
        <v>The Rev Lewis (1844–1905: #28)</v>
      </c>
      <c r="AP87" s="99" t="str">
        <f t="shared" si="47"/>
        <v>Thomas (1812–1857: #14)</v>
      </c>
      <c r="AQ87" s="99" t="str">
        <f t="shared" si="48"/>
        <v>William (1770–1828: #4)</v>
      </c>
      <c r="AR87" s="99" t="str">
        <f t="shared" si="49"/>
        <v>William (1729–1800: #1)</v>
      </c>
      <c r="AS87" s="99" t="str">
        <f t="shared" si="50"/>
        <v/>
      </c>
      <c r="AT87" s="99" t="str">
        <f t="shared" si="51"/>
        <v/>
      </c>
      <c r="AU87" s="99" t="str">
        <f t="shared" si="52"/>
        <v/>
      </c>
      <c r="AW87" s="116" t="str">
        <f>VLOOKUP(A87,'Updated Bios &amp; Spouse Details'!$A$1:$J$193,6,FALSE)</f>
        <v>England</v>
      </c>
      <c r="AX87" s="131">
        <f>VLOOKUP($A87,'Loyd List 1-190 - Edit'!$P$2:$AQ$220,AX$1,FALSE)</f>
        <v>85</v>
      </c>
      <c r="AY87" s="116" t="str">
        <f>IF(ISNA(VLOOKUP(A87,'Data check lookup table'!$G$2:$V$73,13,FALSE))," - ",VLOOKUP(A87,'Data check lookup table'!$G$2:$V$73,13,FALSE))</f>
        <v xml:space="preserve"> - </v>
      </c>
      <c r="AZ87" s="147" t="str">
        <f t="shared" si="42"/>
        <v>02/09/2004</v>
      </c>
      <c r="BA87" s="99" t="str">
        <f t="shared" si="43"/>
        <v/>
      </c>
      <c r="BB87" s="99" t="str">
        <f t="shared" si="44"/>
        <v/>
      </c>
      <c r="BI87" s="147" t="s">
        <v>3215</v>
      </c>
    </row>
    <row r="88" spans="1:61" s="99" customFormat="1" ht="51">
      <c r="A88" s="139">
        <f>'Loyd List 1-190 - Edit'!C88</f>
        <v>86</v>
      </c>
      <c r="B88" s="99" t="str">
        <f>VLOOKUP($A88,'Loyd List 1-190 - Edit'!$C$1:$AQ$220,'Book Details - NO EDIT'!B$1,FALSE)</f>
        <v>Norman</v>
      </c>
      <c r="C88" s="99" t="str">
        <f>IF(VLOOKUP($A88,'Loyd List 1-190 - Edit'!$C$1:$AQ$220,'Book Details - NO EDIT'!C$1,FALSE)="","",VLOOKUP($A88,'Loyd List 1-190 - Edit'!$C$1:$AQ$220,'Book Details - NO EDIT'!C$1,FALSE))</f>
        <v>Kesteven</v>
      </c>
      <c r="D88" s="99" t="str">
        <f>IF(VLOOKUP($A88,'Loyd List 1-190 - Edit'!$C$1:$AQ$220,'Book Details - NO EDIT'!D$1,FALSE)="","",VLOOKUP($A88,'Loyd List 1-190 - Edit'!$C$1:$AQ$220,'Book Details - NO EDIT'!D$1,FALSE))</f>
        <v/>
      </c>
      <c r="E88" s="99" t="str">
        <f>IF(VLOOKUP($A88,'Loyd List 1-190 - Edit'!$C$1:$AQ$220,'Book Details - NO EDIT'!E$1,FALSE)="","",VLOOKUP($A88,'Loyd List 1-190 - Edit'!$C$1:$AQ$220,'Book Details - NO EDIT'!E$1,FALSE))</f>
        <v>LOYD</v>
      </c>
      <c r="F88" s="99" t="str">
        <f>IF(VLOOKUP($A88,'Loyd List 1-190 - Edit'!$C$1:$AQ$220,'Book Details - NO EDIT'!F$1,FALSE)="",B88,VLOOKUP($A88,'Loyd List 1-190 - Edit'!$C$1:$AQ$220,'Book Details - NO EDIT'!F$1,FALSE))</f>
        <v>Peter</v>
      </c>
      <c r="G88" s="140">
        <f>IF(VLOOKUP($A88,'Loyd List 1-190 - Edit'!$C$1:$AQ$220,'Book Details - NO EDIT'!G$1,FALSE)="","",VALUE(VLOOKUP($A88,'Loyd List 1-190 - Edit'!$C$1:$AQ$220,'Book Details - NO EDIT'!G$1,FALSE)))</f>
        <v>1913</v>
      </c>
      <c r="H88" s="140">
        <f>IF(VLOOKUP($A88,'Loyd List 1-190 - Edit'!$C$1:$AQ$220,'Book Details - NO EDIT'!H$1,FALSE)="","",VALUE(VLOOKUP($A88,'Loyd List 1-190 - Edit'!$C$1:$AQ$220,'Book Details - NO EDIT'!H$1,FALSE)))</f>
        <v>2008</v>
      </c>
      <c r="I88" s="141">
        <f>IF(VLOOKUP($A88,'Loyd List 1-190 - Edit'!$C$1:$AQ$220,'Book Details - NO EDIT'!I$1,FALSE)="","",(VLOOKUP($A88,'Loyd List 1-190 - Edit'!$C$1:$AQ$220,'Book Details - NO EDIT'!I$1,FALSE)))</f>
        <v>4973</v>
      </c>
      <c r="J88" s="141" t="str">
        <f>IF(VLOOKUP($A88,'Loyd List 1-190 - Edit'!$C$1:$AQ$220,'Book Details - NO EDIT'!J$1,FALSE)="","",(VLOOKUP($A88,'Loyd List 1-190 - Edit'!$C$1:$AQ$220,'Book Details - NO EDIT'!J$1,FALSE)))</f>
        <v>02/07/2008</v>
      </c>
      <c r="K88" s="100" t="str">
        <f>VLOOKUP($A88,'Loyd List 1-190 - Edit'!$C$1:$AQ$220,'Book Details - NO EDIT'!K$1,FALSE)</f>
        <v>Boy</v>
      </c>
      <c r="L88" s="140">
        <f>VLOOKUP($A88,'Loyd List 1-190 - Edit'!$C$1:$AQ$220,'Book Details - NO EDIT'!L$1,FALSE)</f>
        <v>71</v>
      </c>
      <c r="M88" s="140">
        <f t="shared" si="34"/>
        <v>34</v>
      </c>
      <c r="N88" s="140">
        <f t="shared" si="34"/>
        <v>14</v>
      </c>
      <c r="O88" s="140">
        <f t="shared" si="34"/>
        <v>4</v>
      </c>
      <c r="P88" s="140">
        <f t="shared" si="31"/>
        <v>1</v>
      </c>
      <c r="Q88" s="140">
        <f t="shared" si="31"/>
        <v>0</v>
      </c>
      <c r="R88" s="140" t="str">
        <f t="shared" si="31"/>
        <v/>
      </c>
      <c r="S88" s="140" t="str">
        <f t="shared" si="35"/>
        <v/>
      </c>
      <c r="T88" s="140">
        <f t="shared" si="32"/>
        <v>5</v>
      </c>
      <c r="U88" s="139">
        <f t="shared" si="36"/>
        <v>86</v>
      </c>
      <c r="V88" s="31" t="str">
        <f t="shared" si="37"/>
        <v>Peter (1913–2008)</v>
      </c>
      <c r="W88" s="31" t="str">
        <f t="shared" si="38"/>
        <v>Peter (#86)</v>
      </c>
      <c r="X88" s="99" t="str">
        <f t="shared" si="39"/>
        <v>Peter (1913–2008: #86)</v>
      </c>
      <c r="Y88" s="99" t="str">
        <f t="shared" si="33"/>
        <v>Norman Kesteven LOYD</v>
      </c>
      <c r="Z88" s="99" t="str">
        <f t="shared" si="40"/>
        <v>Arthur (1890–1974: #71)</v>
      </c>
      <c r="AA88" s="99" t="str">
        <f t="shared" si="45"/>
        <v xml:space="preserve">Arthur (1890–1974: #71) Ted (1851–1922: #34) Thomas (1812–1857: #14) William (1770–1828: #4) William (1729–1800: #1)   </v>
      </c>
      <c r="AB88" s="142" t="str">
        <f>VLOOKUP(U88,'Siblings of those BORN Loyd'!$A$2:$G$230,7,FALSE)</f>
        <v>0 – Only chlid</v>
      </c>
      <c r="AC88" s="115" t="str">
        <f>IF(ISNA(IF(K88="Boy",VLOOKUP(A88,'Siblings of those BORN Loyd'!$AP$3:$AQ$70,2,FALSE),VLOOKUP(A88,'Children of Female Loyds'!$AR$5:$AT$60,3,FALSE))),AM88,IF(K88="Boy",VLOOKUP(A88,'Siblings of those BORN Loyd'!$AP$3:$AQ$70,2,FALSE),VLOOKUP(A88,'Children of Female Loyds'!$AR$5:$AT$60,3,FALSE)))</f>
        <v>3 - Rona (1951–: #125); David (1952–: #130); Jim (1955–: #135)</v>
      </c>
      <c r="AD88" s="97" t="str">
        <f t="shared" si="53"/>
        <v xml:space="preserve">5 - Gareth (1988–: #166); Curtis (1992–: #173); Spencer (1995–: #177)   Bryan HAWKEY (1976 - :  #125a) Allison HAWKEY (1978 - :  #125b)             </v>
      </c>
      <c r="AE88" s="105" t="str">
        <f>IF(ISNA(IF(K88="Boy",VLOOKUP(A88,'Grandchildren of Male Loyds'!$AQ$3:$AS$51,3,FALSE),VLOOKUP(A88,'Grandchildren of Female Loyds'!$AX$5:$AZ$63,3,FALSE))),AM88,IF(K88="Boy",VLOOKUP(A88,'Grandchildren of Male Loyds'!$AQ$3:$AS$51,3,FALSE),VLOOKUP(A88,'Grandchildren of Female Loyds'!$AX$5:$AZ$63,3,FALSE)))</f>
        <v>Gareth (1988–: #166); Curtis (1992–: #173); Spencer (1995–: #177)</v>
      </c>
      <c r="AF88" s="105" t="str">
        <f>IF(ISNA(VLOOKUP(A88,'Grandchildren Loyd Daughters'!$BD$5:$BF$50,4,FALSE)),"",VLOOKUP(A88,'Grandchildren Loyd Daughters'!$BD$5:$BF$50,3,FALSE))</f>
        <v xml:space="preserve">Bryan HAWKEY (1976 - :  #125a) Allison HAWKEY (1978 - :  #125b)             </v>
      </c>
      <c r="AG88" s="129">
        <f>IF(ISNA(VLOOKUP(A88,'Grandchildren of Male Loyds'!$AQ$3:$AR$60,2,FALSE)),0,VLOOKUP(A88,'Grandchildren of Male Loyds'!$AQ$3:$AR$60,2,FALSE))+IF(ISNA(VLOOKUP(A88,'Grandchildren of Female Loyds'!$AX$5:$AY$50,2,FALSE)),0,VLOOKUP(A88,'Grandchildren of Female Loyds'!$AX$5:$AY$50,2,FALSE))+IF(ISNA(VLOOKUP(A88,'Grandchildren Loyd Daughters'!$BD$5:$BE$50,2,FALSE)),0,VLOOKUP(A88,'Grandchildren Loyd Daughters'!$BD$5:$BE$50,2,FALSE))</f>
        <v>5</v>
      </c>
      <c r="AH88" s="129" t="str">
        <f>VLOOKUP($U88,'Loyd List 1-190 - Edit'!$P$3:$AJ$220,21,FALSE)</f>
        <v>Ivy Nina TWINING (b. 2 Aug 1884, d. 12 Jul 1950)</v>
      </c>
      <c r="AI88" s="129" t="str">
        <f>VLOOKUP(A88,'Updated Bios &amp; Spouse Details'!$A$1:$J$200,7,FALSE)</f>
        <v xml:space="preserve">Anne SMITHELLS (b. 12 Mar 1921, d. 3 Aug 2010) </v>
      </c>
      <c r="AJ88" s="130">
        <f>IF(VLOOKUP($A88,'Loyd List 1-190 - Edit'!$C$1:$AQ$220,'Book Details - NO EDIT'!AJ$1,FALSE)="","",(VLOOKUP($A88,'Loyd List 1-190 - Edit'!$C$1:$AQ$220,'Book Details - NO EDIT'!AJ$1,FALSE)))</f>
        <v>18368</v>
      </c>
      <c r="AK88" s="129" t="str">
        <f>VLOOKUP(A88,'Updated Bios &amp; Spouse Details'!$A$1:$J$200,8,FALSE)</f>
        <v>Anne born in Fulham, London, eldest daughter of Colin SMITHELLS of Chalfont St. Peter, Buckinghamshire.</v>
      </c>
      <c r="AL88" s="131" t="str">
        <f>VLOOKUP(A88,'Updated Bios &amp; Spouse Details'!$A$1:$J$200,5,FALSE)</f>
        <v>Peter lived at 450 Cadder Avenue, Kelowna, British Columbia, V1Y 5N3, Canada and was the only child of Arthur (1890–1974: #71). Born 12 Aug 1913 at Walhachin, British Columbia. Educated Kelowna. Served in World War II as Squadron Leader, Royal Air Force. Pilot RAF Coastal Command 1936-1945. Career:  Daimler Motor Works, Coventry 1933-36; Irrigation Engineer, British Columbia 1948-72. Died 2 Jul 2008 Issue: 2 sons, 1 daughter.</v>
      </c>
      <c r="AM88" s="105" t="str">
        <f>IF(AND(LEN(H88)&gt;0,ISNA(IF(K88="Boy",VLOOKUP(A88,'Siblings of those BORN Loyd'!$AP$3:$AQ$70,2,FALSE),VLOOKUP(A88,'Children of Female Loyds'!$AR$5:$AS$60,2,FALSE)))),"d.s.p","")</f>
        <v/>
      </c>
      <c r="AN88" s="99" t="str">
        <f t="shared" si="41"/>
        <v>Arthur (1890–1974: #71)</v>
      </c>
      <c r="AO88" s="99" t="str">
        <f t="shared" si="46"/>
        <v>Ted (1851–1922: #34)</v>
      </c>
      <c r="AP88" s="99" t="str">
        <f t="shared" si="47"/>
        <v>Thomas (1812–1857: #14)</v>
      </c>
      <c r="AQ88" s="99" t="str">
        <f t="shared" si="48"/>
        <v>William (1770–1828: #4)</v>
      </c>
      <c r="AR88" s="99" t="str">
        <f t="shared" si="49"/>
        <v>William (1729–1800: #1)</v>
      </c>
      <c r="AS88" s="99" t="str">
        <f t="shared" si="50"/>
        <v/>
      </c>
      <c r="AT88" s="99" t="str">
        <f t="shared" si="51"/>
        <v/>
      </c>
      <c r="AU88" s="99" t="str">
        <f t="shared" si="52"/>
        <v/>
      </c>
      <c r="AW88" s="116" t="str">
        <f>VLOOKUP(A88,'Updated Bios &amp; Spouse Details'!$A$1:$J$193,6,FALSE)</f>
        <v>Canada and England</v>
      </c>
      <c r="AX88" s="131">
        <f>VLOOKUP($A88,'Loyd List 1-190 - Edit'!$P$2:$AQ$220,AX$1,FALSE)</f>
        <v>86</v>
      </c>
      <c r="AY88" s="116" t="str">
        <f>IF(ISNA(VLOOKUP(A88,'Data check lookup table'!$G$2:$V$73,13,FALSE))," - ",VLOOKUP(A88,'Data check lookup table'!$G$2:$V$73,13,FALSE))</f>
        <v xml:space="preserve"> - </v>
      </c>
      <c r="AZ88" s="147" t="str">
        <f t="shared" si="42"/>
        <v>02/07/2008</v>
      </c>
      <c r="BA88" s="99" t="str">
        <f t="shared" si="43"/>
        <v/>
      </c>
      <c r="BB88" s="99" t="str">
        <f t="shared" si="44"/>
        <v/>
      </c>
      <c r="BI88" s="147" t="s">
        <v>3216</v>
      </c>
    </row>
    <row r="89" spans="1:61" s="99" customFormat="1" ht="34">
      <c r="A89" s="139">
        <f>'Loyd List 1-190 - Edit'!C89</f>
        <v>87</v>
      </c>
      <c r="B89" s="99" t="str">
        <f>VLOOKUP($A89,'Loyd List 1-190 - Edit'!$C$1:$AQ$220,'Book Details - NO EDIT'!B$1,FALSE)</f>
        <v>John</v>
      </c>
      <c r="C89" s="99" t="str">
        <f>IF(VLOOKUP($A89,'Loyd List 1-190 - Edit'!$C$1:$AQ$220,'Book Details - NO EDIT'!C$1,FALSE)="","",VLOOKUP($A89,'Loyd List 1-190 - Edit'!$C$1:$AQ$220,'Book Details - NO EDIT'!C$1,FALSE))</f>
        <v>Lindsay</v>
      </c>
      <c r="D89" s="99" t="str">
        <f>IF(VLOOKUP($A89,'Loyd List 1-190 - Edit'!$C$1:$AQ$220,'Book Details - NO EDIT'!D$1,FALSE)="","",VLOOKUP($A89,'Loyd List 1-190 - Edit'!$C$1:$AQ$220,'Book Details - NO EDIT'!D$1,FALSE))</f>
        <v/>
      </c>
      <c r="E89" s="99" t="str">
        <f>IF(VLOOKUP($A89,'Loyd List 1-190 - Edit'!$C$1:$AQ$220,'Book Details - NO EDIT'!E$1,FALSE)="","",VLOOKUP($A89,'Loyd List 1-190 - Edit'!$C$1:$AQ$220,'Book Details - NO EDIT'!E$1,FALSE))</f>
        <v>LOYD</v>
      </c>
      <c r="F89" s="99" t="str">
        <f>IF(VLOOKUP($A89,'Loyd List 1-190 - Edit'!$C$1:$AQ$220,'Book Details - NO EDIT'!F$1,FALSE)="",B89,VLOOKUP($A89,'Loyd List 1-190 - Edit'!$C$1:$AQ$220,'Book Details - NO EDIT'!F$1,FALSE))</f>
        <v>John</v>
      </c>
      <c r="G89" s="140">
        <f>IF(VLOOKUP($A89,'Loyd List 1-190 - Edit'!$C$1:$AQ$220,'Book Details - NO EDIT'!G$1,FALSE)="","",VALUE(VLOOKUP($A89,'Loyd List 1-190 - Edit'!$C$1:$AQ$220,'Book Details - NO EDIT'!G$1,FALSE)))</f>
        <v>1913</v>
      </c>
      <c r="H89" s="140">
        <f>IF(VLOOKUP($A89,'Loyd List 1-190 - Edit'!$C$1:$AQ$220,'Book Details - NO EDIT'!H$1,FALSE)="","",VALUE(VLOOKUP($A89,'Loyd List 1-190 - Edit'!$C$1:$AQ$220,'Book Details - NO EDIT'!H$1,FALSE)))</f>
        <v>1943</v>
      </c>
      <c r="I89" s="141">
        <f>IF(VLOOKUP($A89,'Loyd List 1-190 - Edit'!$C$1:$AQ$220,'Book Details - NO EDIT'!I$1,FALSE)="","",(VLOOKUP($A89,'Loyd List 1-190 - Edit'!$C$1:$AQ$220,'Book Details - NO EDIT'!I$1,FALSE)))</f>
        <v>5039</v>
      </c>
      <c r="J89" s="141" t="str">
        <f>IF(VLOOKUP($A89,'Loyd List 1-190 - Edit'!$C$1:$AQ$220,'Book Details - NO EDIT'!J$1,FALSE)="","",(VLOOKUP($A89,'Loyd List 1-190 - Edit'!$C$1:$AQ$220,'Book Details - NO EDIT'!J$1,FALSE)))</f>
        <v>03/10/1943</v>
      </c>
      <c r="K89" s="100" t="str">
        <f>VLOOKUP($A89,'Loyd List 1-190 - Edit'!$C$1:$AQ$220,'Book Details - NO EDIT'!K$1,FALSE)</f>
        <v>Boy</v>
      </c>
      <c r="L89" s="140">
        <f>VLOOKUP($A89,'Loyd List 1-190 - Edit'!$C$1:$AQ$220,'Book Details - NO EDIT'!L$1,FALSE)</f>
        <v>56</v>
      </c>
      <c r="M89" s="140">
        <f t="shared" si="34"/>
        <v>28</v>
      </c>
      <c r="N89" s="140">
        <f t="shared" si="34"/>
        <v>14</v>
      </c>
      <c r="O89" s="140">
        <f t="shared" si="34"/>
        <v>4</v>
      </c>
      <c r="P89" s="140">
        <f t="shared" si="31"/>
        <v>1</v>
      </c>
      <c r="Q89" s="140">
        <f t="shared" si="31"/>
        <v>0</v>
      </c>
      <c r="R89" s="140" t="str">
        <f t="shared" si="31"/>
        <v/>
      </c>
      <c r="S89" s="140" t="str">
        <f t="shared" si="35"/>
        <v/>
      </c>
      <c r="T89" s="140">
        <f t="shared" si="32"/>
        <v>5</v>
      </c>
      <c r="U89" s="139">
        <f t="shared" si="36"/>
        <v>87</v>
      </c>
      <c r="V89" s="31" t="str">
        <f t="shared" si="37"/>
        <v>John (1913–1943)</v>
      </c>
      <c r="W89" s="31" t="str">
        <f t="shared" si="38"/>
        <v>John (#87)</v>
      </c>
      <c r="X89" s="99" t="str">
        <f t="shared" si="39"/>
        <v>John (1913–1943: #87)</v>
      </c>
      <c r="Y89" s="99" t="str">
        <f t="shared" si="33"/>
        <v>John Lindsay LOYD</v>
      </c>
      <c r="Z89" s="99" t="str">
        <f t="shared" si="40"/>
        <v>Tommy (1882–1944: #56)</v>
      </c>
      <c r="AA89" s="99" t="str">
        <f t="shared" si="45"/>
        <v xml:space="preserve">Tommy (1882–1944: #56) The Rev Lewis (1844–1905: #28) Thomas (1812–1857: #14) William (1770–1828: #4) William (1729–1800: #1)   </v>
      </c>
      <c r="AB89" s="142" t="str">
        <f>VLOOKUP(U89,'Siblings of those BORN Loyd'!$A$2:$G$230,7,FALSE)</f>
        <v xml:space="preserve">5 – Anne (1912–2004: #85)  Martin (1917–1926: #91) Hester (1920–2002: #95) Christopher (1923–2013: #100) Catherine (1923–2014: #101)   </v>
      </c>
      <c r="AC89" s="115" t="str">
        <f>IF(ISNA(IF(K89="Boy",VLOOKUP(A89,'Siblings of those BORN Loyd'!$AP$3:$AQ$70,2,FALSE),VLOOKUP(A89,'Children of Female Loyds'!$AR$5:$AT$60,3,FALSE))),AM89,IF(K89="Boy",VLOOKUP(A89,'Siblings of those BORN Loyd'!$AP$3:$AQ$70,2,FALSE),VLOOKUP(A89,'Children of Female Loyds'!$AR$5:$AT$60,3,FALSE)))</f>
        <v>d.s.p</v>
      </c>
      <c r="AD89" s="97" t="str">
        <f t="shared" si="53"/>
        <v>d.s.p.</v>
      </c>
      <c r="AE89" s="105" t="str">
        <f>IF(ISNA(IF(K89="Boy",VLOOKUP(A89,'Grandchildren of Male Loyds'!$AQ$3:$AS$51,3,FALSE),VLOOKUP(A89,'Grandchildren of Female Loyds'!$AX$5:$AZ$63,3,FALSE))),AM89,IF(K89="Boy",VLOOKUP(A89,'Grandchildren of Male Loyds'!$AQ$3:$AS$51,3,FALSE),VLOOKUP(A89,'Grandchildren of Female Loyds'!$AX$5:$AZ$63,3,FALSE)))</f>
        <v>d.s.p</v>
      </c>
      <c r="AF89" s="105" t="str">
        <f>IF(ISNA(VLOOKUP(A89,'Grandchildren Loyd Daughters'!$BD$5:$BF$50,4,FALSE)),"",VLOOKUP(A89,'Grandchildren Loyd Daughters'!$BD$5:$BF$50,3,FALSE))</f>
        <v/>
      </c>
      <c r="AG89" s="129">
        <f>IF(ISNA(VLOOKUP(A89,'Grandchildren of Male Loyds'!$AQ$3:$AR$60,2,FALSE)),0,VLOOKUP(A89,'Grandchildren of Male Loyds'!$AQ$3:$AR$60,2,FALSE))+IF(ISNA(VLOOKUP(A89,'Grandchildren of Female Loyds'!$AX$5:$AY$50,2,FALSE)),0,VLOOKUP(A89,'Grandchildren of Female Loyds'!$AX$5:$AY$50,2,FALSE))+IF(ISNA(VLOOKUP(A89,'Grandchildren Loyd Daughters'!$BD$5:$BE$50,2,FALSE)),0,VLOOKUP(A89,'Grandchildren Loyd Daughters'!$BD$5:$BE$50,2,FALSE))</f>
        <v>0</v>
      </c>
      <c r="AH89" s="129" t="str">
        <f>VLOOKUP($U89,'Loyd List 1-190 - Edit'!$P$3:$AJ$220,21,FALSE)</f>
        <v>Dorothy WILLERT (b. 19 Jan 1886, d. 15 Jan 1966)</v>
      </c>
      <c r="AI89" s="129" t="str">
        <f>VLOOKUP(A89,'Updated Bios &amp; Spouse Details'!$A$1:$J$200,7,FALSE)</f>
        <v>Unmarried</v>
      </c>
      <c r="AJ89" s="130" t="str">
        <f>IF(VLOOKUP($A89,'Loyd List 1-190 - Edit'!$C$1:$AQ$220,'Book Details - NO EDIT'!AJ$1,FALSE)="","",(VLOOKUP($A89,'Loyd List 1-190 - Edit'!$C$1:$AQ$220,'Book Details - NO EDIT'!AJ$1,FALSE)))</f>
        <v xml:space="preserve"> - </v>
      </c>
      <c r="AK89" s="129" t="str">
        <f>VLOOKUP(A89,'Updated Bios &amp; Spouse Details'!$A$1:$J$200,8,FALSE)</f>
        <v xml:space="preserve"> - </v>
      </c>
      <c r="AL89" s="131" t="str">
        <f>VLOOKUP(A89,'Updated Bios &amp; Spouse Details'!$A$1:$J$200,5,FALSE)</f>
        <v>John was the eldest son of Arthur (1882–1944: #56). Born 17 Oct 1913. Educated Eton 1926-32. Served in World War II as Captain, Coldstream Guards. Wounded North Africa. Died, unmarried, 3 Oct 1943 at Lockinge. Buried at Lockinge. DSP</v>
      </c>
      <c r="AM89" s="105" t="str">
        <f>IF(AND(LEN(H89)&gt;0,ISNA(IF(K89="Boy",VLOOKUP(A89,'Siblings of those BORN Loyd'!$AP$3:$AQ$70,2,FALSE),VLOOKUP(A89,'Children of Female Loyds'!$AR$5:$AS$60,2,FALSE)))),"d.s.p","")</f>
        <v>d.s.p</v>
      </c>
      <c r="AN89" s="99" t="str">
        <f t="shared" si="41"/>
        <v>Tommy (1882–1944: #56)</v>
      </c>
      <c r="AO89" s="99" t="str">
        <f t="shared" si="46"/>
        <v>The Rev Lewis (1844–1905: #28)</v>
      </c>
      <c r="AP89" s="99" t="str">
        <f t="shared" si="47"/>
        <v>Thomas (1812–1857: #14)</v>
      </c>
      <c r="AQ89" s="99" t="str">
        <f t="shared" si="48"/>
        <v>William (1770–1828: #4)</v>
      </c>
      <c r="AR89" s="99" t="str">
        <f t="shared" si="49"/>
        <v>William (1729–1800: #1)</v>
      </c>
      <c r="AS89" s="99" t="str">
        <f t="shared" si="50"/>
        <v/>
      </c>
      <c r="AT89" s="99" t="str">
        <f t="shared" si="51"/>
        <v/>
      </c>
      <c r="AU89" s="99" t="str">
        <f t="shared" si="52"/>
        <v/>
      </c>
      <c r="AW89" s="116" t="str">
        <f>VLOOKUP(A89,'Updated Bios &amp; Spouse Details'!$A$1:$J$193,6,FALSE)</f>
        <v>England and North Africa</v>
      </c>
      <c r="AX89" s="131">
        <f>VLOOKUP($A89,'Loyd List 1-190 - Edit'!$P$2:$AQ$220,AX$1,FALSE)</f>
        <v>87</v>
      </c>
      <c r="AY89" s="116" t="str">
        <f>IF(ISNA(VLOOKUP(A89,'Data check lookup table'!$G$2:$V$73,13,FALSE))," - ",VLOOKUP(A89,'Data check lookup table'!$G$2:$V$73,13,FALSE))</f>
        <v xml:space="preserve"> - </v>
      </c>
      <c r="AZ89" s="147" t="str">
        <f t="shared" si="42"/>
        <v>03/10/1943</v>
      </c>
      <c r="BA89" s="99" t="str">
        <f t="shared" si="43"/>
        <v/>
      </c>
      <c r="BB89" s="99" t="str">
        <f t="shared" si="44"/>
        <v/>
      </c>
      <c r="BI89" s="147" t="s">
        <v>3217</v>
      </c>
    </row>
    <row r="90" spans="1:61" s="99" customFormat="1" ht="204">
      <c r="A90" s="139">
        <f>'Loyd List 1-190 - Edit'!C90</f>
        <v>88</v>
      </c>
      <c r="B90" s="99" t="str">
        <f>VLOOKUP($A90,'Loyd List 1-190 - Edit'!$C$1:$AQ$220,'Book Details - NO EDIT'!B$1,FALSE)</f>
        <v>Delia</v>
      </c>
      <c r="C90" s="99" t="str">
        <f>IF(VLOOKUP($A90,'Loyd List 1-190 - Edit'!$C$1:$AQ$220,'Book Details - NO EDIT'!C$1,FALSE)="","",VLOOKUP($A90,'Loyd List 1-190 - Edit'!$C$1:$AQ$220,'Book Details - NO EDIT'!C$1,FALSE))</f>
        <v>Virginia</v>
      </c>
      <c r="D90" s="99" t="str">
        <f>IF(VLOOKUP($A90,'Loyd List 1-190 - Edit'!$C$1:$AQ$220,'Book Details - NO EDIT'!D$1,FALSE)="","",VLOOKUP($A90,'Loyd List 1-190 - Edit'!$C$1:$AQ$220,'Book Details - NO EDIT'!D$1,FALSE))</f>
        <v>Georgina</v>
      </c>
      <c r="E90" s="99" t="str">
        <f>IF(VLOOKUP($A90,'Loyd List 1-190 - Edit'!$C$1:$AQ$220,'Book Details - NO EDIT'!E$1,FALSE)="","",VLOOKUP($A90,'Loyd List 1-190 - Edit'!$C$1:$AQ$220,'Book Details - NO EDIT'!E$1,FALSE))</f>
        <v>LOYD</v>
      </c>
      <c r="F90" s="99" t="str">
        <f>IF(VLOOKUP($A90,'Loyd List 1-190 - Edit'!$C$1:$AQ$220,'Book Details - NO EDIT'!F$1,FALSE)="",B90,VLOOKUP($A90,'Loyd List 1-190 - Edit'!$C$1:$AQ$220,'Book Details - NO EDIT'!F$1,FALSE))</f>
        <v>Delia</v>
      </c>
      <c r="G90" s="140">
        <f>IF(VLOOKUP($A90,'Loyd List 1-190 - Edit'!$C$1:$AQ$220,'Book Details - NO EDIT'!G$1,FALSE)="","",VALUE(VLOOKUP($A90,'Loyd List 1-190 - Edit'!$C$1:$AQ$220,'Book Details - NO EDIT'!G$1,FALSE)))</f>
        <v>1915</v>
      </c>
      <c r="H90" s="140">
        <f>IF(VLOOKUP($A90,'Loyd List 1-190 - Edit'!$C$1:$AQ$220,'Book Details - NO EDIT'!H$1,FALSE)="","",VALUE(VLOOKUP($A90,'Loyd List 1-190 - Edit'!$C$1:$AQ$220,'Book Details - NO EDIT'!H$1,FALSE)))</f>
        <v>2007</v>
      </c>
      <c r="I90" s="141">
        <f>IF(VLOOKUP($A90,'Loyd List 1-190 - Edit'!$C$1:$AQ$220,'Book Details - NO EDIT'!I$1,FALSE)="","",(VLOOKUP($A90,'Loyd List 1-190 - Edit'!$C$1:$AQ$220,'Book Details - NO EDIT'!I$1,FALSE)))</f>
        <v>5734</v>
      </c>
      <c r="J90" s="141" t="str">
        <f>IF(VLOOKUP($A90,'Loyd List 1-190 - Edit'!$C$1:$AQ$220,'Book Details - NO EDIT'!J$1,FALSE)="","",(VLOOKUP($A90,'Loyd List 1-190 - Edit'!$C$1:$AQ$220,'Book Details - NO EDIT'!J$1,FALSE)))</f>
        <v>10/01/2007</v>
      </c>
      <c r="K90" s="100" t="str">
        <f>VLOOKUP($A90,'Loyd List 1-190 - Edit'!$C$1:$AQ$220,'Book Details - NO EDIT'!K$1,FALSE)</f>
        <v>Girl</v>
      </c>
      <c r="L90" s="140">
        <f>VLOOKUP($A90,'Loyd List 1-190 - Edit'!$C$1:$AQ$220,'Book Details - NO EDIT'!L$1,FALSE)</f>
        <v>66</v>
      </c>
      <c r="M90" s="140">
        <f t="shared" si="34"/>
        <v>44</v>
      </c>
      <c r="N90" s="140">
        <f t="shared" si="34"/>
        <v>23</v>
      </c>
      <c r="O90" s="140">
        <f t="shared" si="34"/>
        <v>8</v>
      </c>
      <c r="P90" s="140">
        <f t="shared" si="31"/>
        <v>1</v>
      </c>
      <c r="Q90" s="140">
        <f t="shared" si="31"/>
        <v>0</v>
      </c>
      <c r="R90" s="140" t="str">
        <f t="shared" si="31"/>
        <v/>
      </c>
      <c r="S90" s="140" t="str">
        <f t="shared" si="35"/>
        <v/>
      </c>
      <c r="T90" s="140">
        <f t="shared" si="32"/>
        <v>5</v>
      </c>
      <c r="U90" s="139">
        <f t="shared" si="36"/>
        <v>88</v>
      </c>
      <c r="V90" s="31" t="str">
        <f t="shared" si="37"/>
        <v>Delia (1915–2007)</v>
      </c>
      <c r="W90" s="31" t="str">
        <f t="shared" si="38"/>
        <v>Delia (#88)</v>
      </c>
      <c r="X90" s="99" t="str">
        <f t="shared" si="39"/>
        <v>Delia (1915–2007: #88)</v>
      </c>
      <c r="Y90" s="99" t="str">
        <f t="shared" si="33"/>
        <v>Delia Virginia Georgina LOYD</v>
      </c>
      <c r="Z90" s="99" t="str">
        <f t="shared" si="40"/>
        <v>William (1889–1947: #66)</v>
      </c>
      <c r="AA90" s="99" t="str">
        <f t="shared" si="45"/>
        <v xml:space="preserve">William (1889–1947: #66) Harry (1861–1938: #44) William (1821–1885: #23) Edward (1780–1863: #8) William (1729–1800: #1)   </v>
      </c>
      <c r="AB90" s="142" t="str">
        <f>VLOOKUP(U90,'Siblings of those BORN Loyd'!$A$2:$G$230,7,FALSE)</f>
        <v xml:space="preserve">2 – Edward (1921–1977: #96) Peter (1923–1974: #99)      </v>
      </c>
      <c r="AC90" s="115" t="str">
        <f>IF(ISNA(IF(K90="Boy",VLOOKUP(A90,'Siblings of those BORN Loyd'!$AP$3:$AQ$70,2,FALSE),VLOOKUP(A90,'Children of Female Loyds'!$AR$5:$AT$60,3,FALSE))),AM90,IF(K90="Boy",VLOOKUP(A90,'Siblings of those BORN Loyd'!$AP$3:$AQ$70,2,FALSE),VLOOKUP(A90,'Children of Female Loyds'!$AR$5:$AT$60,3,FALSE)))</f>
        <v xml:space="preserve">3 - Lady Diana BAIRD (1937 - : #88a) Michael KEITH (1939 - 2004: #88b) The Hon Alexander BAIRD (1946 - : #88c)     </v>
      </c>
      <c r="AD90" s="97" t="str">
        <f t="shared" si="53"/>
        <v xml:space="preserve">6 - Richard HOLMAN (1958 -: #88aa) Edward HOLMAN (1960 -: #88ab) Georgina HOLMAN (1964 -: #88ac) Emma HOLMAN (1966 -: #88ad) James KEITH (1976 -: #88ba) The Honourable Iona KEITH (1978 -: #88ca)             </v>
      </c>
      <c r="AE90" s="105" t="str">
        <f>IF(ISNA(IF(K90="Boy",VLOOKUP(A90,'Grandchildren of Male Loyds'!$AQ$3:$AS$51,3,FALSE),VLOOKUP(A90,'Grandchildren of Female Loyds'!$AX$5:$AZ$63,3,FALSE))),AM90,IF(K90="Boy",VLOOKUP(A90,'Grandchildren of Male Loyds'!$AQ$3:$AS$51,3,FALSE),VLOOKUP(A90,'Grandchildren of Female Loyds'!$AX$5:$AZ$63,3,FALSE)))</f>
        <v xml:space="preserve">Richard HOLMAN (1958 -: #88aa) Edward HOLMAN (1960 -: #88ab) Georgina HOLMAN (1964 -: #88ac) Emma HOLMAN (1966 -: #88ad) James KEITH (1976 -: #88ba) The Honourable Iona KEITH (1978 -: #88ca)          </v>
      </c>
      <c r="AF90" s="105" t="str">
        <f>IF(ISNA(VLOOKUP(A90,'Grandchildren Loyd Daughters'!$BD$5:$BF$50,4,FALSE)),"",VLOOKUP(A90,'Grandchildren Loyd Daughters'!$BD$5:$BF$50,3,FALSE))</f>
        <v/>
      </c>
      <c r="AG90" s="129">
        <f>IF(ISNA(VLOOKUP(A90,'Grandchildren of Male Loyds'!$AQ$3:$AR$60,2,FALSE)),0,VLOOKUP(A90,'Grandchildren of Male Loyds'!$AQ$3:$AR$60,2,FALSE))+IF(ISNA(VLOOKUP(A90,'Grandchildren of Female Loyds'!$AX$5:$AY$50,2,FALSE)),0,VLOOKUP(A90,'Grandchildren of Female Loyds'!$AX$5:$AY$50,2,FALSE))+IF(ISNA(VLOOKUP(A90,'Grandchildren Loyd Daughters'!$BD$5:$BE$50,2,FALSE)),0,VLOOKUP(A90,'Grandchildren Loyd Daughters'!$BD$5:$BE$50,2,FALSE))</f>
        <v>6</v>
      </c>
      <c r="AH90" s="129" t="str">
        <f>VLOOKUP($U90,'Loyd List 1-190 - Edit'!$P$3:$AJ$220,21,FALSE)</f>
        <v>The Hon Bettine Henrietta KNATCHBULL-HUGESSEN (b. 15 Sep 1888, d. 9 Aug 1967)</v>
      </c>
      <c r="AI90" s="129" t="str">
        <f>VLOOKUP(A90,'Updated Bios &amp; Spouse Details'!$A$1:$J$200,7,FALSE)</f>
        <v>James Ian KEITH, Earl of KINTORE (b. 25 Jul 1908, d. 1 Oct 1989)</v>
      </c>
      <c r="AJ90" s="130">
        <f>IF(VLOOKUP($A90,'Loyd List 1-190 - Edit'!$C$1:$AQ$220,'Book Details - NO EDIT'!AJ$1,FALSE)="","",(VLOOKUP($A90,'Loyd List 1-190 - Edit'!$C$1:$AQ$220,'Book Details - NO EDIT'!AJ$1,FALSE)))</f>
        <v>12848</v>
      </c>
      <c r="AK90" s="129" t="str">
        <f>VLOOKUP(A90,'Updated Bios &amp; Spouse Details'!$A$1:$J$200,8,FALSE)</f>
        <v>Married, at St Peter’s, Eaton Square, London SW1, James of Glenton House, Rickarton, Stonehaven, Kincardinshire, 12th Earl, 3rd Bart:, s. as 2nd Viscount STONEHAVEN 1941, changed his name by Interlocutor Lyon Court 28 Jun 1947. s. his mother as chief of the name of KEITH 1974. Educated Eton 1921-26. Vice-Lieutenant for Kincardinshire, and an Asso. Inst. of Structural Engineers. Served in World War II as Major, Royal Marines.</v>
      </c>
      <c r="AL90" s="131" t="str">
        <f>VLOOKUP(A90,'Updated Bios &amp; Spouse Details'!$A$1:$J$200,5,FALSE)</f>
        <v>Delia lived at 16 Garden Wood, Inchmarlo, Banchory, Scotland and was the only daughter of William (1889–1947: #66). Born 12 Sep 1915. Baptised at Shamley Green, Surrey. Educated Tabley House, Cheshire. Died 10 Jan 2007. Issue: 1 daughter, 2 sons.</v>
      </c>
      <c r="AM90" s="105" t="str">
        <f>IF(AND(LEN(H90)&gt;0,ISNA(IF(K90="Boy",VLOOKUP(A90,'Siblings of those BORN Loyd'!$AP$3:$AQ$70,2,FALSE),VLOOKUP(A90,'Children of Female Loyds'!$AR$5:$AS$60,2,FALSE)))),"d.s.p","")</f>
        <v/>
      </c>
      <c r="AN90" s="99" t="str">
        <f t="shared" si="41"/>
        <v>William (1889–1947: #66)</v>
      </c>
      <c r="AO90" s="99" t="str">
        <f t="shared" si="46"/>
        <v>Harry (1861–1938: #44)</v>
      </c>
      <c r="AP90" s="99" t="str">
        <f t="shared" si="47"/>
        <v>William (1821–1885: #23)</v>
      </c>
      <c r="AQ90" s="99" t="str">
        <f t="shared" si="48"/>
        <v>Edward (1780–1863: #8)</v>
      </c>
      <c r="AR90" s="99" t="str">
        <f t="shared" si="49"/>
        <v>William (1729–1800: #1)</v>
      </c>
      <c r="AS90" s="99" t="str">
        <f t="shared" si="50"/>
        <v/>
      </c>
      <c r="AT90" s="99" t="str">
        <f t="shared" si="51"/>
        <v/>
      </c>
      <c r="AU90" s="99" t="str">
        <f t="shared" si="52"/>
        <v/>
      </c>
      <c r="AW90" s="116" t="str">
        <f>VLOOKUP(A90,'Updated Bios &amp; Spouse Details'!$A$1:$J$193,6,FALSE)</f>
        <v>England and Scotland</v>
      </c>
      <c r="AX90" s="131">
        <f>VLOOKUP($A90,'Loyd List 1-190 - Edit'!$P$2:$AQ$220,AX$1,FALSE)</f>
        <v>88</v>
      </c>
      <c r="AY90" s="116" t="str">
        <f>IF(ISNA(VLOOKUP(A90,'Data check lookup table'!$G$2:$V$73,13,FALSE))," - ",VLOOKUP(A90,'Data check lookup table'!$G$2:$V$73,13,FALSE))</f>
        <v xml:space="preserve"> - </v>
      </c>
      <c r="AZ90" s="147" t="str">
        <f t="shared" si="42"/>
        <v>10/01/2007</v>
      </c>
      <c r="BA90" s="99" t="str">
        <f t="shared" si="43"/>
        <v/>
      </c>
      <c r="BB90" s="99" t="str">
        <f t="shared" si="44"/>
        <v/>
      </c>
      <c r="BI90" s="147" t="s">
        <v>3218</v>
      </c>
    </row>
    <row r="91" spans="1:61" s="99" customFormat="1" ht="221">
      <c r="A91" s="139">
        <f>'Loyd List 1-190 - Edit'!C91</f>
        <v>89</v>
      </c>
      <c r="B91" s="99" t="str">
        <f>VLOOKUP($A91,'Loyd List 1-190 - Edit'!$C$1:$AQ$220,'Book Details - NO EDIT'!B$1,FALSE)</f>
        <v>Francis</v>
      </c>
      <c r="C91" s="99" t="str">
        <f>IF(VLOOKUP($A91,'Loyd List 1-190 - Edit'!$C$1:$AQ$220,'Book Details - NO EDIT'!C$1,FALSE)="","",VLOOKUP($A91,'Loyd List 1-190 - Edit'!$C$1:$AQ$220,'Book Details - NO EDIT'!C$1,FALSE))</f>
        <v>Alfred</v>
      </c>
      <c r="D91" s="99" t="str">
        <f>IF(VLOOKUP($A91,'Loyd List 1-190 - Edit'!$C$1:$AQ$220,'Book Details - NO EDIT'!D$1,FALSE)="","",VLOOKUP($A91,'Loyd List 1-190 - Edit'!$C$1:$AQ$220,'Book Details - NO EDIT'!D$1,FALSE))</f>
        <v/>
      </c>
      <c r="E91" s="99" t="str">
        <f>IF(VLOOKUP($A91,'Loyd List 1-190 - Edit'!$C$1:$AQ$220,'Book Details - NO EDIT'!E$1,FALSE)="","",VLOOKUP($A91,'Loyd List 1-190 - Edit'!$C$1:$AQ$220,'Book Details - NO EDIT'!E$1,FALSE))</f>
        <v>LOYD</v>
      </c>
      <c r="F91" s="99" t="str">
        <f>IF(VLOOKUP($A91,'Loyd List 1-190 - Edit'!$C$1:$AQ$220,'Book Details - NO EDIT'!F$1,FALSE)="",B91,VLOOKUP($A91,'Loyd List 1-190 - Edit'!$C$1:$AQ$220,'Book Details - NO EDIT'!F$1,FALSE))</f>
        <v>Sir Francis/Frank</v>
      </c>
      <c r="G91" s="140">
        <f>IF(VLOOKUP($A91,'Loyd List 1-190 - Edit'!$C$1:$AQ$220,'Book Details - NO EDIT'!G$1,FALSE)="","",VALUE(VLOOKUP($A91,'Loyd List 1-190 - Edit'!$C$1:$AQ$220,'Book Details - NO EDIT'!G$1,FALSE)))</f>
        <v>1916</v>
      </c>
      <c r="H91" s="140">
        <f>IF(VLOOKUP($A91,'Loyd List 1-190 - Edit'!$C$1:$AQ$220,'Book Details - NO EDIT'!H$1,FALSE)="","",VALUE(VLOOKUP($A91,'Loyd List 1-190 - Edit'!$C$1:$AQ$220,'Book Details - NO EDIT'!H$1,FALSE)))</f>
        <v>2006</v>
      </c>
      <c r="I91" s="141">
        <f>IF(VLOOKUP($A91,'Loyd List 1-190 - Edit'!$C$1:$AQ$220,'Book Details - NO EDIT'!I$1,FALSE)="","",(VLOOKUP($A91,'Loyd List 1-190 - Edit'!$C$1:$AQ$220,'Book Details - NO EDIT'!I$1,FALSE)))</f>
        <v>6093</v>
      </c>
      <c r="J91" s="141" t="str">
        <f>IF(VLOOKUP($A91,'Loyd List 1-190 - Edit'!$C$1:$AQ$220,'Book Details - NO EDIT'!J$1,FALSE)="","",(VLOOKUP($A91,'Loyd List 1-190 - Edit'!$C$1:$AQ$220,'Book Details - NO EDIT'!J$1,FALSE)))</f>
        <v>13/12/2006</v>
      </c>
      <c r="K91" s="100" t="str">
        <f>VLOOKUP($A91,'Loyd List 1-190 - Edit'!$C$1:$AQ$220,'Book Details - NO EDIT'!K$1,FALSE)</f>
        <v>Boy</v>
      </c>
      <c r="L91" s="140">
        <f>VLOOKUP($A91,'Loyd List 1-190 - Edit'!$C$1:$AQ$220,'Book Details - NO EDIT'!L$1,FALSE)</f>
        <v>54</v>
      </c>
      <c r="M91" s="140">
        <f t="shared" si="34"/>
        <v>32</v>
      </c>
      <c r="N91" s="140">
        <f t="shared" si="34"/>
        <v>14</v>
      </c>
      <c r="O91" s="140">
        <f t="shared" si="34"/>
        <v>4</v>
      </c>
      <c r="P91" s="140">
        <f t="shared" si="31"/>
        <v>1</v>
      </c>
      <c r="Q91" s="140">
        <f t="shared" si="31"/>
        <v>0</v>
      </c>
      <c r="R91" s="140" t="str">
        <f t="shared" si="31"/>
        <v/>
      </c>
      <c r="S91" s="140" t="str">
        <f t="shared" si="35"/>
        <v/>
      </c>
      <c r="T91" s="140">
        <f t="shared" si="32"/>
        <v>5</v>
      </c>
      <c r="U91" s="139">
        <f t="shared" si="36"/>
        <v>89</v>
      </c>
      <c r="V91" s="31" t="str">
        <f t="shared" si="37"/>
        <v>Sir Francis/Frank (1916–2006)</v>
      </c>
      <c r="W91" s="31" t="str">
        <f t="shared" si="38"/>
        <v>Sir Francis/Frank (#89)</v>
      </c>
      <c r="X91" s="99" t="str">
        <f t="shared" si="39"/>
        <v>Sir Francis/Frank (1916–2006: #89)</v>
      </c>
      <c r="Y91" s="99" t="str">
        <f t="shared" si="33"/>
        <v>Francis Alfred LOYD</v>
      </c>
      <c r="Z91" s="99" t="str">
        <f t="shared" si="40"/>
        <v>Alfred (1882–1919: #54)</v>
      </c>
      <c r="AA91" s="99" t="str">
        <f t="shared" si="45"/>
        <v xml:space="preserve">Alfred (1882–1919: #54) Frank (1848–1934: #32) Thomas (1812–1857: #14) William (1770–1828: #4) William (1729–1800: #1)   </v>
      </c>
      <c r="AB91" s="142" t="str">
        <f>VLOOKUP(U91,'Siblings of those BORN Loyd'!$A$2:$G$230,7,FALSE)</f>
        <v xml:space="preserve">1 – Daphne (1917–1992: #92)       </v>
      </c>
      <c r="AC91" s="115" t="str">
        <f>IF(ISNA(IF(K91="Boy",VLOOKUP(A91,'Siblings of those BORN Loyd'!$AP$3:$AQ$70,2,FALSE),VLOOKUP(A91,'Children of Female Loyds'!$AR$5:$AT$60,3,FALSE))),AM91,IF(K91="Boy",VLOOKUP(A91,'Siblings of those BORN Loyd'!$AP$3:$AQ$70,2,FALSE),VLOOKUP(A91,'Children of Female Loyds'!$AR$5:$AT$60,3,FALSE)))</f>
        <v>2 - Janet (1949–: #123); Diana (1952–: #129)</v>
      </c>
      <c r="AD91" s="97" t="str">
        <f t="shared" si="53"/>
        <v xml:space="preserve">2 -    Katharine BOSMAN (1978 - :  #123a) Adam BOSMAN (1980 - :  #123b)             </v>
      </c>
      <c r="AE91" s="105" t="str">
        <f>IF(ISNA(IF(K91="Boy",VLOOKUP(A91,'Grandchildren of Male Loyds'!$AQ$3:$AS$51,3,FALSE),VLOOKUP(A91,'Grandchildren of Female Loyds'!$AX$5:$AZ$63,3,FALSE))),AM91,IF(K91="Boy",VLOOKUP(A91,'Grandchildren of Male Loyds'!$AQ$3:$AS$51,3,FALSE),VLOOKUP(A91,'Grandchildren of Female Loyds'!$AX$5:$AZ$63,3,FALSE)))</f>
        <v/>
      </c>
      <c r="AF91" s="105" t="str">
        <f>IF(ISNA(VLOOKUP(A91,'Grandchildren Loyd Daughters'!$BD$5:$BF$50,4,FALSE)),"",VLOOKUP(A91,'Grandchildren Loyd Daughters'!$BD$5:$BF$50,3,FALSE))</f>
        <v xml:space="preserve">Katharine BOSMAN (1978 - :  #123a) Adam BOSMAN (1980 - :  #123b)             </v>
      </c>
      <c r="AG91" s="129">
        <f>IF(ISNA(VLOOKUP(A91,'Grandchildren of Male Loyds'!$AQ$3:$AR$60,2,FALSE)),0,VLOOKUP(A91,'Grandchildren of Male Loyds'!$AQ$3:$AR$60,2,FALSE))+IF(ISNA(VLOOKUP(A91,'Grandchildren of Female Loyds'!$AX$5:$AY$50,2,FALSE)),0,VLOOKUP(A91,'Grandchildren of Female Loyds'!$AX$5:$AY$50,2,FALSE))+IF(ISNA(VLOOKUP(A91,'Grandchildren Loyd Daughters'!$BD$5:$BE$50,2,FALSE)),0,VLOOKUP(A91,'Grandchildren Loyd Daughters'!$BD$5:$BE$50,2,FALSE))</f>
        <v>2</v>
      </c>
      <c r="AH91" s="129" t="str">
        <f>VLOOKUP($U91,'Loyd List 1-190 - Edit'!$P$3:$AJ$220,21,FALSE)</f>
        <v>Ada Maud Keele GILES (b. 11 Apr 1884, d. 19 Jul 1955)</v>
      </c>
      <c r="AI91" s="129" t="str">
        <f>VLOOKUP(A91,'Updated Bios &amp; Spouse Details'!$A$1:$J$200,7,FALSE)</f>
        <v xml:space="preserve">Katharine LAYZELL (b. 13 Mar 1924, d. 26 Oct 1981) </v>
      </c>
      <c r="AJ91" s="130">
        <f>IF(VLOOKUP($A91,'Loyd List 1-190 - Edit'!$C$1:$AQ$220,'Book Details - NO EDIT'!AJ$1,FALSE)="","",(VLOOKUP($A91,'Loyd List 1-190 - Edit'!$C$1:$AQ$220,'Book Details - NO EDIT'!AJ$1,FALSE)))</f>
        <v>16877</v>
      </c>
      <c r="AK91" s="129" t="str">
        <f>VLOOKUP(A91,'Updated Bios &amp; Spouse Details'!$A$1:$J$200,8,FALSE)</f>
        <v xml:space="preserve">(1) Married at St Paul’s, Kiambu, Kenya, Katharine 3rd and youngest daughter of Lieut Colonel Stanley Charles LAYZELL MC of Mwatati, Kenya. Issue two daughters. (2) Married 7 Sep 1984 at St Edmund’s Catholic Church, Bury St Edmunds, Suffolk, Mrs Monica MURRAY BROWN (b. 1 Nov 1919, d. 2004 ) widow of Lieut Colonel Charles Russell MURRAY BROWN DSO of Worlington, Suffolk and 2nd daughter of John Lloyd Herman MEWBURN of Calgary, Alberta, Canada. </v>
      </c>
      <c r="AL91" s="131" t="str">
        <f>VLOOKUP(A91,'Updated Bios &amp; Spouse Details'!$A$1:$J$200,5,FALSE)</f>
        <v>Frank lived at 53 Park Road, Aldeburgh Suffolk and was the only son of Alfred (1882–1919: #54). Born 5 Sep 1916 at Berkhamstead, Hertfordshire, baptised 23 Sep 1916 at Fryth Cottage, Berkhampstead. Educated Eton 1930-35 and Trinity College, Oxford (MA). MBE 1951, OBE 1954, CMG, 1961, KCMG 1965. District Officer, Kenya 1939. Military Service East Africa 1940-42. Private Secretary to Governor of Kenya 1942-45. District Commissioner 1945-56. Commonwealth Fund Fellowship to USA 1953-54. Provincial Commissioner 1956-62. Permanent Secretary Governor’s Office 1962-63. HM Commissioner for Swaziland 1964-68. Director London House for Overseas Graduates 1969-79. Chairman Oxfam Africa Committee 1979-85. Died 13 Dec 2006. Issue: (1st wife) 2 daughters.</v>
      </c>
      <c r="AM91" s="105" t="str">
        <f>IF(AND(LEN(H91)&gt;0,ISNA(IF(K91="Boy",VLOOKUP(A91,'Siblings of those BORN Loyd'!$AP$3:$AQ$70,2,FALSE),VLOOKUP(A91,'Children of Female Loyds'!$AR$5:$AS$60,2,FALSE)))),"d.s.p","")</f>
        <v/>
      </c>
      <c r="AN91" s="99" t="str">
        <f t="shared" si="41"/>
        <v>Alfred (1882–1919: #54)</v>
      </c>
      <c r="AO91" s="99" t="str">
        <f t="shared" si="46"/>
        <v>Frank (1848–1934: #32)</v>
      </c>
      <c r="AP91" s="99" t="str">
        <f t="shared" si="47"/>
        <v>Thomas (1812–1857: #14)</v>
      </c>
      <c r="AQ91" s="99" t="str">
        <f t="shared" si="48"/>
        <v>William (1770–1828: #4)</v>
      </c>
      <c r="AR91" s="99" t="str">
        <f t="shared" si="49"/>
        <v>William (1729–1800: #1)</v>
      </c>
      <c r="AS91" s="99" t="str">
        <f t="shared" si="50"/>
        <v/>
      </c>
      <c r="AT91" s="99" t="str">
        <f t="shared" si="51"/>
        <v/>
      </c>
      <c r="AU91" s="99" t="str">
        <f t="shared" si="52"/>
        <v/>
      </c>
      <c r="AW91" s="116" t="str">
        <f>VLOOKUP(A91,'Updated Bios &amp; Spouse Details'!$A$1:$J$193,6,FALSE)</f>
        <v>England, Kenya, Swaziland (later called Eswatini)</v>
      </c>
      <c r="AX91" s="131">
        <f>VLOOKUP($A91,'Loyd List 1-190 - Edit'!$P$2:$AQ$220,AX$1,FALSE)</f>
        <v>89</v>
      </c>
      <c r="AY91" s="116" t="str">
        <f>IF(ISNA(VLOOKUP(A91,'Data check lookup table'!$G$2:$V$73,13,FALSE))," - ",VLOOKUP(A91,'Data check lookup table'!$G$2:$V$73,13,FALSE))</f>
        <v xml:space="preserve"> - </v>
      </c>
      <c r="AZ91" s="147" t="str">
        <f t="shared" si="42"/>
        <v>13/12/2006</v>
      </c>
      <c r="BA91" s="99" t="str">
        <f t="shared" si="43"/>
        <v/>
      </c>
      <c r="BB91" s="99" t="str">
        <f t="shared" si="44"/>
        <v/>
      </c>
      <c r="BI91" s="147" t="s">
        <v>3219</v>
      </c>
    </row>
    <row r="92" spans="1:61" s="99" customFormat="1" ht="255">
      <c r="A92" s="139">
        <f>'Loyd List 1-190 - Edit'!C92</f>
        <v>90</v>
      </c>
      <c r="B92" s="99" t="str">
        <f>VLOOKUP($A92,'Loyd List 1-190 - Edit'!$C$1:$AQ$220,'Book Details - NO EDIT'!B$1,FALSE)</f>
        <v>Averil</v>
      </c>
      <c r="C92" s="99" t="str">
        <f>IF(VLOOKUP($A92,'Loyd List 1-190 - Edit'!$C$1:$AQ$220,'Book Details - NO EDIT'!C$1,FALSE)="","",VLOOKUP($A92,'Loyd List 1-190 - Edit'!$C$1:$AQ$220,'Book Details - NO EDIT'!C$1,FALSE))</f>
        <v>Innes</v>
      </c>
      <c r="D92" s="99" t="str">
        <f>IF(VLOOKUP($A92,'Loyd List 1-190 - Edit'!$C$1:$AQ$220,'Book Details - NO EDIT'!D$1,FALSE)="","",VLOOKUP($A92,'Loyd List 1-190 - Edit'!$C$1:$AQ$220,'Book Details - NO EDIT'!D$1,FALSE))</f>
        <v/>
      </c>
      <c r="E92" s="99" t="str">
        <f>IF(VLOOKUP($A92,'Loyd List 1-190 - Edit'!$C$1:$AQ$220,'Book Details - NO EDIT'!E$1,FALSE)="","",VLOOKUP($A92,'Loyd List 1-190 - Edit'!$C$1:$AQ$220,'Book Details - NO EDIT'!E$1,FALSE))</f>
        <v>LOYD</v>
      </c>
      <c r="F92" s="99" t="str">
        <f>IF(VLOOKUP($A92,'Loyd List 1-190 - Edit'!$C$1:$AQ$220,'Book Details - NO EDIT'!F$1,FALSE)="",B92,VLOOKUP($A92,'Loyd List 1-190 - Edit'!$C$1:$AQ$220,'Book Details - NO EDIT'!F$1,FALSE))</f>
        <v>Averil</v>
      </c>
      <c r="G92" s="140">
        <f>IF(VLOOKUP($A92,'Loyd List 1-190 - Edit'!$C$1:$AQ$220,'Book Details - NO EDIT'!G$1,FALSE)="","",VALUE(VLOOKUP($A92,'Loyd List 1-190 - Edit'!$C$1:$AQ$220,'Book Details - NO EDIT'!G$1,FALSE)))</f>
        <v>1917</v>
      </c>
      <c r="H92" s="140">
        <f>IF(VLOOKUP($A92,'Loyd List 1-190 - Edit'!$C$1:$AQ$220,'Book Details - NO EDIT'!H$1,FALSE)="","",VALUE(VLOOKUP($A92,'Loyd List 1-190 - Edit'!$C$1:$AQ$220,'Book Details - NO EDIT'!H$1,FALSE)))</f>
        <v>1993</v>
      </c>
      <c r="I92" s="141">
        <f>IF(VLOOKUP($A92,'Loyd List 1-190 - Edit'!$C$1:$AQ$220,'Book Details - NO EDIT'!I$1,FALSE)="","",(VLOOKUP($A92,'Loyd List 1-190 - Edit'!$C$1:$AQ$220,'Book Details - NO EDIT'!I$1,FALSE)))</f>
        <v>6293</v>
      </c>
      <c r="J92" s="141" t="str">
        <f>IF(VLOOKUP($A92,'Loyd List 1-190 - Edit'!$C$1:$AQ$220,'Book Details - NO EDIT'!J$1,FALSE)="","",(VLOOKUP($A92,'Loyd List 1-190 - Edit'!$C$1:$AQ$220,'Book Details - NO EDIT'!J$1,FALSE)))</f>
        <v>21/08/1993</v>
      </c>
      <c r="K92" s="100" t="str">
        <f>VLOOKUP($A92,'Loyd List 1-190 - Edit'!$C$1:$AQ$220,'Book Details - NO EDIT'!K$1,FALSE)</f>
        <v>Girl</v>
      </c>
      <c r="L92" s="140">
        <f>VLOOKUP($A92,'Loyd List 1-190 - Edit'!$C$1:$AQ$220,'Book Details - NO EDIT'!L$1,FALSE)</f>
        <v>52</v>
      </c>
      <c r="M92" s="140">
        <f t="shared" si="34"/>
        <v>41</v>
      </c>
      <c r="N92" s="140">
        <f t="shared" si="34"/>
        <v>22</v>
      </c>
      <c r="O92" s="140">
        <f t="shared" si="34"/>
        <v>8</v>
      </c>
      <c r="P92" s="140">
        <f t="shared" si="31"/>
        <v>1</v>
      </c>
      <c r="Q92" s="140">
        <f t="shared" si="31"/>
        <v>0</v>
      </c>
      <c r="R92" s="140" t="str">
        <f t="shared" si="31"/>
        <v/>
      </c>
      <c r="S92" s="140" t="str">
        <f t="shared" si="35"/>
        <v/>
      </c>
      <c r="T92" s="140">
        <f t="shared" si="32"/>
        <v>5</v>
      </c>
      <c r="U92" s="139">
        <f t="shared" si="36"/>
        <v>90</v>
      </c>
      <c r="V92" s="31" t="str">
        <f t="shared" si="37"/>
        <v>Averil (1917–1993)</v>
      </c>
      <c r="W92" s="31" t="str">
        <f t="shared" si="38"/>
        <v>Averil (#90)</v>
      </c>
      <c r="X92" s="99" t="str">
        <f t="shared" si="39"/>
        <v>Averil (1917–1993: #90)</v>
      </c>
      <c r="Y92" s="99" t="str">
        <f t="shared" si="33"/>
        <v>Averil Innes LOYD</v>
      </c>
      <c r="Z92" s="99" t="str">
        <f t="shared" si="40"/>
        <v>Lewis (1880–1918: #52)</v>
      </c>
      <c r="AA92" s="99" t="str">
        <f t="shared" si="45"/>
        <v xml:space="preserve">Lewis (1880–1918: #52) Frederic (1856–1936: #41) Edward (1820–1890: #22) Edward (1780–1863: #8) William (1729–1800: #1)   </v>
      </c>
      <c r="AB92" s="142" t="str">
        <f>VLOOKUP(U92,'Siblings of those BORN Loyd'!$A$2:$G$230,7,FALSE)</f>
        <v>0 – Only chlid</v>
      </c>
      <c r="AC92" s="115" t="str">
        <f>IF(ISNA(IF(K92="Boy",VLOOKUP(A92,'Siblings of those BORN Loyd'!$AP$3:$AQ$70,2,FALSE),VLOOKUP(A92,'Children of Female Loyds'!$AR$5:$AT$60,3,FALSE))),AM92,IF(K92="Boy",VLOOKUP(A92,'Siblings of those BORN Loyd'!$AP$3:$AQ$70,2,FALSE),VLOOKUP(A92,'Children of Female Loyds'!$AR$5:$AT$60,3,FALSE)))</f>
        <v xml:space="preserve">3 - June MARSHAM-TOWNHEND (1942 - : #90a) Suki MARSHAM-TOWNHEND (1944 - : #90b) Jonathan CLARKE (1950 - : #90c)     </v>
      </c>
      <c r="AD92" s="97" t="str">
        <f t="shared" si="53"/>
        <v xml:space="preserve">7 - Emily NORMAN (1975 -: #90aa) Lachlan RANKIN (1980 -: #90ab) Cesare STUDIATI BERNI (1972 -: #90ba) Viola STUDIATI BERNI (1975 -: #90bb) Georgina  CLARKE (1976 -: #90ca) Philippa CLARKE (1980 -1980: #90cb) Marina CLARKE (1982 -: #90cc)            </v>
      </c>
      <c r="AE92" s="105" t="str">
        <f>IF(ISNA(IF(K92="Boy",VLOOKUP(A92,'Grandchildren of Male Loyds'!$AQ$3:$AS$51,3,FALSE),VLOOKUP(A92,'Grandchildren of Female Loyds'!$AX$5:$AZ$63,3,FALSE))),AM92,IF(K92="Boy",VLOOKUP(A92,'Grandchildren of Male Loyds'!$AQ$3:$AS$51,3,FALSE),VLOOKUP(A92,'Grandchildren of Female Loyds'!$AX$5:$AZ$63,3,FALSE)))</f>
        <v xml:space="preserve">Emily NORMAN (1975 -: #90aa) Lachlan RANKIN (1980 -: #90ab) Cesare STUDIATI BERNI (1972 -: #90ba) Viola STUDIATI BERNI (1975 -: #90bb) Georgina  CLARKE (1976 -: #90ca) Philippa CLARKE (1980 -1980: #90cb) Marina CLARKE (1982 -: #90cc)         </v>
      </c>
      <c r="AF92" s="105" t="str">
        <f>IF(ISNA(VLOOKUP(A92,'Grandchildren Loyd Daughters'!$BD$5:$BF$50,4,FALSE)),"",VLOOKUP(A92,'Grandchildren Loyd Daughters'!$BD$5:$BF$50,3,FALSE))</f>
        <v/>
      </c>
      <c r="AG92" s="129">
        <f>IF(ISNA(VLOOKUP(A92,'Grandchildren of Male Loyds'!$AQ$3:$AR$60,2,FALSE)),0,VLOOKUP(A92,'Grandchildren of Male Loyds'!$AQ$3:$AR$60,2,FALSE))+IF(ISNA(VLOOKUP(A92,'Grandchildren of Female Loyds'!$AX$5:$AY$50,2,FALSE)),0,VLOOKUP(A92,'Grandchildren of Female Loyds'!$AX$5:$AY$50,2,FALSE))+IF(ISNA(VLOOKUP(A92,'Grandchildren Loyd Daughters'!$BD$5:$BE$50,2,FALSE)),0,VLOOKUP(A92,'Grandchildren Loyd Daughters'!$BD$5:$BE$50,2,FALSE))</f>
        <v>7</v>
      </c>
      <c r="AH92" s="129" t="str">
        <f>VLOOKUP($U92,'Loyd List 1-190 - Edit'!$P$3:$AJ$220,21,FALSE)</f>
        <v>Mary Christobel CHARRINGTON (b. 18 Nov 1894, d. 9 Jan 1977)</v>
      </c>
      <c r="AI92" s="129" t="str">
        <f>VLOOKUP(A92,'Updated Bios &amp; Spouse Details'!$A$1:$J$200,7,FALSE)</f>
        <v>Thomas (Tommy) MARSHAM-TOWNSHEND (b. 26 Dec 1915, d. 24 Jan 1944).</v>
      </c>
      <c r="AJ92" s="130">
        <f>IF(VLOOKUP($A92,'Loyd List 1-190 - Edit'!$C$1:$AQ$220,'Book Details - NO EDIT'!AJ$1,FALSE)="","",(VLOOKUP($A92,'Loyd List 1-190 - Edit'!$C$1:$AQ$220,'Book Details - NO EDIT'!AJ$1,FALSE)))</f>
        <v>14632</v>
      </c>
      <c r="AK92" s="129" t="str">
        <f>VLOOKUP(A92,'Updated Bios &amp; Spouse Details'!$A$1:$J$200,8,FALSE)</f>
        <v>(1) Married  at All Saints’ Cathedral, Cairo, Tommy Captain, Scots Guards, younger son of Hugh Sydney MARSHAM-TOWNSHEND JP of Scadbury Park, Chislehurst, Kent. Tommy died of his wounds. Issue two daughters. (2) 8 Aug 1945 at St Paul’s, Knightsbridge, London, John OBE, MC, Yugoslav Order of Service to the People with Silver Rays, Lieut Colonel, Scots Guards, Liveryman of Clothworkers’ Company, eldest son of Edmund Stephenson CLARKE of Pickwell, Bolney, West Sussex, RH17 5RE.  Issue one son. John buried Highbrook Church, West Sussex.</v>
      </c>
      <c r="AL92" s="131" t="str">
        <f>VLOOKUP(A92,'Updated Bios &amp; Spouse Details'!$A$1:$J$200,5,FALSE)</f>
        <v>Averil was the only child of Lewis (1880–1918: #52). Born 24 Mar 1917. Died 21 Aug 1993, buried Highbrook Church, West Sussex in same grave as her 2nd husband, John Robert Stephenson CLARKE. Issue: 2 daughters, 1 son.</v>
      </c>
      <c r="AM92" s="105" t="str">
        <f>IF(AND(LEN(H92)&gt;0,ISNA(IF(K92="Boy",VLOOKUP(A92,'Siblings of those BORN Loyd'!$AP$3:$AQ$70,2,FALSE),VLOOKUP(A92,'Children of Female Loyds'!$AR$5:$AS$60,2,FALSE)))),"d.s.p","")</f>
        <v/>
      </c>
      <c r="AN92" s="99" t="str">
        <f t="shared" si="41"/>
        <v>Lewis (1880–1918: #52)</v>
      </c>
      <c r="AO92" s="99" t="str">
        <f t="shared" si="46"/>
        <v>Frederic (1856–1936: #41)</v>
      </c>
      <c r="AP92" s="99" t="str">
        <f t="shared" si="47"/>
        <v>Edward (1820–1890: #22)</v>
      </c>
      <c r="AQ92" s="99" t="str">
        <f t="shared" si="48"/>
        <v>Edward (1780–1863: #8)</v>
      </c>
      <c r="AR92" s="99" t="str">
        <f t="shared" si="49"/>
        <v>William (1729–1800: #1)</v>
      </c>
      <c r="AS92" s="99" t="str">
        <f t="shared" si="50"/>
        <v/>
      </c>
      <c r="AT92" s="99" t="str">
        <f t="shared" si="51"/>
        <v/>
      </c>
      <c r="AU92" s="99" t="str">
        <f t="shared" si="52"/>
        <v/>
      </c>
      <c r="AW92" s="116" t="str">
        <f>VLOOKUP(A92,'Updated Bios &amp; Spouse Details'!$A$1:$J$193,6,FALSE)</f>
        <v>England</v>
      </c>
      <c r="AX92" s="131">
        <f>VLOOKUP($A92,'Loyd List 1-190 - Edit'!$P$2:$AQ$220,AX$1,FALSE)</f>
        <v>90</v>
      </c>
      <c r="AY92" s="116" t="str">
        <f>IF(ISNA(VLOOKUP(A92,'Data check lookup table'!$G$2:$V$73,13,FALSE))," - ",VLOOKUP(A92,'Data check lookup table'!$G$2:$V$73,13,FALSE))</f>
        <v xml:space="preserve"> - </v>
      </c>
      <c r="AZ92" s="147" t="str">
        <f t="shared" si="42"/>
        <v>21/08/1993</v>
      </c>
      <c r="BA92" s="99" t="str">
        <f t="shared" si="43"/>
        <v/>
      </c>
      <c r="BB92" s="99" t="str">
        <f t="shared" si="44"/>
        <v/>
      </c>
      <c r="BI92" s="147" t="s">
        <v>3220</v>
      </c>
    </row>
    <row r="93" spans="1:61" s="99" customFormat="1" ht="34">
      <c r="A93" s="139">
        <f>'Loyd List 1-190 - Edit'!C93</f>
        <v>91</v>
      </c>
      <c r="B93" s="99" t="str">
        <f>VLOOKUP($A93,'Loyd List 1-190 - Edit'!$C$1:$AQ$220,'Book Details - NO EDIT'!B$1,FALSE)</f>
        <v>Martin</v>
      </c>
      <c r="C93" s="99" t="str">
        <f>IF(VLOOKUP($A93,'Loyd List 1-190 - Edit'!$C$1:$AQ$220,'Book Details - NO EDIT'!C$1,FALSE)="","",VLOOKUP($A93,'Loyd List 1-190 - Edit'!$C$1:$AQ$220,'Book Details - NO EDIT'!C$1,FALSE))</f>
        <v>Thomas</v>
      </c>
      <c r="D93" s="99" t="str">
        <f>IF(VLOOKUP($A93,'Loyd List 1-190 - Edit'!$C$1:$AQ$220,'Book Details - NO EDIT'!D$1,FALSE)="","",VLOOKUP($A93,'Loyd List 1-190 - Edit'!$C$1:$AQ$220,'Book Details - NO EDIT'!D$1,FALSE))</f>
        <v/>
      </c>
      <c r="E93" s="99" t="str">
        <f>IF(VLOOKUP($A93,'Loyd List 1-190 - Edit'!$C$1:$AQ$220,'Book Details - NO EDIT'!E$1,FALSE)="","",VLOOKUP($A93,'Loyd List 1-190 - Edit'!$C$1:$AQ$220,'Book Details - NO EDIT'!E$1,FALSE))</f>
        <v>LOYD</v>
      </c>
      <c r="F93" s="99" t="str">
        <f>IF(VLOOKUP($A93,'Loyd List 1-190 - Edit'!$C$1:$AQ$220,'Book Details - NO EDIT'!F$1,FALSE)="",B93,VLOOKUP($A93,'Loyd List 1-190 - Edit'!$C$1:$AQ$220,'Book Details - NO EDIT'!F$1,FALSE))</f>
        <v>Martin</v>
      </c>
      <c r="G93" s="140">
        <f>IF(VLOOKUP($A93,'Loyd List 1-190 - Edit'!$C$1:$AQ$220,'Book Details - NO EDIT'!G$1,FALSE)="","",VALUE(VLOOKUP($A93,'Loyd List 1-190 - Edit'!$C$1:$AQ$220,'Book Details - NO EDIT'!G$1,FALSE)))</f>
        <v>1917</v>
      </c>
      <c r="H93" s="140">
        <f>IF(VLOOKUP($A93,'Loyd List 1-190 - Edit'!$C$1:$AQ$220,'Book Details - NO EDIT'!H$1,FALSE)="","",VALUE(VLOOKUP($A93,'Loyd List 1-190 - Edit'!$C$1:$AQ$220,'Book Details - NO EDIT'!H$1,FALSE)))</f>
        <v>1926</v>
      </c>
      <c r="I93" s="141">
        <f>IF(VLOOKUP($A93,'Loyd List 1-190 - Edit'!$C$1:$AQ$220,'Book Details - NO EDIT'!I$1,FALSE)="","",(VLOOKUP($A93,'Loyd List 1-190 - Edit'!$C$1:$AQ$220,'Book Details - NO EDIT'!I$1,FALSE)))</f>
        <v>6439</v>
      </c>
      <c r="J93" s="141" t="str">
        <f>IF(VLOOKUP($A93,'Loyd List 1-190 - Edit'!$C$1:$AQ$220,'Book Details - NO EDIT'!J$1,FALSE)="","",(VLOOKUP($A93,'Loyd List 1-190 - Edit'!$C$1:$AQ$220,'Book Details - NO EDIT'!J$1,FALSE)))</f>
        <v>27/10/1926</v>
      </c>
      <c r="K93" s="100" t="str">
        <f>VLOOKUP($A93,'Loyd List 1-190 - Edit'!$C$1:$AQ$220,'Book Details - NO EDIT'!K$1,FALSE)</f>
        <v>Boy</v>
      </c>
      <c r="L93" s="140">
        <f>VLOOKUP($A93,'Loyd List 1-190 - Edit'!$C$1:$AQ$220,'Book Details - NO EDIT'!L$1,FALSE)</f>
        <v>56</v>
      </c>
      <c r="M93" s="140">
        <f t="shared" si="34"/>
        <v>28</v>
      </c>
      <c r="N93" s="140">
        <f t="shared" si="34"/>
        <v>14</v>
      </c>
      <c r="O93" s="140">
        <f t="shared" si="34"/>
        <v>4</v>
      </c>
      <c r="P93" s="140">
        <f t="shared" si="31"/>
        <v>1</v>
      </c>
      <c r="Q93" s="140">
        <f t="shared" si="31"/>
        <v>0</v>
      </c>
      <c r="R93" s="140" t="str">
        <f t="shared" si="31"/>
        <v/>
      </c>
      <c r="S93" s="140" t="str">
        <f t="shared" si="35"/>
        <v/>
      </c>
      <c r="T93" s="140">
        <f t="shared" si="32"/>
        <v>5</v>
      </c>
      <c r="U93" s="139">
        <f t="shared" si="36"/>
        <v>91</v>
      </c>
      <c r="V93" s="31" t="str">
        <f t="shared" si="37"/>
        <v>Martin (1917–1926)</v>
      </c>
      <c r="W93" s="31" t="str">
        <f t="shared" si="38"/>
        <v>Martin (#91)</v>
      </c>
      <c r="X93" s="99" t="str">
        <f t="shared" si="39"/>
        <v>Martin (1917–1926: #91)</v>
      </c>
      <c r="Y93" s="99" t="str">
        <f t="shared" si="33"/>
        <v>Martin Thomas LOYD</v>
      </c>
      <c r="Z93" s="99" t="str">
        <f t="shared" si="40"/>
        <v>Tommy (1882–1944: #56)</v>
      </c>
      <c r="AA93" s="99" t="str">
        <f t="shared" si="45"/>
        <v xml:space="preserve">Tommy (1882–1944: #56) The Rev Lewis (1844–1905: #28) Thomas (1812–1857: #14) William (1770–1828: #4) William (1729–1800: #1)   </v>
      </c>
      <c r="AB93" s="142" t="str">
        <f>VLOOKUP(U93,'Siblings of those BORN Loyd'!$A$2:$G$230,7,FALSE)</f>
        <v xml:space="preserve">5 – Anne (1912–2004: #85) John (1913–1943: #87)  Hester (1920–2002: #95) Christopher (1923–2013: #100) Catherine (1923–2014: #101)   </v>
      </c>
      <c r="AC93" s="115" t="str">
        <f>IF(ISNA(IF(K93="Boy",VLOOKUP(A93,'Siblings of those BORN Loyd'!$AP$3:$AQ$70,2,FALSE),VLOOKUP(A93,'Children of Female Loyds'!$AR$5:$AT$60,3,FALSE))),AM93,IF(K93="Boy",VLOOKUP(A93,'Siblings of those BORN Loyd'!$AP$3:$AQ$70,2,FALSE),VLOOKUP(A93,'Children of Female Loyds'!$AR$5:$AT$60,3,FALSE)))</f>
        <v>d.s.p</v>
      </c>
      <c r="AD93" s="97" t="str">
        <f t="shared" si="53"/>
        <v>d.s.p.</v>
      </c>
      <c r="AE93" s="105" t="str">
        <f>IF(ISNA(IF(K93="Boy",VLOOKUP(A93,'Grandchildren of Male Loyds'!$AQ$3:$AS$51,3,FALSE),VLOOKUP(A93,'Grandchildren of Female Loyds'!$AX$5:$AZ$63,3,FALSE))),AM93,IF(K93="Boy",VLOOKUP(A93,'Grandchildren of Male Loyds'!$AQ$3:$AS$51,3,FALSE),VLOOKUP(A93,'Grandchildren of Female Loyds'!$AX$5:$AZ$63,3,FALSE)))</f>
        <v>d.s.p</v>
      </c>
      <c r="AF93" s="105" t="str">
        <f>IF(ISNA(VLOOKUP(A93,'Grandchildren Loyd Daughters'!$BD$5:$BF$50,4,FALSE)),"",VLOOKUP(A93,'Grandchildren Loyd Daughters'!$BD$5:$BF$50,3,FALSE))</f>
        <v/>
      </c>
      <c r="AG93" s="129">
        <f>IF(ISNA(VLOOKUP(A93,'Grandchildren of Male Loyds'!$AQ$3:$AR$60,2,FALSE)),0,VLOOKUP(A93,'Grandchildren of Male Loyds'!$AQ$3:$AR$60,2,FALSE))+IF(ISNA(VLOOKUP(A93,'Grandchildren of Female Loyds'!$AX$5:$AY$50,2,FALSE)),0,VLOOKUP(A93,'Grandchildren of Female Loyds'!$AX$5:$AY$50,2,FALSE))+IF(ISNA(VLOOKUP(A93,'Grandchildren Loyd Daughters'!$BD$5:$BE$50,2,FALSE)),0,VLOOKUP(A93,'Grandchildren Loyd Daughters'!$BD$5:$BE$50,2,FALSE))</f>
        <v>0</v>
      </c>
      <c r="AH93" s="129" t="str">
        <f>VLOOKUP($U93,'Loyd List 1-190 - Edit'!$P$3:$AJ$220,21,FALSE)</f>
        <v>Dorothy WILLERT (b. 19 Jan 1886, d. 15 Jan 1966)</v>
      </c>
      <c r="AI93" s="129" t="str">
        <f>VLOOKUP(A93,'Updated Bios &amp; Spouse Details'!$A$1:$J$200,7,FALSE)</f>
        <v>Died in childhood.</v>
      </c>
      <c r="AJ93" s="130" t="str">
        <f>IF(VLOOKUP($A93,'Loyd List 1-190 - Edit'!$C$1:$AQ$220,'Book Details - NO EDIT'!AJ$1,FALSE)="","",(VLOOKUP($A93,'Loyd List 1-190 - Edit'!$C$1:$AQ$220,'Book Details - NO EDIT'!AJ$1,FALSE)))</f>
        <v xml:space="preserve"> - </v>
      </c>
      <c r="AK93" s="129" t="str">
        <f>VLOOKUP(A93,'Updated Bios &amp; Spouse Details'!$A$1:$J$200,8,FALSE)</f>
        <v xml:space="preserve"> - </v>
      </c>
      <c r="AL93" s="131" t="str">
        <f>VLOOKUP(A93,'Updated Bios &amp; Spouse Details'!$A$1:$J$200,5,FALSE)</f>
        <v>Martin was the 2nd son of Arthur (1882–1944: #56). Born 17 Aug 1917. Died in childhood on 27 Oct 1926. Buried at Lockinge.</v>
      </c>
      <c r="AM93" s="105" t="str">
        <f>IF(AND(LEN(H93)&gt;0,ISNA(IF(K93="Boy",VLOOKUP(A93,'Siblings of those BORN Loyd'!$AP$3:$AQ$70,2,FALSE),VLOOKUP(A93,'Children of Female Loyds'!$AR$5:$AS$60,2,FALSE)))),"d.s.p","")</f>
        <v>d.s.p</v>
      </c>
      <c r="AN93" s="99" t="str">
        <f t="shared" si="41"/>
        <v>Tommy (1882–1944: #56)</v>
      </c>
      <c r="AO93" s="99" t="str">
        <f t="shared" si="46"/>
        <v>The Rev Lewis (1844–1905: #28)</v>
      </c>
      <c r="AP93" s="99" t="str">
        <f t="shared" si="47"/>
        <v>Thomas (1812–1857: #14)</v>
      </c>
      <c r="AQ93" s="99" t="str">
        <f t="shared" si="48"/>
        <v>William (1770–1828: #4)</v>
      </c>
      <c r="AR93" s="99" t="str">
        <f t="shared" si="49"/>
        <v>William (1729–1800: #1)</v>
      </c>
      <c r="AS93" s="99" t="str">
        <f t="shared" si="50"/>
        <v/>
      </c>
      <c r="AT93" s="99" t="str">
        <f t="shared" si="51"/>
        <v/>
      </c>
      <c r="AU93" s="99" t="str">
        <f t="shared" si="52"/>
        <v/>
      </c>
      <c r="AW93" s="116" t="str">
        <f>VLOOKUP(A93,'Updated Bios &amp; Spouse Details'!$A$1:$J$193,6,FALSE)</f>
        <v>England</v>
      </c>
      <c r="AX93" s="131">
        <f>VLOOKUP($A93,'Loyd List 1-190 - Edit'!$P$2:$AQ$220,AX$1,FALSE)</f>
        <v>91</v>
      </c>
      <c r="AY93" s="116" t="str">
        <f>IF(ISNA(VLOOKUP(A93,'Data check lookup table'!$G$2:$V$73,13,FALSE))," - ",VLOOKUP(A93,'Data check lookup table'!$G$2:$V$73,13,FALSE))</f>
        <v xml:space="preserve"> - </v>
      </c>
      <c r="AZ93" s="147" t="str">
        <f t="shared" si="42"/>
        <v>27/10/1926</v>
      </c>
      <c r="BA93" s="99" t="str">
        <f t="shared" si="43"/>
        <v/>
      </c>
      <c r="BB93" s="99" t="str">
        <f t="shared" si="44"/>
        <v/>
      </c>
      <c r="BI93" s="147" t="s">
        <v>3221</v>
      </c>
    </row>
    <row r="94" spans="1:61" s="99" customFormat="1" ht="85">
      <c r="A94" s="139">
        <f>'Loyd List 1-190 - Edit'!C94</f>
        <v>92</v>
      </c>
      <c r="B94" s="99" t="str">
        <f>VLOOKUP($A94,'Loyd List 1-190 - Edit'!$C$1:$AQ$220,'Book Details - NO EDIT'!B$1,FALSE)</f>
        <v>Daphne</v>
      </c>
      <c r="C94" s="99" t="str">
        <f>IF(VLOOKUP($A94,'Loyd List 1-190 - Edit'!$C$1:$AQ$220,'Book Details - NO EDIT'!C$1,FALSE)="","",VLOOKUP($A94,'Loyd List 1-190 - Edit'!$C$1:$AQ$220,'Book Details - NO EDIT'!C$1,FALSE))</f>
        <v>Maud</v>
      </c>
      <c r="D94" s="99" t="str">
        <f>IF(VLOOKUP($A94,'Loyd List 1-190 - Edit'!$C$1:$AQ$220,'Book Details - NO EDIT'!D$1,FALSE)="","",VLOOKUP($A94,'Loyd List 1-190 - Edit'!$C$1:$AQ$220,'Book Details - NO EDIT'!D$1,FALSE))</f>
        <v>Trelawny</v>
      </c>
      <c r="E94" s="99" t="str">
        <f>IF(VLOOKUP($A94,'Loyd List 1-190 - Edit'!$C$1:$AQ$220,'Book Details - NO EDIT'!E$1,FALSE)="","",VLOOKUP($A94,'Loyd List 1-190 - Edit'!$C$1:$AQ$220,'Book Details - NO EDIT'!E$1,FALSE))</f>
        <v>LOYD</v>
      </c>
      <c r="F94" s="99" t="str">
        <f>IF(VLOOKUP($A94,'Loyd List 1-190 - Edit'!$C$1:$AQ$220,'Book Details - NO EDIT'!F$1,FALSE)="",B94,VLOOKUP($A94,'Loyd List 1-190 - Edit'!$C$1:$AQ$220,'Book Details - NO EDIT'!F$1,FALSE))</f>
        <v>Daphne</v>
      </c>
      <c r="G94" s="140">
        <f>IF(VLOOKUP($A94,'Loyd List 1-190 - Edit'!$C$1:$AQ$220,'Book Details - NO EDIT'!G$1,FALSE)="","",VALUE(VLOOKUP($A94,'Loyd List 1-190 - Edit'!$C$1:$AQ$220,'Book Details - NO EDIT'!G$1,FALSE)))</f>
        <v>1917</v>
      </c>
      <c r="H94" s="140">
        <f>IF(VLOOKUP($A94,'Loyd List 1-190 - Edit'!$C$1:$AQ$220,'Book Details - NO EDIT'!H$1,FALSE)="","",VALUE(VLOOKUP($A94,'Loyd List 1-190 - Edit'!$C$1:$AQ$220,'Book Details - NO EDIT'!H$1,FALSE)))</f>
        <v>1992</v>
      </c>
      <c r="I94" s="141">
        <f>IF(VLOOKUP($A94,'Loyd List 1-190 - Edit'!$C$1:$AQ$220,'Book Details - NO EDIT'!I$1,FALSE)="","",(VLOOKUP($A94,'Loyd List 1-190 - Edit'!$C$1:$AQ$220,'Book Details - NO EDIT'!I$1,FALSE)))</f>
        <v>6540</v>
      </c>
      <c r="J94" s="141" t="str">
        <f>IF(VLOOKUP($A94,'Loyd List 1-190 - Edit'!$C$1:$AQ$220,'Book Details - NO EDIT'!J$1,FALSE)="","",(VLOOKUP($A94,'Loyd List 1-190 - Edit'!$C$1:$AQ$220,'Book Details - NO EDIT'!J$1,FALSE)))</f>
        <v>22/07/1992</v>
      </c>
      <c r="K94" s="100" t="str">
        <f>VLOOKUP($A94,'Loyd List 1-190 - Edit'!$C$1:$AQ$220,'Book Details - NO EDIT'!K$1,FALSE)</f>
        <v>Girl</v>
      </c>
      <c r="L94" s="140">
        <f>VLOOKUP($A94,'Loyd List 1-190 - Edit'!$C$1:$AQ$220,'Book Details - NO EDIT'!L$1,FALSE)</f>
        <v>54</v>
      </c>
      <c r="M94" s="140">
        <f t="shared" si="34"/>
        <v>32</v>
      </c>
      <c r="N94" s="140">
        <f t="shared" si="34"/>
        <v>14</v>
      </c>
      <c r="O94" s="140">
        <f t="shared" si="34"/>
        <v>4</v>
      </c>
      <c r="P94" s="140">
        <f t="shared" si="31"/>
        <v>1</v>
      </c>
      <c r="Q94" s="140">
        <f t="shared" si="31"/>
        <v>0</v>
      </c>
      <c r="R94" s="140" t="str">
        <f t="shared" si="31"/>
        <v/>
      </c>
      <c r="S94" s="140" t="str">
        <f t="shared" si="35"/>
        <v/>
      </c>
      <c r="T94" s="140">
        <f t="shared" si="32"/>
        <v>5</v>
      </c>
      <c r="U94" s="139">
        <f t="shared" si="36"/>
        <v>92</v>
      </c>
      <c r="V94" s="31" t="str">
        <f t="shared" si="37"/>
        <v>Daphne (1917–1992)</v>
      </c>
      <c r="W94" s="31" t="str">
        <f t="shared" si="38"/>
        <v>Daphne (#92)</v>
      </c>
      <c r="X94" s="99" t="str">
        <f t="shared" si="39"/>
        <v>Daphne (1917–1992: #92)</v>
      </c>
      <c r="Y94" s="99" t="str">
        <f t="shared" si="33"/>
        <v>Daphne Maud Trelawny LOYD</v>
      </c>
      <c r="Z94" s="99" t="str">
        <f t="shared" si="40"/>
        <v>Alfred (1882–1919: #54)</v>
      </c>
      <c r="AA94" s="99" t="str">
        <f t="shared" si="45"/>
        <v xml:space="preserve">Alfred (1882–1919: #54) Frank (1848–1934: #32) Thomas (1812–1857: #14) William (1770–1828: #4) William (1729–1800: #1)   </v>
      </c>
      <c r="AB94" s="142" t="str">
        <f>VLOOKUP(U94,'Siblings of those BORN Loyd'!$A$2:$G$230,7,FALSE)</f>
        <v xml:space="preserve">1 – Sir Francis/Frank (1916–2006: #89)        </v>
      </c>
      <c r="AC94" s="115" t="str">
        <f>IF(ISNA(IF(K94="Boy",VLOOKUP(A94,'Siblings of those BORN Loyd'!$AP$3:$AQ$70,2,FALSE),VLOOKUP(A94,'Children of Female Loyds'!$AR$5:$AT$60,3,FALSE))),AM94,IF(K94="Boy",VLOOKUP(A94,'Siblings of those BORN Loyd'!$AP$3:$AQ$70,2,FALSE),VLOOKUP(A94,'Children of Female Loyds'!$AR$5:$AT$60,3,FALSE)))</f>
        <v xml:space="preserve">4 - Tim TATTON-BROWN (1947 - : #92a) Giles TATTON-BROWN (1948 - : #92b) Anthea TATTON-BROWN (1951 - : #92c) Fanny TATTON-BROWN (1954 - : #92d)    </v>
      </c>
      <c r="AD94" s="97" t="str">
        <f t="shared" si="53"/>
        <v xml:space="preserve">10 - Hugh TATTON-BROWN (1980 -: #92aa) Miranda TATTON-BROWN (1983 -: #92ab) Lucy TATTON-BROWN (1984 -: #92ac) Robert TATTON-BROWN (1993 -: #92ad) Olivia TATTON-BROWN (1971 -: #92ba) Ben TATTON-BROWN (1973 -: #92bb) Daisy TATTON-BROWN (1983 -: #92bc) Gregory TATTON-BROWN (1985 -: #92bd) Jonathan SURTEES (1982 -: #92da) Rosamund SURTEES (1987 -: #92db)         </v>
      </c>
      <c r="AE94" s="105" t="str">
        <f>IF(ISNA(IF(K94="Boy",VLOOKUP(A94,'Grandchildren of Male Loyds'!$AQ$3:$AS$51,3,FALSE),VLOOKUP(A94,'Grandchildren of Female Loyds'!$AX$5:$AZ$63,3,FALSE))),AM94,IF(K94="Boy",VLOOKUP(A94,'Grandchildren of Male Loyds'!$AQ$3:$AS$51,3,FALSE),VLOOKUP(A94,'Grandchildren of Female Loyds'!$AX$5:$AZ$63,3,FALSE)))</f>
        <v xml:space="preserve">Hugh TATTON-BROWN (1980 -: #92aa) Miranda TATTON-BROWN (1983 -: #92ab) Lucy TATTON-BROWN (1984 -: #92ac) Robert TATTON-BROWN (1993 -: #92ad) Olivia TATTON-BROWN (1971 -: #92ba) Ben TATTON-BROWN (1973 -: #92bb) Daisy TATTON-BROWN (1983 -: #92bc) Gregory TATTON-BROWN (1985 -: #92bd) Jonathan SURTEES (1982 -: #92da) Rosamund SURTEES (1987 -: #92db)      </v>
      </c>
      <c r="AF94" s="105" t="str">
        <f>IF(ISNA(VLOOKUP(A94,'Grandchildren Loyd Daughters'!$BD$5:$BF$50,4,FALSE)),"",VLOOKUP(A94,'Grandchildren Loyd Daughters'!$BD$5:$BF$50,3,FALSE))</f>
        <v/>
      </c>
      <c r="AG94" s="129">
        <f>IF(ISNA(VLOOKUP(A94,'Grandchildren of Male Loyds'!$AQ$3:$AR$60,2,FALSE)),0,VLOOKUP(A94,'Grandchildren of Male Loyds'!$AQ$3:$AR$60,2,FALSE))+IF(ISNA(VLOOKUP(A94,'Grandchildren of Female Loyds'!$AX$5:$AY$50,2,FALSE)),0,VLOOKUP(A94,'Grandchildren of Female Loyds'!$AX$5:$AY$50,2,FALSE))+IF(ISNA(VLOOKUP(A94,'Grandchildren Loyd Daughters'!$BD$5:$BE$50,2,FALSE)),0,VLOOKUP(A94,'Grandchildren Loyd Daughters'!$BD$5:$BE$50,2,FALSE))</f>
        <v>10</v>
      </c>
      <c r="AH94" s="129" t="str">
        <f>VLOOKUP($U94,'Loyd List 1-190 - Edit'!$P$3:$AJ$220,21,FALSE)</f>
        <v>Ada Maud Keele GILES (b. 11 Apr 1884, d. 19 Jul 1955)</v>
      </c>
      <c r="AI94" s="129" t="str">
        <f>VLOOKUP(A94,'Updated Bios &amp; Spouse Details'!$A$1:$J$200,7,FALSE)</f>
        <v>Robert TATTON-BROWN (b. 14 Sep 1913, d. 16 Apr 1990)</v>
      </c>
      <c r="AJ94" s="130">
        <f>IF(VLOOKUP($A94,'Loyd List 1-190 - Edit'!$C$1:$AQ$220,'Book Details - NO EDIT'!AJ$1,FALSE)="","",(VLOOKUP($A94,'Loyd List 1-190 - Edit'!$C$1:$AQ$220,'Book Details - NO EDIT'!AJ$1,FALSE)))</f>
        <v>16674</v>
      </c>
      <c r="AK94" s="129" t="str">
        <f>VLOOKUP(A94,'Updated Bios &amp; Spouse Details'!$A$1:$J$200,8,FALSE)</f>
        <v>Married at St. Mary’s, Horsell, Woking, Robert of Fisherton Mill House, Salisbury, Wiltshire, SP2 7RZ. Robert born in Rochester, Kent and baptised in Rochester Cathedral.</v>
      </c>
      <c r="AL94" s="131" t="str">
        <f>VLOOKUP(A94,'Updated Bios &amp; Spouse Details'!$A$1:$J$200,5,FALSE)</f>
        <v>Daphne was the only daughter of Alfred (1882–1919: #54). Born 26 Nov 1917 at Prestwick, Ayrshire. Baptised 19 Jan 1918 at St Martin’s Prestwick.  Died 22 Jul 1992. Issue: 2 sons, 2 daughters.</v>
      </c>
      <c r="AM94" s="105" t="str">
        <f>IF(AND(LEN(H94)&gt;0,ISNA(IF(K94="Boy",VLOOKUP(A94,'Siblings of those BORN Loyd'!$AP$3:$AQ$70,2,FALSE),VLOOKUP(A94,'Children of Female Loyds'!$AR$5:$AS$60,2,FALSE)))),"d.s.p","")</f>
        <v/>
      </c>
      <c r="AN94" s="99" t="str">
        <f t="shared" si="41"/>
        <v>Alfred (1882–1919: #54)</v>
      </c>
      <c r="AO94" s="99" t="str">
        <f t="shared" si="46"/>
        <v>Frank (1848–1934: #32)</v>
      </c>
      <c r="AP94" s="99" t="str">
        <f t="shared" si="47"/>
        <v>Thomas (1812–1857: #14)</v>
      </c>
      <c r="AQ94" s="99" t="str">
        <f t="shared" si="48"/>
        <v>William (1770–1828: #4)</v>
      </c>
      <c r="AR94" s="99" t="str">
        <f t="shared" si="49"/>
        <v>William (1729–1800: #1)</v>
      </c>
      <c r="AS94" s="99" t="str">
        <f t="shared" si="50"/>
        <v/>
      </c>
      <c r="AT94" s="99" t="str">
        <f t="shared" si="51"/>
        <v/>
      </c>
      <c r="AU94" s="99" t="str">
        <f t="shared" si="52"/>
        <v/>
      </c>
      <c r="AW94" s="116" t="str">
        <f>VLOOKUP(A94,'Updated Bios &amp; Spouse Details'!$A$1:$J$193,6,FALSE)</f>
        <v>England, Aden, South Arabia, Yemen and Kenya</v>
      </c>
      <c r="AX94" s="131">
        <f>VLOOKUP($A94,'Loyd List 1-190 - Edit'!$P$2:$AQ$220,AX$1,FALSE)</f>
        <v>92</v>
      </c>
      <c r="AY94" s="116" t="str">
        <f>IF(ISNA(VLOOKUP(A94,'Data check lookup table'!$G$2:$V$73,13,FALSE))," - ",VLOOKUP(A94,'Data check lookup table'!$G$2:$V$73,13,FALSE))</f>
        <v xml:space="preserve"> - </v>
      </c>
      <c r="AZ94" s="147" t="str">
        <f t="shared" si="42"/>
        <v>22/07/1992</v>
      </c>
      <c r="BA94" s="99" t="str">
        <f t="shared" si="43"/>
        <v/>
      </c>
      <c r="BB94" s="99" t="str">
        <f t="shared" si="44"/>
        <v/>
      </c>
      <c r="BI94" s="147" t="s">
        <v>3222</v>
      </c>
    </row>
    <row r="95" spans="1:61" s="99" customFormat="1" ht="136">
      <c r="A95" s="139">
        <f>'Loyd List 1-190 - Edit'!C95</f>
        <v>93</v>
      </c>
      <c r="B95" s="99" t="str">
        <f>VLOOKUP($A95,'Loyd List 1-190 - Edit'!$C$1:$AQ$220,'Book Details - NO EDIT'!B$1,FALSE)</f>
        <v>Iris</v>
      </c>
      <c r="C95" s="99" t="str">
        <f>IF(VLOOKUP($A95,'Loyd List 1-190 - Edit'!$C$1:$AQ$220,'Book Details - NO EDIT'!C$1,FALSE)="","",VLOOKUP($A95,'Loyd List 1-190 - Edit'!$C$1:$AQ$220,'Book Details - NO EDIT'!C$1,FALSE))</f>
        <v>Daphne</v>
      </c>
      <c r="D95" s="99" t="str">
        <f>IF(VLOOKUP($A95,'Loyd List 1-190 - Edit'!$C$1:$AQ$220,'Book Details - NO EDIT'!D$1,FALSE)="","",VLOOKUP($A95,'Loyd List 1-190 - Edit'!$C$1:$AQ$220,'Book Details - NO EDIT'!D$1,FALSE))</f>
        <v/>
      </c>
      <c r="E95" s="99" t="str">
        <f>IF(VLOOKUP($A95,'Loyd List 1-190 - Edit'!$C$1:$AQ$220,'Book Details - NO EDIT'!E$1,FALSE)="","",VLOOKUP($A95,'Loyd List 1-190 - Edit'!$C$1:$AQ$220,'Book Details - NO EDIT'!E$1,FALSE))</f>
        <v>LOYD</v>
      </c>
      <c r="F95" s="99" t="str">
        <f>IF(VLOOKUP($A95,'Loyd List 1-190 - Edit'!$C$1:$AQ$220,'Book Details - NO EDIT'!F$1,FALSE)="",B95,VLOOKUP($A95,'Loyd List 1-190 - Edit'!$C$1:$AQ$220,'Book Details - NO EDIT'!F$1,FALSE))</f>
        <v>Jill</v>
      </c>
      <c r="G95" s="140">
        <f>IF(VLOOKUP($A95,'Loyd List 1-190 - Edit'!$C$1:$AQ$220,'Book Details - NO EDIT'!G$1,FALSE)="","",VALUE(VLOOKUP($A95,'Loyd List 1-190 - Edit'!$C$1:$AQ$220,'Book Details - NO EDIT'!G$1,FALSE)))</f>
        <v>1920</v>
      </c>
      <c r="H95" s="140">
        <f>IF(VLOOKUP($A95,'Loyd List 1-190 - Edit'!$C$1:$AQ$220,'Book Details - NO EDIT'!H$1,FALSE)="","",VALUE(VLOOKUP($A95,'Loyd List 1-190 - Edit'!$C$1:$AQ$220,'Book Details - NO EDIT'!H$1,FALSE)))</f>
        <v>2002</v>
      </c>
      <c r="I95" s="141">
        <f>IF(VLOOKUP($A95,'Loyd List 1-190 - Edit'!$C$1:$AQ$220,'Book Details - NO EDIT'!I$1,FALSE)="","",(VLOOKUP($A95,'Loyd List 1-190 - Edit'!$C$1:$AQ$220,'Book Details - NO EDIT'!I$1,FALSE)))</f>
        <v>7391</v>
      </c>
      <c r="J95" s="141" t="str">
        <f>IF(VLOOKUP($A95,'Loyd List 1-190 - Edit'!$C$1:$AQ$220,'Book Details - NO EDIT'!J$1,FALSE)="","",(VLOOKUP($A95,'Loyd List 1-190 - Edit'!$C$1:$AQ$220,'Book Details - NO EDIT'!J$1,FALSE)))</f>
        <v>10/04/2002</v>
      </c>
      <c r="K95" s="100" t="str">
        <f>VLOOKUP($A95,'Loyd List 1-190 - Edit'!$C$1:$AQ$220,'Book Details - NO EDIT'!K$1,FALSE)</f>
        <v>Girl</v>
      </c>
      <c r="L95" s="140">
        <f>VLOOKUP($A95,'Loyd List 1-190 - Edit'!$C$1:$AQ$220,'Book Details - NO EDIT'!L$1,FALSE)</f>
        <v>68</v>
      </c>
      <c r="M95" s="140">
        <f t="shared" si="34"/>
        <v>45</v>
      </c>
      <c r="N95" s="140">
        <f t="shared" si="34"/>
        <v>22</v>
      </c>
      <c r="O95" s="140">
        <f t="shared" si="34"/>
        <v>8</v>
      </c>
      <c r="P95" s="140">
        <f t="shared" si="31"/>
        <v>1</v>
      </c>
      <c r="Q95" s="140">
        <f t="shared" si="31"/>
        <v>0</v>
      </c>
      <c r="R95" s="140" t="str">
        <f t="shared" si="31"/>
        <v/>
      </c>
      <c r="S95" s="140" t="str">
        <f t="shared" si="35"/>
        <v/>
      </c>
      <c r="T95" s="140">
        <f t="shared" si="32"/>
        <v>5</v>
      </c>
      <c r="U95" s="139">
        <f t="shared" si="36"/>
        <v>93</v>
      </c>
      <c r="V95" s="31" t="str">
        <f t="shared" si="37"/>
        <v>Jill (1920–2002)</v>
      </c>
      <c r="W95" s="31" t="str">
        <f t="shared" si="38"/>
        <v>Jill (#93)</v>
      </c>
      <c r="X95" s="99" t="str">
        <f t="shared" si="39"/>
        <v>Jill (1920–2002: #93)</v>
      </c>
      <c r="Y95" s="99" t="str">
        <f t="shared" si="33"/>
        <v>Iris Daphne LOYD</v>
      </c>
      <c r="Z95" s="99" t="str">
        <f t="shared" si="40"/>
        <v>Cecil (1890–1963: #68)</v>
      </c>
      <c r="AA95" s="99" t="str">
        <f t="shared" si="45"/>
        <v xml:space="preserve">Cecil (1890–1963: #68) Llewellyn (1861–1939: #45) Edward (1820–1890: #22) Edward (1780–1863: #8) William (1729–1800: #1)   </v>
      </c>
      <c r="AB95" s="142" t="str">
        <f>VLOOKUP(U95,'Siblings of those BORN Loyd'!$A$2:$G$230,7,FALSE)</f>
        <v xml:space="preserve">1 – Alwyne (1920–2014: #94)       </v>
      </c>
      <c r="AC95" s="115" t="str">
        <f>IF(ISNA(IF(K95="Boy",VLOOKUP(A95,'Siblings of those BORN Loyd'!$AP$3:$AQ$70,2,FALSE),VLOOKUP(A95,'Children of Female Loyds'!$AR$5:$AT$60,3,FALSE))),AM95,IF(K95="Boy",VLOOKUP(A95,'Siblings of those BORN Loyd'!$AP$3:$AQ$70,2,FALSE),VLOOKUP(A95,'Children of Female Loyds'!$AR$5:$AT$60,3,FALSE)))</f>
        <v>d.s.p</v>
      </c>
      <c r="AD95" s="97" t="str">
        <f t="shared" si="53"/>
        <v>d.s.p.</v>
      </c>
      <c r="AE95" s="105" t="str">
        <f>IF(ISNA(IF(K95="Boy",VLOOKUP(A95,'Grandchildren of Male Loyds'!$AQ$3:$AS$51,3,FALSE),VLOOKUP(A95,'Grandchildren of Female Loyds'!$AX$5:$AZ$63,3,FALSE))),AM95,IF(K95="Boy",VLOOKUP(A95,'Grandchildren of Male Loyds'!$AQ$3:$AS$51,3,FALSE),VLOOKUP(A95,'Grandchildren of Female Loyds'!$AX$5:$AZ$63,3,FALSE)))</f>
        <v>d.s.p</v>
      </c>
      <c r="AF95" s="105" t="str">
        <f>IF(ISNA(VLOOKUP(A95,'Grandchildren Loyd Daughters'!$BD$5:$BF$50,4,FALSE)),"",VLOOKUP(A95,'Grandchildren Loyd Daughters'!$BD$5:$BF$50,3,FALSE))</f>
        <v/>
      </c>
      <c r="AG95" s="129">
        <f>IF(ISNA(VLOOKUP(A95,'Grandchildren of Male Loyds'!$AQ$3:$AR$60,2,FALSE)),0,VLOOKUP(A95,'Grandchildren of Male Loyds'!$AQ$3:$AR$60,2,FALSE))+IF(ISNA(VLOOKUP(A95,'Grandchildren of Female Loyds'!$AX$5:$AY$50,2,FALSE)),0,VLOOKUP(A95,'Grandchildren of Female Loyds'!$AX$5:$AY$50,2,FALSE))+IF(ISNA(VLOOKUP(A95,'Grandchildren Loyd Daughters'!$BD$5:$BE$50,2,FALSE)),0,VLOOKUP(A95,'Grandchildren Loyd Daughters'!$BD$5:$BE$50,2,FALSE))</f>
        <v>0</v>
      </c>
      <c r="AH95" s="129" t="str">
        <f>VLOOKUP($U95,'Loyd List 1-190 - Edit'!$P$3:$AJ$220,21,FALSE)</f>
        <v>Mrs. Phyllis Marie ARCHER (nee ETESON) (b.3 Aug 1889, d. 29 Mar 1932)</v>
      </c>
      <c r="AI95" s="129" t="str">
        <f>VLOOKUP(A95,'Updated Bios &amp; Spouse Details'!$A$1:$J$200,7,FALSE)</f>
        <v>Unmarried</v>
      </c>
      <c r="AJ95" s="130" t="str">
        <f>IF(VLOOKUP($A95,'Loyd List 1-190 - Edit'!$C$1:$AQ$220,'Book Details - NO EDIT'!AJ$1,FALSE)="","",(VLOOKUP($A95,'Loyd List 1-190 - Edit'!$C$1:$AQ$220,'Book Details - NO EDIT'!AJ$1,FALSE)))</f>
        <v xml:space="preserve"> - </v>
      </c>
      <c r="AK95" s="129" t="str">
        <f>VLOOKUP(A95,'Updated Bios &amp; Spouse Details'!$A$1:$J$200,8,FALSE)</f>
        <v xml:space="preserve"> - </v>
      </c>
      <c r="AL95" s="131" t="str">
        <f>VLOOKUP(A95,'Updated Bios &amp; Spouse Details'!$A$1:$J$200,5,FALSE)</f>
        <v>Jill lived at 3 Ashlawn, The Green, Benenden, Cranbrook, Kent and was the only daughter of Cecil (1890–1963: #68). Born 26 Mar 1920 (twin with her brother, Alwyne) at St. Margaret's Cross, Hawkhurst. Baptised 2 May 1920 at St Laurence, Hawkhurst, Kent by her uncle the Rev Frank ETESON. Educated at Wadhurst College, East Sussex and secretarial college in London.  At the start of WW2, in 1939, Jill joined the Red Cross and cooked in hospitals. Later in the war she enlisted in the Auxiliary Territorial Service (ATS) and learnt to drive all sorts of vehicles. Career:  Jill worked in Rhodesia and on her return to England was personal secretary to the National Trust Manager for Devon and Cornwall.  On retirement, Jill first moved ‘back’ to Whiigh where she and her twin brother Alwyne had been sent, as teenagers, to live at Whiligh as Wards of Sir George [later Lord] COURTHOPE (1887–1955: #36a). Jill lived in the Old Stables before moving to Beneden where she enjoyed entertaining her nephews and great nephews. Died 10 April 2002 at Berkley Residential Home, Tunbrige Wells. Cremated 18 Apr 2002. Ashes buried in Benenden Churchyard 20 Jul 2002. Welsh Slate tablet inscribed, "In loving memory of Jill Loyd 26 March 1920-10 April 2002". DSP</v>
      </c>
      <c r="AM95" s="105" t="str">
        <f>IF(AND(LEN(H95)&gt;0,ISNA(IF(K95="Boy",VLOOKUP(A95,'Siblings of those BORN Loyd'!$AP$3:$AQ$70,2,FALSE),VLOOKUP(A95,'Children of Female Loyds'!$AR$5:$AS$60,2,FALSE)))),"d.s.p","")</f>
        <v>d.s.p</v>
      </c>
      <c r="AN95" s="99" t="str">
        <f t="shared" si="41"/>
        <v>Cecil (1890–1963: #68)</v>
      </c>
      <c r="AO95" s="99" t="str">
        <f t="shared" si="46"/>
        <v>Llewellyn (1861–1939: #45)</v>
      </c>
      <c r="AP95" s="99" t="str">
        <f t="shared" si="47"/>
        <v>Edward (1820–1890: #22)</v>
      </c>
      <c r="AQ95" s="99" t="str">
        <f t="shared" si="48"/>
        <v>Edward (1780–1863: #8)</v>
      </c>
      <c r="AR95" s="99" t="str">
        <f t="shared" si="49"/>
        <v>William (1729–1800: #1)</v>
      </c>
      <c r="AS95" s="99" t="str">
        <f t="shared" si="50"/>
        <v/>
      </c>
      <c r="AT95" s="99" t="str">
        <f t="shared" si="51"/>
        <v/>
      </c>
      <c r="AU95" s="99" t="str">
        <f t="shared" si="52"/>
        <v/>
      </c>
      <c r="AW95" s="116" t="str">
        <f>VLOOKUP(A95,'Updated Bios &amp; Spouse Details'!$A$1:$J$193,6,FALSE)</f>
        <v>England &amp; Rhodesia</v>
      </c>
      <c r="AX95" s="131">
        <f>VLOOKUP($A95,'Loyd List 1-190 - Edit'!$P$2:$AQ$220,AX$1,FALSE)</f>
        <v>93</v>
      </c>
      <c r="AY95" s="116" t="str">
        <f>IF(ISNA(VLOOKUP(A95,'Data check lookup table'!$G$2:$V$73,13,FALSE))," - ",VLOOKUP(A95,'Data check lookup table'!$G$2:$V$73,13,FALSE))</f>
        <v xml:space="preserve"> - </v>
      </c>
      <c r="AZ95" s="147" t="str">
        <f t="shared" si="42"/>
        <v>10/04/2002</v>
      </c>
      <c r="BA95" s="99" t="str">
        <f t="shared" si="43"/>
        <v/>
      </c>
      <c r="BB95" s="99" t="str">
        <f t="shared" si="44"/>
        <v/>
      </c>
      <c r="BI95" s="147" t="s">
        <v>3223</v>
      </c>
    </row>
    <row r="96" spans="1:61" s="99" customFormat="1" ht="246" customHeight="1">
      <c r="A96" s="139">
        <f>'Loyd List 1-190 - Edit'!C96</f>
        <v>94</v>
      </c>
      <c r="B96" s="99" t="str">
        <f>VLOOKUP($A96,'Loyd List 1-190 - Edit'!$C$1:$AQ$220,'Book Details - NO EDIT'!B$1,FALSE)</f>
        <v>Alwyne</v>
      </c>
      <c r="C96" s="99" t="str">
        <f>IF(VLOOKUP($A96,'Loyd List 1-190 - Edit'!$C$1:$AQ$220,'Book Details - NO EDIT'!C$1,FALSE)="","",VLOOKUP($A96,'Loyd List 1-190 - Edit'!$C$1:$AQ$220,'Book Details - NO EDIT'!C$1,FALSE))</f>
        <v>Eteson</v>
      </c>
      <c r="D96" s="99" t="str">
        <f>IF(VLOOKUP($A96,'Loyd List 1-190 - Edit'!$C$1:$AQ$220,'Book Details - NO EDIT'!D$1,FALSE)="","",VLOOKUP($A96,'Loyd List 1-190 - Edit'!$C$1:$AQ$220,'Book Details - NO EDIT'!D$1,FALSE))</f>
        <v/>
      </c>
      <c r="E96" s="99" t="str">
        <f>IF(VLOOKUP($A96,'Loyd List 1-190 - Edit'!$C$1:$AQ$220,'Book Details - NO EDIT'!E$1,FALSE)="","",VLOOKUP($A96,'Loyd List 1-190 - Edit'!$C$1:$AQ$220,'Book Details - NO EDIT'!E$1,FALSE))</f>
        <v>LOYD</v>
      </c>
      <c r="F96" s="99" t="str">
        <f>IF(VLOOKUP($A96,'Loyd List 1-190 - Edit'!$C$1:$AQ$220,'Book Details - NO EDIT'!F$1,FALSE)="",B96,VLOOKUP($A96,'Loyd List 1-190 - Edit'!$C$1:$AQ$220,'Book Details - NO EDIT'!F$1,FALSE))</f>
        <v>Alwyne</v>
      </c>
      <c r="G96" s="140">
        <f>IF(VLOOKUP($A96,'Loyd List 1-190 - Edit'!$C$1:$AQ$220,'Book Details - NO EDIT'!G$1,FALSE)="","",VALUE(VLOOKUP($A96,'Loyd List 1-190 - Edit'!$C$1:$AQ$220,'Book Details - NO EDIT'!G$1,FALSE)))</f>
        <v>1920</v>
      </c>
      <c r="H96" s="140">
        <f>IF(VLOOKUP($A96,'Loyd List 1-190 - Edit'!$C$1:$AQ$220,'Book Details - NO EDIT'!H$1,FALSE)="","",VALUE(VLOOKUP($A96,'Loyd List 1-190 - Edit'!$C$1:$AQ$220,'Book Details - NO EDIT'!H$1,FALSE)))</f>
        <v>2014</v>
      </c>
      <c r="I96" s="141">
        <f>IF(VLOOKUP($A96,'Loyd List 1-190 - Edit'!$C$1:$AQ$220,'Book Details - NO EDIT'!I$1,FALSE)="","",(VLOOKUP($A96,'Loyd List 1-190 - Edit'!$C$1:$AQ$220,'Book Details - NO EDIT'!I$1,FALSE)))</f>
        <v>7391</v>
      </c>
      <c r="J96" s="141" t="str">
        <f>IF(VLOOKUP($A96,'Loyd List 1-190 - Edit'!$C$1:$AQ$220,'Book Details - NO EDIT'!J$1,FALSE)="","",(VLOOKUP($A96,'Loyd List 1-190 - Edit'!$C$1:$AQ$220,'Book Details - NO EDIT'!J$1,FALSE)))</f>
        <v>10/05/2014</v>
      </c>
      <c r="K96" s="100" t="str">
        <f>VLOOKUP($A96,'Loyd List 1-190 - Edit'!$C$1:$AQ$220,'Book Details - NO EDIT'!K$1,FALSE)</f>
        <v>Boy</v>
      </c>
      <c r="L96" s="140">
        <f>VLOOKUP($A96,'Loyd List 1-190 - Edit'!$C$1:$AQ$220,'Book Details - NO EDIT'!L$1,FALSE)</f>
        <v>68</v>
      </c>
      <c r="M96" s="140">
        <f t="shared" si="34"/>
        <v>45</v>
      </c>
      <c r="N96" s="140">
        <f t="shared" si="34"/>
        <v>22</v>
      </c>
      <c r="O96" s="140">
        <f t="shared" si="34"/>
        <v>8</v>
      </c>
      <c r="P96" s="140">
        <f t="shared" si="31"/>
        <v>1</v>
      </c>
      <c r="Q96" s="140">
        <f t="shared" si="31"/>
        <v>0</v>
      </c>
      <c r="R96" s="140" t="str">
        <f t="shared" si="31"/>
        <v/>
      </c>
      <c r="S96" s="140" t="str">
        <f t="shared" si="35"/>
        <v/>
      </c>
      <c r="T96" s="140">
        <f t="shared" si="32"/>
        <v>5</v>
      </c>
      <c r="U96" s="139">
        <f t="shared" si="36"/>
        <v>94</v>
      </c>
      <c r="V96" s="31" t="str">
        <f t="shared" si="37"/>
        <v>Alwyne (1920–2014)</v>
      </c>
      <c r="W96" s="31" t="str">
        <f t="shared" si="38"/>
        <v>Alwyne (#94)</v>
      </c>
      <c r="X96" s="99" t="str">
        <f t="shared" si="39"/>
        <v>Alwyne (1920–2014: #94)</v>
      </c>
      <c r="Y96" s="99" t="str">
        <f t="shared" si="33"/>
        <v>Alwyne Eteson LOYD</v>
      </c>
      <c r="Z96" s="99" t="str">
        <f t="shared" si="40"/>
        <v>Cecil (1890–1963: #68)</v>
      </c>
      <c r="AA96" s="99" t="str">
        <f t="shared" si="45"/>
        <v xml:space="preserve">Cecil (1890–1963: #68) Llewellyn (1861–1939: #45) Edward (1820–1890: #22) Edward (1780–1863: #8) William (1729–1800: #1)   </v>
      </c>
      <c r="AB96" s="142" t="str">
        <f>VLOOKUP(U96,'Siblings of those BORN Loyd'!$A$2:$G$230,7,FALSE)</f>
        <v xml:space="preserve">1 – Jill (1920–2002: #93)        </v>
      </c>
      <c r="AC96" s="115" t="str">
        <f>IF(ISNA(IF(K96="Boy",VLOOKUP(A96,'Siblings of those BORN Loyd'!$AP$3:$AQ$70,2,FALSE),VLOOKUP(A96,'Children of Female Loyds'!$AR$5:$AT$60,3,FALSE))),AM96,IF(K96="Boy",VLOOKUP(A96,'Siblings of those BORN Loyd'!$AP$3:$AQ$70,2,FALSE),VLOOKUP(A96,'Children of Female Loyds'!$AR$5:$AT$60,3,FALSE)))</f>
        <v>6 - Rob (1949–: #124); Paddy (1951–: #126); Dominic (1953–: #131); Tim (1957–: #136); Alex (1959–: #139); Rick (1962–: #142)</v>
      </c>
      <c r="AD96" s="97" t="str">
        <f t="shared" si="53"/>
        <v xml:space="preserve">8 - John (1982–: #160); David (1984–: #162); Poppy (1984–: #164); Rose (1986–: #165); Ben (1988–: #167); Florina (1991–: #172); Sam (1994–: #176); Josh (1996–: #179)   </v>
      </c>
      <c r="AE96" s="105" t="str">
        <f>IF(ISNA(IF(K96="Boy",VLOOKUP(A96,'Grandchildren of Male Loyds'!$AQ$3:$AS$51,3,FALSE),VLOOKUP(A96,'Grandchildren of Female Loyds'!$AX$5:$AZ$63,3,FALSE))),AM96,IF(K96="Boy",VLOOKUP(A96,'Grandchildren of Male Loyds'!$AQ$3:$AS$51,3,FALSE),VLOOKUP(A96,'Grandchildren of Female Loyds'!$AX$5:$AZ$63,3,FALSE)))</f>
        <v>John (1982–: #160); David (1984–: #162); Poppy (1984–: #164); Rose (1986–: #165); Ben (1988–: #167); Florina (1991–: #172); Sam (1994–: #176); Josh (1996–: #179)</v>
      </c>
      <c r="AF96" s="105" t="str">
        <f>IF(ISNA(VLOOKUP(A96,'Grandchildren Loyd Daughters'!$BD$5:$BF$50,4,FALSE)),"",VLOOKUP(A96,'Grandchildren Loyd Daughters'!$BD$5:$BF$50,3,FALSE))</f>
        <v/>
      </c>
      <c r="AG96" s="129">
        <f>IF(ISNA(VLOOKUP(A96,'Grandchildren of Male Loyds'!$AQ$3:$AR$60,2,FALSE)),0,VLOOKUP(A96,'Grandchildren of Male Loyds'!$AQ$3:$AR$60,2,FALSE))+IF(ISNA(VLOOKUP(A96,'Grandchildren of Female Loyds'!$AX$5:$AY$50,2,FALSE)),0,VLOOKUP(A96,'Grandchildren of Female Loyds'!$AX$5:$AY$50,2,FALSE))+IF(ISNA(VLOOKUP(A96,'Grandchildren Loyd Daughters'!$BD$5:$BE$50,2,FALSE)),0,VLOOKUP(A96,'Grandchildren Loyd Daughters'!$BD$5:$BE$50,2,FALSE))</f>
        <v>8</v>
      </c>
      <c r="AH96" s="129" t="str">
        <f>VLOOKUP($U96,'Loyd List 1-190 - Edit'!$P$3:$AJ$220,21,FALSE)</f>
        <v>Mrs. Phyllis Marie ARCHER (nee ETESON) (b.3 Aug 1889, d. 29 Mar 1932)</v>
      </c>
      <c r="AI96" s="129" t="str">
        <f>VLOOKUP(A96,'Updated Bios &amp; Spouse Details'!$A$1:$J$200,7,FALSE)</f>
        <v xml:space="preserve"> Alison Fraser PORTER (b. 21 Feb 1920, d. 6 Sep 2003)</v>
      </c>
      <c r="AJ96" s="130">
        <f>IF(VLOOKUP($A96,'Loyd List 1-190 - Edit'!$C$1:$AQ$220,'Book Details - NO EDIT'!AJ$1,FALSE)="","",(VLOOKUP($A96,'Loyd List 1-190 - Edit'!$C$1:$AQ$220,'Book Details - NO EDIT'!AJ$1,FALSE)))</f>
        <v>17702</v>
      </c>
      <c r="AK96" s="129" t="str">
        <f>VLOOKUP(A96,'Updated Bios &amp; Spouse Details'!$A$1:$J$200,8,FALSE)</f>
        <v>Married Alison, at St. Cuthbert’s, Wood Green, London, by her father, youngest daughter of the Rev Robert B. PORTER, Robert a missionary in West China 1907-34. Alison born in China.</v>
      </c>
      <c r="AL96" s="131" t="str">
        <f>VLOOKUP(A96,'Updated Bios &amp; Spouse Details'!$A$1:$J$200,5,FALSE)</f>
        <v xml:space="preserve">Alwyne lived at Stag Cottage, 17 Kings Road, Teddington, Middlesex and was the only son of Cecil (1890–1963: #68). Born 26 Mar 1920 (twin with his sister, Jill) at St Margaret's Cross, Hawkhurst. Baptised 2 May 1920 at St Laurence, Hawkhurst, Kent by his uncle the Rev Frank ETESON. Educated Repton. Served in World War II in Africa, Italy and Burma (despatches). Major, Royal Engineers, TD 1950, ERD 1961, MCIT 1949. Retired from Emergency Reserve 1961. Career: In Brewing industry including Ind Coope and Guinness. Liveryman of Goldsmith’s Company 17 Oct 1945 by special grant, as ward of George Loyd, Baron COURTHOPE (1887–1955: #36a) the Prime Warden of the Goldsmiths’ Company 1943-44. After their mother’s early death in 1932 at the age of 42, Alwyne and his twin sister Jill were sent to live at Whiligh as Wards of Sir George [later Lord] COURTHOPE (1887–1955: #36a) where they experienced some resentment from Lady COURTHOPE and her two daughters. On occasions, delicate family matters were discussed in their presence such as the misdemeanours of their grandfather, Llewellyn (1861-1939: #45), his ruining of his estate and being bailed out of his debts by his sister, Caroline Foster LOYD (1864-1940: #47) [later Mrs Alfred Hardcastle], all of which caused them considerable distress. However, one Christmas at Whiligh, they received a surprise present of £20 from an unnamed LOYD relative in Tunbridge Wells, which kindness they have never forgot. Her name was not mentioned but it must have been Annie (1853–1946: #37) who would have been told of their situation by their guardian. After taking early retirement in 1978, Alwyne worked as an active volunteer in many areas of the local community including Teddington Hospital but his favourite time was spent at Hampton Court Palace as a volunteer guide in the Royal Chapel. In the 1980s after he met Peter (#98) he provided siginficant support, as a keen Loyd Family Archivist, in the publishing of  THE LOYD FAMILY, "Who's  Who", first  in 1985 and later updated in 2000 with THE LOYD FAMILY a "Who's Who" in date of birth order from William (1729–1800: #1). Alwyne died on 10 May 2014 unexpectedly at a residential home, Willowmeade, in East Molesey. Alwyne's friend Reverend Denis Mulliner, Chaplin at Hampton Court Palace, led Alwyne's memorial service in the Royal Chapel following his funeral at the parish church of St James In Hampton Hill and burial, alongside his wife Alison, in Teddington Cemetery which was attended by family and close friends. Issue: 6 sons. </v>
      </c>
      <c r="AM96" s="105" t="str">
        <f>IF(AND(LEN(H96)&gt;0,ISNA(IF(K96="Boy",VLOOKUP(A96,'Siblings of those BORN Loyd'!$AP$3:$AQ$70,2,FALSE),VLOOKUP(A96,'Children of Female Loyds'!$AR$5:$AS$60,2,FALSE)))),"d.s.p","")</f>
        <v/>
      </c>
      <c r="AN96" s="99" t="str">
        <f t="shared" si="41"/>
        <v>Cecil (1890–1963: #68)</v>
      </c>
      <c r="AO96" s="99" t="str">
        <f t="shared" si="46"/>
        <v>Llewellyn (1861–1939: #45)</v>
      </c>
      <c r="AP96" s="99" t="str">
        <f t="shared" si="47"/>
        <v>Edward (1820–1890: #22)</v>
      </c>
      <c r="AQ96" s="99" t="str">
        <f t="shared" si="48"/>
        <v>Edward (1780–1863: #8)</v>
      </c>
      <c r="AR96" s="99" t="str">
        <f t="shared" si="49"/>
        <v>William (1729–1800: #1)</v>
      </c>
      <c r="AS96" s="99" t="str">
        <f t="shared" si="50"/>
        <v/>
      </c>
      <c r="AT96" s="99" t="str">
        <f t="shared" si="51"/>
        <v/>
      </c>
      <c r="AU96" s="99" t="str">
        <f t="shared" si="52"/>
        <v/>
      </c>
      <c r="AW96" s="116" t="str">
        <f>VLOOKUP(A96,'Updated Bios &amp; Spouse Details'!$A$1:$J$193,6,FALSE)</f>
        <v>England, Africa, Italy &amp; Burma (Myanmar)</v>
      </c>
      <c r="AX96" s="131">
        <f>VLOOKUP($A96,'Loyd List 1-190 - Edit'!$P$2:$AQ$220,AX$1,FALSE)</f>
        <v>94</v>
      </c>
      <c r="AY96" s="116" t="str">
        <f>IF(ISNA(VLOOKUP(A96,'Data check lookup table'!$G$2:$V$73,13,FALSE))," - ",VLOOKUP(A96,'Data check lookup table'!$G$2:$V$73,13,FALSE))</f>
        <v xml:space="preserve"> - </v>
      </c>
      <c r="AZ96" s="147" t="str">
        <f t="shared" si="42"/>
        <v>10/05/2014</v>
      </c>
      <c r="BA96" s="99" t="str">
        <f t="shared" si="43"/>
        <v/>
      </c>
      <c r="BB96" s="99" t="str">
        <f t="shared" si="44"/>
        <v/>
      </c>
      <c r="BI96" s="147" t="s">
        <v>3224</v>
      </c>
    </row>
    <row r="97" spans="1:61" s="99" customFormat="1" ht="85">
      <c r="A97" s="139">
        <f>'Loyd List 1-190 - Edit'!C97</f>
        <v>95</v>
      </c>
      <c r="B97" s="99" t="str">
        <f>VLOOKUP($A97,'Loyd List 1-190 - Edit'!$C$1:$AQ$220,'Book Details - NO EDIT'!B$1,FALSE)</f>
        <v>Hester</v>
      </c>
      <c r="C97" s="99" t="str">
        <f>IF(VLOOKUP($A97,'Loyd List 1-190 - Edit'!$C$1:$AQ$220,'Book Details - NO EDIT'!C$1,FALSE)="","",VLOOKUP($A97,'Loyd List 1-190 - Edit'!$C$1:$AQ$220,'Book Details - NO EDIT'!C$1,FALSE))</f>
        <v/>
      </c>
      <c r="D97" s="99" t="str">
        <f>IF(VLOOKUP($A97,'Loyd List 1-190 - Edit'!$C$1:$AQ$220,'Book Details - NO EDIT'!D$1,FALSE)="","",VLOOKUP($A97,'Loyd List 1-190 - Edit'!$C$1:$AQ$220,'Book Details - NO EDIT'!D$1,FALSE))</f>
        <v/>
      </c>
      <c r="E97" s="99" t="str">
        <f>IF(VLOOKUP($A97,'Loyd List 1-190 - Edit'!$C$1:$AQ$220,'Book Details - NO EDIT'!E$1,FALSE)="","",VLOOKUP($A97,'Loyd List 1-190 - Edit'!$C$1:$AQ$220,'Book Details - NO EDIT'!E$1,FALSE))</f>
        <v>LOYD</v>
      </c>
      <c r="F97" s="99" t="str">
        <f>IF(VLOOKUP($A97,'Loyd List 1-190 - Edit'!$C$1:$AQ$220,'Book Details - NO EDIT'!F$1,FALSE)="",B97,VLOOKUP($A97,'Loyd List 1-190 - Edit'!$C$1:$AQ$220,'Book Details - NO EDIT'!F$1,FALSE))</f>
        <v>Hester</v>
      </c>
      <c r="G97" s="140">
        <f>IF(VLOOKUP($A97,'Loyd List 1-190 - Edit'!$C$1:$AQ$220,'Book Details - NO EDIT'!G$1,FALSE)="","",VALUE(VLOOKUP($A97,'Loyd List 1-190 - Edit'!$C$1:$AQ$220,'Book Details - NO EDIT'!G$1,FALSE)))</f>
        <v>1920</v>
      </c>
      <c r="H97" s="140">
        <f>IF(VLOOKUP($A97,'Loyd List 1-190 - Edit'!$C$1:$AQ$220,'Book Details - NO EDIT'!H$1,FALSE)="","",VALUE(VLOOKUP($A97,'Loyd List 1-190 - Edit'!$C$1:$AQ$220,'Book Details - NO EDIT'!H$1,FALSE)))</f>
        <v>2002</v>
      </c>
      <c r="I97" s="141">
        <f>IF(VLOOKUP($A97,'Loyd List 1-190 - Edit'!$C$1:$AQ$220,'Book Details - NO EDIT'!I$1,FALSE)="","",(VLOOKUP($A97,'Loyd List 1-190 - Edit'!$C$1:$AQ$220,'Book Details - NO EDIT'!I$1,FALSE)))</f>
        <v>7641</v>
      </c>
      <c r="J97" s="141" t="str">
        <f>IF(VLOOKUP($A97,'Loyd List 1-190 - Edit'!$C$1:$AQ$220,'Book Details - NO EDIT'!J$1,FALSE)="","",(VLOOKUP($A97,'Loyd List 1-190 - Edit'!$C$1:$AQ$220,'Book Details - NO EDIT'!J$1,FALSE)))</f>
        <v>01/01/2002</v>
      </c>
      <c r="K97" s="100" t="str">
        <f>VLOOKUP($A97,'Loyd List 1-190 - Edit'!$C$1:$AQ$220,'Book Details - NO EDIT'!K$1,FALSE)</f>
        <v>Girl</v>
      </c>
      <c r="L97" s="140">
        <f>VLOOKUP($A97,'Loyd List 1-190 - Edit'!$C$1:$AQ$220,'Book Details - NO EDIT'!L$1,FALSE)</f>
        <v>56</v>
      </c>
      <c r="M97" s="140">
        <f t="shared" si="34"/>
        <v>28</v>
      </c>
      <c r="N97" s="140">
        <f t="shared" si="34"/>
        <v>14</v>
      </c>
      <c r="O97" s="140">
        <f t="shared" si="34"/>
        <v>4</v>
      </c>
      <c r="P97" s="140">
        <f t="shared" si="31"/>
        <v>1</v>
      </c>
      <c r="Q97" s="140">
        <f t="shared" si="31"/>
        <v>0</v>
      </c>
      <c r="R97" s="140" t="str">
        <f t="shared" si="31"/>
        <v/>
      </c>
      <c r="S97" s="140" t="str">
        <f t="shared" si="35"/>
        <v/>
      </c>
      <c r="T97" s="140">
        <f t="shared" si="32"/>
        <v>5</v>
      </c>
      <c r="U97" s="139">
        <f t="shared" si="36"/>
        <v>95</v>
      </c>
      <c r="V97" s="31" t="str">
        <f t="shared" si="37"/>
        <v>Hester (1920–2002)</v>
      </c>
      <c r="W97" s="31" t="str">
        <f t="shared" si="38"/>
        <v>Hester (#95)</v>
      </c>
      <c r="X97" s="99" t="str">
        <f t="shared" si="39"/>
        <v>Hester (1920–2002: #95)</v>
      </c>
      <c r="Y97" s="99" t="str">
        <f t="shared" si="33"/>
        <v>Hester LOYD</v>
      </c>
      <c r="Z97" s="99" t="str">
        <f t="shared" si="40"/>
        <v>Tommy (1882–1944: #56)</v>
      </c>
      <c r="AA97" s="99" t="str">
        <f t="shared" si="45"/>
        <v xml:space="preserve">Tommy (1882–1944: #56) The Rev Lewis (1844–1905: #28) Thomas (1812–1857: #14) William (1770–1828: #4) William (1729–1800: #1)   </v>
      </c>
      <c r="AB97" s="142" t="str">
        <f>VLOOKUP(U97,'Siblings of those BORN Loyd'!$A$2:$G$230,7,FALSE)</f>
        <v xml:space="preserve">5 – Anne (1912–2004: #85) John (1913–1943: #87) Martin (1917–1926: #91)  Christopher (1923–2013: #100) Catherine (1923–2014: #101)   </v>
      </c>
      <c r="AC97" s="115" t="str">
        <f>IF(ISNA(IF(K97="Boy",VLOOKUP(A97,'Siblings of those BORN Loyd'!$AP$3:$AQ$70,2,FALSE),VLOOKUP(A97,'Children of Female Loyds'!$AR$5:$AT$60,3,FALSE))),AM97,IF(K97="Boy",VLOOKUP(A97,'Siblings of those BORN Loyd'!$AP$3:$AQ$70,2,FALSE),VLOOKUP(A97,'Children of Female Loyds'!$AR$5:$AT$60,3,FALSE)))</f>
        <v xml:space="preserve">2 - Henrietta KNIGHT (1946 - : #95a) Ce-Ce KNIGHT (1949 - 2020: #95b)      </v>
      </c>
      <c r="AD97" s="97" t="str">
        <f t="shared" si="53"/>
        <v xml:space="preserve">3 - THE Hon William VESTEY (1983 -: #95ba) THE Hon Arthur VESTEY (1985 -: #95bb) The Hon Mary VESTEY (1992 -: #95bc)                </v>
      </c>
      <c r="AE97" s="105" t="str">
        <f>IF(ISNA(IF(K97="Boy",VLOOKUP(A97,'Grandchildren of Male Loyds'!$AQ$3:$AS$51,3,FALSE),VLOOKUP(A97,'Grandchildren of Female Loyds'!$AX$5:$AZ$63,3,FALSE))),AM97,IF(K97="Boy",VLOOKUP(A97,'Grandchildren of Male Loyds'!$AQ$3:$AS$51,3,FALSE),VLOOKUP(A97,'Grandchildren of Female Loyds'!$AX$5:$AZ$63,3,FALSE)))</f>
        <v xml:space="preserve">THE Hon William VESTEY (1983 -: #95ba) THE Hon Arthur VESTEY (1985 -: #95bb) The Hon Mary VESTEY (1992 -: #95bc)             </v>
      </c>
      <c r="AF97" s="105" t="str">
        <f>IF(ISNA(VLOOKUP(A97,'Grandchildren Loyd Daughters'!$BD$5:$BF$50,4,FALSE)),"",VLOOKUP(A97,'Grandchildren Loyd Daughters'!$BD$5:$BF$50,3,FALSE))</f>
        <v/>
      </c>
      <c r="AG97" s="129">
        <f>IF(ISNA(VLOOKUP(A97,'Grandchildren of Male Loyds'!$AQ$3:$AR$60,2,FALSE)),0,VLOOKUP(A97,'Grandchildren of Male Loyds'!$AQ$3:$AR$60,2,FALSE))+IF(ISNA(VLOOKUP(A97,'Grandchildren of Female Loyds'!$AX$5:$AY$50,2,FALSE)),0,VLOOKUP(A97,'Grandchildren of Female Loyds'!$AX$5:$AY$50,2,FALSE))+IF(ISNA(VLOOKUP(A97,'Grandchildren Loyd Daughters'!$BD$5:$BE$50,2,FALSE)),0,VLOOKUP(A97,'Grandchildren Loyd Daughters'!$BD$5:$BE$50,2,FALSE))</f>
        <v>3</v>
      </c>
      <c r="AH97" s="129" t="str">
        <f>VLOOKUP($U97,'Loyd List 1-190 - Edit'!$P$3:$AJ$220,21,FALSE)</f>
        <v>Dorothy WILLERT (b. 19 Jan 1886, d. 15 Jan 1966)</v>
      </c>
      <c r="AI97" s="129" t="str">
        <f>VLOOKUP(A97,'Updated Bios &amp; Spouse Details'!$A$1:$J$200,7,FALSE)</f>
        <v>Major Hubert Guy Broughton KNIGHT MC (b. 9 Apr 1917, d. 1 Nov 1993)</v>
      </c>
      <c r="AJ97" s="130">
        <f>IF(VLOOKUP($A97,'Loyd List 1-190 - Edit'!$C$1:$AQ$220,'Book Details - NO EDIT'!AJ$1,FALSE)="","",(VLOOKUP($A97,'Loyd List 1-190 - Edit'!$C$1:$AQ$220,'Book Details - NO EDIT'!AJ$1,FALSE)))</f>
        <v>16261</v>
      </c>
      <c r="AK97" s="129" t="str">
        <f>VLOOKUP(A97,'Updated Bios &amp; Spouse Details'!$A$1:$J$200,8,FALSE)</f>
        <v>Hester married at Lockinge, by her uncle, the Rt Rev Philip LOYD, Major Hubert, late Coldstream Guards of Lockinge Manor, Wantage. Educated Eton and RMC Sandhurst.</v>
      </c>
      <c r="AL97" s="131" t="str">
        <f>VLOOKUP(A97,'Updated Bios &amp; Spouse Details'!$A$1:$J$200,5,FALSE)</f>
        <v>Hester was the 2nd daughter of Arthur (1882–1944: #56) of Lockinge, Wantage, Berkshire. Born 1 Dec 1920.  Died 2002. Issue: 2 daughters.</v>
      </c>
      <c r="AM97" s="105" t="str">
        <f>IF(AND(LEN(H97)&gt;0,ISNA(IF(K97="Boy",VLOOKUP(A97,'Siblings of those BORN Loyd'!$AP$3:$AQ$70,2,FALSE),VLOOKUP(A97,'Children of Female Loyds'!$AR$5:$AS$60,2,FALSE)))),"d.s.p","")</f>
        <v/>
      </c>
      <c r="AN97" s="99" t="str">
        <f t="shared" si="41"/>
        <v>Tommy (1882–1944: #56)</v>
      </c>
      <c r="AO97" s="99" t="str">
        <f t="shared" si="46"/>
        <v>The Rev Lewis (1844–1905: #28)</v>
      </c>
      <c r="AP97" s="99" t="str">
        <f t="shared" si="47"/>
        <v>Thomas (1812–1857: #14)</v>
      </c>
      <c r="AQ97" s="99" t="str">
        <f t="shared" si="48"/>
        <v>William (1770–1828: #4)</v>
      </c>
      <c r="AR97" s="99" t="str">
        <f t="shared" si="49"/>
        <v>William (1729–1800: #1)</v>
      </c>
      <c r="AS97" s="99" t="str">
        <f t="shared" si="50"/>
        <v/>
      </c>
      <c r="AT97" s="99" t="str">
        <f t="shared" si="51"/>
        <v/>
      </c>
      <c r="AU97" s="99" t="str">
        <f t="shared" si="52"/>
        <v/>
      </c>
      <c r="AW97" s="116" t="str">
        <f>VLOOKUP(A97,'Updated Bios &amp; Spouse Details'!$A$1:$J$193,6,FALSE)</f>
        <v>England</v>
      </c>
      <c r="AX97" s="131">
        <f>VLOOKUP($A97,'Loyd List 1-190 - Edit'!$P$2:$AQ$220,AX$1,FALSE)</f>
        <v>95</v>
      </c>
      <c r="AY97" s="116" t="str">
        <f>IF(ISNA(VLOOKUP(A97,'Data check lookup table'!$G$2:$V$73,13,FALSE))," - ",VLOOKUP(A97,'Data check lookup table'!$G$2:$V$73,13,FALSE))</f>
        <v xml:space="preserve"> - </v>
      </c>
      <c r="AZ97" s="147" t="str">
        <f t="shared" si="42"/>
        <v>01/01/2002</v>
      </c>
      <c r="BA97" s="99" t="str">
        <f t="shared" si="43"/>
        <v/>
      </c>
      <c r="BB97" s="99" t="str">
        <f t="shared" si="44"/>
        <v/>
      </c>
      <c r="BI97" s="147" t="s">
        <v>3225</v>
      </c>
    </row>
    <row r="98" spans="1:61" s="99" customFormat="1" ht="136">
      <c r="A98" s="139">
        <f>'Loyd List 1-190 - Edit'!C98</f>
        <v>96</v>
      </c>
      <c r="B98" s="99" t="str">
        <f>VLOOKUP($A98,'Loyd List 1-190 - Edit'!$C$1:$AQ$220,'Book Details - NO EDIT'!B$1,FALSE)</f>
        <v>Edward</v>
      </c>
      <c r="C98" s="99" t="str">
        <f>IF(VLOOKUP($A98,'Loyd List 1-190 - Edit'!$C$1:$AQ$220,'Book Details - NO EDIT'!C$1,FALSE)="","",VLOOKUP($A98,'Loyd List 1-190 - Edit'!$C$1:$AQ$220,'Book Details - NO EDIT'!C$1,FALSE))</f>
        <v>Percy</v>
      </c>
      <c r="D98" s="99" t="str">
        <f>IF(VLOOKUP($A98,'Loyd List 1-190 - Edit'!$C$1:$AQ$220,'Book Details - NO EDIT'!D$1,FALSE)="","",VLOOKUP($A98,'Loyd List 1-190 - Edit'!$C$1:$AQ$220,'Book Details - NO EDIT'!D$1,FALSE))</f>
        <v>Canning</v>
      </c>
      <c r="E98" s="99" t="str">
        <f>IF(VLOOKUP($A98,'Loyd List 1-190 - Edit'!$C$1:$AQ$220,'Book Details - NO EDIT'!E$1,FALSE)="","",VLOOKUP($A98,'Loyd List 1-190 - Edit'!$C$1:$AQ$220,'Book Details - NO EDIT'!E$1,FALSE))</f>
        <v>LOYD</v>
      </c>
      <c r="F98" s="99" t="str">
        <f>IF(VLOOKUP($A98,'Loyd List 1-190 - Edit'!$C$1:$AQ$220,'Book Details - NO EDIT'!F$1,FALSE)="",B98,VLOOKUP($A98,'Loyd List 1-190 - Edit'!$C$1:$AQ$220,'Book Details - NO EDIT'!F$1,FALSE))</f>
        <v>Edward</v>
      </c>
      <c r="G98" s="140">
        <f>IF(VLOOKUP($A98,'Loyd List 1-190 - Edit'!$C$1:$AQ$220,'Book Details - NO EDIT'!G$1,FALSE)="","",VALUE(VLOOKUP($A98,'Loyd List 1-190 - Edit'!$C$1:$AQ$220,'Book Details - NO EDIT'!G$1,FALSE)))</f>
        <v>1921</v>
      </c>
      <c r="H98" s="140">
        <f>IF(VLOOKUP($A98,'Loyd List 1-190 - Edit'!$C$1:$AQ$220,'Book Details - NO EDIT'!H$1,FALSE)="","",VALUE(VLOOKUP($A98,'Loyd List 1-190 - Edit'!$C$1:$AQ$220,'Book Details - NO EDIT'!H$1,FALSE)))</f>
        <v>1977</v>
      </c>
      <c r="I98" s="141">
        <f>IF(VLOOKUP($A98,'Loyd List 1-190 - Edit'!$C$1:$AQ$220,'Book Details - NO EDIT'!I$1,FALSE)="","",(VLOOKUP($A98,'Loyd List 1-190 - Edit'!$C$1:$AQ$220,'Book Details - NO EDIT'!I$1,FALSE)))</f>
        <v>7723</v>
      </c>
      <c r="J98" s="141" t="str">
        <f>IF(VLOOKUP($A98,'Loyd List 1-190 - Edit'!$C$1:$AQ$220,'Book Details - NO EDIT'!J$1,FALSE)="","",(VLOOKUP($A98,'Loyd List 1-190 - Edit'!$C$1:$AQ$220,'Book Details - NO EDIT'!J$1,FALSE)))</f>
        <v>07/01/1977</v>
      </c>
      <c r="K98" s="100" t="str">
        <f>VLOOKUP($A98,'Loyd List 1-190 - Edit'!$C$1:$AQ$220,'Book Details - NO EDIT'!K$1,FALSE)</f>
        <v>Boy</v>
      </c>
      <c r="L98" s="140">
        <f>VLOOKUP($A98,'Loyd List 1-190 - Edit'!$C$1:$AQ$220,'Book Details - NO EDIT'!L$1,FALSE)</f>
        <v>66</v>
      </c>
      <c r="M98" s="140">
        <f t="shared" si="34"/>
        <v>44</v>
      </c>
      <c r="N98" s="140">
        <f t="shared" si="34"/>
        <v>23</v>
      </c>
      <c r="O98" s="140">
        <f t="shared" si="34"/>
        <v>8</v>
      </c>
      <c r="P98" s="140">
        <f t="shared" si="31"/>
        <v>1</v>
      </c>
      <c r="Q98" s="140">
        <f t="shared" si="31"/>
        <v>0</v>
      </c>
      <c r="R98" s="140" t="str">
        <f t="shared" si="31"/>
        <v/>
      </c>
      <c r="S98" s="140" t="str">
        <f t="shared" si="35"/>
        <v/>
      </c>
      <c r="T98" s="140">
        <f t="shared" si="32"/>
        <v>5</v>
      </c>
      <c r="U98" s="139">
        <f t="shared" si="36"/>
        <v>96</v>
      </c>
      <c r="V98" s="31" t="str">
        <f t="shared" si="37"/>
        <v>Edward (1921–1977)</v>
      </c>
      <c r="W98" s="31" t="str">
        <f t="shared" si="38"/>
        <v>Edward (#96)</v>
      </c>
      <c r="X98" s="99" t="str">
        <f t="shared" si="39"/>
        <v>Edward (1921–1977: #96)</v>
      </c>
      <c r="Y98" s="99" t="str">
        <f t="shared" si="33"/>
        <v>Edward Percy Canning LOYD</v>
      </c>
      <c r="Z98" s="99" t="str">
        <f t="shared" si="40"/>
        <v>William (1889–1947: #66)</v>
      </c>
      <c r="AA98" s="99" t="str">
        <f t="shared" si="45"/>
        <v xml:space="preserve">William (1889–1947: #66) Harry (1861–1938: #44) William (1821–1885: #23) Edward (1780–1863: #8) William (1729–1800: #1)   </v>
      </c>
      <c r="AB98" s="142" t="str">
        <f>VLOOKUP(U98,'Siblings of those BORN Loyd'!$A$2:$G$230,7,FALSE)</f>
        <v xml:space="preserve">2 – Delia (1915–2007: #88)  Peter (1923–1974: #99)      </v>
      </c>
      <c r="AC98" s="115" t="str">
        <f>IF(ISNA(IF(K98="Boy",VLOOKUP(A98,'Siblings of those BORN Loyd'!$AP$3:$AQ$70,2,FALSE),VLOOKUP(A98,'Children of Female Loyds'!$AR$5:$AT$60,3,FALSE))),AM98,IF(K98="Boy",VLOOKUP(A98,'Siblings of those BORN Loyd'!$AP$3:$AQ$70,2,FALSE),VLOOKUP(A98,'Children of Female Loyds'!$AR$5:$AT$60,3,FALSE)))</f>
        <v>2 - Caroline (1947–2022: #120); David (1949–: #121)</v>
      </c>
      <c r="AD98" s="97" t="str">
        <f t="shared" si="53"/>
        <v xml:space="preserve">3 - James (1988–: #169); Rupert (1990–: #171); Tabitha (1992–: #174)   </v>
      </c>
      <c r="AE98" s="105" t="str">
        <f>IF(ISNA(IF(K98="Boy",VLOOKUP(A98,'Grandchildren of Male Loyds'!$AQ$3:$AS$51,3,FALSE),VLOOKUP(A98,'Grandchildren of Female Loyds'!$AX$5:$AZ$63,3,FALSE))),AM98,IF(K98="Boy",VLOOKUP(A98,'Grandchildren of Male Loyds'!$AQ$3:$AS$51,3,FALSE),VLOOKUP(A98,'Grandchildren of Female Loyds'!$AX$5:$AZ$63,3,FALSE)))</f>
        <v>James (1988–: #169); Rupert (1990–: #171); Tabitha (1992–: #174)</v>
      </c>
      <c r="AF98" s="105" t="str">
        <f>IF(ISNA(VLOOKUP(A98,'Grandchildren Loyd Daughters'!$BD$5:$BF$50,4,FALSE)),"",VLOOKUP(A98,'Grandchildren Loyd Daughters'!$BD$5:$BF$50,3,FALSE))</f>
        <v/>
      </c>
      <c r="AG98" s="129">
        <f>IF(ISNA(VLOOKUP(A98,'Grandchildren of Male Loyds'!$AQ$3:$AR$60,2,FALSE)),0,VLOOKUP(A98,'Grandchildren of Male Loyds'!$AQ$3:$AR$60,2,FALSE))+IF(ISNA(VLOOKUP(A98,'Grandchildren of Female Loyds'!$AX$5:$AY$50,2,FALSE)),0,VLOOKUP(A98,'Grandchildren of Female Loyds'!$AX$5:$AY$50,2,FALSE))+IF(ISNA(VLOOKUP(A98,'Grandchildren Loyd Daughters'!$BD$5:$BE$50,2,FALSE)),0,VLOOKUP(A98,'Grandchildren Loyd Daughters'!$BD$5:$BE$50,2,FALSE))</f>
        <v>3</v>
      </c>
      <c r="AH98" s="129" t="str">
        <f>VLOOKUP($U98,'Loyd List 1-190 - Edit'!$P$3:$AJ$220,21,FALSE)</f>
        <v>The Hon Bettine Henrietta KNATCHBULL-HUGESSEN (b. 15 Sep 1888, d. 9 Aug 1967)</v>
      </c>
      <c r="AI98" s="129" t="str">
        <f>VLOOKUP(A98,'Updated Bios &amp; Spouse Details'!$A$1:$J$200,7,FALSE)</f>
        <v>June Cecilia KEPPEL (b. 19 Jun 1924)</v>
      </c>
      <c r="AJ98" s="130">
        <f>IF(VLOOKUP($A98,'Loyd List 1-190 - Edit'!$C$1:$AQ$220,'Book Details - NO EDIT'!AJ$1,FALSE)="","",(VLOOKUP($A98,'Loyd List 1-190 - Edit'!$C$1:$AQ$220,'Book Details - NO EDIT'!AJ$1,FALSE)))</f>
        <v>16839</v>
      </c>
      <c r="AK98" s="129" t="str">
        <f>VLOOKUP(A98,'Updated Bios &amp; Spouse Details'!$A$1:$J$200,8,FALSE)</f>
        <v>Married at St Peter’s, Eaton Square, London SW1, June eldest daughter of the late Lieut Colonel Arnold Ramsay KEPPEL, Kings Own Yorkshire Light Infantry. June married secondly on 16 Jun 1990 Alexander (Sandy) FLETCHER of The Old Vicarage, Wighill, Tadcaster, North Yorkshire, LS24 8BQ.</v>
      </c>
      <c r="AL98" s="131" t="str">
        <f>VLOOKUP(A98,'Updated Bios &amp; Spouse Details'!$A$1:$J$200,5,FALSE)</f>
        <v>Edward lived at 10 Cadogan Square, London SW1. Elder son of William (1889–1947: #66). Born 21 Feb 1921. Educated Eton 1934-38. Served in World War II in North Africa. Captain, Coldstream Guards. Prisoner of war. Died 7 Jan 1977, buried at Langleybury, Hertfordshire. Issue: 1 son, 1 daughter.</v>
      </c>
      <c r="AM98" s="105" t="str">
        <f>IF(AND(LEN(H98)&gt;0,ISNA(IF(K98="Boy",VLOOKUP(A98,'Siblings of those BORN Loyd'!$AP$3:$AQ$70,2,FALSE),VLOOKUP(A98,'Children of Female Loyds'!$AR$5:$AS$60,2,FALSE)))),"d.s.p","")</f>
        <v/>
      </c>
      <c r="AN98" s="99" t="str">
        <f t="shared" si="41"/>
        <v>William (1889–1947: #66)</v>
      </c>
      <c r="AO98" s="99" t="str">
        <f t="shared" si="46"/>
        <v>Harry (1861–1938: #44)</v>
      </c>
      <c r="AP98" s="99" t="str">
        <f t="shared" si="47"/>
        <v>William (1821–1885: #23)</v>
      </c>
      <c r="AQ98" s="99" t="str">
        <f t="shared" si="48"/>
        <v>Edward (1780–1863: #8)</v>
      </c>
      <c r="AR98" s="99" t="str">
        <f t="shared" si="49"/>
        <v>William (1729–1800: #1)</v>
      </c>
      <c r="AS98" s="99" t="str">
        <f t="shared" si="50"/>
        <v/>
      </c>
      <c r="AT98" s="99" t="str">
        <f t="shared" si="51"/>
        <v/>
      </c>
      <c r="AU98" s="99" t="str">
        <f t="shared" si="52"/>
        <v/>
      </c>
      <c r="AW98" s="116" t="str">
        <f>VLOOKUP(A98,'Updated Bios &amp; Spouse Details'!$A$1:$J$193,6,FALSE)</f>
        <v>England and North Africa</v>
      </c>
      <c r="AX98" s="131">
        <f>VLOOKUP($A98,'Loyd List 1-190 - Edit'!$P$2:$AQ$220,AX$1,FALSE)</f>
        <v>96</v>
      </c>
      <c r="AY98" s="116" t="str">
        <f>IF(ISNA(VLOOKUP(A98,'Data check lookup table'!$G$2:$V$73,13,FALSE))," - ",VLOOKUP(A98,'Data check lookup table'!$G$2:$V$73,13,FALSE))</f>
        <v xml:space="preserve"> - </v>
      </c>
      <c r="AZ98" s="147" t="str">
        <f t="shared" si="42"/>
        <v>07/01/1977</v>
      </c>
      <c r="BA98" s="99" t="str">
        <f t="shared" si="43"/>
        <v/>
      </c>
      <c r="BB98" s="99" t="str">
        <f t="shared" si="44"/>
        <v/>
      </c>
      <c r="BI98" s="147" t="s">
        <v>3226</v>
      </c>
    </row>
    <row r="99" spans="1:61" s="99" customFormat="1" ht="153">
      <c r="A99" s="139">
        <f>'Loyd List 1-190 - Edit'!C99</f>
        <v>97</v>
      </c>
      <c r="B99" s="99" t="str">
        <f>VLOOKUP($A99,'Loyd List 1-190 - Edit'!$C$1:$AQ$220,'Book Details - NO EDIT'!B$1,FALSE)</f>
        <v>Audrey</v>
      </c>
      <c r="C99" s="99" t="str">
        <f>IF(VLOOKUP($A99,'Loyd List 1-190 - Edit'!$C$1:$AQ$220,'Book Details - NO EDIT'!C$1,FALSE)="","",VLOOKUP($A99,'Loyd List 1-190 - Edit'!$C$1:$AQ$220,'Book Details - NO EDIT'!C$1,FALSE))</f>
        <v>Janet</v>
      </c>
      <c r="D99" s="99" t="str">
        <f>IF(VLOOKUP($A99,'Loyd List 1-190 - Edit'!$C$1:$AQ$220,'Book Details - NO EDIT'!D$1,FALSE)="","",VLOOKUP($A99,'Loyd List 1-190 - Edit'!$C$1:$AQ$220,'Book Details - NO EDIT'!D$1,FALSE))</f>
        <v>Isabel</v>
      </c>
      <c r="E99" s="99" t="str">
        <f>IF(VLOOKUP($A99,'Loyd List 1-190 - Edit'!$C$1:$AQ$220,'Book Details - NO EDIT'!E$1,FALSE)="","",VLOOKUP($A99,'Loyd List 1-190 - Edit'!$C$1:$AQ$220,'Book Details - NO EDIT'!E$1,FALSE))</f>
        <v>LOYD</v>
      </c>
      <c r="F99" s="99" t="str">
        <f>IF(VLOOKUP($A99,'Loyd List 1-190 - Edit'!$C$1:$AQ$220,'Book Details - NO EDIT'!F$1,FALSE)="",B99,VLOOKUP($A99,'Loyd List 1-190 - Edit'!$C$1:$AQ$220,'Book Details - NO EDIT'!F$1,FALSE))</f>
        <v>Audrey</v>
      </c>
      <c r="G99" s="140">
        <f>IF(VLOOKUP($A99,'Loyd List 1-190 - Edit'!$C$1:$AQ$220,'Book Details - NO EDIT'!G$1,FALSE)="","",VALUE(VLOOKUP($A99,'Loyd List 1-190 - Edit'!$C$1:$AQ$220,'Book Details - NO EDIT'!G$1,FALSE)))</f>
        <v>1922</v>
      </c>
      <c r="H99" s="140">
        <f>IF(VLOOKUP($A99,'Loyd List 1-190 - Edit'!$C$1:$AQ$220,'Book Details - NO EDIT'!H$1,FALSE)="","",VALUE(VLOOKUP($A99,'Loyd List 1-190 - Edit'!$C$1:$AQ$220,'Book Details - NO EDIT'!H$1,FALSE)))</f>
        <v>2005</v>
      </c>
      <c r="I99" s="141">
        <f>IF(VLOOKUP($A99,'Loyd List 1-190 - Edit'!$C$1:$AQ$220,'Book Details - NO EDIT'!I$1,FALSE)="","",(VLOOKUP($A99,'Loyd List 1-190 - Edit'!$C$1:$AQ$220,'Book Details - NO EDIT'!I$1,FALSE)))</f>
        <v>8184</v>
      </c>
      <c r="J99" s="141" t="str">
        <f>IF(VLOOKUP($A99,'Loyd List 1-190 - Edit'!$C$1:$AQ$220,'Book Details - NO EDIT'!J$1,FALSE)="","",(VLOOKUP($A99,'Loyd List 1-190 - Edit'!$C$1:$AQ$220,'Book Details - NO EDIT'!J$1,FALSE)))</f>
        <v>04/10/2005</v>
      </c>
      <c r="K99" s="100" t="str">
        <f>VLOOKUP($A99,'Loyd List 1-190 - Edit'!$C$1:$AQ$220,'Book Details - NO EDIT'!K$1,FALSE)</f>
        <v>Girl</v>
      </c>
      <c r="L99" s="140">
        <f>VLOOKUP($A99,'Loyd List 1-190 - Edit'!$C$1:$AQ$220,'Book Details - NO EDIT'!L$1,FALSE)</f>
        <v>53</v>
      </c>
      <c r="M99" s="140">
        <f t="shared" si="34"/>
        <v>41</v>
      </c>
      <c r="N99" s="140">
        <f t="shared" si="34"/>
        <v>22</v>
      </c>
      <c r="O99" s="140">
        <f t="shared" si="34"/>
        <v>8</v>
      </c>
      <c r="P99" s="140">
        <f t="shared" si="31"/>
        <v>1</v>
      </c>
      <c r="Q99" s="140">
        <f t="shared" si="31"/>
        <v>0</v>
      </c>
      <c r="R99" s="140" t="str">
        <f t="shared" si="31"/>
        <v/>
      </c>
      <c r="S99" s="140" t="str">
        <f t="shared" si="35"/>
        <v/>
      </c>
      <c r="T99" s="140">
        <f t="shared" si="32"/>
        <v>5</v>
      </c>
      <c r="U99" s="139">
        <f t="shared" si="36"/>
        <v>97</v>
      </c>
      <c r="V99" s="31" t="str">
        <f t="shared" si="37"/>
        <v>Audrey (1922–2005)</v>
      </c>
      <c r="W99" s="31" t="str">
        <f t="shared" si="38"/>
        <v>Audrey (#97)</v>
      </c>
      <c r="X99" s="99" t="str">
        <f t="shared" si="39"/>
        <v>Audrey (1922–2005: #97)</v>
      </c>
      <c r="Y99" s="99" t="str">
        <f t="shared" ref="Y99:Y130" si="54">_xlfn.CONCAT(B99," ",IF(C99="",E99,_xlfn.CONCAT(C99," ",IF(D99="",E99,_xlfn.CONCAT(D99," ",E99)))))</f>
        <v>Audrey Janet Isabel LOYD</v>
      </c>
      <c r="Z99" s="99" t="str">
        <f t="shared" si="40"/>
        <v>Edward (1881–1962: #53)</v>
      </c>
      <c r="AA99" s="99" t="str">
        <f t="shared" si="45"/>
        <v xml:space="preserve">Edward (1881–1962: #53) Frederic (1856–1936: #41) Edward (1820–1890: #22) Edward (1780–1863: #8) William (1729–1800: #1)   </v>
      </c>
      <c r="AB99" s="142" t="str">
        <f>VLOOKUP(U99,'Siblings of those BORN Loyd'!$A$2:$G$230,7,FALSE)</f>
        <v>0 – Only chlid</v>
      </c>
      <c r="AC99" s="115" t="str">
        <f>IF(ISNA(IF(K99="Boy",VLOOKUP(A99,'Siblings of those BORN Loyd'!$AP$3:$AQ$70,2,FALSE),VLOOKUP(A99,'Children of Female Loyds'!$AR$5:$AT$60,3,FALSE))),AM99,IF(K99="Boy",VLOOKUP(A99,'Siblings of those BORN Loyd'!$AP$3:$AQ$70,2,FALSE),VLOOKUP(A99,'Children of Female Loyds'!$AR$5:$AT$60,3,FALSE)))</f>
        <v xml:space="preserve">5 - Julian SALE (1951 - : #97a) Iona SALE (1954 - : #97b) Charles SALE (1956 - 1957: #97c) Roddy SALE (1959 - : #97d) Edward SALE (1963 - : #97e)   </v>
      </c>
      <c r="AD99" s="97" t="str">
        <f t="shared" si="53"/>
        <v xml:space="preserve">5 - Alexander SALE (1991 -: #97aa) Oliver SALE (1995 -: #97ab) Frank SALE (1995 -: #97ea) Connie SALE (1997 -: #97eb) Grace SALE (2002 -0: #97ec)              </v>
      </c>
      <c r="AE99" s="105" t="str">
        <f>IF(ISNA(IF(K99="Boy",VLOOKUP(A99,'Grandchildren of Male Loyds'!$AQ$3:$AS$51,3,FALSE),VLOOKUP(A99,'Grandchildren of Female Loyds'!$AX$5:$AZ$63,3,FALSE))),AM99,IF(K99="Boy",VLOOKUP(A99,'Grandchildren of Male Loyds'!$AQ$3:$AS$51,3,FALSE),VLOOKUP(A99,'Grandchildren of Female Loyds'!$AX$5:$AZ$63,3,FALSE)))</f>
        <v xml:space="preserve">Alexander SALE (1991 -: #97aa) Oliver SALE (1995 -: #97ab) Frank SALE (1995 -: #97ea) Connie SALE (1997 -: #97eb) Grace SALE (2002 -0: #97ec)           </v>
      </c>
      <c r="AF99" s="105" t="str">
        <f>IF(ISNA(VLOOKUP(A99,'Grandchildren Loyd Daughters'!$BD$5:$BF$50,4,FALSE)),"",VLOOKUP(A99,'Grandchildren Loyd Daughters'!$BD$5:$BF$50,3,FALSE))</f>
        <v/>
      </c>
      <c r="AG99" s="129">
        <f>IF(ISNA(VLOOKUP(A99,'Grandchildren of Male Loyds'!$AQ$3:$AR$60,2,FALSE)),0,VLOOKUP(A99,'Grandchildren of Male Loyds'!$AQ$3:$AR$60,2,FALSE))+IF(ISNA(VLOOKUP(A99,'Grandchildren of Female Loyds'!$AX$5:$AY$50,2,FALSE)),0,VLOOKUP(A99,'Grandchildren of Female Loyds'!$AX$5:$AY$50,2,FALSE))+IF(ISNA(VLOOKUP(A99,'Grandchildren Loyd Daughters'!$BD$5:$BE$50,2,FALSE)),0,VLOOKUP(A99,'Grandchildren Loyd Daughters'!$BD$5:$BE$50,2,FALSE))</f>
        <v>5</v>
      </c>
      <c r="AH99" s="129" t="str">
        <f>VLOOKUP($U99,'Loyd List 1-190 - Edit'!$P$3:$AJ$220,21,FALSE)</f>
        <v>Kathleen Elizabeth Lilian DONOVAN (b. 21 Mar 1896, d. 7 Dec 1983)</v>
      </c>
      <c r="AI99" s="129" t="str">
        <f>VLOOKUP(A99,'Updated Bios &amp; Spouse Details'!$A$1:$J$200,7,FALSE)</f>
        <v>Robert Edward Walker SALE (b. 26 Nov 1913, d. 11 Aug 1983)</v>
      </c>
      <c r="AJ99" s="130">
        <f>IF(VLOOKUP($A99,'Loyd List 1-190 - Edit'!$C$1:$AQ$220,'Book Details - NO EDIT'!AJ$1,FALSE)="","",(VLOOKUP($A99,'Loyd List 1-190 - Edit'!$C$1:$AQ$220,'Book Details - NO EDIT'!AJ$1,FALSE)))</f>
        <v>18753</v>
      </c>
      <c r="AK99" s="129" t="str">
        <f>VLOOKUP(A99,'Updated Bios &amp; Spouse Details'!$A$1:$J$200,8,FALSE)</f>
        <v>Robert, baptised in Bombay by the Rev, later the Rt Rev, Philip (1884 - 1952: #58) Bishop of Nasik and Bishop of St Albans, MC, Lieut Colonel, Welsh Guards, son of the late Edward Little SALE of Brownshill Court, Painswick, Gloucestershire. Late Collector of Bombay and of Belgaum, Indian Civil Service.</v>
      </c>
      <c r="AL99" s="131" t="str">
        <f>VLOOKUP(A99,'Updated Bios &amp; Spouse Details'!$A$1:$J$200,5,FALSE)</f>
        <v>Audrey lived at Dowdeswell Home Farm, Andoversford, Gloucestershire and was the only child of Edward (1881–1962: #53). Born 28 May 1922. Had safe keeping of old Welsh Bible with entries about LLOYD family in Carmarthenshire in 18th Century and other old family papers, and the blunderbuss belonging to Edward (1780–1863: #8) for use by his coachman if attacked on the turnpikes. Died 4 Oct 2005. Issue: 1 daughter, 3 sons</v>
      </c>
      <c r="AM99" s="105" t="str">
        <f>IF(AND(LEN(H99)&gt;0,ISNA(IF(K99="Boy",VLOOKUP(A99,'Siblings of those BORN Loyd'!$AP$3:$AQ$70,2,FALSE),VLOOKUP(A99,'Children of Female Loyds'!$AR$5:$AS$60,2,FALSE)))),"d.s.p","")</f>
        <v/>
      </c>
      <c r="AN99" s="99" t="str">
        <f t="shared" si="41"/>
        <v>Edward (1881–1962: #53)</v>
      </c>
      <c r="AO99" s="99" t="str">
        <f t="shared" si="46"/>
        <v>Frederic (1856–1936: #41)</v>
      </c>
      <c r="AP99" s="99" t="str">
        <f t="shared" si="47"/>
        <v>Edward (1820–1890: #22)</v>
      </c>
      <c r="AQ99" s="99" t="str">
        <f t="shared" si="48"/>
        <v>Edward (1780–1863: #8)</v>
      </c>
      <c r="AR99" s="99" t="str">
        <f t="shared" si="49"/>
        <v>William (1729–1800: #1)</v>
      </c>
      <c r="AS99" s="99" t="str">
        <f t="shared" si="50"/>
        <v/>
      </c>
      <c r="AT99" s="99" t="str">
        <f t="shared" si="51"/>
        <v/>
      </c>
      <c r="AU99" s="99" t="str">
        <f t="shared" si="52"/>
        <v/>
      </c>
      <c r="AW99" s="116" t="str">
        <f>VLOOKUP(A99,'Updated Bios &amp; Spouse Details'!$A$1:$J$193,6,FALSE)</f>
        <v>England</v>
      </c>
      <c r="AX99" s="131">
        <f>VLOOKUP($A99,'Loyd List 1-190 - Edit'!$P$2:$AQ$220,AX$1,FALSE)</f>
        <v>97</v>
      </c>
      <c r="AY99" s="116" t="str">
        <f>IF(ISNA(VLOOKUP(A99,'Data check lookup table'!$G$2:$V$73,13,FALSE))," - ",VLOOKUP(A99,'Data check lookup table'!$G$2:$V$73,13,FALSE))</f>
        <v>Deceased</v>
      </c>
      <c r="AZ99" s="147" t="str">
        <f t="shared" si="42"/>
        <v>04/10/2005</v>
      </c>
      <c r="BA99" s="99" t="str">
        <f t="shared" si="43"/>
        <v/>
      </c>
      <c r="BB99" s="99" t="str">
        <f t="shared" si="44"/>
        <v/>
      </c>
      <c r="BI99" s="147" t="s">
        <v>3227</v>
      </c>
    </row>
    <row r="100" spans="1:61" s="99" customFormat="1" ht="340">
      <c r="A100" s="139">
        <f>'Loyd List 1-190 - Edit'!C100</f>
        <v>98</v>
      </c>
      <c r="B100" s="99" t="str">
        <f>VLOOKUP($A100,'Loyd List 1-190 - Edit'!$C$1:$AQ$220,'Book Details - NO EDIT'!B$1,FALSE)</f>
        <v>Peter</v>
      </c>
      <c r="C100" s="99" t="str">
        <f>IF(VLOOKUP($A100,'Loyd List 1-190 - Edit'!$C$1:$AQ$220,'Book Details - NO EDIT'!C$1,FALSE)="","",VLOOKUP($A100,'Loyd List 1-190 - Edit'!$C$1:$AQ$220,'Book Details - NO EDIT'!C$1,FALSE))</f>
        <v>Haig</v>
      </c>
      <c r="D100" s="99" t="str">
        <f>IF(VLOOKUP($A100,'Loyd List 1-190 - Edit'!$C$1:$AQ$220,'Book Details - NO EDIT'!D$1,FALSE)="","",VLOOKUP($A100,'Loyd List 1-190 - Edit'!$C$1:$AQ$220,'Book Details - NO EDIT'!D$1,FALSE))</f>
        <v/>
      </c>
      <c r="E100" s="99" t="str">
        <f>IF(VLOOKUP($A100,'Loyd List 1-190 - Edit'!$C$1:$AQ$220,'Book Details - NO EDIT'!E$1,FALSE)="","",VLOOKUP($A100,'Loyd List 1-190 - Edit'!$C$1:$AQ$220,'Book Details - NO EDIT'!E$1,FALSE))</f>
        <v>LOYD</v>
      </c>
      <c r="F100" s="99" t="str">
        <f>IF(VLOOKUP($A100,'Loyd List 1-190 - Edit'!$C$1:$AQ$220,'Book Details - NO EDIT'!F$1,FALSE)="",B100,VLOOKUP($A100,'Loyd List 1-190 - Edit'!$C$1:$AQ$220,'Book Details - NO EDIT'!F$1,FALSE))</f>
        <v>Peter</v>
      </c>
      <c r="G100" s="140">
        <f>IF(VLOOKUP($A100,'Loyd List 1-190 - Edit'!$C$1:$AQ$220,'Book Details - NO EDIT'!G$1,FALSE)="","",VALUE(VLOOKUP($A100,'Loyd List 1-190 - Edit'!$C$1:$AQ$220,'Book Details - NO EDIT'!G$1,FALSE)))</f>
        <v>1922</v>
      </c>
      <c r="H100" s="140">
        <f>IF(VLOOKUP($A100,'Loyd List 1-190 - Edit'!$C$1:$AQ$220,'Book Details - NO EDIT'!H$1,FALSE)="","",VALUE(VLOOKUP($A100,'Loyd List 1-190 - Edit'!$C$1:$AQ$220,'Book Details - NO EDIT'!H$1,FALSE)))</f>
        <v>2022</v>
      </c>
      <c r="I100" s="141">
        <f>IF(VLOOKUP($A100,'Loyd List 1-190 - Edit'!$C$1:$AQ$220,'Book Details - NO EDIT'!I$1,FALSE)="","",(VLOOKUP($A100,'Loyd List 1-190 - Edit'!$C$1:$AQ$220,'Book Details - NO EDIT'!I$1,FALSE)))</f>
        <v>8318</v>
      </c>
      <c r="J100" s="141" t="str">
        <f>IF(VLOOKUP($A100,'Loyd List 1-190 - Edit'!$C$1:$AQ$220,'Book Details - NO EDIT'!J$1,FALSE)="","",(VLOOKUP($A100,'Loyd List 1-190 - Edit'!$C$1:$AQ$220,'Book Details - NO EDIT'!J$1,FALSE)))</f>
        <v>13/05/2022</v>
      </c>
      <c r="K100" s="100" t="str">
        <f>VLOOKUP($A100,'Loyd List 1-190 - Edit'!$C$1:$AQ$220,'Book Details - NO EDIT'!K$1,FALSE)</f>
        <v>Boy</v>
      </c>
      <c r="L100" s="140">
        <f>VLOOKUP($A100,'Loyd List 1-190 - Edit'!$C$1:$AQ$220,'Book Details - NO EDIT'!L$1,FALSE)</f>
        <v>77</v>
      </c>
      <c r="M100" s="140">
        <f t="shared" si="34"/>
        <v>30</v>
      </c>
      <c r="N100" s="140">
        <f t="shared" si="34"/>
        <v>14</v>
      </c>
      <c r="O100" s="140">
        <f t="shared" si="34"/>
        <v>4</v>
      </c>
      <c r="P100" s="140">
        <f t="shared" si="31"/>
        <v>1</v>
      </c>
      <c r="Q100" s="140">
        <f t="shared" si="31"/>
        <v>0</v>
      </c>
      <c r="R100" s="140" t="str">
        <f t="shared" si="31"/>
        <v/>
      </c>
      <c r="S100" s="140" t="str">
        <f t="shared" si="35"/>
        <v/>
      </c>
      <c r="T100" s="140">
        <f t="shared" si="32"/>
        <v>5</v>
      </c>
      <c r="U100" s="139">
        <f t="shared" si="36"/>
        <v>98</v>
      </c>
      <c r="V100" s="31" t="str">
        <f t="shared" si="37"/>
        <v>Peter (1922–2022)</v>
      </c>
      <c r="W100" s="31" t="str">
        <f t="shared" si="38"/>
        <v>Peter (#98)</v>
      </c>
      <c r="X100" s="99" t="str">
        <f t="shared" si="39"/>
        <v>Peter (1922–2022: #98)</v>
      </c>
      <c r="Y100" s="99" t="str">
        <f t="shared" si="54"/>
        <v>Peter Haig LOYD</v>
      </c>
      <c r="Z100" s="99" t="str">
        <f t="shared" si="40"/>
        <v>Wilfrid (1893–1971: #77)</v>
      </c>
      <c r="AA100" s="99" t="str">
        <f t="shared" si="45"/>
        <v xml:space="preserve">Wilfrid (1893–1971: #77) Archie (1847–1922: #30) Thomas (1812–1857: #14) William (1770–1828: #4) William (1729–1800: #1)   </v>
      </c>
      <c r="AB100" s="142" t="str">
        <f>VLOOKUP(U100,'Siblings of those BORN Loyd'!$A$2:$G$230,7,FALSE)</f>
        <v xml:space="preserve">3 – Geoffrey (1926–2018: #105) Denise (1928–: #106) Andrew (1934–1975: #111)     </v>
      </c>
      <c r="AC100" s="115" t="str">
        <f>IF(ISNA(IF(K100="Boy",VLOOKUP(A100,'Siblings of those BORN Loyd'!$AP$3:$AQ$70,2,FALSE),VLOOKUP(A100,'Children of Female Loyds'!$AR$5:$AT$60,3,FALSE))),AM100,IF(K100="Boy",VLOOKUP(A100,'Siblings of those BORN Loyd'!$AP$3:$AQ$70,2,FALSE),VLOOKUP(A100,'Children of Female Loyds'!$AR$5:$AT$60,3,FALSE)))</f>
        <v>5 - Julie (1952–: #128); Penelope (1954–1954: #132); William (1955–: #134); Tony (1963–: #145); Sophie (1969–: #154)</v>
      </c>
      <c r="AD100" s="97" t="str">
        <f t="shared" si="53"/>
        <v xml:space="preserve">5 -    Chloe PEMBERTON (1991 - :  #128a) Kate PEMBERTON (1993 - :  #128b) Freddie NEWING (2006 - :  #154a) Gus NEWING (2008 - :  #154b) Albert NEWING (2015 - 2015:  #154c)          </v>
      </c>
      <c r="AE100" s="105" t="str">
        <f>IF(ISNA(IF(K100="Boy",VLOOKUP(A100,'Grandchildren of Male Loyds'!$AQ$3:$AS$51,3,FALSE),VLOOKUP(A100,'Grandchildren of Female Loyds'!$AX$5:$AZ$63,3,FALSE))),AM100,IF(K100="Boy",VLOOKUP(A100,'Grandchildren of Male Loyds'!$AQ$3:$AS$51,3,FALSE),VLOOKUP(A100,'Grandchildren of Female Loyds'!$AX$5:$AZ$63,3,FALSE)))</f>
        <v/>
      </c>
      <c r="AF100" s="105" t="str">
        <f>IF(ISNA(VLOOKUP(A100,'Grandchildren Loyd Daughters'!$BD$5:$BF$50,4,FALSE)),"",VLOOKUP(A100,'Grandchildren Loyd Daughters'!$BD$5:$BF$50,3,FALSE))</f>
        <v xml:space="preserve">Chloe PEMBERTON (1991 - :  #128a) Kate PEMBERTON (1993 - :  #128b) Freddie NEWING (2006 - :  #154a) Gus NEWING (2008 - :  #154b) Albert NEWING (2015 - 2015:  #154c)          </v>
      </c>
      <c r="AG100" s="129">
        <f>IF(ISNA(VLOOKUP(A100,'Grandchildren of Male Loyds'!$AQ$3:$AR$60,2,FALSE)),0,VLOOKUP(A100,'Grandchildren of Male Loyds'!$AQ$3:$AR$60,2,FALSE))+IF(ISNA(VLOOKUP(A100,'Grandchildren of Female Loyds'!$AX$5:$AY$50,2,FALSE)),0,VLOOKUP(A100,'Grandchildren of Female Loyds'!$AX$5:$AY$50,2,FALSE))+IF(ISNA(VLOOKUP(A100,'Grandchildren Loyd Daughters'!$BD$5:$BE$50,2,FALSE)),0,VLOOKUP(A100,'Grandchildren Loyd Daughters'!$BD$5:$BE$50,2,FALSE))</f>
        <v>5</v>
      </c>
      <c r="AH100" s="129" t="str">
        <f>VLOOKUP($U100,'Loyd List 1-190 - Edit'!$P$3:$AJ$220,21,FALSE)</f>
        <v>Emily Charlotte Eileen OAKELEY (b. 28 Jan 1896, d. 8 May 1978)</v>
      </c>
      <c r="AI100" s="129" t="str">
        <f>VLOOKUP(A100,'Updated Bios &amp; Spouse Details'!$A$1:$J$200,7,FALSE)</f>
        <v>(1) Suzanne DUNCAN (b. 25 Aug 1928, ).</v>
      </c>
      <c r="AJ100" s="130">
        <f>IF(VLOOKUP($A100,'Loyd List 1-190 - Edit'!$C$1:$AQ$220,'Book Details - NO EDIT'!AJ$1,FALSE)="","",(VLOOKUP($A100,'Loyd List 1-190 - Edit'!$C$1:$AQ$220,'Book Details - NO EDIT'!AJ$1,FALSE)))</f>
        <v>18361</v>
      </c>
      <c r="AK100" s="129" t="str">
        <f>VLOOKUP(A100,'Updated Bios &amp; Spouse Details'!$A$1:$J$200,8,FALSE)</f>
        <v>(1) Married 8 Apr 1950 at Tewkesbury Abbey, Suzanne only child of Eric McLeod DUNCAN of The Croft, The Leigh, Nr. Cheltenham, Gloucestershire. (Issue 1 son &amp; 2 daughters - divorced 1957). (2) Married 26 Aug 1961 at Chelsea Registry Office, Rosie elder daughter of Dr John Hay MOIR of Worplesdon, Surrey. Cremated 18 Mar 1997. (Issue 1 son &amp; 1 daughter). (3) 10 Oct 1998 at Burgh House, Hampstead, London NW3, Rosemary, elder daughter of Flight Lieutenant David Moore CROOK (b. 24 Nov 1914, d. 18 Dec 1944 flying) DFC 1 Nov 1940 of Glenwood, Edgerton, Huddersfield, Yorkshire. David served in World War II in Battle of Britain in 609 Squadron. David Crook, author of "Spitfire Pilot", Faber and Faber 1942.</v>
      </c>
      <c r="AL100" s="131" t="str">
        <f>VLOOKUP(A100,'Updated Bios &amp; Spouse Details'!$A$1:$J$200,5,FALSE)</f>
        <v>Peter lived in North London and was the eldest son of Wilfrid (1893–1971: #77). Born 9 Oct 1922 at Frittenden, Kent. Baptised 9 Dec 1922 at St Michael’s, Chester Square. Educated Eton 1936-40. Served in World War II in Home Fleet in HMS Belfast, and on land in India and Burma. Captain, Royal Marines. Adjutant and Troop Commander, 42 Commando Royal Marines 1943-45. OC Royal Marines HMS Nigeria 1945-47. Retired from Royal Marines 1958. Imperial Chemical Industries, Plastics Division 1958-61. BTR Industries 1961-66. Industrial Society 1966-74. Director, British Institute of Management 1974-84. FMS 1966, FBIM 1974 (now FIMgt), FIIM 1979. Yachtmaster (Offshore) 1976. Loyd Family Archivist producing a Loyd book series: THE LOYD FAMILY, "Who's Who", first edition published in 1985; and then updated in 2000 with the second edition entitled, “THE LOYD FAMILY – A "Who's Who" in date of birth order from William LLOYD (1729-1800) to the present day.” Peter died 13 May 2022 in the Royal Free Hospital and his funeral service was held at Hampstead Parish Church, Hampstead, London on 27 May 2022. Issue: (1st wife) 1 son, 2 daughters. (2nd wife) 1 son, 1 daughter.</v>
      </c>
      <c r="AM100" s="105" t="str">
        <f>IF(AND(LEN(H100)&gt;0,ISNA(IF(K100="Boy",VLOOKUP(A100,'Siblings of those BORN Loyd'!$AP$3:$AQ$70,2,FALSE),VLOOKUP(A100,'Children of Female Loyds'!$AR$5:$AS$60,2,FALSE)))),"d.s.p","")</f>
        <v/>
      </c>
      <c r="AN100" s="99" t="str">
        <f t="shared" ref="AN100:AN131" si="55">(IF(OR(L100=0,LEN(L100)=0),"",_xlfn.CONCAT(VLOOKUP(L100,$U$3:$X$230,4,FALSE))))</f>
        <v>Wilfrid (1893–1971: #77)</v>
      </c>
      <c r="AO100" s="99" t="str">
        <f t="shared" si="46"/>
        <v>Archie (1847–1922: #30)</v>
      </c>
      <c r="AP100" s="99" t="str">
        <f t="shared" si="47"/>
        <v>Thomas (1812–1857: #14)</v>
      </c>
      <c r="AQ100" s="99" t="str">
        <f t="shared" si="48"/>
        <v>William (1770–1828: #4)</v>
      </c>
      <c r="AR100" s="99" t="str">
        <f t="shared" si="49"/>
        <v>William (1729–1800: #1)</v>
      </c>
      <c r="AS100" s="99" t="str">
        <f t="shared" si="50"/>
        <v/>
      </c>
      <c r="AT100" s="99" t="str">
        <f t="shared" si="51"/>
        <v/>
      </c>
      <c r="AU100" s="99" t="str">
        <f t="shared" si="52"/>
        <v/>
      </c>
      <c r="AW100" s="116" t="str">
        <f>VLOOKUP(A100,'Updated Bios &amp; Spouse Details'!$A$1:$J$193,6,FALSE)</f>
        <v>England, India and Burma</v>
      </c>
      <c r="AX100" s="131">
        <f>VLOOKUP($A100,'Loyd List 1-190 - Edit'!$P$2:$AQ$220,AX$1,FALSE)</f>
        <v>98</v>
      </c>
      <c r="AY100" s="116" t="str">
        <f>IF(ISNA(VLOOKUP(A100,'Data check lookup table'!$G$2:$V$73,13,FALSE))," - ",VLOOKUP(A100,'Data check lookup table'!$G$2:$V$73,13,FALSE))</f>
        <v>rosemaryloyd@gmail.com</v>
      </c>
      <c r="AZ100" s="147" t="str">
        <f t="shared" si="42"/>
        <v>13/05/2022</v>
      </c>
      <c r="BA100" s="99" t="str">
        <f t="shared" ref="BA100:BA131" si="56">(IF(OR(Q100=0,LEN(Q100)=0),"",_xlfn.CONCAT(", ",VLOOKUP(Q100,$U$3:$X$230,4,FALSE))))</f>
        <v/>
      </c>
      <c r="BB100" s="99" t="str">
        <f t="shared" ref="BB100:BB131" si="57">(IF(OR(R100=0,LEN(R100)=0),"",_xlfn.CONCAT("; ",VLOOKUP(R100,$U$3:$X$230,4,FALSE))))</f>
        <v/>
      </c>
      <c r="BI100" s="147" t="s">
        <v>3228</v>
      </c>
    </row>
    <row r="101" spans="1:61" s="99" customFormat="1" ht="68">
      <c r="A101" s="139">
        <f>'Loyd List 1-190 - Edit'!C101</f>
        <v>99</v>
      </c>
      <c r="B101" s="99" t="str">
        <f>VLOOKUP($A101,'Loyd List 1-190 - Edit'!$C$1:$AQ$220,'Book Details - NO EDIT'!B$1,FALSE)</f>
        <v>Peter</v>
      </c>
      <c r="C101" s="99" t="str">
        <f>IF(VLOOKUP($A101,'Loyd List 1-190 - Edit'!$C$1:$AQ$220,'Book Details - NO EDIT'!C$1,FALSE)="","",VLOOKUP($A101,'Loyd List 1-190 - Edit'!$C$1:$AQ$220,'Book Details - NO EDIT'!C$1,FALSE))</f>
        <v>Wyndham</v>
      </c>
      <c r="D101" s="99" t="str">
        <f>IF(VLOOKUP($A101,'Loyd List 1-190 - Edit'!$C$1:$AQ$220,'Book Details - NO EDIT'!D$1,FALSE)="","",VLOOKUP($A101,'Loyd List 1-190 - Edit'!$C$1:$AQ$220,'Book Details - NO EDIT'!D$1,FALSE))</f>
        <v/>
      </c>
      <c r="E101" s="99" t="str">
        <f>IF(VLOOKUP($A101,'Loyd List 1-190 - Edit'!$C$1:$AQ$220,'Book Details - NO EDIT'!E$1,FALSE)="","",VLOOKUP($A101,'Loyd List 1-190 - Edit'!$C$1:$AQ$220,'Book Details - NO EDIT'!E$1,FALSE))</f>
        <v>LOYD</v>
      </c>
      <c r="F101" s="99" t="str">
        <f>IF(VLOOKUP($A101,'Loyd List 1-190 - Edit'!$C$1:$AQ$220,'Book Details - NO EDIT'!F$1,FALSE)="",B101,VLOOKUP($A101,'Loyd List 1-190 - Edit'!$C$1:$AQ$220,'Book Details - NO EDIT'!F$1,FALSE))</f>
        <v>Peter</v>
      </c>
      <c r="G101" s="140">
        <f>IF(VLOOKUP($A101,'Loyd List 1-190 - Edit'!$C$1:$AQ$220,'Book Details - NO EDIT'!G$1,FALSE)="","",VALUE(VLOOKUP($A101,'Loyd List 1-190 - Edit'!$C$1:$AQ$220,'Book Details - NO EDIT'!G$1,FALSE)))</f>
        <v>1923</v>
      </c>
      <c r="H101" s="140">
        <f>IF(VLOOKUP($A101,'Loyd List 1-190 - Edit'!$C$1:$AQ$220,'Book Details - NO EDIT'!H$1,FALSE)="","",VALUE(VLOOKUP($A101,'Loyd List 1-190 - Edit'!$C$1:$AQ$220,'Book Details - NO EDIT'!H$1,FALSE)))</f>
        <v>1974</v>
      </c>
      <c r="I101" s="141">
        <f>IF(VLOOKUP($A101,'Loyd List 1-190 - Edit'!$C$1:$AQ$220,'Book Details - NO EDIT'!I$1,FALSE)="","",(VLOOKUP($A101,'Loyd List 1-190 - Edit'!$C$1:$AQ$220,'Book Details - NO EDIT'!I$1,FALSE)))</f>
        <v>8509</v>
      </c>
      <c r="J101" s="141" t="str">
        <f>IF(VLOOKUP($A101,'Loyd List 1-190 - Edit'!$C$1:$AQ$220,'Book Details - NO EDIT'!J$1,FALSE)="","",(VLOOKUP($A101,'Loyd List 1-190 - Edit'!$C$1:$AQ$220,'Book Details - NO EDIT'!J$1,FALSE)))</f>
        <v>12/06/1974</v>
      </c>
      <c r="K101" s="100" t="str">
        <f>VLOOKUP($A101,'Loyd List 1-190 - Edit'!$C$1:$AQ$220,'Book Details - NO EDIT'!K$1,FALSE)</f>
        <v>Boy</v>
      </c>
      <c r="L101" s="140">
        <f>VLOOKUP($A101,'Loyd List 1-190 - Edit'!$C$1:$AQ$220,'Book Details - NO EDIT'!L$1,FALSE)</f>
        <v>66</v>
      </c>
      <c r="M101" s="140">
        <f t="shared" si="34"/>
        <v>44</v>
      </c>
      <c r="N101" s="140">
        <f t="shared" si="34"/>
        <v>23</v>
      </c>
      <c r="O101" s="140">
        <f t="shared" si="34"/>
        <v>8</v>
      </c>
      <c r="P101" s="140">
        <f t="shared" si="31"/>
        <v>1</v>
      </c>
      <c r="Q101" s="140">
        <f t="shared" si="31"/>
        <v>0</v>
      </c>
      <c r="R101" s="140" t="str">
        <f t="shared" si="31"/>
        <v/>
      </c>
      <c r="S101" s="140" t="str">
        <f t="shared" si="35"/>
        <v/>
      </c>
      <c r="T101" s="140">
        <f t="shared" si="32"/>
        <v>5</v>
      </c>
      <c r="U101" s="139">
        <f t="shared" si="36"/>
        <v>99</v>
      </c>
      <c r="V101" s="31" t="str">
        <f t="shared" si="37"/>
        <v>Peter (1923–1974)</v>
      </c>
      <c r="W101" s="31" t="str">
        <f t="shared" si="38"/>
        <v>Peter (#99)</v>
      </c>
      <c r="X101" s="99" t="str">
        <f t="shared" si="39"/>
        <v>Peter (1923–1974: #99)</v>
      </c>
      <c r="Y101" s="99" t="str">
        <f t="shared" si="54"/>
        <v>Peter Wyndham LOYD</v>
      </c>
      <c r="Z101" s="99" t="str">
        <f t="shared" si="40"/>
        <v>William (1889–1947: #66)</v>
      </c>
      <c r="AA101" s="99" t="str">
        <f t="shared" si="45"/>
        <v xml:space="preserve">William (1889–1947: #66) Harry (1861–1938: #44) William (1821–1885: #23) Edward (1780–1863: #8) William (1729–1800: #1)   </v>
      </c>
      <c r="AB101" s="142" t="str">
        <f>VLOOKUP(U101,'Siblings of those BORN Loyd'!$A$2:$G$230,7,FALSE)</f>
        <v xml:space="preserve">2 – Delia (1915–2007: #88) Edward (1921–1977: #96)       </v>
      </c>
      <c r="AC101" s="115" t="str">
        <f>IF(ISNA(IF(K101="Boy",VLOOKUP(A101,'Siblings of those BORN Loyd'!$AP$3:$AQ$70,2,FALSE),VLOOKUP(A101,'Children of Female Loyds'!$AR$5:$AT$60,3,FALSE))),AM101,IF(K101="Boy",VLOOKUP(A101,'Siblings of those BORN Loyd'!$AP$3:$AQ$70,2,FALSE),VLOOKUP(A101,'Children of Female Loyds'!$AR$5:$AT$60,3,FALSE)))</f>
        <v>2 - Henrietta (1959–: #137); Andrew (1962–: #144)</v>
      </c>
      <c r="AD101" s="97" t="str">
        <f t="shared" si="53"/>
        <v xml:space="preserve">1 -    Honor GELL (1998 - :  #137a)              </v>
      </c>
      <c r="AE101" s="105" t="str">
        <f>IF(ISNA(IF(K101="Boy",VLOOKUP(A101,'Grandchildren of Male Loyds'!$AQ$3:$AS$51,3,FALSE),VLOOKUP(A101,'Grandchildren of Female Loyds'!$AX$5:$AZ$63,3,FALSE))),AM101,IF(K101="Boy",VLOOKUP(A101,'Grandchildren of Male Loyds'!$AQ$3:$AS$51,3,FALSE),VLOOKUP(A101,'Grandchildren of Female Loyds'!$AX$5:$AZ$63,3,FALSE)))</f>
        <v/>
      </c>
      <c r="AF101" s="105" t="str">
        <f>IF(ISNA(VLOOKUP(A101,'Grandchildren Loyd Daughters'!$BD$5:$BF$50,4,FALSE)),"",VLOOKUP(A101,'Grandchildren Loyd Daughters'!$BD$5:$BF$50,3,FALSE))</f>
        <v xml:space="preserve">Honor GELL (1998 - :  #137a)              </v>
      </c>
      <c r="AG101" s="129">
        <f>IF(ISNA(VLOOKUP(A101,'Grandchildren of Male Loyds'!$AQ$3:$AR$60,2,FALSE)),0,VLOOKUP(A101,'Grandchildren of Male Loyds'!$AQ$3:$AR$60,2,FALSE))+IF(ISNA(VLOOKUP(A101,'Grandchildren of Female Loyds'!$AX$5:$AY$50,2,FALSE)),0,VLOOKUP(A101,'Grandchildren of Female Loyds'!$AX$5:$AY$50,2,FALSE))+IF(ISNA(VLOOKUP(A101,'Grandchildren Loyd Daughters'!$BD$5:$BE$50,2,FALSE)),0,VLOOKUP(A101,'Grandchildren Loyd Daughters'!$BD$5:$BE$50,2,FALSE))</f>
        <v>1</v>
      </c>
      <c r="AH101" s="129" t="str">
        <f>VLOOKUP($U101,'Loyd List 1-190 - Edit'!$P$3:$AJ$220,21,FALSE)</f>
        <v>The Hon Bettine Henrietta KNATCHBULL-HUGESSEN (b. 15 Sep 1888, d. 9 Aug 1967)</v>
      </c>
      <c r="AI101" s="129" t="str">
        <f>VLOOKUP(A101,'Updated Bios &amp; Spouse Details'!$A$1:$J$200,7,FALSE)</f>
        <v>Sally Elizabeth Jane INGLIS (b. 18 Jan 1931, d. 27 Aug 2020)</v>
      </c>
      <c r="AJ101" s="130">
        <f>IF(VLOOKUP($A101,'Loyd List 1-190 - Edit'!$C$1:$AQ$220,'Book Details - NO EDIT'!AJ$1,FALSE)="","",(VLOOKUP($A101,'Loyd List 1-190 - Edit'!$C$1:$AQ$220,'Book Details - NO EDIT'!AJ$1,FALSE)))</f>
        <v>21248</v>
      </c>
      <c r="AK101" s="129" t="str">
        <f>VLOOKUP(A101,'Updated Bios &amp; Spouse Details'!$A$1:$J$200,8,FALSE)</f>
        <v>Married Sally, at St. Peter’s, Eaton Square, London, SW1, eldest daughter of John INGLIS of West Nisbet, Jedburgh, Roxburghshire.</v>
      </c>
      <c r="AL101" s="131" t="str">
        <f>VLOOKUP(A101,'Updated Bios &amp; Spouse Details'!$A$1:$J$200,5,FALSE)</f>
        <v xml:space="preserve">Peter lived at Towersey Manor, Thame, Oxfordshire and was the younger son of William (1889–1947: #66). Born 18 Apr 1923. Educated Eton 1936-40. . Served in World War II as Captain, Coldstream Guards and later as Major, Coldstream Guards. Died 12 Jun 1974. Issue: 1 son, 1 daughter. </v>
      </c>
      <c r="AM101" s="105" t="str">
        <f>IF(AND(LEN(H101)&gt;0,ISNA(IF(K101="Boy",VLOOKUP(A101,'Siblings of those BORN Loyd'!$AP$3:$AQ$70,2,FALSE),VLOOKUP(A101,'Children of Female Loyds'!$AR$5:$AS$60,2,FALSE)))),"d.s.p","")</f>
        <v/>
      </c>
      <c r="AN101" s="99" t="str">
        <f t="shared" si="55"/>
        <v>William (1889–1947: #66)</v>
      </c>
      <c r="AO101" s="99" t="str">
        <f t="shared" si="46"/>
        <v>Harry (1861–1938: #44)</v>
      </c>
      <c r="AP101" s="99" t="str">
        <f t="shared" si="47"/>
        <v>William (1821–1885: #23)</v>
      </c>
      <c r="AQ101" s="99" t="str">
        <f t="shared" si="48"/>
        <v>Edward (1780–1863: #8)</v>
      </c>
      <c r="AR101" s="99" t="str">
        <f t="shared" si="49"/>
        <v>William (1729–1800: #1)</v>
      </c>
      <c r="AS101" s="99" t="str">
        <f t="shared" si="50"/>
        <v/>
      </c>
      <c r="AT101" s="99" t="str">
        <f t="shared" si="51"/>
        <v/>
      </c>
      <c r="AU101" s="99" t="str">
        <f t="shared" si="52"/>
        <v/>
      </c>
      <c r="AW101" s="116" t="str">
        <f>VLOOKUP(A101,'Updated Bios &amp; Spouse Details'!$A$1:$J$193,6,FALSE)</f>
        <v>England</v>
      </c>
      <c r="AX101" s="131">
        <f>VLOOKUP($A101,'Loyd List 1-190 - Edit'!$P$2:$AQ$220,AX$1,FALSE)</f>
        <v>99</v>
      </c>
      <c r="AY101" s="116" t="str">
        <f>IF(ISNA(VLOOKUP(A101,'Data check lookup table'!$G$2:$V$73,AY$1,FALSE))," - ",VLOOKUP(A101,'Data check lookup table'!$G$2:$V$73,AY$1,FALSE))</f>
        <v xml:space="preserve"> - </v>
      </c>
      <c r="AZ101" s="147" t="str">
        <f t="shared" si="42"/>
        <v>12/06/1974</v>
      </c>
      <c r="BA101" s="99" t="str">
        <f t="shared" si="56"/>
        <v/>
      </c>
      <c r="BB101" s="99" t="str">
        <f t="shared" si="57"/>
        <v/>
      </c>
      <c r="BI101" s="147" t="s">
        <v>3229</v>
      </c>
    </row>
    <row r="102" spans="1:61" s="99" customFormat="1" ht="85">
      <c r="A102" s="139">
        <f>'Loyd List 1-190 - Edit'!C102</f>
        <v>100</v>
      </c>
      <c r="B102" s="99" t="str">
        <f>VLOOKUP($A102,'Loyd List 1-190 - Edit'!$C$1:$AQ$220,'Book Details - NO EDIT'!B$1,FALSE)</f>
        <v>Christopher</v>
      </c>
      <c r="C102" s="99" t="str">
        <f>IF(VLOOKUP($A102,'Loyd List 1-190 - Edit'!$C$1:$AQ$220,'Book Details - NO EDIT'!C$1,FALSE)="","",VLOOKUP($A102,'Loyd List 1-190 - Edit'!$C$1:$AQ$220,'Book Details - NO EDIT'!C$1,FALSE))</f>
        <v>Lewis</v>
      </c>
      <c r="D102" s="99" t="str">
        <f>IF(VLOOKUP($A102,'Loyd List 1-190 - Edit'!$C$1:$AQ$220,'Book Details - NO EDIT'!D$1,FALSE)="","",VLOOKUP($A102,'Loyd List 1-190 - Edit'!$C$1:$AQ$220,'Book Details - NO EDIT'!D$1,FALSE))</f>
        <v/>
      </c>
      <c r="E102" s="99" t="str">
        <f>IF(VLOOKUP($A102,'Loyd List 1-190 - Edit'!$C$1:$AQ$220,'Book Details - NO EDIT'!E$1,FALSE)="","",VLOOKUP($A102,'Loyd List 1-190 - Edit'!$C$1:$AQ$220,'Book Details - NO EDIT'!E$1,FALSE))</f>
        <v>LOYD</v>
      </c>
      <c r="F102" s="99" t="str">
        <f>IF(VLOOKUP($A102,'Loyd List 1-190 - Edit'!$C$1:$AQ$220,'Book Details - NO EDIT'!F$1,FALSE)="",B102,VLOOKUP($A102,'Loyd List 1-190 - Edit'!$C$1:$AQ$220,'Book Details - NO EDIT'!F$1,FALSE))</f>
        <v>Christopher</v>
      </c>
      <c r="G102" s="140">
        <f>IF(VLOOKUP($A102,'Loyd List 1-190 - Edit'!$C$1:$AQ$220,'Book Details - NO EDIT'!G$1,FALSE)="","",VALUE(VLOOKUP($A102,'Loyd List 1-190 - Edit'!$C$1:$AQ$220,'Book Details - NO EDIT'!G$1,FALSE)))</f>
        <v>1923</v>
      </c>
      <c r="H102" s="140">
        <f>IF(VLOOKUP($A102,'Loyd List 1-190 - Edit'!$C$1:$AQ$220,'Book Details - NO EDIT'!H$1,FALSE)="","",VALUE(VLOOKUP($A102,'Loyd List 1-190 - Edit'!$C$1:$AQ$220,'Book Details - NO EDIT'!H$1,FALSE)))</f>
        <v>2013</v>
      </c>
      <c r="I102" s="141">
        <f>IF(VLOOKUP($A102,'Loyd List 1-190 - Edit'!$C$1:$AQ$220,'Book Details - NO EDIT'!I$1,FALSE)="","",(VLOOKUP($A102,'Loyd List 1-190 - Edit'!$C$1:$AQ$220,'Book Details - NO EDIT'!I$1,FALSE)))</f>
        <v>8553</v>
      </c>
      <c r="J102" s="141" t="str">
        <f>IF(VLOOKUP($A102,'Loyd List 1-190 - Edit'!$C$1:$AQ$220,'Book Details - NO EDIT'!J$1,FALSE)="","",(VLOOKUP($A102,'Loyd List 1-190 - Edit'!$C$1:$AQ$220,'Book Details - NO EDIT'!J$1,FALSE)))</f>
        <v>14/07/2013</v>
      </c>
      <c r="K102" s="100" t="str">
        <f>VLOOKUP($A102,'Loyd List 1-190 - Edit'!$C$1:$AQ$220,'Book Details - NO EDIT'!K$1,FALSE)</f>
        <v>Boy</v>
      </c>
      <c r="L102" s="140">
        <f>VLOOKUP($A102,'Loyd List 1-190 - Edit'!$C$1:$AQ$220,'Book Details - NO EDIT'!L$1,FALSE)</f>
        <v>56</v>
      </c>
      <c r="M102" s="140">
        <f t="shared" si="34"/>
        <v>28</v>
      </c>
      <c r="N102" s="140">
        <f t="shared" si="34"/>
        <v>14</v>
      </c>
      <c r="O102" s="140">
        <f t="shared" si="34"/>
        <v>4</v>
      </c>
      <c r="P102" s="140">
        <f t="shared" si="31"/>
        <v>1</v>
      </c>
      <c r="Q102" s="140">
        <f t="shared" si="31"/>
        <v>0</v>
      </c>
      <c r="R102" s="140" t="str">
        <f t="shared" si="31"/>
        <v/>
      </c>
      <c r="S102" s="140" t="str">
        <f t="shared" si="35"/>
        <v/>
      </c>
      <c r="T102" s="140">
        <f t="shared" si="32"/>
        <v>5</v>
      </c>
      <c r="U102" s="139">
        <f t="shared" si="36"/>
        <v>100</v>
      </c>
      <c r="V102" s="31" t="str">
        <f t="shared" si="37"/>
        <v>Christopher (1923–2013)</v>
      </c>
      <c r="W102" s="31" t="str">
        <f t="shared" si="38"/>
        <v>Christopher (#100)</v>
      </c>
      <c r="X102" s="99" t="str">
        <f t="shared" si="39"/>
        <v>Christopher (1923–2013: #100)</v>
      </c>
      <c r="Y102" s="99" t="str">
        <f t="shared" si="54"/>
        <v>Christopher Lewis LOYD</v>
      </c>
      <c r="Z102" s="99" t="str">
        <f t="shared" si="40"/>
        <v>Tommy (1882–1944: #56)</v>
      </c>
      <c r="AA102" s="99" t="str">
        <f t="shared" si="45"/>
        <v xml:space="preserve">Tommy (1882–1944: #56) The Rev Lewis (1844–1905: #28) Thomas (1812–1857: #14) William (1770–1828: #4) William (1729–1800: #1)   </v>
      </c>
      <c r="AB102" s="142" t="str">
        <f>VLOOKUP(U102,'Siblings of those BORN Loyd'!$A$2:$G$230,7,FALSE)</f>
        <v xml:space="preserve">5 – Anne (1912–2004: #85) John (1913–1943: #87) Martin (1917–1926: #91) Hester (1920–2002: #95)  Catherine (1923–2014: #101)   </v>
      </c>
      <c r="AC102" s="115" t="str">
        <f>IF(ISNA(IF(K102="Boy",VLOOKUP(A102,'Siblings of those BORN Loyd'!$AP$3:$AQ$70,2,FALSE),VLOOKUP(A102,'Children of Female Loyds'!$AR$5:$AT$60,3,FALSE))),AM102,IF(K102="Boy",VLOOKUP(A102,'Siblings of those BORN Loyd'!$AP$3:$AQ$70,2,FALSE),VLOOKUP(A102,'Children of Female Loyds'!$AR$5:$AT$60,3,FALSE)))</f>
        <v>3 - Thomas (1959–: #138); Harriet (1962–: #143); James (1966–: #150)</v>
      </c>
      <c r="AD102" s="97" t="str">
        <f t="shared" si="53"/>
        <v xml:space="preserve">7 - Camilla (1988–: #168); Sophie (1989–: #170); Kit (1993–: #175); William (1996–: #178); Eliza (1999–: #181)   Emily ASHE (1988 - :  #143a) Charles ASHE (1990 - :  #143b)             </v>
      </c>
      <c r="AE102" s="105" t="str">
        <f>IF(ISNA(IF(K102="Boy",VLOOKUP(A102,'Grandchildren of Male Loyds'!$AQ$3:$AS$51,3,FALSE),VLOOKUP(A102,'Grandchildren of Female Loyds'!$AX$5:$AZ$63,3,FALSE))),AM102,IF(K102="Boy",VLOOKUP(A102,'Grandchildren of Male Loyds'!$AQ$3:$AS$51,3,FALSE),VLOOKUP(A102,'Grandchildren of Female Loyds'!$AX$5:$AZ$63,3,FALSE)))</f>
        <v>Camilla (1988–: #168); Sophie (1989–: #170); Kit (1993–: #175); William (1996–: #178); Eliza (1999–: #181)</v>
      </c>
      <c r="AF102" s="105" t="str">
        <f>IF(ISNA(VLOOKUP(A102,'Grandchildren Loyd Daughters'!$BD$5:$BF$50,4,FALSE)),"",VLOOKUP(A102,'Grandchildren Loyd Daughters'!$BD$5:$BF$50,3,FALSE))</f>
        <v xml:space="preserve">Emily ASHE (1988 - :  #143a) Charles ASHE (1990 - :  #143b)             </v>
      </c>
      <c r="AG102" s="129">
        <f>IF(ISNA(VLOOKUP(A102,'Grandchildren of Male Loyds'!$AQ$3:$AR$60,2,FALSE)),0,VLOOKUP(A102,'Grandchildren of Male Loyds'!$AQ$3:$AR$60,2,FALSE))+IF(ISNA(VLOOKUP(A102,'Grandchildren of Female Loyds'!$AX$5:$AY$50,2,FALSE)),0,VLOOKUP(A102,'Grandchildren of Female Loyds'!$AX$5:$AY$50,2,FALSE))+IF(ISNA(VLOOKUP(A102,'Grandchildren Loyd Daughters'!$BD$5:$BE$50,2,FALSE)),0,VLOOKUP(A102,'Grandchildren Loyd Daughters'!$BD$5:$BE$50,2,FALSE))</f>
        <v>7</v>
      </c>
      <c r="AH102" s="129" t="str">
        <f>VLOOKUP($U102,'Loyd List 1-190 - Edit'!$P$3:$AJ$220,21,FALSE)</f>
        <v>Dorothy WILLERT (b. 19 Jan 1886, d. 15 Jan 1966)</v>
      </c>
      <c r="AI102" s="129" t="str">
        <f>VLOOKUP(A102,'Updated Bios &amp; Spouse Details'!$A$1:$J$200,7,FALSE)</f>
        <v>Joanna SMITH-BINGHAM (b. 17 Nov 1935, )</v>
      </c>
      <c r="AJ102" s="130">
        <f>IF(VLOOKUP($A102,'Loyd List 1-190 - Edit'!$C$1:$AQ$220,'Book Details - NO EDIT'!AJ$1,FALSE)="","",(VLOOKUP($A102,'Loyd List 1-190 - Edit'!$C$1:$AQ$220,'Book Details - NO EDIT'!AJ$1,FALSE)))</f>
        <v>21171</v>
      </c>
      <c r="AK102" s="129" t="str">
        <f>VLOOKUP(A102,'Updated Bios &amp; Spouse Details'!$A$1:$J$200,8,FALSE)</f>
        <v>Married Joanna, at St Margaret’s , Westminster, London, only daughter of Captain Arthur Turberville SMITH-BINGHAM of Milburne Manor, Malmesbury, Wiltshire. (Div 1986).</v>
      </c>
      <c r="AL102" s="131" t="str">
        <f>VLOOKUP(A102,'Updated Bios &amp; Spouse Details'!$A$1:$J$200,5,FALSE)</f>
        <v>Christopher lived at Lockinge, Wantage, Oxfordshire, and was the 3rd and youngest son of Arthur (1882–1944: #56). Born 1 Jun 1923 (twin with his youngest sister, Catherine). Educated Eton 1936-42 and Kings College, Cambridge (BA 1949. MA).  Served in World War II 1942-45 as Captain, Coldstream Guards, MC 1944. FRICS, DL 1954, JP 1950, High Sheriff 1961. Member Jockey Club. Trustee of Wallace Collection 1973-90. Died 14 Jul 2013. Issue: 2 sons, 1 daughter.</v>
      </c>
      <c r="AM102" s="105" t="str">
        <f>IF(AND(LEN(H102)&gt;0,ISNA(IF(K102="Boy",VLOOKUP(A102,'Siblings of those BORN Loyd'!$AP$3:$AQ$70,2,FALSE),VLOOKUP(A102,'Children of Female Loyds'!$AR$5:$AS$60,2,FALSE)))),"d.s.p","")</f>
        <v/>
      </c>
      <c r="AN102" s="99" t="str">
        <f t="shared" si="55"/>
        <v>Tommy (1882–1944: #56)</v>
      </c>
      <c r="AO102" s="99" t="str">
        <f t="shared" si="46"/>
        <v>The Rev Lewis (1844–1905: #28)</v>
      </c>
      <c r="AP102" s="99" t="str">
        <f t="shared" si="47"/>
        <v>Thomas (1812–1857: #14)</v>
      </c>
      <c r="AQ102" s="99" t="str">
        <f t="shared" si="48"/>
        <v>William (1770–1828: #4)</v>
      </c>
      <c r="AR102" s="99" t="str">
        <f t="shared" si="49"/>
        <v>William (1729–1800: #1)</v>
      </c>
      <c r="AS102" s="99" t="str">
        <f t="shared" si="50"/>
        <v/>
      </c>
      <c r="AT102" s="99" t="str">
        <f t="shared" si="51"/>
        <v/>
      </c>
      <c r="AU102" s="99" t="str">
        <f t="shared" si="52"/>
        <v/>
      </c>
      <c r="AW102" s="116" t="str">
        <f>VLOOKUP(A102,'Updated Bios &amp; Spouse Details'!$A$1:$J$193,6,FALSE)</f>
        <v>England</v>
      </c>
      <c r="AX102" s="131">
        <f>VLOOKUP($A102,'Loyd List 1-190 - Edit'!$P$2:$AQ$220,AX$1,FALSE)</f>
        <v>100</v>
      </c>
      <c r="AY102" s="116" t="str">
        <f>IF(ISNA(VLOOKUP(A102,'Data check lookup table'!$G$2:$V$73,AY$1,FALSE))," - ",VLOOKUP(A102,'Data check lookup table'!$G$2:$V$73,AY$1,FALSE))</f>
        <v xml:space="preserve"> - </v>
      </c>
      <c r="AZ102" s="147" t="str">
        <f t="shared" si="42"/>
        <v>14/07/2013</v>
      </c>
      <c r="BA102" s="99" t="str">
        <f t="shared" si="56"/>
        <v/>
      </c>
      <c r="BB102" s="99" t="str">
        <f t="shared" si="57"/>
        <v/>
      </c>
      <c r="BI102" s="147" t="s">
        <v>3230</v>
      </c>
    </row>
    <row r="103" spans="1:61" s="99" customFormat="1" ht="119">
      <c r="A103" s="139">
        <f>'Loyd List 1-190 - Edit'!C103</f>
        <v>101</v>
      </c>
      <c r="B103" s="99" t="str">
        <f>VLOOKUP($A103,'Loyd List 1-190 - Edit'!$C$1:$AQ$220,'Book Details - NO EDIT'!B$1,FALSE)</f>
        <v>Catherine</v>
      </c>
      <c r="C103" s="99" t="str">
        <f>IF(VLOOKUP($A103,'Loyd List 1-190 - Edit'!$C$1:$AQ$220,'Book Details - NO EDIT'!C$1,FALSE)="","",VLOOKUP($A103,'Loyd List 1-190 - Edit'!$C$1:$AQ$220,'Book Details - NO EDIT'!C$1,FALSE))</f>
        <v/>
      </c>
      <c r="D103" s="99" t="str">
        <f>IF(VLOOKUP($A103,'Loyd List 1-190 - Edit'!$C$1:$AQ$220,'Book Details - NO EDIT'!D$1,FALSE)="","",VLOOKUP($A103,'Loyd List 1-190 - Edit'!$C$1:$AQ$220,'Book Details - NO EDIT'!D$1,FALSE))</f>
        <v/>
      </c>
      <c r="E103" s="99" t="str">
        <f>IF(VLOOKUP($A103,'Loyd List 1-190 - Edit'!$C$1:$AQ$220,'Book Details - NO EDIT'!E$1,FALSE)="","",VLOOKUP($A103,'Loyd List 1-190 - Edit'!$C$1:$AQ$220,'Book Details - NO EDIT'!E$1,FALSE))</f>
        <v>LOYD</v>
      </c>
      <c r="F103" s="99" t="str">
        <f>IF(VLOOKUP($A103,'Loyd List 1-190 - Edit'!$C$1:$AQ$220,'Book Details - NO EDIT'!F$1,FALSE)="",B103,VLOOKUP($A103,'Loyd List 1-190 - Edit'!$C$1:$AQ$220,'Book Details - NO EDIT'!F$1,FALSE))</f>
        <v>Catherine</v>
      </c>
      <c r="G103" s="140">
        <f>IF(VLOOKUP($A103,'Loyd List 1-190 - Edit'!$C$1:$AQ$220,'Book Details - NO EDIT'!G$1,FALSE)="","",VALUE(VLOOKUP($A103,'Loyd List 1-190 - Edit'!$C$1:$AQ$220,'Book Details - NO EDIT'!G$1,FALSE)))</f>
        <v>1923</v>
      </c>
      <c r="H103" s="140">
        <f>IF(VLOOKUP($A103,'Loyd List 1-190 - Edit'!$C$1:$AQ$220,'Book Details - NO EDIT'!H$1,FALSE)="","",VALUE(VLOOKUP($A103,'Loyd List 1-190 - Edit'!$C$1:$AQ$220,'Book Details - NO EDIT'!H$1,FALSE)))</f>
        <v>2014</v>
      </c>
      <c r="I103" s="141">
        <f>IF(VLOOKUP($A103,'Loyd List 1-190 - Edit'!$C$1:$AQ$220,'Book Details - NO EDIT'!I$1,FALSE)="","",(VLOOKUP($A103,'Loyd List 1-190 - Edit'!$C$1:$AQ$220,'Book Details - NO EDIT'!I$1,FALSE)))</f>
        <v>8553</v>
      </c>
      <c r="J103" s="141" t="str">
        <f>IF(VLOOKUP($A103,'Loyd List 1-190 - Edit'!$C$1:$AQ$220,'Book Details - NO EDIT'!J$1,FALSE)="","",(VLOOKUP($A103,'Loyd List 1-190 - Edit'!$C$1:$AQ$220,'Book Details - NO EDIT'!J$1,FALSE)))</f>
        <v>22/01/2014</v>
      </c>
      <c r="K103" s="100" t="str">
        <f>VLOOKUP($A103,'Loyd List 1-190 - Edit'!$C$1:$AQ$220,'Book Details - NO EDIT'!K$1,FALSE)</f>
        <v>Girl</v>
      </c>
      <c r="L103" s="140">
        <f>VLOOKUP($A103,'Loyd List 1-190 - Edit'!$C$1:$AQ$220,'Book Details - NO EDIT'!L$1,FALSE)</f>
        <v>56</v>
      </c>
      <c r="M103" s="140">
        <f t="shared" si="34"/>
        <v>28</v>
      </c>
      <c r="N103" s="140">
        <f t="shared" si="34"/>
        <v>14</v>
      </c>
      <c r="O103" s="140">
        <f t="shared" si="34"/>
        <v>4</v>
      </c>
      <c r="P103" s="140">
        <f t="shared" si="31"/>
        <v>1</v>
      </c>
      <c r="Q103" s="140">
        <f t="shared" si="31"/>
        <v>0</v>
      </c>
      <c r="R103" s="140" t="str">
        <f t="shared" si="31"/>
        <v/>
      </c>
      <c r="S103" s="140" t="str">
        <f t="shared" si="35"/>
        <v/>
      </c>
      <c r="T103" s="140">
        <f t="shared" si="32"/>
        <v>5</v>
      </c>
      <c r="U103" s="139">
        <f t="shared" si="36"/>
        <v>101</v>
      </c>
      <c r="V103" s="31" t="str">
        <f t="shared" si="37"/>
        <v>Catherine (1923–2014)</v>
      </c>
      <c r="W103" s="31" t="str">
        <f t="shared" si="38"/>
        <v>Catherine (#101)</v>
      </c>
      <c r="X103" s="99" t="str">
        <f t="shared" si="39"/>
        <v>Catherine (1923–2014: #101)</v>
      </c>
      <c r="Y103" s="99" t="str">
        <f t="shared" si="54"/>
        <v>Catherine LOYD</v>
      </c>
      <c r="Z103" s="99" t="str">
        <f t="shared" si="40"/>
        <v>Tommy (1882–1944: #56)</v>
      </c>
      <c r="AA103" s="99" t="str">
        <f t="shared" si="45"/>
        <v xml:space="preserve">Tommy (1882–1944: #56) The Rev Lewis (1844–1905: #28) Thomas (1812–1857: #14) William (1770–1828: #4) William (1729–1800: #1)   </v>
      </c>
      <c r="AB103" s="142" t="str">
        <f>VLOOKUP(U103,'Siblings of those BORN Loyd'!$A$2:$G$230,7,FALSE)</f>
        <v xml:space="preserve">5 – Anne (1912–2004: #85) John (1913–1943: #87) Martin (1917–1926: #91) Hester (1920–2002: #95) Christopher (1923–2013: #100)    </v>
      </c>
      <c r="AC103" s="115" t="str">
        <f>IF(ISNA(IF(K103="Boy",VLOOKUP(A103,'Siblings of those BORN Loyd'!$AP$3:$AQ$70,2,FALSE),VLOOKUP(A103,'Children of Female Loyds'!$AR$5:$AT$60,3,FALSE))),AM103,IF(K103="Boy",VLOOKUP(A103,'Siblings of those BORN Loyd'!$AP$3:$AQ$70,2,FALSE),VLOOKUP(A103,'Children of Female Loyds'!$AR$5:$AT$60,3,FALSE)))</f>
        <v xml:space="preserve">6 - Lady Selina MEADE (1950 - : #101a) Lady Mary MEADE (1952 - : #101b) Lady Julia MEADE (1953 - : #101c) Lady Laura MEADE (1957 - : #101d) Lady Katherine MEADE (1959 - : #101e) Lady Sophia MEADE (1963 - : #101f)  </v>
      </c>
      <c r="AD103" s="97" t="str">
        <f t="shared" si="53"/>
        <v xml:space="preserve">16 - Lawrence TIMPSON (1974 -: #101aa) Catherine TIMPSON (1979 -: #101ab) Viscount John LOWRY-CORRY (1985 -: #101ba) The Hon Montagu LOWRY-CORRY (1989 -: #101bb) Lady Martha LOWRY-CORRY (1992 -: #101bc) Milo HISCOX (1987 -: #101ca) Henry HISCOX (1989 -: #101cb) Sydney HISCOX (1993 -: #101cc) Nicholas REID (1982 -: #101da) Amelia REID (1984 -: #101db) Clementine REID (1988 -: #101dc) Thomas WILLS (1991 -: #101ea) George WILLS (1993 -: #101eb) Laura WILLS (1996 -: #101ec) Richard HEYWOOD (1993 -: #101fa) Alec HEYWOOD (1996 -: #101fb)   </v>
      </c>
      <c r="AE103" s="105" t="str">
        <f>IF(ISNA(IF(K103="Boy",VLOOKUP(A103,'Grandchildren of Male Loyds'!$AQ$3:$AS$51,3,FALSE),VLOOKUP(A103,'Grandchildren of Female Loyds'!$AX$5:$AZ$63,3,FALSE))),AM103,IF(K103="Boy",VLOOKUP(A103,'Grandchildren of Male Loyds'!$AQ$3:$AS$51,3,FALSE),VLOOKUP(A103,'Grandchildren of Female Loyds'!$AX$5:$AZ$63,3,FALSE)))</f>
        <v>Lawrence TIMPSON (1974 -: #101aa) Catherine TIMPSON (1979 -: #101ab) Viscount John LOWRY-CORRY (1985 -: #101ba) The Hon Montagu LOWRY-CORRY (1989 -: #101bb) Lady Martha LOWRY-CORRY (1992 -: #101bc) Milo HISCOX (1987 -: #101ca) Henry HISCOX (1989 -: #101cb) Sydney HISCOX (1993 -: #101cc) Nicholas REID (1982 -: #101da) Amelia REID (1984 -: #101db) Clementine REID (1988 -: #101dc) Thomas WILLS (1991 -: #101ea) George WILLS (1993 -: #101eb) Laura WILLS (1996 -: #101ec) Richard HEYWOOD (1993 -: #101fa) Alec HEYWOOD (1996 -: #101fb)</v>
      </c>
      <c r="AF103" s="105" t="str">
        <f>IF(ISNA(VLOOKUP(A103,'Grandchildren Loyd Daughters'!$BD$5:$BF$50,4,FALSE)),"",VLOOKUP(A103,'Grandchildren Loyd Daughters'!$BD$5:$BF$50,3,FALSE))</f>
        <v/>
      </c>
      <c r="AG103" s="129">
        <f>IF(ISNA(VLOOKUP(A103,'Grandchildren of Male Loyds'!$AQ$3:$AR$60,2,FALSE)),0,VLOOKUP(A103,'Grandchildren of Male Loyds'!$AQ$3:$AR$60,2,FALSE))+IF(ISNA(VLOOKUP(A103,'Grandchildren of Female Loyds'!$AX$5:$AY$50,2,FALSE)),0,VLOOKUP(A103,'Grandchildren of Female Loyds'!$AX$5:$AY$50,2,FALSE))+IF(ISNA(VLOOKUP(A103,'Grandchildren Loyd Daughters'!$BD$5:$BE$50,2,FALSE)),0,VLOOKUP(A103,'Grandchildren Loyd Daughters'!$BD$5:$BE$50,2,FALSE))</f>
        <v>16</v>
      </c>
      <c r="AH103" s="129" t="str">
        <f>VLOOKUP($U103,'Loyd List 1-190 - Edit'!$P$3:$AJ$220,21,FALSE)</f>
        <v>Dorothy WILLERT (b. 19 Jan 1886, d. 15 Jan 1966)</v>
      </c>
      <c r="AI103" s="129" t="str">
        <f>VLOOKUP(A103,'Updated Bios &amp; Spouse Details'!$A$1:$J$200,7,FALSE)</f>
        <v>John Charles Edmund Carson MEADE (b. 6 Jun 1914, d. 30 Mar 1989) 6th Earl of CLANWILLIAM</v>
      </c>
      <c r="AJ103" s="130">
        <f>IF(VLOOKUP($A103,'Loyd List 1-190 - Edit'!$C$1:$AQ$220,'Book Details - NO EDIT'!AJ$1,FALSE)="","",(VLOOKUP($A103,'Loyd List 1-190 - Edit'!$C$1:$AQ$220,'Book Details - NO EDIT'!AJ$1,FALSE)))</f>
        <v>17868</v>
      </c>
      <c r="AK103" s="129" t="str">
        <f>VLOOKUP(A103,'Updated Bios &amp; Spouse Details'!$A$1:$J$200,8,FALSE)</f>
        <v>Married John, 6th Earl of CLANWILLIAM D.L. of Montalto, Ballynalinch, co Down and of Flat 7, 58 Cadogan Square, London SW1.</v>
      </c>
      <c r="AL103" s="131" t="str">
        <f>VLOOKUP(A103,'Updated Bios &amp; Spouse Details'!$A$1:$J$200,5,FALSE)</f>
        <v>Catherine was the 3rd and youngest daughter of Arthur (1882–1944: #56). Born 1 Jun 1923 (twin with her youngest brother, Christopher). Died 22 Jan 2014.Issue: 6 daughters</v>
      </c>
      <c r="AM103" s="105" t="str">
        <f>IF(AND(LEN(H103)&gt;0,ISNA(IF(K103="Boy",VLOOKUP(A103,'Siblings of those BORN Loyd'!$AP$3:$AQ$70,2,FALSE),VLOOKUP(A103,'Children of Female Loyds'!$AR$5:$AS$60,2,FALSE)))),"d.s.p","")</f>
        <v/>
      </c>
      <c r="AN103" s="99" t="str">
        <f t="shared" si="55"/>
        <v>Tommy (1882–1944: #56)</v>
      </c>
      <c r="AO103" s="99" t="str">
        <f t="shared" si="46"/>
        <v>The Rev Lewis (1844–1905: #28)</v>
      </c>
      <c r="AP103" s="99" t="str">
        <f t="shared" si="47"/>
        <v>Thomas (1812–1857: #14)</v>
      </c>
      <c r="AQ103" s="99" t="str">
        <f t="shared" si="48"/>
        <v>William (1770–1828: #4)</v>
      </c>
      <c r="AR103" s="99" t="str">
        <f t="shared" si="49"/>
        <v>William (1729–1800: #1)</v>
      </c>
      <c r="AS103" s="99" t="str">
        <f t="shared" si="50"/>
        <v/>
      </c>
      <c r="AT103" s="99" t="str">
        <f t="shared" si="51"/>
        <v/>
      </c>
      <c r="AU103" s="99" t="str">
        <f t="shared" si="52"/>
        <v/>
      </c>
      <c r="AW103" s="116" t="str">
        <f>VLOOKUP(A103,'Updated Bios &amp; Spouse Details'!$A$1:$J$193,6,FALSE)</f>
        <v>England</v>
      </c>
      <c r="AX103" s="131">
        <f>VLOOKUP($A103,'Loyd List 1-190 - Edit'!$P$2:$AQ$220,AX$1,FALSE)</f>
        <v>101</v>
      </c>
      <c r="AY103" s="116" t="str">
        <f>IF(ISNA(VLOOKUP(A103,'Data check lookup table'!$G$2:$V$73,AY$1,FALSE))," - ",VLOOKUP(A103,'Data check lookup table'!$G$2:$V$73,AY$1,FALSE))</f>
        <v xml:space="preserve"> - </v>
      </c>
      <c r="AZ103" s="147" t="str">
        <f t="shared" si="42"/>
        <v>22/01/2014</v>
      </c>
      <c r="BA103" s="99" t="str">
        <f t="shared" si="56"/>
        <v/>
      </c>
      <c r="BB103" s="99" t="str">
        <f t="shared" si="57"/>
        <v/>
      </c>
      <c r="BI103" s="147" t="s">
        <v>3231</v>
      </c>
    </row>
    <row r="104" spans="1:61" s="99" customFormat="1" ht="119">
      <c r="A104" s="139">
        <f>'Loyd List 1-190 - Edit'!C104</f>
        <v>102</v>
      </c>
      <c r="B104" s="99" t="str">
        <f>VLOOKUP($A104,'Loyd List 1-190 - Edit'!$C$1:$AQ$220,'Book Details - NO EDIT'!B$1,FALSE)</f>
        <v>Zelda</v>
      </c>
      <c r="C104" s="99" t="str">
        <f>IF(VLOOKUP($A104,'Loyd List 1-190 - Edit'!$C$1:$AQ$220,'Book Details - NO EDIT'!C$1,FALSE)="","",VLOOKUP($A104,'Loyd List 1-190 - Edit'!$C$1:$AQ$220,'Book Details - NO EDIT'!C$1,FALSE))</f>
        <v>Mary</v>
      </c>
      <c r="D104" s="99" t="str">
        <f>IF(VLOOKUP($A104,'Loyd List 1-190 - Edit'!$C$1:$AQ$220,'Book Details - NO EDIT'!D$1,FALSE)="","",VLOOKUP($A104,'Loyd List 1-190 - Edit'!$C$1:$AQ$220,'Book Details - NO EDIT'!D$1,FALSE))</f>
        <v/>
      </c>
      <c r="E104" s="99" t="str">
        <f>IF(VLOOKUP($A104,'Loyd List 1-190 - Edit'!$C$1:$AQ$220,'Book Details - NO EDIT'!E$1,FALSE)="","",VLOOKUP($A104,'Loyd List 1-190 - Edit'!$C$1:$AQ$220,'Book Details - NO EDIT'!E$1,FALSE))</f>
        <v>LOYD</v>
      </c>
      <c r="F104" s="99" t="str">
        <f>IF(VLOOKUP($A104,'Loyd List 1-190 - Edit'!$C$1:$AQ$220,'Book Details - NO EDIT'!F$1,FALSE)="",B104,VLOOKUP($A104,'Loyd List 1-190 - Edit'!$C$1:$AQ$220,'Book Details - NO EDIT'!F$1,FALSE))</f>
        <v>Zelda</v>
      </c>
      <c r="G104" s="140">
        <f>IF(VLOOKUP($A104,'Loyd List 1-190 - Edit'!$C$1:$AQ$220,'Book Details - NO EDIT'!G$1,FALSE)="","",VALUE(VLOOKUP($A104,'Loyd List 1-190 - Edit'!$C$1:$AQ$220,'Book Details - NO EDIT'!G$1,FALSE)))</f>
        <v>1923</v>
      </c>
      <c r="H104" s="140">
        <f>IF(VLOOKUP($A104,'Loyd List 1-190 - Edit'!$C$1:$AQ$220,'Book Details - NO EDIT'!H$1,FALSE)="","",VALUE(VLOOKUP($A104,'Loyd List 1-190 - Edit'!$C$1:$AQ$220,'Book Details - NO EDIT'!H$1,FALSE)))</f>
        <v>2014</v>
      </c>
      <c r="I104" s="141">
        <f>IF(VLOOKUP($A104,'Loyd List 1-190 - Edit'!$C$1:$AQ$220,'Book Details - NO EDIT'!I$1,FALSE)="","",(VLOOKUP($A104,'Loyd List 1-190 - Edit'!$C$1:$AQ$220,'Book Details - NO EDIT'!I$1,FALSE)))</f>
        <v>8745</v>
      </c>
      <c r="J104" s="141" t="str">
        <f>IF(VLOOKUP($A104,'Loyd List 1-190 - Edit'!$C$1:$AQ$220,'Book Details - NO EDIT'!J$1,FALSE)="","",(VLOOKUP($A104,'Loyd List 1-190 - Edit'!$C$1:$AQ$220,'Book Details - NO EDIT'!J$1,FALSE)))</f>
        <v>30/04/2014</v>
      </c>
      <c r="K104" s="100" t="str">
        <f>VLOOKUP($A104,'Loyd List 1-190 - Edit'!$C$1:$AQ$220,'Book Details - NO EDIT'!K$1,FALSE)</f>
        <v>Girl</v>
      </c>
      <c r="L104" s="140">
        <f>VLOOKUP($A104,'Loyd List 1-190 - Edit'!$C$1:$AQ$220,'Book Details - NO EDIT'!L$1,FALSE)</f>
        <v>62</v>
      </c>
      <c r="M104" s="140">
        <f t="shared" si="34"/>
        <v>30</v>
      </c>
      <c r="N104" s="140">
        <f t="shared" si="34"/>
        <v>14</v>
      </c>
      <c r="O104" s="140">
        <f t="shared" si="34"/>
        <v>4</v>
      </c>
      <c r="P104" s="140">
        <f t="shared" si="31"/>
        <v>1</v>
      </c>
      <c r="Q104" s="140">
        <f t="shared" si="31"/>
        <v>0</v>
      </c>
      <c r="R104" s="140" t="str">
        <f t="shared" si="31"/>
        <v/>
      </c>
      <c r="S104" s="140" t="str">
        <f t="shared" si="35"/>
        <v/>
      </c>
      <c r="T104" s="140">
        <f t="shared" si="32"/>
        <v>5</v>
      </c>
      <c r="U104" s="139">
        <f t="shared" si="36"/>
        <v>102</v>
      </c>
      <c r="V104" s="31" t="str">
        <f t="shared" si="37"/>
        <v>Zelda (1923–2014)</v>
      </c>
      <c r="W104" s="31" t="str">
        <f t="shared" si="38"/>
        <v>Zelda (#102)</v>
      </c>
      <c r="X104" s="99" t="str">
        <f t="shared" si="39"/>
        <v>Zelda (1923–2014: #102)</v>
      </c>
      <c r="Y104" s="99" t="str">
        <f t="shared" si="54"/>
        <v>Zelda Mary LOYD</v>
      </c>
      <c r="Z104" s="99" t="str">
        <f t="shared" si="40"/>
        <v>Bobby (1887–1977: #62)</v>
      </c>
      <c r="AA104" s="99" t="str">
        <f t="shared" si="45"/>
        <v xml:space="preserve">Bobby (1887–1977: #62) Archie (1847–1922: #30) Thomas (1812–1857: #14) William (1770–1828: #4) William (1729–1800: #1)   </v>
      </c>
      <c r="AB104" s="142" t="str">
        <f>VLOOKUP(U104,'Siblings of those BORN Loyd'!$A$2:$G$230,7,FALSE)</f>
        <v>0 – Only chlid</v>
      </c>
      <c r="AC104" s="115" t="str">
        <f>IF(ISNA(IF(K104="Boy",VLOOKUP(A104,'Siblings of those BORN Loyd'!$AP$3:$AQ$70,2,FALSE),VLOOKUP(A104,'Children of Female Loyds'!$AR$5:$AT$60,3,FALSE))),AM104,IF(K104="Boy",VLOOKUP(A104,'Siblings of those BORN Loyd'!$AP$3:$AQ$70,2,FALSE),VLOOKUP(A104,'Children of Female Loyds'!$AR$5:$AT$60,3,FALSE)))</f>
        <v xml:space="preserve">3 - Tess DUNLOP (1956 - : #102a) Fergus DUNLOP (1958 - : #102b) Celina DUNLOP (1960 - : #102c)     </v>
      </c>
      <c r="AD104" s="97" t="str">
        <f t="shared" si="53"/>
        <v xml:space="preserve">2 - Ella DUNLOP (1998 -: #102ba) John DUNLOP (2000 -0: #102bb)                 </v>
      </c>
      <c r="AE104" s="105" t="str">
        <f>IF(ISNA(IF(K104="Boy",VLOOKUP(A104,'Grandchildren of Male Loyds'!$AQ$3:$AS$51,3,FALSE),VLOOKUP(A104,'Grandchildren of Female Loyds'!$AX$5:$AZ$63,3,FALSE))),AM104,IF(K104="Boy",VLOOKUP(A104,'Grandchildren of Male Loyds'!$AQ$3:$AS$51,3,FALSE),VLOOKUP(A104,'Grandchildren of Female Loyds'!$AX$5:$AZ$63,3,FALSE)))</f>
        <v xml:space="preserve">Ella DUNLOP (1998 -: #102ba) John DUNLOP (2000 -0: #102bb)              </v>
      </c>
      <c r="AF104" s="105" t="str">
        <f>IF(ISNA(VLOOKUP(A104,'Grandchildren Loyd Daughters'!$BD$5:$BF$50,4,FALSE)),"",VLOOKUP(A104,'Grandchildren Loyd Daughters'!$BD$5:$BF$50,3,FALSE))</f>
        <v/>
      </c>
      <c r="AG104" s="129">
        <f>IF(ISNA(VLOOKUP(A104,'Grandchildren of Male Loyds'!$AQ$3:$AR$60,2,FALSE)),0,VLOOKUP(A104,'Grandchildren of Male Loyds'!$AQ$3:$AR$60,2,FALSE))+IF(ISNA(VLOOKUP(A104,'Grandchildren of Female Loyds'!$AX$5:$AY$50,2,FALSE)),0,VLOOKUP(A104,'Grandchildren of Female Loyds'!$AX$5:$AY$50,2,FALSE))+IF(ISNA(VLOOKUP(A104,'Grandchildren Loyd Daughters'!$BD$5:$BE$50,2,FALSE)),0,VLOOKUP(A104,'Grandchildren Loyd Daughters'!$BD$5:$BE$50,2,FALSE))</f>
        <v>2</v>
      </c>
      <c r="AH104" s="129" t="str">
        <f>VLOOKUP($U104,'Loyd List 1-190 - Edit'!$P$3:$AJ$220,21,FALSE)</f>
        <v>Olive Mary GLADSTONE (b. 7 May 1893, d. 7 Aug 1977)</v>
      </c>
      <c r="AI104" s="129" t="str">
        <f>VLOOKUP(A104,'Updated Bios &amp; Spouse Details'!$A$1:$J$200,7,FALSE)</f>
        <v>Malcolm Coit DUNLOP (b. 17 Feb 1927, )</v>
      </c>
      <c r="AJ104" s="130">
        <f>IF(VLOOKUP($A104,'Loyd List 1-190 - Edit'!$C$1:$AQ$220,'Book Details - NO EDIT'!AJ$1,FALSE)="","",(VLOOKUP($A104,'Loyd List 1-190 - Edit'!$C$1:$AQ$220,'Book Details - NO EDIT'!AJ$1,FALSE)))</f>
        <v>19810</v>
      </c>
      <c r="AK104" s="129" t="str">
        <f>VLOOKUP(A104,'Updated Bios &amp; Spouse Details'!$A$1:$J$200,8,FALSE)</f>
        <v>Married at St. Mark’s, North Audley Street, London, Malcolm (OBE 1997) of Ravenswood, 81 Gregories Road, Beaconsfield, Buckinghamshire, HP9 1HN, son of Andrew Fergus DUNLOP OBE of Purton Corner, Purton Lane, Farnham Royal, Buckinghamshire.</v>
      </c>
      <c r="AL104" s="131" t="str">
        <f>VLOOKUP(A104,'Updated Bios &amp; Spouse Details'!$A$1:$J$200,5,FALSE)</f>
        <v>Zelda was the only child of Robert (1887–1977: #62). Born 10 Dec 1923 at Weymouth Street, London. Baptised 9 Feb 1924 at St Anne’s, Bowden Hill, Nr. Chippenham, Wiltshire. Educated by governesses at home, Kings Walden, Kings Road, Windsor until aged 17; Domestic Science at Errolston, Ascot (1941). Court circle at Windsor Castle with the two princesses, 1941-45, e.g. Princess Elizabeth’s 18th birthday ball 5th May 1944. British Red Cross Society: nursing at Queensmead, Windsor (1942-45) - rehabilitation for bombed-out civilians and returning Allied PoWs; administrative - Foreign Relations Department, Wimbourne House, London SW1 (1945-47). Travelled with her father to USA and Canada 1947, Brazil and the Argentine 1949. Inherited Bowden Park, north Wiltshire, her mother’s childhood home, 1955 and sold. Patron, St Anne’s, Bowden Hill 1962-2014. Died 30 April 2014, Beaconsfield, and buried at St Anne’s. Issue: 2 daughters, 1 son.</v>
      </c>
      <c r="AM104" s="105" t="str">
        <f>IF(AND(LEN(H104)&gt;0,ISNA(IF(K104="Boy",VLOOKUP(A104,'Siblings of those BORN Loyd'!$AP$3:$AQ$70,2,FALSE),VLOOKUP(A104,'Children of Female Loyds'!$AR$5:$AS$60,2,FALSE)))),"d.s.p","")</f>
        <v/>
      </c>
      <c r="AN104" s="99" t="str">
        <f t="shared" si="55"/>
        <v>Bobby (1887–1977: #62)</v>
      </c>
      <c r="AO104" s="99" t="str">
        <f t="shared" si="46"/>
        <v>Archie (1847–1922: #30)</v>
      </c>
      <c r="AP104" s="99" t="str">
        <f t="shared" si="47"/>
        <v>Thomas (1812–1857: #14)</v>
      </c>
      <c r="AQ104" s="99" t="str">
        <f t="shared" si="48"/>
        <v>William (1770–1828: #4)</v>
      </c>
      <c r="AR104" s="99" t="str">
        <f t="shared" si="49"/>
        <v>William (1729–1800: #1)</v>
      </c>
      <c r="AS104" s="99" t="str">
        <f t="shared" si="50"/>
        <v/>
      </c>
      <c r="AT104" s="99" t="str">
        <f t="shared" si="51"/>
        <v/>
      </c>
      <c r="AU104" s="99" t="str">
        <f t="shared" si="52"/>
        <v/>
      </c>
      <c r="AW104" s="116" t="str">
        <f>VLOOKUP(A104,'Updated Bios &amp; Spouse Details'!$A$1:$J$193,6,FALSE)</f>
        <v>England</v>
      </c>
      <c r="AX104" s="131">
        <f>VLOOKUP($A104,'Loyd List 1-190 - Edit'!$P$2:$AQ$220,AX$1,FALSE)</f>
        <v>102</v>
      </c>
      <c r="AY104" s="116" t="str">
        <f>IF(ISNA(VLOOKUP(A104,'Data check lookup table'!$G$2:$V$73,AY$1,FALSE))," - ",VLOOKUP(A104,'Data check lookup table'!$G$2:$V$73,AY$1,FALSE))</f>
        <v>tessdunlop@gmail.com; celinadunlop@btinternet.com</v>
      </c>
      <c r="AZ104" s="147" t="str">
        <f t="shared" si="42"/>
        <v>30/04/2014</v>
      </c>
      <c r="BA104" s="99" t="str">
        <f t="shared" si="56"/>
        <v/>
      </c>
      <c r="BB104" s="99" t="str">
        <f t="shared" si="57"/>
        <v/>
      </c>
      <c r="BI104" s="147" t="s">
        <v>3232</v>
      </c>
    </row>
    <row r="105" spans="1:61" s="99" customFormat="1" ht="119">
      <c r="A105" s="139">
        <f>'Loyd List 1-190 - Edit'!C105</f>
        <v>103</v>
      </c>
      <c r="B105" s="99" t="str">
        <f>VLOOKUP($A105,'Loyd List 1-190 - Edit'!$C$1:$AQ$220,'Book Details - NO EDIT'!B$1,FALSE)</f>
        <v>Lavinia</v>
      </c>
      <c r="C105" s="99" t="str">
        <f>IF(VLOOKUP($A105,'Loyd List 1-190 - Edit'!$C$1:$AQ$220,'Book Details - NO EDIT'!C$1,FALSE)="","",VLOOKUP($A105,'Loyd List 1-190 - Edit'!$C$1:$AQ$220,'Book Details - NO EDIT'!C$1,FALSE))</f>
        <v>Gertrude</v>
      </c>
      <c r="D105" s="99" t="str">
        <f>IF(VLOOKUP($A105,'Loyd List 1-190 - Edit'!$C$1:$AQ$220,'Book Details - NO EDIT'!D$1,FALSE)="","",VLOOKUP($A105,'Loyd List 1-190 - Edit'!$C$1:$AQ$220,'Book Details - NO EDIT'!D$1,FALSE))</f>
        <v>Georgina</v>
      </c>
      <c r="E105" s="99" t="str">
        <f>IF(VLOOKUP($A105,'Loyd List 1-190 - Edit'!$C$1:$AQ$220,'Book Details - NO EDIT'!E$1,FALSE)="","",VLOOKUP($A105,'Loyd List 1-190 - Edit'!$C$1:$AQ$220,'Book Details - NO EDIT'!E$1,FALSE))</f>
        <v>LOYD</v>
      </c>
      <c r="F105" s="99" t="str">
        <f>IF(VLOOKUP($A105,'Loyd List 1-190 - Edit'!$C$1:$AQ$220,'Book Details - NO EDIT'!F$1,FALSE)="",B105,VLOOKUP($A105,'Loyd List 1-190 - Edit'!$C$1:$AQ$220,'Book Details - NO EDIT'!F$1,FALSE))</f>
        <v>Lavinia</v>
      </c>
      <c r="G105" s="140">
        <f>IF(VLOOKUP($A105,'Loyd List 1-190 - Edit'!$C$1:$AQ$220,'Book Details - NO EDIT'!G$1,FALSE)="","",VALUE(VLOOKUP($A105,'Loyd List 1-190 - Edit'!$C$1:$AQ$220,'Book Details - NO EDIT'!G$1,FALSE)))</f>
        <v>1923</v>
      </c>
      <c r="H105" s="140">
        <f>IF(VLOOKUP($A105,'Loyd List 1-190 - Edit'!$C$1:$AQ$220,'Book Details - NO EDIT'!H$1,FALSE)="","",VALUE(VLOOKUP($A105,'Loyd List 1-190 - Edit'!$C$1:$AQ$220,'Book Details - NO EDIT'!H$1,FALSE)))</f>
        <v>1995</v>
      </c>
      <c r="I105" s="141">
        <f>IF(VLOOKUP($A105,'Loyd List 1-190 - Edit'!$C$1:$AQ$220,'Book Details - NO EDIT'!I$1,FALSE)="","",(VLOOKUP($A105,'Loyd List 1-190 - Edit'!$C$1:$AQ$220,'Book Details - NO EDIT'!I$1,FALSE)))</f>
        <v>8756</v>
      </c>
      <c r="J105" s="141" t="str">
        <f>IF(VLOOKUP($A105,'Loyd List 1-190 - Edit'!$C$1:$AQ$220,'Book Details - NO EDIT'!J$1,FALSE)="","",(VLOOKUP($A105,'Loyd List 1-190 - Edit'!$C$1:$AQ$220,'Book Details - NO EDIT'!J$1,FALSE)))</f>
        <v>12/12/1995</v>
      </c>
      <c r="K105" s="100" t="str">
        <f>VLOOKUP($A105,'Loyd List 1-190 - Edit'!$C$1:$AQ$220,'Book Details - NO EDIT'!K$1,FALSE)</f>
        <v>Girl</v>
      </c>
      <c r="L105" s="140">
        <f>VLOOKUP($A105,'Loyd List 1-190 - Edit'!$C$1:$AQ$220,'Book Details - NO EDIT'!L$1,FALSE)</f>
        <v>72</v>
      </c>
      <c r="M105" s="140">
        <f t="shared" si="34"/>
        <v>44</v>
      </c>
      <c r="N105" s="140">
        <f t="shared" si="34"/>
        <v>23</v>
      </c>
      <c r="O105" s="140">
        <f t="shared" si="34"/>
        <v>8</v>
      </c>
      <c r="P105" s="140">
        <f t="shared" si="31"/>
        <v>1</v>
      </c>
      <c r="Q105" s="140">
        <f t="shared" si="31"/>
        <v>0</v>
      </c>
      <c r="R105" s="140" t="str">
        <f t="shared" si="31"/>
        <v/>
      </c>
      <c r="S105" s="140" t="str">
        <f t="shared" si="35"/>
        <v/>
      </c>
      <c r="T105" s="140">
        <f t="shared" si="32"/>
        <v>5</v>
      </c>
      <c r="U105" s="139">
        <f t="shared" si="36"/>
        <v>103</v>
      </c>
      <c r="V105" s="31" t="str">
        <f t="shared" si="37"/>
        <v>Lavinia (1923–1995)</v>
      </c>
      <c r="W105" s="31" t="str">
        <f t="shared" si="38"/>
        <v>Lavinia (#103)</v>
      </c>
      <c r="X105" s="99" t="str">
        <f t="shared" si="39"/>
        <v>Lavinia (1923–1995: #103)</v>
      </c>
      <c r="Y105" s="99" t="str">
        <f t="shared" si="54"/>
        <v>Lavinia Gertrude Georgina LOYD</v>
      </c>
      <c r="Z105" s="99" t="str">
        <f t="shared" si="40"/>
        <v>Charles (1891–1973: #72)</v>
      </c>
      <c r="AA105" s="99" t="str">
        <f t="shared" si="45"/>
        <v xml:space="preserve">Charles (1891–1973: #72) Harry (1861–1938: #44) William (1821–1885: #23) Edward (1780–1863: #8) William (1729–1800: #1)   </v>
      </c>
      <c r="AB105" s="142" t="str">
        <f>VLOOKUP(U105,'Siblings of those BORN Loyd'!$A$2:$G$230,7,FALSE)</f>
        <v xml:space="preserve">1 – Sir Julian (1926–2018: #104)       </v>
      </c>
      <c r="AC105" s="115" t="str">
        <f>IF(ISNA(IF(K105="Boy",VLOOKUP(A105,'Siblings of those BORN Loyd'!$AP$3:$AQ$70,2,FALSE),VLOOKUP(A105,'Children of Female Loyds'!$AR$5:$AT$60,3,FALSE))),AM105,IF(K105="Boy",VLOOKUP(A105,'Siblings of those BORN Loyd'!$AP$3:$AQ$70,2,FALSE),VLOOKUP(A105,'Children of Female Loyds'!$AR$5:$AT$60,3,FALSE)))</f>
        <v xml:space="preserve">4 - James GORE-BROWNE (1947 - : #103a) Georgina GORE-BROWNE (1949 - : #103b) David GORE-BROWNE (1952 - 2012: #103c) Patrick GORE-BROWNE (1956 - : #103d)    </v>
      </c>
      <c r="AD105" s="97" t="str">
        <f t="shared" si="53"/>
        <v xml:space="preserve">13 - Marina GORE-BROWNE (1984 -: #103aa) Frederick GORE-BROWNE (1987 -: #103ab) Harry GORE-BROWNE (1988 -: #103ac) Edward PILKINGTON (1971 -: #103ba) Lucy PILKINGTON (1973 -: #103bb) Nicholas PILKINGTON (1976 -: #103bc) Claire PILKINGTON (1979 -: #103bd) William GORE-BROWNE (1988 -: #103ca) Heather GORE-BROWNE (1990 -: #103cb) Rose GORE-BROWNE (1991 -: #103cc) Sophie GORE-BROWNE (1985 -: #103da) Elizabeth GORE-BROWNE (1988 -: #103db) Georgina GORE-BROWNE (1992 -: #103dc)      </v>
      </c>
      <c r="AE105" s="105" t="str">
        <f>IF(ISNA(IF(K105="Boy",VLOOKUP(A105,'Grandchildren of Male Loyds'!$AQ$3:$AS$51,3,FALSE),VLOOKUP(A105,'Grandchildren of Female Loyds'!$AX$5:$AZ$63,3,FALSE))),AM105,IF(K105="Boy",VLOOKUP(A105,'Grandchildren of Male Loyds'!$AQ$3:$AS$51,3,FALSE),VLOOKUP(A105,'Grandchildren of Female Loyds'!$AX$5:$AZ$63,3,FALSE)))</f>
        <v xml:space="preserve">Marina GORE-BROWNE (1984 -: #103aa) Frederick GORE-BROWNE (1987 -: #103ab) Harry GORE-BROWNE (1988 -: #103ac) Edward PILKINGTON (1971 -: #103ba) Lucy PILKINGTON (1973 -: #103bb) Nicholas PILKINGTON (1976 -: #103bc) Claire PILKINGTON (1979 -: #103bd) William GORE-BROWNE (1988 -: #103ca) Heather GORE-BROWNE (1990 -: #103cb) Rose GORE-BROWNE (1991 -: #103cc) Sophie GORE-BROWNE (1985 -: #103da) Elizabeth GORE-BROWNE (1988 -: #103db) Georgina GORE-BROWNE (1992 -: #103dc)   </v>
      </c>
      <c r="AF105" s="105" t="str">
        <f>IF(ISNA(VLOOKUP(A105,'Grandchildren Loyd Daughters'!$BD$5:$BF$50,4,FALSE)),"",VLOOKUP(A105,'Grandchildren Loyd Daughters'!$BD$5:$BF$50,3,FALSE))</f>
        <v/>
      </c>
      <c r="AG105" s="129">
        <f>IF(ISNA(VLOOKUP(A105,'Grandchildren of Male Loyds'!$AQ$3:$AR$60,2,FALSE)),0,VLOOKUP(A105,'Grandchildren of Male Loyds'!$AQ$3:$AR$60,2,FALSE))+IF(ISNA(VLOOKUP(A105,'Grandchildren of Female Loyds'!$AX$5:$AY$50,2,FALSE)),0,VLOOKUP(A105,'Grandchildren of Female Loyds'!$AX$5:$AY$50,2,FALSE))+IF(ISNA(VLOOKUP(A105,'Grandchildren Loyd Daughters'!$BD$5:$BE$50,2,FALSE)),0,VLOOKUP(A105,'Grandchildren Loyd Daughters'!$BD$5:$BE$50,2,FALSE))</f>
        <v>13</v>
      </c>
      <c r="AH105" s="129" t="str">
        <f>VLOOKUP($U105,'Loyd List 1-190 - Edit'!$P$3:$AJ$220,21,FALSE)</f>
        <v>Lady Moyra BRODRICK (b.11 Jan 1897, d. 1 Apr 1982)</v>
      </c>
      <c r="AI105" s="129" t="str">
        <f>VLOOKUP(A105,'Updated Bios &amp; Spouse Details'!$A$1:$J$200,7,FALSE)</f>
        <v>Sir Thomas Anthony GORE-BROWN (b. 20 Jun 1918, d. 7 Sep 1988)</v>
      </c>
      <c r="AJ105" s="130">
        <f>IF(VLOOKUP($A105,'Loyd List 1-190 - Edit'!$C$1:$AQ$220,'Book Details - NO EDIT'!AJ$1,FALSE)="","",(VLOOKUP($A105,'Loyd List 1-190 - Edit'!$C$1:$AQ$220,'Book Details - NO EDIT'!AJ$1,FALSE)))</f>
        <v>16805</v>
      </c>
      <c r="AK105" s="129" t="str">
        <f>VLOOKUP(A105,'Updated Bios &amp; Spouse Details'!$A$1:$J$200,8,FALSE)</f>
        <v>Married at St. Peter’s, Eaton Square, London, Sir Thomas (Kt. 1980) of The Old Rectory, Lydlinch, Sturminster Newton, Dorset, Major, Grenadier Guards, younger son of Colonel Sir Eric GORE-BROWNE DSO, OBE, TD of Glaston House, Rutland.</v>
      </c>
      <c r="AL105" s="131" t="str">
        <f>VLOOKUP(A105,'Updated Bios &amp; Spouse Details'!$A$1:$J$200,5,FALSE)</f>
        <v>Lavinia was the only daughter of  Sir Henry (1891–1973: #72). Born 21 Dec 1923. Died 12 Dec 1995. Buried at Peper Harow, Godalming, Surrey. Issue: 3 Sons, 1 daughter.</v>
      </c>
      <c r="AM105" s="105" t="str">
        <f>IF(AND(LEN(H105)&gt;0,ISNA(IF(K105="Boy",VLOOKUP(A105,'Siblings of those BORN Loyd'!$AP$3:$AQ$70,2,FALSE),VLOOKUP(A105,'Children of Female Loyds'!$AR$5:$AS$60,2,FALSE)))),"d.s.p","")</f>
        <v/>
      </c>
      <c r="AN105" s="99" t="str">
        <f t="shared" si="55"/>
        <v>Charles (1891–1973: #72)</v>
      </c>
      <c r="AO105" s="99" t="str">
        <f t="shared" si="46"/>
        <v>Harry (1861–1938: #44)</v>
      </c>
      <c r="AP105" s="99" t="str">
        <f t="shared" si="47"/>
        <v>William (1821–1885: #23)</v>
      </c>
      <c r="AQ105" s="99" t="str">
        <f t="shared" si="48"/>
        <v>Edward (1780–1863: #8)</v>
      </c>
      <c r="AR105" s="99" t="str">
        <f t="shared" si="49"/>
        <v>William (1729–1800: #1)</v>
      </c>
      <c r="AS105" s="99" t="str">
        <f t="shared" si="50"/>
        <v/>
      </c>
      <c r="AT105" s="99" t="str">
        <f t="shared" si="51"/>
        <v/>
      </c>
      <c r="AU105" s="99" t="str">
        <f t="shared" si="52"/>
        <v/>
      </c>
      <c r="AW105" s="116" t="str">
        <f>VLOOKUP(A105,'Updated Bios &amp; Spouse Details'!$A$1:$J$193,6,FALSE)</f>
        <v>England</v>
      </c>
      <c r="AX105" s="131">
        <f>VLOOKUP($A105,'Loyd List 1-190 - Edit'!$P$2:$AQ$220,AX$1,FALSE)</f>
        <v>103</v>
      </c>
      <c r="AY105" s="116" t="str">
        <f>IF(ISNA(VLOOKUP(A105,'Data check lookup table'!$G$2:$V$73,AY$1,FALSE))," - ",VLOOKUP(A105,'Data check lookup table'!$G$2:$V$73,AY$1,FALSE))</f>
        <v xml:space="preserve"> - </v>
      </c>
      <c r="AZ105" s="147" t="str">
        <f t="shared" si="42"/>
        <v>12/12/1995</v>
      </c>
      <c r="BA105" s="99" t="str">
        <f t="shared" si="56"/>
        <v/>
      </c>
      <c r="BB105" s="99" t="str">
        <f t="shared" si="57"/>
        <v/>
      </c>
      <c r="BI105" s="147" t="s">
        <v>3233</v>
      </c>
    </row>
    <row r="106" spans="1:61" s="99" customFormat="1" ht="68">
      <c r="A106" s="139">
        <f>'Loyd List 1-190 - Edit'!C106</f>
        <v>104</v>
      </c>
      <c r="B106" s="99" t="str">
        <f>VLOOKUP($A106,'Loyd List 1-190 - Edit'!$C$1:$AQ$220,'Book Details - NO EDIT'!B$1,FALSE)</f>
        <v>Sir Julian</v>
      </c>
      <c r="C106" s="99" t="str">
        <f>IF(VLOOKUP($A106,'Loyd List 1-190 - Edit'!$C$1:$AQ$220,'Book Details - NO EDIT'!C$1,FALSE)="","",VLOOKUP($A106,'Loyd List 1-190 - Edit'!$C$1:$AQ$220,'Book Details - NO EDIT'!C$1,FALSE))</f>
        <v>St. John</v>
      </c>
      <c r="D106" s="99" t="str">
        <f>IF(VLOOKUP($A106,'Loyd List 1-190 - Edit'!$C$1:$AQ$220,'Book Details - NO EDIT'!D$1,FALSE)="","",VLOOKUP($A106,'Loyd List 1-190 - Edit'!$C$1:$AQ$220,'Book Details - NO EDIT'!D$1,FALSE))</f>
        <v/>
      </c>
      <c r="E106" s="99" t="str">
        <f>IF(VLOOKUP($A106,'Loyd List 1-190 - Edit'!$C$1:$AQ$220,'Book Details - NO EDIT'!E$1,FALSE)="","",VLOOKUP($A106,'Loyd List 1-190 - Edit'!$C$1:$AQ$220,'Book Details - NO EDIT'!E$1,FALSE))</f>
        <v>LOYD</v>
      </c>
      <c r="F106" s="99" t="str">
        <f>IF(VLOOKUP($A106,'Loyd List 1-190 - Edit'!$C$1:$AQ$220,'Book Details - NO EDIT'!F$1,FALSE)="",B106,VLOOKUP($A106,'Loyd List 1-190 - Edit'!$C$1:$AQ$220,'Book Details - NO EDIT'!F$1,FALSE))</f>
        <v>Sir Julian</v>
      </c>
      <c r="G106" s="140">
        <f>IF(VLOOKUP($A106,'Loyd List 1-190 - Edit'!$C$1:$AQ$220,'Book Details - NO EDIT'!G$1,FALSE)="","",VALUE(VLOOKUP($A106,'Loyd List 1-190 - Edit'!$C$1:$AQ$220,'Book Details - NO EDIT'!G$1,FALSE)))</f>
        <v>1926</v>
      </c>
      <c r="H106" s="140">
        <f>IF(VLOOKUP($A106,'Loyd List 1-190 - Edit'!$C$1:$AQ$220,'Book Details - NO EDIT'!H$1,FALSE)="","",VALUE(VLOOKUP($A106,'Loyd List 1-190 - Edit'!$C$1:$AQ$220,'Book Details - NO EDIT'!H$1,FALSE)))</f>
        <v>2018</v>
      </c>
      <c r="I106" s="141">
        <f>IF(VLOOKUP($A106,'Loyd List 1-190 - Edit'!$C$1:$AQ$220,'Book Details - NO EDIT'!I$1,FALSE)="","",(VLOOKUP($A106,'Loyd List 1-190 - Edit'!$C$1:$AQ$220,'Book Details - NO EDIT'!I$1,FALSE)))</f>
        <v>9642</v>
      </c>
      <c r="J106" s="141" t="str">
        <f>IF(VLOOKUP($A106,'Loyd List 1-190 - Edit'!$C$1:$AQ$220,'Book Details - NO EDIT'!J$1,FALSE)="","",(VLOOKUP($A106,'Loyd List 1-190 - Edit'!$C$1:$AQ$220,'Book Details - NO EDIT'!J$1,FALSE)))</f>
        <v>07/02/2018</v>
      </c>
      <c r="K106" s="100" t="str">
        <f>VLOOKUP($A106,'Loyd List 1-190 - Edit'!$C$1:$AQ$220,'Book Details - NO EDIT'!K$1,FALSE)</f>
        <v>Boy</v>
      </c>
      <c r="L106" s="140">
        <f>VLOOKUP($A106,'Loyd List 1-190 - Edit'!$C$1:$AQ$220,'Book Details - NO EDIT'!L$1,FALSE)</f>
        <v>72</v>
      </c>
      <c r="M106" s="140">
        <f t="shared" si="34"/>
        <v>44</v>
      </c>
      <c r="N106" s="140">
        <f t="shared" si="34"/>
        <v>23</v>
      </c>
      <c r="O106" s="140">
        <f t="shared" si="34"/>
        <v>8</v>
      </c>
      <c r="P106" s="140">
        <f t="shared" si="31"/>
        <v>1</v>
      </c>
      <c r="Q106" s="140">
        <f t="shared" si="31"/>
        <v>0</v>
      </c>
      <c r="R106" s="140" t="str">
        <f t="shared" si="31"/>
        <v/>
      </c>
      <c r="S106" s="140" t="str">
        <f t="shared" si="35"/>
        <v/>
      </c>
      <c r="T106" s="140">
        <f t="shared" si="32"/>
        <v>5</v>
      </c>
      <c r="U106" s="139">
        <f t="shared" si="36"/>
        <v>104</v>
      </c>
      <c r="V106" s="31" t="str">
        <f t="shared" si="37"/>
        <v>Sir Julian (1926–2018)</v>
      </c>
      <c r="W106" s="31" t="str">
        <f t="shared" si="38"/>
        <v>Sir Julian (#104)</v>
      </c>
      <c r="X106" s="99" t="str">
        <f t="shared" si="39"/>
        <v>Sir Julian (1926–2018: #104)</v>
      </c>
      <c r="Y106" s="99" t="str">
        <f t="shared" si="54"/>
        <v>Sir Julian St. John LOYD</v>
      </c>
      <c r="Z106" s="99" t="str">
        <f t="shared" si="40"/>
        <v>Charles (1891–1973: #72)</v>
      </c>
      <c r="AA106" s="99" t="str">
        <f t="shared" si="45"/>
        <v xml:space="preserve">Charles (1891–1973: #72) Harry (1861–1938: #44) William (1821–1885: #23) Edward (1780–1863: #8) William (1729–1800: #1)   </v>
      </c>
      <c r="AB106" s="142" t="str">
        <f>VLOOKUP(U106,'Siblings of those BORN Loyd'!$A$2:$G$230,7,FALSE)</f>
        <v xml:space="preserve">1 – Lavinia (1923–1995: #103)        </v>
      </c>
      <c r="AC106" s="115" t="str">
        <f>IF(ISNA(IF(K106="Boy",VLOOKUP(A106,'Siblings of those BORN Loyd'!$AP$3:$AQ$70,2,FALSE),VLOOKUP(A106,'Children of Female Loyds'!$AR$5:$AT$60,3,FALSE))),AM106,IF(K106="Boy",VLOOKUP(A106,'Siblings of those BORN Loyd'!$AP$3:$AQ$70,2,FALSE),VLOOKUP(A106,'Children of Female Loyds'!$AR$5:$AT$60,3,FALSE)))</f>
        <v>4 - Alexandra (1961–: #141); Charles (1963–: #146); Toby (1966–1966: #148); Mary Rose (1967–: #152)</v>
      </c>
      <c r="AD106" s="97" t="str">
        <f t="shared" si="53"/>
        <v xml:space="preserve">6 - George (1998–: #180); Rosanna (2000–: #182)   Letty BYATT (1996 - :  #141a) Harry BYATT (1998 - 2017:  #141b) Clementine WHITCOMB (1999 - :  #152a) Augustin WHITCOMB (2001 - :  #152b)           </v>
      </c>
      <c r="AE106" s="105" t="str">
        <f>IF(ISNA(IF(K106="Boy",VLOOKUP(A106,'Grandchildren of Male Loyds'!$AQ$3:$AS$51,3,FALSE),VLOOKUP(A106,'Grandchildren of Female Loyds'!$AX$5:$AZ$63,3,FALSE))),AM106,IF(K106="Boy",VLOOKUP(A106,'Grandchildren of Male Loyds'!$AQ$3:$AS$51,3,FALSE),VLOOKUP(A106,'Grandchildren of Female Loyds'!$AX$5:$AZ$63,3,FALSE)))</f>
        <v>George (1998–: #180); Rosanna (2000–: #182)</v>
      </c>
      <c r="AF106" s="105" t="str">
        <f>IF(ISNA(VLOOKUP(A106,'Grandchildren Loyd Daughters'!$BD$5:$BF$50,4,FALSE)),"",VLOOKUP(A106,'Grandchildren Loyd Daughters'!$BD$5:$BF$50,3,FALSE))</f>
        <v xml:space="preserve">Letty BYATT (1996 - :  #141a) Harry BYATT (1998 - 2017:  #141b) Clementine WHITCOMB (1999 - :  #152a) Augustin WHITCOMB (2001 - :  #152b)           </v>
      </c>
      <c r="AG106" s="129">
        <f>IF(ISNA(VLOOKUP(A106,'Grandchildren of Male Loyds'!$AQ$3:$AR$60,2,FALSE)),0,VLOOKUP(A106,'Grandchildren of Male Loyds'!$AQ$3:$AR$60,2,FALSE))+IF(ISNA(VLOOKUP(A106,'Grandchildren of Female Loyds'!$AX$5:$AY$50,2,FALSE)),0,VLOOKUP(A106,'Grandchildren of Female Loyds'!$AX$5:$AY$50,2,FALSE))+IF(ISNA(VLOOKUP(A106,'Grandchildren Loyd Daughters'!$BD$5:$BE$50,2,FALSE)),0,VLOOKUP(A106,'Grandchildren Loyd Daughters'!$BD$5:$BE$50,2,FALSE))</f>
        <v>6</v>
      </c>
      <c r="AH106" s="129" t="str">
        <f>VLOOKUP($U106,'Loyd List 1-190 - Edit'!$P$3:$AJ$220,21,FALSE)</f>
        <v>Lady Moyra BRODRICK (b.11 Jan 1897, d. 1 Apr 1982)</v>
      </c>
      <c r="AI106" s="129" t="str">
        <f>VLOOKUP(A106,'Updated Bios &amp; Spouse Details'!$A$1:$J$200,7,FALSE)</f>
        <v>Philippa Mary Emma STEEL (b. 5 Dec 1932, d. 27 Oct 2020)</v>
      </c>
      <c r="AJ106" s="130">
        <f>IF(VLOOKUP($A106,'Loyd List 1-190 - Edit'!$C$1:$AQ$220,'Book Details - NO EDIT'!AJ$1,FALSE)="","",(VLOOKUP($A106,'Loyd List 1-190 - Edit'!$C$1:$AQ$220,'Book Details - NO EDIT'!AJ$1,FALSE)))</f>
        <v>22209</v>
      </c>
      <c r="AK106" s="129" t="str">
        <f>VLOOKUP(A106,'Updated Bios &amp; Spouse Details'!$A$1:$J$200,8,FALSE)</f>
        <v>Married, Philippa twin daughter of Sir Christopher Eden STEEL GCMG, MVO of Southrop Lodge, Lechlade, Gloucestershire.</v>
      </c>
      <c r="AL106" s="131" t="str">
        <f>VLOOKUP(A106,'Updated Bios &amp; Spouse Details'!$A$1:$J$200,5,FALSE)</f>
        <v>Sir Julian lived at Laycocks, Sandringham, Norfolk, and later of Perrystone Cottage, Burnham Market, King’s Lynn, Norfolk and was the only son of Sir Henry (1891–1973: #72). Born 25 May 1926. Educated Eton 1939-44 and Magdalene College, Cambridge (BA 1952,  MA 1955). Served in World War II as Lieutenant, Coldstream Guards. Career: Partner with Savills Norwich between 1955 and 1964. Agent to HM the Queen at Sandringham 1964-1991. FRICS 1960. He was appointed Commander, Royal Victorian Order (CVO) in 1979. Held the office of Deputy Lieutenant (DL) of Norfolk in 1983. Appointed Knight Commander, Royal Victorian Order (KCVO) in 1991. Issue: 2 sons, 2 daughters.</v>
      </c>
      <c r="AM106" s="105" t="str">
        <f>IF(AND(LEN(H106)&gt;0,ISNA(IF(K106="Boy",VLOOKUP(A106,'Siblings of those BORN Loyd'!$AP$3:$AQ$70,2,FALSE),VLOOKUP(A106,'Children of Female Loyds'!$AR$5:$AS$60,2,FALSE)))),"d.s.p","")</f>
        <v/>
      </c>
      <c r="AN106" s="99" t="str">
        <f t="shared" si="55"/>
        <v>Charles (1891–1973: #72)</v>
      </c>
      <c r="AO106" s="99" t="str">
        <f t="shared" si="46"/>
        <v>Harry (1861–1938: #44)</v>
      </c>
      <c r="AP106" s="99" t="str">
        <f t="shared" si="47"/>
        <v>William (1821–1885: #23)</v>
      </c>
      <c r="AQ106" s="99" t="str">
        <f t="shared" si="48"/>
        <v>Edward (1780–1863: #8)</v>
      </c>
      <c r="AR106" s="99" t="str">
        <f t="shared" si="49"/>
        <v>William (1729–1800: #1)</v>
      </c>
      <c r="AS106" s="99" t="str">
        <f t="shared" si="50"/>
        <v/>
      </c>
      <c r="AT106" s="99" t="str">
        <f t="shared" si="51"/>
        <v/>
      </c>
      <c r="AU106" s="99" t="str">
        <f t="shared" si="52"/>
        <v/>
      </c>
      <c r="AW106" s="116" t="str">
        <f>VLOOKUP(A106,'Updated Bios &amp; Spouse Details'!$A$1:$J$193,6,FALSE)</f>
        <v>England</v>
      </c>
      <c r="AX106" s="131">
        <f>VLOOKUP($A106,'Loyd List 1-190 - Edit'!$P$2:$AQ$220,AX$1,FALSE)</f>
        <v>104</v>
      </c>
      <c r="AY106" s="116" t="str">
        <f>IF(ISNA(VLOOKUP(A106,'Data check lookup table'!$G$2:$V$73,AY$1,FALSE))," - ",VLOOKUP(A106,'Data check lookup table'!$G$2:$V$73,AY$1,FALSE))</f>
        <v xml:space="preserve"> - </v>
      </c>
      <c r="AZ106" s="147" t="str">
        <f t="shared" si="42"/>
        <v>07/02/2018</v>
      </c>
      <c r="BA106" s="99" t="str">
        <f t="shared" si="56"/>
        <v/>
      </c>
      <c r="BB106" s="99" t="str">
        <f t="shared" si="57"/>
        <v/>
      </c>
      <c r="BI106" s="147" t="s">
        <v>3234</v>
      </c>
    </row>
    <row r="107" spans="1:61" s="99" customFormat="1" ht="153">
      <c r="A107" s="139">
        <f>'Loyd List 1-190 - Edit'!C107</f>
        <v>105</v>
      </c>
      <c r="B107" s="99" t="str">
        <f>VLOOKUP($A107,'Loyd List 1-190 - Edit'!$C$1:$AQ$220,'Book Details - NO EDIT'!B$1,FALSE)</f>
        <v>Geoffrey</v>
      </c>
      <c r="C107" s="99" t="str">
        <f>IF(VLOOKUP($A107,'Loyd List 1-190 - Edit'!$C$1:$AQ$220,'Book Details - NO EDIT'!C$1,FALSE)="","",VLOOKUP($A107,'Loyd List 1-190 - Edit'!$C$1:$AQ$220,'Book Details - NO EDIT'!C$1,FALSE))</f>
        <v>Haig</v>
      </c>
      <c r="D107" s="99" t="str">
        <f>IF(VLOOKUP($A107,'Loyd List 1-190 - Edit'!$C$1:$AQ$220,'Book Details - NO EDIT'!D$1,FALSE)="","",VLOOKUP($A107,'Loyd List 1-190 - Edit'!$C$1:$AQ$220,'Book Details - NO EDIT'!D$1,FALSE))</f>
        <v/>
      </c>
      <c r="E107" s="99" t="str">
        <f>IF(VLOOKUP($A107,'Loyd List 1-190 - Edit'!$C$1:$AQ$220,'Book Details - NO EDIT'!E$1,FALSE)="","",VLOOKUP($A107,'Loyd List 1-190 - Edit'!$C$1:$AQ$220,'Book Details - NO EDIT'!E$1,FALSE))</f>
        <v>LOYD</v>
      </c>
      <c r="F107" s="99" t="str">
        <f>IF(VLOOKUP($A107,'Loyd List 1-190 - Edit'!$C$1:$AQ$220,'Book Details - NO EDIT'!F$1,FALSE)="",B107,VLOOKUP($A107,'Loyd List 1-190 - Edit'!$C$1:$AQ$220,'Book Details - NO EDIT'!F$1,FALSE))</f>
        <v>Geoffrey</v>
      </c>
      <c r="G107" s="140">
        <f>IF(VLOOKUP($A107,'Loyd List 1-190 - Edit'!$C$1:$AQ$220,'Book Details - NO EDIT'!G$1,FALSE)="","",VALUE(VLOOKUP($A107,'Loyd List 1-190 - Edit'!$C$1:$AQ$220,'Book Details - NO EDIT'!G$1,FALSE)))</f>
        <v>1926</v>
      </c>
      <c r="H107" s="140">
        <f>IF(VLOOKUP($A107,'Loyd List 1-190 - Edit'!$C$1:$AQ$220,'Book Details - NO EDIT'!H$1,FALSE)="","",VALUE(VLOOKUP($A107,'Loyd List 1-190 - Edit'!$C$1:$AQ$220,'Book Details - NO EDIT'!H$1,FALSE)))</f>
        <v>2018</v>
      </c>
      <c r="I107" s="141">
        <f>IF(VLOOKUP($A107,'Loyd List 1-190 - Edit'!$C$1:$AQ$220,'Book Details - NO EDIT'!I$1,FALSE)="","",(VLOOKUP($A107,'Loyd List 1-190 - Edit'!$C$1:$AQ$220,'Book Details - NO EDIT'!I$1,FALSE)))</f>
        <v>9665</v>
      </c>
      <c r="J107" s="141" t="str">
        <f>IF(VLOOKUP($A107,'Loyd List 1-190 - Edit'!$C$1:$AQ$220,'Book Details - NO EDIT'!J$1,FALSE)="","",(VLOOKUP($A107,'Loyd List 1-190 - Edit'!$C$1:$AQ$220,'Book Details - NO EDIT'!J$1,FALSE)))</f>
        <v>22/08/2018</v>
      </c>
      <c r="K107" s="100" t="str">
        <f>VLOOKUP($A107,'Loyd List 1-190 - Edit'!$C$1:$AQ$220,'Book Details - NO EDIT'!K$1,FALSE)</f>
        <v>Boy</v>
      </c>
      <c r="L107" s="140">
        <f>VLOOKUP($A107,'Loyd List 1-190 - Edit'!$C$1:$AQ$220,'Book Details - NO EDIT'!L$1,FALSE)</f>
        <v>77</v>
      </c>
      <c r="M107" s="140">
        <f t="shared" si="34"/>
        <v>30</v>
      </c>
      <c r="N107" s="140">
        <f t="shared" si="34"/>
        <v>14</v>
      </c>
      <c r="O107" s="140">
        <f t="shared" si="34"/>
        <v>4</v>
      </c>
      <c r="P107" s="140">
        <f t="shared" si="31"/>
        <v>1</v>
      </c>
      <c r="Q107" s="140">
        <f t="shared" si="31"/>
        <v>0</v>
      </c>
      <c r="R107" s="140" t="str">
        <f t="shared" si="31"/>
        <v/>
      </c>
      <c r="S107" s="140" t="str">
        <f t="shared" si="35"/>
        <v/>
      </c>
      <c r="T107" s="140">
        <f t="shared" si="32"/>
        <v>5</v>
      </c>
      <c r="U107" s="139">
        <f t="shared" si="36"/>
        <v>105</v>
      </c>
      <c r="V107" s="31" t="str">
        <f t="shared" si="37"/>
        <v>Geoffrey (1926–2018)</v>
      </c>
      <c r="W107" s="31" t="str">
        <f t="shared" si="38"/>
        <v>Geoffrey (#105)</v>
      </c>
      <c r="X107" s="99" t="str">
        <f t="shared" si="39"/>
        <v>Geoffrey (1926–2018: #105)</v>
      </c>
      <c r="Y107" s="99" t="str">
        <f t="shared" si="54"/>
        <v>Geoffrey Haig LOYD</v>
      </c>
      <c r="Z107" s="99" t="str">
        <f t="shared" si="40"/>
        <v>Wilfrid (1893–1971: #77)</v>
      </c>
      <c r="AA107" s="99" t="str">
        <f t="shared" si="45"/>
        <v xml:space="preserve">Wilfrid (1893–1971: #77) Archie (1847–1922: #30) Thomas (1812–1857: #14) William (1770–1828: #4) William (1729–1800: #1)   </v>
      </c>
      <c r="AB107" s="142" t="str">
        <f>VLOOKUP(U107,'Siblings of those BORN Loyd'!$A$2:$G$230,7,FALSE)</f>
        <v xml:space="preserve">3 – Peter (1922–2022: #98)  Denise (1928–: #106) Andrew (1934–1975: #111)     </v>
      </c>
      <c r="AC107" s="115" t="str">
        <f>IF(ISNA(IF(K107="Boy",VLOOKUP(A107,'Siblings of those BORN Loyd'!$AP$3:$AQ$70,2,FALSE),VLOOKUP(A107,'Children of Female Loyds'!$AR$5:$AT$60,3,FALSE))),AM107,IF(K107="Boy",VLOOKUP(A107,'Siblings of those BORN Loyd'!$AP$3:$AQ$70,2,FALSE),VLOOKUP(A107,'Children of Female Loyds'!$AR$5:$AT$60,3,FALSE)))</f>
        <v>2 - Martin (1949–: #122); Jeremy (1954–: #133)</v>
      </c>
      <c r="AD107" s="97" t="str">
        <f t="shared" si="53"/>
        <v>-</v>
      </c>
      <c r="AE107" s="105" t="str">
        <f>IF(ISNA(IF(K107="Boy",VLOOKUP(A107,'Grandchildren of Male Loyds'!$AQ$3:$AS$51,3,FALSE),VLOOKUP(A107,'Grandchildren of Female Loyds'!$AX$5:$AZ$63,3,FALSE))),AM107,IF(K107="Boy",VLOOKUP(A107,'Grandchildren of Male Loyds'!$AQ$3:$AS$51,3,FALSE),VLOOKUP(A107,'Grandchildren of Female Loyds'!$AX$5:$AZ$63,3,FALSE)))</f>
        <v/>
      </c>
      <c r="AF107" s="105" t="str">
        <f>IF(ISNA(VLOOKUP(A107,'Grandchildren Loyd Daughters'!$BD$5:$BF$50,4,FALSE)),"",VLOOKUP(A107,'Grandchildren Loyd Daughters'!$BD$5:$BF$50,3,FALSE))</f>
        <v/>
      </c>
      <c r="AG107" s="129">
        <f>IF(ISNA(VLOOKUP(A107,'Grandchildren of Male Loyds'!$AQ$3:$AR$60,2,FALSE)),0,VLOOKUP(A107,'Grandchildren of Male Loyds'!$AQ$3:$AR$60,2,FALSE))+IF(ISNA(VLOOKUP(A107,'Grandchildren of Female Loyds'!$AX$5:$AY$50,2,FALSE)),0,VLOOKUP(A107,'Grandchildren of Female Loyds'!$AX$5:$AY$50,2,FALSE))+IF(ISNA(VLOOKUP(A107,'Grandchildren Loyd Daughters'!$BD$5:$BE$50,2,FALSE)),0,VLOOKUP(A107,'Grandchildren Loyd Daughters'!$BD$5:$BE$50,2,FALSE))</f>
        <v>0</v>
      </c>
      <c r="AH107" s="129" t="str">
        <f>VLOOKUP($U107,'Loyd List 1-190 - Edit'!$P$3:$AJ$220,21,FALSE)</f>
        <v>Emily Charlotte Eileen OAKELEY (b. 28 Jan 1896, d. 8 May 1978)</v>
      </c>
      <c r="AI107" s="129" t="str">
        <f>VLOOKUP(A107,'Updated Bios &amp; Spouse Details'!$A$1:$J$200,7,FALSE)</f>
        <v>(1) Patricia Mary MACLEAN (b. 11 Feb 1929, d. 1 Mar 2001).  .</v>
      </c>
      <c r="AJ107" s="130">
        <f>IF(VLOOKUP($A107,'Loyd List 1-190 - Edit'!$C$1:$AQ$220,'Book Details - NO EDIT'!AJ$1,FALSE)="","",(VLOOKUP($A107,'Loyd List 1-190 - Edit'!$C$1:$AQ$220,'Book Details - NO EDIT'!AJ$1,FALSE)))</f>
        <v>17742</v>
      </c>
      <c r="AK107" s="129" t="str">
        <f>VLOOKUP(A107,'Updated Bios &amp; Spouse Details'!$A$1:$J$200,8,FALSE)</f>
        <v>Married (1) Patricia, at St Michael’s, Chester Square, daughter of John Eric MACLEAN of Christchurch, Hampshire. (2 sons) (Div 1967). (2) Dawn  BAIRD  (b. 3 Jun 1927, d. 5 Aug 2010 ) on 1 Mar 1968, only child of Major Robert Douglas BAIRD MC, The Rifle Brigade, of Sorrel, Hale Purlieu, Fordingbridge, Hampshire.</v>
      </c>
      <c r="AL107" s="131" t="str">
        <f>VLOOKUP(A107,'Updated Bios &amp; Spouse Details'!$A$1:$J$200,5,FALSE)</f>
        <v xml:space="preserve">Geoffrey lived at Remenham House, Ocle Pychard, Herefordshire, HR1 3RB and was the 2nd son of Wifrid (1893–1971: #77). Born 17 Jun 1926 at 36 Chester Square. Baptised 27 Jul 1926 at St Michael’s, Chester Square. Educated Eton 1939-43. Career: Cape Times (South Africa) 1948-51. London School of Printing &amp; Graphic Arts. Bowater Paper Corp. 1957-66. Tyler Smith &amp; Co. 1967-8. H. P. Bulmer 1968-70. Chairman &amp; MD Hereford Herbs 1970-89. Vice-President British Herb Trade Association from 1980. Chairman Herefordshire Fine Foods Marketing Grp. 1988-97. Chairman National Speciality Food &amp; Drink Committee 1990-1. Council British Speciality Foods 1990-97. Chairman &amp; MD Burley Marketing Associates from 1989. AIMSM 1961, AAMA 1964, MIM 1969. MBE 1997. Issue: (1st wife) 2 sons.       </v>
      </c>
      <c r="AM107" s="105" t="str">
        <f>IF(AND(LEN(H107)&gt;0,ISNA(IF(K107="Boy",VLOOKUP(A107,'Siblings of those BORN Loyd'!$AP$3:$AQ$70,2,FALSE),VLOOKUP(A107,'Children of Female Loyds'!$AR$5:$AS$60,2,FALSE)))),"d.s.p","")</f>
        <v/>
      </c>
      <c r="AN107" s="99" t="str">
        <f t="shared" si="55"/>
        <v>Wilfrid (1893–1971: #77)</v>
      </c>
      <c r="AO107" s="99" t="str">
        <f t="shared" si="46"/>
        <v>Archie (1847–1922: #30)</v>
      </c>
      <c r="AP107" s="99" t="str">
        <f t="shared" si="47"/>
        <v>Thomas (1812–1857: #14)</v>
      </c>
      <c r="AQ107" s="99" t="str">
        <f t="shared" si="48"/>
        <v>William (1770–1828: #4)</v>
      </c>
      <c r="AR107" s="99" t="str">
        <f t="shared" si="49"/>
        <v>William (1729–1800: #1)</v>
      </c>
      <c r="AS107" s="99" t="str">
        <f t="shared" si="50"/>
        <v/>
      </c>
      <c r="AT107" s="99" t="str">
        <f t="shared" si="51"/>
        <v/>
      </c>
      <c r="AU107" s="99" t="str">
        <f t="shared" si="52"/>
        <v/>
      </c>
      <c r="AW107" s="116" t="str">
        <f>VLOOKUP(A107,'Updated Bios &amp; Spouse Details'!$A$1:$J$193,6,FALSE)</f>
        <v>England</v>
      </c>
      <c r="AX107" s="131">
        <f>VLOOKUP($A107,'Loyd List 1-190 - Edit'!$P$2:$AQ$220,AX$1,FALSE)</f>
        <v>105</v>
      </c>
      <c r="AY107" s="116" t="str">
        <f>IF(ISNA(VLOOKUP(A107,'Data check lookup table'!$G$2:$V$73,AY$1,FALSE))," - ",VLOOKUP(A107,'Data check lookup table'!$G$2:$V$73,AY$1,FALSE))</f>
        <v xml:space="preserve"> - </v>
      </c>
      <c r="AZ107" s="147" t="str">
        <f t="shared" si="42"/>
        <v>22/08/2018</v>
      </c>
      <c r="BA107" s="99" t="str">
        <f t="shared" si="56"/>
        <v/>
      </c>
      <c r="BB107" s="99" t="str">
        <f t="shared" si="57"/>
        <v/>
      </c>
      <c r="BI107" s="147" t="s">
        <v>3235</v>
      </c>
    </row>
    <row r="108" spans="1:61" s="99" customFormat="1" ht="85">
      <c r="A108" s="139">
        <f>'Loyd List 1-190 - Edit'!C108</f>
        <v>106</v>
      </c>
      <c r="B108" s="99" t="str">
        <f>VLOOKUP($A108,'Loyd List 1-190 - Edit'!$C$1:$AQ$220,'Book Details - NO EDIT'!B$1,FALSE)</f>
        <v>Denise</v>
      </c>
      <c r="C108" s="99" t="str">
        <f>IF(VLOOKUP($A108,'Loyd List 1-190 - Edit'!$C$1:$AQ$220,'Book Details - NO EDIT'!C$1,FALSE)="","",VLOOKUP($A108,'Loyd List 1-190 - Edit'!$C$1:$AQ$220,'Book Details - NO EDIT'!C$1,FALSE))</f>
        <v>Eileen</v>
      </c>
      <c r="D108" s="99" t="str">
        <f>IF(VLOOKUP($A108,'Loyd List 1-190 - Edit'!$C$1:$AQ$220,'Book Details - NO EDIT'!D$1,FALSE)="","",VLOOKUP($A108,'Loyd List 1-190 - Edit'!$C$1:$AQ$220,'Book Details - NO EDIT'!D$1,FALSE))</f>
        <v>Charlotte</v>
      </c>
      <c r="E108" s="99" t="str">
        <f>IF(VLOOKUP($A108,'Loyd List 1-190 - Edit'!$C$1:$AQ$220,'Book Details - NO EDIT'!E$1,FALSE)="","",VLOOKUP($A108,'Loyd List 1-190 - Edit'!$C$1:$AQ$220,'Book Details - NO EDIT'!E$1,FALSE))</f>
        <v>LOYD</v>
      </c>
      <c r="F108" s="99" t="str">
        <f>IF(VLOOKUP($A108,'Loyd List 1-190 - Edit'!$C$1:$AQ$220,'Book Details - NO EDIT'!F$1,FALSE)="",B108,VLOOKUP($A108,'Loyd List 1-190 - Edit'!$C$1:$AQ$220,'Book Details - NO EDIT'!F$1,FALSE))</f>
        <v>Denise</v>
      </c>
      <c r="G108" s="140">
        <f>IF(VLOOKUP($A108,'Loyd List 1-190 - Edit'!$C$1:$AQ$220,'Book Details - NO EDIT'!G$1,FALSE)="","",VALUE(VLOOKUP($A108,'Loyd List 1-190 - Edit'!$C$1:$AQ$220,'Book Details - NO EDIT'!G$1,FALSE)))</f>
        <v>1928</v>
      </c>
      <c r="H108" s="140" t="str">
        <f>IF(VLOOKUP($A108,'Loyd List 1-190 - Edit'!$C$1:$AQ$220,'Book Details - NO EDIT'!H$1,FALSE)="","",VALUE(VLOOKUP($A108,'Loyd List 1-190 - Edit'!$C$1:$AQ$220,'Book Details - NO EDIT'!H$1,FALSE)))</f>
        <v/>
      </c>
      <c r="I108" s="141">
        <f>IF(VLOOKUP($A108,'Loyd List 1-190 - Edit'!$C$1:$AQ$220,'Book Details - NO EDIT'!I$1,FALSE)="","",(VLOOKUP($A108,'Loyd List 1-190 - Edit'!$C$1:$AQ$220,'Book Details - NO EDIT'!I$1,FALSE)))</f>
        <v>10547</v>
      </c>
      <c r="J108" s="141" t="str">
        <f>IF(VLOOKUP($A108,'Loyd List 1-190 - Edit'!$C$1:$AQ$220,'Book Details - NO EDIT'!J$1,FALSE)="","",(VLOOKUP($A108,'Loyd List 1-190 - Edit'!$C$1:$AQ$220,'Book Details - NO EDIT'!J$1,FALSE)))</f>
        <v/>
      </c>
      <c r="K108" s="100" t="str">
        <f>VLOOKUP($A108,'Loyd List 1-190 - Edit'!$C$1:$AQ$220,'Book Details - NO EDIT'!K$1,FALSE)</f>
        <v>Girl</v>
      </c>
      <c r="L108" s="140">
        <f>VLOOKUP($A108,'Loyd List 1-190 - Edit'!$C$1:$AQ$220,'Book Details - NO EDIT'!L$1,FALSE)</f>
        <v>77</v>
      </c>
      <c r="M108" s="140">
        <f t="shared" si="34"/>
        <v>30</v>
      </c>
      <c r="N108" s="140">
        <f t="shared" si="34"/>
        <v>14</v>
      </c>
      <c r="O108" s="140">
        <f t="shared" si="34"/>
        <v>4</v>
      </c>
      <c r="P108" s="140">
        <f t="shared" si="31"/>
        <v>1</v>
      </c>
      <c r="Q108" s="140">
        <f t="shared" si="31"/>
        <v>0</v>
      </c>
      <c r="R108" s="140" t="str">
        <f t="shared" si="31"/>
        <v/>
      </c>
      <c r="S108" s="140" t="str">
        <f t="shared" si="35"/>
        <v/>
      </c>
      <c r="T108" s="140">
        <f t="shared" si="32"/>
        <v>5</v>
      </c>
      <c r="U108" s="139">
        <f t="shared" si="36"/>
        <v>106</v>
      </c>
      <c r="V108" s="31" t="str">
        <f t="shared" si="37"/>
        <v>Denise (1928–)</v>
      </c>
      <c r="W108" s="31" t="str">
        <f t="shared" si="38"/>
        <v>Denise (#106)</v>
      </c>
      <c r="X108" s="99" t="str">
        <f t="shared" si="39"/>
        <v>Denise (1928–: #106)</v>
      </c>
      <c r="Y108" s="99" t="str">
        <f t="shared" si="54"/>
        <v>Denise Eileen Charlotte LOYD</v>
      </c>
      <c r="Z108" s="99" t="str">
        <f t="shared" si="40"/>
        <v>Wilfrid (1893–1971: #77)</v>
      </c>
      <c r="AA108" s="99" t="str">
        <f t="shared" si="45"/>
        <v xml:space="preserve">Wilfrid (1893–1971: #77) Archie (1847–1922: #30) Thomas (1812–1857: #14) William (1770–1828: #4) William (1729–1800: #1)   </v>
      </c>
      <c r="AB108" s="142" t="str">
        <f>VLOOKUP(U108,'Siblings of those BORN Loyd'!$A$2:$G$230,7,FALSE)</f>
        <v xml:space="preserve">3 – Peter (1922–2022: #98) Geoffrey (1926–2018: #105)  Andrew (1934–1975: #111)     </v>
      </c>
      <c r="AC108" s="115" t="str">
        <f>IF(ISNA(IF(K108="Boy",VLOOKUP(A108,'Siblings of those BORN Loyd'!$AP$3:$AQ$70,2,FALSE),VLOOKUP(A108,'Children of Female Loyds'!$AR$5:$AT$60,3,FALSE))),AM108,IF(K108="Boy",VLOOKUP(A108,'Siblings of those BORN Loyd'!$AP$3:$AQ$70,2,FALSE),VLOOKUP(A108,'Children of Female Loyds'!$AR$5:$AT$60,3,FALSE)))</f>
        <v xml:space="preserve">2 - The Hon Geva WINN (1955 - : #106a) Charles WINN (1959 - : #106b)      </v>
      </c>
      <c r="AD108" s="97" t="str">
        <f t="shared" si="53"/>
        <v xml:space="preserve">6 - Charlotte BLACKETT (1988 -: #106aa) Eve BLACKETT (1989 -: #106ab) Lettie BLACKETT (1991 -: #106ac) Annabel BLACKETT (1993 -: #106ad) The Hon Rowland WINN (1986 -: #106ba) The Hon Henrietta WINN (1993 -: #106bb)             </v>
      </c>
      <c r="AE108" s="105" t="str">
        <f>IF(ISNA(IF(K108="Boy",VLOOKUP(A108,'Grandchildren of Male Loyds'!$AQ$3:$AS$51,3,FALSE),VLOOKUP(A108,'Grandchildren of Female Loyds'!$AX$5:$AZ$63,3,FALSE))),AM108,IF(K108="Boy",VLOOKUP(A108,'Grandchildren of Male Loyds'!$AQ$3:$AS$51,3,FALSE),VLOOKUP(A108,'Grandchildren of Female Loyds'!$AX$5:$AZ$63,3,FALSE)))</f>
        <v xml:space="preserve">Charlotte BLACKETT (1988 -: #106aa) Eve BLACKETT (1989 -: #106ab) Lettie BLACKETT (1991 -: #106ac) Annabel BLACKETT (1993 -: #106ad) The Hon Rowland WINN (1986 -: #106ba) The Hon Henrietta WINN (1993 -: #106bb)          </v>
      </c>
      <c r="AF108" s="105" t="str">
        <f>IF(ISNA(VLOOKUP(A108,'Grandchildren Loyd Daughters'!$BD$5:$BF$50,4,FALSE)),"",VLOOKUP(A108,'Grandchildren Loyd Daughters'!$BD$5:$BF$50,3,FALSE))</f>
        <v/>
      </c>
      <c r="AG108" s="129">
        <f>IF(ISNA(VLOOKUP(A108,'Grandchildren of Male Loyds'!$AQ$3:$AR$60,2,FALSE)),0,VLOOKUP(A108,'Grandchildren of Male Loyds'!$AQ$3:$AR$60,2,FALSE))+IF(ISNA(VLOOKUP(A108,'Grandchildren of Female Loyds'!$AX$5:$AY$50,2,FALSE)),0,VLOOKUP(A108,'Grandchildren of Female Loyds'!$AX$5:$AY$50,2,FALSE))+IF(ISNA(VLOOKUP(A108,'Grandchildren Loyd Daughters'!$BD$5:$BE$50,2,FALSE)),0,VLOOKUP(A108,'Grandchildren Loyd Daughters'!$BD$5:$BE$50,2,FALSE))</f>
        <v>6</v>
      </c>
      <c r="AH108" s="129" t="str">
        <f>VLOOKUP($U108,'Loyd List 1-190 - Edit'!$P$3:$AJ$220,21,FALSE)</f>
        <v>Emily Charlotte Eileen OAKELEY (b. 28 Jan 1896, d. 8 May 1978)</v>
      </c>
      <c r="AI108" s="129" t="str">
        <f>VLOOKUP(A108,'Updated Bios &amp; Spouse Details'!$A$1:$J$200,7,FALSE)</f>
        <v>Derek Edward Anthony WINN, 5th Baron ST OSWALD (b. 9 Jul 1919, d. 18 Mar 1999)</v>
      </c>
      <c r="AJ108" s="130">
        <f>IF(VLOOKUP($A108,'Loyd List 1-190 - Edit'!$C$1:$AQ$220,'Book Details - NO EDIT'!AJ$1,FALSE)="","",(VLOOKUP($A108,'Loyd List 1-190 - Edit'!$C$1:$AQ$220,'Book Details - NO EDIT'!AJ$1,FALSE)))</f>
        <v>19885</v>
      </c>
      <c r="AK108" s="129" t="str">
        <f>VLOOKUP(A108,'Updated Bios &amp; Spouse Details'!$A$1:$J$200,8,FALSE)</f>
        <v>Married, 10 Jun 1954 at St Margaret’s, Westminster, London, Derek Edward Anthony WINN, 5th Baron ST OSWALD of Nostell Priory, Wakefield, West Yorkshire.</v>
      </c>
      <c r="AL108" s="131" t="str">
        <f>VLOOKUP(A108,'Updated Bios &amp; Spouse Details'!$A$1:$J$200,5,FALSE)</f>
        <v>Denise lives in Ludlow, Shropshire and is the only daughter of Wilfrid (1893-1971:  #77). Born 15 Nov 1928 at 36 Chester Square. Baptised 20 Jan 1929 at St Michael’s, Chester Square. Issue: 1 daughter, 1 son.</v>
      </c>
      <c r="AM108" s="105" t="str">
        <f>IF(AND(LEN(H108)&gt;0,ISNA(IF(K108="Boy",VLOOKUP(A108,'Siblings of those BORN Loyd'!$AP$3:$AQ$70,2,FALSE),VLOOKUP(A108,'Children of Female Loyds'!$AR$5:$AS$60,2,FALSE)))),"d.s.p","")</f>
        <v/>
      </c>
      <c r="AN108" s="99" t="str">
        <f t="shared" si="55"/>
        <v>Wilfrid (1893–1971: #77)</v>
      </c>
      <c r="AO108" s="99" t="str">
        <f t="shared" si="46"/>
        <v>Archie (1847–1922: #30)</v>
      </c>
      <c r="AP108" s="99" t="str">
        <f t="shared" si="47"/>
        <v>Thomas (1812–1857: #14)</v>
      </c>
      <c r="AQ108" s="99" t="str">
        <f t="shared" si="48"/>
        <v>William (1770–1828: #4)</v>
      </c>
      <c r="AR108" s="99" t="str">
        <f t="shared" si="49"/>
        <v>William (1729–1800: #1)</v>
      </c>
      <c r="AS108" s="99" t="str">
        <f t="shared" si="50"/>
        <v/>
      </c>
      <c r="AT108" s="99" t="str">
        <f t="shared" si="51"/>
        <v/>
      </c>
      <c r="AU108" s="99" t="str">
        <f t="shared" si="52"/>
        <v/>
      </c>
      <c r="AW108" s="116" t="str">
        <f>VLOOKUP(A108,'Updated Bios &amp; Spouse Details'!$A$1:$J$193,6,FALSE)</f>
        <v>England</v>
      </c>
      <c r="AX108" s="131">
        <f>VLOOKUP($A108,'Loyd List 1-190 - Edit'!$P$2:$AQ$220,AX$1,FALSE)</f>
        <v>106</v>
      </c>
      <c r="AY108" s="116" t="str">
        <f>IF(ISNA(VLOOKUP(A108,'Data check lookup table'!$G$2:$V$73,AY$1,FALSE))," - ",VLOOKUP(A108,'Data check lookup table'!$G$2:$V$73,AY$1,FALSE))</f>
        <v>rosemaryloyd@gmail.com</v>
      </c>
      <c r="AZ108" s="147" t="str">
        <f t="shared" si="42"/>
        <v/>
      </c>
      <c r="BA108" s="99" t="str">
        <f t="shared" si="56"/>
        <v/>
      </c>
      <c r="BB108" s="99" t="str">
        <f t="shared" si="57"/>
        <v/>
      </c>
      <c r="BI108" s="147" t="s">
        <v>3228</v>
      </c>
    </row>
    <row r="109" spans="1:61" s="99" customFormat="1" ht="136">
      <c r="A109" s="139">
        <f>'Loyd List 1-190 - Edit'!C109</f>
        <v>107</v>
      </c>
      <c r="B109" s="99" t="str">
        <f>VLOOKUP($A109,'Loyd List 1-190 - Edit'!$C$1:$AQ$220,'Book Details - NO EDIT'!B$1,FALSE)</f>
        <v>Brenda</v>
      </c>
      <c r="C109" s="99" t="str">
        <f>IF(VLOOKUP($A109,'Loyd List 1-190 - Edit'!$C$1:$AQ$220,'Book Details - NO EDIT'!C$1,FALSE)="","",VLOOKUP($A109,'Loyd List 1-190 - Edit'!$C$1:$AQ$220,'Book Details - NO EDIT'!C$1,FALSE))</f>
        <v>Kirkman</v>
      </c>
      <c r="D109" s="99" t="str">
        <f>IF(VLOOKUP($A109,'Loyd List 1-190 - Edit'!$C$1:$AQ$220,'Book Details - NO EDIT'!D$1,FALSE)="","",VLOOKUP($A109,'Loyd List 1-190 - Edit'!$C$1:$AQ$220,'Book Details - NO EDIT'!D$1,FALSE))</f>
        <v>Valerie</v>
      </c>
      <c r="E109" s="99" t="str">
        <f>IF(VLOOKUP($A109,'Loyd List 1-190 - Edit'!$C$1:$AQ$220,'Book Details - NO EDIT'!E$1,FALSE)="","",VLOOKUP($A109,'Loyd List 1-190 - Edit'!$C$1:$AQ$220,'Book Details - NO EDIT'!E$1,FALSE))</f>
        <v>LOYD</v>
      </c>
      <c r="F109" s="99" t="str">
        <f>IF(VLOOKUP($A109,'Loyd List 1-190 - Edit'!$C$1:$AQ$220,'Book Details - NO EDIT'!F$1,FALSE)="",B109,VLOOKUP($A109,'Loyd List 1-190 - Edit'!$C$1:$AQ$220,'Book Details - NO EDIT'!F$1,FALSE))</f>
        <v>Wooie</v>
      </c>
      <c r="G109" s="140">
        <f>IF(VLOOKUP($A109,'Loyd List 1-190 - Edit'!$C$1:$AQ$220,'Book Details - NO EDIT'!G$1,FALSE)="","",VALUE(VLOOKUP($A109,'Loyd List 1-190 - Edit'!$C$1:$AQ$220,'Book Details - NO EDIT'!G$1,FALSE)))</f>
        <v>1928</v>
      </c>
      <c r="H109" s="140">
        <f>IF(VLOOKUP($A109,'Loyd List 1-190 - Edit'!$C$1:$AQ$220,'Book Details - NO EDIT'!H$1,FALSE)="","",VALUE(VLOOKUP($A109,'Loyd List 1-190 - Edit'!$C$1:$AQ$220,'Book Details - NO EDIT'!H$1,FALSE)))</f>
        <v>1996</v>
      </c>
      <c r="I109" s="141">
        <f>IF(VLOOKUP($A109,'Loyd List 1-190 - Edit'!$C$1:$AQ$220,'Book Details - NO EDIT'!I$1,FALSE)="","",(VLOOKUP($A109,'Loyd List 1-190 - Edit'!$C$1:$AQ$220,'Book Details - NO EDIT'!I$1,FALSE)))</f>
        <v>10559</v>
      </c>
      <c r="J109" s="141" t="str">
        <f>IF(VLOOKUP($A109,'Loyd List 1-190 - Edit'!$C$1:$AQ$220,'Book Details - NO EDIT'!J$1,FALSE)="","",(VLOOKUP($A109,'Loyd List 1-190 - Edit'!$C$1:$AQ$220,'Book Details - NO EDIT'!J$1,FALSE)))</f>
        <v>11/09/1996</v>
      </c>
      <c r="K109" s="100" t="str">
        <f>VLOOKUP($A109,'Loyd List 1-190 - Edit'!$C$1:$AQ$220,'Book Details - NO EDIT'!K$1,FALSE)</f>
        <v>Girl</v>
      </c>
      <c r="L109" s="140">
        <f>VLOOKUP($A109,'Loyd List 1-190 - Edit'!$C$1:$AQ$220,'Book Details - NO EDIT'!L$1,FALSE)</f>
        <v>76</v>
      </c>
      <c r="M109" s="140">
        <f t="shared" si="34"/>
        <v>34</v>
      </c>
      <c r="N109" s="140">
        <f t="shared" si="34"/>
        <v>14</v>
      </c>
      <c r="O109" s="140">
        <f t="shared" si="34"/>
        <v>4</v>
      </c>
      <c r="P109" s="140">
        <f t="shared" si="31"/>
        <v>1</v>
      </c>
      <c r="Q109" s="140">
        <f t="shared" si="31"/>
        <v>0</v>
      </c>
      <c r="R109" s="140" t="str">
        <f t="shared" si="31"/>
        <v/>
      </c>
      <c r="S109" s="140" t="str">
        <f t="shared" si="35"/>
        <v/>
      </c>
      <c r="T109" s="140">
        <f t="shared" si="32"/>
        <v>5</v>
      </c>
      <c r="U109" s="139">
        <f t="shared" si="36"/>
        <v>107</v>
      </c>
      <c r="V109" s="31" t="str">
        <f t="shared" si="37"/>
        <v>Wooie (1928–1996)</v>
      </c>
      <c r="W109" s="31" t="str">
        <f t="shared" si="38"/>
        <v>Wooie (#107)</v>
      </c>
      <c r="X109" s="99" t="str">
        <f t="shared" si="39"/>
        <v>Wooie (1928–1996: #107)</v>
      </c>
      <c r="Y109" s="99" t="str">
        <f t="shared" si="54"/>
        <v>Brenda Kirkman Valerie LOYD</v>
      </c>
      <c r="Z109" s="99" t="str">
        <f t="shared" si="40"/>
        <v>Edward (1893–1932: #76)</v>
      </c>
      <c r="AA109" s="99" t="str">
        <f t="shared" si="45"/>
        <v xml:space="preserve">Edward (1893–1932: #76) Ted (1851–1922: #34) Thomas (1812–1857: #14) William (1770–1828: #4) William (1729–1800: #1)   </v>
      </c>
      <c r="AB109" s="142" t="str">
        <f>VLOOKUP(U109,'Siblings of those BORN Loyd'!$A$2:$G$230,7,FALSE)</f>
        <v>0 – Only chlid</v>
      </c>
      <c r="AC109" s="115" t="str">
        <f>IF(ISNA(IF(K109="Boy",VLOOKUP(A109,'Siblings of those BORN Loyd'!$AP$3:$AQ$70,2,FALSE),VLOOKUP(A109,'Children of Female Loyds'!$AR$5:$AT$60,3,FALSE))),AM109,IF(K109="Boy",VLOOKUP(A109,'Siblings of those BORN Loyd'!$AP$3:$AQ$70,2,FALSE),VLOOKUP(A109,'Children of Female Loyds'!$AR$5:$AT$60,3,FALSE)))</f>
        <v xml:space="preserve">5 - Lorraine GRAHAM (1951 - : #107a) Nora ORR (1955 - : #107b) Michael ORR (1956 - : #107c) Ted ORR (1959 - : #107d) Heather ORR (1970 - : #107e)   </v>
      </c>
      <c r="AD109" s="97" t="str">
        <f t="shared" si="53"/>
        <v xml:space="preserve">13 - Edward RUSSELL (1976 -: #107aa) Mathew AMY (1981 -: #107ab) Michael AMY (1981 -: #107ac) Jonathon AMY (1983 -: #107ad) Christopher THOMPSON (1973 -: #107ba) George THOMPSON (1976 -: #107bb) Jeremy THOMPSON (1979 -: #107bc) Charitie ORR (1978 -: #107ca) Audrey ORR (1980 -: #107cb) Michael ORR (1984 -: #107cc) Seth ORR (1986 -: #107cd) Brandy ORR (1979 -: #107da) Timothy ORR (1980 -: #107db)      </v>
      </c>
      <c r="AE109" s="105" t="str">
        <f>IF(ISNA(IF(K109="Boy",VLOOKUP(A109,'Grandchildren of Male Loyds'!$AQ$3:$AS$51,3,FALSE),VLOOKUP(A109,'Grandchildren of Female Loyds'!$AX$5:$AZ$63,3,FALSE))),AM109,IF(K109="Boy",VLOOKUP(A109,'Grandchildren of Male Loyds'!$AQ$3:$AS$51,3,FALSE),VLOOKUP(A109,'Grandchildren of Female Loyds'!$AX$5:$AZ$63,3,FALSE)))</f>
        <v xml:space="preserve">Edward RUSSELL (1976 -: #107aa) Mathew AMY (1981 -: #107ab) Michael AMY (1981 -: #107ac) Jonathon AMY (1983 -: #107ad) Christopher THOMPSON (1973 -: #107ba) George THOMPSON (1976 -: #107bb) Jeremy THOMPSON (1979 -: #107bc) Charitie ORR (1978 -: #107ca) Audrey ORR (1980 -: #107cb) Michael ORR (1984 -: #107cc) Seth ORR (1986 -: #107cd) Brandy ORR (1979 -: #107da) Timothy ORR (1980 -: #107db)   </v>
      </c>
      <c r="AF109" s="105" t="str">
        <f>IF(ISNA(VLOOKUP(A109,'Grandchildren Loyd Daughters'!$BD$5:$BF$50,4,FALSE)),"",VLOOKUP(A109,'Grandchildren Loyd Daughters'!$BD$5:$BF$50,3,FALSE))</f>
        <v/>
      </c>
      <c r="AG109" s="129">
        <f>IF(ISNA(VLOOKUP(A109,'Grandchildren of Male Loyds'!$AQ$3:$AR$60,2,FALSE)),0,VLOOKUP(A109,'Grandchildren of Male Loyds'!$AQ$3:$AR$60,2,FALSE))+IF(ISNA(VLOOKUP(A109,'Grandchildren of Female Loyds'!$AX$5:$AY$50,2,FALSE)),0,VLOOKUP(A109,'Grandchildren of Female Loyds'!$AX$5:$AY$50,2,FALSE))+IF(ISNA(VLOOKUP(A109,'Grandchildren Loyd Daughters'!$BD$5:$BE$50,2,FALSE)),0,VLOOKUP(A109,'Grandchildren Loyd Daughters'!$BD$5:$BE$50,2,FALSE))</f>
        <v>13</v>
      </c>
      <c r="AH109" s="129" t="str">
        <f>VLOOKUP($U109,'Loyd List 1-190 - Edit'!$P$3:$AJ$220,21,FALSE)</f>
        <v xml:space="preserve">Nora CARRUTHERS (b. 31 Mar 1907, ) </v>
      </c>
      <c r="AI109" s="129" t="str">
        <f>VLOOKUP(A109,'Updated Bios &amp; Spouse Details'!$A$1:$J$200,7,FALSE)</f>
        <v>(1) Harold Arthur GRAHAM (b. 1922, )</v>
      </c>
      <c r="AJ109" s="130">
        <f>IF(VLOOKUP($A109,'Loyd List 1-190 - Edit'!$C$1:$AQ$220,'Book Details - NO EDIT'!AJ$1,FALSE)="","",(VLOOKUP($A109,'Loyd List 1-190 - Edit'!$C$1:$AQ$220,'Book Details - NO EDIT'!AJ$1,FALSE)))</f>
        <v>17647</v>
      </c>
      <c r="AK109" s="129" t="str">
        <f>VLOOKUP(A109,'Updated Bios &amp; Spouse Details'!$A$1:$J$200,8,FALSE)</f>
        <v>(1) Brenda married at Medicine Hat, Alberta, Harold 3rd son of Arthur GRAHAM of Medicine Hat, Alberta. (Div Jun 1953.) (2)  Married on 7 Aug 1954 at Coeur d’Alene, Idaho, USA, William (Bill) Elmo Jr. (b. 8 Jan 1930, ) eldest son of William Elmo ORR of New Mexico Territory.</v>
      </c>
      <c r="AL109" s="131" t="str">
        <f>VLOOKUP(A109,'Updated Bios &amp; Spouse Details'!$A$1:$J$200,5,FALSE)</f>
        <v>Wooie lived at 4409 Benjamin Drive, Yakima, Washington, 98908, USA and was the only daughter of Edward (1893–1932: #76). Born 27 Nov 1928 at Rutland, British Columbia. Baptised Dec 1928 at Kelowna, British Columbia. Educated Vernon, British Columbia, Banff, Alberta, Victoria, British Columbia and Business College, Medicine Hat, Alberta, Canada. Issue: 3 daughters, 2 sons.</v>
      </c>
      <c r="AM109" s="105" t="str">
        <f>IF(AND(LEN(H109)&gt;0,ISNA(IF(K109="Boy",VLOOKUP(A109,'Siblings of those BORN Loyd'!$AP$3:$AQ$70,2,FALSE),VLOOKUP(A109,'Children of Female Loyds'!$AR$5:$AS$60,2,FALSE)))),"d.s.p","")</f>
        <v/>
      </c>
      <c r="AN109" s="99" t="str">
        <f t="shared" si="55"/>
        <v>Edward (1893–1932: #76)</v>
      </c>
      <c r="AO109" s="99" t="str">
        <f t="shared" si="46"/>
        <v>Ted (1851–1922: #34)</v>
      </c>
      <c r="AP109" s="99" t="str">
        <f t="shared" si="47"/>
        <v>Thomas (1812–1857: #14)</v>
      </c>
      <c r="AQ109" s="99" t="str">
        <f t="shared" si="48"/>
        <v>William (1770–1828: #4)</v>
      </c>
      <c r="AR109" s="99" t="str">
        <f t="shared" si="49"/>
        <v>William (1729–1800: #1)</v>
      </c>
      <c r="AS109" s="99" t="str">
        <f t="shared" si="50"/>
        <v/>
      </c>
      <c r="AT109" s="99" t="str">
        <f t="shared" si="51"/>
        <v/>
      </c>
      <c r="AU109" s="99" t="str">
        <f t="shared" si="52"/>
        <v/>
      </c>
      <c r="AW109" s="116" t="str">
        <f>VLOOKUP(A109,'Updated Bios &amp; Spouse Details'!$A$1:$J$193,6,FALSE)</f>
        <v>Canada and USA</v>
      </c>
      <c r="AX109" s="131">
        <f>VLOOKUP($A109,'Loyd List 1-190 - Edit'!$P$2:$AQ$220,AX$1,FALSE)</f>
        <v>107</v>
      </c>
      <c r="AY109" s="116" t="str">
        <f>IF(ISNA(VLOOKUP(A109,'Data check lookup table'!$G$2:$V$73,AY$1,FALSE))," - ",VLOOKUP(A109,'Data check lookup table'!$G$2:$V$73,AY$1,FALSE))</f>
        <v xml:space="preserve"> - </v>
      </c>
      <c r="AZ109" s="147" t="str">
        <f t="shared" si="42"/>
        <v>11/09/1996</v>
      </c>
      <c r="BA109" s="99" t="str">
        <f t="shared" si="56"/>
        <v/>
      </c>
      <c r="BB109" s="99" t="str">
        <f t="shared" si="57"/>
        <v/>
      </c>
      <c r="BI109" s="147" t="s">
        <v>3236</v>
      </c>
    </row>
    <row r="110" spans="1:61" s="99" customFormat="1" ht="51">
      <c r="A110" s="139">
        <f>'Loyd List 1-190 - Edit'!C110</f>
        <v>108</v>
      </c>
      <c r="B110" s="99" t="str">
        <f>VLOOKUP($A110,'Loyd List 1-190 - Edit'!$C$1:$AQ$220,'Book Details - NO EDIT'!B$1,FALSE)</f>
        <v>Joscelyn</v>
      </c>
      <c r="C110" s="99" t="str">
        <f>IF(VLOOKUP($A110,'Loyd List 1-190 - Edit'!$C$1:$AQ$220,'Book Details - NO EDIT'!C$1,FALSE)="","",VLOOKUP($A110,'Loyd List 1-190 - Edit'!$C$1:$AQ$220,'Book Details - NO EDIT'!C$1,FALSE))</f>
        <v>Moira</v>
      </c>
      <c r="D110" s="99" t="str">
        <f>IF(VLOOKUP($A110,'Loyd List 1-190 - Edit'!$C$1:$AQ$220,'Book Details - NO EDIT'!D$1,FALSE)="","",VLOOKUP($A110,'Loyd List 1-190 - Edit'!$C$1:$AQ$220,'Book Details - NO EDIT'!D$1,FALSE))</f>
        <v>Selina</v>
      </c>
      <c r="E110" s="99" t="str">
        <f>IF(VLOOKUP($A110,'Loyd List 1-190 - Edit'!$C$1:$AQ$220,'Book Details - NO EDIT'!E$1,FALSE)="","",VLOOKUP($A110,'Loyd List 1-190 - Edit'!$C$1:$AQ$220,'Book Details - NO EDIT'!E$1,FALSE))</f>
        <v>LOYD</v>
      </c>
      <c r="F110" s="99" t="str">
        <f>IF(VLOOKUP($A110,'Loyd List 1-190 - Edit'!$C$1:$AQ$220,'Book Details - NO EDIT'!F$1,FALSE)="",B110,VLOOKUP($A110,'Loyd List 1-190 - Edit'!$C$1:$AQ$220,'Book Details - NO EDIT'!F$1,FALSE))</f>
        <v>Jos</v>
      </c>
      <c r="G110" s="140">
        <f>IF(VLOOKUP($A110,'Loyd List 1-190 - Edit'!$C$1:$AQ$220,'Book Details - NO EDIT'!G$1,FALSE)="","",VALUE(VLOOKUP($A110,'Loyd List 1-190 - Edit'!$C$1:$AQ$220,'Book Details - NO EDIT'!G$1,FALSE)))</f>
        <v>1931</v>
      </c>
      <c r="H110" s="140" t="str">
        <f>IF(VLOOKUP($A110,'Loyd List 1-190 - Edit'!$C$1:$AQ$220,'Book Details - NO EDIT'!H$1,FALSE)="","",VALUE(VLOOKUP($A110,'Loyd List 1-190 - Edit'!$C$1:$AQ$220,'Book Details - NO EDIT'!H$1,FALSE)))</f>
        <v/>
      </c>
      <c r="I110" s="141">
        <f>IF(VLOOKUP($A110,'Loyd List 1-190 - Edit'!$C$1:$AQ$220,'Book Details - NO EDIT'!I$1,FALSE)="","",(VLOOKUP($A110,'Loyd List 1-190 - Edit'!$C$1:$AQ$220,'Book Details - NO EDIT'!I$1,FALSE)))</f>
        <v>11658</v>
      </c>
      <c r="J110" s="141" t="str">
        <f>IF(VLOOKUP($A110,'Loyd List 1-190 - Edit'!$C$1:$AQ$220,'Book Details - NO EDIT'!J$1,FALSE)="","",(VLOOKUP($A110,'Loyd List 1-190 - Edit'!$C$1:$AQ$220,'Book Details - NO EDIT'!J$1,FALSE)))</f>
        <v/>
      </c>
      <c r="K110" s="100" t="str">
        <f>VLOOKUP($A110,'Loyd List 1-190 - Edit'!$C$1:$AQ$220,'Book Details - NO EDIT'!K$1,FALSE)</f>
        <v>Girl</v>
      </c>
      <c r="L110" s="140">
        <f>VLOOKUP($A110,'Loyd List 1-190 - Edit'!$C$1:$AQ$220,'Book Details - NO EDIT'!L$1,FALSE)</f>
        <v>55</v>
      </c>
      <c r="M110" s="140">
        <f t="shared" si="34"/>
        <v>35</v>
      </c>
      <c r="N110" s="140">
        <f t="shared" si="34"/>
        <v>23</v>
      </c>
      <c r="O110" s="140">
        <f t="shared" si="34"/>
        <v>8</v>
      </c>
      <c r="P110" s="140">
        <f t="shared" si="31"/>
        <v>1</v>
      </c>
      <c r="Q110" s="140">
        <f t="shared" si="31"/>
        <v>0</v>
      </c>
      <c r="R110" s="140" t="str">
        <f t="shared" si="31"/>
        <v/>
      </c>
      <c r="S110" s="140" t="str">
        <f t="shared" si="35"/>
        <v/>
      </c>
      <c r="T110" s="140">
        <f t="shared" si="32"/>
        <v>5</v>
      </c>
      <c r="U110" s="139">
        <f t="shared" si="36"/>
        <v>108</v>
      </c>
      <c r="V110" s="31" t="str">
        <f t="shared" si="37"/>
        <v>Jos (1931–)</v>
      </c>
      <c r="W110" s="31" t="str">
        <f t="shared" si="38"/>
        <v>Jos (#108)</v>
      </c>
      <c r="X110" s="99" t="str">
        <f t="shared" si="39"/>
        <v>Jos (1931–: #108)</v>
      </c>
      <c r="Y110" s="99" t="str">
        <f t="shared" si="54"/>
        <v>Joscelyn Moira Selina LOYD</v>
      </c>
      <c r="Z110" s="99" t="str">
        <f t="shared" si="40"/>
        <v>Dick (1882–1950: #55)</v>
      </c>
      <c r="AA110" s="99" t="str">
        <f t="shared" si="45"/>
        <v xml:space="preserve">Dick (1882–1950: #55) Lewis (1852–1908: #35) William (1821–1885: #23) Edward (1780–1863: #8) William (1729–1800: #1)   </v>
      </c>
      <c r="AB110" s="142" t="str">
        <f>VLOOKUP(U110,'Siblings of those BORN Loyd'!$A$2:$G$230,7,FALSE)</f>
        <v xml:space="preserve">4 – Deen (1936–2016: #112) Peggy (1939–: #116) Patrick (1942–: #117) Patricia (1942–1942: #118)    </v>
      </c>
      <c r="AC110" s="115" t="str">
        <f>IF(ISNA(IF(K110="Boy",VLOOKUP(A110,'Siblings of those BORN Loyd'!$AP$3:$AQ$70,2,FALSE),VLOOKUP(A110,'Children of Female Loyds'!$AR$5:$AT$60,3,FALSE))),AM110,IF(K110="Boy",VLOOKUP(A110,'Siblings of those BORN Loyd'!$AP$3:$AQ$70,2,FALSE),VLOOKUP(A110,'Children of Female Loyds'!$AR$5:$AT$60,3,FALSE)))</f>
        <v xml:space="preserve">4 - Frances HOYLE (1953 - : #108a) Richard HOYLE (1956 - : #108b) David HOYLE (1961 - : #108c) Peter HOYLE (1963 - : #108d)    </v>
      </c>
      <c r="AD110" s="97" t="str">
        <f t="shared" si="53"/>
        <v xml:space="preserve">5 - Daniel CARTER (1976 -: #108aa) Simon CARTER (1982 -: #108ab) Matthew HOYLE (1982 -: #108ba) Darren HOYLE (1985 -: #108bb) Tanya HOYLE (1985 -: #108ca)              </v>
      </c>
      <c r="AE110" s="105" t="str">
        <f>IF(ISNA(IF(K110="Boy",VLOOKUP(A110,'Grandchildren of Male Loyds'!$AQ$3:$AS$51,3,FALSE),VLOOKUP(A110,'Grandchildren of Female Loyds'!$AX$5:$AZ$63,3,FALSE))),AM110,IF(K110="Boy",VLOOKUP(A110,'Grandchildren of Male Loyds'!$AQ$3:$AS$51,3,FALSE),VLOOKUP(A110,'Grandchildren of Female Loyds'!$AX$5:$AZ$63,3,FALSE)))</f>
        <v xml:space="preserve">Daniel CARTER (1976 -: #108aa) Simon CARTER (1982 -: #108ab) Matthew HOYLE (1982 -: #108ba) Darren HOYLE (1985 -: #108bb) Tanya HOYLE (1985 -: #108ca)           </v>
      </c>
      <c r="AF110" s="105" t="str">
        <f>IF(ISNA(VLOOKUP(A110,'Grandchildren Loyd Daughters'!$BD$5:$BF$50,4,FALSE)),"",VLOOKUP(A110,'Grandchildren Loyd Daughters'!$BD$5:$BF$50,3,FALSE))</f>
        <v/>
      </c>
      <c r="AG110" s="129">
        <f>IF(ISNA(VLOOKUP(A110,'Grandchildren of Male Loyds'!$AQ$3:$AR$60,2,FALSE)),0,VLOOKUP(A110,'Grandchildren of Male Loyds'!$AQ$3:$AR$60,2,FALSE))+IF(ISNA(VLOOKUP(A110,'Grandchildren of Female Loyds'!$AX$5:$AY$50,2,FALSE)),0,VLOOKUP(A110,'Grandchildren of Female Loyds'!$AX$5:$AY$50,2,FALSE))+IF(ISNA(VLOOKUP(A110,'Grandchildren Loyd Daughters'!$BD$5:$BE$50,2,FALSE)),0,VLOOKUP(A110,'Grandchildren Loyd Daughters'!$BD$5:$BE$50,2,FALSE))</f>
        <v>5</v>
      </c>
      <c r="AH110" s="129" t="str">
        <f>VLOOKUP($U110,'Loyd List 1-190 - Edit'!$P$3:$AJ$220,21,FALSE)</f>
        <v>Alice Selina (Lovely) MYHILL (b. 1 Nov 1909, )</v>
      </c>
      <c r="AI110" s="129" t="str">
        <f>VLOOKUP(A110,'Updated Bios &amp; Spouse Details'!$A$1:$J$200,7,FALSE)</f>
        <v>Frank HOYLE (b. 9 Oct 1920, d. 1 Jan 2006)</v>
      </c>
      <c r="AJ110" s="130">
        <f>IF(VLOOKUP($A110,'Loyd List 1-190 - Edit'!$C$1:$AQ$220,'Book Details - NO EDIT'!AJ$1,FALSE)="","",(VLOOKUP($A110,'Loyd List 1-190 - Edit'!$C$1:$AQ$220,'Book Details - NO EDIT'!AJ$1,FALSE)))</f>
        <v>18653</v>
      </c>
      <c r="AK110" s="129" t="str">
        <f>VLOOKUP(A110,'Updated Bios &amp; Spouse Details'!$A$1:$J$200,8,FALSE)</f>
        <v>Married at Torquay, Frank of 1A Victoria Street, Lytham, Lancashire, FY8 5DU, son of Francis HOYLE.</v>
      </c>
      <c r="AL110" s="131" t="str">
        <f>VLOOKUP(A110,'Updated Bios &amp; Spouse Details'!$A$1:$J$200,5,FALSE)</f>
        <v>Joscelyn is the eldest daughter of Lewis (1882–1950: #55). Born 1 Dec 1931 at 12 Rue de Boileau, Paris. Baptised 1932 at the English Church of St. George, Paris. Issue: 1 daughter, 3 sons.</v>
      </c>
      <c r="AM110" s="105" t="str">
        <f>IF(AND(LEN(H110)&gt;0,ISNA(IF(K110="Boy",VLOOKUP(A110,'Siblings of those BORN Loyd'!$AP$3:$AQ$70,2,FALSE),VLOOKUP(A110,'Children of Female Loyds'!$AR$5:$AS$60,2,FALSE)))),"d.s.p","")</f>
        <v/>
      </c>
      <c r="AN110" s="99" t="str">
        <f t="shared" si="55"/>
        <v>Dick (1882–1950: #55)</v>
      </c>
      <c r="AO110" s="99" t="str">
        <f t="shared" si="46"/>
        <v>Lewis (1852–1908: #35)</v>
      </c>
      <c r="AP110" s="99" t="str">
        <f t="shared" si="47"/>
        <v>William (1821–1885: #23)</v>
      </c>
      <c r="AQ110" s="99" t="str">
        <f t="shared" si="48"/>
        <v>Edward (1780–1863: #8)</v>
      </c>
      <c r="AR110" s="99" t="str">
        <f t="shared" si="49"/>
        <v>William (1729–1800: #1)</v>
      </c>
      <c r="AS110" s="99" t="str">
        <f t="shared" si="50"/>
        <v/>
      </c>
      <c r="AT110" s="99" t="str">
        <f t="shared" si="51"/>
        <v/>
      </c>
      <c r="AU110" s="99" t="str">
        <f t="shared" si="52"/>
        <v/>
      </c>
      <c r="AW110" s="116" t="str">
        <f>VLOOKUP(A110,'Updated Bios &amp; Spouse Details'!$A$1:$J$193,6,FALSE)</f>
        <v>France</v>
      </c>
      <c r="AX110" s="131">
        <f>VLOOKUP($A110,'Loyd List 1-190 - Edit'!$P$2:$AQ$220,AX$1,FALSE)</f>
        <v>108</v>
      </c>
      <c r="AY110" s="116" t="str">
        <f>IF(ISNA(VLOOKUP(A110,'Data check lookup table'!$G$2:$V$73,AY$1,FALSE))," - ",VLOOKUP(A110,'Data check lookup table'!$G$2:$V$73,AY$1,FALSE))</f>
        <v xml:space="preserve"> - </v>
      </c>
      <c r="AZ110" s="147" t="str">
        <f t="shared" si="42"/>
        <v/>
      </c>
      <c r="BA110" s="99" t="str">
        <f t="shared" si="56"/>
        <v/>
      </c>
      <c r="BB110" s="99" t="str">
        <f t="shared" si="57"/>
        <v/>
      </c>
      <c r="BI110" s="147" t="s">
        <v>3228</v>
      </c>
    </row>
    <row r="111" spans="1:61" s="99" customFormat="1" ht="68">
      <c r="A111" s="139">
        <f>'Loyd List 1-190 - Edit'!C111</f>
        <v>109</v>
      </c>
      <c r="B111" s="99" t="str">
        <f>VLOOKUP($A111,'Loyd List 1-190 - Edit'!$C$1:$AQ$220,'Book Details - NO EDIT'!B$1,FALSE)</f>
        <v>Margaret</v>
      </c>
      <c r="C111" s="99" t="str">
        <f>IF(VLOOKUP($A111,'Loyd List 1-190 - Edit'!$C$1:$AQ$220,'Book Details - NO EDIT'!C$1,FALSE)="","",VLOOKUP($A111,'Loyd List 1-190 - Edit'!$C$1:$AQ$220,'Book Details - NO EDIT'!C$1,FALSE))</f>
        <v>Beatrix</v>
      </c>
      <c r="D111" s="99" t="str">
        <f>IF(VLOOKUP($A111,'Loyd List 1-190 - Edit'!$C$1:$AQ$220,'Book Details - NO EDIT'!D$1,FALSE)="","",VLOOKUP($A111,'Loyd List 1-190 - Edit'!$C$1:$AQ$220,'Book Details - NO EDIT'!D$1,FALSE))</f>
        <v>Mary</v>
      </c>
      <c r="E111" s="99" t="str">
        <f>IF(VLOOKUP($A111,'Loyd List 1-190 - Edit'!$C$1:$AQ$220,'Book Details - NO EDIT'!E$1,FALSE)="","",VLOOKUP($A111,'Loyd List 1-190 - Edit'!$C$1:$AQ$220,'Book Details - NO EDIT'!E$1,FALSE))</f>
        <v>LOYD</v>
      </c>
      <c r="F111" s="99" t="str">
        <f>IF(VLOOKUP($A111,'Loyd List 1-190 - Edit'!$C$1:$AQ$220,'Book Details - NO EDIT'!F$1,FALSE)="",B111,VLOOKUP($A111,'Loyd List 1-190 - Edit'!$C$1:$AQ$220,'Book Details - NO EDIT'!F$1,FALSE))</f>
        <v>Margaret</v>
      </c>
      <c r="G111" s="140">
        <f>IF(VLOOKUP($A111,'Loyd List 1-190 - Edit'!$C$1:$AQ$220,'Book Details - NO EDIT'!G$1,FALSE)="","",VALUE(VLOOKUP($A111,'Loyd List 1-190 - Edit'!$C$1:$AQ$220,'Book Details - NO EDIT'!G$1,FALSE)))</f>
        <v>1932</v>
      </c>
      <c r="H111" s="140" t="str">
        <f>IF(VLOOKUP($A111,'Loyd List 1-190 - Edit'!$C$1:$AQ$220,'Book Details - NO EDIT'!H$1,FALSE)="","",VALUE(VLOOKUP($A111,'Loyd List 1-190 - Edit'!$C$1:$AQ$220,'Book Details - NO EDIT'!H$1,FALSE)))</f>
        <v/>
      </c>
      <c r="I111" s="141">
        <f>IF(VLOOKUP($A111,'Loyd List 1-190 - Edit'!$C$1:$AQ$220,'Book Details - NO EDIT'!I$1,FALSE)="","",(VLOOKUP($A111,'Loyd List 1-190 - Edit'!$C$1:$AQ$220,'Book Details - NO EDIT'!I$1,FALSE)))</f>
        <v>11749</v>
      </c>
      <c r="J111" s="141" t="str">
        <f>IF(VLOOKUP($A111,'Loyd List 1-190 - Edit'!$C$1:$AQ$220,'Book Details - NO EDIT'!J$1,FALSE)="","",(VLOOKUP($A111,'Loyd List 1-190 - Edit'!$C$1:$AQ$220,'Book Details - NO EDIT'!J$1,FALSE)))</f>
        <v/>
      </c>
      <c r="K111" s="100" t="str">
        <f>VLOOKUP($A111,'Loyd List 1-190 - Edit'!$C$1:$AQ$220,'Book Details - NO EDIT'!K$1,FALSE)</f>
        <v>Girl</v>
      </c>
      <c r="L111" s="140">
        <f>VLOOKUP($A111,'Loyd List 1-190 - Edit'!$C$1:$AQ$220,'Book Details - NO EDIT'!L$1,FALSE)</f>
        <v>80</v>
      </c>
      <c r="M111" s="140">
        <f t="shared" si="34"/>
        <v>29</v>
      </c>
      <c r="N111" s="140">
        <f t="shared" si="34"/>
        <v>14</v>
      </c>
      <c r="O111" s="140">
        <f t="shared" si="34"/>
        <v>4</v>
      </c>
      <c r="P111" s="140">
        <f t="shared" si="31"/>
        <v>1</v>
      </c>
      <c r="Q111" s="140">
        <f t="shared" si="31"/>
        <v>0</v>
      </c>
      <c r="R111" s="140" t="str">
        <f t="shared" si="31"/>
        <v/>
      </c>
      <c r="S111" s="140" t="str">
        <f t="shared" si="35"/>
        <v/>
      </c>
      <c r="T111" s="140">
        <f t="shared" si="32"/>
        <v>5</v>
      </c>
      <c r="U111" s="139">
        <f t="shared" si="36"/>
        <v>109</v>
      </c>
      <c r="V111" s="31" t="str">
        <f t="shared" si="37"/>
        <v>Margaret (1932–)</v>
      </c>
      <c r="W111" s="31" t="str">
        <f t="shared" si="38"/>
        <v>Margaret (#109)</v>
      </c>
      <c r="X111" s="99" t="str">
        <f t="shared" si="39"/>
        <v>Margaret (1932–: #109)</v>
      </c>
      <c r="Y111" s="99" t="str">
        <f t="shared" si="54"/>
        <v>Margaret Beatrix Mary LOYD</v>
      </c>
      <c r="Z111" s="99" t="str">
        <f t="shared" si="40"/>
        <v>Eric (1894–1963: #80)</v>
      </c>
      <c r="AA111" s="99" t="str">
        <f t="shared" si="45"/>
        <v xml:space="preserve">Eric (1894–1963: #80) Arthur (1845–1930: #29) Thomas (1812–1857: #14) William (1770–1828: #4) William (1729–1800: #1)   </v>
      </c>
      <c r="AB111" s="142" t="str">
        <f>VLOOKUP(U111,'Siblings of those BORN Loyd'!$A$2:$G$230,7,FALSE)</f>
        <v xml:space="preserve">3 – Jean (1933–: #110) Michael (1938–: #114) Peter (1942–: #119)     </v>
      </c>
      <c r="AC111" s="115" t="str">
        <f>IF(ISNA(IF(K111="Boy",VLOOKUP(A111,'Siblings of those BORN Loyd'!$AP$3:$AQ$70,2,FALSE),VLOOKUP(A111,'Children of Female Loyds'!$AR$5:$AT$60,3,FALSE))),AM111,IF(K111="Boy",VLOOKUP(A111,'Siblings of those BORN Loyd'!$AP$3:$AQ$70,2,FALSE),VLOOKUP(A111,'Children of Female Loyds'!$AR$5:$AT$60,3,FALSE)))</f>
        <v xml:space="preserve">2 - Jennet WALTON (1964 - : #109a) Timothy WALTON (1967 - : #109b)      </v>
      </c>
      <c r="AD111" s="97" t="str">
        <f t="shared" si="53"/>
        <v xml:space="preserve">4 - Toby WALTON (2008 -: #109ba) Leo WALTON (2012 -: #109bb) Benjamin WALTON (2013 -: #109bc) Isabel WALTON (2016 -: #109bd)               </v>
      </c>
      <c r="AE111" s="105" t="str">
        <f>IF(ISNA(IF(K111="Boy",VLOOKUP(A111,'Grandchildren of Male Loyds'!$AQ$3:$AS$51,3,FALSE),VLOOKUP(A111,'Grandchildren of Female Loyds'!$AX$5:$AZ$63,3,FALSE))),AM111,IF(K111="Boy",VLOOKUP(A111,'Grandchildren of Male Loyds'!$AQ$3:$AS$51,3,FALSE),VLOOKUP(A111,'Grandchildren of Female Loyds'!$AX$5:$AZ$63,3,FALSE)))</f>
        <v xml:space="preserve">Toby WALTON (2008 -: #109ba) Leo WALTON (2012 -: #109bb) Benjamin WALTON (2013 -: #109bc) Isabel WALTON (2016 -: #109bd)            </v>
      </c>
      <c r="AF111" s="105" t="str">
        <f>IF(ISNA(VLOOKUP(A111,'Grandchildren Loyd Daughters'!$BD$5:$BF$50,4,FALSE)),"",VLOOKUP(A111,'Grandchildren Loyd Daughters'!$BD$5:$BF$50,3,FALSE))</f>
        <v/>
      </c>
      <c r="AG111" s="129">
        <f>IF(ISNA(VLOOKUP(A111,'Grandchildren of Male Loyds'!$AQ$3:$AR$60,2,FALSE)),0,VLOOKUP(A111,'Grandchildren of Male Loyds'!$AQ$3:$AR$60,2,FALSE))+IF(ISNA(VLOOKUP(A111,'Grandchildren of Female Loyds'!$AX$5:$AY$50,2,FALSE)),0,VLOOKUP(A111,'Grandchildren of Female Loyds'!$AX$5:$AY$50,2,FALSE))+IF(ISNA(VLOOKUP(A111,'Grandchildren Loyd Daughters'!$BD$5:$BE$50,2,FALSE)),0,VLOOKUP(A111,'Grandchildren Loyd Daughters'!$BD$5:$BE$50,2,FALSE))</f>
        <v>4</v>
      </c>
      <c r="AH111" s="129" t="str">
        <f>VLOOKUP($U111,'Loyd List 1-190 - Edit'!$P$3:$AJ$220,21,FALSE)</f>
        <v>Isabel Mary Beatrix PARKER (b. 22 Feb 1903, d. 13 Jan 1992)</v>
      </c>
      <c r="AI111" s="129" t="str">
        <f>VLOOKUP(A111,'Updated Bios &amp; Spouse Details'!$A$1:$J$200,7,FALSE)</f>
        <v>Terrence (Terry) WALTON (b. 1 Nov 1932, d. 1 Apr 2000)</v>
      </c>
      <c r="AJ111" s="130">
        <f>IF(VLOOKUP($A111,'Loyd List 1-190 - Edit'!$C$1:$AQ$220,'Book Details - NO EDIT'!AJ$1,FALSE)="","",(VLOOKUP($A111,'Loyd List 1-190 - Edit'!$C$1:$AQ$220,'Book Details - NO EDIT'!AJ$1,FALSE)))</f>
        <v>23364</v>
      </c>
      <c r="AK111" s="129" t="str">
        <f>VLOOKUP(A111,'Updated Bios &amp; Spouse Details'!$A$1:$J$200,8,FALSE)</f>
        <v>Margaret married, at Kensington Registry Office, Terry only son of Eric Samuel WALTON of Greenfield, Stafford.</v>
      </c>
      <c r="AL111" s="131" t="str">
        <f>VLOOKUP(A111,'Updated Bios &amp; Spouse Details'!$A$1:$J$200,5,FALSE)</f>
        <v>Margaret lives in Central London and is the elder daughter of Eric (1894–1963: #80). Born 1 Mar 1932. Baptised 8 Apr 1982 at the Brompton Oratory, London SW7. Educated Holy Child Convent, Harrogate. Issue: 1 daughter, 1 son.</v>
      </c>
      <c r="AM111" s="105" t="str">
        <f>IF(AND(LEN(H111)&gt;0,ISNA(IF(K111="Boy",VLOOKUP(A111,'Siblings of those BORN Loyd'!$AP$3:$AQ$70,2,FALSE),VLOOKUP(A111,'Children of Female Loyds'!$AR$5:$AS$60,2,FALSE)))),"d.s.p","")</f>
        <v/>
      </c>
      <c r="AN111" s="99" t="str">
        <f t="shared" si="55"/>
        <v>Eric (1894–1963: #80)</v>
      </c>
      <c r="AO111" s="99" t="str">
        <f t="shared" si="46"/>
        <v>Arthur (1845–1930: #29)</v>
      </c>
      <c r="AP111" s="99" t="str">
        <f t="shared" si="47"/>
        <v>Thomas (1812–1857: #14)</v>
      </c>
      <c r="AQ111" s="99" t="str">
        <f t="shared" si="48"/>
        <v>William (1770–1828: #4)</v>
      </c>
      <c r="AR111" s="99" t="str">
        <f t="shared" si="49"/>
        <v>William (1729–1800: #1)</v>
      </c>
      <c r="AS111" s="99" t="str">
        <f t="shared" si="50"/>
        <v/>
      </c>
      <c r="AT111" s="99" t="str">
        <f t="shared" si="51"/>
        <v/>
      </c>
      <c r="AU111" s="99" t="str">
        <f t="shared" si="52"/>
        <v/>
      </c>
      <c r="AW111" s="116" t="str">
        <f>VLOOKUP(A111,'Updated Bios &amp; Spouse Details'!$A$1:$J$193,6,FALSE)</f>
        <v>England</v>
      </c>
      <c r="AX111" s="131">
        <f>VLOOKUP($A111,'Loyd List 1-190 - Edit'!$P$2:$AQ$220,AX$1,FALSE)</f>
        <v>109</v>
      </c>
      <c r="AY111" s="116" t="str">
        <f>IF(ISNA(VLOOKUP(A111,'Data check lookup table'!$G$2:$V$73,AY$1,FALSE))," - ",VLOOKUP(A111,'Data check lookup table'!$G$2:$V$73,AY$1,FALSE))</f>
        <v>mantlehill@aol.com</v>
      </c>
      <c r="AZ111" s="147" t="str">
        <f t="shared" si="42"/>
        <v/>
      </c>
      <c r="BA111" s="99" t="str">
        <f t="shared" si="56"/>
        <v/>
      </c>
      <c r="BB111" s="99" t="str">
        <f t="shared" si="57"/>
        <v/>
      </c>
      <c r="BI111" s="147" t="s">
        <v>3228</v>
      </c>
    </row>
    <row r="112" spans="1:61" s="99" customFormat="1" ht="68">
      <c r="A112" s="139">
        <f>'Loyd List 1-190 - Edit'!C112</f>
        <v>110</v>
      </c>
      <c r="B112" s="99" t="str">
        <f>VLOOKUP($A112,'Loyd List 1-190 - Edit'!$C$1:$AQ$220,'Book Details - NO EDIT'!B$1,FALSE)</f>
        <v>Jean</v>
      </c>
      <c r="C112" s="99" t="str">
        <f>IF(VLOOKUP($A112,'Loyd List 1-190 - Edit'!$C$1:$AQ$220,'Book Details - NO EDIT'!C$1,FALSE)="","",VLOOKUP($A112,'Loyd List 1-190 - Edit'!$C$1:$AQ$220,'Book Details - NO EDIT'!C$1,FALSE))</f>
        <v>Isabel</v>
      </c>
      <c r="D112" s="99" t="str">
        <f>IF(VLOOKUP($A112,'Loyd List 1-190 - Edit'!$C$1:$AQ$220,'Book Details - NO EDIT'!D$1,FALSE)="","",VLOOKUP($A112,'Loyd List 1-190 - Edit'!$C$1:$AQ$220,'Book Details - NO EDIT'!D$1,FALSE))</f>
        <v/>
      </c>
      <c r="E112" s="99" t="str">
        <f>IF(VLOOKUP($A112,'Loyd List 1-190 - Edit'!$C$1:$AQ$220,'Book Details - NO EDIT'!E$1,FALSE)="","",VLOOKUP($A112,'Loyd List 1-190 - Edit'!$C$1:$AQ$220,'Book Details - NO EDIT'!E$1,FALSE))</f>
        <v>LOYD</v>
      </c>
      <c r="F112" s="99" t="str">
        <f>IF(VLOOKUP($A112,'Loyd List 1-190 - Edit'!$C$1:$AQ$220,'Book Details - NO EDIT'!F$1,FALSE)="",B112,VLOOKUP($A112,'Loyd List 1-190 - Edit'!$C$1:$AQ$220,'Book Details - NO EDIT'!F$1,FALSE))</f>
        <v>Jean</v>
      </c>
      <c r="G112" s="140">
        <f>IF(VLOOKUP($A112,'Loyd List 1-190 - Edit'!$C$1:$AQ$220,'Book Details - NO EDIT'!G$1,FALSE)="","",VALUE(VLOOKUP($A112,'Loyd List 1-190 - Edit'!$C$1:$AQ$220,'Book Details - NO EDIT'!G$1,FALSE)))</f>
        <v>1933</v>
      </c>
      <c r="H112" s="140" t="str">
        <f>IF(VLOOKUP($A112,'Loyd List 1-190 - Edit'!$C$1:$AQ$220,'Book Details - NO EDIT'!H$1,FALSE)="","",VALUE(VLOOKUP($A112,'Loyd List 1-190 - Edit'!$C$1:$AQ$220,'Book Details - NO EDIT'!H$1,FALSE)))</f>
        <v/>
      </c>
      <c r="I112" s="141">
        <f>IF(VLOOKUP($A112,'Loyd List 1-190 - Edit'!$C$1:$AQ$220,'Book Details - NO EDIT'!I$1,FALSE)="","",(VLOOKUP($A112,'Loyd List 1-190 - Edit'!$C$1:$AQ$220,'Book Details - NO EDIT'!I$1,FALSE)))</f>
        <v>12297</v>
      </c>
      <c r="J112" s="141" t="str">
        <f>IF(VLOOKUP($A112,'Loyd List 1-190 - Edit'!$C$1:$AQ$220,'Book Details - NO EDIT'!J$1,FALSE)="","",(VLOOKUP($A112,'Loyd List 1-190 - Edit'!$C$1:$AQ$220,'Book Details - NO EDIT'!J$1,FALSE)))</f>
        <v/>
      </c>
      <c r="K112" s="100" t="str">
        <f>VLOOKUP($A112,'Loyd List 1-190 - Edit'!$C$1:$AQ$220,'Book Details - NO EDIT'!K$1,FALSE)</f>
        <v>Girl</v>
      </c>
      <c r="L112" s="140">
        <f>VLOOKUP($A112,'Loyd List 1-190 - Edit'!$C$1:$AQ$220,'Book Details - NO EDIT'!L$1,FALSE)</f>
        <v>80</v>
      </c>
      <c r="M112" s="140">
        <f t="shared" si="34"/>
        <v>29</v>
      </c>
      <c r="N112" s="140">
        <f t="shared" si="34"/>
        <v>14</v>
      </c>
      <c r="O112" s="140">
        <f t="shared" si="34"/>
        <v>4</v>
      </c>
      <c r="P112" s="140">
        <f t="shared" si="31"/>
        <v>1</v>
      </c>
      <c r="Q112" s="140">
        <f t="shared" si="31"/>
        <v>0</v>
      </c>
      <c r="R112" s="140" t="str">
        <f t="shared" si="31"/>
        <v/>
      </c>
      <c r="S112" s="140" t="str">
        <f t="shared" si="35"/>
        <v/>
      </c>
      <c r="T112" s="140">
        <f t="shared" si="32"/>
        <v>5</v>
      </c>
      <c r="U112" s="139">
        <f t="shared" si="36"/>
        <v>110</v>
      </c>
      <c r="V112" s="31" t="str">
        <f t="shared" si="37"/>
        <v>Jean (1933–)</v>
      </c>
      <c r="W112" s="31" t="str">
        <f t="shared" si="38"/>
        <v>Jean (#110)</v>
      </c>
      <c r="X112" s="99" t="str">
        <f t="shared" si="39"/>
        <v>Jean (1933–: #110)</v>
      </c>
      <c r="Y112" s="99" t="str">
        <f t="shared" si="54"/>
        <v>Jean Isabel LOYD</v>
      </c>
      <c r="Z112" s="99" t="str">
        <f t="shared" si="40"/>
        <v>Eric (1894–1963: #80)</v>
      </c>
      <c r="AA112" s="99" t="str">
        <f t="shared" si="45"/>
        <v xml:space="preserve">Eric (1894–1963: #80) Arthur (1845–1930: #29) Thomas (1812–1857: #14) William (1770–1828: #4) William (1729–1800: #1)   </v>
      </c>
      <c r="AB112" s="142" t="str">
        <f>VLOOKUP(U112,'Siblings of those BORN Loyd'!$A$2:$G$230,7,FALSE)</f>
        <v xml:space="preserve">3 – Margaret (1932–: #109)  Michael (1938–: #114) Peter (1942–: #119)     </v>
      </c>
      <c r="AC112" s="115" t="str">
        <f>IF(ISNA(IF(K112="Boy",VLOOKUP(A112,'Siblings of those BORN Loyd'!$AP$3:$AQ$70,2,FALSE),VLOOKUP(A112,'Children of Female Loyds'!$AR$5:$AT$60,3,FALSE))),AM112,IF(K112="Boy",VLOOKUP(A112,'Siblings of those BORN Loyd'!$AP$3:$AQ$70,2,FALSE),VLOOKUP(A112,'Children of Female Loyds'!$AR$5:$AT$60,3,FALSE)))</f>
        <v xml:space="preserve">4 - John BOYCE (1961 - : #110a) Joanna BOYCE (1963 - : #110b) Robert BOYCE (1964 - : #110c) Paula BOYCE (1966 - : #110d)    </v>
      </c>
      <c r="AD112" s="97" t="str">
        <f t="shared" si="53"/>
        <v xml:space="preserve">6 - Christopher BOYCE (1990 -: #110aa) Andrew BOYCE (1991 -: #110ab) Robin BOYCE (1997 -2019: #110ac) Hannah BOYCE (2011 -: #110ca) Karina BOYCE de CASTRO (1999 -: #110da) Matheus BOYCE de CASTRO (2002 -0: #110db)             </v>
      </c>
      <c r="AE112" s="105" t="str">
        <f>IF(ISNA(IF(K112="Boy",VLOOKUP(A112,'Grandchildren of Male Loyds'!$AQ$3:$AS$51,3,FALSE),VLOOKUP(A112,'Grandchildren of Female Loyds'!$AX$5:$AZ$63,3,FALSE))),AM112,IF(K112="Boy",VLOOKUP(A112,'Grandchildren of Male Loyds'!$AQ$3:$AS$51,3,FALSE),VLOOKUP(A112,'Grandchildren of Female Loyds'!$AX$5:$AZ$63,3,FALSE)))</f>
        <v xml:space="preserve">Christopher BOYCE (1990 -: #110aa) Andrew BOYCE (1991 -: #110ab) Robin BOYCE (1997 -2019: #110ac) Hannah BOYCE (2011 -: #110ca) Karina BOYCE de CASTRO (1999 -: #110da) Matheus BOYCE de CASTRO (2002 -0: #110db)          </v>
      </c>
      <c r="AF112" s="105" t="str">
        <f>IF(ISNA(VLOOKUP(A112,'Grandchildren Loyd Daughters'!$BD$5:$BF$50,4,FALSE)),"",VLOOKUP(A112,'Grandchildren Loyd Daughters'!$BD$5:$BF$50,3,FALSE))</f>
        <v/>
      </c>
      <c r="AG112" s="129">
        <f>IF(ISNA(VLOOKUP(A112,'Grandchildren of Male Loyds'!$AQ$3:$AR$60,2,FALSE)),0,VLOOKUP(A112,'Grandchildren of Male Loyds'!$AQ$3:$AR$60,2,FALSE))+IF(ISNA(VLOOKUP(A112,'Grandchildren of Female Loyds'!$AX$5:$AY$50,2,FALSE)),0,VLOOKUP(A112,'Grandchildren of Female Loyds'!$AX$5:$AY$50,2,FALSE))+IF(ISNA(VLOOKUP(A112,'Grandchildren Loyd Daughters'!$BD$5:$BE$50,2,FALSE)),0,VLOOKUP(A112,'Grandchildren Loyd Daughters'!$BD$5:$BE$50,2,FALSE))</f>
        <v>6</v>
      </c>
      <c r="AH112" s="129" t="str">
        <f>VLOOKUP($U112,'Loyd List 1-190 - Edit'!$P$3:$AJ$220,21,FALSE)</f>
        <v>Isabel Mary Beatrix PARKER (b. 22 Feb 1903, d. 13 Jan 1992)</v>
      </c>
      <c r="AI112" s="129" t="str">
        <f>VLOOKUP(A112,'Updated Bios &amp; Spouse Details'!$A$1:$J$200,7,FALSE)</f>
        <v>Leonard Drummond BOYCE (b 24 May 1933, d. 27 Feb 2005)</v>
      </c>
      <c r="AJ112" s="130">
        <f>IF(VLOOKUP($A112,'Loyd List 1-190 - Edit'!$C$1:$AQ$220,'Book Details - NO EDIT'!AJ$1,FALSE)="","",(VLOOKUP($A112,'Loyd List 1-190 - Edit'!$C$1:$AQ$220,'Book Details - NO EDIT'!AJ$1,FALSE)))</f>
        <v>21801</v>
      </c>
      <c r="AK112" s="129" t="str">
        <f>VLOOKUP(A112,'Updated Bios &amp; Spouse Details'!$A$1:$J$200,8,FALSE)</f>
        <v>Married at St Peter’s, Marlow, Leonard 3rd son of Robert Craig BOYCE of Glasgow. French Master, The Edinburgh Academy 1959-92.</v>
      </c>
      <c r="AL112" s="131" t="str">
        <f>VLOOKUP(A112,'Updated Bios &amp; Spouse Details'!$A$1:$J$200,5,FALSE)</f>
        <v>Jean lives in Canterbury, Kent and is the younger daughter of Eric (1894–1963: #80). Born 31 Aug 1933. Baptised 29 Sep 1933 at the Brompton Oratory, London SW7. Educated Holy Child Convent, Harrogate and Reading University (BA). Issue: 2 sons, 2 daughters.</v>
      </c>
      <c r="AM112" s="105" t="str">
        <f>IF(AND(LEN(H112)&gt;0,ISNA(IF(K112="Boy",VLOOKUP(A112,'Siblings of those BORN Loyd'!$AP$3:$AQ$70,2,FALSE),VLOOKUP(A112,'Children of Female Loyds'!$AR$5:$AS$60,2,FALSE)))),"d.s.p","")</f>
        <v/>
      </c>
      <c r="AN112" s="99" t="str">
        <f t="shared" si="55"/>
        <v>Eric (1894–1963: #80)</v>
      </c>
      <c r="AO112" s="99" t="str">
        <f t="shared" si="46"/>
        <v>Arthur (1845–1930: #29)</v>
      </c>
      <c r="AP112" s="99" t="str">
        <f t="shared" si="47"/>
        <v>Thomas (1812–1857: #14)</v>
      </c>
      <c r="AQ112" s="99" t="str">
        <f t="shared" si="48"/>
        <v>William (1770–1828: #4)</v>
      </c>
      <c r="AR112" s="99" t="str">
        <f t="shared" si="49"/>
        <v>William (1729–1800: #1)</v>
      </c>
      <c r="AS112" s="99" t="str">
        <f t="shared" si="50"/>
        <v/>
      </c>
      <c r="AT112" s="99" t="str">
        <f t="shared" si="51"/>
        <v/>
      </c>
      <c r="AU112" s="99" t="str">
        <f t="shared" si="52"/>
        <v/>
      </c>
      <c r="AW112" s="116" t="str">
        <f>VLOOKUP(A112,'Updated Bios &amp; Spouse Details'!$A$1:$J$193,6,FALSE)</f>
        <v>England</v>
      </c>
      <c r="AX112" s="131">
        <f>VLOOKUP($A112,'Loyd List 1-190 - Edit'!$P$2:$AQ$220,AX$1,FALSE)</f>
        <v>110</v>
      </c>
      <c r="AY112" s="116" t="str">
        <f>IF(ISNA(VLOOKUP(A112,'Data check lookup table'!$G$2:$V$73,AY$1,FALSE))," - ",VLOOKUP(A112,'Data check lookup table'!$G$2:$V$73,AY$1,FALSE))</f>
        <v>mantlehill@aol.com</v>
      </c>
      <c r="AZ112" s="147" t="str">
        <f t="shared" si="42"/>
        <v/>
      </c>
      <c r="BA112" s="99" t="str">
        <f t="shared" si="56"/>
        <v/>
      </c>
      <c r="BB112" s="99" t="str">
        <f t="shared" si="57"/>
        <v/>
      </c>
      <c r="BI112" s="147" t="s">
        <v>3228</v>
      </c>
    </row>
    <row r="113" spans="1:61" s="99" customFormat="1" ht="34">
      <c r="A113" s="139">
        <f>'Loyd List 1-190 - Edit'!C113</f>
        <v>111</v>
      </c>
      <c r="B113" s="99" t="str">
        <f>VLOOKUP($A113,'Loyd List 1-190 - Edit'!$C$1:$AQ$220,'Book Details - NO EDIT'!B$1,FALSE)</f>
        <v>Andrew</v>
      </c>
      <c r="C113" s="99" t="str">
        <f>IF(VLOOKUP($A113,'Loyd List 1-190 - Edit'!$C$1:$AQ$220,'Book Details - NO EDIT'!C$1,FALSE)="","",VLOOKUP($A113,'Loyd List 1-190 - Edit'!$C$1:$AQ$220,'Book Details - NO EDIT'!C$1,FALSE))</f>
        <v>Haig</v>
      </c>
      <c r="D113" s="99" t="str">
        <f>IF(VLOOKUP($A113,'Loyd List 1-190 - Edit'!$C$1:$AQ$220,'Book Details - NO EDIT'!D$1,FALSE)="","",VLOOKUP($A113,'Loyd List 1-190 - Edit'!$C$1:$AQ$220,'Book Details - NO EDIT'!D$1,FALSE))</f>
        <v/>
      </c>
      <c r="E113" s="99" t="str">
        <f>IF(VLOOKUP($A113,'Loyd List 1-190 - Edit'!$C$1:$AQ$220,'Book Details - NO EDIT'!E$1,FALSE)="","",VLOOKUP($A113,'Loyd List 1-190 - Edit'!$C$1:$AQ$220,'Book Details - NO EDIT'!E$1,FALSE))</f>
        <v>LOYD</v>
      </c>
      <c r="F113" s="99" t="str">
        <f>IF(VLOOKUP($A113,'Loyd List 1-190 - Edit'!$C$1:$AQ$220,'Book Details - NO EDIT'!F$1,FALSE)="",B113,VLOOKUP($A113,'Loyd List 1-190 - Edit'!$C$1:$AQ$220,'Book Details - NO EDIT'!F$1,FALSE))</f>
        <v>Andrew</v>
      </c>
      <c r="G113" s="140">
        <f>IF(VLOOKUP($A113,'Loyd List 1-190 - Edit'!$C$1:$AQ$220,'Book Details - NO EDIT'!G$1,FALSE)="","",VALUE(VLOOKUP($A113,'Loyd List 1-190 - Edit'!$C$1:$AQ$220,'Book Details - NO EDIT'!G$1,FALSE)))</f>
        <v>1934</v>
      </c>
      <c r="H113" s="140">
        <f>IF(VLOOKUP($A113,'Loyd List 1-190 - Edit'!$C$1:$AQ$220,'Book Details - NO EDIT'!H$1,FALSE)="","",VALUE(VLOOKUP($A113,'Loyd List 1-190 - Edit'!$C$1:$AQ$220,'Book Details - NO EDIT'!H$1,FALSE)))</f>
        <v>1975</v>
      </c>
      <c r="I113" s="141">
        <f>IF(VLOOKUP($A113,'Loyd List 1-190 - Edit'!$C$1:$AQ$220,'Book Details - NO EDIT'!I$1,FALSE)="","",(VLOOKUP($A113,'Loyd List 1-190 - Edit'!$C$1:$AQ$220,'Book Details - NO EDIT'!I$1,FALSE)))</f>
        <v>12643</v>
      </c>
      <c r="J113" s="141" t="str">
        <f>IF(VLOOKUP($A113,'Loyd List 1-190 - Edit'!$C$1:$AQ$220,'Book Details - NO EDIT'!J$1,FALSE)="","",(VLOOKUP($A113,'Loyd List 1-190 - Edit'!$C$1:$AQ$220,'Book Details - NO EDIT'!J$1,FALSE)))</f>
        <v>07/03/1975</v>
      </c>
      <c r="K113" s="100" t="str">
        <f>VLOOKUP($A113,'Loyd List 1-190 - Edit'!$C$1:$AQ$220,'Book Details - NO EDIT'!K$1,FALSE)</f>
        <v>Boy</v>
      </c>
      <c r="L113" s="140">
        <f>VLOOKUP($A113,'Loyd List 1-190 - Edit'!$C$1:$AQ$220,'Book Details - NO EDIT'!L$1,FALSE)</f>
        <v>77</v>
      </c>
      <c r="M113" s="140">
        <f t="shared" si="34"/>
        <v>30</v>
      </c>
      <c r="N113" s="140">
        <f t="shared" si="34"/>
        <v>14</v>
      </c>
      <c r="O113" s="140">
        <f t="shared" si="34"/>
        <v>4</v>
      </c>
      <c r="P113" s="140">
        <f t="shared" si="31"/>
        <v>1</v>
      </c>
      <c r="Q113" s="140">
        <f t="shared" si="31"/>
        <v>0</v>
      </c>
      <c r="R113" s="140" t="str">
        <f t="shared" si="31"/>
        <v/>
      </c>
      <c r="S113" s="140" t="str">
        <f t="shared" si="35"/>
        <v/>
      </c>
      <c r="T113" s="140">
        <f t="shared" si="32"/>
        <v>5</v>
      </c>
      <c r="U113" s="139">
        <f t="shared" si="36"/>
        <v>111</v>
      </c>
      <c r="V113" s="31" t="str">
        <f t="shared" si="37"/>
        <v>Andrew (1934–1975)</v>
      </c>
      <c r="W113" s="31" t="str">
        <f t="shared" si="38"/>
        <v>Andrew (#111)</v>
      </c>
      <c r="X113" s="99" t="str">
        <f t="shared" si="39"/>
        <v>Andrew (1934–1975: #111)</v>
      </c>
      <c r="Y113" s="99" t="str">
        <f t="shared" si="54"/>
        <v>Andrew Haig LOYD</v>
      </c>
      <c r="Z113" s="99" t="str">
        <f t="shared" si="40"/>
        <v>Wilfrid (1893–1971: #77)</v>
      </c>
      <c r="AA113" s="99" t="str">
        <f t="shared" si="45"/>
        <v xml:space="preserve">Wilfrid (1893–1971: #77) Archie (1847–1922: #30) Thomas (1812–1857: #14) William (1770–1828: #4) William (1729–1800: #1)   </v>
      </c>
      <c r="AB113" s="142" t="str">
        <f>VLOOKUP(U113,'Siblings of those BORN Loyd'!$A$2:$G$230,7,FALSE)</f>
        <v xml:space="preserve">3 – Peter (1922–2022: #98) Geoffrey (1926–2018: #105) Denise (1928–: #106)      </v>
      </c>
      <c r="AC113" s="115" t="str">
        <f>IF(ISNA(IF(K113="Boy",VLOOKUP(A113,'Siblings of those BORN Loyd'!$AP$3:$AQ$70,2,FALSE),VLOOKUP(A113,'Children of Female Loyds'!$AR$5:$AT$60,3,FALSE))),AM113,IF(K113="Boy",VLOOKUP(A113,'Siblings of those BORN Loyd'!$AP$3:$AQ$70,2,FALSE),VLOOKUP(A113,'Children of Female Loyds'!$AR$5:$AT$60,3,FALSE)))</f>
        <v>d.s.p</v>
      </c>
      <c r="AD113" s="97" t="str">
        <f t="shared" si="53"/>
        <v>d.s.p.</v>
      </c>
      <c r="AE113" s="105" t="str">
        <f>IF(ISNA(IF(K113="Boy",VLOOKUP(A113,'Grandchildren of Male Loyds'!$AQ$3:$AS$51,3,FALSE),VLOOKUP(A113,'Grandchildren of Female Loyds'!$AX$5:$AZ$63,3,FALSE))),AM113,IF(K113="Boy",VLOOKUP(A113,'Grandchildren of Male Loyds'!$AQ$3:$AS$51,3,FALSE),VLOOKUP(A113,'Grandchildren of Female Loyds'!$AX$5:$AZ$63,3,FALSE)))</f>
        <v>d.s.p</v>
      </c>
      <c r="AF113" s="105" t="str">
        <f>IF(ISNA(VLOOKUP(A113,'Grandchildren Loyd Daughters'!$BD$5:$BF$50,4,FALSE)),"",VLOOKUP(A113,'Grandchildren Loyd Daughters'!$BD$5:$BF$50,3,FALSE))</f>
        <v/>
      </c>
      <c r="AG113" s="129">
        <f>IF(ISNA(VLOOKUP(A113,'Grandchildren of Male Loyds'!$AQ$3:$AR$60,2,FALSE)),0,VLOOKUP(A113,'Grandchildren of Male Loyds'!$AQ$3:$AR$60,2,FALSE))+IF(ISNA(VLOOKUP(A113,'Grandchildren of Female Loyds'!$AX$5:$AY$50,2,FALSE)),0,VLOOKUP(A113,'Grandchildren of Female Loyds'!$AX$5:$AY$50,2,FALSE))+IF(ISNA(VLOOKUP(A113,'Grandchildren Loyd Daughters'!$BD$5:$BE$50,2,FALSE)),0,VLOOKUP(A113,'Grandchildren Loyd Daughters'!$BD$5:$BE$50,2,FALSE))</f>
        <v>0</v>
      </c>
      <c r="AH113" s="129" t="str">
        <f>VLOOKUP($U113,'Loyd List 1-190 - Edit'!$P$3:$AJ$220,21,FALSE)</f>
        <v>Emily Charlotte Eileen OAKELEY (b. 28 Jan 1896, d. 8 May 1978)</v>
      </c>
      <c r="AI113" s="129" t="str">
        <f>VLOOKUP(A113,'Updated Bios &amp; Spouse Details'!$A$1:$J$200,7,FALSE)</f>
        <v>Unmarried</v>
      </c>
      <c r="AJ113" s="130" t="str">
        <f>IF(VLOOKUP($A113,'Loyd List 1-190 - Edit'!$C$1:$AQ$220,'Book Details - NO EDIT'!AJ$1,FALSE)="","",(VLOOKUP($A113,'Loyd List 1-190 - Edit'!$C$1:$AQ$220,'Book Details - NO EDIT'!AJ$1,FALSE)))</f>
        <v xml:space="preserve"> - </v>
      </c>
      <c r="AK113" s="129" t="str">
        <f>VLOOKUP(A113,'Updated Bios &amp; Spouse Details'!$A$1:$J$200,8,FALSE)</f>
        <v xml:space="preserve"> - </v>
      </c>
      <c r="AL113" s="131" t="str">
        <f>VLOOKUP(A113,'Updated Bios &amp; Spouse Details'!$A$1:$J$200,5,FALSE)</f>
        <v>Andrew was the 3rd and youngest son of Wilfrid (1893–1971: #77). Born 12 Aug 1934 at 36 Chester Square, baptised 15 Nov 1934 at St Michael’s, Chester Square by the Dean of Lincoln. Andrew had Down's syndrome. Died, unmarried, 7 Mar 1975. DSP</v>
      </c>
      <c r="AM113" s="105" t="str">
        <f>IF(AND(LEN(H113)&gt;0,ISNA(IF(K113="Boy",VLOOKUP(A113,'Siblings of those BORN Loyd'!$AP$3:$AQ$70,2,FALSE),VLOOKUP(A113,'Children of Female Loyds'!$AR$5:$AS$60,2,FALSE)))),"d.s.p","")</f>
        <v>d.s.p</v>
      </c>
      <c r="AN113" s="99" t="str">
        <f t="shared" si="55"/>
        <v>Wilfrid (1893–1971: #77)</v>
      </c>
      <c r="AO113" s="99" t="str">
        <f t="shared" si="46"/>
        <v>Archie (1847–1922: #30)</v>
      </c>
      <c r="AP113" s="99" t="str">
        <f t="shared" si="47"/>
        <v>Thomas (1812–1857: #14)</v>
      </c>
      <c r="AQ113" s="99" t="str">
        <f t="shared" si="48"/>
        <v>William (1770–1828: #4)</v>
      </c>
      <c r="AR113" s="99" t="str">
        <f t="shared" si="49"/>
        <v>William (1729–1800: #1)</v>
      </c>
      <c r="AS113" s="99" t="str">
        <f t="shared" si="50"/>
        <v/>
      </c>
      <c r="AT113" s="99" t="str">
        <f t="shared" si="51"/>
        <v/>
      </c>
      <c r="AU113" s="99" t="str">
        <f t="shared" si="52"/>
        <v/>
      </c>
      <c r="AW113" s="116" t="str">
        <f>VLOOKUP(A113,'Updated Bios &amp; Spouse Details'!$A$1:$J$193,6,FALSE)</f>
        <v>England</v>
      </c>
      <c r="AX113" s="131">
        <f>VLOOKUP($A113,'Loyd List 1-190 - Edit'!$P$2:$AQ$220,AX$1,FALSE)</f>
        <v>111</v>
      </c>
      <c r="AY113" s="116" t="str">
        <f>IF(ISNA(VLOOKUP(A113,'Data check lookup table'!$G$2:$V$73,AY$1,FALSE))," - ",VLOOKUP(A113,'Data check lookup table'!$G$2:$V$73,AY$1,FALSE))</f>
        <v xml:space="preserve"> - </v>
      </c>
      <c r="AZ113" s="147" t="str">
        <f t="shared" si="42"/>
        <v>07/03/1975</v>
      </c>
      <c r="BA113" s="99" t="str">
        <f t="shared" si="56"/>
        <v/>
      </c>
      <c r="BB113" s="99" t="str">
        <f t="shared" si="57"/>
        <v/>
      </c>
      <c r="BI113" s="147" t="s">
        <v>3237</v>
      </c>
    </row>
    <row r="114" spans="1:61" s="99" customFormat="1" ht="51">
      <c r="A114" s="139">
        <f>'Loyd List 1-190 - Edit'!C114</f>
        <v>112</v>
      </c>
      <c r="B114" s="99" t="str">
        <f>VLOOKUP($A114,'Loyd List 1-190 - Edit'!$C$1:$AQ$220,'Book Details - NO EDIT'!B$1,FALSE)</f>
        <v>Una</v>
      </c>
      <c r="C114" s="99" t="str">
        <f>IF(VLOOKUP($A114,'Loyd List 1-190 - Edit'!$C$1:$AQ$220,'Book Details - NO EDIT'!C$1,FALSE)="","",VLOOKUP($A114,'Loyd List 1-190 - Edit'!$C$1:$AQ$220,'Book Details - NO EDIT'!C$1,FALSE))</f>
        <v>Alys</v>
      </c>
      <c r="D114" s="99" t="str">
        <f>IF(VLOOKUP($A114,'Loyd List 1-190 - Edit'!$C$1:$AQ$220,'Book Details - NO EDIT'!D$1,FALSE)="","",VLOOKUP($A114,'Loyd List 1-190 - Edit'!$C$1:$AQ$220,'Book Details - NO EDIT'!D$1,FALSE))</f>
        <v>Doreen</v>
      </c>
      <c r="E114" s="99" t="str">
        <f>IF(VLOOKUP($A114,'Loyd List 1-190 - Edit'!$C$1:$AQ$220,'Book Details - NO EDIT'!E$1,FALSE)="","",VLOOKUP($A114,'Loyd List 1-190 - Edit'!$C$1:$AQ$220,'Book Details - NO EDIT'!E$1,FALSE))</f>
        <v>LOYD</v>
      </c>
      <c r="F114" s="99" t="str">
        <f>IF(VLOOKUP($A114,'Loyd List 1-190 - Edit'!$C$1:$AQ$220,'Book Details - NO EDIT'!F$1,FALSE)="",B114,VLOOKUP($A114,'Loyd List 1-190 - Edit'!$C$1:$AQ$220,'Book Details - NO EDIT'!F$1,FALSE))</f>
        <v>Deen</v>
      </c>
      <c r="G114" s="140">
        <f>IF(VLOOKUP($A114,'Loyd List 1-190 - Edit'!$C$1:$AQ$220,'Book Details - NO EDIT'!G$1,FALSE)="","",VALUE(VLOOKUP($A114,'Loyd List 1-190 - Edit'!$C$1:$AQ$220,'Book Details - NO EDIT'!G$1,FALSE)))</f>
        <v>1936</v>
      </c>
      <c r="H114" s="140">
        <f>IF(VLOOKUP($A114,'Loyd List 1-190 - Edit'!$C$1:$AQ$220,'Book Details - NO EDIT'!H$1,FALSE)="","",VALUE(VLOOKUP($A114,'Loyd List 1-190 - Edit'!$C$1:$AQ$220,'Book Details - NO EDIT'!H$1,FALSE)))</f>
        <v>2016</v>
      </c>
      <c r="I114" s="141">
        <f>IF(VLOOKUP($A114,'Loyd List 1-190 - Edit'!$C$1:$AQ$220,'Book Details - NO EDIT'!I$1,FALSE)="","",(VLOOKUP($A114,'Loyd List 1-190 - Edit'!$C$1:$AQ$220,'Book Details - NO EDIT'!I$1,FALSE)))</f>
        <v>13204</v>
      </c>
      <c r="J114" s="141" t="str">
        <f>IF(VLOOKUP($A114,'Loyd List 1-190 - Edit'!$C$1:$AQ$220,'Book Details - NO EDIT'!J$1,FALSE)="","",(VLOOKUP($A114,'Loyd List 1-190 - Edit'!$C$1:$AQ$220,'Book Details - NO EDIT'!J$1,FALSE)))</f>
        <v>01/05/2016</v>
      </c>
      <c r="K114" s="100" t="str">
        <f>VLOOKUP($A114,'Loyd List 1-190 - Edit'!$C$1:$AQ$220,'Book Details - NO EDIT'!K$1,FALSE)</f>
        <v>Girl</v>
      </c>
      <c r="L114" s="140">
        <f>VLOOKUP($A114,'Loyd List 1-190 - Edit'!$C$1:$AQ$220,'Book Details - NO EDIT'!L$1,FALSE)</f>
        <v>55</v>
      </c>
      <c r="M114" s="140">
        <f t="shared" si="34"/>
        <v>35</v>
      </c>
      <c r="N114" s="140">
        <f t="shared" si="34"/>
        <v>23</v>
      </c>
      <c r="O114" s="140">
        <f t="shared" si="34"/>
        <v>8</v>
      </c>
      <c r="P114" s="140">
        <f t="shared" si="31"/>
        <v>1</v>
      </c>
      <c r="Q114" s="140">
        <f t="shared" si="31"/>
        <v>0</v>
      </c>
      <c r="R114" s="140" t="str">
        <f t="shared" si="31"/>
        <v/>
      </c>
      <c r="S114" s="140" t="str">
        <f t="shared" si="35"/>
        <v/>
      </c>
      <c r="T114" s="140">
        <f t="shared" si="32"/>
        <v>5</v>
      </c>
      <c r="U114" s="139">
        <f t="shared" si="36"/>
        <v>112</v>
      </c>
      <c r="V114" s="31" t="str">
        <f t="shared" si="37"/>
        <v>Deen (1936–2016)</v>
      </c>
      <c r="W114" s="31" t="str">
        <f t="shared" si="38"/>
        <v>Deen (#112)</v>
      </c>
      <c r="X114" s="99" t="str">
        <f t="shared" si="39"/>
        <v>Deen (1936–2016: #112)</v>
      </c>
      <c r="Y114" s="99" t="str">
        <f t="shared" si="54"/>
        <v>Una Alys Doreen LOYD</v>
      </c>
      <c r="Z114" s="99" t="str">
        <f t="shared" si="40"/>
        <v>Dick (1882–1950: #55)</v>
      </c>
      <c r="AA114" s="99" t="str">
        <f t="shared" si="45"/>
        <v xml:space="preserve">Dick (1882–1950: #55) Lewis (1852–1908: #35) William (1821–1885: #23) Edward (1780–1863: #8) William (1729–1800: #1)   </v>
      </c>
      <c r="AB114" s="142" t="str">
        <f>VLOOKUP(U114,'Siblings of those BORN Loyd'!$A$2:$G$230,7,FALSE)</f>
        <v xml:space="preserve">4 – Jos (1931–: #108)  Peggy (1939–: #116) Patrick (1942–: #117) Patricia (1942–1942: #118)    </v>
      </c>
      <c r="AC114" s="115" t="str">
        <f>IF(ISNA(IF(K114="Boy",VLOOKUP(A114,'Siblings of those BORN Loyd'!$AP$3:$AQ$70,2,FALSE),VLOOKUP(A114,'Children of Female Loyds'!$AR$5:$AT$60,3,FALSE))),AM114,IF(K114="Boy",VLOOKUP(A114,'Siblings of those BORN Loyd'!$AP$3:$AQ$70,2,FALSE),VLOOKUP(A114,'Children of Female Loyds'!$AR$5:$AT$60,3,FALSE)))</f>
        <v xml:space="preserve">4 - Kevin DOWNES (1958 - : #112a) Lynda DOWNES (1960 - : #112b) Graeme DOWNES (1961 - : #112c) Lesley DOWNES (1963 - : #112d)    </v>
      </c>
      <c r="AD114" s="97" t="str">
        <f t="shared" si="53"/>
        <v>-</v>
      </c>
      <c r="AE114" s="105" t="str">
        <f>IF(ISNA(IF(K114="Boy",VLOOKUP(A114,'Grandchildren of Male Loyds'!$AQ$3:$AS$51,3,FALSE),VLOOKUP(A114,'Grandchildren of Female Loyds'!$AX$5:$AZ$63,3,FALSE))),AM114,IF(K114="Boy",VLOOKUP(A114,'Grandchildren of Male Loyds'!$AQ$3:$AS$51,3,FALSE),VLOOKUP(A114,'Grandchildren of Female Loyds'!$AX$5:$AZ$63,3,FALSE)))</f>
        <v/>
      </c>
      <c r="AF114" s="105" t="str">
        <f>IF(ISNA(VLOOKUP(A114,'Grandchildren Loyd Daughters'!$BD$5:$BF$50,4,FALSE)),"",VLOOKUP(A114,'Grandchildren Loyd Daughters'!$BD$5:$BF$50,3,FALSE))</f>
        <v/>
      </c>
      <c r="AG114" s="129">
        <f>IF(ISNA(VLOOKUP(A114,'Grandchildren of Male Loyds'!$AQ$3:$AR$60,2,FALSE)),0,VLOOKUP(A114,'Grandchildren of Male Loyds'!$AQ$3:$AR$60,2,FALSE))+IF(ISNA(VLOOKUP(A114,'Grandchildren of Female Loyds'!$AX$5:$AY$50,2,FALSE)),0,VLOOKUP(A114,'Grandchildren of Female Loyds'!$AX$5:$AY$50,2,FALSE))+IF(ISNA(VLOOKUP(A114,'Grandchildren Loyd Daughters'!$BD$5:$BE$50,2,FALSE)),0,VLOOKUP(A114,'Grandchildren Loyd Daughters'!$BD$5:$BE$50,2,FALSE))</f>
        <v>0</v>
      </c>
      <c r="AH114" s="129" t="str">
        <f>VLOOKUP($U114,'Loyd List 1-190 - Edit'!$P$3:$AJ$220,21,FALSE)</f>
        <v>Alice Selina (Lovely) MYHILL (b. 1 Nov 1909, )</v>
      </c>
      <c r="AI114" s="129" t="str">
        <f>VLOOKUP(A114,'Updated Bios &amp; Spouse Details'!$A$1:$J$200,7,FALSE)</f>
        <v>Cyril Eric DOWNES (b. 12 Nov 1930, )</v>
      </c>
      <c r="AJ114" s="130">
        <f>IF(VLOOKUP($A114,'Loyd List 1-190 - Edit'!$C$1:$AQ$220,'Book Details - NO EDIT'!AJ$1,FALSE)="","",(VLOOKUP($A114,'Loyd List 1-190 - Edit'!$C$1:$AQ$220,'Book Details - NO EDIT'!AJ$1,FALSE)))</f>
        <v>24181</v>
      </c>
      <c r="AK114" s="129" t="str">
        <f>VLOOKUP(A114,'Updated Bios &amp; Spouse Details'!$A$1:$J$200,8,FALSE)</f>
        <v>Married, at Loughborough Registry Office, Cyril of Home Farm, Wicklewood, Norfolk. (Div. Jan 1977).</v>
      </c>
      <c r="AL114" s="131" t="str">
        <f>VLOOKUP(A114,'Updated Bios &amp; Spouse Details'!$A$1:$J$200,5,FALSE)</f>
        <v xml:space="preserve">Deen was the 2nd daughter of Lewis (1882–1950: #55). Born 24 Feb 1936 at Rue de Conde, Saint-Jean-Les-Deux-Jumeaux, France. Baptised 16 Apr 1936 at the English Church of St. George, Paris. Died 1 May 2006. Issue: 2 sons, 2 daughters.                  </v>
      </c>
      <c r="AM114" s="105" t="str">
        <f>IF(AND(LEN(H114)&gt;0,ISNA(IF(K114="Boy",VLOOKUP(A114,'Siblings of those BORN Loyd'!$AP$3:$AQ$70,2,FALSE),VLOOKUP(A114,'Children of Female Loyds'!$AR$5:$AS$60,2,FALSE)))),"d.s.p","")</f>
        <v/>
      </c>
      <c r="AN114" s="99" t="str">
        <f t="shared" si="55"/>
        <v>Dick (1882–1950: #55)</v>
      </c>
      <c r="AO114" s="99" t="str">
        <f t="shared" si="46"/>
        <v>Lewis (1852–1908: #35)</v>
      </c>
      <c r="AP114" s="99" t="str">
        <f t="shared" si="47"/>
        <v>William (1821–1885: #23)</v>
      </c>
      <c r="AQ114" s="99" t="str">
        <f t="shared" si="48"/>
        <v>Edward (1780–1863: #8)</v>
      </c>
      <c r="AR114" s="99" t="str">
        <f t="shared" si="49"/>
        <v>William (1729–1800: #1)</v>
      </c>
      <c r="AS114" s="99" t="str">
        <f t="shared" si="50"/>
        <v/>
      </c>
      <c r="AT114" s="99" t="str">
        <f t="shared" si="51"/>
        <v/>
      </c>
      <c r="AU114" s="99" t="str">
        <f t="shared" si="52"/>
        <v/>
      </c>
      <c r="AW114" s="116" t="str">
        <f>VLOOKUP(A114,'Updated Bios &amp; Spouse Details'!$A$1:$J$193,6,FALSE)</f>
        <v>France</v>
      </c>
      <c r="AX114" s="131">
        <f>VLOOKUP($A114,'Loyd List 1-190 - Edit'!$P$2:$AQ$220,AX$1,FALSE)</f>
        <v>112</v>
      </c>
      <c r="AY114" s="116" t="str">
        <f>IF(ISNA(VLOOKUP(A114,'Data check lookup table'!$G$2:$V$73,AY$1,FALSE))," - ",VLOOKUP(A114,'Data check lookup table'!$G$2:$V$73,AY$1,FALSE))</f>
        <v xml:space="preserve"> - </v>
      </c>
      <c r="AZ114" s="147" t="str">
        <f t="shared" si="42"/>
        <v>01/05/2016</v>
      </c>
      <c r="BA114" s="99" t="str">
        <f t="shared" si="56"/>
        <v/>
      </c>
      <c r="BB114" s="99" t="str">
        <f t="shared" si="57"/>
        <v/>
      </c>
      <c r="BI114" s="147" t="s">
        <v>3238</v>
      </c>
    </row>
    <row r="115" spans="1:61" s="99" customFormat="1" ht="85">
      <c r="A115" s="139">
        <f>'Loyd List 1-190 - Edit'!C115</f>
        <v>113</v>
      </c>
      <c r="B115" s="99" t="str">
        <f>VLOOKUP($A115,'Loyd List 1-190 - Edit'!$C$1:$AQ$220,'Book Details - NO EDIT'!B$1,FALSE)</f>
        <v>William</v>
      </c>
      <c r="C115" s="99" t="str">
        <f>IF(VLOOKUP($A115,'Loyd List 1-190 - Edit'!$C$1:$AQ$220,'Book Details - NO EDIT'!C$1,FALSE)="","",VLOOKUP($A115,'Loyd List 1-190 - Edit'!$C$1:$AQ$220,'Book Details - NO EDIT'!C$1,FALSE))</f>
        <v>Tetbert</v>
      </c>
      <c r="D115" s="99" t="str">
        <f>IF(VLOOKUP($A115,'Loyd List 1-190 - Edit'!$C$1:$AQ$220,'Book Details - NO EDIT'!D$1,FALSE)="","",VLOOKUP($A115,'Loyd List 1-190 - Edit'!$C$1:$AQ$220,'Book Details - NO EDIT'!D$1,FALSE))</f>
        <v>Vivian</v>
      </c>
      <c r="E115" s="99" t="str">
        <f>IF(VLOOKUP($A115,'Loyd List 1-190 - Edit'!$C$1:$AQ$220,'Book Details - NO EDIT'!E$1,FALSE)="","",VLOOKUP($A115,'Loyd List 1-190 - Edit'!$C$1:$AQ$220,'Book Details - NO EDIT'!E$1,FALSE))</f>
        <v>LOYD</v>
      </c>
      <c r="F115" s="99" t="str">
        <f>IF(VLOOKUP($A115,'Loyd List 1-190 - Edit'!$C$1:$AQ$220,'Book Details - NO EDIT'!F$1,FALSE)="",B115,VLOOKUP($A115,'Loyd List 1-190 - Edit'!$C$1:$AQ$220,'Book Details - NO EDIT'!F$1,FALSE))</f>
        <v>Willie</v>
      </c>
      <c r="G115" s="140">
        <f>IF(VLOOKUP($A115,'Loyd List 1-190 - Edit'!$C$1:$AQ$220,'Book Details - NO EDIT'!G$1,FALSE)="","",VALUE(VLOOKUP($A115,'Loyd List 1-190 - Edit'!$C$1:$AQ$220,'Book Details - NO EDIT'!G$1,FALSE)))</f>
        <v>1937</v>
      </c>
      <c r="H115" s="140">
        <f>IF(VLOOKUP($A115,'Loyd List 1-190 - Edit'!$C$1:$AQ$220,'Book Details - NO EDIT'!H$1,FALSE)="","",VALUE(VLOOKUP($A115,'Loyd List 1-190 - Edit'!$C$1:$AQ$220,'Book Details - NO EDIT'!H$1,FALSE)))</f>
        <v>1994</v>
      </c>
      <c r="I115" s="141">
        <f>IF(VLOOKUP($A115,'Loyd List 1-190 - Edit'!$C$1:$AQ$220,'Book Details - NO EDIT'!I$1,FALSE)="","",(VLOOKUP($A115,'Loyd List 1-190 - Edit'!$C$1:$AQ$220,'Book Details - NO EDIT'!I$1,FALSE)))</f>
        <v>13872</v>
      </c>
      <c r="J115" s="141" t="str">
        <f>IF(VLOOKUP($A115,'Loyd List 1-190 - Edit'!$C$1:$AQ$220,'Book Details - NO EDIT'!J$1,FALSE)="","",(VLOOKUP($A115,'Loyd List 1-190 - Edit'!$C$1:$AQ$220,'Book Details - NO EDIT'!J$1,FALSE)))</f>
        <v>08/07/1994</v>
      </c>
      <c r="K115" s="100" t="str">
        <f>VLOOKUP($A115,'Loyd List 1-190 - Edit'!$C$1:$AQ$220,'Book Details - NO EDIT'!K$1,FALSE)</f>
        <v>Boy</v>
      </c>
      <c r="L115" s="140">
        <f>VLOOKUP($A115,'Loyd List 1-190 - Edit'!$C$1:$AQ$220,'Book Details - NO EDIT'!L$1,FALSE)</f>
        <v>78</v>
      </c>
      <c r="M115" s="140">
        <f t="shared" si="34"/>
        <v>46</v>
      </c>
      <c r="N115" s="140">
        <f t="shared" si="34"/>
        <v>23</v>
      </c>
      <c r="O115" s="140">
        <f t="shared" si="34"/>
        <v>8</v>
      </c>
      <c r="P115" s="140">
        <f t="shared" si="31"/>
        <v>1</v>
      </c>
      <c r="Q115" s="140">
        <f t="shared" si="31"/>
        <v>0</v>
      </c>
      <c r="R115" s="140" t="str">
        <f t="shared" si="31"/>
        <v/>
      </c>
      <c r="S115" s="140" t="str">
        <f t="shared" si="35"/>
        <v/>
      </c>
      <c r="T115" s="140">
        <f t="shared" si="32"/>
        <v>5</v>
      </c>
      <c r="U115" s="139">
        <f t="shared" si="36"/>
        <v>113</v>
      </c>
      <c r="V115" s="31" t="str">
        <f t="shared" si="37"/>
        <v>Willie (1937–1994)</v>
      </c>
      <c r="W115" s="31" t="str">
        <f t="shared" si="38"/>
        <v>Willie (#113)</v>
      </c>
      <c r="X115" s="99" t="str">
        <f t="shared" si="39"/>
        <v>Willie (1937–1994: #113)</v>
      </c>
      <c r="Y115" s="99" t="str">
        <f t="shared" si="54"/>
        <v>William Tetbert Vivian LOYD</v>
      </c>
      <c r="Z115" s="99" t="str">
        <f t="shared" si="40"/>
        <v>Vivian (1894–1972: #78)</v>
      </c>
      <c r="AA115" s="99" t="str">
        <f t="shared" si="45"/>
        <v xml:space="preserve">Vivian (1894–1972: #78) William (1863–1923: #46) William (1821–1885: #23) Edward (1780–1863: #8) William (1729–1800: #1)   </v>
      </c>
      <c r="AB115" s="142" t="str">
        <f>VLOOKUP(U115,'Siblings of those BORN Loyd'!$A$2:$G$230,7,FALSE)</f>
        <v xml:space="preserve">3 – Belinda (1939–2018: #115) Vivian (1951–: #127) Ginie (1961–: #140)     </v>
      </c>
      <c r="AC115" s="115" t="str">
        <f>IF(ISNA(IF(K115="Boy",VLOOKUP(A115,'Siblings of those BORN Loyd'!$AP$3:$AQ$70,2,FALSE),VLOOKUP(A115,'Children of Female Loyds'!$AR$5:$AT$60,3,FALSE))),AM115,IF(K115="Boy",VLOOKUP(A115,'Siblings of those BORN Loyd'!$AP$3:$AQ$70,2,FALSE),VLOOKUP(A115,'Children of Female Loyds'!$AR$5:$AT$60,3,FALSE)))</f>
        <v>1 - Anthony (1966–: #149)</v>
      </c>
      <c r="AD115" s="97" t="str">
        <f t="shared" si="53"/>
        <v xml:space="preserve">1 - Delilah (2006–: #184)   </v>
      </c>
      <c r="AE115" s="105" t="str">
        <f>IF(ISNA(IF(K115="Boy",VLOOKUP(A115,'Grandchildren of Male Loyds'!$AQ$3:$AS$51,3,FALSE),VLOOKUP(A115,'Grandchildren of Female Loyds'!$AX$5:$AZ$63,3,FALSE))),AM115,IF(K115="Boy",VLOOKUP(A115,'Grandchildren of Male Loyds'!$AQ$3:$AS$51,3,FALSE),VLOOKUP(A115,'Grandchildren of Female Loyds'!$AX$5:$AZ$63,3,FALSE)))</f>
        <v>Delilah (2006–: #184)</v>
      </c>
      <c r="AF115" s="105" t="str">
        <f>IF(ISNA(VLOOKUP(A115,'Grandchildren Loyd Daughters'!$BD$5:$BF$50,4,FALSE)),"",VLOOKUP(A115,'Grandchildren Loyd Daughters'!$BD$5:$BF$50,3,FALSE))</f>
        <v/>
      </c>
      <c r="AG115" s="129">
        <f>IF(ISNA(VLOOKUP(A115,'Grandchildren of Male Loyds'!$AQ$3:$AR$60,2,FALSE)),0,VLOOKUP(A115,'Grandchildren of Male Loyds'!$AQ$3:$AR$60,2,FALSE))+IF(ISNA(VLOOKUP(A115,'Grandchildren of Female Loyds'!$AX$5:$AY$50,2,FALSE)),0,VLOOKUP(A115,'Grandchildren of Female Loyds'!$AX$5:$AY$50,2,FALSE))+IF(ISNA(VLOOKUP(A115,'Grandchildren Loyd Daughters'!$BD$5:$BE$50,2,FALSE)),0,VLOOKUP(A115,'Grandchildren Loyd Daughters'!$BD$5:$BE$50,2,FALSE))</f>
        <v>1</v>
      </c>
      <c r="AH115" s="129" t="str">
        <f>VLOOKUP($U115,'Loyd List 1-190 - Edit'!$P$3:$AJ$220,21,FALSE)</f>
        <v>Phyllis Mary Porter TRINGHAM (b. 17 Sep 1907, )</v>
      </c>
      <c r="AI115" s="129" t="str">
        <f>VLOOKUP(A115,'Updated Bios &amp; Spouse Details'!$A$1:$J$200,7,FALSE)</f>
        <v xml:space="preserve">(1) Deirdre THOMPSON (b. 11 Apr 1936, ) </v>
      </c>
      <c r="AJ115" s="130">
        <f>IF(VLOOKUP($A115,'Loyd List 1-190 - Edit'!$C$1:$AQ$220,'Book Details - NO EDIT'!AJ$1,FALSE)="","",(VLOOKUP($A115,'Loyd List 1-190 - Edit'!$C$1:$AQ$220,'Book Details - NO EDIT'!AJ$1,FALSE)))</f>
        <v>22929</v>
      </c>
      <c r="AK115" s="129" t="str">
        <f>VLOOKUP(A115,'Updated Bios &amp; Spouse Details'!$A$1:$J$200,8,FALSE)</f>
        <v>(1) Deirdre younger daughter of Walter Hugh THOMPSON. (2) 27 Oct 1975 Lieselotte (Lilo) BRANDSTETTER (b. 15 Nov 1944, ) eldest daughter of Theodor BRANDSTETTER of Klagenfurt, Austria.</v>
      </c>
      <c r="AL115" s="131" t="str">
        <f>VLOOKUP(A115,'Updated Bios &amp; Spouse Details'!$A$1:$J$200,5,FALSE)</f>
        <v>Willie lived at Cowarth Park Farm, Sunningdale, Berkshire and later of Pink Hill Farm, Eynsham, Oxfordshire and was the elder son of Vivian (1894–1972: #113). Born 23 Dec 1937. Educated Eton 1951-55. Major, Life Guards. Author of 'Challengers and Chargers', a history of The Life Guards 1945-1992, and of 'A Lurcher in the House'. Died  8 Jul 1994. Issue: (1st wife) 1 son.</v>
      </c>
      <c r="AM115" s="105" t="str">
        <f>IF(AND(LEN(H115)&gt;0,ISNA(IF(K115="Boy",VLOOKUP(A115,'Siblings of those BORN Loyd'!$AP$3:$AQ$70,2,FALSE),VLOOKUP(A115,'Children of Female Loyds'!$AR$5:$AS$60,2,FALSE)))),"d.s.p","")</f>
        <v/>
      </c>
      <c r="AN115" s="99" t="str">
        <f t="shared" si="55"/>
        <v>Vivian (1894–1972: #78)</v>
      </c>
      <c r="AO115" s="99" t="str">
        <f t="shared" si="46"/>
        <v>William (1863–1923: #46)</v>
      </c>
      <c r="AP115" s="99" t="str">
        <f t="shared" si="47"/>
        <v>William (1821–1885: #23)</v>
      </c>
      <c r="AQ115" s="99" t="str">
        <f t="shared" si="48"/>
        <v>Edward (1780–1863: #8)</v>
      </c>
      <c r="AR115" s="99" t="str">
        <f t="shared" si="49"/>
        <v>William (1729–1800: #1)</v>
      </c>
      <c r="AS115" s="99" t="str">
        <f t="shared" si="50"/>
        <v/>
      </c>
      <c r="AT115" s="99" t="str">
        <f t="shared" si="51"/>
        <v/>
      </c>
      <c r="AU115" s="99" t="str">
        <f t="shared" si="52"/>
        <v/>
      </c>
      <c r="AW115" s="116" t="str">
        <f>VLOOKUP(A115,'Updated Bios &amp; Spouse Details'!$A$1:$J$193,6,FALSE)</f>
        <v>England</v>
      </c>
      <c r="AX115" s="131">
        <f>VLOOKUP($A115,'Loyd List 1-190 - Edit'!$P$2:$AQ$220,AX$1,FALSE)</f>
        <v>113</v>
      </c>
      <c r="AY115" s="116" t="str">
        <f>IF(ISNA(VLOOKUP(A115,'Data check lookup table'!$G$2:$V$73,AY$1,FALSE))," - ",VLOOKUP(A115,'Data check lookup table'!$G$2:$V$73,AY$1,FALSE))</f>
        <v xml:space="preserve"> - </v>
      </c>
      <c r="AZ115" s="147" t="str">
        <f t="shared" si="42"/>
        <v>08/07/1994</v>
      </c>
      <c r="BA115" s="99" t="str">
        <f t="shared" si="56"/>
        <v/>
      </c>
      <c r="BB115" s="99" t="str">
        <f t="shared" si="57"/>
        <v/>
      </c>
      <c r="BI115" s="147" t="s">
        <v>3239</v>
      </c>
    </row>
    <row r="116" spans="1:61" s="99" customFormat="1" ht="68">
      <c r="A116" s="139">
        <f>'Loyd List 1-190 - Edit'!C116</f>
        <v>114</v>
      </c>
      <c r="B116" s="99" t="str">
        <f>VLOOKUP($A116,'Loyd List 1-190 - Edit'!$C$1:$AQ$220,'Book Details - NO EDIT'!B$1,FALSE)</f>
        <v>John</v>
      </c>
      <c r="C116" s="99" t="str">
        <f>IF(VLOOKUP($A116,'Loyd List 1-190 - Edit'!$C$1:$AQ$220,'Book Details - NO EDIT'!C$1,FALSE)="","",VLOOKUP($A116,'Loyd List 1-190 - Edit'!$C$1:$AQ$220,'Book Details - NO EDIT'!C$1,FALSE))</f>
        <v>Michael</v>
      </c>
      <c r="D116" s="99" t="str">
        <f>IF(VLOOKUP($A116,'Loyd List 1-190 - Edit'!$C$1:$AQ$220,'Book Details - NO EDIT'!D$1,FALSE)="","",VLOOKUP($A116,'Loyd List 1-190 - Edit'!$C$1:$AQ$220,'Book Details - NO EDIT'!D$1,FALSE))</f>
        <v/>
      </c>
      <c r="E116" s="99" t="str">
        <f>IF(VLOOKUP($A116,'Loyd List 1-190 - Edit'!$C$1:$AQ$220,'Book Details - NO EDIT'!E$1,FALSE)="","",VLOOKUP($A116,'Loyd List 1-190 - Edit'!$C$1:$AQ$220,'Book Details - NO EDIT'!E$1,FALSE))</f>
        <v>LOYD</v>
      </c>
      <c r="F116" s="99" t="str">
        <f>IF(VLOOKUP($A116,'Loyd List 1-190 - Edit'!$C$1:$AQ$220,'Book Details - NO EDIT'!F$1,FALSE)="",B116,VLOOKUP($A116,'Loyd List 1-190 - Edit'!$C$1:$AQ$220,'Book Details - NO EDIT'!F$1,FALSE))</f>
        <v>Michael</v>
      </c>
      <c r="G116" s="140">
        <f>IF(VLOOKUP($A116,'Loyd List 1-190 - Edit'!$C$1:$AQ$220,'Book Details - NO EDIT'!G$1,FALSE)="","",VALUE(VLOOKUP($A116,'Loyd List 1-190 - Edit'!$C$1:$AQ$220,'Book Details - NO EDIT'!G$1,FALSE)))</f>
        <v>1938</v>
      </c>
      <c r="H116" s="140" t="str">
        <f>IF(VLOOKUP($A116,'Loyd List 1-190 - Edit'!$C$1:$AQ$220,'Book Details - NO EDIT'!H$1,FALSE)="","",VALUE(VLOOKUP($A116,'Loyd List 1-190 - Edit'!$C$1:$AQ$220,'Book Details - NO EDIT'!H$1,FALSE)))</f>
        <v/>
      </c>
      <c r="I116" s="141">
        <f>IF(VLOOKUP($A116,'Loyd List 1-190 - Edit'!$C$1:$AQ$220,'Book Details - NO EDIT'!I$1,FALSE)="","",(VLOOKUP($A116,'Loyd List 1-190 - Edit'!$C$1:$AQ$220,'Book Details - NO EDIT'!I$1,FALSE)))</f>
        <v>14120</v>
      </c>
      <c r="J116" s="141" t="str">
        <f>IF(VLOOKUP($A116,'Loyd List 1-190 - Edit'!$C$1:$AQ$220,'Book Details - NO EDIT'!J$1,FALSE)="","",(VLOOKUP($A116,'Loyd List 1-190 - Edit'!$C$1:$AQ$220,'Book Details - NO EDIT'!J$1,FALSE)))</f>
        <v/>
      </c>
      <c r="K116" s="100" t="str">
        <f>VLOOKUP($A116,'Loyd List 1-190 - Edit'!$C$1:$AQ$220,'Book Details - NO EDIT'!K$1,FALSE)</f>
        <v>Boy</v>
      </c>
      <c r="L116" s="140">
        <f>VLOOKUP($A116,'Loyd List 1-190 - Edit'!$C$1:$AQ$220,'Book Details - NO EDIT'!L$1,FALSE)</f>
        <v>80</v>
      </c>
      <c r="M116" s="140">
        <f t="shared" si="34"/>
        <v>29</v>
      </c>
      <c r="N116" s="140">
        <f t="shared" si="34"/>
        <v>14</v>
      </c>
      <c r="O116" s="140">
        <f t="shared" si="34"/>
        <v>4</v>
      </c>
      <c r="P116" s="140">
        <f t="shared" si="31"/>
        <v>1</v>
      </c>
      <c r="Q116" s="140">
        <f t="shared" si="31"/>
        <v>0</v>
      </c>
      <c r="R116" s="140" t="str">
        <f t="shared" si="31"/>
        <v/>
      </c>
      <c r="S116" s="140" t="str">
        <f t="shared" si="35"/>
        <v/>
      </c>
      <c r="T116" s="140">
        <f t="shared" si="32"/>
        <v>5</v>
      </c>
      <c r="U116" s="139">
        <f t="shared" si="36"/>
        <v>114</v>
      </c>
      <c r="V116" s="31" t="str">
        <f t="shared" si="37"/>
        <v>Michael (1938–)</v>
      </c>
      <c r="W116" s="31" t="str">
        <f t="shared" si="38"/>
        <v>Michael (#114)</v>
      </c>
      <c r="X116" s="99" t="str">
        <f t="shared" si="39"/>
        <v>Michael (1938–: #114)</v>
      </c>
      <c r="Y116" s="99" t="str">
        <f t="shared" si="54"/>
        <v>John Michael LOYD</v>
      </c>
      <c r="Z116" s="99" t="str">
        <f t="shared" si="40"/>
        <v>Eric (1894–1963: #80)</v>
      </c>
      <c r="AA116" s="99" t="str">
        <f t="shared" si="45"/>
        <v xml:space="preserve">Eric (1894–1963: #80) Arthur (1845–1930: #29) Thomas (1812–1857: #14) William (1770–1828: #4) William (1729–1800: #1)   </v>
      </c>
      <c r="AB116" s="142" t="str">
        <f>VLOOKUP(U116,'Siblings of those BORN Loyd'!$A$2:$G$230,7,FALSE)</f>
        <v xml:space="preserve">3 – Margaret (1932–: #109) Jean (1933–: #110)  Peter (1942–: #119)     </v>
      </c>
      <c r="AC116" s="115" t="str">
        <f>IF(ISNA(IF(K116="Boy",VLOOKUP(A116,'Siblings of those BORN Loyd'!$AP$3:$AQ$70,2,FALSE),VLOOKUP(A116,'Children of Female Loyds'!$AR$5:$AT$60,3,FALSE))),AM116,IF(K116="Boy",VLOOKUP(A116,'Siblings of those BORN Loyd'!$AP$3:$AQ$70,2,FALSE),VLOOKUP(A116,'Children of Female Loyds'!$AR$5:$AT$60,3,FALSE)))</f>
        <v>3 - Tess (1975–: #157); Chloe (1977–: #158); Daisy (1979–: #159)</v>
      </c>
      <c r="AD116" s="97" t="str">
        <f t="shared" si="53"/>
        <v xml:space="preserve">5 -    Henry SIMMONDS (2012 - :  #157a) Emily SIMMONDS (2014 - :  #157b) Theodore KYLE (2010 - :  #158a) Thomas GARDENER (2010 - :  #159a) Alice GARDENER (2013 - :  #159b)          </v>
      </c>
      <c r="AE116" s="105" t="str">
        <f>IF(ISNA(IF(K116="Boy",VLOOKUP(A116,'Grandchildren of Male Loyds'!$AQ$3:$AS$51,3,FALSE),VLOOKUP(A116,'Grandchildren of Female Loyds'!$AX$5:$AZ$63,3,FALSE))),AM116,IF(K116="Boy",VLOOKUP(A116,'Grandchildren of Male Loyds'!$AQ$3:$AS$51,3,FALSE),VLOOKUP(A116,'Grandchildren of Female Loyds'!$AX$5:$AZ$63,3,FALSE)))</f>
        <v/>
      </c>
      <c r="AF116" s="105" t="str">
        <f>IF(ISNA(VLOOKUP(A116,'Grandchildren Loyd Daughters'!$BD$5:$BF$50,4,FALSE)),"",VLOOKUP(A116,'Grandchildren Loyd Daughters'!$BD$5:$BF$50,3,FALSE))</f>
        <v xml:space="preserve">Henry SIMMONDS (2012 - :  #157a) Emily SIMMONDS (2014 - :  #157b) Theodore KYLE (2010 - :  #158a) Thomas GARDENER (2010 - :  #159a) Alice GARDENER (2013 - :  #159b)          </v>
      </c>
      <c r="AG116" s="129">
        <f>IF(ISNA(VLOOKUP(A116,'Grandchildren of Male Loyds'!$AQ$3:$AR$60,2,FALSE)),0,VLOOKUP(A116,'Grandchildren of Male Loyds'!$AQ$3:$AR$60,2,FALSE))+IF(ISNA(VLOOKUP(A116,'Grandchildren of Female Loyds'!$AX$5:$AY$50,2,FALSE)),0,VLOOKUP(A116,'Grandchildren of Female Loyds'!$AX$5:$AY$50,2,FALSE))+IF(ISNA(VLOOKUP(A116,'Grandchildren Loyd Daughters'!$BD$5:$BE$50,2,FALSE)),0,VLOOKUP(A116,'Grandchildren Loyd Daughters'!$BD$5:$BE$50,2,FALSE))</f>
        <v>5</v>
      </c>
      <c r="AH116" s="129" t="str">
        <f>VLOOKUP($U116,'Loyd List 1-190 - Edit'!$P$3:$AJ$220,21,FALSE)</f>
        <v>Isabel Mary Beatrix PARKER (b. 22 Feb 1903, d. 13 Jan 1992)</v>
      </c>
      <c r="AI116" s="129" t="str">
        <f>VLOOKUP(A116,'Updated Bios &amp; Spouse Details'!$A$1:$J$200,7,FALSE)</f>
        <v>Rosemary (Rosie) STRAKER (b. 19 Jan 1945, )</v>
      </c>
      <c r="AJ116" s="130">
        <f>IF(VLOOKUP($A116,'Loyd List 1-190 - Edit'!$C$1:$AQ$220,'Book Details - NO EDIT'!AJ$1,FALSE)="","",(VLOOKUP($A116,'Loyd List 1-190 - Edit'!$C$1:$AQ$220,'Book Details - NO EDIT'!AJ$1,FALSE)))</f>
        <v>26915</v>
      </c>
      <c r="AK116" s="129" t="str">
        <f>VLOOKUP(A116,'Updated Bios &amp; Spouse Details'!$A$1:$J$200,8,FALSE)</f>
        <v>Married Rosie, at Stagshaw Chapel, Corbridge, Northumberland, daughter of John Joicey STRAKER of Stagshaw House, Corbridge, Northumberland.</v>
      </c>
      <c r="AL116" s="131" t="str">
        <f>VLOOKUP(A116,'Updated Bios &amp; Spouse Details'!$A$1:$J$200,5,FALSE)</f>
        <v>Michael lives in Haydon Bridge, Northumberland and is the elder son of Eric (1894–1963: #80). Born 28 Aug 1938. Baptised 27 Sep 1938 at St Peter’s, Marlow. Educated Ampleforth and RMA Sandhurst. Career: Captain, Royal Dragoons 1958-69. Courage Breweries 1969-77. Lieut Colonel, Sultan of Oman’s Forces and Secretary to Defence Committee, Government of Oman 1977-81. Farmer from 1981. JP 1984. High Sheriff 1993. Issue: 3 daughters.</v>
      </c>
      <c r="AM116" s="105" t="str">
        <f>IF(AND(LEN(H116)&gt;0,ISNA(IF(K116="Boy",VLOOKUP(A116,'Siblings of those BORN Loyd'!$AP$3:$AQ$70,2,FALSE),VLOOKUP(A116,'Children of Female Loyds'!$AR$5:$AS$60,2,FALSE)))),"d.s.p","")</f>
        <v/>
      </c>
      <c r="AN116" s="99" t="str">
        <f t="shared" si="55"/>
        <v>Eric (1894–1963: #80)</v>
      </c>
      <c r="AO116" s="99" t="str">
        <f t="shared" si="46"/>
        <v>Arthur (1845–1930: #29)</v>
      </c>
      <c r="AP116" s="99" t="str">
        <f t="shared" si="47"/>
        <v>Thomas (1812–1857: #14)</v>
      </c>
      <c r="AQ116" s="99" t="str">
        <f t="shared" si="48"/>
        <v>William (1770–1828: #4)</v>
      </c>
      <c r="AR116" s="99" t="str">
        <f t="shared" si="49"/>
        <v>William (1729–1800: #1)</v>
      </c>
      <c r="AS116" s="99" t="str">
        <f t="shared" si="50"/>
        <v/>
      </c>
      <c r="AT116" s="99" t="str">
        <f t="shared" si="51"/>
        <v/>
      </c>
      <c r="AU116" s="99" t="str">
        <f t="shared" si="52"/>
        <v/>
      </c>
      <c r="AW116" s="116" t="str">
        <f>VLOOKUP(A116,'Updated Bios &amp; Spouse Details'!$A$1:$J$193,6,FALSE)</f>
        <v>England and Oman</v>
      </c>
      <c r="AX116" s="131">
        <f>VLOOKUP($A116,'Loyd List 1-190 - Edit'!$P$2:$AQ$220,AX$1,FALSE)</f>
        <v>114</v>
      </c>
      <c r="AY116" s="116" t="str">
        <f>IF(ISNA(VLOOKUP(A116,'Data check lookup table'!$G$2:$V$73,AY$1,FALSE))," - ",VLOOKUP(A116,'Data check lookup table'!$G$2:$V$73,AY$1,FALSE))</f>
        <v>loydthreepwood@gmail.com</v>
      </c>
      <c r="AZ116" s="147" t="str">
        <f t="shared" si="42"/>
        <v/>
      </c>
      <c r="BA116" s="99" t="str">
        <f t="shared" si="56"/>
        <v/>
      </c>
      <c r="BB116" s="99" t="str">
        <f t="shared" si="57"/>
        <v/>
      </c>
      <c r="BI116" s="147" t="s">
        <v>3228</v>
      </c>
    </row>
    <row r="117" spans="1:61" s="99" customFormat="1" ht="153">
      <c r="A117" s="139">
        <f>'Loyd List 1-190 - Edit'!C117</f>
        <v>115</v>
      </c>
      <c r="B117" s="99" t="str">
        <f>VLOOKUP($A117,'Loyd List 1-190 - Edit'!$C$1:$AQ$220,'Book Details - NO EDIT'!B$1,FALSE)</f>
        <v>Belinda</v>
      </c>
      <c r="C117" s="99" t="str">
        <f>IF(VLOOKUP($A117,'Loyd List 1-190 - Edit'!$C$1:$AQ$220,'Book Details - NO EDIT'!C$1,FALSE)="","",VLOOKUP($A117,'Loyd List 1-190 - Edit'!$C$1:$AQ$220,'Book Details - NO EDIT'!C$1,FALSE))</f>
        <v>Maris</v>
      </c>
      <c r="D117" s="99" t="str">
        <f>IF(VLOOKUP($A117,'Loyd List 1-190 - Edit'!$C$1:$AQ$220,'Book Details - NO EDIT'!D$1,FALSE)="","",VLOOKUP($A117,'Loyd List 1-190 - Edit'!$C$1:$AQ$220,'Book Details - NO EDIT'!D$1,FALSE))</f>
        <v/>
      </c>
      <c r="E117" s="99" t="str">
        <f>IF(VLOOKUP($A117,'Loyd List 1-190 - Edit'!$C$1:$AQ$220,'Book Details - NO EDIT'!E$1,FALSE)="","",VLOOKUP($A117,'Loyd List 1-190 - Edit'!$C$1:$AQ$220,'Book Details - NO EDIT'!E$1,FALSE))</f>
        <v>LOYD</v>
      </c>
      <c r="F117" s="99" t="str">
        <f>IF(VLOOKUP($A117,'Loyd List 1-190 - Edit'!$C$1:$AQ$220,'Book Details - NO EDIT'!F$1,FALSE)="",B117,VLOOKUP($A117,'Loyd List 1-190 - Edit'!$C$1:$AQ$220,'Book Details - NO EDIT'!F$1,FALSE))</f>
        <v>Belinda</v>
      </c>
      <c r="G117" s="140">
        <f>IF(VLOOKUP($A117,'Loyd List 1-190 - Edit'!$C$1:$AQ$220,'Book Details - NO EDIT'!G$1,FALSE)="","",VALUE(VLOOKUP($A117,'Loyd List 1-190 - Edit'!$C$1:$AQ$220,'Book Details - NO EDIT'!G$1,FALSE)))</f>
        <v>1939</v>
      </c>
      <c r="H117" s="140">
        <f>IF(VLOOKUP($A117,'Loyd List 1-190 - Edit'!$C$1:$AQ$220,'Book Details - NO EDIT'!H$1,FALSE)="","",VALUE(VLOOKUP($A117,'Loyd List 1-190 - Edit'!$C$1:$AQ$220,'Book Details - NO EDIT'!H$1,FALSE)))</f>
        <v>2018</v>
      </c>
      <c r="I117" s="141">
        <f>IF(VLOOKUP($A117,'Loyd List 1-190 - Edit'!$C$1:$AQ$220,'Book Details - NO EDIT'!I$1,FALSE)="","",(VLOOKUP($A117,'Loyd List 1-190 - Edit'!$C$1:$AQ$220,'Book Details - NO EDIT'!I$1,FALSE)))</f>
        <v>14432</v>
      </c>
      <c r="J117" s="141" t="str">
        <f>IF(VLOOKUP($A117,'Loyd List 1-190 - Edit'!$C$1:$AQ$220,'Book Details - NO EDIT'!J$1,FALSE)="","",(VLOOKUP($A117,'Loyd List 1-190 - Edit'!$C$1:$AQ$220,'Book Details - NO EDIT'!J$1,FALSE)))</f>
        <v>01/12/2018</v>
      </c>
      <c r="K117" s="100" t="str">
        <f>VLOOKUP($A117,'Loyd List 1-190 - Edit'!$C$1:$AQ$220,'Book Details - NO EDIT'!K$1,FALSE)</f>
        <v>Girl</v>
      </c>
      <c r="L117" s="140">
        <f>VLOOKUP($A117,'Loyd List 1-190 - Edit'!$C$1:$AQ$220,'Book Details - NO EDIT'!L$1,FALSE)</f>
        <v>78</v>
      </c>
      <c r="M117" s="140">
        <f t="shared" si="34"/>
        <v>46</v>
      </c>
      <c r="N117" s="140">
        <f t="shared" si="34"/>
        <v>23</v>
      </c>
      <c r="O117" s="140">
        <f t="shared" si="34"/>
        <v>8</v>
      </c>
      <c r="P117" s="140">
        <f t="shared" si="31"/>
        <v>1</v>
      </c>
      <c r="Q117" s="140">
        <f t="shared" si="31"/>
        <v>0</v>
      </c>
      <c r="R117" s="140" t="str">
        <f t="shared" si="31"/>
        <v/>
      </c>
      <c r="S117" s="140" t="str">
        <f t="shared" si="35"/>
        <v/>
      </c>
      <c r="T117" s="140">
        <f t="shared" si="32"/>
        <v>5</v>
      </c>
      <c r="U117" s="139">
        <f t="shared" si="36"/>
        <v>115</v>
      </c>
      <c r="V117" s="31" t="str">
        <f t="shared" si="37"/>
        <v>Belinda (1939–2018)</v>
      </c>
      <c r="W117" s="31" t="str">
        <f t="shared" si="38"/>
        <v>Belinda (#115)</v>
      </c>
      <c r="X117" s="99" t="str">
        <f t="shared" si="39"/>
        <v>Belinda (1939–2018: #115)</v>
      </c>
      <c r="Y117" s="99" t="str">
        <f t="shared" si="54"/>
        <v>Belinda Maris LOYD</v>
      </c>
      <c r="Z117" s="99" t="str">
        <f t="shared" si="40"/>
        <v>Vivian (1894–1972: #78)</v>
      </c>
      <c r="AA117" s="99" t="str">
        <f t="shared" si="45"/>
        <v xml:space="preserve">Vivian (1894–1972: #78) William (1863–1923: #46) William (1821–1885: #23) Edward (1780–1863: #8) William (1729–1800: #1)   </v>
      </c>
      <c r="AB117" s="142" t="str">
        <f>VLOOKUP(U117,'Siblings of those BORN Loyd'!$A$2:$G$230,7,FALSE)</f>
        <v xml:space="preserve">3 – Willie (1937–1994: #113)  Vivian (1951–: #127) Ginie (1961–: #140)     </v>
      </c>
      <c r="AC117" s="115" t="str">
        <f>IF(ISNA(IF(K117="Boy",VLOOKUP(A117,'Siblings of those BORN Loyd'!$AP$3:$AQ$70,2,FALSE),VLOOKUP(A117,'Children of Female Loyds'!$AR$5:$AT$60,3,FALSE))),AM117,IF(K117="Boy",VLOOKUP(A117,'Siblings of those BORN Loyd'!$AP$3:$AQ$70,2,FALSE),VLOOKUP(A117,'Children of Female Loyds'!$AR$5:$AT$60,3,FALSE)))</f>
        <v xml:space="preserve">5 - The Hon Isabel CROSSLEY (1964 - : #115a) The Hon Camilla CROSSLEY (1967 - : #115b) The Hon Alicia CROSSLEY (1969 - : #115c) The Hon Hugh CROSSLEY (1971 - : #115d) The Hon Bridget CROSSLEY (1974 - : #115e)   </v>
      </c>
      <c r="AD117" s="97" t="str">
        <f t="shared" si="53"/>
        <v xml:space="preserve">6 - Benjamin CATOR (1988 -: #115aa) Lara CATOR (1992 -: #115ab) Oscar CATOR (1996 -: #115ac) Milo SOAMES (1995 -: #115ba) Tommy SOAMES (1997 -: #115bb) Mary SOAMES (1999 -: #115bc)             </v>
      </c>
      <c r="AE117" s="105" t="str">
        <f>IF(ISNA(IF(K117="Boy",VLOOKUP(A117,'Grandchildren of Male Loyds'!$AQ$3:$AS$51,3,FALSE),VLOOKUP(A117,'Grandchildren of Female Loyds'!$AX$5:$AZ$63,3,FALSE))),AM117,IF(K117="Boy",VLOOKUP(A117,'Grandchildren of Male Loyds'!$AQ$3:$AS$51,3,FALSE),VLOOKUP(A117,'Grandchildren of Female Loyds'!$AX$5:$AZ$63,3,FALSE)))</f>
        <v xml:space="preserve">Benjamin CATOR (1988 -: #115aa) Lara CATOR (1992 -: #115ab) Oscar CATOR (1996 -: #115ac) Milo SOAMES (1995 -: #115ba) Tommy SOAMES (1997 -: #115bb) Mary SOAMES (1999 -: #115bc)          </v>
      </c>
      <c r="AF117" s="105" t="str">
        <f>IF(ISNA(VLOOKUP(A117,'Grandchildren Loyd Daughters'!$BD$5:$BF$50,4,FALSE)),"",VLOOKUP(A117,'Grandchildren Loyd Daughters'!$BD$5:$BF$50,3,FALSE))</f>
        <v/>
      </c>
      <c r="AG117" s="129">
        <f>IF(ISNA(VLOOKUP(A117,'Grandchildren of Male Loyds'!$AQ$3:$AR$60,2,FALSE)),0,VLOOKUP(A117,'Grandchildren of Male Loyds'!$AQ$3:$AR$60,2,FALSE))+IF(ISNA(VLOOKUP(A117,'Grandchildren of Female Loyds'!$AX$5:$AY$50,2,FALSE)),0,VLOOKUP(A117,'Grandchildren of Female Loyds'!$AX$5:$AY$50,2,FALSE))+IF(ISNA(VLOOKUP(A117,'Grandchildren Loyd Daughters'!$BD$5:$BE$50,2,FALSE)),0,VLOOKUP(A117,'Grandchildren Loyd Daughters'!$BD$5:$BE$50,2,FALSE))</f>
        <v>6</v>
      </c>
      <c r="AH117" s="129" t="str">
        <f>VLOOKUP($U117,'Loyd List 1-190 - Edit'!$P$3:$AJ$220,21,FALSE)</f>
        <v>Phyllis Mary Porter TRINGHAM (b. 17 Sep 1907, )</v>
      </c>
      <c r="AI117" s="129" t="str">
        <f>VLOOKUP(A117,'Updated Bios &amp; Spouse Details'!$A$1:$J$200,7,FALSE)</f>
        <v>Savile William Francis CROSSLEY (b. 17 Sep 1928, d. 24 Jan 2012 )</v>
      </c>
      <c r="AJ117" s="130">
        <f>IF(VLOOKUP($A117,'Loyd List 1-190 - Edit'!$C$1:$AQ$220,'Book Details - NO EDIT'!AJ$1,FALSE)="","",(VLOOKUP($A117,'Loyd List 1-190 - Edit'!$C$1:$AQ$220,'Book Details - NO EDIT'!AJ$1,FALSE)))</f>
        <v>23298</v>
      </c>
      <c r="AK117" s="129" t="str">
        <f>VLOOKUP(A117,'Updated Bios &amp; Spouse Details'!$A$1:$J$200,8,FALSE)</f>
        <v>Married Savile, 3rd Baron SOMERLEYTON of Somerleyton Hall, Lowestoft, Suffolk, NR32 5QQ. Saville Educated Eton 1942-46; Captain, Coldstream Guards; Co. Councillor, East Suffolk 1967-73; DL, JP, Master of the Horse, and a Lord in Waiting to HM The Queen from 1978. Director East Anglian Water Co.</v>
      </c>
      <c r="AL117" s="131" t="str">
        <f>VLOOKUP(A117,'Updated Bios &amp; Spouse Details'!$A$1:$J$200,5,FALSE)</f>
        <v>Belinda was the elder daughter of Vivian (1894–1972: #98). Born 6 Jul 1939. OBE 1997. Died 1 Dec 2018 in Lowestoft. Issue: 4 daughters, 1 son.</v>
      </c>
      <c r="AM117" s="105" t="str">
        <f>IF(AND(LEN(H117)&gt;0,ISNA(IF(K117="Boy",VLOOKUP(A117,'Siblings of those BORN Loyd'!$AP$3:$AQ$70,2,FALSE),VLOOKUP(A117,'Children of Female Loyds'!$AR$5:$AS$60,2,FALSE)))),"d.s.p","")</f>
        <v/>
      </c>
      <c r="AN117" s="99" t="str">
        <f t="shared" si="55"/>
        <v>Vivian (1894–1972: #78)</v>
      </c>
      <c r="AO117" s="99" t="str">
        <f t="shared" si="46"/>
        <v>William (1863–1923: #46)</v>
      </c>
      <c r="AP117" s="99" t="str">
        <f t="shared" si="47"/>
        <v>William (1821–1885: #23)</v>
      </c>
      <c r="AQ117" s="99" t="str">
        <f t="shared" si="48"/>
        <v>Edward (1780–1863: #8)</v>
      </c>
      <c r="AR117" s="99" t="str">
        <f t="shared" si="49"/>
        <v>William (1729–1800: #1)</v>
      </c>
      <c r="AS117" s="99" t="str">
        <f t="shared" si="50"/>
        <v/>
      </c>
      <c r="AT117" s="99" t="str">
        <f t="shared" si="51"/>
        <v/>
      </c>
      <c r="AU117" s="99" t="str">
        <f t="shared" si="52"/>
        <v/>
      </c>
      <c r="AW117" s="116" t="str">
        <f>VLOOKUP(A117,'Updated Bios &amp; Spouse Details'!$A$1:$J$193,6,FALSE)</f>
        <v>England</v>
      </c>
      <c r="AX117" s="131">
        <f>VLOOKUP($A117,'Loyd List 1-190 - Edit'!$P$2:$AQ$220,AX$1,FALSE)</f>
        <v>115</v>
      </c>
      <c r="AY117" s="116" t="str">
        <f>IF(ISNA(VLOOKUP(A117,'Data check lookup table'!$G$2:$V$73,AY$1,FALSE))," - ",VLOOKUP(A117,'Data check lookup table'!$G$2:$V$73,AY$1,FALSE))</f>
        <v xml:space="preserve"> - </v>
      </c>
      <c r="AZ117" s="147" t="str">
        <f t="shared" si="42"/>
        <v>01/12/2018</v>
      </c>
      <c r="BA117" s="99" t="str">
        <f t="shared" si="56"/>
        <v/>
      </c>
      <c r="BB117" s="99" t="str">
        <f t="shared" si="57"/>
        <v/>
      </c>
      <c r="BI117" s="147" t="s">
        <v>3240</v>
      </c>
    </row>
    <row r="118" spans="1:61" s="99" customFormat="1" ht="51">
      <c r="A118" s="139">
        <f>'Loyd List 1-190 - Edit'!C118</f>
        <v>116</v>
      </c>
      <c r="B118" s="99" t="str">
        <f>VLOOKUP($A118,'Loyd List 1-190 - Edit'!$C$1:$AQ$220,'Book Details - NO EDIT'!B$1,FALSE)</f>
        <v>Margaret</v>
      </c>
      <c r="C118" s="99" t="str">
        <f>IF(VLOOKUP($A118,'Loyd List 1-190 - Edit'!$C$1:$AQ$220,'Book Details - NO EDIT'!C$1,FALSE)="","",VLOOKUP($A118,'Loyd List 1-190 - Edit'!$C$1:$AQ$220,'Book Details - NO EDIT'!C$1,FALSE))</f>
        <v>Sheila</v>
      </c>
      <c r="D118" s="99" t="str">
        <f>IF(VLOOKUP($A118,'Loyd List 1-190 - Edit'!$C$1:$AQ$220,'Book Details - NO EDIT'!D$1,FALSE)="","",VLOOKUP($A118,'Loyd List 1-190 - Edit'!$C$1:$AQ$220,'Book Details - NO EDIT'!D$1,FALSE))</f>
        <v>Eileen</v>
      </c>
      <c r="E118" s="99" t="str">
        <f>IF(VLOOKUP($A118,'Loyd List 1-190 - Edit'!$C$1:$AQ$220,'Book Details - NO EDIT'!E$1,FALSE)="","",VLOOKUP($A118,'Loyd List 1-190 - Edit'!$C$1:$AQ$220,'Book Details - NO EDIT'!E$1,FALSE))</f>
        <v>LOYD</v>
      </c>
      <c r="F118" s="99" t="str">
        <f>IF(VLOOKUP($A118,'Loyd List 1-190 - Edit'!$C$1:$AQ$220,'Book Details - NO EDIT'!F$1,FALSE)="",B118,VLOOKUP($A118,'Loyd List 1-190 - Edit'!$C$1:$AQ$220,'Book Details - NO EDIT'!F$1,FALSE))</f>
        <v>Peggy</v>
      </c>
      <c r="G118" s="140">
        <f>IF(VLOOKUP($A118,'Loyd List 1-190 - Edit'!$C$1:$AQ$220,'Book Details - NO EDIT'!G$1,FALSE)="","",VALUE(VLOOKUP($A118,'Loyd List 1-190 - Edit'!$C$1:$AQ$220,'Book Details - NO EDIT'!G$1,FALSE)))</f>
        <v>1939</v>
      </c>
      <c r="H118" s="140" t="str">
        <f>IF(VLOOKUP($A118,'Loyd List 1-190 - Edit'!$C$1:$AQ$220,'Book Details - NO EDIT'!H$1,FALSE)="","",VALUE(VLOOKUP($A118,'Loyd List 1-190 - Edit'!$C$1:$AQ$220,'Book Details - NO EDIT'!H$1,FALSE)))</f>
        <v/>
      </c>
      <c r="I118" s="141">
        <f>IF(VLOOKUP($A118,'Loyd List 1-190 - Edit'!$C$1:$AQ$220,'Book Details - NO EDIT'!I$1,FALSE)="","",(VLOOKUP($A118,'Loyd List 1-190 - Edit'!$C$1:$AQ$220,'Book Details - NO EDIT'!I$1,FALSE)))</f>
        <v>14567</v>
      </c>
      <c r="J118" s="141" t="str">
        <f>IF(VLOOKUP($A118,'Loyd List 1-190 - Edit'!$C$1:$AQ$220,'Book Details - NO EDIT'!J$1,FALSE)="","",(VLOOKUP($A118,'Loyd List 1-190 - Edit'!$C$1:$AQ$220,'Book Details - NO EDIT'!J$1,FALSE)))</f>
        <v/>
      </c>
      <c r="K118" s="100" t="str">
        <f>VLOOKUP($A118,'Loyd List 1-190 - Edit'!$C$1:$AQ$220,'Book Details - NO EDIT'!K$1,FALSE)</f>
        <v>Girl</v>
      </c>
      <c r="L118" s="140">
        <f>VLOOKUP($A118,'Loyd List 1-190 - Edit'!$C$1:$AQ$220,'Book Details - NO EDIT'!L$1,FALSE)</f>
        <v>55</v>
      </c>
      <c r="M118" s="140">
        <f t="shared" si="34"/>
        <v>35</v>
      </c>
      <c r="N118" s="140">
        <f t="shared" si="34"/>
        <v>23</v>
      </c>
      <c r="O118" s="140">
        <f t="shared" si="34"/>
        <v>8</v>
      </c>
      <c r="P118" s="140">
        <f t="shared" si="31"/>
        <v>1</v>
      </c>
      <c r="Q118" s="140">
        <f t="shared" si="31"/>
        <v>0</v>
      </c>
      <c r="R118" s="140" t="str">
        <f t="shared" si="31"/>
        <v/>
      </c>
      <c r="S118" s="140" t="str">
        <f t="shared" si="35"/>
        <v/>
      </c>
      <c r="T118" s="140">
        <f t="shared" si="32"/>
        <v>5</v>
      </c>
      <c r="U118" s="139">
        <f t="shared" si="36"/>
        <v>116</v>
      </c>
      <c r="V118" s="31" t="str">
        <f t="shared" si="37"/>
        <v>Peggy (1939–)</v>
      </c>
      <c r="W118" s="31" t="str">
        <f t="shared" si="38"/>
        <v>Peggy (#116)</v>
      </c>
      <c r="X118" s="99" t="str">
        <f t="shared" si="39"/>
        <v>Peggy (1939–: #116)</v>
      </c>
      <c r="Y118" s="99" t="str">
        <f t="shared" si="54"/>
        <v>Margaret Sheila Eileen LOYD</v>
      </c>
      <c r="Z118" s="99" t="str">
        <f t="shared" si="40"/>
        <v>Dick (1882–1950: #55)</v>
      </c>
      <c r="AA118" s="99" t="str">
        <f t="shared" si="45"/>
        <v xml:space="preserve">Dick (1882–1950: #55) Lewis (1852–1908: #35) William (1821–1885: #23) Edward (1780–1863: #8) William (1729–1800: #1)   </v>
      </c>
      <c r="AB118" s="142" t="str">
        <f>VLOOKUP(U118,'Siblings of those BORN Loyd'!$A$2:$G$230,7,FALSE)</f>
        <v xml:space="preserve">4 – Jos (1931–: #108) Deen (1936–2016: #112)  Patrick (1942–: #117) Patricia (1942–1942: #118)    </v>
      </c>
      <c r="AC118" s="115" t="str">
        <f>IF(ISNA(IF(K118="Boy",VLOOKUP(A118,'Siblings of those BORN Loyd'!$AP$3:$AQ$70,2,FALSE),VLOOKUP(A118,'Children of Female Loyds'!$AR$5:$AT$60,3,FALSE))),AM118,IF(K118="Boy",VLOOKUP(A118,'Siblings of those BORN Loyd'!$AP$3:$AQ$70,2,FALSE),VLOOKUP(A118,'Children of Female Loyds'!$AR$5:$AT$60,3,FALSE)))</f>
        <v xml:space="preserve">3 - Carl CLULOW (1970 - 1970: #116a) Kate CLULOW (1971 - : #116b) Clare CLULOW (1973 - : #116c)     </v>
      </c>
      <c r="AD118" s="97" t="str">
        <f t="shared" si="53"/>
        <v>-</v>
      </c>
      <c r="AE118" s="105" t="str">
        <f>IF(ISNA(IF(K118="Boy",VLOOKUP(A118,'Grandchildren of Male Loyds'!$AQ$3:$AS$51,3,FALSE),VLOOKUP(A118,'Grandchildren of Female Loyds'!$AX$5:$AZ$63,3,FALSE))),AM118,IF(K118="Boy",VLOOKUP(A118,'Grandchildren of Male Loyds'!$AQ$3:$AS$51,3,FALSE),VLOOKUP(A118,'Grandchildren of Female Loyds'!$AX$5:$AZ$63,3,FALSE)))</f>
        <v/>
      </c>
      <c r="AF118" s="105" t="str">
        <f>IF(ISNA(VLOOKUP(A118,'Grandchildren Loyd Daughters'!$BD$5:$BF$50,4,FALSE)),"",VLOOKUP(A118,'Grandchildren Loyd Daughters'!$BD$5:$BF$50,3,FALSE))</f>
        <v/>
      </c>
      <c r="AG118" s="129">
        <f>IF(ISNA(VLOOKUP(A118,'Grandchildren of Male Loyds'!$AQ$3:$AR$60,2,FALSE)),0,VLOOKUP(A118,'Grandchildren of Male Loyds'!$AQ$3:$AR$60,2,FALSE))+IF(ISNA(VLOOKUP(A118,'Grandchildren of Female Loyds'!$AX$5:$AY$50,2,FALSE)),0,VLOOKUP(A118,'Grandchildren of Female Loyds'!$AX$5:$AY$50,2,FALSE))+IF(ISNA(VLOOKUP(A118,'Grandchildren Loyd Daughters'!$BD$5:$BE$50,2,FALSE)),0,VLOOKUP(A118,'Grandchildren Loyd Daughters'!$BD$5:$BE$50,2,FALSE))</f>
        <v>0</v>
      </c>
      <c r="AH118" s="129" t="str">
        <f>VLOOKUP($U118,'Loyd List 1-190 - Edit'!$P$3:$AJ$220,21,FALSE)</f>
        <v>Alice Selina (Lovely) MYHILL (b. 1 Nov 1909, )</v>
      </c>
      <c r="AI118" s="129" t="str">
        <f>VLOOKUP(A118,'Updated Bios &amp; Spouse Details'!$A$1:$J$200,7,FALSE)</f>
        <v>Michael Herbert (Mike) CLULOW (b. 23 Sep 1944, )</v>
      </c>
      <c r="AJ118" s="130">
        <f>IF(VLOOKUP($A118,'Loyd List 1-190 - Edit'!$C$1:$AQ$220,'Book Details - NO EDIT'!AJ$1,FALSE)="","",(VLOOKUP($A118,'Loyd List 1-190 - Edit'!$C$1:$AQ$220,'Book Details - NO EDIT'!AJ$1,FALSE)))</f>
        <v>25312</v>
      </c>
      <c r="AK118" s="129" t="str">
        <f>VLOOKUP(A118,'Updated Bios &amp; Spouse Details'!$A$1:$J$200,8,FALSE)</f>
        <v>Married Mike, at Cockington, Torquay, Devon, of 22 West Street, Bridlington, North Humberside, YO15 3DX.</v>
      </c>
      <c r="AL118" s="131" t="str">
        <f>VLOOKUP(A118,'Updated Bios &amp; Spouse Details'!$A$1:$J$200,5,FALSE)</f>
        <v>Peggy is the 3rd daughter of Lewis (1882–1950: #55). Born 18 Nov 1939 at Norwich. Baptised 14 Jan 1940 at St Mary’s, Martham, Norfolk. Issue: 1 sons, 2 daughters.</v>
      </c>
      <c r="AM118" s="105" t="str">
        <f>IF(AND(LEN(H118)&gt;0,ISNA(IF(K118="Boy",VLOOKUP(A118,'Siblings of those BORN Loyd'!$AP$3:$AQ$70,2,FALSE),VLOOKUP(A118,'Children of Female Loyds'!$AR$5:$AS$60,2,FALSE)))),"d.s.p","")</f>
        <v/>
      </c>
      <c r="AN118" s="99" t="str">
        <f t="shared" si="55"/>
        <v>Dick (1882–1950: #55)</v>
      </c>
      <c r="AO118" s="99" t="str">
        <f t="shared" si="46"/>
        <v>Lewis (1852–1908: #35)</v>
      </c>
      <c r="AP118" s="99" t="str">
        <f t="shared" si="47"/>
        <v>William (1821–1885: #23)</v>
      </c>
      <c r="AQ118" s="99" t="str">
        <f t="shared" si="48"/>
        <v>Edward (1780–1863: #8)</v>
      </c>
      <c r="AR118" s="99" t="str">
        <f t="shared" si="49"/>
        <v>William (1729–1800: #1)</v>
      </c>
      <c r="AS118" s="99" t="str">
        <f t="shared" si="50"/>
        <v/>
      </c>
      <c r="AT118" s="99" t="str">
        <f t="shared" si="51"/>
        <v/>
      </c>
      <c r="AU118" s="99" t="str">
        <f t="shared" si="52"/>
        <v/>
      </c>
      <c r="AW118" s="116" t="str">
        <f>VLOOKUP(A118,'Updated Bios &amp; Spouse Details'!$A$1:$J$193,6,FALSE)</f>
        <v>England</v>
      </c>
      <c r="AX118" s="131">
        <f>VLOOKUP($A118,'Loyd List 1-190 - Edit'!$P$2:$AQ$220,AX$1,FALSE)</f>
        <v>116</v>
      </c>
      <c r="AY118" s="116" t="str">
        <f>IF(ISNA(VLOOKUP(A118,'Data check lookup table'!$G$2:$V$73,AY$1,FALSE))," - ",VLOOKUP(A118,'Data check lookup table'!$G$2:$V$73,AY$1,FALSE))</f>
        <v>patrickloyd@cwgsy.net</v>
      </c>
      <c r="AZ118" s="147" t="str">
        <f t="shared" si="42"/>
        <v/>
      </c>
      <c r="BA118" s="99" t="str">
        <f t="shared" si="56"/>
        <v/>
      </c>
      <c r="BB118" s="99" t="str">
        <f t="shared" si="57"/>
        <v/>
      </c>
      <c r="BI118" s="147" t="s">
        <v>3228</v>
      </c>
    </row>
    <row r="119" spans="1:61" s="99" customFormat="1" ht="102">
      <c r="A119" s="139">
        <f>'Loyd List 1-190 - Edit'!C119</f>
        <v>117</v>
      </c>
      <c r="B119" s="99" t="str">
        <f>VLOOKUP($A119,'Loyd List 1-190 - Edit'!$C$1:$AQ$220,'Book Details - NO EDIT'!B$1,FALSE)</f>
        <v>Patrick</v>
      </c>
      <c r="C119" s="99" t="str">
        <f>IF(VLOOKUP($A119,'Loyd List 1-190 - Edit'!$C$1:$AQ$220,'Book Details - NO EDIT'!C$1,FALSE)="","",VLOOKUP($A119,'Loyd List 1-190 - Edit'!$C$1:$AQ$220,'Book Details - NO EDIT'!C$1,FALSE))</f>
        <v>Christopher</v>
      </c>
      <c r="D119" s="99" t="str">
        <f>IF(VLOOKUP($A119,'Loyd List 1-190 - Edit'!$C$1:$AQ$220,'Book Details - NO EDIT'!D$1,FALSE)="","",VLOOKUP($A119,'Loyd List 1-190 - Edit'!$C$1:$AQ$220,'Book Details - NO EDIT'!D$1,FALSE))</f>
        <v>Robin</v>
      </c>
      <c r="E119" s="99" t="str">
        <f>IF(VLOOKUP($A119,'Loyd List 1-190 - Edit'!$C$1:$AQ$220,'Book Details - NO EDIT'!E$1,FALSE)="","",VLOOKUP($A119,'Loyd List 1-190 - Edit'!$C$1:$AQ$220,'Book Details - NO EDIT'!E$1,FALSE))</f>
        <v>LOYD</v>
      </c>
      <c r="F119" s="99" t="str">
        <f>IF(VLOOKUP($A119,'Loyd List 1-190 - Edit'!$C$1:$AQ$220,'Book Details - NO EDIT'!F$1,FALSE)="",B119,VLOOKUP($A119,'Loyd List 1-190 - Edit'!$C$1:$AQ$220,'Book Details - NO EDIT'!F$1,FALSE))</f>
        <v>Patrick</v>
      </c>
      <c r="G119" s="140">
        <f>IF(VLOOKUP($A119,'Loyd List 1-190 - Edit'!$C$1:$AQ$220,'Book Details - NO EDIT'!G$1,FALSE)="","",VALUE(VLOOKUP($A119,'Loyd List 1-190 - Edit'!$C$1:$AQ$220,'Book Details - NO EDIT'!G$1,FALSE)))</f>
        <v>1942</v>
      </c>
      <c r="H119" s="140" t="str">
        <f>IF(VLOOKUP($A119,'Loyd List 1-190 - Edit'!$C$1:$AQ$220,'Book Details - NO EDIT'!H$1,FALSE)="","",VALUE(VLOOKUP($A119,'Loyd List 1-190 - Edit'!$C$1:$AQ$220,'Book Details - NO EDIT'!H$1,FALSE)))</f>
        <v/>
      </c>
      <c r="I119" s="141">
        <f>IF(VLOOKUP($A119,'Loyd List 1-190 - Edit'!$C$1:$AQ$220,'Book Details - NO EDIT'!I$1,FALSE)="","",(VLOOKUP($A119,'Loyd List 1-190 - Edit'!$C$1:$AQ$220,'Book Details - NO EDIT'!I$1,FALSE)))</f>
        <v>15429</v>
      </c>
      <c r="J119" s="141" t="str">
        <f>IF(VLOOKUP($A119,'Loyd List 1-190 - Edit'!$C$1:$AQ$220,'Book Details - NO EDIT'!J$1,FALSE)="","",(VLOOKUP($A119,'Loyd List 1-190 - Edit'!$C$1:$AQ$220,'Book Details - NO EDIT'!J$1,FALSE)))</f>
        <v/>
      </c>
      <c r="K119" s="100" t="str">
        <f>VLOOKUP($A119,'Loyd List 1-190 - Edit'!$C$1:$AQ$220,'Book Details - NO EDIT'!K$1,FALSE)</f>
        <v>Boy</v>
      </c>
      <c r="L119" s="140">
        <f>VLOOKUP($A119,'Loyd List 1-190 - Edit'!$C$1:$AQ$220,'Book Details - NO EDIT'!L$1,FALSE)</f>
        <v>55</v>
      </c>
      <c r="M119" s="140">
        <f t="shared" si="34"/>
        <v>35</v>
      </c>
      <c r="N119" s="140">
        <f t="shared" si="34"/>
        <v>23</v>
      </c>
      <c r="O119" s="140">
        <f t="shared" si="34"/>
        <v>8</v>
      </c>
      <c r="P119" s="140">
        <f t="shared" si="31"/>
        <v>1</v>
      </c>
      <c r="Q119" s="140">
        <f t="shared" si="31"/>
        <v>0</v>
      </c>
      <c r="R119" s="140" t="str">
        <f t="shared" si="31"/>
        <v/>
      </c>
      <c r="S119" s="140" t="str">
        <f t="shared" si="35"/>
        <v/>
      </c>
      <c r="T119" s="140">
        <f t="shared" si="32"/>
        <v>5</v>
      </c>
      <c r="U119" s="139">
        <f t="shared" si="36"/>
        <v>117</v>
      </c>
      <c r="V119" s="31" t="str">
        <f t="shared" si="37"/>
        <v>Patrick (1942–)</v>
      </c>
      <c r="W119" s="31" t="str">
        <f t="shared" si="38"/>
        <v>Patrick (#117)</v>
      </c>
      <c r="X119" s="99" t="str">
        <f t="shared" si="39"/>
        <v>Patrick (1942–: #117)</v>
      </c>
      <c r="Y119" s="99" t="str">
        <f t="shared" si="54"/>
        <v>Patrick Christopher Robin LOYD</v>
      </c>
      <c r="Z119" s="99" t="str">
        <f t="shared" si="40"/>
        <v>Dick (1882–1950: #55)</v>
      </c>
      <c r="AA119" s="99" t="str">
        <f t="shared" si="45"/>
        <v xml:space="preserve">Dick (1882–1950: #55) Lewis (1852–1908: #35) William (1821–1885: #23) Edward (1780–1863: #8) William (1729–1800: #1)   </v>
      </c>
      <c r="AB119" s="142" t="str">
        <f>VLOOKUP(U119,'Siblings of those BORN Loyd'!$A$2:$G$230,7,FALSE)</f>
        <v xml:space="preserve">4 – Jos (1931–: #108) Deen (1936–2016: #112) Peggy (1939–: #116)  Patricia (1942–1942: #118)    </v>
      </c>
      <c r="AC119" s="115" t="str">
        <f>IF(ISNA(IF(K119="Boy",VLOOKUP(A119,'Siblings of those BORN Loyd'!$AP$3:$AQ$70,2,FALSE),VLOOKUP(A119,'Children of Female Loyds'!$AR$5:$AT$60,3,FALSE))),AM119,IF(K119="Boy",VLOOKUP(A119,'Siblings of those BORN Loyd'!$AP$3:$AQ$70,2,FALSE),VLOOKUP(A119,'Children of Female Loyds'!$AR$5:$AT$60,3,FALSE)))</f>
        <v>3 - Susannah (1965–: #147); Elspeth (1967–: #151); Richard (1968–: #153)</v>
      </c>
      <c r="AD119" s="97" t="str">
        <f t="shared" si="53"/>
        <v>-</v>
      </c>
      <c r="AE119" s="105" t="str">
        <f>IF(ISNA(IF(K119="Boy",VLOOKUP(A119,'Grandchildren of Male Loyds'!$AQ$3:$AS$51,3,FALSE),VLOOKUP(A119,'Grandchildren of Female Loyds'!$AX$5:$AZ$63,3,FALSE))),AM119,IF(K119="Boy",VLOOKUP(A119,'Grandchildren of Male Loyds'!$AQ$3:$AS$51,3,FALSE),VLOOKUP(A119,'Grandchildren of Female Loyds'!$AX$5:$AZ$63,3,FALSE)))</f>
        <v/>
      </c>
      <c r="AF119" s="105" t="str">
        <f>IF(ISNA(VLOOKUP(A119,'Grandchildren Loyd Daughters'!$BD$5:$BF$50,4,FALSE)),"",VLOOKUP(A119,'Grandchildren Loyd Daughters'!$BD$5:$BF$50,3,FALSE))</f>
        <v/>
      </c>
      <c r="AG119" s="129">
        <f>IF(ISNA(VLOOKUP(A119,'Grandchildren of Male Loyds'!$AQ$3:$AR$60,2,FALSE)),0,VLOOKUP(A119,'Grandchildren of Male Loyds'!$AQ$3:$AR$60,2,FALSE))+IF(ISNA(VLOOKUP(A119,'Grandchildren of Female Loyds'!$AX$5:$AY$50,2,FALSE)),0,VLOOKUP(A119,'Grandchildren of Female Loyds'!$AX$5:$AY$50,2,FALSE))+IF(ISNA(VLOOKUP(A119,'Grandchildren Loyd Daughters'!$BD$5:$BE$50,2,FALSE)),0,VLOOKUP(A119,'Grandchildren Loyd Daughters'!$BD$5:$BE$50,2,FALSE))</f>
        <v>0</v>
      </c>
      <c r="AH119" s="129" t="str">
        <f>VLOOKUP($U119,'Loyd List 1-190 - Edit'!$P$3:$AJ$220,21,FALSE)</f>
        <v>Alice Selina (Lovely) MYHILL (b. 1 Nov 1909, )</v>
      </c>
      <c r="AI119" s="129" t="str">
        <f>VLOOKUP(A119,'Updated Bios &amp; Spouse Details'!$A$1:$J$200,7,FALSE)</f>
        <v>Mary DAVIES (b. 6 Aug 1939, d. 17 Feb 1997)</v>
      </c>
      <c r="AJ119" s="130">
        <f>IF(VLOOKUP($A119,'Loyd List 1-190 - Edit'!$C$1:$AQ$220,'Book Details - NO EDIT'!AJ$1,FALSE)="","",(VLOOKUP($A119,'Loyd List 1-190 - Edit'!$C$1:$AQ$220,'Book Details - NO EDIT'!AJ$1,FALSE)))</f>
        <v>23652</v>
      </c>
      <c r="AK119" s="129" t="str">
        <f>VLOOKUP(A119,'Updated Bios &amp; Spouse Details'!$A$1:$J$200,8,FALSE)</f>
        <v>Married at All Saints’, Grendon, West Atherstone, Warwickshire, Mary,  daughter of Morgan DAVIES of Lodge Farm, Ratcliffe Culey, Atherstone, Warwickshire. Mary born at Tamworth, Staffordshire.</v>
      </c>
      <c r="AL119" s="131" t="str">
        <f>VLOOKUP(A119,'Updated Bios &amp; Spouse Details'!$A$1:$J$200,5,FALSE)</f>
        <v>Patrick lives in Guernsey, Channel Islands and is the only son of Lewis (1882–1950: #55). Born 29 Mar 1942 (twin with his youngest sister, Patricia) in Norwich. Baptised 10 Jun 1942 at St. Mary’s, Martham, Norfolk. Issue: 2 daughters, 1 son.</v>
      </c>
      <c r="AM119" s="105" t="str">
        <f>IF(AND(LEN(H119)&gt;0,ISNA(IF(K119="Boy",VLOOKUP(A119,'Siblings of those BORN Loyd'!$AP$3:$AQ$70,2,FALSE),VLOOKUP(A119,'Children of Female Loyds'!$AR$5:$AS$60,2,FALSE)))),"d.s.p","")</f>
        <v/>
      </c>
      <c r="AN119" s="99" t="str">
        <f t="shared" si="55"/>
        <v>Dick (1882–1950: #55)</v>
      </c>
      <c r="AO119" s="99" t="str">
        <f t="shared" si="46"/>
        <v>Lewis (1852–1908: #35)</v>
      </c>
      <c r="AP119" s="99" t="str">
        <f t="shared" si="47"/>
        <v>William (1821–1885: #23)</v>
      </c>
      <c r="AQ119" s="99" t="str">
        <f t="shared" si="48"/>
        <v>Edward (1780–1863: #8)</v>
      </c>
      <c r="AR119" s="99" t="str">
        <f t="shared" si="49"/>
        <v>William (1729–1800: #1)</v>
      </c>
      <c r="AS119" s="99" t="str">
        <f t="shared" si="50"/>
        <v/>
      </c>
      <c r="AT119" s="99" t="str">
        <f t="shared" si="51"/>
        <v/>
      </c>
      <c r="AU119" s="99" t="str">
        <f t="shared" si="52"/>
        <v/>
      </c>
      <c r="AW119" s="116" t="str">
        <f>VLOOKUP(A119,'Updated Bios &amp; Spouse Details'!$A$1:$J$193,6,FALSE)</f>
        <v>England</v>
      </c>
      <c r="AX119" s="131">
        <f>VLOOKUP($A119,'Loyd List 1-190 - Edit'!$P$2:$AQ$220,AX$1,FALSE)</f>
        <v>117</v>
      </c>
      <c r="AY119" s="116" t="str">
        <f>IF(ISNA(VLOOKUP(A119,'Data check lookup table'!$G$2:$V$73,AY$1,FALSE))," - ",VLOOKUP(A119,'Data check lookup table'!$G$2:$V$73,AY$1,FALSE))</f>
        <v>patrickloyd@cwgsy.net</v>
      </c>
      <c r="AZ119" s="147" t="str">
        <f t="shared" si="42"/>
        <v/>
      </c>
      <c r="BA119" s="99" t="str">
        <f t="shared" si="56"/>
        <v/>
      </c>
      <c r="BB119" s="99" t="str">
        <f t="shared" si="57"/>
        <v/>
      </c>
      <c r="BI119" s="147" t="s">
        <v>3228</v>
      </c>
    </row>
    <row r="120" spans="1:61" s="99" customFormat="1" ht="34">
      <c r="A120" s="139">
        <f>'Loyd List 1-190 - Edit'!C120</f>
        <v>118</v>
      </c>
      <c r="B120" s="99" t="str">
        <f>VLOOKUP($A120,'Loyd List 1-190 - Edit'!$C$1:$AQ$220,'Book Details - NO EDIT'!B$1,FALSE)</f>
        <v>Patricia</v>
      </c>
      <c r="C120" s="99" t="str">
        <f>IF(VLOOKUP($A120,'Loyd List 1-190 - Edit'!$C$1:$AQ$220,'Book Details - NO EDIT'!C$1,FALSE)="","",VLOOKUP($A120,'Loyd List 1-190 - Edit'!$C$1:$AQ$220,'Book Details - NO EDIT'!C$1,FALSE))</f>
        <v>Doris</v>
      </c>
      <c r="D120" s="99" t="str">
        <f>IF(VLOOKUP($A120,'Loyd List 1-190 - Edit'!$C$1:$AQ$220,'Book Details - NO EDIT'!D$1,FALSE)="","",VLOOKUP($A120,'Loyd List 1-190 - Edit'!$C$1:$AQ$220,'Book Details - NO EDIT'!D$1,FALSE))</f>
        <v>Irene</v>
      </c>
      <c r="E120" s="99" t="str">
        <f>IF(VLOOKUP($A120,'Loyd List 1-190 - Edit'!$C$1:$AQ$220,'Book Details - NO EDIT'!E$1,FALSE)="","",VLOOKUP($A120,'Loyd List 1-190 - Edit'!$C$1:$AQ$220,'Book Details - NO EDIT'!E$1,FALSE))</f>
        <v>LOYD</v>
      </c>
      <c r="F120" s="99" t="str">
        <f>IF(VLOOKUP($A120,'Loyd List 1-190 - Edit'!$C$1:$AQ$220,'Book Details - NO EDIT'!F$1,FALSE)="",B120,VLOOKUP($A120,'Loyd List 1-190 - Edit'!$C$1:$AQ$220,'Book Details - NO EDIT'!F$1,FALSE))</f>
        <v>Patricia</v>
      </c>
      <c r="G120" s="140">
        <f>IF(VLOOKUP($A120,'Loyd List 1-190 - Edit'!$C$1:$AQ$220,'Book Details - NO EDIT'!G$1,FALSE)="","",VALUE(VLOOKUP($A120,'Loyd List 1-190 - Edit'!$C$1:$AQ$220,'Book Details - NO EDIT'!G$1,FALSE)))</f>
        <v>1942</v>
      </c>
      <c r="H120" s="140">
        <f>IF(VLOOKUP($A120,'Loyd List 1-190 - Edit'!$C$1:$AQ$220,'Book Details - NO EDIT'!H$1,FALSE)="","",VALUE(VLOOKUP($A120,'Loyd List 1-190 - Edit'!$C$1:$AQ$220,'Book Details - NO EDIT'!H$1,FALSE)))</f>
        <v>1942</v>
      </c>
      <c r="I120" s="141">
        <f>IF(VLOOKUP($A120,'Loyd List 1-190 - Edit'!$C$1:$AQ$220,'Book Details - NO EDIT'!I$1,FALSE)="","",(VLOOKUP($A120,'Loyd List 1-190 - Edit'!$C$1:$AQ$220,'Book Details - NO EDIT'!I$1,FALSE)))</f>
        <v>15429</v>
      </c>
      <c r="J120" s="141" t="str">
        <f>IF(VLOOKUP($A120,'Loyd List 1-190 - Edit'!$C$1:$AQ$220,'Book Details - NO EDIT'!J$1,FALSE)="","",(VLOOKUP($A120,'Loyd List 1-190 - Edit'!$C$1:$AQ$220,'Book Details - NO EDIT'!J$1,FALSE)))</f>
        <v>02/04/1942</v>
      </c>
      <c r="K120" s="100" t="str">
        <f>VLOOKUP($A120,'Loyd List 1-190 - Edit'!$C$1:$AQ$220,'Book Details - NO EDIT'!K$1,FALSE)</f>
        <v>Girl</v>
      </c>
      <c r="L120" s="140">
        <f>VLOOKUP($A120,'Loyd List 1-190 - Edit'!$C$1:$AQ$220,'Book Details - NO EDIT'!L$1,FALSE)</f>
        <v>55</v>
      </c>
      <c r="M120" s="140">
        <f t="shared" si="34"/>
        <v>35</v>
      </c>
      <c r="N120" s="140">
        <f t="shared" si="34"/>
        <v>23</v>
      </c>
      <c r="O120" s="140">
        <f t="shared" si="34"/>
        <v>8</v>
      </c>
      <c r="P120" s="140">
        <f t="shared" si="31"/>
        <v>1</v>
      </c>
      <c r="Q120" s="140">
        <f t="shared" si="31"/>
        <v>0</v>
      </c>
      <c r="R120" s="140" t="str">
        <f t="shared" si="31"/>
        <v/>
      </c>
      <c r="S120" s="140" t="str">
        <f t="shared" si="35"/>
        <v/>
      </c>
      <c r="T120" s="140">
        <f t="shared" si="32"/>
        <v>5</v>
      </c>
      <c r="U120" s="139">
        <f t="shared" si="36"/>
        <v>118</v>
      </c>
      <c r="V120" s="31" t="str">
        <f t="shared" si="37"/>
        <v>Patricia (1942–1942)</v>
      </c>
      <c r="W120" s="31" t="str">
        <f t="shared" si="38"/>
        <v>Patricia (#118)</v>
      </c>
      <c r="X120" s="99" t="str">
        <f t="shared" si="39"/>
        <v>Patricia (1942–1942: #118)</v>
      </c>
      <c r="Y120" s="99" t="str">
        <f t="shared" si="54"/>
        <v>Patricia Doris Irene LOYD</v>
      </c>
      <c r="Z120" s="99" t="str">
        <f t="shared" si="40"/>
        <v>Dick (1882–1950: #55)</v>
      </c>
      <c r="AA120" s="99" t="str">
        <f t="shared" si="45"/>
        <v xml:space="preserve">Dick (1882–1950: #55) Lewis (1852–1908: #35) William (1821–1885: #23) Edward (1780–1863: #8) William (1729–1800: #1)   </v>
      </c>
      <c r="AB120" s="142" t="str">
        <f>VLOOKUP(U120,'Siblings of those BORN Loyd'!$A$2:$G$230,7,FALSE)</f>
        <v xml:space="preserve">4 – Jos (1931–: #108) Deen (1936–2016: #112) Peggy (1939–: #116) Patrick (1942–: #117)     </v>
      </c>
      <c r="AC120" s="115" t="str">
        <f>IF(ISNA(IF(K120="Boy",VLOOKUP(A120,'Siblings of those BORN Loyd'!$AP$3:$AQ$70,2,FALSE),VLOOKUP(A120,'Children of Female Loyds'!$AR$5:$AT$60,3,FALSE))),AM120,IF(K120="Boy",VLOOKUP(A120,'Siblings of those BORN Loyd'!$AP$3:$AQ$70,2,FALSE),VLOOKUP(A120,'Children of Female Loyds'!$AR$5:$AT$60,3,FALSE)))</f>
        <v>d.s.p</v>
      </c>
      <c r="AD120" s="97" t="str">
        <f t="shared" si="53"/>
        <v>d.s.p.</v>
      </c>
      <c r="AE120" s="105" t="str">
        <f>IF(ISNA(IF(K120="Boy",VLOOKUP(A120,'Grandchildren of Male Loyds'!$AQ$3:$AS$51,3,FALSE),VLOOKUP(A120,'Grandchildren of Female Loyds'!$AX$5:$AZ$63,3,FALSE))),AM120,IF(K120="Boy",VLOOKUP(A120,'Grandchildren of Male Loyds'!$AQ$3:$AS$51,3,FALSE),VLOOKUP(A120,'Grandchildren of Female Loyds'!$AX$5:$AZ$63,3,FALSE)))</f>
        <v>d.s.p</v>
      </c>
      <c r="AF120" s="105" t="str">
        <f>IF(ISNA(VLOOKUP(A120,'Grandchildren Loyd Daughters'!$BD$5:$BF$50,4,FALSE)),"",VLOOKUP(A120,'Grandchildren Loyd Daughters'!$BD$5:$BF$50,3,FALSE))</f>
        <v/>
      </c>
      <c r="AG120" s="129">
        <f>IF(ISNA(VLOOKUP(A120,'Grandchildren of Male Loyds'!$AQ$3:$AR$60,2,FALSE)),0,VLOOKUP(A120,'Grandchildren of Male Loyds'!$AQ$3:$AR$60,2,FALSE))+IF(ISNA(VLOOKUP(A120,'Grandchildren of Female Loyds'!$AX$5:$AY$50,2,FALSE)),0,VLOOKUP(A120,'Grandchildren of Female Loyds'!$AX$5:$AY$50,2,FALSE))+IF(ISNA(VLOOKUP(A120,'Grandchildren Loyd Daughters'!$BD$5:$BE$50,2,FALSE)),0,VLOOKUP(A120,'Grandchildren Loyd Daughters'!$BD$5:$BE$50,2,FALSE))</f>
        <v>0</v>
      </c>
      <c r="AH120" s="129" t="str">
        <f>VLOOKUP($U120,'Loyd List 1-190 - Edit'!$P$3:$AJ$220,21,FALSE)</f>
        <v>Alice Selina (Lovely) MYHILL (b. 1 Nov 1909, )</v>
      </c>
      <c r="AI120" s="129" t="str">
        <f>VLOOKUP(A120,'Updated Bios &amp; Spouse Details'!$A$1:$J$200,7,FALSE)</f>
        <v>Died in infancy.</v>
      </c>
      <c r="AJ120" s="130" t="str">
        <f>IF(VLOOKUP($A120,'Loyd List 1-190 - Edit'!$C$1:$AQ$220,'Book Details - NO EDIT'!AJ$1,FALSE)="","",(VLOOKUP($A120,'Loyd List 1-190 - Edit'!$C$1:$AQ$220,'Book Details - NO EDIT'!AJ$1,FALSE)))</f>
        <v xml:space="preserve"> - </v>
      </c>
      <c r="AK120" s="129" t="str">
        <f>VLOOKUP(A120,'Updated Bios &amp; Spouse Details'!$A$1:$J$200,8,FALSE)</f>
        <v>-</v>
      </c>
      <c r="AL120" s="131" t="str">
        <f>VLOOKUP(A120,'Updated Bios &amp; Spouse Details'!$A$1:$J$200,5,FALSE)</f>
        <v>Patricia was the 4th and youngest daughter of Lewis (1882–1950: #55). Born 29 Mar 1942 (twin with her brother, Patrick) in Norwich. Died in infancy on 2 Apr 1942 in Norwich.</v>
      </c>
      <c r="AM120" s="105" t="str">
        <f>IF(AND(LEN(H120)&gt;0,ISNA(IF(K120="Boy",VLOOKUP(A120,'Siblings of those BORN Loyd'!$AP$3:$AQ$70,2,FALSE),VLOOKUP(A120,'Children of Female Loyds'!$AR$5:$AS$60,2,FALSE)))),"d.s.p","")</f>
        <v>d.s.p</v>
      </c>
      <c r="AN120" s="99" t="str">
        <f t="shared" si="55"/>
        <v>Dick (1882–1950: #55)</v>
      </c>
      <c r="AO120" s="99" t="str">
        <f t="shared" si="46"/>
        <v>Lewis (1852–1908: #35)</v>
      </c>
      <c r="AP120" s="99" t="str">
        <f t="shared" si="47"/>
        <v>William (1821–1885: #23)</v>
      </c>
      <c r="AQ120" s="99" t="str">
        <f t="shared" si="48"/>
        <v>Edward (1780–1863: #8)</v>
      </c>
      <c r="AR120" s="99" t="str">
        <f t="shared" si="49"/>
        <v>William (1729–1800: #1)</v>
      </c>
      <c r="AS120" s="99" t="str">
        <f t="shared" si="50"/>
        <v/>
      </c>
      <c r="AT120" s="99" t="str">
        <f t="shared" si="51"/>
        <v/>
      </c>
      <c r="AU120" s="99" t="str">
        <f t="shared" si="52"/>
        <v/>
      </c>
      <c r="AW120" s="116" t="str">
        <f>VLOOKUP(A120,'Updated Bios &amp; Spouse Details'!$A$1:$J$193,6,FALSE)</f>
        <v>England</v>
      </c>
      <c r="AX120" s="131">
        <f>VLOOKUP($A120,'Loyd List 1-190 - Edit'!$P$2:$AQ$220,AX$1,FALSE)</f>
        <v>118</v>
      </c>
      <c r="AY120" s="116" t="str">
        <f>IF(ISNA(VLOOKUP(A120,'Data check lookup table'!$G$2:$V$73,AY$1,FALSE))," - ",VLOOKUP(A120,'Data check lookup table'!$G$2:$V$73,AY$1,FALSE))</f>
        <v xml:space="preserve"> - </v>
      </c>
      <c r="AZ120" s="147" t="str">
        <f t="shared" si="42"/>
        <v>02/04/1942</v>
      </c>
      <c r="BA120" s="99" t="str">
        <f t="shared" si="56"/>
        <v/>
      </c>
      <c r="BB120" s="99" t="str">
        <f t="shared" si="57"/>
        <v/>
      </c>
      <c r="BI120" s="147" t="s">
        <v>3241</v>
      </c>
    </row>
    <row r="121" spans="1:61" s="99" customFormat="1" ht="187">
      <c r="A121" s="139">
        <f>'Loyd List 1-190 - Edit'!C121</f>
        <v>119</v>
      </c>
      <c r="B121" s="99" t="str">
        <f>VLOOKUP($A121,'Loyd List 1-190 - Edit'!$C$1:$AQ$220,'Book Details - NO EDIT'!B$1,FALSE)</f>
        <v>Peter</v>
      </c>
      <c r="C121" s="99" t="str">
        <f>IF(VLOOKUP($A121,'Loyd List 1-190 - Edit'!$C$1:$AQ$220,'Book Details - NO EDIT'!C$1,FALSE)="","",VLOOKUP($A121,'Loyd List 1-190 - Edit'!$C$1:$AQ$220,'Book Details - NO EDIT'!C$1,FALSE))</f>
        <v>Robert</v>
      </c>
      <c r="D121" s="99" t="str">
        <f>IF(VLOOKUP($A121,'Loyd List 1-190 - Edit'!$C$1:$AQ$220,'Book Details - NO EDIT'!D$1,FALSE)="","",VLOOKUP($A121,'Loyd List 1-190 - Edit'!$C$1:$AQ$220,'Book Details - NO EDIT'!D$1,FALSE))</f>
        <v/>
      </c>
      <c r="E121" s="99" t="str">
        <f>IF(VLOOKUP($A121,'Loyd List 1-190 - Edit'!$C$1:$AQ$220,'Book Details - NO EDIT'!E$1,FALSE)="","",VLOOKUP($A121,'Loyd List 1-190 - Edit'!$C$1:$AQ$220,'Book Details - NO EDIT'!E$1,FALSE))</f>
        <v>LOYD</v>
      </c>
      <c r="F121" s="99" t="str">
        <f>IF(VLOOKUP($A121,'Loyd List 1-190 - Edit'!$C$1:$AQ$220,'Book Details - NO EDIT'!F$1,FALSE)="",B121,VLOOKUP($A121,'Loyd List 1-190 - Edit'!$C$1:$AQ$220,'Book Details - NO EDIT'!F$1,FALSE))</f>
        <v>Peter</v>
      </c>
      <c r="G121" s="140">
        <f>IF(VLOOKUP($A121,'Loyd List 1-190 - Edit'!$C$1:$AQ$220,'Book Details - NO EDIT'!G$1,FALSE)="","",VALUE(VLOOKUP($A121,'Loyd List 1-190 - Edit'!$C$1:$AQ$220,'Book Details - NO EDIT'!G$1,FALSE)))</f>
        <v>1942</v>
      </c>
      <c r="H121" s="140" t="str">
        <f>IF(VLOOKUP($A121,'Loyd List 1-190 - Edit'!$C$1:$AQ$220,'Book Details - NO EDIT'!H$1,FALSE)="","",VALUE(VLOOKUP($A121,'Loyd List 1-190 - Edit'!$C$1:$AQ$220,'Book Details - NO EDIT'!H$1,FALSE)))</f>
        <v/>
      </c>
      <c r="I121" s="141">
        <f>IF(VLOOKUP($A121,'Loyd List 1-190 - Edit'!$C$1:$AQ$220,'Book Details - NO EDIT'!I$1,FALSE)="","",(VLOOKUP($A121,'Loyd List 1-190 - Edit'!$C$1:$AQ$220,'Book Details - NO EDIT'!I$1,FALSE)))</f>
        <v>15592</v>
      </c>
      <c r="J121" s="141" t="str">
        <f>IF(VLOOKUP($A121,'Loyd List 1-190 - Edit'!$C$1:$AQ$220,'Book Details - NO EDIT'!J$1,FALSE)="","",(VLOOKUP($A121,'Loyd List 1-190 - Edit'!$C$1:$AQ$220,'Book Details - NO EDIT'!J$1,FALSE)))</f>
        <v/>
      </c>
      <c r="K121" s="100" t="str">
        <f>VLOOKUP($A121,'Loyd List 1-190 - Edit'!$C$1:$AQ$220,'Book Details - NO EDIT'!K$1,FALSE)</f>
        <v>Boy</v>
      </c>
      <c r="L121" s="140">
        <f>VLOOKUP($A121,'Loyd List 1-190 - Edit'!$C$1:$AQ$220,'Book Details - NO EDIT'!L$1,FALSE)</f>
        <v>80</v>
      </c>
      <c r="M121" s="140">
        <f t="shared" si="34"/>
        <v>29</v>
      </c>
      <c r="N121" s="140">
        <f t="shared" si="34"/>
        <v>14</v>
      </c>
      <c r="O121" s="140">
        <f t="shared" si="34"/>
        <v>4</v>
      </c>
      <c r="P121" s="140">
        <f t="shared" si="31"/>
        <v>1</v>
      </c>
      <c r="Q121" s="140">
        <f t="shared" si="31"/>
        <v>0</v>
      </c>
      <c r="R121" s="140" t="str">
        <f t="shared" si="31"/>
        <v/>
      </c>
      <c r="S121" s="140" t="str">
        <f t="shared" si="35"/>
        <v/>
      </c>
      <c r="T121" s="140">
        <f t="shared" si="32"/>
        <v>5</v>
      </c>
      <c r="U121" s="139">
        <f t="shared" si="36"/>
        <v>119</v>
      </c>
      <c r="V121" s="31" t="str">
        <f t="shared" si="37"/>
        <v>Peter (1942–)</v>
      </c>
      <c r="W121" s="31" t="str">
        <f t="shared" si="38"/>
        <v>Peter (#119)</v>
      </c>
      <c r="X121" s="99" t="str">
        <f t="shared" si="39"/>
        <v>Peter (1942–: #119)</v>
      </c>
      <c r="Y121" s="99" t="str">
        <f t="shared" si="54"/>
        <v>Peter Robert LOYD</v>
      </c>
      <c r="Z121" s="99" t="str">
        <f t="shared" si="40"/>
        <v>Eric (1894–1963: #80)</v>
      </c>
      <c r="AA121" s="99" t="str">
        <f t="shared" si="45"/>
        <v xml:space="preserve">Eric (1894–1963: #80) Arthur (1845–1930: #29) Thomas (1812–1857: #14) William (1770–1828: #4) William (1729–1800: #1)   </v>
      </c>
      <c r="AB121" s="142" t="str">
        <f>VLOOKUP(U121,'Siblings of those BORN Loyd'!$A$2:$G$230,7,FALSE)</f>
        <v xml:space="preserve">3 – Margaret (1932–: #109) Jean (1933–: #110) Michael (1938–: #114)      </v>
      </c>
      <c r="AC121" s="115" t="str">
        <f>IF(ISNA(IF(K121="Boy",VLOOKUP(A121,'Siblings of those BORN Loyd'!$AP$3:$AQ$70,2,FALSE),VLOOKUP(A121,'Children of Female Loyds'!$AR$5:$AT$60,3,FALSE))),AM121,IF(K121="Boy",VLOOKUP(A121,'Siblings of those BORN Loyd'!$AP$3:$AQ$70,2,FALSE),VLOOKUP(A121,'Children of Female Loyds'!$AR$5:$AT$60,3,FALSE)))</f>
        <v>4 - William (1973–: #155); Amy (1975–: #156); Molly (1982–: #161); Harriet (1984–: #163)</v>
      </c>
      <c r="AD121" s="97" t="str">
        <f t="shared" si="53"/>
        <v xml:space="preserve">9 - Matilda (2006–: #183); Katherine (2007–: #185); Henry (2010–: #186)   Peter GRINDAL (2014 - :  #156a) Dorothy GRINDAL (2016 - :  #156b) Alexia HAYNS (2014 - :  #161a) Edward HAYNS (2016 - :  #161b) 
Thomas DINSMORE (2012 - :  #163a) Mary DINSMORE (2014 - :  #163b)         </v>
      </c>
      <c r="AE121" s="105" t="str">
        <f>IF(ISNA(IF(K121="Boy",VLOOKUP(A121,'Grandchildren of Male Loyds'!$AQ$3:$AS$51,3,FALSE),VLOOKUP(A121,'Grandchildren of Female Loyds'!$AX$5:$AZ$63,3,FALSE))),AM121,IF(K121="Boy",VLOOKUP(A121,'Grandchildren of Male Loyds'!$AQ$3:$AS$51,3,FALSE),VLOOKUP(A121,'Grandchildren of Female Loyds'!$AX$5:$AZ$63,3,FALSE)))</f>
        <v>Matilda (2006–: #183); Katherine (2007–: #185); Henry (2010–: #186)</v>
      </c>
      <c r="AF121" s="105" t="str">
        <f>IF(ISNA(VLOOKUP(A121,'Grandchildren Loyd Daughters'!$BD$5:$BF$50,4,FALSE)),"",VLOOKUP(A121,'Grandchildren Loyd Daughters'!$BD$5:$BF$50,3,FALSE))</f>
        <v xml:space="preserve">Peter GRINDAL (2014 - :  #156a) Dorothy GRINDAL (2016 - :  #156b) Alexia HAYNS (2014 - :  #161a) Edward HAYNS (2016 - :  #161b) 
Thomas DINSMORE (2012 - :  #163a) Mary DINSMORE (2014 - :  #163b)         </v>
      </c>
      <c r="AG121" s="129">
        <f>IF(ISNA(VLOOKUP(A121,'Grandchildren of Male Loyds'!$AQ$3:$AR$60,2,FALSE)),0,VLOOKUP(A121,'Grandchildren of Male Loyds'!$AQ$3:$AR$60,2,FALSE))+IF(ISNA(VLOOKUP(A121,'Grandchildren of Female Loyds'!$AX$5:$AY$50,2,FALSE)),0,VLOOKUP(A121,'Grandchildren of Female Loyds'!$AX$5:$AY$50,2,FALSE))+IF(ISNA(VLOOKUP(A121,'Grandchildren Loyd Daughters'!$BD$5:$BE$50,2,FALSE)),0,VLOOKUP(A121,'Grandchildren Loyd Daughters'!$BD$5:$BE$50,2,FALSE))</f>
        <v>9</v>
      </c>
      <c r="AH121" s="129" t="str">
        <f>VLOOKUP($U121,'Loyd List 1-190 - Edit'!$P$3:$AJ$220,21,FALSE)</f>
        <v>Isabel Mary Beatrix PARKER (b. 22 Feb 1903, d. 13 Jan 1992)</v>
      </c>
      <c r="AI121" s="129" t="str">
        <f>VLOOKUP(A121,'Updated Bios &amp; Spouse Details'!$A$1:$J$200,7,FALSE)</f>
        <v>(1) Mary Jennifer CHARLTON (b. 15 Jul 1946, d. 10 Oct 1976)</v>
      </c>
      <c r="AJ121" s="130">
        <f>IF(VLOOKUP($A121,'Loyd List 1-190 - Edit'!$C$1:$AQ$220,'Book Details - NO EDIT'!AJ$1,FALSE)="","",(VLOOKUP($A121,'Loyd List 1-190 - Edit'!$C$1:$AQ$220,'Book Details - NO EDIT'!AJ$1,FALSE)))</f>
        <v>25942</v>
      </c>
      <c r="AK121" s="129" t="str">
        <f>VLOOKUP(A121,'Updated Bios &amp; Spouse Details'!$A$1:$J$200,8,FALSE)</f>
        <v>(1) Married Mary, at St Oswald’s, Bellingham, Northumberland. Mary eldest daughter of Major Frederick John CHARLTON of Hesleyside Hall, Bellingham, Northumberland. Died as result of a train accident in Mexico. (2) Married Charlotte Ann HEDLEY (b. 13 Sep 1946, ) on 22 May 1981 at Farm Street, London, only daughter of Timothy Grant HEDLEY of Berwick House, Lympne, Kent.</v>
      </c>
      <c r="AL121" s="131" t="str">
        <f>VLOOKUP(A121,'Updated Bios &amp; Spouse Details'!$A$1:$J$200,5,FALSE)</f>
        <v>Peter lives in Hexham, Northumberland and is the younger son of Eric (1894–1963: #80). Born 8 Sep 1942. Baptised 28 Sep 1942 at St Hubert’s, Dunsopbridge, Lancashire. Educated Ampleforth and RMA Sandhurst. Career: Captain, Royal Scots Greys 1962-71. Scottish &amp; Newcastle Breweries 1971-78. MD Christopher &amp; Co 1978-84. Farmer and independent wine merchant from 1984. Chairman Orders of St John Care Trust 2007-13, High Sheriff 2013, Knight of Malta (Grand Cross) 1980. Issue: (1st wife) 1 son, 1 daughter. (2nd wife) 2 daughters. Contact email: mantlehill@aol.com</v>
      </c>
      <c r="AM121" s="105" t="str">
        <f>IF(AND(LEN(H121)&gt;0,ISNA(IF(K121="Boy",VLOOKUP(A121,'Siblings of those BORN Loyd'!$AP$3:$AQ$70,2,FALSE),VLOOKUP(A121,'Children of Female Loyds'!$AR$5:$AS$60,2,FALSE)))),"d.s.p","")</f>
        <v/>
      </c>
      <c r="AN121" s="99" t="str">
        <f t="shared" si="55"/>
        <v>Eric (1894–1963: #80)</v>
      </c>
      <c r="AO121" s="99" t="str">
        <f t="shared" si="46"/>
        <v>Arthur (1845–1930: #29)</v>
      </c>
      <c r="AP121" s="99" t="str">
        <f t="shared" si="47"/>
        <v>Thomas (1812–1857: #14)</v>
      </c>
      <c r="AQ121" s="99" t="str">
        <f t="shared" si="48"/>
        <v>William (1770–1828: #4)</v>
      </c>
      <c r="AR121" s="99" t="str">
        <f t="shared" si="49"/>
        <v>William (1729–1800: #1)</v>
      </c>
      <c r="AS121" s="99" t="str">
        <f t="shared" si="50"/>
        <v/>
      </c>
      <c r="AT121" s="99" t="str">
        <f t="shared" si="51"/>
        <v/>
      </c>
      <c r="AU121" s="99" t="str">
        <f t="shared" si="52"/>
        <v/>
      </c>
      <c r="AW121" s="116" t="str">
        <f>VLOOKUP(A121,'Updated Bios &amp; Spouse Details'!$A$1:$J$193,6,FALSE)</f>
        <v>England</v>
      </c>
      <c r="AX121" s="131">
        <f>VLOOKUP($A121,'Loyd List 1-190 - Edit'!$P$2:$AQ$220,AX$1,FALSE)</f>
        <v>119</v>
      </c>
      <c r="AY121" s="116" t="str">
        <f>IF(ISNA(VLOOKUP(A121,'Data check lookup table'!$G$2:$V$73,AY$1,FALSE))," - ",VLOOKUP(A121,'Data check lookup table'!$G$2:$V$73,AY$1,FALSE))</f>
        <v>mantlehill@aol.com</v>
      </c>
      <c r="AZ121" s="147" t="str">
        <f t="shared" si="42"/>
        <v/>
      </c>
      <c r="BA121" s="99" t="str">
        <f t="shared" si="56"/>
        <v/>
      </c>
      <c r="BB121" s="99" t="str">
        <f t="shared" si="57"/>
        <v/>
      </c>
      <c r="BI121" s="147" t="s">
        <v>3228</v>
      </c>
    </row>
    <row r="122" spans="1:61" s="99" customFormat="1" ht="85">
      <c r="A122" s="139">
        <f>'Loyd List 1-190 - Edit'!C122</f>
        <v>120</v>
      </c>
      <c r="B122" s="99" t="str">
        <f>VLOOKUP($A122,'Loyd List 1-190 - Edit'!$C$1:$AQ$220,'Book Details - NO EDIT'!B$1,FALSE)</f>
        <v>Caroline</v>
      </c>
      <c r="C122" s="99" t="str">
        <f>IF(VLOOKUP($A122,'Loyd List 1-190 - Edit'!$C$1:$AQ$220,'Book Details - NO EDIT'!C$1,FALSE)="","",VLOOKUP($A122,'Loyd List 1-190 - Edit'!$C$1:$AQ$220,'Book Details - NO EDIT'!C$1,FALSE))</f>
        <v>Evelyn</v>
      </c>
      <c r="D122" s="99" t="str">
        <f>IF(VLOOKUP($A122,'Loyd List 1-190 - Edit'!$C$1:$AQ$220,'Book Details - NO EDIT'!D$1,FALSE)="","",VLOOKUP($A122,'Loyd List 1-190 - Edit'!$C$1:$AQ$220,'Book Details - NO EDIT'!D$1,FALSE))</f>
        <v/>
      </c>
      <c r="E122" s="99" t="str">
        <f>IF(VLOOKUP($A122,'Loyd List 1-190 - Edit'!$C$1:$AQ$220,'Book Details - NO EDIT'!E$1,FALSE)="","",VLOOKUP($A122,'Loyd List 1-190 - Edit'!$C$1:$AQ$220,'Book Details - NO EDIT'!E$1,FALSE))</f>
        <v>LOYD</v>
      </c>
      <c r="F122" s="99" t="str">
        <f>IF(VLOOKUP($A122,'Loyd List 1-190 - Edit'!$C$1:$AQ$220,'Book Details - NO EDIT'!F$1,FALSE)="",B122,VLOOKUP($A122,'Loyd List 1-190 - Edit'!$C$1:$AQ$220,'Book Details - NO EDIT'!F$1,FALSE))</f>
        <v>Caroline</v>
      </c>
      <c r="G122" s="140">
        <f>IF(VLOOKUP($A122,'Loyd List 1-190 - Edit'!$C$1:$AQ$220,'Book Details - NO EDIT'!G$1,FALSE)="","",VALUE(VLOOKUP($A122,'Loyd List 1-190 - Edit'!$C$1:$AQ$220,'Book Details - NO EDIT'!G$1,FALSE)))</f>
        <v>1947</v>
      </c>
      <c r="H122" s="140">
        <f>IF(VLOOKUP($A122,'Loyd List 1-190 - Edit'!$C$1:$AQ$220,'Book Details - NO EDIT'!H$1,FALSE)="","",VALUE(VLOOKUP($A122,'Loyd List 1-190 - Edit'!$C$1:$AQ$220,'Book Details - NO EDIT'!H$1,FALSE)))</f>
        <v>2022</v>
      </c>
      <c r="I122" s="141">
        <f>IF(VLOOKUP($A122,'Loyd List 1-190 - Edit'!$C$1:$AQ$220,'Book Details - NO EDIT'!I$1,FALSE)="","",(VLOOKUP($A122,'Loyd List 1-190 - Edit'!$C$1:$AQ$220,'Book Details - NO EDIT'!I$1,FALSE)))</f>
        <v>17183</v>
      </c>
      <c r="J122" s="141" t="str">
        <f>IF(VLOOKUP($A122,'Loyd List 1-190 - Edit'!$C$1:$AQ$220,'Book Details - NO EDIT'!J$1,FALSE)="","",(VLOOKUP($A122,'Loyd List 1-190 - Edit'!$C$1:$AQ$220,'Book Details - NO EDIT'!J$1,FALSE)))</f>
        <v>13/06/2022</v>
      </c>
      <c r="K122" s="100" t="str">
        <f>VLOOKUP($A122,'Loyd List 1-190 - Edit'!$C$1:$AQ$220,'Book Details - NO EDIT'!K$1,FALSE)</f>
        <v>Girl</v>
      </c>
      <c r="L122" s="140">
        <f>VLOOKUP($A122,'Loyd List 1-190 - Edit'!$C$1:$AQ$220,'Book Details - NO EDIT'!L$1,FALSE)</f>
        <v>96</v>
      </c>
      <c r="M122" s="140">
        <f t="shared" si="34"/>
        <v>66</v>
      </c>
      <c r="N122" s="140">
        <f t="shared" si="34"/>
        <v>44</v>
      </c>
      <c r="O122" s="140">
        <f t="shared" si="34"/>
        <v>23</v>
      </c>
      <c r="P122" s="140">
        <f t="shared" si="31"/>
        <v>8</v>
      </c>
      <c r="Q122" s="140">
        <f t="shared" si="31"/>
        <v>1</v>
      </c>
      <c r="R122" s="140">
        <f t="shared" si="31"/>
        <v>0</v>
      </c>
      <c r="S122" s="140" t="str">
        <f t="shared" si="35"/>
        <v/>
      </c>
      <c r="T122" s="140">
        <f t="shared" si="32"/>
        <v>6</v>
      </c>
      <c r="U122" s="139">
        <f t="shared" si="36"/>
        <v>120</v>
      </c>
      <c r="V122" s="31" t="str">
        <f t="shared" si="37"/>
        <v>Caroline (1947–2022)</v>
      </c>
      <c r="W122" s="31" t="str">
        <f t="shared" si="38"/>
        <v>Caroline (#120)</v>
      </c>
      <c r="X122" s="99" t="str">
        <f t="shared" si="39"/>
        <v>Caroline (1947–2022: #120)</v>
      </c>
      <c r="Y122" s="99" t="str">
        <f t="shared" si="54"/>
        <v>Caroline Evelyn LOYD</v>
      </c>
      <c r="Z122" s="99" t="str">
        <f t="shared" si="40"/>
        <v>Edward (1921–1977: #96)</v>
      </c>
      <c r="AA122" s="99" t="str">
        <f t="shared" si="45"/>
        <v xml:space="preserve">Edward (1921–1977: #96) William (1889–1947: #66) Harry (1861–1938: #44) William (1821–1885: #23) Edward (1780–1863: #8) William (1729–1800: #1)  </v>
      </c>
      <c r="AB122" s="142" t="str">
        <f>VLOOKUP(U122,'Siblings of those BORN Loyd'!$A$2:$G$230,7,FALSE)</f>
        <v xml:space="preserve">1 – David (1949–: #121)       </v>
      </c>
      <c r="AC122" s="115" t="str">
        <f>IF(ISNA(IF(K122="Boy",VLOOKUP(A122,'Siblings of those BORN Loyd'!$AP$3:$AQ$70,2,FALSE),VLOOKUP(A122,'Children of Female Loyds'!$AR$5:$AT$60,3,FALSE))),AM122,IF(K122="Boy",VLOOKUP(A122,'Siblings of those BORN Loyd'!$AP$3:$AQ$70,2,FALSE),VLOOKUP(A122,'Children of Female Loyds'!$AR$5:$AT$60,3,FALSE)))</f>
        <v>d.s.p</v>
      </c>
      <c r="AD122" s="97" t="str">
        <f t="shared" si="53"/>
        <v>d.s.p.</v>
      </c>
      <c r="AE122" s="105" t="str">
        <f>IF(ISNA(IF(K122="Boy",VLOOKUP(A122,'Grandchildren of Male Loyds'!$AQ$3:$AS$51,3,FALSE),VLOOKUP(A122,'Grandchildren of Female Loyds'!$AX$5:$AZ$63,3,FALSE))),AM122,IF(K122="Boy",VLOOKUP(A122,'Grandchildren of Male Loyds'!$AQ$3:$AS$51,3,FALSE),VLOOKUP(A122,'Grandchildren of Female Loyds'!$AX$5:$AZ$63,3,FALSE)))</f>
        <v>d.s.p</v>
      </c>
      <c r="AF122" s="105" t="str">
        <f>IF(ISNA(VLOOKUP(A122,'Grandchildren Loyd Daughters'!$BD$5:$BF$50,4,FALSE)),"",VLOOKUP(A122,'Grandchildren Loyd Daughters'!$BD$5:$BF$50,3,FALSE))</f>
        <v/>
      </c>
      <c r="AG122" s="129">
        <f>IF(ISNA(VLOOKUP(A122,'Grandchildren of Male Loyds'!$AQ$3:$AR$60,2,FALSE)),0,VLOOKUP(A122,'Grandchildren of Male Loyds'!$AQ$3:$AR$60,2,FALSE))+IF(ISNA(VLOOKUP(A122,'Grandchildren of Female Loyds'!$AX$5:$AY$50,2,FALSE)),0,VLOOKUP(A122,'Grandchildren of Female Loyds'!$AX$5:$AY$50,2,FALSE))+IF(ISNA(VLOOKUP(A122,'Grandchildren Loyd Daughters'!$BD$5:$BE$50,2,FALSE)),0,VLOOKUP(A122,'Grandchildren Loyd Daughters'!$BD$5:$BE$50,2,FALSE))</f>
        <v>0</v>
      </c>
      <c r="AH122" s="129" t="str">
        <f>VLOOKUP($U122,'Loyd List 1-190 - Edit'!$P$3:$AJ$220,21,FALSE)</f>
        <v>June Cecilia KEPPEL (b. 19 Jun 1924, d. 7 May 2008)</v>
      </c>
      <c r="AI122" s="129" t="str">
        <f>VLOOKUP(A122,'Updated Bios &amp; Spouse Details'!$A$1:$J$200,7,FALSE)</f>
        <v>Anthony Havelock HUDSON (b. 25 Apr 1946, )</v>
      </c>
      <c r="AJ122" s="130">
        <f>IF(VLOOKUP($A122,'Loyd List 1-190 - Edit'!$C$1:$AQ$220,'Book Details - NO EDIT'!AJ$1,FALSE)="","",(VLOOKUP($A122,'Loyd List 1-190 - Edit'!$C$1:$AQ$220,'Book Details - NO EDIT'!AJ$1,FALSE)))</f>
        <v>24960</v>
      </c>
      <c r="AK122" s="129" t="str">
        <f>VLOOKUP(A122,'Updated Bios &amp; Spouse Details'!$A$1:$J$200,8,FALSE)</f>
        <v>Married Anthony,at the Guards’ Chapel, Birdcage Walk, London SW1, elder son of Havelock Henry Trevor HUDSON of The Old Rectory, Stanford Dingley, Berkshire. (Divorced 1973).</v>
      </c>
      <c r="AL122" s="131" t="str">
        <f>VLOOKUP(A122,'Updated Bios &amp; Spouse Details'!$A$1:$J$200,5,FALSE)</f>
        <v xml:space="preserve">Caroline lived in SW London and is the only daughter of Edward (1921–1977: #96) of 10 Cadogan Square, London SW1. Born 16 Jan 1947. Baptised 19 Mar 1947 at St Peter’s, Eaton Square, London SW1. Educated Brondesbury-at-Stocks, Tring, Hertfordshire. Career: Drivers Jonas 1973-78. United Friendly 1978-85. Business Space 1985-86. Business Support Officer, Finance &amp; Leasing Association from Dec 1986. DSP                           </v>
      </c>
      <c r="AM122" s="105" t="str">
        <f>IF(AND(LEN(H122)&gt;0,ISNA(IF(K122="Boy",VLOOKUP(A122,'Siblings of those BORN Loyd'!$AP$3:$AQ$70,2,FALSE),VLOOKUP(A122,'Children of Female Loyds'!$AR$5:$AS$60,2,FALSE)))),"d.s.p","")</f>
        <v>d.s.p</v>
      </c>
      <c r="AN122" s="99" t="str">
        <f t="shared" si="55"/>
        <v>Edward (1921–1977: #96)</v>
      </c>
      <c r="AO122" s="99" t="str">
        <f t="shared" si="46"/>
        <v>William (1889–1947: #66)</v>
      </c>
      <c r="AP122" s="99" t="str">
        <f t="shared" si="47"/>
        <v>Harry (1861–1938: #44)</v>
      </c>
      <c r="AQ122" s="99" t="str">
        <f t="shared" si="48"/>
        <v>William (1821–1885: #23)</v>
      </c>
      <c r="AR122" s="99" t="str">
        <f t="shared" si="49"/>
        <v>Edward (1780–1863: #8)</v>
      </c>
      <c r="AS122" s="99" t="str">
        <f t="shared" si="50"/>
        <v>William (1729–1800: #1)</v>
      </c>
      <c r="AT122" s="99" t="str">
        <f t="shared" si="51"/>
        <v/>
      </c>
      <c r="AU122" s="99" t="str">
        <f t="shared" si="52"/>
        <v/>
      </c>
      <c r="AW122" s="116" t="str">
        <f>VLOOKUP(A122,'Updated Bios &amp; Spouse Details'!$A$1:$J$193,6,FALSE)</f>
        <v>England</v>
      </c>
      <c r="AX122" s="131">
        <f>VLOOKUP($A122,'Loyd List 1-190 - Edit'!$P$2:$AQ$220,AX$1,FALSE)</f>
        <v>120</v>
      </c>
      <c r="AY122" s="116" t="str">
        <f>IF(ISNA(VLOOKUP(A122,'Data check lookup table'!$G$2:$V$73,AY$1,FALSE))," - ",VLOOKUP(A122,'Data check lookup table'!$G$2:$V$73,AY$1,FALSE))</f>
        <v>Deceased</v>
      </c>
      <c r="AZ122" s="147" t="str">
        <f t="shared" si="42"/>
        <v>13/06/2022</v>
      </c>
      <c r="BA122" s="99" t="str">
        <f t="shared" si="56"/>
        <v>, William (1729–1800: #1)</v>
      </c>
      <c r="BB122" s="99" t="str">
        <f t="shared" si="57"/>
        <v/>
      </c>
      <c r="BI122" s="147" t="s">
        <v>3228</v>
      </c>
    </row>
    <row r="123" spans="1:61" s="99" customFormat="1" ht="51">
      <c r="A123" s="139">
        <f>'Loyd List 1-190 - Edit'!C123</f>
        <v>121</v>
      </c>
      <c r="B123" s="99" t="str">
        <f>VLOOKUP($A123,'Loyd List 1-190 - Edit'!$C$1:$AQ$220,'Book Details - NO EDIT'!B$1,FALSE)</f>
        <v>David</v>
      </c>
      <c r="C123" s="99" t="str">
        <f>IF(VLOOKUP($A123,'Loyd List 1-190 - Edit'!$C$1:$AQ$220,'Book Details - NO EDIT'!C$1,FALSE)="","",VLOOKUP($A123,'Loyd List 1-190 - Edit'!$C$1:$AQ$220,'Book Details - NO EDIT'!C$1,FALSE))</f>
        <v>William</v>
      </c>
      <c r="D123" s="99" t="str">
        <f>IF(VLOOKUP($A123,'Loyd List 1-190 - Edit'!$C$1:$AQ$220,'Book Details - NO EDIT'!D$1,FALSE)="","",VLOOKUP($A123,'Loyd List 1-190 - Edit'!$C$1:$AQ$220,'Book Details - NO EDIT'!D$1,FALSE))</f>
        <v>Arnold</v>
      </c>
      <c r="E123" s="99" t="str">
        <f>IF(VLOOKUP($A123,'Loyd List 1-190 - Edit'!$C$1:$AQ$220,'Book Details - NO EDIT'!E$1,FALSE)="","",VLOOKUP($A123,'Loyd List 1-190 - Edit'!$C$1:$AQ$220,'Book Details - NO EDIT'!E$1,FALSE))</f>
        <v>LOYD</v>
      </c>
      <c r="F123" s="99" t="str">
        <f>IF(VLOOKUP($A123,'Loyd List 1-190 - Edit'!$C$1:$AQ$220,'Book Details - NO EDIT'!F$1,FALSE)="",B123,VLOOKUP($A123,'Loyd List 1-190 - Edit'!$C$1:$AQ$220,'Book Details - NO EDIT'!F$1,FALSE))</f>
        <v>David</v>
      </c>
      <c r="G123" s="140">
        <f>IF(VLOOKUP($A123,'Loyd List 1-190 - Edit'!$C$1:$AQ$220,'Book Details - NO EDIT'!G$1,FALSE)="","",VALUE(VLOOKUP($A123,'Loyd List 1-190 - Edit'!$C$1:$AQ$220,'Book Details - NO EDIT'!G$1,FALSE)))</f>
        <v>1949</v>
      </c>
      <c r="H123" s="140" t="str">
        <f>IF(VLOOKUP($A123,'Loyd List 1-190 - Edit'!$C$1:$AQ$220,'Book Details - NO EDIT'!H$1,FALSE)="","",VALUE(VLOOKUP($A123,'Loyd List 1-190 - Edit'!$C$1:$AQ$220,'Book Details - NO EDIT'!H$1,FALSE)))</f>
        <v/>
      </c>
      <c r="I123" s="141">
        <f>IF(VLOOKUP($A123,'Loyd List 1-190 - Edit'!$C$1:$AQ$220,'Book Details - NO EDIT'!I$1,FALSE)="","",(VLOOKUP($A123,'Loyd List 1-190 - Edit'!$C$1:$AQ$220,'Book Details - NO EDIT'!I$1,FALSE)))</f>
        <v>17902</v>
      </c>
      <c r="J123" s="141" t="str">
        <f>IF(VLOOKUP($A123,'Loyd List 1-190 - Edit'!$C$1:$AQ$220,'Book Details - NO EDIT'!J$1,FALSE)="","",(VLOOKUP($A123,'Loyd List 1-190 - Edit'!$C$1:$AQ$220,'Book Details - NO EDIT'!J$1,FALSE)))</f>
        <v/>
      </c>
      <c r="K123" s="100" t="str">
        <f>VLOOKUP($A123,'Loyd List 1-190 - Edit'!$C$1:$AQ$220,'Book Details - NO EDIT'!K$1,FALSE)</f>
        <v>Boy</v>
      </c>
      <c r="L123" s="140">
        <f>VLOOKUP($A123,'Loyd List 1-190 - Edit'!$C$1:$AQ$220,'Book Details - NO EDIT'!L$1,FALSE)</f>
        <v>96</v>
      </c>
      <c r="M123" s="140">
        <f t="shared" si="34"/>
        <v>66</v>
      </c>
      <c r="N123" s="140">
        <f t="shared" si="34"/>
        <v>44</v>
      </c>
      <c r="O123" s="140">
        <f t="shared" si="34"/>
        <v>23</v>
      </c>
      <c r="P123" s="140">
        <f t="shared" si="31"/>
        <v>8</v>
      </c>
      <c r="Q123" s="140">
        <f t="shared" si="31"/>
        <v>1</v>
      </c>
      <c r="R123" s="140">
        <f t="shared" si="31"/>
        <v>0</v>
      </c>
      <c r="S123" s="140" t="str">
        <f t="shared" si="35"/>
        <v/>
      </c>
      <c r="T123" s="140">
        <f t="shared" si="32"/>
        <v>6</v>
      </c>
      <c r="U123" s="139">
        <f t="shared" si="36"/>
        <v>121</v>
      </c>
      <c r="V123" s="31" t="str">
        <f t="shared" si="37"/>
        <v>David (1949–)</v>
      </c>
      <c r="W123" s="31" t="str">
        <f t="shared" si="38"/>
        <v>David (#121)</v>
      </c>
      <c r="X123" s="99" t="str">
        <f t="shared" si="39"/>
        <v>David (1949–: #121)</v>
      </c>
      <c r="Y123" s="99" t="str">
        <f t="shared" si="54"/>
        <v>David William Arnold LOYD</v>
      </c>
      <c r="Z123" s="99" t="str">
        <f t="shared" si="40"/>
        <v>Edward (1921–1977: #96)</v>
      </c>
      <c r="AA123" s="99" t="str">
        <f t="shared" si="45"/>
        <v xml:space="preserve">Edward (1921–1977: #96) William (1889–1947: #66) Harry (1861–1938: #44) William (1821–1885: #23) Edward (1780–1863: #8) William (1729–1800: #1)  </v>
      </c>
      <c r="AB123" s="142" t="str">
        <f>VLOOKUP(U123,'Siblings of those BORN Loyd'!$A$2:$G$230,7,FALSE)</f>
        <v xml:space="preserve">1 – Caroline (1947–2022: #120)        </v>
      </c>
      <c r="AC123" s="115" t="str">
        <f>IF(ISNA(IF(K123="Boy",VLOOKUP(A123,'Siblings of those BORN Loyd'!$AP$3:$AQ$70,2,FALSE),VLOOKUP(A123,'Children of Female Loyds'!$AR$5:$AT$60,3,FALSE))),AM123,IF(K123="Boy",VLOOKUP(A123,'Siblings of those BORN Loyd'!$AP$3:$AQ$70,2,FALSE),VLOOKUP(A123,'Children of Female Loyds'!$AR$5:$AT$60,3,FALSE)))</f>
        <v>3 - James (1988–: #169); Rupert (1990–: #171); Tabitha (1992–: #174)</v>
      </c>
      <c r="AD123" s="97" t="str">
        <f t="shared" si="53"/>
        <v>-</v>
      </c>
      <c r="AE123" s="105" t="str">
        <f>IF(ISNA(IF(K123="Boy",VLOOKUP(A123,'Grandchildren of Male Loyds'!$AQ$3:$AS$51,3,FALSE),VLOOKUP(A123,'Grandchildren of Female Loyds'!$AX$5:$AZ$63,3,FALSE))),AM123,IF(K123="Boy",VLOOKUP(A123,'Grandchildren of Male Loyds'!$AQ$3:$AS$51,3,FALSE),VLOOKUP(A123,'Grandchildren of Female Loyds'!$AX$5:$AZ$63,3,FALSE)))</f>
        <v/>
      </c>
      <c r="AF123" s="105" t="str">
        <f>IF(ISNA(VLOOKUP(A123,'Grandchildren Loyd Daughters'!$BD$5:$BF$50,4,FALSE)),"",VLOOKUP(A123,'Grandchildren Loyd Daughters'!$BD$5:$BF$50,3,FALSE))</f>
        <v/>
      </c>
      <c r="AG123" s="129">
        <f>IF(ISNA(VLOOKUP(A123,'Grandchildren of Male Loyds'!$AQ$3:$AR$60,2,FALSE)),0,VLOOKUP(A123,'Grandchildren of Male Loyds'!$AQ$3:$AR$60,2,FALSE))+IF(ISNA(VLOOKUP(A123,'Grandchildren of Female Loyds'!$AX$5:$AY$50,2,FALSE)),0,VLOOKUP(A123,'Grandchildren of Female Loyds'!$AX$5:$AY$50,2,FALSE))+IF(ISNA(VLOOKUP(A123,'Grandchildren Loyd Daughters'!$BD$5:$BE$50,2,FALSE)),0,VLOOKUP(A123,'Grandchildren Loyd Daughters'!$BD$5:$BE$50,2,FALSE))</f>
        <v>0</v>
      </c>
      <c r="AH123" s="129" t="str">
        <f>VLOOKUP($U123,'Loyd List 1-190 - Edit'!$P$3:$AJ$220,21,FALSE)</f>
        <v>June Cecilia KEPPEL (b. 19 Jun 1924, d. 7 May 2008)</v>
      </c>
      <c r="AI123" s="129" t="str">
        <f>VLOOKUP(A123,'Updated Bios &amp; Spouse Details'!$A$1:$J$200,7,FALSE)</f>
        <v>Mrs Anabel Laura Dorothy STAPLETON (b. 31 Dec 1955, )</v>
      </c>
      <c r="AJ123" s="130">
        <f>IF(VLOOKUP($A123,'Loyd List 1-190 - Edit'!$C$1:$AQ$220,'Book Details - NO EDIT'!AJ$1,FALSE)="","",(VLOOKUP($A123,'Loyd List 1-190 - Edit'!$C$1:$AQ$220,'Book Details - NO EDIT'!AJ$1,FALSE)))</f>
        <v>31353</v>
      </c>
      <c r="AK123" s="129" t="str">
        <f>VLOOKUP(A123,'Updated Bios &amp; Spouse Details'!$A$1:$J$200,8,FALSE)</f>
        <v xml:space="preserve">Anabel only daughter of the Hon Charles MORRISON MP. </v>
      </c>
      <c r="AL123" s="131" t="str">
        <f>VLOOKUP(A123,'Updated Bios &amp; Spouse Details'!$A$1:$J$200,5,FALSE)</f>
        <v>David lives in Marlborough, Wiltshire and is the only son of Edward (1921–1977: #96). Born 4 Jan 1949, baptised 19 Mar 1949 at St Peter’s, Eaton Square, London SW1. Educated Eton 1962-67. FCA 1973. Career: Peat Marwick Mitchell 1974-78. Kleinwort Benson from 1978. MD Dresdner Kleinwort Benson, Hong Kong 1997-99. Corporate Finance Director, Kleinwort Benson from 1999. Issue: 2 sons, 1 daughter.</v>
      </c>
      <c r="AM123" s="105" t="str">
        <f>IF(AND(LEN(H123)&gt;0,ISNA(IF(K123="Boy",VLOOKUP(A123,'Siblings of those BORN Loyd'!$AP$3:$AQ$70,2,FALSE),VLOOKUP(A123,'Children of Female Loyds'!$AR$5:$AS$60,2,FALSE)))),"d.s.p","")</f>
        <v/>
      </c>
      <c r="AN123" s="99" t="str">
        <f t="shared" si="55"/>
        <v>Edward (1921–1977: #96)</v>
      </c>
      <c r="AO123" s="99" t="str">
        <f t="shared" si="46"/>
        <v>William (1889–1947: #66)</v>
      </c>
      <c r="AP123" s="99" t="str">
        <f t="shared" si="47"/>
        <v>Harry (1861–1938: #44)</v>
      </c>
      <c r="AQ123" s="99" t="str">
        <f t="shared" si="48"/>
        <v>William (1821–1885: #23)</v>
      </c>
      <c r="AR123" s="99" t="str">
        <f t="shared" si="49"/>
        <v>Edward (1780–1863: #8)</v>
      </c>
      <c r="AS123" s="99" t="str">
        <f t="shared" si="50"/>
        <v>William (1729–1800: #1)</v>
      </c>
      <c r="AT123" s="99" t="str">
        <f t="shared" si="51"/>
        <v/>
      </c>
      <c r="AU123" s="99" t="str">
        <f t="shared" si="52"/>
        <v/>
      </c>
      <c r="AW123" s="116" t="str">
        <f>VLOOKUP(A123,'Updated Bios &amp; Spouse Details'!$A$1:$J$193,6,FALSE)</f>
        <v>England and Hong Kong</v>
      </c>
      <c r="AX123" s="131">
        <f>VLOOKUP($A123,'Loyd List 1-190 - Edit'!$P$2:$AQ$220,AX$1,FALSE)</f>
        <v>121</v>
      </c>
      <c r="AY123" s="116" t="str">
        <f>IF(ISNA(VLOOKUP(A123,'Data check lookup table'!$G$2:$V$73,AY$1,FALSE))," - ",VLOOKUP(A123,'Data check lookup table'!$G$2:$V$73,AY$1,FALSE))</f>
        <v>david.loyd@hotmail.com</v>
      </c>
      <c r="AZ123" s="147" t="str">
        <f t="shared" si="42"/>
        <v/>
      </c>
      <c r="BA123" s="99" t="str">
        <f t="shared" si="56"/>
        <v>, William (1729–1800: #1)</v>
      </c>
      <c r="BB123" s="99" t="str">
        <f t="shared" si="57"/>
        <v/>
      </c>
      <c r="BI123" s="147" t="s">
        <v>3228</v>
      </c>
    </row>
    <row r="124" spans="1:61" s="99" customFormat="1" ht="119">
      <c r="A124" s="139">
        <f>'Loyd List 1-190 - Edit'!C124</f>
        <v>122</v>
      </c>
      <c r="B124" s="99" t="str">
        <f>VLOOKUP($A124,'Loyd List 1-190 - Edit'!$C$1:$AQ$220,'Book Details - NO EDIT'!B$1,FALSE)</f>
        <v>Martin</v>
      </c>
      <c r="C124" s="99" t="str">
        <f>IF(VLOOKUP($A124,'Loyd List 1-190 - Edit'!$C$1:$AQ$220,'Book Details - NO EDIT'!C$1,FALSE)="","",VLOOKUP($A124,'Loyd List 1-190 - Edit'!$C$1:$AQ$220,'Book Details - NO EDIT'!C$1,FALSE))</f>
        <v>Andrew</v>
      </c>
      <c r="D124" s="99" t="str">
        <f>IF(VLOOKUP($A124,'Loyd List 1-190 - Edit'!$C$1:$AQ$220,'Book Details - NO EDIT'!D$1,FALSE)="","",VLOOKUP($A124,'Loyd List 1-190 - Edit'!$C$1:$AQ$220,'Book Details - NO EDIT'!D$1,FALSE))</f>
        <v>Haig</v>
      </c>
      <c r="E124" s="99" t="str">
        <f>IF(VLOOKUP($A124,'Loyd List 1-190 - Edit'!$C$1:$AQ$220,'Book Details - NO EDIT'!E$1,FALSE)="","",VLOOKUP($A124,'Loyd List 1-190 - Edit'!$C$1:$AQ$220,'Book Details - NO EDIT'!E$1,FALSE))</f>
        <v>LOYD</v>
      </c>
      <c r="F124" s="99" t="str">
        <f>IF(VLOOKUP($A124,'Loyd List 1-190 - Edit'!$C$1:$AQ$220,'Book Details - NO EDIT'!F$1,FALSE)="",B124,VLOOKUP($A124,'Loyd List 1-190 - Edit'!$C$1:$AQ$220,'Book Details - NO EDIT'!F$1,FALSE))</f>
        <v>Martin</v>
      </c>
      <c r="G124" s="140">
        <f>IF(VLOOKUP($A124,'Loyd List 1-190 - Edit'!$C$1:$AQ$220,'Book Details - NO EDIT'!G$1,FALSE)="","",VALUE(VLOOKUP($A124,'Loyd List 1-190 - Edit'!$C$1:$AQ$220,'Book Details - NO EDIT'!G$1,FALSE)))</f>
        <v>1949</v>
      </c>
      <c r="H124" s="140" t="str">
        <f>IF(VLOOKUP($A124,'Loyd List 1-190 - Edit'!$C$1:$AQ$220,'Book Details - NO EDIT'!H$1,FALSE)="","",VALUE(VLOOKUP($A124,'Loyd List 1-190 - Edit'!$C$1:$AQ$220,'Book Details - NO EDIT'!H$1,FALSE)))</f>
        <v/>
      </c>
      <c r="I124" s="141">
        <f>IF(VLOOKUP($A124,'Loyd List 1-190 - Edit'!$C$1:$AQ$220,'Book Details - NO EDIT'!I$1,FALSE)="","",(VLOOKUP($A124,'Loyd List 1-190 - Edit'!$C$1:$AQ$220,'Book Details - NO EDIT'!I$1,FALSE)))</f>
        <v>17947</v>
      </c>
      <c r="J124" s="141" t="str">
        <f>IF(VLOOKUP($A124,'Loyd List 1-190 - Edit'!$C$1:$AQ$220,'Book Details - NO EDIT'!J$1,FALSE)="","",(VLOOKUP($A124,'Loyd List 1-190 - Edit'!$C$1:$AQ$220,'Book Details - NO EDIT'!J$1,FALSE)))</f>
        <v/>
      </c>
      <c r="K124" s="100" t="str">
        <f>VLOOKUP($A124,'Loyd List 1-190 - Edit'!$C$1:$AQ$220,'Book Details - NO EDIT'!K$1,FALSE)</f>
        <v>Boy</v>
      </c>
      <c r="L124" s="140">
        <f>VLOOKUP($A124,'Loyd List 1-190 - Edit'!$C$1:$AQ$220,'Book Details - NO EDIT'!L$1,FALSE)</f>
        <v>105</v>
      </c>
      <c r="M124" s="140">
        <f t="shared" si="34"/>
        <v>77</v>
      </c>
      <c r="N124" s="140">
        <f t="shared" si="34"/>
        <v>30</v>
      </c>
      <c r="O124" s="140">
        <f t="shared" si="34"/>
        <v>14</v>
      </c>
      <c r="P124" s="140">
        <f t="shared" si="31"/>
        <v>4</v>
      </c>
      <c r="Q124" s="140">
        <f t="shared" si="31"/>
        <v>1</v>
      </c>
      <c r="R124" s="140">
        <f t="shared" si="31"/>
        <v>0</v>
      </c>
      <c r="S124" s="140" t="str">
        <f t="shared" si="35"/>
        <v/>
      </c>
      <c r="T124" s="140">
        <f t="shared" si="32"/>
        <v>6</v>
      </c>
      <c r="U124" s="139">
        <f t="shared" si="36"/>
        <v>122</v>
      </c>
      <c r="V124" s="31" t="str">
        <f t="shared" si="37"/>
        <v>Martin (1949–)</v>
      </c>
      <c r="W124" s="31" t="str">
        <f t="shared" si="38"/>
        <v>Martin (#122)</v>
      </c>
      <c r="X124" s="99" t="str">
        <f t="shared" si="39"/>
        <v>Martin (1949–: #122)</v>
      </c>
      <c r="Y124" s="99" t="str">
        <f t="shared" si="54"/>
        <v>Martin Andrew Haig LOYD</v>
      </c>
      <c r="Z124" s="99" t="str">
        <f t="shared" si="40"/>
        <v>Geoffrey (1926–2018: #105)</v>
      </c>
      <c r="AA124" s="99" t="str">
        <f t="shared" si="45"/>
        <v xml:space="preserve">Geoffrey (1926–2018: #105) Wilfrid (1893–1971: #77) Archie (1847–1922: #30) Thomas (1812–1857: #14) William (1770–1828: #4) William (1729–1800: #1)  </v>
      </c>
      <c r="AB124" s="142" t="str">
        <f>VLOOKUP(U124,'Siblings of those BORN Loyd'!$A$2:$G$230,7,FALSE)</f>
        <v xml:space="preserve">1 – Jeremy (1954–: #133)       </v>
      </c>
      <c r="AC124" s="115" t="str">
        <f>IF(ISNA(IF(K124="Boy",VLOOKUP(A124,'Siblings of those BORN Loyd'!$AP$3:$AQ$70,2,FALSE),VLOOKUP(A124,'Children of Female Loyds'!$AR$5:$AT$60,3,FALSE))),AM124,IF(K124="Boy",VLOOKUP(A124,'Siblings of those BORN Loyd'!$AP$3:$AQ$70,2,FALSE),VLOOKUP(A124,'Children of Female Loyds'!$AR$5:$AT$60,3,FALSE)))</f>
        <v/>
      </c>
      <c r="AD124" s="97" t="str">
        <f t="shared" si="53"/>
        <v>-</v>
      </c>
      <c r="AE124" s="105" t="str">
        <f>IF(ISNA(IF(K124="Boy",VLOOKUP(A124,'Grandchildren of Male Loyds'!$AQ$3:$AS$51,3,FALSE),VLOOKUP(A124,'Grandchildren of Female Loyds'!$AX$5:$AZ$63,3,FALSE))),AM124,IF(K124="Boy",VLOOKUP(A124,'Grandchildren of Male Loyds'!$AQ$3:$AS$51,3,FALSE),VLOOKUP(A124,'Grandchildren of Female Loyds'!$AX$5:$AZ$63,3,FALSE)))</f>
        <v/>
      </c>
      <c r="AF124" s="105" t="str">
        <f>IF(ISNA(VLOOKUP(A124,'Grandchildren Loyd Daughters'!$BD$5:$BF$50,4,FALSE)),"",VLOOKUP(A124,'Grandchildren Loyd Daughters'!$BD$5:$BF$50,3,FALSE))</f>
        <v/>
      </c>
      <c r="AG124" s="129">
        <f>IF(ISNA(VLOOKUP(A124,'Grandchildren of Male Loyds'!$AQ$3:$AR$60,2,FALSE)),0,VLOOKUP(A124,'Grandchildren of Male Loyds'!$AQ$3:$AR$60,2,FALSE))+IF(ISNA(VLOOKUP(A124,'Grandchildren of Female Loyds'!$AX$5:$AY$50,2,FALSE)),0,VLOOKUP(A124,'Grandchildren of Female Loyds'!$AX$5:$AY$50,2,FALSE))+IF(ISNA(VLOOKUP(A124,'Grandchildren Loyd Daughters'!$BD$5:$BE$50,2,FALSE)),0,VLOOKUP(A124,'Grandchildren Loyd Daughters'!$BD$5:$BE$50,2,FALSE))</f>
        <v>0</v>
      </c>
      <c r="AH124" s="129" t="str">
        <f>VLOOKUP($U124,'Loyd List 1-190 - Edit'!$P$3:$AJ$220,21,FALSE)</f>
        <v>Patricia Mary MACLEAN (b. 11 Feb 1929, )</v>
      </c>
      <c r="AI124" s="129" t="str">
        <f>VLOOKUP(A124,'Updated Bios &amp; Spouse Details'!$A$1:$J$200,7,FALSE)</f>
        <v>(1) Jill Deloitte DAVIS (b. 19 Nov 1948, d. 3 Jun 2014).</v>
      </c>
      <c r="AJ124" s="130">
        <f>IF(VLOOKUP($A124,'Loyd List 1-190 - Edit'!$C$1:$AQ$220,'Book Details - NO EDIT'!AJ$1,FALSE)="","",(VLOOKUP($A124,'Loyd List 1-190 - Edit'!$C$1:$AQ$220,'Book Details - NO EDIT'!AJ$1,FALSE)))</f>
        <v>27382</v>
      </c>
      <c r="AK124" s="129" t="str">
        <f>VLOOKUP(A124,'Updated Bios &amp; Spouse Details'!$A$1:$J$200,8,FALSE)</f>
        <v>(1) Married Jill, on 19 Dec 1974, eldest daughter of Charles Deloitte DAVIS of Mosman, NSW. Divorced  9 Apr 2002. (2) Married, 26 Apr 2003, Wendy Louise KERRANS (b. 29 Jan 1957, ) daughter of Hugh and Jean  KERRANS of Sydney, New South Wales, Australia.</v>
      </c>
      <c r="AL124" s="131" t="str">
        <f>VLOOKUP(A124,'Updated Bios &amp; Spouse Details'!$A$1:$J$200,5,FALSE)</f>
        <v>Martin now lives in Wales having lived in New South Wales in Australia and is the elder son of Geoffrey (1926–2018: #105). Born 18 Feb 1949 at Mowbray, Capetown, South Africa, baptised at Cape Town Cathedral. Educated Dean Close, Cheltenham.</v>
      </c>
      <c r="AM124" s="105" t="str">
        <f>IF(AND(LEN(H124)&gt;0,ISNA(IF(K124="Boy",VLOOKUP(A124,'Siblings of those BORN Loyd'!$AP$3:$AQ$70,2,FALSE),VLOOKUP(A124,'Children of Female Loyds'!$AR$5:$AS$60,2,FALSE)))),"d.s.p","")</f>
        <v/>
      </c>
      <c r="AN124" s="99" t="str">
        <f t="shared" si="55"/>
        <v>Geoffrey (1926–2018: #105)</v>
      </c>
      <c r="AO124" s="99" t="str">
        <f t="shared" si="46"/>
        <v>Wilfrid (1893–1971: #77)</v>
      </c>
      <c r="AP124" s="99" t="str">
        <f t="shared" si="47"/>
        <v>Archie (1847–1922: #30)</v>
      </c>
      <c r="AQ124" s="99" t="str">
        <f t="shared" si="48"/>
        <v>Thomas (1812–1857: #14)</v>
      </c>
      <c r="AR124" s="99" t="str">
        <f t="shared" si="49"/>
        <v>William (1770–1828: #4)</v>
      </c>
      <c r="AS124" s="99" t="str">
        <f t="shared" si="50"/>
        <v>William (1729–1800: #1)</v>
      </c>
      <c r="AT124" s="99" t="str">
        <f t="shared" si="51"/>
        <v/>
      </c>
      <c r="AU124" s="99" t="str">
        <f t="shared" si="52"/>
        <v/>
      </c>
      <c r="AW124" s="116" t="str">
        <f>VLOOKUP(A124,'Updated Bios &amp; Spouse Details'!$A$1:$J$193,6,FALSE)</f>
        <v>South Africa, England, Australia &amp; Wales</v>
      </c>
      <c r="AX124" s="131">
        <f>VLOOKUP($A124,'Loyd List 1-190 - Edit'!$P$2:$AQ$220,AX$1,FALSE)</f>
        <v>122</v>
      </c>
      <c r="AY124" s="116" t="str">
        <f>IF(ISNA(VLOOKUP(A124,'Data check lookup table'!$G$2:$V$73,AY$1,FALSE))," - ",VLOOKUP(A124,'Data check lookup table'!$G$2:$V$73,AY$1,FALSE))</f>
        <v>jeremyloyd@hotmail.com</v>
      </c>
      <c r="AZ124" s="147" t="str">
        <f t="shared" si="42"/>
        <v/>
      </c>
      <c r="BA124" s="99" t="str">
        <f t="shared" si="56"/>
        <v>, William (1729–1800: #1)</v>
      </c>
      <c r="BB124" s="99" t="str">
        <f t="shared" si="57"/>
        <v/>
      </c>
      <c r="BI124" s="147" t="s">
        <v>3228</v>
      </c>
    </row>
    <row r="125" spans="1:61" s="99" customFormat="1" ht="102">
      <c r="A125" s="139">
        <f>'Loyd List 1-190 - Edit'!C125</f>
        <v>123</v>
      </c>
      <c r="B125" s="99" t="str">
        <f>VLOOKUP($A125,'Loyd List 1-190 - Edit'!$C$1:$AQ$220,'Book Details - NO EDIT'!B$1,FALSE)</f>
        <v>Janet</v>
      </c>
      <c r="C125" s="99" t="str">
        <f>IF(VLOOKUP($A125,'Loyd List 1-190 - Edit'!$C$1:$AQ$220,'Book Details - NO EDIT'!C$1,FALSE)="","",VLOOKUP($A125,'Loyd List 1-190 - Edit'!$C$1:$AQ$220,'Book Details - NO EDIT'!C$1,FALSE))</f>
        <v>Katharine</v>
      </c>
      <c r="D125" s="99" t="str">
        <f>IF(VLOOKUP($A125,'Loyd List 1-190 - Edit'!$C$1:$AQ$220,'Book Details - NO EDIT'!D$1,FALSE)="","",VLOOKUP($A125,'Loyd List 1-190 - Edit'!$C$1:$AQ$220,'Book Details - NO EDIT'!D$1,FALSE))</f>
        <v/>
      </c>
      <c r="E125" s="99" t="str">
        <f>IF(VLOOKUP($A125,'Loyd List 1-190 - Edit'!$C$1:$AQ$220,'Book Details - NO EDIT'!E$1,FALSE)="","",VLOOKUP($A125,'Loyd List 1-190 - Edit'!$C$1:$AQ$220,'Book Details - NO EDIT'!E$1,FALSE))</f>
        <v>LOYD</v>
      </c>
      <c r="F125" s="99" t="str">
        <f>IF(VLOOKUP($A125,'Loyd List 1-190 - Edit'!$C$1:$AQ$220,'Book Details - NO EDIT'!F$1,FALSE)="",B125,VLOOKUP($A125,'Loyd List 1-190 - Edit'!$C$1:$AQ$220,'Book Details - NO EDIT'!F$1,FALSE))</f>
        <v>Janet</v>
      </c>
      <c r="G125" s="140">
        <f>IF(VLOOKUP($A125,'Loyd List 1-190 - Edit'!$C$1:$AQ$220,'Book Details - NO EDIT'!G$1,FALSE)="","",VALUE(VLOOKUP($A125,'Loyd List 1-190 - Edit'!$C$1:$AQ$220,'Book Details - NO EDIT'!G$1,FALSE)))</f>
        <v>1949</v>
      </c>
      <c r="H125" s="140" t="str">
        <f>IF(VLOOKUP($A125,'Loyd List 1-190 - Edit'!$C$1:$AQ$220,'Book Details - NO EDIT'!H$1,FALSE)="","",VALUE(VLOOKUP($A125,'Loyd List 1-190 - Edit'!$C$1:$AQ$220,'Book Details - NO EDIT'!H$1,FALSE)))</f>
        <v/>
      </c>
      <c r="I125" s="141">
        <f>IF(VLOOKUP($A125,'Loyd List 1-190 - Edit'!$C$1:$AQ$220,'Book Details - NO EDIT'!I$1,FALSE)="","",(VLOOKUP($A125,'Loyd List 1-190 - Edit'!$C$1:$AQ$220,'Book Details - NO EDIT'!I$1,FALSE)))</f>
        <v>18019</v>
      </c>
      <c r="J125" s="141" t="str">
        <f>IF(VLOOKUP($A125,'Loyd List 1-190 - Edit'!$C$1:$AQ$220,'Book Details - NO EDIT'!J$1,FALSE)="","",(VLOOKUP($A125,'Loyd List 1-190 - Edit'!$C$1:$AQ$220,'Book Details - NO EDIT'!J$1,FALSE)))</f>
        <v/>
      </c>
      <c r="K125" s="100" t="str">
        <f>VLOOKUP($A125,'Loyd List 1-190 - Edit'!$C$1:$AQ$220,'Book Details - NO EDIT'!K$1,FALSE)</f>
        <v>Girl</v>
      </c>
      <c r="L125" s="140">
        <f>VLOOKUP($A125,'Loyd List 1-190 - Edit'!$C$1:$AQ$220,'Book Details - NO EDIT'!L$1,FALSE)</f>
        <v>89</v>
      </c>
      <c r="M125" s="140">
        <f t="shared" si="34"/>
        <v>54</v>
      </c>
      <c r="N125" s="140">
        <f t="shared" si="34"/>
        <v>32</v>
      </c>
      <c r="O125" s="140">
        <f t="shared" si="34"/>
        <v>14</v>
      </c>
      <c r="P125" s="140">
        <f t="shared" si="31"/>
        <v>4</v>
      </c>
      <c r="Q125" s="140">
        <f t="shared" si="31"/>
        <v>1</v>
      </c>
      <c r="R125" s="140">
        <f t="shared" si="31"/>
        <v>0</v>
      </c>
      <c r="S125" s="140" t="str">
        <f t="shared" si="35"/>
        <v/>
      </c>
      <c r="T125" s="140">
        <f t="shared" si="32"/>
        <v>6</v>
      </c>
      <c r="U125" s="139">
        <f t="shared" si="36"/>
        <v>123</v>
      </c>
      <c r="V125" s="31" t="str">
        <f t="shared" si="37"/>
        <v>Janet (1949–)</v>
      </c>
      <c r="W125" s="31" t="str">
        <f t="shared" si="38"/>
        <v>Janet (#123)</v>
      </c>
      <c r="X125" s="99" t="str">
        <f t="shared" si="39"/>
        <v>Janet (1949–: #123)</v>
      </c>
      <c r="Y125" s="99" t="str">
        <f t="shared" si="54"/>
        <v>Janet Katharine LOYD</v>
      </c>
      <c r="Z125" s="99" t="str">
        <f t="shared" si="40"/>
        <v>Sir Francis/Frank (1916–2006: #89)</v>
      </c>
      <c r="AA125" s="99" t="str">
        <f t="shared" si="45"/>
        <v xml:space="preserve">Sir Francis/Frank (1916–2006: #89) Alfred (1882–1919: #54) Frank (1848–1934: #32) Thomas (1812–1857: #14) William (1770–1828: #4) William (1729–1800: #1)  </v>
      </c>
      <c r="AB125" s="142" t="str">
        <f>VLOOKUP(U125,'Siblings of those BORN Loyd'!$A$2:$G$230,7,FALSE)</f>
        <v xml:space="preserve">1 – Diana (1952–: #129)       </v>
      </c>
      <c r="AC125" s="115" t="str">
        <f>IF(ISNA(IF(K125="Boy",VLOOKUP(A125,'Siblings of those BORN Loyd'!$AP$3:$AQ$70,2,FALSE),VLOOKUP(A125,'Children of Female Loyds'!$AR$5:$AT$60,3,FALSE))),AM125,IF(K125="Boy",VLOOKUP(A125,'Siblings of those BORN Loyd'!$AP$3:$AQ$70,2,FALSE),VLOOKUP(A125,'Children of Female Loyds'!$AR$5:$AT$60,3,FALSE)))</f>
        <v xml:space="preserve">2 - Katharine BOSMAN (1978 - : #123a) Adam BOSMAN (1980 - : #123b)      </v>
      </c>
      <c r="AD125" s="97" t="str">
        <f t="shared" si="53"/>
        <v xml:space="preserve">5 - Evie TALBOT (2012 -: #123aa) Arlo TALBOT (2015 -: #123ab) Rufus CORVINO (2005 -: #123ba) Hal BOSMAN (2017 -: #123bb) Rocky BOSMAN (2020 -: #123bc)              </v>
      </c>
      <c r="AE125" s="105" t="str">
        <f>IF(ISNA(IF(K125="Boy",VLOOKUP(A125,'Grandchildren of Male Loyds'!$AQ$3:$AS$51,3,FALSE),VLOOKUP(A125,'Grandchildren of Female Loyds'!$AX$5:$AZ$63,3,FALSE))),AM125,IF(K125="Boy",VLOOKUP(A125,'Grandchildren of Male Loyds'!$AQ$3:$AS$51,3,FALSE),VLOOKUP(A125,'Grandchildren of Female Loyds'!$AX$5:$AZ$63,3,FALSE)))</f>
        <v xml:space="preserve">Evie TALBOT (2012 -: #123aa) Arlo TALBOT (2015 -: #123ab) Rufus CORVINO (2005 -: #123ba) Hal BOSMAN (2017 -: #123bb) Rocky BOSMAN (2020 -: #123bc)           </v>
      </c>
      <c r="AF125" s="105" t="str">
        <f>IF(ISNA(VLOOKUP(A125,'Grandchildren Loyd Daughters'!$BD$5:$BF$50,4,FALSE)),"",VLOOKUP(A125,'Grandchildren Loyd Daughters'!$BD$5:$BF$50,3,FALSE))</f>
        <v/>
      </c>
      <c r="AG125" s="129">
        <f>IF(ISNA(VLOOKUP(A125,'Grandchildren of Male Loyds'!$AQ$3:$AR$60,2,FALSE)),0,VLOOKUP(A125,'Grandchildren of Male Loyds'!$AQ$3:$AR$60,2,FALSE))+IF(ISNA(VLOOKUP(A125,'Grandchildren of Female Loyds'!$AX$5:$AY$50,2,FALSE)),0,VLOOKUP(A125,'Grandchildren of Female Loyds'!$AX$5:$AY$50,2,FALSE))+IF(ISNA(VLOOKUP(A125,'Grandchildren Loyd Daughters'!$BD$5:$BE$50,2,FALSE)),0,VLOOKUP(A125,'Grandchildren Loyd Daughters'!$BD$5:$BE$50,2,FALSE))</f>
        <v>5</v>
      </c>
      <c r="AH125" s="129" t="str">
        <f>VLOOKUP($U125,'Loyd List 1-190 - Edit'!$P$3:$AJ$220,21,FALSE)</f>
        <v>Katharine Layzell (b. 13 Mar 1924, d. 26 Oct 1981)</v>
      </c>
      <c r="AI125" s="129" t="str">
        <f>VLOOKUP(A125,'Updated Bios &amp; Spouse Details'!$A$1:$J$200,7,FALSE)</f>
        <v>Terrence Eric BOSMAN (b. 5 Jan 1948, d. 21 Apr 1987)</v>
      </c>
      <c r="AJ125" s="130">
        <f>IF(VLOOKUP($A125,'Loyd List 1-190 - Edit'!$C$1:$AQ$220,'Book Details - NO EDIT'!AJ$1,FALSE)="","",(VLOOKUP($A125,'Loyd List 1-190 - Edit'!$C$1:$AQ$220,'Book Details - NO EDIT'!AJ$1,FALSE)))</f>
        <v>26992</v>
      </c>
      <c r="AK125" s="129" t="str">
        <f>VLOOKUP(A125,'Updated Bios &amp; Spouse Details'!$A$1:$J$200,8,FALSE)</f>
        <v>Janet married, at the Chapel of St. Augustine, London House for Overseas Graduates, Mecklenburgh Square, London WC1, Terrence 2nd son of Vernon James BOSMAN of Johannesburg, South Africa.</v>
      </c>
      <c r="AL125" s="131" t="str">
        <f>VLOOKUP(A125,'Updated Bios &amp; Spouse Details'!$A$1:$J$200,5,FALSE)</f>
        <v>Janet lives in Stoke-by-Nayland, Suffolk  and is elder daughter of Sir Francis (1916–2006: #89). Born 1 May 1949 at Nyeri, Kenya. Baptised 18 Sep 1949 at Fort Hall, Kenya. Educated Kenya High, Nairobi and Queen Anne’s, Caversham.Issue: 1 daughter, 1 son. Email address: janetbosman@icloud.com</v>
      </c>
      <c r="AM125" s="105" t="str">
        <f>IF(AND(LEN(H125)&gt;0,ISNA(IF(K125="Boy",VLOOKUP(A125,'Siblings of those BORN Loyd'!$AP$3:$AQ$70,2,FALSE),VLOOKUP(A125,'Children of Female Loyds'!$AR$5:$AS$60,2,FALSE)))),"d.s.p","")</f>
        <v/>
      </c>
      <c r="AN125" s="99" t="str">
        <f t="shared" si="55"/>
        <v>Sir Francis/Frank (1916–2006: #89)</v>
      </c>
      <c r="AO125" s="99" t="str">
        <f t="shared" si="46"/>
        <v>Alfred (1882–1919: #54)</v>
      </c>
      <c r="AP125" s="99" t="str">
        <f t="shared" si="47"/>
        <v>Frank (1848–1934: #32)</v>
      </c>
      <c r="AQ125" s="99" t="str">
        <f t="shared" si="48"/>
        <v>Thomas (1812–1857: #14)</v>
      </c>
      <c r="AR125" s="99" t="str">
        <f t="shared" si="49"/>
        <v>William (1770–1828: #4)</v>
      </c>
      <c r="AS125" s="99" t="str">
        <f t="shared" si="50"/>
        <v>William (1729–1800: #1)</v>
      </c>
      <c r="AT125" s="99" t="str">
        <f t="shared" si="51"/>
        <v/>
      </c>
      <c r="AU125" s="99" t="str">
        <f t="shared" si="52"/>
        <v/>
      </c>
      <c r="AW125" s="116" t="str">
        <f>VLOOKUP(A125,'Updated Bios &amp; Spouse Details'!$A$1:$J$193,6,FALSE)</f>
        <v>Kenya, Swaziland (now Eswatini), South Africa and England</v>
      </c>
      <c r="AX125" s="131">
        <f>VLOOKUP($A125,'Loyd List 1-190 - Edit'!$P$2:$AQ$220,AX$1,FALSE)</f>
        <v>123</v>
      </c>
      <c r="AY125" s="116" t="str">
        <f>IF(ISNA(VLOOKUP(A125,'Data check lookup table'!$G$2:$V$73,AY$1,FALSE))," - ",VLOOKUP(A125,'Data check lookup table'!$G$2:$V$73,AY$1,FALSE))</f>
        <v>janetbosman@icloud.com</v>
      </c>
      <c r="AZ125" s="147" t="str">
        <f t="shared" si="42"/>
        <v/>
      </c>
      <c r="BA125" s="99" t="str">
        <f t="shared" si="56"/>
        <v>, William (1729–1800: #1)</v>
      </c>
      <c r="BB125" s="99" t="str">
        <f t="shared" si="57"/>
        <v/>
      </c>
      <c r="BI125" s="147" t="s">
        <v>3228</v>
      </c>
    </row>
    <row r="126" spans="1:61" s="99" customFormat="1" ht="85">
      <c r="A126" s="139">
        <f>'Loyd List 1-190 - Edit'!C126</f>
        <v>124</v>
      </c>
      <c r="B126" s="99" t="str">
        <f>VLOOKUP($A126,'Loyd List 1-190 - Edit'!$C$1:$AQ$220,'Book Details - NO EDIT'!B$1,FALSE)</f>
        <v>Alwyne</v>
      </c>
      <c r="C126" s="99" t="str">
        <f>IF(VLOOKUP($A126,'Loyd List 1-190 - Edit'!$C$1:$AQ$220,'Book Details - NO EDIT'!C$1,FALSE)="","",VLOOKUP($A126,'Loyd List 1-190 - Edit'!$C$1:$AQ$220,'Book Details - NO EDIT'!C$1,FALSE))</f>
        <v>Edward</v>
      </c>
      <c r="D126" s="99" t="str">
        <f>IF(VLOOKUP($A126,'Loyd List 1-190 - Edit'!$C$1:$AQ$220,'Book Details - NO EDIT'!D$1,FALSE)="","",VLOOKUP($A126,'Loyd List 1-190 - Edit'!$C$1:$AQ$220,'Book Details - NO EDIT'!D$1,FALSE))</f>
        <v>Robert</v>
      </c>
      <c r="E126" s="99" t="str">
        <f>IF(VLOOKUP($A126,'Loyd List 1-190 - Edit'!$C$1:$AQ$220,'Book Details - NO EDIT'!E$1,FALSE)="","",VLOOKUP($A126,'Loyd List 1-190 - Edit'!$C$1:$AQ$220,'Book Details - NO EDIT'!E$1,FALSE))</f>
        <v>LOYD</v>
      </c>
      <c r="F126" s="99" t="str">
        <f>IF(VLOOKUP($A126,'Loyd List 1-190 - Edit'!$C$1:$AQ$220,'Book Details - NO EDIT'!F$1,FALSE)="",B126,VLOOKUP($A126,'Loyd List 1-190 - Edit'!$C$1:$AQ$220,'Book Details - NO EDIT'!F$1,FALSE))</f>
        <v>Rob</v>
      </c>
      <c r="G126" s="140">
        <f>IF(VLOOKUP($A126,'Loyd List 1-190 - Edit'!$C$1:$AQ$220,'Book Details - NO EDIT'!G$1,FALSE)="","",VALUE(VLOOKUP($A126,'Loyd List 1-190 - Edit'!$C$1:$AQ$220,'Book Details - NO EDIT'!G$1,FALSE)))</f>
        <v>1949</v>
      </c>
      <c r="H126" s="140" t="str">
        <f>IF(VLOOKUP($A126,'Loyd List 1-190 - Edit'!$C$1:$AQ$220,'Book Details - NO EDIT'!H$1,FALSE)="","",VALUE(VLOOKUP($A126,'Loyd List 1-190 - Edit'!$C$1:$AQ$220,'Book Details - NO EDIT'!H$1,FALSE)))</f>
        <v/>
      </c>
      <c r="I126" s="141">
        <f>IF(VLOOKUP($A126,'Loyd List 1-190 - Edit'!$C$1:$AQ$220,'Book Details - NO EDIT'!I$1,FALSE)="","",(VLOOKUP($A126,'Loyd List 1-190 - Edit'!$C$1:$AQ$220,'Book Details - NO EDIT'!I$1,FALSE)))</f>
        <v>18084</v>
      </c>
      <c r="J126" s="141" t="str">
        <f>IF(VLOOKUP($A126,'Loyd List 1-190 - Edit'!$C$1:$AQ$220,'Book Details - NO EDIT'!J$1,FALSE)="","",(VLOOKUP($A126,'Loyd List 1-190 - Edit'!$C$1:$AQ$220,'Book Details - NO EDIT'!J$1,FALSE)))</f>
        <v/>
      </c>
      <c r="K126" s="100" t="str">
        <f>VLOOKUP($A126,'Loyd List 1-190 - Edit'!$C$1:$AQ$220,'Book Details - NO EDIT'!K$1,FALSE)</f>
        <v>Boy</v>
      </c>
      <c r="L126" s="140">
        <f>VLOOKUP($A126,'Loyd List 1-190 - Edit'!$C$1:$AQ$220,'Book Details - NO EDIT'!L$1,FALSE)</f>
        <v>94</v>
      </c>
      <c r="M126" s="140">
        <f t="shared" si="34"/>
        <v>68</v>
      </c>
      <c r="N126" s="140">
        <f t="shared" si="34"/>
        <v>45</v>
      </c>
      <c r="O126" s="140">
        <f t="shared" si="34"/>
        <v>22</v>
      </c>
      <c r="P126" s="140">
        <f t="shared" si="31"/>
        <v>8</v>
      </c>
      <c r="Q126" s="140">
        <f t="shared" si="31"/>
        <v>1</v>
      </c>
      <c r="R126" s="140">
        <f t="shared" si="31"/>
        <v>0</v>
      </c>
      <c r="S126" s="140" t="str">
        <f t="shared" si="35"/>
        <v/>
      </c>
      <c r="T126" s="140">
        <f t="shared" si="32"/>
        <v>6</v>
      </c>
      <c r="U126" s="139">
        <f t="shared" si="36"/>
        <v>124</v>
      </c>
      <c r="V126" s="31" t="str">
        <f t="shared" si="37"/>
        <v>Rob (1949–)</v>
      </c>
      <c r="W126" s="31" t="str">
        <f t="shared" si="38"/>
        <v>Rob (#124)</v>
      </c>
      <c r="X126" s="99" t="str">
        <f t="shared" si="39"/>
        <v>Rob (1949–: #124)</v>
      </c>
      <c r="Y126" s="99" t="str">
        <f t="shared" si="54"/>
        <v>Alwyne Edward Robert LOYD</v>
      </c>
      <c r="Z126" s="99" t="str">
        <f t="shared" si="40"/>
        <v>Alwyne (1920–2014: #94)</v>
      </c>
      <c r="AA126" s="99" t="str">
        <f t="shared" si="45"/>
        <v xml:space="preserve">Alwyne (1920–2014: #94) Cecil (1890–1963: #68) Llewellyn (1861–1939: #45) Edward (1820–1890: #22) Edward (1780–1863: #8) William (1729–1800: #1)  </v>
      </c>
      <c r="AB126" s="142" t="str">
        <f>VLOOKUP(U126,'Siblings of those BORN Loyd'!$A$2:$G$230,7,FALSE)</f>
        <v xml:space="preserve">5 – Paddy (1951–: #126) Dominic (1953–: #131) Tim (1957–: #136) Alex (1959–: #139) Rick (1962–: #142)   </v>
      </c>
      <c r="AC126" s="115" t="str">
        <f>IF(ISNA(IF(K126="Boy",VLOOKUP(A126,'Siblings of those BORN Loyd'!$AP$3:$AQ$70,2,FALSE),VLOOKUP(A126,'Children of Female Loyds'!$AR$5:$AT$60,3,FALSE))),AM126,IF(K126="Boy",VLOOKUP(A126,'Siblings of those BORN Loyd'!$AP$3:$AQ$70,2,FALSE),VLOOKUP(A126,'Children of Female Loyds'!$AR$5:$AT$60,3,FALSE)))</f>
        <v/>
      </c>
      <c r="AD126" s="97" t="str">
        <f t="shared" si="53"/>
        <v>-</v>
      </c>
      <c r="AE126" s="105" t="str">
        <f>IF(ISNA(IF(K126="Boy",VLOOKUP(A126,'Grandchildren of Male Loyds'!$AQ$3:$AS$51,3,FALSE),VLOOKUP(A126,'Grandchildren of Female Loyds'!$AX$5:$AZ$63,3,FALSE))),AM126,IF(K126="Boy",VLOOKUP(A126,'Grandchildren of Male Loyds'!$AQ$3:$AS$51,3,FALSE),VLOOKUP(A126,'Grandchildren of Female Loyds'!$AX$5:$AZ$63,3,FALSE)))</f>
        <v/>
      </c>
      <c r="AF126" s="105" t="str">
        <f>IF(ISNA(VLOOKUP(A126,'Grandchildren Loyd Daughters'!$BD$5:$BF$50,4,FALSE)),"",VLOOKUP(A126,'Grandchildren Loyd Daughters'!$BD$5:$BF$50,3,FALSE))</f>
        <v/>
      </c>
      <c r="AG126" s="129">
        <f>IF(ISNA(VLOOKUP(A126,'Grandchildren of Male Loyds'!$AQ$3:$AR$60,2,FALSE)),0,VLOOKUP(A126,'Grandchildren of Male Loyds'!$AQ$3:$AR$60,2,FALSE))+IF(ISNA(VLOOKUP(A126,'Grandchildren of Female Loyds'!$AX$5:$AY$50,2,FALSE)),0,VLOOKUP(A126,'Grandchildren of Female Loyds'!$AX$5:$AY$50,2,FALSE))+IF(ISNA(VLOOKUP(A126,'Grandchildren Loyd Daughters'!$BD$5:$BE$50,2,FALSE)),0,VLOOKUP(A126,'Grandchildren Loyd Daughters'!$BD$5:$BE$50,2,FALSE))</f>
        <v>0</v>
      </c>
      <c r="AH126" s="129" t="str">
        <f>VLOOKUP($U126,'Loyd List 1-190 - Edit'!$P$3:$AJ$220,21,FALSE)</f>
        <v>Alison Fraser PORTER (b. 21 Feb 1920, d. 6 Sep 2003)</v>
      </c>
      <c r="AI126" s="129" t="str">
        <f>VLOOKUP(A126,'Updated Bios &amp; Spouse Details'!$A$1:$J$200,7,FALSE)</f>
        <v>Deirdre Susan WELLS (b. 4 May 1951, )</v>
      </c>
      <c r="AJ126" s="130">
        <f>IF(VLOOKUP($A126,'Loyd List 1-190 - Edit'!$C$1:$AQ$220,'Book Details - NO EDIT'!AJ$1,FALSE)="","",(VLOOKUP($A126,'Loyd List 1-190 - Edit'!$C$1:$AQ$220,'Book Details - NO EDIT'!AJ$1,FALSE)))</f>
        <v>28579</v>
      </c>
      <c r="AK126" s="129" t="str">
        <f>VLOOKUP(A126,'Updated Bios &amp; Spouse Details'!$A$1:$J$200,8,FALSE)</f>
        <v>Rob married, at St Mary’s, Wimbledon, London SW19, Deirdre only daughter of Alexander WELLS of Winwick, Cheshire.</v>
      </c>
      <c r="AL126" s="131" t="str">
        <f>VLOOKUP(A126,'Updated Bios &amp; Spouse Details'!$A$1:$J$200,5,FALSE)</f>
        <v>Rob lives in Devon; previously of Wisteria Cottage, Coombe Meadow, Bovey Tracey, Newton Abbot, Devon. Eldest son of Alwyne Eteson LOYD (1920–2014: #94). Born 5 Jul 1949 at St. George’s Wood, Haslemere, Surrey. Baptised 7 Oct 1949 at St. Cuthbert’s, Wood Green, London, by his grandfather, the Rev Robert PORTER. Educated Brentwood and Member of the Association of Residential Letting Agents (MARLA) until retired. Freeman of Goldsmiths’ Company 1973. Guitar player/composer. Book published 1973 - "Rob Loyd Folio of Graduated Guitar Solos". Semi- finalist in two categories UK Songrwriting Contest 2021.  Career: 1966-1968 RNIB – Talking Books Sound Department; 1968-1988 London Weekend Television (LWT) – Sound Department; 1988-2015 worked in property/property management. Email: robloyd@icloud.com.</v>
      </c>
      <c r="AM126" s="105" t="str">
        <f>IF(AND(LEN(H126)&gt;0,ISNA(IF(K126="Boy",VLOOKUP(A126,'Siblings of those BORN Loyd'!$AP$3:$AQ$70,2,FALSE),VLOOKUP(A126,'Children of Female Loyds'!$AR$5:$AS$60,2,FALSE)))),"d.s.p","")</f>
        <v/>
      </c>
      <c r="AN126" s="99" t="str">
        <f t="shared" si="55"/>
        <v>Alwyne (1920–2014: #94)</v>
      </c>
      <c r="AO126" s="99" t="str">
        <f t="shared" si="46"/>
        <v>Cecil (1890–1963: #68)</v>
      </c>
      <c r="AP126" s="99" t="str">
        <f t="shared" si="47"/>
        <v>Llewellyn (1861–1939: #45)</v>
      </c>
      <c r="AQ126" s="99" t="str">
        <f t="shared" si="48"/>
        <v>Edward (1820–1890: #22)</v>
      </c>
      <c r="AR126" s="99" t="str">
        <f t="shared" si="49"/>
        <v>Edward (1780–1863: #8)</v>
      </c>
      <c r="AS126" s="99" t="str">
        <f t="shared" si="50"/>
        <v>William (1729–1800: #1)</v>
      </c>
      <c r="AT126" s="99" t="str">
        <f t="shared" si="51"/>
        <v/>
      </c>
      <c r="AU126" s="99" t="str">
        <f t="shared" si="52"/>
        <v/>
      </c>
      <c r="AW126" s="116" t="str">
        <f>VLOOKUP(A126,'Updated Bios &amp; Spouse Details'!$A$1:$J$193,6,FALSE)</f>
        <v>England</v>
      </c>
      <c r="AX126" s="131">
        <f>VLOOKUP($A126,'Loyd List 1-190 - Edit'!$P$2:$AQ$220,AX$1,FALSE)</f>
        <v>124</v>
      </c>
      <c r="AY126" s="116" t="str">
        <f>IF(ISNA(VLOOKUP(A126,'Data check lookup table'!$G$2:$V$73,AY$1,FALSE))," - ",VLOOKUP(A126,'Data check lookup table'!$G$2:$V$73,AY$1,FALSE))</f>
        <v>robloyd@icloud.com</v>
      </c>
      <c r="AZ126" s="147" t="str">
        <f t="shared" si="42"/>
        <v/>
      </c>
      <c r="BA126" s="99" t="str">
        <f t="shared" si="56"/>
        <v>, William (1729–1800: #1)</v>
      </c>
      <c r="BB126" s="99" t="str">
        <f t="shared" si="57"/>
        <v/>
      </c>
      <c r="BI126" s="147" t="s">
        <v>3228</v>
      </c>
    </row>
    <row r="127" spans="1:61" s="99" customFormat="1" ht="85">
      <c r="A127" s="139">
        <f>'Loyd List 1-190 - Edit'!C127</f>
        <v>125</v>
      </c>
      <c r="B127" s="99" t="str">
        <f>VLOOKUP($A127,'Loyd List 1-190 - Edit'!$C$1:$AQ$220,'Book Details - NO EDIT'!B$1,FALSE)</f>
        <v>Rona</v>
      </c>
      <c r="C127" s="99" t="str">
        <f>IF(VLOOKUP($A127,'Loyd List 1-190 - Edit'!$C$1:$AQ$220,'Book Details - NO EDIT'!C$1,FALSE)="","",VLOOKUP($A127,'Loyd List 1-190 - Edit'!$C$1:$AQ$220,'Book Details - NO EDIT'!C$1,FALSE))</f>
        <v>Mary</v>
      </c>
      <c r="D127" s="99" t="str">
        <f>IF(VLOOKUP($A127,'Loyd List 1-190 - Edit'!$C$1:$AQ$220,'Book Details - NO EDIT'!D$1,FALSE)="","",VLOOKUP($A127,'Loyd List 1-190 - Edit'!$C$1:$AQ$220,'Book Details - NO EDIT'!D$1,FALSE))</f>
        <v/>
      </c>
      <c r="E127" s="99" t="str">
        <f>IF(VLOOKUP($A127,'Loyd List 1-190 - Edit'!$C$1:$AQ$220,'Book Details - NO EDIT'!E$1,FALSE)="","",VLOOKUP($A127,'Loyd List 1-190 - Edit'!$C$1:$AQ$220,'Book Details - NO EDIT'!E$1,FALSE))</f>
        <v>LOYD</v>
      </c>
      <c r="F127" s="99" t="str">
        <f>IF(VLOOKUP($A127,'Loyd List 1-190 - Edit'!$C$1:$AQ$220,'Book Details - NO EDIT'!F$1,FALSE)="",B127,VLOOKUP($A127,'Loyd List 1-190 - Edit'!$C$1:$AQ$220,'Book Details - NO EDIT'!F$1,FALSE))</f>
        <v>Rona</v>
      </c>
      <c r="G127" s="140">
        <f>IF(VLOOKUP($A127,'Loyd List 1-190 - Edit'!$C$1:$AQ$220,'Book Details - NO EDIT'!G$1,FALSE)="","",VALUE(VLOOKUP($A127,'Loyd List 1-190 - Edit'!$C$1:$AQ$220,'Book Details - NO EDIT'!G$1,FALSE)))</f>
        <v>1951</v>
      </c>
      <c r="H127" s="140" t="str">
        <f>IF(VLOOKUP($A127,'Loyd List 1-190 - Edit'!$C$1:$AQ$220,'Book Details - NO EDIT'!H$1,FALSE)="","",VALUE(VLOOKUP($A127,'Loyd List 1-190 - Edit'!$C$1:$AQ$220,'Book Details - NO EDIT'!H$1,FALSE)))</f>
        <v/>
      </c>
      <c r="I127" s="141">
        <f>IF(VLOOKUP($A127,'Loyd List 1-190 - Edit'!$C$1:$AQ$220,'Book Details - NO EDIT'!I$1,FALSE)="","",(VLOOKUP($A127,'Loyd List 1-190 - Edit'!$C$1:$AQ$220,'Book Details - NO EDIT'!I$1,FALSE)))</f>
        <v>18683</v>
      </c>
      <c r="J127" s="141" t="str">
        <f>IF(VLOOKUP($A127,'Loyd List 1-190 - Edit'!$C$1:$AQ$220,'Book Details - NO EDIT'!J$1,FALSE)="","",(VLOOKUP($A127,'Loyd List 1-190 - Edit'!$C$1:$AQ$220,'Book Details - NO EDIT'!J$1,FALSE)))</f>
        <v/>
      </c>
      <c r="K127" s="100" t="str">
        <f>VLOOKUP($A127,'Loyd List 1-190 - Edit'!$C$1:$AQ$220,'Book Details - NO EDIT'!K$1,FALSE)</f>
        <v>Girl</v>
      </c>
      <c r="L127" s="140">
        <f>VLOOKUP($A127,'Loyd List 1-190 - Edit'!$C$1:$AQ$220,'Book Details - NO EDIT'!L$1,FALSE)</f>
        <v>86</v>
      </c>
      <c r="M127" s="140">
        <f t="shared" si="34"/>
        <v>71</v>
      </c>
      <c r="N127" s="140">
        <f t="shared" si="34"/>
        <v>34</v>
      </c>
      <c r="O127" s="140">
        <f t="shared" si="34"/>
        <v>14</v>
      </c>
      <c r="P127" s="140">
        <f t="shared" si="31"/>
        <v>4</v>
      </c>
      <c r="Q127" s="140">
        <f t="shared" si="31"/>
        <v>1</v>
      </c>
      <c r="R127" s="140">
        <f t="shared" si="31"/>
        <v>0</v>
      </c>
      <c r="S127" s="140" t="str">
        <f t="shared" si="35"/>
        <v/>
      </c>
      <c r="T127" s="140">
        <f t="shared" si="32"/>
        <v>6</v>
      </c>
      <c r="U127" s="139">
        <f t="shared" si="36"/>
        <v>125</v>
      </c>
      <c r="V127" s="31" t="str">
        <f t="shared" si="37"/>
        <v>Rona (1951–)</v>
      </c>
      <c r="W127" s="31" t="str">
        <f t="shared" si="38"/>
        <v>Rona (#125)</v>
      </c>
      <c r="X127" s="99" t="str">
        <f t="shared" si="39"/>
        <v>Rona (1951–: #125)</v>
      </c>
      <c r="Y127" s="99" t="str">
        <f t="shared" si="54"/>
        <v>Rona Mary LOYD</v>
      </c>
      <c r="Z127" s="99" t="str">
        <f t="shared" si="40"/>
        <v>Peter (1913–2008: #86)</v>
      </c>
      <c r="AA127" s="99" t="str">
        <f t="shared" si="45"/>
        <v xml:space="preserve">Peter (1913–2008: #86) Arthur (1890–1974: #71) Ted (1851–1922: #34) Thomas (1812–1857: #14) William (1770–1828: #4) William (1729–1800: #1)  </v>
      </c>
      <c r="AB127" s="142" t="str">
        <f>VLOOKUP(U127,'Siblings of those BORN Loyd'!$A$2:$G$230,7,FALSE)</f>
        <v xml:space="preserve">2 – David (1952–: #130) Jim (1955–: #135)      </v>
      </c>
      <c r="AC127" s="115" t="str">
        <f>IF(ISNA(IF(K127="Boy",VLOOKUP(A127,'Siblings of those BORN Loyd'!$AP$3:$AQ$70,2,FALSE),VLOOKUP(A127,'Children of Female Loyds'!$AR$5:$AT$60,3,FALSE))),AM127,IF(K127="Boy",VLOOKUP(A127,'Siblings of those BORN Loyd'!$AP$3:$AQ$70,2,FALSE),VLOOKUP(A127,'Children of Female Loyds'!$AR$5:$AT$60,3,FALSE)))</f>
        <v xml:space="preserve">2 - Bryan HAWKEY (1976 - : #125a) Allison HAWKEY (1978 - : #125b)      </v>
      </c>
      <c r="AD127" s="97" t="str">
        <f t="shared" si="53"/>
        <v>-</v>
      </c>
      <c r="AE127" s="105" t="str">
        <f>IF(ISNA(IF(K127="Boy",VLOOKUP(A127,'Grandchildren of Male Loyds'!$AQ$3:$AS$51,3,FALSE),VLOOKUP(A127,'Grandchildren of Female Loyds'!$AX$5:$AZ$63,3,FALSE))),AM127,IF(K127="Boy",VLOOKUP(A127,'Grandchildren of Male Loyds'!$AQ$3:$AS$51,3,FALSE),VLOOKUP(A127,'Grandchildren of Female Loyds'!$AX$5:$AZ$63,3,FALSE)))</f>
        <v/>
      </c>
      <c r="AF127" s="105" t="str">
        <f>IF(ISNA(VLOOKUP(A127,'Grandchildren Loyd Daughters'!$BD$5:$BF$50,4,FALSE)),"",VLOOKUP(A127,'Grandchildren Loyd Daughters'!$BD$5:$BF$50,3,FALSE))</f>
        <v/>
      </c>
      <c r="AG127" s="129">
        <f>IF(ISNA(VLOOKUP(A127,'Grandchildren of Male Loyds'!$AQ$3:$AR$60,2,FALSE)),0,VLOOKUP(A127,'Grandchildren of Male Loyds'!$AQ$3:$AR$60,2,FALSE))+IF(ISNA(VLOOKUP(A127,'Grandchildren of Female Loyds'!$AX$5:$AY$50,2,FALSE)),0,VLOOKUP(A127,'Grandchildren of Female Loyds'!$AX$5:$AY$50,2,FALSE))+IF(ISNA(VLOOKUP(A127,'Grandchildren Loyd Daughters'!$BD$5:$BE$50,2,FALSE)),0,VLOOKUP(A127,'Grandchildren Loyd Daughters'!$BD$5:$BE$50,2,FALSE))</f>
        <v>0</v>
      </c>
      <c r="AH127" s="129" t="str">
        <f>VLOOKUP($U127,'Loyd List 1-190 - Edit'!$P$3:$AJ$220,21,FALSE)</f>
        <v xml:space="preserve">Anne SMITHELLS (b. 12 Mar 1921, d. 3 Aug 2010) </v>
      </c>
      <c r="AI127" s="129" t="str">
        <f>VLOOKUP(A127,'Updated Bios &amp; Spouse Details'!$A$1:$J$200,7,FALSE)</f>
        <v>Jock Llewellyn HAWKEY (b. 1 Feb 1949, )</v>
      </c>
      <c r="AJ127" s="130">
        <f>IF(VLOOKUP($A127,'Loyd List 1-190 - Edit'!$C$1:$AQ$220,'Book Details - NO EDIT'!AJ$1,FALSE)="","",(VLOOKUP($A127,'Loyd List 1-190 - Edit'!$C$1:$AQ$220,'Book Details - NO EDIT'!AJ$1,FALSE)))</f>
        <v>26173</v>
      </c>
      <c r="AK127" s="129" t="str">
        <f>VLOOKUP(A127,'Updated Bios &amp; Spouse Details'!$A$1:$J$200,8,FALSE)</f>
        <v>Rona married Jock  4th son of Francis H HAWKEY of 1360 Bel Air Avenue, Kelowna, British Columbia. Jock was a chemist and metallurgist specialising in water technology.</v>
      </c>
      <c r="AL127" s="131" t="str">
        <f>VLOOKUP(A127,'Updated Bios &amp; Spouse Details'!$A$1:$J$200,5,FALSE)</f>
        <v>Rona lives in Kelowna, British Columbia, Canada and is the only daughter of Norman (1913–2008: #86). Born 24 Feb 1951 at Kelowna, British Columbia. Baptised 6 Jun 1951 at St. Mary’s, East Kelowna, British Columbia. Career: British Columbia Institute of Technology 1970-74. X-ray technologist retired in 2000. Issue: 1 son, 1 daughter.</v>
      </c>
      <c r="AM127" s="105" t="str">
        <f>IF(AND(LEN(H127)&gt;0,ISNA(IF(K127="Boy",VLOOKUP(A127,'Siblings of those BORN Loyd'!$AP$3:$AQ$70,2,FALSE),VLOOKUP(A127,'Children of Female Loyds'!$AR$5:$AS$60,2,FALSE)))),"d.s.p","")</f>
        <v/>
      </c>
      <c r="AN127" s="99" t="str">
        <f t="shared" si="55"/>
        <v>Peter (1913–2008: #86)</v>
      </c>
      <c r="AO127" s="99" t="str">
        <f t="shared" si="46"/>
        <v>Arthur (1890–1974: #71)</v>
      </c>
      <c r="AP127" s="99" t="str">
        <f t="shared" si="47"/>
        <v>Ted (1851–1922: #34)</v>
      </c>
      <c r="AQ127" s="99" t="str">
        <f t="shared" si="48"/>
        <v>Thomas (1812–1857: #14)</v>
      </c>
      <c r="AR127" s="99" t="str">
        <f t="shared" si="49"/>
        <v>William (1770–1828: #4)</v>
      </c>
      <c r="AS127" s="99" t="str">
        <f t="shared" si="50"/>
        <v>William (1729–1800: #1)</v>
      </c>
      <c r="AT127" s="99" t="str">
        <f t="shared" si="51"/>
        <v/>
      </c>
      <c r="AU127" s="99" t="str">
        <f t="shared" si="52"/>
        <v/>
      </c>
      <c r="AW127" s="116" t="str">
        <f>VLOOKUP(A127,'Updated Bios &amp; Spouse Details'!$A$1:$J$193,6,FALSE)</f>
        <v>Canada</v>
      </c>
      <c r="AX127" s="131">
        <f>VLOOKUP($A127,'Loyd List 1-190 - Edit'!$P$2:$AQ$220,AX$1,FALSE)</f>
        <v>125</v>
      </c>
      <c r="AY127" s="116" t="str">
        <f>IF(ISNA(VLOOKUP(A127,'Data check lookup table'!$G$2:$V$73,AY$1,FALSE))," - ",VLOOKUP(A127,'Data check lookup table'!$G$2:$V$73,AY$1,FALSE))</f>
        <v>jockronahawkey@hotmail.com</v>
      </c>
      <c r="AZ127" s="147" t="str">
        <f t="shared" si="42"/>
        <v/>
      </c>
      <c r="BA127" s="99" t="str">
        <f t="shared" si="56"/>
        <v>, William (1729–1800: #1)</v>
      </c>
      <c r="BB127" s="99" t="str">
        <f t="shared" si="57"/>
        <v/>
      </c>
      <c r="BI127" s="147" t="s">
        <v>3228</v>
      </c>
    </row>
    <row r="128" spans="1:61" s="99" customFormat="1" ht="102">
      <c r="A128" s="139">
        <f>'Loyd List 1-190 - Edit'!C128</f>
        <v>126</v>
      </c>
      <c r="B128" s="99" t="str">
        <f>VLOOKUP($A128,'Loyd List 1-190 - Edit'!$C$1:$AQ$220,'Book Details - NO EDIT'!B$1,FALSE)</f>
        <v>Patrick</v>
      </c>
      <c r="C128" s="99" t="str">
        <f>IF(VLOOKUP($A128,'Loyd List 1-190 - Edit'!$C$1:$AQ$220,'Book Details - NO EDIT'!C$1,FALSE)="","",VLOOKUP($A128,'Loyd List 1-190 - Edit'!$C$1:$AQ$220,'Book Details - NO EDIT'!C$1,FALSE))</f>
        <v>William</v>
      </c>
      <c r="D128" s="99" t="str">
        <f>IF(VLOOKUP($A128,'Loyd List 1-190 - Edit'!$C$1:$AQ$220,'Book Details - NO EDIT'!D$1,FALSE)="","",VLOOKUP($A128,'Loyd List 1-190 - Edit'!$C$1:$AQ$220,'Book Details - NO EDIT'!D$1,FALSE))</f>
        <v>Geale</v>
      </c>
      <c r="E128" s="99" t="str">
        <f>IF(VLOOKUP($A128,'Loyd List 1-190 - Edit'!$C$1:$AQ$220,'Book Details - NO EDIT'!E$1,FALSE)="","",VLOOKUP($A128,'Loyd List 1-190 - Edit'!$C$1:$AQ$220,'Book Details - NO EDIT'!E$1,FALSE))</f>
        <v>LOYD</v>
      </c>
      <c r="F128" s="99" t="str">
        <f>IF(VLOOKUP($A128,'Loyd List 1-190 - Edit'!$C$1:$AQ$220,'Book Details - NO EDIT'!F$1,FALSE)="",B128,VLOOKUP($A128,'Loyd List 1-190 - Edit'!$C$1:$AQ$220,'Book Details - NO EDIT'!F$1,FALSE))</f>
        <v>Paddy</v>
      </c>
      <c r="G128" s="140">
        <f>IF(VLOOKUP($A128,'Loyd List 1-190 - Edit'!$C$1:$AQ$220,'Book Details - NO EDIT'!G$1,FALSE)="","",VALUE(VLOOKUP($A128,'Loyd List 1-190 - Edit'!$C$1:$AQ$220,'Book Details - NO EDIT'!G$1,FALSE)))</f>
        <v>1951</v>
      </c>
      <c r="H128" s="140" t="str">
        <f>IF(VLOOKUP($A128,'Loyd List 1-190 - Edit'!$C$1:$AQ$220,'Book Details - NO EDIT'!H$1,FALSE)="","",VALUE(VLOOKUP($A128,'Loyd List 1-190 - Edit'!$C$1:$AQ$220,'Book Details - NO EDIT'!H$1,FALSE)))</f>
        <v/>
      </c>
      <c r="I128" s="141">
        <f>IF(VLOOKUP($A128,'Loyd List 1-190 - Edit'!$C$1:$AQ$220,'Book Details - NO EDIT'!I$1,FALSE)="","",(VLOOKUP($A128,'Loyd List 1-190 - Edit'!$C$1:$AQ$220,'Book Details - NO EDIT'!I$1,FALSE)))</f>
        <v>18784</v>
      </c>
      <c r="J128" s="141" t="str">
        <f>IF(VLOOKUP($A128,'Loyd List 1-190 - Edit'!$C$1:$AQ$220,'Book Details - NO EDIT'!J$1,FALSE)="","",(VLOOKUP($A128,'Loyd List 1-190 - Edit'!$C$1:$AQ$220,'Book Details - NO EDIT'!J$1,FALSE)))</f>
        <v/>
      </c>
      <c r="K128" s="100" t="str">
        <f>VLOOKUP($A128,'Loyd List 1-190 - Edit'!$C$1:$AQ$220,'Book Details - NO EDIT'!K$1,FALSE)</f>
        <v>Boy</v>
      </c>
      <c r="L128" s="140">
        <f>VLOOKUP($A128,'Loyd List 1-190 - Edit'!$C$1:$AQ$220,'Book Details - NO EDIT'!L$1,FALSE)</f>
        <v>94</v>
      </c>
      <c r="M128" s="140">
        <f t="shared" si="34"/>
        <v>68</v>
      </c>
      <c r="N128" s="140">
        <f t="shared" si="34"/>
        <v>45</v>
      </c>
      <c r="O128" s="140">
        <f t="shared" si="34"/>
        <v>22</v>
      </c>
      <c r="P128" s="140">
        <f t="shared" si="31"/>
        <v>8</v>
      </c>
      <c r="Q128" s="140">
        <f t="shared" si="31"/>
        <v>1</v>
      </c>
      <c r="R128" s="140">
        <f t="shared" si="31"/>
        <v>0</v>
      </c>
      <c r="S128" s="140" t="str">
        <f t="shared" si="35"/>
        <v/>
      </c>
      <c r="T128" s="140">
        <f t="shared" si="32"/>
        <v>6</v>
      </c>
      <c r="U128" s="139">
        <f t="shared" si="36"/>
        <v>126</v>
      </c>
      <c r="V128" s="31" t="str">
        <f t="shared" si="37"/>
        <v>Paddy (1951–)</v>
      </c>
      <c r="W128" s="31" t="str">
        <f t="shared" si="38"/>
        <v>Paddy (#126)</v>
      </c>
      <c r="X128" s="99" t="str">
        <f t="shared" si="39"/>
        <v>Paddy (1951–: #126)</v>
      </c>
      <c r="Y128" s="99" t="str">
        <f t="shared" si="54"/>
        <v>Patrick William Geale LOYD</v>
      </c>
      <c r="Z128" s="99" t="str">
        <f t="shared" si="40"/>
        <v>Alwyne (1920–2014: #94)</v>
      </c>
      <c r="AA128" s="99" t="str">
        <f t="shared" si="45"/>
        <v xml:space="preserve">Alwyne (1920–2014: #94) Cecil (1890–1963: #68) Llewellyn (1861–1939: #45) Edward (1820–1890: #22) Edward (1780–1863: #8) William (1729–1800: #1)  </v>
      </c>
      <c r="AB128" s="142" t="str">
        <f>VLOOKUP(U128,'Siblings of those BORN Loyd'!$A$2:$G$230,7,FALSE)</f>
        <v xml:space="preserve">5 – Rob (1949–: #124)  Dominic (1953–: #131) Tim (1957–: #136) Alex (1959–: #139) Rick (1962–: #142)   </v>
      </c>
      <c r="AC128" s="115" t="str">
        <f>IF(ISNA(IF(K128="Boy",VLOOKUP(A128,'Siblings of those BORN Loyd'!$AP$3:$AQ$70,2,FALSE),VLOOKUP(A128,'Children of Female Loyds'!$AR$5:$AT$60,3,FALSE))),AM128,IF(K128="Boy",VLOOKUP(A128,'Siblings of those BORN Loyd'!$AP$3:$AQ$70,2,FALSE),VLOOKUP(A128,'Children of Female Loyds'!$AR$5:$AT$60,3,FALSE)))</f>
        <v/>
      </c>
      <c r="AD128" s="97" t="str">
        <f t="shared" si="53"/>
        <v>-</v>
      </c>
      <c r="AE128" s="105" t="str">
        <f>IF(ISNA(IF(K128="Boy",VLOOKUP(A128,'Grandchildren of Male Loyds'!$AQ$3:$AS$51,3,FALSE),VLOOKUP(A128,'Grandchildren of Female Loyds'!$AX$5:$AZ$63,3,FALSE))),AM128,IF(K128="Boy",VLOOKUP(A128,'Grandchildren of Male Loyds'!$AQ$3:$AS$51,3,FALSE),VLOOKUP(A128,'Grandchildren of Female Loyds'!$AX$5:$AZ$63,3,FALSE)))</f>
        <v/>
      </c>
      <c r="AF128" s="105" t="str">
        <f>IF(ISNA(VLOOKUP(A128,'Grandchildren Loyd Daughters'!$BD$5:$BF$50,4,FALSE)),"",VLOOKUP(A128,'Grandchildren Loyd Daughters'!$BD$5:$BF$50,3,FALSE))</f>
        <v/>
      </c>
      <c r="AG128" s="129">
        <f>IF(ISNA(VLOOKUP(A128,'Grandchildren of Male Loyds'!$AQ$3:$AR$60,2,FALSE)),0,VLOOKUP(A128,'Grandchildren of Male Loyds'!$AQ$3:$AR$60,2,FALSE))+IF(ISNA(VLOOKUP(A128,'Grandchildren of Female Loyds'!$AX$5:$AY$50,2,FALSE)),0,VLOOKUP(A128,'Grandchildren of Female Loyds'!$AX$5:$AY$50,2,FALSE))+IF(ISNA(VLOOKUP(A128,'Grandchildren Loyd Daughters'!$BD$5:$BE$50,2,FALSE)),0,VLOOKUP(A128,'Grandchildren Loyd Daughters'!$BD$5:$BE$50,2,FALSE))</f>
        <v>0</v>
      </c>
      <c r="AH128" s="129" t="str">
        <f>VLOOKUP($U128,'Loyd List 1-190 - Edit'!$P$3:$AJ$220,21,FALSE)</f>
        <v>Alison Fraser PORTER (b. 21 Feb 1920, d. 6 Sep 2003)</v>
      </c>
      <c r="AI128" s="129" t="str">
        <f>VLOOKUP(A128,'Updated Bios &amp; Spouse Details'!$A$1:$J$200,7,FALSE)</f>
        <v>Angela Vernon (b. 27 Sep 1937, )</v>
      </c>
      <c r="AJ128" s="130" t="str">
        <f>IF(VLOOKUP($A128,'Loyd List 1-190 - Edit'!$C$1:$AQ$220,'Book Details - NO EDIT'!AJ$1,FALSE)="","",(VLOOKUP($A128,'Loyd List 1-190 - Edit'!$C$1:$AQ$220,'Book Details - NO EDIT'!AJ$1,FALSE)))</f>
        <v xml:space="preserve"> - </v>
      </c>
      <c r="AK128" s="129" t="str">
        <f>VLOOKUP(A128,'Updated Bios &amp; Spouse Details'!$A$1:$J$200,8,FALSE)</f>
        <v>Paddy's partner, since 1977,  (unmarried) Beryl Margaret Vernon (known as Angela) daughter of Frank Douglas Vernon (b. 1 Jan 1899, d. 19 Jul 1965) and Dorothy Muriel Vernon (b. 16 June 1914, d. 13 Jul 1975).</v>
      </c>
      <c r="AL128" s="131" t="str">
        <f>VLOOKUP(A128,'Updated Bios &amp; Spouse Details'!$A$1:$J$200,5,FALSE)</f>
        <v>Paddy lives near Chiangmai, Thailand and previously in Hammersmith, London. He is the 2nd son of Alwyne (1920–2014: #94). Born 5 Jun 1951 at St. George’s Wood, Haslemere, Surrey. Baptised 25 Aug 1951 at St Cuthbert’s, Wood Green, London by his grandfather, the Rev Robert PORTER. Educated/Qualifications: Brentwood. FSVA 1973. FIAS(TP) 1976. FB Eng 1993. FRICS 2000. Career: Chartered &amp; Corporate Surveyor. Corporate Building Engineer (Retired). Paddy retired from his Estate Business in 2008 to build a house (Eagle Peak) where he lives, with his partner Angela, in the mountains of Chiang Dao in the province of Chiangmai, Thailand. Freeman of Goldsmiths’ Company 1973.</v>
      </c>
      <c r="AM128" s="105" t="str">
        <f>IF(AND(LEN(H128)&gt;0,ISNA(IF(K128="Boy",VLOOKUP(A128,'Siblings of those BORN Loyd'!$AP$3:$AQ$70,2,FALSE),VLOOKUP(A128,'Children of Female Loyds'!$AR$5:$AS$60,2,FALSE)))),"d.s.p","")</f>
        <v/>
      </c>
      <c r="AN128" s="99" t="str">
        <f t="shared" si="55"/>
        <v>Alwyne (1920–2014: #94)</v>
      </c>
      <c r="AO128" s="99" t="str">
        <f t="shared" si="46"/>
        <v>Cecil (1890–1963: #68)</v>
      </c>
      <c r="AP128" s="99" t="str">
        <f t="shared" si="47"/>
        <v>Llewellyn (1861–1939: #45)</v>
      </c>
      <c r="AQ128" s="99" t="str">
        <f t="shared" si="48"/>
        <v>Edward (1820–1890: #22)</v>
      </c>
      <c r="AR128" s="99" t="str">
        <f t="shared" si="49"/>
        <v>Edward (1780–1863: #8)</v>
      </c>
      <c r="AS128" s="99" t="str">
        <f t="shared" si="50"/>
        <v>William (1729–1800: #1)</v>
      </c>
      <c r="AT128" s="99" t="str">
        <f t="shared" si="51"/>
        <v/>
      </c>
      <c r="AU128" s="99" t="str">
        <f t="shared" si="52"/>
        <v/>
      </c>
      <c r="AW128" s="116" t="str">
        <f>VLOOKUP(A128,'Updated Bios &amp; Spouse Details'!$A$1:$J$193,6,FALSE)</f>
        <v>England &amp; Thailand</v>
      </c>
      <c r="AX128" s="131">
        <f>VLOOKUP($A128,'Loyd List 1-190 - Edit'!$P$2:$AQ$220,AX$1,FALSE)</f>
        <v>126</v>
      </c>
      <c r="AY128" s="116" t="str">
        <f>IF(ISNA(VLOOKUP(A128,'Data check lookup table'!$G$2:$V$73,AY$1,FALSE))," - ",VLOOKUP(A128,'Data check lookup table'!$G$2:$V$73,AY$1,FALSE))</f>
        <v>paddyloyd@talk21.com </v>
      </c>
      <c r="AZ128" s="147" t="str">
        <f t="shared" si="42"/>
        <v/>
      </c>
      <c r="BA128" s="99" t="str">
        <f t="shared" si="56"/>
        <v>, William (1729–1800: #1)</v>
      </c>
      <c r="BB128" s="99" t="str">
        <f t="shared" si="57"/>
        <v/>
      </c>
      <c r="BI128" s="147" t="s">
        <v>3228</v>
      </c>
    </row>
    <row r="129" spans="1:61" s="99" customFormat="1" ht="34">
      <c r="A129" s="139">
        <f>'Loyd List 1-190 - Edit'!C129</f>
        <v>127</v>
      </c>
      <c r="B129" s="99" t="str">
        <f>VLOOKUP($A129,'Loyd List 1-190 - Edit'!$C$1:$AQ$220,'Book Details - NO EDIT'!B$1,FALSE)</f>
        <v>Vivian</v>
      </c>
      <c r="C129" s="99" t="str">
        <f>IF(VLOOKUP($A129,'Loyd List 1-190 - Edit'!$C$1:$AQ$220,'Book Details - NO EDIT'!C$1,FALSE)="","",VLOOKUP($A129,'Loyd List 1-190 - Edit'!$C$1:$AQ$220,'Book Details - NO EDIT'!C$1,FALSE))</f>
        <v>Algernon</v>
      </c>
      <c r="D129" s="99" t="str">
        <f>IF(VLOOKUP($A129,'Loyd List 1-190 - Edit'!$C$1:$AQ$220,'Book Details - NO EDIT'!D$1,FALSE)="","",VLOOKUP($A129,'Loyd List 1-190 - Edit'!$C$1:$AQ$220,'Book Details - NO EDIT'!D$1,FALSE))</f>
        <v/>
      </c>
      <c r="E129" s="99" t="str">
        <f>IF(VLOOKUP($A129,'Loyd List 1-190 - Edit'!$C$1:$AQ$220,'Book Details - NO EDIT'!E$1,FALSE)="","",VLOOKUP($A129,'Loyd List 1-190 - Edit'!$C$1:$AQ$220,'Book Details - NO EDIT'!E$1,FALSE))</f>
        <v>LOYD</v>
      </c>
      <c r="F129" s="99" t="str">
        <f>IF(VLOOKUP($A129,'Loyd List 1-190 - Edit'!$C$1:$AQ$220,'Book Details - NO EDIT'!F$1,FALSE)="",B129,VLOOKUP($A129,'Loyd List 1-190 - Edit'!$C$1:$AQ$220,'Book Details - NO EDIT'!F$1,FALSE))</f>
        <v>Vivian</v>
      </c>
      <c r="G129" s="140">
        <f>IF(VLOOKUP($A129,'Loyd List 1-190 - Edit'!$C$1:$AQ$220,'Book Details - NO EDIT'!G$1,FALSE)="","",VALUE(VLOOKUP($A129,'Loyd List 1-190 - Edit'!$C$1:$AQ$220,'Book Details - NO EDIT'!G$1,FALSE)))</f>
        <v>1951</v>
      </c>
      <c r="H129" s="140" t="str">
        <f>IF(VLOOKUP($A129,'Loyd List 1-190 - Edit'!$C$1:$AQ$220,'Book Details - NO EDIT'!H$1,FALSE)="","",VALUE(VLOOKUP($A129,'Loyd List 1-190 - Edit'!$C$1:$AQ$220,'Book Details - NO EDIT'!H$1,FALSE)))</f>
        <v/>
      </c>
      <c r="I129" s="141">
        <f>IF(VLOOKUP($A129,'Loyd List 1-190 - Edit'!$C$1:$AQ$220,'Book Details - NO EDIT'!I$1,FALSE)="","",(VLOOKUP($A129,'Loyd List 1-190 - Edit'!$C$1:$AQ$220,'Book Details - NO EDIT'!I$1,FALSE)))</f>
        <v>18943</v>
      </c>
      <c r="J129" s="141" t="str">
        <f>IF(VLOOKUP($A129,'Loyd List 1-190 - Edit'!$C$1:$AQ$220,'Book Details - NO EDIT'!J$1,FALSE)="","",(VLOOKUP($A129,'Loyd List 1-190 - Edit'!$C$1:$AQ$220,'Book Details - NO EDIT'!J$1,FALSE)))</f>
        <v/>
      </c>
      <c r="K129" s="100" t="str">
        <f>VLOOKUP($A129,'Loyd List 1-190 - Edit'!$C$1:$AQ$220,'Book Details - NO EDIT'!K$1,FALSE)</f>
        <v>Boy</v>
      </c>
      <c r="L129" s="140">
        <f>VLOOKUP($A129,'Loyd List 1-190 - Edit'!$C$1:$AQ$220,'Book Details - NO EDIT'!L$1,FALSE)</f>
        <v>78</v>
      </c>
      <c r="M129" s="140">
        <f t="shared" si="34"/>
        <v>46</v>
      </c>
      <c r="N129" s="140">
        <f t="shared" si="34"/>
        <v>23</v>
      </c>
      <c r="O129" s="140">
        <f t="shared" si="34"/>
        <v>8</v>
      </c>
      <c r="P129" s="140">
        <f t="shared" si="31"/>
        <v>1</v>
      </c>
      <c r="Q129" s="140">
        <f t="shared" si="31"/>
        <v>0</v>
      </c>
      <c r="R129" s="140" t="str">
        <f t="shared" si="31"/>
        <v/>
      </c>
      <c r="S129" s="140" t="str">
        <f t="shared" si="35"/>
        <v/>
      </c>
      <c r="T129" s="140">
        <f t="shared" si="32"/>
        <v>5</v>
      </c>
      <c r="U129" s="139">
        <f t="shared" si="36"/>
        <v>127</v>
      </c>
      <c r="V129" s="31" t="str">
        <f t="shared" si="37"/>
        <v>Vivian (1951–)</v>
      </c>
      <c r="W129" s="31" t="str">
        <f t="shared" si="38"/>
        <v>Vivian (#127)</v>
      </c>
      <c r="X129" s="99" t="str">
        <f t="shared" si="39"/>
        <v>Vivian (1951–: #127)</v>
      </c>
      <c r="Y129" s="99" t="str">
        <f t="shared" si="54"/>
        <v>Vivian Algernon LOYD</v>
      </c>
      <c r="Z129" s="99" t="str">
        <f t="shared" si="40"/>
        <v>Vivian (1894–1972: #78)</v>
      </c>
      <c r="AA129" s="99" t="str">
        <f t="shared" si="45"/>
        <v xml:space="preserve">Vivian (1894–1972: #78) William (1863–1923: #46) William (1821–1885: #23) Edward (1780–1863: #8) William (1729–1800: #1)   </v>
      </c>
      <c r="AB129" s="142" t="str">
        <f>VLOOKUP(U129,'Siblings of those BORN Loyd'!$A$2:$G$230,7,FALSE)</f>
        <v xml:space="preserve">3 – Willie (1937–1994: #113) Belinda (1939–2018: #115)  Ginie (1961–: #140)     </v>
      </c>
      <c r="AC129" s="115" t="str">
        <f>IF(ISNA(IF(K129="Boy",VLOOKUP(A129,'Siblings of those BORN Loyd'!$AP$3:$AQ$70,2,FALSE),VLOOKUP(A129,'Children of Female Loyds'!$AR$5:$AT$60,3,FALSE))),AM129,IF(K129="Boy",VLOOKUP(A129,'Siblings of those BORN Loyd'!$AP$3:$AQ$70,2,FALSE),VLOOKUP(A129,'Children of Female Loyds'!$AR$5:$AT$60,3,FALSE)))</f>
        <v/>
      </c>
      <c r="AD129" s="97" t="str">
        <f t="shared" si="53"/>
        <v>-</v>
      </c>
      <c r="AE129" s="105" t="str">
        <f>IF(ISNA(IF(K129="Boy",VLOOKUP(A129,'Grandchildren of Male Loyds'!$AQ$3:$AS$51,3,FALSE),VLOOKUP(A129,'Grandchildren of Female Loyds'!$AX$5:$AZ$63,3,FALSE))),AM129,IF(K129="Boy",VLOOKUP(A129,'Grandchildren of Male Loyds'!$AQ$3:$AS$51,3,FALSE),VLOOKUP(A129,'Grandchildren of Female Loyds'!$AX$5:$AZ$63,3,FALSE)))</f>
        <v/>
      </c>
      <c r="AF129" s="105" t="str">
        <f>IF(ISNA(VLOOKUP(A129,'Grandchildren Loyd Daughters'!$BD$5:$BF$50,4,FALSE)),"",VLOOKUP(A129,'Grandchildren Loyd Daughters'!$BD$5:$BF$50,3,FALSE))</f>
        <v/>
      </c>
      <c r="AG129" s="129">
        <f>IF(ISNA(VLOOKUP(A129,'Grandchildren of Male Loyds'!$AQ$3:$AR$60,2,FALSE)),0,VLOOKUP(A129,'Grandchildren of Male Loyds'!$AQ$3:$AR$60,2,FALSE))+IF(ISNA(VLOOKUP(A129,'Grandchildren of Female Loyds'!$AX$5:$AY$50,2,FALSE)),0,VLOOKUP(A129,'Grandchildren of Female Loyds'!$AX$5:$AY$50,2,FALSE))+IF(ISNA(VLOOKUP(A129,'Grandchildren Loyd Daughters'!$BD$5:$BE$50,2,FALSE)),0,VLOOKUP(A129,'Grandchildren Loyd Daughters'!$BD$5:$BE$50,2,FALSE))</f>
        <v>0</v>
      </c>
      <c r="AH129" s="129" t="str">
        <f>VLOOKUP($U129,'Loyd List 1-190 - Edit'!$P$3:$AJ$220,21,FALSE)</f>
        <v>Veronica Elizabeth HAYNES (b. 4 Dec 1926, )</v>
      </c>
      <c r="AI129" s="129" t="str">
        <f>VLOOKUP(A129,'Updated Bios &amp; Spouse Details'!$A$1:$J$200,7,FALSE)</f>
        <v xml:space="preserve"> - </v>
      </c>
      <c r="AJ129" s="130" t="str">
        <f>IF(VLOOKUP($A129,'Loyd List 1-190 - Edit'!$C$1:$AQ$220,'Book Details - NO EDIT'!AJ$1,FALSE)="","",(VLOOKUP($A129,'Loyd List 1-190 - Edit'!$C$1:$AQ$220,'Book Details - NO EDIT'!AJ$1,FALSE)))</f>
        <v/>
      </c>
      <c r="AK129" s="129" t="str">
        <f>VLOOKUP(A129,'Updated Bios &amp; Spouse Details'!$A$1:$J$200,8,FALSE)</f>
        <v xml:space="preserve"> - </v>
      </c>
      <c r="AL129" s="131" t="str">
        <f>VLOOKUP(A129,'Updated Bios &amp; Spouse Details'!$A$1:$J$200,5,FALSE)</f>
        <v>Vivian lives in Calbourne, Isle of Wight and is the younger son of Vivian (1894–1972: #78). Born 11 Nov 1951 at 27 Welbeck Street, London W1, baptised 13 Apr 1952 at Clyne Castle Chapel, Swansea by the Archdeacon of Gower. Educated Eton 1965-67. Career: Director of group of marine related private companies. Member Royal Yacht Squadron from 1976.</v>
      </c>
      <c r="AM129" s="105" t="str">
        <f>IF(AND(LEN(H129)&gt;0,ISNA(IF(K129="Boy",VLOOKUP(A129,'Siblings of those BORN Loyd'!$AP$3:$AQ$70,2,FALSE),VLOOKUP(A129,'Children of Female Loyds'!$AR$5:$AS$60,2,FALSE)))),"d.s.p","")</f>
        <v/>
      </c>
      <c r="AN129" s="99" t="str">
        <f t="shared" si="55"/>
        <v>Vivian (1894–1972: #78)</v>
      </c>
      <c r="AO129" s="99" t="str">
        <f t="shared" si="46"/>
        <v>William (1863–1923: #46)</v>
      </c>
      <c r="AP129" s="99" t="str">
        <f t="shared" si="47"/>
        <v>William (1821–1885: #23)</v>
      </c>
      <c r="AQ129" s="99" t="str">
        <f t="shared" si="48"/>
        <v>Edward (1780–1863: #8)</v>
      </c>
      <c r="AR129" s="99" t="str">
        <f t="shared" si="49"/>
        <v>William (1729–1800: #1)</v>
      </c>
      <c r="AS129" s="99" t="str">
        <f t="shared" si="50"/>
        <v/>
      </c>
      <c r="AT129" s="99" t="str">
        <f t="shared" si="51"/>
        <v/>
      </c>
      <c r="AU129" s="99" t="str">
        <f t="shared" si="52"/>
        <v/>
      </c>
      <c r="AW129" s="116" t="str">
        <f>VLOOKUP(A129,'Updated Bios &amp; Spouse Details'!$A$1:$J$193,6,FALSE)</f>
        <v>England</v>
      </c>
      <c r="AX129" s="131">
        <f>VLOOKUP($A129,'Loyd List 1-190 - Edit'!$P$2:$AQ$220,AX$1,FALSE)</f>
        <v>127</v>
      </c>
      <c r="AY129" s="116" t="str">
        <f>IF(ISNA(VLOOKUP(A129,'Data check lookup table'!$G$2:$V$73,AY$1,FALSE))," - ",VLOOKUP(A129,'Data check lookup table'!$G$2:$V$73,AY$1,FALSE))</f>
        <v>victoryyardiow@gmail.com</v>
      </c>
      <c r="AZ129" s="147" t="str">
        <f t="shared" si="42"/>
        <v/>
      </c>
      <c r="BA129" s="99" t="str">
        <f t="shared" si="56"/>
        <v/>
      </c>
      <c r="BB129" s="99" t="str">
        <f t="shared" si="57"/>
        <v/>
      </c>
      <c r="BI129" s="147" t="s">
        <v>3228</v>
      </c>
    </row>
    <row r="130" spans="1:61" s="99" customFormat="1" ht="51">
      <c r="A130" s="139">
        <f>'Loyd List 1-190 - Edit'!C130</f>
        <v>128</v>
      </c>
      <c r="B130" s="99" t="str">
        <f>VLOOKUP($A130,'Loyd List 1-190 - Edit'!$C$1:$AQ$220,'Book Details - NO EDIT'!B$1,FALSE)</f>
        <v>Julie</v>
      </c>
      <c r="C130" s="99" t="str">
        <f>IF(VLOOKUP($A130,'Loyd List 1-190 - Edit'!$C$1:$AQ$220,'Book Details - NO EDIT'!C$1,FALSE)="","",VLOOKUP($A130,'Loyd List 1-190 - Edit'!$C$1:$AQ$220,'Book Details - NO EDIT'!C$1,FALSE))</f>
        <v>Caroline</v>
      </c>
      <c r="D130" s="99" t="str">
        <f>IF(VLOOKUP($A130,'Loyd List 1-190 - Edit'!$C$1:$AQ$220,'Book Details - NO EDIT'!D$1,FALSE)="","",VLOOKUP($A130,'Loyd List 1-190 - Edit'!$C$1:$AQ$220,'Book Details - NO EDIT'!D$1,FALSE))</f>
        <v/>
      </c>
      <c r="E130" s="99" t="str">
        <f>IF(VLOOKUP($A130,'Loyd List 1-190 - Edit'!$C$1:$AQ$220,'Book Details - NO EDIT'!E$1,FALSE)="","",VLOOKUP($A130,'Loyd List 1-190 - Edit'!$C$1:$AQ$220,'Book Details - NO EDIT'!E$1,FALSE))</f>
        <v>LOYD</v>
      </c>
      <c r="F130" s="99" t="str">
        <f>IF(VLOOKUP($A130,'Loyd List 1-190 - Edit'!$C$1:$AQ$220,'Book Details - NO EDIT'!F$1,FALSE)="",B130,VLOOKUP($A130,'Loyd List 1-190 - Edit'!$C$1:$AQ$220,'Book Details - NO EDIT'!F$1,FALSE))</f>
        <v>Julie</v>
      </c>
      <c r="G130" s="140">
        <f>IF(VLOOKUP($A130,'Loyd List 1-190 - Edit'!$C$1:$AQ$220,'Book Details - NO EDIT'!G$1,FALSE)="","",VALUE(VLOOKUP($A130,'Loyd List 1-190 - Edit'!$C$1:$AQ$220,'Book Details - NO EDIT'!G$1,FALSE)))</f>
        <v>1952</v>
      </c>
      <c r="H130" s="140" t="str">
        <f>IF(VLOOKUP($A130,'Loyd List 1-190 - Edit'!$C$1:$AQ$220,'Book Details - NO EDIT'!H$1,FALSE)="","",VALUE(VLOOKUP($A130,'Loyd List 1-190 - Edit'!$C$1:$AQ$220,'Book Details - NO EDIT'!H$1,FALSE)))</f>
        <v/>
      </c>
      <c r="I130" s="141">
        <f>IF(VLOOKUP($A130,'Loyd List 1-190 - Edit'!$C$1:$AQ$220,'Book Details - NO EDIT'!I$1,FALSE)="","",(VLOOKUP($A130,'Loyd List 1-190 - Edit'!$C$1:$AQ$220,'Book Details - NO EDIT'!I$1,FALSE)))</f>
        <v>19114</v>
      </c>
      <c r="J130" s="141" t="str">
        <f>IF(VLOOKUP($A130,'Loyd List 1-190 - Edit'!$C$1:$AQ$220,'Book Details - NO EDIT'!J$1,FALSE)="","",(VLOOKUP($A130,'Loyd List 1-190 - Edit'!$C$1:$AQ$220,'Book Details - NO EDIT'!J$1,FALSE)))</f>
        <v/>
      </c>
      <c r="K130" s="100" t="str">
        <f>VLOOKUP($A130,'Loyd List 1-190 - Edit'!$C$1:$AQ$220,'Book Details - NO EDIT'!K$1,FALSE)</f>
        <v>Girl</v>
      </c>
      <c r="L130" s="140">
        <f>VLOOKUP($A130,'Loyd List 1-190 - Edit'!$C$1:$AQ$220,'Book Details - NO EDIT'!L$1,FALSE)</f>
        <v>98</v>
      </c>
      <c r="M130" s="140">
        <f t="shared" si="34"/>
        <v>77</v>
      </c>
      <c r="N130" s="140">
        <f t="shared" si="34"/>
        <v>30</v>
      </c>
      <c r="O130" s="140">
        <f t="shared" si="34"/>
        <v>14</v>
      </c>
      <c r="P130" s="140">
        <f t="shared" si="31"/>
        <v>4</v>
      </c>
      <c r="Q130" s="140">
        <f t="shared" si="31"/>
        <v>1</v>
      </c>
      <c r="R130" s="140">
        <f t="shared" si="31"/>
        <v>0</v>
      </c>
      <c r="S130" s="140" t="str">
        <f t="shared" si="35"/>
        <v/>
      </c>
      <c r="T130" s="140">
        <f t="shared" si="32"/>
        <v>6</v>
      </c>
      <c r="U130" s="139">
        <f t="shared" si="36"/>
        <v>128</v>
      </c>
      <c r="V130" s="31" t="str">
        <f t="shared" si="37"/>
        <v>Julie (1952–)</v>
      </c>
      <c r="W130" s="31" t="str">
        <f t="shared" si="38"/>
        <v>Julie (#128)</v>
      </c>
      <c r="X130" s="99" t="str">
        <f t="shared" si="39"/>
        <v>Julie (1952–: #128)</v>
      </c>
      <c r="Y130" s="99" t="str">
        <f t="shared" si="54"/>
        <v>Julie Caroline LOYD</v>
      </c>
      <c r="Z130" s="99" t="str">
        <f t="shared" si="40"/>
        <v>Peter (1922–2022: #98)</v>
      </c>
      <c r="AA130" s="99" t="str">
        <f t="shared" si="45"/>
        <v xml:space="preserve">Peter (1922–2022: #98) Wilfrid (1893–1971: #77) Archie (1847–1922: #30) Thomas (1812–1857: #14) William (1770–1828: #4) William (1729–1800: #1)  </v>
      </c>
      <c r="AB130" s="142" t="str">
        <f>VLOOKUP(U130,'Siblings of those BORN Loyd'!$A$2:$G$230,7,FALSE)</f>
        <v xml:space="preserve">4 – Penelope (1954–1954: #132) William (1955–: #134) Tony (1963–: #145) Sophie (1969–: #154)    </v>
      </c>
      <c r="AC130" s="115" t="str">
        <f>IF(ISNA(IF(K130="Boy",VLOOKUP(A130,'Siblings of those BORN Loyd'!$AP$3:$AQ$70,2,FALSE),VLOOKUP(A130,'Children of Female Loyds'!$AR$5:$AT$60,3,FALSE))),AM130,IF(K130="Boy",VLOOKUP(A130,'Siblings of those BORN Loyd'!$AP$3:$AQ$70,2,FALSE),VLOOKUP(A130,'Children of Female Loyds'!$AR$5:$AT$60,3,FALSE)))</f>
        <v xml:space="preserve">2 - Chloe PEMBERTON (1991 - : #128a) Kate PEMBERTON (1993 - : #128b)      </v>
      </c>
      <c r="AD130" s="97" t="str">
        <f t="shared" si="53"/>
        <v>-</v>
      </c>
      <c r="AE130" s="105" t="str">
        <f>IF(ISNA(IF(K130="Boy",VLOOKUP(A130,'Grandchildren of Male Loyds'!$AQ$3:$AS$51,3,FALSE),VLOOKUP(A130,'Grandchildren of Female Loyds'!$AX$5:$AZ$63,3,FALSE))),AM130,IF(K130="Boy",VLOOKUP(A130,'Grandchildren of Male Loyds'!$AQ$3:$AS$51,3,FALSE),VLOOKUP(A130,'Grandchildren of Female Loyds'!$AX$5:$AZ$63,3,FALSE)))</f>
        <v/>
      </c>
      <c r="AF130" s="105" t="str">
        <f>IF(ISNA(VLOOKUP(A130,'Grandchildren Loyd Daughters'!$BD$5:$BF$50,4,FALSE)),"",VLOOKUP(A130,'Grandchildren Loyd Daughters'!$BD$5:$BF$50,3,FALSE))</f>
        <v/>
      </c>
      <c r="AG130" s="129">
        <f>IF(ISNA(VLOOKUP(A130,'Grandchildren of Male Loyds'!$AQ$3:$AR$60,2,FALSE)),0,VLOOKUP(A130,'Grandchildren of Male Loyds'!$AQ$3:$AR$60,2,FALSE))+IF(ISNA(VLOOKUP(A130,'Grandchildren of Female Loyds'!$AX$5:$AY$50,2,FALSE)),0,VLOOKUP(A130,'Grandchildren of Female Loyds'!$AX$5:$AY$50,2,FALSE))+IF(ISNA(VLOOKUP(A130,'Grandchildren Loyd Daughters'!$BD$5:$BE$50,2,FALSE)),0,VLOOKUP(A130,'Grandchildren Loyd Daughters'!$BD$5:$BE$50,2,FALSE))</f>
        <v>0</v>
      </c>
      <c r="AH130" s="129" t="str">
        <f>VLOOKUP($U130,'Loyd List 1-190 - Edit'!$P$3:$AJ$220,21,FALSE)</f>
        <v>Suzanne DUNCAN (b. 25 Aug 1928, )</v>
      </c>
      <c r="AI130" s="129" t="str">
        <f>VLOOKUP(A130,'Updated Bios &amp; Spouse Details'!$A$1:$J$200,7,FALSE)</f>
        <v>Neil PEMBERTON (b.20 Mar 1953, ). Divorced 2001.</v>
      </c>
      <c r="AJ130" s="130">
        <f>IF(VLOOKUP($A130,'Loyd List 1-190 - Edit'!$C$1:$AQ$220,'Book Details - NO EDIT'!AJ$1,FALSE)="","",(VLOOKUP($A130,'Loyd List 1-190 - Edit'!$C$1:$AQ$220,'Book Details - NO EDIT'!AJ$1,FALSE)))</f>
        <v>32402</v>
      </c>
      <c r="AK130" s="129" t="str">
        <f>VLOOKUP(A130,'Updated Bios &amp; Spouse Details'!$A$1:$J$200,8,FALSE)</f>
        <v>Neil son of Jack PEMBERTON of Lakeside, Cardiff, South Wales.</v>
      </c>
      <c r="AL130" s="131" t="str">
        <f>VLOOKUP(A130,'Updated Bios &amp; Spouse Details'!$A$1:$J$200,5,FALSE)</f>
        <v>Julie lives in West Dorset and is the eldest daughter of Peter (1922–2022: #98). Born 30 Apr 1952 in Gloucester. Baptised 8 Feb 1953 at Christchurch, Pembroke, Malta. Education: Headington, Oxford and Kent University (BA). Career: Christian Aid 1975-81. Freelance journalist and broadcaster 1981-89. Head of Religious Broadcasting World Service 1989-90. Issue: 2 daughters</v>
      </c>
      <c r="AM130" s="105" t="str">
        <f>IF(AND(LEN(H130)&gt;0,ISNA(IF(K130="Boy",VLOOKUP(A130,'Siblings of those BORN Loyd'!$AP$3:$AQ$70,2,FALSE),VLOOKUP(A130,'Children of Female Loyds'!$AR$5:$AS$60,2,FALSE)))),"d.s.p","")</f>
        <v/>
      </c>
      <c r="AN130" s="99" t="str">
        <f t="shared" si="55"/>
        <v>Peter (1922–2022: #98)</v>
      </c>
      <c r="AO130" s="99" t="str">
        <f t="shared" si="46"/>
        <v>Wilfrid (1893–1971: #77)</v>
      </c>
      <c r="AP130" s="99" t="str">
        <f t="shared" si="47"/>
        <v>Archie (1847–1922: #30)</v>
      </c>
      <c r="AQ130" s="99" t="str">
        <f t="shared" si="48"/>
        <v>Thomas (1812–1857: #14)</v>
      </c>
      <c r="AR130" s="99" t="str">
        <f t="shared" si="49"/>
        <v>William (1770–1828: #4)</v>
      </c>
      <c r="AS130" s="99" t="str">
        <f t="shared" si="50"/>
        <v>William (1729–1800: #1)</v>
      </c>
      <c r="AT130" s="99" t="str">
        <f t="shared" si="51"/>
        <v/>
      </c>
      <c r="AU130" s="99" t="str">
        <f t="shared" si="52"/>
        <v/>
      </c>
      <c r="AW130" s="116" t="str">
        <f>VLOOKUP(A130,'Updated Bios &amp; Spouse Details'!$A$1:$J$193,6,FALSE)</f>
        <v>England and Malta</v>
      </c>
      <c r="AX130" s="131">
        <f>VLOOKUP($A130,'Loyd List 1-190 - Edit'!$P$2:$AQ$220,AX$1,FALSE)</f>
        <v>128</v>
      </c>
      <c r="AY130" s="116" t="str">
        <f>IF(ISNA(VLOOKUP(A130,'Data check lookup table'!$G$2:$V$73,AY$1,FALSE))," - ",VLOOKUP(A130,'Data check lookup table'!$G$2:$V$73,AY$1,FALSE))</f>
        <v>rosemaryloyd@gmail.com</v>
      </c>
      <c r="AZ130" s="147" t="str">
        <f t="shared" si="42"/>
        <v/>
      </c>
      <c r="BA130" s="99" t="str">
        <f t="shared" si="56"/>
        <v>, William (1729–1800: #1)</v>
      </c>
      <c r="BB130" s="99" t="str">
        <f t="shared" si="57"/>
        <v/>
      </c>
      <c r="BI130" s="147" t="s">
        <v>3228</v>
      </c>
    </row>
    <row r="131" spans="1:61" s="99" customFormat="1" ht="34">
      <c r="A131" s="139">
        <f>'Loyd List 1-190 - Edit'!C131</f>
        <v>129</v>
      </c>
      <c r="B131" s="99" t="str">
        <f>VLOOKUP($A131,'Loyd List 1-190 - Edit'!$C$1:$AQ$220,'Book Details - NO EDIT'!B$1,FALSE)</f>
        <v>Diana</v>
      </c>
      <c r="C131" s="99" t="str">
        <f>IF(VLOOKUP($A131,'Loyd List 1-190 - Edit'!$C$1:$AQ$220,'Book Details - NO EDIT'!C$1,FALSE)="","",VLOOKUP($A131,'Loyd List 1-190 - Edit'!$C$1:$AQ$220,'Book Details - NO EDIT'!C$1,FALSE))</f>
        <v>Margaret</v>
      </c>
      <c r="D131" s="99" t="str">
        <f>IF(VLOOKUP($A131,'Loyd List 1-190 - Edit'!$C$1:$AQ$220,'Book Details - NO EDIT'!D$1,FALSE)="","",VLOOKUP($A131,'Loyd List 1-190 - Edit'!$C$1:$AQ$220,'Book Details - NO EDIT'!D$1,FALSE))</f>
        <v/>
      </c>
      <c r="E131" s="99" t="str">
        <f>IF(VLOOKUP($A131,'Loyd List 1-190 - Edit'!$C$1:$AQ$220,'Book Details - NO EDIT'!E$1,FALSE)="","",VLOOKUP($A131,'Loyd List 1-190 - Edit'!$C$1:$AQ$220,'Book Details - NO EDIT'!E$1,FALSE))</f>
        <v>LOYD</v>
      </c>
      <c r="F131" s="99" t="str">
        <f>IF(VLOOKUP($A131,'Loyd List 1-190 - Edit'!$C$1:$AQ$220,'Book Details - NO EDIT'!F$1,FALSE)="",B131,VLOOKUP($A131,'Loyd List 1-190 - Edit'!$C$1:$AQ$220,'Book Details - NO EDIT'!F$1,FALSE))</f>
        <v>Diana</v>
      </c>
      <c r="G131" s="140">
        <f>IF(VLOOKUP($A131,'Loyd List 1-190 - Edit'!$C$1:$AQ$220,'Book Details - NO EDIT'!G$1,FALSE)="","",VALUE(VLOOKUP($A131,'Loyd List 1-190 - Edit'!$C$1:$AQ$220,'Book Details - NO EDIT'!G$1,FALSE)))</f>
        <v>1952</v>
      </c>
      <c r="H131" s="140" t="str">
        <f>IF(VLOOKUP($A131,'Loyd List 1-190 - Edit'!$C$1:$AQ$220,'Book Details - NO EDIT'!H$1,FALSE)="","",VALUE(VLOOKUP($A131,'Loyd List 1-190 - Edit'!$C$1:$AQ$220,'Book Details - NO EDIT'!H$1,FALSE)))</f>
        <v/>
      </c>
      <c r="I131" s="141">
        <f>IF(VLOOKUP($A131,'Loyd List 1-190 - Edit'!$C$1:$AQ$220,'Book Details - NO EDIT'!I$1,FALSE)="","",(VLOOKUP($A131,'Loyd List 1-190 - Edit'!$C$1:$AQ$220,'Book Details - NO EDIT'!I$1,FALSE)))</f>
        <v>19127</v>
      </c>
      <c r="J131" s="141" t="str">
        <f>IF(VLOOKUP($A131,'Loyd List 1-190 - Edit'!$C$1:$AQ$220,'Book Details - NO EDIT'!J$1,FALSE)="","",(VLOOKUP($A131,'Loyd List 1-190 - Edit'!$C$1:$AQ$220,'Book Details - NO EDIT'!J$1,FALSE)))</f>
        <v/>
      </c>
      <c r="K131" s="100" t="str">
        <f>VLOOKUP($A131,'Loyd List 1-190 - Edit'!$C$1:$AQ$220,'Book Details - NO EDIT'!K$1,FALSE)</f>
        <v>Girl</v>
      </c>
      <c r="L131" s="140">
        <f>VLOOKUP($A131,'Loyd List 1-190 - Edit'!$C$1:$AQ$220,'Book Details - NO EDIT'!L$1,FALSE)</f>
        <v>89</v>
      </c>
      <c r="M131" s="140">
        <f t="shared" si="34"/>
        <v>54</v>
      </c>
      <c r="N131" s="140">
        <f t="shared" si="34"/>
        <v>32</v>
      </c>
      <c r="O131" s="140">
        <f t="shared" si="34"/>
        <v>14</v>
      </c>
      <c r="P131" s="140">
        <f t="shared" si="34"/>
        <v>4</v>
      </c>
      <c r="Q131" s="140">
        <f t="shared" si="34"/>
        <v>1</v>
      </c>
      <c r="R131" s="140">
        <f t="shared" si="34"/>
        <v>0</v>
      </c>
      <c r="S131" s="140" t="str">
        <f t="shared" si="35"/>
        <v/>
      </c>
      <c r="T131" s="140">
        <f t="shared" ref="T131:T183" si="58">IF(L131=1,1,IF(M131=1,2,IF(N131=1,3,IF(O131=1,4,IF(P131=1,5,IF(Q131=1,6,IF(R131=1,7,IF(S131=1,8,0))))))))</f>
        <v>6</v>
      </c>
      <c r="U131" s="139">
        <f t="shared" si="36"/>
        <v>129</v>
      </c>
      <c r="V131" s="31" t="str">
        <f t="shared" si="37"/>
        <v>Diana (1952–)</v>
      </c>
      <c r="W131" s="31" t="str">
        <f t="shared" si="38"/>
        <v>Diana (#129)</v>
      </c>
      <c r="X131" s="99" t="str">
        <f t="shared" si="39"/>
        <v>Diana (1952–: #129)</v>
      </c>
      <c r="Y131" s="99" t="str">
        <f t="shared" ref="Y131:Y162" si="59">_xlfn.CONCAT(B131," ",IF(C131="",E131,_xlfn.CONCAT(C131," ",IF(D131="",E131,_xlfn.CONCAT(D131," ",E131)))))</f>
        <v>Diana Margaret LOYD</v>
      </c>
      <c r="Z131" s="99" t="str">
        <f t="shared" si="40"/>
        <v>Sir Francis/Frank (1916–2006: #89)</v>
      </c>
      <c r="AA131" s="99" t="str">
        <f t="shared" si="45"/>
        <v xml:space="preserve">Sir Francis/Frank (1916–2006: #89) Alfred (1882–1919: #54) Frank (1848–1934: #32) Thomas (1812–1857: #14) William (1770–1828: #4) William (1729–1800: #1)  </v>
      </c>
      <c r="AB131" s="142" t="str">
        <f>VLOOKUP(U131,'Siblings of those BORN Loyd'!$A$2:$G$230,7,FALSE)</f>
        <v xml:space="preserve">1 – Janet (1949–: #123)        </v>
      </c>
      <c r="AC131" s="115" t="str">
        <f>IF(ISNA(IF(K131="Boy",VLOOKUP(A131,'Siblings of those BORN Loyd'!$AP$3:$AQ$70,2,FALSE),VLOOKUP(A131,'Children of Female Loyds'!$AR$5:$AT$60,3,FALSE))),AM131,IF(K131="Boy",VLOOKUP(A131,'Siblings of those BORN Loyd'!$AP$3:$AQ$70,2,FALSE),VLOOKUP(A131,'Children of Female Loyds'!$AR$5:$AT$60,3,FALSE)))</f>
        <v/>
      </c>
      <c r="AD131" s="97" t="str">
        <f t="shared" si="53"/>
        <v>-</v>
      </c>
      <c r="AE131" s="105" t="str">
        <f>IF(ISNA(IF(K131="Boy",VLOOKUP(A131,'Grandchildren of Male Loyds'!$AQ$3:$AS$51,3,FALSE),VLOOKUP(A131,'Grandchildren of Female Loyds'!$AX$5:$AZ$63,3,FALSE))),AM131,IF(K131="Boy",VLOOKUP(A131,'Grandchildren of Male Loyds'!$AQ$3:$AS$51,3,FALSE),VLOOKUP(A131,'Grandchildren of Female Loyds'!$AX$5:$AZ$63,3,FALSE)))</f>
        <v/>
      </c>
      <c r="AF131" s="105" t="str">
        <f>IF(ISNA(VLOOKUP(A131,'Grandchildren Loyd Daughters'!$BD$5:$BF$50,4,FALSE)),"",VLOOKUP(A131,'Grandchildren Loyd Daughters'!$BD$5:$BF$50,3,FALSE))</f>
        <v/>
      </c>
      <c r="AG131" s="129">
        <f>IF(ISNA(VLOOKUP(A131,'Grandchildren of Male Loyds'!$AQ$3:$AR$60,2,FALSE)),0,VLOOKUP(A131,'Grandchildren of Male Loyds'!$AQ$3:$AR$60,2,FALSE))+IF(ISNA(VLOOKUP(A131,'Grandchildren of Female Loyds'!$AX$5:$AY$50,2,FALSE)),0,VLOOKUP(A131,'Grandchildren of Female Loyds'!$AX$5:$AY$50,2,FALSE))+IF(ISNA(VLOOKUP(A131,'Grandchildren Loyd Daughters'!$BD$5:$BE$50,2,FALSE)),0,VLOOKUP(A131,'Grandchildren Loyd Daughters'!$BD$5:$BE$50,2,FALSE))</f>
        <v>0</v>
      </c>
      <c r="AH131" s="129" t="str">
        <f>VLOOKUP($U131,'Loyd List 1-190 - Edit'!$P$3:$AJ$220,21,FALSE)</f>
        <v>Katharine Layzell (b. 13 Mar 1924, d. 26 Oct 1981)</v>
      </c>
      <c r="AI131" s="129" t="str">
        <f>VLOOKUP(A131,'Updated Bios &amp; Spouse Details'!$A$1:$J$200,7,FALSE)</f>
        <v>Arnold SAKOLINSKY (b. 18 Sep 1943, )</v>
      </c>
      <c r="AJ131" s="130">
        <f>IF(VLOOKUP($A131,'Loyd List 1-190 - Edit'!$C$1:$AQ$220,'Book Details - NO EDIT'!AJ$1,FALSE)="","",(VLOOKUP($A131,'Loyd List 1-190 - Edit'!$C$1:$AQ$220,'Book Details - NO EDIT'!AJ$1,FALSE)))</f>
        <v>30506</v>
      </c>
      <c r="AK131" s="129" t="str">
        <f>VLOOKUP(A131,'Updated Bios &amp; Spouse Details'!$A$1:$J$200,8,FALSE)</f>
        <v>Married Arnold at St. Peter and St. Paul’s, Aldeburgh, Suffolk.</v>
      </c>
      <c r="AL131" s="131" t="str">
        <f>VLOOKUP(A131,'Updated Bios &amp; Spouse Details'!$A$1:$J$200,5,FALSE)</f>
        <v>Diana lives in Canada is the younger daughter of Sir Francis (1916–2006: #89). Born 13 May 1952 in Nairobi, Kenya. Baptised Jul 1952 at Fort Hall, Kenya. Educated Hawnes School, Bedford. Email addres: dmsako@shaw.ca</v>
      </c>
      <c r="AM131" s="105" t="str">
        <f>IF(AND(LEN(H131)&gt;0,ISNA(IF(K131="Boy",VLOOKUP(A131,'Siblings of those BORN Loyd'!$AP$3:$AQ$70,2,FALSE),VLOOKUP(A131,'Children of Female Loyds'!$AR$5:$AS$60,2,FALSE)))),"d.s.p","")</f>
        <v/>
      </c>
      <c r="AN131" s="99" t="str">
        <f t="shared" si="55"/>
        <v>Sir Francis/Frank (1916–2006: #89)</v>
      </c>
      <c r="AO131" s="99" t="str">
        <f t="shared" si="46"/>
        <v>Alfred (1882–1919: #54)</v>
      </c>
      <c r="AP131" s="99" t="str">
        <f t="shared" si="47"/>
        <v>Frank (1848–1934: #32)</v>
      </c>
      <c r="AQ131" s="99" t="str">
        <f t="shared" si="48"/>
        <v>Thomas (1812–1857: #14)</v>
      </c>
      <c r="AR131" s="99" t="str">
        <f t="shared" si="49"/>
        <v>William (1770–1828: #4)</v>
      </c>
      <c r="AS131" s="99" t="str">
        <f t="shared" si="50"/>
        <v>William (1729–1800: #1)</v>
      </c>
      <c r="AT131" s="99" t="str">
        <f t="shared" si="51"/>
        <v/>
      </c>
      <c r="AU131" s="99" t="str">
        <f t="shared" si="52"/>
        <v/>
      </c>
      <c r="AW131" s="116" t="str">
        <f>VLOOKUP(A131,'Updated Bios &amp; Spouse Details'!$A$1:$J$193,6,FALSE)</f>
        <v>Kenya, Swaziland (now Eswatini), England and Canada</v>
      </c>
      <c r="AX131" s="131">
        <f>VLOOKUP($A131,'Loyd List 1-190 - Edit'!$P$2:$AQ$220,AX$1,FALSE)</f>
        <v>129</v>
      </c>
      <c r="AY131" s="116" t="str">
        <f>IF(ISNA(VLOOKUP(A131,'Data check lookup table'!$G$2:$V$73,AY$1,FALSE))," - ",VLOOKUP(A131,'Data check lookup table'!$G$2:$V$73,AY$1,FALSE))</f>
        <v>dmsako@shaw.ca</v>
      </c>
      <c r="AZ131" s="147" t="str">
        <f t="shared" si="42"/>
        <v/>
      </c>
      <c r="BA131" s="99" t="str">
        <f t="shared" si="56"/>
        <v>, William (1729–1800: #1)</v>
      </c>
      <c r="BB131" s="99" t="str">
        <f t="shared" si="57"/>
        <v/>
      </c>
      <c r="BI131" s="147" t="s">
        <v>3228</v>
      </c>
    </row>
    <row r="132" spans="1:61" s="99" customFormat="1" ht="34">
      <c r="A132" s="139">
        <f>'Loyd List 1-190 - Edit'!C132</f>
        <v>130</v>
      </c>
      <c r="B132" s="99" t="str">
        <f>VLOOKUP($A132,'Loyd List 1-190 - Edit'!$C$1:$AQ$220,'Book Details - NO EDIT'!B$1,FALSE)</f>
        <v>David</v>
      </c>
      <c r="C132" s="99" t="str">
        <f>IF(VLOOKUP($A132,'Loyd List 1-190 - Edit'!$C$1:$AQ$220,'Book Details - NO EDIT'!C$1,FALSE)="","",VLOOKUP($A132,'Loyd List 1-190 - Edit'!$C$1:$AQ$220,'Book Details - NO EDIT'!C$1,FALSE))</f>
        <v>Arthur</v>
      </c>
      <c r="D132" s="99" t="str">
        <f>IF(VLOOKUP($A132,'Loyd List 1-190 - Edit'!$C$1:$AQ$220,'Book Details - NO EDIT'!D$1,FALSE)="","",VLOOKUP($A132,'Loyd List 1-190 - Edit'!$C$1:$AQ$220,'Book Details - NO EDIT'!D$1,FALSE))</f>
        <v/>
      </c>
      <c r="E132" s="99" t="str">
        <f>IF(VLOOKUP($A132,'Loyd List 1-190 - Edit'!$C$1:$AQ$220,'Book Details - NO EDIT'!E$1,FALSE)="","",VLOOKUP($A132,'Loyd List 1-190 - Edit'!$C$1:$AQ$220,'Book Details - NO EDIT'!E$1,FALSE))</f>
        <v>LOYD</v>
      </c>
      <c r="F132" s="99" t="str">
        <f>IF(VLOOKUP($A132,'Loyd List 1-190 - Edit'!$C$1:$AQ$220,'Book Details - NO EDIT'!F$1,FALSE)="",B132,VLOOKUP($A132,'Loyd List 1-190 - Edit'!$C$1:$AQ$220,'Book Details - NO EDIT'!F$1,FALSE))</f>
        <v>David</v>
      </c>
      <c r="G132" s="140">
        <f>IF(VLOOKUP($A132,'Loyd List 1-190 - Edit'!$C$1:$AQ$220,'Book Details - NO EDIT'!G$1,FALSE)="","",VALUE(VLOOKUP($A132,'Loyd List 1-190 - Edit'!$C$1:$AQ$220,'Book Details - NO EDIT'!G$1,FALSE)))</f>
        <v>1952</v>
      </c>
      <c r="H132" s="140" t="str">
        <f>IF(VLOOKUP($A132,'Loyd List 1-190 - Edit'!$C$1:$AQ$220,'Book Details - NO EDIT'!H$1,FALSE)="","",VALUE(VLOOKUP($A132,'Loyd List 1-190 - Edit'!$C$1:$AQ$220,'Book Details - NO EDIT'!H$1,FALSE)))</f>
        <v/>
      </c>
      <c r="I132" s="141">
        <f>IF(VLOOKUP($A132,'Loyd List 1-190 - Edit'!$C$1:$AQ$220,'Book Details - NO EDIT'!I$1,FALSE)="","",(VLOOKUP($A132,'Loyd List 1-190 - Edit'!$C$1:$AQ$220,'Book Details - NO EDIT'!I$1,FALSE)))</f>
        <v>19171</v>
      </c>
      <c r="J132" s="141" t="str">
        <f>IF(VLOOKUP($A132,'Loyd List 1-190 - Edit'!$C$1:$AQ$220,'Book Details - NO EDIT'!J$1,FALSE)="","",(VLOOKUP($A132,'Loyd List 1-190 - Edit'!$C$1:$AQ$220,'Book Details - NO EDIT'!J$1,FALSE)))</f>
        <v/>
      </c>
      <c r="K132" s="100" t="str">
        <f>VLOOKUP($A132,'Loyd List 1-190 - Edit'!$C$1:$AQ$220,'Book Details - NO EDIT'!K$1,FALSE)</f>
        <v>Boy</v>
      </c>
      <c r="L132" s="140">
        <f>VLOOKUP($A132,'Loyd List 1-190 - Edit'!$C$1:$AQ$220,'Book Details - NO EDIT'!L$1,FALSE)</f>
        <v>86</v>
      </c>
      <c r="M132" s="140">
        <f t="shared" ref="M132:Q192" si="60">IF(ISNA(VLOOKUP(L132,$A$3:$L$220,M$1,FALSE)),"",(VLOOKUP(L132,$A$3:$L$220,M$1,FALSE)))</f>
        <v>71</v>
      </c>
      <c r="N132" s="140">
        <f t="shared" si="60"/>
        <v>34</v>
      </c>
      <c r="O132" s="140">
        <f t="shared" si="60"/>
        <v>14</v>
      </c>
      <c r="P132" s="140">
        <f t="shared" si="60"/>
        <v>4</v>
      </c>
      <c r="Q132" s="140">
        <f t="shared" si="60"/>
        <v>1</v>
      </c>
      <c r="R132" s="140">
        <f t="shared" ref="R132:R192" si="61">IF(ISNA(VLOOKUP(Q132,$A$3:$L$220,R$1,FALSE)),"",(VLOOKUP(Q132,$A$3:$L$220,R$1,FALSE)))</f>
        <v>0</v>
      </c>
      <c r="S132" s="140" t="str">
        <f t="shared" ref="S132:S183" si="62">IF(ISNA(VLOOKUP(R132,$A$3:$L$220,S$1,FALSE)),"",(VLOOKUP(R132,$A$3:$L$220,S$1,FALSE)))</f>
        <v/>
      </c>
      <c r="T132" s="140">
        <f t="shared" si="58"/>
        <v>6</v>
      </c>
      <c r="U132" s="139">
        <f t="shared" ref="U132:U192" si="63">A132</f>
        <v>130</v>
      </c>
      <c r="V132" s="31" t="str">
        <f t="shared" ref="V132:V192" si="64">_xlfn.CONCAT(F132," (",G132,"–",H132,")")</f>
        <v>David (1952–)</v>
      </c>
      <c r="W132" s="31" t="str">
        <f t="shared" ref="W132:W184" si="65">_xlfn.CONCAT(F132," (#",A132,")")</f>
        <v>David (#130)</v>
      </c>
      <c r="X132" s="99" t="str">
        <f t="shared" ref="X132:X192" si="66">_xlfn.CONCAT(F132," (",G132,"–",H132,": #",A132,")")</f>
        <v>David (1952–: #130)</v>
      </c>
      <c r="Y132" s="99" t="str">
        <f t="shared" si="59"/>
        <v>David Arthur LOYD</v>
      </c>
      <c r="Z132" s="99" t="str">
        <f t="shared" ref="Z132:Z184" si="67">VLOOKUP(L132,$U$2:$X$230,Z$1,FALSE)</f>
        <v>Peter (1913–2008: #86)</v>
      </c>
      <c r="AA132" s="99" t="str">
        <f t="shared" si="45"/>
        <v xml:space="preserve">Peter (1913–2008: #86) Arthur (1890–1974: #71) Ted (1851–1922: #34) Thomas (1812–1857: #14) William (1770–1828: #4) William (1729–1800: #1)  </v>
      </c>
      <c r="AB132" s="142" t="str">
        <f>VLOOKUP(U132,'Siblings of those BORN Loyd'!$A$2:$G$230,7,FALSE)</f>
        <v xml:space="preserve">2 – Rona (1951–: #125)  Jim (1955–: #135)      </v>
      </c>
      <c r="AC132" s="115" t="str">
        <f>IF(ISNA(IF(K132="Boy",VLOOKUP(A132,'Siblings of those BORN Loyd'!$AP$3:$AQ$70,2,FALSE),VLOOKUP(A132,'Children of Female Loyds'!$AR$5:$AT$60,3,FALSE))),AM132,IF(K132="Boy",VLOOKUP(A132,'Siblings of those BORN Loyd'!$AP$3:$AQ$70,2,FALSE),VLOOKUP(A132,'Children of Female Loyds'!$AR$5:$AT$60,3,FALSE)))</f>
        <v>1 - Gareth (1988–: #166)</v>
      </c>
      <c r="AD132" s="97" t="str">
        <f t="shared" si="53"/>
        <v>-</v>
      </c>
      <c r="AE132" s="105" t="str">
        <f>IF(ISNA(IF(K132="Boy",VLOOKUP(A132,'Grandchildren of Male Loyds'!$AQ$3:$AS$51,3,FALSE),VLOOKUP(A132,'Grandchildren of Female Loyds'!$AX$5:$AZ$63,3,FALSE))),AM132,IF(K132="Boy",VLOOKUP(A132,'Grandchildren of Male Loyds'!$AQ$3:$AS$51,3,FALSE),VLOOKUP(A132,'Grandchildren of Female Loyds'!$AX$5:$AZ$63,3,FALSE)))</f>
        <v/>
      </c>
      <c r="AF132" s="105" t="str">
        <f>IF(ISNA(VLOOKUP(A132,'Grandchildren Loyd Daughters'!$BD$5:$BF$50,4,FALSE)),"",VLOOKUP(A132,'Grandchildren Loyd Daughters'!$BD$5:$BF$50,3,FALSE))</f>
        <v/>
      </c>
      <c r="AG132" s="129">
        <f>IF(ISNA(VLOOKUP(A132,'Grandchildren of Male Loyds'!$AQ$3:$AR$60,2,FALSE)),0,VLOOKUP(A132,'Grandchildren of Male Loyds'!$AQ$3:$AR$60,2,FALSE))+IF(ISNA(VLOOKUP(A132,'Grandchildren of Female Loyds'!$AX$5:$AY$50,2,FALSE)),0,VLOOKUP(A132,'Grandchildren of Female Loyds'!$AX$5:$AY$50,2,FALSE))+IF(ISNA(VLOOKUP(A132,'Grandchildren Loyd Daughters'!$BD$5:$BE$50,2,FALSE)),0,VLOOKUP(A132,'Grandchildren Loyd Daughters'!$BD$5:$BE$50,2,FALSE))</f>
        <v>0</v>
      </c>
      <c r="AH132" s="129" t="str">
        <f>VLOOKUP($U132,'Loyd List 1-190 - Edit'!$P$3:$AJ$220,21,FALSE)</f>
        <v xml:space="preserve">Anne SMITHELLS (b. 12 Mar 1921, d. 3 Aug 2010) </v>
      </c>
      <c r="AI132" s="129" t="str">
        <f>VLOOKUP(A132,'Updated Bios &amp; Spouse Details'!$A$1:$J$200,7,FALSE)</f>
        <v>Jacqueline Mary HERMAN (b. 4 Nov 1955, )</v>
      </c>
      <c r="AJ132" s="130" t="str">
        <f>IF(VLOOKUP($A132,'Loyd List 1-190 - Edit'!$C$1:$AQ$220,'Book Details - NO EDIT'!AJ$1,FALSE)="","",(VLOOKUP($A132,'Loyd List 1-190 - Edit'!$C$1:$AQ$220,'Book Details - NO EDIT'!AJ$1,FALSE)))</f>
        <v>09/07/.1983</v>
      </c>
      <c r="AK132" s="129" t="str">
        <f>VLOOKUP(A132,'Updated Bios &amp; Spouse Details'!$A$1:$J$200,8,FALSE)</f>
        <v>Jacqueline only daughter of J HERMAN of Chase, British Columbia.</v>
      </c>
      <c r="AL132" s="131" t="str">
        <f>VLOOKUP(A132,'Updated Bios &amp; Spouse Details'!$A$1:$J$200,5,FALSE)</f>
        <v>David lives in  Kelowna, British Columbia, Canada. Elder son of Norman (1913–2008: #86). Born 26 Jun 1952 in Kelowna, British Columbia. Baptised 5 Oct 1952 at St. Michael’s, Kelowna, British Columbia. Educated Kelowna and University of Victoria, British Columbia (BA History). Dip Ed. Issue: 1 son.</v>
      </c>
      <c r="AM132" s="105" t="str">
        <f>IF(AND(LEN(H132)&gt;0,ISNA(IF(K132="Boy",VLOOKUP(A132,'Siblings of those BORN Loyd'!$AP$3:$AQ$70,2,FALSE),VLOOKUP(A132,'Children of Female Loyds'!$AR$5:$AS$60,2,FALSE)))),"d.s.p","")</f>
        <v/>
      </c>
      <c r="AN132" s="99" t="str">
        <f t="shared" ref="AN132:AN163" si="68">(IF(OR(L132=0,LEN(L132)=0),"",_xlfn.CONCAT(VLOOKUP(L132,$U$3:$X$230,4,FALSE))))</f>
        <v>Peter (1913–2008: #86)</v>
      </c>
      <c r="AO132" s="99" t="str">
        <f t="shared" si="46"/>
        <v>Arthur (1890–1974: #71)</v>
      </c>
      <c r="AP132" s="99" t="str">
        <f t="shared" si="47"/>
        <v>Ted (1851–1922: #34)</v>
      </c>
      <c r="AQ132" s="99" t="str">
        <f t="shared" si="48"/>
        <v>Thomas (1812–1857: #14)</v>
      </c>
      <c r="AR132" s="99" t="str">
        <f t="shared" si="49"/>
        <v>William (1770–1828: #4)</v>
      </c>
      <c r="AS132" s="99" t="str">
        <f t="shared" si="50"/>
        <v>William (1729–1800: #1)</v>
      </c>
      <c r="AT132" s="99" t="str">
        <f t="shared" si="51"/>
        <v/>
      </c>
      <c r="AU132" s="99" t="str">
        <f t="shared" si="52"/>
        <v/>
      </c>
      <c r="AW132" s="116" t="str">
        <f>VLOOKUP(A132,'Updated Bios &amp; Spouse Details'!$A$1:$J$193,6,FALSE)</f>
        <v>Canada</v>
      </c>
      <c r="AX132" s="131">
        <f>VLOOKUP($A132,'Loyd List 1-190 - Edit'!$P$2:$AQ$220,AX$1,FALSE)</f>
        <v>130</v>
      </c>
      <c r="AY132" s="116" t="str">
        <f>IF(ISNA(VLOOKUP(A132,'Data check lookup table'!$G$2:$V$73,AY$1,FALSE))," - ",VLOOKUP(A132,'Data check lookup table'!$G$2:$V$73,AY$1,FALSE))</f>
        <v>jdloyd1783@gmail.com</v>
      </c>
      <c r="AZ132" s="147" t="str">
        <f t="shared" ref="AZ132:AZ192" si="69">TEXT(J132,"dd/mm/yyyy")</f>
        <v/>
      </c>
      <c r="BA132" s="99" t="str">
        <f t="shared" ref="BA132:BA163" si="70">(IF(OR(Q132=0,LEN(Q132)=0),"",_xlfn.CONCAT(", ",VLOOKUP(Q132,$U$3:$X$230,4,FALSE))))</f>
        <v>, William (1729–1800: #1)</v>
      </c>
      <c r="BB132" s="99" t="str">
        <f t="shared" ref="BB132:BB161" si="71">(IF(OR(R132=0,LEN(R132)=0),"",_xlfn.CONCAT("; ",VLOOKUP(R132,$U$3:$X$230,4,FALSE))))</f>
        <v/>
      </c>
      <c r="BI132" s="147" t="s">
        <v>3228</v>
      </c>
    </row>
    <row r="133" spans="1:61" s="99" customFormat="1" ht="119">
      <c r="A133" s="139">
        <f>'Loyd List 1-190 - Edit'!C133</f>
        <v>131</v>
      </c>
      <c r="B133" s="99" t="str">
        <f>VLOOKUP($A133,'Loyd List 1-190 - Edit'!$C$1:$AQ$220,'Book Details - NO EDIT'!B$1,FALSE)</f>
        <v>Dominic</v>
      </c>
      <c r="C133" s="99" t="str">
        <f>IF(VLOOKUP($A133,'Loyd List 1-190 - Edit'!$C$1:$AQ$220,'Book Details - NO EDIT'!C$1,FALSE)="","",VLOOKUP($A133,'Loyd List 1-190 - Edit'!$C$1:$AQ$220,'Book Details - NO EDIT'!C$1,FALSE))</f>
        <v>George</v>
      </c>
      <c r="D133" s="99" t="str">
        <f>IF(VLOOKUP($A133,'Loyd List 1-190 - Edit'!$C$1:$AQ$220,'Book Details - NO EDIT'!D$1,FALSE)="","",VLOOKUP($A133,'Loyd List 1-190 - Edit'!$C$1:$AQ$220,'Book Details - NO EDIT'!D$1,FALSE))</f>
        <v>Lewis</v>
      </c>
      <c r="E133" s="99" t="str">
        <f>IF(VLOOKUP($A133,'Loyd List 1-190 - Edit'!$C$1:$AQ$220,'Book Details - NO EDIT'!E$1,FALSE)="","",VLOOKUP($A133,'Loyd List 1-190 - Edit'!$C$1:$AQ$220,'Book Details - NO EDIT'!E$1,FALSE))</f>
        <v>LOYD</v>
      </c>
      <c r="F133" s="99" t="str">
        <f>IF(VLOOKUP($A133,'Loyd List 1-190 - Edit'!$C$1:$AQ$220,'Book Details - NO EDIT'!F$1,FALSE)="",B133,VLOOKUP($A133,'Loyd List 1-190 - Edit'!$C$1:$AQ$220,'Book Details - NO EDIT'!F$1,FALSE))</f>
        <v>Dominic</v>
      </c>
      <c r="G133" s="140">
        <f>IF(VLOOKUP($A133,'Loyd List 1-190 - Edit'!$C$1:$AQ$220,'Book Details - NO EDIT'!G$1,FALSE)="","",VALUE(VLOOKUP($A133,'Loyd List 1-190 - Edit'!$C$1:$AQ$220,'Book Details - NO EDIT'!G$1,FALSE)))</f>
        <v>1953</v>
      </c>
      <c r="H133" s="140" t="str">
        <f>IF(VLOOKUP($A133,'Loyd List 1-190 - Edit'!$C$1:$AQ$220,'Book Details - NO EDIT'!H$1,FALSE)="","",VALUE(VLOOKUP($A133,'Loyd List 1-190 - Edit'!$C$1:$AQ$220,'Book Details - NO EDIT'!H$1,FALSE)))</f>
        <v/>
      </c>
      <c r="I133" s="141">
        <f>IF(VLOOKUP($A133,'Loyd List 1-190 - Edit'!$C$1:$AQ$220,'Book Details - NO EDIT'!I$1,FALSE)="","",(VLOOKUP($A133,'Loyd List 1-190 - Edit'!$C$1:$AQ$220,'Book Details - NO EDIT'!I$1,FALSE)))</f>
        <v>19435</v>
      </c>
      <c r="J133" s="141" t="str">
        <f>IF(VLOOKUP($A133,'Loyd List 1-190 - Edit'!$C$1:$AQ$220,'Book Details - NO EDIT'!J$1,FALSE)="","",(VLOOKUP($A133,'Loyd List 1-190 - Edit'!$C$1:$AQ$220,'Book Details - NO EDIT'!J$1,FALSE)))</f>
        <v/>
      </c>
      <c r="K133" s="100" t="str">
        <f>VLOOKUP($A133,'Loyd List 1-190 - Edit'!$C$1:$AQ$220,'Book Details - NO EDIT'!K$1,FALSE)</f>
        <v>Boy</v>
      </c>
      <c r="L133" s="140">
        <f>VLOOKUP($A133,'Loyd List 1-190 - Edit'!$C$1:$AQ$220,'Book Details - NO EDIT'!L$1,FALSE)</f>
        <v>94</v>
      </c>
      <c r="M133" s="140">
        <f t="shared" si="60"/>
        <v>68</v>
      </c>
      <c r="N133" s="140">
        <f t="shared" si="60"/>
        <v>45</v>
      </c>
      <c r="O133" s="140">
        <f t="shared" si="60"/>
        <v>22</v>
      </c>
      <c r="P133" s="140">
        <f t="shared" si="60"/>
        <v>8</v>
      </c>
      <c r="Q133" s="140">
        <f t="shared" si="60"/>
        <v>1</v>
      </c>
      <c r="R133" s="140">
        <f t="shared" si="61"/>
        <v>0</v>
      </c>
      <c r="S133" s="140" t="str">
        <f t="shared" si="62"/>
        <v/>
      </c>
      <c r="T133" s="140">
        <f t="shared" si="58"/>
        <v>6</v>
      </c>
      <c r="U133" s="139">
        <f t="shared" si="63"/>
        <v>131</v>
      </c>
      <c r="V133" s="31" t="str">
        <f t="shared" si="64"/>
        <v>Dominic (1953–)</v>
      </c>
      <c r="W133" s="31" t="str">
        <f t="shared" si="65"/>
        <v>Dominic (#131)</v>
      </c>
      <c r="X133" s="99" t="str">
        <f t="shared" si="66"/>
        <v>Dominic (1953–: #131)</v>
      </c>
      <c r="Y133" s="99" t="str">
        <f t="shared" si="59"/>
        <v>Dominic George Lewis LOYD</v>
      </c>
      <c r="Z133" s="99" t="str">
        <f t="shared" si="67"/>
        <v>Alwyne (1920–2014: #94)</v>
      </c>
      <c r="AA133" s="99" t="str">
        <f t="shared" ref="AA133:AA192" si="72">_xlfn.CONCAT(AN133," ",AO133," ",AP133," ",AQ133," ",AR133," ",AS133," ",AT133," ",AU133)</f>
        <v xml:space="preserve">Alwyne (1920–2014: #94) Cecil (1890–1963: #68) Llewellyn (1861–1939: #45) Edward (1820–1890: #22) Edward (1780–1863: #8) William (1729–1800: #1)  </v>
      </c>
      <c r="AB133" s="142" t="str">
        <f>VLOOKUP(U133,'Siblings of those BORN Loyd'!$A$2:$G$230,7,FALSE)</f>
        <v xml:space="preserve">5 – Rob (1949–: #124) Paddy (1951–: #126)  Tim (1957–: #136) Alex (1959–: #139) Rick (1962–: #142)   </v>
      </c>
      <c r="AC133" s="115" t="str">
        <f>IF(ISNA(IF(K133="Boy",VLOOKUP(A133,'Siblings of those BORN Loyd'!$AP$3:$AQ$70,2,FALSE),VLOOKUP(A133,'Children of Female Loyds'!$AR$5:$AT$60,3,FALSE))),AM133,IF(K133="Boy",VLOOKUP(A133,'Siblings of those BORN Loyd'!$AP$3:$AQ$70,2,FALSE),VLOOKUP(A133,'Children of Female Loyds'!$AR$5:$AT$60,3,FALSE)))</f>
        <v>3 - John (1982–: #160); David (1984–: #162); Ben (1988–: #167)</v>
      </c>
      <c r="AD133" s="97" t="str">
        <f t="shared" si="53"/>
        <v xml:space="preserve">4 - Olivia (2014–: #187); Archie (2017–: #188); Rory (2019–: #189); Daisy (2021–: #190)   </v>
      </c>
      <c r="AE133" s="105" t="str">
        <f>IF(ISNA(IF(K133="Boy",VLOOKUP(A133,'Grandchildren of Male Loyds'!$AQ$3:$AS$51,3,FALSE),VLOOKUP(A133,'Grandchildren of Female Loyds'!$AX$5:$AZ$63,3,FALSE))),AM133,IF(K133="Boy",VLOOKUP(A133,'Grandchildren of Male Loyds'!$AQ$3:$AS$51,3,FALSE),VLOOKUP(A133,'Grandchildren of Female Loyds'!$AX$5:$AZ$63,3,FALSE)))</f>
        <v>Olivia (2014–: #187); Archie (2017–: #188); Rory (2019–: #189); Daisy (2021–: #190)</v>
      </c>
      <c r="AF133" s="105" t="str">
        <f>IF(ISNA(VLOOKUP(A133,'Grandchildren Loyd Daughters'!$BD$5:$BF$50,4,FALSE)),"",VLOOKUP(A133,'Grandchildren Loyd Daughters'!$BD$5:$BF$50,3,FALSE))</f>
        <v/>
      </c>
      <c r="AG133" s="129">
        <f>IF(ISNA(VLOOKUP(A133,'Grandchildren of Male Loyds'!$AQ$3:$AR$60,2,FALSE)),0,VLOOKUP(A133,'Grandchildren of Male Loyds'!$AQ$3:$AR$60,2,FALSE))+IF(ISNA(VLOOKUP(A133,'Grandchildren of Female Loyds'!$AX$5:$AY$50,2,FALSE)),0,VLOOKUP(A133,'Grandchildren of Female Loyds'!$AX$5:$AY$50,2,FALSE))+IF(ISNA(VLOOKUP(A133,'Grandchildren Loyd Daughters'!$BD$5:$BE$50,2,FALSE)),0,VLOOKUP(A133,'Grandchildren Loyd Daughters'!$BD$5:$BE$50,2,FALSE))</f>
        <v>4</v>
      </c>
      <c r="AH133" s="129" t="str">
        <f>VLOOKUP($U133,'Loyd List 1-190 - Edit'!$P$3:$AJ$220,21,FALSE)</f>
        <v>Alison Fraser PORTER (b. 21 Feb 1920, d. 6 Sep 2003)</v>
      </c>
      <c r="AI133" s="129" t="str">
        <f>VLOOKUP(A133,'Updated Bios &amp; Spouse Details'!$A$1:$J$200,7,FALSE)</f>
        <v>Karina Lesley BOYCE (b. 22 Apr 1954, )</v>
      </c>
      <c r="AJ133" s="130">
        <f>IF(VLOOKUP($A133,'Loyd List 1-190 - Edit'!$C$1:$AQ$220,'Book Details - NO EDIT'!AJ$1,FALSE)="","",(VLOOKUP($A133,'Loyd List 1-190 - Edit'!$C$1:$AQ$220,'Book Details - NO EDIT'!AJ$1,FALSE)))</f>
        <v>27965</v>
      </c>
      <c r="AK133" s="129" t="str">
        <f>VLOOKUP(A133,'Updated Bios &amp; Spouse Details'!$A$1:$J$200,8,FALSE)</f>
        <v>Married  at St James’s, Finchampstead, Berkshire, Karina Lesley, younger daughter of Ronald Ransome BOYCE (b. 1920, d. 1997) and Joy Willis (b, 1922, d. 2021) of Welton-by-Lincoln. Karina educated Gipsy Hill College, Kingston University (Cert Ed 1976, B.Ed. 1976).</v>
      </c>
      <c r="AL133" s="131" t="str">
        <f>VLOOKUP(A133,'Updated Bios &amp; Spouse Details'!$A$1:$J$200,5,FALSE)</f>
        <v>Dominic lives in Boston, Lincolnshire and is the 3rd son of Alwyne (1920–2014: #94). Born 17 Mar 1953 at St George’s Wood, Haslemere, Surrey, baptised 25 Sep 1953 at St Deny’s, Sleaford, Lincolnshire by the Rev Brian BECKWORTH. Education: Fyfield School, Essex;  and Kingston University, Gipsy Hill College, (B Ed. 1975, Cert Ed 1975); and Roehampton University, (Dip Maths 1984). Career: Teacher, Eastwick Primary School, Great Bookham, Surrey 1975-79; Hammond Primary School, Bagshot, Surrey 1979-83; Deputy head teacher, Beaufort School, Woking, Surrey 1983-87; Head teacher, St Paul’s School, Addlestone, Surrey 1987-90; Headteacher, Tower Road School, Boston, Lincolnshire 1990-2014; Headteacher Consultant 2004-2006; NAHT President - Lincolnshire Branch 2008-2012. Freeman of Goldsmiths’ Company 1974. Issue: 3 sons. Co-editor "Loyd Who's Who" 2022 with his brother Rick (1962– : #142). Contact email: dominicloyd@btinternet.com</v>
      </c>
      <c r="AM133" s="105" t="str">
        <f>IF(AND(LEN(H133)&gt;0,ISNA(IF(K133="Boy",VLOOKUP(A133,'Siblings of those BORN Loyd'!$AP$3:$AQ$70,2,FALSE),VLOOKUP(A133,'Children of Female Loyds'!$AR$5:$AS$60,2,FALSE)))),"d.s.p","")</f>
        <v/>
      </c>
      <c r="AN133" s="99" t="str">
        <f t="shared" si="68"/>
        <v>Alwyne (1920–2014: #94)</v>
      </c>
      <c r="AO133" s="99" t="str">
        <f t="shared" ref="AO133:AO192" si="73">(IF(OR(M133=0,LEN(M133)=0),"",_xlfn.CONCAT(VLOOKUP(M133,$U$3:$X$230,4,FALSE))))</f>
        <v>Cecil (1890–1963: #68)</v>
      </c>
      <c r="AP133" s="99" t="str">
        <f t="shared" ref="AP133:AP192" si="74">(IF(OR(N133=0,LEN(N133)=0),"",_xlfn.CONCAT(VLOOKUP(N133,$U$3:$X$230,4,FALSE))))</f>
        <v>Llewellyn (1861–1939: #45)</v>
      </c>
      <c r="AQ133" s="99" t="str">
        <f t="shared" ref="AQ133:AQ192" si="75">(IF(OR(O133=0,LEN(O133)=0),"",_xlfn.CONCAT(VLOOKUP(O133,$U$3:$X$230,4,FALSE))))</f>
        <v>Edward (1820–1890: #22)</v>
      </c>
      <c r="AR133" s="99" t="str">
        <f t="shared" ref="AR133:AR192" si="76">(IF(OR(P133=0,LEN(P133)=0),"",_xlfn.CONCAT(VLOOKUP(P133,$U$3:$X$230,4,FALSE))))</f>
        <v>Edward (1780–1863: #8)</v>
      </c>
      <c r="AS133" s="99" t="str">
        <f t="shared" ref="AS133:AS192" si="77">(IF(OR(Q133=0,LEN(Q133)=0),"",_xlfn.CONCAT(VLOOKUP(Q133,$U$3:$X$230,4,FALSE))))</f>
        <v>William (1729–1800: #1)</v>
      </c>
      <c r="AT133" s="99" t="str">
        <f t="shared" ref="AT133:AT192" si="78">(IF(OR(R133=0,LEN(R133)=0),"",_xlfn.CONCAT(VLOOKUP(R133,$U$3:$X$230,4,FALSE))))</f>
        <v/>
      </c>
      <c r="AU133" s="99" t="str">
        <f t="shared" ref="AU133:AU192" si="79">(IF(OR(S133=0,LEN(S133)=0),"",_xlfn.CONCAT(VLOOKUP(S133,$U$3:$X$230,4,FALSE))))</f>
        <v/>
      </c>
      <c r="AW133" s="116" t="str">
        <f>VLOOKUP(A133,'Updated Bios &amp; Spouse Details'!$A$1:$J$193,6,FALSE)</f>
        <v>England</v>
      </c>
      <c r="AX133" s="131">
        <f>VLOOKUP($A133,'Loyd List 1-190 - Edit'!$P$2:$AQ$220,AX$1,FALSE)</f>
        <v>131</v>
      </c>
      <c r="AY133" s="116" t="str">
        <f>IF(ISNA(VLOOKUP(A133,'Data check lookup table'!$G$2:$V$73,AY$1,FALSE))," - ",VLOOKUP(A133,'Data check lookup table'!$G$2:$V$73,AY$1,FALSE))</f>
        <v>dominicloyd@btinternet.com</v>
      </c>
      <c r="AZ133" s="147" t="str">
        <f t="shared" si="69"/>
        <v/>
      </c>
      <c r="BA133" s="99" t="str">
        <f t="shared" si="70"/>
        <v>, William (1729–1800: #1)</v>
      </c>
      <c r="BB133" s="99" t="str">
        <f t="shared" si="71"/>
        <v/>
      </c>
      <c r="BI133" s="147" t="s">
        <v>3228</v>
      </c>
    </row>
    <row r="134" spans="1:61" s="99" customFormat="1" ht="17">
      <c r="A134" s="139">
        <f>'Loyd List 1-190 - Edit'!C134</f>
        <v>132</v>
      </c>
      <c r="B134" s="99" t="str">
        <f>VLOOKUP($A134,'Loyd List 1-190 - Edit'!$C$1:$AQ$220,'Book Details - NO EDIT'!B$1,FALSE)</f>
        <v>Penelope</v>
      </c>
      <c r="C134" s="99" t="str">
        <f>IF(VLOOKUP($A134,'Loyd List 1-190 - Edit'!$C$1:$AQ$220,'Book Details - NO EDIT'!C$1,FALSE)="","",VLOOKUP($A134,'Loyd List 1-190 - Edit'!$C$1:$AQ$220,'Book Details - NO EDIT'!C$1,FALSE))</f>
        <v/>
      </c>
      <c r="D134" s="99" t="str">
        <f>IF(VLOOKUP($A134,'Loyd List 1-190 - Edit'!$C$1:$AQ$220,'Book Details - NO EDIT'!D$1,FALSE)="","",VLOOKUP($A134,'Loyd List 1-190 - Edit'!$C$1:$AQ$220,'Book Details - NO EDIT'!D$1,FALSE))</f>
        <v/>
      </c>
      <c r="E134" s="99" t="str">
        <f>IF(VLOOKUP($A134,'Loyd List 1-190 - Edit'!$C$1:$AQ$220,'Book Details - NO EDIT'!E$1,FALSE)="","",VLOOKUP($A134,'Loyd List 1-190 - Edit'!$C$1:$AQ$220,'Book Details - NO EDIT'!E$1,FALSE))</f>
        <v>LOYD</v>
      </c>
      <c r="F134" s="99" t="str">
        <f>IF(VLOOKUP($A134,'Loyd List 1-190 - Edit'!$C$1:$AQ$220,'Book Details - NO EDIT'!F$1,FALSE)="",B134,VLOOKUP($A134,'Loyd List 1-190 - Edit'!$C$1:$AQ$220,'Book Details - NO EDIT'!F$1,FALSE))</f>
        <v>Penelope</v>
      </c>
      <c r="G134" s="140">
        <f>IF(VLOOKUP($A134,'Loyd List 1-190 - Edit'!$C$1:$AQ$220,'Book Details - NO EDIT'!G$1,FALSE)="","",VALUE(VLOOKUP($A134,'Loyd List 1-190 - Edit'!$C$1:$AQ$220,'Book Details - NO EDIT'!G$1,FALSE)))</f>
        <v>1954</v>
      </c>
      <c r="H134" s="140">
        <f>IF(VLOOKUP($A134,'Loyd List 1-190 - Edit'!$C$1:$AQ$220,'Book Details - NO EDIT'!H$1,FALSE)="","",VALUE(VLOOKUP($A134,'Loyd List 1-190 - Edit'!$C$1:$AQ$220,'Book Details - NO EDIT'!H$1,FALSE)))</f>
        <v>1954</v>
      </c>
      <c r="I134" s="141">
        <f>IF(VLOOKUP($A134,'Loyd List 1-190 - Edit'!$C$1:$AQ$220,'Book Details - NO EDIT'!I$1,FALSE)="","",(VLOOKUP($A134,'Loyd List 1-190 - Edit'!$C$1:$AQ$220,'Book Details - NO EDIT'!I$1,FALSE)))</f>
        <v>19852</v>
      </c>
      <c r="J134" s="141" t="str">
        <f>IF(VLOOKUP($A134,'Loyd List 1-190 - Edit'!$C$1:$AQ$220,'Book Details - NO EDIT'!J$1,FALSE)="","",(VLOOKUP($A134,'Loyd List 1-190 - Edit'!$C$1:$AQ$220,'Book Details - NO EDIT'!J$1,FALSE)))</f>
        <v>08/05/1954</v>
      </c>
      <c r="K134" s="100" t="str">
        <f>VLOOKUP($A134,'Loyd List 1-190 - Edit'!$C$1:$AQ$220,'Book Details - NO EDIT'!K$1,FALSE)</f>
        <v>Boy</v>
      </c>
      <c r="L134" s="140">
        <f>VLOOKUP($A134,'Loyd List 1-190 - Edit'!$C$1:$AQ$220,'Book Details - NO EDIT'!L$1,FALSE)</f>
        <v>98</v>
      </c>
      <c r="M134" s="140">
        <f t="shared" si="60"/>
        <v>77</v>
      </c>
      <c r="N134" s="140">
        <f t="shared" si="60"/>
        <v>30</v>
      </c>
      <c r="O134" s="140">
        <f t="shared" si="60"/>
        <v>14</v>
      </c>
      <c r="P134" s="140">
        <f t="shared" si="60"/>
        <v>4</v>
      </c>
      <c r="Q134" s="140">
        <f t="shared" si="60"/>
        <v>1</v>
      </c>
      <c r="R134" s="140">
        <f t="shared" si="61"/>
        <v>0</v>
      </c>
      <c r="S134" s="140" t="str">
        <f t="shared" si="62"/>
        <v/>
      </c>
      <c r="T134" s="140">
        <f t="shared" si="58"/>
        <v>6</v>
      </c>
      <c r="U134" s="139">
        <f t="shared" si="63"/>
        <v>132</v>
      </c>
      <c r="V134" s="31" t="str">
        <f t="shared" si="64"/>
        <v>Penelope (1954–1954)</v>
      </c>
      <c r="W134" s="31" t="str">
        <f t="shared" si="65"/>
        <v>Penelope (#132)</v>
      </c>
      <c r="X134" s="99" t="str">
        <f t="shared" si="66"/>
        <v>Penelope (1954–1954: #132)</v>
      </c>
      <c r="Y134" s="99" t="str">
        <f t="shared" si="59"/>
        <v>Penelope LOYD</v>
      </c>
      <c r="Z134" s="99" t="str">
        <f t="shared" si="67"/>
        <v>Peter (1922–2022: #98)</v>
      </c>
      <c r="AA134" s="99" t="str">
        <f t="shared" si="72"/>
        <v xml:space="preserve">Peter (1922–2022: #98) Wilfrid (1893–1971: #77) Archie (1847–1922: #30) Thomas (1812–1857: #14) William (1770–1828: #4) William (1729–1800: #1)  </v>
      </c>
      <c r="AB134" s="142" t="str">
        <f>VLOOKUP(U134,'Siblings of those BORN Loyd'!$A$2:$G$230,7,FALSE)</f>
        <v xml:space="preserve">4 – Julie (1952–: #128)  William (1955–: #134) Tony (1963–: #145) Sophie (1969–: #154)    </v>
      </c>
      <c r="AC134" s="115" t="str">
        <f>IF(ISNA(IF(K134="Boy",VLOOKUP(A134,'Siblings of those BORN Loyd'!$AP$3:$AQ$70,2,FALSE),VLOOKUP(A134,'Children of Female Loyds'!$AR$5:$AT$60,3,FALSE))),AM134,IF(K134="Boy",VLOOKUP(A134,'Siblings of those BORN Loyd'!$AP$3:$AQ$70,2,FALSE),VLOOKUP(A134,'Children of Female Loyds'!$AR$5:$AT$60,3,FALSE)))</f>
        <v>d.s.p</v>
      </c>
      <c r="AD134" s="97" t="str">
        <f t="shared" si="53"/>
        <v>d.s.p.</v>
      </c>
      <c r="AE134" s="105" t="str">
        <f>IF(ISNA(IF(K134="Boy",VLOOKUP(A134,'Grandchildren of Male Loyds'!$AQ$3:$AS$51,3,FALSE),VLOOKUP(A134,'Grandchildren of Female Loyds'!$AX$5:$AZ$63,3,FALSE))),AM134,IF(K134="Boy",VLOOKUP(A134,'Grandchildren of Male Loyds'!$AQ$3:$AS$51,3,FALSE),VLOOKUP(A134,'Grandchildren of Female Loyds'!$AX$5:$AZ$63,3,FALSE)))</f>
        <v>d.s.p</v>
      </c>
      <c r="AF134" s="105" t="str">
        <f>IF(ISNA(VLOOKUP(A134,'Grandchildren Loyd Daughters'!$BD$5:$BF$50,4,FALSE)),"",VLOOKUP(A134,'Grandchildren Loyd Daughters'!$BD$5:$BF$50,3,FALSE))</f>
        <v/>
      </c>
      <c r="AG134" s="129">
        <f>IF(ISNA(VLOOKUP(A134,'Grandchildren of Male Loyds'!$AQ$3:$AR$60,2,FALSE)),0,VLOOKUP(A134,'Grandchildren of Male Loyds'!$AQ$3:$AR$60,2,FALSE))+IF(ISNA(VLOOKUP(A134,'Grandchildren of Female Loyds'!$AX$5:$AY$50,2,FALSE)),0,VLOOKUP(A134,'Grandchildren of Female Loyds'!$AX$5:$AY$50,2,FALSE))+IF(ISNA(VLOOKUP(A134,'Grandchildren Loyd Daughters'!$BD$5:$BE$50,2,FALSE)),0,VLOOKUP(A134,'Grandchildren Loyd Daughters'!$BD$5:$BE$50,2,FALSE))</f>
        <v>0</v>
      </c>
      <c r="AH134" s="129" t="str">
        <f>VLOOKUP($U134,'Loyd List 1-190 - Edit'!$P$3:$AJ$220,21,FALSE)</f>
        <v>Suzanne DUNCAN (b. 25 Aug 1928, )</v>
      </c>
      <c r="AI134" s="129" t="str">
        <f>VLOOKUP(A134,'Updated Bios &amp; Spouse Details'!$A$1:$J$200,7,FALSE)</f>
        <v>Died in infancy.</v>
      </c>
      <c r="AJ134" s="130" t="str">
        <f>IF(VLOOKUP($A134,'Loyd List 1-190 - Edit'!$C$1:$AQ$220,'Book Details - NO EDIT'!AJ$1,FALSE)="","",(VLOOKUP($A134,'Loyd List 1-190 - Edit'!$C$1:$AQ$220,'Book Details - NO EDIT'!AJ$1,FALSE)))</f>
        <v xml:space="preserve"> - </v>
      </c>
      <c r="AK134" s="129" t="str">
        <f>VLOOKUP(A134,'Updated Bios &amp; Spouse Details'!$A$1:$J$200,8,FALSE)</f>
        <v xml:space="preserve"> - </v>
      </c>
      <c r="AL134" s="131" t="str">
        <f>VLOOKUP(A134,'Updated Bios &amp; Spouse Details'!$A$1:$J$200,5,FALSE)</f>
        <v>Penny was the 2nd daughter of Peter (1922–2022: #98). Born and baptised 8 May 1954. Died in infancy on 8 May 1954 at St. Mary’s Hospital, Portsmouth, Hampshire.</v>
      </c>
      <c r="AM134" s="105" t="str">
        <f>IF(AND(LEN(H134)&gt;0,ISNA(IF(K134="Boy",VLOOKUP(A134,'Siblings of those BORN Loyd'!$AP$3:$AQ$70,2,FALSE),VLOOKUP(A134,'Children of Female Loyds'!$AR$5:$AS$60,2,FALSE)))),"d.s.p","")</f>
        <v>d.s.p</v>
      </c>
      <c r="AN134" s="99" t="str">
        <f t="shared" si="68"/>
        <v>Peter (1922–2022: #98)</v>
      </c>
      <c r="AO134" s="99" t="str">
        <f t="shared" si="73"/>
        <v>Wilfrid (1893–1971: #77)</v>
      </c>
      <c r="AP134" s="99" t="str">
        <f t="shared" si="74"/>
        <v>Archie (1847–1922: #30)</v>
      </c>
      <c r="AQ134" s="99" t="str">
        <f t="shared" si="75"/>
        <v>Thomas (1812–1857: #14)</v>
      </c>
      <c r="AR134" s="99" t="str">
        <f t="shared" si="76"/>
        <v>William (1770–1828: #4)</v>
      </c>
      <c r="AS134" s="99" t="str">
        <f t="shared" si="77"/>
        <v>William (1729–1800: #1)</v>
      </c>
      <c r="AT134" s="99" t="str">
        <f t="shared" si="78"/>
        <v/>
      </c>
      <c r="AU134" s="99" t="str">
        <f t="shared" si="79"/>
        <v/>
      </c>
      <c r="AW134" s="116" t="str">
        <f>VLOOKUP(A134,'Updated Bios &amp; Spouse Details'!$A$1:$J$193,6,FALSE)</f>
        <v>England</v>
      </c>
      <c r="AX134" s="131">
        <f>VLOOKUP($A134,'Loyd List 1-190 - Edit'!$P$2:$AQ$220,AX$1,FALSE)</f>
        <v>132</v>
      </c>
      <c r="AY134" s="116" t="str">
        <f>IF(ISNA(VLOOKUP(A134,'Data check lookup table'!$G$2:$V$73,AY$1,FALSE))," - ",VLOOKUP(A134,'Data check lookup table'!$G$2:$V$73,AY$1,FALSE))</f>
        <v xml:space="preserve"> - </v>
      </c>
      <c r="AZ134" s="147" t="str">
        <f t="shared" si="69"/>
        <v>08/05/1954</v>
      </c>
      <c r="BA134" s="99" t="str">
        <f t="shared" si="70"/>
        <v>, William (1729–1800: #1)</v>
      </c>
      <c r="BB134" s="99" t="str">
        <f t="shared" si="71"/>
        <v/>
      </c>
      <c r="BI134" s="147" t="s">
        <v>3242</v>
      </c>
    </row>
    <row r="135" spans="1:61" s="99" customFormat="1" ht="170">
      <c r="A135" s="139">
        <f>'Loyd List 1-190 - Edit'!C135</f>
        <v>133</v>
      </c>
      <c r="B135" s="99" t="str">
        <f>VLOOKUP($A135,'Loyd List 1-190 - Edit'!$C$1:$AQ$220,'Book Details - NO EDIT'!B$1,FALSE)</f>
        <v>Jeremy</v>
      </c>
      <c r="C135" s="99" t="str">
        <f>IF(VLOOKUP($A135,'Loyd List 1-190 - Edit'!$C$1:$AQ$220,'Book Details - NO EDIT'!C$1,FALSE)="","",VLOOKUP($A135,'Loyd List 1-190 - Edit'!$C$1:$AQ$220,'Book Details - NO EDIT'!C$1,FALSE))</f>
        <v>Charles</v>
      </c>
      <c r="D135" s="99" t="str">
        <f>IF(VLOOKUP($A135,'Loyd List 1-190 - Edit'!$C$1:$AQ$220,'Book Details - NO EDIT'!D$1,FALSE)="","",VLOOKUP($A135,'Loyd List 1-190 - Edit'!$C$1:$AQ$220,'Book Details - NO EDIT'!D$1,FALSE))</f>
        <v>Haig</v>
      </c>
      <c r="E135" s="99" t="str">
        <f>IF(VLOOKUP($A135,'Loyd List 1-190 - Edit'!$C$1:$AQ$220,'Book Details - NO EDIT'!E$1,FALSE)="","",VLOOKUP($A135,'Loyd List 1-190 - Edit'!$C$1:$AQ$220,'Book Details - NO EDIT'!E$1,FALSE))</f>
        <v>LOYD</v>
      </c>
      <c r="F135" s="99" t="str">
        <f>IF(VLOOKUP($A135,'Loyd List 1-190 - Edit'!$C$1:$AQ$220,'Book Details - NO EDIT'!F$1,FALSE)="",B135,VLOOKUP($A135,'Loyd List 1-190 - Edit'!$C$1:$AQ$220,'Book Details - NO EDIT'!F$1,FALSE))</f>
        <v>Jeremy</v>
      </c>
      <c r="G135" s="140">
        <f>IF(VLOOKUP($A135,'Loyd List 1-190 - Edit'!$C$1:$AQ$220,'Book Details - NO EDIT'!G$1,FALSE)="","",VALUE(VLOOKUP($A135,'Loyd List 1-190 - Edit'!$C$1:$AQ$220,'Book Details - NO EDIT'!G$1,FALSE)))</f>
        <v>1954</v>
      </c>
      <c r="H135" s="140" t="str">
        <f>IF(VLOOKUP($A135,'Loyd List 1-190 - Edit'!$C$1:$AQ$220,'Book Details - NO EDIT'!H$1,FALSE)="","",VALUE(VLOOKUP($A135,'Loyd List 1-190 - Edit'!$C$1:$AQ$220,'Book Details - NO EDIT'!H$1,FALSE)))</f>
        <v/>
      </c>
      <c r="I135" s="141">
        <f>IF(VLOOKUP($A135,'Loyd List 1-190 - Edit'!$C$1:$AQ$220,'Book Details - NO EDIT'!I$1,FALSE)="","",(VLOOKUP($A135,'Loyd List 1-190 - Edit'!$C$1:$AQ$220,'Book Details - NO EDIT'!I$1,FALSE)))</f>
        <v>19909</v>
      </c>
      <c r="J135" s="141" t="str">
        <f>IF(VLOOKUP($A135,'Loyd List 1-190 - Edit'!$C$1:$AQ$220,'Book Details - NO EDIT'!J$1,FALSE)="","",(VLOOKUP($A135,'Loyd List 1-190 - Edit'!$C$1:$AQ$220,'Book Details - NO EDIT'!J$1,FALSE)))</f>
        <v/>
      </c>
      <c r="K135" s="100" t="str">
        <f>VLOOKUP($A135,'Loyd List 1-190 - Edit'!$C$1:$AQ$220,'Book Details - NO EDIT'!K$1,FALSE)</f>
        <v>Boy</v>
      </c>
      <c r="L135" s="140">
        <f>VLOOKUP($A135,'Loyd List 1-190 - Edit'!$C$1:$AQ$220,'Book Details - NO EDIT'!L$1,FALSE)</f>
        <v>105</v>
      </c>
      <c r="M135" s="140">
        <f t="shared" si="60"/>
        <v>77</v>
      </c>
      <c r="N135" s="140">
        <f t="shared" si="60"/>
        <v>30</v>
      </c>
      <c r="O135" s="140">
        <f t="shared" si="60"/>
        <v>14</v>
      </c>
      <c r="P135" s="140">
        <f t="shared" si="60"/>
        <v>4</v>
      </c>
      <c r="Q135" s="140">
        <f t="shared" si="60"/>
        <v>1</v>
      </c>
      <c r="R135" s="140">
        <f t="shared" si="61"/>
        <v>0</v>
      </c>
      <c r="S135" s="140" t="str">
        <f t="shared" si="62"/>
        <v/>
      </c>
      <c r="T135" s="140">
        <f t="shared" si="58"/>
        <v>6</v>
      </c>
      <c r="U135" s="139">
        <f t="shared" si="63"/>
        <v>133</v>
      </c>
      <c r="V135" s="31" t="str">
        <f t="shared" si="64"/>
        <v>Jeremy (1954–)</v>
      </c>
      <c r="W135" s="31" t="str">
        <f t="shared" si="65"/>
        <v>Jeremy (#133)</v>
      </c>
      <c r="X135" s="99" t="str">
        <f t="shared" si="66"/>
        <v>Jeremy (1954–: #133)</v>
      </c>
      <c r="Y135" s="99" t="str">
        <f t="shared" si="59"/>
        <v>Jeremy Charles Haig LOYD</v>
      </c>
      <c r="Z135" s="99" t="str">
        <f t="shared" si="67"/>
        <v>Geoffrey (1926–2018: #105)</v>
      </c>
      <c r="AA135" s="99" t="str">
        <f t="shared" si="72"/>
        <v xml:space="preserve">Geoffrey (1926–2018: #105) Wilfrid (1893–1971: #77) Archie (1847–1922: #30) Thomas (1812–1857: #14) William (1770–1828: #4) William (1729–1800: #1)  </v>
      </c>
      <c r="AB135" s="142" t="str">
        <f>VLOOKUP(U135,'Siblings of those BORN Loyd'!$A$2:$G$230,7,FALSE)</f>
        <v xml:space="preserve">1 – Martin (1949–: #122)        </v>
      </c>
      <c r="AC135" s="115" t="str">
        <f>IF(ISNA(IF(K135="Boy",VLOOKUP(A135,'Siblings of those BORN Loyd'!$AP$3:$AQ$70,2,FALSE),VLOOKUP(A135,'Children of Female Loyds'!$AR$5:$AT$60,3,FALSE))),AM135,IF(K135="Boy",VLOOKUP(A135,'Siblings of those BORN Loyd'!$AP$3:$AQ$70,2,FALSE),VLOOKUP(A135,'Children of Female Loyds'!$AR$5:$AT$60,3,FALSE)))</f>
        <v/>
      </c>
      <c r="AD135" s="97" t="str">
        <f t="shared" si="53"/>
        <v>-</v>
      </c>
      <c r="AE135" s="105" t="str">
        <f>IF(ISNA(IF(K135="Boy",VLOOKUP(A135,'Grandchildren of Male Loyds'!$AQ$3:$AS$51,3,FALSE),VLOOKUP(A135,'Grandchildren of Female Loyds'!$AX$5:$AZ$63,3,FALSE))),AM135,IF(K135="Boy",VLOOKUP(A135,'Grandchildren of Male Loyds'!$AQ$3:$AS$51,3,FALSE),VLOOKUP(A135,'Grandchildren of Female Loyds'!$AX$5:$AZ$63,3,FALSE)))</f>
        <v/>
      </c>
      <c r="AF135" s="105" t="str">
        <f>IF(ISNA(VLOOKUP(A135,'Grandchildren Loyd Daughters'!$BD$5:$BF$50,4,FALSE)),"",VLOOKUP(A135,'Grandchildren Loyd Daughters'!$BD$5:$BF$50,3,FALSE))</f>
        <v/>
      </c>
      <c r="AG135" s="129">
        <f>IF(ISNA(VLOOKUP(A135,'Grandchildren of Male Loyds'!$AQ$3:$AR$60,2,FALSE)),0,VLOOKUP(A135,'Grandchildren of Male Loyds'!$AQ$3:$AR$60,2,FALSE))+IF(ISNA(VLOOKUP(A135,'Grandchildren of Female Loyds'!$AX$5:$AY$50,2,FALSE)),0,VLOOKUP(A135,'Grandchildren of Female Loyds'!$AX$5:$AY$50,2,FALSE))+IF(ISNA(VLOOKUP(A135,'Grandchildren Loyd Daughters'!$BD$5:$BE$50,2,FALSE)),0,VLOOKUP(A135,'Grandchildren Loyd Daughters'!$BD$5:$BE$50,2,FALSE))</f>
        <v>0</v>
      </c>
      <c r="AH135" s="129" t="str">
        <f>VLOOKUP($U135,'Loyd List 1-190 - Edit'!$P$3:$AJ$220,21,FALSE)</f>
        <v>Patricia Mary MACLEAN (b. 11 Feb 1929, )</v>
      </c>
      <c r="AI135" s="129" t="str">
        <f>VLOOKUP(A135,'Updated Bios &amp; Spouse Details'!$A$1:$J$200,7,FALSE)</f>
        <v xml:space="preserve">(1) Mrs. Sally Irene LLOYD (b. 17 Dec 1946, d. 19 Aug 2006). </v>
      </c>
      <c r="AJ135" s="130" t="str">
        <f>IF(VLOOKUP($A135,'Loyd List 1-190 - Edit'!$C$1:$AQ$220,'Book Details - NO EDIT'!AJ$1,FALSE)="","",(VLOOKUP($A135,'Loyd List 1-190 - Edit'!$C$1:$AQ$220,'Book Details - NO EDIT'!AJ$1,FALSE)))</f>
        <v xml:space="preserve"> 06/10/1983</v>
      </c>
      <c r="AK135" s="129" t="str">
        <f>VLOOKUP(A135,'Updated Bios &amp; Spouse Details'!$A$1:$J$200,8,FALSE)</f>
        <v xml:space="preserve">(1) Married Sally, 6 Oct 1983, at Chelsea Registry Office, only daughter of Duncan ROBERTSON of Phoenix House, Beadlam, Nawton, North Yorkshire. (2) Married Anne Margaret FLETCHER (b. 26 May 1967, ) on 11 Jan 2009, at Davaar, Te Anau, New Zealand. youngest daughter of Ian and Margaret FLECTHER of Otatara, Invercargill, New Zealand.
</v>
      </c>
      <c r="AL135" s="131" t="str">
        <f>VLOOKUP(A135,'Updated Bios &amp; Spouse Details'!$A$1:$J$200,5,FALSE)</f>
        <v>Jeremy lives in London and is the younger son of Geoffrey (1926–2018: #105). Baptised Aug 1954 at St Peter’s, Seaview, Isle of Wight. Educated Nautical College, Pangbourne. Career: Account Exec, Michael Rice 1974-79; Dir, RTI Productions 1976-89; Dir, Project Art from 1978; Operations Dir, Capital Radio 1986-90; First Oxfordshire (Fox) Radio from 1988; MD Capital Radio 1990-99;. Dir, Carlton Television 1992-94; CEO Pickwick Group 1994-96; Dep Ch, Blackwell Group 1996-99; Dir, Hamdon Entertainment USA from 1996.</v>
      </c>
      <c r="AM135" s="105" t="str">
        <f>IF(AND(LEN(H135)&gt;0,ISNA(IF(K135="Boy",VLOOKUP(A135,'Siblings of those BORN Loyd'!$AP$3:$AQ$70,2,FALSE),VLOOKUP(A135,'Children of Female Loyds'!$AR$5:$AS$60,2,FALSE)))),"d.s.p","")</f>
        <v/>
      </c>
      <c r="AN135" s="99" t="str">
        <f t="shared" si="68"/>
        <v>Geoffrey (1926–2018: #105)</v>
      </c>
      <c r="AO135" s="99" t="str">
        <f t="shared" si="73"/>
        <v>Wilfrid (1893–1971: #77)</v>
      </c>
      <c r="AP135" s="99" t="str">
        <f t="shared" si="74"/>
        <v>Archie (1847–1922: #30)</v>
      </c>
      <c r="AQ135" s="99" t="str">
        <f t="shared" si="75"/>
        <v>Thomas (1812–1857: #14)</v>
      </c>
      <c r="AR135" s="99" t="str">
        <f t="shared" si="76"/>
        <v>William (1770–1828: #4)</v>
      </c>
      <c r="AS135" s="99" t="str">
        <f t="shared" si="77"/>
        <v>William (1729–1800: #1)</v>
      </c>
      <c r="AT135" s="99" t="str">
        <f t="shared" si="78"/>
        <v/>
      </c>
      <c r="AU135" s="99" t="str">
        <f t="shared" si="79"/>
        <v/>
      </c>
      <c r="AW135" s="116" t="str">
        <f>VLOOKUP(A135,'Updated Bios &amp; Spouse Details'!$A$1:$J$193,6,FALSE)</f>
        <v>England and USA</v>
      </c>
      <c r="AX135" s="131">
        <f>VLOOKUP($A135,'Loyd List 1-190 - Edit'!$P$2:$AQ$220,AX$1,FALSE)</f>
        <v>133</v>
      </c>
      <c r="AY135" s="116" t="str">
        <f>IF(ISNA(VLOOKUP(A135,'Data check lookup table'!$G$2:$V$73,AY$1,FALSE))," - ",VLOOKUP(A135,'Data check lookup table'!$G$2:$V$73,AY$1,FALSE))</f>
        <v>jeremyloyd@hotmail.com</v>
      </c>
      <c r="AZ135" s="147" t="str">
        <f t="shared" si="69"/>
        <v/>
      </c>
      <c r="BA135" s="99" t="str">
        <f t="shared" si="70"/>
        <v>, William (1729–1800: #1)</v>
      </c>
      <c r="BB135" s="99" t="str">
        <f t="shared" si="71"/>
        <v/>
      </c>
      <c r="BI135" s="147" t="s">
        <v>3228</v>
      </c>
    </row>
    <row r="136" spans="1:61" s="99" customFormat="1" ht="34">
      <c r="A136" s="139">
        <f>'Loyd List 1-190 - Edit'!C136</f>
        <v>134</v>
      </c>
      <c r="B136" s="99" t="str">
        <f>VLOOKUP($A136,'Loyd List 1-190 - Edit'!$C$1:$AQ$220,'Book Details - NO EDIT'!B$1,FALSE)</f>
        <v>William</v>
      </c>
      <c r="C136" s="99" t="str">
        <f>IF(VLOOKUP($A136,'Loyd List 1-190 - Edit'!$C$1:$AQ$220,'Book Details - NO EDIT'!C$1,FALSE)="","",VLOOKUP($A136,'Loyd List 1-190 - Edit'!$C$1:$AQ$220,'Book Details - NO EDIT'!C$1,FALSE))</f>
        <v>Haig</v>
      </c>
      <c r="D136" s="99" t="str">
        <f>IF(VLOOKUP($A136,'Loyd List 1-190 - Edit'!$C$1:$AQ$220,'Book Details - NO EDIT'!D$1,FALSE)="","",VLOOKUP($A136,'Loyd List 1-190 - Edit'!$C$1:$AQ$220,'Book Details - NO EDIT'!D$1,FALSE))</f>
        <v/>
      </c>
      <c r="E136" s="99" t="str">
        <f>IF(VLOOKUP($A136,'Loyd List 1-190 - Edit'!$C$1:$AQ$220,'Book Details - NO EDIT'!E$1,FALSE)="","",VLOOKUP($A136,'Loyd List 1-190 - Edit'!$C$1:$AQ$220,'Book Details - NO EDIT'!E$1,FALSE))</f>
        <v>LOYD</v>
      </c>
      <c r="F136" s="99" t="str">
        <f>IF(VLOOKUP($A136,'Loyd List 1-190 - Edit'!$C$1:$AQ$220,'Book Details - NO EDIT'!F$1,FALSE)="",B136,VLOOKUP($A136,'Loyd List 1-190 - Edit'!$C$1:$AQ$220,'Book Details - NO EDIT'!F$1,FALSE))</f>
        <v>William</v>
      </c>
      <c r="G136" s="140">
        <f>IF(VLOOKUP($A136,'Loyd List 1-190 - Edit'!$C$1:$AQ$220,'Book Details - NO EDIT'!G$1,FALSE)="","",VALUE(VLOOKUP($A136,'Loyd List 1-190 - Edit'!$C$1:$AQ$220,'Book Details - NO EDIT'!G$1,FALSE)))</f>
        <v>1955</v>
      </c>
      <c r="H136" s="140" t="str">
        <f>IF(VLOOKUP($A136,'Loyd List 1-190 - Edit'!$C$1:$AQ$220,'Book Details - NO EDIT'!H$1,FALSE)="","",VALUE(VLOOKUP($A136,'Loyd List 1-190 - Edit'!$C$1:$AQ$220,'Book Details - NO EDIT'!H$1,FALSE)))</f>
        <v/>
      </c>
      <c r="I136" s="141">
        <f>IF(VLOOKUP($A136,'Loyd List 1-190 - Edit'!$C$1:$AQ$220,'Book Details - NO EDIT'!I$1,FALSE)="","",(VLOOKUP($A136,'Loyd List 1-190 - Edit'!$C$1:$AQ$220,'Book Details - NO EDIT'!I$1,FALSE)))</f>
        <v>20246</v>
      </c>
      <c r="J136" s="141" t="str">
        <f>IF(VLOOKUP($A136,'Loyd List 1-190 - Edit'!$C$1:$AQ$220,'Book Details - NO EDIT'!J$1,FALSE)="","",(VLOOKUP($A136,'Loyd List 1-190 - Edit'!$C$1:$AQ$220,'Book Details - NO EDIT'!J$1,FALSE)))</f>
        <v/>
      </c>
      <c r="K136" s="100" t="str">
        <f>VLOOKUP($A136,'Loyd List 1-190 - Edit'!$C$1:$AQ$220,'Book Details - NO EDIT'!K$1,FALSE)</f>
        <v>Boy</v>
      </c>
      <c r="L136" s="140">
        <f>VLOOKUP($A136,'Loyd List 1-190 - Edit'!$C$1:$AQ$220,'Book Details - NO EDIT'!L$1,FALSE)</f>
        <v>98</v>
      </c>
      <c r="M136" s="140">
        <f t="shared" si="60"/>
        <v>77</v>
      </c>
      <c r="N136" s="140">
        <f t="shared" si="60"/>
        <v>30</v>
      </c>
      <c r="O136" s="140">
        <f t="shared" si="60"/>
        <v>14</v>
      </c>
      <c r="P136" s="140">
        <f t="shared" si="60"/>
        <v>4</v>
      </c>
      <c r="Q136" s="140">
        <f t="shared" si="60"/>
        <v>1</v>
      </c>
      <c r="R136" s="140">
        <f t="shared" si="61"/>
        <v>0</v>
      </c>
      <c r="S136" s="140" t="str">
        <f t="shared" si="62"/>
        <v/>
      </c>
      <c r="T136" s="140">
        <f t="shared" si="58"/>
        <v>6</v>
      </c>
      <c r="U136" s="139">
        <f t="shared" si="63"/>
        <v>134</v>
      </c>
      <c r="V136" s="31" t="str">
        <f t="shared" si="64"/>
        <v>William (1955–)</v>
      </c>
      <c r="W136" s="31" t="str">
        <f t="shared" si="65"/>
        <v>William (#134)</v>
      </c>
      <c r="X136" s="99" t="str">
        <f t="shared" si="66"/>
        <v>William (1955–: #134)</v>
      </c>
      <c r="Y136" s="99" t="str">
        <f t="shared" si="59"/>
        <v>William Haig LOYD</v>
      </c>
      <c r="Z136" s="99" t="str">
        <f t="shared" si="67"/>
        <v>Peter (1922–2022: #98)</v>
      </c>
      <c r="AA136" s="99" t="str">
        <f t="shared" si="72"/>
        <v xml:space="preserve">Peter (1922–2022: #98) Wilfrid (1893–1971: #77) Archie (1847–1922: #30) Thomas (1812–1857: #14) William (1770–1828: #4) William (1729–1800: #1)  </v>
      </c>
      <c r="AB136" s="142" t="str">
        <f>VLOOKUP(U136,'Siblings of those BORN Loyd'!$A$2:$G$230,7,FALSE)</f>
        <v xml:space="preserve">4 – Julie (1952–: #128) Penelope (1954–1954: #132)  Tony (1963–: #145) Sophie (1969–: #154)    </v>
      </c>
      <c r="AC136" s="115" t="str">
        <f>IF(ISNA(IF(K136="Boy",VLOOKUP(A136,'Siblings of those BORN Loyd'!$AP$3:$AQ$70,2,FALSE),VLOOKUP(A136,'Children of Female Loyds'!$AR$5:$AT$60,3,FALSE))),AM136,IF(K136="Boy",VLOOKUP(A136,'Siblings of those BORN Loyd'!$AP$3:$AQ$70,2,FALSE),VLOOKUP(A136,'Children of Female Loyds'!$AR$5:$AT$60,3,FALSE)))</f>
        <v/>
      </c>
      <c r="AD136" s="97" t="str">
        <f t="shared" si="53"/>
        <v>-</v>
      </c>
      <c r="AE136" s="105" t="str">
        <f>IF(ISNA(IF(K136="Boy",VLOOKUP(A136,'Grandchildren of Male Loyds'!$AQ$3:$AS$51,3,FALSE),VLOOKUP(A136,'Grandchildren of Female Loyds'!$AX$5:$AZ$63,3,FALSE))),AM136,IF(K136="Boy",VLOOKUP(A136,'Grandchildren of Male Loyds'!$AQ$3:$AS$51,3,FALSE),VLOOKUP(A136,'Grandchildren of Female Loyds'!$AX$5:$AZ$63,3,FALSE)))</f>
        <v/>
      </c>
      <c r="AF136" s="105" t="str">
        <f>IF(ISNA(VLOOKUP(A136,'Grandchildren Loyd Daughters'!$BD$5:$BF$50,4,FALSE)),"",VLOOKUP(A136,'Grandchildren Loyd Daughters'!$BD$5:$BF$50,3,FALSE))</f>
        <v/>
      </c>
      <c r="AG136" s="129">
        <f>IF(ISNA(VLOOKUP(A136,'Grandchildren of Male Loyds'!$AQ$3:$AR$60,2,FALSE)),0,VLOOKUP(A136,'Grandchildren of Male Loyds'!$AQ$3:$AR$60,2,FALSE))+IF(ISNA(VLOOKUP(A136,'Grandchildren of Female Loyds'!$AX$5:$AY$50,2,FALSE)),0,VLOOKUP(A136,'Grandchildren of Female Loyds'!$AX$5:$AY$50,2,FALSE))+IF(ISNA(VLOOKUP(A136,'Grandchildren Loyd Daughters'!$BD$5:$BE$50,2,FALSE)),0,VLOOKUP(A136,'Grandchildren Loyd Daughters'!$BD$5:$BE$50,2,FALSE))</f>
        <v>0</v>
      </c>
      <c r="AH136" s="129" t="str">
        <f>VLOOKUP($U136,'Loyd List 1-190 - Edit'!$P$3:$AJ$220,21,FALSE)</f>
        <v>Suzanne DUNCAN (b. 25 Aug 1928, )</v>
      </c>
      <c r="AI136" s="129" t="str">
        <f>VLOOKUP(A136,'Updated Bios &amp; Spouse Details'!$A$1:$J$200,7,FALSE)</f>
        <v>Unmarried</v>
      </c>
      <c r="AJ136" s="130" t="str">
        <f>IF(VLOOKUP($A136,'Loyd List 1-190 - Edit'!$C$1:$AQ$220,'Book Details - NO EDIT'!AJ$1,FALSE)="","",(VLOOKUP($A136,'Loyd List 1-190 - Edit'!$C$1:$AQ$220,'Book Details - NO EDIT'!AJ$1,FALSE)))</f>
        <v xml:space="preserve"> - </v>
      </c>
      <c r="AK136" s="129" t="str">
        <f>VLOOKUP(A136,'Updated Bios &amp; Spouse Details'!$A$1:$J$200,8,FALSE)</f>
        <v xml:space="preserve"> - </v>
      </c>
      <c r="AL136" s="131" t="str">
        <f>VLOOKUP(A136,'Updated Bios &amp; Spouse Details'!$A$1:$J$200,5,FALSE)</f>
        <v>William lives in Taunton, Somerset. Elder Son of Peter (1922–2022: #98). Born 6 Jun 1955. Baptised 17 Sep 1955 at St Mary’s, South Hayling, Hampshire. Career: Hydrographic Office, Ministry of Defence (Navy) 1972-2015 (Retired after 43 years service).</v>
      </c>
      <c r="AM136" s="105" t="str">
        <f>IF(AND(LEN(H136)&gt;0,ISNA(IF(K136="Boy",VLOOKUP(A136,'Siblings of those BORN Loyd'!$AP$3:$AQ$70,2,FALSE),VLOOKUP(A136,'Children of Female Loyds'!$AR$5:$AS$60,2,FALSE)))),"d.s.p","")</f>
        <v/>
      </c>
      <c r="AN136" s="99" t="str">
        <f t="shared" si="68"/>
        <v>Peter (1922–2022: #98)</v>
      </c>
      <c r="AO136" s="99" t="str">
        <f t="shared" si="73"/>
        <v>Wilfrid (1893–1971: #77)</v>
      </c>
      <c r="AP136" s="99" t="str">
        <f t="shared" si="74"/>
        <v>Archie (1847–1922: #30)</v>
      </c>
      <c r="AQ136" s="99" t="str">
        <f t="shared" si="75"/>
        <v>Thomas (1812–1857: #14)</v>
      </c>
      <c r="AR136" s="99" t="str">
        <f t="shared" si="76"/>
        <v>William (1770–1828: #4)</v>
      </c>
      <c r="AS136" s="99" t="str">
        <f t="shared" si="77"/>
        <v>William (1729–1800: #1)</v>
      </c>
      <c r="AT136" s="99" t="str">
        <f t="shared" si="78"/>
        <v/>
      </c>
      <c r="AU136" s="99" t="str">
        <f t="shared" si="79"/>
        <v/>
      </c>
      <c r="AW136" s="116" t="str">
        <f>VLOOKUP(A136,'Updated Bios &amp; Spouse Details'!$A$1:$J$193,6,FALSE)</f>
        <v>England</v>
      </c>
      <c r="AX136" s="131">
        <f>VLOOKUP($A136,'Loyd List 1-190 - Edit'!$P$2:$AQ$220,AX$1,FALSE)</f>
        <v>134</v>
      </c>
      <c r="AY136" s="116" t="str">
        <f>IF(ISNA(VLOOKUP(A136,'Data check lookup table'!$G$2:$V$73,AY$1,FALSE))," - ",VLOOKUP(A136,'Data check lookup table'!$G$2:$V$73,AY$1,FALSE))</f>
        <v>rosemaryloyd@gmail.com</v>
      </c>
      <c r="AZ136" s="147" t="str">
        <f t="shared" si="69"/>
        <v/>
      </c>
      <c r="BA136" s="99" t="str">
        <f t="shared" si="70"/>
        <v>, William (1729–1800: #1)</v>
      </c>
      <c r="BB136" s="99" t="str">
        <f t="shared" si="71"/>
        <v/>
      </c>
      <c r="BI136" s="147" t="s">
        <v>3228</v>
      </c>
    </row>
    <row r="137" spans="1:61" s="99" customFormat="1" ht="34">
      <c r="A137" s="139">
        <f>'Loyd List 1-190 - Edit'!C137</f>
        <v>135</v>
      </c>
      <c r="B137" s="99" t="str">
        <f>VLOOKUP($A137,'Loyd List 1-190 - Edit'!$C$1:$AQ$220,'Book Details - NO EDIT'!B$1,FALSE)</f>
        <v>James</v>
      </c>
      <c r="C137" s="99" t="str">
        <f>IF(VLOOKUP($A137,'Loyd List 1-190 - Edit'!$C$1:$AQ$220,'Book Details - NO EDIT'!C$1,FALSE)="","",VLOOKUP($A137,'Loyd List 1-190 - Edit'!$C$1:$AQ$220,'Book Details - NO EDIT'!C$1,FALSE))</f>
        <v>Edward</v>
      </c>
      <c r="D137" s="99" t="str">
        <f>IF(VLOOKUP($A137,'Loyd List 1-190 - Edit'!$C$1:$AQ$220,'Book Details - NO EDIT'!D$1,FALSE)="","",VLOOKUP($A137,'Loyd List 1-190 - Edit'!$C$1:$AQ$220,'Book Details - NO EDIT'!D$1,FALSE))</f>
        <v/>
      </c>
      <c r="E137" s="99" t="str">
        <f>IF(VLOOKUP($A137,'Loyd List 1-190 - Edit'!$C$1:$AQ$220,'Book Details - NO EDIT'!E$1,FALSE)="","",VLOOKUP($A137,'Loyd List 1-190 - Edit'!$C$1:$AQ$220,'Book Details - NO EDIT'!E$1,FALSE))</f>
        <v>LOYD</v>
      </c>
      <c r="F137" s="99" t="str">
        <f>IF(VLOOKUP($A137,'Loyd List 1-190 - Edit'!$C$1:$AQ$220,'Book Details - NO EDIT'!F$1,FALSE)="",B137,VLOOKUP($A137,'Loyd List 1-190 - Edit'!$C$1:$AQ$220,'Book Details - NO EDIT'!F$1,FALSE))</f>
        <v>Jim</v>
      </c>
      <c r="G137" s="140">
        <f>IF(VLOOKUP($A137,'Loyd List 1-190 - Edit'!$C$1:$AQ$220,'Book Details - NO EDIT'!G$1,FALSE)="","",VALUE(VLOOKUP($A137,'Loyd List 1-190 - Edit'!$C$1:$AQ$220,'Book Details - NO EDIT'!G$1,FALSE)))</f>
        <v>1955</v>
      </c>
      <c r="H137" s="140" t="str">
        <f>IF(VLOOKUP($A137,'Loyd List 1-190 - Edit'!$C$1:$AQ$220,'Book Details - NO EDIT'!H$1,FALSE)="","",VALUE(VLOOKUP($A137,'Loyd List 1-190 - Edit'!$C$1:$AQ$220,'Book Details - NO EDIT'!H$1,FALSE)))</f>
        <v/>
      </c>
      <c r="I137" s="141">
        <f>IF(VLOOKUP($A137,'Loyd List 1-190 - Edit'!$C$1:$AQ$220,'Book Details - NO EDIT'!I$1,FALSE)="","",(VLOOKUP($A137,'Loyd List 1-190 - Edit'!$C$1:$AQ$220,'Book Details - NO EDIT'!I$1,FALSE)))</f>
        <v>20324</v>
      </c>
      <c r="J137" s="141" t="str">
        <f>IF(VLOOKUP($A137,'Loyd List 1-190 - Edit'!$C$1:$AQ$220,'Book Details - NO EDIT'!J$1,FALSE)="","",(VLOOKUP($A137,'Loyd List 1-190 - Edit'!$C$1:$AQ$220,'Book Details - NO EDIT'!J$1,FALSE)))</f>
        <v/>
      </c>
      <c r="K137" s="100" t="str">
        <f>VLOOKUP($A137,'Loyd List 1-190 - Edit'!$C$1:$AQ$220,'Book Details - NO EDIT'!K$1,FALSE)</f>
        <v>Boy</v>
      </c>
      <c r="L137" s="140">
        <f>VLOOKUP($A137,'Loyd List 1-190 - Edit'!$C$1:$AQ$220,'Book Details - NO EDIT'!L$1,FALSE)</f>
        <v>86</v>
      </c>
      <c r="M137" s="140">
        <f t="shared" si="60"/>
        <v>71</v>
      </c>
      <c r="N137" s="140">
        <f t="shared" si="60"/>
        <v>34</v>
      </c>
      <c r="O137" s="140">
        <f t="shared" si="60"/>
        <v>14</v>
      </c>
      <c r="P137" s="140">
        <f t="shared" si="60"/>
        <v>4</v>
      </c>
      <c r="Q137" s="140">
        <f t="shared" si="60"/>
        <v>1</v>
      </c>
      <c r="R137" s="140">
        <f t="shared" si="61"/>
        <v>0</v>
      </c>
      <c r="S137" s="140" t="str">
        <f t="shared" si="62"/>
        <v/>
      </c>
      <c r="T137" s="140">
        <f t="shared" si="58"/>
        <v>6</v>
      </c>
      <c r="U137" s="139">
        <f t="shared" si="63"/>
        <v>135</v>
      </c>
      <c r="V137" s="31" t="str">
        <f t="shared" si="64"/>
        <v>Jim (1955–)</v>
      </c>
      <c r="W137" s="31" t="str">
        <f t="shared" si="65"/>
        <v>Jim (#135)</v>
      </c>
      <c r="X137" s="99" t="str">
        <f t="shared" si="66"/>
        <v>Jim (1955–: #135)</v>
      </c>
      <c r="Y137" s="99" t="str">
        <f t="shared" si="59"/>
        <v>James Edward LOYD</v>
      </c>
      <c r="Z137" s="99" t="str">
        <f t="shared" si="67"/>
        <v>Peter (1913–2008: #86)</v>
      </c>
      <c r="AA137" s="99" t="str">
        <f t="shared" si="72"/>
        <v xml:space="preserve">Peter (1913–2008: #86) Arthur (1890–1974: #71) Ted (1851–1922: #34) Thomas (1812–1857: #14) William (1770–1828: #4) William (1729–1800: #1)  </v>
      </c>
      <c r="AB137" s="142" t="str">
        <f>VLOOKUP(U137,'Siblings of those BORN Loyd'!$A$2:$G$230,7,FALSE)</f>
        <v xml:space="preserve">2 – Rona (1951–: #125) David (1952–: #130)       </v>
      </c>
      <c r="AC137" s="115" t="str">
        <f>IF(ISNA(IF(K137="Boy",VLOOKUP(A137,'Siblings of those BORN Loyd'!$AP$3:$AQ$70,2,FALSE),VLOOKUP(A137,'Children of Female Loyds'!$AR$5:$AT$60,3,FALSE))),AM137,IF(K137="Boy",VLOOKUP(A137,'Siblings of those BORN Loyd'!$AP$3:$AQ$70,2,FALSE),VLOOKUP(A137,'Children of Female Loyds'!$AR$5:$AT$60,3,FALSE)))</f>
        <v>2 - Curtis (1992–: #173); Spencer (1995–: #177)</v>
      </c>
      <c r="AD137" s="97" t="str">
        <f t="shared" si="53"/>
        <v>-</v>
      </c>
      <c r="AE137" s="105" t="str">
        <f>IF(ISNA(IF(K137="Boy",VLOOKUP(A137,'Grandchildren of Male Loyds'!$AQ$3:$AS$51,3,FALSE),VLOOKUP(A137,'Grandchildren of Female Loyds'!$AX$5:$AZ$63,3,FALSE))),AM137,IF(K137="Boy",VLOOKUP(A137,'Grandchildren of Male Loyds'!$AQ$3:$AS$51,3,FALSE),VLOOKUP(A137,'Grandchildren of Female Loyds'!$AX$5:$AZ$63,3,FALSE)))</f>
        <v/>
      </c>
      <c r="AF137" s="105" t="str">
        <f>IF(ISNA(VLOOKUP(A137,'Grandchildren Loyd Daughters'!$BD$5:$BF$50,4,FALSE)),"",VLOOKUP(A137,'Grandchildren Loyd Daughters'!$BD$5:$BF$50,3,FALSE))</f>
        <v/>
      </c>
      <c r="AG137" s="129">
        <f>IF(ISNA(VLOOKUP(A137,'Grandchildren of Male Loyds'!$AQ$3:$AR$60,2,FALSE)),0,VLOOKUP(A137,'Grandchildren of Male Loyds'!$AQ$3:$AR$60,2,FALSE))+IF(ISNA(VLOOKUP(A137,'Grandchildren of Female Loyds'!$AX$5:$AY$50,2,FALSE)),0,VLOOKUP(A137,'Grandchildren of Female Loyds'!$AX$5:$AY$50,2,FALSE))+IF(ISNA(VLOOKUP(A137,'Grandchildren Loyd Daughters'!$BD$5:$BE$50,2,FALSE)),0,VLOOKUP(A137,'Grandchildren Loyd Daughters'!$BD$5:$BE$50,2,FALSE))</f>
        <v>0</v>
      </c>
      <c r="AH137" s="129" t="str">
        <f>VLOOKUP($U137,'Loyd List 1-190 - Edit'!$P$3:$AJ$220,21,FALSE)</f>
        <v xml:space="preserve">Anne SMITHELLS (b. 12 Mar 1921, d. 3 Aug 2010) </v>
      </c>
      <c r="AI137" s="129" t="str">
        <f>VLOOKUP(A137,'Updated Bios &amp; Spouse Details'!$A$1:$J$200,7,FALSE)</f>
        <v>Brenda POW (b. 23 Aug 1964, )</v>
      </c>
      <c r="AJ137" s="130">
        <f>IF(VLOOKUP($A137,'Loyd List 1-190 - Edit'!$C$1:$AQ$220,'Book Details - NO EDIT'!AJ$1,FALSE)="","",(VLOOKUP($A137,'Loyd List 1-190 - Edit'!$C$1:$AQ$220,'Book Details - NO EDIT'!AJ$1,FALSE)))</f>
        <v>33348</v>
      </c>
      <c r="AK137" s="129" t="str">
        <f>VLOOKUP(A137,'Updated Bios &amp; Spouse Details'!$A$1:$J$200,8,FALSE)</f>
        <v>Brenda daughter of Ernest POW of Revelstoke, British Columbia.</v>
      </c>
      <c r="AL137" s="131" t="str">
        <f>VLOOKUP(A137,'Updated Bios &amp; Spouse Details'!$A$1:$J$200,5,FALSE)</f>
        <v>Jim lives in Kelowna, British Columbia, Canada and is the younger son of Norman (1913–2008: #86). Born 23 Aug 1955 at Kelowna, British Columbia. Baptised 5 Apr 1956 at St Mary’s, Oyama, British Columbia. Educated Kelowna. Career: Professional Ski Instructor and Resort Sales Director. Issue: 2 sons.</v>
      </c>
      <c r="AM137" s="105" t="str">
        <f>IF(AND(LEN(H137)&gt;0,ISNA(IF(K137="Boy",VLOOKUP(A137,'Siblings of those BORN Loyd'!$AP$3:$AQ$70,2,FALSE),VLOOKUP(A137,'Children of Female Loyds'!$AR$5:$AS$60,2,FALSE)))),"d.s.p","")</f>
        <v/>
      </c>
      <c r="AN137" s="99" t="str">
        <f t="shared" si="68"/>
        <v>Peter (1913–2008: #86)</v>
      </c>
      <c r="AO137" s="99" t="str">
        <f t="shared" si="73"/>
        <v>Arthur (1890–1974: #71)</v>
      </c>
      <c r="AP137" s="99" t="str">
        <f t="shared" si="74"/>
        <v>Ted (1851–1922: #34)</v>
      </c>
      <c r="AQ137" s="99" t="str">
        <f t="shared" si="75"/>
        <v>Thomas (1812–1857: #14)</v>
      </c>
      <c r="AR137" s="99" t="str">
        <f t="shared" si="76"/>
        <v>William (1770–1828: #4)</v>
      </c>
      <c r="AS137" s="99" t="str">
        <f t="shared" si="77"/>
        <v>William (1729–1800: #1)</v>
      </c>
      <c r="AT137" s="99" t="str">
        <f t="shared" si="78"/>
        <v/>
      </c>
      <c r="AU137" s="99" t="str">
        <f t="shared" si="79"/>
        <v/>
      </c>
      <c r="AW137" s="116" t="str">
        <f>VLOOKUP(A137,'Updated Bios &amp; Spouse Details'!$A$1:$J$193,6,FALSE)</f>
        <v>Canada</v>
      </c>
      <c r="AX137" s="131">
        <f>VLOOKUP($A137,'Loyd List 1-190 - Edit'!$P$2:$AQ$220,AX$1,FALSE)</f>
        <v>135</v>
      </c>
      <c r="AY137" s="116" t="str">
        <f>IF(ISNA(VLOOKUP(A137,'Data check lookup table'!$G$2:$V$73,AY$1,FALSE))," - ",VLOOKUP(A137,'Data check lookup table'!$G$2:$V$73,AY$1,FALSE))</f>
        <v>jimbrendaloyd1@gmail.com</v>
      </c>
      <c r="AZ137" s="147" t="str">
        <f t="shared" si="69"/>
        <v/>
      </c>
      <c r="BA137" s="99" t="str">
        <f t="shared" si="70"/>
        <v>, William (1729–1800: #1)</v>
      </c>
      <c r="BB137" s="99" t="str">
        <f t="shared" si="71"/>
        <v/>
      </c>
      <c r="BI137" s="147" t="s">
        <v>3228</v>
      </c>
    </row>
    <row r="138" spans="1:61" s="99" customFormat="1" ht="119">
      <c r="A138" s="139">
        <f>'Loyd List 1-190 - Edit'!C138</f>
        <v>136</v>
      </c>
      <c r="B138" s="99" t="str">
        <f>VLOOKUP($A138,'Loyd List 1-190 - Edit'!$C$1:$AQ$220,'Book Details - NO EDIT'!B$1,FALSE)</f>
        <v>Timothy</v>
      </c>
      <c r="C138" s="99" t="str">
        <f>IF(VLOOKUP($A138,'Loyd List 1-190 - Edit'!$C$1:$AQ$220,'Book Details - NO EDIT'!C$1,FALSE)="","",VLOOKUP($A138,'Loyd List 1-190 - Edit'!$C$1:$AQ$220,'Book Details - NO EDIT'!C$1,FALSE))</f>
        <v>Bryan</v>
      </c>
      <c r="D138" s="99" t="str">
        <f>IF(VLOOKUP($A138,'Loyd List 1-190 - Edit'!$C$1:$AQ$220,'Book Details - NO EDIT'!D$1,FALSE)="","",VLOOKUP($A138,'Loyd List 1-190 - Edit'!$C$1:$AQ$220,'Book Details - NO EDIT'!D$1,FALSE))</f>
        <v>Porter</v>
      </c>
      <c r="E138" s="99" t="str">
        <f>IF(VLOOKUP($A138,'Loyd List 1-190 - Edit'!$C$1:$AQ$220,'Book Details - NO EDIT'!E$1,FALSE)="","",VLOOKUP($A138,'Loyd List 1-190 - Edit'!$C$1:$AQ$220,'Book Details - NO EDIT'!E$1,FALSE))</f>
        <v>LOYD</v>
      </c>
      <c r="F138" s="99" t="str">
        <f>IF(VLOOKUP($A138,'Loyd List 1-190 - Edit'!$C$1:$AQ$220,'Book Details - NO EDIT'!F$1,FALSE)="",B138,VLOOKUP($A138,'Loyd List 1-190 - Edit'!$C$1:$AQ$220,'Book Details - NO EDIT'!F$1,FALSE))</f>
        <v>Tim</v>
      </c>
      <c r="G138" s="140">
        <f>IF(VLOOKUP($A138,'Loyd List 1-190 - Edit'!$C$1:$AQ$220,'Book Details - NO EDIT'!G$1,FALSE)="","",VALUE(VLOOKUP($A138,'Loyd List 1-190 - Edit'!$C$1:$AQ$220,'Book Details - NO EDIT'!G$1,FALSE)))</f>
        <v>1957</v>
      </c>
      <c r="H138" s="140" t="str">
        <f>IF(VLOOKUP($A138,'Loyd List 1-190 - Edit'!$C$1:$AQ$220,'Book Details - NO EDIT'!H$1,FALSE)="","",VALUE(VLOOKUP($A138,'Loyd List 1-190 - Edit'!$C$1:$AQ$220,'Book Details - NO EDIT'!H$1,FALSE)))</f>
        <v/>
      </c>
      <c r="I138" s="141">
        <f>IF(VLOOKUP($A138,'Loyd List 1-190 - Edit'!$C$1:$AQ$220,'Book Details - NO EDIT'!I$1,FALSE)="","",(VLOOKUP($A138,'Loyd List 1-190 - Edit'!$C$1:$AQ$220,'Book Details - NO EDIT'!I$1,FALSE)))</f>
        <v>20975</v>
      </c>
      <c r="J138" s="141" t="str">
        <f>IF(VLOOKUP($A138,'Loyd List 1-190 - Edit'!$C$1:$AQ$220,'Book Details - NO EDIT'!J$1,FALSE)="","",(VLOOKUP($A138,'Loyd List 1-190 - Edit'!$C$1:$AQ$220,'Book Details - NO EDIT'!J$1,FALSE)))</f>
        <v/>
      </c>
      <c r="K138" s="100" t="str">
        <f>VLOOKUP($A138,'Loyd List 1-190 - Edit'!$C$1:$AQ$220,'Book Details - NO EDIT'!K$1,FALSE)</f>
        <v>Boy</v>
      </c>
      <c r="L138" s="140">
        <f>VLOOKUP($A138,'Loyd List 1-190 - Edit'!$C$1:$AQ$220,'Book Details - NO EDIT'!L$1,FALSE)</f>
        <v>94</v>
      </c>
      <c r="M138" s="140">
        <f t="shared" si="60"/>
        <v>68</v>
      </c>
      <c r="N138" s="140">
        <f t="shared" si="60"/>
        <v>45</v>
      </c>
      <c r="O138" s="140">
        <f t="shared" si="60"/>
        <v>22</v>
      </c>
      <c r="P138" s="140">
        <f t="shared" si="60"/>
        <v>8</v>
      </c>
      <c r="Q138" s="140">
        <f t="shared" si="60"/>
        <v>1</v>
      </c>
      <c r="R138" s="140">
        <f t="shared" si="61"/>
        <v>0</v>
      </c>
      <c r="S138" s="140" t="str">
        <f t="shared" si="62"/>
        <v/>
      </c>
      <c r="T138" s="140">
        <f t="shared" si="58"/>
        <v>6</v>
      </c>
      <c r="U138" s="139">
        <f t="shared" si="63"/>
        <v>136</v>
      </c>
      <c r="V138" s="31" t="str">
        <f t="shared" si="64"/>
        <v>Tim (1957–)</v>
      </c>
      <c r="W138" s="31" t="str">
        <f t="shared" si="65"/>
        <v>Tim (#136)</v>
      </c>
      <c r="X138" s="99" t="str">
        <f t="shared" si="66"/>
        <v>Tim (1957–: #136)</v>
      </c>
      <c r="Y138" s="99" t="str">
        <f t="shared" si="59"/>
        <v>Timothy Bryan Porter LOYD</v>
      </c>
      <c r="Z138" s="99" t="str">
        <f t="shared" si="67"/>
        <v>Alwyne (1920–2014: #94)</v>
      </c>
      <c r="AA138" s="99" t="str">
        <f t="shared" si="72"/>
        <v xml:space="preserve">Alwyne (1920–2014: #94) Cecil (1890–1963: #68) Llewellyn (1861–1939: #45) Edward (1820–1890: #22) Edward (1780–1863: #8) William (1729–1800: #1)  </v>
      </c>
      <c r="AB138" s="142" t="str">
        <f>VLOOKUP(U138,'Siblings of those BORN Loyd'!$A$2:$G$230,7,FALSE)</f>
        <v xml:space="preserve">5 – Rob (1949–: #124) Paddy (1951–: #126) Dominic (1953–: #131)  Alex (1959–: #139) Rick (1962–: #142)   </v>
      </c>
      <c r="AC138" s="115" t="str">
        <f>IF(ISNA(IF(K138="Boy",VLOOKUP(A138,'Siblings of those BORN Loyd'!$AP$3:$AQ$70,2,FALSE),VLOOKUP(A138,'Children of Female Loyds'!$AR$5:$AT$60,3,FALSE))),AM138,IF(K138="Boy",VLOOKUP(A138,'Siblings of those BORN Loyd'!$AP$3:$AQ$70,2,FALSE),VLOOKUP(A138,'Children of Female Loyds'!$AR$5:$AT$60,3,FALSE)))</f>
        <v>3 - Poppy (1984–: #164); Rose (1986–: #165); Florina (1991–: #172)</v>
      </c>
      <c r="AD138" s="97" t="str">
        <f t="shared" si="53"/>
        <v xml:space="preserve">5 -    Freddie LEASK (2016 - :  #164a) Hamish LEASK (2018 - :  #164b) Otto LEASK (2020 - :  #164c) Leila PURI (2017 - :  #165a) Alana PURI (2019 - :  #165b)          </v>
      </c>
      <c r="AE138" s="105" t="str">
        <f>IF(ISNA(IF(K138="Boy",VLOOKUP(A138,'Grandchildren of Male Loyds'!$AQ$3:$AS$51,3,FALSE),VLOOKUP(A138,'Grandchildren of Female Loyds'!$AX$5:$AZ$63,3,FALSE))),AM138,IF(K138="Boy",VLOOKUP(A138,'Grandchildren of Male Loyds'!$AQ$3:$AS$51,3,FALSE),VLOOKUP(A138,'Grandchildren of Female Loyds'!$AX$5:$AZ$63,3,FALSE)))</f>
        <v/>
      </c>
      <c r="AF138" s="105" t="str">
        <f>IF(ISNA(VLOOKUP(A138,'Grandchildren Loyd Daughters'!$BD$5:$BF$50,4,FALSE)),"",VLOOKUP(A138,'Grandchildren Loyd Daughters'!$BD$5:$BF$50,3,FALSE))</f>
        <v xml:space="preserve">Freddie LEASK (2016 - :  #164a) Hamish LEASK (2018 - :  #164b) Otto LEASK (2020 - :  #164c) Leila PURI (2017 - :  #165a) Alana PURI (2019 - :  #165b)          </v>
      </c>
      <c r="AG138" s="129">
        <f>IF(ISNA(VLOOKUP(A138,'Grandchildren of Male Loyds'!$AQ$3:$AR$60,2,FALSE)),0,VLOOKUP(A138,'Grandchildren of Male Loyds'!$AQ$3:$AR$60,2,FALSE))+IF(ISNA(VLOOKUP(A138,'Grandchildren of Female Loyds'!$AX$5:$AY$50,2,FALSE)),0,VLOOKUP(A138,'Grandchildren of Female Loyds'!$AX$5:$AY$50,2,FALSE))+IF(ISNA(VLOOKUP(A138,'Grandchildren Loyd Daughters'!$BD$5:$BE$50,2,FALSE)),0,VLOOKUP(A138,'Grandchildren Loyd Daughters'!$BD$5:$BE$50,2,FALSE))</f>
        <v>5</v>
      </c>
      <c r="AH138" s="129" t="str">
        <f>VLOOKUP($U138,'Loyd List 1-190 - Edit'!$P$3:$AJ$220,21,FALSE)</f>
        <v>Alison Fraser PORTER (b. 21 Feb 1920, d. 6 Sep 2003)</v>
      </c>
      <c r="AI138" s="129" t="str">
        <f>VLOOKUP(A138,'Updated Bios &amp; Spouse Details'!$A$1:$J$200,7,FALSE)</f>
        <v>Cherry Margaret CORMACK (b 18 Sep 1956, )</v>
      </c>
      <c r="AJ138" s="130">
        <f>IF(VLOOKUP($A138,'Loyd List 1-190 - Edit'!$C$1:$AQ$220,'Book Details - NO EDIT'!AJ$1,FALSE)="","",(VLOOKUP($A138,'Loyd List 1-190 - Edit'!$C$1:$AQ$220,'Book Details - NO EDIT'!AJ$1,FALSE)))</f>
        <v>29715</v>
      </c>
      <c r="AK138" s="129" t="str">
        <f>VLOOKUP(A138,'Updated Bios &amp; Spouse Details'!$A$1:$J$200,8,FALSE)</f>
        <v>Married at St Michael &amp; All Angels’, Beaconsfield, Cherry elder daughter of Alan &amp; Margaret CORMACK of Beaconsfield in Buckinghamshire. Educated UMIST (BSc Hons European Studies 1979) and Southampton University (PGCE 1982).</v>
      </c>
      <c r="AL138" s="131" t="str">
        <f>VLOOKUP(A138,'Updated Bios &amp; Spouse Details'!$A$1:$J$200,5,FALSE)</f>
        <v xml:space="preserve">Tim lives in Perthshire, Scotland, previously of Iffley Road, Oxford and is the 4th son of Alwyne (1920–2014: #94). Born  4 Jun 1957 at Burton-on-Trent Maternity Home. Baptised 29 Sep 1957 at St Aiden’s, Shobnall, Burton-on-Trent by the Rev Harold SPRIGGS. Education:  Manchester (BA Econ Hons. 1978) and Warwick (Cert Bus Admin 1988). Freeman of Goldsmiths’ Company 1978. Issue: 3 daughters. </v>
      </c>
      <c r="AM138" s="105" t="str">
        <f>IF(AND(LEN(H138)&gt;0,ISNA(IF(K138="Boy",VLOOKUP(A138,'Siblings of those BORN Loyd'!$AP$3:$AQ$70,2,FALSE),VLOOKUP(A138,'Children of Female Loyds'!$AR$5:$AS$60,2,FALSE)))),"d.s.p","")</f>
        <v/>
      </c>
      <c r="AN138" s="99" t="str">
        <f t="shared" si="68"/>
        <v>Alwyne (1920–2014: #94)</v>
      </c>
      <c r="AO138" s="99" t="str">
        <f t="shared" si="73"/>
        <v>Cecil (1890–1963: #68)</v>
      </c>
      <c r="AP138" s="99" t="str">
        <f t="shared" si="74"/>
        <v>Llewellyn (1861–1939: #45)</v>
      </c>
      <c r="AQ138" s="99" t="str">
        <f t="shared" si="75"/>
        <v>Edward (1820–1890: #22)</v>
      </c>
      <c r="AR138" s="99" t="str">
        <f t="shared" si="76"/>
        <v>Edward (1780–1863: #8)</v>
      </c>
      <c r="AS138" s="99" t="str">
        <f t="shared" si="77"/>
        <v>William (1729–1800: #1)</v>
      </c>
      <c r="AT138" s="99" t="str">
        <f t="shared" si="78"/>
        <v/>
      </c>
      <c r="AU138" s="99" t="str">
        <f t="shared" si="79"/>
        <v/>
      </c>
      <c r="AW138" s="116" t="str">
        <f>VLOOKUP(A138,'Updated Bios &amp; Spouse Details'!$A$1:$J$193,6,FALSE)</f>
        <v>England &amp; Scotland</v>
      </c>
      <c r="AX138" s="131">
        <f>VLOOKUP($A138,'Loyd List 1-190 - Edit'!$P$2:$AQ$220,AX$1,FALSE)</f>
        <v>136</v>
      </c>
      <c r="AY138" s="116" t="str">
        <f>IF(ISNA(VLOOKUP(A138,'Data check lookup table'!$G$2:$V$73,AY$1,FALSE))," - ",VLOOKUP(A138,'Data check lookup table'!$G$2:$V$73,AY$1,FALSE))</f>
        <v>tim.loyd@btinternet.com</v>
      </c>
      <c r="AZ138" s="147" t="str">
        <f t="shared" si="69"/>
        <v/>
      </c>
      <c r="BA138" s="99" t="str">
        <f t="shared" si="70"/>
        <v>, William (1729–1800: #1)</v>
      </c>
      <c r="BB138" s="99" t="str">
        <f t="shared" si="71"/>
        <v/>
      </c>
      <c r="BI138" s="147" t="s">
        <v>3228</v>
      </c>
    </row>
    <row r="139" spans="1:61" s="99" customFormat="1" ht="51">
      <c r="A139" s="139">
        <f>'Loyd List 1-190 - Edit'!C139</f>
        <v>137</v>
      </c>
      <c r="B139" s="99" t="str">
        <f>VLOOKUP($A139,'Loyd List 1-190 - Edit'!$C$1:$AQ$220,'Book Details - NO EDIT'!B$1,FALSE)</f>
        <v>Henrietta</v>
      </c>
      <c r="C139" s="99" t="str">
        <f>IF(VLOOKUP($A139,'Loyd List 1-190 - Edit'!$C$1:$AQ$220,'Book Details - NO EDIT'!C$1,FALSE)="","",VLOOKUP($A139,'Loyd List 1-190 - Edit'!$C$1:$AQ$220,'Book Details - NO EDIT'!C$1,FALSE))</f>
        <v>Jane</v>
      </c>
      <c r="D139" s="99" t="str">
        <f>IF(VLOOKUP($A139,'Loyd List 1-190 - Edit'!$C$1:$AQ$220,'Book Details - NO EDIT'!D$1,FALSE)="","",VLOOKUP($A139,'Loyd List 1-190 - Edit'!$C$1:$AQ$220,'Book Details - NO EDIT'!D$1,FALSE))</f>
        <v>Rachel</v>
      </c>
      <c r="E139" s="99" t="str">
        <f>IF(VLOOKUP($A139,'Loyd List 1-190 - Edit'!$C$1:$AQ$220,'Book Details - NO EDIT'!E$1,FALSE)="","",VLOOKUP($A139,'Loyd List 1-190 - Edit'!$C$1:$AQ$220,'Book Details - NO EDIT'!E$1,FALSE))</f>
        <v>LOYD</v>
      </c>
      <c r="F139" s="99" t="str">
        <f>IF(VLOOKUP($A139,'Loyd List 1-190 - Edit'!$C$1:$AQ$220,'Book Details - NO EDIT'!F$1,FALSE)="",B139,VLOOKUP($A139,'Loyd List 1-190 - Edit'!$C$1:$AQ$220,'Book Details - NO EDIT'!F$1,FALSE))</f>
        <v>Henrietta</v>
      </c>
      <c r="G139" s="140">
        <f>IF(VLOOKUP($A139,'Loyd List 1-190 - Edit'!$C$1:$AQ$220,'Book Details - NO EDIT'!G$1,FALSE)="","",VALUE(VLOOKUP($A139,'Loyd List 1-190 - Edit'!$C$1:$AQ$220,'Book Details - NO EDIT'!G$1,FALSE)))</f>
        <v>1959</v>
      </c>
      <c r="H139" s="140" t="str">
        <f>IF(VLOOKUP($A139,'Loyd List 1-190 - Edit'!$C$1:$AQ$220,'Book Details - NO EDIT'!H$1,FALSE)="","",VALUE(VLOOKUP($A139,'Loyd List 1-190 - Edit'!$C$1:$AQ$220,'Book Details - NO EDIT'!H$1,FALSE)))</f>
        <v/>
      </c>
      <c r="I139" s="141">
        <f>IF(VLOOKUP($A139,'Loyd List 1-190 - Edit'!$C$1:$AQ$220,'Book Details - NO EDIT'!I$1,FALSE)="","",(VLOOKUP($A139,'Loyd List 1-190 - Edit'!$C$1:$AQ$220,'Book Details - NO EDIT'!I$1,FALSE)))</f>
        <v>21581</v>
      </c>
      <c r="J139" s="141" t="str">
        <f>IF(VLOOKUP($A139,'Loyd List 1-190 - Edit'!$C$1:$AQ$220,'Book Details - NO EDIT'!J$1,FALSE)="","",(VLOOKUP($A139,'Loyd List 1-190 - Edit'!$C$1:$AQ$220,'Book Details - NO EDIT'!J$1,FALSE)))</f>
        <v/>
      </c>
      <c r="K139" s="100" t="str">
        <f>VLOOKUP($A139,'Loyd List 1-190 - Edit'!$C$1:$AQ$220,'Book Details - NO EDIT'!K$1,FALSE)</f>
        <v>Girl</v>
      </c>
      <c r="L139" s="140">
        <f>VLOOKUP($A139,'Loyd List 1-190 - Edit'!$C$1:$AQ$220,'Book Details - NO EDIT'!L$1,FALSE)</f>
        <v>99</v>
      </c>
      <c r="M139" s="140">
        <f t="shared" si="60"/>
        <v>66</v>
      </c>
      <c r="N139" s="140">
        <f t="shared" si="60"/>
        <v>44</v>
      </c>
      <c r="O139" s="140">
        <f t="shared" si="60"/>
        <v>23</v>
      </c>
      <c r="P139" s="140">
        <f t="shared" si="60"/>
        <v>8</v>
      </c>
      <c r="Q139" s="140">
        <f t="shared" si="60"/>
        <v>1</v>
      </c>
      <c r="R139" s="140">
        <f t="shared" si="61"/>
        <v>0</v>
      </c>
      <c r="S139" s="140" t="str">
        <f t="shared" si="62"/>
        <v/>
      </c>
      <c r="T139" s="140">
        <f t="shared" si="58"/>
        <v>6</v>
      </c>
      <c r="U139" s="139">
        <f t="shared" si="63"/>
        <v>137</v>
      </c>
      <c r="V139" s="31" t="str">
        <f t="shared" si="64"/>
        <v>Henrietta (1959–)</v>
      </c>
      <c r="W139" s="31" t="str">
        <f t="shared" si="65"/>
        <v>Henrietta (#137)</v>
      </c>
      <c r="X139" s="99" t="str">
        <f t="shared" si="66"/>
        <v>Henrietta (1959–: #137)</v>
      </c>
      <c r="Y139" s="99" t="str">
        <f t="shared" si="59"/>
        <v>Henrietta Jane Rachel LOYD</v>
      </c>
      <c r="Z139" s="99" t="str">
        <f t="shared" si="67"/>
        <v>Peter (1923–1974: #99)</v>
      </c>
      <c r="AA139" s="99" t="str">
        <f t="shared" si="72"/>
        <v xml:space="preserve">Peter (1923–1974: #99) William (1889–1947: #66) Harry (1861–1938: #44) William (1821–1885: #23) Edward (1780–1863: #8) William (1729–1800: #1)  </v>
      </c>
      <c r="AB139" s="142" t="str">
        <f>VLOOKUP(U139,'Siblings of those BORN Loyd'!$A$2:$G$230,7,FALSE)</f>
        <v xml:space="preserve">1 – Andrew (1962–: #144)       </v>
      </c>
      <c r="AC139" s="115" t="str">
        <f>IF(ISNA(IF(K139="Boy",VLOOKUP(A139,'Siblings of those BORN Loyd'!$AP$3:$AQ$70,2,FALSE),VLOOKUP(A139,'Children of Female Loyds'!$AR$5:$AT$60,3,FALSE))),AM139,IF(K139="Boy",VLOOKUP(A139,'Siblings of those BORN Loyd'!$AP$3:$AQ$70,2,FALSE),VLOOKUP(A139,'Children of Female Loyds'!$AR$5:$AT$60,3,FALSE)))</f>
        <v xml:space="preserve">1 - Honor GELL (1998 - : #137a)       </v>
      </c>
      <c r="AD139" s="97" t="str">
        <f t="shared" si="53"/>
        <v>-</v>
      </c>
      <c r="AE139" s="105" t="str">
        <f>IF(ISNA(IF(K139="Boy",VLOOKUP(A139,'Grandchildren of Male Loyds'!$AQ$3:$AS$51,3,FALSE),VLOOKUP(A139,'Grandchildren of Female Loyds'!$AX$5:$AZ$63,3,FALSE))),AM139,IF(K139="Boy",VLOOKUP(A139,'Grandchildren of Male Loyds'!$AQ$3:$AS$51,3,FALSE),VLOOKUP(A139,'Grandchildren of Female Loyds'!$AX$5:$AZ$63,3,FALSE)))</f>
        <v/>
      </c>
      <c r="AF139" s="105" t="str">
        <f>IF(ISNA(VLOOKUP(A139,'Grandchildren Loyd Daughters'!$BD$5:$BF$50,4,FALSE)),"",VLOOKUP(A139,'Grandchildren Loyd Daughters'!$BD$5:$BF$50,3,FALSE))</f>
        <v/>
      </c>
      <c r="AG139" s="129">
        <f>IF(ISNA(VLOOKUP(A139,'Grandchildren of Male Loyds'!$AQ$3:$AR$60,2,FALSE)),0,VLOOKUP(A139,'Grandchildren of Male Loyds'!$AQ$3:$AR$60,2,FALSE))+IF(ISNA(VLOOKUP(A139,'Grandchildren of Female Loyds'!$AX$5:$AY$50,2,FALSE)),0,VLOOKUP(A139,'Grandchildren of Female Loyds'!$AX$5:$AY$50,2,FALSE))+IF(ISNA(VLOOKUP(A139,'Grandchildren Loyd Daughters'!$BD$5:$BE$50,2,FALSE)),0,VLOOKUP(A139,'Grandchildren Loyd Daughters'!$BD$5:$BE$50,2,FALSE))</f>
        <v>0</v>
      </c>
      <c r="AH139" s="129" t="str">
        <f>VLOOKUP($U139,'Loyd List 1-190 - Edit'!$P$3:$AJ$220,21,FALSE)</f>
        <v>Sally Elizabeth Jane INGLIS (b. 18 Jan 1931, d. 27 Aug 2020)</v>
      </c>
      <c r="AI139" s="129" t="str">
        <f>VLOOKUP(A139,'Updated Bios &amp; Spouse Details'!$A$1:$J$200,7,FALSE)</f>
        <v>Adrian GELL (b. 11 Mar 1960, )</v>
      </c>
      <c r="AJ139" s="130">
        <f>IF(VLOOKUP($A139,'Loyd List 1-190 - Edit'!$C$1:$AQ$220,'Book Details - NO EDIT'!AJ$1,FALSE)="","",(VLOOKUP($A139,'Loyd List 1-190 - Edit'!$C$1:$AQ$220,'Book Details - NO EDIT'!AJ$1,FALSE)))</f>
        <v>34853</v>
      </c>
      <c r="AK139" s="129" t="str">
        <f>VLOOKUP(A139,'Updated Bios &amp; Spouse Details'!$A$1:$J$200,8,FALSE)</f>
        <v>Married at St Andrew’s, Kelso, Roxburghshire, Adrian elder son of Anthony GELL of Enville, Worcestershire.</v>
      </c>
      <c r="AL139" s="131" t="str">
        <f>VLOOKUP(A139,'Updated Bios &amp; Spouse Details'!$A$1:$J$200,5,FALSE)</f>
        <v>Henrietta lives in West London  and is the only daughter of Peter (1923–1974: #99). Born 31 Jan 1959 at 27 Welbeck Street, London W1. Baptised at St Peter’s, Eaton Square, London SW1. Education: Hatherop Castle, Cirencester, Gloucestershire 1971-77.  Career: Director, Cazenove &amp; Loyd Safaris from 1993. Issue: 1 daughter</v>
      </c>
      <c r="AM139" s="105" t="str">
        <f>IF(AND(LEN(H139)&gt;0,ISNA(IF(K139="Boy",VLOOKUP(A139,'Siblings of those BORN Loyd'!$AP$3:$AQ$70,2,FALSE),VLOOKUP(A139,'Children of Female Loyds'!$AR$5:$AS$60,2,FALSE)))),"d.s.p","")</f>
        <v/>
      </c>
      <c r="AN139" s="99" t="str">
        <f t="shared" si="68"/>
        <v>Peter (1923–1974: #99)</v>
      </c>
      <c r="AO139" s="99" t="str">
        <f t="shared" si="73"/>
        <v>William (1889–1947: #66)</v>
      </c>
      <c r="AP139" s="99" t="str">
        <f t="shared" si="74"/>
        <v>Harry (1861–1938: #44)</v>
      </c>
      <c r="AQ139" s="99" t="str">
        <f t="shared" si="75"/>
        <v>William (1821–1885: #23)</v>
      </c>
      <c r="AR139" s="99" t="str">
        <f t="shared" si="76"/>
        <v>Edward (1780–1863: #8)</v>
      </c>
      <c r="AS139" s="99" t="str">
        <f t="shared" si="77"/>
        <v>William (1729–1800: #1)</v>
      </c>
      <c r="AT139" s="99" t="str">
        <f t="shared" si="78"/>
        <v/>
      </c>
      <c r="AU139" s="99" t="str">
        <f t="shared" si="79"/>
        <v/>
      </c>
      <c r="AW139" s="116" t="str">
        <f>VLOOKUP(A139,'Updated Bios &amp; Spouse Details'!$A$1:$J$193,6,FALSE)</f>
        <v>England</v>
      </c>
      <c r="AX139" s="131">
        <f>VLOOKUP($A139,'Loyd List 1-190 - Edit'!$P$2:$AQ$220,AX$1,FALSE)</f>
        <v>137</v>
      </c>
      <c r="AY139" s="116" t="str">
        <f>IF(ISNA(VLOOKUP(A139,'Data check lookup table'!$G$2:$V$73,AY$1,FALSE))," - ",VLOOKUP(A139,'Data check lookup table'!$G$2:$V$73,AY$1,FALSE))</f>
        <v xml:space="preserve">henrietta@cazloyd.com </v>
      </c>
      <c r="AZ139" s="147" t="str">
        <f t="shared" si="69"/>
        <v/>
      </c>
      <c r="BA139" s="99" t="str">
        <f t="shared" si="70"/>
        <v>, William (1729–1800: #1)</v>
      </c>
      <c r="BB139" s="99" t="str">
        <f t="shared" si="71"/>
        <v/>
      </c>
      <c r="BI139" s="147" t="s">
        <v>3228</v>
      </c>
    </row>
    <row r="140" spans="1:61" s="99" customFormat="1" ht="102">
      <c r="A140" s="139">
        <f>'Loyd List 1-190 - Edit'!C140</f>
        <v>138</v>
      </c>
      <c r="B140" s="99" t="str">
        <f>VLOOKUP($A140,'Loyd List 1-190 - Edit'!$C$1:$AQ$220,'Book Details - NO EDIT'!B$1,FALSE)</f>
        <v>Thomas</v>
      </c>
      <c r="C140" s="99" t="str">
        <f>IF(VLOOKUP($A140,'Loyd List 1-190 - Edit'!$C$1:$AQ$220,'Book Details - NO EDIT'!C$1,FALSE)="","",VLOOKUP($A140,'Loyd List 1-190 - Edit'!$C$1:$AQ$220,'Book Details - NO EDIT'!C$1,FALSE))</f>
        <v>Christopher</v>
      </c>
      <c r="D140" s="99" t="str">
        <f>IF(VLOOKUP($A140,'Loyd List 1-190 - Edit'!$C$1:$AQ$220,'Book Details - NO EDIT'!D$1,FALSE)="","",VLOOKUP($A140,'Loyd List 1-190 - Edit'!$C$1:$AQ$220,'Book Details - NO EDIT'!D$1,FALSE))</f>
        <v/>
      </c>
      <c r="E140" s="99" t="str">
        <f>IF(VLOOKUP($A140,'Loyd List 1-190 - Edit'!$C$1:$AQ$220,'Book Details - NO EDIT'!E$1,FALSE)="","",VLOOKUP($A140,'Loyd List 1-190 - Edit'!$C$1:$AQ$220,'Book Details - NO EDIT'!E$1,FALSE))</f>
        <v>LOYD</v>
      </c>
      <c r="F140" s="99" t="str">
        <f>IF(VLOOKUP($A140,'Loyd List 1-190 - Edit'!$C$1:$AQ$220,'Book Details - NO EDIT'!F$1,FALSE)="",B140,VLOOKUP($A140,'Loyd List 1-190 - Edit'!$C$1:$AQ$220,'Book Details - NO EDIT'!F$1,FALSE))</f>
        <v>Thomas</v>
      </c>
      <c r="G140" s="140">
        <f>IF(VLOOKUP($A140,'Loyd List 1-190 - Edit'!$C$1:$AQ$220,'Book Details - NO EDIT'!G$1,FALSE)="","",VALUE(VLOOKUP($A140,'Loyd List 1-190 - Edit'!$C$1:$AQ$220,'Book Details - NO EDIT'!G$1,FALSE)))</f>
        <v>1959</v>
      </c>
      <c r="H140" s="140" t="str">
        <f>IF(VLOOKUP($A140,'Loyd List 1-190 - Edit'!$C$1:$AQ$220,'Book Details - NO EDIT'!H$1,FALSE)="","",VALUE(VLOOKUP($A140,'Loyd List 1-190 - Edit'!$C$1:$AQ$220,'Book Details - NO EDIT'!H$1,FALSE)))</f>
        <v/>
      </c>
      <c r="I140" s="141">
        <f>IF(VLOOKUP($A140,'Loyd List 1-190 - Edit'!$C$1:$AQ$220,'Book Details - NO EDIT'!I$1,FALSE)="","",(VLOOKUP($A140,'Loyd List 1-190 - Edit'!$C$1:$AQ$220,'Book Details - NO EDIT'!I$1,FALSE)))</f>
        <v>21602</v>
      </c>
      <c r="J140" s="141" t="str">
        <f>IF(VLOOKUP($A140,'Loyd List 1-190 - Edit'!$C$1:$AQ$220,'Book Details - NO EDIT'!J$1,FALSE)="","",(VLOOKUP($A140,'Loyd List 1-190 - Edit'!$C$1:$AQ$220,'Book Details - NO EDIT'!J$1,FALSE)))</f>
        <v/>
      </c>
      <c r="K140" s="100" t="str">
        <f>VLOOKUP($A140,'Loyd List 1-190 - Edit'!$C$1:$AQ$220,'Book Details - NO EDIT'!K$1,FALSE)</f>
        <v>Boy</v>
      </c>
      <c r="L140" s="140">
        <f>VLOOKUP($A140,'Loyd List 1-190 - Edit'!$C$1:$AQ$220,'Book Details - NO EDIT'!L$1,FALSE)</f>
        <v>100</v>
      </c>
      <c r="M140" s="140">
        <f t="shared" si="60"/>
        <v>56</v>
      </c>
      <c r="N140" s="140">
        <f t="shared" si="60"/>
        <v>28</v>
      </c>
      <c r="O140" s="140">
        <f t="shared" si="60"/>
        <v>14</v>
      </c>
      <c r="P140" s="140">
        <f t="shared" si="60"/>
        <v>4</v>
      </c>
      <c r="Q140" s="140">
        <f t="shared" si="60"/>
        <v>1</v>
      </c>
      <c r="R140" s="140">
        <f t="shared" si="61"/>
        <v>0</v>
      </c>
      <c r="S140" s="140" t="str">
        <f t="shared" si="62"/>
        <v/>
      </c>
      <c r="T140" s="140">
        <f t="shared" si="58"/>
        <v>6</v>
      </c>
      <c r="U140" s="139">
        <f t="shared" si="63"/>
        <v>138</v>
      </c>
      <c r="V140" s="31" t="str">
        <f t="shared" si="64"/>
        <v>Thomas (1959–)</v>
      </c>
      <c r="W140" s="31" t="str">
        <f t="shared" si="65"/>
        <v>Thomas (#138)</v>
      </c>
      <c r="X140" s="99" t="str">
        <f t="shared" si="66"/>
        <v>Thomas (1959–: #138)</v>
      </c>
      <c r="Y140" s="99" t="str">
        <f t="shared" si="59"/>
        <v>Thomas Christopher LOYD</v>
      </c>
      <c r="Z140" s="99" t="str">
        <f t="shared" si="67"/>
        <v>Christopher (1923–2013: #100)</v>
      </c>
      <c r="AA140" s="99" t="str">
        <f t="shared" si="72"/>
        <v xml:space="preserve">Christopher (1923–2013: #100) Tommy (1882–1944: #56) The Rev Lewis (1844–1905: #28) Thomas (1812–1857: #14) William (1770–1828: #4) William (1729–1800: #1)  </v>
      </c>
      <c r="AB140" s="142" t="str">
        <f>VLOOKUP(U140,'Siblings of those BORN Loyd'!$A$2:$G$230,7,FALSE)</f>
        <v xml:space="preserve">2 – Harriet (1962–: #143) James (1966–: #150)      </v>
      </c>
      <c r="AC140" s="115" t="str">
        <f>IF(ISNA(IF(K140="Boy",VLOOKUP(A140,'Siblings of those BORN Loyd'!$AP$3:$AQ$70,2,FALSE),VLOOKUP(A140,'Children of Female Loyds'!$AR$5:$AT$60,3,FALSE))),AM140,IF(K140="Boy",VLOOKUP(A140,'Siblings of those BORN Loyd'!$AP$3:$AQ$70,2,FALSE),VLOOKUP(A140,'Children of Female Loyds'!$AR$5:$AT$60,3,FALSE)))</f>
        <v>3 - Camilla (1988–: #168); Sophie (1989–: #170); Kit (1993–: #175)</v>
      </c>
      <c r="AD140" s="97" t="str">
        <f t="shared" si="53"/>
        <v xml:space="preserve">3 -    Nicholas POWELL (2020 - :  #168a) Florence POWELL  (2022 - :  #168b) Angus POWELL (2021 - :  #170a)            </v>
      </c>
      <c r="AE140" s="105" t="str">
        <f>IF(ISNA(IF(K140="Boy",VLOOKUP(A140,'Grandchildren of Male Loyds'!$AQ$3:$AS$51,3,FALSE),VLOOKUP(A140,'Grandchildren of Female Loyds'!$AX$5:$AZ$63,3,FALSE))),AM140,IF(K140="Boy",VLOOKUP(A140,'Grandchildren of Male Loyds'!$AQ$3:$AS$51,3,FALSE),VLOOKUP(A140,'Grandchildren of Female Loyds'!$AX$5:$AZ$63,3,FALSE)))</f>
        <v/>
      </c>
      <c r="AF140" s="105" t="str">
        <f>IF(ISNA(VLOOKUP(A140,'Grandchildren Loyd Daughters'!$BD$5:$BF$50,4,FALSE)),"",VLOOKUP(A140,'Grandchildren Loyd Daughters'!$BD$5:$BF$50,3,FALSE))</f>
        <v xml:space="preserve">Nicholas POWELL (2020 - :  #168a) Florence POWELL  (2022 - :  #168b) Angus POWELL (2021 - :  #170a)            </v>
      </c>
      <c r="AG140" s="129">
        <f>IF(ISNA(VLOOKUP(A140,'Grandchildren of Male Loyds'!$AQ$3:$AR$60,2,FALSE)),0,VLOOKUP(A140,'Grandchildren of Male Loyds'!$AQ$3:$AR$60,2,FALSE))+IF(ISNA(VLOOKUP(A140,'Grandchildren of Female Loyds'!$AX$5:$AY$50,2,FALSE)),0,VLOOKUP(A140,'Grandchildren of Female Loyds'!$AX$5:$AY$50,2,FALSE))+IF(ISNA(VLOOKUP(A140,'Grandchildren Loyd Daughters'!$BD$5:$BE$50,2,FALSE)),0,VLOOKUP(A140,'Grandchildren Loyd Daughters'!$BD$5:$BE$50,2,FALSE))</f>
        <v>3</v>
      </c>
      <c r="AH140" s="129" t="str">
        <f>VLOOKUP($U140,'Loyd List 1-190 - Edit'!$P$3:$AJ$220,21,FALSE)</f>
        <v>Joanna SMITH-BINGHAM (b. 17 Nov 1935, )</v>
      </c>
      <c r="AI140" s="129" t="str">
        <f>VLOOKUP(A140,'Updated Bios &amp; Spouse Details'!$A$1:$J$200,7,FALSE)</f>
        <v xml:space="preserve">Kirsten Mary WROUGHTON (b. 12 Dec 1959, ). </v>
      </c>
      <c r="AJ140" s="130">
        <f>IF(VLOOKUP($A140,'Loyd List 1-190 - Edit'!$C$1:$AQ$220,'Book Details - NO EDIT'!AJ$1,FALSE)="","",(VLOOKUP($A140,'Loyd List 1-190 - Edit'!$C$1:$AQ$220,'Book Details - NO EDIT'!AJ$1,FALSE)))</f>
        <v>31031</v>
      </c>
      <c r="AK140" s="129" t="str">
        <f>VLOOKUP(A140,'Updated Bios &amp; Spouse Details'!$A$1:$J$200,8,FALSE)</f>
        <v>Married Kirsten at St Mary the Virgin, Fawley, Nr Wantage,  elder daughter of Philip WROUGHTON of Woolley Park, Wantage, Oxfordshire. (2) Married Alexandra Leese MUIR (b. 1959,) on 4 Oct 2006.</v>
      </c>
      <c r="AL140" s="131" t="str">
        <f>VLOOKUP(A140,'Updated Bios &amp; Spouse Details'!$A$1:$J$200,5,FALSE)</f>
        <v xml:space="preserve">Thomas lives in Lockinge, nr Wantage, Oxfordshire. Elder son of Christopher (1923–2013:  #100). Born 21 Feb 1959. Baptised at All Saints’, Lockinge. Educated Harrow. </v>
      </c>
      <c r="AM140" s="105" t="str">
        <f>IF(AND(LEN(H140)&gt;0,ISNA(IF(K140="Boy",VLOOKUP(A140,'Siblings of those BORN Loyd'!$AP$3:$AQ$70,2,FALSE),VLOOKUP(A140,'Children of Female Loyds'!$AR$5:$AS$60,2,FALSE)))),"d.s.p","")</f>
        <v/>
      </c>
      <c r="AN140" s="99" t="str">
        <f t="shared" si="68"/>
        <v>Christopher (1923–2013: #100)</v>
      </c>
      <c r="AO140" s="99" t="str">
        <f t="shared" si="73"/>
        <v>Tommy (1882–1944: #56)</v>
      </c>
      <c r="AP140" s="99" t="str">
        <f t="shared" si="74"/>
        <v>The Rev Lewis (1844–1905: #28)</v>
      </c>
      <c r="AQ140" s="99" t="str">
        <f t="shared" si="75"/>
        <v>Thomas (1812–1857: #14)</v>
      </c>
      <c r="AR140" s="99" t="str">
        <f t="shared" si="76"/>
        <v>William (1770–1828: #4)</v>
      </c>
      <c r="AS140" s="99" t="str">
        <f t="shared" si="77"/>
        <v>William (1729–1800: #1)</v>
      </c>
      <c r="AT140" s="99" t="str">
        <f t="shared" si="78"/>
        <v/>
      </c>
      <c r="AU140" s="99" t="str">
        <f t="shared" si="79"/>
        <v/>
      </c>
      <c r="AW140" s="116" t="str">
        <f>VLOOKUP(A140,'Updated Bios &amp; Spouse Details'!$A$1:$J$193,6,FALSE)</f>
        <v>England</v>
      </c>
      <c r="AX140" s="131">
        <f>VLOOKUP($A140,'Loyd List 1-190 - Edit'!$P$2:$AQ$220,AX$1,FALSE)</f>
        <v>138</v>
      </c>
      <c r="AY140" s="116" t="str">
        <f>IF(ISNA(VLOOKUP(A140,'Data check lookup table'!$G$2:$V$73,AY$1,FALSE))," - ",VLOOKUP(A140,'Data check lookup table'!$G$2:$V$73,AY$1,FALSE))</f>
        <v>tloyd@lockinge-estate.co.uk</v>
      </c>
      <c r="AZ140" s="147" t="str">
        <f t="shared" si="69"/>
        <v/>
      </c>
      <c r="BA140" s="99" t="str">
        <f t="shared" si="70"/>
        <v>, William (1729–1800: #1)</v>
      </c>
      <c r="BB140" s="99" t="str">
        <f t="shared" si="71"/>
        <v/>
      </c>
      <c r="BI140" s="147" t="s">
        <v>3228</v>
      </c>
    </row>
    <row r="141" spans="1:61" s="99" customFormat="1" ht="153">
      <c r="A141" s="139">
        <f>'Loyd List 1-190 - Edit'!C141</f>
        <v>139</v>
      </c>
      <c r="B141" s="99" t="str">
        <f>VLOOKUP($A141,'Loyd List 1-190 - Edit'!$C$1:$AQ$220,'Book Details - NO EDIT'!B$1,FALSE)</f>
        <v>Alexander</v>
      </c>
      <c r="C141" s="99" t="str">
        <f>IF(VLOOKUP($A141,'Loyd List 1-190 - Edit'!$C$1:$AQ$220,'Book Details - NO EDIT'!C$1,FALSE)="","",VLOOKUP($A141,'Loyd List 1-190 - Edit'!$C$1:$AQ$220,'Book Details - NO EDIT'!C$1,FALSE))</f>
        <v>Benjamin</v>
      </c>
      <c r="D141" s="99" t="str">
        <f>IF(VLOOKUP($A141,'Loyd List 1-190 - Edit'!$C$1:$AQ$220,'Book Details - NO EDIT'!D$1,FALSE)="","",VLOOKUP($A141,'Loyd List 1-190 - Edit'!$C$1:$AQ$220,'Book Details - NO EDIT'!D$1,FALSE))</f>
        <v>Eteson</v>
      </c>
      <c r="E141" s="99" t="str">
        <f>IF(VLOOKUP($A141,'Loyd List 1-190 - Edit'!$C$1:$AQ$220,'Book Details - NO EDIT'!E$1,FALSE)="","",VLOOKUP($A141,'Loyd List 1-190 - Edit'!$C$1:$AQ$220,'Book Details - NO EDIT'!E$1,FALSE))</f>
        <v>LOYD</v>
      </c>
      <c r="F141" s="99" t="str">
        <f>IF(VLOOKUP($A141,'Loyd List 1-190 - Edit'!$C$1:$AQ$220,'Book Details - NO EDIT'!F$1,FALSE)="",B141,VLOOKUP($A141,'Loyd List 1-190 - Edit'!$C$1:$AQ$220,'Book Details - NO EDIT'!F$1,FALSE))</f>
        <v>Alex</v>
      </c>
      <c r="G141" s="140">
        <f>IF(VLOOKUP($A141,'Loyd List 1-190 - Edit'!$C$1:$AQ$220,'Book Details - NO EDIT'!G$1,FALSE)="","",VALUE(VLOOKUP($A141,'Loyd List 1-190 - Edit'!$C$1:$AQ$220,'Book Details - NO EDIT'!G$1,FALSE)))</f>
        <v>1959</v>
      </c>
      <c r="H141" s="140" t="str">
        <f>IF(VLOOKUP($A141,'Loyd List 1-190 - Edit'!$C$1:$AQ$220,'Book Details - NO EDIT'!H$1,FALSE)="","",VALUE(VLOOKUP($A141,'Loyd List 1-190 - Edit'!$C$1:$AQ$220,'Book Details - NO EDIT'!H$1,FALSE)))</f>
        <v/>
      </c>
      <c r="I141" s="141">
        <f>IF(VLOOKUP($A141,'Loyd List 1-190 - Edit'!$C$1:$AQ$220,'Book Details - NO EDIT'!I$1,FALSE)="","",(VLOOKUP($A141,'Loyd List 1-190 - Edit'!$C$1:$AQ$220,'Book Details - NO EDIT'!I$1,FALSE)))</f>
        <v>21628</v>
      </c>
      <c r="J141" s="141" t="str">
        <f>IF(VLOOKUP($A141,'Loyd List 1-190 - Edit'!$C$1:$AQ$220,'Book Details - NO EDIT'!J$1,FALSE)="","",(VLOOKUP($A141,'Loyd List 1-190 - Edit'!$C$1:$AQ$220,'Book Details - NO EDIT'!J$1,FALSE)))</f>
        <v/>
      </c>
      <c r="K141" s="100" t="str">
        <f>VLOOKUP($A141,'Loyd List 1-190 - Edit'!$C$1:$AQ$220,'Book Details - NO EDIT'!K$1,FALSE)</f>
        <v>Boy</v>
      </c>
      <c r="L141" s="140">
        <f>VLOOKUP($A141,'Loyd List 1-190 - Edit'!$C$1:$AQ$220,'Book Details - NO EDIT'!L$1,FALSE)</f>
        <v>94</v>
      </c>
      <c r="M141" s="140">
        <f t="shared" si="60"/>
        <v>68</v>
      </c>
      <c r="N141" s="140">
        <f t="shared" si="60"/>
        <v>45</v>
      </c>
      <c r="O141" s="140">
        <f t="shared" si="60"/>
        <v>22</v>
      </c>
      <c r="P141" s="140">
        <f t="shared" si="60"/>
        <v>8</v>
      </c>
      <c r="Q141" s="140">
        <f t="shared" si="60"/>
        <v>1</v>
      </c>
      <c r="R141" s="140">
        <f t="shared" si="61"/>
        <v>0</v>
      </c>
      <c r="S141" s="140" t="str">
        <f t="shared" si="62"/>
        <v/>
      </c>
      <c r="T141" s="140">
        <f t="shared" si="58"/>
        <v>6</v>
      </c>
      <c r="U141" s="139">
        <f t="shared" si="63"/>
        <v>139</v>
      </c>
      <c r="V141" s="31" t="str">
        <f t="shared" si="64"/>
        <v>Alex (1959–)</v>
      </c>
      <c r="W141" s="31" t="str">
        <f t="shared" si="65"/>
        <v>Alex (#139)</v>
      </c>
      <c r="X141" s="99" t="str">
        <f t="shared" si="66"/>
        <v>Alex (1959–: #139)</v>
      </c>
      <c r="Y141" s="99" t="str">
        <f t="shared" si="59"/>
        <v>Alexander Benjamin Eteson LOYD</v>
      </c>
      <c r="Z141" s="99" t="str">
        <f t="shared" si="67"/>
        <v>Alwyne (1920–2014: #94)</v>
      </c>
      <c r="AA141" s="99" t="str">
        <f t="shared" si="72"/>
        <v xml:space="preserve">Alwyne (1920–2014: #94) Cecil (1890–1963: #68) Llewellyn (1861–1939: #45) Edward (1820–1890: #22) Edward (1780–1863: #8) William (1729–1800: #1)  </v>
      </c>
      <c r="AB141" s="142" t="str">
        <f>VLOOKUP(U141,'Siblings of those BORN Loyd'!$A$2:$G$230,7,FALSE)</f>
        <v xml:space="preserve">5 – Rob (1949–: #124) Paddy (1951–: #126) Dominic (1953–: #131) Tim (1957–: #136)  Rick (1962–: #142)   </v>
      </c>
      <c r="AC141" s="115" t="str">
        <f>IF(ISNA(IF(K141="Boy",VLOOKUP(A141,'Siblings of those BORN Loyd'!$AP$3:$AQ$70,2,FALSE),VLOOKUP(A141,'Children of Female Loyds'!$AR$5:$AT$60,3,FALSE))),AM141,IF(K141="Boy",VLOOKUP(A141,'Siblings of those BORN Loyd'!$AP$3:$AQ$70,2,FALSE),VLOOKUP(A141,'Children of Female Loyds'!$AR$5:$AT$60,3,FALSE)))</f>
        <v/>
      </c>
      <c r="AD141" s="97" t="str">
        <f t="shared" si="53"/>
        <v>-</v>
      </c>
      <c r="AE141" s="105" t="str">
        <f>IF(ISNA(IF(K141="Boy",VLOOKUP(A141,'Grandchildren of Male Loyds'!$AQ$3:$AS$51,3,FALSE),VLOOKUP(A141,'Grandchildren of Female Loyds'!$AX$5:$AZ$63,3,FALSE))),AM141,IF(K141="Boy",VLOOKUP(A141,'Grandchildren of Male Loyds'!$AQ$3:$AS$51,3,FALSE),VLOOKUP(A141,'Grandchildren of Female Loyds'!$AX$5:$AZ$63,3,FALSE)))</f>
        <v/>
      </c>
      <c r="AF141" s="105" t="str">
        <f>IF(ISNA(VLOOKUP(A141,'Grandchildren Loyd Daughters'!$BD$5:$BF$50,4,FALSE)),"",VLOOKUP(A141,'Grandchildren Loyd Daughters'!$BD$5:$BF$50,3,FALSE))</f>
        <v/>
      </c>
      <c r="AG141" s="129">
        <f>IF(ISNA(VLOOKUP(A141,'Grandchildren of Male Loyds'!$AQ$3:$AR$60,2,FALSE)),0,VLOOKUP(A141,'Grandchildren of Male Loyds'!$AQ$3:$AR$60,2,FALSE))+IF(ISNA(VLOOKUP(A141,'Grandchildren of Female Loyds'!$AX$5:$AY$50,2,FALSE)),0,VLOOKUP(A141,'Grandchildren of Female Loyds'!$AX$5:$AY$50,2,FALSE))+IF(ISNA(VLOOKUP(A141,'Grandchildren Loyd Daughters'!$BD$5:$BE$50,2,FALSE)),0,VLOOKUP(A141,'Grandchildren Loyd Daughters'!$BD$5:$BE$50,2,FALSE))</f>
        <v>0</v>
      </c>
      <c r="AH141" s="129" t="str">
        <f>VLOOKUP($U141,'Loyd List 1-190 - Edit'!$P$3:$AJ$220,21,FALSE)</f>
        <v>Alison Fraser PORTER (b. 21 Feb 1920, d. 6 Sep 2003)</v>
      </c>
      <c r="AI141" s="129" t="str">
        <f>VLOOKUP(A141,'Updated Bios &amp; Spouse Details'!$A$1:$J$200,7,FALSE)</f>
        <v>Magdalene Mary (Dalene) McSHANE (b. 22 Jul 1956, )</v>
      </c>
      <c r="AJ141" s="130">
        <f>IF(VLOOKUP($A141,'Loyd List 1-190 - Edit'!$C$1:$AQ$220,'Book Details - NO EDIT'!AJ$1,FALSE)="","",(VLOOKUP($A141,'Loyd List 1-190 - Edit'!$C$1:$AQ$220,'Book Details - NO EDIT'!AJ$1,FALSE)))</f>
        <v>35423</v>
      </c>
      <c r="AK141" s="129" t="str">
        <f>VLOOKUP(A141,'Updated Bios &amp; Spouse Details'!$A$1:$J$200,8,FALSE)</f>
        <v>Married at Kings Park, Perth, Western Australia, Dalene, youngest daughter of James Patrick (b. 1912, d. 1988) and Frances McSHANE of Clounden, Co. Durham. Education BA(Hons) Sociology &amp; Social Policy; Post Grad Qualification in Social Work; MA Sociology; MEd in Higher Education and PhD in Sociological Concepts.</v>
      </c>
      <c r="AL141" s="131" t="str">
        <f>VLOOKUP(A141,'Updated Bios &amp; Spouse Details'!$A$1:$J$200,5,FALSE)</f>
        <v xml:space="preserve">Alex lives in Banham, Norfolk, previously of North London and is the 5th son of Alwyne (1920–2014: #94). Born 19 Mar 1959 at Burton-on-Trent Infirmary. Baptised 17 May 1959 at St Aiden’s, Shobnall, Burton-on-Trent by the Rev Harold SPRIGGS.  Career: Marine Engineer, Royal Navy 1978-1987; Building Administrator, Data Logic 1987-92; Facilities Manager, Chesterton/Workplace Management from 1992–2014; from 2015, Owner and proprietor, Olde Farm Holiday Cottages. Freeman of Goldsmiths’ Company 1981. Assc BIFM 1990. Alex holds a NEBOSH certficate, a qualification in Occupational Health and Safety.
</v>
      </c>
      <c r="AM141" s="105" t="str">
        <f>IF(AND(LEN(H141)&gt;0,ISNA(IF(K141="Boy",VLOOKUP(A141,'Siblings of those BORN Loyd'!$AP$3:$AQ$70,2,FALSE),VLOOKUP(A141,'Children of Female Loyds'!$AR$5:$AS$60,2,FALSE)))),"d.s.p","")</f>
        <v/>
      </c>
      <c r="AN141" s="99" t="str">
        <f t="shared" si="68"/>
        <v>Alwyne (1920–2014: #94)</v>
      </c>
      <c r="AO141" s="99" t="str">
        <f t="shared" si="73"/>
        <v>Cecil (1890–1963: #68)</v>
      </c>
      <c r="AP141" s="99" t="str">
        <f t="shared" si="74"/>
        <v>Llewellyn (1861–1939: #45)</v>
      </c>
      <c r="AQ141" s="99" t="str">
        <f t="shared" si="75"/>
        <v>Edward (1820–1890: #22)</v>
      </c>
      <c r="AR141" s="99" t="str">
        <f t="shared" si="76"/>
        <v>Edward (1780–1863: #8)</v>
      </c>
      <c r="AS141" s="99" t="str">
        <f t="shared" si="77"/>
        <v>William (1729–1800: #1)</v>
      </c>
      <c r="AT141" s="99" t="str">
        <f t="shared" si="78"/>
        <v/>
      </c>
      <c r="AU141" s="99" t="str">
        <f t="shared" si="79"/>
        <v/>
      </c>
      <c r="AW141" s="116" t="str">
        <f>VLOOKUP(A141,'Updated Bios &amp; Spouse Details'!$A$1:$J$193,6,FALSE)</f>
        <v>England</v>
      </c>
      <c r="AX141" s="131">
        <f>VLOOKUP($A141,'Loyd List 1-190 - Edit'!$P$2:$AQ$220,AX$1,FALSE)</f>
        <v>139</v>
      </c>
      <c r="AY141" s="116" t="str">
        <f>IF(ISNA(VLOOKUP(A141,'Data check lookup table'!$G$2:$V$73,AY$1,FALSE))," - ",VLOOKUP(A141,'Data check lookup table'!$G$2:$V$73,AY$1,FALSE))</f>
        <v>abloyd@aol.co.uk</v>
      </c>
      <c r="AZ141" s="147" t="str">
        <f t="shared" si="69"/>
        <v/>
      </c>
      <c r="BA141" s="99" t="str">
        <f t="shared" si="70"/>
        <v>, William (1729–1800: #1)</v>
      </c>
      <c r="BB141" s="99" t="str">
        <f t="shared" si="71"/>
        <v/>
      </c>
      <c r="BI141" s="147" t="s">
        <v>3228</v>
      </c>
    </row>
    <row r="142" spans="1:61" s="99" customFormat="1" ht="136">
      <c r="A142" s="139">
        <f>'Loyd List 1-190 - Edit'!C142</f>
        <v>140</v>
      </c>
      <c r="B142" s="99" t="str">
        <f>VLOOKUP($A142,'Loyd List 1-190 - Edit'!$C$1:$AQ$220,'Book Details - NO EDIT'!B$1,FALSE)</f>
        <v>Virginia</v>
      </c>
      <c r="C142" s="99" t="str">
        <f>IF(VLOOKUP($A142,'Loyd List 1-190 - Edit'!$C$1:$AQ$220,'Book Details - NO EDIT'!C$1,FALSE)="","",VLOOKUP($A142,'Loyd List 1-190 - Edit'!$C$1:$AQ$220,'Book Details - NO EDIT'!C$1,FALSE))</f>
        <v>Diana</v>
      </c>
      <c r="D142" s="99" t="str">
        <f>IF(VLOOKUP($A142,'Loyd List 1-190 - Edit'!$C$1:$AQ$220,'Book Details - NO EDIT'!D$1,FALSE)="","",VLOOKUP($A142,'Loyd List 1-190 - Edit'!$C$1:$AQ$220,'Book Details - NO EDIT'!D$1,FALSE))</f>
        <v>Jemima</v>
      </c>
      <c r="E142" s="99" t="str">
        <f>IF(VLOOKUP($A142,'Loyd List 1-190 - Edit'!$C$1:$AQ$220,'Book Details - NO EDIT'!E$1,FALSE)="","",VLOOKUP($A142,'Loyd List 1-190 - Edit'!$C$1:$AQ$220,'Book Details - NO EDIT'!E$1,FALSE))</f>
        <v>LOYD</v>
      </c>
      <c r="F142" s="99" t="str">
        <f>IF(VLOOKUP($A142,'Loyd List 1-190 - Edit'!$C$1:$AQ$220,'Book Details - NO EDIT'!F$1,FALSE)="",B142,VLOOKUP($A142,'Loyd List 1-190 - Edit'!$C$1:$AQ$220,'Book Details - NO EDIT'!F$1,FALSE))</f>
        <v>Ginie</v>
      </c>
      <c r="G142" s="140">
        <f>IF(VLOOKUP($A142,'Loyd List 1-190 - Edit'!$C$1:$AQ$220,'Book Details - NO EDIT'!G$1,FALSE)="","",VALUE(VLOOKUP($A142,'Loyd List 1-190 - Edit'!$C$1:$AQ$220,'Book Details - NO EDIT'!G$1,FALSE)))</f>
        <v>1961</v>
      </c>
      <c r="H142" s="140" t="str">
        <f>IF(VLOOKUP($A142,'Loyd List 1-190 - Edit'!$C$1:$AQ$220,'Book Details - NO EDIT'!H$1,FALSE)="","",VALUE(VLOOKUP($A142,'Loyd List 1-190 - Edit'!$C$1:$AQ$220,'Book Details - NO EDIT'!H$1,FALSE)))</f>
        <v/>
      </c>
      <c r="I142" s="141">
        <f>IF(VLOOKUP($A142,'Loyd List 1-190 - Edit'!$C$1:$AQ$220,'Book Details - NO EDIT'!I$1,FALSE)="","",(VLOOKUP($A142,'Loyd List 1-190 - Edit'!$C$1:$AQ$220,'Book Details - NO EDIT'!I$1,FALSE)))</f>
        <v>22520</v>
      </c>
      <c r="J142" s="141" t="str">
        <f>IF(VLOOKUP($A142,'Loyd List 1-190 - Edit'!$C$1:$AQ$220,'Book Details - NO EDIT'!J$1,FALSE)="","",(VLOOKUP($A142,'Loyd List 1-190 - Edit'!$C$1:$AQ$220,'Book Details - NO EDIT'!J$1,FALSE)))</f>
        <v/>
      </c>
      <c r="K142" s="100" t="str">
        <f>VLOOKUP($A142,'Loyd List 1-190 - Edit'!$C$1:$AQ$220,'Book Details - NO EDIT'!K$1,FALSE)</f>
        <v>Girl</v>
      </c>
      <c r="L142" s="140">
        <f>VLOOKUP($A142,'Loyd List 1-190 - Edit'!$C$1:$AQ$220,'Book Details - NO EDIT'!L$1,FALSE)</f>
        <v>78</v>
      </c>
      <c r="M142" s="140">
        <f t="shared" si="60"/>
        <v>46</v>
      </c>
      <c r="N142" s="140">
        <f t="shared" si="60"/>
        <v>23</v>
      </c>
      <c r="O142" s="140">
        <f t="shared" si="60"/>
        <v>8</v>
      </c>
      <c r="P142" s="140">
        <f t="shared" si="60"/>
        <v>1</v>
      </c>
      <c r="Q142" s="140">
        <f t="shared" si="60"/>
        <v>0</v>
      </c>
      <c r="R142" s="140" t="str">
        <f t="shared" si="61"/>
        <v/>
      </c>
      <c r="S142" s="140" t="str">
        <f t="shared" si="62"/>
        <v/>
      </c>
      <c r="T142" s="140">
        <f t="shared" si="58"/>
        <v>5</v>
      </c>
      <c r="U142" s="139">
        <f t="shared" si="63"/>
        <v>140</v>
      </c>
      <c r="V142" s="31" t="str">
        <f t="shared" si="64"/>
        <v>Ginie (1961–)</v>
      </c>
      <c r="W142" s="31" t="str">
        <f t="shared" si="65"/>
        <v>Ginie (#140)</v>
      </c>
      <c r="X142" s="99" t="str">
        <f t="shared" si="66"/>
        <v>Ginie (1961–: #140)</v>
      </c>
      <c r="Y142" s="99" t="str">
        <f t="shared" si="59"/>
        <v>Virginia Diana Jemima LOYD</v>
      </c>
      <c r="Z142" s="99" t="str">
        <f t="shared" si="67"/>
        <v>Vivian (1894–1972: #78)</v>
      </c>
      <c r="AA142" s="99" t="str">
        <f t="shared" si="72"/>
        <v xml:space="preserve">Vivian (1894–1972: #78) William (1863–1923: #46) William (1821–1885: #23) Edward (1780–1863: #8) William (1729–1800: #1)   </v>
      </c>
      <c r="AB142" s="142" t="str">
        <f>VLOOKUP(U142,'Siblings of those BORN Loyd'!$A$2:$G$230,7,FALSE)</f>
        <v xml:space="preserve">3 – Willie (1937–1994: #113) Belinda (1939–2018: #115) Vivian (1951–: #127)      </v>
      </c>
      <c r="AC142" s="115" t="str">
        <f>IF(ISNA(IF(K142="Boy",VLOOKUP(A142,'Siblings of those BORN Loyd'!$AP$3:$AQ$70,2,FALSE),VLOOKUP(A142,'Children of Female Loyds'!$AR$5:$AT$60,3,FALSE))),AM142,IF(K142="Boy",VLOOKUP(A142,'Siblings of those BORN Loyd'!$AP$3:$AQ$70,2,FALSE),VLOOKUP(A142,'Children of Female Loyds'!$AR$5:$AT$60,3,FALSE)))</f>
        <v xml:space="preserve">2 - Daisy MILLER (1995 - : #140a) Violet MILLER (1995 - : #140b)      </v>
      </c>
      <c r="AD142" s="97" t="str">
        <f t="shared" si="53"/>
        <v>-</v>
      </c>
      <c r="AE142" s="105" t="str">
        <f>IF(ISNA(IF(K142="Boy",VLOOKUP(A142,'Grandchildren of Male Loyds'!$AQ$3:$AS$51,3,FALSE),VLOOKUP(A142,'Grandchildren of Female Loyds'!$AX$5:$AZ$63,3,FALSE))),AM142,IF(K142="Boy",VLOOKUP(A142,'Grandchildren of Male Loyds'!$AQ$3:$AS$51,3,FALSE),VLOOKUP(A142,'Grandchildren of Female Loyds'!$AX$5:$AZ$63,3,FALSE)))</f>
        <v/>
      </c>
      <c r="AF142" s="105" t="str">
        <f>IF(ISNA(VLOOKUP(A142,'Grandchildren Loyd Daughters'!$BD$5:$BF$50,4,FALSE)),"",VLOOKUP(A142,'Grandchildren Loyd Daughters'!$BD$5:$BF$50,3,FALSE))</f>
        <v/>
      </c>
      <c r="AG142" s="129">
        <f>IF(ISNA(VLOOKUP(A142,'Grandchildren of Male Loyds'!$AQ$3:$AR$60,2,FALSE)),0,VLOOKUP(A142,'Grandchildren of Male Loyds'!$AQ$3:$AR$60,2,FALSE))+IF(ISNA(VLOOKUP(A142,'Grandchildren of Female Loyds'!$AX$5:$AY$50,2,FALSE)),0,VLOOKUP(A142,'Grandchildren of Female Loyds'!$AX$5:$AY$50,2,FALSE))+IF(ISNA(VLOOKUP(A142,'Grandchildren Loyd Daughters'!$BD$5:$BE$50,2,FALSE)),0,VLOOKUP(A142,'Grandchildren Loyd Daughters'!$BD$5:$BE$50,2,FALSE))</f>
        <v>0</v>
      </c>
      <c r="AH142" s="129" t="str">
        <f>VLOOKUP($U142,'Loyd List 1-190 - Edit'!$P$3:$AJ$220,21,FALSE)</f>
        <v>Veronica Elizabeth HAYNES (b. 4 Dec 1926, )</v>
      </c>
      <c r="AI142" s="129" t="str">
        <f>VLOOKUP(A142,'Updated Bios &amp; Spouse Details'!$A$1:$J$200,7,FALSE)</f>
        <v>George Andrew Lang MILLER (b. 22 Nov 1944, )</v>
      </c>
      <c r="AJ142" s="130">
        <f>IF(VLOOKUP($A142,'Loyd List 1-190 - Edit'!$C$1:$AQ$220,'Book Details - NO EDIT'!AJ$1,FALSE)="","",(VLOOKUP($A142,'Loyd List 1-190 - Edit'!$C$1:$AQ$220,'Book Details - NO EDIT'!AJ$1,FALSE)))</f>
        <v>33684</v>
      </c>
      <c r="AK142" s="129" t="str">
        <f>VLOOKUP(A142,'Updated Bios &amp; Spouse Details'!$A$1:$J$200,8,FALSE)</f>
        <v>Married at  St Peter and St Paul’s, Barkestone Le Vale, Leicestershire, George, known as Andrew, son of George William MILLER (b. 11 Feb 1909, ) of Cherry Tree Farm, Plungar, Leicestershire. Andrew born at Cherry Tree Farm and George born at Beech Farm, Shellford, Nottinghamshire.</v>
      </c>
      <c r="AL142" s="131" t="str">
        <f>VLOOKUP(A142,'Updated Bios &amp; Spouse Details'!$A$1:$J$200,5,FALSE)</f>
        <v>Ginie lives in Devon, previously of Barkestone Le Vale, Leicestershire and is the younger daughter of Vivian (1894–1972: #78). Born 27 Aug 1961 at Princess Christian Nursing Home, Windsor, Berkshire. Baptised at the Parish Church, Old Sunningdale, Berkshire. Educatation: Bedgebury Park, Goudhurst, Kent 1974-77; Winkfield Place Domestic Science College 1978-79 (Dip Floristry &amp; Cooking) and Clarendon College, Nottingham (TEFL).</v>
      </c>
      <c r="AM142" s="105" t="str">
        <f>IF(AND(LEN(H142)&gt;0,ISNA(IF(K142="Boy",VLOOKUP(A142,'Siblings of those BORN Loyd'!$AP$3:$AQ$70,2,FALSE),VLOOKUP(A142,'Children of Female Loyds'!$AR$5:$AS$60,2,FALSE)))),"d.s.p","")</f>
        <v/>
      </c>
      <c r="AN142" s="99" t="str">
        <f t="shared" si="68"/>
        <v>Vivian (1894–1972: #78)</v>
      </c>
      <c r="AO142" s="99" t="str">
        <f t="shared" si="73"/>
        <v>William (1863–1923: #46)</v>
      </c>
      <c r="AP142" s="99" t="str">
        <f t="shared" si="74"/>
        <v>William (1821–1885: #23)</v>
      </c>
      <c r="AQ142" s="99" t="str">
        <f t="shared" si="75"/>
        <v>Edward (1780–1863: #8)</v>
      </c>
      <c r="AR142" s="99" t="str">
        <f t="shared" si="76"/>
        <v>William (1729–1800: #1)</v>
      </c>
      <c r="AS142" s="99" t="str">
        <f t="shared" si="77"/>
        <v/>
      </c>
      <c r="AT142" s="99" t="str">
        <f t="shared" si="78"/>
        <v/>
      </c>
      <c r="AU142" s="99" t="str">
        <f t="shared" si="79"/>
        <v/>
      </c>
      <c r="AW142" s="116" t="str">
        <f>VLOOKUP(A142,'Updated Bios &amp; Spouse Details'!$A$1:$J$193,6,FALSE)</f>
        <v>England</v>
      </c>
      <c r="AX142" s="131">
        <f>VLOOKUP($A142,'Loyd List 1-190 - Edit'!$P$2:$AQ$220,AX$1,FALSE)</f>
        <v>140</v>
      </c>
      <c r="AY142" s="116" t="str">
        <f>IF(ISNA(VLOOKUP(A142,'Data check lookup table'!$G$2:$V$73,AY$1,FALSE))," - ",VLOOKUP(A142,'Data check lookup table'!$G$2:$V$73,AY$1,FALSE))</f>
        <v>cherrytreefarms@gmail.com</v>
      </c>
      <c r="AZ142" s="147" t="str">
        <f t="shared" si="69"/>
        <v/>
      </c>
      <c r="BA142" s="99" t="str">
        <f t="shared" si="70"/>
        <v/>
      </c>
      <c r="BB142" s="99" t="str">
        <f t="shared" si="71"/>
        <v/>
      </c>
      <c r="BI142" s="147" t="s">
        <v>3228</v>
      </c>
    </row>
    <row r="143" spans="1:61" s="99" customFormat="1" ht="68">
      <c r="A143" s="139">
        <f>'Loyd List 1-190 - Edit'!C143</f>
        <v>141</v>
      </c>
      <c r="B143" s="99" t="str">
        <f>VLOOKUP($A143,'Loyd List 1-190 - Edit'!$C$1:$AQ$220,'Book Details - NO EDIT'!B$1,FALSE)</f>
        <v>Alexandra</v>
      </c>
      <c r="C143" s="99" t="str">
        <f>IF(VLOOKUP($A143,'Loyd List 1-190 - Edit'!$C$1:$AQ$220,'Book Details - NO EDIT'!C$1,FALSE)="","",VLOOKUP($A143,'Loyd List 1-190 - Edit'!$C$1:$AQ$220,'Book Details - NO EDIT'!C$1,FALSE))</f>
        <v>Mary</v>
      </c>
      <c r="D143" s="99" t="str">
        <f>IF(VLOOKUP($A143,'Loyd List 1-190 - Edit'!$C$1:$AQ$220,'Book Details - NO EDIT'!D$1,FALSE)="","",VLOOKUP($A143,'Loyd List 1-190 - Edit'!$C$1:$AQ$220,'Book Details - NO EDIT'!D$1,FALSE))</f>
        <v/>
      </c>
      <c r="E143" s="99" t="str">
        <f>IF(VLOOKUP($A143,'Loyd List 1-190 - Edit'!$C$1:$AQ$220,'Book Details - NO EDIT'!E$1,FALSE)="","",VLOOKUP($A143,'Loyd List 1-190 - Edit'!$C$1:$AQ$220,'Book Details - NO EDIT'!E$1,FALSE))</f>
        <v>LOYD</v>
      </c>
      <c r="F143" s="99" t="str">
        <f>IF(VLOOKUP($A143,'Loyd List 1-190 - Edit'!$C$1:$AQ$220,'Book Details - NO EDIT'!F$1,FALSE)="",B143,VLOOKUP($A143,'Loyd List 1-190 - Edit'!$C$1:$AQ$220,'Book Details - NO EDIT'!F$1,FALSE))</f>
        <v>Alexandra</v>
      </c>
      <c r="G143" s="140">
        <f>IF(VLOOKUP($A143,'Loyd List 1-190 - Edit'!$C$1:$AQ$220,'Book Details - NO EDIT'!G$1,FALSE)="","",VALUE(VLOOKUP($A143,'Loyd List 1-190 - Edit'!$C$1:$AQ$220,'Book Details - NO EDIT'!G$1,FALSE)))</f>
        <v>1961</v>
      </c>
      <c r="H143" s="140" t="str">
        <f>IF(VLOOKUP($A143,'Loyd List 1-190 - Edit'!$C$1:$AQ$220,'Book Details - NO EDIT'!H$1,FALSE)="","",VALUE(VLOOKUP($A143,'Loyd List 1-190 - Edit'!$C$1:$AQ$220,'Book Details - NO EDIT'!H$1,FALSE)))</f>
        <v/>
      </c>
      <c r="I143" s="141">
        <f>IF(VLOOKUP($A143,'Loyd List 1-190 - Edit'!$C$1:$AQ$220,'Book Details - NO EDIT'!I$1,FALSE)="","",(VLOOKUP($A143,'Loyd List 1-190 - Edit'!$C$1:$AQ$220,'Book Details - NO EDIT'!I$1,FALSE)))</f>
        <v>22568</v>
      </c>
      <c r="J143" s="141" t="str">
        <f>IF(VLOOKUP($A143,'Loyd List 1-190 - Edit'!$C$1:$AQ$220,'Book Details - NO EDIT'!J$1,FALSE)="","",(VLOOKUP($A143,'Loyd List 1-190 - Edit'!$C$1:$AQ$220,'Book Details - NO EDIT'!J$1,FALSE)))</f>
        <v/>
      </c>
      <c r="K143" s="100" t="str">
        <f>VLOOKUP($A143,'Loyd List 1-190 - Edit'!$C$1:$AQ$220,'Book Details - NO EDIT'!K$1,FALSE)</f>
        <v>Girl</v>
      </c>
      <c r="L143" s="140">
        <f>VLOOKUP($A143,'Loyd List 1-190 - Edit'!$C$1:$AQ$220,'Book Details - NO EDIT'!L$1,FALSE)</f>
        <v>104</v>
      </c>
      <c r="M143" s="140">
        <f t="shared" si="60"/>
        <v>72</v>
      </c>
      <c r="N143" s="140">
        <f t="shared" si="60"/>
        <v>44</v>
      </c>
      <c r="O143" s="140">
        <f t="shared" si="60"/>
        <v>23</v>
      </c>
      <c r="P143" s="140">
        <f t="shared" si="60"/>
        <v>8</v>
      </c>
      <c r="Q143" s="140">
        <f t="shared" ref="Q143:Q192" si="80">IF(ISNA(VLOOKUP(P143,$A$3:$L$220,Q$1,FALSE)),"",(VLOOKUP(P143,$A$3:$L$220,Q$1,FALSE)))</f>
        <v>1</v>
      </c>
      <c r="R143" s="140">
        <f t="shared" si="61"/>
        <v>0</v>
      </c>
      <c r="S143" s="140" t="str">
        <f t="shared" si="62"/>
        <v/>
      </c>
      <c r="T143" s="140">
        <f t="shared" si="58"/>
        <v>6</v>
      </c>
      <c r="U143" s="139">
        <f t="shared" si="63"/>
        <v>141</v>
      </c>
      <c r="V143" s="31" t="str">
        <f t="shared" si="64"/>
        <v>Alexandra (1961–)</v>
      </c>
      <c r="W143" s="31" t="str">
        <f t="shared" si="65"/>
        <v>Alexandra (#141)</v>
      </c>
      <c r="X143" s="99" t="str">
        <f t="shared" si="66"/>
        <v>Alexandra (1961–: #141)</v>
      </c>
      <c r="Y143" s="99" t="str">
        <f t="shared" si="59"/>
        <v>Alexandra Mary LOYD</v>
      </c>
      <c r="Z143" s="99" t="str">
        <f t="shared" si="67"/>
        <v>Sir Julian (1926–2018: #104)</v>
      </c>
      <c r="AA143" s="99" t="str">
        <f t="shared" si="72"/>
        <v xml:space="preserve">Sir Julian (1926–2018: #104) Charles (1891–1973: #72) Harry (1861–1938: #44) William (1821–1885: #23) Edward (1780–1863: #8) William (1729–1800: #1)  </v>
      </c>
      <c r="AB143" s="142" t="str">
        <f>VLOOKUP(U143,'Siblings of those BORN Loyd'!$A$2:$G$230,7,FALSE)</f>
        <v xml:space="preserve">3 – Charles (1963–: #146) Toby (1966–1966: #148) Mary Rose (1967–: #152)     </v>
      </c>
      <c r="AC143" s="115" t="str">
        <f>IF(ISNA(IF(K143="Boy",VLOOKUP(A143,'Siblings of those BORN Loyd'!$AP$3:$AQ$70,2,FALSE),VLOOKUP(A143,'Children of Female Loyds'!$AR$5:$AT$60,3,FALSE))),AM143,IF(K143="Boy",VLOOKUP(A143,'Siblings of those BORN Loyd'!$AP$3:$AQ$70,2,FALSE),VLOOKUP(A143,'Children of Female Loyds'!$AR$5:$AT$60,3,FALSE)))</f>
        <v xml:space="preserve">2 - Letty BYATT (1996 - : #141a) Harry BYATT (1998 - 2017: #141b)      </v>
      </c>
      <c r="AD143" s="97" t="str">
        <f t="shared" si="53"/>
        <v>-</v>
      </c>
      <c r="AE143" s="105" t="str">
        <f>IF(ISNA(IF(K143="Boy",VLOOKUP(A143,'Grandchildren of Male Loyds'!$AQ$3:$AS$51,3,FALSE),VLOOKUP(A143,'Grandchildren of Female Loyds'!$AX$5:$AZ$63,3,FALSE))),AM143,IF(K143="Boy",VLOOKUP(A143,'Grandchildren of Male Loyds'!$AQ$3:$AS$51,3,FALSE),VLOOKUP(A143,'Grandchildren of Female Loyds'!$AX$5:$AZ$63,3,FALSE)))</f>
        <v/>
      </c>
      <c r="AF143" s="105" t="str">
        <f>IF(ISNA(VLOOKUP(A143,'Grandchildren Loyd Daughters'!$BD$5:$BF$50,4,FALSE)),"",VLOOKUP(A143,'Grandchildren Loyd Daughters'!$BD$5:$BF$50,3,FALSE))</f>
        <v/>
      </c>
      <c r="AG143" s="129">
        <f>IF(ISNA(VLOOKUP(A143,'Grandchildren of Male Loyds'!$AQ$3:$AR$60,2,FALSE)),0,VLOOKUP(A143,'Grandchildren of Male Loyds'!$AQ$3:$AR$60,2,FALSE))+IF(ISNA(VLOOKUP(A143,'Grandchildren of Female Loyds'!$AX$5:$AY$50,2,FALSE)),0,VLOOKUP(A143,'Grandchildren of Female Loyds'!$AX$5:$AY$50,2,FALSE))+IF(ISNA(VLOOKUP(A143,'Grandchildren Loyd Daughters'!$BD$5:$BE$50,2,FALSE)),0,VLOOKUP(A143,'Grandchildren Loyd Daughters'!$BD$5:$BE$50,2,FALSE))</f>
        <v>0</v>
      </c>
      <c r="AH143" s="129" t="str">
        <f>VLOOKUP($U143,'Loyd List 1-190 - Edit'!$P$3:$AJ$220,21,FALSE)</f>
        <v>Philippa Mary Emma STEEL (b. 5 Dec 1932, d. 27 Oct 2020)</v>
      </c>
      <c r="AI143" s="129" t="str">
        <f>VLOOKUP(A143,'Updated Bios &amp; Spouse Details'!$A$1:$J$200,7,FALSE)</f>
        <v>Duncan Ian Arthur Campbell BYATT (b. 24 Jan 1962, )</v>
      </c>
      <c r="AJ143" s="130">
        <f>IF(VLOOKUP($A143,'Loyd List 1-190 - Edit'!$C$1:$AQ$220,'Book Details - NO EDIT'!AJ$1,FALSE)="","",(VLOOKUP($A143,'Loyd List 1-190 - Edit'!$C$1:$AQ$220,'Book Details - NO EDIT'!AJ$1,FALSE)))</f>
        <v>34741</v>
      </c>
      <c r="AK143" s="129" t="str">
        <f>VLOOKUP(A143,'Updated Bios &amp; Spouse Details'!$A$1:$J$200,8,FALSE)</f>
        <v>Married Duncan, at St Peter’s, Wolferton, King’s Lynn, Norfolk, younger son of Sir Hugh BYATT of Leargnahension, Tarbert, Argyll.</v>
      </c>
      <c r="AL143" s="131" t="str">
        <f>VLOOKUP(A143,'Updated Bios &amp; Spouse Details'!$A$1:$J$200,5,FALSE)</f>
        <v>Alexandra is the elder daughter of Sir Julian (1926–2018: #104). Born 14 Oct 1961. Baptised 26 Nov 1961 at Raveningham, Norwich, Norfolk. Lady-in-waiting to HRH The Princess of Wales 1986-97. Issue: 1 daughter, 1 son. Contact email: ambyatt@gmail.com</v>
      </c>
      <c r="AM143" s="105" t="str">
        <f>IF(AND(LEN(H143)&gt;0,ISNA(IF(K143="Boy",VLOOKUP(A143,'Siblings of those BORN Loyd'!$AP$3:$AQ$70,2,FALSE),VLOOKUP(A143,'Children of Female Loyds'!$AR$5:$AS$60,2,FALSE)))),"d.s.p","")</f>
        <v/>
      </c>
      <c r="AN143" s="99" t="str">
        <f t="shared" si="68"/>
        <v>Sir Julian (1926–2018: #104)</v>
      </c>
      <c r="AO143" s="99" t="str">
        <f t="shared" si="73"/>
        <v>Charles (1891–1973: #72)</v>
      </c>
      <c r="AP143" s="99" t="str">
        <f t="shared" si="74"/>
        <v>Harry (1861–1938: #44)</v>
      </c>
      <c r="AQ143" s="99" t="str">
        <f t="shared" si="75"/>
        <v>William (1821–1885: #23)</v>
      </c>
      <c r="AR143" s="99" t="str">
        <f t="shared" si="76"/>
        <v>Edward (1780–1863: #8)</v>
      </c>
      <c r="AS143" s="99" t="str">
        <f t="shared" si="77"/>
        <v>William (1729–1800: #1)</v>
      </c>
      <c r="AT143" s="99" t="str">
        <f t="shared" si="78"/>
        <v/>
      </c>
      <c r="AU143" s="99" t="str">
        <f t="shared" si="79"/>
        <v/>
      </c>
      <c r="AW143" s="116" t="str">
        <f>VLOOKUP(A143,'Updated Bios &amp; Spouse Details'!$A$1:$J$193,6,FALSE)</f>
        <v>England</v>
      </c>
      <c r="AX143" s="131">
        <f>VLOOKUP($A143,'Loyd List 1-190 - Edit'!$P$2:$AQ$220,AX$1,FALSE)</f>
        <v>141</v>
      </c>
      <c r="AY143" s="116" t="str">
        <f>IF(ISNA(VLOOKUP(A143,'Data check lookup table'!$G$2:$V$73,AY$1,FALSE))," - ",VLOOKUP(A143,'Data check lookup table'!$G$2:$V$73,AY$1,FALSE))</f>
        <v>ambyatt@gmail.com</v>
      </c>
      <c r="AZ143" s="147" t="str">
        <f t="shared" si="69"/>
        <v/>
      </c>
      <c r="BA143" s="99" t="str">
        <f t="shared" si="70"/>
        <v>, William (1729–1800: #1)</v>
      </c>
      <c r="BB143" s="99" t="str">
        <f t="shared" si="71"/>
        <v/>
      </c>
      <c r="BI143" s="147" t="s">
        <v>3228</v>
      </c>
    </row>
    <row r="144" spans="1:61" s="99" customFormat="1" ht="221">
      <c r="A144" s="139">
        <f>'Loyd List 1-190 - Edit'!C144</f>
        <v>142</v>
      </c>
      <c r="B144" s="99" t="str">
        <f>VLOOKUP($A144,'Loyd List 1-190 - Edit'!$C$1:$AQ$220,'Book Details - NO EDIT'!B$1,FALSE)</f>
        <v>Richard</v>
      </c>
      <c r="C144" s="99" t="str">
        <f>IF(VLOOKUP($A144,'Loyd List 1-190 - Edit'!$C$1:$AQ$220,'Book Details - NO EDIT'!C$1,FALSE)="","",VLOOKUP($A144,'Loyd List 1-190 - Edit'!$C$1:$AQ$220,'Book Details - NO EDIT'!C$1,FALSE))</f>
        <v>John</v>
      </c>
      <c r="D144" s="99" t="str">
        <f>IF(VLOOKUP($A144,'Loyd List 1-190 - Edit'!$C$1:$AQ$220,'Book Details - NO EDIT'!D$1,FALSE)="","",VLOOKUP($A144,'Loyd List 1-190 - Edit'!$C$1:$AQ$220,'Book Details - NO EDIT'!D$1,FALSE))</f>
        <v>Travers</v>
      </c>
      <c r="E144" s="99" t="str">
        <f>IF(VLOOKUP($A144,'Loyd List 1-190 - Edit'!$C$1:$AQ$220,'Book Details - NO EDIT'!E$1,FALSE)="","",VLOOKUP($A144,'Loyd List 1-190 - Edit'!$C$1:$AQ$220,'Book Details - NO EDIT'!E$1,FALSE))</f>
        <v>LOYD</v>
      </c>
      <c r="F144" s="99" t="str">
        <f>IF(VLOOKUP($A144,'Loyd List 1-190 - Edit'!$C$1:$AQ$220,'Book Details - NO EDIT'!F$1,FALSE)="",B144,VLOOKUP($A144,'Loyd List 1-190 - Edit'!$C$1:$AQ$220,'Book Details - NO EDIT'!F$1,FALSE))</f>
        <v>Rick</v>
      </c>
      <c r="G144" s="140">
        <f>IF(VLOOKUP($A144,'Loyd List 1-190 - Edit'!$C$1:$AQ$220,'Book Details - NO EDIT'!G$1,FALSE)="","",VALUE(VLOOKUP($A144,'Loyd List 1-190 - Edit'!$C$1:$AQ$220,'Book Details - NO EDIT'!G$1,FALSE)))</f>
        <v>1962</v>
      </c>
      <c r="H144" s="140" t="str">
        <f>IF(VLOOKUP($A144,'Loyd List 1-190 - Edit'!$C$1:$AQ$220,'Book Details - NO EDIT'!H$1,FALSE)="","",VALUE(VLOOKUP($A144,'Loyd List 1-190 - Edit'!$C$1:$AQ$220,'Book Details - NO EDIT'!H$1,FALSE)))</f>
        <v/>
      </c>
      <c r="I144" s="141">
        <f>IF(VLOOKUP($A144,'Loyd List 1-190 - Edit'!$C$1:$AQ$220,'Book Details - NO EDIT'!I$1,FALSE)="","",(VLOOKUP($A144,'Loyd List 1-190 - Edit'!$C$1:$AQ$220,'Book Details - NO EDIT'!I$1,FALSE)))</f>
        <v>22731</v>
      </c>
      <c r="J144" s="141" t="str">
        <f>IF(VLOOKUP($A144,'Loyd List 1-190 - Edit'!$C$1:$AQ$220,'Book Details - NO EDIT'!J$1,FALSE)="","",(VLOOKUP($A144,'Loyd List 1-190 - Edit'!$C$1:$AQ$220,'Book Details - NO EDIT'!J$1,FALSE)))</f>
        <v/>
      </c>
      <c r="K144" s="100" t="str">
        <f>VLOOKUP($A144,'Loyd List 1-190 - Edit'!$C$1:$AQ$220,'Book Details - NO EDIT'!K$1,FALSE)</f>
        <v>Boy</v>
      </c>
      <c r="L144" s="140">
        <f>VLOOKUP($A144,'Loyd List 1-190 - Edit'!$C$1:$AQ$220,'Book Details - NO EDIT'!L$1,FALSE)</f>
        <v>94</v>
      </c>
      <c r="M144" s="140">
        <f t="shared" si="60"/>
        <v>68</v>
      </c>
      <c r="N144" s="140">
        <f t="shared" si="60"/>
        <v>45</v>
      </c>
      <c r="O144" s="140">
        <f t="shared" si="60"/>
        <v>22</v>
      </c>
      <c r="P144" s="140">
        <f t="shared" si="60"/>
        <v>8</v>
      </c>
      <c r="Q144" s="140">
        <f t="shared" si="80"/>
        <v>1</v>
      </c>
      <c r="R144" s="140">
        <f t="shared" si="61"/>
        <v>0</v>
      </c>
      <c r="S144" s="140" t="str">
        <f t="shared" si="62"/>
        <v/>
      </c>
      <c r="T144" s="140">
        <f t="shared" si="58"/>
        <v>6</v>
      </c>
      <c r="U144" s="139">
        <f t="shared" si="63"/>
        <v>142</v>
      </c>
      <c r="V144" s="31" t="str">
        <f t="shared" si="64"/>
        <v>Rick (1962–)</v>
      </c>
      <c r="W144" s="31" t="str">
        <f t="shared" si="65"/>
        <v>Rick (#142)</v>
      </c>
      <c r="X144" s="99" t="str">
        <f t="shared" si="66"/>
        <v>Rick (1962–: #142)</v>
      </c>
      <c r="Y144" s="99" t="str">
        <f t="shared" si="59"/>
        <v>Richard John Travers LOYD</v>
      </c>
      <c r="Z144" s="99" t="str">
        <f t="shared" si="67"/>
        <v>Alwyne (1920–2014: #94)</v>
      </c>
      <c r="AA144" s="99" t="str">
        <f t="shared" si="72"/>
        <v xml:space="preserve">Alwyne (1920–2014: #94) Cecil (1890–1963: #68) Llewellyn (1861–1939: #45) Edward (1820–1890: #22) Edward (1780–1863: #8) William (1729–1800: #1)  </v>
      </c>
      <c r="AB144" s="142" t="str">
        <f>VLOOKUP(U144,'Siblings of those BORN Loyd'!$A$2:$G$230,7,FALSE)</f>
        <v xml:space="preserve">5 – Rob (1949–: #124) Paddy (1951–: #126) Dominic (1953–: #131) Tim (1957–: #136) Alex (1959–: #139)    </v>
      </c>
      <c r="AC144" s="115" t="str">
        <f>IF(ISNA(IF(K144="Boy",VLOOKUP(A144,'Siblings of those BORN Loyd'!$AP$3:$AQ$70,2,FALSE),VLOOKUP(A144,'Children of Female Loyds'!$AR$5:$AT$60,3,FALSE))),AM144,IF(K144="Boy",VLOOKUP(A144,'Siblings of those BORN Loyd'!$AP$3:$AQ$70,2,FALSE),VLOOKUP(A144,'Children of Female Loyds'!$AR$5:$AT$60,3,FALSE)))</f>
        <v>2 - Sam (1994–: #176); Josh (1996–: #179)</v>
      </c>
      <c r="AD144" s="97" t="str">
        <f t="shared" ref="AD144:AD192" si="81">IF(AE144="d.s.p",_xlfn.CONCAT(AE144,"."),IF(AG144=0,"-",_xlfn.CONCAT(AG144," - ",AE144,"   ",AF144)))</f>
        <v>-</v>
      </c>
      <c r="AE144" s="105" t="str">
        <f>IF(ISNA(IF(K144="Boy",VLOOKUP(A144,'Grandchildren of Male Loyds'!$AQ$3:$AS$51,3,FALSE),VLOOKUP(A144,'Grandchildren of Female Loyds'!$AX$5:$AZ$63,3,FALSE))),AM144,IF(K144="Boy",VLOOKUP(A144,'Grandchildren of Male Loyds'!$AQ$3:$AS$51,3,FALSE),VLOOKUP(A144,'Grandchildren of Female Loyds'!$AX$5:$AZ$63,3,FALSE)))</f>
        <v/>
      </c>
      <c r="AF144" s="105" t="str">
        <f>IF(ISNA(VLOOKUP(A144,'Grandchildren Loyd Daughters'!$BD$5:$BF$50,4,FALSE)),"",VLOOKUP(A144,'Grandchildren Loyd Daughters'!$BD$5:$BF$50,3,FALSE))</f>
        <v/>
      </c>
      <c r="AG144" s="129">
        <f>IF(ISNA(VLOOKUP(A144,'Grandchildren of Male Loyds'!$AQ$3:$AR$60,2,FALSE)),0,VLOOKUP(A144,'Grandchildren of Male Loyds'!$AQ$3:$AR$60,2,FALSE))+IF(ISNA(VLOOKUP(A144,'Grandchildren of Female Loyds'!$AX$5:$AY$50,2,FALSE)),0,VLOOKUP(A144,'Grandchildren of Female Loyds'!$AX$5:$AY$50,2,FALSE))+IF(ISNA(VLOOKUP(A144,'Grandchildren Loyd Daughters'!$BD$5:$BE$50,2,FALSE)),0,VLOOKUP(A144,'Grandchildren Loyd Daughters'!$BD$5:$BE$50,2,FALSE))</f>
        <v>0</v>
      </c>
      <c r="AH144" s="129" t="str">
        <f>VLOOKUP($U144,'Loyd List 1-190 - Edit'!$P$3:$AJ$220,21,FALSE)</f>
        <v>Alison Fraser PORTER (b. 21 Feb 1920, d. 6 Sep 2003)</v>
      </c>
      <c r="AI144" s="129" t="str">
        <f>VLOOKUP(A144,'Updated Bios &amp; Spouse Details'!$A$1:$J$200,7,FALSE)</f>
        <v>Lynn  HAMILTON (b. 23 Feb 1962, )</v>
      </c>
      <c r="AJ144" s="130">
        <f>IF(VLOOKUP($A144,'Loyd List 1-190 - Edit'!$C$1:$AQ$220,'Book Details - NO EDIT'!AJ$1,FALSE)="","",(VLOOKUP($A144,'Loyd List 1-190 - Edit'!$C$1:$AQ$220,'Book Details - NO EDIT'!AJ$1,FALSE)))</f>
        <v>32760</v>
      </c>
      <c r="AK144" s="129" t="str">
        <f>VLOOKUP(A144,'Updated Bios &amp; Spouse Details'!$A$1:$J$200,8,FALSE)</f>
        <v>Married at All Hallows, Bispham, Lancashire, Lynn only daughter of Andrew William and Beryl HAMILTON. Education: York (BSc Hons Biochemistry 1983); Kingston (MA Creative Writing 2012); UCA (PhD Critical &amp; Creative Writing, 2021). Career: Medical education, medical writing and the creation of fictional works to address misperceptions and stigma around illness. In 2022, Lynn added Loyd as her middle name to become Lynn Loyd HAMILTON.</v>
      </c>
      <c r="AL144" s="131" t="str">
        <f>VLOOKUP(A144,'Updated Bios &amp; Spouse Details'!$A$1:$J$200,5,FALSE)</f>
        <v>Rick lives in East Molesey, Surrey and is the youngest son of Alwyne (1920–2014: #94) . Born 26 Mar 1962 at St John’s Hospital, Chelmsford, Essex. Baptised 17 Jun 1962 at St Thomas the Martyr, Brentwood, Essex, by Canon James WILLARD. Education/Qualifications: York (BSc Maths, 1983); Loughborough (PGCE Maths &amp; PE, 1986); and Birkbeck College, London (MSc Applied Stats, 1992). CStat (1996); Market Research Society. Career: Teacher, Farnborough Sixth Form (1986-89); Statistician, Defence Analytical Services Agency (1989-95). Social Researcher, SIA 1995-96. Company Statistician, British Market Research Bureau (1996-2002);  Statistician/Researcher, ACNielsen Sydney (2003-06); Statistician/R&amp;D Global Analyst, Nielsen (2006-16); Founder &amp; Consultant, Change by Numbers Ltd (2017 - ). Freeman of Goldsmiths’ Company 1984. Parent Governor, Orchard School, East Molesey (1998-2002); VI guide runner (2015-20); Chairman WSS Charity Epsom (2018-19). Co-editor "Loyd Who's Who" 2022 with his brother Dominic (1953– : #131). Issue: 2 sons. Contact email: rick@changebynumbers.com</v>
      </c>
      <c r="AM144" s="105" t="str">
        <f>IF(AND(LEN(H144)&gt;0,ISNA(IF(K144="Boy",VLOOKUP(A144,'Siblings of those BORN Loyd'!$AP$3:$AQ$70,2,FALSE),VLOOKUP(A144,'Children of Female Loyds'!$AR$5:$AS$60,2,FALSE)))),"d.s.p","")</f>
        <v/>
      </c>
      <c r="AN144" s="99" t="str">
        <f t="shared" si="68"/>
        <v>Alwyne (1920–2014: #94)</v>
      </c>
      <c r="AO144" s="99" t="str">
        <f t="shared" si="73"/>
        <v>Cecil (1890–1963: #68)</v>
      </c>
      <c r="AP144" s="99" t="str">
        <f t="shared" si="74"/>
        <v>Llewellyn (1861–1939: #45)</v>
      </c>
      <c r="AQ144" s="99" t="str">
        <f t="shared" si="75"/>
        <v>Edward (1820–1890: #22)</v>
      </c>
      <c r="AR144" s="99" t="str">
        <f t="shared" si="76"/>
        <v>Edward (1780–1863: #8)</v>
      </c>
      <c r="AS144" s="99" t="str">
        <f t="shared" si="77"/>
        <v>William (1729–1800: #1)</v>
      </c>
      <c r="AT144" s="99" t="str">
        <f t="shared" si="78"/>
        <v/>
      </c>
      <c r="AU144" s="99" t="str">
        <f t="shared" si="79"/>
        <v/>
      </c>
      <c r="AW144" s="116" t="str">
        <f>VLOOKUP(A144,'Updated Bios &amp; Spouse Details'!$A$1:$J$193,6,FALSE)</f>
        <v>England &amp; Australia</v>
      </c>
      <c r="AX144" s="131">
        <f>VLOOKUP($A144,'Loyd List 1-190 - Edit'!$P$2:$AQ$220,AX$1,FALSE)</f>
        <v>142</v>
      </c>
      <c r="AY144" s="116" t="str">
        <f>IF(ISNA(VLOOKUP(A144,'Data check lookup table'!$G$2:$V$73,AY$1,FALSE))," - ",VLOOKUP(A144,'Data check lookup table'!$G$2:$V$73,AY$1,FALSE))</f>
        <v>rick@changebynumbers.com</v>
      </c>
      <c r="AZ144" s="147" t="str">
        <f t="shared" si="69"/>
        <v/>
      </c>
      <c r="BA144" s="99" t="str">
        <f t="shared" si="70"/>
        <v>, William (1729–1800: #1)</v>
      </c>
      <c r="BB144" s="99" t="str">
        <f t="shared" si="71"/>
        <v/>
      </c>
      <c r="BI144" s="147" t="s">
        <v>3228</v>
      </c>
    </row>
    <row r="145" spans="1:61" s="99" customFormat="1" ht="68">
      <c r="A145" s="139">
        <f>'Loyd List 1-190 - Edit'!C145</f>
        <v>143</v>
      </c>
      <c r="B145" s="99" t="str">
        <f>VLOOKUP($A145,'Loyd List 1-190 - Edit'!$C$1:$AQ$220,'Book Details - NO EDIT'!B$1,FALSE)</f>
        <v>Harriet</v>
      </c>
      <c r="C145" s="99" t="str">
        <f>IF(VLOOKUP($A145,'Loyd List 1-190 - Edit'!$C$1:$AQ$220,'Book Details - NO EDIT'!C$1,FALSE)="","",VLOOKUP($A145,'Loyd List 1-190 - Edit'!$C$1:$AQ$220,'Book Details - NO EDIT'!C$1,FALSE))</f>
        <v>Sara</v>
      </c>
      <c r="D145" s="99" t="str">
        <f>IF(VLOOKUP($A145,'Loyd List 1-190 - Edit'!$C$1:$AQ$220,'Book Details - NO EDIT'!D$1,FALSE)="","",VLOOKUP($A145,'Loyd List 1-190 - Edit'!$C$1:$AQ$220,'Book Details - NO EDIT'!D$1,FALSE))</f>
        <v/>
      </c>
      <c r="E145" s="99" t="str">
        <f>IF(VLOOKUP($A145,'Loyd List 1-190 - Edit'!$C$1:$AQ$220,'Book Details - NO EDIT'!E$1,FALSE)="","",VLOOKUP($A145,'Loyd List 1-190 - Edit'!$C$1:$AQ$220,'Book Details - NO EDIT'!E$1,FALSE))</f>
        <v>LOYD</v>
      </c>
      <c r="F145" s="99" t="str">
        <f>IF(VLOOKUP($A145,'Loyd List 1-190 - Edit'!$C$1:$AQ$220,'Book Details - NO EDIT'!F$1,FALSE)="",B145,VLOOKUP($A145,'Loyd List 1-190 - Edit'!$C$1:$AQ$220,'Book Details - NO EDIT'!F$1,FALSE))</f>
        <v>Harriet</v>
      </c>
      <c r="G145" s="140">
        <f>IF(VLOOKUP($A145,'Loyd List 1-190 - Edit'!$C$1:$AQ$220,'Book Details - NO EDIT'!G$1,FALSE)="","",VALUE(VLOOKUP($A145,'Loyd List 1-190 - Edit'!$C$1:$AQ$220,'Book Details - NO EDIT'!G$1,FALSE)))</f>
        <v>1962</v>
      </c>
      <c r="H145" s="140" t="str">
        <f>IF(VLOOKUP($A145,'Loyd List 1-190 - Edit'!$C$1:$AQ$220,'Book Details - NO EDIT'!H$1,FALSE)="","",VALUE(VLOOKUP($A145,'Loyd List 1-190 - Edit'!$C$1:$AQ$220,'Book Details - NO EDIT'!H$1,FALSE)))</f>
        <v/>
      </c>
      <c r="I145" s="141">
        <f>IF(VLOOKUP($A145,'Loyd List 1-190 - Edit'!$C$1:$AQ$220,'Book Details - NO EDIT'!I$1,FALSE)="","",(VLOOKUP($A145,'Loyd List 1-190 - Edit'!$C$1:$AQ$220,'Book Details - NO EDIT'!I$1,FALSE)))</f>
        <v>22817</v>
      </c>
      <c r="J145" s="141" t="str">
        <f>IF(VLOOKUP($A145,'Loyd List 1-190 - Edit'!$C$1:$AQ$220,'Book Details - NO EDIT'!J$1,FALSE)="","",(VLOOKUP($A145,'Loyd List 1-190 - Edit'!$C$1:$AQ$220,'Book Details - NO EDIT'!J$1,FALSE)))</f>
        <v/>
      </c>
      <c r="K145" s="100" t="str">
        <f>VLOOKUP($A145,'Loyd List 1-190 - Edit'!$C$1:$AQ$220,'Book Details - NO EDIT'!K$1,FALSE)</f>
        <v>Girl</v>
      </c>
      <c r="L145" s="140">
        <f>VLOOKUP($A145,'Loyd List 1-190 - Edit'!$C$1:$AQ$220,'Book Details - NO EDIT'!L$1,FALSE)</f>
        <v>100</v>
      </c>
      <c r="M145" s="140">
        <f t="shared" si="60"/>
        <v>56</v>
      </c>
      <c r="N145" s="140">
        <f t="shared" si="60"/>
        <v>28</v>
      </c>
      <c r="O145" s="140">
        <f t="shared" si="60"/>
        <v>14</v>
      </c>
      <c r="P145" s="140">
        <f t="shared" si="60"/>
        <v>4</v>
      </c>
      <c r="Q145" s="140">
        <f t="shared" si="80"/>
        <v>1</v>
      </c>
      <c r="R145" s="140">
        <f t="shared" si="61"/>
        <v>0</v>
      </c>
      <c r="S145" s="140" t="str">
        <f t="shared" si="62"/>
        <v/>
      </c>
      <c r="T145" s="140">
        <f t="shared" si="58"/>
        <v>6</v>
      </c>
      <c r="U145" s="139">
        <f t="shared" si="63"/>
        <v>143</v>
      </c>
      <c r="V145" s="31" t="str">
        <f t="shared" si="64"/>
        <v>Harriet (1962–)</v>
      </c>
      <c r="W145" s="31" t="str">
        <f t="shared" si="65"/>
        <v>Harriet (#143)</v>
      </c>
      <c r="X145" s="99" t="str">
        <f t="shared" si="66"/>
        <v>Harriet (1962–: #143)</v>
      </c>
      <c r="Y145" s="99" t="str">
        <f t="shared" si="59"/>
        <v>Harriet Sara LOYD</v>
      </c>
      <c r="Z145" s="99" t="str">
        <f t="shared" si="67"/>
        <v>Christopher (1923–2013: #100)</v>
      </c>
      <c r="AA145" s="99" t="str">
        <f t="shared" si="72"/>
        <v xml:space="preserve">Christopher (1923–2013: #100) Tommy (1882–1944: #56) The Rev Lewis (1844–1905: #28) Thomas (1812–1857: #14) William (1770–1828: #4) William (1729–1800: #1)  </v>
      </c>
      <c r="AB145" s="142" t="str">
        <f>VLOOKUP(U145,'Siblings of those BORN Loyd'!$A$2:$G$230,7,FALSE)</f>
        <v xml:space="preserve">2 – Thomas (1959–: #138)  James (1966–: #150)      </v>
      </c>
      <c r="AC145" s="115" t="str">
        <f>IF(ISNA(IF(K145="Boy",VLOOKUP(A145,'Siblings of those BORN Loyd'!$AP$3:$AQ$70,2,FALSE),VLOOKUP(A145,'Children of Female Loyds'!$AR$5:$AT$60,3,FALSE))),AM145,IF(K145="Boy",VLOOKUP(A145,'Siblings of those BORN Loyd'!$AP$3:$AQ$70,2,FALSE),VLOOKUP(A145,'Children of Female Loyds'!$AR$5:$AT$60,3,FALSE)))</f>
        <v xml:space="preserve">2 - Emily ASHE (1988 - : #143a) Charles ASHE (1990 - : #143b)      </v>
      </c>
      <c r="AD145" s="97" t="str">
        <f t="shared" si="81"/>
        <v xml:space="preserve">1 - Alice RUSSELL-STONEHAM (2020 -: #143aa)                  </v>
      </c>
      <c r="AE145" s="105" t="str">
        <f>IF(ISNA(IF(K145="Boy",VLOOKUP(A145,'Grandchildren of Male Loyds'!$AQ$3:$AS$51,3,FALSE),VLOOKUP(A145,'Grandchildren of Female Loyds'!$AX$5:$AZ$63,3,FALSE))),AM145,IF(K145="Boy",VLOOKUP(A145,'Grandchildren of Male Loyds'!$AQ$3:$AS$51,3,FALSE),VLOOKUP(A145,'Grandchildren of Female Loyds'!$AX$5:$AZ$63,3,FALSE)))</f>
        <v xml:space="preserve">Alice RUSSELL-STONEHAM (2020 -: #143aa)               </v>
      </c>
      <c r="AF145" s="105" t="str">
        <f>IF(ISNA(VLOOKUP(A145,'Grandchildren Loyd Daughters'!$BD$5:$BF$50,4,FALSE)),"",VLOOKUP(A145,'Grandchildren Loyd Daughters'!$BD$5:$BF$50,3,FALSE))</f>
        <v/>
      </c>
      <c r="AG145" s="129">
        <f>IF(ISNA(VLOOKUP(A145,'Grandchildren of Male Loyds'!$AQ$3:$AR$60,2,FALSE)),0,VLOOKUP(A145,'Grandchildren of Male Loyds'!$AQ$3:$AR$60,2,FALSE))+IF(ISNA(VLOOKUP(A145,'Grandchildren of Female Loyds'!$AX$5:$AY$50,2,FALSE)),0,VLOOKUP(A145,'Grandchildren of Female Loyds'!$AX$5:$AY$50,2,FALSE))+IF(ISNA(VLOOKUP(A145,'Grandchildren Loyd Daughters'!$BD$5:$BE$50,2,FALSE)),0,VLOOKUP(A145,'Grandchildren Loyd Daughters'!$BD$5:$BE$50,2,FALSE))</f>
        <v>1</v>
      </c>
      <c r="AH145" s="129" t="str">
        <f>VLOOKUP($U145,'Loyd List 1-190 - Edit'!$P$3:$AJ$220,21,FALSE)</f>
        <v>Joanna SMITH-BINGHAM (b. 17 Nov 1935, )</v>
      </c>
      <c r="AI145" s="129" t="str">
        <f>VLOOKUP(A145,'Updated Bios &amp; Spouse Details'!$A$1:$J$200,7,FALSE)</f>
        <v>Nicholas Courcy ASHE (b. 19 Jan 1957, )</v>
      </c>
      <c r="AJ145" s="130">
        <f>IF(VLOOKUP($A145,'Loyd List 1-190 - Edit'!$C$1:$AQ$220,'Book Details - NO EDIT'!AJ$1,FALSE)="","",(VLOOKUP($A145,'Loyd List 1-190 - Edit'!$C$1:$AQ$220,'Book Details - NO EDIT'!AJ$1,FALSE)))</f>
        <v>31339</v>
      </c>
      <c r="AK145" s="129" t="str">
        <f>VLOOKUP(A145,'Updated Bios &amp; Spouse Details'!$A$1:$J$200,8,FALSE)</f>
        <v xml:space="preserve">Married at All Saints’ Lockinge, by the Rev R G FOSTER, Nicholas elder son of John ASHE of Cross Farm House, Cleverton, Chippenham, Wiltshire. </v>
      </c>
      <c r="AL145" s="131" t="str">
        <f>VLOOKUP(A145,'Updated Bios &amp; Spouse Details'!$A$1:$J$200,5,FALSE)</f>
        <v>Harriet is the only daughter of Christopher (1923–2013: #100). Born  20 Jun 1962. Baptised at All Saints’, Lockinge. Issue: 1 daughter, 1 son.</v>
      </c>
      <c r="AM145" s="105" t="str">
        <f>IF(AND(LEN(H145)&gt;0,ISNA(IF(K145="Boy",VLOOKUP(A145,'Siblings of those BORN Loyd'!$AP$3:$AQ$70,2,FALSE),VLOOKUP(A145,'Children of Female Loyds'!$AR$5:$AS$60,2,FALSE)))),"d.s.p","")</f>
        <v/>
      </c>
      <c r="AN145" s="99" t="str">
        <f t="shared" si="68"/>
        <v>Christopher (1923–2013: #100)</v>
      </c>
      <c r="AO145" s="99" t="str">
        <f t="shared" si="73"/>
        <v>Tommy (1882–1944: #56)</v>
      </c>
      <c r="AP145" s="99" t="str">
        <f t="shared" si="74"/>
        <v>The Rev Lewis (1844–1905: #28)</v>
      </c>
      <c r="AQ145" s="99" t="str">
        <f t="shared" si="75"/>
        <v>Thomas (1812–1857: #14)</v>
      </c>
      <c r="AR145" s="99" t="str">
        <f t="shared" si="76"/>
        <v>William (1770–1828: #4)</v>
      </c>
      <c r="AS145" s="99" t="str">
        <f t="shared" si="77"/>
        <v>William (1729–1800: #1)</v>
      </c>
      <c r="AT145" s="99" t="str">
        <f t="shared" si="78"/>
        <v/>
      </c>
      <c r="AU145" s="99" t="str">
        <f t="shared" si="79"/>
        <v/>
      </c>
      <c r="AW145" s="116" t="str">
        <f>VLOOKUP(A145,'Updated Bios &amp; Spouse Details'!$A$1:$J$193,6,FALSE)</f>
        <v>England</v>
      </c>
      <c r="AX145" s="131">
        <f>VLOOKUP($A145,'Loyd List 1-190 - Edit'!$P$2:$AQ$220,AX$1,FALSE)</f>
        <v>143</v>
      </c>
      <c r="AY145" s="116" t="str">
        <f>IF(ISNA(VLOOKUP(A145,'Data check lookup table'!$G$2:$V$73,AY$1,FALSE))," - ",VLOOKUP(A145,'Data check lookup table'!$G$2:$V$73,AY$1,FALSE))</f>
        <v>tloyd@lockinge-estate.co.uk</v>
      </c>
      <c r="AZ145" s="147" t="str">
        <f t="shared" si="69"/>
        <v/>
      </c>
      <c r="BA145" s="99" t="str">
        <f t="shared" si="70"/>
        <v>, William (1729–1800: #1)</v>
      </c>
      <c r="BB145" s="99" t="str">
        <f t="shared" si="71"/>
        <v/>
      </c>
      <c r="BI145" s="147" t="s">
        <v>3228</v>
      </c>
    </row>
    <row r="146" spans="1:61" s="99" customFormat="1" ht="68">
      <c r="A146" s="139">
        <f>'Loyd List 1-190 - Edit'!C146</f>
        <v>144</v>
      </c>
      <c r="B146" s="99" t="str">
        <f>VLOOKUP($A146,'Loyd List 1-190 - Edit'!$C$1:$AQ$220,'Book Details - NO EDIT'!B$1,FALSE)</f>
        <v>Andrew</v>
      </c>
      <c r="C146" s="99" t="str">
        <f>IF(VLOOKUP($A146,'Loyd List 1-190 - Edit'!$C$1:$AQ$220,'Book Details - NO EDIT'!C$1,FALSE)="","",VLOOKUP($A146,'Loyd List 1-190 - Edit'!$C$1:$AQ$220,'Book Details - NO EDIT'!C$1,FALSE))</f>
        <v>Wyndham</v>
      </c>
      <c r="D146" s="99" t="str">
        <f>IF(VLOOKUP($A146,'Loyd List 1-190 - Edit'!$C$1:$AQ$220,'Book Details - NO EDIT'!D$1,FALSE)="","",VLOOKUP($A146,'Loyd List 1-190 - Edit'!$C$1:$AQ$220,'Book Details - NO EDIT'!D$1,FALSE))</f>
        <v/>
      </c>
      <c r="E146" s="99" t="str">
        <f>IF(VLOOKUP($A146,'Loyd List 1-190 - Edit'!$C$1:$AQ$220,'Book Details - NO EDIT'!E$1,FALSE)="","",VLOOKUP($A146,'Loyd List 1-190 - Edit'!$C$1:$AQ$220,'Book Details - NO EDIT'!E$1,FALSE))</f>
        <v>LOYD</v>
      </c>
      <c r="F146" s="99" t="str">
        <f>IF(VLOOKUP($A146,'Loyd List 1-190 - Edit'!$C$1:$AQ$220,'Book Details - NO EDIT'!F$1,FALSE)="",B146,VLOOKUP($A146,'Loyd List 1-190 - Edit'!$C$1:$AQ$220,'Book Details - NO EDIT'!F$1,FALSE))</f>
        <v>Andrew</v>
      </c>
      <c r="G146" s="140">
        <f>IF(VLOOKUP($A146,'Loyd List 1-190 - Edit'!$C$1:$AQ$220,'Book Details - NO EDIT'!G$1,FALSE)="","",VALUE(VLOOKUP($A146,'Loyd List 1-190 - Edit'!$C$1:$AQ$220,'Book Details - NO EDIT'!G$1,FALSE)))</f>
        <v>1962</v>
      </c>
      <c r="H146" s="140" t="str">
        <f>IF(VLOOKUP($A146,'Loyd List 1-190 - Edit'!$C$1:$AQ$220,'Book Details - NO EDIT'!H$1,FALSE)="","",VALUE(VLOOKUP($A146,'Loyd List 1-190 - Edit'!$C$1:$AQ$220,'Book Details - NO EDIT'!H$1,FALSE)))</f>
        <v/>
      </c>
      <c r="I146" s="141">
        <f>IF(VLOOKUP($A146,'Loyd List 1-190 - Edit'!$C$1:$AQ$220,'Book Details - NO EDIT'!I$1,FALSE)="","",(VLOOKUP($A146,'Loyd List 1-190 - Edit'!$C$1:$AQ$220,'Book Details - NO EDIT'!I$1,FALSE)))</f>
        <v>22951</v>
      </c>
      <c r="J146" s="141" t="str">
        <f>IF(VLOOKUP($A146,'Loyd List 1-190 - Edit'!$C$1:$AQ$220,'Book Details - NO EDIT'!J$1,FALSE)="","",(VLOOKUP($A146,'Loyd List 1-190 - Edit'!$C$1:$AQ$220,'Book Details - NO EDIT'!J$1,FALSE)))</f>
        <v/>
      </c>
      <c r="K146" s="100" t="str">
        <f>VLOOKUP($A146,'Loyd List 1-190 - Edit'!$C$1:$AQ$220,'Book Details - NO EDIT'!K$1,FALSE)</f>
        <v>Boy</v>
      </c>
      <c r="L146" s="140">
        <f>VLOOKUP($A146,'Loyd List 1-190 - Edit'!$C$1:$AQ$220,'Book Details - NO EDIT'!L$1,FALSE)</f>
        <v>99</v>
      </c>
      <c r="M146" s="140">
        <f t="shared" si="60"/>
        <v>66</v>
      </c>
      <c r="N146" s="140">
        <f t="shared" si="60"/>
        <v>44</v>
      </c>
      <c r="O146" s="140">
        <f t="shared" si="60"/>
        <v>23</v>
      </c>
      <c r="P146" s="140">
        <f t="shared" si="60"/>
        <v>8</v>
      </c>
      <c r="Q146" s="140">
        <f t="shared" si="80"/>
        <v>1</v>
      </c>
      <c r="R146" s="140">
        <f t="shared" si="61"/>
        <v>0</v>
      </c>
      <c r="S146" s="140" t="str">
        <f t="shared" si="62"/>
        <v/>
      </c>
      <c r="T146" s="140">
        <f t="shared" si="58"/>
        <v>6</v>
      </c>
      <c r="U146" s="139">
        <f t="shared" si="63"/>
        <v>144</v>
      </c>
      <c r="V146" s="31" t="str">
        <f t="shared" si="64"/>
        <v>Andrew (1962–)</v>
      </c>
      <c r="W146" s="31" t="str">
        <f t="shared" si="65"/>
        <v>Andrew (#144)</v>
      </c>
      <c r="X146" s="99" t="str">
        <f t="shared" si="66"/>
        <v>Andrew (1962–: #144)</v>
      </c>
      <c r="Y146" s="99" t="str">
        <f t="shared" si="59"/>
        <v>Andrew Wyndham LOYD</v>
      </c>
      <c r="Z146" s="99" t="str">
        <f t="shared" si="67"/>
        <v>Peter (1923–1974: #99)</v>
      </c>
      <c r="AA146" s="99" t="str">
        <f t="shared" si="72"/>
        <v xml:space="preserve">Peter (1923–1974: #99) William (1889–1947: #66) Harry (1861–1938: #44) William (1821–1885: #23) Edward (1780–1863: #8) William (1729–1800: #1)  </v>
      </c>
      <c r="AB146" s="142" t="str">
        <f>VLOOKUP(U146,'Siblings of those BORN Loyd'!$A$2:$G$230,7,FALSE)</f>
        <v xml:space="preserve">1 – Henrietta (1959–: #137)        </v>
      </c>
      <c r="AC146" s="115" t="str">
        <f>IF(ISNA(IF(K146="Boy",VLOOKUP(A146,'Siblings of those BORN Loyd'!$AP$3:$AQ$70,2,FALSE),VLOOKUP(A146,'Children of Female Loyds'!$AR$5:$AT$60,3,FALSE))),AM146,IF(K146="Boy",VLOOKUP(A146,'Siblings of those BORN Loyd'!$AP$3:$AQ$70,2,FALSE),VLOOKUP(A146,'Children of Female Loyds'!$AR$5:$AT$60,3,FALSE)))</f>
        <v/>
      </c>
      <c r="AD146" s="97" t="str">
        <f t="shared" si="81"/>
        <v>-</v>
      </c>
      <c r="AE146" s="105" t="str">
        <f>IF(ISNA(IF(K146="Boy",VLOOKUP(A146,'Grandchildren of Male Loyds'!$AQ$3:$AS$51,3,FALSE),VLOOKUP(A146,'Grandchildren of Female Loyds'!$AX$5:$AZ$63,3,FALSE))),AM146,IF(K146="Boy",VLOOKUP(A146,'Grandchildren of Male Loyds'!$AQ$3:$AS$51,3,FALSE),VLOOKUP(A146,'Grandchildren of Female Loyds'!$AX$5:$AZ$63,3,FALSE)))</f>
        <v/>
      </c>
      <c r="AF146" s="105" t="str">
        <f>IF(ISNA(VLOOKUP(A146,'Grandchildren Loyd Daughters'!$BD$5:$BF$50,4,FALSE)),"",VLOOKUP(A146,'Grandchildren Loyd Daughters'!$BD$5:$BF$50,3,FALSE))</f>
        <v/>
      </c>
      <c r="AG146" s="129">
        <f>IF(ISNA(VLOOKUP(A146,'Grandchildren of Male Loyds'!$AQ$3:$AR$60,2,FALSE)),0,VLOOKUP(A146,'Grandchildren of Male Loyds'!$AQ$3:$AR$60,2,FALSE))+IF(ISNA(VLOOKUP(A146,'Grandchildren of Female Loyds'!$AX$5:$AY$50,2,FALSE)),0,VLOOKUP(A146,'Grandchildren of Female Loyds'!$AX$5:$AY$50,2,FALSE))+IF(ISNA(VLOOKUP(A146,'Grandchildren Loyd Daughters'!$BD$5:$BE$50,2,FALSE)),0,VLOOKUP(A146,'Grandchildren Loyd Daughters'!$BD$5:$BE$50,2,FALSE))</f>
        <v>0</v>
      </c>
      <c r="AH146" s="129" t="str">
        <f>VLOOKUP($U146,'Loyd List 1-190 - Edit'!$P$3:$AJ$220,21,FALSE)</f>
        <v>Sally Elizabeth Jane INGLIS (b. 18 Jan 1931, d. 27 Aug 2020)</v>
      </c>
      <c r="AI146" s="129">
        <f>VLOOKUP(A146,'Updated Bios &amp; Spouse Details'!$A$1:$J$200,7,FALSE)</f>
        <v>0</v>
      </c>
      <c r="AJ146" s="130" t="str">
        <f>IF(VLOOKUP($A146,'Loyd List 1-190 - Edit'!$C$1:$AQ$220,'Book Details - NO EDIT'!AJ$1,FALSE)="","",(VLOOKUP($A146,'Loyd List 1-190 - Edit'!$C$1:$AQ$220,'Book Details - NO EDIT'!AJ$1,FALSE)))</f>
        <v xml:space="preserve"> - </v>
      </c>
      <c r="AK146" s="129">
        <f>VLOOKUP(A146,'Updated Bios &amp; Spouse Details'!$A$1:$J$200,8,FALSE)</f>
        <v>0</v>
      </c>
      <c r="AL146" s="131" t="str">
        <f>VLOOKUP(A146,'Updated Bios &amp; Spouse Details'!$A$1:$J$200,5,FALSE)</f>
        <v>Andrew lives in Roxburghshire and is only son of Peter (1923–1974: #99). Born 1 Nov 1962 in London. Baptised 3 Apr 1963 at Thame, Oxfordshire. Education: Blundells 1976-81 and Westminster College, London 1984-87 (HND Hotel &amp; Catering). Career: Connaught Hotel, London 1983; Party Ingredients, London 1984; Dukes Hotel, London 1984-85; Dorchester Hotel, London 1987-88; Hotel Intercontinental, London 1988-89; Mayfair Intercontinental, London 1889-91; House Manager for private employers in Canada and USA 1991-97; Estate Manager for private employers in USA 1997-98.</v>
      </c>
      <c r="AM146" s="105" t="str">
        <f>IF(AND(LEN(H146)&gt;0,ISNA(IF(K146="Boy",VLOOKUP(A146,'Siblings of those BORN Loyd'!$AP$3:$AQ$70,2,FALSE),VLOOKUP(A146,'Children of Female Loyds'!$AR$5:$AS$60,2,FALSE)))),"d.s.p","")</f>
        <v/>
      </c>
      <c r="AN146" s="99" t="str">
        <f t="shared" si="68"/>
        <v>Peter (1923–1974: #99)</v>
      </c>
      <c r="AO146" s="99" t="str">
        <f t="shared" si="73"/>
        <v>William (1889–1947: #66)</v>
      </c>
      <c r="AP146" s="99" t="str">
        <f t="shared" si="74"/>
        <v>Harry (1861–1938: #44)</v>
      </c>
      <c r="AQ146" s="99" t="str">
        <f t="shared" si="75"/>
        <v>William (1821–1885: #23)</v>
      </c>
      <c r="AR146" s="99" t="str">
        <f t="shared" si="76"/>
        <v>Edward (1780–1863: #8)</v>
      </c>
      <c r="AS146" s="99" t="str">
        <f t="shared" si="77"/>
        <v>William (1729–1800: #1)</v>
      </c>
      <c r="AT146" s="99" t="str">
        <f t="shared" si="78"/>
        <v/>
      </c>
      <c r="AU146" s="99" t="str">
        <f t="shared" si="79"/>
        <v/>
      </c>
      <c r="AW146" s="116" t="str">
        <f>VLOOKUP(A146,'Updated Bios &amp; Spouse Details'!$A$1:$J$193,6,FALSE)</f>
        <v>England, USA and Canada</v>
      </c>
      <c r="AX146" s="131">
        <f>VLOOKUP($A146,'Loyd List 1-190 - Edit'!$P$2:$AQ$220,AX$1,FALSE)</f>
        <v>144</v>
      </c>
      <c r="AY146" s="116" t="str">
        <f>IF(ISNA(VLOOKUP(A146,'Data check lookup table'!$G$2:$V$73,AY$1,FALSE))," - ",VLOOKUP(A146,'Data check lookup table'!$G$2:$V$73,AY$1,FALSE))</f>
        <v>andrew@ltrcastles.com</v>
      </c>
      <c r="AZ146" s="147" t="str">
        <f t="shared" si="69"/>
        <v/>
      </c>
      <c r="BA146" s="99" t="str">
        <f t="shared" si="70"/>
        <v>, William (1729–1800: #1)</v>
      </c>
      <c r="BB146" s="99" t="str">
        <f t="shared" si="71"/>
        <v/>
      </c>
      <c r="BI146" s="147" t="s">
        <v>3228</v>
      </c>
    </row>
    <row r="147" spans="1:61" s="99" customFormat="1" ht="51">
      <c r="A147" s="139">
        <f>'Loyd List 1-190 - Edit'!C147</f>
        <v>145</v>
      </c>
      <c r="B147" s="99" t="str">
        <f>VLOOKUP($A147,'Loyd List 1-190 - Edit'!$C$1:$AQ$220,'Book Details - NO EDIT'!B$1,FALSE)</f>
        <v>Anthony</v>
      </c>
      <c r="C147" s="99" t="str">
        <f>IF(VLOOKUP($A147,'Loyd List 1-190 - Edit'!$C$1:$AQ$220,'Book Details - NO EDIT'!C$1,FALSE)="","",VLOOKUP($A147,'Loyd List 1-190 - Edit'!$C$1:$AQ$220,'Book Details - NO EDIT'!C$1,FALSE))</f>
        <v>Simon</v>
      </c>
      <c r="D147" s="99" t="str">
        <f>IF(VLOOKUP($A147,'Loyd List 1-190 - Edit'!$C$1:$AQ$220,'Book Details - NO EDIT'!D$1,FALSE)="","",VLOOKUP($A147,'Loyd List 1-190 - Edit'!$C$1:$AQ$220,'Book Details - NO EDIT'!D$1,FALSE))</f>
        <v>Haig</v>
      </c>
      <c r="E147" s="99" t="str">
        <f>IF(VLOOKUP($A147,'Loyd List 1-190 - Edit'!$C$1:$AQ$220,'Book Details - NO EDIT'!E$1,FALSE)="","",VLOOKUP($A147,'Loyd List 1-190 - Edit'!$C$1:$AQ$220,'Book Details - NO EDIT'!E$1,FALSE))</f>
        <v>LOYD</v>
      </c>
      <c r="F147" s="99" t="str">
        <f>IF(VLOOKUP($A147,'Loyd List 1-190 - Edit'!$C$1:$AQ$220,'Book Details - NO EDIT'!F$1,FALSE)="",B147,VLOOKUP($A147,'Loyd List 1-190 - Edit'!$C$1:$AQ$220,'Book Details - NO EDIT'!F$1,FALSE))</f>
        <v>Tony</v>
      </c>
      <c r="G147" s="140">
        <f>IF(VLOOKUP($A147,'Loyd List 1-190 - Edit'!$C$1:$AQ$220,'Book Details - NO EDIT'!G$1,FALSE)="","",VALUE(VLOOKUP($A147,'Loyd List 1-190 - Edit'!$C$1:$AQ$220,'Book Details - NO EDIT'!G$1,FALSE)))</f>
        <v>1963</v>
      </c>
      <c r="H147" s="140" t="str">
        <f>IF(VLOOKUP($A147,'Loyd List 1-190 - Edit'!$C$1:$AQ$220,'Book Details - NO EDIT'!H$1,FALSE)="","",VALUE(VLOOKUP($A147,'Loyd List 1-190 - Edit'!$C$1:$AQ$220,'Book Details - NO EDIT'!H$1,FALSE)))</f>
        <v/>
      </c>
      <c r="I147" s="141">
        <f>IF(VLOOKUP($A147,'Loyd List 1-190 - Edit'!$C$1:$AQ$220,'Book Details - NO EDIT'!I$1,FALSE)="","",(VLOOKUP($A147,'Loyd List 1-190 - Edit'!$C$1:$AQ$220,'Book Details - NO EDIT'!I$1,FALSE)))</f>
        <v>23047</v>
      </c>
      <c r="J147" s="141" t="str">
        <f>IF(VLOOKUP($A147,'Loyd List 1-190 - Edit'!$C$1:$AQ$220,'Book Details - NO EDIT'!J$1,FALSE)="","",(VLOOKUP($A147,'Loyd List 1-190 - Edit'!$C$1:$AQ$220,'Book Details - NO EDIT'!J$1,FALSE)))</f>
        <v/>
      </c>
      <c r="K147" s="100" t="str">
        <f>VLOOKUP($A147,'Loyd List 1-190 - Edit'!$C$1:$AQ$220,'Book Details - NO EDIT'!K$1,FALSE)</f>
        <v>Boy</v>
      </c>
      <c r="L147" s="140">
        <f>VLOOKUP($A147,'Loyd List 1-190 - Edit'!$C$1:$AQ$220,'Book Details - NO EDIT'!L$1,FALSE)</f>
        <v>98</v>
      </c>
      <c r="M147" s="140">
        <f t="shared" si="60"/>
        <v>77</v>
      </c>
      <c r="N147" s="140">
        <f t="shared" si="60"/>
        <v>30</v>
      </c>
      <c r="O147" s="140">
        <f t="shared" si="60"/>
        <v>14</v>
      </c>
      <c r="P147" s="140">
        <f t="shared" si="60"/>
        <v>4</v>
      </c>
      <c r="Q147" s="140">
        <f t="shared" si="80"/>
        <v>1</v>
      </c>
      <c r="R147" s="140">
        <f t="shared" si="61"/>
        <v>0</v>
      </c>
      <c r="S147" s="140" t="str">
        <f t="shared" si="62"/>
        <v/>
      </c>
      <c r="T147" s="140">
        <f t="shared" si="58"/>
        <v>6</v>
      </c>
      <c r="U147" s="139">
        <f t="shared" si="63"/>
        <v>145</v>
      </c>
      <c r="V147" s="31" t="str">
        <f t="shared" si="64"/>
        <v>Tony (1963–)</v>
      </c>
      <c r="W147" s="31" t="str">
        <f t="shared" si="65"/>
        <v>Tony (#145)</v>
      </c>
      <c r="X147" s="99" t="str">
        <f t="shared" si="66"/>
        <v>Tony (1963–: #145)</v>
      </c>
      <c r="Y147" s="99" t="str">
        <f t="shared" si="59"/>
        <v>Anthony Simon Haig LOYD</v>
      </c>
      <c r="Z147" s="99" t="str">
        <f t="shared" si="67"/>
        <v>Peter (1922–2022: #98)</v>
      </c>
      <c r="AA147" s="99" t="str">
        <f t="shared" si="72"/>
        <v xml:space="preserve">Peter (1922–2022: #98) Wilfrid (1893–1971: #77) Archie (1847–1922: #30) Thomas (1812–1857: #14) William (1770–1828: #4) William (1729–1800: #1)  </v>
      </c>
      <c r="AB147" s="142" t="str">
        <f>VLOOKUP(U147,'Siblings of those BORN Loyd'!$A$2:$G$230,7,FALSE)</f>
        <v xml:space="preserve">4 – Julie (1952–: #128) Penelope (1954–1954: #132) William (1955–: #134)  Sophie (1969–: #154)    </v>
      </c>
      <c r="AC147" s="115" t="str">
        <f>IF(ISNA(IF(K147="Boy",VLOOKUP(A147,'Siblings of those BORN Loyd'!$AP$3:$AQ$70,2,FALSE),VLOOKUP(A147,'Children of Female Loyds'!$AR$5:$AT$60,3,FALSE))),AM147,IF(K147="Boy",VLOOKUP(A147,'Siblings of those BORN Loyd'!$AP$3:$AQ$70,2,FALSE),VLOOKUP(A147,'Children of Female Loyds'!$AR$5:$AT$60,3,FALSE)))</f>
        <v/>
      </c>
      <c r="AD147" s="97" t="str">
        <f t="shared" si="81"/>
        <v>-</v>
      </c>
      <c r="AE147" s="105" t="str">
        <f>IF(ISNA(IF(K147="Boy",VLOOKUP(A147,'Grandchildren of Male Loyds'!$AQ$3:$AS$51,3,FALSE),VLOOKUP(A147,'Grandchildren of Female Loyds'!$AX$5:$AZ$63,3,FALSE))),AM147,IF(K147="Boy",VLOOKUP(A147,'Grandchildren of Male Loyds'!$AQ$3:$AS$51,3,FALSE),VLOOKUP(A147,'Grandchildren of Female Loyds'!$AX$5:$AZ$63,3,FALSE)))</f>
        <v/>
      </c>
      <c r="AF147" s="105" t="str">
        <f>IF(ISNA(VLOOKUP(A147,'Grandchildren Loyd Daughters'!$BD$5:$BF$50,4,FALSE)),"",VLOOKUP(A147,'Grandchildren Loyd Daughters'!$BD$5:$BF$50,3,FALSE))</f>
        <v/>
      </c>
      <c r="AG147" s="129">
        <f>IF(ISNA(VLOOKUP(A147,'Grandchildren of Male Loyds'!$AQ$3:$AR$60,2,FALSE)),0,VLOOKUP(A147,'Grandchildren of Male Loyds'!$AQ$3:$AR$60,2,FALSE))+IF(ISNA(VLOOKUP(A147,'Grandchildren of Female Loyds'!$AX$5:$AY$50,2,FALSE)),0,VLOOKUP(A147,'Grandchildren of Female Loyds'!$AX$5:$AY$50,2,FALSE))+IF(ISNA(VLOOKUP(A147,'Grandchildren Loyd Daughters'!$BD$5:$BE$50,2,FALSE)),0,VLOOKUP(A147,'Grandchildren Loyd Daughters'!$BD$5:$BE$50,2,FALSE))</f>
        <v>0</v>
      </c>
      <c r="AH147" s="129" t="str">
        <f>VLOOKUP($U147,'Loyd List 1-190 - Edit'!$P$3:$AJ$220,21,FALSE)</f>
        <v>Rosemary Joan (Rosie) MOIR (b. 23 Feb 1942, d. 12 Mar 1997)</v>
      </c>
      <c r="AI147" s="129" t="str">
        <f>VLOOKUP(A147,'Updated Bios &amp; Spouse Details'!$A$1:$J$200,7,FALSE)</f>
        <v>Sarah Ann WHITLEY (b. 2 Oct 1959, )</v>
      </c>
      <c r="AJ147" s="130">
        <f>IF(VLOOKUP($A147,'Loyd List 1-190 - Edit'!$C$1:$AQ$220,'Book Details - NO EDIT'!AJ$1,FALSE)="","",(VLOOKUP($A147,'Loyd List 1-190 - Edit'!$C$1:$AQ$220,'Book Details - NO EDIT'!AJ$1,FALSE)))</f>
        <v>36805</v>
      </c>
      <c r="AK147" s="129" t="str">
        <f>VLOOKUP(A147,'Updated Bios &amp; Spouse Details'!$A$1:$J$200,8,FALSE)</f>
        <v>Sarah only daughter of Gordon Hedley WHITLEY of Exter Devon.</v>
      </c>
      <c r="AL147" s="131" t="str">
        <f>VLOOKUP(A147,'Updated Bios &amp; Spouse Details'!$A$1:$J$200,5,FALSE)</f>
        <v>Tony lives in Upper Basildon and is the younger son of Peter (1922–2022: #98). Born 5 Feb 1963 at the Westminster Hospital, London SW1. Baptised 21 Apr 1963 at St Jude-on-the-Hill, Hampstead Garden Suburb, London NW11. Education:  University College School, Keble College, Oxford (BA Maths 1984), and University College, London (MSc Computer Science 1985). Computer Consultant, Logica from 1985.</v>
      </c>
      <c r="AM147" s="105" t="str">
        <f>IF(AND(LEN(H147)&gt;0,ISNA(IF(K147="Boy",VLOOKUP(A147,'Siblings of those BORN Loyd'!$AP$3:$AQ$70,2,FALSE),VLOOKUP(A147,'Children of Female Loyds'!$AR$5:$AS$60,2,FALSE)))),"d.s.p","")</f>
        <v/>
      </c>
      <c r="AN147" s="99" t="str">
        <f t="shared" si="68"/>
        <v>Peter (1922–2022: #98)</v>
      </c>
      <c r="AO147" s="99" t="str">
        <f t="shared" si="73"/>
        <v>Wilfrid (1893–1971: #77)</v>
      </c>
      <c r="AP147" s="99" t="str">
        <f t="shared" si="74"/>
        <v>Archie (1847–1922: #30)</v>
      </c>
      <c r="AQ147" s="99" t="str">
        <f t="shared" si="75"/>
        <v>Thomas (1812–1857: #14)</v>
      </c>
      <c r="AR147" s="99" t="str">
        <f t="shared" si="76"/>
        <v>William (1770–1828: #4)</v>
      </c>
      <c r="AS147" s="99" t="str">
        <f t="shared" si="77"/>
        <v>William (1729–1800: #1)</v>
      </c>
      <c r="AT147" s="99" t="str">
        <f t="shared" si="78"/>
        <v/>
      </c>
      <c r="AU147" s="99" t="str">
        <f t="shared" si="79"/>
        <v/>
      </c>
      <c r="AW147" s="116" t="str">
        <f>VLOOKUP(A147,'Updated Bios &amp; Spouse Details'!$A$1:$J$193,6,FALSE)</f>
        <v>England</v>
      </c>
      <c r="AX147" s="131">
        <f>VLOOKUP($A147,'Loyd List 1-190 - Edit'!$P$2:$AQ$220,AX$1,FALSE)</f>
        <v>145</v>
      </c>
      <c r="AY147" s="116" t="str">
        <f>IF(ISNA(VLOOKUP(A147,'Data check lookup table'!$G$2:$V$73,AY$1,FALSE))," - ",VLOOKUP(A147,'Data check lookup table'!$G$2:$V$73,AY$1,FALSE))</f>
        <v>rosemaryloyd@gmail.com</v>
      </c>
      <c r="AZ147" s="147" t="str">
        <f t="shared" si="69"/>
        <v/>
      </c>
      <c r="BA147" s="99" t="str">
        <f t="shared" si="70"/>
        <v>, William (1729–1800: #1)</v>
      </c>
      <c r="BB147" s="99" t="str">
        <f t="shared" si="71"/>
        <v/>
      </c>
      <c r="BI147" s="147" t="s">
        <v>3228</v>
      </c>
    </row>
    <row r="148" spans="1:61" s="99" customFormat="1" ht="68">
      <c r="A148" s="139">
        <f>'Loyd List 1-190 - Edit'!C148</f>
        <v>146</v>
      </c>
      <c r="B148" s="99" t="str">
        <f>VLOOKUP($A148,'Loyd List 1-190 - Edit'!$C$1:$AQ$220,'Book Details - NO EDIT'!B$1,FALSE)</f>
        <v>Charles</v>
      </c>
      <c r="C148" s="99" t="str">
        <f>IF(VLOOKUP($A148,'Loyd List 1-190 - Edit'!$C$1:$AQ$220,'Book Details - NO EDIT'!C$1,FALSE)="","",VLOOKUP($A148,'Loyd List 1-190 - Edit'!$C$1:$AQ$220,'Book Details - NO EDIT'!C$1,FALSE))</f>
        <v>Anthony</v>
      </c>
      <c r="D148" s="99" t="str">
        <f>IF(VLOOKUP($A148,'Loyd List 1-190 - Edit'!$C$1:$AQ$220,'Book Details - NO EDIT'!D$1,FALSE)="","",VLOOKUP($A148,'Loyd List 1-190 - Edit'!$C$1:$AQ$220,'Book Details - NO EDIT'!D$1,FALSE))</f>
        <v/>
      </c>
      <c r="E148" s="99" t="str">
        <f>IF(VLOOKUP($A148,'Loyd List 1-190 - Edit'!$C$1:$AQ$220,'Book Details - NO EDIT'!E$1,FALSE)="","",VLOOKUP($A148,'Loyd List 1-190 - Edit'!$C$1:$AQ$220,'Book Details - NO EDIT'!E$1,FALSE))</f>
        <v>LOYD</v>
      </c>
      <c r="F148" s="99" t="str">
        <f>IF(VLOOKUP($A148,'Loyd List 1-190 - Edit'!$C$1:$AQ$220,'Book Details - NO EDIT'!F$1,FALSE)="",B148,VLOOKUP($A148,'Loyd List 1-190 - Edit'!$C$1:$AQ$220,'Book Details - NO EDIT'!F$1,FALSE))</f>
        <v>Charles</v>
      </c>
      <c r="G148" s="140">
        <f>IF(VLOOKUP($A148,'Loyd List 1-190 - Edit'!$C$1:$AQ$220,'Book Details - NO EDIT'!G$1,FALSE)="","",VALUE(VLOOKUP($A148,'Loyd List 1-190 - Edit'!$C$1:$AQ$220,'Book Details - NO EDIT'!G$1,FALSE)))</f>
        <v>1963</v>
      </c>
      <c r="H148" s="140" t="str">
        <f>IF(VLOOKUP($A148,'Loyd List 1-190 - Edit'!$C$1:$AQ$220,'Book Details - NO EDIT'!H$1,FALSE)="","",VALUE(VLOOKUP($A148,'Loyd List 1-190 - Edit'!$C$1:$AQ$220,'Book Details - NO EDIT'!H$1,FALSE)))</f>
        <v/>
      </c>
      <c r="I148" s="141">
        <f>IF(VLOOKUP($A148,'Loyd List 1-190 - Edit'!$C$1:$AQ$220,'Book Details - NO EDIT'!I$1,FALSE)="","",(VLOOKUP($A148,'Loyd List 1-190 - Edit'!$C$1:$AQ$220,'Book Details - NO EDIT'!I$1,FALSE)))</f>
        <v>23090</v>
      </c>
      <c r="J148" s="141" t="str">
        <f>IF(VLOOKUP($A148,'Loyd List 1-190 - Edit'!$C$1:$AQ$220,'Book Details - NO EDIT'!J$1,FALSE)="","",(VLOOKUP($A148,'Loyd List 1-190 - Edit'!$C$1:$AQ$220,'Book Details - NO EDIT'!J$1,FALSE)))</f>
        <v/>
      </c>
      <c r="K148" s="100" t="str">
        <f>VLOOKUP($A148,'Loyd List 1-190 - Edit'!$C$1:$AQ$220,'Book Details - NO EDIT'!K$1,FALSE)</f>
        <v>Boy</v>
      </c>
      <c r="L148" s="140">
        <f>VLOOKUP($A148,'Loyd List 1-190 - Edit'!$C$1:$AQ$220,'Book Details - NO EDIT'!L$1,FALSE)</f>
        <v>104</v>
      </c>
      <c r="M148" s="140">
        <f t="shared" si="60"/>
        <v>72</v>
      </c>
      <c r="N148" s="140">
        <f t="shared" si="60"/>
        <v>44</v>
      </c>
      <c r="O148" s="140">
        <f t="shared" si="60"/>
        <v>23</v>
      </c>
      <c r="P148" s="140">
        <f t="shared" si="60"/>
        <v>8</v>
      </c>
      <c r="Q148" s="140">
        <f t="shared" si="80"/>
        <v>1</v>
      </c>
      <c r="R148" s="140">
        <f t="shared" si="61"/>
        <v>0</v>
      </c>
      <c r="S148" s="140" t="str">
        <f t="shared" si="62"/>
        <v/>
      </c>
      <c r="T148" s="140">
        <f t="shared" si="58"/>
        <v>6</v>
      </c>
      <c r="U148" s="139">
        <f t="shared" si="63"/>
        <v>146</v>
      </c>
      <c r="V148" s="31" t="str">
        <f t="shared" si="64"/>
        <v>Charles (1963–)</v>
      </c>
      <c r="W148" s="31" t="str">
        <f t="shared" si="65"/>
        <v>Charles (#146)</v>
      </c>
      <c r="X148" s="99" t="str">
        <f t="shared" si="66"/>
        <v>Charles (1963–: #146)</v>
      </c>
      <c r="Y148" s="99" t="str">
        <f t="shared" si="59"/>
        <v>Charles Anthony LOYD</v>
      </c>
      <c r="Z148" s="99" t="str">
        <f t="shared" si="67"/>
        <v>Sir Julian (1926–2018: #104)</v>
      </c>
      <c r="AA148" s="99" t="str">
        <f t="shared" si="72"/>
        <v xml:space="preserve">Sir Julian (1926–2018: #104) Charles (1891–1973: #72) Harry (1861–1938: #44) William (1821–1885: #23) Edward (1780–1863: #8) William (1729–1800: #1)  </v>
      </c>
      <c r="AB148" s="142" t="str">
        <f>VLOOKUP(U148,'Siblings of those BORN Loyd'!$A$2:$G$230,7,FALSE)</f>
        <v xml:space="preserve">3 – Alexandra (1961–: #141)  Toby (1966–1966: #148) Mary Rose (1967–: #152)     </v>
      </c>
      <c r="AC148" s="115" t="str">
        <f>IF(ISNA(IF(K148="Boy",VLOOKUP(A148,'Siblings of those BORN Loyd'!$AP$3:$AQ$70,2,FALSE),VLOOKUP(A148,'Children of Female Loyds'!$AR$5:$AT$60,3,FALSE))),AM148,IF(K148="Boy",VLOOKUP(A148,'Siblings of those BORN Loyd'!$AP$3:$AQ$70,2,FALSE),VLOOKUP(A148,'Children of Female Loyds'!$AR$5:$AT$60,3,FALSE)))</f>
        <v>2 - George (1998–: #180); Rosanna (2000–: #182)</v>
      </c>
      <c r="AD148" s="97" t="str">
        <f t="shared" si="81"/>
        <v>-</v>
      </c>
      <c r="AE148" s="105" t="str">
        <f>IF(ISNA(IF(K148="Boy",VLOOKUP(A148,'Grandchildren of Male Loyds'!$AQ$3:$AS$51,3,FALSE),VLOOKUP(A148,'Grandchildren of Female Loyds'!$AX$5:$AZ$63,3,FALSE))),AM148,IF(K148="Boy",VLOOKUP(A148,'Grandchildren of Male Loyds'!$AQ$3:$AS$51,3,FALSE),VLOOKUP(A148,'Grandchildren of Female Loyds'!$AX$5:$AZ$63,3,FALSE)))</f>
        <v/>
      </c>
      <c r="AF148" s="105" t="str">
        <f>IF(ISNA(VLOOKUP(A148,'Grandchildren Loyd Daughters'!$BD$5:$BF$50,4,FALSE)),"",VLOOKUP(A148,'Grandchildren Loyd Daughters'!$BD$5:$BF$50,3,FALSE))</f>
        <v/>
      </c>
      <c r="AG148" s="129">
        <f>IF(ISNA(VLOOKUP(A148,'Grandchildren of Male Loyds'!$AQ$3:$AR$60,2,FALSE)),0,VLOOKUP(A148,'Grandchildren of Male Loyds'!$AQ$3:$AR$60,2,FALSE))+IF(ISNA(VLOOKUP(A148,'Grandchildren of Female Loyds'!$AX$5:$AY$50,2,FALSE)),0,VLOOKUP(A148,'Grandchildren of Female Loyds'!$AX$5:$AY$50,2,FALSE))+IF(ISNA(VLOOKUP(A148,'Grandchildren Loyd Daughters'!$BD$5:$BE$50,2,FALSE)),0,VLOOKUP(A148,'Grandchildren Loyd Daughters'!$BD$5:$BE$50,2,FALSE))</f>
        <v>0</v>
      </c>
      <c r="AH148" s="129" t="str">
        <f>VLOOKUP($U148,'Loyd List 1-190 - Edit'!$P$3:$AJ$220,21,FALSE)</f>
        <v>Philippa Mary Emma STEEL (b. 5 Dec 1932, d. 27 Oct 2020)</v>
      </c>
      <c r="AI148" s="129" t="str">
        <f>VLOOKUP(A148,'Updated Bios &amp; Spouse Details'!$A$1:$J$200,7,FALSE)</f>
        <v>Jenny CARTWRIGHT (b. 19 Feb 1967, ). Divorced 2020.</v>
      </c>
      <c r="AJ148" s="130">
        <f>IF(VLOOKUP($A148,'Loyd List 1-190 - Edit'!$C$1:$AQ$220,'Book Details - NO EDIT'!AJ$1,FALSE)="","",(VLOOKUP($A148,'Loyd List 1-190 - Edit'!$C$1:$AQ$220,'Book Details - NO EDIT'!AJ$1,FALSE)))</f>
        <v>35322</v>
      </c>
      <c r="AK148" s="129" t="str">
        <f>VLOOKUP(A148,'Updated Bios &amp; Spouse Details'!$A$1:$J$200,8,FALSE)</f>
        <v>Married, at St Peter and St Paul’s, Godalming, Surrey, Jenny elder daughter of Julian CARTWRIGHT of Godalming, Surrey.</v>
      </c>
      <c r="AL148" s="131" t="str">
        <f>VLOOKUP(A148,'Updated Bios &amp; Spouse Details'!$A$1:$J$200,5,FALSE)</f>
        <v>Charles is the elder son of Sir Julian (1926–2018: #104). Born 20 Mar 1963. Baptised 25 May 1963 at Raveningham Church, Norwich, Norfolk.  Education: Heatherdown Prep School, Harrow School (1976–1980), Royal Agricultural College, Cirencester (1983–1986). Career: Assistant Agent to Chatsworth Settlement Trustees 1986-89; Cluttons, Berkeley Square, London 1989-1992; Strutt and Parker, Ipswich 1992 onwards. Page of Honour to HM The Queen 1976-79; Member of Royal Institution of Chartered Surveyors (1989). Memberships of I Zingari, MCC and Liveryman of the Worshipful Company of Fishmongers. Interests: Cricket, Flyfishing. Issue: 1 son, 1 daughter.</v>
      </c>
      <c r="AM148" s="105" t="str">
        <f>IF(AND(LEN(H148)&gt;0,ISNA(IF(K148="Boy",VLOOKUP(A148,'Siblings of those BORN Loyd'!$AP$3:$AQ$70,2,FALSE),VLOOKUP(A148,'Children of Female Loyds'!$AR$5:$AS$60,2,FALSE)))),"d.s.p","")</f>
        <v/>
      </c>
      <c r="AN148" s="99" t="str">
        <f t="shared" si="68"/>
        <v>Sir Julian (1926–2018: #104)</v>
      </c>
      <c r="AO148" s="99" t="str">
        <f t="shared" si="73"/>
        <v>Charles (1891–1973: #72)</v>
      </c>
      <c r="AP148" s="99" t="str">
        <f t="shared" si="74"/>
        <v>Harry (1861–1938: #44)</v>
      </c>
      <c r="AQ148" s="99" t="str">
        <f t="shared" si="75"/>
        <v>William (1821–1885: #23)</v>
      </c>
      <c r="AR148" s="99" t="str">
        <f t="shared" si="76"/>
        <v>Edward (1780–1863: #8)</v>
      </c>
      <c r="AS148" s="99" t="str">
        <f t="shared" si="77"/>
        <v>William (1729–1800: #1)</v>
      </c>
      <c r="AT148" s="99" t="str">
        <f t="shared" si="78"/>
        <v/>
      </c>
      <c r="AU148" s="99" t="str">
        <f t="shared" si="79"/>
        <v/>
      </c>
      <c r="AW148" s="116" t="str">
        <f>VLOOKUP(A148,'Updated Bios &amp; Spouse Details'!$A$1:$J$193,6,FALSE)</f>
        <v>England</v>
      </c>
      <c r="AX148" s="131">
        <f>VLOOKUP($A148,'Loyd List 1-190 - Edit'!$P$2:$AQ$220,AX$1,FALSE)</f>
        <v>146</v>
      </c>
      <c r="AY148" s="116" t="str">
        <f>IF(ISNA(VLOOKUP(A148,'Data check lookup table'!$G$2:$V$73,AY$1,FALSE))," - ",VLOOKUP(A148,'Data check lookup table'!$G$2:$V$73,AY$1,FALSE))</f>
        <v>c.loyde@icloud.com</v>
      </c>
      <c r="AZ148" s="147" t="str">
        <f t="shared" si="69"/>
        <v/>
      </c>
      <c r="BA148" s="99" t="str">
        <f t="shared" si="70"/>
        <v>, William (1729–1800: #1)</v>
      </c>
      <c r="BB148" s="99" t="str">
        <f t="shared" si="71"/>
        <v/>
      </c>
      <c r="BI148" s="147" t="s">
        <v>3228</v>
      </c>
    </row>
    <row r="149" spans="1:61" s="99" customFormat="1" ht="34">
      <c r="A149" s="139">
        <f>'Loyd List 1-190 - Edit'!C149</f>
        <v>147</v>
      </c>
      <c r="B149" s="99" t="str">
        <f>VLOOKUP($A149,'Loyd List 1-190 - Edit'!$C$1:$AQ$220,'Book Details - NO EDIT'!B$1,FALSE)</f>
        <v>Susannah</v>
      </c>
      <c r="C149" s="99" t="str">
        <f>IF(VLOOKUP($A149,'Loyd List 1-190 - Edit'!$C$1:$AQ$220,'Book Details - NO EDIT'!C$1,FALSE)="","",VLOOKUP($A149,'Loyd List 1-190 - Edit'!$C$1:$AQ$220,'Book Details - NO EDIT'!C$1,FALSE))</f>
        <v>Mary</v>
      </c>
      <c r="D149" s="99" t="str">
        <f>IF(VLOOKUP($A149,'Loyd List 1-190 - Edit'!$C$1:$AQ$220,'Book Details - NO EDIT'!D$1,FALSE)="","",VLOOKUP($A149,'Loyd List 1-190 - Edit'!$C$1:$AQ$220,'Book Details - NO EDIT'!D$1,FALSE))</f>
        <v/>
      </c>
      <c r="E149" s="99" t="str">
        <f>IF(VLOOKUP($A149,'Loyd List 1-190 - Edit'!$C$1:$AQ$220,'Book Details - NO EDIT'!E$1,FALSE)="","",VLOOKUP($A149,'Loyd List 1-190 - Edit'!$C$1:$AQ$220,'Book Details - NO EDIT'!E$1,FALSE))</f>
        <v>LOYD</v>
      </c>
      <c r="F149" s="99" t="str">
        <f>IF(VLOOKUP($A149,'Loyd List 1-190 - Edit'!$C$1:$AQ$220,'Book Details - NO EDIT'!F$1,FALSE)="",B149,VLOOKUP($A149,'Loyd List 1-190 - Edit'!$C$1:$AQ$220,'Book Details - NO EDIT'!F$1,FALSE))</f>
        <v>Susannah</v>
      </c>
      <c r="G149" s="140">
        <f>IF(VLOOKUP($A149,'Loyd List 1-190 - Edit'!$C$1:$AQ$220,'Book Details - NO EDIT'!G$1,FALSE)="","",VALUE(VLOOKUP($A149,'Loyd List 1-190 - Edit'!$C$1:$AQ$220,'Book Details - NO EDIT'!G$1,FALSE)))</f>
        <v>1965</v>
      </c>
      <c r="H149" s="140" t="str">
        <f>IF(VLOOKUP($A149,'Loyd List 1-190 - Edit'!$C$1:$AQ$220,'Book Details - NO EDIT'!H$1,FALSE)="","",VALUE(VLOOKUP($A149,'Loyd List 1-190 - Edit'!$C$1:$AQ$220,'Book Details - NO EDIT'!H$1,FALSE)))</f>
        <v/>
      </c>
      <c r="I149" s="141">
        <f>IF(VLOOKUP($A149,'Loyd List 1-190 - Edit'!$C$1:$AQ$220,'Book Details - NO EDIT'!I$1,FALSE)="","",(VLOOKUP($A149,'Loyd List 1-190 - Edit'!$C$1:$AQ$220,'Book Details - NO EDIT'!I$1,FALSE)))</f>
        <v>24014</v>
      </c>
      <c r="J149" s="141" t="str">
        <f>IF(VLOOKUP($A149,'Loyd List 1-190 - Edit'!$C$1:$AQ$220,'Book Details - NO EDIT'!J$1,FALSE)="","",(VLOOKUP($A149,'Loyd List 1-190 - Edit'!$C$1:$AQ$220,'Book Details - NO EDIT'!J$1,FALSE)))</f>
        <v/>
      </c>
      <c r="K149" s="100" t="str">
        <f>VLOOKUP($A149,'Loyd List 1-190 - Edit'!$C$1:$AQ$220,'Book Details - NO EDIT'!K$1,FALSE)</f>
        <v>Girl</v>
      </c>
      <c r="L149" s="140">
        <f>VLOOKUP($A149,'Loyd List 1-190 - Edit'!$C$1:$AQ$220,'Book Details - NO EDIT'!L$1,FALSE)</f>
        <v>117</v>
      </c>
      <c r="M149" s="140">
        <f t="shared" si="60"/>
        <v>55</v>
      </c>
      <c r="N149" s="140">
        <f t="shared" si="60"/>
        <v>35</v>
      </c>
      <c r="O149" s="140">
        <f t="shared" si="60"/>
        <v>23</v>
      </c>
      <c r="P149" s="140">
        <f t="shared" si="60"/>
        <v>8</v>
      </c>
      <c r="Q149" s="140">
        <f t="shared" si="80"/>
        <v>1</v>
      </c>
      <c r="R149" s="140">
        <f t="shared" si="61"/>
        <v>0</v>
      </c>
      <c r="S149" s="140" t="str">
        <f t="shared" si="62"/>
        <v/>
      </c>
      <c r="T149" s="140">
        <f t="shared" si="58"/>
        <v>6</v>
      </c>
      <c r="U149" s="139">
        <f t="shared" si="63"/>
        <v>147</v>
      </c>
      <c r="V149" s="31" t="str">
        <f t="shared" si="64"/>
        <v>Susannah (1965–)</v>
      </c>
      <c r="W149" s="31" t="str">
        <f t="shared" si="65"/>
        <v>Susannah (#147)</v>
      </c>
      <c r="X149" s="99" t="str">
        <f t="shared" si="66"/>
        <v>Susannah (1965–: #147)</v>
      </c>
      <c r="Y149" s="99" t="str">
        <f t="shared" si="59"/>
        <v>Susannah Mary LOYD</v>
      </c>
      <c r="Z149" s="99" t="str">
        <f t="shared" si="67"/>
        <v>Patrick (1942–: #117)</v>
      </c>
      <c r="AA149" s="99" t="str">
        <f t="shared" si="72"/>
        <v xml:space="preserve">Patrick (1942–: #117) Dick (1882–1950: #55) Lewis (1852–1908: #35) William (1821–1885: #23) Edward (1780–1863: #8) William (1729–1800: #1)  </v>
      </c>
      <c r="AB149" s="142" t="str">
        <f>VLOOKUP(U149,'Siblings of those BORN Loyd'!$A$2:$G$230,7,FALSE)</f>
        <v xml:space="preserve">2 – Elspeth (1967–: #151) Richard (1968–: #153)      </v>
      </c>
      <c r="AC149" s="115" t="str">
        <f>IF(ISNA(IF(K149="Boy",VLOOKUP(A149,'Siblings of those BORN Loyd'!$AP$3:$AQ$70,2,FALSE),VLOOKUP(A149,'Children of Female Loyds'!$AR$5:$AT$60,3,FALSE))),AM149,IF(K149="Boy",VLOOKUP(A149,'Siblings of those BORN Loyd'!$AP$3:$AQ$70,2,FALSE),VLOOKUP(A149,'Children of Female Loyds'!$AR$5:$AT$60,3,FALSE)))</f>
        <v/>
      </c>
      <c r="AD149" s="97" t="str">
        <f t="shared" si="81"/>
        <v>-</v>
      </c>
      <c r="AE149" s="105" t="str">
        <f>IF(ISNA(IF(K149="Boy",VLOOKUP(A149,'Grandchildren of Male Loyds'!$AQ$3:$AS$51,3,FALSE),VLOOKUP(A149,'Grandchildren of Female Loyds'!$AX$5:$AZ$63,3,FALSE))),AM149,IF(K149="Boy",VLOOKUP(A149,'Grandchildren of Male Loyds'!$AQ$3:$AS$51,3,FALSE),VLOOKUP(A149,'Grandchildren of Female Loyds'!$AX$5:$AZ$63,3,FALSE)))</f>
        <v/>
      </c>
      <c r="AF149" s="105" t="str">
        <f>IF(ISNA(VLOOKUP(A149,'Grandchildren Loyd Daughters'!$BD$5:$BF$50,4,FALSE)),"",VLOOKUP(A149,'Grandchildren Loyd Daughters'!$BD$5:$BF$50,3,FALSE))</f>
        <v/>
      </c>
      <c r="AG149" s="129">
        <f>IF(ISNA(VLOOKUP(A149,'Grandchildren of Male Loyds'!$AQ$3:$AR$60,2,FALSE)),0,VLOOKUP(A149,'Grandchildren of Male Loyds'!$AQ$3:$AR$60,2,FALSE))+IF(ISNA(VLOOKUP(A149,'Grandchildren of Female Loyds'!$AX$5:$AY$50,2,FALSE)),0,VLOOKUP(A149,'Grandchildren of Female Loyds'!$AX$5:$AY$50,2,FALSE))+IF(ISNA(VLOOKUP(A149,'Grandchildren Loyd Daughters'!$BD$5:$BE$50,2,FALSE)),0,VLOOKUP(A149,'Grandchildren Loyd Daughters'!$BD$5:$BE$50,2,FALSE))</f>
        <v>0</v>
      </c>
      <c r="AH149" s="129" t="str">
        <f>VLOOKUP($U149,'Loyd List 1-190 - Edit'!$P$3:$AJ$220,21,FALSE)</f>
        <v>Mary DAVIES (b. 6 Aug 1939, d. 17 Feb 1997)</v>
      </c>
      <c r="AI149" s="129" t="str">
        <f>VLOOKUP(A149,'Updated Bios &amp; Spouse Details'!$A$1:$J$200,7,FALSE)</f>
        <v>James Robert HUNT (b. 19 May 1976, )</v>
      </c>
      <c r="AJ149" s="130">
        <f>IF(VLOOKUP($A149,'Loyd List 1-190 - Edit'!$C$1:$AQ$220,'Book Details - NO EDIT'!AJ$1,FALSE)="","",(VLOOKUP($A149,'Loyd List 1-190 - Edit'!$C$1:$AQ$220,'Book Details - NO EDIT'!AJ$1,FALSE)))</f>
        <v>38849</v>
      </c>
      <c r="AK149" s="129" t="str">
        <f>VLOOKUP(A149,'Updated Bios &amp; Spouse Details'!$A$1:$J$200,8,FALSE)</f>
        <v>James is the son of Thomas and Ann HUNT.</v>
      </c>
      <c r="AL149" s="131" t="str">
        <f>VLOOKUP(A149,'Updated Bios &amp; Spouse Details'!$A$1:$J$200,5,FALSE)</f>
        <v>Susannah lives at St Sampsons, Guernsey, Channel Islands and is the elder daughter of Patrick (1942– : #117). Born 29 Sep 1965 at Kettering, Northamptonshire.</v>
      </c>
      <c r="AM149" s="105" t="str">
        <f>IF(AND(LEN(H149)&gt;0,ISNA(IF(K149="Boy",VLOOKUP(A149,'Siblings of those BORN Loyd'!$AP$3:$AQ$70,2,FALSE),VLOOKUP(A149,'Children of Female Loyds'!$AR$5:$AS$60,2,FALSE)))),"d.s.p","")</f>
        <v/>
      </c>
      <c r="AN149" s="99" t="str">
        <f t="shared" si="68"/>
        <v>Patrick (1942–: #117)</v>
      </c>
      <c r="AO149" s="99" t="str">
        <f t="shared" si="73"/>
        <v>Dick (1882–1950: #55)</v>
      </c>
      <c r="AP149" s="99" t="str">
        <f t="shared" si="74"/>
        <v>Lewis (1852–1908: #35)</v>
      </c>
      <c r="AQ149" s="99" t="str">
        <f t="shared" si="75"/>
        <v>William (1821–1885: #23)</v>
      </c>
      <c r="AR149" s="99" t="str">
        <f t="shared" si="76"/>
        <v>Edward (1780–1863: #8)</v>
      </c>
      <c r="AS149" s="99" t="str">
        <f t="shared" si="77"/>
        <v>William (1729–1800: #1)</v>
      </c>
      <c r="AT149" s="99" t="str">
        <f t="shared" si="78"/>
        <v/>
      </c>
      <c r="AU149" s="99" t="str">
        <f t="shared" si="79"/>
        <v/>
      </c>
      <c r="AW149" s="116" t="str">
        <f>VLOOKUP(A149,'Updated Bios &amp; Spouse Details'!$A$1:$J$193,6,FALSE)</f>
        <v>England</v>
      </c>
      <c r="AX149" s="131">
        <f>VLOOKUP($A149,'Loyd List 1-190 - Edit'!$P$2:$AQ$220,AX$1,FALSE)</f>
        <v>147</v>
      </c>
      <c r="AY149" s="116" t="str">
        <f>IF(ISNA(VLOOKUP(A149,'Data check lookup table'!$G$2:$V$73,AY$1,FALSE))," - ",VLOOKUP(A149,'Data check lookup table'!$G$2:$V$73,AY$1,FALSE))</f>
        <v>patrickloyd@cwgsy.net</v>
      </c>
      <c r="AZ149" s="147" t="str">
        <f t="shared" si="69"/>
        <v/>
      </c>
      <c r="BA149" s="99" t="str">
        <f t="shared" si="70"/>
        <v>, William (1729–1800: #1)</v>
      </c>
      <c r="BB149" s="99" t="str">
        <f t="shared" si="71"/>
        <v/>
      </c>
      <c r="BI149" s="147" t="s">
        <v>3228</v>
      </c>
    </row>
    <row r="150" spans="1:61" s="99" customFormat="1" ht="34">
      <c r="A150" s="139">
        <f>'Loyd List 1-190 - Edit'!C150</f>
        <v>148</v>
      </c>
      <c r="B150" s="99" t="str">
        <f>VLOOKUP($A150,'Loyd List 1-190 - Edit'!$C$1:$AQ$220,'Book Details - NO EDIT'!B$1,FALSE)</f>
        <v>Francis</v>
      </c>
      <c r="C150" s="99" t="str">
        <f>IF(VLOOKUP($A150,'Loyd List 1-190 - Edit'!$C$1:$AQ$220,'Book Details - NO EDIT'!C$1,FALSE)="","",VLOOKUP($A150,'Loyd List 1-190 - Edit'!$C$1:$AQ$220,'Book Details - NO EDIT'!C$1,FALSE))</f>
        <v>Toby</v>
      </c>
      <c r="D150" s="99" t="str">
        <f>IF(VLOOKUP($A150,'Loyd List 1-190 - Edit'!$C$1:$AQ$220,'Book Details - NO EDIT'!D$1,FALSE)="","",VLOOKUP($A150,'Loyd List 1-190 - Edit'!$C$1:$AQ$220,'Book Details - NO EDIT'!D$1,FALSE))</f>
        <v/>
      </c>
      <c r="E150" s="99" t="str">
        <f>IF(VLOOKUP($A150,'Loyd List 1-190 - Edit'!$C$1:$AQ$220,'Book Details - NO EDIT'!E$1,FALSE)="","",VLOOKUP($A150,'Loyd List 1-190 - Edit'!$C$1:$AQ$220,'Book Details - NO EDIT'!E$1,FALSE))</f>
        <v>LOYD</v>
      </c>
      <c r="F150" s="99" t="str">
        <f>IF(VLOOKUP($A150,'Loyd List 1-190 - Edit'!$C$1:$AQ$220,'Book Details - NO EDIT'!F$1,FALSE)="",B150,VLOOKUP($A150,'Loyd List 1-190 - Edit'!$C$1:$AQ$220,'Book Details - NO EDIT'!F$1,FALSE))</f>
        <v>Toby</v>
      </c>
      <c r="G150" s="140">
        <f>IF(VLOOKUP($A150,'Loyd List 1-190 - Edit'!$C$1:$AQ$220,'Book Details - NO EDIT'!G$1,FALSE)="","",VALUE(VLOOKUP($A150,'Loyd List 1-190 - Edit'!$C$1:$AQ$220,'Book Details - NO EDIT'!G$1,FALSE)))</f>
        <v>1966</v>
      </c>
      <c r="H150" s="140">
        <f>IF(VLOOKUP($A150,'Loyd List 1-190 - Edit'!$C$1:$AQ$220,'Book Details - NO EDIT'!H$1,FALSE)="","",VALUE(VLOOKUP($A150,'Loyd List 1-190 - Edit'!$C$1:$AQ$220,'Book Details - NO EDIT'!H$1,FALSE)))</f>
        <v>1966</v>
      </c>
      <c r="I150" s="141">
        <f>IF(VLOOKUP($A150,'Loyd List 1-190 - Edit'!$C$1:$AQ$220,'Book Details - NO EDIT'!I$1,FALSE)="","",(VLOOKUP($A150,'Loyd List 1-190 - Edit'!$C$1:$AQ$220,'Book Details - NO EDIT'!I$1,FALSE)))</f>
        <v>24197</v>
      </c>
      <c r="J150" s="141" t="str">
        <f>IF(VLOOKUP($A150,'Loyd List 1-190 - Edit'!$C$1:$AQ$220,'Book Details - NO EDIT'!J$1,FALSE)="","",(VLOOKUP($A150,'Loyd List 1-190 - Edit'!$C$1:$AQ$220,'Book Details - NO EDIT'!J$1,FALSE)))</f>
        <v>01/04/1966</v>
      </c>
      <c r="K150" s="100" t="str">
        <f>VLOOKUP($A150,'Loyd List 1-190 - Edit'!$C$1:$AQ$220,'Book Details - NO EDIT'!K$1,FALSE)</f>
        <v>Boy</v>
      </c>
      <c r="L150" s="140">
        <f>VLOOKUP($A150,'Loyd List 1-190 - Edit'!$C$1:$AQ$220,'Book Details - NO EDIT'!L$1,FALSE)</f>
        <v>104</v>
      </c>
      <c r="M150" s="140">
        <f t="shared" si="60"/>
        <v>72</v>
      </c>
      <c r="N150" s="140">
        <f t="shared" si="60"/>
        <v>44</v>
      </c>
      <c r="O150" s="140">
        <f t="shared" si="60"/>
        <v>23</v>
      </c>
      <c r="P150" s="140">
        <f t="shared" si="60"/>
        <v>8</v>
      </c>
      <c r="Q150" s="140">
        <f t="shared" si="80"/>
        <v>1</v>
      </c>
      <c r="R150" s="140">
        <f t="shared" si="61"/>
        <v>0</v>
      </c>
      <c r="S150" s="140" t="str">
        <f t="shared" si="62"/>
        <v/>
      </c>
      <c r="T150" s="140">
        <f t="shared" si="58"/>
        <v>6</v>
      </c>
      <c r="U150" s="139">
        <f t="shared" si="63"/>
        <v>148</v>
      </c>
      <c r="V150" s="31" t="str">
        <f t="shared" si="64"/>
        <v>Toby (1966–1966)</v>
      </c>
      <c r="W150" s="31" t="str">
        <f t="shared" si="65"/>
        <v>Toby (#148)</v>
      </c>
      <c r="X150" s="99" t="str">
        <f t="shared" si="66"/>
        <v>Toby (1966–1966: #148)</v>
      </c>
      <c r="Y150" s="99" t="str">
        <f t="shared" si="59"/>
        <v>Francis Toby LOYD</v>
      </c>
      <c r="Z150" s="99" t="str">
        <f t="shared" si="67"/>
        <v>Sir Julian (1926–2018: #104)</v>
      </c>
      <c r="AA150" s="99" t="str">
        <f t="shared" si="72"/>
        <v xml:space="preserve">Sir Julian (1926–2018: #104) Charles (1891–1973: #72) Harry (1861–1938: #44) William (1821–1885: #23) Edward (1780–1863: #8) William (1729–1800: #1)  </v>
      </c>
      <c r="AB150" s="142" t="str">
        <f>VLOOKUP(U150,'Siblings of those BORN Loyd'!$A$2:$G$230,7,FALSE)</f>
        <v xml:space="preserve">3 – Alexandra (1961–: #141) Charles (1963–: #146)  Mary Rose (1967–: #152)     </v>
      </c>
      <c r="AC150" s="115" t="str">
        <f>IF(ISNA(IF(K150="Boy",VLOOKUP(A150,'Siblings of those BORN Loyd'!$AP$3:$AQ$70,2,FALSE),VLOOKUP(A150,'Children of Female Loyds'!$AR$5:$AT$60,3,FALSE))),AM150,IF(K150="Boy",VLOOKUP(A150,'Siblings of those BORN Loyd'!$AP$3:$AQ$70,2,FALSE),VLOOKUP(A150,'Children of Female Loyds'!$AR$5:$AT$60,3,FALSE)))</f>
        <v>d.s.p</v>
      </c>
      <c r="AD150" s="97" t="str">
        <f t="shared" si="81"/>
        <v>d.s.p.</v>
      </c>
      <c r="AE150" s="105" t="str">
        <f>IF(ISNA(IF(K150="Boy",VLOOKUP(A150,'Grandchildren of Male Loyds'!$AQ$3:$AS$51,3,FALSE),VLOOKUP(A150,'Grandchildren of Female Loyds'!$AX$5:$AZ$63,3,FALSE))),AM150,IF(K150="Boy",VLOOKUP(A150,'Grandchildren of Male Loyds'!$AQ$3:$AS$51,3,FALSE),VLOOKUP(A150,'Grandchildren of Female Loyds'!$AX$5:$AZ$63,3,FALSE)))</f>
        <v>d.s.p</v>
      </c>
      <c r="AF150" s="105" t="str">
        <f>IF(ISNA(VLOOKUP(A150,'Grandchildren Loyd Daughters'!$BD$5:$BF$50,4,FALSE)),"",VLOOKUP(A150,'Grandchildren Loyd Daughters'!$BD$5:$BF$50,3,FALSE))</f>
        <v/>
      </c>
      <c r="AG150" s="129">
        <f>IF(ISNA(VLOOKUP(A150,'Grandchildren of Male Loyds'!$AQ$3:$AR$60,2,FALSE)),0,VLOOKUP(A150,'Grandchildren of Male Loyds'!$AQ$3:$AR$60,2,FALSE))+IF(ISNA(VLOOKUP(A150,'Grandchildren of Female Loyds'!$AX$5:$AY$50,2,FALSE)),0,VLOOKUP(A150,'Grandchildren of Female Loyds'!$AX$5:$AY$50,2,FALSE))+IF(ISNA(VLOOKUP(A150,'Grandchildren Loyd Daughters'!$BD$5:$BE$50,2,FALSE)),0,VLOOKUP(A150,'Grandchildren Loyd Daughters'!$BD$5:$BE$50,2,FALSE))</f>
        <v>0</v>
      </c>
      <c r="AH150" s="129" t="str">
        <f>VLOOKUP($U150,'Loyd List 1-190 - Edit'!$P$3:$AJ$220,21,FALSE)</f>
        <v>Philippa Mary Emma STEEL (b. 5 Dec 1932, d. 27 Oct 2020)</v>
      </c>
      <c r="AI150" s="129" t="str">
        <f>VLOOKUP(A150,'Updated Bios &amp; Spouse Details'!$A$1:$J$200,7,FALSE)</f>
        <v>Died in infancy.</v>
      </c>
      <c r="AJ150" s="130" t="str">
        <f>IF(VLOOKUP($A150,'Loyd List 1-190 - Edit'!$C$1:$AQ$220,'Book Details - NO EDIT'!AJ$1,FALSE)="","",(VLOOKUP($A150,'Loyd List 1-190 - Edit'!$C$1:$AQ$220,'Book Details - NO EDIT'!AJ$1,FALSE)))</f>
        <v xml:space="preserve"> - </v>
      </c>
      <c r="AK150" s="129" t="str">
        <f>VLOOKUP(A150,'Updated Bios &amp; Spouse Details'!$A$1:$J$200,8,FALSE)</f>
        <v xml:space="preserve"> - </v>
      </c>
      <c r="AL150" s="131" t="str">
        <f>VLOOKUP(A150,'Updated Bios &amp; Spouse Details'!$A$1:$J$200,5,FALSE)</f>
        <v xml:space="preserve">Francis was the younger son of Sir Julian (1926-2018: #104) Born 31 Mar 1966. Died, in infancy, 1 Apr 1966.                                                                        </v>
      </c>
      <c r="AM150" s="105" t="str">
        <f>IF(AND(LEN(H150)&gt;0,ISNA(IF(K150="Boy",VLOOKUP(A150,'Siblings of those BORN Loyd'!$AP$3:$AQ$70,2,FALSE),VLOOKUP(A150,'Children of Female Loyds'!$AR$5:$AS$60,2,FALSE)))),"d.s.p","")</f>
        <v>d.s.p</v>
      </c>
      <c r="AN150" s="99" t="str">
        <f t="shared" si="68"/>
        <v>Sir Julian (1926–2018: #104)</v>
      </c>
      <c r="AO150" s="99" t="str">
        <f t="shared" si="73"/>
        <v>Charles (1891–1973: #72)</v>
      </c>
      <c r="AP150" s="99" t="str">
        <f t="shared" si="74"/>
        <v>Harry (1861–1938: #44)</v>
      </c>
      <c r="AQ150" s="99" t="str">
        <f t="shared" si="75"/>
        <v>William (1821–1885: #23)</v>
      </c>
      <c r="AR150" s="99" t="str">
        <f t="shared" si="76"/>
        <v>Edward (1780–1863: #8)</v>
      </c>
      <c r="AS150" s="99" t="str">
        <f t="shared" si="77"/>
        <v>William (1729–1800: #1)</v>
      </c>
      <c r="AT150" s="99" t="str">
        <f t="shared" si="78"/>
        <v/>
      </c>
      <c r="AU150" s="99" t="str">
        <f t="shared" si="79"/>
        <v/>
      </c>
      <c r="AW150" s="116" t="str">
        <f>VLOOKUP(A150,'Updated Bios &amp; Spouse Details'!$A$1:$J$193,6,FALSE)</f>
        <v>England</v>
      </c>
      <c r="AX150" s="131">
        <f>VLOOKUP($A150,'Loyd List 1-190 - Edit'!$P$2:$AQ$220,AX$1,FALSE)</f>
        <v>148</v>
      </c>
      <c r="AY150" s="116" t="str">
        <f>IF(ISNA(VLOOKUP(A150,'Data check lookup table'!$G$2:$V$73,AY$1,FALSE))," - ",VLOOKUP(A150,'Data check lookup table'!$G$2:$V$73,AY$1,FALSE))</f>
        <v xml:space="preserve"> - </v>
      </c>
      <c r="AZ150" s="147" t="str">
        <f t="shared" si="69"/>
        <v>01/04/1966</v>
      </c>
      <c r="BA150" s="99" t="str">
        <f t="shared" si="70"/>
        <v>, William (1729–1800: #1)</v>
      </c>
      <c r="BB150" s="99" t="str">
        <f t="shared" si="71"/>
        <v/>
      </c>
      <c r="BI150" s="147" t="s">
        <v>3243</v>
      </c>
    </row>
    <row r="151" spans="1:61" s="99" customFormat="1" ht="85">
      <c r="A151" s="139">
        <f>'Loyd List 1-190 - Edit'!C151</f>
        <v>149</v>
      </c>
      <c r="B151" s="99" t="str">
        <f>VLOOKUP($A151,'Loyd List 1-190 - Edit'!$C$1:$AQ$220,'Book Details - NO EDIT'!B$1,FALSE)</f>
        <v>Anthony</v>
      </c>
      <c r="C151" s="99" t="str">
        <f>IF(VLOOKUP($A151,'Loyd List 1-190 - Edit'!$C$1:$AQ$220,'Book Details - NO EDIT'!C$1,FALSE)="","",VLOOKUP($A151,'Loyd List 1-190 - Edit'!$C$1:$AQ$220,'Book Details - NO EDIT'!C$1,FALSE))</f>
        <v>William</v>
      </c>
      <c r="D151" s="99" t="str">
        <f>IF(VLOOKUP($A151,'Loyd List 1-190 - Edit'!$C$1:$AQ$220,'Book Details - NO EDIT'!D$1,FALSE)="","",VLOOKUP($A151,'Loyd List 1-190 - Edit'!$C$1:$AQ$220,'Book Details - NO EDIT'!D$1,FALSE))</f>
        <v>Vivian</v>
      </c>
      <c r="E151" s="99" t="str">
        <f>IF(VLOOKUP($A151,'Loyd List 1-190 - Edit'!$C$1:$AQ$220,'Book Details - NO EDIT'!E$1,FALSE)="","",VLOOKUP($A151,'Loyd List 1-190 - Edit'!$C$1:$AQ$220,'Book Details - NO EDIT'!E$1,FALSE))</f>
        <v>LOYD</v>
      </c>
      <c r="F151" s="99" t="str">
        <f>IF(VLOOKUP($A151,'Loyd List 1-190 - Edit'!$C$1:$AQ$220,'Book Details - NO EDIT'!F$1,FALSE)="",B151,VLOOKUP($A151,'Loyd List 1-190 - Edit'!$C$1:$AQ$220,'Book Details - NO EDIT'!F$1,FALSE))</f>
        <v>Anthony</v>
      </c>
      <c r="G151" s="140">
        <f>IF(VLOOKUP($A151,'Loyd List 1-190 - Edit'!$C$1:$AQ$220,'Book Details - NO EDIT'!G$1,FALSE)="","",VALUE(VLOOKUP($A151,'Loyd List 1-190 - Edit'!$C$1:$AQ$220,'Book Details - NO EDIT'!G$1,FALSE)))</f>
        <v>1966</v>
      </c>
      <c r="H151" s="140" t="str">
        <f>IF(VLOOKUP($A151,'Loyd List 1-190 - Edit'!$C$1:$AQ$220,'Book Details - NO EDIT'!H$1,FALSE)="","",VALUE(VLOOKUP($A151,'Loyd List 1-190 - Edit'!$C$1:$AQ$220,'Book Details - NO EDIT'!H$1,FALSE)))</f>
        <v/>
      </c>
      <c r="I151" s="141">
        <f>IF(VLOOKUP($A151,'Loyd List 1-190 - Edit'!$C$1:$AQ$220,'Book Details - NO EDIT'!I$1,FALSE)="","",(VLOOKUP($A151,'Loyd List 1-190 - Edit'!$C$1:$AQ$220,'Book Details - NO EDIT'!I$1,FALSE)))</f>
        <v>24362</v>
      </c>
      <c r="J151" s="141" t="str">
        <f>IF(VLOOKUP($A151,'Loyd List 1-190 - Edit'!$C$1:$AQ$220,'Book Details - NO EDIT'!J$1,FALSE)="","",(VLOOKUP($A151,'Loyd List 1-190 - Edit'!$C$1:$AQ$220,'Book Details - NO EDIT'!J$1,FALSE)))</f>
        <v/>
      </c>
      <c r="K151" s="100" t="str">
        <f>VLOOKUP($A151,'Loyd List 1-190 - Edit'!$C$1:$AQ$220,'Book Details - NO EDIT'!K$1,FALSE)</f>
        <v>Boy</v>
      </c>
      <c r="L151" s="140">
        <f>VLOOKUP($A151,'Loyd List 1-190 - Edit'!$C$1:$AQ$220,'Book Details - NO EDIT'!L$1,FALSE)</f>
        <v>113</v>
      </c>
      <c r="M151" s="140">
        <f t="shared" si="60"/>
        <v>78</v>
      </c>
      <c r="N151" s="140">
        <f t="shared" si="60"/>
        <v>46</v>
      </c>
      <c r="O151" s="140">
        <f t="shared" si="60"/>
        <v>23</v>
      </c>
      <c r="P151" s="140">
        <f t="shared" si="60"/>
        <v>8</v>
      </c>
      <c r="Q151" s="140">
        <f t="shared" si="80"/>
        <v>1</v>
      </c>
      <c r="R151" s="140">
        <f t="shared" si="61"/>
        <v>0</v>
      </c>
      <c r="S151" s="140" t="str">
        <f t="shared" si="62"/>
        <v/>
      </c>
      <c r="T151" s="140">
        <f t="shared" si="58"/>
        <v>6</v>
      </c>
      <c r="U151" s="139">
        <f t="shared" si="63"/>
        <v>149</v>
      </c>
      <c r="V151" s="31" t="str">
        <f t="shared" si="64"/>
        <v>Anthony (1966–)</v>
      </c>
      <c r="W151" s="31" t="str">
        <f t="shared" si="65"/>
        <v>Anthony (#149)</v>
      </c>
      <c r="X151" s="99" t="str">
        <f t="shared" si="66"/>
        <v>Anthony (1966–: #149)</v>
      </c>
      <c r="Y151" s="99" t="str">
        <f t="shared" si="59"/>
        <v>Anthony William Vivian LOYD</v>
      </c>
      <c r="Z151" s="99" t="str">
        <f t="shared" si="67"/>
        <v>Willie (1937–1994: #113)</v>
      </c>
      <c r="AA151" s="99" t="str">
        <f t="shared" si="72"/>
        <v xml:space="preserve">Willie (1937–1994: #113) Vivian (1894–1972: #78) William (1863–1923: #46) William (1821–1885: #23) Edward (1780–1863: #8) William (1729–1800: #1)  </v>
      </c>
      <c r="AB151" s="142" t="str">
        <f>VLOOKUP(U151,'Siblings of those BORN Loyd'!$A$2:$G$230,7,FALSE)</f>
        <v>0 – Only chlid</v>
      </c>
      <c r="AC151" s="115" t="str">
        <f>IF(ISNA(IF(K151="Boy",VLOOKUP(A151,'Siblings of those BORN Loyd'!$AP$3:$AQ$70,2,FALSE),VLOOKUP(A151,'Children of Female Loyds'!$AR$5:$AT$60,3,FALSE))),AM151,IF(K151="Boy",VLOOKUP(A151,'Siblings of those BORN Loyd'!$AP$3:$AQ$70,2,FALSE),VLOOKUP(A151,'Children of Female Loyds'!$AR$5:$AT$60,3,FALSE)))</f>
        <v>1 - Delilah (2006–: #184)</v>
      </c>
      <c r="AD151" s="97" t="str">
        <f t="shared" si="81"/>
        <v>-</v>
      </c>
      <c r="AE151" s="105" t="str">
        <f>IF(ISNA(IF(K151="Boy",VLOOKUP(A151,'Grandchildren of Male Loyds'!$AQ$3:$AS$51,3,FALSE),VLOOKUP(A151,'Grandchildren of Female Loyds'!$AX$5:$AZ$63,3,FALSE))),AM151,IF(K151="Boy",VLOOKUP(A151,'Grandchildren of Male Loyds'!$AQ$3:$AS$51,3,FALSE),VLOOKUP(A151,'Grandchildren of Female Loyds'!$AX$5:$AZ$63,3,FALSE)))</f>
        <v/>
      </c>
      <c r="AF151" s="105" t="str">
        <f>IF(ISNA(VLOOKUP(A151,'Grandchildren Loyd Daughters'!$BD$5:$BF$50,4,FALSE)),"",VLOOKUP(A151,'Grandchildren Loyd Daughters'!$BD$5:$BF$50,3,FALSE))</f>
        <v/>
      </c>
      <c r="AG151" s="129">
        <f>IF(ISNA(VLOOKUP(A151,'Grandchildren of Male Loyds'!$AQ$3:$AR$60,2,FALSE)),0,VLOOKUP(A151,'Grandchildren of Male Loyds'!$AQ$3:$AR$60,2,FALSE))+IF(ISNA(VLOOKUP(A151,'Grandchildren of Female Loyds'!$AX$5:$AY$50,2,FALSE)),0,VLOOKUP(A151,'Grandchildren of Female Loyds'!$AX$5:$AY$50,2,FALSE))+IF(ISNA(VLOOKUP(A151,'Grandchildren Loyd Daughters'!$BD$5:$BE$50,2,FALSE)),0,VLOOKUP(A151,'Grandchildren Loyd Daughters'!$BD$5:$BE$50,2,FALSE))</f>
        <v>0</v>
      </c>
      <c r="AH151" s="129" t="str">
        <f>VLOOKUP($U151,'Loyd List 1-190 - Edit'!$P$3:$AJ$220,21,FALSE)</f>
        <v>Deirdre THOMPSON (b. 11 Apr 1936, d. 2004)</v>
      </c>
      <c r="AI151" s="129" t="str">
        <f>VLOOKUP(A151,'Updated Bios &amp; Spouse Details'!$A$1:$J$200,7,FALSE)</f>
        <v>(1) Lady Sophia HAMILTON</v>
      </c>
      <c r="AJ151" s="130" t="str">
        <f>IF(VLOOKUP($A151,'Loyd List 1-190 - Edit'!$C$1:$AQ$220,'Book Details - NO EDIT'!AJ$1,FALSE)="","",(VLOOKUP($A151,'Loyd List 1-190 - Edit'!$C$1:$AQ$220,'Book Details - NO EDIT'!AJ$1,FALSE)))</f>
        <v>2002</v>
      </c>
      <c r="AK151" s="129" t="str">
        <f>VLOOKUP(A151,'Updated Bios &amp; Spouse Details'!$A$1:$J$200,8,FALSE)</f>
        <v>(1) Lady Sophia daughter of James Hamilton, 5th Duke of Abercorn, and Sacha Hamilton, Duchess of Abercorn. (Div. 2005). (2) Harriet Louise MELLOR in 2007.</v>
      </c>
      <c r="AL151" s="131" t="str">
        <f>VLOOKUP(A151,'Updated Bios &amp; Spouse Details'!$A$1:$J$200,5,FALSE)</f>
        <v>Anthony is the only son of Willie (1937–1994: #113). Born 12 Sep 1966. Educated Eton 1980-82; St Mary's College, Guildford and RMA Sandhurst. Career: Lieut, Royal Green Jackets 1986-1991. Served in Northern Ireland and Gulf War. Journalist. Freelance war correspondent for The Times from 1993 to present. Lived in Bosnia to cover the war in the former Yugoslavia. Also covered other wars including Chechnya, Afghanistan, Sierra Leone and Kosovo. Author of ‘my war gone by, I miss it so’, Doubleday 1999. Issue: (2nd Wife)  1 daughter.</v>
      </c>
      <c r="AM151" s="105" t="str">
        <f>IF(AND(LEN(H151)&gt;0,ISNA(IF(K151="Boy",VLOOKUP(A151,'Siblings of those BORN Loyd'!$AP$3:$AQ$70,2,FALSE),VLOOKUP(A151,'Children of Female Loyds'!$AR$5:$AS$60,2,FALSE)))),"d.s.p","")</f>
        <v/>
      </c>
      <c r="AN151" s="99" t="str">
        <f t="shared" si="68"/>
        <v>Willie (1937–1994: #113)</v>
      </c>
      <c r="AO151" s="99" t="str">
        <f t="shared" si="73"/>
        <v>Vivian (1894–1972: #78)</v>
      </c>
      <c r="AP151" s="99" t="str">
        <f t="shared" si="74"/>
        <v>William (1863–1923: #46)</v>
      </c>
      <c r="AQ151" s="99" t="str">
        <f t="shared" si="75"/>
        <v>William (1821–1885: #23)</v>
      </c>
      <c r="AR151" s="99" t="str">
        <f t="shared" si="76"/>
        <v>Edward (1780–1863: #8)</v>
      </c>
      <c r="AS151" s="99" t="str">
        <f t="shared" si="77"/>
        <v>William (1729–1800: #1)</v>
      </c>
      <c r="AT151" s="99" t="str">
        <f t="shared" si="78"/>
        <v/>
      </c>
      <c r="AU151" s="99" t="str">
        <f t="shared" si="79"/>
        <v/>
      </c>
      <c r="AW151" s="116" t="str">
        <f>VLOOKUP(A151,'Updated Bios &amp; Spouse Details'!$A$1:$J$193,6,FALSE)</f>
        <v>England, Bosnia, Afghanistan, Sierra Leone and Kosovo</v>
      </c>
      <c r="AX151" s="131">
        <f>VLOOKUP($A151,'Loyd List 1-190 - Edit'!$P$2:$AQ$220,AX$1,FALSE)</f>
        <v>149</v>
      </c>
      <c r="AY151" s="116" t="str">
        <f>IF(ISNA(VLOOKUP(A151,'Data check lookup table'!$G$2:$V$73,AY$1,FALSE))," - ",VLOOKUP(A151,'Data check lookup table'!$G$2:$V$73,AY$1,FALSE))</f>
        <v>Anthonyloyd@gmail.com</v>
      </c>
      <c r="AZ151" s="147" t="str">
        <f t="shared" si="69"/>
        <v/>
      </c>
      <c r="BA151" s="99" t="str">
        <f t="shared" si="70"/>
        <v>, William (1729–1800: #1)</v>
      </c>
      <c r="BB151" s="99" t="str">
        <f t="shared" si="71"/>
        <v/>
      </c>
      <c r="BI151" s="147" t="s">
        <v>3228</v>
      </c>
    </row>
    <row r="152" spans="1:61" s="99" customFormat="1" ht="85">
      <c r="A152" s="139">
        <f>'Loyd List 1-190 - Edit'!C152</f>
        <v>150</v>
      </c>
      <c r="B152" s="99" t="str">
        <f>VLOOKUP($A152,'Loyd List 1-190 - Edit'!$C$1:$AQ$220,'Book Details - NO EDIT'!B$1,FALSE)</f>
        <v>James</v>
      </c>
      <c r="C152" s="99" t="str">
        <f>IF(VLOOKUP($A152,'Loyd List 1-190 - Edit'!$C$1:$AQ$220,'Book Details - NO EDIT'!C$1,FALSE)="","",VLOOKUP($A152,'Loyd List 1-190 - Edit'!$C$1:$AQ$220,'Book Details - NO EDIT'!C$1,FALSE))</f>
        <v>William</v>
      </c>
      <c r="D152" s="99" t="str">
        <f>IF(VLOOKUP($A152,'Loyd List 1-190 - Edit'!$C$1:$AQ$220,'Book Details - NO EDIT'!D$1,FALSE)="","",VLOOKUP($A152,'Loyd List 1-190 - Edit'!$C$1:$AQ$220,'Book Details - NO EDIT'!D$1,FALSE))</f>
        <v/>
      </c>
      <c r="E152" s="99" t="str">
        <f>IF(VLOOKUP($A152,'Loyd List 1-190 - Edit'!$C$1:$AQ$220,'Book Details - NO EDIT'!E$1,FALSE)="","",VLOOKUP($A152,'Loyd List 1-190 - Edit'!$C$1:$AQ$220,'Book Details - NO EDIT'!E$1,FALSE))</f>
        <v>LOYD</v>
      </c>
      <c r="F152" s="99" t="str">
        <f>IF(VLOOKUP($A152,'Loyd List 1-190 - Edit'!$C$1:$AQ$220,'Book Details - NO EDIT'!F$1,FALSE)="",B152,VLOOKUP($A152,'Loyd List 1-190 - Edit'!$C$1:$AQ$220,'Book Details - NO EDIT'!F$1,FALSE))</f>
        <v>James</v>
      </c>
      <c r="G152" s="140">
        <f>IF(VLOOKUP($A152,'Loyd List 1-190 - Edit'!$C$1:$AQ$220,'Book Details - NO EDIT'!G$1,FALSE)="","",VALUE(VLOOKUP($A152,'Loyd List 1-190 - Edit'!$C$1:$AQ$220,'Book Details - NO EDIT'!G$1,FALSE)))</f>
        <v>1966</v>
      </c>
      <c r="H152" s="140" t="str">
        <f>IF(VLOOKUP($A152,'Loyd List 1-190 - Edit'!$C$1:$AQ$220,'Book Details - NO EDIT'!H$1,FALSE)="","",VALUE(VLOOKUP($A152,'Loyd List 1-190 - Edit'!$C$1:$AQ$220,'Book Details - NO EDIT'!H$1,FALSE)))</f>
        <v/>
      </c>
      <c r="I152" s="141">
        <f>IF(VLOOKUP($A152,'Loyd List 1-190 - Edit'!$C$1:$AQ$220,'Book Details - NO EDIT'!I$1,FALSE)="","",(VLOOKUP($A152,'Loyd List 1-190 - Edit'!$C$1:$AQ$220,'Book Details - NO EDIT'!I$1,FALSE)))</f>
        <v>24365</v>
      </c>
      <c r="J152" s="141" t="str">
        <f>IF(VLOOKUP($A152,'Loyd List 1-190 - Edit'!$C$1:$AQ$220,'Book Details - NO EDIT'!J$1,FALSE)="","",(VLOOKUP($A152,'Loyd List 1-190 - Edit'!$C$1:$AQ$220,'Book Details - NO EDIT'!J$1,FALSE)))</f>
        <v/>
      </c>
      <c r="K152" s="100" t="str">
        <f>VLOOKUP($A152,'Loyd List 1-190 - Edit'!$C$1:$AQ$220,'Book Details - NO EDIT'!K$1,FALSE)</f>
        <v>Boy</v>
      </c>
      <c r="L152" s="140">
        <f>VLOOKUP($A152,'Loyd List 1-190 - Edit'!$C$1:$AQ$220,'Book Details - NO EDIT'!L$1,FALSE)</f>
        <v>100</v>
      </c>
      <c r="M152" s="140">
        <f t="shared" si="60"/>
        <v>56</v>
      </c>
      <c r="N152" s="140">
        <f t="shared" si="60"/>
        <v>28</v>
      </c>
      <c r="O152" s="140">
        <f t="shared" si="60"/>
        <v>14</v>
      </c>
      <c r="P152" s="140">
        <f t="shared" si="60"/>
        <v>4</v>
      </c>
      <c r="Q152" s="140">
        <f t="shared" si="80"/>
        <v>1</v>
      </c>
      <c r="R152" s="140">
        <f t="shared" si="61"/>
        <v>0</v>
      </c>
      <c r="S152" s="140" t="str">
        <f t="shared" si="62"/>
        <v/>
      </c>
      <c r="T152" s="140">
        <f t="shared" si="58"/>
        <v>6</v>
      </c>
      <c r="U152" s="139">
        <f t="shared" si="63"/>
        <v>150</v>
      </c>
      <c r="V152" s="31" t="str">
        <f t="shared" si="64"/>
        <v>James (1966–)</v>
      </c>
      <c r="W152" s="31" t="str">
        <f t="shared" si="65"/>
        <v>James (#150)</v>
      </c>
      <c r="X152" s="99" t="str">
        <f t="shared" si="66"/>
        <v>James (1966–: #150)</v>
      </c>
      <c r="Y152" s="99" t="str">
        <f t="shared" si="59"/>
        <v>James William LOYD</v>
      </c>
      <c r="Z152" s="99" t="str">
        <f t="shared" si="67"/>
        <v>Christopher (1923–2013: #100)</v>
      </c>
      <c r="AA152" s="99" t="str">
        <f t="shared" si="72"/>
        <v xml:space="preserve">Christopher (1923–2013: #100) Tommy (1882–1944: #56) The Rev Lewis (1844–1905: #28) Thomas (1812–1857: #14) William (1770–1828: #4) William (1729–1800: #1)  </v>
      </c>
      <c r="AB152" s="142" t="str">
        <f>VLOOKUP(U152,'Siblings of those BORN Loyd'!$A$2:$G$230,7,FALSE)</f>
        <v xml:space="preserve">2 – Thomas (1959–: #138) Harriet (1962–: #143)       </v>
      </c>
      <c r="AC152" s="115" t="str">
        <f>IF(ISNA(IF(K152="Boy",VLOOKUP(A152,'Siblings of those BORN Loyd'!$AP$3:$AQ$70,2,FALSE),VLOOKUP(A152,'Children of Female Loyds'!$AR$5:$AT$60,3,FALSE))),AM152,IF(K152="Boy",VLOOKUP(A152,'Siblings of those BORN Loyd'!$AP$3:$AQ$70,2,FALSE),VLOOKUP(A152,'Children of Female Loyds'!$AR$5:$AT$60,3,FALSE)))</f>
        <v>2 - William (1996–: #178); Eliza (1999–: #181)</v>
      </c>
      <c r="AD152" s="97" t="str">
        <f t="shared" si="81"/>
        <v>-</v>
      </c>
      <c r="AE152" s="105" t="str">
        <f>IF(ISNA(IF(K152="Boy",VLOOKUP(A152,'Grandchildren of Male Loyds'!$AQ$3:$AS$51,3,FALSE),VLOOKUP(A152,'Grandchildren of Female Loyds'!$AX$5:$AZ$63,3,FALSE))),AM152,IF(K152="Boy",VLOOKUP(A152,'Grandchildren of Male Loyds'!$AQ$3:$AS$51,3,FALSE),VLOOKUP(A152,'Grandchildren of Female Loyds'!$AX$5:$AZ$63,3,FALSE)))</f>
        <v/>
      </c>
      <c r="AF152" s="105" t="str">
        <f>IF(ISNA(VLOOKUP(A152,'Grandchildren Loyd Daughters'!$BD$5:$BF$50,4,FALSE)),"",VLOOKUP(A152,'Grandchildren Loyd Daughters'!$BD$5:$BF$50,3,FALSE))</f>
        <v/>
      </c>
      <c r="AG152" s="129">
        <f>IF(ISNA(VLOOKUP(A152,'Grandchildren of Male Loyds'!$AQ$3:$AR$60,2,FALSE)),0,VLOOKUP(A152,'Grandchildren of Male Loyds'!$AQ$3:$AR$60,2,FALSE))+IF(ISNA(VLOOKUP(A152,'Grandchildren of Female Loyds'!$AX$5:$AY$50,2,FALSE)),0,VLOOKUP(A152,'Grandchildren of Female Loyds'!$AX$5:$AY$50,2,FALSE))+IF(ISNA(VLOOKUP(A152,'Grandchildren Loyd Daughters'!$BD$5:$BE$50,2,FALSE)),0,VLOOKUP(A152,'Grandchildren Loyd Daughters'!$BD$5:$BE$50,2,FALSE))</f>
        <v>0</v>
      </c>
      <c r="AH152" s="129" t="str">
        <f>VLOOKUP($U152,'Loyd List 1-190 - Edit'!$P$3:$AJ$220,21,FALSE)</f>
        <v>Joanna SMITH-BINGHAM (b. 17 Nov 1935, )</v>
      </c>
      <c r="AI152" s="129" t="str">
        <f>VLOOKUP(A152,'Updated Bios &amp; Spouse Details'!$A$1:$J$200,7,FALSE)</f>
        <v>Lady Tara Guinevere CRICHTON (b. 9 May 1967, )</v>
      </c>
      <c r="AJ152" s="130">
        <f>IF(VLOOKUP($A152,'Loyd List 1-190 - Edit'!$C$1:$AQ$220,'Book Details - NO EDIT'!AJ$1,FALSE)="","",(VLOOKUP($A152,'Loyd List 1-190 - Edit'!$C$1:$AQ$220,'Book Details - NO EDIT'!AJ$1,FALSE)))</f>
        <v>34300</v>
      </c>
      <c r="AK152" s="129" t="str">
        <f>VLOOKUP(A152,'Updated Bios &amp; Spouse Details'!$A$1:$J$200,8,FALSE)</f>
        <v>Married Lady Tara, at St Margaret’s, Westminster, London, youngest daughter of the 6th Earl of ERNE, of Crom Castle, Newtown Butler, co Fermanagh.</v>
      </c>
      <c r="AL152" s="131" t="str">
        <f>VLOOKUP(A152,'Updated Bios &amp; Spouse Details'!$A$1:$J$200,5,FALSE)</f>
        <v>James lives in Shaftesbury, Dorset and is the younger son of Christopher (1923–2013: #100). Born 15 Sep 1966. Baptised 15 Nov 1966 at All Saints’, Lockinge. Educated Kings, Bruton. Issue: 1 son, 1 daughter.</v>
      </c>
      <c r="AM152" s="105" t="str">
        <f>IF(AND(LEN(H152)&gt;0,ISNA(IF(K152="Boy",VLOOKUP(A152,'Siblings of those BORN Loyd'!$AP$3:$AQ$70,2,FALSE),VLOOKUP(A152,'Children of Female Loyds'!$AR$5:$AS$60,2,FALSE)))),"d.s.p","")</f>
        <v/>
      </c>
      <c r="AN152" s="99" t="str">
        <f t="shared" si="68"/>
        <v>Christopher (1923–2013: #100)</v>
      </c>
      <c r="AO152" s="99" t="str">
        <f t="shared" si="73"/>
        <v>Tommy (1882–1944: #56)</v>
      </c>
      <c r="AP152" s="99" t="str">
        <f t="shared" si="74"/>
        <v>The Rev Lewis (1844–1905: #28)</v>
      </c>
      <c r="AQ152" s="99" t="str">
        <f t="shared" si="75"/>
        <v>Thomas (1812–1857: #14)</v>
      </c>
      <c r="AR152" s="99" t="str">
        <f t="shared" si="76"/>
        <v>William (1770–1828: #4)</v>
      </c>
      <c r="AS152" s="99" t="str">
        <f t="shared" si="77"/>
        <v>William (1729–1800: #1)</v>
      </c>
      <c r="AT152" s="99" t="str">
        <f t="shared" si="78"/>
        <v/>
      </c>
      <c r="AU152" s="99" t="str">
        <f t="shared" si="79"/>
        <v/>
      </c>
      <c r="AW152" s="116" t="str">
        <f>VLOOKUP(A152,'Updated Bios &amp; Spouse Details'!$A$1:$J$193,6,FALSE)</f>
        <v>England</v>
      </c>
      <c r="AX152" s="131">
        <f>VLOOKUP($A152,'Loyd List 1-190 - Edit'!$P$2:$AQ$220,AX$1,FALSE)</f>
        <v>150</v>
      </c>
      <c r="AY152" s="116" t="str">
        <f>IF(ISNA(VLOOKUP(A152,'Data check lookup table'!$G$2:$V$73,AY$1,FALSE))," - ",VLOOKUP(A152,'Data check lookup table'!$G$2:$V$73,AY$1,FALSE))</f>
        <v>tloyd@lockinge-estate.co.uk</v>
      </c>
      <c r="AZ152" s="147" t="str">
        <f t="shared" si="69"/>
        <v/>
      </c>
      <c r="BA152" s="99" t="str">
        <f t="shared" si="70"/>
        <v>, William (1729–1800: #1)</v>
      </c>
      <c r="BB152" s="99" t="str">
        <f t="shared" si="71"/>
        <v/>
      </c>
      <c r="BI152" s="147" t="s">
        <v>3228</v>
      </c>
    </row>
    <row r="153" spans="1:61" s="99" customFormat="1" ht="34">
      <c r="A153" s="139">
        <f>'Loyd List 1-190 - Edit'!C153</f>
        <v>151</v>
      </c>
      <c r="B153" s="99" t="str">
        <f>VLOOKUP($A153,'Loyd List 1-190 - Edit'!$C$1:$AQ$220,'Book Details - NO EDIT'!B$1,FALSE)</f>
        <v>Elspeth</v>
      </c>
      <c r="C153" s="99" t="str">
        <f>IF(VLOOKUP($A153,'Loyd List 1-190 - Edit'!$C$1:$AQ$220,'Book Details - NO EDIT'!C$1,FALSE)="","",VLOOKUP($A153,'Loyd List 1-190 - Edit'!$C$1:$AQ$220,'Book Details - NO EDIT'!C$1,FALSE))</f>
        <v>Joanna</v>
      </c>
      <c r="D153" s="99" t="str">
        <f>IF(VLOOKUP($A153,'Loyd List 1-190 - Edit'!$C$1:$AQ$220,'Book Details - NO EDIT'!D$1,FALSE)="","",VLOOKUP($A153,'Loyd List 1-190 - Edit'!$C$1:$AQ$220,'Book Details - NO EDIT'!D$1,FALSE))</f>
        <v/>
      </c>
      <c r="E153" s="99" t="str">
        <f>IF(VLOOKUP($A153,'Loyd List 1-190 - Edit'!$C$1:$AQ$220,'Book Details - NO EDIT'!E$1,FALSE)="","",VLOOKUP($A153,'Loyd List 1-190 - Edit'!$C$1:$AQ$220,'Book Details - NO EDIT'!E$1,FALSE))</f>
        <v>LOYD</v>
      </c>
      <c r="F153" s="99" t="str">
        <f>IF(VLOOKUP($A153,'Loyd List 1-190 - Edit'!$C$1:$AQ$220,'Book Details - NO EDIT'!F$1,FALSE)="",B153,VLOOKUP($A153,'Loyd List 1-190 - Edit'!$C$1:$AQ$220,'Book Details - NO EDIT'!F$1,FALSE))</f>
        <v>Elspeth</v>
      </c>
      <c r="G153" s="140">
        <f>IF(VLOOKUP($A153,'Loyd List 1-190 - Edit'!$C$1:$AQ$220,'Book Details - NO EDIT'!G$1,FALSE)="","",VALUE(VLOOKUP($A153,'Loyd List 1-190 - Edit'!$C$1:$AQ$220,'Book Details - NO EDIT'!G$1,FALSE)))</f>
        <v>1967</v>
      </c>
      <c r="H153" s="140" t="str">
        <f>IF(VLOOKUP($A153,'Loyd List 1-190 - Edit'!$C$1:$AQ$220,'Book Details - NO EDIT'!H$1,FALSE)="","",VALUE(VLOOKUP($A153,'Loyd List 1-190 - Edit'!$C$1:$AQ$220,'Book Details - NO EDIT'!H$1,FALSE)))</f>
        <v/>
      </c>
      <c r="I153" s="141">
        <f>IF(VLOOKUP($A153,'Loyd List 1-190 - Edit'!$C$1:$AQ$220,'Book Details - NO EDIT'!I$1,FALSE)="","",(VLOOKUP($A153,'Loyd List 1-190 - Edit'!$C$1:$AQ$220,'Book Details - NO EDIT'!I$1,FALSE)))</f>
        <v>24623</v>
      </c>
      <c r="J153" s="141" t="str">
        <f>IF(VLOOKUP($A153,'Loyd List 1-190 - Edit'!$C$1:$AQ$220,'Book Details - NO EDIT'!J$1,FALSE)="","",(VLOOKUP($A153,'Loyd List 1-190 - Edit'!$C$1:$AQ$220,'Book Details - NO EDIT'!J$1,FALSE)))</f>
        <v/>
      </c>
      <c r="K153" s="100" t="str">
        <f>VLOOKUP($A153,'Loyd List 1-190 - Edit'!$C$1:$AQ$220,'Book Details - NO EDIT'!K$1,FALSE)</f>
        <v>Girl</v>
      </c>
      <c r="L153" s="140">
        <f>VLOOKUP($A153,'Loyd List 1-190 - Edit'!$C$1:$AQ$220,'Book Details - NO EDIT'!L$1,FALSE)</f>
        <v>117</v>
      </c>
      <c r="M153" s="140">
        <f t="shared" si="60"/>
        <v>55</v>
      </c>
      <c r="N153" s="140">
        <f t="shared" si="60"/>
        <v>35</v>
      </c>
      <c r="O153" s="140">
        <f t="shared" si="60"/>
        <v>23</v>
      </c>
      <c r="P153" s="140">
        <f t="shared" si="60"/>
        <v>8</v>
      </c>
      <c r="Q153" s="140">
        <f t="shared" si="80"/>
        <v>1</v>
      </c>
      <c r="R153" s="140">
        <f t="shared" si="61"/>
        <v>0</v>
      </c>
      <c r="S153" s="140" t="str">
        <f t="shared" si="62"/>
        <v/>
      </c>
      <c r="T153" s="140">
        <f t="shared" si="58"/>
        <v>6</v>
      </c>
      <c r="U153" s="139">
        <f t="shared" si="63"/>
        <v>151</v>
      </c>
      <c r="V153" s="31" t="str">
        <f t="shared" si="64"/>
        <v>Elspeth (1967–)</v>
      </c>
      <c r="W153" s="31" t="str">
        <f t="shared" si="65"/>
        <v>Elspeth (#151)</v>
      </c>
      <c r="X153" s="99" t="str">
        <f t="shared" si="66"/>
        <v>Elspeth (1967–: #151)</v>
      </c>
      <c r="Y153" s="99" t="str">
        <f t="shared" si="59"/>
        <v>Elspeth Joanna LOYD</v>
      </c>
      <c r="Z153" s="99" t="str">
        <f t="shared" si="67"/>
        <v>Patrick (1942–: #117)</v>
      </c>
      <c r="AA153" s="99" t="str">
        <f t="shared" si="72"/>
        <v xml:space="preserve">Patrick (1942–: #117) Dick (1882–1950: #55) Lewis (1852–1908: #35) William (1821–1885: #23) Edward (1780–1863: #8) William (1729–1800: #1)  </v>
      </c>
      <c r="AB153" s="142" t="str">
        <f>VLOOKUP(U153,'Siblings of those BORN Loyd'!$A$2:$G$230,7,FALSE)</f>
        <v xml:space="preserve">2 – Susannah (1965–: #147)  Richard (1968–: #153)      </v>
      </c>
      <c r="AC153" s="115" t="str">
        <f>IF(ISNA(IF(K153="Boy",VLOOKUP(A153,'Siblings of those BORN Loyd'!$AP$3:$AQ$70,2,FALSE),VLOOKUP(A153,'Children of Female Loyds'!$AR$5:$AT$60,3,FALSE))),AM153,IF(K153="Boy",VLOOKUP(A153,'Siblings of those BORN Loyd'!$AP$3:$AQ$70,2,FALSE),VLOOKUP(A153,'Children of Female Loyds'!$AR$5:$AT$60,3,FALSE)))</f>
        <v/>
      </c>
      <c r="AD153" s="97" t="str">
        <f t="shared" si="81"/>
        <v>-</v>
      </c>
      <c r="AE153" s="105" t="str">
        <f>IF(ISNA(IF(K153="Boy",VLOOKUP(A153,'Grandchildren of Male Loyds'!$AQ$3:$AS$51,3,FALSE),VLOOKUP(A153,'Grandchildren of Female Loyds'!$AX$5:$AZ$63,3,FALSE))),AM153,IF(K153="Boy",VLOOKUP(A153,'Grandchildren of Male Loyds'!$AQ$3:$AS$51,3,FALSE),VLOOKUP(A153,'Grandchildren of Female Loyds'!$AX$5:$AZ$63,3,FALSE)))</f>
        <v/>
      </c>
      <c r="AF153" s="105" t="str">
        <f>IF(ISNA(VLOOKUP(A153,'Grandchildren Loyd Daughters'!$BD$5:$BF$50,4,FALSE)),"",VLOOKUP(A153,'Grandchildren Loyd Daughters'!$BD$5:$BF$50,3,FALSE))</f>
        <v/>
      </c>
      <c r="AG153" s="129">
        <f>IF(ISNA(VLOOKUP(A153,'Grandchildren of Male Loyds'!$AQ$3:$AR$60,2,FALSE)),0,VLOOKUP(A153,'Grandchildren of Male Loyds'!$AQ$3:$AR$60,2,FALSE))+IF(ISNA(VLOOKUP(A153,'Grandchildren of Female Loyds'!$AX$5:$AY$50,2,FALSE)),0,VLOOKUP(A153,'Grandchildren of Female Loyds'!$AX$5:$AY$50,2,FALSE))+IF(ISNA(VLOOKUP(A153,'Grandchildren Loyd Daughters'!$BD$5:$BE$50,2,FALSE)),0,VLOOKUP(A153,'Grandchildren Loyd Daughters'!$BD$5:$BE$50,2,FALSE))</f>
        <v>0</v>
      </c>
      <c r="AH153" s="129" t="str">
        <f>VLOOKUP($U153,'Loyd List 1-190 - Edit'!$P$3:$AJ$220,21,FALSE)</f>
        <v>Mary DAVIES (b. 6 Aug 1939, d. 17 Feb 1997)</v>
      </c>
      <c r="AI153" s="129" t="str">
        <f>VLOOKUP(A153,'Updated Bios &amp; Spouse Details'!$A$1:$J$200,7,FALSE)</f>
        <v>Richard Thomas LUFF (b. 3 Apr 1971, )</v>
      </c>
      <c r="AJ153" s="130">
        <f>IF(VLOOKUP($A153,'Loyd List 1-190 - Edit'!$C$1:$AQ$220,'Book Details - NO EDIT'!AJ$1,FALSE)="","",(VLOOKUP($A153,'Loyd List 1-190 - Edit'!$C$1:$AQ$220,'Book Details - NO EDIT'!AJ$1,FALSE)))</f>
        <v>37520</v>
      </c>
      <c r="AK153" s="129" t="str">
        <f>VLOOKUP(A153,'Updated Bios &amp; Spouse Details'!$A$1:$J$200,8,FALSE)</f>
        <v>Richard is the son of Peter Thomas LUFF and Elizabeth Lihou.</v>
      </c>
      <c r="AL153" s="131" t="str">
        <f>VLOOKUP(A153,'Updated Bios &amp; Spouse Details'!$A$1:$J$200,5,FALSE)</f>
        <v>Elspeth is the younger daughter of Patrick (1942– : #117). Born 31 May 1967 at Northampton.</v>
      </c>
      <c r="AM153" s="105" t="str">
        <f>IF(AND(LEN(H153)&gt;0,ISNA(IF(K153="Boy",VLOOKUP(A153,'Siblings of those BORN Loyd'!$AP$3:$AQ$70,2,FALSE),VLOOKUP(A153,'Children of Female Loyds'!$AR$5:$AS$60,2,FALSE)))),"d.s.p","")</f>
        <v/>
      </c>
      <c r="AN153" s="99" t="str">
        <f t="shared" si="68"/>
        <v>Patrick (1942–: #117)</v>
      </c>
      <c r="AO153" s="99" t="str">
        <f t="shared" si="73"/>
        <v>Dick (1882–1950: #55)</v>
      </c>
      <c r="AP153" s="99" t="str">
        <f t="shared" si="74"/>
        <v>Lewis (1852–1908: #35)</v>
      </c>
      <c r="AQ153" s="99" t="str">
        <f t="shared" si="75"/>
        <v>William (1821–1885: #23)</v>
      </c>
      <c r="AR153" s="99" t="str">
        <f t="shared" si="76"/>
        <v>Edward (1780–1863: #8)</v>
      </c>
      <c r="AS153" s="99" t="str">
        <f t="shared" si="77"/>
        <v>William (1729–1800: #1)</v>
      </c>
      <c r="AT153" s="99" t="str">
        <f t="shared" si="78"/>
        <v/>
      </c>
      <c r="AU153" s="99" t="str">
        <f t="shared" si="79"/>
        <v/>
      </c>
      <c r="AW153" s="116" t="str">
        <f>VLOOKUP(A153,'Updated Bios &amp; Spouse Details'!$A$1:$J$193,6,FALSE)</f>
        <v>England</v>
      </c>
      <c r="AX153" s="131">
        <f>VLOOKUP($A153,'Loyd List 1-190 - Edit'!$P$2:$AQ$220,AX$1,FALSE)</f>
        <v>151</v>
      </c>
      <c r="AY153" s="116" t="str">
        <f>IF(ISNA(VLOOKUP(A153,'Data check lookup table'!$G$2:$V$73,AY$1,FALSE))," - ",VLOOKUP(A153,'Data check lookup table'!$G$2:$V$73,AY$1,FALSE))</f>
        <v>patrickloyd@cwgsy.net</v>
      </c>
      <c r="AZ153" s="147" t="str">
        <f t="shared" si="69"/>
        <v/>
      </c>
      <c r="BA153" s="99" t="str">
        <f t="shared" si="70"/>
        <v>, William (1729–1800: #1)</v>
      </c>
      <c r="BB153" s="99" t="str">
        <f t="shared" si="71"/>
        <v/>
      </c>
      <c r="BI153" s="147" t="s">
        <v>3228</v>
      </c>
    </row>
    <row r="154" spans="1:61" s="99" customFormat="1" ht="85">
      <c r="A154" s="139">
        <f>'Loyd List 1-190 - Edit'!C154</f>
        <v>152</v>
      </c>
      <c r="B154" s="99" t="str">
        <f>VLOOKUP($A154,'Loyd List 1-190 - Edit'!$C$1:$AQ$220,'Book Details - NO EDIT'!B$1,FALSE)</f>
        <v>Mary</v>
      </c>
      <c r="C154" s="99" t="str">
        <f>IF(VLOOKUP($A154,'Loyd List 1-190 - Edit'!$C$1:$AQ$220,'Book Details - NO EDIT'!C$1,FALSE)="","",VLOOKUP($A154,'Loyd List 1-190 - Edit'!$C$1:$AQ$220,'Book Details - NO EDIT'!C$1,FALSE))</f>
        <v>Rose</v>
      </c>
      <c r="D154" s="99" t="str">
        <f>IF(VLOOKUP($A154,'Loyd List 1-190 - Edit'!$C$1:$AQ$220,'Book Details - NO EDIT'!D$1,FALSE)="","",VLOOKUP($A154,'Loyd List 1-190 - Edit'!$C$1:$AQ$220,'Book Details - NO EDIT'!D$1,FALSE))</f>
        <v/>
      </c>
      <c r="E154" s="99" t="str">
        <f>IF(VLOOKUP($A154,'Loyd List 1-190 - Edit'!$C$1:$AQ$220,'Book Details - NO EDIT'!E$1,FALSE)="","",VLOOKUP($A154,'Loyd List 1-190 - Edit'!$C$1:$AQ$220,'Book Details - NO EDIT'!E$1,FALSE))</f>
        <v>LOYD</v>
      </c>
      <c r="F154" s="99" t="str">
        <f>IF(VLOOKUP($A154,'Loyd List 1-190 - Edit'!$C$1:$AQ$220,'Book Details - NO EDIT'!F$1,FALSE)="",B154,VLOOKUP($A154,'Loyd List 1-190 - Edit'!$C$1:$AQ$220,'Book Details - NO EDIT'!F$1,FALSE))</f>
        <v>Mary Rose</v>
      </c>
      <c r="G154" s="140">
        <f>IF(VLOOKUP($A154,'Loyd List 1-190 - Edit'!$C$1:$AQ$220,'Book Details - NO EDIT'!G$1,FALSE)="","",VALUE(VLOOKUP($A154,'Loyd List 1-190 - Edit'!$C$1:$AQ$220,'Book Details - NO EDIT'!G$1,FALSE)))</f>
        <v>1967</v>
      </c>
      <c r="H154" s="140" t="str">
        <f>IF(VLOOKUP($A154,'Loyd List 1-190 - Edit'!$C$1:$AQ$220,'Book Details - NO EDIT'!H$1,FALSE)="","",VALUE(VLOOKUP($A154,'Loyd List 1-190 - Edit'!$C$1:$AQ$220,'Book Details - NO EDIT'!H$1,FALSE)))</f>
        <v/>
      </c>
      <c r="I154" s="141">
        <f>IF(VLOOKUP($A154,'Loyd List 1-190 - Edit'!$C$1:$AQ$220,'Book Details - NO EDIT'!I$1,FALSE)="","",(VLOOKUP($A154,'Loyd List 1-190 - Edit'!$C$1:$AQ$220,'Book Details - NO EDIT'!I$1,FALSE)))</f>
        <v>24631</v>
      </c>
      <c r="J154" s="141" t="str">
        <f>IF(VLOOKUP($A154,'Loyd List 1-190 - Edit'!$C$1:$AQ$220,'Book Details - NO EDIT'!J$1,FALSE)="","",(VLOOKUP($A154,'Loyd List 1-190 - Edit'!$C$1:$AQ$220,'Book Details - NO EDIT'!J$1,FALSE)))</f>
        <v/>
      </c>
      <c r="K154" s="100" t="str">
        <f>VLOOKUP($A154,'Loyd List 1-190 - Edit'!$C$1:$AQ$220,'Book Details - NO EDIT'!K$1,FALSE)</f>
        <v>Girl</v>
      </c>
      <c r="L154" s="140">
        <f>VLOOKUP($A154,'Loyd List 1-190 - Edit'!$C$1:$AQ$220,'Book Details - NO EDIT'!L$1,FALSE)</f>
        <v>104</v>
      </c>
      <c r="M154" s="140">
        <f t="shared" si="60"/>
        <v>72</v>
      </c>
      <c r="N154" s="140">
        <f t="shared" si="60"/>
        <v>44</v>
      </c>
      <c r="O154" s="140">
        <f t="shared" si="60"/>
        <v>23</v>
      </c>
      <c r="P154" s="140">
        <f t="shared" si="60"/>
        <v>8</v>
      </c>
      <c r="Q154" s="140">
        <f t="shared" si="80"/>
        <v>1</v>
      </c>
      <c r="R154" s="140">
        <f t="shared" si="61"/>
        <v>0</v>
      </c>
      <c r="S154" s="140" t="str">
        <f t="shared" si="62"/>
        <v/>
      </c>
      <c r="T154" s="140">
        <f t="shared" si="58"/>
        <v>6</v>
      </c>
      <c r="U154" s="139">
        <f t="shared" si="63"/>
        <v>152</v>
      </c>
      <c r="V154" s="31" t="str">
        <f t="shared" si="64"/>
        <v>Mary Rose (1967–)</v>
      </c>
      <c r="W154" s="31" t="str">
        <f t="shared" si="65"/>
        <v>Mary Rose (#152)</v>
      </c>
      <c r="X154" s="99" t="str">
        <f t="shared" si="66"/>
        <v>Mary Rose (1967–: #152)</v>
      </c>
      <c r="Y154" s="99" t="str">
        <f t="shared" si="59"/>
        <v>Mary Rose LOYD</v>
      </c>
      <c r="Z154" s="99" t="str">
        <f t="shared" si="67"/>
        <v>Sir Julian (1926–2018: #104)</v>
      </c>
      <c r="AA154" s="99" t="str">
        <f t="shared" si="72"/>
        <v xml:space="preserve">Sir Julian (1926–2018: #104) Charles (1891–1973: #72) Harry (1861–1938: #44) William (1821–1885: #23) Edward (1780–1863: #8) William (1729–1800: #1)  </v>
      </c>
      <c r="AB154" s="142" t="str">
        <f>VLOOKUP(U154,'Siblings of those BORN Loyd'!$A$2:$G$230,7,FALSE)</f>
        <v xml:space="preserve">3 – Alexandra (1961–: #141) Charles (1963–: #146) Toby (1966–1966: #148)      </v>
      </c>
      <c r="AC154" s="115" t="str">
        <f>IF(ISNA(IF(K154="Boy",VLOOKUP(A154,'Siblings of those BORN Loyd'!$AP$3:$AQ$70,2,FALSE),VLOOKUP(A154,'Children of Female Loyds'!$AR$5:$AT$60,3,FALSE))),AM154,IF(K154="Boy",VLOOKUP(A154,'Siblings of those BORN Loyd'!$AP$3:$AQ$70,2,FALSE),VLOOKUP(A154,'Children of Female Loyds'!$AR$5:$AT$60,3,FALSE)))</f>
        <v xml:space="preserve">2 - Clementine WHITCOMB (1999 - : #152a) Augustin WHITCOMB (2001 - : #152b)      </v>
      </c>
      <c r="AD154" s="97" t="str">
        <f t="shared" si="81"/>
        <v>-</v>
      </c>
      <c r="AE154" s="105" t="str">
        <f>IF(ISNA(IF(K154="Boy",VLOOKUP(A154,'Grandchildren of Male Loyds'!$AQ$3:$AS$51,3,FALSE),VLOOKUP(A154,'Grandchildren of Female Loyds'!$AX$5:$AZ$63,3,FALSE))),AM154,IF(K154="Boy",VLOOKUP(A154,'Grandchildren of Male Loyds'!$AQ$3:$AS$51,3,FALSE),VLOOKUP(A154,'Grandchildren of Female Loyds'!$AX$5:$AZ$63,3,FALSE)))</f>
        <v/>
      </c>
      <c r="AF154" s="105" t="str">
        <f>IF(ISNA(VLOOKUP(A154,'Grandchildren Loyd Daughters'!$BD$5:$BF$50,4,FALSE)),"",VLOOKUP(A154,'Grandchildren Loyd Daughters'!$BD$5:$BF$50,3,FALSE))</f>
        <v/>
      </c>
      <c r="AG154" s="129">
        <f>IF(ISNA(VLOOKUP(A154,'Grandchildren of Male Loyds'!$AQ$3:$AR$60,2,FALSE)),0,VLOOKUP(A154,'Grandchildren of Male Loyds'!$AQ$3:$AR$60,2,FALSE))+IF(ISNA(VLOOKUP(A154,'Grandchildren of Female Loyds'!$AX$5:$AY$50,2,FALSE)),0,VLOOKUP(A154,'Grandchildren of Female Loyds'!$AX$5:$AY$50,2,FALSE))+IF(ISNA(VLOOKUP(A154,'Grandchildren Loyd Daughters'!$BD$5:$BE$50,2,FALSE)),0,VLOOKUP(A154,'Grandchildren Loyd Daughters'!$BD$5:$BE$50,2,FALSE))</f>
        <v>0</v>
      </c>
      <c r="AH154" s="129" t="str">
        <f>VLOOKUP($U154,'Loyd List 1-190 - Edit'!$P$3:$AJ$220,21,FALSE)</f>
        <v>Philippa Mary Emma STEEL (b. 5 Dec 1932, d. 27 Oct 2020)</v>
      </c>
      <c r="AI154" s="129" t="str">
        <f>VLOOKUP(A154,'Updated Bios &amp; Spouse Details'!$A$1:$J$200,7,FALSE)</f>
        <v>Ellis Fitzroy WHITCOMB (b. 16 Oct 1962, )</v>
      </c>
      <c r="AJ154" s="130">
        <f>IF(VLOOKUP($A154,'Loyd List 1-190 - Edit'!$C$1:$AQ$220,'Book Details - NO EDIT'!AJ$1,FALSE)="","",(VLOOKUP($A154,'Loyd List 1-190 - Edit'!$C$1:$AQ$220,'Book Details - NO EDIT'!AJ$1,FALSE)))</f>
        <v>34818</v>
      </c>
      <c r="AK154" s="129" t="str">
        <f>VLOOKUP(A154,'Updated Bios &amp; Spouse Details'!$A$1:$J$200,8,FALSE)</f>
        <v>Married, at St Mary Magdalene, Sandringham, King’s Lynn, Norfolk, Ellis of Old Palace Cottage, Hatfield Park, Hatfield, Hertfordshire, only son of Stuart WHITCOMB of Hatfield Park.</v>
      </c>
      <c r="AL154" s="131" t="str">
        <f>VLOOKUP(A154,'Updated Bios &amp; Spouse Details'!$A$1:$J$200,5,FALSE)</f>
        <v>Mary Rose is the younger daughter of Sir Julian (1926–2018: #104). Born 8 Jun 1967. Baptised 6 Aug 1967 at St Peter and St Paul’s, West Newton, Norfolk. Issue: 1 daughter, 1 son.</v>
      </c>
      <c r="AM154" s="105" t="str">
        <f>IF(AND(LEN(H154)&gt;0,ISNA(IF(K154="Boy",VLOOKUP(A154,'Siblings of those BORN Loyd'!$AP$3:$AQ$70,2,FALSE),VLOOKUP(A154,'Children of Female Loyds'!$AR$5:$AS$60,2,FALSE)))),"d.s.p","")</f>
        <v/>
      </c>
      <c r="AN154" s="99" t="str">
        <f t="shared" si="68"/>
        <v>Sir Julian (1926–2018: #104)</v>
      </c>
      <c r="AO154" s="99" t="str">
        <f t="shared" si="73"/>
        <v>Charles (1891–1973: #72)</v>
      </c>
      <c r="AP154" s="99" t="str">
        <f t="shared" si="74"/>
        <v>Harry (1861–1938: #44)</v>
      </c>
      <c r="AQ154" s="99" t="str">
        <f t="shared" si="75"/>
        <v>William (1821–1885: #23)</v>
      </c>
      <c r="AR154" s="99" t="str">
        <f t="shared" si="76"/>
        <v>Edward (1780–1863: #8)</v>
      </c>
      <c r="AS154" s="99" t="str">
        <f t="shared" si="77"/>
        <v>William (1729–1800: #1)</v>
      </c>
      <c r="AT154" s="99" t="str">
        <f t="shared" si="78"/>
        <v/>
      </c>
      <c r="AU154" s="99" t="str">
        <f t="shared" si="79"/>
        <v/>
      </c>
      <c r="AW154" s="116" t="str">
        <f>VLOOKUP(A154,'Updated Bios &amp; Spouse Details'!$A$1:$J$193,6,FALSE)</f>
        <v>England</v>
      </c>
      <c r="AX154" s="131">
        <f>VLOOKUP($A154,'Loyd List 1-190 - Edit'!$P$2:$AQ$220,AX$1,FALSE)</f>
        <v>152</v>
      </c>
      <c r="AY154" s="116" t="str">
        <f>IF(ISNA(VLOOKUP(A154,'Data check lookup table'!$G$2:$V$73,AY$1,FALSE))," - ",VLOOKUP(A154,'Data check lookup table'!$G$2:$V$73,AY$1,FALSE))</f>
        <v xml:space="preserve">maryrose@whitcomb.co.uk </v>
      </c>
      <c r="AZ154" s="147" t="str">
        <f t="shared" si="69"/>
        <v/>
      </c>
      <c r="BA154" s="99" t="str">
        <f t="shared" si="70"/>
        <v>, William (1729–1800: #1)</v>
      </c>
      <c r="BB154" s="99" t="str">
        <f t="shared" si="71"/>
        <v/>
      </c>
      <c r="BI154" s="147" t="s">
        <v>3228</v>
      </c>
    </row>
    <row r="155" spans="1:61" s="99" customFormat="1" ht="68">
      <c r="A155" s="139">
        <f>'Loyd List 1-190 - Edit'!C155</f>
        <v>153</v>
      </c>
      <c r="B155" s="99" t="str">
        <f>VLOOKUP($A155,'Loyd List 1-190 - Edit'!$C$1:$AQ$220,'Book Details - NO EDIT'!B$1,FALSE)</f>
        <v>Richard</v>
      </c>
      <c r="C155" s="99" t="str">
        <f>IF(VLOOKUP($A155,'Loyd List 1-190 - Edit'!$C$1:$AQ$220,'Book Details - NO EDIT'!C$1,FALSE)="","",VLOOKUP($A155,'Loyd List 1-190 - Edit'!$C$1:$AQ$220,'Book Details - NO EDIT'!C$1,FALSE))</f>
        <v>John</v>
      </c>
      <c r="D155" s="99" t="str">
        <f>IF(VLOOKUP($A155,'Loyd List 1-190 - Edit'!$C$1:$AQ$220,'Book Details - NO EDIT'!D$1,FALSE)="","",VLOOKUP($A155,'Loyd List 1-190 - Edit'!$C$1:$AQ$220,'Book Details - NO EDIT'!D$1,FALSE))</f>
        <v>Patrick</v>
      </c>
      <c r="E155" s="99" t="str">
        <f>IF(VLOOKUP($A155,'Loyd List 1-190 - Edit'!$C$1:$AQ$220,'Book Details - NO EDIT'!E$1,FALSE)="","",VLOOKUP($A155,'Loyd List 1-190 - Edit'!$C$1:$AQ$220,'Book Details - NO EDIT'!E$1,FALSE))</f>
        <v>LOYD</v>
      </c>
      <c r="F155" s="99" t="str">
        <f>IF(VLOOKUP($A155,'Loyd List 1-190 - Edit'!$C$1:$AQ$220,'Book Details - NO EDIT'!F$1,FALSE)="",B155,VLOOKUP($A155,'Loyd List 1-190 - Edit'!$C$1:$AQ$220,'Book Details - NO EDIT'!F$1,FALSE))</f>
        <v>Richard</v>
      </c>
      <c r="G155" s="140">
        <f>IF(VLOOKUP($A155,'Loyd List 1-190 - Edit'!$C$1:$AQ$220,'Book Details - NO EDIT'!G$1,FALSE)="","",VALUE(VLOOKUP($A155,'Loyd List 1-190 - Edit'!$C$1:$AQ$220,'Book Details - NO EDIT'!G$1,FALSE)))</f>
        <v>1968</v>
      </c>
      <c r="H155" s="140" t="str">
        <f>IF(VLOOKUP($A155,'Loyd List 1-190 - Edit'!$C$1:$AQ$220,'Book Details - NO EDIT'!H$1,FALSE)="","",VALUE(VLOOKUP($A155,'Loyd List 1-190 - Edit'!$C$1:$AQ$220,'Book Details - NO EDIT'!H$1,FALSE)))</f>
        <v/>
      </c>
      <c r="I155" s="141">
        <f>IF(VLOOKUP($A155,'Loyd List 1-190 - Edit'!$C$1:$AQ$220,'Book Details - NO EDIT'!I$1,FALSE)="","",(VLOOKUP($A155,'Loyd List 1-190 - Edit'!$C$1:$AQ$220,'Book Details - NO EDIT'!I$1,FALSE)))</f>
        <v>25015</v>
      </c>
      <c r="J155" s="141" t="str">
        <f>IF(VLOOKUP($A155,'Loyd List 1-190 - Edit'!$C$1:$AQ$220,'Book Details - NO EDIT'!J$1,FALSE)="","",(VLOOKUP($A155,'Loyd List 1-190 - Edit'!$C$1:$AQ$220,'Book Details - NO EDIT'!J$1,FALSE)))</f>
        <v/>
      </c>
      <c r="K155" s="100" t="str">
        <f>VLOOKUP($A155,'Loyd List 1-190 - Edit'!$C$1:$AQ$220,'Book Details - NO EDIT'!K$1,FALSE)</f>
        <v>Boy</v>
      </c>
      <c r="L155" s="140">
        <f>VLOOKUP($A155,'Loyd List 1-190 - Edit'!$C$1:$AQ$220,'Book Details - NO EDIT'!L$1,FALSE)</f>
        <v>117</v>
      </c>
      <c r="M155" s="140">
        <f t="shared" si="60"/>
        <v>55</v>
      </c>
      <c r="N155" s="140">
        <f t="shared" si="60"/>
        <v>35</v>
      </c>
      <c r="O155" s="140">
        <f t="shared" si="60"/>
        <v>23</v>
      </c>
      <c r="P155" s="140">
        <f t="shared" si="60"/>
        <v>8</v>
      </c>
      <c r="Q155" s="140">
        <f t="shared" si="80"/>
        <v>1</v>
      </c>
      <c r="R155" s="140">
        <f t="shared" si="61"/>
        <v>0</v>
      </c>
      <c r="S155" s="140" t="str">
        <f t="shared" si="62"/>
        <v/>
      </c>
      <c r="T155" s="140">
        <f t="shared" si="58"/>
        <v>6</v>
      </c>
      <c r="U155" s="139">
        <f t="shared" si="63"/>
        <v>153</v>
      </c>
      <c r="V155" s="31" t="str">
        <f t="shared" si="64"/>
        <v>Richard (1968–)</v>
      </c>
      <c r="W155" s="31" t="str">
        <f t="shared" si="65"/>
        <v>Richard (#153)</v>
      </c>
      <c r="X155" s="99" t="str">
        <f t="shared" si="66"/>
        <v>Richard (1968–: #153)</v>
      </c>
      <c r="Y155" s="99" t="str">
        <f t="shared" si="59"/>
        <v>Richard John Patrick LOYD</v>
      </c>
      <c r="Z155" s="99" t="str">
        <f t="shared" si="67"/>
        <v>Patrick (1942–: #117)</v>
      </c>
      <c r="AA155" s="99" t="str">
        <f t="shared" si="72"/>
        <v xml:space="preserve">Patrick (1942–: #117) Dick (1882–1950: #55) Lewis (1852–1908: #35) William (1821–1885: #23) Edward (1780–1863: #8) William (1729–1800: #1)  </v>
      </c>
      <c r="AB155" s="142" t="str">
        <f>VLOOKUP(U155,'Siblings of those BORN Loyd'!$A$2:$G$230,7,FALSE)</f>
        <v xml:space="preserve">2 – Susannah (1965–: #147) Elspeth (1967–: #151)       </v>
      </c>
      <c r="AC155" s="115" t="str">
        <f>IF(ISNA(IF(K155="Boy",VLOOKUP(A155,'Siblings of those BORN Loyd'!$AP$3:$AQ$70,2,FALSE),VLOOKUP(A155,'Children of Female Loyds'!$AR$5:$AT$60,3,FALSE))),AM155,IF(K155="Boy",VLOOKUP(A155,'Siblings of those BORN Loyd'!$AP$3:$AQ$70,2,FALSE),VLOOKUP(A155,'Children of Female Loyds'!$AR$5:$AT$60,3,FALSE)))</f>
        <v/>
      </c>
      <c r="AD155" s="97" t="str">
        <f t="shared" si="81"/>
        <v>-</v>
      </c>
      <c r="AE155" s="105" t="str">
        <f>IF(ISNA(IF(K155="Boy",VLOOKUP(A155,'Grandchildren of Male Loyds'!$AQ$3:$AS$51,3,FALSE),VLOOKUP(A155,'Grandchildren of Female Loyds'!$AX$5:$AZ$63,3,FALSE))),AM155,IF(K155="Boy",VLOOKUP(A155,'Grandchildren of Male Loyds'!$AQ$3:$AS$51,3,FALSE),VLOOKUP(A155,'Grandchildren of Female Loyds'!$AX$5:$AZ$63,3,FALSE)))</f>
        <v/>
      </c>
      <c r="AF155" s="105" t="str">
        <f>IF(ISNA(VLOOKUP(A155,'Grandchildren Loyd Daughters'!$BD$5:$BF$50,4,FALSE)),"",VLOOKUP(A155,'Grandchildren Loyd Daughters'!$BD$5:$BF$50,3,FALSE))</f>
        <v/>
      </c>
      <c r="AG155" s="129">
        <f>IF(ISNA(VLOOKUP(A155,'Grandchildren of Male Loyds'!$AQ$3:$AR$60,2,FALSE)),0,VLOOKUP(A155,'Grandchildren of Male Loyds'!$AQ$3:$AR$60,2,FALSE))+IF(ISNA(VLOOKUP(A155,'Grandchildren of Female Loyds'!$AX$5:$AY$50,2,FALSE)),0,VLOOKUP(A155,'Grandchildren of Female Loyds'!$AX$5:$AY$50,2,FALSE))+IF(ISNA(VLOOKUP(A155,'Grandchildren Loyd Daughters'!$BD$5:$BE$50,2,FALSE)),0,VLOOKUP(A155,'Grandchildren Loyd Daughters'!$BD$5:$BE$50,2,FALSE))</f>
        <v>0</v>
      </c>
      <c r="AH155" s="129" t="str">
        <f>VLOOKUP($U155,'Loyd List 1-190 - Edit'!$P$3:$AJ$220,21,FALSE)</f>
        <v>Mary DAVIES (b. 6 Aug 1939, d. 17 Feb 1997)</v>
      </c>
      <c r="AI155" s="129" t="str">
        <f>VLOOKUP(A155,'Updated Bios &amp; Spouse Details'!$A$1:$J$200,7,FALSE)</f>
        <v>Vanessa Anne HARVEY (b. 1 Jul 1969, ) Divorced 2015.</v>
      </c>
      <c r="AJ155" s="130">
        <f>IF(VLOOKUP($A155,'Loyd List 1-190 - Edit'!$C$1:$AQ$220,'Book Details - NO EDIT'!AJ$1,FALSE)="","",(VLOOKUP($A155,'Loyd List 1-190 - Edit'!$C$1:$AQ$220,'Book Details - NO EDIT'!AJ$1,FALSE)))</f>
        <v>35350</v>
      </c>
      <c r="AK155" s="129" t="str">
        <f>VLOOKUP(A155,'Updated Bios &amp; Spouse Details'!$A$1:$J$200,8,FALSE)</f>
        <v>Married, at Capelles Methodist Church, St Sampsons, Guernsey, Vanessa elder daughter of David John HARVEY of Coutanchez, St Sampsons, Guernsey.</v>
      </c>
      <c r="AL155" s="131" t="str">
        <f>VLOOKUP(A155,'Updated Bios &amp; Spouse Details'!$A$1:$J$200,5,FALSE)</f>
        <v>Richard is the only son of Patrick (1942– : #153). Born 26 Jun 1968 at Northampton.</v>
      </c>
      <c r="AM155" s="105" t="str">
        <f>IF(AND(LEN(H155)&gt;0,ISNA(IF(K155="Boy",VLOOKUP(A155,'Siblings of those BORN Loyd'!$AP$3:$AQ$70,2,FALSE),VLOOKUP(A155,'Children of Female Loyds'!$AR$5:$AS$60,2,FALSE)))),"d.s.p","")</f>
        <v/>
      </c>
      <c r="AN155" s="99" t="str">
        <f t="shared" si="68"/>
        <v>Patrick (1942–: #117)</v>
      </c>
      <c r="AO155" s="99" t="str">
        <f t="shared" si="73"/>
        <v>Dick (1882–1950: #55)</v>
      </c>
      <c r="AP155" s="99" t="str">
        <f t="shared" si="74"/>
        <v>Lewis (1852–1908: #35)</v>
      </c>
      <c r="AQ155" s="99" t="str">
        <f t="shared" si="75"/>
        <v>William (1821–1885: #23)</v>
      </c>
      <c r="AR155" s="99" t="str">
        <f t="shared" si="76"/>
        <v>Edward (1780–1863: #8)</v>
      </c>
      <c r="AS155" s="99" t="str">
        <f t="shared" si="77"/>
        <v>William (1729–1800: #1)</v>
      </c>
      <c r="AT155" s="99" t="str">
        <f t="shared" si="78"/>
        <v/>
      </c>
      <c r="AU155" s="99" t="str">
        <f t="shared" si="79"/>
        <v/>
      </c>
      <c r="AW155" s="116" t="str">
        <f>VLOOKUP(A155,'Updated Bios &amp; Spouse Details'!$A$1:$J$193,6,FALSE)</f>
        <v>England</v>
      </c>
      <c r="AX155" s="131">
        <f>VLOOKUP($A155,'Loyd List 1-190 - Edit'!$P$2:$AQ$220,AX$1,FALSE)</f>
        <v>153</v>
      </c>
      <c r="AY155" s="116" t="str">
        <f>IF(ISNA(VLOOKUP(A155,'Data check lookup table'!$G$2:$V$73,AY$1,FALSE))," - ",VLOOKUP(A155,'Data check lookup table'!$G$2:$V$73,AY$1,FALSE))</f>
        <v>patrickloyd@cwgsy.net</v>
      </c>
      <c r="AZ155" s="147" t="str">
        <f t="shared" si="69"/>
        <v/>
      </c>
      <c r="BA155" s="99" t="str">
        <f t="shared" si="70"/>
        <v>, William (1729–1800: #1)</v>
      </c>
      <c r="BB155" s="99" t="str">
        <f t="shared" si="71"/>
        <v/>
      </c>
      <c r="BI155" s="147" t="s">
        <v>3228</v>
      </c>
    </row>
    <row r="156" spans="1:61" s="99" customFormat="1" ht="68">
      <c r="A156" s="139">
        <f>'Loyd List 1-190 - Edit'!C156</f>
        <v>154</v>
      </c>
      <c r="B156" s="99" t="str">
        <f>VLOOKUP($A156,'Loyd List 1-190 - Edit'!$C$1:$AQ$220,'Book Details - NO EDIT'!B$1,FALSE)</f>
        <v>Sophie</v>
      </c>
      <c r="C156" s="99" t="str">
        <f>IF(VLOOKUP($A156,'Loyd List 1-190 - Edit'!$C$1:$AQ$220,'Book Details - NO EDIT'!C$1,FALSE)="","",VLOOKUP($A156,'Loyd List 1-190 - Edit'!$C$1:$AQ$220,'Book Details - NO EDIT'!C$1,FALSE))</f>
        <v>Katherine</v>
      </c>
      <c r="D156" s="99" t="str">
        <f>IF(VLOOKUP($A156,'Loyd List 1-190 - Edit'!$C$1:$AQ$220,'Book Details - NO EDIT'!D$1,FALSE)="","",VLOOKUP($A156,'Loyd List 1-190 - Edit'!$C$1:$AQ$220,'Book Details - NO EDIT'!D$1,FALSE))</f>
        <v/>
      </c>
      <c r="E156" s="99" t="str">
        <f>IF(VLOOKUP($A156,'Loyd List 1-190 - Edit'!$C$1:$AQ$220,'Book Details - NO EDIT'!E$1,FALSE)="","",VLOOKUP($A156,'Loyd List 1-190 - Edit'!$C$1:$AQ$220,'Book Details - NO EDIT'!E$1,FALSE))</f>
        <v>LOYD</v>
      </c>
      <c r="F156" s="99" t="str">
        <f>IF(VLOOKUP($A156,'Loyd List 1-190 - Edit'!$C$1:$AQ$220,'Book Details - NO EDIT'!F$1,FALSE)="",B156,VLOOKUP($A156,'Loyd List 1-190 - Edit'!$C$1:$AQ$220,'Book Details - NO EDIT'!F$1,FALSE))</f>
        <v>Sophie</v>
      </c>
      <c r="G156" s="140">
        <f>IF(VLOOKUP($A156,'Loyd List 1-190 - Edit'!$C$1:$AQ$220,'Book Details - NO EDIT'!G$1,FALSE)="","",VALUE(VLOOKUP($A156,'Loyd List 1-190 - Edit'!$C$1:$AQ$220,'Book Details - NO EDIT'!G$1,FALSE)))</f>
        <v>1969</v>
      </c>
      <c r="H156" s="140" t="str">
        <f>IF(VLOOKUP($A156,'Loyd List 1-190 - Edit'!$C$1:$AQ$220,'Book Details - NO EDIT'!H$1,FALSE)="","",VALUE(VLOOKUP($A156,'Loyd List 1-190 - Edit'!$C$1:$AQ$220,'Book Details - NO EDIT'!H$1,FALSE)))</f>
        <v/>
      </c>
      <c r="I156" s="141">
        <f>IF(VLOOKUP($A156,'Loyd List 1-190 - Edit'!$C$1:$AQ$220,'Book Details - NO EDIT'!I$1,FALSE)="","",(VLOOKUP($A156,'Loyd List 1-190 - Edit'!$C$1:$AQ$220,'Book Details - NO EDIT'!I$1,FALSE)))</f>
        <v>25364</v>
      </c>
      <c r="J156" s="141" t="str">
        <f>IF(VLOOKUP($A156,'Loyd List 1-190 - Edit'!$C$1:$AQ$220,'Book Details - NO EDIT'!J$1,FALSE)="","",(VLOOKUP($A156,'Loyd List 1-190 - Edit'!$C$1:$AQ$220,'Book Details - NO EDIT'!J$1,FALSE)))</f>
        <v/>
      </c>
      <c r="K156" s="100" t="str">
        <f>VLOOKUP($A156,'Loyd List 1-190 - Edit'!$C$1:$AQ$220,'Book Details - NO EDIT'!K$1,FALSE)</f>
        <v>Girl</v>
      </c>
      <c r="L156" s="140">
        <f>VLOOKUP($A156,'Loyd List 1-190 - Edit'!$C$1:$AQ$220,'Book Details - NO EDIT'!L$1,FALSE)</f>
        <v>98</v>
      </c>
      <c r="M156" s="140">
        <f t="shared" si="60"/>
        <v>77</v>
      </c>
      <c r="N156" s="140">
        <f t="shared" si="60"/>
        <v>30</v>
      </c>
      <c r="O156" s="140">
        <f t="shared" si="60"/>
        <v>14</v>
      </c>
      <c r="P156" s="140">
        <f t="shared" si="60"/>
        <v>4</v>
      </c>
      <c r="Q156" s="140">
        <f t="shared" si="80"/>
        <v>1</v>
      </c>
      <c r="R156" s="140">
        <f t="shared" si="61"/>
        <v>0</v>
      </c>
      <c r="S156" s="140" t="str">
        <f t="shared" si="62"/>
        <v/>
      </c>
      <c r="T156" s="140">
        <f t="shared" si="58"/>
        <v>6</v>
      </c>
      <c r="U156" s="139">
        <f t="shared" si="63"/>
        <v>154</v>
      </c>
      <c r="V156" s="31" t="str">
        <f t="shared" si="64"/>
        <v>Sophie (1969–)</v>
      </c>
      <c r="W156" s="31" t="str">
        <f t="shared" si="65"/>
        <v>Sophie (#154)</v>
      </c>
      <c r="X156" s="99" t="str">
        <f t="shared" si="66"/>
        <v>Sophie (1969–: #154)</v>
      </c>
      <c r="Y156" s="99" t="str">
        <f t="shared" si="59"/>
        <v>Sophie Katherine LOYD</v>
      </c>
      <c r="Z156" s="99" t="str">
        <f t="shared" si="67"/>
        <v>Peter (1922–2022: #98)</v>
      </c>
      <c r="AA156" s="99" t="str">
        <f t="shared" si="72"/>
        <v xml:space="preserve">Peter (1922–2022: #98) Wilfrid (1893–1971: #77) Archie (1847–1922: #30) Thomas (1812–1857: #14) William (1770–1828: #4) William (1729–1800: #1)  </v>
      </c>
      <c r="AB156" s="142" t="str">
        <f>VLOOKUP(U156,'Siblings of those BORN Loyd'!$A$2:$G$230,7,FALSE)</f>
        <v xml:space="preserve">4 – Julie (1952–: #128) Penelope (1954–1954: #132) William (1955–: #134) Tony (1963–: #145)     </v>
      </c>
      <c r="AC156" s="115" t="str">
        <f>IF(ISNA(IF(K156="Boy",VLOOKUP(A156,'Siblings of those BORN Loyd'!$AP$3:$AQ$70,2,FALSE),VLOOKUP(A156,'Children of Female Loyds'!$AR$5:$AT$60,3,FALSE))),AM156,IF(K156="Boy",VLOOKUP(A156,'Siblings of those BORN Loyd'!$AP$3:$AQ$70,2,FALSE),VLOOKUP(A156,'Children of Female Loyds'!$AR$5:$AT$60,3,FALSE)))</f>
        <v xml:space="preserve">3 - Freddie NEWING (2006 - : #154a) Gus NEWING (2008 - : #154b) Albert NEWING (2015 - 2015: #154c)     </v>
      </c>
      <c r="AD156" s="97" t="str">
        <f t="shared" si="81"/>
        <v>-</v>
      </c>
      <c r="AE156" s="105" t="str">
        <f>IF(ISNA(IF(K156="Boy",VLOOKUP(A156,'Grandchildren of Male Loyds'!$AQ$3:$AS$51,3,FALSE),VLOOKUP(A156,'Grandchildren of Female Loyds'!$AX$5:$AZ$63,3,FALSE))),AM156,IF(K156="Boy",VLOOKUP(A156,'Grandchildren of Male Loyds'!$AQ$3:$AS$51,3,FALSE),VLOOKUP(A156,'Grandchildren of Female Loyds'!$AX$5:$AZ$63,3,FALSE)))</f>
        <v/>
      </c>
      <c r="AF156" s="105" t="str">
        <f>IF(ISNA(VLOOKUP(A156,'Grandchildren Loyd Daughters'!$BD$5:$BF$50,4,FALSE)),"",VLOOKUP(A156,'Grandchildren Loyd Daughters'!$BD$5:$BF$50,3,FALSE))</f>
        <v/>
      </c>
      <c r="AG156" s="129">
        <f>IF(ISNA(VLOOKUP(A156,'Grandchildren of Male Loyds'!$AQ$3:$AR$60,2,FALSE)),0,VLOOKUP(A156,'Grandchildren of Male Loyds'!$AQ$3:$AR$60,2,FALSE))+IF(ISNA(VLOOKUP(A156,'Grandchildren of Female Loyds'!$AX$5:$AY$50,2,FALSE)),0,VLOOKUP(A156,'Grandchildren of Female Loyds'!$AX$5:$AY$50,2,FALSE))+IF(ISNA(VLOOKUP(A156,'Grandchildren Loyd Daughters'!$BD$5:$BE$50,2,FALSE)),0,VLOOKUP(A156,'Grandchildren Loyd Daughters'!$BD$5:$BE$50,2,FALSE))</f>
        <v>0</v>
      </c>
      <c r="AH156" s="129" t="str">
        <f>VLOOKUP($U156,'Loyd List 1-190 - Edit'!$P$3:$AJ$220,21,FALSE)</f>
        <v>Rosemary Joan (Rosie) MOIR (b. 23 Feb 1942, d. 12 Mar 1997)</v>
      </c>
      <c r="AI156" s="129" t="str">
        <f>VLOOKUP(A156,'Updated Bios &amp; Spouse Details'!$A$1:$J$200,7,FALSE)</f>
        <v>Shaun Jason NEWING (b.13 Aug 1973, )</v>
      </c>
      <c r="AJ156" s="130">
        <f>IF(VLOOKUP($A156,'Loyd List 1-190 - Edit'!$C$1:$AQ$220,'Book Details - NO EDIT'!AJ$1,FALSE)="","",(VLOOKUP($A156,'Loyd List 1-190 - Edit'!$C$1:$AQ$220,'Book Details - NO EDIT'!AJ$1,FALSE)))</f>
        <v>37821</v>
      </c>
      <c r="AK156" s="129" t="str">
        <f>VLOOKUP(A156,'Updated Bios &amp; Spouse Details'!$A$1:$J$200,8,FALSE)</f>
        <v>Shaun of Wollongong, NSW, Australia.</v>
      </c>
      <c r="AL156" s="131" t="str">
        <f>VLOOKUP(A156,'Updated Bios &amp; Spouse Details'!$A$1:$J$200,5,FALSE)</f>
        <v>Sophie lives in Victoria, Australia, previously of West London and is the 3rd and youngest daughter of Peter (1922–2022: #98). Born 10 Jun 1969 at the Middlesex Hospital, Mortimer Street, London W1. Baptised 1 Nov 1969 at St.Jude-on-the-Hill, Hampstead Garden Suburb, London NW11. Education: South Hampstead Junior 1974-81, North London Collegiate 1981-87 and Edinburgh University (BSc Hons, Geography 1991).  Career: Andersen Consulting 1992-1996. Sumitomo Bank 1996-98. Credit Suisse first Boston Bank from 1998–2004. Moved to Melbourne in 2004. ANZ, AMP, National Australia Bank, Judo Bank 2020-present. Captain, Great Britain Junior Synchronised Swimming Team 1986. Issue: 3 sons</v>
      </c>
      <c r="AM156" s="105" t="str">
        <f>IF(AND(LEN(H156)&gt;0,ISNA(IF(K156="Boy",VLOOKUP(A156,'Siblings of those BORN Loyd'!$AP$3:$AQ$70,2,FALSE),VLOOKUP(A156,'Children of Female Loyds'!$AR$5:$AS$60,2,FALSE)))),"d.s.p","")</f>
        <v/>
      </c>
      <c r="AN156" s="99" t="str">
        <f t="shared" si="68"/>
        <v>Peter (1922–2022: #98)</v>
      </c>
      <c r="AO156" s="99" t="str">
        <f t="shared" si="73"/>
        <v>Wilfrid (1893–1971: #77)</v>
      </c>
      <c r="AP156" s="99" t="str">
        <f t="shared" si="74"/>
        <v>Archie (1847–1922: #30)</v>
      </c>
      <c r="AQ156" s="99" t="str">
        <f t="shared" si="75"/>
        <v>Thomas (1812–1857: #14)</v>
      </c>
      <c r="AR156" s="99" t="str">
        <f t="shared" si="76"/>
        <v>William (1770–1828: #4)</v>
      </c>
      <c r="AS156" s="99" t="str">
        <f t="shared" si="77"/>
        <v>William (1729–1800: #1)</v>
      </c>
      <c r="AT156" s="99" t="str">
        <f t="shared" si="78"/>
        <v/>
      </c>
      <c r="AU156" s="99" t="str">
        <f t="shared" si="79"/>
        <v/>
      </c>
      <c r="AW156" s="116" t="str">
        <f>VLOOKUP(A156,'Updated Bios &amp; Spouse Details'!$A$1:$J$193,6,FALSE)</f>
        <v>England &amp; Australia</v>
      </c>
      <c r="AX156" s="131">
        <f>VLOOKUP($A156,'Loyd List 1-190 - Edit'!$P$2:$AQ$220,AX$1,FALSE)</f>
        <v>154</v>
      </c>
      <c r="AY156" s="116" t="str">
        <f>IF(ISNA(VLOOKUP(A156,'Data check lookup table'!$G$2:$V$73,AY$1,FALSE))," - ",VLOOKUP(A156,'Data check lookup table'!$G$2:$V$73,AY$1,FALSE))</f>
        <v>rosemaryloyd@gmail.com</v>
      </c>
      <c r="AZ156" s="147" t="str">
        <f t="shared" si="69"/>
        <v/>
      </c>
      <c r="BA156" s="99" t="str">
        <f t="shared" si="70"/>
        <v>, William (1729–1800: #1)</v>
      </c>
      <c r="BB156" s="99" t="str">
        <f t="shared" si="71"/>
        <v/>
      </c>
      <c r="BI156" s="147" t="s">
        <v>3228</v>
      </c>
    </row>
    <row r="157" spans="1:61" s="99" customFormat="1" ht="85">
      <c r="A157" s="139">
        <f>'Loyd List 1-190 - Edit'!C157</f>
        <v>155</v>
      </c>
      <c r="B157" s="99" t="str">
        <f>VLOOKUP($A157,'Loyd List 1-190 - Edit'!$C$1:$AQ$220,'Book Details - NO EDIT'!B$1,FALSE)</f>
        <v>William</v>
      </c>
      <c r="C157" s="99" t="str">
        <f>IF(VLOOKUP($A157,'Loyd List 1-190 - Edit'!$C$1:$AQ$220,'Book Details - NO EDIT'!C$1,FALSE)="","",VLOOKUP($A157,'Loyd List 1-190 - Edit'!$C$1:$AQ$220,'Book Details - NO EDIT'!C$1,FALSE))</f>
        <v>John</v>
      </c>
      <c r="D157" s="99" t="str">
        <f>IF(VLOOKUP($A157,'Loyd List 1-190 - Edit'!$C$1:$AQ$220,'Book Details - NO EDIT'!D$1,FALSE)="","",VLOOKUP($A157,'Loyd List 1-190 - Edit'!$C$1:$AQ$220,'Book Details - NO EDIT'!D$1,FALSE))</f>
        <v>Charlton</v>
      </c>
      <c r="E157" s="99" t="str">
        <f>IF(VLOOKUP($A157,'Loyd List 1-190 - Edit'!$C$1:$AQ$220,'Book Details - NO EDIT'!E$1,FALSE)="","",VLOOKUP($A157,'Loyd List 1-190 - Edit'!$C$1:$AQ$220,'Book Details - NO EDIT'!E$1,FALSE))</f>
        <v>LOYD (CHARLTON)</v>
      </c>
      <c r="F157" s="99" t="str">
        <f>IF(VLOOKUP($A157,'Loyd List 1-190 - Edit'!$C$1:$AQ$220,'Book Details - NO EDIT'!F$1,FALSE)="",B157,VLOOKUP($A157,'Loyd List 1-190 - Edit'!$C$1:$AQ$220,'Book Details - NO EDIT'!F$1,FALSE))</f>
        <v>William</v>
      </c>
      <c r="G157" s="140">
        <f>IF(VLOOKUP($A157,'Loyd List 1-190 - Edit'!$C$1:$AQ$220,'Book Details - NO EDIT'!G$1,FALSE)="","",VALUE(VLOOKUP($A157,'Loyd List 1-190 - Edit'!$C$1:$AQ$220,'Book Details - NO EDIT'!G$1,FALSE)))</f>
        <v>1973</v>
      </c>
      <c r="H157" s="140" t="str">
        <f>IF(VLOOKUP($A157,'Loyd List 1-190 - Edit'!$C$1:$AQ$220,'Book Details - NO EDIT'!H$1,FALSE)="","",VALUE(VLOOKUP($A157,'Loyd List 1-190 - Edit'!$C$1:$AQ$220,'Book Details - NO EDIT'!H$1,FALSE)))</f>
        <v/>
      </c>
      <c r="I157" s="141">
        <f>IF(VLOOKUP($A157,'Loyd List 1-190 - Edit'!$C$1:$AQ$220,'Book Details - NO EDIT'!I$1,FALSE)="","",(VLOOKUP($A157,'Loyd List 1-190 - Edit'!$C$1:$AQ$220,'Book Details - NO EDIT'!I$1,FALSE)))</f>
        <v>26769</v>
      </c>
      <c r="J157" s="141" t="str">
        <f>IF(VLOOKUP($A157,'Loyd List 1-190 - Edit'!$C$1:$AQ$220,'Book Details - NO EDIT'!J$1,FALSE)="","",(VLOOKUP($A157,'Loyd List 1-190 - Edit'!$C$1:$AQ$220,'Book Details - NO EDIT'!J$1,FALSE)))</f>
        <v/>
      </c>
      <c r="K157" s="100" t="str">
        <f>VLOOKUP($A157,'Loyd List 1-190 - Edit'!$C$1:$AQ$220,'Book Details - NO EDIT'!K$1,FALSE)</f>
        <v>Boy</v>
      </c>
      <c r="L157" s="140">
        <f>VLOOKUP($A157,'Loyd List 1-190 - Edit'!$C$1:$AQ$220,'Book Details - NO EDIT'!L$1,FALSE)</f>
        <v>119</v>
      </c>
      <c r="M157" s="140">
        <f t="shared" si="60"/>
        <v>80</v>
      </c>
      <c r="N157" s="140">
        <f t="shared" si="60"/>
        <v>29</v>
      </c>
      <c r="O157" s="140">
        <f t="shared" si="60"/>
        <v>14</v>
      </c>
      <c r="P157" s="140">
        <f t="shared" si="60"/>
        <v>4</v>
      </c>
      <c r="Q157" s="140">
        <f t="shared" si="80"/>
        <v>1</v>
      </c>
      <c r="R157" s="140">
        <f t="shared" si="61"/>
        <v>0</v>
      </c>
      <c r="S157" s="140" t="str">
        <f t="shared" si="62"/>
        <v/>
      </c>
      <c r="T157" s="140">
        <f t="shared" si="58"/>
        <v>6</v>
      </c>
      <c r="U157" s="139">
        <f t="shared" si="63"/>
        <v>155</v>
      </c>
      <c r="V157" s="31" t="str">
        <f t="shared" si="64"/>
        <v>William (1973–)</v>
      </c>
      <c r="W157" s="31" t="str">
        <f t="shared" si="65"/>
        <v>William (#155)</v>
      </c>
      <c r="X157" s="99" t="str">
        <f t="shared" si="66"/>
        <v>William (1973–: #155)</v>
      </c>
      <c r="Y157" s="99" t="str">
        <f t="shared" si="59"/>
        <v>William John Charlton LOYD (CHARLTON)</v>
      </c>
      <c r="Z157" s="99" t="str">
        <f t="shared" si="67"/>
        <v>Peter (1942–: #119)</v>
      </c>
      <c r="AA157" s="99" t="str">
        <f t="shared" si="72"/>
        <v xml:space="preserve">Peter (1942–: #119) Eric (1894–1963: #80) Arthur (1845–1930: #29) Thomas (1812–1857: #14) William (1770–1828: #4) William (1729–1800: #1)  </v>
      </c>
      <c r="AB157" s="142" t="str">
        <f>VLOOKUP(U157,'Siblings of those BORN Loyd'!$A$2:$G$230,7,FALSE)</f>
        <v xml:space="preserve">3 – Amy (1975–: #156) Molly (1982–: #161) Harriet (1984–: #163)     </v>
      </c>
      <c r="AC157" s="115" t="str">
        <f>IF(ISNA(IF(K157="Boy",VLOOKUP(A157,'Siblings of those BORN Loyd'!$AP$3:$AQ$70,2,FALSE),VLOOKUP(A157,'Children of Female Loyds'!$AR$5:$AT$60,3,FALSE))),AM157,IF(K157="Boy",VLOOKUP(A157,'Siblings of those BORN Loyd'!$AP$3:$AQ$70,2,FALSE),VLOOKUP(A157,'Children of Female Loyds'!$AR$5:$AT$60,3,FALSE)))</f>
        <v>3 - Matilda (2006–: #183); Katherine (2007–: #185); Henry (2010–: #186)</v>
      </c>
      <c r="AD157" s="97" t="str">
        <f t="shared" si="81"/>
        <v>-</v>
      </c>
      <c r="AE157" s="105" t="str">
        <f>IF(ISNA(IF(K157="Boy",VLOOKUP(A157,'Grandchildren of Male Loyds'!$AQ$3:$AS$51,3,FALSE),VLOOKUP(A157,'Grandchildren of Female Loyds'!$AX$5:$AZ$63,3,FALSE))),AM157,IF(K157="Boy",VLOOKUP(A157,'Grandchildren of Male Loyds'!$AQ$3:$AS$51,3,FALSE),VLOOKUP(A157,'Grandchildren of Female Loyds'!$AX$5:$AZ$63,3,FALSE)))</f>
        <v/>
      </c>
      <c r="AF157" s="105" t="str">
        <f>IF(ISNA(VLOOKUP(A157,'Grandchildren Loyd Daughters'!$BD$5:$BF$50,4,FALSE)),"",VLOOKUP(A157,'Grandchildren Loyd Daughters'!$BD$5:$BF$50,3,FALSE))</f>
        <v/>
      </c>
      <c r="AG157" s="129">
        <f>IF(ISNA(VLOOKUP(A157,'Grandchildren of Male Loyds'!$AQ$3:$AR$60,2,FALSE)),0,VLOOKUP(A157,'Grandchildren of Male Loyds'!$AQ$3:$AR$60,2,FALSE))+IF(ISNA(VLOOKUP(A157,'Grandchildren of Female Loyds'!$AX$5:$AY$50,2,FALSE)),0,VLOOKUP(A157,'Grandchildren of Female Loyds'!$AX$5:$AY$50,2,FALSE))+IF(ISNA(VLOOKUP(A157,'Grandchildren Loyd Daughters'!$BD$5:$BE$50,2,FALSE)),0,VLOOKUP(A157,'Grandchildren Loyd Daughters'!$BD$5:$BE$50,2,FALSE))</f>
        <v>0</v>
      </c>
      <c r="AH157" s="129" t="str">
        <f>VLOOKUP($U157,'Loyd List 1-190 - Edit'!$P$3:$AJ$220,21,FALSE)</f>
        <v>Mary Jennifer CHARLTON (b. 15 Jul 1946, d. 10 Oct 1976)</v>
      </c>
      <c r="AI157" s="129" t="str">
        <f>VLOOKUP(A157,'Updated Bios &amp; Spouse Details'!$A$1:$J$200,7,FALSE)</f>
        <v>Anne Maria LEES (b. 15 Mar 1972, )</v>
      </c>
      <c r="AJ157" s="130">
        <f>IF(VLOOKUP($A157,'Loyd List 1-190 - Edit'!$C$1:$AQ$220,'Book Details - NO EDIT'!AJ$1,FALSE)="","",(VLOOKUP($A157,'Loyd List 1-190 - Edit'!$C$1:$AQ$220,'Book Details - NO EDIT'!AJ$1,FALSE)))</f>
        <v>38605</v>
      </c>
      <c r="AK157" s="129" t="str">
        <f>VLOOKUP(A157,'Updated Bios &amp; Spouse Details'!$A$1:$J$200,8,FALSE)</f>
        <v xml:space="preserve">Married, at St Oswalds, Bellingham, Northumberland, Anne youngest daughter of Anthony David LEES of Preston-on-Wye Herefordshire. </v>
      </c>
      <c r="AL157" s="131" t="str">
        <f>VLOOKUP(A157,'Updated Bios &amp; Spouse Details'!$A$1:$J$200,5,FALSE)</f>
        <v>William lives in Bellingham, Northumberland, previously of Wandsworth Bridge Road, London. Only son of Peter (1942–  : #119). Born 15 Apr 1973. Baptised 6 May 1973 at Pathhead, Midlothian. Education: Ampleforth and Newcastle University (BSc Agricultural Economics 1995). Career: Angela Mortimer from 1998-2000; Morgan Stanley 2000-2005; Farmer 2005 - ; Director Hesleyside Huts 2010 - ; Knight of Malta 1997. Portraits of William (1809–1879: #10) and Thomas (1812–1857: #14) by Eden Upton EDDIS are in possession of William (#155). William has created a LOYD library at Hesleyside to house some 800 LOYD books collected by Reggie (1886–1961: #61); portraits of Lord Overstone (1796–1883: #9), William (1809–1879: #10), Captain James HAIG (b. 1768, d. 1832) and Maria (1814–1900: #16) and numerous LOYD items of historical interest. Issue: 2 daughters, 1 son</v>
      </c>
      <c r="AM157" s="105" t="str">
        <f>IF(AND(LEN(H157)&gt;0,ISNA(IF(K157="Boy",VLOOKUP(A157,'Siblings of those BORN Loyd'!$AP$3:$AQ$70,2,FALSE),VLOOKUP(A157,'Children of Female Loyds'!$AR$5:$AS$60,2,FALSE)))),"d.s.p","")</f>
        <v/>
      </c>
      <c r="AN157" s="99" t="str">
        <f t="shared" si="68"/>
        <v>Peter (1942–: #119)</v>
      </c>
      <c r="AO157" s="99" t="str">
        <f t="shared" si="73"/>
        <v>Eric (1894–1963: #80)</v>
      </c>
      <c r="AP157" s="99" t="str">
        <f t="shared" si="74"/>
        <v>Arthur (1845–1930: #29)</v>
      </c>
      <c r="AQ157" s="99" t="str">
        <f t="shared" si="75"/>
        <v>Thomas (1812–1857: #14)</v>
      </c>
      <c r="AR157" s="99" t="str">
        <f t="shared" si="76"/>
        <v>William (1770–1828: #4)</v>
      </c>
      <c r="AS157" s="99" t="str">
        <f t="shared" si="77"/>
        <v>William (1729–1800: #1)</v>
      </c>
      <c r="AT157" s="99" t="str">
        <f t="shared" si="78"/>
        <v/>
      </c>
      <c r="AU157" s="99" t="str">
        <f t="shared" si="79"/>
        <v/>
      </c>
      <c r="AW157" s="116" t="str">
        <f>VLOOKUP(A157,'Updated Bios &amp; Spouse Details'!$A$1:$J$193,6,FALSE)</f>
        <v>England</v>
      </c>
      <c r="AX157" s="131">
        <f>VLOOKUP($A157,'Loyd List 1-190 - Edit'!$P$2:$AQ$220,AX$1,FALSE)</f>
        <v>155</v>
      </c>
      <c r="AY157" s="116" t="str">
        <f>IF(ISNA(VLOOKUP(A157,'Data check lookup table'!$G$2:$V$73,AY$1,FALSE))," - ",VLOOKUP(A157,'Data check lookup table'!$G$2:$V$73,AY$1,FALSE))</f>
        <v>mantlehill@aol.com</v>
      </c>
      <c r="AZ157" s="147" t="str">
        <f t="shared" si="69"/>
        <v/>
      </c>
      <c r="BA157" s="99" t="str">
        <f t="shared" si="70"/>
        <v>, William (1729–1800: #1)</v>
      </c>
      <c r="BB157" s="99" t="str">
        <f t="shared" si="71"/>
        <v/>
      </c>
      <c r="BI157" s="147" t="s">
        <v>3228</v>
      </c>
    </row>
    <row r="158" spans="1:61" s="99" customFormat="1" ht="51">
      <c r="A158" s="139">
        <f>'Loyd List 1-190 - Edit'!C158</f>
        <v>156</v>
      </c>
      <c r="B158" s="99" t="str">
        <f>VLOOKUP($A158,'Loyd List 1-190 - Edit'!$C$1:$AQ$220,'Book Details - NO EDIT'!B$1,FALSE)</f>
        <v>Amy</v>
      </c>
      <c r="C158" s="99" t="str">
        <f>IF(VLOOKUP($A158,'Loyd List 1-190 - Edit'!$C$1:$AQ$220,'Book Details - NO EDIT'!C$1,FALSE)="","",VLOOKUP($A158,'Loyd List 1-190 - Edit'!$C$1:$AQ$220,'Book Details - NO EDIT'!C$1,FALSE))</f>
        <v>Lucia</v>
      </c>
      <c r="D158" s="99" t="str">
        <f>IF(VLOOKUP($A158,'Loyd List 1-190 - Edit'!$C$1:$AQ$220,'Book Details - NO EDIT'!D$1,FALSE)="","",VLOOKUP($A158,'Loyd List 1-190 - Edit'!$C$1:$AQ$220,'Book Details - NO EDIT'!D$1,FALSE))</f>
        <v/>
      </c>
      <c r="E158" s="99" t="str">
        <f>IF(VLOOKUP($A158,'Loyd List 1-190 - Edit'!$C$1:$AQ$220,'Book Details - NO EDIT'!E$1,FALSE)="","",VLOOKUP($A158,'Loyd List 1-190 - Edit'!$C$1:$AQ$220,'Book Details - NO EDIT'!E$1,FALSE))</f>
        <v>LOYD</v>
      </c>
      <c r="F158" s="99" t="str">
        <f>IF(VLOOKUP($A158,'Loyd List 1-190 - Edit'!$C$1:$AQ$220,'Book Details - NO EDIT'!F$1,FALSE)="",B158,VLOOKUP($A158,'Loyd List 1-190 - Edit'!$C$1:$AQ$220,'Book Details - NO EDIT'!F$1,FALSE))</f>
        <v>Amy</v>
      </c>
      <c r="G158" s="140">
        <f>IF(VLOOKUP($A158,'Loyd List 1-190 - Edit'!$C$1:$AQ$220,'Book Details - NO EDIT'!G$1,FALSE)="","",VALUE(VLOOKUP($A158,'Loyd List 1-190 - Edit'!$C$1:$AQ$220,'Book Details - NO EDIT'!G$1,FALSE)))</f>
        <v>1975</v>
      </c>
      <c r="H158" s="140" t="str">
        <f>IF(VLOOKUP($A158,'Loyd List 1-190 - Edit'!$C$1:$AQ$220,'Book Details - NO EDIT'!H$1,FALSE)="","",VALUE(VLOOKUP($A158,'Loyd List 1-190 - Edit'!$C$1:$AQ$220,'Book Details - NO EDIT'!H$1,FALSE)))</f>
        <v/>
      </c>
      <c r="I158" s="141">
        <f>IF(VLOOKUP($A158,'Loyd List 1-190 - Edit'!$C$1:$AQ$220,'Book Details - NO EDIT'!I$1,FALSE)="","",(VLOOKUP($A158,'Loyd List 1-190 - Edit'!$C$1:$AQ$220,'Book Details - NO EDIT'!I$1,FALSE)))</f>
        <v>27457</v>
      </c>
      <c r="J158" s="141" t="str">
        <f>IF(VLOOKUP($A158,'Loyd List 1-190 - Edit'!$C$1:$AQ$220,'Book Details - NO EDIT'!J$1,FALSE)="","",(VLOOKUP($A158,'Loyd List 1-190 - Edit'!$C$1:$AQ$220,'Book Details - NO EDIT'!J$1,FALSE)))</f>
        <v/>
      </c>
      <c r="K158" s="100" t="str">
        <f>VLOOKUP($A158,'Loyd List 1-190 - Edit'!$C$1:$AQ$220,'Book Details - NO EDIT'!K$1,FALSE)</f>
        <v>Girl</v>
      </c>
      <c r="L158" s="140">
        <f>VLOOKUP($A158,'Loyd List 1-190 - Edit'!$C$1:$AQ$220,'Book Details - NO EDIT'!L$1,FALSE)</f>
        <v>119</v>
      </c>
      <c r="M158" s="140">
        <f t="shared" si="60"/>
        <v>80</v>
      </c>
      <c r="N158" s="140">
        <f t="shared" si="60"/>
        <v>29</v>
      </c>
      <c r="O158" s="140">
        <f t="shared" si="60"/>
        <v>14</v>
      </c>
      <c r="P158" s="140">
        <f t="shared" si="60"/>
        <v>4</v>
      </c>
      <c r="Q158" s="140">
        <f t="shared" si="80"/>
        <v>1</v>
      </c>
      <c r="R158" s="140">
        <f t="shared" si="61"/>
        <v>0</v>
      </c>
      <c r="S158" s="140" t="str">
        <f t="shared" si="62"/>
        <v/>
      </c>
      <c r="T158" s="140">
        <f t="shared" si="58"/>
        <v>6</v>
      </c>
      <c r="U158" s="139">
        <f t="shared" si="63"/>
        <v>156</v>
      </c>
      <c r="V158" s="31" t="str">
        <f t="shared" si="64"/>
        <v>Amy (1975–)</v>
      </c>
      <c r="W158" s="31" t="str">
        <f t="shared" si="65"/>
        <v>Amy (#156)</v>
      </c>
      <c r="X158" s="99" t="str">
        <f t="shared" si="66"/>
        <v>Amy (1975–: #156)</v>
      </c>
      <c r="Y158" s="99" t="str">
        <f t="shared" si="59"/>
        <v>Amy Lucia LOYD</v>
      </c>
      <c r="Z158" s="99" t="str">
        <f t="shared" si="67"/>
        <v>Peter (1942–: #119)</v>
      </c>
      <c r="AA158" s="99" t="str">
        <f t="shared" si="72"/>
        <v xml:space="preserve">Peter (1942–: #119) Eric (1894–1963: #80) Arthur (1845–1930: #29) Thomas (1812–1857: #14) William (1770–1828: #4) William (1729–1800: #1)  </v>
      </c>
      <c r="AB158" s="142" t="str">
        <f>VLOOKUP(U158,'Siblings of those BORN Loyd'!$A$2:$G$230,7,FALSE)</f>
        <v xml:space="preserve">3 – William (1973–: #155)  Molly (1982–: #161) Harriet (1984–: #163)     </v>
      </c>
      <c r="AC158" s="115" t="str">
        <f>IF(ISNA(IF(K158="Boy",VLOOKUP(A158,'Siblings of those BORN Loyd'!$AP$3:$AQ$70,2,FALSE),VLOOKUP(A158,'Children of Female Loyds'!$AR$5:$AT$60,3,FALSE))),AM158,IF(K158="Boy",VLOOKUP(A158,'Siblings of those BORN Loyd'!$AP$3:$AQ$70,2,FALSE),VLOOKUP(A158,'Children of Female Loyds'!$AR$5:$AT$60,3,FALSE)))</f>
        <v xml:space="preserve">2 - Peter GRINDAL (2014 - : #156a) Dorothy GRINDAL (2016 - : #156b)      </v>
      </c>
      <c r="AD158" s="97" t="str">
        <f t="shared" si="81"/>
        <v>-</v>
      </c>
      <c r="AE158" s="105" t="str">
        <f>IF(ISNA(IF(K158="Boy",VLOOKUP(A158,'Grandchildren of Male Loyds'!$AQ$3:$AS$51,3,FALSE),VLOOKUP(A158,'Grandchildren of Female Loyds'!$AX$5:$AZ$63,3,FALSE))),AM158,IF(K158="Boy",VLOOKUP(A158,'Grandchildren of Male Loyds'!$AQ$3:$AS$51,3,FALSE),VLOOKUP(A158,'Grandchildren of Female Loyds'!$AX$5:$AZ$63,3,FALSE)))</f>
        <v/>
      </c>
      <c r="AF158" s="105" t="str">
        <f>IF(ISNA(VLOOKUP(A158,'Grandchildren Loyd Daughters'!$BD$5:$BF$50,4,FALSE)),"",VLOOKUP(A158,'Grandchildren Loyd Daughters'!$BD$5:$BF$50,3,FALSE))</f>
        <v/>
      </c>
      <c r="AG158" s="129">
        <f>IF(ISNA(VLOOKUP(A158,'Grandchildren of Male Loyds'!$AQ$3:$AR$60,2,FALSE)),0,VLOOKUP(A158,'Grandchildren of Male Loyds'!$AQ$3:$AR$60,2,FALSE))+IF(ISNA(VLOOKUP(A158,'Grandchildren of Female Loyds'!$AX$5:$AY$50,2,FALSE)),0,VLOOKUP(A158,'Grandchildren of Female Loyds'!$AX$5:$AY$50,2,FALSE))+IF(ISNA(VLOOKUP(A158,'Grandchildren Loyd Daughters'!$BD$5:$BE$50,2,FALSE)),0,VLOOKUP(A158,'Grandchildren Loyd Daughters'!$BD$5:$BE$50,2,FALSE))</f>
        <v>0</v>
      </c>
      <c r="AH158" s="129" t="str">
        <f>VLOOKUP($U158,'Loyd List 1-190 - Edit'!$P$3:$AJ$220,21,FALSE)</f>
        <v>Mary Jennifer CHARLTON (b. 15 Jul 1946, d. 10 Oct 1976)</v>
      </c>
      <c r="AI158" s="129" t="str">
        <f>VLOOKUP(A158,'Updated Bios &amp; Spouse Details'!$A$1:$J$200,7,FALSE)</f>
        <v>John Matthew GRINDAL (b. 11 Mar 1976, )</v>
      </c>
      <c r="AJ158" s="130">
        <f>IF(VLOOKUP($A158,'Loyd List 1-190 - Edit'!$C$1:$AQ$220,'Book Details - NO EDIT'!AJ$1,FALSE)="","",(VLOOKUP($A158,'Loyd List 1-190 - Edit'!$C$1:$AQ$220,'Book Details - NO EDIT'!AJ$1,FALSE)))</f>
        <v>41250</v>
      </c>
      <c r="AK158" s="129" t="str">
        <f>VLOOKUP(A158,'Updated Bios &amp; Spouse Details'!$A$1:$J$200,8,FALSE)</f>
        <v>John, youngest son of Michael Graham GRINDAL of Manor Farm , Catthorpe, Lutterworth, Leicestershie.</v>
      </c>
      <c r="AL158" s="131" t="str">
        <f>VLOOKUP(A158,'Updated Bios &amp; Spouse Details'!$A$1:$J$200,5,FALSE)</f>
        <v>Amy lives in Catthorpe, Leicestershire. Eldest daughter of Peter (1942– :  #119). Born 4 Mar 1975. Baptised 12 Mar 1975 at Saltillo, Mexico. Education:  Queen Margarets, York and University of Northumbria (BA History of Art 1997). Career: Phillips Auctioneers from 1998-2001, Sotherby's 2001-2005. Teacher Thomas's School, Kensington-2013, Bilton Grange School 2013, Dame of Malta 2006. Issue: 1 son, 1 daughter.</v>
      </c>
      <c r="AM158" s="105" t="str">
        <f>IF(AND(LEN(H158)&gt;0,ISNA(IF(K158="Boy",VLOOKUP(A158,'Siblings of those BORN Loyd'!$AP$3:$AQ$70,2,FALSE),VLOOKUP(A158,'Children of Female Loyds'!$AR$5:$AS$60,2,FALSE)))),"d.s.p","")</f>
        <v/>
      </c>
      <c r="AN158" s="99" t="str">
        <f t="shared" si="68"/>
        <v>Peter (1942–: #119)</v>
      </c>
      <c r="AO158" s="99" t="str">
        <f t="shared" si="73"/>
        <v>Eric (1894–1963: #80)</v>
      </c>
      <c r="AP158" s="99" t="str">
        <f t="shared" si="74"/>
        <v>Arthur (1845–1930: #29)</v>
      </c>
      <c r="AQ158" s="99" t="str">
        <f t="shared" si="75"/>
        <v>Thomas (1812–1857: #14)</v>
      </c>
      <c r="AR158" s="99" t="str">
        <f t="shared" si="76"/>
        <v>William (1770–1828: #4)</v>
      </c>
      <c r="AS158" s="99" t="str">
        <f t="shared" si="77"/>
        <v>William (1729–1800: #1)</v>
      </c>
      <c r="AT158" s="99" t="str">
        <f t="shared" si="78"/>
        <v/>
      </c>
      <c r="AU158" s="99" t="str">
        <f t="shared" si="79"/>
        <v/>
      </c>
      <c r="AW158" s="116" t="str">
        <f>VLOOKUP(A158,'Updated Bios &amp; Spouse Details'!$A$1:$J$193,6,FALSE)</f>
        <v>Mexico and England</v>
      </c>
      <c r="AX158" s="131">
        <f>VLOOKUP($A158,'Loyd List 1-190 - Edit'!$P$2:$AQ$220,AX$1,FALSE)</f>
        <v>156</v>
      </c>
      <c r="AY158" s="116" t="str">
        <f>IF(ISNA(VLOOKUP(A158,'Data check lookup table'!$G$2:$V$73,AY$1,FALSE))," - ",VLOOKUP(A158,'Data check lookup table'!$G$2:$V$73,AY$1,FALSE))</f>
        <v>mantlehill@aol.com</v>
      </c>
      <c r="AZ158" s="147" t="str">
        <f t="shared" si="69"/>
        <v/>
      </c>
      <c r="BA158" s="99" t="str">
        <f t="shared" si="70"/>
        <v>, William (1729–1800: #1)</v>
      </c>
      <c r="BB158" s="99" t="str">
        <f t="shared" si="71"/>
        <v/>
      </c>
      <c r="BI158" s="147" t="s">
        <v>3228</v>
      </c>
    </row>
    <row r="159" spans="1:61" s="99" customFormat="1" ht="51">
      <c r="A159" s="139">
        <f>'Loyd List 1-190 - Edit'!C159</f>
        <v>157</v>
      </c>
      <c r="B159" s="99" t="str">
        <f>VLOOKUP($A159,'Loyd List 1-190 - Edit'!$C$1:$AQ$220,'Book Details - NO EDIT'!B$1,FALSE)</f>
        <v>Tessa</v>
      </c>
      <c r="C159" s="99" t="str">
        <f>IF(VLOOKUP($A159,'Loyd List 1-190 - Edit'!$C$1:$AQ$220,'Book Details - NO EDIT'!C$1,FALSE)="","",VLOOKUP($A159,'Loyd List 1-190 - Edit'!$C$1:$AQ$220,'Book Details - NO EDIT'!C$1,FALSE))</f>
        <v>Jane</v>
      </c>
      <c r="D159" s="99" t="str">
        <f>IF(VLOOKUP($A159,'Loyd List 1-190 - Edit'!$C$1:$AQ$220,'Book Details - NO EDIT'!D$1,FALSE)="","",VLOOKUP($A159,'Loyd List 1-190 - Edit'!$C$1:$AQ$220,'Book Details - NO EDIT'!D$1,FALSE))</f>
        <v/>
      </c>
      <c r="E159" s="99" t="str">
        <f>IF(VLOOKUP($A159,'Loyd List 1-190 - Edit'!$C$1:$AQ$220,'Book Details - NO EDIT'!E$1,FALSE)="","",VLOOKUP($A159,'Loyd List 1-190 - Edit'!$C$1:$AQ$220,'Book Details - NO EDIT'!E$1,FALSE))</f>
        <v>LOYD</v>
      </c>
      <c r="F159" s="99" t="str">
        <f>IF(VLOOKUP($A159,'Loyd List 1-190 - Edit'!$C$1:$AQ$220,'Book Details - NO EDIT'!F$1,FALSE)="",B159,VLOOKUP($A159,'Loyd List 1-190 - Edit'!$C$1:$AQ$220,'Book Details - NO EDIT'!F$1,FALSE))</f>
        <v>Tess</v>
      </c>
      <c r="G159" s="140">
        <f>IF(VLOOKUP($A159,'Loyd List 1-190 - Edit'!$C$1:$AQ$220,'Book Details - NO EDIT'!G$1,FALSE)="","",VALUE(VLOOKUP($A159,'Loyd List 1-190 - Edit'!$C$1:$AQ$220,'Book Details - NO EDIT'!G$1,FALSE)))</f>
        <v>1975</v>
      </c>
      <c r="H159" s="140" t="str">
        <f>IF(VLOOKUP($A159,'Loyd List 1-190 - Edit'!$C$1:$AQ$220,'Book Details - NO EDIT'!H$1,FALSE)="","",VALUE(VLOOKUP($A159,'Loyd List 1-190 - Edit'!$C$1:$AQ$220,'Book Details - NO EDIT'!H$1,FALSE)))</f>
        <v/>
      </c>
      <c r="I159" s="141">
        <f>IF(VLOOKUP($A159,'Loyd List 1-190 - Edit'!$C$1:$AQ$220,'Book Details - NO EDIT'!I$1,FALSE)="","",(VLOOKUP($A159,'Loyd List 1-190 - Edit'!$C$1:$AQ$220,'Book Details - NO EDIT'!I$1,FALSE)))</f>
        <v>27606</v>
      </c>
      <c r="J159" s="141" t="str">
        <f>IF(VLOOKUP($A159,'Loyd List 1-190 - Edit'!$C$1:$AQ$220,'Book Details - NO EDIT'!J$1,FALSE)="","",(VLOOKUP($A159,'Loyd List 1-190 - Edit'!$C$1:$AQ$220,'Book Details - NO EDIT'!J$1,FALSE)))</f>
        <v/>
      </c>
      <c r="K159" s="100" t="str">
        <f>VLOOKUP($A159,'Loyd List 1-190 - Edit'!$C$1:$AQ$220,'Book Details - NO EDIT'!K$1,FALSE)</f>
        <v>Girl</v>
      </c>
      <c r="L159" s="140">
        <f>VLOOKUP($A159,'Loyd List 1-190 - Edit'!$C$1:$AQ$220,'Book Details - NO EDIT'!L$1,FALSE)</f>
        <v>114</v>
      </c>
      <c r="M159" s="140">
        <f t="shared" si="60"/>
        <v>80</v>
      </c>
      <c r="N159" s="140">
        <f t="shared" si="60"/>
        <v>29</v>
      </c>
      <c r="O159" s="140">
        <f t="shared" si="60"/>
        <v>14</v>
      </c>
      <c r="P159" s="140">
        <f t="shared" si="60"/>
        <v>4</v>
      </c>
      <c r="Q159" s="140">
        <f t="shared" si="80"/>
        <v>1</v>
      </c>
      <c r="R159" s="140">
        <f t="shared" si="61"/>
        <v>0</v>
      </c>
      <c r="S159" s="140" t="str">
        <f t="shared" si="62"/>
        <v/>
      </c>
      <c r="T159" s="140">
        <f t="shared" si="58"/>
        <v>6</v>
      </c>
      <c r="U159" s="139">
        <f t="shared" si="63"/>
        <v>157</v>
      </c>
      <c r="V159" s="31" t="str">
        <f t="shared" si="64"/>
        <v>Tess (1975–)</v>
      </c>
      <c r="W159" s="31" t="str">
        <f t="shared" si="65"/>
        <v>Tess (#157)</v>
      </c>
      <c r="X159" s="99" t="str">
        <f t="shared" si="66"/>
        <v>Tess (1975–: #157)</v>
      </c>
      <c r="Y159" s="99" t="str">
        <f t="shared" si="59"/>
        <v>Tessa Jane LOYD</v>
      </c>
      <c r="Z159" s="99" t="str">
        <f t="shared" si="67"/>
        <v>Michael (1938–: #114)</v>
      </c>
      <c r="AA159" s="99" t="str">
        <f t="shared" si="72"/>
        <v xml:space="preserve">Michael (1938–: #114) Eric (1894–1963: #80) Arthur (1845–1930: #29) Thomas (1812–1857: #14) William (1770–1828: #4) William (1729–1800: #1)  </v>
      </c>
      <c r="AB159" s="142" t="str">
        <f>VLOOKUP(U159,'Siblings of those BORN Loyd'!$A$2:$G$230,7,FALSE)</f>
        <v xml:space="preserve">2 – Chloe (1977–: #158) Daisy (1979–: #159)      </v>
      </c>
      <c r="AC159" s="115" t="str">
        <f>IF(ISNA(IF(K159="Boy",VLOOKUP(A159,'Siblings of those BORN Loyd'!$AP$3:$AQ$70,2,FALSE),VLOOKUP(A159,'Children of Female Loyds'!$AR$5:$AT$60,3,FALSE))),AM159,IF(K159="Boy",VLOOKUP(A159,'Siblings of those BORN Loyd'!$AP$3:$AQ$70,2,FALSE),VLOOKUP(A159,'Children of Female Loyds'!$AR$5:$AT$60,3,FALSE)))</f>
        <v xml:space="preserve">2 - Henry SIMMONDS (2012 - : #157a) Emily SIMMONDS (2014 - : #157b)      </v>
      </c>
      <c r="AD159" s="97" t="str">
        <f t="shared" si="81"/>
        <v>-</v>
      </c>
      <c r="AE159" s="105" t="str">
        <f>IF(ISNA(IF(K159="Boy",VLOOKUP(A159,'Grandchildren of Male Loyds'!$AQ$3:$AS$51,3,FALSE),VLOOKUP(A159,'Grandchildren of Female Loyds'!$AX$5:$AZ$63,3,FALSE))),AM159,IF(K159="Boy",VLOOKUP(A159,'Grandchildren of Male Loyds'!$AQ$3:$AS$51,3,FALSE),VLOOKUP(A159,'Grandchildren of Female Loyds'!$AX$5:$AZ$63,3,FALSE)))</f>
        <v/>
      </c>
      <c r="AF159" s="105" t="str">
        <f>IF(ISNA(VLOOKUP(A159,'Grandchildren Loyd Daughters'!$BD$5:$BF$50,4,FALSE)),"",VLOOKUP(A159,'Grandchildren Loyd Daughters'!$BD$5:$BF$50,3,FALSE))</f>
        <v/>
      </c>
      <c r="AG159" s="129">
        <f>IF(ISNA(VLOOKUP(A159,'Grandchildren of Male Loyds'!$AQ$3:$AR$60,2,FALSE)),0,VLOOKUP(A159,'Grandchildren of Male Loyds'!$AQ$3:$AR$60,2,FALSE))+IF(ISNA(VLOOKUP(A159,'Grandchildren of Female Loyds'!$AX$5:$AY$50,2,FALSE)),0,VLOOKUP(A159,'Grandchildren of Female Loyds'!$AX$5:$AY$50,2,FALSE))+IF(ISNA(VLOOKUP(A159,'Grandchildren Loyd Daughters'!$BD$5:$BE$50,2,FALSE)),0,VLOOKUP(A159,'Grandchildren Loyd Daughters'!$BD$5:$BE$50,2,FALSE))</f>
        <v>0</v>
      </c>
      <c r="AH159" s="129" t="str">
        <f>VLOOKUP($U159,'Loyd List 1-190 - Edit'!$P$3:$AJ$220,21,FALSE)</f>
        <v>Rosemary (Rosie) STRAKER (b. 19 Jan 1945, )</v>
      </c>
      <c r="AI159" s="129" t="str">
        <f>VLOOKUP(A159,'Updated Bios &amp; Spouse Details'!$A$1:$J$200,7,FALSE)</f>
        <v>William H. S. SIMMONDS (b. 29 Nov 1974, )</v>
      </c>
      <c r="AJ159" s="130">
        <f>IF(VLOOKUP($A159,'Loyd List 1-190 - Edit'!$C$1:$AQ$220,'Book Details - NO EDIT'!AJ$1,FALSE)="","",(VLOOKUP($A159,'Loyd List 1-190 - Edit'!$C$1:$AQ$220,'Book Details - NO EDIT'!AJ$1,FALSE)))</f>
        <v>40761</v>
      </c>
      <c r="AK159" s="129" t="str">
        <f>VLOOKUP(A159,'Updated Bios &amp; Spouse Details'!$A$1:$J$200,8,FALSE)</f>
        <v xml:space="preserve"> William only son of Harry SIMMONDS of Oswaldkirk, North Yorshire.</v>
      </c>
      <c r="AL159" s="131" t="str">
        <f>VLOOKUP(A159,'Updated Bios &amp; Spouse Details'!$A$1:$J$200,5,FALSE)</f>
        <v>Tessa lives in Hayden Bridge, Hexham and is the eldest daughter of John (1938– : #114). Born 31 Jul 1975. Baptised 21 Sep 1975 at Stagshaw Chapel, Corbridge, Northumberland. Educated University of Northumbria (BA Business Studies) and RMA Sandhurst. Career:  Captain Royal Engineers. Retired SEO 2005. PA Consultancy 2005-2012. Issue: 1 son, 1 daughter.</v>
      </c>
      <c r="AM159" s="105" t="str">
        <f>IF(AND(LEN(H159)&gt;0,ISNA(IF(K159="Boy",VLOOKUP(A159,'Siblings of those BORN Loyd'!$AP$3:$AQ$70,2,FALSE),VLOOKUP(A159,'Children of Female Loyds'!$AR$5:$AS$60,2,FALSE)))),"d.s.p","")</f>
        <v/>
      </c>
      <c r="AN159" s="99" t="str">
        <f t="shared" si="68"/>
        <v>Michael (1938–: #114)</v>
      </c>
      <c r="AO159" s="99" t="str">
        <f t="shared" si="73"/>
        <v>Eric (1894–1963: #80)</v>
      </c>
      <c r="AP159" s="99" t="str">
        <f t="shared" si="74"/>
        <v>Arthur (1845–1930: #29)</v>
      </c>
      <c r="AQ159" s="99" t="str">
        <f t="shared" si="75"/>
        <v>Thomas (1812–1857: #14)</v>
      </c>
      <c r="AR159" s="99" t="str">
        <f t="shared" si="76"/>
        <v>William (1770–1828: #4)</v>
      </c>
      <c r="AS159" s="99" t="str">
        <f t="shared" si="77"/>
        <v>William (1729–1800: #1)</v>
      </c>
      <c r="AT159" s="99" t="str">
        <f t="shared" si="78"/>
        <v/>
      </c>
      <c r="AU159" s="99" t="str">
        <f t="shared" si="79"/>
        <v/>
      </c>
      <c r="AW159" s="116" t="str">
        <f>VLOOKUP(A159,'Updated Bios &amp; Spouse Details'!$A$1:$J$193,6,FALSE)</f>
        <v>England</v>
      </c>
      <c r="AX159" s="131">
        <f>VLOOKUP($A159,'Loyd List 1-190 - Edit'!$P$2:$AQ$220,AX$1,FALSE)</f>
        <v>157</v>
      </c>
      <c r="AY159" s="116" t="str">
        <f>IF(ISNA(VLOOKUP(A159,'Data check lookup table'!$G$2:$V$73,AY$1,FALSE))," - ",VLOOKUP(A159,'Data check lookup table'!$G$2:$V$73,AY$1,FALSE))</f>
        <v>mantlehill@aol.com</v>
      </c>
      <c r="AZ159" s="147" t="str">
        <f t="shared" si="69"/>
        <v/>
      </c>
      <c r="BA159" s="99" t="str">
        <f t="shared" si="70"/>
        <v>, William (1729–1800: #1)</v>
      </c>
      <c r="BB159" s="99" t="str">
        <f t="shared" si="71"/>
        <v/>
      </c>
      <c r="BI159" s="147" t="s">
        <v>3228</v>
      </c>
    </row>
    <row r="160" spans="1:61" s="99" customFormat="1" ht="68">
      <c r="A160" s="139">
        <f>'Loyd List 1-190 - Edit'!C160</f>
        <v>158</v>
      </c>
      <c r="B160" s="99" t="str">
        <f>VLOOKUP($A160,'Loyd List 1-190 - Edit'!$C$1:$AQ$220,'Book Details - NO EDIT'!B$1,FALSE)</f>
        <v>Chloe</v>
      </c>
      <c r="C160" s="99" t="str">
        <f>IF(VLOOKUP($A160,'Loyd List 1-190 - Edit'!$C$1:$AQ$220,'Book Details - NO EDIT'!C$1,FALSE)="","",VLOOKUP($A160,'Loyd List 1-190 - Edit'!$C$1:$AQ$220,'Book Details - NO EDIT'!C$1,FALSE))</f>
        <v>Victoria</v>
      </c>
      <c r="D160" s="99" t="str">
        <f>IF(VLOOKUP($A160,'Loyd List 1-190 - Edit'!$C$1:$AQ$220,'Book Details - NO EDIT'!D$1,FALSE)="","",VLOOKUP($A160,'Loyd List 1-190 - Edit'!$C$1:$AQ$220,'Book Details - NO EDIT'!D$1,FALSE))</f>
        <v/>
      </c>
      <c r="E160" s="99" t="str">
        <f>IF(VLOOKUP($A160,'Loyd List 1-190 - Edit'!$C$1:$AQ$220,'Book Details - NO EDIT'!E$1,FALSE)="","",VLOOKUP($A160,'Loyd List 1-190 - Edit'!$C$1:$AQ$220,'Book Details - NO EDIT'!E$1,FALSE))</f>
        <v>LOYD</v>
      </c>
      <c r="F160" s="99" t="str">
        <f>IF(VLOOKUP($A160,'Loyd List 1-190 - Edit'!$C$1:$AQ$220,'Book Details - NO EDIT'!F$1,FALSE)="",B160,VLOOKUP($A160,'Loyd List 1-190 - Edit'!$C$1:$AQ$220,'Book Details - NO EDIT'!F$1,FALSE))</f>
        <v>Chloe</v>
      </c>
      <c r="G160" s="140">
        <f>IF(VLOOKUP($A160,'Loyd List 1-190 - Edit'!$C$1:$AQ$220,'Book Details - NO EDIT'!G$1,FALSE)="","",VALUE(VLOOKUP($A160,'Loyd List 1-190 - Edit'!$C$1:$AQ$220,'Book Details - NO EDIT'!G$1,FALSE)))</f>
        <v>1977</v>
      </c>
      <c r="H160" s="140" t="str">
        <f>IF(VLOOKUP($A160,'Loyd List 1-190 - Edit'!$C$1:$AQ$220,'Book Details - NO EDIT'!H$1,FALSE)="","",VALUE(VLOOKUP($A160,'Loyd List 1-190 - Edit'!$C$1:$AQ$220,'Book Details - NO EDIT'!H$1,FALSE)))</f>
        <v/>
      </c>
      <c r="I160" s="141">
        <f>IF(VLOOKUP($A160,'Loyd List 1-190 - Edit'!$C$1:$AQ$220,'Book Details - NO EDIT'!I$1,FALSE)="","",(VLOOKUP($A160,'Loyd List 1-190 - Edit'!$C$1:$AQ$220,'Book Details - NO EDIT'!I$1,FALSE)))</f>
        <v>28368</v>
      </c>
      <c r="J160" s="141" t="str">
        <f>IF(VLOOKUP($A160,'Loyd List 1-190 - Edit'!$C$1:$AQ$220,'Book Details - NO EDIT'!J$1,FALSE)="","",(VLOOKUP($A160,'Loyd List 1-190 - Edit'!$C$1:$AQ$220,'Book Details - NO EDIT'!J$1,FALSE)))</f>
        <v/>
      </c>
      <c r="K160" s="100" t="str">
        <f>VLOOKUP($A160,'Loyd List 1-190 - Edit'!$C$1:$AQ$220,'Book Details - NO EDIT'!K$1,FALSE)</f>
        <v>Girl</v>
      </c>
      <c r="L160" s="140">
        <f>VLOOKUP($A160,'Loyd List 1-190 - Edit'!$C$1:$AQ$220,'Book Details - NO EDIT'!L$1,FALSE)</f>
        <v>114</v>
      </c>
      <c r="M160" s="140">
        <f t="shared" si="60"/>
        <v>80</v>
      </c>
      <c r="N160" s="140">
        <f t="shared" si="60"/>
        <v>29</v>
      </c>
      <c r="O160" s="140">
        <f t="shared" si="60"/>
        <v>14</v>
      </c>
      <c r="P160" s="140">
        <f t="shared" si="60"/>
        <v>4</v>
      </c>
      <c r="Q160" s="140">
        <f t="shared" si="80"/>
        <v>1</v>
      </c>
      <c r="R160" s="140">
        <f t="shared" si="61"/>
        <v>0</v>
      </c>
      <c r="S160" s="140" t="str">
        <f t="shared" si="62"/>
        <v/>
      </c>
      <c r="T160" s="140">
        <f t="shared" si="58"/>
        <v>6</v>
      </c>
      <c r="U160" s="139">
        <f t="shared" si="63"/>
        <v>158</v>
      </c>
      <c r="V160" s="31" t="str">
        <f t="shared" si="64"/>
        <v>Chloe (1977–)</v>
      </c>
      <c r="W160" s="31" t="str">
        <f t="shared" si="65"/>
        <v>Chloe (#158)</v>
      </c>
      <c r="X160" s="99" t="str">
        <f t="shared" si="66"/>
        <v>Chloe (1977–: #158)</v>
      </c>
      <c r="Y160" s="99" t="str">
        <f t="shared" si="59"/>
        <v>Chloe Victoria LOYD</v>
      </c>
      <c r="Z160" s="99" t="str">
        <f t="shared" si="67"/>
        <v>Michael (1938–: #114)</v>
      </c>
      <c r="AA160" s="99" t="str">
        <f t="shared" si="72"/>
        <v xml:space="preserve">Michael (1938–: #114) Eric (1894–1963: #80) Arthur (1845–1930: #29) Thomas (1812–1857: #14) William (1770–1828: #4) William (1729–1800: #1)  </v>
      </c>
      <c r="AB160" s="142" t="str">
        <f>VLOOKUP(U160,'Siblings of those BORN Loyd'!$A$2:$G$230,7,FALSE)</f>
        <v xml:space="preserve">2 – Tess (1975–: #157)  Daisy (1979–: #159)      </v>
      </c>
      <c r="AC160" s="115" t="str">
        <f>IF(ISNA(IF(K160="Boy",VLOOKUP(A160,'Siblings of those BORN Loyd'!$AP$3:$AQ$70,2,FALSE),VLOOKUP(A160,'Children of Female Loyds'!$AR$5:$AT$60,3,FALSE))),AM160,IF(K160="Boy",VLOOKUP(A160,'Siblings of those BORN Loyd'!$AP$3:$AQ$70,2,FALSE),VLOOKUP(A160,'Children of Female Loyds'!$AR$5:$AT$60,3,FALSE)))</f>
        <v xml:space="preserve">1 - Theodore KYLE (2010 - : #158a)       </v>
      </c>
      <c r="AD160" s="97" t="str">
        <f t="shared" si="81"/>
        <v>-</v>
      </c>
      <c r="AE160" s="105" t="str">
        <f>IF(ISNA(IF(K160="Boy",VLOOKUP(A160,'Grandchildren of Male Loyds'!$AQ$3:$AS$51,3,FALSE),VLOOKUP(A160,'Grandchildren of Female Loyds'!$AX$5:$AZ$63,3,FALSE))),AM160,IF(K160="Boy",VLOOKUP(A160,'Grandchildren of Male Loyds'!$AQ$3:$AS$51,3,FALSE),VLOOKUP(A160,'Grandchildren of Female Loyds'!$AX$5:$AZ$63,3,FALSE)))</f>
        <v/>
      </c>
      <c r="AF160" s="105" t="str">
        <f>IF(ISNA(VLOOKUP(A160,'Grandchildren Loyd Daughters'!$BD$5:$BF$50,4,FALSE)),"",VLOOKUP(A160,'Grandchildren Loyd Daughters'!$BD$5:$BF$50,3,FALSE))</f>
        <v/>
      </c>
      <c r="AG160" s="129">
        <f>IF(ISNA(VLOOKUP(A160,'Grandchildren of Male Loyds'!$AQ$3:$AR$60,2,FALSE)),0,VLOOKUP(A160,'Grandchildren of Male Loyds'!$AQ$3:$AR$60,2,FALSE))+IF(ISNA(VLOOKUP(A160,'Grandchildren of Female Loyds'!$AX$5:$AY$50,2,FALSE)),0,VLOOKUP(A160,'Grandchildren of Female Loyds'!$AX$5:$AY$50,2,FALSE))+IF(ISNA(VLOOKUP(A160,'Grandchildren Loyd Daughters'!$BD$5:$BE$50,2,FALSE)),0,VLOOKUP(A160,'Grandchildren Loyd Daughters'!$BD$5:$BE$50,2,FALSE))</f>
        <v>0</v>
      </c>
      <c r="AH160" s="129" t="str">
        <f>VLOOKUP($U160,'Loyd List 1-190 - Edit'!$P$3:$AJ$220,21,FALSE)</f>
        <v>Rosemary (Rosie) STRAKER (b. 19 Jan 1945, )</v>
      </c>
      <c r="AI160" s="129" t="str">
        <f>VLOOKUP(A160,'Updated Bios &amp; Spouse Details'!$A$1:$J$200,7,FALSE)</f>
        <v>Timothy KYLE (b. 9 Oct 1973, )</v>
      </c>
      <c r="AJ160" s="130">
        <f>IF(VLOOKUP($A160,'Loyd List 1-190 - Edit'!$C$1:$AQ$220,'Book Details - NO EDIT'!AJ$1,FALSE)="","",(VLOOKUP($A160,'Loyd List 1-190 - Edit'!$C$1:$AQ$220,'Book Details - NO EDIT'!AJ$1,FALSE)))</f>
        <v>39599</v>
      </c>
      <c r="AK160" s="129" t="str">
        <f>VLOOKUP(A160,'Updated Bios &amp; Spouse Details'!$A$1:$J$200,8,FALSE)</f>
        <v>Married Timothy at Stagshaw Chapel, Corbridge, Northumberland, eldest son of Air Vice Marshall RICKARD, of Pursers Place, Marefield, East Sussex.</v>
      </c>
      <c r="AL160" s="131" t="str">
        <f>VLOOKUP(A160,'Updated Bios &amp; Spouse Details'!$A$1:$J$200,5,FALSE)</f>
        <v>Chloe lives in Sussex and is the 2nd daughter of John (1938– : #114). Born 31 Aug 1977. Baptised 19 Sep 1977 at Stagshaw Chapel, Corbridge, Northumberland. Educated: Edinburgh University (MA Hon Geography). Issue: 1 daughter.</v>
      </c>
      <c r="AM160" s="105" t="str">
        <f>IF(AND(LEN(H160)&gt;0,ISNA(IF(K160="Boy",VLOOKUP(A160,'Siblings of those BORN Loyd'!$AP$3:$AQ$70,2,FALSE),VLOOKUP(A160,'Children of Female Loyds'!$AR$5:$AS$60,2,FALSE)))),"d.s.p","")</f>
        <v/>
      </c>
      <c r="AN160" s="99" t="str">
        <f t="shared" si="68"/>
        <v>Michael (1938–: #114)</v>
      </c>
      <c r="AO160" s="99" t="str">
        <f t="shared" si="73"/>
        <v>Eric (1894–1963: #80)</v>
      </c>
      <c r="AP160" s="99" t="str">
        <f t="shared" si="74"/>
        <v>Arthur (1845–1930: #29)</v>
      </c>
      <c r="AQ160" s="99" t="str">
        <f t="shared" si="75"/>
        <v>Thomas (1812–1857: #14)</v>
      </c>
      <c r="AR160" s="99" t="str">
        <f t="shared" si="76"/>
        <v>William (1770–1828: #4)</v>
      </c>
      <c r="AS160" s="99" t="str">
        <f t="shared" si="77"/>
        <v>William (1729–1800: #1)</v>
      </c>
      <c r="AT160" s="99" t="str">
        <f t="shared" si="78"/>
        <v/>
      </c>
      <c r="AU160" s="99" t="str">
        <f t="shared" si="79"/>
        <v/>
      </c>
      <c r="AW160" s="116" t="str">
        <f>VLOOKUP(A160,'Updated Bios &amp; Spouse Details'!$A$1:$J$193,6,FALSE)</f>
        <v>England</v>
      </c>
      <c r="AX160" s="131">
        <f>VLOOKUP($A160,'Loyd List 1-190 - Edit'!$P$2:$AQ$220,AX$1,FALSE)</f>
        <v>158</v>
      </c>
      <c r="AY160" s="116" t="str">
        <f>IF(ISNA(VLOOKUP(A160,'Data check lookup table'!$G$2:$V$73,AY$1,FALSE))," - ",VLOOKUP(A160,'Data check lookup table'!$G$2:$V$73,AY$1,FALSE))</f>
        <v>mantlehill@aol.com</v>
      </c>
      <c r="AZ160" s="147" t="str">
        <f t="shared" si="69"/>
        <v/>
      </c>
      <c r="BA160" s="99" t="str">
        <f t="shared" si="70"/>
        <v>, William (1729–1800: #1)</v>
      </c>
      <c r="BB160" s="99" t="str">
        <f t="shared" si="71"/>
        <v/>
      </c>
      <c r="BI160" s="147" t="s">
        <v>3228</v>
      </c>
    </row>
    <row r="161" spans="1:61" s="99" customFormat="1" ht="51">
      <c r="A161" s="139">
        <f>'Loyd List 1-190 - Edit'!C161</f>
        <v>159</v>
      </c>
      <c r="B161" s="99" t="str">
        <f>VLOOKUP($A161,'Loyd List 1-190 - Edit'!$C$1:$AQ$220,'Book Details - NO EDIT'!B$1,FALSE)</f>
        <v>Daisy</v>
      </c>
      <c r="C161" s="99" t="str">
        <f>IF(VLOOKUP($A161,'Loyd List 1-190 - Edit'!$C$1:$AQ$220,'Book Details - NO EDIT'!C$1,FALSE)="","",VLOOKUP($A161,'Loyd List 1-190 - Edit'!$C$1:$AQ$220,'Book Details - NO EDIT'!C$1,FALSE))</f>
        <v>Anne</v>
      </c>
      <c r="D161" s="99" t="str">
        <f>IF(VLOOKUP($A161,'Loyd List 1-190 - Edit'!$C$1:$AQ$220,'Book Details - NO EDIT'!D$1,FALSE)="","",VLOOKUP($A161,'Loyd List 1-190 - Edit'!$C$1:$AQ$220,'Book Details - NO EDIT'!D$1,FALSE))</f>
        <v/>
      </c>
      <c r="E161" s="99" t="str">
        <f>IF(VLOOKUP($A161,'Loyd List 1-190 - Edit'!$C$1:$AQ$220,'Book Details - NO EDIT'!E$1,FALSE)="","",VLOOKUP($A161,'Loyd List 1-190 - Edit'!$C$1:$AQ$220,'Book Details - NO EDIT'!E$1,FALSE))</f>
        <v>LOYD</v>
      </c>
      <c r="F161" s="99" t="str">
        <f>IF(VLOOKUP($A161,'Loyd List 1-190 - Edit'!$C$1:$AQ$220,'Book Details - NO EDIT'!F$1,FALSE)="",B161,VLOOKUP($A161,'Loyd List 1-190 - Edit'!$C$1:$AQ$220,'Book Details - NO EDIT'!F$1,FALSE))</f>
        <v>Daisy</v>
      </c>
      <c r="G161" s="140">
        <f>IF(VLOOKUP($A161,'Loyd List 1-190 - Edit'!$C$1:$AQ$220,'Book Details - NO EDIT'!G$1,FALSE)="","",VALUE(VLOOKUP($A161,'Loyd List 1-190 - Edit'!$C$1:$AQ$220,'Book Details - NO EDIT'!G$1,FALSE)))</f>
        <v>1979</v>
      </c>
      <c r="H161" s="140" t="str">
        <f>IF(VLOOKUP($A161,'Loyd List 1-190 - Edit'!$C$1:$AQ$220,'Book Details - NO EDIT'!H$1,FALSE)="","",VALUE(VLOOKUP($A161,'Loyd List 1-190 - Edit'!$C$1:$AQ$220,'Book Details - NO EDIT'!H$1,FALSE)))</f>
        <v/>
      </c>
      <c r="I161" s="141">
        <f>IF(VLOOKUP($A161,'Loyd List 1-190 - Edit'!$C$1:$AQ$220,'Book Details - NO EDIT'!I$1,FALSE)="","",(VLOOKUP($A161,'Loyd List 1-190 - Edit'!$C$1:$AQ$220,'Book Details - NO EDIT'!I$1,FALSE)))</f>
        <v>29086</v>
      </c>
      <c r="J161" s="141" t="str">
        <f>IF(VLOOKUP($A161,'Loyd List 1-190 - Edit'!$C$1:$AQ$220,'Book Details - NO EDIT'!J$1,FALSE)="","",(VLOOKUP($A161,'Loyd List 1-190 - Edit'!$C$1:$AQ$220,'Book Details - NO EDIT'!J$1,FALSE)))</f>
        <v/>
      </c>
      <c r="K161" s="100" t="str">
        <f>VLOOKUP($A161,'Loyd List 1-190 - Edit'!$C$1:$AQ$220,'Book Details - NO EDIT'!K$1,FALSE)</f>
        <v>Girl</v>
      </c>
      <c r="L161" s="140">
        <f>VLOOKUP($A161,'Loyd List 1-190 - Edit'!$C$1:$AQ$220,'Book Details - NO EDIT'!L$1,FALSE)</f>
        <v>114</v>
      </c>
      <c r="M161" s="140">
        <f t="shared" si="60"/>
        <v>80</v>
      </c>
      <c r="N161" s="140">
        <f t="shared" si="60"/>
        <v>29</v>
      </c>
      <c r="O161" s="140">
        <f t="shared" si="60"/>
        <v>14</v>
      </c>
      <c r="P161" s="140">
        <f t="shared" si="60"/>
        <v>4</v>
      </c>
      <c r="Q161" s="140">
        <f t="shared" si="80"/>
        <v>1</v>
      </c>
      <c r="R161" s="140">
        <f t="shared" si="61"/>
        <v>0</v>
      </c>
      <c r="S161" s="140" t="str">
        <f t="shared" si="62"/>
        <v/>
      </c>
      <c r="T161" s="140">
        <f t="shared" si="58"/>
        <v>6</v>
      </c>
      <c r="U161" s="139">
        <f t="shared" si="63"/>
        <v>159</v>
      </c>
      <c r="V161" s="31" t="str">
        <f t="shared" si="64"/>
        <v>Daisy (1979–)</v>
      </c>
      <c r="W161" s="31" t="str">
        <f t="shared" si="65"/>
        <v>Daisy (#159)</v>
      </c>
      <c r="X161" s="99" t="str">
        <f t="shared" si="66"/>
        <v>Daisy (1979–: #159)</v>
      </c>
      <c r="Y161" s="99" t="str">
        <f t="shared" si="59"/>
        <v>Daisy Anne LOYD</v>
      </c>
      <c r="Z161" s="99" t="str">
        <f t="shared" si="67"/>
        <v>Michael (1938–: #114)</v>
      </c>
      <c r="AA161" s="99" t="str">
        <f t="shared" si="72"/>
        <v xml:space="preserve">Michael (1938–: #114) Eric (1894–1963: #80) Arthur (1845–1930: #29) Thomas (1812–1857: #14) William (1770–1828: #4) William (1729–1800: #1)  </v>
      </c>
      <c r="AB161" s="142" t="str">
        <f>VLOOKUP(U161,'Siblings of those BORN Loyd'!$A$2:$G$230,7,FALSE)</f>
        <v xml:space="preserve">2 – Tess (1975–: #157) Chloe (1977–: #158)       </v>
      </c>
      <c r="AC161" s="115" t="str">
        <f>IF(ISNA(IF(K161="Boy",VLOOKUP(A161,'Siblings of those BORN Loyd'!$AP$3:$AQ$70,2,FALSE),VLOOKUP(A161,'Children of Female Loyds'!$AR$5:$AT$60,3,FALSE))),AM161,IF(K161="Boy",VLOOKUP(A161,'Siblings of those BORN Loyd'!$AP$3:$AQ$70,2,FALSE),VLOOKUP(A161,'Children of Female Loyds'!$AR$5:$AT$60,3,FALSE)))</f>
        <v xml:space="preserve">2 - Thomas GARDENER (2010 - : #159a) Alice GARDENER (2013 - : #159b)      </v>
      </c>
      <c r="AD161" s="97" t="str">
        <f t="shared" si="81"/>
        <v>-</v>
      </c>
      <c r="AE161" s="105" t="str">
        <f>IF(ISNA(IF(K161="Boy",VLOOKUP(A161,'Grandchildren of Male Loyds'!$AQ$3:$AS$51,3,FALSE),VLOOKUP(A161,'Grandchildren of Female Loyds'!$AX$5:$AZ$63,3,FALSE))),AM161,IF(K161="Boy",VLOOKUP(A161,'Grandchildren of Male Loyds'!$AQ$3:$AS$51,3,FALSE),VLOOKUP(A161,'Grandchildren of Female Loyds'!$AX$5:$AZ$63,3,FALSE)))</f>
        <v/>
      </c>
      <c r="AF161" s="105" t="str">
        <f>IF(ISNA(VLOOKUP(A161,'Grandchildren Loyd Daughters'!$BD$5:$BF$50,4,FALSE)),"",VLOOKUP(A161,'Grandchildren Loyd Daughters'!$BD$5:$BF$50,3,FALSE))</f>
        <v/>
      </c>
      <c r="AG161" s="129">
        <f>IF(ISNA(VLOOKUP(A161,'Grandchildren of Male Loyds'!$AQ$3:$AR$60,2,FALSE)),0,VLOOKUP(A161,'Grandchildren of Male Loyds'!$AQ$3:$AR$60,2,FALSE))+IF(ISNA(VLOOKUP(A161,'Grandchildren of Female Loyds'!$AX$5:$AY$50,2,FALSE)),0,VLOOKUP(A161,'Grandchildren of Female Loyds'!$AX$5:$AY$50,2,FALSE))+IF(ISNA(VLOOKUP(A161,'Grandchildren Loyd Daughters'!$BD$5:$BE$50,2,FALSE)),0,VLOOKUP(A161,'Grandchildren Loyd Daughters'!$BD$5:$BE$50,2,FALSE))</f>
        <v>0</v>
      </c>
      <c r="AH161" s="129" t="str">
        <f>VLOOKUP($U161,'Loyd List 1-190 - Edit'!$P$3:$AJ$220,21,FALSE)</f>
        <v>Rosemary (Rosie) STRAKER (b. 19 Jan 1945, )</v>
      </c>
      <c r="AI161" s="129" t="str">
        <f>VLOOKUP(A161,'Updated Bios &amp; Spouse Details'!$A$1:$J$200,7,FALSE)</f>
        <v>Robert GARDENER (b. 25 Oct 1978, )</v>
      </c>
      <c r="AJ161" s="130">
        <f>IF(VLOOKUP($A161,'Loyd List 1-190 - Edit'!$C$1:$AQ$220,'Book Details - NO EDIT'!AJ$1,FALSE)="","",(VLOOKUP($A161,'Loyd List 1-190 - Edit'!$C$1:$AQ$220,'Book Details - NO EDIT'!AJ$1,FALSE)))</f>
        <v>39424</v>
      </c>
      <c r="AK161" s="129" t="str">
        <f>VLOOKUP(A161,'Updated Bios &amp; Spouse Details'!$A$1:$J$200,8,FALSE)</f>
        <v>Robert youngest son of Nichoasl GARDENER of North Allerton, N. Yorkshire.</v>
      </c>
      <c r="AL161" s="131" t="str">
        <f>VLOOKUP(A161,'Updated Bios &amp; Spouse Details'!$A$1:$J$200,5,FALSE)</f>
        <v>Daisy lives in Langley-on-Tyne, Hexham and is the 3rd and youngest daughter of John (1938– : #114). Born 19 Aug 1979. Baptised 9 Sep 1979 at Stagshaw Chapel, Corbridge, Northumberland. Education:  Worcester College, Oxford (MA 2000); RADA; Kings College, London (MA 2005); UCL Instiitute of Education (PhD, 2011). Career: Lecturer Higher Colleges of Technology, Abu Dhabi 2011-2014; Lecturer UCL Institute of Education and Goldsmiths University of London from 2005.  Issue: 1 son, 1 daughter.</v>
      </c>
      <c r="AM161" s="105" t="str">
        <f>IF(AND(LEN(H161)&gt;0,ISNA(IF(K161="Boy",VLOOKUP(A161,'Siblings of those BORN Loyd'!$AP$3:$AQ$70,2,FALSE),VLOOKUP(A161,'Children of Female Loyds'!$AR$5:$AS$60,2,FALSE)))),"d.s.p","")</f>
        <v/>
      </c>
      <c r="AN161" s="99" t="str">
        <f t="shared" si="68"/>
        <v>Michael (1938–: #114)</v>
      </c>
      <c r="AO161" s="99" t="str">
        <f t="shared" si="73"/>
        <v>Eric (1894–1963: #80)</v>
      </c>
      <c r="AP161" s="99" t="str">
        <f t="shared" si="74"/>
        <v>Arthur (1845–1930: #29)</v>
      </c>
      <c r="AQ161" s="99" t="str">
        <f t="shared" si="75"/>
        <v>Thomas (1812–1857: #14)</v>
      </c>
      <c r="AR161" s="99" t="str">
        <f t="shared" si="76"/>
        <v>William (1770–1828: #4)</v>
      </c>
      <c r="AS161" s="99" t="str">
        <f t="shared" si="77"/>
        <v>William (1729–1800: #1)</v>
      </c>
      <c r="AT161" s="99" t="str">
        <f t="shared" si="78"/>
        <v/>
      </c>
      <c r="AU161" s="99" t="str">
        <f t="shared" si="79"/>
        <v/>
      </c>
      <c r="AW161" s="116" t="str">
        <f>VLOOKUP(A161,'Updated Bios &amp; Spouse Details'!$A$1:$J$193,6,FALSE)</f>
        <v>England</v>
      </c>
      <c r="AX161" s="131">
        <f>VLOOKUP($A161,'Loyd List 1-190 - Edit'!$P$2:$AQ$220,AX$1,FALSE)</f>
        <v>159</v>
      </c>
      <c r="AY161" s="116" t="str">
        <f>IF(ISNA(VLOOKUP(A161,'Data check lookup table'!$G$2:$V$73,AY$1,FALSE))," - ",VLOOKUP(A161,'Data check lookup table'!$G$2:$V$73,AY$1,FALSE))</f>
        <v>mantlehill@aol.com</v>
      </c>
      <c r="AZ161" s="147" t="str">
        <f t="shared" si="69"/>
        <v/>
      </c>
      <c r="BA161" s="99" t="str">
        <f t="shared" si="70"/>
        <v>, William (1729–1800: #1)</v>
      </c>
      <c r="BB161" s="99" t="str">
        <f t="shared" si="71"/>
        <v/>
      </c>
      <c r="BI161" s="147" t="s">
        <v>3228</v>
      </c>
    </row>
    <row r="162" spans="1:61" s="99" customFormat="1" ht="102">
      <c r="A162" s="139">
        <f>'Loyd List 1-190 - Edit'!C162</f>
        <v>160</v>
      </c>
      <c r="B162" s="99" t="str">
        <f>VLOOKUP($A162,'Loyd List 1-190 - Edit'!$C$1:$AQ$220,'Book Details - NO EDIT'!B$1,FALSE)</f>
        <v>John</v>
      </c>
      <c r="C162" s="99" t="str">
        <f>IF(VLOOKUP($A162,'Loyd List 1-190 - Edit'!$C$1:$AQ$220,'Book Details - NO EDIT'!C$1,FALSE)="","",VLOOKUP($A162,'Loyd List 1-190 - Edit'!$C$1:$AQ$220,'Book Details - NO EDIT'!C$1,FALSE))</f>
        <v>Stewart</v>
      </c>
      <c r="D162" s="99" t="str">
        <f>IF(VLOOKUP($A162,'Loyd List 1-190 - Edit'!$C$1:$AQ$220,'Book Details - NO EDIT'!D$1,FALSE)="","",VLOOKUP($A162,'Loyd List 1-190 - Edit'!$C$1:$AQ$220,'Book Details - NO EDIT'!D$1,FALSE))</f>
        <v/>
      </c>
      <c r="E162" s="99" t="str">
        <f>IF(VLOOKUP($A162,'Loyd List 1-190 - Edit'!$C$1:$AQ$220,'Book Details - NO EDIT'!E$1,FALSE)="","",VLOOKUP($A162,'Loyd List 1-190 - Edit'!$C$1:$AQ$220,'Book Details - NO EDIT'!E$1,FALSE))</f>
        <v>LOYD</v>
      </c>
      <c r="F162" s="99" t="str">
        <f>IF(VLOOKUP($A162,'Loyd List 1-190 - Edit'!$C$1:$AQ$220,'Book Details - NO EDIT'!F$1,FALSE)="",B162,VLOOKUP($A162,'Loyd List 1-190 - Edit'!$C$1:$AQ$220,'Book Details - NO EDIT'!F$1,FALSE))</f>
        <v>John</v>
      </c>
      <c r="G162" s="140">
        <f>IF(VLOOKUP($A162,'Loyd List 1-190 - Edit'!$C$1:$AQ$220,'Book Details - NO EDIT'!G$1,FALSE)="","",VALUE(VLOOKUP($A162,'Loyd List 1-190 - Edit'!$C$1:$AQ$220,'Book Details - NO EDIT'!G$1,FALSE)))</f>
        <v>1982</v>
      </c>
      <c r="H162" s="140" t="str">
        <f>IF(VLOOKUP($A162,'Loyd List 1-190 - Edit'!$C$1:$AQ$220,'Book Details - NO EDIT'!H$1,FALSE)="","",VALUE(VLOOKUP($A162,'Loyd List 1-190 - Edit'!$C$1:$AQ$220,'Book Details - NO EDIT'!H$1,FALSE)))</f>
        <v/>
      </c>
      <c r="I162" s="141">
        <f>IF(VLOOKUP($A162,'Loyd List 1-190 - Edit'!$C$1:$AQ$220,'Book Details - NO EDIT'!I$1,FALSE)="","",(VLOOKUP($A162,'Loyd List 1-190 - Edit'!$C$1:$AQ$220,'Book Details - NO EDIT'!I$1,FALSE)))</f>
        <v>29969</v>
      </c>
      <c r="J162" s="141" t="str">
        <f>IF(VLOOKUP($A162,'Loyd List 1-190 - Edit'!$C$1:$AQ$220,'Book Details - NO EDIT'!J$1,FALSE)="","",(VLOOKUP($A162,'Loyd List 1-190 - Edit'!$C$1:$AQ$220,'Book Details - NO EDIT'!J$1,FALSE)))</f>
        <v/>
      </c>
      <c r="K162" s="100" t="str">
        <f>VLOOKUP($A162,'Loyd List 1-190 - Edit'!$C$1:$AQ$220,'Book Details - NO EDIT'!K$1,FALSE)</f>
        <v>Boy</v>
      </c>
      <c r="L162" s="140">
        <f>VLOOKUP($A162,'Loyd List 1-190 - Edit'!$C$1:$AQ$220,'Book Details - NO EDIT'!L$1,FALSE)</f>
        <v>131</v>
      </c>
      <c r="M162" s="140">
        <f t="shared" si="60"/>
        <v>94</v>
      </c>
      <c r="N162" s="140">
        <f t="shared" si="60"/>
        <v>68</v>
      </c>
      <c r="O162" s="140">
        <f t="shared" si="60"/>
        <v>45</v>
      </c>
      <c r="P162" s="140">
        <f t="shared" si="60"/>
        <v>22</v>
      </c>
      <c r="Q162" s="140">
        <f t="shared" si="80"/>
        <v>8</v>
      </c>
      <c r="R162" s="140">
        <f t="shared" si="61"/>
        <v>1</v>
      </c>
      <c r="S162" s="140">
        <f t="shared" si="62"/>
        <v>0</v>
      </c>
      <c r="T162" s="140">
        <f t="shared" si="58"/>
        <v>7</v>
      </c>
      <c r="U162" s="139">
        <f t="shared" si="63"/>
        <v>160</v>
      </c>
      <c r="V162" s="31" t="str">
        <f t="shared" si="64"/>
        <v>John (1982–)</v>
      </c>
      <c r="W162" s="31" t="str">
        <f t="shared" si="65"/>
        <v>John (#160)</v>
      </c>
      <c r="X162" s="99" t="str">
        <f t="shared" si="66"/>
        <v>John (1982–: #160)</v>
      </c>
      <c r="Y162" s="99" t="str">
        <f t="shared" si="59"/>
        <v>John Stewart LOYD</v>
      </c>
      <c r="Z162" s="99" t="str">
        <f t="shared" si="67"/>
        <v>Dominic (1953–: #131)</v>
      </c>
      <c r="AA162" s="99" t="str">
        <f t="shared" si="72"/>
        <v xml:space="preserve">Dominic (1953–: #131) Alwyne (1920–2014: #94) Cecil (1890–1963: #68) Llewellyn (1861–1939: #45) Edward (1820–1890: #22) Edward (1780–1863: #8) William (1729–1800: #1) </v>
      </c>
      <c r="AB162" s="142" t="str">
        <f>VLOOKUP(U162,'Siblings of those BORN Loyd'!$A$2:$G$230,7,FALSE)</f>
        <v xml:space="preserve">2 – David (1984–: #162) Ben (1988–: #167)      </v>
      </c>
      <c r="AC162" s="115" t="str">
        <f>IF(ISNA(IF(K162="Boy",VLOOKUP(A162,'Siblings of those BORN Loyd'!$AP$3:$AQ$70,2,FALSE),VLOOKUP(A162,'Children of Female Loyds'!$AR$5:$AT$60,3,FALSE))),AM162,IF(K162="Boy",VLOOKUP(A162,'Siblings of those BORN Loyd'!$AP$3:$AQ$70,2,FALSE),VLOOKUP(A162,'Children of Female Loyds'!$AR$5:$AT$60,3,FALSE)))</f>
        <v/>
      </c>
      <c r="AD162" s="97" t="str">
        <f t="shared" si="81"/>
        <v>-</v>
      </c>
      <c r="AE162" s="105" t="str">
        <f>IF(ISNA(IF(K162="Boy",VLOOKUP(A162,'Grandchildren of Male Loyds'!$AQ$3:$AS$51,3,FALSE),VLOOKUP(A162,'Grandchildren of Female Loyds'!$AX$5:$AZ$63,3,FALSE))),AM162,IF(K162="Boy",VLOOKUP(A162,'Grandchildren of Male Loyds'!$AQ$3:$AS$51,3,FALSE),VLOOKUP(A162,'Grandchildren of Female Loyds'!$AX$5:$AZ$63,3,FALSE)))</f>
        <v/>
      </c>
      <c r="AF162" s="105" t="str">
        <f>IF(ISNA(VLOOKUP(A162,'Grandchildren Loyd Daughters'!$BD$5:$BF$50,4,FALSE)),"",VLOOKUP(A162,'Grandchildren Loyd Daughters'!$BD$5:$BF$50,3,FALSE))</f>
        <v/>
      </c>
      <c r="AG162" s="129">
        <f>IF(ISNA(VLOOKUP(A162,'Grandchildren of Male Loyds'!$AQ$3:$AR$60,2,FALSE)),0,VLOOKUP(A162,'Grandchildren of Male Loyds'!$AQ$3:$AR$60,2,FALSE))+IF(ISNA(VLOOKUP(A162,'Grandchildren of Female Loyds'!$AX$5:$AY$50,2,FALSE)),0,VLOOKUP(A162,'Grandchildren of Female Loyds'!$AX$5:$AY$50,2,FALSE))+IF(ISNA(VLOOKUP(A162,'Grandchildren Loyd Daughters'!$BD$5:$BE$50,2,FALSE)),0,VLOOKUP(A162,'Grandchildren Loyd Daughters'!$BD$5:$BE$50,2,FALSE))</f>
        <v>0</v>
      </c>
      <c r="AH162" s="129" t="str">
        <f>VLOOKUP($U162,'Loyd List 1-190 - Edit'!$P$3:$AJ$220,21,FALSE)</f>
        <v>Karina Lesley BOYCE (b. 22 Apr 1954, )</v>
      </c>
      <c r="AI162" s="129" t="str">
        <f>VLOOKUP(A162,'Updated Bios &amp; Spouse Details'!$A$1:$J$200,7,FALSE)</f>
        <v>-</v>
      </c>
      <c r="AJ162" s="130" t="str">
        <f>IF(VLOOKUP($A162,'Loyd List 1-190 - Edit'!$C$1:$AQ$220,'Book Details - NO EDIT'!AJ$1,FALSE)="","",(VLOOKUP($A162,'Loyd List 1-190 - Edit'!$C$1:$AQ$220,'Book Details - NO EDIT'!AJ$1,FALSE)))</f>
        <v/>
      </c>
      <c r="AK162" s="129" t="str">
        <f>VLOOKUP(A162,'Updated Bios &amp; Spouse Details'!$A$1:$J$200,8,FALSE)</f>
        <v xml:space="preserve"> -</v>
      </c>
      <c r="AL162" s="131" t="str">
        <f>VLOOKUP(A162,'Updated Bios &amp; Spouse Details'!$A$1:$J$200,5,FALSE)</f>
        <v>John lives in Lausanne, Switzerland, previously of Paris, France and is the eldest son of Dominic (1953– : #131). Born 18 Jan 1982 at St Peter’s Hospital, Chertsey, Surrey. Baptised 18 Apr 1982 at St Andrew’s, Goldsworth Park, Woking, Surrey in the local school. Education:  Boston Grammar, England 1993-2000; University of Warwick (BSc Hons Mathematics-Operational Research-Statistics-Economics [with Intercalated year] 2000-2004) Paris1 Panthéon-Sorbonne, France [Erasmus exchange programme 2002-2003). Career: Chartered Accountant (ACA Institute of Chartered Accountants in England and Wales 2008, Certified Internal Auditor 2015, Certified Fraud Examiner 2021. Duke of Edinburgh Gold Award 2002, Freeman of the City of London and  Freeman of Goldsmiths’ Company 2003. Employment: Chartered Accountants Paris, France 2004-09, OECD Paris, France 2011-17, HSBC Paris, France 2018-20, UEFA Nyon, Switzerland 2020 – . Interests: sports, languages, travel.</v>
      </c>
      <c r="AM162" s="105" t="str">
        <f>IF(AND(LEN(H162)&gt;0,ISNA(IF(K162="Boy",VLOOKUP(A162,'Siblings of those BORN Loyd'!$AP$3:$AQ$70,2,FALSE),VLOOKUP(A162,'Children of Female Loyds'!$AR$5:$AS$60,2,FALSE)))),"d.s.p","")</f>
        <v/>
      </c>
      <c r="AN162" s="99" t="str">
        <f t="shared" si="68"/>
        <v>Dominic (1953–: #131)</v>
      </c>
      <c r="AO162" s="99" t="str">
        <f t="shared" si="73"/>
        <v>Alwyne (1920–2014: #94)</v>
      </c>
      <c r="AP162" s="99" t="str">
        <f t="shared" si="74"/>
        <v>Cecil (1890–1963: #68)</v>
      </c>
      <c r="AQ162" s="99" t="str">
        <f t="shared" si="75"/>
        <v>Llewellyn (1861–1939: #45)</v>
      </c>
      <c r="AR162" s="99" t="str">
        <f t="shared" si="76"/>
        <v>Edward (1820–1890: #22)</v>
      </c>
      <c r="AS162" s="99" t="str">
        <f t="shared" si="77"/>
        <v>Edward (1780–1863: #8)</v>
      </c>
      <c r="AT162" s="99" t="str">
        <f t="shared" si="78"/>
        <v>William (1729–1800: #1)</v>
      </c>
      <c r="AU162" s="99" t="str">
        <f t="shared" si="79"/>
        <v/>
      </c>
      <c r="AW162" s="116" t="str">
        <f>VLOOKUP(A162,'Updated Bios &amp; Spouse Details'!$A$1:$J$193,6,FALSE)</f>
        <v>England, France &amp; Switzerland</v>
      </c>
      <c r="AX162" s="131">
        <f>VLOOKUP($A162,'Loyd List 1-190 - Edit'!$P$2:$AQ$220,AX$1,FALSE)</f>
        <v>160</v>
      </c>
      <c r="AY162" s="116" t="str">
        <f>IF(ISNA(VLOOKUP(A162,'Data check lookup table'!$G$2:$V$73,AY$1,FALSE))," - ",VLOOKUP(A162,'Data check lookup table'!$G$2:$V$73,AY$1,FALSE))</f>
        <v>johnloyd@hotmail.com</v>
      </c>
      <c r="AZ162" s="147" t="str">
        <f t="shared" si="69"/>
        <v/>
      </c>
      <c r="BA162" s="99" t="str">
        <f t="shared" si="70"/>
        <v>, Edward (1780–1863: #8)</v>
      </c>
      <c r="BB162" s="99" t="str">
        <f t="shared" ref="BB162:BC184" si="82">(IF(OR(R162=0,LEN(R162)=0),"",_xlfn.CONCAT("; ",VLOOKUP(R162,$U$3:$X$230,4,FALSE))))</f>
        <v>; William (1729–1800: #1)</v>
      </c>
      <c r="BI162" s="147" t="s">
        <v>3228</v>
      </c>
    </row>
    <row r="163" spans="1:61" s="99" customFormat="1" ht="34">
      <c r="A163" s="139">
        <f>'Loyd List 1-190 - Edit'!C163</f>
        <v>161</v>
      </c>
      <c r="B163" s="99" t="str">
        <f>VLOOKUP($A163,'Loyd List 1-190 - Edit'!$C$1:$AQ$220,'Book Details - NO EDIT'!B$1,FALSE)</f>
        <v>Molly</v>
      </c>
      <c r="C163" s="99" t="str">
        <f>IF(VLOOKUP($A163,'Loyd List 1-190 - Edit'!$C$1:$AQ$220,'Book Details - NO EDIT'!C$1,FALSE)="","",VLOOKUP($A163,'Loyd List 1-190 - Edit'!$C$1:$AQ$220,'Book Details - NO EDIT'!C$1,FALSE))</f>
        <v>Isabel</v>
      </c>
      <c r="D163" s="99" t="str">
        <f>IF(VLOOKUP($A163,'Loyd List 1-190 - Edit'!$C$1:$AQ$220,'Book Details - NO EDIT'!D$1,FALSE)="","",VLOOKUP($A163,'Loyd List 1-190 - Edit'!$C$1:$AQ$220,'Book Details - NO EDIT'!D$1,FALSE))</f>
        <v/>
      </c>
      <c r="E163" s="99" t="str">
        <f>IF(VLOOKUP($A163,'Loyd List 1-190 - Edit'!$C$1:$AQ$220,'Book Details - NO EDIT'!E$1,FALSE)="","",VLOOKUP($A163,'Loyd List 1-190 - Edit'!$C$1:$AQ$220,'Book Details - NO EDIT'!E$1,FALSE))</f>
        <v>LOYD</v>
      </c>
      <c r="F163" s="99" t="str">
        <f>IF(VLOOKUP($A163,'Loyd List 1-190 - Edit'!$C$1:$AQ$220,'Book Details - NO EDIT'!F$1,FALSE)="",B163,VLOOKUP($A163,'Loyd List 1-190 - Edit'!$C$1:$AQ$220,'Book Details - NO EDIT'!F$1,FALSE))</f>
        <v>Molly</v>
      </c>
      <c r="G163" s="140">
        <f>IF(VLOOKUP($A163,'Loyd List 1-190 - Edit'!$C$1:$AQ$220,'Book Details - NO EDIT'!G$1,FALSE)="","",VALUE(VLOOKUP($A163,'Loyd List 1-190 - Edit'!$C$1:$AQ$220,'Book Details - NO EDIT'!G$1,FALSE)))</f>
        <v>1982</v>
      </c>
      <c r="H163" s="140" t="str">
        <f>IF(VLOOKUP($A163,'Loyd List 1-190 - Edit'!$C$1:$AQ$220,'Book Details - NO EDIT'!H$1,FALSE)="","",VALUE(VLOOKUP($A163,'Loyd List 1-190 - Edit'!$C$1:$AQ$220,'Book Details - NO EDIT'!H$1,FALSE)))</f>
        <v/>
      </c>
      <c r="I163" s="141">
        <f>IF(VLOOKUP($A163,'Loyd List 1-190 - Edit'!$C$1:$AQ$220,'Book Details - NO EDIT'!I$1,FALSE)="","",(VLOOKUP($A163,'Loyd List 1-190 - Edit'!$C$1:$AQ$220,'Book Details - NO EDIT'!I$1,FALSE)))</f>
        <v>30048</v>
      </c>
      <c r="J163" s="141" t="str">
        <f>IF(VLOOKUP($A163,'Loyd List 1-190 - Edit'!$C$1:$AQ$220,'Book Details - NO EDIT'!J$1,FALSE)="","",(VLOOKUP($A163,'Loyd List 1-190 - Edit'!$C$1:$AQ$220,'Book Details - NO EDIT'!J$1,FALSE)))</f>
        <v/>
      </c>
      <c r="K163" s="100" t="str">
        <f>VLOOKUP($A163,'Loyd List 1-190 - Edit'!$C$1:$AQ$220,'Book Details - NO EDIT'!K$1,FALSE)</f>
        <v>Girl</v>
      </c>
      <c r="L163" s="140">
        <f>VLOOKUP($A163,'Loyd List 1-190 - Edit'!$C$1:$AQ$220,'Book Details - NO EDIT'!L$1,FALSE)</f>
        <v>119</v>
      </c>
      <c r="M163" s="140">
        <f t="shared" si="60"/>
        <v>80</v>
      </c>
      <c r="N163" s="140">
        <f t="shared" si="60"/>
        <v>29</v>
      </c>
      <c r="O163" s="140">
        <f t="shared" si="60"/>
        <v>14</v>
      </c>
      <c r="P163" s="140">
        <f t="shared" si="60"/>
        <v>4</v>
      </c>
      <c r="Q163" s="140">
        <f t="shared" si="80"/>
        <v>1</v>
      </c>
      <c r="R163" s="140">
        <f t="shared" si="61"/>
        <v>0</v>
      </c>
      <c r="S163" s="140" t="str">
        <f t="shared" si="62"/>
        <v/>
      </c>
      <c r="T163" s="140">
        <f t="shared" si="58"/>
        <v>6</v>
      </c>
      <c r="U163" s="139">
        <f t="shared" si="63"/>
        <v>161</v>
      </c>
      <c r="V163" s="31" t="str">
        <f t="shared" si="64"/>
        <v>Molly (1982–)</v>
      </c>
      <c r="W163" s="31" t="str">
        <f t="shared" si="65"/>
        <v>Molly (#161)</v>
      </c>
      <c r="X163" s="99" t="str">
        <f t="shared" si="66"/>
        <v>Molly (1982–: #161)</v>
      </c>
      <c r="Y163" s="99" t="str">
        <f t="shared" ref="Y163:Y184" si="83">_xlfn.CONCAT(B163," ",IF(C163="",E163,_xlfn.CONCAT(C163," ",IF(D163="",E163,_xlfn.CONCAT(D163," ",E163)))))</f>
        <v>Molly Isabel LOYD</v>
      </c>
      <c r="Z163" s="99" t="str">
        <f t="shared" si="67"/>
        <v>Peter (1942–: #119)</v>
      </c>
      <c r="AA163" s="99" t="str">
        <f t="shared" si="72"/>
        <v xml:space="preserve">Peter (1942–: #119) Eric (1894–1963: #80) Arthur (1845–1930: #29) Thomas (1812–1857: #14) William (1770–1828: #4) William (1729–1800: #1)  </v>
      </c>
      <c r="AB163" s="142" t="str">
        <f>VLOOKUP(U163,'Siblings of those BORN Loyd'!$A$2:$G$230,7,FALSE)</f>
        <v xml:space="preserve">3 – William (1973–: #155) Amy (1975–: #156)  Harriet (1984–: #163)     </v>
      </c>
      <c r="AC163" s="115" t="str">
        <f>IF(ISNA(IF(K163="Boy",VLOOKUP(A163,'Siblings of those BORN Loyd'!$AP$3:$AQ$70,2,FALSE),VLOOKUP(A163,'Children of Female Loyds'!$AR$5:$AT$60,3,FALSE))),AM163,IF(K163="Boy",VLOOKUP(A163,'Siblings of those BORN Loyd'!$AP$3:$AQ$70,2,FALSE),VLOOKUP(A163,'Children of Female Loyds'!$AR$5:$AT$60,3,FALSE)))</f>
        <v xml:space="preserve">2 - Alexia HAYNS (2014 - : #161a) Edward HAYNS (2016 - : #161b)      </v>
      </c>
      <c r="AD163" s="97" t="str">
        <f t="shared" si="81"/>
        <v>-</v>
      </c>
      <c r="AE163" s="105" t="str">
        <f>IF(ISNA(IF(K163="Boy",VLOOKUP(A163,'Grandchildren of Male Loyds'!$AQ$3:$AS$51,3,FALSE),VLOOKUP(A163,'Grandchildren of Female Loyds'!$AX$5:$AZ$63,3,FALSE))),AM163,IF(K163="Boy",VLOOKUP(A163,'Grandchildren of Male Loyds'!$AQ$3:$AS$51,3,FALSE),VLOOKUP(A163,'Grandchildren of Female Loyds'!$AX$5:$AZ$63,3,FALSE)))</f>
        <v/>
      </c>
      <c r="AF163" s="105" t="str">
        <f>IF(ISNA(VLOOKUP(A163,'Grandchildren Loyd Daughters'!$BD$5:$BF$50,4,FALSE)),"",VLOOKUP(A163,'Grandchildren Loyd Daughters'!$BD$5:$BF$50,3,FALSE))</f>
        <v/>
      </c>
      <c r="AG163" s="129">
        <f>IF(ISNA(VLOOKUP(A163,'Grandchildren of Male Loyds'!$AQ$3:$AR$60,2,FALSE)),0,VLOOKUP(A163,'Grandchildren of Male Loyds'!$AQ$3:$AR$60,2,FALSE))+IF(ISNA(VLOOKUP(A163,'Grandchildren of Female Loyds'!$AX$5:$AY$50,2,FALSE)),0,VLOOKUP(A163,'Grandchildren of Female Loyds'!$AX$5:$AY$50,2,FALSE))+IF(ISNA(VLOOKUP(A163,'Grandchildren Loyd Daughters'!$BD$5:$BE$50,2,FALSE)),0,VLOOKUP(A163,'Grandchildren Loyd Daughters'!$BD$5:$BE$50,2,FALSE))</f>
        <v>0</v>
      </c>
      <c r="AH163" s="129" t="str">
        <f>VLOOKUP($U163,'Loyd List 1-190 - Edit'!$P$3:$AJ$220,21,FALSE)</f>
        <v>Charlotte Ann HEDLEY (b. 13 Sep 1946, )</v>
      </c>
      <c r="AI163" s="129" t="str">
        <f>VLOOKUP(A163,'Updated Bios &amp; Spouse Details'!$A$1:$J$200,7,FALSE)</f>
        <v>Henry HAYNS (b. 11 Jan 1982, )</v>
      </c>
      <c r="AJ163" s="130">
        <f>IF(VLOOKUP($A163,'Loyd List 1-190 - Edit'!$C$1:$AQ$220,'Book Details - NO EDIT'!AJ$1,FALSE)="","",(VLOOKUP($A163,'Loyd List 1-190 - Edit'!$C$1:$AQ$220,'Book Details - NO EDIT'!AJ$1,FALSE)))</f>
        <v>41139</v>
      </c>
      <c r="AK163" s="129" t="str">
        <f>VLOOKUP(A163,'Updated Bios &amp; Spouse Details'!$A$1:$J$200,8,FALSE)</f>
        <v>Henry, younger son of Andrew HAYNS of Stretton Rutland.</v>
      </c>
      <c r="AL163" s="131" t="str">
        <f>VLOOKUP(A163,'Updated Bios &amp; Spouse Details'!$A$1:$J$200,5,FALSE)</f>
        <v xml:space="preserve">Molly lives in Stretton, Rutland and is the 2nd daughter of Peter (1942–  :  #119). Born 7 Apr 1982, baptised 22 May 1982 at St Mary Magdalene’s, Wandsworth, London. Education: Queen Margarets, York. Rutland Kinesiology 2019-, Dame of Malta 2014. Issue:  1 daughter, 1 son.                                                                         </v>
      </c>
      <c r="AM163" s="105" t="str">
        <f>IF(AND(LEN(H163)&gt;0,ISNA(IF(K163="Boy",VLOOKUP(A163,'Siblings of those BORN Loyd'!$AP$3:$AQ$70,2,FALSE),VLOOKUP(A163,'Children of Female Loyds'!$AR$5:$AS$60,2,FALSE)))),"d.s.p","")</f>
        <v/>
      </c>
      <c r="AN163" s="99" t="str">
        <f t="shared" si="68"/>
        <v>Peter (1942–: #119)</v>
      </c>
      <c r="AO163" s="99" t="str">
        <f t="shared" si="73"/>
        <v>Eric (1894–1963: #80)</v>
      </c>
      <c r="AP163" s="99" t="str">
        <f t="shared" si="74"/>
        <v>Arthur (1845–1930: #29)</v>
      </c>
      <c r="AQ163" s="99" t="str">
        <f t="shared" si="75"/>
        <v>Thomas (1812–1857: #14)</v>
      </c>
      <c r="AR163" s="99" t="str">
        <f t="shared" si="76"/>
        <v>William (1770–1828: #4)</v>
      </c>
      <c r="AS163" s="99" t="str">
        <f t="shared" si="77"/>
        <v>William (1729–1800: #1)</v>
      </c>
      <c r="AT163" s="99" t="str">
        <f t="shared" si="78"/>
        <v/>
      </c>
      <c r="AU163" s="99" t="str">
        <f t="shared" si="79"/>
        <v/>
      </c>
      <c r="AW163" s="116" t="str">
        <f>VLOOKUP(A163,'Updated Bios &amp; Spouse Details'!$A$1:$J$193,6,FALSE)</f>
        <v>England</v>
      </c>
      <c r="AX163" s="131">
        <f>VLOOKUP($A163,'Loyd List 1-190 - Edit'!$P$2:$AQ$220,AX$1,FALSE)</f>
        <v>161</v>
      </c>
      <c r="AY163" s="116" t="str">
        <f>IF(ISNA(VLOOKUP(A163,'Data check lookup table'!$G$2:$V$73,AY$1,FALSE))," - ",VLOOKUP(A163,'Data check lookup table'!$G$2:$V$73,AY$1,FALSE))</f>
        <v>mantlehill@aol.com</v>
      </c>
      <c r="AZ163" s="147" t="str">
        <f t="shared" si="69"/>
        <v/>
      </c>
      <c r="BA163" s="99" t="str">
        <f t="shared" si="70"/>
        <v>, William (1729–1800: #1)</v>
      </c>
      <c r="BB163" s="99" t="str">
        <f t="shared" si="82"/>
        <v/>
      </c>
      <c r="BI163" s="147" t="s">
        <v>3228</v>
      </c>
    </row>
    <row r="164" spans="1:61" s="99" customFormat="1" ht="68">
      <c r="A164" s="139">
        <f>'Loyd List 1-190 - Edit'!C164</f>
        <v>162</v>
      </c>
      <c r="B164" s="99" t="str">
        <f>VLOOKUP($A164,'Loyd List 1-190 - Edit'!$C$1:$AQ$220,'Book Details - NO EDIT'!B$1,FALSE)</f>
        <v>David</v>
      </c>
      <c r="C164" s="99" t="str">
        <f>IF(VLOOKUP($A164,'Loyd List 1-190 - Edit'!$C$1:$AQ$220,'Book Details - NO EDIT'!C$1,FALSE)="","",VLOOKUP($A164,'Loyd List 1-190 - Edit'!$C$1:$AQ$220,'Book Details - NO EDIT'!C$1,FALSE))</f>
        <v>James</v>
      </c>
      <c r="D164" s="99" t="str">
        <f>IF(VLOOKUP($A164,'Loyd List 1-190 - Edit'!$C$1:$AQ$220,'Book Details - NO EDIT'!D$1,FALSE)="","",VLOOKUP($A164,'Loyd List 1-190 - Edit'!$C$1:$AQ$220,'Book Details - NO EDIT'!D$1,FALSE))</f>
        <v/>
      </c>
      <c r="E164" s="99" t="str">
        <f>IF(VLOOKUP($A164,'Loyd List 1-190 - Edit'!$C$1:$AQ$220,'Book Details - NO EDIT'!E$1,FALSE)="","",VLOOKUP($A164,'Loyd List 1-190 - Edit'!$C$1:$AQ$220,'Book Details - NO EDIT'!E$1,FALSE))</f>
        <v>LOYD</v>
      </c>
      <c r="F164" s="99" t="str">
        <f>IF(VLOOKUP($A164,'Loyd List 1-190 - Edit'!$C$1:$AQ$220,'Book Details - NO EDIT'!F$1,FALSE)="",B164,VLOOKUP($A164,'Loyd List 1-190 - Edit'!$C$1:$AQ$220,'Book Details - NO EDIT'!F$1,FALSE))</f>
        <v>David</v>
      </c>
      <c r="G164" s="140">
        <f>IF(VLOOKUP($A164,'Loyd List 1-190 - Edit'!$C$1:$AQ$220,'Book Details - NO EDIT'!G$1,FALSE)="","",VALUE(VLOOKUP($A164,'Loyd List 1-190 - Edit'!$C$1:$AQ$220,'Book Details - NO EDIT'!G$1,FALSE)))</f>
        <v>1984</v>
      </c>
      <c r="H164" s="140" t="str">
        <f>IF(VLOOKUP($A164,'Loyd List 1-190 - Edit'!$C$1:$AQ$220,'Book Details - NO EDIT'!H$1,FALSE)="","",VALUE(VLOOKUP($A164,'Loyd List 1-190 - Edit'!$C$1:$AQ$220,'Book Details - NO EDIT'!H$1,FALSE)))</f>
        <v/>
      </c>
      <c r="I164" s="141">
        <f>IF(VLOOKUP($A164,'Loyd List 1-190 - Edit'!$C$1:$AQ$220,'Book Details - NO EDIT'!I$1,FALSE)="","",(VLOOKUP($A164,'Loyd List 1-190 - Edit'!$C$1:$AQ$220,'Book Details - NO EDIT'!I$1,FALSE)))</f>
        <v>30778</v>
      </c>
      <c r="J164" s="141" t="str">
        <f>IF(VLOOKUP($A164,'Loyd List 1-190 - Edit'!$C$1:$AQ$220,'Book Details - NO EDIT'!J$1,FALSE)="","",(VLOOKUP($A164,'Loyd List 1-190 - Edit'!$C$1:$AQ$220,'Book Details - NO EDIT'!J$1,FALSE)))</f>
        <v/>
      </c>
      <c r="K164" s="100" t="str">
        <f>VLOOKUP($A164,'Loyd List 1-190 - Edit'!$C$1:$AQ$220,'Book Details - NO EDIT'!K$1,FALSE)</f>
        <v>Boy</v>
      </c>
      <c r="L164" s="140">
        <f>VLOOKUP($A164,'Loyd List 1-190 - Edit'!$C$1:$AQ$220,'Book Details - NO EDIT'!L$1,FALSE)</f>
        <v>131</v>
      </c>
      <c r="M164" s="140">
        <f t="shared" si="60"/>
        <v>94</v>
      </c>
      <c r="N164" s="140">
        <f t="shared" si="60"/>
        <v>68</v>
      </c>
      <c r="O164" s="140">
        <f t="shared" si="60"/>
        <v>45</v>
      </c>
      <c r="P164" s="140">
        <f t="shared" si="60"/>
        <v>22</v>
      </c>
      <c r="Q164" s="140">
        <f t="shared" si="80"/>
        <v>8</v>
      </c>
      <c r="R164" s="140">
        <f t="shared" si="61"/>
        <v>1</v>
      </c>
      <c r="S164" s="140">
        <f t="shared" si="62"/>
        <v>0</v>
      </c>
      <c r="T164" s="140">
        <f t="shared" si="58"/>
        <v>7</v>
      </c>
      <c r="U164" s="139">
        <f t="shared" si="63"/>
        <v>162</v>
      </c>
      <c r="V164" s="31" t="str">
        <f t="shared" si="64"/>
        <v>David (1984–)</v>
      </c>
      <c r="W164" s="31" t="str">
        <f t="shared" si="65"/>
        <v>David (#162)</v>
      </c>
      <c r="X164" s="99" t="str">
        <f t="shared" si="66"/>
        <v>David (1984–: #162)</v>
      </c>
      <c r="Y164" s="99" t="str">
        <f t="shared" si="83"/>
        <v>David James LOYD</v>
      </c>
      <c r="Z164" s="99" t="str">
        <f t="shared" si="67"/>
        <v>Dominic (1953–: #131)</v>
      </c>
      <c r="AA164" s="99" t="str">
        <f t="shared" si="72"/>
        <v xml:space="preserve">Dominic (1953–: #131) Alwyne (1920–2014: #94) Cecil (1890–1963: #68) Llewellyn (1861–1939: #45) Edward (1820–1890: #22) Edward (1780–1863: #8) William (1729–1800: #1) </v>
      </c>
      <c r="AB164" s="142" t="str">
        <f>VLOOKUP(U164,'Siblings of those BORN Loyd'!$A$2:$G$230,7,FALSE)</f>
        <v xml:space="preserve">2 – John (1982–: #160)  Ben (1988–: #167)      </v>
      </c>
      <c r="AC164" s="115" t="str">
        <f>IF(ISNA(IF(K164="Boy",VLOOKUP(A164,'Siblings of those BORN Loyd'!$AP$3:$AQ$70,2,FALSE),VLOOKUP(A164,'Children of Female Loyds'!$AR$5:$AT$60,3,FALSE))),AM164,IF(K164="Boy",VLOOKUP(A164,'Siblings of those BORN Loyd'!$AP$3:$AQ$70,2,FALSE),VLOOKUP(A164,'Children of Female Loyds'!$AR$5:$AT$60,3,FALSE)))</f>
        <v>2 - Archie (2017–: #188); Rory (2019–: #189)</v>
      </c>
      <c r="AD164" s="97" t="str">
        <f t="shared" si="81"/>
        <v>-</v>
      </c>
      <c r="AE164" s="105" t="str">
        <f>IF(ISNA(IF(K164="Boy",VLOOKUP(A164,'Grandchildren of Male Loyds'!$AQ$3:$AS$51,3,FALSE),VLOOKUP(A164,'Grandchildren of Female Loyds'!$AX$5:$AZ$63,3,FALSE))),AM164,IF(K164="Boy",VLOOKUP(A164,'Grandchildren of Male Loyds'!$AQ$3:$AS$51,3,FALSE),VLOOKUP(A164,'Grandchildren of Female Loyds'!$AX$5:$AZ$63,3,FALSE)))</f>
        <v/>
      </c>
      <c r="AF164" s="105" t="str">
        <f>IF(ISNA(VLOOKUP(A164,'Grandchildren Loyd Daughters'!$BD$5:$BF$50,4,FALSE)),"",VLOOKUP(A164,'Grandchildren Loyd Daughters'!$BD$5:$BF$50,3,FALSE))</f>
        <v/>
      </c>
      <c r="AG164" s="129">
        <f>IF(ISNA(VLOOKUP(A164,'Grandchildren of Male Loyds'!$AQ$3:$AR$60,2,FALSE)),0,VLOOKUP(A164,'Grandchildren of Male Loyds'!$AQ$3:$AR$60,2,FALSE))+IF(ISNA(VLOOKUP(A164,'Grandchildren of Female Loyds'!$AX$5:$AY$50,2,FALSE)),0,VLOOKUP(A164,'Grandchildren of Female Loyds'!$AX$5:$AY$50,2,FALSE))+IF(ISNA(VLOOKUP(A164,'Grandchildren Loyd Daughters'!$BD$5:$BE$50,2,FALSE)),0,VLOOKUP(A164,'Grandchildren Loyd Daughters'!$BD$5:$BE$50,2,FALSE))</f>
        <v>0</v>
      </c>
      <c r="AH164" s="129" t="str">
        <f>VLOOKUP($U164,'Loyd List 1-190 - Edit'!$P$3:$AJ$220,21,FALSE)</f>
        <v>Karina Lesley BOYCE (b. 22 Apr 1954, )</v>
      </c>
      <c r="AI164" s="129" t="str">
        <f>VLOOKUP(A164,'Updated Bios &amp; Spouse Details'!$A$1:$J$200,7,FALSE)</f>
        <v>Laura Mary MUSSELBROOK (b. 23 Sep 1981, )</v>
      </c>
      <c r="AJ164" s="130">
        <f>IF(VLOOKUP($A164,'Loyd List 1-190 - Edit'!$C$1:$AQ$220,'Book Details - NO EDIT'!AJ$1,FALSE)="","",(VLOOKUP($A164,'Loyd List 1-190 - Edit'!$C$1:$AQ$220,'Book Details - NO EDIT'!AJ$1,FALSE)))</f>
        <v>42567</v>
      </c>
      <c r="AK164" s="129" t="str">
        <f>VLOOKUP(A164,'Updated Bios &amp; Spouse Details'!$A$1:$J$200,8,FALSE)</f>
        <v>Married at St  Vedast-elias- Foster Church, City of London, Laura elder daughter of Bob Fredrick (1949 - 2019) and Lynn Mary (1947 - ) MUSSELBROOK.</v>
      </c>
      <c r="AL164" s="131" t="str">
        <f>VLOOKUP(A164,'Updated Bios &amp; Spouse Details'!$A$1:$J$200,5,FALSE)</f>
        <v xml:space="preserve">David lives in South London and is the 2nd son of Dominic (1953– : #131) . Born 6 Apr 1984 at St Peter’s Hospital, Chertsey, Surrey. Baptised 29 Jul 1984 at St Andrew’s, Goldsworth Park, Woking, Surrey in the local school. Education: Tower Road Primary 1990-95; Giles School, Old Leeke, Lincolnshire 1995-2002; Kent Institute of Art and Design (KIAD) (BA Hons Architecture 2002-05); Kingston University London (Diploma in Architecture 2007-09); Post Graduate Diploma in Architecture 2010-11). Career: Co-Director Owen Loyd Architects 2021. Chartered Member of the Royal Institute of British Architects (RIBA), 2013. Freeman of the City of London and the Goldsmiths' Company, 2012. Issue: 2 sons. </v>
      </c>
      <c r="AM164" s="105" t="str">
        <f>IF(AND(LEN(H164)&gt;0,ISNA(IF(K164="Boy",VLOOKUP(A164,'Siblings of those BORN Loyd'!$AP$3:$AQ$70,2,FALSE),VLOOKUP(A164,'Children of Female Loyds'!$AR$5:$AS$60,2,FALSE)))),"d.s.p","")</f>
        <v/>
      </c>
      <c r="AN164" s="99" t="str">
        <f t="shared" ref="AN164:AN184" si="84">(IF(OR(L164=0,LEN(L164)=0),"",_xlfn.CONCAT(VLOOKUP(L164,$U$3:$X$230,4,FALSE))))</f>
        <v>Dominic (1953–: #131)</v>
      </c>
      <c r="AO164" s="99" t="str">
        <f t="shared" si="73"/>
        <v>Alwyne (1920–2014: #94)</v>
      </c>
      <c r="AP164" s="99" t="str">
        <f t="shared" si="74"/>
        <v>Cecil (1890–1963: #68)</v>
      </c>
      <c r="AQ164" s="99" t="str">
        <f t="shared" si="75"/>
        <v>Llewellyn (1861–1939: #45)</v>
      </c>
      <c r="AR164" s="99" t="str">
        <f t="shared" si="76"/>
        <v>Edward (1820–1890: #22)</v>
      </c>
      <c r="AS164" s="99" t="str">
        <f t="shared" si="77"/>
        <v>Edward (1780–1863: #8)</v>
      </c>
      <c r="AT164" s="99" t="str">
        <f t="shared" si="78"/>
        <v>William (1729–1800: #1)</v>
      </c>
      <c r="AU164" s="99" t="str">
        <f t="shared" si="79"/>
        <v/>
      </c>
      <c r="AW164" s="116" t="str">
        <f>VLOOKUP(A164,'Updated Bios &amp; Spouse Details'!$A$1:$J$193,6,FALSE)</f>
        <v>England</v>
      </c>
      <c r="AX164" s="131">
        <f>VLOOKUP($A164,'Loyd List 1-190 - Edit'!$P$2:$AQ$220,AX$1,FALSE)</f>
        <v>162</v>
      </c>
      <c r="AY164" s="116" t="str">
        <f>IF(ISNA(VLOOKUP(A164,'Data check lookup table'!$G$2:$V$73,AY$1,FALSE))," - ",VLOOKUP(A164,'Data check lookup table'!$G$2:$V$73,AY$1,FALSE))</f>
        <v>loyddavid@hotmail.co</v>
      </c>
      <c r="AZ164" s="147" t="str">
        <f t="shared" si="69"/>
        <v/>
      </c>
      <c r="BA164" s="99" t="str">
        <f t="shared" ref="BA164:BA184" si="85">(IF(OR(Q164=0,LEN(Q164)=0),"",_xlfn.CONCAT(", ",VLOOKUP(Q164,$U$3:$X$230,4,FALSE))))</f>
        <v>, Edward (1780–1863: #8)</v>
      </c>
      <c r="BB164" s="99" t="str">
        <f t="shared" si="82"/>
        <v>; William (1729–1800: #1)</v>
      </c>
      <c r="BI164" s="147" t="s">
        <v>3228</v>
      </c>
    </row>
    <row r="165" spans="1:61" s="99" customFormat="1" ht="68">
      <c r="A165" s="139">
        <f>'Loyd List 1-190 - Edit'!C165</f>
        <v>163</v>
      </c>
      <c r="B165" s="99" t="str">
        <f>VLOOKUP($A165,'Loyd List 1-190 - Edit'!$C$1:$AQ$220,'Book Details - NO EDIT'!B$1,FALSE)</f>
        <v>Harriet</v>
      </c>
      <c r="C165" s="99" t="str">
        <f>IF(VLOOKUP($A165,'Loyd List 1-190 - Edit'!$C$1:$AQ$220,'Book Details - NO EDIT'!C$1,FALSE)="","",VLOOKUP($A165,'Loyd List 1-190 - Edit'!$C$1:$AQ$220,'Book Details - NO EDIT'!C$1,FALSE))</f>
        <v xml:space="preserve">Katharine </v>
      </c>
      <c r="D165" s="99" t="str">
        <f>IF(VLOOKUP($A165,'Loyd List 1-190 - Edit'!$C$1:$AQ$220,'Book Details - NO EDIT'!D$1,FALSE)="","",VLOOKUP($A165,'Loyd List 1-190 - Edit'!$C$1:$AQ$220,'Book Details - NO EDIT'!D$1,FALSE))</f>
        <v/>
      </c>
      <c r="E165" s="99" t="str">
        <f>IF(VLOOKUP($A165,'Loyd List 1-190 - Edit'!$C$1:$AQ$220,'Book Details - NO EDIT'!E$1,FALSE)="","",VLOOKUP($A165,'Loyd List 1-190 - Edit'!$C$1:$AQ$220,'Book Details - NO EDIT'!E$1,FALSE))</f>
        <v>LOYD</v>
      </c>
      <c r="F165" s="99" t="str">
        <f>IF(VLOOKUP($A165,'Loyd List 1-190 - Edit'!$C$1:$AQ$220,'Book Details - NO EDIT'!F$1,FALSE)="",B165,VLOOKUP($A165,'Loyd List 1-190 - Edit'!$C$1:$AQ$220,'Book Details - NO EDIT'!F$1,FALSE))</f>
        <v>Harriet</v>
      </c>
      <c r="G165" s="140">
        <f>IF(VLOOKUP($A165,'Loyd List 1-190 - Edit'!$C$1:$AQ$220,'Book Details - NO EDIT'!G$1,FALSE)="","",VALUE(VLOOKUP($A165,'Loyd List 1-190 - Edit'!$C$1:$AQ$220,'Book Details - NO EDIT'!G$1,FALSE)))</f>
        <v>1984</v>
      </c>
      <c r="H165" s="140" t="str">
        <f>IF(VLOOKUP($A165,'Loyd List 1-190 - Edit'!$C$1:$AQ$220,'Book Details - NO EDIT'!H$1,FALSE)="","",VALUE(VLOOKUP($A165,'Loyd List 1-190 - Edit'!$C$1:$AQ$220,'Book Details - NO EDIT'!H$1,FALSE)))</f>
        <v/>
      </c>
      <c r="I165" s="141">
        <f>IF(VLOOKUP($A165,'Loyd List 1-190 - Edit'!$C$1:$AQ$220,'Book Details - NO EDIT'!I$1,FALSE)="","",(VLOOKUP($A165,'Loyd List 1-190 - Edit'!$C$1:$AQ$220,'Book Details - NO EDIT'!I$1,FALSE)))</f>
        <v>30820</v>
      </c>
      <c r="J165" s="141" t="str">
        <f>IF(VLOOKUP($A165,'Loyd List 1-190 - Edit'!$C$1:$AQ$220,'Book Details - NO EDIT'!J$1,FALSE)="","",(VLOOKUP($A165,'Loyd List 1-190 - Edit'!$C$1:$AQ$220,'Book Details - NO EDIT'!J$1,FALSE)))</f>
        <v/>
      </c>
      <c r="K165" s="100" t="str">
        <f>VLOOKUP($A165,'Loyd List 1-190 - Edit'!$C$1:$AQ$220,'Book Details - NO EDIT'!K$1,FALSE)</f>
        <v>Girl</v>
      </c>
      <c r="L165" s="140">
        <f>VLOOKUP($A165,'Loyd List 1-190 - Edit'!$C$1:$AQ$220,'Book Details - NO EDIT'!L$1,FALSE)</f>
        <v>119</v>
      </c>
      <c r="M165" s="140">
        <f t="shared" si="60"/>
        <v>80</v>
      </c>
      <c r="N165" s="140">
        <f t="shared" si="60"/>
        <v>29</v>
      </c>
      <c r="O165" s="140">
        <f t="shared" si="60"/>
        <v>14</v>
      </c>
      <c r="P165" s="140">
        <f t="shared" si="60"/>
        <v>4</v>
      </c>
      <c r="Q165" s="140">
        <f t="shared" si="80"/>
        <v>1</v>
      </c>
      <c r="R165" s="140">
        <f t="shared" si="61"/>
        <v>0</v>
      </c>
      <c r="S165" s="140" t="str">
        <f t="shared" si="62"/>
        <v/>
      </c>
      <c r="T165" s="140">
        <f t="shared" si="58"/>
        <v>6</v>
      </c>
      <c r="U165" s="139">
        <f t="shared" si="63"/>
        <v>163</v>
      </c>
      <c r="V165" s="31" t="str">
        <f t="shared" si="64"/>
        <v>Harriet (1984–)</v>
      </c>
      <c r="W165" s="31" t="str">
        <f t="shared" si="65"/>
        <v>Harriet (#163)</v>
      </c>
      <c r="X165" s="99" t="str">
        <f t="shared" si="66"/>
        <v>Harriet (1984–: #163)</v>
      </c>
      <c r="Y165" s="99" t="str">
        <f t="shared" si="83"/>
        <v>Harriet Katharine  LOYD</v>
      </c>
      <c r="Z165" s="99" t="str">
        <f t="shared" si="67"/>
        <v>Peter (1942–: #119)</v>
      </c>
      <c r="AA165" s="99" t="str">
        <f t="shared" si="72"/>
        <v xml:space="preserve">Peter (1942–: #119) Eric (1894–1963: #80) Arthur (1845–1930: #29) Thomas (1812–1857: #14) William (1770–1828: #4) William (1729–1800: #1)  </v>
      </c>
      <c r="AB165" s="142" t="str">
        <f>VLOOKUP(U165,'Siblings of those BORN Loyd'!$A$2:$G$230,7,FALSE)</f>
        <v xml:space="preserve">3 – William (1973–: #155) Amy (1975–: #156) Molly (1982–: #161)      </v>
      </c>
      <c r="AC165" s="115" t="str">
        <f>IF(ISNA(IF(K165="Boy",VLOOKUP(A165,'Siblings of those BORN Loyd'!$AP$3:$AQ$70,2,FALSE),VLOOKUP(A165,'Children of Female Loyds'!$AR$5:$AT$60,3,FALSE))),AM165,IF(K165="Boy",VLOOKUP(A165,'Siblings of those BORN Loyd'!$AP$3:$AQ$70,2,FALSE),VLOOKUP(A165,'Children of Female Loyds'!$AR$5:$AT$60,3,FALSE)))</f>
        <v xml:space="preserve">2 - 
Thomas DINSMORE (2012 - : #163a) Mary DINSMORE (2014 - : #163b)      </v>
      </c>
      <c r="AD165" s="97" t="str">
        <f t="shared" si="81"/>
        <v>-</v>
      </c>
      <c r="AE165" s="105" t="str">
        <f>IF(ISNA(IF(K165="Boy",VLOOKUP(A165,'Grandchildren of Male Loyds'!$AQ$3:$AS$51,3,FALSE),VLOOKUP(A165,'Grandchildren of Female Loyds'!$AX$5:$AZ$63,3,FALSE))),AM165,IF(K165="Boy",VLOOKUP(A165,'Grandchildren of Male Loyds'!$AQ$3:$AS$51,3,FALSE),VLOOKUP(A165,'Grandchildren of Female Loyds'!$AX$5:$AZ$63,3,FALSE)))</f>
        <v/>
      </c>
      <c r="AF165" s="105" t="str">
        <f>IF(ISNA(VLOOKUP(A165,'Grandchildren Loyd Daughters'!$BD$5:$BF$50,4,FALSE)),"",VLOOKUP(A165,'Grandchildren Loyd Daughters'!$BD$5:$BF$50,3,FALSE))</f>
        <v/>
      </c>
      <c r="AG165" s="129">
        <f>IF(ISNA(VLOOKUP(A165,'Grandchildren of Male Loyds'!$AQ$3:$AR$60,2,FALSE)),0,VLOOKUP(A165,'Grandchildren of Male Loyds'!$AQ$3:$AR$60,2,FALSE))+IF(ISNA(VLOOKUP(A165,'Grandchildren of Female Loyds'!$AX$5:$AY$50,2,FALSE)),0,VLOOKUP(A165,'Grandchildren of Female Loyds'!$AX$5:$AY$50,2,FALSE))+IF(ISNA(VLOOKUP(A165,'Grandchildren Loyd Daughters'!$BD$5:$BE$50,2,FALSE)),0,VLOOKUP(A165,'Grandchildren Loyd Daughters'!$BD$5:$BE$50,2,FALSE))</f>
        <v>0</v>
      </c>
      <c r="AH165" s="129" t="str">
        <f>VLOOKUP($U165,'Loyd List 1-190 - Edit'!$P$3:$AJ$220,21,FALSE)</f>
        <v>Charlotte Ann HEDLEY (b. 13 Sep 1946, )</v>
      </c>
      <c r="AI165" s="129" t="str">
        <f>VLOOKUP(A165,'Updated Bios &amp; Spouse Details'!$A$1:$J$200,7,FALSE)</f>
        <v>Simon John DINSMORE (b. 2 Mar 1982, )</v>
      </c>
      <c r="AJ165" s="130">
        <f>IF(VLOOKUP($A165,'Loyd List 1-190 - Edit'!$C$1:$AQ$220,'Book Details - NO EDIT'!AJ$1,FALSE)="","",(VLOOKUP($A165,'Loyd List 1-190 - Edit'!$C$1:$AQ$220,'Book Details - NO EDIT'!AJ$1,FALSE)))</f>
        <v>39921</v>
      </c>
      <c r="AK165" s="129" t="str">
        <f>VLOOKUP(A165,'Updated Bios &amp; Spouse Details'!$A$1:$J$200,8,FALSE)</f>
        <v>Married, at St Oswald's, Bellingham, Northumberland Simon, eldest son of the Reverend Stephen DINSMORE of Samoa.</v>
      </c>
      <c r="AL165" s="131" t="str">
        <f>VLOOKUP(A165,'Updated Bios &amp; Spouse Details'!$A$1:$J$200,5,FALSE)</f>
        <v xml:space="preserve">Harriet lives in Low Newton-by-the-Sea, Northumberland and is the 3rd and youngest daughter of Peter (1942– : #119). Born 18 May 1984.  Baptised 21 Jul 1984 at Hesleyside, Bellingham, Northumberland. Education: Queen Margarets, York. </v>
      </c>
      <c r="AM165" s="105" t="str">
        <f>IF(AND(LEN(H165)&gt;0,ISNA(IF(K165="Boy",VLOOKUP(A165,'Siblings of those BORN Loyd'!$AP$3:$AQ$70,2,FALSE),VLOOKUP(A165,'Children of Female Loyds'!$AR$5:$AS$60,2,FALSE)))),"d.s.p","")</f>
        <v/>
      </c>
      <c r="AN165" s="99" t="str">
        <f t="shared" si="84"/>
        <v>Peter (1942–: #119)</v>
      </c>
      <c r="AO165" s="99" t="str">
        <f t="shared" si="73"/>
        <v>Eric (1894–1963: #80)</v>
      </c>
      <c r="AP165" s="99" t="str">
        <f t="shared" si="74"/>
        <v>Arthur (1845–1930: #29)</v>
      </c>
      <c r="AQ165" s="99" t="str">
        <f t="shared" si="75"/>
        <v>Thomas (1812–1857: #14)</v>
      </c>
      <c r="AR165" s="99" t="str">
        <f t="shared" si="76"/>
        <v>William (1770–1828: #4)</v>
      </c>
      <c r="AS165" s="99" t="str">
        <f t="shared" si="77"/>
        <v>William (1729–1800: #1)</v>
      </c>
      <c r="AT165" s="99" t="str">
        <f t="shared" si="78"/>
        <v/>
      </c>
      <c r="AU165" s="99" t="str">
        <f t="shared" si="79"/>
        <v/>
      </c>
      <c r="AW165" s="116" t="str">
        <f>VLOOKUP(A165,'Updated Bios &amp; Spouse Details'!$A$1:$J$193,6,FALSE)</f>
        <v>England</v>
      </c>
      <c r="AX165" s="131">
        <f>VLOOKUP($A165,'Loyd List 1-190 - Edit'!$P$2:$AQ$220,AX$1,FALSE)</f>
        <v>163</v>
      </c>
      <c r="AY165" s="116" t="str">
        <f>IF(ISNA(VLOOKUP(A165,'Data check lookup table'!$G$2:$V$73,AY$1,FALSE))," - ",VLOOKUP(A165,'Data check lookup table'!$G$2:$V$73,AY$1,FALSE))</f>
        <v>mantlehill@aol.com</v>
      </c>
      <c r="AZ165" s="147" t="str">
        <f t="shared" si="69"/>
        <v/>
      </c>
      <c r="BA165" s="99" t="str">
        <f t="shared" si="85"/>
        <v>, William (1729–1800: #1)</v>
      </c>
      <c r="BB165" s="99" t="str">
        <f t="shared" si="82"/>
        <v/>
      </c>
      <c r="BI165" s="147" t="s">
        <v>3228</v>
      </c>
    </row>
    <row r="166" spans="1:61" s="99" customFormat="1" ht="51">
      <c r="A166" s="139">
        <f>'Loyd List 1-190 - Edit'!C166</f>
        <v>164</v>
      </c>
      <c r="B166" s="99" t="str">
        <f>VLOOKUP($A166,'Loyd List 1-190 - Edit'!$C$1:$AQ$220,'Book Details - NO EDIT'!B$1,FALSE)</f>
        <v>Poppy</v>
      </c>
      <c r="C166" s="99" t="str">
        <f>IF(VLOOKUP($A166,'Loyd List 1-190 - Edit'!$C$1:$AQ$220,'Book Details - NO EDIT'!C$1,FALSE)="","",VLOOKUP($A166,'Loyd List 1-190 - Edit'!$C$1:$AQ$220,'Book Details - NO EDIT'!C$1,FALSE))</f>
        <v>Catherine</v>
      </c>
      <c r="D166" s="99" t="str">
        <f>IF(VLOOKUP($A166,'Loyd List 1-190 - Edit'!$C$1:$AQ$220,'Book Details - NO EDIT'!D$1,FALSE)="","",VLOOKUP($A166,'Loyd List 1-190 - Edit'!$C$1:$AQ$220,'Book Details - NO EDIT'!D$1,FALSE))</f>
        <v/>
      </c>
      <c r="E166" s="99" t="str">
        <f>IF(VLOOKUP($A166,'Loyd List 1-190 - Edit'!$C$1:$AQ$220,'Book Details - NO EDIT'!E$1,FALSE)="","",VLOOKUP($A166,'Loyd List 1-190 - Edit'!$C$1:$AQ$220,'Book Details - NO EDIT'!E$1,FALSE))</f>
        <v>CORMACK-LOYD</v>
      </c>
      <c r="F166" s="99" t="str">
        <f>IF(VLOOKUP($A166,'Loyd List 1-190 - Edit'!$C$1:$AQ$220,'Book Details - NO EDIT'!F$1,FALSE)="",B166,VLOOKUP($A166,'Loyd List 1-190 - Edit'!$C$1:$AQ$220,'Book Details - NO EDIT'!F$1,FALSE))</f>
        <v>Poppy</v>
      </c>
      <c r="G166" s="140">
        <f>IF(VLOOKUP($A166,'Loyd List 1-190 - Edit'!$C$1:$AQ$220,'Book Details - NO EDIT'!G$1,FALSE)="","",VALUE(VLOOKUP($A166,'Loyd List 1-190 - Edit'!$C$1:$AQ$220,'Book Details - NO EDIT'!G$1,FALSE)))</f>
        <v>1984</v>
      </c>
      <c r="H166" s="140" t="str">
        <f>IF(VLOOKUP($A166,'Loyd List 1-190 - Edit'!$C$1:$AQ$220,'Book Details - NO EDIT'!H$1,FALSE)="","",VALUE(VLOOKUP($A166,'Loyd List 1-190 - Edit'!$C$1:$AQ$220,'Book Details - NO EDIT'!H$1,FALSE)))</f>
        <v/>
      </c>
      <c r="I166" s="141">
        <f>IF(VLOOKUP($A166,'Loyd List 1-190 - Edit'!$C$1:$AQ$220,'Book Details - NO EDIT'!I$1,FALSE)="","",(VLOOKUP($A166,'Loyd List 1-190 - Edit'!$C$1:$AQ$220,'Book Details - NO EDIT'!I$1,FALSE)))</f>
        <v>31032</v>
      </c>
      <c r="J166" s="141" t="str">
        <f>IF(VLOOKUP($A166,'Loyd List 1-190 - Edit'!$C$1:$AQ$220,'Book Details - NO EDIT'!J$1,FALSE)="","",(VLOOKUP($A166,'Loyd List 1-190 - Edit'!$C$1:$AQ$220,'Book Details - NO EDIT'!J$1,FALSE)))</f>
        <v/>
      </c>
      <c r="K166" s="100" t="str">
        <f>VLOOKUP($A166,'Loyd List 1-190 - Edit'!$C$1:$AQ$220,'Book Details - NO EDIT'!K$1,FALSE)</f>
        <v>Girl</v>
      </c>
      <c r="L166" s="140">
        <f>VLOOKUP($A166,'Loyd List 1-190 - Edit'!$C$1:$AQ$220,'Book Details - NO EDIT'!L$1,FALSE)</f>
        <v>136</v>
      </c>
      <c r="M166" s="140">
        <f t="shared" si="60"/>
        <v>94</v>
      </c>
      <c r="N166" s="140">
        <f t="shared" si="60"/>
        <v>68</v>
      </c>
      <c r="O166" s="140">
        <f t="shared" si="60"/>
        <v>45</v>
      </c>
      <c r="P166" s="140">
        <f t="shared" si="60"/>
        <v>22</v>
      </c>
      <c r="Q166" s="140">
        <f t="shared" si="80"/>
        <v>8</v>
      </c>
      <c r="R166" s="140">
        <f t="shared" si="61"/>
        <v>1</v>
      </c>
      <c r="S166" s="140">
        <f t="shared" si="62"/>
        <v>0</v>
      </c>
      <c r="T166" s="140">
        <f t="shared" si="58"/>
        <v>7</v>
      </c>
      <c r="U166" s="139">
        <f t="shared" si="63"/>
        <v>164</v>
      </c>
      <c r="V166" s="31" t="str">
        <f t="shared" si="64"/>
        <v>Poppy (1984–)</v>
      </c>
      <c r="W166" s="31" t="str">
        <f t="shared" si="65"/>
        <v>Poppy (#164)</v>
      </c>
      <c r="X166" s="99" t="str">
        <f t="shared" si="66"/>
        <v>Poppy (1984–: #164)</v>
      </c>
      <c r="Y166" s="99" t="str">
        <f t="shared" si="83"/>
        <v>Poppy Catherine CORMACK-LOYD</v>
      </c>
      <c r="Z166" s="99" t="str">
        <f t="shared" si="67"/>
        <v>Tim (1957–: #136)</v>
      </c>
      <c r="AA166" s="99" t="str">
        <f t="shared" si="72"/>
        <v xml:space="preserve">Tim (1957–: #136) Alwyne (1920–2014: #94) Cecil (1890–1963: #68) Llewellyn (1861–1939: #45) Edward (1820–1890: #22) Edward (1780–1863: #8) William (1729–1800: #1) </v>
      </c>
      <c r="AB166" s="142" t="str">
        <f>VLOOKUP(U166,'Siblings of those BORN Loyd'!$A$2:$G$230,7,FALSE)</f>
        <v xml:space="preserve">2 – Rose (1986–: #165) Florina (1991–: #172)      </v>
      </c>
      <c r="AC166" s="115" t="str">
        <f>IF(ISNA(IF(K166="Boy",VLOOKUP(A166,'Siblings of those BORN Loyd'!$AP$3:$AQ$70,2,FALSE),VLOOKUP(A166,'Children of Female Loyds'!$AR$5:$AT$60,3,FALSE))),AM166,IF(K166="Boy",VLOOKUP(A166,'Siblings of those BORN Loyd'!$AP$3:$AQ$70,2,FALSE),VLOOKUP(A166,'Children of Female Loyds'!$AR$5:$AT$60,3,FALSE)))</f>
        <v xml:space="preserve">3 - Freddie LEASK (2016 - : #164a) Hamish LEASK (2018 - : #164b) Otto LEASK (2020 - : #164c)     </v>
      </c>
      <c r="AD166" s="97" t="str">
        <f t="shared" si="81"/>
        <v>-</v>
      </c>
      <c r="AE166" s="105" t="str">
        <f>IF(ISNA(IF(K166="Boy",VLOOKUP(A166,'Grandchildren of Male Loyds'!$AQ$3:$AS$51,3,FALSE),VLOOKUP(A166,'Grandchildren of Female Loyds'!$AX$5:$AZ$63,3,FALSE))),AM166,IF(K166="Boy",VLOOKUP(A166,'Grandchildren of Male Loyds'!$AQ$3:$AS$51,3,FALSE),VLOOKUP(A166,'Grandchildren of Female Loyds'!$AX$5:$AZ$63,3,FALSE)))</f>
        <v/>
      </c>
      <c r="AF166" s="105" t="str">
        <f>IF(ISNA(VLOOKUP(A166,'Grandchildren Loyd Daughters'!$BD$5:$BF$50,4,FALSE)),"",VLOOKUP(A166,'Grandchildren Loyd Daughters'!$BD$5:$BF$50,3,FALSE))</f>
        <v/>
      </c>
      <c r="AG166" s="129">
        <f>IF(ISNA(VLOOKUP(A166,'Grandchildren of Male Loyds'!$AQ$3:$AR$60,2,FALSE)),0,VLOOKUP(A166,'Grandchildren of Male Loyds'!$AQ$3:$AR$60,2,FALSE))+IF(ISNA(VLOOKUP(A166,'Grandchildren of Female Loyds'!$AX$5:$AY$50,2,FALSE)),0,VLOOKUP(A166,'Grandchildren of Female Loyds'!$AX$5:$AY$50,2,FALSE))+IF(ISNA(VLOOKUP(A166,'Grandchildren Loyd Daughters'!$BD$5:$BE$50,2,FALSE)),0,VLOOKUP(A166,'Grandchildren Loyd Daughters'!$BD$5:$BE$50,2,FALSE))</f>
        <v>0</v>
      </c>
      <c r="AH166" s="129" t="str">
        <f>VLOOKUP($U166,'Loyd List 1-190 - Edit'!$P$3:$AJ$220,21,FALSE)</f>
        <v>Cherry Margaret CORMACK (b. 18 Sep 1956, )</v>
      </c>
      <c r="AI166" s="129" t="str">
        <f>VLOOKUP(A166,'Updated Bios &amp; Spouse Details'!$A$1:$J$200,7,FALSE)</f>
        <v>Richard Benjamin LEASK (b. 28 July 1983, )</v>
      </c>
      <c r="AJ166" s="130">
        <f>IF(VLOOKUP($A166,'Loyd List 1-190 - Edit'!$C$1:$AQ$220,'Book Details - NO EDIT'!AJ$1,FALSE)="","",(VLOOKUP($A166,'Loyd List 1-190 - Edit'!$C$1:$AQ$220,'Book Details - NO EDIT'!AJ$1,FALSE)))</f>
        <v>40789</v>
      </c>
      <c r="AK166" s="129" t="str">
        <f>VLOOKUP(A166,'Updated Bios &amp; Spouse Details'!$A$1:$J$200,8,FALSE)</f>
        <v>Married at St Mary the Virgin Church, Iffley, Oxford, Richard younger son of Peter and Christine LEASK.</v>
      </c>
      <c r="AL166" s="131" t="str">
        <f>VLOOKUP(A166,'Updated Bios &amp; Spouse Details'!$A$1:$J$200,5,FALSE)</f>
        <v>Poppy lives in Scotland and is the eldest daughter of Tim (1957– : #136).  Born 16 Dec 1984 at Princess Anne Maternity Hospital, Southampton. Education: New Hinksley Primary, Oxford High School GDST, Durham University, St Mary's College (BSc Geography). Northumbrian Universities Air Squadron 2003-2006. Career: RAF - graduated Initial Officer Training Course 2007; Tornado GR4 Weapons Systems Officer 617 Sqn, 12(B) Sqn, 31 Sqn, Served in Afghanistan, Iraq, Syria. RAF 2006- . Issue: 3 sons.</v>
      </c>
      <c r="AM166" s="105" t="str">
        <f>IF(AND(LEN(H166)&gt;0,ISNA(IF(K166="Boy",VLOOKUP(A166,'Siblings of those BORN Loyd'!$AP$3:$AQ$70,2,FALSE),VLOOKUP(A166,'Children of Female Loyds'!$AR$5:$AS$60,2,FALSE)))),"d.s.p","")</f>
        <v/>
      </c>
      <c r="AN166" s="99" t="str">
        <f t="shared" si="84"/>
        <v>Tim (1957–: #136)</v>
      </c>
      <c r="AO166" s="99" t="str">
        <f t="shared" si="73"/>
        <v>Alwyne (1920–2014: #94)</v>
      </c>
      <c r="AP166" s="99" t="str">
        <f t="shared" si="74"/>
        <v>Cecil (1890–1963: #68)</v>
      </c>
      <c r="AQ166" s="99" t="str">
        <f t="shared" si="75"/>
        <v>Llewellyn (1861–1939: #45)</v>
      </c>
      <c r="AR166" s="99" t="str">
        <f t="shared" si="76"/>
        <v>Edward (1820–1890: #22)</v>
      </c>
      <c r="AS166" s="99" t="str">
        <f t="shared" si="77"/>
        <v>Edward (1780–1863: #8)</v>
      </c>
      <c r="AT166" s="99" t="str">
        <f t="shared" si="78"/>
        <v>William (1729–1800: #1)</v>
      </c>
      <c r="AU166" s="99" t="str">
        <f t="shared" si="79"/>
        <v/>
      </c>
      <c r="AW166" s="116" t="str">
        <f>VLOOKUP(A166,'Updated Bios &amp; Spouse Details'!$A$1:$J$193,6,FALSE)</f>
        <v>England, Scotland, Afghanistan, Iraq and Syria</v>
      </c>
      <c r="AX166" s="131">
        <f>VLOOKUP($A166,'Loyd List 1-190 - Edit'!$P$2:$AQ$220,AX$1,FALSE)</f>
        <v>164</v>
      </c>
      <c r="AY166" s="116" t="str">
        <f>IF(ISNA(VLOOKUP(A166,'Data check lookup table'!$G$2:$V$73,AY$1,FALSE))," - ",VLOOKUP(A166,'Data check lookup table'!$G$2:$V$73,AY$1,FALSE))</f>
        <v>poppycl@hotmail.com</v>
      </c>
      <c r="AZ166" s="147" t="str">
        <f t="shared" si="69"/>
        <v/>
      </c>
      <c r="BA166" s="99" t="str">
        <f t="shared" si="85"/>
        <v>, Edward (1780–1863: #8)</v>
      </c>
      <c r="BB166" s="99" t="str">
        <f t="shared" si="82"/>
        <v>; William (1729–1800: #1)</v>
      </c>
      <c r="BI166" s="147" t="s">
        <v>3228</v>
      </c>
    </row>
    <row r="167" spans="1:61" s="99" customFormat="1" ht="68">
      <c r="A167" s="139">
        <f>'Loyd List 1-190 - Edit'!C167</f>
        <v>165</v>
      </c>
      <c r="B167" s="99" t="str">
        <f>VLOOKUP($A167,'Loyd List 1-190 - Edit'!$C$1:$AQ$220,'Book Details - NO EDIT'!B$1,FALSE)</f>
        <v>Rose</v>
      </c>
      <c r="C167" s="99" t="str">
        <f>IF(VLOOKUP($A167,'Loyd List 1-190 - Edit'!$C$1:$AQ$220,'Book Details - NO EDIT'!C$1,FALSE)="","",VLOOKUP($A167,'Loyd List 1-190 - Edit'!$C$1:$AQ$220,'Book Details - NO EDIT'!C$1,FALSE))</f>
        <v>Elizabeth</v>
      </c>
      <c r="D167" s="99" t="str">
        <f>IF(VLOOKUP($A167,'Loyd List 1-190 - Edit'!$C$1:$AQ$220,'Book Details - NO EDIT'!D$1,FALSE)="","",VLOOKUP($A167,'Loyd List 1-190 - Edit'!$C$1:$AQ$220,'Book Details - NO EDIT'!D$1,FALSE))</f>
        <v/>
      </c>
      <c r="E167" s="99" t="str">
        <f>IF(VLOOKUP($A167,'Loyd List 1-190 - Edit'!$C$1:$AQ$220,'Book Details - NO EDIT'!E$1,FALSE)="","",VLOOKUP($A167,'Loyd List 1-190 - Edit'!$C$1:$AQ$220,'Book Details - NO EDIT'!E$1,FALSE))</f>
        <v>CORMACK-LOYD</v>
      </c>
      <c r="F167" s="99" t="str">
        <f>IF(VLOOKUP($A167,'Loyd List 1-190 - Edit'!$C$1:$AQ$220,'Book Details - NO EDIT'!F$1,FALSE)="",B167,VLOOKUP($A167,'Loyd List 1-190 - Edit'!$C$1:$AQ$220,'Book Details - NO EDIT'!F$1,FALSE))</f>
        <v>Rose</v>
      </c>
      <c r="G167" s="140">
        <f>IF(VLOOKUP($A167,'Loyd List 1-190 - Edit'!$C$1:$AQ$220,'Book Details - NO EDIT'!G$1,FALSE)="","",VALUE(VLOOKUP($A167,'Loyd List 1-190 - Edit'!$C$1:$AQ$220,'Book Details - NO EDIT'!G$1,FALSE)))</f>
        <v>1986</v>
      </c>
      <c r="H167" s="140" t="str">
        <f>IF(VLOOKUP($A167,'Loyd List 1-190 - Edit'!$C$1:$AQ$220,'Book Details - NO EDIT'!H$1,FALSE)="","",VALUE(VLOOKUP($A167,'Loyd List 1-190 - Edit'!$C$1:$AQ$220,'Book Details - NO EDIT'!H$1,FALSE)))</f>
        <v/>
      </c>
      <c r="I167" s="141">
        <f>IF(VLOOKUP($A167,'Loyd List 1-190 - Edit'!$C$1:$AQ$220,'Book Details - NO EDIT'!I$1,FALSE)="","",(VLOOKUP($A167,'Loyd List 1-190 - Edit'!$C$1:$AQ$220,'Book Details - NO EDIT'!I$1,FALSE)))</f>
        <v>31600</v>
      </c>
      <c r="J167" s="141" t="str">
        <f>IF(VLOOKUP($A167,'Loyd List 1-190 - Edit'!$C$1:$AQ$220,'Book Details - NO EDIT'!J$1,FALSE)="","",(VLOOKUP($A167,'Loyd List 1-190 - Edit'!$C$1:$AQ$220,'Book Details - NO EDIT'!J$1,FALSE)))</f>
        <v/>
      </c>
      <c r="K167" s="100" t="str">
        <f>VLOOKUP($A167,'Loyd List 1-190 - Edit'!$C$1:$AQ$220,'Book Details - NO EDIT'!K$1,FALSE)</f>
        <v>Girl</v>
      </c>
      <c r="L167" s="140">
        <f>VLOOKUP($A167,'Loyd List 1-190 - Edit'!$C$1:$AQ$220,'Book Details - NO EDIT'!L$1,FALSE)</f>
        <v>136</v>
      </c>
      <c r="M167" s="140">
        <f t="shared" si="60"/>
        <v>94</v>
      </c>
      <c r="N167" s="140">
        <f t="shared" si="60"/>
        <v>68</v>
      </c>
      <c r="O167" s="140">
        <f t="shared" si="60"/>
        <v>45</v>
      </c>
      <c r="P167" s="140">
        <f t="shared" si="60"/>
        <v>22</v>
      </c>
      <c r="Q167" s="140">
        <f t="shared" si="80"/>
        <v>8</v>
      </c>
      <c r="R167" s="140">
        <f t="shared" si="61"/>
        <v>1</v>
      </c>
      <c r="S167" s="140">
        <f t="shared" si="62"/>
        <v>0</v>
      </c>
      <c r="T167" s="140">
        <f t="shared" si="58"/>
        <v>7</v>
      </c>
      <c r="U167" s="139">
        <f t="shared" si="63"/>
        <v>165</v>
      </c>
      <c r="V167" s="31" t="str">
        <f t="shared" si="64"/>
        <v>Rose (1986–)</v>
      </c>
      <c r="W167" s="31" t="str">
        <f t="shared" si="65"/>
        <v>Rose (#165)</v>
      </c>
      <c r="X167" s="99" t="str">
        <f t="shared" si="66"/>
        <v>Rose (1986–: #165)</v>
      </c>
      <c r="Y167" s="99" t="str">
        <f t="shared" si="83"/>
        <v>Rose Elizabeth CORMACK-LOYD</v>
      </c>
      <c r="Z167" s="99" t="str">
        <f t="shared" si="67"/>
        <v>Tim (1957–: #136)</v>
      </c>
      <c r="AA167" s="99" t="str">
        <f t="shared" si="72"/>
        <v xml:space="preserve">Tim (1957–: #136) Alwyne (1920–2014: #94) Cecil (1890–1963: #68) Llewellyn (1861–1939: #45) Edward (1820–1890: #22) Edward (1780–1863: #8) William (1729–1800: #1) </v>
      </c>
      <c r="AB167" s="142" t="str">
        <f>VLOOKUP(U167,'Siblings of those BORN Loyd'!$A$2:$G$230,7,FALSE)</f>
        <v xml:space="preserve">2 – Poppy (1984–: #164)  Florina (1991–: #172)      </v>
      </c>
      <c r="AC167" s="115" t="str">
        <f>IF(ISNA(IF(K167="Boy",VLOOKUP(A167,'Siblings of those BORN Loyd'!$AP$3:$AQ$70,2,FALSE),VLOOKUP(A167,'Children of Female Loyds'!$AR$5:$AT$60,3,FALSE))),AM167,IF(K167="Boy",VLOOKUP(A167,'Siblings of those BORN Loyd'!$AP$3:$AQ$70,2,FALSE),VLOOKUP(A167,'Children of Female Loyds'!$AR$5:$AT$60,3,FALSE)))</f>
        <v xml:space="preserve">2 - Leila PURI (2017 - : #165a) Alana PURI (2019 - : #165b)      </v>
      </c>
      <c r="AD167" s="97" t="str">
        <f t="shared" si="81"/>
        <v>-</v>
      </c>
      <c r="AE167" s="105" t="str">
        <f>IF(ISNA(IF(K167="Boy",VLOOKUP(A167,'Grandchildren of Male Loyds'!$AQ$3:$AS$51,3,FALSE),VLOOKUP(A167,'Grandchildren of Female Loyds'!$AX$5:$AZ$63,3,FALSE))),AM167,IF(K167="Boy",VLOOKUP(A167,'Grandchildren of Male Loyds'!$AQ$3:$AS$51,3,FALSE),VLOOKUP(A167,'Grandchildren of Female Loyds'!$AX$5:$AZ$63,3,FALSE)))</f>
        <v/>
      </c>
      <c r="AF167" s="105" t="str">
        <f>IF(ISNA(VLOOKUP(A167,'Grandchildren Loyd Daughters'!$BD$5:$BF$50,4,FALSE)),"",VLOOKUP(A167,'Grandchildren Loyd Daughters'!$BD$5:$BF$50,3,FALSE))</f>
        <v/>
      </c>
      <c r="AG167" s="129">
        <f>IF(ISNA(VLOOKUP(A167,'Grandchildren of Male Loyds'!$AQ$3:$AR$60,2,FALSE)),0,VLOOKUP(A167,'Grandchildren of Male Loyds'!$AQ$3:$AR$60,2,FALSE))+IF(ISNA(VLOOKUP(A167,'Grandchildren of Female Loyds'!$AX$5:$AY$50,2,FALSE)),0,VLOOKUP(A167,'Grandchildren of Female Loyds'!$AX$5:$AY$50,2,FALSE))+IF(ISNA(VLOOKUP(A167,'Grandchildren Loyd Daughters'!$BD$5:$BE$50,2,FALSE)),0,VLOOKUP(A167,'Grandchildren Loyd Daughters'!$BD$5:$BE$50,2,FALSE))</f>
        <v>0</v>
      </c>
      <c r="AH167" s="129" t="str">
        <f>VLOOKUP($U167,'Loyd List 1-190 - Edit'!$P$3:$AJ$220,21,FALSE)</f>
        <v>Cherry Margaret CORMACK (b. 18 Sep 1956, )</v>
      </c>
      <c r="AI167" s="129" t="str">
        <f>VLOOKUP(A167,'Updated Bios &amp; Spouse Details'!$A$1:$J$200,7,FALSE)</f>
        <v>Roshan PURI (b. 11 Mar 1986, )</v>
      </c>
      <c r="AJ167" s="130">
        <f>IF(VLOOKUP($A167,'Loyd List 1-190 - Edit'!$C$1:$AQ$220,'Book Details - NO EDIT'!AJ$1,FALSE)="","",(VLOOKUP($A167,'Loyd List 1-190 - Edit'!$C$1:$AQ$220,'Book Details - NO EDIT'!AJ$1,FALSE)))</f>
        <v>41811</v>
      </c>
      <c r="AK167" s="129" t="str">
        <f>VLOOKUP(A167,'Updated Bios &amp; Spouse Details'!$A$1:$J$200,8,FALSE)</f>
        <v xml:space="preserve">Married, at Dorchester Abbey, Dorchester on Thames, Oxfordshire, Roshan (Rosh), younger son of Shammy and Sheila PURI. </v>
      </c>
      <c r="AL167" s="131" t="str">
        <f>VLOOKUP(A167,'Updated Bios &amp; Spouse Details'!$A$1:$J$200,5,FALSE)</f>
        <v>Rose lives in Kent and is the 2nd daughter of Tim (1957–  :  #136). Born 7 Jul 1986 at Princess Anne Maternity Hospital, Southampton. Education: Headington, Oxford and University of Liverpool (BSc Hons Physiotherapy). Issue: 2 daughters.</v>
      </c>
      <c r="AM167" s="105" t="str">
        <f>IF(AND(LEN(H167)&gt;0,ISNA(IF(K167="Boy",VLOOKUP(A167,'Siblings of those BORN Loyd'!$AP$3:$AQ$70,2,FALSE),VLOOKUP(A167,'Children of Female Loyds'!$AR$5:$AS$60,2,FALSE)))),"d.s.p","")</f>
        <v/>
      </c>
      <c r="AN167" s="99" t="str">
        <f t="shared" si="84"/>
        <v>Tim (1957–: #136)</v>
      </c>
      <c r="AO167" s="99" t="str">
        <f t="shared" si="73"/>
        <v>Alwyne (1920–2014: #94)</v>
      </c>
      <c r="AP167" s="99" t="str">
        <f t="shared" si="74"/>
        <v>Cecil (1890–1963: #68)</v>
      </c>
      <c r="AQ167" s="99" t="str">
        <f t="shared" si="75"/>
        <v>Llewellyn (1861–1939: #45)</v>
      </c>
      <c r="AR167" s="99" t="str">
        <f t="shared" si="76"/>
        <v>Edward (1820–1890: #22)</v>
      </c>
      <c r="AS167" s="99" t="str">
        <f t="shared" si="77"/>
        <v>Edward (1780–1863: #8)</v>
      </c>
      <c r="AT167" s="99" t="str">
        <f t="shared" si="78"/>
        <v>William (1729–1800: #1)</v>
      </c>
      <c r="AU167" s="99" t="str">
        <f t="shared" si="79"/>
        <v/>
      </c>
      <c r="AW167" s="116" t="str">
        <f>VLOOKUP(A167,'Updated Bios &amp; Spouse Details'!$A$1:$J$193,6,FALSE)</f>
        <v>England</v>
      </c>
      <c r="AX167" s="131">
        <f>VLOOKUP($A167,'Loyd List 1-190 - Edit'!$P$2:$AQ$220,AX$1,FALSE)</f>
        <v>165</v>
      </c>
      <c r="AY167" s="116" t="str">
        <f>IF(ISNA(VLOOKUP(A167,'Data check lookup table'!$G$2:$V$73,AY$1,FALSE))," - ",VLOOKUP(A167,'Data check lookup table'!$G$2:$V$73,AY$1,FALSE))</f>
        <v>rosepuri77@gmail.com</v>
      </c>
      <c r="AZ167" s="147" t="str">
        <f t="shared" si="69"/>
        <v/>
      </c>
      <c r="BA167" s="99" t="str">
        <f t="shared" si="85"/>
        <v>, Edward (1780–1863: #8)</v>
      </c>
      <c r="BB167" s="99" t="str">
        <f t="shared" si="82"/>
        <v>; William (1729–1800: #1)</v>
      </c>
      <c r="BC167" s="99" t="str">
        <f t="shared" si="82"/>
        <v/>
      </c>
      <c r="BI167" s="147" t="s">
        <v>3228</v>
      </c>
    </row>
    <row r="168" spans="1:61" s="99" customFormat="1" ht="34">
      <c r="A168" s="139">
        <f>'Loyd List 1-190 - Edit'!C168</f>
        <v>166</v>
      </c>
      <c r="B168" s="99" t="str">
        <f>VLOOKUP($A168,'Loyd List 1-190 - Edit'!$C$1:$AQ$220,'Book Details - NO EDIT'!B$1,FALSE)</f>
        <v>Gareth</v>
      </c>
      <c r="C168" s="99" t="str">
        <f>IF(VLOOKUP($A168,'Loyd List 1-190 - Edit'!$C$1:$AQ$220,'Book Details - NO EDIT'!C$1,FALSE)="","",VLOOKUP($A168,'Loyd List 1-190 - Edit'!$C$1:$AQ$220,'Book Details - NO EDIT'!C$1,FALSE))</f>
        <v/>
      </c>
      <c r="D168" s="99" t="str">
        <f>IF(VLOOKUP($A168,'Loyd List 1-190 - Edit'!$C$1:$AQ$220,'Book Details - NO EDIT'!D$1,FALSE)="","",VLOOKUP($A168,'Loyd List 1-190 - Edit'!$C$1:$AQ$220,'Book Details - NO EDIT'!D$1,FALSE))</f>
        <v/>
      </c>
      <c r="E168" s="99" t="str">
        <f>IF(VLOOKUP($A168,'Loyd List 1-190 - Edit'!$C$1:$AQ$220,'Book Details - NO EDIT'!E$1,FALSE)="","",VLOOKUP($A168,'Loyd List 1-190 - Edit'!$C$1:$AQ$220,'Book Details - NO EDIT'!E$1,FALSE))</f>
        <v>LOYD</v>
      </c>
      <c r="F168" s="99" t="str">
        <f>IF(VLOOKUP($A168,'Loyd List 1-190 - Edit'!$C$1:$AQ$220,'Book Details - NO EDIT'!F$1,FALSE)="",B168,VLOOKUP($A168,'Loyd List 1-190 - Edit'!$C$1:$AQ$220,'Book Details - NO EDIT'!F$1,FALSE))</f>
        <v>Gareth</v>
      </c>
      <c r="G168" s="140">
        <f>IF(VLOOKUP($A168,'Loyd List 1-190 - Edit'!$C$1:$AQ$220,'Book Details - NO EDIT'!G$1,FALSE)="","",VALUE(VLOOKUP($A168,'Loyd List 1-190 - Edit'!$C$1:$AQ$220,'Book Details - NO EDIT'!G$1,FALSE)))</f>
        <v>1988</v>
      </c>
      <c r="H168" s="140" t="str">
        <f>IF(VLOOKUP($A168,'Loyd List 1-190 - Edit'!$C$1:$AQ$220,'Book Details - NO EDIT'!H$1,FALSE)="","",VALUE(VLOOKUP($A168,'Loyd List 1-190 - Edit'!$C$1:$AQ$220,'Book Details - NO EDIT'!H$1,FALSE)))</f>
        <v/>
      </c>
      <c r="I168" s="141">
        <f>IF(VLOOKUP($A168,'Loyd List 1-190 - Edit'!$C$1:$AQ$220,'Book Details - NO EDIT'!I$1,FALSE)="","",(VLOOKUP($A168,'Loyd List 1-190 - Edit'!$C$1:$AQ$220,'Book Details - NO EDIT'!I$1,FALSE)))</f>
        <v>32166</v>
      </c>
      <c r="J168" s="141" t="str">
        <f>IF(VLOOKUP($A168,'Loyd List 1-190 - Edit'!$C$1:$AQ$220,'Book Details - NO EDIT'!J$1,FALSE)="","",(VLOOKUP($A168,'Loyd List 1-190 - Edit'!$C$1:$AQ$220,'Book Details - NO EDIT'!J$1,FALSE)))</f>
        <v/>
      </c>
      <c r="K168" s="100" t="str">
        <f>VLOOKUP($A168,'Loyd List 1-190 - Edit'!$C$1:$AQ$220,'Book Details - NO EDIT'!K$1,FALSE)</f>
        <v>Boy</v>
      </c>
      <c r="L168" s="140">
        <f>VLOOKUP($A168,'Loyd List 1-190 - Edit'!$C$1:$AQ$220,'Book Details - NO EDIT'!L$1,FALSE)</f>
        <v>130</v>
      </c>
      <c r="M168" s="140">
        <f t="shared" si="60"/>
        <v>86</v>
      </c>
      <c r="N168" s="140">
        <f t="shared" si="60"/>
        <v>71</v>
      </c>
      <c r="O168" s="140">
        <f t="shared" si="60"/>
        <v>34</v>
      </c>
      <c r="P168" s="140">
        <f t="shared" si="60"/>
        <v>14</v>
      </c>
      <c r="Q168" s="140">
        <f t="shared" si="80"/>
        <v>4</v>
      </c>
      <c r="R168" s="140">
        <f t="shared" si="61"/>
        <v>1</v>
      </c>
      <c r="S168" s="140">
        <f t="shared" si="62"/>
        <v>0</v>
      </c>
      <c r="T168" s="140">
        <f t="shared" si="58"/>
        <v>7</v>
      </c>
      <c r="U168" s="139">
        <f t="shared" si="63"/>
        <v>166</v>
      </c>
      <c r="V168" s="31" t="str">
        <f t="shared" si="64"/>
        <v>Gareth (1988–)</v>
      </c>
      <c r="W168" s="31" t="str">
        <f t="shared" si="65"/>
        <v>Gareth (#166)</v>
      </c>
      <c r="X168" s="99" t="str">
        <f t="shared" si="66"/>
        <v>Gareth (1988–: #166)</v>
      </c>
      <c r="Y168" s="99" t="str">
        <f t="shared" si="83"/>
        <v>Gareth LOYD</v>
      </c>
      <c r="Z168" s="99" t="str">
        <f t="shared" si="67"/>
        <v>David (1952–: #130)</v>
      </c>
      <c r="AA168" s="99" t="str">
        <f t="shared" si="72"/>
        <v xml:space="preserve">David (1952–: #130) Peter (1913–2008: #86) Arthur (1890–1974: #71) Ted (1851–1922: #34) Thomas (1812–1857: #14) William (1770–1828: #4) William (1729–1800: #1) </v>
      </c>
      <c r="AB168" s="142" t="str">
        <f>VLOOKUP(U168,'Siblings of those BORN Loyd'!$A$2:$G$230,7,FALSE)</f>
        <v>0 – Only chlid</v>
      </c>
      <c r="AC168" s="115" t="str">
        <f>IF(ISNA(IF(K168="Boy",VLOOKUP(A168,'Siblings of those BORN Loyd'!$AP$3:$AQ$70,2,FALSE),VLOOKUP(A168,'Children of Female Loyds'!$AR$5:$AT$60,3,FALSE))),AM168,IF(K168="Boy",VLOOKUP(A168,'Siblings of those BORN Loyd'!$AP$3:$AQ$70,2,FALSE),VLOOKUP(A168,'Children of Female Loyds'!$AR$5:$AT$60,3,FALSE)))</f>
        <v/>
      </c>
      <c r="AD168" s="97" t="str">
        <f t="shared" si="81"/>
        <v>-</v>
      </c>
      <c r="AE168" s="105" t="str">
        <f>IF(ISNA(IF(K168="Boy",VLOOKUP(A168,'Grandchildren of Male Loyds'!$AQ$3:$AS$51,3,FALSE),VLOOKUP(A168,'Grandchildren of Female Loyds'!$AX$5:$AZ$63,3,FALSE))),AM168,IF(K168="Boy",VLOOKUP(A168,'Grandchildren of Male Loyds'!$AQ$3:$AS$51,3,FALSE),VLOOKUP(A168,'Grandchildren of Female Loyds'!$AX$5:$AZ$63,3,FALSE)))</f>
        <v/>
      </c>
      <c r="AF168" s="105" t="str">
        <f>IF(ISNA(VLOOKUP(A168,'Grandchildren Loyd Daughters'!$BD$5:$BF$50,4,FALSE)),"",VLOOKUP(A168,'Grandchildren Loyd Daughters'!$BD$5:$BF$50,3,FALSE))</f>
        <v/>
      </c>
      <c r="AG168" s="129">
        <f>IF(ISNA(VLOOKUP(A168,'Grandchildren of Male Loyds'!$AQ$3:$AR$60,2,FALSE)),0,VLOOKUP(A168,'Grandchildren of Male Loyds'!$AQ$3:$AR$60,2,FALSE))+IF(ISNA(VLOOKUP(A168,'Grandchildren of Female Loyds'!$AX$5:$AY$50,2,FALSE)),0,VLOOKUP(A168,'Grandchildren of Female Loyds'!$AX$5:$AY$50,2,FALSE))+IF(ISNA(VLOOKUP(A168,'Grandchildren Loyd Daughters'!$BD$5:$BE$50,2,FALSE)),0,VLOOKUP(A168,'Grandchildren Loyd Daughters'!$BD$5:$BE$50,2,FALSE))</f>
        <v>0</v>
      </c>
      <c r="AH168" s="129" t="str">
        <f>VLOOKUP($U168,'Loyd List 1-190 - Edit'!$P$3:$AJ$220,21,FALSE)</f>
        <v>Jacqueline Mary HERMAN (b. 4 Nov 1955, )</v>
      </c>
      <c r="AI168" s="129" t="str">
        <f>VLOOKUP(A168,'Updated Bios &amp; Spouse Details'!$A$1:$J$200,7,FALSE)</f>
        <v>-</v>
      </c>
      <c r="AJ168" s="130" t="str">
        <f>IF(VLOOKUP($A168,'Loyd List 1-190 - Edit'!$C$1:$AQ$220,'Book Details - NO EDIT'!AJ$1,FALSE)="","",(VLOOKUP($A168,'Loyd List 1-190 - Edit'!$C$1:$AQ$220,'Book Details - NO EDIT'!AJ$1,FALSE)))</f>
        <v/>
      </c>
      <c r="AK168" s="129" t="str">
        <f>VLOOKUP(A168,'Updated Bios &amp; Spouse Details'!$A$1:$J$200,8,FALSE)</f>
        <v xml:space="preserve"> -</v>
      </c>
      <c r="AL168" s="131" t="str">
        <f>VLOOKUP(A168,'Updated Bios &amp; Spouse Details'!$A$1:$J$200,5,FALSE)</f>
        <v>Gareth lives in Vancouver and is the only son of David (1952– : #130). Born 24 Jan 1988. Baptised 16 Oct 1988 at Benvoulin Heritage Church. Career: Canada Mortgage and Housing Corp.</v>
      </c>
      <c r="AM168" s="105" t="str">
        <f>IF(AND(LEN(H168)&gt;0,ISNA(IF(K168="Boy",VLOOKUP(A168,'Siblings of those BORN Loyd'!$AP$3:$AQ$70,2,FALSE),VLOOKUP(A168,'Children of Female Loyds'!$AR$5:$AS$60,2,FALSE)))),"d.s.p","")</f>
        <v/>
      </c>
      <c r="AN168" s="99" t="str">
        <f t="shared" si="84"/>
        <v>David (1952–: #130)</v>
      </c>
      <c r="AO168" s="99" t="str">
        <f t="shared" si="73"/>
        <v>Peter (1913–2008: #86)</v>
      </c>
      <c r="AP168" s="99" t="str">
        <f t="shared" si="74"/>
        <v>Arthur (1890–1974: #71)</v>
      </c>
      <c r="AQ168" s="99" t="str">
        <f t="shared" si="75"/>
        <v>Ted (1851–1922: #34)</v>
      </c>
      <c r="AR168" s="99" t="str">
        <f t="shared" si="76"/>
        <v>Thomas (1812–1857: #14)</v>
      </c>
      <c r="AS168" s="99" t="str">
        <f t="shared" si="77"/>
        <v>William (1770–1828: #4)</v>
      </c>
      <c r="AT168" s="99" t="str">
        <f t="shared" si="78"/>
        <v>William (1729–1800: #1)</v>
      </c>
      <c r="AU168" s="99" t="str">
        <f t="shared" si="79"/>
        <v/>
      </c>
      <c r="AW168" s="116" t="str">
        <f>VLOOKUP(A168,'Updated Bios &amp; Spouse Details'!$A$1:$J$193,6,FALSE)</f>
        <v>Canada</v>
      </c>
      <c r="AX168" s="131">
        <f>VLOOKUP($A168,'Loyd List 1-190 - Edit'!$P$2:$AQ$220,AX$1,FALSE)</f>
        <v>166</v>
      </c>
      <c r="AY168" s="116" t="str">
        <f>IF(ISNA(VLOOKUP(A168,'Data check lookup table'!$G$2:$V$73,AY$1,FALSE))," - ",VLOOKUP(A168,'Data check lookup table'!$G$2:$V$73,AY$1,FALSE))</f>
        <v>jdloyd1783@gmail.com</v>
      </c>
      <c r="AZ168" s="147" t="str">
        <f t="shared" si="69"/>
        <v/>
      </c>
      <c r="BA168" s="99" t="str">
        <f t="shared" si="85"/>
        <v>, William (1770–1828: #4)</v>
      </c>
      <c r="BB168" s="99" t="str">
        <f t="shared" si="82"/>
        <v>; William (1729–1800: #1)</v>
      </c>
      <c r="BC168" s="99" t="str">
        <f t="shared" si="82"/>
        <v/>
      </c>
      <c r="BI168" s="147" t="s">
        <v>3228</v>
      </c>
    </row>
    <row r="169" spans="1:61" s="99" customFormat="1" ht="51">
      <c r="A169" s="139">
        <f>'Loyd List 1-190 - Edit'!C169</f>
        <v>167</v>
      </c>
      <c r="B169" s="99" t="str">
        <f>VLOOKUP($A169,'Loyd List 1-190 - Edit'!$C$1:$AQ$220,'Book Details - NO EDIT'!B$1,FALSE)</f>
        <v>Benjamin</v>
      </c>
      <c r="C169" s="99" t="str">
        <f>IF(VLOOKUP($A169,'Loyd List 1-190 - Edit'!$C$1:$AQ$220,'Book Details - NO EDIT'!C$1,FALSE)="","",VLOOKUP($A169,'Loyd List 1-190 - Edit'!$C$1:$AQ$220,'Book Details - NO EDIT'!C$1,FALSE))</f>
        <v>Edward</v>
      </c>
      <c r="D169" s="99" t="str">
        <f>IF(VLOOKUP($A169,'Loyd List 1-190 - Edit'!$C$1:$AQ$220,'Book Details - NO EDIT'!D$1,FALSE)="","",VLOOKUP($A169,'Loyd List 1-190 - Edit'!$C$1:$AQ$220,'Book Details - NO EDIT'!D$1,FALSE))</f>
        <v/>
      </c>
      <c r="E169" s="99" t="str">
        <f>IF(VLOOKUP($A169,'Loyd List 1-190 - Edit'!$C$1:$AQ$220,'Book Details - NO EDIT'!E$1,FALSE)="","",VLOOKUP($A169,'Loyd List 1-190 - Edit'!$C$1:$AQ$220,'Book Details - NO EDIT'!E$1,FALSE))</f>
        <v>LOYD</v>
      </c>
      <c r="F169" s="99" t="str">
        <f>IF(VLOOKUP($A169,'Loyd List 1-190 - Edit'!$C$1:$AQ$220,'Book Details - NO EDIT'!F$1,FALSE)="",B169,VLOOKUP($A169,'Loyd List 1-190 - Edit'!$C$1:$AQ$220,'Book Details - NO EDIT'!F$1,FALSE))</f>
        <v>Ben</v>
      </c>
      <c r="G169" s="140">
        <f>IF(VLOOKUP($A169,'Loyd List 1-190 - Edit'!$C$1:$AQ$220,'Book Details - NO EDIT'!G$1,FALSE)="","",VALUE(VLOOKUP($A169,'Loyd List 1-190 - Edit'!$C$1:$AQ$220,'Book Details - NO EDIT'!G$1,FALSE)))</f>
        <v>1988</v>
      </c>
      <c r="H169" s="140" t="str">
        <f>IF(VLOOKUP($A169,'Loyd List 1-190 - Edit'!$C$1:$AQ$220,'Book Details - NO EDIT'!H$1,FALSE)="","",VALUE(VLOOKUP($A169,'Loyd List 1-190 - Edit'!$C$1:$AQ$220,'Book Details - NO EDIT'!H$1,FALSE)))</f>
        <v/>
      </c>
      <c r="I169" s="141">
        <f>IF(VLOOKUP($A169,'Loyd List 1-190 - Edit'!$C$1:$AQ$220,'Book Details - NO EDIT'!I$1,FALSE)="","",(VLOOKUP($A169,'Loyd List 1-190 - Edit'!$C$1:$AQ$220,'Book Details - NO EDIT'!I$1,FALSE)))</f>
        <v>32213</v>
      </c>
      <c r="J169" s="141" t="str">
        <f>IF(VLOOKUP($A169,'Loyd List 1-190 - Edit'!$C$1:$AQ$220,'Book Details - NO EDIT'!J$1,FALSE)="","",(VLOOKUP($A169,'Loyd List 1-190 - Edit'!$C$1:$AQ$220,'Book Details - NO EDIT'!J$1,FALSE)))</f>
        <v/>
      </c>
      <c r="K169" s="100" t="str">
        <f>VLOOKUP($A169,'Loyd List 1-190 - Edit'!$C$1:$AQ$220,'Book Details - NO EDIT'!K$1,FALSE)</f>
        <v>Boy</v>
      </c>
      <c r="L169" s="140">
        <f>VLOOKUP($A169,'Loyd List 1-190 - Edit'!$C$1:$AQ$220,'Book Details - NO EDIT'!L$1,FALSE)</f>
        <v>131</v>
      </c>
      <c r="M169" s="140">
        <f t="shared" si="60"/>
        <v>94</v>
      </c>
      <c r="N169" s="140">
        <f t="shared" si="60"/>
        <v>68</v>
      </c>
      <c r="O169" s="140">
        <f t="shared" si="60"/>
        <v>45</v>
      </c>
      <c r="P169" s="140">
        <f t="shared" si="60"/>
        <v>22</v>
      </c>
      <c r="Q169" s="140">
        <f t="shared" si="80"/>
        <v>8</v>
      </c>
      <c r="R169" s="140">
        <f t="shared" si="61"/>
        <v>1</v>
      </c>
      <c r="S169" s="140">
        <f t="shared" si="62"/>
        <v>0</v>
      </c>
      <c r="T169" s="140">
        <f t="shared" si="58"/>
        <v>7</v>
      </c>
      <c r="U169" s="139">
        <f t="shared" si="63"/>
        <v>167</v>
      </c>
      <c r="V169" s="31" t="str">
        <f t="shared" si="64"/>
        <v>Ben (1988–)</v>
      </c>
      <c r="W169" s="31" t="str">
        <f t="shared" si="65"/>
        <v>Ben (#167)</v>
      </c>
      <c r="X169" s="99" t="str">
        <f t="shared" si="66"/>
        <v>Ben (1988–: #167)</v>
      </c>
      <c r="Y169" s="99" t="str">
        <f t="shared" si="83"/>
        <v>Benjamin Edward LOYD</v>
      </c>
      <c r="Z169" s="99" t="str">
        <f t="shared" si="67"/>
        <v>Dominic (1953–: #131)</v>
      </c>
      <c r="AA169" s="99" t="str">
        <f t="shared" si="72"/>
        <v xml:space="preserve">Dominic (1953–: #131) Alwyne (1920–2014: #94) Cecil (1890–1963: #68) Llewellyn (1861–1939: #45) Edward (1820–1890: #22) Edward (1780–1863: #8) William (1729–1800: #1) </v>
      </c>
      <c r="AB169" s="142" t="str">
        <f>VLOOKUP(U169,'Siblings of those BORN Loyd'!$A$2:$G$230,7,FALSE)</f>
        <v xml:space="preserve">2 – John (1982–: #160) David (1984–: #162)       </v>
      </c>
      <c r="AC169" s="115" t="str">
        <f>IF(ISNA(IF(K169="Boy",VLOOKUP(A169,'Siblings of those BORN Loyd'!$AP$3:$AQ$70,2,FALSE),VLOOKUP(A169,'Children of Female Loyds'!$AR$5:$AT$60,3,FALSE))),AM169,IF(K169="Boy",VLOOKUP(A169,'Siblings of those BORN Loyd'!$AP$3:$AQ$70,2,FALSE),VLOOKUP(A169,'Children of Female Loyds'!$AR$5:$AT$60,3,FALSE)))</f>
        <v>2 - Olivia (2014–: #187); Daisy (2021–: #190)</v>
      </c>
      <c r="AD169" s="97" t="str">
        <f t="shared" si="81"/>
        <v>-</v>
      </c>
      <c r="AE169" s="105" t="str">
        <f>IF(ISNA(IF(K169="Boy",VLOOKUP(A169,'Grandchildren of Male Loyds'!$AQ$3:$AS$51,3,FALSE),VLOOKUP(A169,'Grandchildren of Female Loyds'!$AX$5:$AZ$63,3,FALSE))),AM169,IF(K169="Boy",VLOOKUP(A169,'Grandchildren of Male Loyds'!$AQ$3:$AS$51,3,FALSE),VLOOKUP(A169,'Grandchildren of Female Loyds'!$AX$5:$AZ$63,3,FALSE)))</f>
        <v/>
      </c>
      <c r="AF169" s="105" t="str">
        <f>IF(ISNA(VLOOKUP(A169,'Grandchildren Loyd Daughters'!$BD$5:$BF$50,4,FALSE)),"",VLOOKUP(A169,'Grandchildren Loyd Daughters'!$BD$5:$BF$50,3,FALSE))</f>
        <v/>
      </c>
      <c r="AG169" s="129">
        <f>IF(ISNA(VLOOKUP(A169,'Grandchildren of Male Loyds'!$AQ$3:$AR$60,2,FALSE)),0,VLOOKUP(A169,'Grandchildren of Male Loyds'!$AQ$3:$AR$60,2,FALSE))+IF(ISNA(VLOOKUP(A169,'Grandchildren of Female Loyds'!$AX$5:$AY$50,2,FALSE)),0,VLOOKUP(A169,'Grandchildren of Female Loyds'!$AX$5:$AY$50,2,FALSE))+IF(ISNA(VLOOKUP(A169,'Grandchildren Loyd Daughters'!$BD$5:$BE$50,2,FALSE)),0,VLOOKUP(A169,'Grandchildren Loyd Daughters'!$BD$5:$BE$50,2,FALSE))</f>
        <v>0</v>
      </c>
      <c r="AH169" s="129" t="str">
        <f>VLOOKUP($U169,'Loyd List 1-190 - Edit'!$P$3:$AJ$220,21,FALSE)</f>
        <v>Karina Lesley BOYCE (b. 22 Apr 1954, )</v>
      </c>
      <c r="AI169" s="129" t="str">
        <f>VLOOKUP(A169,'Updated Bios &amp; Spouse Details'!$A$1:$J$200,7,FALSE)</f>
        <v>Holly Kristina TURNER (b. 10 Jan 1988, )</v>
      </c>
      <c r="AJ169" s="130">
        <f>IF(VLOOKUP($A169,'Loyd List 1-190 - Edit'!$C$1:$AQ$220,'Book Details - NO EDIT'!AJ$1,FALSE)="","",(VLOOKUP($A169,'Loyd List 1-190 - Edit'!$C$1:$AQ$220,'Book Details - NO EDIT'!AJ$1,FALSE)))</f>
        <v>43303</v>
      </c>
      <c r="AK169" s="129" t="str">
        <f>VLOOKUP(A169,'Updated Bios &amp; Spouse Details'!$A$1:$J$200,8,FALSE)</f>
        <v xml:space="preserve">Holly, elder daughter of Neil and Kate TURNER of Lincolnshire. </v>
      </c>
      <c r="AL169" s="131" t="str">
        <f>VLOOKUP(A169,'Updated Bios &amp; Spouse Details'!$A$1:$J$200,5,FALSE)</f>
        <v>Ben lives in Lincolnshire and is the 3rd and youngest son of Dominic (1953– : #131). Born 11 Mar 1988 at St Peters Hospital, Chertsey, Surrey. Baptised 10 Jul 1988 at St Andrews, Goldsworth Park, Woking, Surrey in the local school. Education: Tower Road Primary, Giles Secondary school, Boston. University of Herfordshire (BA Hons first class) 3D Animation. Career: Civil Service. Issue 2 daughters.</v>
      </c>
      <c r="AM169" s="105" t="str">
        <f>IF(AND(LEN(H169)&gt;0,ISNA(IF(K169="Boy",VLOOKUP(A169,'Siblings of those BORN Loyd'!$AP$3:$AQ$70,2,FALSE),VLOOKUP(A169,'Children of Female Loyds'!$AR$5:$AS$60,2,FALSE)))),"d.s.p","")</f>
        <v/>
      </c>
      <c r="AN169" s="99" t="str">
        <f t="shared" si="84"/>
        <v>Dominic (1953–: #131)</v>
      </c>
      <c r="AO169" s="99" t="str">
        <f t="shared" si="73"/>
        <v>Alwyne (1920–2014: #94)</v>
      </c>
      <c r="AP169" s="99" t="str">
        <f t="shared" si="74"/>
        <v>Cecil (1890–1963: #68)</v>
      </c>
      <c r="AQ169" s="99" t="str">
        <f t="shared" si="75"/>
        <v>Llewellyn (1861–1939: #45)</v>
      </c>
      <c r="AR169" s="99" t="str">
        <f t="shared" si="76"/>
        <v>Edward (1820–1890: #22)</v>
      </c>
      <c r="AS169" s="99" t="str">
        <f t="shared" si="77"/>
        <v>Edward (1780–1863: #8)</v>
      </c>
      <c r="AT169" s="99" t="str">
        <f t="shared" si="78"/>
        <v>William (1729–1800: #1)</v>
      </c>
      <c r="AU169" s="99" t="str">
        <f t="shared" si="79"/>
        <v/>
      </c>
      <c r="AW169" s="116" t="str">
        <f>VLOOKUP(A169,'Updated Bios &amp; Spouse Details'!$A$1:$J$193,6,FALSE)</f>
        <v>England</v>
      </c>
      <c r="AX169" s="131">
        <f>VLOOKUP($A169,'Loyd List 1-190 - Edit'!$P$2:$AQ$220,AX$1,FALSE)</f>
        <v>167</v>
      </c>
      <c r="AY169" s="116" t="str">
        <f>IF(ISNA(VLOOKUP(A169,'Data check lookup table'!$G$2:$V$73,AY$1,FALSE))," - ",VLOOKUP(A169,'Data check lookup table'!$G$2:$V$73,AY$1,FALSE))</f>
        <v>streetb03@hotmail.com</v>
      </c>
      <c r="AZ169" s="147" t="str">
        <f t="shared" si="69"/>
        <v/>
      </c>
      <c r="BA169" s="99" t="str">
        <f t="shared" si="85"/>
        <v>, Edward (1780–1863: #8)</v>
      </c>
      <c r="BB169" s="99" t="str">
        <f t="shared" si="82"/>
        <v>; William (1729–1800: #1)</v>
      </c>
      <c r="BC169" s="99" t="str">
        <f t="shared" si="82"/>
        <v/>
      </c>
      <c r="BI169" s="147" t="s">
        <v>3228</v>
      </c>
    </row>
    <row r="170" spans="1:61" s="99" customFormat="1" ht="34">
      <c r="A170" s="139">
        <f>'Loyd List 1-190 - Edit'!C170</f>
        <v>168</v>
      </c>
      <c r="B170" s="99" t="str">
        <f>VLOOKUP($A170,'Loyd List 1-190 - Edit'!$C$1:$AQ$220,'Book Details - NO EDIT'!B$1,FALSE)</f>
        <v>Camilla</v>
      </c>
      <c r="C170" s="99" t="str">
        <f>IF(VLOOKUP($A170,'Loyd List 1-190 - Edit'!$C$1:$AQ$220,'Book Details - NO EDIT'!C$1,FALSE)="","",VLOOKUP($A170,'Loyd List 1-190 - Edit'!$C$1:$AQ$220,'Book Details - NO EDIT'!C$1,FALSE))</f>
        <v>Mary</v>
      </c>
      <c r="D170" s="99" t="str">
        <f>IF(VLOOKUP($A170,'Loyd List 1-190 - Edit'!$C$1:$AQ$220,'Book Details - NO EDIT'!D$1,FALSE)="","",VLOOKUP($A170,'Loyd List 1-190 - Edit'!$C$1:$AQ$220,'Book Details - NO EDIT'!D$1,FALSE))</f>
        <v/>
      </c>
      <c r="E170" s="99" t="str">
        <f>IF(VLOOKUP($A170,'Loyd List 1-190 - Edit'!$C$1:$AQ$220,'Book Details - NO EDIT'!E$1,FALSE)="","",VLOOKUP($A170,'Loyd List 1-190 - Edit'!$C$1:$AQ$220,'Book Details - NO EDIT'!E$1,FALSE))</f>
        <v>LOYD</v>
      </c>
      <c r="F170" s="99" t="str">
        <f>IF(VLOOKUP($A170,'Loyd List 1-190 - Edit'!$C$1:$AQ$220,'Book Details - NO EDIT'!F$1,FALSE)="",B170,VLOOKUP($A170,'Loyd List 1-190 - Edit'!$C$1:$AQ$220,'Book Details - NO EDIT'!F$1,FALSE))</f>
        <v>Camilla</v>
      </c>
      <c r="G170" s="140">
        <f>IF(VLOOKUP($A170,'Loyd List 1-190 - Edit'!$C$1:$AQ$220,'Book Details - NO EDIT'!G$1,FALSE)="","",VALUE(VLOOKUP($A170,'Loyd List 1-190 - Edit'!$C$1:$AQ$220,'Book Details - NO EDIT'!G$1,FALSE)))</f>
        <v>1988</v>
      </c>
      <c r="H170" s="140" t="str">
        <f>IF(VLOOKUP($A170,'Loyd List 1-190 - Edit'!$C$1:$AQ$220,'Book Details - NO EDIT'!H$1,FALSE)="","",VALUE(VLOOKUP($A170,'Loyd List 1-190 - Edit'!$C$1:$AQ$220,'Book Details - NO EDIT'!H$1,FALSE)))</f>
        <v/>
      </c>
      <c r="I170" s="141">
        <f>IF(VLOOKUP($A170,'Loyd List 1-190 - Edit'!$C$1:$AQ$220,'Book Details - NO EDIT'!I$1,FALSE)="","",(VLOOKUP($A170,'Loyd List 1-190 - Edit'!$C$1:$AQ$220,'Book Details - NO EDIT'!I$1,FALSE)))</f>
        <v>32294</v>
      </c>
      <c r="J170" s="141" t="str">
        <f>IF(VLOOKUP($A170,'Loyd List 1-190 - Edit'!$C$1:$AQ$220,'Book Details - NO EDIT'!J$1,FALSE)="","",(VLOOKUP($A170,'Loyd List 1-190 - Edit'!$C$1:$AQ$220,'Book Details - NO EDIT'!J$1,FALSE)))</f>
        <v/>
      </c>
      <c r="K170" s="100" t="str">
        <f>VLOOKUP($A170,'Loyd List 1-190 - Edit'!$C$1:$AQ$220,'Book Details - NO EDIT'!K$1,FALSE)</f>
        <v>Girl</v>
      </c>
      <c r="L170" s="140">
        <f>VLOOKUP($A170,'Loyd List 1-190 - Edit'!$C$1:$AQ$220,'Book Details - NO EDIT'!L$1,FALSE)</f>
        <v>138</v>
      </c>
      <c r="M170" s="140">
        <f t="shared" si="60"/>
        <v>100</v>
      </c>
      <c r="N170" s="140">
        <f t="shared" si="60"/>
        <v>56</v>
      </c>
      <c r="O170" s="140">
        <f t="shared" si="60"/>
        <v>28</v>
      </c>
      <c r="P170" s="140">
        <f t="shared" si="60"/>
        <v>14</v>
      </c>
      <c r="Q170" s="140">
        <f t="shared" si="80"/>
        <v>4</v>
      </c>
      <c r="R170" s="140">
        <f t="shared" si="61"/>
        <v>1</v>
      </c>
      <c r="S170" s="140">
        <f t="shared" si="62"/>
        <v>0</v>
      </c>
      <c r="T170" s="140">
        <f t="shared" si="58"/>
        <v>7</v>
      </c>
      <c r="U170" s="139">
        <f t="shared" si="63"/>
        <v>168</v>
      </c>
      <c r="V170" s="31" t="str">
        <f t="shared" si="64"/>
        <v>Camilla (1988–)</v>
      </c>
      <c r="W170" s="31" t="str">
        <f t="shared" si="65"/>
        <v>Camilla (#168)</v>
      </c>
      <c r="X170" s="99" t="str">
        <f t="shared" si="66"/>
        <v>Camilla (1988–: #168)</v>
      </c>
      <c r="Y170" s="99" t="str">
        <f t="shared" si="83"/>
        <v>Camilla Mary LOYD</v>
      </c>
      <c r="Z170" s="99" t="str">
        <f t="shared" si="67"/>
        <v>Thomas (1959–: #138)</v>
      </c>
      <c r="AA170" s="99" t="str">
        <f t="shared" si="72"/>
        <v xml:space="preserve">Thomas (1959–: #138) Christopher (1923–2013: #100) Tommy (1882–1944: #56) The Rev Lewis (1844–1905: #28) Thomas (1812–1857: #14) William (1770–1828: #4) William (1729–1800: #1) </v>
      </c>
      <c r="AB170" s="142" t="str">
        <f>VLOOKUP(U170,'Siblings of those BORN Loyd'!$A$2:$G$230,7,FALSE)</f>
        <v xml:space="preserve">2 – Sophie (1989–: #170) Kit (1993–: #175)      </v>
      </c>
      <c r="AC170" s="115" t="str">
        <f>IF(ISNA(IF(K170="Boy",VLOOKUP(A170,'Siblings of those BORN Loyd'!$AP$3:$AQ$70,2,FALSE),VLOOKUP(A170,'Children of Female Loyds'!$AR$5:$AT$60,3,FALSE))),AM170,IF(K170="Boy",VLOOKUP(A170,'Siblings of those BORN Loyd'!$AP$3:$AQ$70,2,FALSE),VLOOKUP(A170,'Children of Female Loyds'!$AR$5:$AT$60,3,FALSE)))</f>
        <v xml:space="preserve">2 - Nicholas POWELL (2020 - : #168a) Florence POWELL  (2022 - : #168b)      </v>
      </c>
      <c r="AD170" s="97" t="str">
        <f t="shared" si="81"/>
        <v>-</v>
      </c>
      <c r="AE170" s="105" t="str">
        <f>IF(ISNA(IF(K170="Boy",VLOOKUP(A170,'Grandchildren of Male Loyds'!$AQ$3:$AS$51,3,FALSE),VLOOKUP(A170,'Grandchildren of Female Loyds'!$AX$5:$AZ$63,3,FALSE))),AM170,IF(K170="Boy",VLOOKUP(A170,'Grandchildren of Male Loyds'!$AQ$3:$AS$51,3,FALSE),VLOOKUP(A170,'Grandchildren of Female Loyds'!$AX$5:$AZ$63,3,FALSE)))</f>
        <v/>
      </c>
      <c r="AF170" s="105" t="str">
        <f>IF(ISNA(VLOOKUP(A170,'Grandchildren Loyd Daughters'!$BD$5:$BF$50,4,FALSE)),"",VLOOKUP(A170,'Grandchildren Loyd Daughters'!$BD$5:$BF$50,3,FALSE))</f>
        <v/>
      </c>
      <c r="AG170" s="129">
        <f>IF(ISNA(VLOOKUP(A170,'Grandchildren of Male Loyds'!$AQ$3:$AR$60,2,FALSE)),0,VLOOKUP(A170,'Grandchildren of Male Loyds'!$AQ$3:$AR$60,2,FALSE))+IF(ISNA(VLOOKUP(A170,'Grandchildren of Female Loyds'!$AX$5:$AY$50,2,FALSE)),0,VLOOKUP(A170,'Grandchildren of Female Loyds'!$AX$5:$AY$50,2,FALSE))+IF(ISNA(VLOOKUP(A170,'Grandchildren Loyd Daughters'!$BD$5:$BE$50,2,FALSE)),0,VLOOKUP(A170,'Grandchildren Loyd Daughters'!$BD$5:$BE$50,2,FALSE))</f>
        <v>0</v>
      </c>
      <c r="AH170" s="129" t="str">
        <f>VLOOKUP($U170,'Loyd List 1-190 - Edit'!$P$3:$AJ$220,21,FALSE)</f>
        <v>Kirsten Mary WROUGHTON (b. 12 Dec 1959, )</v>
      </c>
      <c r="AI170" s="129" t="str">
        <f>VLOOKUP(A170,'Updated Bios &amp; Spouse Details'!$A$1:$J$200,7,FALSE)</f>
        <v>Benjamin Randulph Berners POWELL (b. , )</v>
      </c>
      <c r="AJ170" s="130">
        <f>IF(VLOOKUP($A170,'Loyd List 1-190 - Edit'!$C$1:$AQ$220,'Book Details - NO EDIT'!AJ$1,FALSE)="","",(VLOOKUP($A170,'Loyd List 1-190 - Edit'!$C$1:$AQ$220,'Book Details - NO EDIT'!AJ$1,FALSE)))</f>
        <v>43666</v>
      </c>
      <c r="AK170" s="129" t="str">
        <f>VLOOKUP(A170,'Updated Bios &amp; Spouse Details'!$A$1:$J$200,8,FALSE)</f>
        <v>Married Benjamin at St Mary's Church Fawley, Hampshire.</v>
      </c>
      <c r="AL170" s="131" t="str">
        <f>VLOOKUP(A170,'Updated Bios &amp; Spouse Details'!$A$1:$J$200,5,FALSE)</f>
        <v>Camilla is the elder daughter of Thomas (1959– : #138).  Born 31 May 1988. Baptised at St Mary the Virgin, Fawley, Nr Wantage.  Issue: 1 son, 1 daughter.</v>
      </c>
      <c r="AM170" s="105" t="str">
        <f>IF(AND(LEN(H170)&gt;0,ISNA(IF(K170="Boy",VLOOKUP(A170,'Siblings of those BORN Loyd'!$AP$3:$AQ$70,2,FALSE),VLOOKUP(A170,'Children of Female Loyds'!$AR$5:$AS$60,2,FALSE)))),"d.s.p","")</f>
        <v/>
      </c>
      <c r="AN170" s="99" t="str">
        <f t="shared" si="84"/>
        <v>Thomas (1959–: #138)</v>
      </c>
      <c r="AO170" s="99" t="str">
        <f t="shared" si="73"/>
        <v>Christopher (1923–2013: #100)</v>
      </c>
      <c r="AP170" s="99" t="str">
        <f t="shared" si="74"/>
        <v>Tommy (1882–1944: #56)</v>
      </c>
      <c r="AQ170" s="99" t="str">
        <f t="shared" si="75"/>
        <v>The Rev Lewis (1844–1905: #28)</v>
      </c>
      <c r="AR170" s="99" t="str">
        <f t="shared" si="76"/>
        <v>Thomas (1812–1857: #14)</v>
      </c>
      <c r="AS170" s="99" t="str">
        <f t="shared" si="77"/>
        <v>William (1770–1828: #4)</v>
      </c>
      <c r="AT170" s="99" t="str">
        <f t="shared" si="78"/>
        <v>William (1729–1800: #1)</v>
      </c>
      <c r="AU170" s="99" t="str">
        <f t="shared" si="79"/>
        <v/>
      </c>
      <c r="AW170" s="116" t="str">
        <f>VLOOKUP(A170,'Updated Bios &amp; Spouse Details'!$A$1:$J$193,6,FALSE)</f>
        <v>England</v>
      </c>
      <c r="AX170" s="131">
        <f>VLOOKUP($A170,'Loyd List 1-190 - Edit'!$P$2:$AQ$220,AX$1,FALSE)</f>
        <v>168</v>
      </c>
      <c r="AY170" s="116" t="str">
        <f>IF(ISNA(VLOOKUP(A170,'Data check lookup table'!$G$2:$V$73,AY$1,FALSE))," - ",VLOOKUP(A170,'Data check lookup table'!$G$2:$V$73,AY$1,FALSE))</f>
        <v>tloyd@lockinge-estate.co.uk</v>
      </c>
      <c r="AZ170" s="147" t="str">
        <f t="shared" si="69"/>
        <v/>
      </c>
      <c r="BA170" s="99" t="str">
        <f t="shared" si="85"/>
        <v>, William (1770–1828: #4)</v>
      </c>
      <c r="BB170" s="99" t="str">
        <f t="shared" si="82"/>
        <v>; William (1729–1800: #1)</v>
      </c>
      <c r="BC170" s="99" t="str">
        <f t="shared" si="82"/>
        <v/>
      </c>
      <c r="BI170" s="147" t="s">
        <v>3228</v>
      </c>
    </row>
    <row r="171" spans="1:61" s="99" customFormat="1" ht="34">
      <c r="A171" s="139">
        <f>'Loyd List 1-190 - Edit'!C171</f>
        <v>169</v>
      </c>
      <c r="B171" s="99" t="str">
        <f>VLOOKUP($A171,'Loyd List 1-190 - Edit'!$C$1:$AQ$220,'Book Details - NO EDIT'!B$1,FALSE)</f>
        <v>James</v>
      </c>
      <c r="C171" s="99" t="str">
        <f>IF(VLOOKUP($A171,'Loyd List 1-190 - Edit'!$C$1:$AQ$220,'Book Details - NO EDIT'!C$1,FALSE)="","",VLOOKUP($A171,'Loyd List 1-190 - Edit'!$C$1:$AQ$220,'Book Details - NO EDIT'!C$1,FALSE))</f>
        <v>Canning</v>
      </c>
      <c r="D171" s="99" t="str">
        <f>IF(VLOOKUP($A171,'Loyd List 1-190 - Edit'!$C$1:$AQ$220,'Book Details - NO EDIT'!D$1,FALSE)="","",VLOOKUP($A171,'Loyd List 1-190 - Edit'!$C$1:$AQ$220,'Book Details - NO EDIT'!D$1,FALSE))</f>
        <v/>
      </c>
      <c r="E171" s="99" t="str">
        <f>IF(VLOOKUP($A171,'Loyd List 1-190 - Edit'!$C$1:$AQ$220,'Book Details - NO EDIT'!E$1,FALSE)="","",VLOOKUP($A171,'Loyd List 1-190 - Edit'!$C$1:$AQ$220,'Book Details - NO EDIT'!E$1,FALSE))</f>
        <v>LOYD</v>
      </c>
      <c r="F171" s="99" t="str">
        <f>IF(VLOOKUP($A171,'Loyd List 1-190 - Edit'!$C$1:$AQ$220,'Book Details - NO EDIT'!F$1,FALSE)="",B171,VLOOKUP($A171,'Loyd List 1-190 - Edit'!$C$1:$AQ$220,'Book Details - NO EDIT'!F$1,FALSE))</f>
        <v>James</v>
      </c>
      <c r="G171" s="140">
        <f>IF(VLOOKUP($A171,'Loyd List 1-190 - Edit'!$C$1:$AQ$220,'Book Details - NO EDIT'!G$1,FALSE)="","",VALUE(VLOOKUP($A171,'Loyd List 1-190 - Edit'!$C$1:$AQ$220,'Book Details - NO EDIT'!G$1,FALSE)))</f>
        <v>1988</v>
      </c>
      <c r="H171" s="140" t="str">
        <f>IF(VLOOKUP($A171,'Loyd List 1-190 - Edit'!$C$1:$AQ$220,'Book Details - NO EDIT'!H$1,FALSE)="","",VALUE(VLOOKUP($A171,'Loyd List 1-190 - Edit'!$C$1:$AQ$220,'Book Details - NO EDIT'!H$1,FALSE)))</f>
        <v/>
      </c>
      <c r="I171" s="141">
        <f>IF(VLOOKUP($A171,'Loyd List 1-190 - Edit'!$C$1:$AQ$220,'Book Details - NO EDIT'!I$1,FALSE)="","",(VLOOKUP($A171,'Loyd List 1-190 - Edit'!$C$1:$AQ$220,'Book Details - NO EDIT'!I$1,FALSE)))</f>
        <v>32387</v>
      </c>
      <c r="J171" s="141" t="str">
        <f>IF(VLOOKUP($A171,'Loyd List 1-190 - Edit'!$C$1:$AQ$220,'Book Details - NO EDIT'!J$1,FALSE)="","",(VLOOKUP($A171,'Loyd List 1-190 - Edit'!$C$1:$AQ$220,'Book Details - NO EDIT'!J$1,FALSE)))</f>
        <v/>
      </c>
      <c r="K171" s="100" t="str">
        <f>VLOOKUP($A171,'Loyd List 1-190 - Edit'!$C$1:$AQ$220,'Book Details - NO EDIT'!K$1,FALSE)</f>
        <v>Boy</v>
      </c>
      <c r="L171" s="140">
        <f>VLOOKUP($A171,'Loyd List 1-190 - Edit'!$C$1:$AQ$220,'Book Details - NO EDIT'!L$1,FALSE)</f>
        <v>121</v>
      </c>
      <c r="M171" s="140">
        <f t="shared" si="60"/>
        <v>96</v>
      </c>
      <c r="N171" s="140">
        <f t="shared" si="60"/>
        <v>66</v>
      </c>
      <c r="O171" s="140">
        <f t="shared" si="60"/>
        <v>44</v>
      </c>
      <c r="P171" s="140">
        <f t="shared" si="60"/>
        <v>23</v>
      </c>
      <c r="Q171" s="140">
        <f t="shared" si="80"/>
        <v>8</v>
      </c>
      <c r="R171" s="140">
        <f t="shared" si="61"/>
        <v>1</v>
      </c>
      <c r="S171" s="140">
        <f t="shared" si="62"/>
        <v>0</v>
      </c>
      <c r="T171" s="140">
        <f t="shared" si="58"/>
        <v>7</v>
      </c>
      <c r="U171" s="139">
        <f t="shared" si="63"/>
        <v>169</v>
      </c>
      <c r="V171" s="31" t="str">
        <f t="shared" si="64"/>
        <v>James (1988–)</v>
      </c>
      <c r="W171" s="31" t="str">
        <f t="shared" si="65"/>
        <v>James (#169)</v>
      </c>
      <c r="X171" s="99" t="str">
        <f t="shared" si="66"/>
        <v>James (1988–: #169)</v>
      </c>
      <c r="Y171" s="99" t="str">
        <f t="shared" si="83"/>
        <v>James Canning LOYD</v>
      </c>
      <c r="Z171" s="99" t="str">
        <f t="shared" si="67"/>
        <v>David (1949–: #121)</v>
      </c>
      <c r="AA171" s="99" t="str">
        <f t="shared" si="72"/>
        <v xml:space="preserve">David (1949–: #121) Edward (1921–1977: #96) William (1889–1947: #66) Harry (1861–1938: #44) William (1821–1885: #23) Edward (1780–1863: #8) William (1729–1800: #1) </v>
      </c>
      <c r="AB171" s="142" t="str">
        <f>VLOOKUP(U171,'Siblings of those BORN Loyd'!$A$2:$G$230,7,FALSE)</f>
        <v xml:space="preserve">2 – Rupert (1990–: #171) Tabitha (1992–: #174)      </v>
      </c>
      <c r="AC171" s="115" t="str">
        <f>IF(ISNA(IF(K171="Boy",VLOOKUP(A171,'Siblings of those BORN Loyd'!$AP$3:$AQ$70,2,FALSE),VLOOKUP(A171,'Children of Female Loyds'!$AR$5:$AT$60,3,FALSE))),AM171,IF(K171="Boy",VLOOKUP(A171,'Siblings of those BORN Loyd'!$AP$3:$AQ$70,2,FALSE),VLOOKUP(A171,'Children of Female Loyds'!$AR$5:$AT$60,3,FALSE)))</f>
        <v/>
      </c>
      <c r="AD171" s="97" t="str">
        <f t="shared" si="81"/>
        <v>-</v>
      </c>
      <c r="AE171" s="105" t="str">
        <f>IF(ISNA(IF(K171="Boy",VLOOKUP(A171,'Grandchildren of Male Loyds'!$AQ$3:$AS$51,3,FALSE),VLOOKUP(A171,'Grandchildren of Female Loyds'!$AX$5:$AZ$63,3,FALSE))),AM171,IF(K171="Boy",VLOOKUP(A171,'Grandchildren of Male Loyds'!$AQ$3:$AS$51,3,FALSE),VLOOKUP(A171,'Grandchildren of Female Loyds'!$AX$5:$AZ$63,3,FALSE)))</f>
        <v/>
      </c>
      <c r="AF171" s="105" t="str">
        <f>IF(ISNA(VLOOKUP(A171,'Grandchildren Loyd Daughters'!$BD$5:$BF$50,4,FALSE)),"",VLOOKUP(A171,'Grandchildren Loyd Daughters'!$BD$5:$BF$50,3,FALSE))</f>
        <v/>
      </c>
      <c r="AG171" s="129">
        <f>IF(ISNA(VLOOKUP(A171,'Grandchildren of Male Loyds'!$AQ$3:$AR$60,2,FALSE)),0,VLOOKUP(A171,'Grandchildren of Male Loyds'!$AQ$3:$AR$60,2,FALSE))+IF(ISNA(VLOOKUP(A171,'Grandchildren of Female Loyds'!$AX$5:$AY$50,2,FALSE)),0,VLOOKUP(A171,'Grandchildren of Female Loyds'!$AX$5:$AY$50,2,FALSE))+IF(ISNA(VLOOKUP(A171,'Grandchildren Loyd Daughters'!$BD$5:$BE$50,2,FALSE)),0,VLOOKUP(A171,'Grandchildren Loyd Daughters'!$BD$5:$BE$50,2,FALSE))</f>
        <v>0</v>
      </c>
      <c r="AH171" s="129" t="str">
        <f>VLOOKUP($U171,'Loyd List 1-190 - Edit'!$P$3:$AJ$220,21,FALSE)</f>
        <v>Mrs Anabel Laura Dorothy STAPLETON (b. 31 Dec 1955, )</v>
      </c>
      <c r="AI171" s="129" t="str">
        <f>VLOOKUP(A171,'Updated Bios &amp; Spouse Details'!$A$1:$J$200,7,FALSE)</f>
        <v>-</v>
      </c>
      <c r="AJ171" s="130" t="str">
        <f>IF(VLOOKUP($A171,'Loyd List 1-190 - Edit'!$C$1:$AQ$220,'Book Details - NO EDIT'!AJ$1,FALSE)="","",(VLOOKUP($A171,'Loyd List 1-190 - Edit'!$C$1:$AQ$220,'Book Details - NO EDIT'!AJ$1,FALSE)))</f>
        <v/>
      </c>
      <c r="AK171" s="129" t="str">
        <f>VLOOKUP(A171,'Updated Bios &amp; Spouse Details'!$A$1:$J$200,8,FALSE)</f>
        <v xml:space="preserve"> -</v>
      </c>
      <c r="AL171" s="131" t="str">
        <f>VLOOKUP(A171,'Updated Bios &amp; Spouse Details'!$A$1:$J$200,5,FALSE)</f>
        <v>Jamie lives in Perth, Australia and is the elder son of David  (1949– : #121) of Mildenhall House, Mildenhall, Marlborough, Wiltshire. Born 1 Sep 1988 at the Portland Hospital, Great Portland Street, London W1. Baptised 26 Jan 1989 at the Guards Chapel, Birdcage Walk, London SW1. Education: Bryanston School and Nottingham University.</v>
      </c>
      <c r="AM171" s="105" t="str">
        <f>IF(AND(LEN(H171)&gt;0,ISNA(IF(K171="Boy",VLOOKUP(A171,'Siblings of those BORN Loyd'!$AP$3:$AQ$70,2,FALSE),VLOOKUP(A171,'Children of Female Loyds'!$AR$5:$AS$60,2,FALSE)))),"d.s.p","")</f>
        <v/>
      </c>
      <c r="AN171" s="99" t="str">
        <f t="shared" si="84"/>
        <v>David (1949–: #121)</v>
      </c>
      <c r="AO171" s="99" t="str">
        <f t="shared" si="73"/>
        <v>Edward (1921–1977: #96)</v>
      </c>
      <c r="AP171" s="99" t="str">
        <f t="shared" si="74"/>
        <v>William (1889–1947: #66)</v>
      </c>
      <c r="AQ171" s="99" t="str">
        <f t="shared" si="75"/>
        <v>Harry (1861–1938: #44)</v>
      </c>
      <c r="AR171" s="99" t="str">
        <f t="shared" si="76"/>
        <v>William (1821–1885: #23)</v>
      </c>
      <c r="AS171" s="99" t="str">
        <f t="shared" si="77"/>
        <v>Edward (1780–1863: #8)</v>
      </c>
      <c r="AT171" s="99" t="str">
        <f t="shared" si="78"/>
        <v>William (1729–1800: #1)</v>
      </c>
      <c r="AU171" s="99" t="str">
        <f t="shared" si="79"/>
        <v/>
      </c>
      <c r="AW171" s="116" t="str">
        <f>VLOOKUP(A171,'Updated Bios &amp; Spouse Details'!$A$1:$J$193,6,FALSE)</f>
        <v>England &amp; Australia</v>
      </c>
      <c r="AX171" s="131">
        <f>VLOOKUP($A171,'Loyd List 1-190 - Edit'!$P$2:$AQ$220,AX$1,FALSE)</f>
        <v>169</v>
      </c>
      <c r="AY171" s="116" t="str">
        <f>IF(ISNA(VLOOKUP(A171,'Data check lookup table'!$G$2:$V$73,AY$1,FALSE))," - ",VLOOKUP(A171,'Data check lookup table'!$G$2:$V$73,AY$1,FALSE))</f>
        <v>loydie1988@gmail.com</v>
      </c>
      <c r="AZ171" s="147" t="str">
        <f t="shared" si="69"/>
        <v/>
      </c>
      <c r="BA171" s="99" t="str">
        <f t="shared" si="85"/>
        <v>, Edward (1780–1863: #8)</v>
      </c>
      <c r="BB171" s="99" t="str">
        <f t="shared" si="82"/>
        <v>; William (1729–1800: #1)</v>
      </c>
      <c r="BC171" s="99" t="str">
        <f t="shared" si="82"/>
        <v/>
      </c>
      <c r="BI171" s="147" t="s">
        <v>3228</v>
      </c>
    </row>
    <row r="172" spans="1:61" s="99" customFormat="1" ht="34">
      <c r="A172" s="139">
        <f>'Loyd List 1-190 - Edit'!C172</f>
        <v>170</v>
      </c>
      <c r="B172" s="99" t="str">
        <f>VLOOKUP($A172,'Loyd List 1-190 - Edit'!$C$1:$AQ$220,'Book Details - NO EDIT'!B$1,FALSE)</f>
        <v>Sophie</v>
      </c>
      <c r="C172" s="99" t="str">
        <f>IF(VLOOKUP($A172,'Loyd List 1-190 - Edit'!$C$1:$AQ$220,'Book Details - NO EDIT'!C$1,FALSE)="","",VLOOKUP($A172,'Loyd List 1-190 - Edit'!$C$1:$AQ$220,'Book Details - NO EDIT'!C$1,FALSE))</f>
        <v>Rose</v>
      </c>
      <c r="D172" s="99" t="str">
        <f>IF(VLOOKUP($A172,'Loyd List 1-190 - Edit'!$C$1:$AQ$220,'Book Details - NO EDIT'!D$1,FALSE)="","",VLOOKUP($A172,'Loyd List 1-190 - Edit'!$C$1:$AQ$220,'Book Details - NO EDIT'!D$1,FALSE))</f>
        <v/>
      </c>
      <c r="E172" s="99" t="str">
        <f>IF(VLOOKUP($A172,'Loyd List 1-190 - Edit'!$C$1:$AQ$220,'Book Details - NO EDIT'!E$1,FALSE)="","",VLOOKUP($A172,'Loyd List 1-190 - Edit'!$C$1:$AQ$220,'Book Details - NO EDIT'!E$1,FALSE))</f>
        <v>LOYD</v>
      </c>
      <c r="F172" s="99" t="str">
        <f>IF(VLOOKUP($A172,'Loyd List 1-190 - Edit'!$C$1:$AQ$220,'Book Details - NO EDIT'!F$1,FALSE)="",B172,VLOOKUP($A172,'Loyd List 1-190 - Edit'!$C$1:$AQ$220,'Book Details - NO EDIT'!F$1,FALSE))</f>
        <v>Sophie</v>
      </c>
      <c r="G172" s="140">
        <f>IF(VLOOKUP($A172,'Loyd List 1-190 - Edit'!$C$1:$AQ$220,'Book Details - NO EDIT'!G$1,FALSE)="","",VALUE(VLOOKUP($A172,'Loyd List 1-190 - Edit'!$C$1:$AQ$220,'Book Details - NO EDIT'!G$1,FALSE)))</f>
        <v>1989</v>
      </c>
      <c r="H172" s="140" t="str">
        <f>IF(VLOOKUP($A172,'Loyd List 1-190 - Edit'!$C$1:$AQ$220,'Book Details - NO EDIT'!H$1,FALSE)="","",VALUE(VLOOKUP($A172,'Loyd List 1-190 - Edit'!$C$1:$AQ$220,'Book Details - NO EDIT'!H$1,FALSE)))</f>
        <v/>
      </c>
      <c r="I172" s="141">
        <f>IF(VLOOKUP($A172,'Loyd List 1-190 - Edit'!$C$1:$AQ$220,'Book Details - NO EDIT'!I$1,FALSE)="","",(VLOOKUP($A172,'Loyd List 1-190 - Edit'!$C$1:$AQ$220,'Book Details - NO EDIT'!I$1,FALSE)))</f>
        <v>32844</v>
      </c>
      <c r="J172" s="141" t="str">
        <f>IF(VLOOKUP($A172,'Loyd List 1-190 - Edit'!$C$1:$AQ$220,'Book Details - NO EDIT'!J$1,FALSE)="","",(VLOOKUP($A172,'Loyd List 1-190 - Edit'!$C$1:$AQ$220,'Book Details - NO EDIT'!J$1,FALSE)))</f>
        <v/>
      </c>
      <c r="K172" s="100" t="str">
        <f>VLOOKUP($A172,'Loyd List 1-190 - Edit'!$C$1:$AQ$220,'Book Details - NO EDIT'!K$1,FALSE)</f>
        <v>Girl</v>
      </c>
      <c r="L172" s="140">
        <f>VLOOKUP($A172,'Loyd List 1-190 - Edit'!$C$1:$AQ$220,'Book Details - NO EDIT'!L$1,FALSE)</f>
        <v>138</v>
      </c>
      <c r="M172" s="140">
        <f t="shared" si="60"/>
        <v>100</v>
      </c>
      <c r="N172" s="140">
        <f t="shared" si="60"/>
        <v>56</v>
      </c>
      <c r="O172" s="140">
        <f t="shared" si="60"/>
        <v>28</v>
      </c>
      <c r="P172" s="140">
        <f t="shared" si="60"/>
        <v>14</v>
      </c>
      <c r="Q172" s="140">
        <f t="shared" si="80"/>
        <v>4</v>
      </c>
      <c r="R172" s="140">
        <f t="shared" si="61"/>
        <v>1</v>
      </c>
      <c r="S172" s="140">
        <f t="shared" si="62"/>
        <v>0</v>
      </c>
      <c r="T172" s="140">
        <f t="shared" si="58"/>
        <v>7</v>
      </c>
      <c r="U172" s="139">
        <f t="shared" si="63"/>
        <v>170</v>
      </c>
      <c r="V172" s="31" t="str">
        <f t="shared" si="64"/>
        <v>Sophie (1989–)</v>
      </c>
      <c r="W172" s="31" t="str">
        <f t="shared" si="65"/>
        <v>Sophie (#170)</v>
      </c>
      <c r="X172" s="99" t="str">
        <f t="shared" si="66"/>
        <v>Sophie (1989–: #170)</v>
      </c>
      <c r="Y172" s="99" t="str">
        <f t="shared" si="83"/>
        <v>Sophie Rose LOYD</v>
      </c>
      <c r="Z172" s="99" t="str">
        <f t="shared" si="67"/>
        <v>Thomas (1959–: #138)</v>
      </c>
      <c r="AA172" s="99" t="str">
        <f t="shared" si="72"/>
        <v xml:space="preserve">Thomas (1959–: #138) Christopher (1923–2013: #100) Tommy (1882–1944: #56) The Rev Lewis (1844–1905: #28) Thomas (1812–1857: #14) William (1770–1828: #4) William (1729–1800: #1) </v>
      </c>
      <c r="AB172" s="142" t="str">
        <f>VLOOKUP(U172,'Siblings of those BORN Loyd'!$A$2:$G$230,7,FALSE)</f>
        <v xml:space="preserve">2 – Camilla (1988–: #168)  Kit (1993–: #175)      </v>
      </c>
      <c r="AC172" s="115" t="str">
        <f>IF(ISNA(IF(K172="Boy",VLOOKUP(A172,'Siblings of those BORN Loyd'!$AP$3:$AQ$70,2,FALSE),VLOOKUP(A172,'Children of Female Loyds'!$AR$5:$AT$60,3,FALSE))),AM172,IF(K172="Boy",VLOOKUP(A172,'Siblings of those BORN Loyd'!$AP$3:$AQ$70,2,FALSE),VLOOKUP(A172,'Children of Female Loyds'!$AR$5:$AT$60,3,FALSE)))</f>
        <v xml:space="preserve">1 - Angus POWELL (2021 - : #170a)       </v>
      </c>
      <c r="AD172" s="97" t="str">
        <f t="shared" si="81"/>
        <v>-</v>
      </c>
      <c r="AE172" s="105" t="str">
        <f>IF(ISNA(IF(K172="Boy",VLOOKUP(A172,'Grandchildren of Male Loyds'!$AQ$3:$AS$51,3,FALSE),VLOOKUP(A172,'Grandchildren of Female Loyds'!$AX$5:$AZ$63,3,FALSE))),AM172,IF(K172="Boy",VLOOKUP(A172,'Grandchildren of Male Loyds'!$AQ$3:$AS$51,3,FALSE),VLOOKUP(A172,'Grandchildren of Female Loyds'!$AX$5:$AZ$63,3,FALSE)))</f>
        <v/>
      </c>
      <c r="AF172" s="105" t="str">
        <f>IF(ISNA(VLOOKUP(A172,'Grandchildren Loyd Daughters'!$BD$5:$BF$50,4,FALSE)),"",VLOOKUP(A172,'Grandchildren Loyd Daughters'!$BD$5:$BF$50,3,FALSE))</f>
        <v/>
      </c>
      <c r="AG172" s="129">
        <f>IF(ISNA(VLOOKUP(A172,'Grandchildren of Male Loyds'!$AQ$3:$AR$60,2,FALSE)),0,VLOOKUP(A172,'Grandchildren of Male Loyds'!$AQ$3:$AR$60,2,FALSE))+IF(ISNA(VLOOKUP(A172,'Grandchildren of Female Loyds'!$AX$5:$AY$50,2,FALSE)),0,VLOOKUP(A172,'Grandchildren of Female Loyds'!$AX$5:$AY$50,2,FALSE))+IF(ISNA(VLOOKUP(A172,'Grandchildren Loyd Daughters'!$BD$5:$BE$50,2,FALSE)),0,VLOOKUP(A172,'Grandchildren Loyd Daughters'!$BD$5:$BE$50,2,FALSE))</f>
        <v>0</v>
      </c>
      <c r="AH172" s="129" t="str">
        <f>VLOOKUP($U172,'Loyd List 1-190 - Edit'!$P$3:$AJ$220,21,FALSE)</f>
        <v>Kirsten Mary WROUGHTON (b. 12 Dec 1959, )</v>
      </c>
      <c r="AI172" s="129" t="str">
        <f>VLOOKUP(A172,'Updated Bios &amp; Spouse Details'!$A$1:$J$200,7,FALSE)</f>
        <v>Oliver Michael Folliott POWELL (b. , )</v>
      </c>
      <c r="AJ172" s="130">
        <f>IF(VLOOKUP($A172,'Loyd List 1-190 - Edit'!$C$1:$AQ$220,'Book Details - NO EDIT'!AJ$1,FALSE)="","",(VLOOKUP($A172,'Loyd List 1-190 - Edit'!$C$1:$AQ$220,'Book Details - NO EDIT'!AJ$1,FALSE)))</f>
        <v>44184</v>
      </c>
      <c r="AK172" s="129" t="str">
        <f>VLOOKUP(A172,'Updated Bios &amp; Spouse Details'!$A$1:$J$200,8,FALSE)</f>
        <v xml:space="preserve"> Married Oliver at St Mary's Church Fawley, Hampshire.</v>
      </c>
      <c r="AL172" s="131" t="str">
        <f>VLOOKUP(A172,'Updated Bios &amp; Spouse Details'!$A$1:$J$200,5,FALSE)</f>
        <v xml:space="preserve">Sophie is the younger daughter of Thomas (1959– : #138). Born 2 Dec 1989. Baptised at All Saints' Lockinge. Issue: 1 son.                                                                          </v>
      </c>
      <c r="AM172" s="105" t="str">
        <f>IF(AND(LEN(H172)&gt;0,ISNA(IF(K172="Boy",VLOOKUP(A172,'Siblings of those BORN Loyd'!$AP$3:$AQ$70,2,FALSE),VLOOKUP(A172,'Children of Female Loyds'!$AR$5:$AS$60,2,FALSE)))),"d.s.p","")</f>
        <v/>
      </c>
      <c r="AN172" s="99" t="str">
        <f t="shared" si="84"/>
        <v>Thomas (1959–: #138)</v>
      </c>
      <c r="AO172" s="99" t="str">
        <f t="shared" si="73"/>
        <v>Christopher (1923–2013: #100)</v>
      </c>
      <c r="AP172" s="99" t="str">
        <f t="shared" si="74"/>
        <v>Tommy (1882–1944: #56)</v>
      </c>
      <c r="AQ172" s="99" t="str">
        <f t="shared" si="75"/>
        <v>The Rev Lewis (1844–1905: #28)</v>
      </c>
      <c r="AR172" s="99" t="str">
        <f t="shared" si="76"/>
        <v>Thomas (1812–1857: #14)</v>
      </c>
      <c r="AS172" s="99" t="str">
        <f t="shared" si="77"/>
        <v>William (1770–1828: #4)</v>
      </c>
      <c r="AT172" s="99" t="str">
        <f t="shared" si="78"/>
        <v>William (1729–1800: #1)</v>
      </c>
      <c r="AU172" s="99" t="str">
        <f t="shared" si="79"/>
        <v/>
      </c>
      <c r="AW172" s="116" t="str">
        <f>VLOOKUP(A172,'Updated Bios &amp; Spouse Details'!$A$1:$J$193,6,FALSE)</f>
        <v>England</v>
      </c>
      <c r="AX172" s="131">
        <f>VLOOKUP($A172,'Loyd List 1-190 - Edit'!$P$2:$AQ$220,AX$1,FALSE)</f>
        <v>170</v>
      </c>
      <c r="AY172" s="116" t="str">
        <f>IF(ISNA(VLOOKUP(A172,'Data check lookup table'!$G$2:$V$73,AY$1,FALSE))," - ",VLOOKUP(A172,'Data check lookup table'!$G$2:$V$73,AY$1,FALSE))</f>
        <v>tloyd@lockinge-estate.co.uk</v>
      </c>
      <c r="AZ172" s="147" t="str">
        <f t="shared" si="69"/>
        <v/>
      </c>
      <c r="BA172" s="99" t="str">
        <f t="shared" si="85"/>
        <v>, William (1770–1828: #4)</v>
      </c>
      <c r="BB172" s="99" t="str">
        <f t="shared" si="82"/>
        <v>; William (1729–1800: #1)</v>
      </c>
      <c r="BC172" s="99" t="str">
        <f t="shared" si="82"/>
        <v/>
      </c>
      <c r="BI172" s="147" t="s">
        <v>3228</v>
      </c>
    </row>
    <row r="173" spans="1:61" s="99" customFormat="1" ht="34">
      <c r="A173" s="139">
        <f>'Loyd List 1-190 - Edit'!C173</f>
        <v>171</v>
      </c>
      <c r="B173" s="99" t="str">
        <f>VLOOKUP($A173,'Loyd List 1-190 - Edit'!$C$1:$AQ$220,'Book Details - NO EDIT'!B$1,FALSE)</f>
        <v>Rupert</v>
      </c>
      <c r="C173" s="99" t="str">
        <f>IF(VLOOKUP($A173,'Loyd List 1-190 - Edit'!$C$1:$AQ$220,'Book Details - NO EDIT'!C$1,FALSE)="","",VLOOKUP($A173,'Loyd List 1-190 - Edit'!$C$1:$AQ$220,'Book Details - NO EDIT'!C$1,FALSE))</f>
        <v>Charles</v>
      </c>
      <c r="D173" s="99" t="str">
        <f>IF(VLOOKUP($A173,'Loyd List 1-190 - Edit'!$C$1:$AQ$220,'Book Details - NO EDIT'!D$1,FALSE)="","",VLOOKUP($A173,'Loyd List 1-190 - Edit'!$C$1:$AQ$220,'Book Details - NO EDIT'!D$1,FALSE))</f>
        <v>Percy</v>
      </c>
      <c r="E173" s="99" t="str">
        <f>IF(VLOOKUP($A173,'Loyd List 1-190 - Edit'!$C$1:$AQ$220,'Book Details - NO EDIT'!E$1,FALSE)="","",VLOOKUP($A173,'Loyd List 1-190 - Edit'!$C$1:$AQ$220,'Book Details - NO EDIT'!E$1,FALSE))</f>
        <v>LOYD</v>
      </c>
      <c r="F173" s="99" t="str">
        <f>IF(VLOOKUP($A173,'Loyd List 1-190 - Edit'!$C$1:$AQ$220,'Book Details - NO EDIT'!F$1,FALSE)="",B173,VLOOKUP($A173,'Loyd List 1-190 - Edit'!$C$1:$AQ$220,'Book Details - NO EDIT'!F$1,FALSE))</f>
        <v>Rupert</v>
      </c>
      <c r="G173" s="140">
        <f>IF(VLOOKUP($A173,'Loyd List 1-190 - Edit'!$C$1:$AQ$220,'Book Details - NO EDIT'!G$1,FALSE)="","",VALUE(VLOOKUP($A173,'Loyd List 1-190 - Edit'!$C$1:$AQ$220,'Book Details - NO EDIT'!G$1,FALSE)))</f>
        <v>1990</v>
      </c>
      <c r="H173" s="140" t="str">
        <f>IF(VLOOKUP($A173,'Loyd List 1-190 - Edit'!$C$1:$AQ$220,'Book Details - NO EDIT'!H$1,FALSE)="","",VALUE(VLOOKUP($A173,'Loyd List 1-190 - Edit'!$C$1:$AQ$220,'Book Details - NO EDIT'!H$1,FALSE)))</f>
        <v/>
      </c>
      <c r="I173" s="141">
        <f>IF(VLOOKUP($A173,'Loyd List 1-190 - Edit'!$C$1:$AQ$220,'Book Details - NO EDIT'!I$1,FALSE)="","",(VLOOKUP($A173,'Loyd List 1-190 - Edit'!$C$1:$AQ$220,'Book Details - NO EDIT'!I$1,FALSE)))</f>
        <v>32912</v>
      </c>
      <c r="J173" s="141" t="str">
        <f>IF(VLOOKUP($A173,'Loyd List 1-190 - Edit'!$C$1:$AQ$220,'Book Details - NO EDIT'!J$1,FALSE)="","",(VLOOKUP($A173,'Loyd List 1-190 - Edit'!$C$1:$AQ$220,'Book Details - NO EDIT'!J$1,FALSE)))</f>
        <v/>
      </c>
      <c r="K173" s="100" t="str">
        <f>VLOOKUP($A173,'Loyd List 1-190 - Edit'!$C$1:$AQ$220,'Book Details - NO EDIT'!K$1,FALSE)</f>
        <v>Boy</v>
      </c>
      <c r="L173" s="140">
        <f>VLOOKUP($A173,'Loyd List 1-190 - Edit'!$C$1:$AQ$220,'Book Details - NO EDIT'!L$1,FALSE)</f>
        <v>121</v>
      </c>
      <c r="M173" s="140">
        <f t="shared" si="60"/>
        <v>96</v>
      </c>
      <c r="N173" s="140">
        <f t="shared" si="60"/>
        <v>66</v>
      </c>
      <c r="O173" s="140">
        <f t="shared" si="60"/>
        <v>44</v>
      </c>
      <c r="P173" s="140">
        <f t="shared" si="60"/>
        <v>23</v>
      </c>
      <c r="Q173" s="140">
        <f t="shared" si="80"/>
        <v>8</v>
      </c>
      <c r="R173" s="140">
        <f t="shared" si="61"/>
        <v>1</v>
      </c>
      <c r="S173" s="140">
        <f t="shared" si="62"/>
        <v>0</v>
      </c>
      <c r="T173" s="140">
        <f t="shared" si="58"/>
        <v>7</v>
      </c>
      <c r="U173" s="139">
        <f t="shared" si="63"/>
        <v>171</v>
      </c>
      <c r="V173" s="31" t="str">
        <f t="shared" si="64"/>
        <v>Rupert (1990–)</v>
      </c>
      <c r="W173" s="31" t="str">
        <f t="shared" si="65"/>
        <v>Rupert (#171)</v>
      </c>
      <c r="X173" s="99" t="str">
        <f t="shared" si="66"/>
        <v>Rupert (1990–: #171)</v>
      </c>
      <c r="Y173" s="99" t="str">
        <f t="shared" si="83"/>
        <v>Rupert Charles Percy LOYD</v>
      </c>
      <c r="Z173" s="99" t="str">
        <f t="shared" si="67"/>
        <v>David (1949–: #121)</v>
      </c>
      <c r="AA173" s="99" t="str">
        <f t="shared" si="72"/>
        <v xml:space="preserve">David (1949–: #121) Edward (1921–1977: #96) William (1889–1947: #66) Harry (1861–1938: #44) William (1821–1885: #23) Edward (1780–1863: #8) William (1729–1800: #1) </v>
      </c>
      <c r="AB173" s="142" t="str">
        <f>VLOOKUP(U173,'Siblings of those BORN Loyd'!$A$2:$G$230,7,FALSE)</f>
        <v xml:space="preserve">2 – James (1988–: #169)  Tabitha (1992–: #174)      </v>
      </c>
      <c r="AC173" s="115" t="str">
        <f>IF(ISNA(IF(K173="Boy",VLOOKUP(A173,'Siblings of those BORN Loyd'!$AP$3:$AQ$70,2,FALSE),VLOOKUP(A173,'Children of Female Loyds'!$AR$5:$AT$60,3,FALSE))),AM173,IF(K173="Boy",VLOOKUP(A173,'Siblings of those BORN Loyd'!$AP$3:$AQ$70,2,FALSE),VLOOKUP(A173,'Children of Female Loyds'!$AR$5:$AT$60,3,FALSE)))</f>
        <v/>
      </c>
      <c r="AD173" s="97" t="str">
        <f t="shared" si="81"/>
        <v>-</v>
      </c>
      <c r="AE173" s="105" t="str">
        <f>IF(ISNA(IF(K173="Boy",VLOOKUP(A173,'Grandchildren of Male Loyds'!$AQ$3:$AS$51,3,FALSE),VLOOKUP(A173,'Grandchildren of Female Loyds'!$AX$5:$AZ$63,3,FALSE))),AM173,IF(K173="Boy",VLOOKUP(A173,'Grandchildren of Male Loyds'!$AQ$3:$AS$51,3,FALSE),VLOOKUP(A173,'Grandchildren of Female Loyds'!$AX$5:$AZ$63,3,FALSE)))</f>
        <v/>
      </c>
      <c r="AF173" s="105" t="str">
        <f>IF(ISNA(VLOOKUP(A173,'Grandchildren Loyd Daughters'!$BD$5:$BF$50,4,FALSE)),"",VLOOKUP(A173,'Grandchildren Loyd Daughters'!$BD$5:$BF$50,3,FALSE))</f>
        <v/>
      </c>
      <c r="AG173" s="129">
        <f>IF(ISNA(VLOOKUP(A173,'Grandchildren of Male Loyds'!$AQ$3:$AR$60,2,FALSE)),0,VLOOKUP(A173,'Grandchildren of Male Loyds'!$AQ$3:$AR$60,2,FALSE))+IF(ISNA(VLOOKUP(A173,'Grandchildren of Female Loyds'!$AX$5:$AY$50,2,FALSE)),0,VLOOKUP(A173,'Grandchildren of Female Loyds'!$AX$5:$AY$50,2,FALSE))+IF(ISNA(VLOOKUP(A173,'Grandchildren Loyd Daughters'!$BD$5:$BE$50,2,FALSE)),0,VLOOKUP(A173,'Grandchildren Loyd Daughters'!$BD$5:$BE$50,2,FALSE))</f>
        <v>0</v>
      </c>
      <c r="AH173" s="129" t="str">
        <f>VLOOKUP($U173,'Loyd List 1-190 - Edit'!$P$3:$AJ$220,21,FALSE)</f>
        <v>Mrs Anabel Laura Dorothy STAPLETON (b. 31 Dec 1955, )</v>
      </c>
      <c r="AI173" s="129" t="str">
        <f>VLOOKUP(A173,'Updated Bios &amp; Spouse Details'!$A$1:$J$200,7,FALSE)</f>
        <v>-</v>
      </c>
      <c r="AJ173" s="130" t="str">
        <f>IF(VLOOKUP($A173,'Loyd List 1-190 - Edit'!$C$1:$AQ$220,'Book Details - NO EDIT'!AJ$1,FALSE)="","",(VLOOKUP($A173,'Loyd List 1-190 - Edit'!$C$1:$AQ$220,'Book Details - NO EDIT'!AJ$1,FALSE)))</f>
        <v/>
      </c>
      <c r="AK173" s="129" t="str">
        <f>VLOOKUP(A173,'Updated Bios &amp; Spouse Details'!$A$1:$J$200,8,FALSE)</f>
        <v xml:space="preserve"> -</v>
      </c>
      <c r="AL173" s="131" t="str">
        <f>VLOOKUP(A173,'Updated Bios &amp; Spouse Details'!$A$1:$J$200,5,FALSE)</f>
        <v xml:space="preserve">Rupert lives in London and is the younger son of David  (1949– : #121). Born 8 Feb 1990 at the Portland Hospital, Great Portland Street, London W1. Baptised 15 Jul 1990 at Wedhampton, Wiltshire. Education: Bryanston School, Nottingham University, University of Law. </v>
      </c>
      <c r="AM173" s="105" t="str">
        <f>IF(AND(LEN(H173)&gt;0,ISNA(IF(K173="Boy",VLOOKUP(A173,'Siblings of those BORN Loyd'!$AP$3:$AQ$70,2,FALSE),VLOOKUP(A173,'Children of Female Loyds'!$AR$5:$AS$60,2,FALSE)))),"d.s.p","")</f>
        <v/>
      </c>
      <c r="AN173" s="99" t="str">
        <f t="shared" si="84"/>
        <v>David (1949–: #121)</v>
      </c>
      <c r="AO173" s="99" t="str">
        <f t="shared" si="73"/>
        <v>Edward (1921–1977: #96)</v>
      </c>
      <c r="AP173" s="99" t="str">
        <f t="shared" si="74"/>
        <v>William (1889–1947: #66)</v>
      </c>
      <c r="AQ173" s="99" t="str">
        <f t="shared" si="75"/>
        <v>Harry (1861–1938: #44)</v>
      </c>
      <c r="AR173" s="99" t="str">
        <f t="shared" si="76"/>
        <v>William (1821–1885: #23)</v>
      </c>
      <c r="AS173" s="99" t="str">
        <f t="shared" si="77"/>
        <v>Edward (1780–1863: #8)</v>
      </c>
      <c r="AT173" s="99" t="str">
        <f t="shared" si="78"/>
        <v>William (1729–1800: #1)</v>
      </c>
      <c r="AU173" s="99" t="str">
        <f t="shared" si="79"/>
        <v/>
      </c>
      <c r="AW173" s="116" t="str">
        <f>VLOOKUP(A173,'Updated Bios &amp; Spouse Details'!$A$1:$J$193,6,FALSE)</f>
        <v>England</v>
      </c>
      <c r="AX173" s="131">
        <f>VLOOKUP($A173,'Loyd List 1-190 - Edit'!$P$2:$AQ$220,AX$1,FALSE)</f>
        <v>171</v>
      </c>
      <c r="AY173" s="116" t="str">
        <f>IF(ISNA(VLOOKUP(A173,'Data check lookup table'!$G$2:$V$73,AY$1,FALSE))," - ",VLOOKUP(A173,'Data check lookup table'!$G$2:$V$73,AY$1,FALSE))</f>
        <v>rupertloyd@hotmail.co.uk</v>
      </c>
      <c r="AZ173" s="147" t="str">
        <f t="shared" si="69"/>
        <v/>
      </c>
      <c r="BA173" s="99" t="str">
        <f t="shared" si="85"/>
        <v>, Edward (1780–1863: #8)</v>
      </c>
      <c r="BB173" s="99" t="str">
        <f t="shared" si="82"/>
        <v>; William (1729–1800: #1)</v>
      </c>
      <c r="BC173" s="99" t="str">
        <f t="shared" si="82"/>
        <v/>
      </c>
      <c r="BI173" s="147" t="s">
        <v>3228</v>
      </c>
    </row>
    <row r="174" spans="1:61" s="99" customFormat="1" ht="51">
      <c r="A174" s="139">
        <f>'Loyd List 1-190 - Edit'!C174</f>
        <v>172</v>
      </c>
      <c r="B174" s="99" t="str">
        <f>VLOOKUP($A174,'Loyd List 1-190 - Edit'!$C$1:$AQ$220,'Book Details - NO EDIT'!B$1,FALSE)</f>
        <v>Florina</v>
      </c>
      <c r="C174" s="99" t="str">
        <f>IF(VLOOKUP($A174,'Loyd List 1-190 - Edit'!$C$1:$AQ$220,'Book Details - NO EDIT'!C$1,FALSE)="","",VLOOKUP($A174,'Loyd List 1-190 - Edit'!$C$1:$AQ$220,'Book Details - NO EDIT'!C$1,FALSE))</f>
        <v>Helen</v>
      </c>
      <c r="D174" s="99" t="str">
        <f>IF(VLOOKUP($A174,'Loyd List 1-190 - Edit'!$C$1:$AQ$220,'Book Details - NO EDIT'!D$1,FALSE)="","",VLOOKUP($A174,'Loyd List 1-190 - Edit'!$C$1:$AQ$220,'Book Details - NO EDIT'!D$1,FALSE))</f>
        <v/>
      </c>
      <c r="E174" s="99" t="str">
        <f>IF(VLOOKUP($A174,'Loyd List 1-190 - Edit'!$C$1:$AQ$220,'Book Details - NO EDIT'!E$1,FALSE)="","",VLOOKUP($A174,'Loyd List 1-190 - Edit'!$C$1:$AQ$220,'Book Details - NO EDIT'!E$1,FALSE))</f>
        <v>CORMACK-LOYD</v>
      </c>
      <c r="F174" s="99" t="str">
        <f>IF(VLOOKUP($A174,'Loyd List 1-190 - Edit'!$C$1:$AQ$220,'Book Details - NO EDIT'!F$1,FALSE)="",B174,VLOOKUP($A174,'Loyd List 1-190 - Edit'!$C$1:$AQ$220,'Book Details - NO EDIT'!F$1,FALSE))</f>
        <v>Florina</v>
      </c>
      <c r="G174" s="140">
        <f>IF(VLOOKUP($A174,'Loyd List 1-190 - Edit'!$C$1:$AQ$220,'Book Details - NO EDIT'!G$1,FALSE)="","",VALUE(VLOOKUP($A174,'Loyd List 1-190 - Edit'!$C$1:$AQ$220,'Book Details - NO EDIT'!G$1,FALSE)))</f>
        <v>1991</v>
      </c>
      <c r="H174" s="140" t="str">
        <f>IF(VLOOKUP($A174,'Loyd List 1-190 - Edit'!$C$1:$AQ$220,'Book Details - NO EDIT'!H$1,FALSE)="","",VALUE(VLOOKUP($A174,'Loyd List 1-190 - Edit'!$C$1:$AQ$220,'Book Details - NO EDIT'!H$1,FALSE)))</f>
        <v/>
      </c>
      <c r="I174" s="141">
        <f>IF(VLOOKUP($A174,'Loyd List 1-190 - Edit'!$C$1:$AQ$220,'Book Details - NO EDIT'!I$1,FALSE)="","",(VLOOKUP($A174,'Loyd List 1-190 - Edit'!$C$1:$AQ$220,'Book Details - NO EDIT'!I$1,FALSE)))</f>
        <v>33597</v>
      </c>
      <c r="J174" s="141" t="str">
        <f>IF(VLOOKUP($A174,'Loyd List 1-190 - Edit'!$C$1:$AQ$220,'Book Details - NO EDIT'!J$1,FALSE)="","",(VLOOKUP($A174,'Loyd List 1-190 - Edit'!$C$1:$AQ$220,'Book Details - NO EDIT'!J$1,FALSE)))</f>
        <v/>
      </c>
      <c r="K174" s="100" t="str">
        <f>VLOOKUP($A174,'Loyd List 1-190 - Edit'!$C$1:$AQ$220,'Book Details - NO EDIT'!K$1,FALSE)</f>
        <v>Girl</v>
      </c>
      <c r="L174" s="140">
        <f>VLOOKUP($A174,'Loyd List 1-190 - Edit'!$C$1:$AQ$220,'Book Details - NO EDIT'!L$1,FALSE)</f>
        <v>136</v>
      </c>
      <c r="M174" s="140">
        <f t="shared" si="60"/>
        <v>94</v>
      </c>
      <c r="N174" s="140">
        <f t="shared" si="60"/>
        <v>68</v>
      </c>
      <c r="O174" s="140">
        <f t="shared" si="60"/>
        <v>45</v>
      </c>
      <c r="P174" s="140">
        <f t="shared" si="60"/>
        <v>22</v>
      </c>
      <c r="Q174" s="140">
        <f t="shared" si="80"/>
        <v>8</v>
      </c>
      <c r="R174" s="140">
        <f t="shared" si="61"/>
        <v>1</v>
      </c>
      <c r="S174" s="140">
        <f t="shared" si="62"/>
        <v>0</v>
      </c>
      <c r="T174" s="140">
        <f t="shared" si="58"/>
        <v>7</v>
      </c>
      <c r="U174" s="139">
        <f t="shared" si="63"/>
        <v>172</v>
      </c>
      <c r="V174" s="31" t="str">
        <f t="shared" si="64"/>
        <v>Florina (1991–)</v>
      </c>
      <c r="W174" s="31" t="str">
        <f t="shared" si="65"/>
        <v>Florina (#172)</v>
      </c>
      <c r="X174" s="99" t="str">
        <f t="shared" si="66"/>
        <v>Florina (1991–: #172)</v>
      </c>
      <c r="Y174" s="99" t="str">
        <f t="shared" si="83"/>
        <v>Florina Helen CORMACK-LOYD</v>
      </c>
      <c r="Z174" s="99" t="str">
        <f t="shared" si="67"/>
        <v>Tim (1957–: #136)</v>
      </c>
      <c r="AA174" s="99" t="str">
        <f t="shared" si="72"/>
        <v xml:space="preserve">Tim (1957–: #136) Alwyne (1920–2014: #94) Cecil (1890–1963: #68) Llewellyn (1861–1939: #45) Edward (1820–1890: #22) Edward (1780–1863: #8) William (1729–1800: #1) </v>
      </c>
      <c r="AB174" s="142" t="str">
        <f>VLOOKUP(U174,'Siblings of those BORN Loyd'!$A$2:$G$230,7,FALSE)</f>
        <v xml:space="preserve">2 – Poppy (1984–: #164) Rose (1986–: #165)       </v>
      </c>
      <c r="AC174" s="115" t="str">
        <f>IF(ISNA(IF(K174="Boy",VLOOKUP(A174,'Siblings of those BORN Loyd'!$AP$3:$AQ$70,2,FALSE),VLOOKUP(A174,'Children of Female Loyds'!$AR$5:$AT$60,3,FALSE))),AM174,IF(K174="Boy",VLOOKUP(A174,'Siblings of those BORN Loyd'!$AP$3:$AQ$70,2,FALSE),VLOOKUP(A174,'Children of Female Loyds'!$AR$5:$AT$60,3,FALSE)))</f>
        <v/>
      </c>
      <c r="AD174" s="97" t="str">
        <f t="shared" si="81"/>
        <v>-</v>
      </c>
      <c r="AE174" s="105" t="str">
        <f>IF(ISNA(IF(K174="Boy",VLOOKUP(A174,'Grandchildren of Male Loyds'!$AQ$3:$AS$51,3,FALSE),VLOOKUP(A174,'Grandchildren of Female Loyds'!$AX$5:$AZ$63,3,FALSE))),AM174,IF(K174="Boy",VLOOKUP(A174,'Grandchildren of Male Loyds'!$AQ$3:$AS$51,3,FALSE),VLOOKUP(A174,'Grandchildren of Female Loyds'!$AX$5:$AZ$63,3,FALSE)))</f>
        <v/>
      </c>
      <c r="AF174" s="105" t="str">
        <f>IF(ISNA(VLOOKUP(A174,'Grandchildren Loyd Daughters'!$BD$5:$BF$50,4,FALSE)),"",VLOOKUP(A174,'Grandchildren Loyd Daughters'!$BD$5:$BF$50,3,FALSE))</f>
        <v/>
      </c>
      <c r="AG174" s="129">
        <f>IF(ISNA(VLOOKUP(A174,'Grandchildren of Male Loyds'!$AQ$3:$AR$60,2,FALSE)),0,VLOOKUP(A174,'Grandchildren of Male Loyds'!$AQ$3:$AR$60,2,FALSE))+IF(ISNA(VLOOKUP(A174,'Grandchildren of Female Loyds'!$AX$5:$AY$50,2,FALSE)),0,VLOOKUP(A174,'Grandchildren of Female Loyds'!$AX$5:$AY$50,2,FALSE))+IF(ISNA(VLOOKUP(A174,'Grandchildren Loyd Daughters'!$BD$5:$BE$50,2,FALSE)),0,VLOOKUP(A174,'Grandchildren Loyd Daughters'!$BD$5:$BE$50,2,FALSE))</f>
        <v>0</v>
      </c>
      <c r="AH174" s="129" t="str">
        <f>VLOOKUP($U174,'Loyd List 1-190 - Edit'!$P$3:$AJ$220,21,FALSE)</f>
        <v>Cherry Margaret CORMACK (b. 18 Sep 1956, )</v>
      </c>
      <c r="AI174" s="129" t="str">
        <f>VLOOKUP(A174,'Updated Bios &amp; Spouse Details'!$A$1:$J$200,7,FALSE)</f>
        <v>-</v>
      </c>
      <c r="AJ174" s="130" t="str">
        <f>IF(VLOOKUP($A174,'Loyd List 1-190 - Edit'!$C$1:$AQ$220,'Book Details - NO EDIT'!AJ$1,FALSE)="","",(VLOOKUP($A174,'Loyd List 1-190 - Edit'!$C$1:$AQ$220,'Book Details - NO EDIT'!AJ$1,FALSE)))</f>
        <v/>
      </c>
      <c r="AK174" s="129" t="str">
        <f>VLOOKUP(A174,'Updated Bios &amp; Spouse Details'!$A$1:$J$200,8,FALSE)</f>
        <v xml:space="preserve"> -</v>
      </c>
      <c r="AL174" s="131" t="str">
        <f>VLOOKUP(A174,'Updated Bios &amp; Spouse Details'!$A$1:$J$200,5,FALSE)</f>
        <v>Florina lives in London is the 3rd and youngest daughter of Tim (1957– : #136). Born 25 Dec 1991 at John Radcliffe Hospital, Oxford. Education: Headington School, Oxford and Newcastle University (BA Politics, 2014). Post graduation Florina has worked in PR and communications at various companies in Bristol, London and Edinburgh. Interests: Triathlons and have completed a half ironman.</v>
      </c>
      <c r="AM174" s="105" t="str">
        <f>IF(AND(LEN(H174)&gt;0,ISNA(IF(K174="Boy",VLOOKUP(A174,'Siblings of those BORN Loyd'!$AP$3:$AQ$70,2,FALSE),VLOOKUP(A174,'Children of Female Loyds'!$AR$5:$AS$60,2,FALSE)))),"d.s.p","")</f>
        <v/>
      </c>
      <c r="AN174" s="99" t="str">
        <f t="shared" si="84"/>
        <v>Tim (1957–: #136)</v>
      </c>
      <c r="AO174" s="99" t="str">
        <f t="shared" si="73"/>
        <v>Alwyne (1920–2014: #94)</v>
      </c>
      <c r="AP174" s="99" t="str">
        <f t="shared" si="74"/>
        <v>Cecil (1890–1963: #68)</v>
      </c>
      <c r="AQ174" s="99" t="str">
        <f t="shared" si="75"/>
        <v>Llewellyn (1861–1939: #45)</v>
      </c>
      <c r="AR174" s="99" t="str">
        <f t="shared" si="76"/>
        <v>Edward (1820–1890: #22)</v>
      </c>
      <c r="AS174" s="99" t="str">
        <f t="shared" si="77"/>
        <v>Edward (1780–1863: #8)</v>
      </c>
      <c r="AT174" s="99" t="str">
        <f t="shared" si="78"/>
        <v>William (1729–1800: #1)</v>
      </c>
      <c r="AU174" s="99" t="str">
        <f t="shared" si="79"/>
        <v/>
      </c>
      <c r="AW174" s="116" t="str">
        <f>VLOOKUP(A174,'Updated Bios &amp; Spouse Details'!$A$1:$J$193,6,FALSE)</f>
        <v>England &amp; New Zealand.</v>
      </c>
      <c r="AX174" s="131">
        <f>VLOOKUP($A174,'Loyd List 1-190 - Edit'!$P$2:$AQ$220,AX$1,FALSE)</f>
        <v>172</v>
      </c>
      <c r="AY174" s="116" t="str">
        <f>IF(ISNA(VLOOKUP(A174,'Data check lookup table'!$G$2:$V$73,AY$1,FALSE))," - ",VLOOKUP(A174,'Data check lookup table'!$G$2:$V$73,AY$1,FALSE))</f>
        <v>florina.cl@btinternet.com</v>
      </c>
      <c r="AZ174" s="147" t="str">
        <f t="shared" si="69"/>
        <v/>
      </c>
      <c r="BA174" s="99" t="str">
        <f t="shared" si="85"/>
        <v>, Edward (1780–1863: #8)</v>
      </c>
      <c r="BB174" s="99" t="str">
        <f t="shared" si="82"/>
        <v>; William (1729–1800: #1)</v>
      </c>
      <c r="BC174" s="99" t="str">
        <f t="shared" si="82"/>
        <v/>
      </c>
      <c r="BI174" s="147" t="s">
        <v>3228</v>
      </c>
    </row>
    <row r="175" spans="1:61" s="99" customFormat="1" ht="34">
      <c r="A175" s="139">
        <f>'Loyd List 1-190 - Edit'!C175</f>
        <v>173</v>
      </c>
      <c r="B175" s="99" t="str">
        <f>VLOOKUP($A175,'Loyd List 1-190 - Edit'!$C$1:$AQ$220,'Book Details - NO EDIT'!B$1,FALSE)</f>
        <v>Curtis</v>
      </c>
      <c r="C175" s="99" t="str">
        <f>IF(VLOOKUP($A175,'Loyd List 1-190 - Edit'!$C$1:$AQ$220,'Book Details - NO EDIT'!C$1,FALSE)="","",VLOOKUP($A175,'Loyd List 1-190 - Edit'!$C$1:$AQ$220,'Book Details - NO EDIT'!C$1,FALSE))</f>
        <v/>
      </c>
      <c r="D175" s="99" t="str">
        <f>IF(VLOOKUP($A175,'Loyd List 1-190 - Edit'!$C$1:$AQ$220,'Book Details - NO EDIT'!D$1,FALSE)="","",VLOOKUP($A175,'Loyd List 1-190 - Edit'!$C$1:$AQ$220,'Book Details - NO EDIT'!D$1,FALSE))</f>
        <v/>
      </c>
      <c r="E175" s="99" t="str">
        <f>IF(VLOOKUP($A175,'Loyd List 1-190 - Edit'!$C$1:$AQ$220,'Book Details - NO EDIT'!E$1,FALSE)="","",VLOOKUP($A175,'Loyd List 1-190 - Edit'!$C$1:$AQ$220,'Book Details - NO EDIT'!E$1,FALSE))</f>
        <v>LOYD</v>
      </c>
      <c r="F175" s="99" t="str">
        <f>IF(VLOOKUP($A175,'Loyd List 1-190 - Edit'!$C$1:$AQ$220,'Book Details - NO EDIT'!F$1,FALSE)="",B175,VLOOKUP($A175,'Loyd List 1-190 - Edit'!$C$1:$AQ$220,'Book Details - NO EDIT'!F$1,FALSE))</f>
        <v>Curtis</v>
      </c>
      <c r="G175" s="140">
        <f>IF(VLOOKUP($A175,'Loyd List 1-190 - Edit'!$C$1:$AQ$220,'Book Details - NO EDIT'!G$1,FALSE)="","",VALUE(VLOOKUP($A175,'Loyd List 1-190 - Edit'!$C$1:$AQ$220,'Book Details - NO EDIT'!G$1,FALSE)))</f>
        <v>1992</v>
      </c>
      <c r="H175" s="140" t="str">
        <f>IF(VLOOKUP($A175,'Loyd List 1-190 - Edit'!$C$1:$AQ$220,'Book Details - NO EDIT'!H$1,FALSE)="","",VALUE(VLOOKUP($A175,'Loyd List 1-190 - Edit'!$C$1:$AQ$220,'Book Details - NO EDIT'!H$1,FALSE)))</f>
        <v/>
      </c>
      <c r="I175" s="141">
        <f>IF(VLOOKUP($A175,'Loyd List 1-190 - Edit'!$C$1:$AQ$220,'Book Details - NO EDIT'!I$1,FALSE)="","",(VLOOKUP($A175,'Loyd List 1-190 - Edit'!$C$1:$AQ$220,'Book Details - NO EDIT'!I$1,FALSE)))</f>
        <v>33607</v>
      </c>
      <c r="J175" s="141" t="str">
        <f>IF(VLOOKUP($A175,'Loyd List 1-190 - Edit'!$C$1:$AQ$220,'Book Details - NO EDIT'!J$1,FALSE)="","",(VLOOKUP($A175,'Loyd List 1-190 - Edit'!$C$1:$AQ$220,'Book Details - NO EDIT'!J$1,FALSE)))</f>
        <v/>
      </c>
      <c r="K175" s="100" t="str">
        <f>VLOOKUP($A175,'Loyd List 1-190 - Edit'!$C$1:$AQ$220,'Book Details - NO EDIT'!K$1,FALSE)</f>
        <v>Boy</v>
      </c>
      <c r="L175" s="140">
        <f>VLOOKUP($A175,'Loyd List 1-190 - Edit'!$C$1:$AQ$220,'Book Details - NO EDIT'!L$1,FALSE)</f>
        <v>135</v>
      </c>
      <c r="M175" s="140">
        <f t="shared" si="60"/>
        <v>86</v>
      </c>
      <c r="N175" s="140">
        <f t="shared" si="60"/>
        <v>71</v>
      </c>
      <c r="O175" s="140">
        <f t="shared" si="60"/>
        <v>34</v>
      </c>
      <c r="P175" s="140">
        <f t="shared" si="60"/>
        <v>14</v>
      </c>
      <c r="Q175" s="140">
        <f t="shared" si="80"/>
        <v>4</v>
      </c>
      <c r="R175" s="140">
        <f t="shared" si="61"/>
        <v>1</v>
      </c>
      <c r="S175" s="140">
        <f t="shared" si="62"/>
        <v>0</v>
      </c>
      <c r="T175" s="140">
        <f t="shared" si="58"/>
        <v>7</v>
      </c>
      <c r="U175" s="139">
        <f t="shared" si="63"/>
        <v>173</v>
      </c>
      <c r="V175" s="31" t="str">
        <f t="shared" si="64"/>
        <v>Curtis (1992–)</v>
      </c>
      <c r="W175" s="31" t="str">
        <f t="shared" si="65"/>
        <v>Curtis (#173)</v>
      </c>
      <c r="X175" s="99" t="str">
        <f t="shared" si="66"/>
        <v>Curtis (1992–: #173)</v>
      </c>
      <c r="Y175" s="99" t="str">
        <f t="shared" si="83"/>
        <v>Curtis LOYD</v>
      </c>
      <c r="Z175" s="99" t="str">
        <f t="shared" si="67"/>
        <v>Jim (1955–: #135)</v>
      </c>
      <c r="AA175" s="99" t="str">
        <f t="shared" si="72"/>
        <v xml:space="preserve">Jim (1955–: #135) Peter (1913–2008: #86) Arthur (1890–1974: #71) Ted (1851–1922: #34) Thomas (1812–1857: #14) William (1770–1828: #4) William (1729–1800: #1) </v>
      </c>
      <c r="AB175" s="142" t="str">
        <f>VLOOKUP(U175,'Siblings of those BORN Loyd'!$A$2:$G$230,7,FALSE)</f>
        <v xml:space="preserve">1 – Spencer (1995–: #177)       </v>
      </c>
      <c r="AC175" s="115" t="str">
        <f>IF(ISNA(IF(K175="Boy",VLOOKUP(A175,'Siblings of those BORN Loyd'!$AP$3:$AQ$70,2,FALSE),VLOOKUP(A175,'Children of Female Loyds'!$AR$5:$AT$60,3,FALSE))),AM175,IF(K175="Boy",VLOOKUP(A175,'Siblings of those BORN Loyd'!$AP$3:$AQ$70,2,FALSE),VLOOKUP(A175,'Children of Female Loyds'!$AR$5:$AT$60,3,FALSE)))</f>
        <v/>
      </c>
      <c r="AD175" s="97" t="str">
        <f t="shared" si="81"/>
        <v>-</v>
      </c>
      <c r="AE175" s="105" t="str">
        <f>IF(ISNA(IF(K175="Boy",VLOOKUP(A175,'Grandchildren of Male Loyds'!$AQ$3:$AS$51,3,FALSE),VLOOKUP(A175,'Grandchildren of Female Loyds'!$AX$5:$AZ$63,3,FALSE))),AM175,IF(K175="Boy",VLOOKUP(A175,'Grandchildren of Male Loyds'!$AQ$3:$AS$51,3,FALSE),VLOOKUP(A175,'Grandchildren of Female Loyds'!$AX$5:$AZ$63,3,FALSE)))</f>
        <v/>
      </c>
      <c r="AF175" s="105" t="str">
        <f>IF(ISNA(VLOOKUP(A175,'Grandchildren Loyd Daughters'!$BD$5:$BF$50,4,FALSE)),"",VLOOKUP(A175,'Grandchildren Loyd Daughters'!$BD$5:$BF$50,3,FALSE))</f>
        <v/>
      </c>
      <c r="AG175" s="129">
        <f>IF(ISNA(VLOOKUP(A175,'Grandchildren of Male Loyds'!$AQ$3:$AR$60,2,FALSE)),0,VLOOKUP(A175,'Grandchildren of Male Loyds'!$AQ$3:$AR$60,2,FALSE))+IF(ISNA(VLOOKUP(A175,'Grandchildren of Female Loyds'!$AX$5:$AY$50,2,FALSE)),0,VLOOKUP(A175,'Grandchildren of Female Loyds'!$AX$5:$AY$50,2,FALSE))+IF(ISNA(VLOOKUP(A175,'Grandchildren Loyd Daughters'!$BD$5:$BE$50,2,FALSE)),0,VLOOKUP(A175,'Grandchildren Loyd Daughters'!$BD$5:$BE$50,2,FALSE))</f>
        <v>0</v>
      </c>
      <c r="AH175" s="129" t="str">
        <f>VLOOKUP($U175,'Loyd List 1-190 - Edit'!$P$3:$AJ$220,21,FALSE)</f>
        <v>Brenda POW (b. 23 Aug 1964, )</v>
      </c>
      <c r="AI175" s="129" t="str">
        <f>VLOOKUP(A175,'Updated Bios &amp; Spouse Details'!$A$1:$J$200,7,FALSE)</f>
        <v>Andrea Devan KIRKHAM (b. 11 Nov 1991).</v>
      </c>
      <c r="AJ175" s="130">
        <f>IF(VLOOKUP($A175,'Loyd List 1-190 - Edit'!$C$1:$AQ$220,'Book Details - NO EDIT'!AJ$1,FALSE)="","",(VLOOKUP($A175,'Loyd List 1-190 - Edit'!$C$1:$AQ$220,'Book Details - NO EDIT'!AJ$1,FALSE)))</f>
        <v>44784</v>
      </c>
      <c r="AK175" s="129" t="str">
        <f>VLOOKUP(A175,'Updated Bios &amp; Spouse Details'!$A$1:$J$200,8,FALSE)</f>
        <v>Married in Osoyoos British Columbia.</v>
      </c>
      <c r="AL175" s="131" t="str">
        <f>VLOOKUP(A175,'Updated Bios &amp; Spouse Details'!$A$1:$J$200,5,FALSE)</f>
        <v>Curtis lives in Kelowna, British Columbria, Canada and is the elder son of James (1955– : #135). Born 4 Jan 1992.</v>
      </c>
      <c r="AM175" s="105" t="str">
        <f>IF(AND(LEN(H175)&gt;0,ISNA(IF(K175="Boy",VLOOKUP(A175,'Siblings of those BORN Loyd'!$AP$3:$AQ$70,2,FALSE),VLOOKUP(A175,'Children of Female Loyds'!$AR$5:$AS$60,2,FALSE)))),"d.s.p","")</f>
        <v/>
      </c>
      <c r="AN175" s="99" t="str">
        <f t="shared" si="84"/>
        <v>Jim (1955–: #135)</v>
      </c>
      <c r="AO175" s="99" t="str">
        <f t="shared" si="73"/>
        <v>Peter (1913–2008: #86)</v>
      </c>
      <c r="AP175" s="99" t="str">
        <f t="shared" si="74"/>
        <v>Arthur (1890–1974: #71)</v>
      </c>
      <c r="AQ175" s="99" t="str">
        <f t="shared" si="75"/>
        <v>Ted (1851–1922: #34)</v>
      </c>
      <c r="AR175" s="99" t="str">
        <f t="shared" si="76"/>
        <v>Thomas (1812–1857: #14)</v>
      </c>
      <c r="AS175" s="99" t="str">
        <f t="shared" si="77"/>
        <v>William (1770–1828: #4)</v>
      </c>
      <c r="AT175" s="99" t="str">
        <f t="shared" si="78"/>
        <v>William (1729–1800: #1)</v>
      </c>
      <c r="AU175" s="99" t="str">
        <f t="shared" si="79"/>
        <v/>
      </c>
      <c r="AW175" s="116" t="str">
        <f>VLOOKUP(A175,'Updated Bios &amp; Spouse Details'!$A$1:$J$193,6,FALSE)</f>
        <v>Canada</v>
      </c>
      <c r="AX175" s="131">
        <f>VLOOKUP($A175,'Loyd List 1-190 - Edit'!$P$2:$AQ$220,AX$1,FALSE)</f>
        <v>173</v>
      </c>
      <c r="AY175" s="116" t="str">
        <f>IF(ISNA(VLOOKUP(A175,'Data check lookup table'!$G$2:$V$73,AY$1,FALSE))," - ",VLOOKUP(A175,'Data check lookup table'!$G$2:$V$73,AY$1,FALSE))</f>
        <v>jimbrendaloyd1@gmail.com</v>
      </c>
      <c r="AZ175" s="147" t="str">
        <f t="shared" si="69"/>
        <v/>
      </c>
      <c r="BA175" s="99" t="str">
        <f t="shared" si="85"/>
        <v>, William (1770–1828: #4)</v>
      </c>
      <c r="BB175" s="99" t="str">
        <f t="shared" si="82"/>
        <v>; William (1729–1800: #1)</v>
      </c>
      <c r="BC175" s="99" t="str">
        <f t="shared" si="82"/>
        <v/>
      </c>
      <c r="BI175" s="147" t="s">
        <v>3228</v>
      </c>
    </row>
    <row r="176" spans="1:61" s="99" customFormat="1" ht="34">
      <c r="A176" s="139">
        <f>'Loyd List 1-190 - Edit'!C176</f>
        <v>174</v>
      </c>
      <c r="B176" s="99" t="str">
        <f>VLOOKUP($A176,'Loyd List 1-190 - Edit'!$C$1:$AQ$220,'Book Details - NO EDIT'!B$1,FALSE)</f>
        <v>Tabitha</v>
      </c>
      <c r="C176" s="99" t="str">
        <f>IF(VLOOKUP($A176,'Loyd List 1-190 - Edit'!$C$1:$AQ$220,'Book Details - NO EDIT'!C$1,FALSE)="","",VLOOKUP($A176,'Loyd List 1-190 - Edit'!$C$1:$AQ$220,'Book Details - NO EDIT'!C$1,FALSE))</f>
        <v>Laura</v>
      </c>
      <c r="D176" s="99" t="str">
        <f>IF(VLOOKUP($A176,'Loyd List 1-190 - Edit'!$C$1:$AQ$220,'Book Details - NO EDIT'!D$1,FALSE)="","",VLOOKUP($A176,'Loyd List 1-190 - Edit'!$C$1:$AQ$220,'Book Details - NO EDIT'!D$1,FALSE))</f>
        <v>Mary</v>
      </c>
      <c r="E176" s="99" t="str">
        <f>IF(VLOOKUP($A176,'Loyd List 1-190 - Edit'!$C$1:$AQ$220,'Book Details - NO EDIT'!E$1,FALSE)="","",VLOOKUP($A176,'Loyd List 1-190 - Edit'!$C$1:$AQ$220,'Book Details - NO EDIT'!E$1,FALSE))</f>
        <v>LOYD</v>
      </c>
      <c r="F176" s="99" t="str">
        <f>IF(VLOOKUP($A176,'Loyd List 1-190 - Edit'!$C$1:$AQ$220,'Book Details - NO EDIT'!F$1,FALSE)="",B176,VLOOKUP($A176,'Loyd List 1-190 - Edit'!$C$1:$AQ$220,'Book Details - NO EDIT'!F$1,FALSE))</f>
        <v>Tabitha</v>
      </c>
      <c r="G176" s="140">
        <f>IF(VLOOKUP($A176,'Loyd List 1-190 - Edit'!$C$1:$AQ$220,'Book Details - NO EDIT'!G$1,FALSE)="","",VALUE(VLOOKUP($A176,'Loyd List 1-190 - Edit'!$C$1:$AQ$220,'Book Details - NO EDIT'!G$1,FALSE)))</f>
        <v>1992</v>
      </c>
      <c r="H176" s="140" t="str">
        <f>IF(VLOOKUP($A176,'Loyd List 1-190 - Edit'!$C$1:$AQ$220,'Book Details - NO EDIT'!H$1,FALSE)="","",VALUE(VLOOKUP($A176,'Loyd List 1-190 - Edit'!$C$1:$AQ$220,'Book Details - NO EDIT'!H$1,FALSE)))</f>
        <v/>
      </c>
      <c r="I176" s="141">
        <f>IF(VLOOKUP($A176,'Loyd List 1-190 - Edit'!$C$1:$AQ$220,'Book Details - NO EDIT'!I$1,FALSE)="","",(VLOOKUP($A176,'Loyd List 1-190 - Edit'!$C$1:$AQ$220,'Book Details - NO EDIT'!I$1,FALSE)))</f>
        <v>33922</v>
      </c>
      <c r="J176" s="141" t="str">
        <f>IF(VLOOKUP($A176,'Loyd List 1-190 - Edit'!$C$1:$AQ$220,'Book Details - NO EDIT'!J$1,FALSE)="","",(VLOOKUP($A176,'Loyd List 1-190 - Edit'!$C$1:$AQ$220,'Book Details - NO EDIT'!J$1,FALSE)))</f>
        <v/>
      </c>
      <c r="K176" s="100" t="str">
        <f>VLOOKUP($A176,'Loyd List 1-190 - Edit'!$C$1:$AQ$220,'Book Details - NO EDIT'!K$1,FALSE)</f>
        <v>Girl</v>
      </c>
      <c r="L176" s="140">
        <f>VLOOKUP($A176,'Loyd List 1-190 - Edit'!$C$1:$AQ$220,'Book Details - NO EDIT'!L$1,FALSE)</f>
        <v>121</v>
      </c>
      <c r="M176" s="140">
        <f t="shared" si="60"/>
        <v>96</v>
      </c>
      <c r="N176" s="140">
        <f t="shared" si="60"/>
        <v>66</v>
      </c>
      <c r="O176" s="140">
        <f t="shared" si="60"/>
        <v>44</v>
      </c>
      <c r="P176" s="140">
        <f t="shared" si="60"/>
        <v>23</v>
      </c>
      <c r="Q176" s="140">
        <f t="shared" si="80"/>
        <v>8</v>
      </c>
      <c r="R176" s="140">
        <f t="shared" si="61"/>
        <v>1</v>
      </c>
      <c r="S176" s="140">
        <f t="shared" si="62"/>
        <v>0</v>
      </c>
      <c r="T176" s="140">
        <f t="shared" si="58"/>
        <v>7</v>
      </c>
      <c r="U176" s="139">
        <f t="shared" si="63"/>
        <v>174</v>
      </c>
      <c r="V176" s="31" t="str">
        <f t="shared" si="64"/>
        <v>Tabitha (1992–)</v>
      </c>
      <c r="W176" s="31" t="str">
        <f t="shared" si="65"/>
        <v>Tabitha (#174)</v>
      </c>
      <c r="X176" s="99" t="str">
        <f t="shared" si="66"/>
        <v>Tabitha (1992–: #174)</v>
      </c>
      <c r="Y176" s="99" t="str">
        <f t="shared" si="83"/>
        <v>Tabitha Laura Mary LOYD</v>
      </c>
      <c r="Z176" s="99" t="str">
        <f t="shared" si="67"/>
        <v>David (1949–: #121)</v>
      </c>
      <c r="AA176" s="99" t="str">
        <f t="shared" si="72"/>
        <v xml:space="preserve">David (1949–: #121) Edward (1921–1977: #96) William (1889–1947: #66) Harry (1861–1938: #44) William (1821–1885: #23) Edward (1780–1863: #8) William (1729–1800: #1) </v>
      </c>
      <c r="AB176" s="142" t="str">
        <f>VLOOKUP(U176,'Siblings of those BORN Loyd'!$A$2:$G$230,7,FALSE)</f>
        <v xml:space="preserve">2 – James (1988–: #169) Rupert (1990–: #171)       </v>
      </c>
      <c r="AC176" s="115" t="str">
        <f>IF(ISNA(IF(K176="Boy",VLOOKUP(A176,'Siblings of those BORN Loyd'!$AP$3:$AQ$70,2,FALSE),VLOOKUP(A176,'Children of Female Loyds'!$AR$5:$AT$60,3,FALSE))),AM176,IF(K176="Boy",VLOOKUP(A176,'Siblings of those BORN Loyd'!$AP$3:$AQ$70,2,FALSE),VLOOKUP(A176,'Children of Female Loyds'!$AR$5:$AT$60,3,FALSE)))</f>
        <v/>
      </c>
      <c r="AD176" s="97" t="str">
        <f t="shared" si="81"/>
        <v>-</v>
      </c>
      <c r="AE176" s="105" t="str">
        <f>IF(ISNA(IF(K176="Boy",VLOOKUP(A176,'Grandchildren of Male Loyds'!$AQ$3:$AS$51,3,FALSE),VLOOKUP(A176,'Grandchildren of Female Loyds'!$AX$5:$AZ$63,3,FALSE))),AM176,IF(K176="Boy",VLOOKUP(A176,'Grandchildren of Male Loyds'!$AQ$3:$AS$51,3,FALSE),VLOOKUP(A176,'Grandchildren of Female Loyds'!$AX$5:$AZ$63,3,FALSE)))</f>
        <v/>
      </c>
      <c r="AF176" s="105" t="str">
        <f>IF(ISNA(VLOOKUP(A176,'Grandchildren Loyd Daughters'!$BD$5:$BF$50,4,FALSE)),"",VLOOKUP(A176,'Grandchildren Loyd Daughters'!$BD$5:$BF$50,3,FALSE))</f>
        <v/>
      </c>
      <c r="AG176" s="129">
        <f>IF(ISNA(VLOOKUP(A176,'Grandchildren of Male Loyds'!$AQ$3:$AR$60,2,FALSE)),0,VLOOKUP(A176,'Grandchildren of Male Loyds'!$AQ$3:$AR$60,2,FALSE))+IF(ISNA(VLOOKUP(A176,'Grandchildren of Female Loyds'!$AX$5:$AY$50,2,FALSE)),0,VLOOKUP(A176,'Grandchildren of Female Loyds'!$AX$5:$AY$50,2,FALSE))+IF(ISNA(VLOOKUP(A176,'Grandchildren Loyd Daughters'!$BD$5:$BE$50,2,FALSE)),0,VLOOKUP(A176,'Grandchildren Loyd Daughters'!$BD$5:$BE$50,2,FALSE))</f>
        <v>0</v>
      </c>
      <c r="AH176" s="129" t="str">
        <f>VLOOKUP($U176,'Loyd List 1-190 - Edit'!$P$3:$AJ$220,21,FALSE)</f>
        <v>Mrs Anabel Laura Dorothy STAPLETON (b. 31 Dec 1955, )</v>
      </c>
      <c r="AI176" s="129" t="str">
        <f>VLOOKUP(A176,'Updated Bios &amp; Spouse Details'!$A$1:$J$200,7,FALSE)</f>
        <v xml:space="preserve"> -</v>
      </c>
      <c r="AJ176" s="130" t="str">
        <f>IF(VLOOKUP($A176,'Loyd List 1-190 - Edit'!$C$1:$AQ$220,'Book Details - NO EDIT'!AJ$1,FALSE)="","",(VLOOKUP($A176,'Loyd List 1-190 - Edit'!$C$1:$AQ$220,'Book Details - NO EDIT'!AJ$1,FALSE)))</f>
        <v/>
      </c>
      <c r="AK176" s="129" t="str">
        <f>VLOOKUP(A176,'Updated Bios &amp; Spouse Details'!$A$1:$J$200,8,FALSE)</f>
        <v xml:space="preserve"> -</v>
      </c>
      <c r="AL176" s="131" t="str">
        <f>VLOOKUP(A176,'Updated Bios &amp; Spouse Details'!$A$1:$J$200,5,FALSE)</f>
        <v>Tabitha lives in South West London and is the only daughter of David (1949– : #121). Born 14 Nov 1992 in London. Baptised 18 Apr 1993 at St Michael &amp; All Angels’, Urchfont, Wiltshire. Education: Bryanston School and Buckingham University.</v>
      </c>
      <c r="AM176" s="105" t="str">
        <f>IF(AND(LEN(H176)&gt;0,ISNA(IF(K176="Boy",VLOOKUP(A176,'Siblings of those BORN Loyd'!$AP$3:$AQ$70,2,FALSE),VLOOKUP(A176,'Children of Female Loyds'!$AR$5:$AS$60,2,FALSE)))),"d.s.p","")</f>
        <v/>
      </c>
      <c r="AN176" s="99" t="str">
        <f t="shared" si="84"/>
        <v>David (1949–: #121)</v>
      </c>
      <c r="AO176" s="99" t="str">
        <f t="shared" si="73"/>
        <v>Edward (1921–1977: #96)</v>
      </c>
      <c r="AP176" s="99" t="str">
        <f t="shared" si="74"/>
        <v>William (1889–1947: #66)</v>
      </c>
      <c r="AQ176" s="99" t="str">
        <f t="shared" si="75"/>
        <v>Harry (1861–1938: #44)</v>
      </c>
      <c r="AR176" s="99" t="str">
        <f t="shared" si="76"/>
        <v>William (1821–1885: #23)</v>
      </c>
      <c r="AS176" s="99" t="str">
        <f t="shared" si="77"/>
        <v>Edward (1780–1863: #8)</v>
      </c>
      <c r="AT176" s="99" t="str">
        <f t="shared" si="78"/>
        <v>William (1729–1800: #1)</v>
      </c>
      <c r="AU176" s="99" t="str">
        <f t="shared" si="79"/>
        <v/>
      </c>
      <c r="AW176" s="116" t="str">
        <f>VLOOKUP(A176,'Updated Bios &amp; Spouse Details'!$A$1:$J$193,6,FALSE)</f>
        <v>England</v>
      </c>
      <c r="AX176" s="131">
        <f>VLOOKUP($A176,'Loyd List 1-190 - Edit'!$P$2:$AQ$220,AX$1,FALSE)</f>
        <v>174</v>
      </c>
      <c r="AY176" s="116" t="str">
        <f>IF(ISNA(VLOOKUP(A176,'Data check lookup table'!$G$2:$V$73,AY$1,FALSE))," - ",VLOOKUP(A176,'Data check lookup table'!$G$2:$V$73,AY$1,FALSE))</f>
        <v>tabsloyd@hotmail.co.uk</v>
      </c>
      <c r="AZ176" s="147" t="str">
        <f t="shared" si="69"/>
        <v/>
      </c>
      <c r="BA176" s="99" t="str">
        <f t="shared" si="85"/>
        <v>, Edward (1780–1863: #8)</v>
      </c>
      <c r="BB176" s="99" t="str">
        <f t="shared" si="82"/>
        <v>; William (1729–1800: #1)</v>
      </c>
      <c r="BC176" s="99" t="str">
        <f t="shared" si="82"/>
        <v/>
      </c>
      <c r="BI176" s="147" t="s">
        <v>3228</v>
      </c>
    </row>
    <row r="177" spans="1:61" s="99" customFormat="1" ht="68">
      <c r="A177" s="139">
        <f>'Loyd List 1-190 - Edit'!C177</f>
        <v>175</v>
      </c>
      <c r="B177" s="99" t="str">
        <f>VLOOKUP($A177,'Loyd List 1-190 - Edit'!$C$1:$AQ$220,'Book Details - NO EDIT'!B$1,FALSE)</f>
        <v>Christopher</v>
      </c>
      <c r="C177" s="99" t="str">
        <f>IF(VLOOKUP($A177,'Loyd List 1-190 - Edit'!$C$1:$AQ$220,'Book Details - NO EDIT'!C$1,FALSE)="","",VLOOKUP($A177,'Loyd List 1-190 - Edit'!$C$1:$AQ$220,'Book Details - NO EDIT'!C$1,FALSE))</f>
        <v>Philip</v>
      </c>
      <c r="D177" s="99" t="str">
        <f>IF(VLOOKUP($A177,'Loyd List 1-190 - Edit'!$C$1:$AQ$220,'Book Details - NO EDIT'!D$1,FALSE)="","",VLOOKUP($A177,'Loyd List 1-190 - Edit'!$C$1:$AQ$220,'Book Details - NO EDIT'!D$1,FALSE))</f>
        <v/>
      </c>
      <c r="E177" s="99" t="str">
        <f>IF(VLOOKUP($A177,'Loyd List 1-190 - Edit'!$C$1:$AQ$220,'Book Details - NO EDIT'!E$1,FALSE)="","",VLOOKUP($A177,'Loyd List 1-190 - Edit'!$C$1:$AQ$220,'Book Details - NO EDIT'!E$1,FALSE))</f>
        <v>LOYD</v>
      </c>
      <c r="F177" s="99" t="str">
        <f>IF(VLOOKUP($A177,'Loyd List 1-190 - Edit'!$C$1:$AQ$220,'Book Details - NO EDIT'!F$1,FALSE)="",B177,VLOOKUP($A177,'Loyd List 1-190 - Edit'!$C$1:$AQ$220,'Book Details - NO EDIT'!F$1,FALSE))</f>
        <v>Kit</v>
      </c>
      <c r="G177" s="140">
        <f>IF(VLOOKUP($A177,'Loyd List 1-190 - Edit'!$C$1:$AQ$220,'Book Details - NO EDIT'!G$1,FALSE)="","",VALUE(VLOOKUP($A177,'Loyd List 1-190 - Edit'!$C$1:$AQ$220,'Book Details - NO EDIT'!G$1,FALSE)))</f>
        <v>1993</v>
      </c>
      <c r="H177" s="140" t="str">
        <f>IF(VLOOKUP($A177,'Loyd List 1-190 - Edit'!$C$1:$AQ$220,'Book Details - NO EDIT'!H$1,FALSE)="","",VALUE(VLOOKUP($A177,'Loyd List 1-190 - Edit'!$C$1:$AQ$220,'Book Details - NO EDIT'!H$1,FALSE)))</f>
        <v/>
      </c>
      <c r="I177" s="141">
        <f>IF(VLOOKUP($A177,'Loyd List 1-190 - Edit'!$C$1:$AQ$220,'Book Details - NO EDIT'!I$1,FALSE)="","",(VLOOKUP($A177,'Loyd List 1-190 - Edit'!$C$1:$AQ$220,'Book Details - NO EDIT'!I$1,FALSE)))</f>
        <v>33992</v>
      </c>
      <c r="J177" s="141" t="str">
        <f>IF(VLOOKUP($A177,'Loyd List 1-190 - Edit'!$C$1:$AQ$220,'Book Details - NO EDIT'!J$1,FALSE)="","",(VLOOKUP($A177,'Loyd List 1-190 - Edit'!$C$1:$AQ$220,'Book Details - NO EDIT'!J$1,FALSE)))</f>
        <v/>
      </c>
      <c r="K177" s="100" t="str">
        <f>VLOOKUP($A177,'Loyd List 1-190 - Edit'!$C$1:$AQ$220,'Book Details - NO EDIT'!K$1,FALSE)</f>
        <v>Boy</v>
      </c>
      <c r="L177" s="140">
        <f>VLOOKUP($A177,'Loyd List 1-190 - Edit'!$C$1:$AQ$220,'Book Details - NO EDIT'!L$1,FALSE)</f>
        <v>138</v>
      </c>
      <c r="M177" s="140">
        <f t="shared" si="60"/>
        <v>100</v>
      </c>
      <c r="N177" s="140">
        <f t="shared" si="60"/>
        <v>56</v>
      </c>
      <c r="O177" s="140">
        <f t="shared" si="60"/>
        <v>28</v>
      </c>
      <c r="P177" s="140">
        <f t="shared" si="60"/>
        <v>14</v>
      </c>
      <c r="Q177" s="140">
        <f t="shared" si="80"/>
        <v>4</v>
      </c>
      <c r="R177" s="140">
        <f t="shared" si="61"/>
        <v>1</v>
      </c>
      <c r="S177" s="140">
        <f t="shared" si="62"/>
        <v>0</v>
      </c>
      <c r="T177" s="140">
        <f t="shared" si="58"/>
        <v>7</v>
      </c>
      <c r="U177" s="139">
        <f t="shared" si="63"/>
        <v>175</v>
      </c>
      <c r="V177" s="31" t="str">
        <f t="shared" si="64"/>
        <v>Kit (1993–)</v>
      </c>
      <c r="W177" s="31" t="str">
        <f t="shared" si="65"/>
        <v>Kit (#175)</v>
      </c>
      <c r="X177" s="99" t="str">
        <f t="shared" si="66"/>
        <v>Kit (1993–: #175)</v>
      </c>
      <c r="Y177" s="99" t="str">
        <f t="shared" si="83"/>
        <v>Christopher Philip LOYD</v>
      </c>
      <c r="Z177" s="99" t="str">
        <f t="shared" si="67"/>
        <v>Thomas (1959–: #138)</v>
      </c>
      <c r="AA177" s="99" t="str">
        <f t="shared" si="72"/>
        <v xml:space="preserve">Thomas (1959–: #138) Christopher (1923–2013: #100) Tommy (1882–1944: #56) The Rev Lewis (1844–1905: #28) Thomas (1812–1857: #14) William (1770–1828: #4) William (1729–1800: #1) </v>
      </c>
      <c r="AB177" s="142" t="str">
        <f>VLOOKUP(U177,'Siblings of those BORN Loyd'!$A$2:$G$230,7,FALSE)</f>
        <v xml:space="preserve">2 – Camilla (1988–: #168) Sophie (1989–: #170)       </v>
      </c>
      <c r="AC177" s="115" t="str">
        <f>IF(ISNA(IF(K177="Boy",VLOOKUP(A177,'Siblings of those BORN Loyd'!$AP$3:$AQ$70,2,FALSE),VLOOKUP(A177,'Children of Female Loyds'!$AR$5:$AT$60,3,FALSE))),AM177,IF(K177="Boy",VLOOKUP(A177,'Siblings of those BORN Loyd'!$AP$3:$AQ$70,2,FALSE),VLOOKUP(A177,'Children of Female Loyds'!$AR$5:$AT$60,3,FALSE)))</f>
        <v/>
      </c>
      <c r="AD177" s="97" t="str">
        <f t="shared" si="81"/>
        <v>-</v>
      </c>
      <c r="AE177" s="105" t="str">
        <f>IF(ISNA(IF(K177="Boy",VLOOKUP(A177,'Grandchildren of Male Loyds'!$AQ$3:$AS$51,3,FALSE),VLOOKUP(A177,'Grandchildren of Female Loyds'!$AX$5:$AZ$63,3,FALSE))),AM177,IF(K177="Boy",VLOOKUP(A177,'Grandchildren of Male Loyds'!$AQ$3:$AS$51,3,FALSE),VLOOKUP(A177,'Grandchildren of Female Loyds'!$AX$5:$AZ$63,3,FALSE)))</f>
        <v/>
      </c>
      <c r="AF177" s="105" t="str">
        <f>IF(ISNA(VLOOKUP(A177,'Grandchildren Loyd Daughters'!$BD$5:$BF$50,4,FALSE)),"",VLOOKUP(A177,'Grandchildren Loyd Daughters'!$BD$5:$BF$50,3,FALSE))</f>
        <v/>
      </c>
      <c r="AG177" s="129">
        <f>IF(ISNA(VLOOKUP(A177,'Grandchildren of Male Loyds'!$AQ$3:$AR$60,2,FALSE)),0,VLOOKUP(A177,'Grandchildren of Male Loyds'!$AQ$3:$AR$60,2,FALSE))+IF(ISNA(VLOOKUP(A177,'Grandchildren of Female Loyds'!$AX$5:$AY$50,2,FALSE)),0,VLOOKUP(A177,'Grandchildren of Female Loyds'!$AX$5:$AY$50,2,FALSE))+IF(ISNA(VLOOKUP(A177,'Grandchildren Loyd Daughters'!$BD$5:$BE$50,2,FALSE)),0,VLOOKUP(A177,'Grandchildren Loyd Daughters'!$BD$5:$BE$50,2,FALSE))</f>
        <v>0</v>
      </c>
      <c r="AH177" s="129" t="str">
        <f>VLOOKUP($U177,'Loyd List 1-190 - Edit'!$P$3:$AJ$220,21,FALSE)</f>
        <v>Kirsten Mary WROUGHTON (b. 12 Dec 1959, )</v>
      </c>
      <c r="AI177" s="129" t="str">
        <f>VLOOKUP(A177,'Updated Bios &amp; Spouse Details'!$A$1:$J$200,7,FALSE)</f>
        <v>Engaged to be married to Naomi Lydia NICHOLL in December 2022. Naomi is the daughter of Stephen Nicholl, of London, and his wife Eloise Price.</v>
      </c>
      <c r="AJ177" s="130" t="str">
        <f>IF(VLOOKUP($A177,'Loyd List 1-190 - Edit'!$C$1:$AQ$220,'Book Details - NO EDIT'!AJ$1,FALSE)="","",(VLOOKUP($A177,'Loyd List 1-190 - Edit'!$C$1:$AQ$220,'Book Details - NO EDIT'!AJ$1,FALSE)))</f>
        <v/>
      </c>
      <c r="AK177" s="129" t="str">
        <f>VLOOKUP(A177,'Updated Bios &amp; Spouse Details'!$A$1:$J$200,8,FALSE)</f>
        <v xml:space="preserve"> -</v>
      </c>
      <c r="AL177" s="131" t="str">
        <f>VLOOKUP(A177,'Updated Bios &amp; Spouse Details'!$A$1:$J$200,5,FALSE)</f>
        <v>Kit is the only son of Thomas (1959– : #138). Born 23 Jan 1993. Baptised at All Saints’, Lockinge.</v>
      </c>
      <c r="AM177" s="105" t="str">
        <f>IF(AND(LEN(H177)&gt;0,ISNA(IF(K177="Boy",VLOOKUP(A177,'Siblings of those BORN Loyd'!$AP$3:$AQ$70,2,FALSE),VLOOKUP(A177,'Children of Female Loyds'!$AR$5:$AS$60,2,FALSE)))),"d.s.p","")</f>
        <v/>
      </c>
      <c r="AN177" s="99" t="str">
        <f t="shared" si="84"/>
        <v>Thomas (1959–: #138)</v>
      </c>
      <c r="AO177" s="99" t="str">
        <f t="shared" si="73"/>
        <v>Christopher (1923–2013: #100)</v>
      </c>
      <c r="AP177" s="99" t="str">
        <f t="shared" si="74"/>
        <v>Tommy (1882–1944: #56)</v>
      </c>
      <c r="AQ177" s="99" t="str">
        <f t="shared" si="75"/>
        <v>The Rev Lewis (1844–1905: #28)</v>
      </c>
      <c r="AR177" s="99" t="str">
        <f t="shared" si="76"/>
        <v>Thomas (1812–1857: #14)</v>
      </c>
      <c r="AS177" s="99" t="str">
        <f t="shared" si="77"/>
        <v>William (1770–1828: #4)</v>
      </c>
      <c r="AT177" s="99" t="str">
        <f t="shared" si="78"/>
        <v>William (1729–1800: #1)</v>
      </c>
      <c r="AU177" s="99" t="str">
        <f t="shared" si="79"/>
        <v/>
      </c>
      <c r="AW177" s="116" t="str">
        <f>VLOOKUP(A177,'Updated Bios &amp; Spouse Details'!$A$1:$J$193,6,FALSE)</f>
        <v>England</v>
      </c>
      <c r="AX177" s="131">
        <f>VLOOKUP($A177,'Loyd List 1-190 - Edit'!$P$2:$AQ$220,AX$1,FALSE)</f>
        <v>175</v>
      </c>
      <c r="AY177" s="116" t="str">
        <f>IF(ISNA(VLOOKUP(A177,'Data check lookup table'!$G$2:$V$73,AY$1,FALSE))," - ",VLOOKUP(A177,'Data check lookup table'!$G$2:$V$73,AY$1,FALSE))</f>
        <v>tloyd@lockinge-estate.co.uk</v>
      </c>
      <c r="AZ177" s="147" t="str">
        <f t="shared" si="69"/>
        <v/>
      </c>
      <c r="BA177" s="99" t="str">
        <f t="shared" si="85"/>
        <v>, William (1770–1828: #4)</v>
      </c>
      <c r="BB177" s="99" t="str">
        <f t="shared" si="82"/>
        <v>; William (1729–1800: #1)</v>
      </c>
      <c r="BC177" s="99" t="str">
        <f t="shared" si="82"/>
        <v/>
      </c>
      <c r="BI177" s="147" t="s">
        <v>3228</v>
      </c>
    </row>
    <row r="178" spans="1:61" s="99" customFormat="1" ht="85">
      <c r="A178" s="139">
        <f>'Loyd List 1-190 - Edit'!C178</f>
        <v>176</v>
      </c>
      <c r="B178" s="99" t="str">
        <f>VLOOKUP($A178,'Loyd List 1-190 - Edit'!$C$1:$AQ$220,'Book Details - NO EDIT'!B$1,FALSE)</f>
        <v>Samuel</v>
      </c>
      <c r="C178" s="99" t="str">
        <f>IF(VLOOKUP($A178,'Loyd List 1-190 - Edit'!$C$1:$AQ$220,'Book Details - NO EDIT'!C$1,FALSE)="","",VLOOKUP($A178,'Loyd List 1-190 - Edit'!$C$1:$AQ$220,'Book Details - NO EDIT'!C$1,FALSE))</f>
        <v>Hamilton</v>
      </c>
      <c r="D178" s="99" t="str">
        <f>IF(VLOOKUP($A178,'Loyd List 1-190 - Edit'!$C$1:$AQ$220,'Book Details - NO EDIT'!D$1,FALSE)="","",VLOOKUP($A178,'Loyd List 1-190 - Edit'!$C$1:$AQ$220,'Book Details - NO EDIT'!D$1,FALSE))</f>
        <v/>
      </c>
      <c r="E178" s="99" t="str">
        <f>IF(VLOOKUP($A178,'Loyd List 1-190 - Edit'!$C$1:$AQ$220,'Book Details - NO EDIT'!E$1,FALSE)="","",VLOOKUP($A178,'Loyd List 1-190 - Edit'!$C$1:$AQ$220,'Book Details - NO EDIT'!E$1,FALSE))</f>
        <v>LOYD</v>
      </c>
      <c r="F178" s="99" t="str">
        <f>IF(VLOOKUP($A178,'Loyd List 1-190 - Edit'!$C$1:$AQ$220,'Book Details - NO EDIT'!F$1,FALSE)="",B178,VLOOKUP($A178,'Loyd List 1-190 - Edit'!$C$1:$AQ$220,'Book Details - NO EDIT'!F$1,FALSE))</f>
        <v>Sam</v>
      </c>
      <c r="G178" s="140">
        <f>IF(VLOOKUP($A178,'Loyd List 1-190 - Edit'!$C$1:$AQ$220,'Book Details - NO EDIT'!G$1,FALSE)="","",VALUE(VLOOKUP($A178,'Loyd List 1-190 - Edit'!$C$1:$AQ$220,'Book Details - NO EDIT'!G$1,FALSE)))</f>
        <v>1994</v>
      </c>
      <c r="H178" s="140" t="str">
        <f>IF(VLOOKUP($A178,'Loyd List 1-190 - Edit'!$C$1:$AQ$220,'Book Details - NO EDIT'!H$1,FALSE)="","",VALUE(VLOOKUP($A178,'Loyd List 1-190 - Edit'!$C$1:$AQ$220,'Book Details - NO EDIT'!H$1,FALSE)))</f>
        <v/>
      </c>
      <c r="I178" s="141">
        <f>IF(VLOOKUP($A178,'Loyd List 1-190 - Edit'!$C$1:$AQ$220,'Book Details - NO EDIT'!I$1,FALSE)="","",(VLOOKUP($A178,'Loyd List 1-190 - Edit'!$C$1:$AQ$220,'Book Details - NO EDIT'!I$1,FALSE)))</f>
        <v>34335</v>
      </c>
      <c r="J178" s="141" t="str">
        <f>IF(VLOOKUP($A178,'Loyd List 1-190 - Edit'!$C$1:$AQ$220,'Book Details - NO EDIT'!J$1,FALSE)="","",(VLOOKUP($A178,'Loyd List 1-190 - Edit'!$C$1:$AQ$220,'Book Details - NO EDIT'!J$1,FALSE)))</f>
        <v/>
      </c>
      <c r="K178" s="100" t="str">
        <f>VLOOKUP($A178,'Loyd List 1-190 - Edit'!$C$1:$AQ$220,'Book Details - NO EDIT'!K$1,FALSE)</f>
        <v>Boy</v>
      </c>
      <c r="L178" s="140">
        <f>VLOOKUP($A178,'Loyd List 1-190 - Edit'!$C$1:$AQ$220,'Book Details - NO EDIT'!L$1,FALSE)</f>
        <v>142</v>
      </c>
      <c r="M178" s="140">
        <f t="shared" si="60"/>
        <v>94</v>
      </c>
      <c r="N178" s="140">
        <f t="shared" si="60"/>
        <v>68</v>
      </c>
      <c r="O178" s="140">
        <f t="shared" si="60"/>
        <v>45</v>
      </c>
      <c r="P178" s="140">
        <f t="shared" si="60"/>
        <v>22</v>
      </c>
      <c r="Q178" s="140">
        <f t="shared" si="80"/>
        <v>8</v>
      </c>
      <c r="R178" s="140">
        <f t="shared" si="61"/>
        <v>1</v>
      </c>
      <c r="S178" s="140">
        <f t="shared" si="62"/>
        <v>0</v>
      </c>
      <c r="T178" s="140">
        <f t="shared" si="58"/>
        <v>7</v>
      </c>
      <c r="U178" s="139">
        <f t="shared" si="63"/>
        <v>176</v>
      </c>
      <c r="V178" s="31" t="str">
        <f t="shared" si="64"/>
        <v>Sam (1994–)</v>
      </c>
      <c r="W178" s="31" t="str">
        <f t="shared" si="65"/>
        <v>Sam (#176)</v>
      </c>
      <c r="X178" s="99" t="str">
        <f t="shared" si="66"/>
        <v>Sam (1994–: #176)</v>
      </c>
      <c r="Y178" s="99" t="str">
        <f t="shared" si="83"/>
        <v>Samuel Hamilton LOYD</v>
      </c>
      <c r="Z178" s="99" t="str">
        <f t="shared" si="67"/>
        <v>Rick (1962–: #142)</v>
      </c>
      <c r="AA178" s="99" t="str">
        <f t="shared" si="72"/>
        <v xml:space="preserve">Rick (1962–: #142) Alwyne (1920–2014: #94) Cecil (1890–1963: #68) Llewellyn (1861–1939: #45) Edward (1820–1890: #22) Edward (1780–1863: #8) William (1729–1800: #1) </v>
      </c>
      <c r="AB178" s="142" t="str">
        <f>VLOOKUP(U178,'Siblings of those BORN Loyd'!$A$2:$G$230,7,FALSE)</f>
        <v xml:space="preserve">1 – Josh (1996–: #179)       </v>
      </c>
      <c r="AC178" s="115" t="str">
        <f>IF(ISNA(IF(K178="Boy",VLOOKUP(A178,'Siblings of those BORN Loyd'!$AP$3:$AQ$70,2,FALSE),VLOOKUP(A178,'Children of Female Loyds'!$AR$5:$AT$60,3,FALSE))),AM178,IF(K178="Boy",VLOOKUP(A178,'Siblings of those BORN Loyd'!$AP$3:$AQ$70,2,FALSE),VLOOKUP(A178,'Children of Female Loyds'!$AR$5:$AT$60,3,FALSE)))</f>
        <v/>
      </c>
      <c r="AD178" s="97" t="str">
        <f t="shared" si="81"/>
        <v>-</v>
      </c>
      <c r="AE178" s="105" t="str">
        <f>IF(ISNA(IF(K178="Boy",VLOOKUP(A178,'Grandchildren of Male Loyds'!$AQ$3:$AS$51,3,FALSE),VLOOKUP(A178,'Grandchildren of Female Loyds'!$AX$5:$AZ$63,3,FALSE))),AM178,IF(K178="Boy",VLOOKUP(A178,'Grandchildren of Male Loyds'!$AQ$3:$AS$51,3,FALSE),VLOOKUP(A178,'Grandchildren of Female Loyds'!$AX$5:$AZ$63,3,FALSE)))</f>
        <v/>
      </c>
      <c r="AF178" s="105" t="str">
        <f>IF(ISNA(VLOOKUP(A178,'Grandchildren Loyd Daughters'!$BD$5:$BF$50,4,FALSE)),"",VLOOKUP(A178,'Grandchildren Loyd Daughters'!$BD$5:$BF$50,3,FALSE))</f>
        <v/>
      </c>
      <c r="AG178" s="129">
        <f>IF(ISNA(VLOOKUP(A178,'Grandchildren of Male Loyds'!$AQ$3:$AR$60,2,FALSE)),0,VLOOKUP(A178,'Grandchildren of Male Loyds'!$AQ$3:$AR$60,2,FALSE))+IF(ISNA(VLOOKUP(A178,'Grandchildren of Female Loyds'!$AX$5:$AY$50,2,FALSE)),0,VLOOKUP(A178,'Grandchildren of Female Loyds'!$AX$5:$AY$50,2,FALSE))+IF(ISNA(VLOOKUP(A178,'Grandchildren Loyd Daughters'!$BD$5:$BE$50,2,FALSE)),0,VLOOKUP(A178,'Grandchildren Loyd Daughters'!$BD$5:$BE$50,2,FALSE))</f>
        <v>0</v>
      </c>
      <c r="AH178" s="129" t="str">
        <f>VLOOKUP($U178,'Loyd List 1-190 - Edit'!$P$3:$AJ$220,21,FALSE)</f>
        <v>Lynn HAMILTON (b. 23 Feb 1962, )</v>
      </c>
      <c r="AI178" s="129" t="str">
        <f>VLOOKUP(A178,'Updated Bios &amp; Spouse Details'!$A$1:$J$200,7,FALSE)</f>
        <v>Ellie COLLINS (b. 4 Aug 1994, )</v>
      </c>
      <c r="AJ178" s="130" t="str">
        <f>IF(VLOOKUP($A178,'Loyd List 1-190 - Edit'!$C$1:$AQ$220,'Book Details - NO EDIT'!AJ$1,FALSE)="","",(VLOOKUP($A178,'Loyd List 1-190 - Edit'!$C$1:$AQ$220,'Book Details - NO EDIT'!AJ$1,FALSE)))</f>
        <v/>
      </c>
      <c r="AK178" s="129" t="str">
        <f>VLOOKUP(A178,'Updated Bios &amp; Spouse Details'!$A$1:$J$200,8,FALSE)</f>
        <v>Sam and Ellie announced their engagement in August 2022. Ellie is the only daughter of Tim and Sarah COLLINS (neé  NICHOLS) orginally from Poole, Dorset.</v>
      </c>
      <c r="AL178" s="131" t="str">
        <f>VLOOKUP(A178,'Updated Bios &amp; Spouse Details'!$A$1:$J$200,5,FALSE)</f>
        <v>Sam lives in Dubai and is the elder son of Rick (1962– : #142). Born at Epsom Hospital, Surrey. Education: Mosman Primary/High NSW, Australia; Esher High &amp; Tiffin School Kingston; University of Exeter (BA Hons Philosophy, 2015). Co-directed a play at Haymarket Theatre, London 2013. Freeman of Goldsmiths 2021. Career: Co-Founder Currikula (2015–2019); Co-Author of "The Ultimate Essay Guide Book 2018"; Founder of Antler Digital (2019– ). </v>
      </c>
      <c r="AM178" s="105" t="str">
        <f>IF(AND(LEN(H178)&gt;0,ISNA(IF(K178="Boy",VLOOKUP(A178,'Siblings of those BORN Loyd'!$AP$3:$AQ$70,2,FALSE),VLOOKUP(A178,'Children of Female Loyds'!$AR$5:$AS$60,2,FALSE)))),"d.s.p","")</f>
        <v/>
      </c>
      <c r="AN178" s="99" t="str">
        <f t="shared" si="84"/>
        <v>Rick (1962–: #142)</v>
      </c>
      <c r="AO178" s="99" t="str">
        <f t="shared" si="73"/>
        <v>Alwyne (1920–2014: #94)</v>
      </c>
      <c r="AP178" s="99" t="str">
        <f t="shared" si="74"/>
        <v>Cecil (1890–1963: #68)</v>
      </c>
      <c r="AQ178" s="99" t="str">
        <f t="shared" si="75"/>
        <v>Llewellyn (1861–1939: #45)</v>
      </c>
      <c r="AR178" s="99" t="str">
        <f t="shared" si="76"/>
        <v>Edward (1820–1890: #22)</v>
      </c>
      <c r="AS178" s="99" t="str">
        <f t="shared" si="77"/>
        <v>Edward (1780–1863: #8)</v>
      </c>
      <c r="AT178" s="99" t="str">
        <f t="shared" si="78"/>
        <v>William (1729–1800: #1)</v>
      </c>
      <c r="AU178" s="99" t="str">
        <f t="shared" si="79"/>
        <v/>
      </c>
      <c r="AW178" s="116" t="str">
        <f>VLOOKUP(A178,'Updated Bios &amp; Spouse Details'!$A$1:$J$193,6,FALSE)</f>
        <v>England, Australia &amp; Dubai</v>
      </c>
      <c r="AX178" s="131">
        <f>VLOOKUP($A178,'Loyd List 1-190 - Edit'!$P$2:$AQ$220,AX$1,FALSE)</f>
        <v>176</v>
      </c>
      <c r="AY178" s="116" t="str">
        <f>IF(ISNA(VLOOKUP(A178,'Data check lookup table'!$G$2:$V$73,AY$1,FALSE))," - ",VLOOKUP(A178,'Data check lookup table'!$G$2:$V$73,AY$1,FALSE))</f>
        <v>samloyd@hotmail.co.uk</v>
      </c>
      <c r="AZ178" s="147" t="str">
        <f t="shared" si="69"/>
        <v/>
      </c>
      <c r="BA178" s="99" t="str">
        <f t="shared" si="85"/>
        <v>, Edward (1780–1863: #8)</v>
      </c>
      <c r="BB178" s="99" t="str">
        <f t="shared" si="82"/>
        <v>; William (1729–1800: #1)</v>
      </c>
      <c r="BC178" s="99" t="str">
        <f t="shared" si="82"/>
        <v/>
      </c>
      <c r="BI178" s="147" t="s">
        <v>3228</v>
      </c>
    </row>
    <row r="179" spans="1:61" s="99" customFormat="1" ht="17">
      <c r="A179" s="139">
        <f>'Loyd List 1-190 - Edit'!C179</f>
        <v>177</v>
      </c>
      <c r="B179" s="99" t="str">
        <f>VLOOKUP($A179,'Loyd List 1-190 - Edit'!$C$1:$AQ$220,'Book Details - NO EDIT'!B$1,FALSE)</f>
        <v>Spencer</v>
      </c>
      <c r="C179" s="99" t="str">
        <f>IF(VLOOKUP($A179,'Loyd List 1-190 - Edit'!$C$1:$AQ$220,'Book Details - NO EDIT'!C$1,FALSE)="","",VLOOKUP($A179,'Loyd List 1-190 - Edit'!$C$1:$AQ$220,'Book Details - NO EDIT'!C$1,FALSE))</f>
        <v>David</v>
      </c>
      <c r="D179" s="99" t="str">
        <f>IF(VLOOKUP($A179,'Loyd List 1-190 - Edit'!$C$1:$AQ$220,'Book Details - NO EDIT'!D$1,FALSE)="","",VLOOKUP($A179,'Loyd List 1-190 - Edit'!$C$1:$AQ$220,'Book Details - NO EDIT'!D$1,FALSE))</f>
        <v/>
      </c>
      <c r="E179" s="99" t="str">
        <f>IF(VLOOKUP($A179,'Loyd List 1-190 - Edit'!$C$1:$AQ$220,'Book Details - NO EDIT'!E$1,FALSE)="","",VLOOKUP($A179,'Loyd List 1-190 - Edit'!$C$1:$AQ$220,'Book Details - NO EDIT'!E$1,FALSE))</f>
        <v>LOYD</v>
      </c>
      <c r="F179" s="99" t="str">
        <f>IF(VLOOKUP($A179,'Loyd List 1-190 - Edit'!$C$1:$AQ$220,'Book Details - NO EDIT'!F$1,FALSE)="",B179,VLOOKUP($A179,'Loyd List 1-190 - Edit'!$C$1:$AQ$220,'Book Details - NO EDIT'!F$1,FALSE))</f>
        <v>Spencer</v>
      </c>
      <c r="G179" s="140">
        <f>IF(VLOOKUP($A179,'Loyd List 1-190 - Edit'!$C$1:$AQ$220,'Book Details - NO EDIT'!G$1,FALSE)="","",VALUE(VLOOKUP($A179,'Loyd List 1-190 - Edit'!$C$1:$AQ$220,'Book Details - NO EDIT'!G$1,FALSE)))</f>
        <v>1995</v>
      </c>
      <c r="H179" s="140" t="str">
        <f>IF(VLOOKUP($A179,'Loyd List 1-190 - Edit'!$C$1:$AQ$220,'Book Details - NO EDIT'!H$1,FALSE)="","",VALUE(VLOOKUP($A179,'Loyd List 1-190 - Edit'!$C$1:$AQ$220,'Book Details - NO EDIT'!H$1,FALSE)))</f>
        <v/>
      </c>
      <c r="I179" s="141">
        <f>IF(VLOOKUP($A179,'Loyd List 1-190 - Edit'!$C$1:$AQ$220,'Book Details - NO EDIT'!I$1,FALSE)="","",(VLOOKUP($A179,'Loyd List 1-190 - Edit'!$C$1:$AQ$220,'Book Details - NO EDIT'!I$1,FALSE)))</f>
        <v>34890</v>
      </c>
      <c r="J179" s="141" t="str">
        <f>IF(VLOOKUP($A179,'Loyd List 1-190 - Edit'!$C$1:$AQ$220,'Book Details - NO EDIT'!J$1,FALSE)="","",(VLOOKUP($A179,'Loyd List 1-190 - Edit'!$C$1:$AQ$220,'Book Details - NO EDIT'!J$1,FALSE)))</f>
        <v/>
      </c>
      <c r="K179" s="100" t="str">
        <f>VLOOKUP($A179,'Loyd List 1-190 - Edit'!$C$1:$AQ$220,'Book Details - NO EDIT'!K$1,FALSE)</f>
        <v>Boy</v>
      </c>
      <c r="L179" s="140">
        <f>VLOOKUP($A179,'Loyd List 1-190 - Edit'!$C$1:$AQ$220,'Book Details - NO EDIT'!L$1,FALSE)</f>
        <v>135</v>
      </c>
      <c r="M179" s="140">
        <f t="shared" si="60"/>
        <v>86</v>
      </c>
      <c r="N179" s="140">
        <f t="shared" si="60"/>
        <v>71</v>
      </c>
      <c r="O179" s="140">
        <f t="shared" si="60"/>
        <v>34</v>
      </c>
      <c r="P179" s="140">
        <f t="shared" si="60"/>
        <v>14</v>
      </c>
      <c r="Q179" s="140">
        <f t="shared" si="80"/>
        <v>4</v>
      </c>
      <c r="R179" s="140">
        <f t="shared" si="61"/>
        <v>1</v>
      </c>
      <c r="S179" s="140">
        <f t="shared" si="62"/>
        <v>0</v>
      </c>
      <c r="T179" s="140">
        <f t="shared" si="58"/>
        <v>7</v>
      </c>
      <c r="U179" s="139">
        <f t="shared" si="63"/>
        <v>177</v>
      </c>
      <c r="V179" s="31" t="str">
        <f t="shared" si="64"/>
        <v>Spencer (1995–)</v>
      </c>
      <c r="W179" s="31" t="str">
        <f t="shared" si="65"/>
        <v>Spencer (#177)</v>
      </c>
      <c r="X179" s="99" t="str">
        <f t="shared" si="66"/>
        <v>Spencer (1995–: #177)</v>
      </c>
      <c r="Y179" s="99" t="str">
        <f t="shared" si="83"/>
        <v>Spencer David LOYD</v>
      </c>
      <c r="Z179" s="99" t="str">
        <f t="shared" si="67"/>
        <v>Jim (1955–: #135)</v>
      </c>
      <c r="AA179" s="99" t="str">
        <f t="shared" si="72"/>
        <v xml:space="preserve">Jim (1955–: #135) Peter (1913–2008: #86) Arthur (1890–1974: #71) Ted (1851–1922: #34) Thomas (1812–1857: #14) William (1770–1828: #4) William (1729–1800: #1) </v>
      </c>
      <c r="AB179" s="142" t="str">
        <f>VLOOKUP(U179,'Siblings of those BORN Loyd'!$A$2:$G$230,7,FALSE)</f>
        <v xml:space="preserve">1 – Curtis (1992–: #173)        </v>
      </c>
      <c r="AC179" s="115" t="str">
        <f>IF(ISNA(IF(K179="Boy",VLOOKUP(A179,'Siblings of those BORN Loyd'!$AP$3:$AQ$70,2,FALSE),VLOOKUP(A179,'Children of Female Loyds'!$AR$5:$AT$60,3,FALSE))),AM179,IF(K179="Boy",VLOOKUP(A179,'Siblings of those BORN Loyd'!$AP$3:$AQ$70,2,FALSE),VLOOKUP(A179,'Children of Female Loyds'!$AR$5:$AT$60,3,FALSE)))</f>
        <v/>
      </c>
      <c r="AD179" s="97" t="str">
        <f t="shared" si="81"/>
        <v>-</v>
      </c>
      <c r="AE179" s="105" t="str">
        <f>IF(ISNA(IF(K179="Boy",VLOOKUP(A179,'Grandchildren of Male Loyds'!$AQ$3:$AS$51,3,FALSE),VLOOKUP(A179,'Grandchildren of Female Loyds'!$AX$5:$AZ$63,3,FALSE))),AM179,IF(K179="Boy",VLOOKUP(A179,'Grandchildren of Male Loyds'!$AQ$3:$AS$51,3,FALSE),VLOOKUP(A179,'Grandchildren of Female Loyds'!$AX$5:$AZ$63,3,FALSE)))</f>
        <v/>
      </c>
      <c r="AF179" s="105" t="str">
        <f>IF(ISNA(VLOOKUP(A179,'Grandchildren Loyd Daughters'!$BD$5:$BF$50,4,FALSE)),"",VLOOKUP(A179,'Grandchildren Loyd Daughters'!$BD$5:$BF$50,3,FALSE))</f>
        <v/>
      </c>
      <c r="AG179" s="129">
        <f>IF(ISNA(VLOOKUP(A179,'Grandchildren of Male Loyds'!$AQ$3:$AR$60,2,FALSE)),0,VLOOKUP(A179,'Grandchildren of Male Loyds'!$AQ$3:$AR$60,2,FALSE))+IF(ISNA(VLOOKUP(A179,'Grandchildren of Female Loyds'!$AX$5:$AY$50,2,FALSE)),0,VLOOKUP(A179,'Grandchildren of Female Loyds'!$AX$5:$AY$50,2,FALSE))+IF(ISNA(VLOOKUP(A179,'Grandchildren Loyd Daughters'!$BD$5:$BE$50,2,FALSE)),0,VLOOKUP(A179,'Grandchildren Loyd Daughters'!$BD$5:$BE$50,2,FALSE))</f>
        <v>0</v>
      </c>
      <c r="AH179" s="129" t="str">
        <f>VLOOKUP($U179,'Loyd List 1-190 - Edit'!$P$3:$AJ$220,21,FALSE)</f>
        <v>Brenda POW (b. 23 Aug 1964, )</v>
      </c>
      <c r="AI179" s="129" t="str">
        <f>VLOOKUP(A179,'Updated Bios &amp; Spouse Details'!$A$1:$J$200,7,FALSE)</f>
        <v xml:space="preserve"> -</v>
      </c>
      <c r="AJ179" s="130" t="str">
        <f>IF(VLOOKUP($A179,'Loyd List 1-190 - Edit'!$C$1:$AQ$220,'Book Details - NO EDIT'!AJ$1,FALSE)="","",(VLOOKUP($A179,'Loyd List 1-190 - Edit'!$C$1:$AQ$220,'Book Details - NO EDIT'!AJ$1,FALSE)))</f>
        <v/>
      </c>
      <c r="AK179" s="129" t="str">
        <f>VLOOKUP(A179,'Updated Bios &amp; Spouse Details'!$A$1:$J$200,8,FALSE)</f>
        <v xml:space="preserve"> -</v>
      </c>
      <c r="AL179" s="131" t="str">
        <f>VLOOKUP(A179,'Updated Bios &amp; Spouse Details'!$A$1:$J$200,5,FALSE)</f>
        <v>Spencer lives in Kelowna, British Columbria, Canada and is the younger son of James (1955– : #135)  Born 10 Jul 1995. University Degree in Microbiology.</v>
      </c>
      <c r="AM179" s="105" t="str">
        <f>IF(AND(LEN(H179)&gt;0,ISNA(IF(K179="Boy",VLOOKUP(A179,'Siblings of those BORN Loyd'!$AP$3:$AQ$70,2,FALSE),VLOOKUP(A179,'Children of Female Loyds'!$AR$5:$AS$60,2,FALSE)))),"d.s.p","")</f>
        <v/>
      </c>
      <c r="AN179" s="99" t="str">
        <f t="shared" si="84"/>
        <v>Jim (1955–: #135)</v>
      </c>
      <c r="AO179" s="99" t="str">
        <f t="shared" si="73"/>
        <v>Peter (1913–2008: #86)</v>
      </c>
      <c r="AP179" s="99" t="str">
        <f t="shared" si="74"/>
        <v>Arthur (1890–1974: #71)</v>
      </c>
      <c r="AQ179" s="99" t="str">
        <f t="shared" si="75"/>
        <v>Ted (1851–1922: #34)</v>
      </c>
      <c r="AR179" s="99" t="str">
        <f t="shared" si="76"/>
        <v>Thomas (1812–1857: #14)</v>
      </c>
      <c r="AS179" s="99" t="str">
        <f t="shared" si="77"/>
        <v>William (1770–1828: #4)</v>
      </c>
      <c r="AT179" s="99" t="str">
        <f t="shared" si="78"/>
        <v>William (1729–1800: #1)</v>
      </c>
      <c r="AU179" s="99" t="str">
        <f t="shared" si="79"/>
        <v/>
      </c>
      <c r="AW179" s="116" t="str">
        <f>VLOOKUP(A179,'Updated Bios &amp; Spouse Details'!$A$1:$J$193,6,FALSE)</f>
        <v>Canada</v>
      </c>
      <c r="AX179" s="131">
        <f>VLOOKUP($A179,'Loyd List 1-190 - Edit'!$P$2:$AQ$220,AX$1,FALSE)</f>
        <v>177</v>
      </c>
      <c r="AY179" s="116" t="str">
        <f>IF(ISNA(VLOOKUP(A179,'Data check lookup table'!$G$2:$V$73,AY$1,FALSE))," - ",VLOOKUP(A179,'Data check lookup table'!$G$2:$V$73,AY$1,FALSE))</f>
        <v>jimbrendaloyd1@gmail.com</v>
      </c>
      <c r="AZ179" s="147" t="str">
        <f t="shared" si="69"/>
        <v/>
      </c>
      <c r="BA179" s="99" t="str">
        <f t="shared" si="85"/>
        <v>, William (1770–1828: #4)</v>
      </c>
      <c r="BB179" s="99" t="str">
        <f t="shared" si="82"/>
        <v>; William (1729–1800: #1)</v>
      </c>
      <c r="BC179" s="99" t="str">
        <f t="shared" si="82"/>
        <v/>
      </c>
      <c r="BI179" s="147" t="s">
        <v>3228</v>
      </c>
    </row>
    <row r="180" spans="1:61" s="99" customFormat="1" ht="34">
      <c r="A180" s="139">
        <f>'Loyd List 1-190 - Edit'!C180</f>
        <v>178</v>
      </c>
      <c r="B180" s="99" t="str">
        <f>VLOOKUP($A180,'Loyd List 1-190 - Edit'!$C$1:$AQ$220,'Book Details - NO EDIT'!B$1,FALSE)</f>
        <v>William</v>
      </c>
      <c r="C180" s="99" t="str">
        <f>IF(VLOOKUP($A180,'Loyd List 1-190 - Edit'!$C$1:$AQ$220,'Book Details - NO EDIT'!C$1,FALSE)="","",VLOOKUP($A180,'Loyd List 1-190 - Edit'!$C$1:$AQ$220,'Book Details - NO EDIT'!C$1,FALSE))</f>
        <v>George</v>
      </c>
      <c r="D180" s="99" t="str">
        <f>IF(VLOOKUP($A180,'Loyd List 1-190 - Edit'!$C$1:$AQ$220,'Book Details - NO EDIT'!D$1,FALSE)="","",VLOOKUP($A180,'Loyd List 1-190 - Edit'!$C$1:$AQ$220,'Book Details - NO EDIT'!D$1,FALSE))</f>
        <v/>
      </c>
      <c r="E180" s="99" t="str">
        <f>IF(VLOOKUP($A180,'Loyd List 1-190 - Edit'!$C$1:$AQ$220,'Book Details - NO EDIT'!E$1,FALSE)="","",VLOOKUP($A180,'Loyd List 1-190 - Edit'!$C$1:$AQ$220,'Book Details - NO EDIT'!E$1,FALSE))</f>
        <v>LOYD</v>
      </c>
      <c r="F180" s="99" t="str">
        <f>IF(VLOOKUP($A180,'Loyd List 1-190 - Edit'!$C$1:$AQ$220,'Book Details - NO EDIT'!F$1,FALSE)="",B180,VLOOKUP($A180,'Loyd List 1-190 - Edit'!$C$1:$AQ$220,'Book Details - NO EDIT'!F$1,FALSE))</f>
        <v>William</v>
      </c>
      <c r="G180" s="140">
        <f>IF(VLOOKUP($A180,'Loyd List 1-190 - Edit'!$C$1:$AQ$220,'Book Details - NO EDIT'!G$1,FALSE)="","",VALUE(VLOOKUP($A180,'Loyd List 1-190 - Edit'!$C$1:$AQ$220,'Book Details - NO EDIT'!G$1,FALSE)))</f>
        <v>1996</v>
      </c>
      <c r="H180" s="140" t="str">
        <f>IF(VLOOKUP($A180,'Loyd List 1-190 - Edit'!$C$1:$AQ$220,'Book Details - NO EDIT'!H$1,FALSE)="","",VALUE(VLOOKUP($A180,'Loyd List 1-190 - Edit'!$C$1:$AQ$220,'Book Details - NO EDIT'!H$1,FALSE)))</f>
        <v/>
      </c>
      <c r="I180" s="141">
        <f>IF(VLOOKUP($A180,'Loyd List 1-190 - Edit'!$C$1:$AQ$220,'Book Details - NO EDIT'!I$1,FALSE)="","",(VLOOKUP($A180,'Loyd List 1-190 - Edit'!$C$1:$AQ$220,'Book Details - NO EDIT'!I$1,FALSE)))</f>
        <v>35420</v>
      </c>
      <c r="J180" s="141" t="str">
        <f>IF(VLOOKUP($A180,'Loyd List 1-190 - Edit'!$C$1:$AQ$220,'Book Details - NO EDIT'!J$1,FALSE)="","",(VLOOKUP($A180,'Loyd List 1-190 - Edit'!$C$1:$AQ$220,'Book Details - NO EDIT'!J$1,FALSE)))</f>
        <v/>
      </c>
      <c r="K180" s="100" t="str">
        <f>VLOOKUP($A180,'Loyd List 1-190 - Edit'!$C$1:$AQ$220,'Book Details - NO EDIT'!K$1,FALSE)</f>
        <v>Boy</v>
      </c>
      <c r="L180" s="140">
        <f>VLOOKUP($A180,'Loyd List 1-190 - Edit'!$C$1:$AQ$220,'Book Details - NO EDIT'!L$1,FALSE)</f>
        <v>150</v>
      </c>
      <c r="M180" s="140">
        <f t="shared" si="60"/>
        <v>100</v>
      </c>
      <c r="N180" s="140">
        <f t="shared" si="60"/>
        <v>56</v>
      </c>
      <c r="O180" s="140">
        <f t="shared" si="60"/>
        <v>28</v>
      </c>
      <c r="P180" s="140">
        <f t="shared" si="60"/>
        <v>14</v>
      </c>
      <c r="Q180" s="140">
        <f t="shared" si="80"/>
        <v>4</v>
      </c>
      <c r="R180" s="140">
        <f t="shared" si="61"/>
        <v>1</v>
      </c>
      <c r="S180" s="140">
        <f t="shared" si="62"/>
        <v>0</v>
      </c>
      <c r="T180" s="140">
        <f t="shared" si="58"/>
        <v>7</v>
      </c>
      <c r="U180" s="139">
        <f t="shared" si="63"/>
        <v>178</v>
      </c>
      <c r="V180" s="31" t="str">
        <f t="shared" si="64"/>
        <v>William (1996–)</v>
      </c>
      <c r="W180" s="31" t="str">
        <f t="shared" si="65"/>
        <v>William (#178)</v>
      </c>
      <c r="X180" s="99" t="str">
        <f t="shared" si="66"/>
        <v>William (1996–: #178)</v>
      </c>
      <c r="Y180" s="99" t="str">
        <f t="shared" si="83"/>
        <v>William George LOYD</v>
      </c>
      <c r="Z180" s="99" t="str">
        <f t="shared" si="67"/>
        <v>James (1966–: #150)</v>
      </c>
      <c r="AA180" s="99" t="str">
        <f t="shared" si="72"/>
        <v xml:space="preserve">James (1966–: #150) Christopher (1923–2013: #100) Tommy (1882–1944: #56) The Rev Lewis (1844–1905: #28) Thomas (1812–1857: #14) William (1770–1828: #4) William (1729–1800: #1) </v>
      </c>
      <c r="AB180" s="142" t="str">
        <f>VLOOKUP(U180,'Siblings of those BORN Loyd'!$A$2:$G$230,7,FALSE)</f>
        <v xml:space="preserve">1 – Eliza (1999–: #181)       </v>
      </c>
      <c r="AC180" s="115" t="str">
        <f>IF(ISNA(IF(K180="Boy",VLOOKUP(A180,'Siblings of those BORN Loyd'!$AP$3:$AQ$70,2,FALSE),VLOOKUP(A180,'Children of Female Loyds'!$AR$5:$AT$60,3,FALSE))),AM180,IF(K180="Boy",VLOOKUP(A180,'Siblings of those BORN Loyd'!$AP$3:$AQ$70,2,FALSE),VLOOKUP(A180,'Children of Female Loyds'!$AR$5:$AT$60,3,FALSE)))</f>
        <v/>
      </c>
      <c r="AD180" s="97" t="str">
        <f t="shared" si="81"/>
        <v>-</v>
      </c>
      <c r="AE180" s="105" t="str">
        <f>IF(ISNA(IF(K180="Boy",VLOOKUP(A180,'Grandchildren of Male Loyds'!$AQ$3:$AS$51,3,FALSE),VLOOKUP(A180,'Grandchildren of Female Loyds'!$AX$5:$AZ$63,3,FALSE))),AM180,IF(K180="Boy",VLOOKUP(A180,'Grandchildren of Male Loyds'!$AQ$3:$AS$51,3,FALSE),VLOOKUP(A180,'Grandchildren of Female Loyds'!$AX$5:$AZ$63,3,FALSE)))</f>
        <v/>
      </c>
      <c r="AF180" s="105" t="str">
        <f>IF(ISNA(VLOOKUP(A180,'Grandchildren Loyd Daughters'!$BD$5:$BF$50,4,FALSE)),"",VLOOKUP(A180,'Grandchildren Loyd Daughters'!$BD$5:$BF$50,3,FALSE))</f>
        <v/>
      </c>
      <c r="AG180" s="129">
        <f>IF(ISNA(VLOOKUP(A180,'Grandchildren of Male Loyds'!$AQ$3:$AR$60,2,FALSE)),0,VLOOKUP(A180,'Grandchildren of Male Loyds'!$AQ$3:$AR$60,2,FALSE))+IF(ISNA(VLOOKUP(A180,'Grandchildren of Female Loyds'!$AX$5:$AY$50,2,FALSE)),0,VLOOKUP(A180,'Grandchildren of Female Loyds'!$AX$5:$AY$50,2,FALSE))+IF(ISNA(VLOOKUP(A180,'Grandchildren Loyd Daughters'!$BD$5:$BE$50,2,FALSE)),0,VLOOKUP(A180,'Grandchildren Loyd Daughters'!$BD$5:$BE$50,2,FALSE))</f>
        <v>0</v>
      </c>
      <c r="AH180" s="129" t="str">
        <f>VLOOKUP($U180,'Loyd List 1-190 - Edit'!$P$3:$AJ$220,21,FALSE)</f>
        <v>Lady Tara Guinevere CRICHTON (b. 9 May 1967, )</v>
      </c>
      <c r="AI180" s="129" t="str">
        <f>VLOOKUP(A180,'Updated Bios &amp; Spouse Details'!$A$1:$J$200,7,FALSE)</f>
        <v xml:space="preserve"> -</v>
      </c>
      <c r="AJ180" s="130" t="str">
        <f>IF(VLOOKUP($A180,'Loyd List 1-190 - Edit'!$C$1:$AQ$220,'Book Details - NO EDIT'!AJ$1,FALSE)="","",(VLOOKUP($A180,'Loyd List 1-190 - Edit'!$C$1:$AQ$220,'Book Details - NO EDIT'!AJ$1,FALSE)))</f>
        <v/>
      </c>
      <c r="AK180" s="129" t="str">
        <f>VLOOKUP(A180,'Updated Bios &amp; Spouse Details'!$A$1:$J$200,8,FALSE)</f>
        <v xml:space="preserve"> -</v>
      </c>
      <c r="AL180" s="131" t="str">
        <f>VLOOKUP(A180,'Updated Bios &amp; Spouse Details'!$A$1:$J$200,5,FALSE)</f>
        <v>William is the only son of James (1966– : #150). Born 21 Dec 1996. Baptised 27 Apr 1997 at All Saints’, Lockinge.</v>
      </c>
      <c r="AM180" s="105" t="str">
        <f>IF(AND(LEN(H180)&gt;0,ISNA(IF(K180="Boy",VLOOKUP(A180,'Siblings of those BORN Loyd'!$AP$3:$AQ$70,2,FALSE),VLOOKUP(A180,'Children of Female Loyds'!$AR$5:$AS$60,2,FALSE)))),"d.s.p","")</f>
        <v/>
      </c>
      <c r="AN180" s="99" t="str">
        <f t="shared" si="84"/>
        <v>James (1966–: #150)</v>
      </c>
      <c r="AO180" s="99" t="str">
        <f t="shared" si="73"/>
        <v>Christopher (1923–2013: #100)</v>
      </c>
      <c r="AP180" s="99" t="str">
        <f t="shared" si="74"/>
        <v>Tommy (1882–1944: #56)</v>
      </c>
      <c r="AQ180" s="99" t="str">
        <f t="shared" si="75"/>
        <v>The Rev Lewis (1844–1905: #28)</v>
      </c>
      <c r="AR180" s="99" t="str">
        <f t="shared" si="76"/>
        <v>Thomas (1812–1857: #14)</v>
      </c>
      <c r="AS180" s="99" t="str">
        <f t="shared" si="77"/>
        <v>William (1770–1828: #4)</v>
      </c>
      <c r="AT180" s="99" t="str">
        <f t="shared" si="78"/>
        <v>William (1729–1800: #1)</v>
      </c>
      <c r="AU180" s="99" t="str">
        <f t="shared" si="79"/>
        <v/>
      </c>
      <c r="AW180" s="116" t="str">
        <f>VLOOKUP(A180,'Updated Bios &amp; Spouse Details'!$A$1:$J$193,6,FALSE)</f>
        <v>England</v>
      </c>
      <c r="AX180" s="131">
        <f>VLOOKUP($A180,'Loyd List 1-190 - Edit'!$P$2:$AQ$220,AX$1,FALSE)</f>
        <v>178</v>
      </c>
      <c r="AY180" s="116" t="str">
        <f>IF(ISNA(VLOOKUP(A180,'Data check lookup table'!$G$2:$V$73,AY$1,FALSE))," - ",VLOOKUP(A180,'Data check lookup table'!$G$2:$V$73,AY$1,FALSE))</f>
        <v>tloyd@lockinge-estate.co.uk</v>
      </c>
      <c r="AZ180" s="147" t="str">
        <f t="shared" si="69"/>
        <v/>
      </c>
      <c r="BA180" s="99" t="str">
        <f t="shared" si="85"/>
        <v>, William (1770–1828: #4)</v>
      </c>
      <c r="BB180" s="99" t="str">
        <f t="shared" si="82"/>
        <v>; William (1729–1800: #1)</v>
      </c>
      <c r="BC180" s="99" t="str">
        <f t="shared" si="82"/>
        <v/>
      </c>
      <c r="BI180" s="147" t="s">
        <v>3228</v>
      </c>
    </row>
    <row r="181" spans="1:61" s="99" customFormat="1" ht="51">
      <c r="A181" s="139">
        <f>'Loyd List 1-190 - Edit'!C181</f>
        <v>179</v>
      </c>
      <c r="B181" s="99" t="str">
        <f>VLOOKUP($A181,'Loyd List 1-190 - Edit'!$C$1:$AQ$220,'Book Details - NO EDIT'!B$1,FALSE)</f>
        <v>Joshua</v>
      </c>
      <c r="C181" s="99" t="str">
        <f>IF(VLOOKUP($A181,'Loyd List 1-190 - Edit'!$C$1:$AQ$220,'Book Details - NO EDIT'!C$1,FALSE)="","",VLOOKUP($A181,'Loyd List 1-190 - Edit'!$C$1:$AQ$220,'Book Details - NO EDIT'!C$1,FALSE))</f>
        <v>Hamilton</v>
      </c>
      <c r="D181" s="99" t="str">
        <f>IF(VLOOKUP($A181,'Loyd List 1-190 - Edit'!$C$1:$AQ$220,'Book Details - NO EDIT'!D$1,FALSE)="","",VLOOKUP($A181,'Loyd List 1-190 - Edit'!$C$1:$AQ$220,'Book Details - NO EDIT'!D$1,FALSE))</f>
        <v/>
      </c>
      <c r="E181" s="99" t="str">
        <f>IF(VLOOKUP($A181,'Loyd List 1-190 - Edit'!$C$1:$AQ$220,'Book Details - NO EDIT'!E$1,FALSE)="","",VLOOKUP($A181,'Loyd List 1-190 - Edit'!$C$1:$AQ$220,'Book Details - NO EDIT'!E$1,FALSE))</f>
        <v>LOYD</v>
      </c>
      <c r="F181" s="99" t="str">
        <f>IF(VLOOKUP($A181,'Loyd List 1-190 - Edit'!$C$1:$AQ$220,'Book Details - NO EDIT'!F$1,FALSE)="",B181,VLOOKUP($A181,'Loyd List 1-190 - Edit'!$C$1:$AQ$220,'Book Details - NO EDIT'!F$1,FALSE))</f>
        <v>Josh</v>
      </c>
      <c r="G181" s="140">
        <f>IF(VLOOKUP($A181,'Loyd List 1-190 - Edit'!$C$1:$AQ$220,'Book Details - NO EDIT'!G$1,FALSE)="","",VALUE(VLOOKUP($A181,'Loyd List 1-190 - Edit'!$C$1:$AQ$220,'Book Details - NO EDIT'!G$1,FALSE)))</f>
        <v>1996</v>
      </c>
      <c r="H181" s="140" t="str">
        <f>IF(VLOOKUP($A181,'Loyd List 1-190 - Edit'!$C$1:$AQ$220,'Book Details - NO EDIT'!H$1,FALSE)="","",VALUE(VLOOKUP($A181,'Loyd List 1-190 - Edit'!$C$1:$AQ$220,'Book Details - NO EDIT'!H$1,FALSE)))</f>
        <v/>
      </c>
      <c r="I181" s="141">
        <f>IF(VLOOKUP($A181,'Loyd List 1-190 - Edit'!$C$1:$AQ$220,'Book Details - NO EDIT'!I$1,FALSE)="","",(VLOOKUP($A181,'Loyd List 1-190 - Edit'!$C$1:$AQ$220,'Book Details - NO EDIT'!I$1,FALSE)))</f>
        <v>35427</v>
      </c>
      <c r="J181" s="141" t="str">
        <f>IF(VLOOKUP($A181,'Loyd List 1-190 - Edit'!$C$1:$AQ$220,'Book Details - NO EDIT'!J$1,FALSE)="","",(VLOOKUP($A181,'Loyd List 1-190 - Edit'!$C$1:$AQ$220,'Book Details - NO EDIT'!J$1,FALSE)))</f>
        <v/>
      </c>
      <c r="K181" s="100" t="str">
        <f>VLOOKUP($A181,'Loyd List 1-190 - Edit'!$C$1:$AQ$220,'Book Details - NO EDIT'!K$1,FALSE)</f>
        <v>Boy</v>
      </c>
      <c r="L181" s="140">
        <f>VLOOKUP($A181,'Loyd List 1-190 - Edit'!$C$1:$AQ$220,'Book Details - NO EDIT'!L$1,FALSE)</f>
        <v>142</v>
      </c>
      <c r="M181" s="140">
        <f t="shared" si="60"/>
        <v>94</v>
      </c>
      <c r="N181" s="140">
        <f t="shared" si="60"/>
        <v>68</v>
      </c>
      <c r="O181" s="140">
        <f t="shared" si="60"/>
        <v>45</v>
      </c>
      <c r="P181" s="140">
        <f t="shared" si="60"/>
        <v>22</v>
      </c>
      <c r="Q181" s="140">
        <f t="shared" si="80"/>
        <v>8</v>
      </c>
      <c r="R181" s="140">
        <f t="shared" si="61"/>
        <v>1</v>
      </c>
      <c r="S181" s="140">
        <f t="shared" si="62"/>
        <v>0</v>
      </c>
      <c r="T181" s="140">
        <f t="shared" si="58"/>
        <v>7</v>
      </c>
      <c r="U181" s="139">
        <f t="shared" si="63"/>
        <v>179</v>
      </c>
      <c r="V181" s="31" t="str">
        <f t="shared" si="64"/>
        <v>Josh (1996–)</v>
      </c>
      <c r="W181" s="31" t="str">
        <f t="shared" si="65"/>
        <v>Josh (#179)</v>
      </c>
      <c r="X181" s="99" t="str">
        <f t="shared" si="66"/>
        <v>Josh (1996–: #179)</v>
      </c>
      <c r="Y181" s="99" t="str">
        <f t="shared" si="83"/>
        <v>Joshua Hamilton LOYD</v>
      </c>
      <c r="Z181" s="99" t="str">
        <f t="shared" si="67"/>
        <v>Rick (1962–: #142)</v>
      </c>
      <c r="AA181" s="99" t="str">
        <f t="shared" si="72"/>
        <v xml:space="preserve">Rick (1962–: #142) Alwyne (1920–2014: #94) Cecil (1890–1963: #68) Llewellyn (1861–1939: #45) Edward (1820–1890: #22) Edward (1780–1863: #8) William (1729–1800: #1) </v>
      </c>
      <c r="AB181" s="142" t="str">
        <f>VLOOKUP(U181,'Siblings of those BORN Loyd'!$A$2:$G$230,7,FALSE)</f>
        <v xml:space="preserve">1 – Sam (1994–: #176)        </v>
      </c>
      <c r="AC181" s="115" t="str">
        <f>IF(ISNA(IF(K181="Boy",VLOOKUP(A181,'Siblings of those BORN Loyd'!$AP$3:$AQ$70,2,FALSE),VLOOKUP(A181,'Children of Female Loyds'!$AR$5:$AT$60,3,FALSE))),AM181,IF(K181="Boy",VLOOKUP(A181,'Siblings of those BORN Loyd'!$AP$3:$AQ$70,2,FALSE),VLOOKUP(A181,'Children of Female Loyds'!$AR$5:$AT$60,3,FALSE)))</f>
        <v/>
      </c>
      <c r="AD181" s="97" t="str">
        <f t="shared" si="81"/>
        <v>-</v>
      </c>
      <c r="AE181" s="105" t="str">
        <f>IF(ISNA(IF(K181="Boy",VLOOKUP(A181,'Grandchildren of Male Loyds'!$AQ$3:$AS$51,3,FALSE),VLOOKUP(A181,'Grandchildren of Female Loyds'!$AX$5:$AZ$63,3,FALSE))),AM181,IF(K181="Boy",VLOOKUP(A181,'Grandchildren of Male Loyds'!$AQ$3:$AS$51,3,FALSE),VLOOKUP(A181,'Grandchildren of Female Loyds'!$AX$5:$AZ$63,3,FALSE)))</f>
        <v/>
      </c>
      <c r="AF181" s="105" t="str">
        <f>IF(ISNA(VLOOKUP(A181,'Grandchildren Loyd Daughters'!$BD$5:$BF$50,4,FALSE)),"",VLOOKUP(A181,'Grandchildren Loyd Daughters'!$BD$5:$BF$50,3,FALSE))</f>
        <v/>
      </c>
      <c r="AG181" s="129">
        <f>IF(ISNA(VLOOKUP(A181,'Grandchildren of Male Loyds'!$AQ$3:$AR$60,2,FALSE)),0,VLOOKUP(A181,'Grandchildren of Male Loyds'!$AQ$3:$AR$60,2,FALSE))+IF(ISNA(VLOOKUP(A181,'Grandchildren of Female Loyds'!$AX$5:$AY$50,2,FALSE)),0,VLOOKUP(A181,'Grandchildren of Female Loyds'!$AX$5:$AY$50,2,FALSE))+IF(ISNA(VLOOKUP(A181,'Grandchildren Loyd Daughters'!$BD$5:$BE$50,2,FALSE)),0,VLOOKUP(A181,'Grandchildren Loyd Daughters'!$BD$5:$BE$50,2,FALSE))</f>
        <v>0</v>
      </c>
      <c r="AH181" s="129" t="str">
        <f>VLOOKUP($U181,'Loyd List 1-190 - Edit'!$P$3:$AJ$220,21,FALSE)</f>
        <v>Lynn HAMILTON (b. 23 Feb 1962, )</v>
      </c>
      <c r="AI181" s="129" t="str">
        <f>VLOOKUP(A181,'Updated Bios &amp; Spouse Details'!$A$1:$J$200,7,FALSE)</f>
        <v xml:space="preserve"> -</v>
      </c>
      <c r="AJ181" s="130" t="str">
        <f>IF(VLOOKUP($A181,'Loyd List 1-190 - Edit'!$C$1:$AQ$220,'Book Details - NO EDIT'!AJ$1,FALSE)="","",(VLOOKUP($A181,'Loyd List 1-190 - Edit'!$C$1:$AQ$220,'Book Details - NO EDIT'!AJ$1,FALSE)))</f>
        <v/>
      </c>
      <c r="AK181" s="129" t="str">
        <f>VLOOKUP(A181,'Updated Bios &amp; Spouse Details'!$A$1:$J$200,8,FALSE)</f>
        <v xml:space="preserve"> -</v>
      </c>
      <c r="AL181" s="131" t="str">
        <f>VLOOKUP(A181,'Updated Bios &amp; Spouse Details'!$A$1:$J$200,5,FALSE)</f>
        <v>Josh lives in Brixton, South London and is the younger son of Rick (1962– : #142). Born 28 Dec 1996 at Epsom Hospital, Surrey.  Education: Mosman Primary, NSW Australia; Tiffin School, Kingston-upon-Thames (2008-2015); University of Cambrige, Sidney Sussex College (BA Natural Sciences [Psychology, Neurobiology, Behaviour] 2016-2019]; (MSci Natural Sciences [Systems Biology] 2019/20). Produced of first all-female 'Footlight Presents' 2020 . Operations Associate Beauhurst from 2021.</v>
      </c>
      <c r="AM181" s="105" t="str">
        <f>IF(AND(LEN(H181)&gt;0,ISNA(IF(K181="Boy",VLOOKUP(A181,'Siblings of those BORN Loyd'!$AP$3:$AQ$70,2,FALSE),VLOOKUP(A181,'Children of Female Loyds'!$AR$5:$AS$60,2,FALSE)))),"d.s.p","")</f>
        <v/>
      </c>
      <c r="AN181" s="99" t="str">
        <f t="shared" si="84"/>
        <v>Rick (1962–: #142)</v>
      </c>
      <c r="AO181" s="99" t="str">
        <f t="shared" si="73"/>
        <v>Alwyne (1920–2014: #94)</v>
      </c>
      <c r="AP181" s="99" t="str">
        <f t="shared" si="74"/>
        <v>Cecil (1890–1963: #68)</v>
      </c>
      <c r="AQ181" s="99" t="str">
        <f t="shared" si="75"/>
        <v>Llewellyn (1861–1939: #45)</v>
      </c>
      <c r="AR181" s="99" t="str">
        <f t="shared" si="76"/>
        <v>Edward (1820–1890: #22)</v>
      </c>
      <c r="AS181" s="99" t="str">
        <f t="shared" si="77"/>
        <v>Edward (1780–1863: #8)</v>
      </c>
      <c r="AT181" s="99" t="str">
        <f t="shared" si="78"/>
        <v>William (1729–1800: #1)</v>
      </c>
      <c r="AU181" s="99" t="str">
        <f t="shared" si="79"/>
        <v/>
      </c>
      <c r="AW181" s="116" t="str">
        <f>VLOOKUP(A181,'Updated Bios &amp; Spouse Details'!$A$1:$J$193,6,FALSE)</f>
        <v>England &amp; Australia</v>
      </c>
      <c r="AX181" s="131">
        <f>VLOOKUP($A181,'Loyd List 1-190 - Edit'!$P$2:$AQ$220,AX$1,FALSE)</f>
        <v>179</v>
      </c>
      <c r="AY181" s="116" t="str">
        <f>IF(ISNA(VLOOKUP(A181,'Data check lookup table'!$G$2:$V$73,AY$1,FALSE))," - ",VLOOKUP(A181,'Data check lookup table'!$G$2:$V$73,AY$1,FALSE))</f>
        <v>joshloyd96@gmail.com</v>
      </c>
      <c r="AZ181" s="147" t="str">
        <f t="shared" si="69"/>
        <v/>
      </c>
      <c r="BA181" s="99" t="str">
        <f t="shared" si="85"/>
        <v>, Edward (1780–1863: #8)</v>
      </c>
      <c r="BB181" s="99" t="str">
        <f t="shared" si="82"/>
        <v>; William (1729–1800: #1)</v>
      </c>
      <c r="BC181" s="99" t="str">
        <f t="shared" si="82"/>
        <v/>
      </c>
      <c r="BI181" s="147" t="s">
        <v>3228</v>
      </c>
    </row>
    <row r="182" spans="1:61" s="99" customFormat="1" ht="34">
      <c r="A182" s="139">
        <f>'Loyd List 1-190 - Edit'!C182</f>
        <v>180</v>
      </c>
      <c r="B182" s="99" t="str">
        <f>VLOOKUP($A182,'Loyd List 1-190 - Edit'!$C$1:$AQ$220,'Book Details - NO EDIT'!B$1,FALSE)</f>
        <v>George</v>
      </c>
      <c r="C182" s="99" t="str">
        <f>IF(VLOOKUP($A182,'Loyd List 1-190 - Edit'!$C$1:$AQ$220,'Book Details - NO EDIT'!C$1,FALSE)="","",VLOOKUP($A182,'Loyd List 1-190 - Edit'!$C$1:$AQ$220,'Book Details - NO EDIT'!C$1,FALSE))</f>
        <v>Julian</v>
      </c>
      <c r="D182" s="99" t="str">
        <f>IF(VLOOKUP($A182,'Loyd List 1-190 - Edit'!$C$1:$AQ$220,'Book Details - NO EDIT'!D$1,FALSE)="","",VLOOKUP($A182,'Loyd List 1-190 - Edit'!$C$1:$AQ$220,'Book Details - NO EDIT'!D$1,FALSE))</f>
        <v/>
      </c>
      <c r="E182" s="99" t="str">
        <f>IF(VLOOKUP($A182,'Loyd List 1-190 - Edit'!$C$1:$AQ$220,'Book Details - NO EDIT'!E$1,FALSE)="","",VLOOKUP($A182,'Loyd List 1-190 - Edit'!$C$1:$AQ$220,'Book Details - NO EDIT'!E$1,FALSE))</f>
        <v>LOYD</v>
      </c>
      <c r="F182" s="99" t="str">
        <f>IF(VLOOKUP($A182,'Loyd List 1-190 - Edit'!$C$1:$AQ$220,'Book Details - NO EDIT'!F$1,FALSE)="",B182,VLOOKUP($A182,'Loyd List 1-190 - Edit'!$C$1:$AQ$220,'Book Details - NO EDIT'!F$1,FALSE))</f>
        <v>George</v>
      </c>
      <c r="G182" s="140">
        <f>IF(VLOOKUP($A182,'Loyd List 1-190 - Edit'!$C$1:$AQ$220,'Book Details - NO EDIT'!G$1,FALSE)="","",VALUE(VLOOKUP($A182,'Loyd List 1-190 - Edit'!$C$1:$AQ$220,'Book Details - NO EDIT'!G$1,FALSE)))</f>
        <v>1998</v>
      </c>
      <c r="H182" s="140" t="str">
        <f>IF(VLOOKUP($A182,'Loyd List 1-190 - Edit'!$C$1:$AQ$220,'Book Details - NO EDIT'!H$1,FALSE)="","",VALUE(VLOOKUP($A182,'Loyd List 1-190 - Edit'!$C$1:$AQ$220,'Book Details - NO EDIT'!H$1,FALSE)))</f>
        <v/>
      </c>
      <c r="I182" s="141">
        <f>IF(VLOOKUP($A182,'Loyd List 1-190 - Edit'!$C$1:$AQ$220,'Book Details - NO EDIT'!I$1,FALSE)="","",(VLOOKUP($A182,'Loyd List 1-190 - Edit'!$C$1:$AQ$220,'Book Details - NO EDIT'!I$1,FALSE)))</f>
        <v>36118</v>
      </c>
      <c r="J182" s="141" t="str">
        <f>IF(VLOOKUP($A182,'Loyd List 1-190 - Edit'!$C$1:$AQ$220,'Book Details - NO EDIT'!J$1,FALSE)="","",(VLOOKUP($A182,'Loyd List 1-190 - Edit'!$C$1:$AQ$220,'Book Details - NO EDIT'!J$1,FALSE)))</f>
        <v/>
      </c>
      <c r="K182" s="100" t="str">
        <f>VLOOKUP($A182,'Loyd List 1-190 - Edit'!$C$1:$AQ$220,'Book Details - NO EDIT'!K$1,FALSE)</f>
        <v>Boy</v>
      </c>
      <c r="L182" s="140">
        <f>VLOOKUP($A182,'Loyd List 1-190 - Edit'!$C$1:$AQ$220,'Book Details - NO EDIT'!L$1,FALSE)</f>
        <v>146</v>
      </c>
      <c r="M182" s="140">
        <f t="shared" si="60"/>
        <v>104</v>
      </c>
      <c r="N182" s="140">
        <f t="shared" si="60"/>
        <v>72</v>
      </c>
      <c r="O182" s="140">
        <f t="shared" si="60"/>
        <v>44</v>
      </c>
      <c r="P182" s="140">
        <f t="shared" si="60"/>
        <v>23</v>
      </c>
      <c r="Q182" s="140">
        <f t="shared" si="80"/>
        <v>8</v>
      </c>
      <c r="R182" s="140">
        <f t="shared" si="61"/>
        <v>1</v>
      </c>
      <c r="S182" s="140">
        <f t="shared" si="62"/>
        <v>0</v>
      </c>
      <c r="T182" s="140">
        <f t="shared" si="58"/>
        <v>7</v>
      </c>
      <c r="U182" s="139">
        <f t="shared" si="63"/>
        <v>180</v>
      </c>
      <c r="V182" s="31" t="str">
        <f t="shared" si="64"/>
        <v>George (1998–)</v>
      </c>
      <c r="W182" s="31" t="str">
        <f t="shared" si="65"/>
        <v>George (#180)</v>
      </c>
      <c r="X182" s="99" t="str">
        <f t="shared" si="66"/>
        <v>George (1998–: #180)</v>
      </c>
      <c r="Y182" s="99" t="str">
        <f t="shared" si="83"/>
        <v>George Julian LOYD</v>
      </c>
      <c r="Z182" s="99" t="str">
        <f t="shared" si="67"/>
        <v>Charles (1963–: #146)</v>
      </c>
      <c r="AA182" s="99" t="str">
        <f t="shared" si="72"/>
        <v xml:space="preserve">Charles (1963–: #146) Sir Julian (1926–2018: #104) Charles (1891–1973: #72) Harry (1861–1938: #44) William (1821–1885: #23) Edward (1780–1863: #8) William (1729–1800: #1) </v>
      </c>
      <c r="AB182" s="142" t="str">
        <f>VLOOKUP(U182,'Siblings of those BORN Loyd'!$A$2:$G$230,7,FALSE)</f>
        <v xml:space="preserve">1 – Rosanna (2000–: #182)       </v>
      </c>
      <c r="AC182" s="115" t="str">
        <f>IF(ISNA(IF(K182="Boy",VLOOKUP(A182,'Siblings of those BORN Loyd'!$AP$3:$AQ$70,2,FALSE),VLOOKUP(A182,'Children of Female Loyds'!$AR$5:$AT$60,3,FALSE))),AM182,IF(K182="Boy",VLOOKUP(A182,'Siblings of those BORN Loyd'!$AP$3:$AQ$70,2,FALSE),VLOOKUP(A182,'Children of Female Loyds'!$AR$5:$AT$60,3,FALSE)))</f>
        <v/>
      </c>
      <c r="AD182" s="97" t="str">
        <f t="shared" si="81"/>
        <v>-</v>
      </c>
      <c r="AE182" s="105" t="str">
        <f>IF(ISNA(IF(K182="Boy",VLOOKUP(A182,'Grandchildren of Male Loyds'!$AQ$3:$AS$51,3,FALSE),VLOOKUP(A182,'Grandchildren of Female Loyds'!$AX$5:$AZ$63,3,FALSE))),AM182,IF(K182="Boy",VLOOKUP(A182,'Grandchildren of Male Loyds'!$AQ$3:$AS$51,3,FALSE),VLOOKUP(A182,'Grandchildren of Female Loyds'!$AX$5:$AZ$63,3,FALSE)))</f>
        <v/>
      </c>
      <c r="AF182" s="105" t="str">
        <f>IF(ISNA(VLOOKUP(A182,'Grandchildren Loyd Daughters'!$BD$5:$BF$50,4,FALSE)),"",VLOOKUP(A182,'Grandchildren Loyd Daughters'!$BD$5:$BF$50,3,FALSE))</f>
        <v/>
      </c>
      <c r="AG182" s="129">
        <f>IF(ISNA(VLOOKUP(A182,'Grandchildren of Male Loyds'!$AQ$3:$AR$60,2,FALSE)),0,VLOOKUP(A182,'Grandchildren of Male Loyds'!$AQ$3:$AR$60,2,FALSE))+IF(ISNA(VLOOKUP(A182,'Grandchildren of Female Loyds'!$AX$5:$AY$50,2,FALSE)),0,VLOOKUP(A182,'Grandchildren of Female Loyds'!$AX$5:$AY$50,2,FALSE))+IF(ISNA(VLOOKUP(A182,'Grandchildren Loyd Daughters'!$BD$5:$BE$50,2,FALSE)),0,VLOOKUP(A182,'Grandchildren Loyd Daughters'!$BD$5:$BE$50,2,FALSE))</f>
        <v>0</v>
      </c>
      <c r="AH182" s="129" t="str">
        <f>VLOOKUP($U182,'Loyd List 1-190 - Edit'!$P$3:$AJ$220,21,FALSE)</f>
        <v>Jenny CARTWRIGHT (b. 19 Feb 1967, )</v>
      </c>
      <c r="AI182" s="129" t="str">
        <f>VLOOKUP(A182,'Updated Bios &amp; Spouse Details'!$A$1:$J$200,7,FALSE)</f>
        <v xml:space="preserve"> -</v>
      </c>
      <c r="AJ182" s="130" t="str">
        <f>IF(VLOOKUP($A182,'Loyd List 1-190 - Edit'!$C$1:$AQ$220,'Book Details - NO EDIT'!AJ$1,FALSE)="","",(VLOOKUP($A182,'Loyd List 1-190 - Edit'!$C$1:$AQ$220,'Book Details - NO EDIT'!AJ$1,FALSE)))</f>
        <v/>
      </c>
      <c r="AK182" s="129" t="str">
        <f>VLOOKUP(A182,'Updated Bios &amp; Spouse Details'!$A$1:$J$200,8,FALSE)</f>
        <v xml:space="preserve"> -</v>
      </c>
      <c r="AL182" s="131" t="str">
        <f>VLOOKUP(A182,'Updated Bios &amp; Spouse Details'!$A$1:$J$200,5,FALSE)</f>
        <v>George is the only son of Charles (1963– : #146). Born 19 Nov 1998 at Ipswich, Suffolk. Baptised 14 Mar 1999 at St Mary of Grace, Aspall, Suffolk. Education: Royal Hospital School, Holbrook; Uppingham School (2012–2017); Oxford Brookes University, BSc Criminology. Interests Cricket, Fishing and Shooting.</v>
      </c>
      <c r="AM182" s="105" t="str">
        <f>IF(AND(LEN(H182)&gt;0,ISNA(IF(K182="Boy",VLOOKUP(A182,'Siblings of those BORN Loyd'!$AP$3:$AQ$70,2,FALSE),VLOOKUP(A182,'Children of Female Loyds'!$AR$5:$AS$60,2,FALSE)))),"d.s.p","")</f>
        <v/>
      </c>
      <c r="AN182" s="99" t="str">
        <f t="shared" si="84"/>
        <v>Charles (1963–: #146)</v>
      </c>
      <c r="AO182" s="99" t="str">
        <f t="shared" si="73"/>
        <v>Sir Julian (1926–2018: #104)</v>
      </c>
      <c r="AP182" s="99" t="str">
        <f t="shared" si="74"/>
        <v>Charles (1891–1973: #72)</v>
      </c>
      <c r="AQ182" s="99" t="str">
        <f t="shared" si="75"/>
        <v>Harry (1861–1938: #44)</v>
      </c>
      <c r="AR182" s="99" t="str">
        <f t="shared" si="76"/>
        <v>William (1821–1885: #23)</v>
      </c>
      <c r="AS182" s="99" t="str">
        <f t="shared" si="77"/>
        <v>Edward (1780–1863: #8)</v>
      </c>
      <c r="AT182" s="99" t="str">
        <f t="shared" si="78"/>
        <v>William (1729–1800: #1)</v>
      </c>
      <c r="AU182" s="99" t="str">
        <f t="shared" si="79"/>
        <v/>
      </c>
      <c r="AW182" s="116" t="str">
        <f>VLOOKUP(A182,'Updated Bios &amp; Spouse Details'!$A$1:$J$193,6,FALSE)</f>
        <v>England</v>
      </c>
      <c r="AX182" s="131">
        <f>VLOOKUP($A182,'Loyd List 1-190 - Edit'!$P$2:$AQ$220,AX$1,FALSE)</f>
        <v>180</v>
      </c>
      <c r="AY182" s="116" t="str">
        <f>IF(ISNA(VLOOKUP(A182,'Data check lookup table'!$G$2:$V$73,AY$1,FALSE))," - ",VLOOKUP(A182,'Data check lookup table'!$G$2:$V$73,AY$1,FALSE))</f>
        <v> c.loyde@icloud.com</v>
      </c>
      <c r="AZ182" s="147" t="str">
        <f t="shared" si="69"/>
        <v/>
      </c>
      <c r="BA182" s="99" t="str">
        <f t="shared" si="85"/>
        <v>, Edward (1780–1863: #8)</v>
      </c>
      <c r="BB182" s="99" t="str">
        <f t="shared" si="82"/>
        <v>; William (1729–1800: #1)</v>
      </c>
      <c r="BC182" s="99" t="str">
        <f t="shared" si="82"/>
        <v/>
      </c>
      <c r="BI182" s="147" t="s">
        <v>3228</v>
      </c>
    </row>
    <row r="183" spans="1:61" s="99" customFormat="1" ht="34">
      <c r="A183" s="139">
        <f>'Loyd List 1-190 - Edit'!C183</f>
        <v>181</v>
      </c>
      <c r="B183" s="99" t="str">
        <f>VLOOKUP($A183,'Loyd List 1-190 - Edit'!$C$1:$AQ$220,'Book Details - NO EDIT'!B$1,FALSE)</f>
        <v>Eliza</v>
      </c>
      <c r="C183" s="99" t="str">
        <f>IF(VLOOKUP($A183,'Loyd List 1-190 - Edit'!$C$1:$AQ$220,'Book Details - NO EDIT'!C$1,FALSE)="","",VLOOKUP($A183,'Loyd List 1-190 - Edit'!$C$1:$AQ$220,'Book Details - NO EDIT'!C$1,FALSE))</f>
        <v>Rose</v>
      </c>
      <c r="D183" s="99" t="str">
        <f>IF(VLOOKUP($A183,'Loyd List 1-190 - Edit'!$C$1:$AQ$220,'Book Details - NO EDIT'!D$1,FALSE)="","",VLOOKUP($A183,'Loyd List 1-190 - Edit'!$C$1:$AQ$220,'Book Details - NO EDIT'!D$1,FALSE))</f>
        <v/>
      </c>
      <c r="E183" s="99" t="str">
        <f>IF(VLOOKUP($A183,'Loyd List 1-190 - Edit'!$C$1:$AQ$220,'Book Details - NO EDIT'!E$1,FALSE)="","",VLOOKUP($A183,'Loyd List 1-190 - Edit'!$C$1:$AQ$220,'Book Details - NO EDIT'!E$1,FALSE))</f>
        <v>LOYD</v>
      </c>
      <c r="F183" s="99" t="str">
        <f>IF(VLOOKUP($A183,'Loyd List 1-190 - Edit'!$C$1:$AQ$220,'Book Details - NO EDIT'!F$1,FALSE)="",B183,VLOOKUP($A183,'Loyd List 1-190 - Edit'!$C$1:$AQ$220,'Book Details - NO EDIT'!F$1,FALSE))</f>
        <v>Eliza</v>
      </c>
      <c r="G183" s="140">
        <f>IF(VLOOKUP($A183,'Loyd List 1-190 - Edit'!$C$1:$AQ$220,'Book Details - NO EDIT'!G$1,FALSE)="","",VALUE(VLOOKUP($A183,'Loyd List 1-190 - Edit'!$C$1:$AQ$220,'Book Details - NO EDIT'!G$1,FALSE)))</f>
        <v>1999</v>
      </c>
      <c r="H183" s="140" t="str">
        <f>IF(VLOOKUP($A183,'Loyd List 1-190 - Edit'!$C$1:$AQ$220,'Book Details - NO EDIT'!H$1,FALSE)="","",VALUE(VLOOKUP($A183,'Loyd List 1-190 - Edit'!$C$1:$AQ$220,'Book Details - NO EDIT'!H$1,FALSE)))</f>
        <v/>
      </c>
      <c r="I183" s="141">
        <f>IF(VLOOKUP($A183,'Loyd List 1-190 - Edit'!$C$1:$AQ$220,'Book Details - NO EDIT'!I$1,FALSE)="","",(VLOOKUP($A183,'Loyd List 1-190 - Edit'!$C$1:$AQ$220,'Book Details - NO EDIT'!I$1,FALSE)))</f>
        <v>36194</v>
      </c>
      <c r="J183" s="141" t="str">
        <f>IF(VLOOKUP($A183,'Loyd List 1-190 - Edit'!$C$1:$AQ$220,'Book Details - NO EDIT'!J$1,FALSE)="","",(VLOOKUP($A183,'Loyd List 1-190 - Edit'!$C$1:$AQ$220,'Book Details - NO EDIT'!J$1,FALSE)))</f>
        <v/>
      </c>
      <c r="K183" s="100" t="str">
        <f>VLOOKUP($A183,'Loyd List 1-190 - Edit'!$C$1:$AQ$220,'Book Details - NO EDIT'!K$1,FALSE)</f>
        <v>Girl</v>
      </c>
      <c r="L183" s="140">
        <f>VLOOKUP($A183,'Loyd List 1-190 - Edit'!$C$1:$AQ$220,'Book Details - NO EDIT'!L$1,FALSE)</f>
        <v>150</v>
      </c>
      <c r="M183" s="140">
        <f t="shared" si="60"/>
        <v>100</v>
      </c>
      <c r="N183" s="140">
        <f t="shared" si="60"/>
        <v>56</v>
      </c>
      <c r="O183" s="140">
        <f t="shared" si="60"/>
        <v>28</v>
      </c>
      <c r="P183" s="140">
        <f t="shared" si="60"/>
        <v>14</v>
      </c>
      <c r="Q183" s="140">
        <f t="shared" si="80"/>
        <v>4</v>
      </c>
      <c r="R183" s="140">
        <f t="shared" si="61"/>
        <v>1</v>
      </c>
      <c r="S183" s="140">
        <f t="shared" si="62"/>
        <v>0</v>
      </c>
      <c r="T183" s="140">
        <f t="shared" si="58"/>
        <v>7</v>
      </c>
      <c r="U183" s="139">
        <f t="shared" si="63"/>
        <v>181</v>
      </c>
      <c r="V183" s="31" t="str">
        <f t="shared" si="64"/>
        <v>Eliza (1999–)</v>
      </c>
      <c r="W183" s="31" t="str">
        <f t="shared" si="65"/>
        <v>Eliza (#181)</v>
      </c>
      <c r="X183" s="99" t="str">
        <f t="shared" si="66"/>
        <v>Eliza (1999–: #181)</v>
      </c>
      <c r="Y183" s="99" t="str">
        <f t="shared" si="83"/>
        <v>Eliza Rose LOYD</v>
      </c>
      <c r="Z183" s="99" t="str">
        <f t="shared" si="67"/>
        <v>James (1966–: #150)</v>
      </c>
      <c r="AA183" s="99" t="str">
        <f t="shared" si="72"/>
        <v xml:space="preserve">James (1966–: #150) Christopher (1923–2013: #100) Tommy (1882–1944: #56) The Rev Lewis (1844–1905: #28) Thomas (1812–1857: #14) William (1770–1828: #4) William (1729–1800: #1) </v>
      </c>
      <c r="AB183" s="142" t="str">
        <f>VLOOKUP(U183,'Siblings of those BORN Loyd'!$A$2:$G$230,7,FALSE)</f>
        <v xml:space="preserve">1 – William (1996–: #178)        </v>
      </c>
      <c r="AC183" s="115" t="str">
        <f>IF(ISNA(IF(K183="Boy",VLOOKUP(A183,'Siblings of those BORN Loyd'!$AP$3:$AQ$70,2,FALSE),VLOOKUP(A183,'Children of Female Loyds'!$AR$5:$AT$60,3,FALSE))),AM183,IF(K183="Boy",VLOOKUP(A183,'Siblings of those BORN Loyd'!$AP$3:$AQ$70,2,FALSE),VLOOKUP(A183,'Children of Female Loyds'!$AR$5:$AT$60,3,FALSE)))</f>
        <v/>
      </c>
      <c r="AD183" s="97" t="str">
        <f t="shared" si="81"/>
        <v>-</v>
      </c>
      <c r="AE183" s="105" t="str">
        <f>IF(ISNA(IF(K183="Boy",VLOOKUP(A183,'Grandchildren of Male Loyds'!$AQ$3:$AS$51,3,FALSE),VLOOKUP(A183,'Grandchildren of Female Loyds'!$AX$5:$AZ$63,3,FALSE))),AM183,IF(K183="Boy",VLOOKUP(A183,'Grandchildren of Male Loyds'!$AQ$3:$AS$51,3,FALSE),VLOOKUP(A183,'Grandchildren of Female Loyds'!$AX$5:$AZ$63,3,FALSE)))</f>
        <v/>
      </c>
      <c r="AF183" s="105" t="str">
        <f>IF(ISNA(VLOOKUP(A183,'Grandchildren Loyd Daughters'!$BD$5:$BF$50,4,FALSE)),"",VLOOKUP(A183,'Grandchildren Loyd Daughters'!$BD$5:$BF$50,3,FALSE))</f>
        <v/>
      </c>
      <c r="AG183" s="129">
        <f>IF(ISNA(VLOOKUP(A183,'Grandchildren of Male Loyds'!$AQ$3:$AR$60,2,FALSE)),0,VLOOKUP(A183,'Grandchildren of Male Loyds'!$AQ$3:$AR$60,2,FALSE))+IF(ISNA(VLOOKUP(A183,'Grandchildren of Female Loyds'!$AX$5:$AY$50,2,FALSE)),0,VLOOKUP(A183,'Grandchildren of Female Loyds'!$AX$5:$AY$50,2,FALSE))+IF(ISNA(VLOOKUP(A183,'Grandchildren Loyd Daughters'!$BD$5:$BE$50,2,FALSE)),0,VLOOKUP(A183,'Grandchildren Loyd Daughters'!$BD$5:$BE$50,2,FALSE))</f>
        <v>0</v>
      </c>
      <c r="AH183" s="129" t="str">
        <f>VLOOKUP($U183,'Loyd List 1-190 - Edit'!$P$3:$AJ$220,21,FALSE)</f>
        <v>Lady Tara Guinevere CRICHTON (b. 9 May 1967, )</v>
      </c>
      <c r="AI183" s="129" t="str">
        <f>VLOOKUP(A183,'Updated Bios &amp; Spouse Details'!$A$1:$J$200,7,FALSE)</f>
        <v xml:space="preserve"> -</v>
      </c>
      <c r="AJ183" s="130" t="str">
        <f>IF(VLOOKUP($A183,'Loyd List 1-190 - Edit'!$C$1:$AQ$220,'Book Details - NO EDIT'!AJ$1,FALSE)="","",(VLOOKUP($A183,'Loyd List 1-190 - Edit'!$C$1:$AQ$220,'Book Details - NO EDIT'!AJ$1,FALSE)))</f>
        <v/>
      </c>
      <c r="AK183" s="129" t="str">
        <f>VLOOKUP(A183,'Updated Bios &amp; Spouse Details'!$A$1:$J$200,8,FALSE)</f>
        <v xml:space="preserve"> -</v>
      </c>
      <c r="AL183" s="131" t="str">
        <f>VLOOKUP(A183,'Updated Bios &amp; Spouse Details'!$A$1:$J$200,5,FALSE)</f>
        <v xml:space="preserve">Eliza is the only daughter of James (1966– : #150). Born 3 Feb 1999. Baptised 30 May 1999 at All Saints’, Lockinge.                                                                                      </v>
      </c>
      <c r="AM183" s="105" t="str">
        <f>IF(AND(LEN(H183)&gt;0,ISNA(IF(K183="Boy",VLOOKUP(A183,'Siblings of those BORN Loyd'!$AP$3:$AQ$70,2,FALSE),VLOOKUP(A183,'Children of Female Loyds'!$AR$5:$AS$60,2,FALSE)))),"d.s.p","")</f>
        <v/>
      </c>
      <c r="AN183" s="99" t="str">
        <f t="shared" si="84"/>
        <v>James (1966–: #150)</v>
      </c>
      <c r="AO183" s="99" t="str">
        <f t="shared" si="73"/>
        <v>Christopher (1923–2013: #100)</v>
      </c>
      <c r="AP183" s="99" t="str">
        <f t="shared" si="74"/>
        <v>Tommy (1882–1944: #56)</v>
      </c>
      <c r="AQ183" s="99" t="str">
        <f t="shared" si="75"/>
        <v>The Rev Lewis (1844–1905: #28)</v>
      </c>
      <c r="AR183" s="99" t="str">
        <f t="shared" si="76"/>
        <v>Thomas (1812–1857: #14)</v>
      </c>
      <c r="AS183" s="99" t="str">
        <f t="shared" si="77"/>
        <v>William (1770–1828: #4)</v>
      </c>
      <c r="AT183" s="99" t="str">
        <f t="shared" si="78"/>
        <v>William (1729–1800: #1)</v>
      </c>
      <c r="AU183" s="99" t="str">
        <f t="shared" si="79"/>
        <v/>
      </c>
      <c r="AW183" s="116" t="str">
        <f>VLOOKUP(A183,'Updated Bios &amp; Spouse Details'!$A$1:$J$193,6,FALSE)</f>
        <v>England</v>
      </c>
      <c r="AX183" s="131">
        <f>VLOOKUP($A183,'Loyd List 1-190 - Edit'!$P$2:$AQ$220,AX$1,FALSE)</f>
        <v>181</v>
      </c>
      <c r="AY183" s="116" t="str">
        <f>IF(ISNA(VLOOKUP(A183,'Data check lookup table'!$G$2:$V$73,AY$1,FALSE))," - ",VLOOKUP(A183,'Data check lookup table'!$G$2:$V$73,AY$1,FALSE))</f>
        <v>tloyd@lockinge-estate.co.uk</v>
      </c>
      <c r="AZ183" s="147" t="str">
        <f t="shared" si="69"/>
        <v/>
      </c>
      <c r="BA183" s="99" t="str">
        <f t="shared" si="85"/>
        <v>, William (1770–1828: #4)</v>
      </c>
      <c r="BB183" s="99" t="str">
        <f t="shared" si="82"/>
        <v>; William (1729–1800: #1)</v>
      </c>
      <c r="BC183" s="99" t="str">
        <f t="shared" si="82"/>
        <v/>
      </c>
      <c r="BI183" s="147" t="s">
        <v>3228</v>
      </c>
    </row>
    <row r="184" spans="1:61" s="99" customFormat="1" ht="34">
      <c r="A184" s="139">
        <f>'Loyd List 1-190 - Edit'!C184</f>
        <v>182</v>
      </c>
      <c r="B184" s="99" t="str">
        <f>VLOOKUP($A184,'Loyd List 1-190 - Edit'!$C$1:$AQ$220,'Book Details - NO EDIT'!B$1,FALSE)</f>
        <v>Rosanna</v>
      </c>
      <c r="C184" s="99" t="str">
        <f>IF(VLOOKUP($A184,'Loyd List 1-190 - Edit'!$C$1:$AQ$220,'Book Details - NO EDIT'!C$1,FALSE)="","",VLOOKUP($A184,'Loyd List 1-190 - Edit'!$C$1:$AQ$220,'Book Details - NO EDIT'!C$1,FALSE))</f>
        <v>Kate</v>
      </c>
      <c r="D184" s="99" t="str">
        <f>IF(VLOOKUP($A184,'Loyd List 1-190 - Edit'!$C$1:$AQ$220,'Book Details - NO EDIT'!D$1,FALSE)="","",VLOOKUP($A184,'Loyd List 1-190 - Edit'!$C$1:$AQ$220,'Book Details - NO EDIT'!D$1,FALSE))</f>
        <v/>
      </c>
      <c r="E184" s="99" t="str">
        <f>IF(VLOOKUP($A184,'Loyd List 1-190 - Edit'!$C$1:$AQ$220,'Book Details - NO EDIT'!E$1,FALSE)="","",VLOOKUP($A184,'Loyd List 1-190 - Edit'!$C$1:$AQ$220,'Book Details - NO EDIT'!E$1,FALSE))</f>
        <v>LOYD</v>
      </c>
      <c r="F184" s="99" t="str">
        <f>IF(VLOOKUP($A184,'Loyd List 1-190 - Edit'!$C$1:$AQ$220,'Book Details - NO EDIT'!F$1,FALSE)="",B184,VLOOKUP($A184,'Loyd List 1-190 - Edit'!$C$1:$AQ$220,'Book Details - NO EDIT'!F$1,FALSE))</f>
        <v>Rosanna</v>
      </c>
      <c r="G184" s="140">
        <f>IF(VLOOKUP($A184,'Loyd List 1-190 - Edit'!$C$1:$AQ$220,'Book Details - NO EDIT'!G$1,FALSE)="","",VALUE(VLOOKUP($A184,'Loyd List 1-190 - Edit'!$C$1:$AQ$220,'Book Details - NO EDIT'!G$1,FALSE)))</f>
        <v>2000</v>
      </c>
      <c r="H184" s="140" t="str">
        <f>IF(VLOOKUP($A184,'Loyd List 1-190 - Edit'!$C$1:$AQ$220,'Book Details - NO EDIT'!H$1,FALSE)="","",VALUE(VLOOKUP($A184,'Loyd List 1-190 - Edit'!$C$1:$AQ$220,'Book Details - NO EDIT'!H$1,FALSE)))</f>
        <v/>
      </c>
      <c r="I184" s="141">
        <f>IF(VLOOKUP($A184,'Loyd List 1-190 - Edit'!$C$1:$AQ$220,'Book Details - NO EDIT'!I$1,FALSE)="","",(VLOOKUP($A184,'Loyd List 1-190 - Edit'!$C$1:$AQ$220,'Book Details - NO EDIT'!I$1,FALSE)))</f>
        <v>36729</v>
      </c>
      <c r="J184" s="141" t="str">
        <f>IF(VLOOKUP($A184,'Loyd List 1-190 - Edit'!$C$1:$AQ$220,'Book Details - NO EDIT'!J$1,FALSE)="","",(VLOOKUP($A184,'Loyd List 1-190 - Edit'!$C$1:$AQ$220,'Book Details - NO EDIT'!J$1,FALSE)))</f>
        <v/>
      </c>
      <c r="K184" s="100" t="str">
        <f>VLOOKUP($A184,'Loyd List 1-190 - Edit'!$C$1:$AQ$220,'Book Details - NO EDIT'!K$1,FALSE)</f>
        <v>Girl</v>
      </c>
      <c r="L184" s="140">
        <f>VLOOKUP($A184,'Loyd List 1-190 - Edit'!$C$1:$AQ$220,'Book Details - NO EDIT'!L$1,FALSE)</f>
        <v>146</v>
      </c>
      <c r="M184" s="140">
        <f t="shared" si="60"/>
        <v>104</v>
      </c>
      <c r="N184" s="140">
        <f t="shared" si="60"/>
        <v>72</v>
      </c>
      <c r="O184" s="140">
        <f t="shared" si="60"/>
        <v>44</v>
      </c>
      <c r="P184" s="140">
        <f t="shared" si="60"/>
        <v>23</v>
      </c>
      <c r="Q184" s="140">
        <f t="shared" si="80"/>
        <v>8</v>
      </c>
      <c r="R184" s="140">
        <f t="shared" si="61"/>
        <v>1</v>
      </c>
      <c r="S184" s="140">
        <f t="shared" ref="S184:S192" si="86">IF(ISNA(VLOOKUP(R184,$A$3:$L$220,S$1,FALSE)),"",(VLOOKUP(R184,$A$3:$L$220,S$1,FALSE)))</f>
        <v>0</v>
      </c>
      <c r="T184" s="140">
        <f>IF(L184=1,1,IF(M184=1,2,IF(N184=1,3,IF(O184=1,4,IF(P184=1,5,IF(Q184=1,6,IF(R184=1,7,IF(S184=1,8,0))))))))</f>
        <v>7</v>
      </c>
      <c r="U184" s="139">
        <f t="shared" si="63"/>
        <v>182</v>
      </c>
      <c r="V184" s="31" t="str">
        <f t="shared" si="64"/>
        <v>Rosanna (2000–)</v>
      </c>
      <c r="W184" s="31" t="str">
        <f t="shared" si="65"/>
        <v>Rosanna (#182)</v>
      </c>
      <c r="X184" s="99" t="str">
        <f t="shared" si="66"/>
        <v>Rosanna (2000–: #182)</v>
      </c>
      <c r="Y184" s="99" t="str">
        <f t="shared" si="83"/>
        <v>Rosanna Kate LOYD</v>
      </c>
      <c r="Z184" s="99" t="str">
        <f t="shared" si="67"/>
        <v>Charles (1963–: #146)</v>
      </c>
      <c r="AA184" s="99" t="str">
        <f t="shared" si="72"/>
        <v xml:space="preserve">Charles (1963–: #146) Sir Julian (1926–2018: #104) Charles (1891–1973: #72) Harry (1861–1938: #44) William (1821–1885: #23) Edward (1780–1863: #8) William (1729–1800: #1) </v>
      </c>
      <c r="AB184" s="142" t="str">
        <f>VLOOKUP(U184,'Siblings of those BORN Loyd'!$A$2:$G$230,7,FALSE)</f>
        <v xml:space="preserve">1 – George (1998–: #180)        </v>
      </c>
      <c r="AC184" s="115" t="str">
        <f>IF(ISNA(IF(K184="Boy",VLOOKUP(A184,'Siblings of those BORN Loyd'!$AP$3:$AQ$70,2,FALSE),VLOOKUP(A184,'Children of Female Loyds'!$AR$5:$AT$60,3,FALSE))),AM184,IF(K184="Boy",VLOOKUP(A184,'Siblings of those BORN Loyd'!$AP$3:$AQ$70,2,FALSE),VLOOKUP(A184,'Children of Female Loyds'!$AR$5:$AT$60,3,FALSE)))</f>
        <v/>
      </c>
      <c r="AD184" s="97" t="str">
        <f t="shared" si="81"/>
        <v>-</v>
      </c>
      <c r="AE184" s="105" t="str">
        <f>IF(ISNA(IF(K184="Boy",VLOOKUP(A184,'Grandchildren of Male Loyds'!$AQ$3:$AS$51,3,FALSE),VLOOKUP(A184,'Grandchildren of Female Loyds'!$AX$5:$AZ$63,3,FALSE))),AM184,IF(K184="Boy",VLOOKUP(A184,'Grandchildren of Male Loyds'!$AQ$3:$AS$51,3,FALSE),VLOOKUP(A184,'Grandchildren of Female Loyds'!$AX$5:$AZ$63,3,FALSE)))</f>
        <v/>
      </c>
      <c r="AF184" s="105" t="str">
        <f>IF(ISNA(VLOOKUP(A184,'Grandchildren Loyd Daughters'!$BD$5:$BF$50,4,FALSE)),"",VLOOKUP(A184,'Grandchildren Loyd Daughters'!$BD$5:$BF$50,3,FALSE))</f>
        <v/>
      </c>
      <c r="AG184" s="129">
        <f>IF(ISNA(VLOOKUP(A184,'Grandchildren of Male Loyds'!$AQ$3:$AR$60,2,FALSE)),0,VLOOKUP(A184,'Grandchildren of Male Loyds'!$AQ$3:$AR$60,2,FALSE))+IF(ISNA(VLOOKUP(A184,'Grandchildren of Female Loyds'!$AX$5:$AY$50,2,FALSE)),0,VLOOKUP(A184,'Grandchildren of Female Loyds'!$AX$5:$AY$50,2,FALSE))+IF(ISNA(VLOOKUP(A184,'Grandchildren Loyd Daughters'!$BD$5:$BE$50,2,FALSE)),0,VLOOKUP(A184,'Grandchildren Loyd Daughters'!$BD$5:$BE$50,2,FALSE))</f>
        <v>0</v>
      </c>
      <c r="AH184" s="129" t="str">
        <f>VLOOKUP($U184,'Loyd List 1-190 - Edit'!$P$3:$AJ$220,21,FALSE)</f>
        <v>Jenny CARTWRIGHT (b. 19 Feb 1967, )</v>
      </c>
      <c r="AI184" s="129" t="str">
        <f>VLOOKUP(A184,'Updated Bios &amp; Spouse Details'!$A$1:$J$200,7,FALSE)</f>
        <v xml:space="preserve"> -</v>
      </c>
      <c r="AJ184" s="130" t="str">
        <f>IF(VLOOKUP($A184,'Loyd List 1-190 - Edit'!$C$1:$AQ$220,'Book Details - NO EDIT'!AJ$1,FALSE)="","",(VLOOKUP($A184,'Loyd List 1-190 - Edit'!$C$1:$AQ$220,'Book Details - NO EDIT'!AJ$1,FALSE)))</f>
        <v/>
      </c>
      <c r="AK184" s="129" t="str">
        <f>VLOOKUP(A184,'Updated Bios &amp; Spouse Details'!$A$1:$J$200,8,FALSE)</f>
        <v xml:space="preserve"> -</v>
      </c>
      <c r="AL184" s="131" t="str">
        <f>VLOOKUP(A184,'Updated Bios &amp; Spouse Details'!$A$1:$J$200,5,FALSE)</f>
        <v>Rosie lives in Suffolk and is the only daughter of Charles (1963– : #146). Born 22 Jul 2000. Educated Woodbridge Snr School, Uppingham School (2013-2018); Nottingham University (Studying Spanish and Contemporary Chinese 2019-present). Interests; Tennis, Cricket, Languages, Travelling.</v>
      </c>
      <c r="AM184" s="105" t="str">
        <f>IF(AND(LEN(H184)&gt;0,ISNA(IF(K184="Boy",VLOOKUP(A184,'Siblings of those BORN Loyd'!$AP$3:$AQ$70,2,FALSE),VLOOKUP(A184,'Children of Female Loyds'!$AR$5:$AS$60,2,FALSE)))),"d.s.p","")</f>
        <v/>
      </c>
      <c r="AN184" s="99" t="str">
        <f t="shared" si="84"/>
        <v>Charles (1963–: #146)</v>
      </c>
      <c r="AO184" s="99" t="str">
        <f t="shared" si="73"/>
        <v>Sir Julian (1926–2018: #104)</v>
      </c>
      <c r="AP184" s="99" t="str">
        <f t="shared" si="74"/>
        <v>Charles (1891–1973: #72)</v>
      </c>
      <c r="AQ184" s="99" t="str">
        <f t="shared" si="75"/>
        <v>Harry (1861–1938: #44)</v>
      </c>
      <c r="AR184" s="99" t="str">
        <f t="shared" si="76"/>
        <v>William (1821–1885: #23)</v>
      </c>
      <c r="AS184" s="99" t="str">
        <f t="shared" si="77"/>
        <v>Edward (1780–1863: #8)</v>
      </c>
      <c r="AT184" s="99" t="str">
        <f t="shared" si="78"/>
        <v>William (1729–1800: #1)</v>
      </c>
      <c r="AU184" s="99" t="str">
        <f t="shared" si="79"/>
        <v/>
      </c>
      <c r="AW184" s="116" t="str">
        <f>VLOOKUP(A184,'Updated Bios &amp; Spouse Details'!$A$1:$J$193,6,FALSE)</f>
        <v>England</v>
      </c>
      <c r="AX184" s="131">
        <f>VLOOKUP($A184,'Loyd List 1-190 - Edit'!$P$2:$AQ$220,AX$1,FALSE)</f>
        <v>182</v>
      </c>
      <c r="AY184" s="116" t="str">
        <f>IF(ISNA(VLOOKUP(A184,'Data check lookup table'!$G$2:$V$73,AY$1,FALSE))," - ",VLOOKUP(A184,'Data check lookup table'!$G$2:$V$73,AY$1,FALSE))</f>
        <v> c.loyde@icloud.com</v>
      </c>
      <c r="AZ184" s="147" t="str">
        <f t="shared" si="69"/>
        <v/>
      </c>
      <c r="BA184" s="99" t="str">
        <f t="shared" si="85"/>
        <v>, Edward (1780–1863: #8)</v>
      </c>
      <c r="BB184" s="99" t="str">
        <f t="shared" si="82"/>
        <v>; William (1729–1800: #1)</v>
      </c>
      <c r="BC184" s="99" t="str">
        <f t="shared" si="82"/>
        <v/>
      </c>
      <c r="BI184" s="147" t="s">
        <v>3228</v>
      </c>
    </row>
    <row r="185" spans="1:61" s="99" customFormat="1" ht="17">
      <c r="A185" s="139">
        <f>'Loyd List 1-190 - Edit'!C185</f>
        <v>183</v>
      </c>
      <c r="B185" s="99" t="str">
        <f>VLOOKUP($A185,'Loyd List 1-190 - Edit'!$C$1:$AQ$220,'Book Details - NO EDIT'!B$1,FALSE)</f>
        <v>Matilda</v>
      </c>
      <c r="C185" s="99" t="str">
        <f>IF(VLOOKUP($A185,'Loyd List 1-190 - Edit'!$C$1:$AQ$220,'Book Details - NO EDIT'!C$1,FALSE)="","",VLOOKUP($A185,'Loyd List 1-190 - Edit'!$C$1:$AQ$220,'Book Details - NO EDIT'!C$1,FALSE))</f>
        <v>Jennifer</v>
      </c>
      <c r="D185" s="99" t="str">
        <f>IF(VLOOKUP($A185,'Loyd List 1-190 - Edit'!$C$1:$AQ$220,'Book Details - NO EDIT'!D$1,FALSE)="","",VLOOKUP($A185,'Loyd List 1-190 - Edit'!$C$1:$AQ$220,'Book Details - NO EDIT'!D$1,FALSE))</f>
        <v>(LOYD)</v>
      </c>
      <c r="E185" s="99" t="str">
        <f>IF(VLOOKUP($A185,'Loyd List 1-190 - Edit'!$C$1:$AQ$220,'Book Details - NO EDIT'!E$1,FALSE)="","",VLOOKUP($A185,'Loyd List 1-190 - Edit'!$C$1:$AQ$220,'Book Details - NO EDIT'!E$1,FALSE))</f>
        <v>CHARLTON</v>
      </c>
      <c r="F185" s="99" t="str">
        <f>IF(VLOOKUP($A185,'Loyd List 1-190 - Edit'!$C$1:$AQ$220,'Book Details - NO EDIT'!F$1,FALSE)="",B185,VLOOKUP($A185,'Loyd List 1-190 - Edit'!$C$1:$AQ$220,'Book Details - NO EDIT'!F$1,FALSE))</f>
        <v>Matilda</v>
      </c>
      <c r="G185" s="140">
        <f>IF(VLOOKUP($A185,'Loyd List 1-190 - Edit'!$C$1:$AQ$220,'Book Details - NO EDIT'!G$1,FALSE)="","",VALUE(VLOOKUP($A185,'Loyd List 1-190 - Edit'!$C$1:$AQ$220,'Book Details - NO EDIT'!G$1,FALSE)))</f>
        <v>2006</v>
      </c>
      <c r="H185" s="140" t="str">
        <f>IF(VLOOKUP($A185,'Loyd List 1-190 - Edit'!$C$1:$AQ$220,'Book Details - NO EDIT'!H$1,FALSE)="","",VALUE(VLOOKUP($A185,'Loyd List 1-190 - Edit'!$C$1:$AQ$220,'Book Details - NO EDIT'!H$1,FALSE)))</f>
        <v/>
      </c>
      <c r="I185" s="141">
        <f>IF(VLOOKUP($A185,'Loyd List 1-190 - Edit'!$C$1:$AQ$220,'Book Details - NO EDIT'!I$1,FALSE)="","",(VLOOKUP($A185,'Loyd List 1-190 - Edit'!$C$1:$AQ$220,'Book Details - NO EDIT'!I$1,FALSE)))</f>
        <v>38760</v>
      </c>
      <c r="J185" s="141" t="str">
        <f>IF(VLOOKUP($A185,'Loyd List 1-190 - Edit'!$C$1:$AQ$220,'Book Details - NO EDIT'!J$1,FALSE)="","",(VLOOKUP($A185,'Loyd List 1-190 - Edit'!$C$1:$AQ$220,'Book Details - NO EDIT'!J$1,FALSE)))</f>
        <v/>
      </c>
      <c r="K185" s="100" t="str">
        <f>VLOOKUP($A185,'Loyd List 1-190 - Edit'!$C$1:$AQ$220,'Book Details - NO EDIT'!K$1,FALSE)</f>
        <v>Girl</v>
      </c>
      <c r="L185" s="140">
        <f>VLOOKUP($A185,'Loyd List 1-190 - Edit'!$C$1:$AQ$220,'Book Details - NO EDIT'!L$1,FALSE)</f>
        <v>155</v>
      </c>
      <c r="M185" s="140">
        <f t="shared" si="60"/>
        <v>119</v>
      </c>
      <c r="N185" s="140">
        <f t="shared" si="60"/>
        <v>80</v>
      </c>
      <c r="O185" s="140">
        <f t="shared" si="60"/>
        <v>29</v>
      </c>
      <c r="P185" s="140">
        <f t="shared" si="60"/>
        <v>14</v>
      </c>
      <c r="Q185" s="140">
        <f t="shared" si="80"/>
        <v>4</v>
      </c>
      <c r="R185" s="140">
        <f t="shared" si="61"/>
        <v>1</v>
      </c>
      <c r="S185" s="140">
        <f t="shared" si="86"/>
        <v>0</v>
      </c>
      <c r="T185" s="140">
        <f t="shared" ref="T185:T192" si="87">IF(L185=1,1,IF(M185=1,2,IF(N185=1,3,IF(O185=1,4,IF(P185=1,5,IF(Q185=1,6,IF(R185=1,7,IF(S185=1,8,0))))))))</f>
        <v>7</v>
      </c>
      <c r="U185" s="139">
        <f t="shared" si="63"/>
        <v>183</v>
      </c>
      <c r="V185" s="31" t="str">
        <f t="shared" si="64"/>
        <v>Matilda (2006–)</v>
      </c>
      <c r="W185" s="31" t="str">
        <f t="shared" ref="W185:W192" si="88">_xlfn.CONCAT(F185," (#",A185,")")</f>
        <v>Matilda (#183)</v>
      </c>
      <c r="X185" s="99" t="str">
        <f t="shared" si="66"/>
        <v>Matilda (2006–: #183)</v>
      </c>
      <c r="Y185" s="99" t="str">
        <f t="shared" ref="Y185:Y192" si="89">_xlfn.CONCAT(B185," ",IF(C185="",E185,_xlfn.CONCAT(C185," ",IF(D185="",E185,_xlfn.CONCAT(D185," ",E185)))))</f>
        <v>Matilda Jennifer (LOYD) CHARLTON</v>
      </c>
      <c r="Z185" s="99" t="str">
        <f t="shared" ref="Z185:Z192" si="90">VLOOKUP(L185,$U$2:$X$230,Z$1,FALSE)</f>
        <v>William (1973–: #155)</v>
      </c>
      <c r="AA185" s="99" t="str">
        <f t="shared" si="72"/>
        <v xml:space="preserve">William (1973–: #155) Peter (1942–: #119) Eric (1894–1963: #80) Arthur (1845–1930: #29) Thomas (1812–1857: #14) William (1770–1828: #4) William (1729–1800: #1) </v>
      </c>
      <c r="AB185" s="142" t="str">
        <f>VLOOKUP(U185,'Siblings of those BORN Loyd'!$A$2:$G$230,7,FALSE)</f>
        <v xml:space="preserve">2 – Katherine (2007–: #185) Henry (2010–: #186)      </v>
      </c>
      <c r="AC185" s="115" t="str">
        <f>IF(ISNA(IF(K185="Boy",VLOOKUP(A185,'Siblings of those BORN Loyd'!$AP$3:$AQ$70,2,FALSE),VLOOKUP(A185,'Children of Female Loyds'!$AR$5:$AT$60,3,FALSE))),AM185,IF(K185="Boy",VLOOKUP(A185,'Siblings of those BORN Loyd'!$AP$3:$AQ$70,2,FALSE),VLOOKUP(A185,'Children of Female Loyds'!$AR$5:$AT$60,3,FALSE)))</f>
        <v/>
      </c>
      <c r="AD185" s="97" t="str">
        <f t="shared" si="81"/>
        <v>-</v>
      </c>
      <c r="AE185" s="105"/>
      <c r="AF185" s="105" t="str">
        <f>IF(ISNA(VLOOKUP(A185,'Grandchildren Loyd Daughters'!$BD$5:$BF$50,4,FALSE)),"",VLOOKUP(A185,'Grandchildren Loyd Daughters'!$BD$5:$BF$50,3,FALSE))</f>
        <v/>
      </c>
      <c r="AG185" s="129">
        <f>IF(ISNA(VLOOKUP(A185,'Grandchildren of Male Loyds'!$AQ$3:$AR$60,2,FALSE)),0,VLOOKUP(A185,'Grandchildren of Male Loyds'!$AQ$3:$AR$60,2,FALSE))+IF(ISNA(VLOOKUP(A185,'Grandchildren of Female Loyds'!$AX$5:$AY$50,2,FALSE)),0,VLOOKUP(A185,'Grandchildren of Female Loyds'!$AX$5:$AY$50,2,FALSE))+IF(ISNA(VLOOKUP(A185,'Grandchildren Loyd Daughters'!$BD$5:$BE$50,2,FALSE)),0,VLOOKUP(A185,'Grandchildren Loyd Daughters'!$BD$5:$BE$50,2,FALSE))</f>
        <v>0</v>
      </c>
      <c r="AH185" s="129" t="str">
        <f>VLOOKUP($U185,'Loyd List 1-190 - Edit'!$P$3:$AJ$220,21,FALSE)</f>
        <v>Anna Maria LEES (b. 15 Mar 1972, )</v>
      </c>
      <c r="AI185" s="129" t="str">
        <f>VLOOKUP(A185,'Updated Bios &amp; Spouse Details'!$A$1:$J$200,7,FALSE)</f>
        <v xml:space="preserve"> -</v>
      </c>
      <c r="AJ185" s="130" t="str">
        <f>IF(VLOOKUP($A185,'Loyd List 1-190 - Edit'!$C$1:$AQ$220,'Book Details - NO EDIT'!AJ$1,FALSE)="","",(VLOOKUP($A185,'Loyd List 1-190 - Edit'!$C$1:$AQ$220,'Book Details - NO EDIT'!AJ$1,FALSE)))</f>
        <v/>
      </c>
      <c r="AK185" s="129" t="str">
        <f>VLOOKUP(A185,'Updated Bios &amp; Spouse Details'!$A$1:$J$200,8,FALSE)</f>
        <v xml:space="preserve"> -</v>
      </c>
      <c r="AL185" s="131" t="str">
        <f>VLOOKUP(A185,'Updated Bios &amp; Spouse Details'!$A$1:$J$200,5,FALSE)</f>
        <v>Matilda is the elder daughter of William (1973– : #155). Born 12 Feb 2006.</v>
      </c>
      <c r="AM185" s="105" t="str">
        <f>IF(AND(LEN(H185)&gt;0,ISNA(IF(K185="Boy",VLOOKUP(A185,'Siblings of those BORN Loyd'!$AP$3:$AQ$70,2,FALSE),VLOOKUP(A185,'Children of Female Loyds'!$AR$5:$AS$60,2,FALSE)))),"d.s.p","")</f>
        <v/>
      </c>
      <c r="AN185" s="99" t="str">
        <f t="shared" ref="AN185:AN192" si="91">(IF(OR(L185=0,LEN(L185)=0),"",_xlfn.CONCAT(VLOOKUP(L185,$U$3:$X$230,4,FALSE))))</f>
        <v>William (1973–: #155)</v>
      </c>
      <c r="AO185" s="99" t="str">
        <f t="shared" si="73"/>
        <v>Peter (1942–: #119)</v>
      </c>
      <c r="AP185" s="99" t="str">
        <f t="shared" si="74"/>
        <v>Eric (1894–1963: #80)</v>
      </c>
      <c r="AQ185" s="99" t="str">
        <f t="shared" si="75"/>
        <v>Arthur (1845–1930: #29)</v>
      </c>
      <c r="AR185" s="99" t="str">
        <f t="shared" si="76"/>
        <v>Thomas (1812–1857: #14)</v>
      </c>
      <c r="AS185" s="99" t="str">
        <f t="shared" si="77"/>
        <v>William (1770–1828: #4)</v>
      </c>
      <c r="AT185" s="99" t="str">
        <f t="shared" si="78"/>
        <v>William (1729–1800: #1)</v>
      </c>
      <c r="AU185" s="99" t="str">
        <f t="shared" si="79"/>
        <v/>
      </c>
      <c r="AW185" s="116" t="str">
        <f>VLOOKUP(A185,'Updated Bios &amp; Spouse Details'!$A$1:$J$193,6,FALSE)</f>
        <v>England</v>
      </c>
      <c r="AX185" s="131">
        <f>VLOOKUP($A185,'Loyd List 1-190 - Edit'!$P$2:$AQ$220,AX$1,FALSE)</f>
        <v>183</v>
      </c>
      <c r="AY185" s="116" t="str">
        <f>IF(ISNA(VLOOKUP(A185,'Data check lookup table'!$G$2:$V$73,AY$1,FALSE))," - ",VLOOKUP(A185,'Data check lookup table'!$G$2:$V$73,AY$1,FALSE))</f>
        <v xml:space="preserve"> - </v>
      </c>
      <c r="AZ185" s="147" t="str">
        <f t="shared" si="69"/>
        <v/>
      </c>
      <c r="BA185" s="99" t="str">
        <f t="shared" ref="BA185:BA192" si="92">(IF(OR(Q185=0,LEN(Q185)=0),"",_xlfn.CONCAT(", ",VLOOKUP(Q185,$U$3:$X$230,4,FALSE))))</f>
        <v>, William (1770–1828: #4)</v>
      </c>
      <c r="BB185" s="99" t="str">
        <f t="shared" ref="BB185:BC192" si="93">(IF(OR(R185=0,LEN(R185)=0),"",_xlfn.CONCAT("; ",VLOOKUP(R185,$U$3:$X$230,4,FALSE))))</f>
        <v>; William (1729–1800: #1)</v>
      </c>
      <c r="BC185" s="99" t="str">
        <f t="shared" si="93"/>
        <v/>
      </c>
      <c r="BI185" s="147" t="s">
        <v>3228</v>
      </c>
    </row>
    <row r="186" spans="1:61" s="99" customFormat="1" ht="17">
      <c r="A186" s="139">
        <f>'Loyd List 1-190 - Edit'!C186</f>
        <v>184</v>
      </c>
      <c r="B186" s="99" t="str">
        <f>VLOOKUP($A186,'Loyd List 1-190 - Edit'!$C$1:$AQ$220,'Book Details - NO EDIT'!B$1,FALSE)</f>
        <v>Delilah</v>
      </c>
      <c r="C186" s="99" t="str">
        <f>IF(VLOOKUP($A186,'Loyd List 1-190 - Edit'!$C$1:$AQ$220,'Book Details - NO EDIT'!C$1,FALSE)="","",VLOOKUP($A186,'Loyd List 1-190 - Edit'!$C$1:$AQ$220,'Book Details - NO EDIT'!C$1,FALSE))</f>
        <v/>
      </c>
      <c r="D186" s="99" t="str">
        <f>IF(VLOOKUP($A186,'Loyd List 1-190 - Edit'!$C$1:$AQ$220,'Book Details - NO EDIT'!D$1,FALSE)="","",VLOOKUP($A186,'Loyd List 1-190 - Edit'!$C$1:$AQ$220,'Book Details - NO EDIT'!D$1,FALSE))</f>
        <v/>
      </c>
      <c r="E186" s="99" t="str">
        <f>IF(VLOOKUP($A186,'Loyd List 1-190 - Edit'!$C$1:$AQ$220,'Book Details - NO EDIT'!E$1,FALSE)="","",VLOOKUP($A186,'Loyd List 1-190 - Edit'!$C$1:$AQ$220,'Book Details - NO EDIT'!E$1,FALSE))</f>
        <v>LOYD</v>
      </c>
      <c r="F186" s="99" t="str">
        <f>IF(VLOOKUP($A186,'Loyd List 1-190 - Edit'!$C$1:$AQ$220,'Book Details - NO EDIT'!F$1,FALSE)="",B186,VLOOKUP($A186,'Loyd List 1-190 - Edit'!$C$1:$AQ$220,'Book Details - NO EDIT'!F$1,FALSE))</f>
        <v>Delilah</v>
      </c>
      <c r="G186" s="140">
        <f>IF(VLOOKUP($A186,'Loyd List 1-190 - Edit'!$C$1:$AQ$220,'Book Details - NO EDIT'!G$1,FALSE)="","",VALUE(VLOOKUP($A186,'Loyd List 1-190 - Edit'!$C$1:$AQ$220,'Book Details - NO EDIT'!G$1,FALSE)))</f>
        <v>2006</v>
      </c>
      <c r="H186" s="140" t="str">
        <f>IF(VLOOKUP($A186,'Loyd List 1-190 - Edit'!$C$1:$AQ$220,'Book Details - NO EDIT'!H$1,FALSE)="","",VALUE(VLOOKUP($A186,'Loyd List 1-190 - Edit'!$C$1:$AQ$220,'Book Details - NO EDIT'!H$1,FALSE)))</f>
        <v/>
      </c>
      <c r="I186" s="141">
        <f>IF(VLOOKUP($A186,'Loyd List 1-190 - Edit'!$C$1:$AQ$220,'Book Details - NO EDIT'!I$1,FALSE)="","",(VLOOKUP($A186,'Loyd List 1-190 - Edit'!$C$1:$AQ$220,'Book Details - NO EDIT'!I$1,FALSE)))</f>
        <v>38930</v>
      </c>
      <c r="J186" s="141" t="str">
        <f>IF(VLOOKUP($A186,'Loyd List 1-190 - Edit'!$C$1:$AQ$220,'Book Details - NO EDIT'!J$1,FALSE)="","",(VLOOKUP($A186,'Loyd List 1-190 - Edit'!$C$1:$AQ$220,'Book Details - NO EDIT'!J$1,FALSE)))</f>
        <v/>
      </c>
      <c r="K186" s="100" t="str">
        <f>VLOOKUP($A186,'Loyd List 1-190 - Edit'!$C$1:$AQ$220,'Book Details - NO EDIT'!K$1,FALSE)</f>
        <v>Girl</v>
      </c>
      <c r="L186" s="140">
        <f>VLOOKUP($A186,'Loyd List 1-190 - Edit'!$C$1:$AQ$220,'Book Details - NO EDIT'!L$1,FALSE)</f>
        <v>149</v>
      </c>
      <c r="M186" s="140">
        <f t="shared" si="60"/>
        <v>113</v>
      </c>
      <c r="N186" s="140">
        <f t="shared" si="60"/>
        <v>78</v>
      </c>
      <c r="O186" s="140">
        <f t="shared" si="60"/>
        <v>46</v>
      </c>
      <c r="P186" s="140">
        <f t="shared" si="60"/>
        <v>23</v>
      </c>
      <c r="Q186" s="140">
        <f t="shared" si="80"/>
        <v>8</v>
      </c>
      <c r="R186" s="140">
        <f t="shared" si="61"/>
        <v>1</v>
      </c>
      <c r="S186" s="140">
        <f t="shared" si="86"/>
        <v>0</v>
      </c>
      <c r="T186" s="140">
        <f t="shared" si="87"/>
        <v>7</v>
      </c>
      <c r="U186" s="139">
        <f t="shared" si="63"/>
        <v>184</v>
      </c>
      <c r="V186" s="31" t="str">
        <f t="shared" si="64"/>
        <v>Delilah (2006–)</v>
      </c>
      <c r="W186" s="31" t="str">
        <f t="shared" si="88"/>
        <v>Delilah (#184)</v>
      </c>
      <c r="X186" s="99" t="str">
        <f t="shared" si="66"/>
        <v>Delilah (2006–: #184)</v>
      </c>
      <c r="Y186" s="99" t="str">
        <f t="shared" si="89"/>
        <v>Delilah LOYD</v>
      </c>
      <c r="Z186" s="99" t="str">
        <f t="shared" si="90"/>
        <v>Anthony (1966–: #149)</v>
      </c>
      <c r="AA186" s="99" t="str">
        <f t="shared" si="72"/>
        <v xml:space="preserve">Anthony (1966–: #149) Willie (1937–1994: #113) Vivian (1894–1972: #78) William (1863–1923: #46) William (1821–1885: #23) Edward (1780–1863: #8) William (1729–1800: #1) </v>
      </c>
      <c r="AB186" s="142" t="str">
        <f>VLOOKUP(U186,'Siblings of those BORN Loyd'!$A$2:$G$230,7,FALSE)</f>
        <v>0 – Only chlid</v>
      </c>
      <c r="AC186" s="115" t="str">
        <f>IF(ISNA(IF(K186="Boy",VLOOKUP(A186,'Siblings of those BORN Loyd'!$AP$3:$AQ$70,2,FALSE),VLOOKUP(A186,'Children of Female Loyds'!$AR$5:$AT$60,3,FALSE))),AM186,IF(K186="Boy",VLOOKUP(A186,'Siblings of those BORN Loyd'!$AP$3:$AQ$70,2,FALSE),VLOOKUP(A186,'Children of Female Loyds'!$AR$5:$AT$60,3,FALSE)))</f>
        <v/>
      </c>
      <c r="AD186" s="97" t="str">
        <f t="shared" si="81"/>
        <v>-</v>
      </c>
      <c r="AE186" s="105"/>
      <c r="AF186" s="105" t="str">
        <f>IF(ISNA(VLOOKUP(A186,'Grandchildren Loyd Daughters'!$BD$5:$BF$50,4,FALSE)),"",VLOOKUP(A186,'Grandchildren Loyd Daughters'!$BD$5:$BF$50,3,FALSE))</f>
        <v/>
      </c>
      <c r="AG186" s="129">
        <f>IF(ISNA(VLOOKUP(A186,'Grandchildren of Male Loyds'!$AQ$3:$AR$60,2,FALSE)),0,VLOOKUP(A186,'Grandchildren of Male Loyds'!$AQ$3:$AR$60,2,FALSE))+IF(ISNA(VLOOKUP(A186,'Grandchildren of Female Loyds'!$AX$5:$AY$50,2,FALSE)),0,VLOOKUP(A186,'Grandchildren of Female Loyds'!$AX$5:$AY$50,2,FALSE))+IF(ISNA(VLOOKUP(A186,'Grandchildren Loyd Daughters'!$BD$5:$BE$50,2,FALSE)),0,VLOOKUP(A186,'Grandchildren Loyd Daughters'!$BD$5:$BE$50,2,FALSE))</f>
        <v>0</v>
      </c>
      <c r="AH186" s="129" t="str">
        <f>VLOOKUP($U186,'Loyd List 1-190 - Edit'!$P$3:$AJ$220,21,FALSE)</f>
        <v>Harriet Louise MELLOR (b. , )</v>
      </c>
      <c r="AI186" s="129" t="str">
        <f>VLOOKUP(A186,'Updated Bios &amp; Spouse Details'!$A$1:$J$200,7,FALSE)</f>
        <v xml:space="preserve"> -</v>
      </c>
      <c r="AJ186" s="130" t="str">
        <f>IF(VLOOKUP($A186,'Loyd List 1-190 - Edit'!$C$1:$AQ$220,'Book Details - NO EDIT'!AJ$1,FALSE)="","",(VLOOKUP($A186,'Loyd List 1-190 - Edit'!$C$1:$AQ$220,'Book Details - NO EDIT'!AJ$1,FALSE)))</f>
        <v/>
      </c>
      <c r="AK186" s="129" t="str">
        <f>VLOOKUP(A186,'Updated Bios &amp; Spouse Details'!$A$1:$J$200,8,FALSE)</f>
        <v xml:space="preserve"> -</v>
      </c>
      <c r="AL186" s="131" t="str">
        <f>VLOOKUP(A186,'Updated Bios &amp; Spouse Details'!$A$1:$J$200,5,FALSE)</f>
        <v>Delilah is the only daughter of Anthony (1966– : #149). Born 1 Aug 2006.</v>
      </c>
      <c r="AM186" s="105" t="str">
        <f>IF(AND(LEN(H186)&gt;0,ISNA(IF(K186="Boy",VLOOKUP(A186,'Siblings of those BORN Loyd'!$AP$3:$AQ$70,2,FALSE),VLOOKUP(A186,'Children of Female Loyds'!$AR$5:$AS$60,2,FALSE)))),"d.s.p","")</f>
        <v/>
      </c>
      <c r="AN186" s="99" t="str">
        <f t="shared" si="91"/>
        <v>Anthony (1966–: #149)</v>
      </c>
      <c r="AO186" s="99" t="str">
        <f t="shared" si="73"/>
        <v>Willie (1937–1994: #113)</v>
      </c>
      <c r="AP186" s="99" t="str">
        <f t="shared" si="74"/>
        <v>Vivian (1894–1972: #78)</v>
      </c>
      <c r="AQ186" s="99" t="str">
        <f t="shared" si="75"/>
        <v>William (1863–1923: #46)</v>
      </c>
      <c r="AR186" s="99" t="str">
        <f t="shared" si="76"/>
        <v>William (1821–1885: #23)</v>
      </c>
      <c r="AS186" s="99" t="str">
        <f t="shared" si="77"/>
        <v>Edward (1780–1863: #8)</v>
      </c>
      <c r="AT186" s="99" t="str">
        <f t="shared" si="78"/>
        <v>William (1729–1800: #1)</v>
      </c>
      <c r="AU186" s="99" t="str">
        <f t="shared" si="79"/>
        <v/>
      </c>
      <c r="AW186" s="116" t="str">
        <f>VLOOKUP(A186,'Updated Bios &amp; Spouse Details'!$A$1:$J$193,6,FALSE)</f>
        <v>England</v>
      </c>
      <c r="AX186" s="131">
        <f>VLOOKUP($A186,'Loyd List 1-190 - Edit'!$P$2:$AQ$220,AX$1,FALSE)</f>
        <v>184</v>
      </c>
      <c r="AY186" s="116" t="str">
        <f>IF(ISNA(VLOOKUP(A186,'Data check lookup table'!$G$2:$V$73,AY$1,FALSE))," - ",VLOOKUP(A186,'Data check lookup table'!$G$2:$V$73,AY$1,FALSE))</f>
        <v xml:space="preserve"> - </v>
      </c>
      <c r="AZ186" s="147" t="str">
        <f t="shared" si="69"/>
        <v/>
      </c>
      <c r="BA186" s="99" t="str">
        <f t="shared" si="92"/>
        <v>, Edward (1780–1863: #8)</v>
      </c>
      <c r="BB186" s="99" t="str">
        <f t="shared" si="93"/>
        <v>; William (1729–1800: #1)</v>
      </c>
      <c r="BC186" s="99" t="str">
        <f t="shared" si="93"/>
        <v/>
      </c>
      <c r="BI186" s="147" t="s">
        <v>3228</v>
      </c>
    </row>
    <row r="187" spans="1:61" s="99" customFormat="1" ht="17">
      <c r="A187" s="139">
        <f>'Loyd List 1-190 - Edit'!C187</f>
        <v>185</v>
      </c>
      <c r="B187" s="99" t="str">
        <f>VLOOKUP($A187,'Loyd List 1-190 - Edit'!$C$1:$AQ$220,'Book Details - NO EDIT'!B$1,FALSE)</f>
        <v>Katherine</v>
      </c>
      <c r="C187" s="99" t="str">
        <f>IF(VLOOKUP($A187,'Loyd List 1-190 - Edit'!$C$1:$AQ$220,'Book Details - NO EDIT'!C$1,FALSE)="","",VLOOKUP($A187,'Loyd List 1-190 - Edit'!$C$1:$AQ$220,'Book Details - NO EDIT'!C$1,FALSE))</f>
        <v>Anne</v>
      </c>
      <c r="D187" s="99" t="str">
        <f>IF(VLOOKUP($A187,'Loyd List 1-190 - Edit'!$C$1:$AQ$220,'Book Details - NO EDIT'!D$1,FALSE)="","",VLOOKUP($A187,'Loyd List 1-190 - Edit'!$C$1:$AQ$220,'Book Details - NO EDIT'!D$1,FALSE))</f>
        <v>(LOYD)</v>
      </c>
      <c r="E187" s="99" t="str">
        <f>IF(VLOOKUP($A187,'Loyd List 1-190 - Edit'!$C$1:$AQ$220,'Book Details - NO EDIT'!E$1,FALSE)="","",VLOOKUP($A187,'Loyd List 1-190 - Edit'!$C$1:$AQ$220,'Book Details - NO EDIT'!E$1,FALSE))</f>
        <v>CHARLTON</v>
      </c>
      <c r="F187" s="99" t="str">
        <f>IF(VLOOKUP($A187,'Loyd List 1-190 - Edit'!$C$1:$AQ$220,'Book Details - NO EDIT'!F$1,FALSE)="",B187,VLOOKUP($A187,'Loyd List 1-190 - Edit'!$C$1:$AQ$220,'Book Details - NO EDIT'!F$1,FALSE))</f>
        <v>Katherine</v>
      </c>
      <c r="G187" s="140">
        <f>IF(VLOOKUP($A187,'Loyd List 1-190 - Edit'!$C$1:$AQ$220,'Book Details - NO EDIT'!G$1,FALSE)="","",VALUE(VLOOKUP($A187,'Loyd List 1-190 - Edit'!$C$1:$AQ$220,'Book Details - NO EDIT'!G$1,FALSE)))</f>
        <v>2007</v>
      </c>
      <c r="H187" s="140" t="str">
        <f>IF(VLOOKUP($A187,'Loyd List 1-190 - Edit'!$C$1:$AQ$220,'Book Details - NO EDIT'!H$1,FALSE)="","",VALUE(VLOOKUP($A187,'Loyd List 1-190 - Edit'!$C$1:$AQ$220,'Book Details - NO EDIT'!H$1,FALSE)))</f>
        <v/>
      </c>
      <c r="I187" s="141">
        <f>IF(VLOOKUP($A187,'Loyd List 1-190 - Edit'!$C$1:$AQ$220,'Book Details - NO EDIT'!I$1,FALSE)="","",(VLOOKUP($A187,'Loyd List 1-190 - Edit'!$C$1:$AQ$220,'Book Details - NO EDIT'!I$1,FALSE)))</f>
        <v>39268</v>
      </c>
      <c r="J187" s="141" t="str">
        <f>IF(VLOOKUP($A187,'Loyd List 1-190 - Edit'!$C$1:$AQ$220,'Book Details - NO EDIT'!J$1,FALSE)="","",(VLOOKUP($A187,'Loyd List 1-190 - Edit'!$C$1:$AQ$220,'Book Details - NO EDIT'!J$1,FALSE)))</f>
        <v/>
      </c>
      <c r="K187" s="100" t="str">
        <f>VLOOKUP($A187,'Loyd List 1-190 - Edit'!$C$1:$AQ$220,'Book Details - NO EDIT'!K$1,FALSE)</f>
        <v>Girl</v>
      </c>
      <c r="L187" s="140">
        <f>VLOOKUP($A187,'Loyd List 1-190 - Edit'!$C$1:$AQ$220,'Book Details - NO EDIT'!L$1,FALSE)</f>
        <v>155</v>
      </c>
      <c r="M187" s="140">
        <f t="shared" si="60"/>
        <v>119</v>
      </c>
      <c r="N187" s="140">
        <f t="shared" si="60"/>
        <v>80</v>
      </c>
      <c r="O187" s="140">
        <f t="shared" si="60"/>
        <v>29</v>
      </c>
      <c r="P187" s="140">
        <f t="shared" si="60"/>
        <v>14</v>
      </c>
      <c r="Q187" s="140">
        <f t="shared" si="80"/>
        <v>4</v>
      </c>
      <c r="R187" s="140">
        <f t="shared" si="61"/>
        <v>1</v>
      </c>
      <c r="S187" s="140">
        <f t="shared" si="86"/>
        <v>0</v>
      </c>
      <c r="T187" s="140">
        <f t="shared" si="87"/>
        <v>7</v>
      </c>
      <c r="U187" s="139">
        <f t="shared" si="63"/>
        <v>185</v>
      </c>
      <c r="V187" s="31" t="str">
        <f t="shared" si="64"/>
        <v>Katherine (2007–)</v>
      </c>
      <c r="W187" s="31" t="str">
        <f t="shared" si="88"/>
        <v>Katherine (#185)</v>
      </c>
      <c r="X187" s="99" t="str">
        <f t="shared" si="66"/>
        <v>Katherine (2007–: #185)</v>
      </c>
      <c r="Y187" s="99" t="str">
        <f t="shared" si="89"/>
        <v>Katherine Anne (LOYD) CHARLTON</v>
      </c>
      <c r="Z187" s="99" t="str">
        <f t="shared" si="90"/>
        <v>William (1973–: #155)</v>
      </c>
      <c r="AA187" s="99" t="str">
        <f t="shared" si="72"/>
        <v xml:space="preserve">William (1973–: #155) Peter (1942–: #119) Eric (1894–1963: #80) Arthur (1845–1930: #29) Thomas (1812–1857: #14) William (1770–1828: #4) William (1729–1800: #1) </v>
      </c>
      <c r="AB187" s="142" t="str">
        <f>VLOOKUP(U187,'Siblings of those BORN Loyd'!$A$2:$G$230,7,FALSE)</f>
        <v xml:space="preserve">2 – Matilda (2006–: #183)  Henry (2010–: #186)      </v>
      </c>
      <c r="AC187" s="115" t="str">
        <f>IF(ISNA(IF(K187="Boy",VLOOKUP(A187,'Siblings of those BORN Loyd'!$AP$3:$AQ$70,2,FALSE),VLOOKUP(A187,'Children of Female Loyds'!$AR$5:$AT$60,3,FALSE))),AM187,IF(K187="Boy",VLOOKUP(A187,'Siblings of those BORN Loyd'!$AP$3:$AQ$70,2,FALSE),VLOOKUP(A187,'Children of Female Loyds'!$AR$5:$AT$60,3,FALSE)))</f>
        <v/>
      </c>
      <c r="AD187" s="97" t="str">
        <f t="shared" si="81"/>
        <v>-</v>
      </c>
      <c r="AE187" s="105"/>
      <c r="AF187" s="105" t="str">
        <f>IF(ISNA(VLOOKUP(A187,'Grandchildren Loyd Daughters'!$BD$5:$BF$50,4,FALSE)),"",VLOOKUP(A187,'Grandchildren Loyd Daughters'!$BD$5:$BF$50,3,FALSE))</f>
        <v/>
      </c>
      <c r="AG187" s="129">
        <f>IF(ISNA(VLOOKUP(A187,'Grandchildren of Male Loyds'!$AQ$3:$AR$60,2,FALSE)),0,VLOOKUP(A187,'Grandchildren of Male Loyds'!$AQ$3:$AR$60,2,FALSE))+IF(ISNA(VLOOKUP(A187,'Grandchildren of Female Loyds'!$AX$5:$AY$50,2,FALSE)),0,VLOOKUP(A187,'Grandchildren of Female Loyds'!$AX$5:$AY$50,2,FALSE))+IF(ISNA(VLOOKUP(A187,'Grandchildren Loyd Daughters'!$BD$5:$BE$50,2,FALSE)),0,VLOOKUP(A187,'Grandchildren Loyd Daughters'!$BD$5:$BE$50,2,FALSE))</f>
        <v>0</v>
      </c>
      <c r="AH187" s="129" t="str">
        <f>VLOOKUP($U187,'Loyd List 1-190 - Edit'!$P$3:$AJ$220,21,FALSE)</f>
        <v>Anna Maria LEES (b. 15 Mar 1972, )</v>
      </c>
      <c r="AI187" s="129" t="str">
        <f>VLOOKUP(A187,'Updated Bios &amp; Spouse Details'!$A$1:$J$200,7,FALSE)</f>
        <v xml:space="preserve"> -</v>
      </c>
      <c r="AJ187" s="130" t="str">
        <f>IF(VLOOKUP($A187,'Loyd List 1-190 - Edit'!$C$1:$AQ$220,'Book Details - NO EDIT'!AJ$1,FALSE)="","",(VLOOKUP($A187,'Loyd List 1-190 - Edit'!$C$1:$AQ$220,'Book Details - NO EDIT'!AJ$1,FALSE)))</f>
        <v/>
      </c>
      <c r="AK187" s="129" t="str">
        <f>VLOOKUP(A187,'Updated Bios &amp; Spouse Details'!$A$1:$J$200,8,FALSE)</f>
        <v xml:space="preserve"> -</v>
      </c>
      <c r="AL187" s="131" t="str">
        <f>VLOOKUP(A187,'Updated Bios &amp; Spouse Details'!$A$1:$J$200,5,FALSE)</f>
        <v>Katherine is the younger daughter of William (1973– : #155). Born 5 July 2007.</v>
      </c>
      <c r="AM187" s="105" t="str">
        <f>IF(AND(LEN(H187)&gt;0,ISNA(IF(K187="Boy",VLOOKUP(A187,'Siblings of those BORN Loyd'!$AP$3:$AQ$70,2,FALSE),VLOOKUP(A187,'Children of Female Loyds'!$AR$5:$AS$60,2,FALSE)))),"d.s.p","")</f>
        <v/>
      </c>
      <c r="AN187" s="99" t="str">
        <f t="shared" si="91"/>
        <v>William (1973–: #155)</v>
      </c>
      <c r="AO187" s="99" t="str">
        <f t="shared" si="73"/>
        <v>Peter (1942–: #119)</v>
      </c>
      <c r="AP187" s="99" t="str">
        <f t="shared" si="74"/>
        <v>Eric (1894–1963: #80)</v>
      </c>
      <c r="AQ187" s="99" t="str">
        <f t="shared" si="75"/>
        <v>Arthur (1845–1930: #29)</v>
      </c>
      <c r="AR187" s="99" t="str">
        <f t="shared" si="76"/>
        <v>Thomas (1812–1857: #14)</v>
      </c>
      <c r="AS187" s="99" t="str">
        <f t="shared" si="77"/>
        <v>William (1770–1828: #4)</v>
      </c>
      <c r="AT187" s="99" t="str">
        <f t="shared" si="78"/>
        <v>William (1729–1800: #1)</v>
      </c>
      <c r="AU187" s="99" t="str">
        <f t="shared" si="79"/>
        <v/>
      </c>
      <c r="AW187" s="116" t="str">
        <f>VLOOKUP(A187,'Updated Bios &amp; Spouse Details'!$A$1:$J$193,6,FALSE)</f>
        <v>England</v>
      </c>
      <c r="AX187" s="131">
        <f>VLOOKUP($A187,'Loyd List 1-190 - Edit'!$P$2:$AQ$220,AX$1,FALSE)</f>
        <v>185</v>
      </c>
      <c r="AY187" s="116" t="str">
        <f>IF(ISNA(VLOOKUP(A187,'Data check lookup table'!$G$2:$V$73,AY$1,FALSE))," - ",VLOOKUP(A187,'Data check lookup table'!$G$2:$V$73,AY$1,FALSE))</f>
        <v xml:space="preserve"> - </v>
      </c>
      <c r="AZ187" s="147" t="str">
        <f t="shared" si="69"/>
        <v/>
      </c>
      <c r="BA187" s="99" t="str">
        <f t="shared" si="92"/>
        <v>, William (1770–1828: #4)</v>
      </c>
      <c r="BB187" s="99" t="str">
        <f t="shared" si="93"/>
        <v>; William (1729–1800: #1)</v>
      </c>
      <c r="BC187" s="99" t="str">
        <f t="shared" si="93"/>
        <v/>
      </c>
      <c r="BI187" s="147" t="s">
        <v>3228</v>
      </c>
    </row>
    <row r="188" spans="1:61" s="99" customFormat="1" ht="17">
      <c r="A188" s="139">
        <f>'Loyd List 1-190 - Edit'!C188</f>
        <v>186</v>
      </c>
      <c r="B188" s="99" t="str">
        <f>VLOOKUP($A188,'Loyd List 1-190 - Edit'!$C$1:$AQ$220,'Book Details - NO EDIT'!B$1,FALSE)</f>
        <v>Henry</v>
      </c>
      <c r="C188" s="99" t="str">
        <f>IF(VLOOKUP($A188,'Loyd List 1-190 - Edit'!$C$1:$AQ$220,'Book Details - NO EDIT'!C$1,FALSE)="","",VLOOKUP($A188,'Loyd List 1-190 - Edit'!$C$1:$AQ$220,'Book Details - NO EDIT'!C$1,FALSE))</f>
        <v>John</v>
      </c>
      <c r="D188" s="99" t="str">
        <f>IF(VLOOKUP($A188,'Loyd List 1-190 - Edit'!$C$1:$AQ$220,'Book Details - NO EDIT'!D$1,FALSE)="","",VLOOKUP($A188,'Loyd List 1-190 - Edit'!$C$1:$AQ$220,'Book Details - NO EDIT'!D$1,FALSE))</f>
        <v>(LOYD)</v>
      </c>
      <c r="E188" s="99" t="str">
        <f>IF(VLOOKUP($A188,'Loyd List 1-190 - Edit'!$C$1:$AQ$220,'Book Details - NO EDIT'!E$1,FALSE)="","",VLOOKUP($A188,'Loyd List 1-190 - Edit'!$C$1:$AQ$220,'Book Details - NO EDIT'!E$1,FALSE))</f>
        <v>CHARLTON</v>
      </c>
      <c r="F188" s="99" t="str">
        <f>IF(VLOOKUP($A188,'Loyd List 1-190 - Edit'!$C$1:$AQ$220,'Book Details - NO EDIT'!F$1,FALSE)="",B188,VLOOKUP($A188,'Loyd List 1-190 - Edit'!$C$1:$AQ$220,'Book Details - NO EDIT'!F$1,FALSE))</f>
        <v>Henry</v>
      </c>
      <c r="G188" s="140">
        <f>IF(VLOOKUP($A188,'Loyd List 1-190 - Edit'!$C$1:$AQ$220,'Book Details - NO EDIT'!G$1,FALSE)="","",VALUE(VLOOKUP($A188,'Loyd List 1-190 - Edit'!$C$1:$AQ$220,'Book Details - NO EDIT'!G$1,FALSE)))</f>
        <v>2010</v>
      </c>
      <c r="H188" s="140" t="str">
        <f>IF(VLOOKUP($A188,'Loyd List 1-190 - Edit'!$C$1:$AQ$220,'Book Details - NO EDIT'!H$1,FALSE)="","",VALUE(VLOOKUP($A188,'Loyd List 1-190 - Edit'!$C$1:$AQ$220,'Book Details - NO EDIT'!H$1,FALSE)))</f>
        <v/>
      </c>
      <c r="I188" s="141">
        <f>IF(VLOOKUP($A188,'Loyd List 1-190 - Edit'!$C$1:$AQ$220,'Book Details - NO EDIT'!I$1,FALSE)="","",(VLOOKUP($A188,'Loyd List 1-190 - Edit'!$C$1:$AQ$220,'Book Details - NO EDIT'!I$1,FALSE)))</f>
        <v>40184</v>
      </c>
      <c r="J188" s="141" t="str">
        <f>IF(VLOOKUP($A188,'Loyd List 1-190 - Edit'!$C$1:$AQ$220,'Book Details - NO EDIT'!J$1,FALSE)="","",(VLOOKUP($A188,'Loyd List 1-190 - Edit'!$C$1:$AQ$220,'Book Details - NO EDIT'!J$1,FALSE)))</f>
        <v/>
      </c>
      <c r="K188" s="100" t="str">
        <f>VLOOKUP($A188,'Loyd List 1-190 - Edit'!$C$1:$AQ$220,'Book Details - NO EDIT'!K$1,FALSE)</f>
        <v>Boy</v>
      </c>
      <c r="L188" s="140">
        <f>VLOOKUP($A188,'Loyd List 1-190 - Edit'!$C$1:$AQ$220,'Book Details - NO EDIT'!L$1,FALSE)</f>
        <v>155</v>
      </c>
      <c r="M188" s="140">
        <f t="shared" si="60"/>
        <v>119</v>
      </c>
      <c r="N188" s="140">
        <f t="shared" si="60"/>
        <v>80</v>
      </c>
      <c r="O188" s="140">
        <f t="shared" si="60"/>
        <v>29</v>
      </c>
      <c r="P188" s="140">
        <f t="shared" si="60"/>
        <v>14</v>
      </c>
      <c r="Q188" s="140">
        <f t="shared" si="80"/>
        <v>4</v>
      </c>
      <c r="R188" s="140">
        <f t="shared" si="61"/>
        <v>1</v>
      </c>
      <c r="S188" s="140">
        <f t="shared" si="86"/>
        <v>0</v>
      </c>
      <c r="T188" s="140">
        <f t="shared" si="87"/>
        <v>7</v>
      </c>
      <c r="U188" s="139">
        <f t="shared" si="63"/>
        <v>186</v>
      </c>
      <c r="V188" s="31" t="str">
        <f t="shared" si="64"/>
        <v>Henry (2010–)</v>
      </c>
      <c r="W188" s="31" t="str">
        <f t="shared" si="88"/>
        <v>Henry (#186)</v>
      </c>
      <c r="X188" s="99" t="str">
        <f t="shared" si="66"/>
        <v>Henry (2010–: #186)</v>
      </c>
      <c r="Y188" s="99" t="str">
        <f t="shared" si="89"/>
        <v>Henry John (LOYD) CHARLTON</v>
      </c>
      <c r="Z188" s="99" t="str">
        <f t="shared" si="90"/>
        <v>William (1973–: #155)</v>
      </c>
      <c r="AA188" s="99" t="str">
        <f t="shared" si="72"/>
        <v xml:space="preserve">William (1973–: #155) Peter (1942–: #119) Eric (1894–1963: #80) Arthur (1845–1930: #29) Thomas (1812–1857: #14) William (1770–1828: #4) William (1729–1800: #1) </v>
      </c>
      <c r="AB188" s="142" t="str">
        <f>VLOOKUP(U188,'Siblings of those BORN Loyd'!$A$2:$G$230,7,FALSE)</f>
        <v xml:space="preserve">2 – Matilda (2006–: #183) Katherine (2007–: #185)       </v>
      </c>
      <c r="AC188" s="115" t="str">
        <f>IF(ISNA(IF(K188="Boy",VLOOKUP(A188,'Siblings of those BORN Loyd'!$AP$3:$AQ$70,2,FALSE),VLOOKUP(A188,'Children of Female Loyds'!$AR$5:$AT$60,3,FALSE))),AM188,IF(K188="Boy",VLOOKUP(A188,'Siblings of those BORN Loyd'!$AP$3:$AQ$70,2,FALSE),VLOOKUP(A188,'Children of Female Loyds'!$AR$5:$AT$60,3,FALSE)))</f>
        <v/>
      </c>
      <c r="AD188" s="97" t="str">
        <f t="shared" si="81"/>
        <v>-</v>
      </c>
      <c r="AE188" s="105"/>
      <c r="AF188" s="105" t="str">
        <f>IF(ISNA(VLOOKUP(A188,'Grandchildren Loyd Daughters'!$BD$5:$BF$50,4,FALSE)),"",VLOOKUP(A188,'Grandchildren Loyd Daughters'!$BD$5:$BF$50,3,FALSE))</f>
        <v/>
      </c>
      <c r="AG188" s="129">
        <f>IF(ISNA(VLOOKUP(A188,'Grandchildren of Male Loyds'!$AQ$3:$AR$60,2,FALSE)),0,VLOOKUP(A188,'Grandchildren of Male Loyds'!$AQ$3:$AR$60,2,FALSE))+IF(ISNA(VLOOKUP(A188,'Grandchildren of Female Loyds'!$AX$5:$AY$50,2,FALSE)),0,VLOOKUP(A188,'Grandchildren of Female Loyds'!$AX$5:$AY$50,2,FALSE))+IF(ISNA(VLOOKUP(A188,'Grandchildren Loyd Daughters'!$BD$5:$BE$50,2,FALSE)),0,VLOOKUP(A188,'Grandchildren Loyd Daughters'!$BD$5:$BE$50,2,FALSE))</f>
        <v>0</v>
      </c>
      <c r="AH188" s="129" t="str">
        <f>VLOOKUP($U188,'Loyd List 1-190 - Edit'!$P$3:$AJ$220,21,FALSE)</f>
        <v>Anna Maria LEES (b. 15 Mar 1972, )</v>
      </c>
      <c r="AI188" s="129" t="str">
        <f>VLOOKUP(A188,'Updated Bios &amp; Spouse Details'!$A$1:$J$200,7,FALSE)</f>
        <v xml:space="preserve"> -</v>
      </c>
      <c r="AJ188" s="130" t="str">
        <f>IF(VLOOKUP($A188,'Loyd List 1-190 - Edit'!$C$1:$AQ$220,'Book Details - NO EDIT'!AJ$1,FALSE)="","",(VLOOKUP($A188,'Loyd List 1-190 - Edit'!$C$1:$AQ$220,'Book Details - NO EDIT'!AJ$1,FALSE)))</f>
        <v/>
      </c>
      <c r="AK188" s="129" t="str">
        <f>VLOOKUP(A188,'Updated Bios &amp; Spouse Details'!$A$1:$J$200,8,FALSE)</f>
        <v xml:space="preserve"> -</v>
      </c>
      <c r="AL188" s="131" t="str">
        <f>VLOOKUP(A188,'Updated Bios &amp; Spouse Details'!$A$1:$J$200,5,FALSE)</f>
        <v>Henry is the only son of William (1973– : #155). Born 6 Jan 2010.</v>
      </c>
      <c r="AM188" s="105" t="str">
        <f>IF(AND(LEN(H188)&gt;0,ISNA(IF(K188="Boy",VLOOKUP(A188,'Siblings of those BORN Loyd'!$AP$3:$AQ$70,2,FALSE),VLOOKUP(A188,'Children of Female Loyds'!$AR$5:$AS$60,2,FALSE)))),"d.s.p","")</f>
        <v/>
      </c>
      <c r="AN188" s="99" t="str">
        <f t="shared" si="91"/>
        <v>William (1973–: #155)</v>
      </c>
      <c r="AO188" s="99" t="str">
        <f t="shared" si="73"/>
        <v>Peter (1942–: #119)</v>
      </c>
      <c r="AP188" s="99" t="str">
        <f t="shared" si="74"/>
        <v>Eric (1894–1963: #80)</v>
      </c>
      <c r="AQ188" s="99" t="str">
        <f t="shared" si="75"/>
        <v>Arthur (1845–1930: #29)</v>
      </c>
      <c r="AR188" s="99" t="str">
        <f t="shared" si="76"/>
        <v>Thomas (1812–1857: #14)</v>
      </c>
      <c r="AS188" s="99" t="str">
        <f t="shared" si="77"/>
        <v>William (1770–1828: #4)</v>
      </c>
      <c r="AT188" s="99" t="str">
        <f t="shared" si="78"/>
        <v>William (1729–1800: #1)</v>
      </c>
      <c r="AU188" s="99" t="str">
        <f t="shared" si="79"/>
        <v/>
      </c>
      <c r="AW188" s="116" t="str">
        <f>VLOOKUP(A188,'Updated Bios &amp; Spouse Details'!$A$1:$J$193,6,FALSE)</f>
        <v>England</v>
      </c>
      <c r="AX188" s="131">
        <f>VLOOKUP($A188,'Loyd List 1-190 - Edit'!$P$2:$AQ$220,AX$1,FALSE)</f>
        <v>186</v>
      </c>
      <c r="AY188" s="116" t="str">
        <f>IF(ISNA(VLOOKUP(A188,'Data check lookup table'!$G$2:$V$73,AY$1,FALSE))," - ",VLOOKUP(A188,'Data check lookup table'!$G$2:$V$73,AY$1,FALSE))</f>
        <v xml:space="preserve"> - </v>
      </c>
      <c r="AZ188" s="147" t="str">
        <f t="shared" si="69"/>
        <v/>
      </c>
      <c r="BA188" s="99" t="str">
        <f t="shared" si="92"/>
        <v>, William (1770–1828: #4)</v>
      </c>
      <c r="BB188" s="99" t="str">
        <f t="shared" si="93"/>
        <v>; William (1729–1800: #1)</v>
      </c>
      <c r="BC188" s="99" t="str">
        <f t="shared" si="93"/>
        <v/>
      </c>
      <c r="BI188" s="147" t="s">
        <v>3228</v>
      </c>
    </row>
    <row r="189" spans="1:61" s="99" customFormat="1" ht="51">
      <c r="A189" s="139">
        <f>'Loyd List 1-190 - Edit'!C189</f>
        <v>187</v>
      </c>
      <c r="B189" s="99" t="str">
        <f>VLOOKUP($A189,'Loyd List 1-190 - Edit'!$C$1:$AQ$220,'Book Details - NO EDIT'!B$1,FALSE)</f>
        <v>Olivia</v>
      </c>
      <c r="C189" s="99" t="str">
        <f>IF(VLOOKUP($A189,'Loyd List 1-190 - Edit'!$C$1:$AQ$220,'Book Details - NO EDIT'!C$1,FALSE)="","",VLOOKUP($A189,'Loyd List 1-190 - Edit'!$C$1:$AQ$220,'Book Details - NO EDIT'!C$1,FALSE))</f>
        <v>Catherine</v>
      </c>
      <c r="D189" s="99" t="str">
        <f>IF(VLOOKUP($A189,'Loyd List 1-190 - Edit'!$C$1:$AQ$220,'Book Details - NO EDIT'!D$1,FALSE)="","",VLOOKUP($A189,'Loyd List 1-190 - Edit'!$C$1:$AQ$220,'Book Details - NO EDIT'!D$1,FALSE))</f>
        <v/>
      </c>
      <c r="E189" s="99" t="str">
        <f>IF(VLOOKUP($A189,'Loyd List 1-190 - Edit'!$C$1:$AQ$220,'Book Details - NO EDIT'!E$1,FALSE)="","",VLOOKUP($A189,'Loyd List 1-190 - Edit'!$C$1:$AQ$220,'Book Details - NO EDIT'!E$1,FALSE))</f>
        <v>LOYD</v>
      </c>
      <c r="F189" s="99" t="str">
        <f>IF(VLOOKUP($A189,'Loyd List 1-190 - Edit'!$C$1:$AQ$220,'Book Details - NO EDIT'!F$1,FALSE)="",B189,VLOOKUP($A189,'Loyd List 1-190 - Edit'!$C$1:$AQ$220,'Book Details - NO EDIT'!F$1,FALSE))</f>
        <v>Olivia</v>
      </c>
      <c r="G189" s="140">
        <f>IF(VLOOKUP($A189,'Loyd List 1-190 - Edit'!$C$1:$AQ$220,'Book Details - NO EDIT'!G$1,FALSE)="","",VALUE(VLOOKUP($A189,'Loyd List 1-190 - Edit'!$C$1:$AQ$220,'Book Details - NO EDIT'!G$1,FALSE)))</f>
        <v>2014</v>
      </c>
      <c r="H189" s="140" t="str">
        <f>IF(VLOOKUP($A189,'Loyd List 1-190 - Edit'!$C$1:$AQ$220,'Book Details - NO EDIT'!H$1,FALSE)="","",VALUE(VLOOKUP($A189,'Loyd List 1-190 - Edit'!$C$1:$AQ$220,'Book Details - NO EDIT'!H$1,FALSE)))</f>
        <v/>
      </c>
      <c r="I189" s="141">
        <f>IF(VLOOKUP($A189,'Loyd List 1-190 - Edit'!$C$1:$AQ$220,'Book Details - NO EDIT'!I$1,FALSE)="","",(VLOOKUP($A189,'Loyd List 1-190 - Edit'!$C$1:$AQ$220,'Book Details - NO EDIT'!I$1,FALSE)))</f>
        <v>41681</v>
      </c>
      <c r="J189" s="141" t="str">
        <f>IF(VLOOKUP($A189,'Loyd List 1-190 - Edit'!$C$1:$AQ$220,'Book Details - NO EDIT'!J$1,FALSE)="","",(VLOOKUP($A189,'Loyd List 1-190 - Edit'!$C$1:$AQ$220,'Book Details - NO EDIT'!J$1,FALSE)))</f>
        <v/>
      </c>
      <c r="K189" s="100" t="str">
        <f>VLOOKUP($A189,'Loyd List 1-190 - Edit'!$C$1:$AQ$220,'Book Details - NO EDIT'!K$1,FALSE)</f>
        <v>Girl</v>
      </c>
      <c r="L189" s="140">
        <f>VLOOKUP($A189,'Loyd List 1-190 - Edit'!$C$1:$AQ$220,'Book Details - NO EDIT'!L$1,FALSE)</f>
        <v>167</v>
      </c>
      <c r="M189" s="140">
        <f t="shared" si="60"/>
        <v>131</v>
      </c>
      <c r="N189" s="140">
        <f t="shared" si="60"/>
        <v>94</v>
      </c>
      <c r="O189" s="140">
        <f t="shared" si="60"/>
        <v>68</v>
      </c>
      <c r="P189" s="140">
        <f t="shared" si="60"/>
        <v>45</v>
      </c>
      <c r="Q189" s="140">
        <f t="shared" si="80"/>
        <v>22</v>
      </c>
      <c r="R189" s="140">
        <f t="shared" si="61"/>
        <v>8</v>
      </c>
      <c r="S189" s="140">
        <f t="shared" si="86"/>
        <v>1</v>
      </c>
      <c r="T189" s="140">
        <f t="shared" si="87"/>
        <v>8</v>
      </c>
      <c r="U189" s="139">
        <f t="shared" si="63"/>
        <v>187</v>
      </c>
      <c r="V189" s="31" t="str">
        <f t="shared" si="64"/>
        <v>Olivia (2014–)</v>
      </c>
      <c r="W189" s="31" t="str">
        <f t="shared" si="88"/>
        <v>Olivia (#187)</v>
      </c>
      <c r="X189" s="99" t="str">
        <f t="shared" si="66"/>
        <v>Olivia (2014–: #187)</v>
      </c>
      <c r="Y189" s="99" t="str">
        <f t="shared" si="89"/>
        <v>Olivia Catherine LOYD</v>
      </c>
      <c r="Z189" s="99" t="str">
        <f t="shared" si="90"/>
        <v>Ben (1988–: #167)</v>
      </c>
      <c r="AA189" s="99" t="str">
        <f t="shared" si="72"/>
        <v>Ben (1988–: #167) Dominic (1953–: #131) Alwyne (1920–2014: #94) Cecil (1890–1963: #68) Llewellyn (1861–1939: #45) Edward (1820–1890: #22) Edward (1780–1863: #8) William (1729–1800: #1)</v>
      </c>
      <c r="AB189" s="142" t="str">
        <f>VLOOKUP(U189,'Siblings of those BORN Loyd'!$A$2:$G$230,7,FALSE)</f>
        <v xml:space="preserve">1 – Daisy (2021–: #190)       </v>
      </c>
      <c r="AC189" s="115" t="str">
        <f>IF(ISNA(IF(K189="Boy",VLOOKUP(A189,'Siblings of those BORN Loyd'!$AP$3:$AQ$70,2,FALSE),VLOOKUP(A189,'Children of Female Loyds'!$AR$5:$AT$60,3,FALSE))),AM189,IF(K189="Boy",VLOOKUP(A189,'Siblings of those BORN Loyd'!$AP$3:$AQ$70,2,FALSE),VLOOKUP(A189,'Children of Female Loyds'!$AR$5:$AT$60,3,FALSE)))</f>
        <v/>
      </c>
      <c r="AD189" s="97" t="str">
        <f t="shared" si="81"/>
        <v>-</v>
      </c>
      <c r="AE189" s="105"/>
      <c r="AF189" s="105" t="str">
        <f>IF(ISNA(VLOOKUP(A189,'Grandchildren Loyd Daughters'!$BD$5:$BF$50,4,FALSE)),"",VLOOKUP(A189,'Grandchildren Loyd Daughters'!$BD$5:$BF$50,3,FALSE))</f>
        <v/>
      </c>
      <c r="AG189" s="129">
        <f>IF(ISNA(VLOOKUP(A189,'Grandchildren of Male Loyds'!$AQ$3:$AR$60,2,FALSE)),0,VLOOKUP(A189,'Grandchildren of Male Loyds'!$AQ$3:$AR$60,2,FALSE))+IF(ISNA(VLOOKUP(A189,'Grandchildren of Female Loyds'!$AX$5:$AY$50,2,FALSE)),0,VLOOKUP(A189,'Grandchildren of Female Loyds'!$AX$5:$AY$50,2,FALSE))+IF(ISNA(VLOOKUP(A189,'Grandchildren Loyd Daughters'!$BD$5:$BE$50,2,FALSE)),0,VLOOKUP(A189,'Grandchildren Loyd Daughters'!$BD$5:$BE$50,2,FALSE))</f>
        <v>0</v>
      </c>
      <c r="AH189" s="129" t="str">
        <f>VLOOKUP($U189,'Loyd List 1-190 - Edit'!$P$3:$AJ$220,21,FALSE)</f>
        <v>Holly Kristina TURNER (b. 10 Jan 1988, )</v>
      </c>
      <c r="AI189" s="129" t="str">
        <f>VLOOKUP(A189,'Updated Bios &amp; Spouse Details'!$A$1:$J$200,7,FALSE)</f>
        <v xml:space="preserve"> -</v>
      </c>
      <c r="AJ189" s="130" t="str">
        <f>IF(VLOOKUP($A189,'Loyd List 1-190 - Edit'!$C$1:$AQ$220,'Book Details - NO EDIT'!AJ$1,FALSE)="","",(VLOOKUP($A189,'Loyd List 1-190 - Edit'!$C$1:$AQ$220,'Book Details - NO EDIT'!AJ$1,FALSE)))</f>
        <v/>
      </c>
      <c r="AK189" s="129" t="str">
        <f>VLOOKUP(A189,'Updated Bios &amp; Spouse Details'!$A$1:$J$200,8,FALSE)</f>
        <v xml:space="preserve"> -</v>
      </c>
      <c r="AL189" s="131" t="str">
        <f>VLOOKUP(A189,'Updated Bios &amp; Spouse Details'!$A$1:$J$200,5,FALSE)</f>
        <v>Olivia is the elder daughter of Ben (1988– : #167). Born 11 Feb 2014 at Grimsby Hospital. Baptised 24 Aug 2014 at St Peter's Church, Raithby. Olivia lives in Lincolnshire. Education: Oliva attends primary school and particularly enjoys writing, art, maths and science. Interests: tennis, swimming and reading and would like to be an author as well as a marine biologist when she is older.</v>
      </c>
      <c r="AM189" s="105" t="str">
        <f>IF(AND(LEN(H189)&gt;0,ISNA(IF(K189="Boy",VLOOKUP(A189,'Siblings of those BORN Loyd'!$AP$3:$AQ$70,2,FALSE),VLOOKUP(A189,'Children of Female Loyds'!$AR$5:$AS$60,2,FALSE)))),"d.s.p","")</f>
        <v/>
      </c>
      <c r="AN189" s="99" t="str">
        <f t="shared" si="91"/>
        <v>Ben (1988–: #167)</v>
      </c>
      <c r="AO189" s="99" t="str">
        <f t="shared" si="73"/>
        <v>Dominic (1953–: #131)</v>
      </c>
      <c r="AP189" s="99" t="str">
        <f t="shared" si="74"/>
        <v>Alwyne (1920–2014: #94)</v>
      </c>
      <c r="AQ189" s="99" t="str">
        <f t="shared" si="75"/>
        <v>Cecil (1890–1963: #68)</v>
      </c>
      <c r="AR189" s="99" t="str">
        <f t="shared" si="76"/>
        <v>Llewellyn (1861–1939: #45)</v>
      </c>
      <c r="AS189" s="99" t="str">
        <f t="shared" si="77"/>
        <v>Edward (1820–1890: #22)</v>
      </c>
      <c r="AT189" s="99" t="str">
        <f t="shared" si="78"/>
        <v>Edward (1780–1863: #8)</v>
      </c>
      <c r="AU189" s="99" t="str">
        <f t="shared" si="79"/>
        <v>William (1729–1800: #1)</v>
      </c>
      <c r="AW189" s="116" t="str">
        <f>VLOOKUP(A189,'Updated Bios &amp; Spouse Details'!$A$1:$J$193,6,FALSE)</f>
        <v>England</v>
      </c>
      <c r="AX189" s="131">
        <f>VLOOKUP($A189,'Loyd List 1-190 - Edit'!$P$2:$AQ$220,AX$1,FALSE)</f>
        <v>187</v>
      </c>
      <c r="AY189" s="116" t="str">
        <f>IF(ISNA(VLOOKUP(A189,'Data check lookup table'!$G$2:$V$73,AY$1,FALSE))," - ",VLOOKUP(A189,'Data check lookup table'!$G$2:$V$73,AY$1,FALSE))</f>
        <v xml:space="preserve"> - </v>
      </c>
      <c r="AZ189" s="147" t="str">
        <f t="shared" si="69"/>
        <v/>
      </c>
      <c r="BA189" s="99" t="str">
        <f t="shared" si="92"/>
        <v>, Edward (1820–1890: #22)</v>
      </c>
      <c r="BB189" s="99" t="str">
        <f t="shared" si="93"/>
        <v>; Edward (1780–1863: #8)</v>
      </c>
      <c r="BC189" s="99" t="str">
        <f t="shared" si="93"/>
        <v>; William (1729–1800: #1)</v>
      </c>
      <c r="BI189" s="147" t="s">
        <v>3228</v>
      </c>
    </row>
    <row r="190" spans="1:61" s="99" customFormat="1" ht="34">
      <c r="A190" s="139">
        <f>'Loyd List 1-190 - Edit'!C190</f>
        <v>188</v>
      </c>
      <c r="B190" s="99" t="str">
        <f>VLOOKUP($A190,'Loyd List 1-190 - Edit'!$C$1:$AQ$220,'Book Details - NO EDIT'!B$1,FALSE)</f>
        <v>Archibald</v>
      </c>
      <c r="C190" s="99" t="str">
        <f>IF(VLOOKUP($A190,'Loyd List 1-190 - Edit'!$C$1:$AQ$220,'Book Details - NO EDIT'!C$1,FALSE)="","",VLOOKUP($A190,'Loyd List 1-190 - Edit'!$C$1:$AQ$220,'Book Details - NO EDIT'!C$1,FALSE))</f>
        <v>Albert</v>
      </c>
      <c r="D190" s="99" t="str">
        <f>IF(VLOOKUP($A190,'Loyd List 1-190 - Edit'!$C$1:$AQ$220,'Book Details - NO EDIT'!D$1,FALSE)="","",VLOOKUP($A190,'Loyd List 1-190 - Edit'!$C$1:$AQ$220,'Book Details - NO EDIT'!D$1,FALSE))</f>
        <v>Musselbrook</v>
      </c>
      <c r="E190" s="99" t="str">
        <f>IF(VLOOKUP($A190,'Loyd List 1-190 - Edit'!$C$1:$AQ$220,'Book Details - NO EDIT'!E$1,FALSE)="","",VLOOKUP($A190,'Loyd List 1-190 - Edit'!$C$1:$AQ$220,'Book Details - NO EDIT'!E$1,FALSE))</f>
        <v>LOYD</v>
      </c>
      <c r="F190" s="99" t="str">
        <f>IF(VLOOKUP($A190,'Loyd List 1-190 - Edit'!$C$1:$AQ$220,'Book Details - NO EDIT'!F$1,FALSE)="",B190,VLOOKUP($A190,'Loyd List 1-190 - Edit'!$C$1:$AQ$220,'Book Details - NO EDIT'!F$1,FALSE))</f>
        <v>Archie</v>
      </c>
      <c r="G190" s="140">
        <f>IF(VLOOKUP($A190,'Loyd List 1-190 - Edit'!$C$1:$AQ$220,'Book Details - NO EDIT'!G$1,FALSE)="","",VALUE(VLOOKUP($A190,'Loyd List 1-190 - Edit'!$C$1:$AQ$220,'Book Details - NO EDIT'!G$1,FALSE)))</f>
        <v>2017</v>
      </c>
      <c r="H190" s="140" t="str">
        <f>IF(VLOOKUP($A190,'Loyd List 1-190 - Edit'!$C$1:$AQ$220,'Book Details - NO EDIT'!H$1,FALSE)="","",VALUE(VLOOKUP($A190,'Loyd List 1-190 - Edit'!$C$1:$AQ$220,'Book Details - NO EDIT'!H$1,FALSE)))</f>
        <v/>
      </c>
      <c r="I190" s="141">
        <f>IF(VLOOKUP($A190,'Loyd List 1-190 - Edit'!$C$1:$AQ$220,'Book Details - NO EDIT'!I$1,FALSE)="","",(VLOOKUP($A190,'Loyd List 1-190 - Edit'!$C$1:$AQ$220,'Book Details - NO EDIT'!I$1,FALSE)))</f>
        <v>42881</v>
      </c>
      <c r="J190" s="141" t="str">
        <f>IF(VLOOKUP($A190,'Loyd List 1-190 - Edit'!$C$1:$AQ$220,'Book Details - NO EDIT'!J$1,FALSE)="","",(VLOOKUP($A190,'Loyd List 1-190 - Edit'!$C$1:$AQ$220,'Book Details - NO EDIT'!J$1,FALSE)))</f>
        <v/>
      </c>
      <c r="K190" s="100" t="str">
        <f>VLOOKUP($A190,'Loyd List 1-190 - Edit'!$C$1:$AQ$220,'Book Details - NO EDIT'!K$1,FALSE)</f>
        <v>Boy</v>
      </c>
      <c r="L190" s="140">
        <f>VLOOKUP($A190,'Loyd List 1-190 - Edit'!$C$1:$AQ$220,'Book Details - NO EDIT'!L$1,FALSE)</f>
        <v>162</v>
      </c>
      <c r="M190" s="140">
        <f t="shared" si="60"/>
        <v>131</v>
      </c>
      <c r="N190" s="140">
        <f t="shared" si="60"/>
        <v>94</v>
      </c>
      <c r="O190" s="140">
        <f t="shared" si="60"/>
        <v>68</v>
      </c>
      <c r="P190" s="140">
        <f t="shared" si="60"/>
        <v>45</v>
      </c>
      <c r="Q190" s="140">
        <f t="shared" si="80"/>
        <v>22</v>
      </c>
      <c r="R190" s="140">
        <f t="shared" si="61"/>
        <v>8</v>
      </c>
      <c r="S190" s="140">
        <f t="shared" si="86"/>
        <v>1</v>
      </c>
      <c r="T190" s="140">
        <f t="shared" si="87"/>
        <v>8</v>
      </c>
      <c r="U190" s="139">
        <f t="shared" si="63"/>
        <v>188</v>
      </c>
      <c r="V190" s="31" t="str">
        <f t="shared" si="64"/>
        <v>Archie (2017–)</v>
      </c>
      <c r="W190" s="31" t="str">
        <f t="shared" si="88"/>
        <v>Archie (#188)</v>
      </c>
      <c r="X190" s="99" t="str">
        <f t="shared" si="66"/>
        <v>Archie (2017–: #188)</v>
      </c>
      <c r="Y190" s="99" t="str">
        <f t="shared" si="89"/>
        <v>Archibald Albert Musselbrook LOYD</v>
      </c>
      <c r="Z190" s="99" t="str">
        <f t="shared" si="90"/>
        <v>David (1984–: #162)</v>
      </c>
      <c r="AA190" s="99" t="str">
        <f t="shared" si="72"/>
        <v>David (1984–: #162) Dominic (1953–: #131) Alwyne (1920–2014: #94) Cecil (1890–1963: #68) Llewellyn (1861–1939: #45) Edward (1820–1890: #22) Edward (1780–1863: #8) William (1729–1800: #1)</v>
      </c>
      <c r="AB190" s="142" t="str">
        <f>VLOOKUP(U190,'Siblings of those BORN Loyd'!$A$2:$G$230,7,FALSE)</f>
        <v xml:space="preserve">1 – Rory (2019–: #189)       </v>
      </c>
      <c r="AC190" s="115" t="str">
        <f>IF(ISNA(IF(K190="Boy",VLOOKUP(A190,'Siblings of those BORN Loyd'!$AP$3:$AQ$70,2,FALSE),VLOOKUP(A190,'Children of Female Loyds'!$AR$5:$AT$60,3,FALSE))),AM190,IF(K190="Boy",VLOOKUP(A190,'Siblings of those BORN Loyd'!$AP$3:$AQ$70,2,FALSE),VLOOKUP(A190,'Children of Female Loyds'!$AR$5:$AT$60,3,FALSE)))</f>
        <v/>
      </c>
      <c r="AD190" s="97" t="str">
        <f t="shared" si="81"/>
        <v>-</v>
      </c>
      <c r="AE190" s="105"/>
      <c r="AF190" s="105" t="str">
        <f>IF(ISNA(VLOOKUP(A190,'Grandchildren Loyd Daughters'!$BD$5:$BF$50,4,FALSE)),"",VLOOKUP(A190,'Grandchildren Loyd Daughters'!$BD$5:$BF$50,3,FALSE))</f>
        <v/>
      </c>
      <c r="AG190" s="129">
        <f>IF(ISNA(VLOOKUP(A190,'Grandchildren of Male Loyds'!$AQ$3:$AR$60,2,FALSE)),0,VLOOKUP(A190,'Grandchildren of Male Loyds'!$AQ$3:$AR$60,2,FALSE))+IF(ISNA(VLOOKUP(A190,'Grandchildren of Female Loyds'!$AX$5:$AY$50,2,FALSE)),0,VLOOKUP(A190,'Grandchildren of Female Loyds'!$AX$5:$AY$50,2,FALSE))+IF(ISNA(VLOOKUP(A190,'Grandchildren Loyd Daughters'!$BD$5:$BE$50,2,FALSE)),0,VLOOKUP(A190,'Grandchildren Loyd Daughters'!$BD$5:$BE$50,2,FALSE))</f>
        <v>0</v>
      </c>
      <c r="AH190" s="129" t="str">
        <f>VLOOKUP($U190,'Loyd List 1-190 - Edit'!$P$3:$AJ$220,21,FALSE)</f>
        <v>Laura Mary MUSSELBROOK (b. 23 Sep 1981, )</v>
      </c>
      <c r="AI190" s="129" t="str">
        <f>VLOOKUP(A190,'Updated Bios &amp; Spouse Details'!$A$1:$J$200,7,FALSE)</f>
        <v xml:space="preserve"> -</v>
      </c>
      <c r="AJ190" s="130" t="str">
        <f>IF(VLOOKUP($A190,'Loyd List 1-190 - Edit'!$C$1:$AQ$220,'Book Details - NO EDIT'!AJ$1,FALSE)="","",(VLOOKUP($A190,'Loyd List 1-190 - Edit'!$C$1:$AQ$220,'Book Details - NO EDIT'!AJ$1,FALSE)))</f>
        <v/>
      </c>
      <c r="AK190" s="129" t="str">
        <f>VLOOKUP(A190,'Updated Bios &amp; Spouse Details'!$A$1:$J$200,8,FALSE)</f>
        <v xml:space="preserve"> -</v>
      </c>
      <c r="AL190" s="131" t="str">
        <f>VLOOKUP(A190,'Updated Bios &amp; Spouse Details'!$A$1:$J$200,5,FALSE)</f>
        <v>Archie is the elder son of David (1988– : #162). Born 26 May 2017 at Epsom Hospital, Surrey. Baptised 18 Nov 2018 at St Andrew's Church, Coulsdon. Archie lives in South London.</v>
      </c>
      <c r="AM190" s="105" t="str">
        <f>IF(AND(LEN(H190)&gt;0,ISNA(IF(K190="Boy",VLOOKUP(A190,'Siblings of those BORN Loyd'!$AP$3:$AQ$70,2,FALSE),VLOOKUP(A190,'Children of Female Loyds'!$AR$5:$AS$60,2,FALSE)))),"d.s.p","")</f>
        <v/>
      </c>
      <c r="AN190" s="99" t="str">
        <f t="shared" si="91"/>
        <v>David (1984–: #162)</v>
      </c>
      <c r="AO190" s="99" t="str">
        <f t="shared" si="73"/>
        <v>Dominic (1953–: #131)</v>
      </c>
      <c r="AP190" s="99" t="str">
        <f t="shared" si="74"/>
        <v>Alwyne (1920–2014: #94)</v>
      </c>
      <c r="AQ190" s="99" t="str">
        <f t="shared" si="75"/>
        <v>Cecil (1890–1963: #68)</v>
      </c>
      <c r="AR190" s="99" t="str">
        <f t="shared" si="76"/>
        <v>Llewellyn (1861–1939: #45)</v>
      </c>
      <c r="AS190" s="99" t="str">
        <f t="shared" si="77"/>
        <v>Edward (1820–1890: #22)</v>
      </c>
      <c r="AT190" s="99" t="str">
        <f t="shared" si="78"/>
        <v>Edward (1780–1863: #8)</v>
      </c>
      <c r="AU190" s="99" t="str">
        <f t="shared" si="79"/>
        <v>William (1729–1800: #1)</v>
      </c>
      <c r="AW190" s="116" t="str">
        <f>VLOOKUP(A190,'Updated Bios &amp; Spouse Details'!$A$1:$J$193,6,FALSE)</f>
        <v>England</v>
      </c>
      <c r="AX190" s="131">
        <f>VLOOKUP($A190,'Loyd List 1-190 - Edit'!$P$2:$AQ$220,AX$1,FALSE)</f>
        <v>188</v>
      </c>
      <c r="AY190" s="116" t="str">
        <f>IF(ISNA(VLOOKUP(A190,'Data check lookup table'!$G$2:$V$73,AY$1,FALSE))," - ",VLOOKUP(A190,'Data check lookup table'!$G$2:$V$73,AY$1,FALSE))</f>
        <v xml:space="preserve"> - </v>
      </c>
      <c r="AZ190" s="147" t="str">
        <f t="shared" si="69"/>
        <v/>
      </c>
      <c r="BA190" s="99" t="str">
        <f t="shared" si="92"/>
        <v>, Edward (1820–1890: #22)</v>
      </c>
      <c r="BB190" s="99" t="str">
        <f t="shared" si="93"/>
        <v>; Edward (1780–1863: #8)</v>
      </c>
      <c r="BC190" s="99" t="str">
        <f t="shared" si="93"/>
        <v>; William (1729–1800: #1)</v>
      </c>
      <c r="BI190" s="147" t="s">
        <v>3228</v>
      </c>
    </row>
    <row r="191" spans="1:61" s="99" customFormat="1" ht="34">
      <c r="A191" s="139">
        <f>'Loyd List 1-190 - Edit'!C191</f>
        <v>189</v>
      </c>
      <c r="B191" s="99" t="str">
        <f>VLOOKUP($A191,'Loyd List 1-190 - Edit'!$C$1:$AQ$220,'Book Details - NO EDIT'!B$1,FALSE)</f>
        <v>Rory</v>
      </c>
      <c r="C191" s="99" t="str">
        <f>IF(VLOOKUP($A191,'Loyd List 1-190 - Edit'!$C$1:$AQ$220,'Book Details - NO EDIT'!C$1,FALSE)="","",VLOOKUP($A191,'Loyd List 1-190 - Edit'!$C$1:$AQ$220,'Book Details - NO EDIT'!C$1,FALSE))</f>
        <v>Alexander</v>
      </c>
      <c r="D191" s="99" t="str">
        <f>IF(VLOOKUP($A191,'Loyd List 1-190 - Edit'!$C$1:$AQ$220,'Book Details - NO EDIT'!D$1,FALSE)="","",VLOOKUP($A191,'Loyd List 1-190 - Edit'!$C$1:$AQ$220,'Book Details - NO EDIT'!D$1,FALSE))</f>
        <v>Musselbrook</v>
      </c>
      <c r="E191" s="99" t="str">
        <f>IF(VLOOKUP($A191,'Loyd List 1-190 - Edit'!$C$1:$AQ$220,'Book Details - NO EDIT'!E$1,FALSE)="","",VLOOKUP($A191,'Loyd List 1-190 - Edit'!$C$1:$AQ$220,'Book Details - NO EDIT'!E$1,FALSE))</f>
        <v>LOYD</v>
      </c>
      <c r="F191" s="99" t="str">
        <f>IF(VLOOKUP($A191,'Loyd List 1-190 - Edit'!$C$1:$AQ$220,'Book Details - NO EDIT'!F$1,FALSE)="",B191,VLOOKUP($A191,'Loyd List 1-190 - Edit'!$C$1:$AQ$220,'Book Details - NO EDIT'!F$1,FALSE))</f>
        <v>Rory</v>
      </c>
      <c r="G191" s="140">
        <f>IF(VLOOKUP($A191,'Loyd List 1-190 - Edit'!$C$1:$AQ$220,'Book Details - NO EDIT'!G$1,FALSE)="","",VALUE(VLOOKUP($A191,'Loyd List 1-190 - Edit'!$C$1:$AQ$220,'Book Details - NO EDIT'!G$1,FALSE)))</f>
        <v>2019</v>
      </c>
      <c r="H191" s="140" t="str">
        <f>IF(VLOOKUP($A191,'Loyd List 1-190 - Edit'!$C$1:$AQ$220,'Book Details - NO EDIT'!H$1,FALSE)="","",VALUE(VLOOKUP($A191,'Loyd List 1-190 - Edit'!$C$1:$AQ$220,'Book Details - NO EDIT'!H$1,FALSE)))</f>
        <v/>
      </c>
      <c r="I191" s="141">
        <f>IF(VLOOKUP($A191,'Loyd List 1-190 - Edit'!$C$1:$AQ$220,'Book Details - NO EDIT'!I$1,FALSE)="","",(VLOOKUP($A191,'Loyd List 1-190 - Edit'!$C$1:$AQ$220,'Book Details - NO EDIT'!I$1,FALSE)))</f>
        <v>43751</v>
      </c>
      <c r="J191" s="141" t="str">
        <f>IF(VLOOKUP($A191,'Loyd List 1-190 - Edit'!$C$1:$AQ$220,'Book Details - NO EDIT'!J$1,FALSE)="","",(VLOOKUP($A191,'Loyd List 1-190 - Edit'!$C$1:$AQ$220,'Book Details - NO EDIT'!J$1,FALSE)))</f>
        <v/>
      </c>
      <c r="K191" s="100" t="str">
        <f>VLOOKUP($A191,'Loyd List 1-190 - Edit'!$C$1:$AQ$220,'Book Details - NO EDIT'!K$1,FALSE)</f>
        <v>Boy</v>
      </c>
      <c r="L191" s="140">
        <f>VLOOKUP($A191,'Loyd List 1-190 - Edit'!$C$1:$AQ$220,'Book Details - NO EDIT'!L$1,FALSE)</f>
        <v>162</v>
      </c>
      <c r="M191" s="140">
        <f t="shared" si="60"/>
        <v>131</v>
      </c>
      <c r="N191" s="140">
        <f t="shared" si="60"/>
        <v>94</v>
      </c>
      <c r="O191" s="140">
        <f t="shared" si="60"/>
        <v>68</v>
      </c>
      <c r="P191" s="140">
        <f t="shared" si="60"/>
        <v>45</v>
      </c>
      <c r="Q191" s="140">
        <f t="shared" si="80"/>
        <v>22</v>
      </c>
      <c r="R191" s="140">
        <f t="shared" si="61"/>
        <v>8</v>
      </c>
      <c r="S191" s="140">
        <f t="shared" si="86"/>
        <v>1</v>
      </c>
      <c r="T191" s="140">
        <f t="shared" si="87"/>
        <v>8</v>
      </c>
      <c r="U191" s="139">
        <f t="shared" si="63"/>
        <v>189</v>
      </c>
      <c r="V191" s="31" t="str">
        <f t="shared" si="64"/>
        <v>Rory (2019–)</v>
      </c>
      <c r="W191" s="31" t="str">
        <f t="shared" si="88"/>
        <v>Rory (#189)</v>
      </c>
      <c r="X191" s="99" t="str">
        <f t="shared" si="66"/>
        <v>Rory (2019–: #189)</v>
      </c>
      <c r="Y191" s="99" t="str">
        <f t="shared" si="89"/>
        <v>Rory Alexander Musselbrook LOYD</v>
      </c>
      <c r="Z191" s="99" t="str">
        <f t="shared" si="90"/>
        <v>David (1984–: #162)</v>
      </c>
      <c r="AA191" s="99" t="str">
        <f t="shared" si="72"/>
        <v>David (1984–: #162) Dominic (1953–: #131) Alwyne (1920–2014: #94) Cecil (1890–1963: #68) Llewellyn (1861–1939: #45) Edward (1820–1890: #22) Edward (1780–1863: #8) William (1729–1800: #1)</v>
      </c>
      <c r="AB191" s="142" t="str">
        <f>VLOOKUP(U191,'Siblings of those BORN Loyd'!$A$2:$G$230,7,FALSE)</f>
        <v xml:space="preserve">1 – Archie (2017–: #188)        </v>
      </c>
      <c r="AC191" s="115" t="str">
        <f>IF(ISNA(IF(K191="Boy",VLOOKUP(A191,'Siblings of those BORN Loyd'!$AP$3:$AQ$70,2,FALSE),VLOOKUP(A191,'Children of Female Loyds'!$AR$5:$AT$60,3,FALSE))),AM191,IF(K191="Boy",VLOOKUP(A191,'Siblings of those BORN Loyd'!$AP$3:$AQ$70,2,FALSE),VLOOKUP(A191,'Children of Female Loyds'!$AR$5:$AT$60,3,FALSE)))</f>
        <v/>
      </c>
      <c r="AD191" s="97" t="str">
        <f t="shared" si="81"/>
        <v>-</v>
      </c>
      <c r="AE191" s="105"/>
      <c r="AF191" s="105" t="str">
        <f>IF(ISNA(VLOOKUP(A191,'Grandchildren Loyd Daughters'!$BD$5:$BF$50,4,FALSE)),"",VLOOKUP(A191,'Grandchildren Loyd Daughters'!$BD$5:$BF$50,3,FALSE))</f>
        <v/>
      </c>
      <c r="AG191" s="129">
        <f>IF(ISNA(VLOOKUP(A191,'Grandchildren of Male Loyds'!$AQ$3:$AR$60,2,FALSE)),0,VLOOKUP(A191,'Grandchildren of Male Loyds'!$AQ$3:$AR$60,2,FALSE))+IF(ISNA(VLOOKUP(A191,'Grandchildren of Female Loyds'!$AX$5:$AY$50,2,FALSE)),0,VLOOKUP(A191,'Grandchildren of Female Loyds'!$AX$5:$AY$50,2,FALSE))+IF(ISNA(VLOOKUP(A191,'Grandchildren Loyd Daughters'!$BD$5:$BE$50,2,FALSE)),0,VLOOKUP(A191,'Grandchildren Loyd Daughters'!$BD$5:$BE$50,2,FALSE))</f>
        <v>0</v>
      </c>
      <c r="AH191" s="129" t="str">
        <f>VLOOKUP($U191,'Loyd List 1-190 - Edit'!$P$3:$AJ$220,21,FALSE)</f>
        <v>Laura Mary MUSSELBROOK (b. 23 Sep 1981, )</v>
      </c>
      <c r="AI191" s="129" t="str">
        <f>VLOOKUP(A191,'Updated Bios &amp; Spouse Details'!$A$1:$J$200,7,FALSE)</f>
        <v xml:space="preserve"> -</v>
      </c>
      <c r="AJ191" s="130" t="str">
        <f>IF(VLOOKUP($A191,'Loyd List 1-190 - Edit'!$C$1:$AQ$220,'Book Details - NO EDIT'!AJ$1,FALSE)="","",(VLOOKUP($A191,'Loyd List 1-190 - Edit'!$C$1:$AQ$220,'Book Details - NO EDIT'!AJ$1,FALSE)))</f>
        <v/>
      </c>
      <c r="AK191" s="129" t="str">
        <f>VLOOKUP(A191,'Updated Bios &amp; Spouse Details'!$A$1:$J$200,8,FALSE)</f>
        <v xml:space="preserve"> -</v>
      </c>
      <c r="AL191" s="131" t="str">
        <f>VLOOKUP(A191,'Updated Bios &amp; Spouse Details'!$A$1:$J$200,5,FALSE)</f>
        <v>Rory is the younger son of David (1988– : #162). Born 13 Oct 2019 at Epsom Hospital, Surrey. Baptised 8 May 2022 at St Andrew's Church, Coulsdon. Rory lives in South London.</v>
      </c>
      <c r="AM191" s="105" t="str">
        <f>IF(AND(LEN(H191)&gt;0,ISNA(IF(K191="Boy",VLOOKUP(A191,'Siblings of those BORN Loyd'!$AP$3:$AQ$70,2,FALSE),VLOOKUP(A191,'Children of Female Loyds'!$AR$5:$AS$60,2,FALSE)))),"d.s.p","")</f>
        <v/>
      </c>
      <c r="AN191" s="99" t="str">
        <f t="shared" si="91"/>
        <v>David (1984–: #162)</v>
      </c>
      <c r="AO191" s="99" t="str">
        <f t="shared" si="73"/>
        <v>Dominic (1953–: #131)</v>
      </c>
      <c r="AP191" s="99" t="str">
        <f t="shared" si="74"/>
        <v>Alwyne (1920–2014: #94)</v>
      </c>
      <c r="AQ191" s="99" t="str">
        <f t="shared" si="75"/>
        <v>Cecil (1890–1963: #68)</v>
      </c>
      <c r="AR191" s="99" t="str">
        <f t="shared" si="76"/>
        <v>Llewellyn (1861–1939: #45)</v>
      </c>
      <c r="AS191" s="99" t="str">
        <f t="shared" si="77"/>
        <v>Edward (1820–1890: #22)</v>
      </c>
      <c r="AT191" s="99" t="str">
        <f t="shared" si="78"/>
        <v>Edward (1780–1863: #8)</v>
      </c>
      <c r="AU191" s="99" t="str">
        <f t="shared" si="79"/>
        <v>William (1729–1800: #1)</v>
      </c>
      <c r="AW191" s="116" t="str">
        <f>VLOOKUP(A191,'Updated Bios &amp; Spouse Details'!$A$1:$J$193,6,FALSE)</f>
        <v>England</v>
      </c>
      <c r="AX191" s="131">
        <f>VLOOKUP($A191,'Loyd List 1-190 - Edit'!$P$2:$AQ$220,AX$1,FALSE)</f>
        <v>189</v>
      </c>
      <c r="AY191" s="116" t="str">
        <f>IF(ISNA(VLOOKUP(A191,'Data check lookup table'!$G$2:$V$73,AY$1,FALSE))," - ",VLOOKUP(A191,'Data check lookup table'!$G$2:$V$73,AY$1,FALSE))</f>
        <v xml:space="preserve"> - </v>
      </c>
      <c r="AZ191" s="147" t="str">
        <f t="shared" si="69"/>
        <v/>
      </c>
      <c r="BA191" s="99" t="str">
        <f t="shared" si="92"/>
        <v>, Edward (1820–1890: #22)</v>
      </c>
      <c r="BB191" s="99" t="str">
        <f t="shared" si="93"/>
        <v>; Edward (1780–1863: #8)</v>
      </c>
      <c r="BC191" s="99" t="str">
        <f t="shared" si="93"/>
        <v>; William (1729–1800: #1)</v>
      </c>
      <c r="BI191" s="147" t="s">
        <v>3228</v>
      </c>
    </row>
    <row r="192" spans="1:61" s="99" customFormat="1" ht="17">
      <c r="A192" s="139">
        <f>'Loyd List 1-190 - Edit'!C192</f>
        <v>190</v>
      </c>
      <c r="B192" s="99" t="str">
        <f>VLOOKUP($A192,'Loyd List 1-190 - Edit'!$C$1:$AQ$220,'Book Details - NO EDIT'!B$1,FALSE)</f>
        <v>Daisy</v>
      </c>
      <c r="C192" s="99" t="str">
        <f>IF(VLOOKUP($A192,'Loyd List 1-190 - Edit'!$C$1:$AQ$220,'Book Details - NO EDIT'!C$1,FALSE)="","",VLOOKUP($A192,'Loyd List 1-190 - Edit'!$C$1:$AQ$220,'Book Details - NO EDIT'!C$1,FALSE))</f>
        <v>Willow</v>
      </c>
      <c r="D192" s="99" t="str">
        <f>IF(VLOOKUP($A192,'Loyd List 1-190 - Edit'!$C$1:$AQ$220,'Book Details - NO EDIT'!D$1,FALSE)="","",VLOOKUP($A192,'Loyd List 1-190 - Edit'!$C$1:$AQ$220,'Book Details - NO EDIT'!D$1,FALSE))</f>
        <v/>
      </c>
      <c r="E192" s="99" t="str">
        <f>IF(VLOOKUP($A192,'Loyd List 1-190 - Edit'!$C$1:$AQ$220,'Book Details - NO EDIT'!E$1,FALSE)="","",VLOOKUP($A192,'Loyd List 1-190 - Edit'!$C$1:$AQ$220,'Book Details - NO EDIT'!E$1,FALSE))</f>
        <v xml:space="preserve">LOYD </v>
      </c>
      <c r="F192" s="99" t="str">
        <f>IF(VLOOKUP($A192,'Loyd List 1-190 - Edit'!$C$1:$AQ$220,'Book Details - NO EDIT'!F$1,FALSE)="",B192,VLOOKUP($A192,'Loyd List 1-190 - Edit'!$C$1:$AQ$220,'Book Details - NO EDIT'!F$1,FALSE))</f>
        <v>Daisy</v>
      </c>
      <c r="G192" s="140">
        <f>IF(VLOOKUP($A192,'Loyd List 1-190 - Edit'!$C$1:$AQ$220,'Book Details - NO EDIT'!G$1,FALSE)="","",VALUE(VLOOKUP($A192,'Loyd List 1-190 - Edit'!$C$1:$AQ$220,'Book Details - NO EDIT'!G$1,FALSE)))</f>
        <v>2021</v>
      </c>
      <c r="H192" s="140" t="str">
        <f>IF(VLOOKUP($A192,'Loyd List 1-190 - Edit'!$C$1:$AQ$220,'Book Details - NO EDIT'!H$1,FALSE)="","",VALUE(VLOOKUP($A192,'Loyd List 1-190 - Edit'!$C$1:$AQ$220,'Book Details - NO EDIT'!H$1,FALSE)))</f>
        <v/>
      </c>
      <c r="I192" s="141">
        <f>IF(VLOOKUP($A192,'Loyd List 1-190 - Edit'!$C$1:$AQ$220,'Book Details - NO EDIT'!I$1,FALSE)="","",(VLOOKUP($A192,'Loyd List 1-190 - Edit'!$C$1:$AQ$220,'Book Details - NO EDIT'!I$1,FALSE)))</f>
        <v>44481</v>
      </c>
      <c r="J192" s="141" t="str">
        <f>IF(VLOOKUP($A192,'Loyd List 1-190 - Edit'!$C$1:$AQ$220,'Book Details - NO EDIT'!J$1,FALSE)="","",(VLOOKUP($A192,'Loyd List 1-190 - Edit'!$C$1:$AQ$220,'Book Details - NO EDIT'!J$1,FALSE)))</f>
        <v/>
      </c>
      <c r="K192" s="100" t="str">
        <f>VLOOKUP($A192,'Loyd List 1-190 - Edit'!$C$1:$AQ$220,'Book Details - NO EDIT'!K$1,FALSE)</f>
        <v>Girl</v>
      </c>
      <c r="L192" s="140">
        <f>VLOOKUP($A192,'Loyd List 1-190 - Edit'!$C$1:$AQ$220,'Book Details - NO EDIT'!L$1,FALSE)</f>
        <v>167</v>
      </c>
      <c r="M192" s="140">
        <f t="shared" si="60"/>
        <v>131</v>
      </c>
      <c r="N192" s="140">
        <f t="shared" si="60"/>
        <v>94</v>
      </c>
      <c r="O192" s="140">
        <f t="shared" si="60"/>
        <v>68</v>
      </c>
      <c r="P192" s="140">
        <f t="shared" si="60"/>
        <v>45</v>
      </c>
      <c r="Q192" s="140">
        <f t="shared" si="80"/>
        <v>22</v>
      </c>
      <c r="R192" s="140">
        <f t="shared" si="61"/>
        <v>8</v>
      </c>
      <c r="S192" s="140">
        <f t="shared" si="86"/>
        <v>1</v>
      </c>
      <c r="T192" s="140">
        <f t="shared" si="87"/>
        <v>8</v>
      </c>
      <c r="U192" s="139">
        <f t="shared" si="63"/>
        <v>190</v>
      </c>
      <c r="V192" s="31" t="str">
        <f t="shared" si="64"/>
        <v>Daisy (2021–)</v>
      </c>
      <c r="W192" s="31" t="str">
        <f t="shared" si="88"/>
        <v>Daisy (#190)</v>
      </c>
      <c r="X192" s="99" t="str">
        <f t="shared" si="66"/>
        <v>Daisy (2021–: #190)</v>
      </c>
      <c r="Y192" s="99" t="str">
        <f t="shared" si="89"/>
        <v xml:space="preserve">Daisy Willow LOYD </v>
      </c>
      <c r="Z192" s="99" t="str">
        <f t="shared" si="90"/>
        <v>Ben (1988–: #167)</v>
      </c>
      <c r="AA192" s="99" t="str">
        <f t="shared" si="72"/>
        <v>Ben (1988–: #167) Dominic (1953–: #131) Alwyne (1920–2014: #94) Cecil (1890–1963: #68) Llewellyn (1861–1939: #45) Edward (1820–1890: #22) Edward (1780–1863: #8) William (1729–1800: #1)</v>
      </c>
      <c r="AB192" s="142" t="str">
        <f>VLOOKUP(U192,'Siblings of those BORN Loyd'!$A$2:$G$230,7,FALSE)</f>
        <v xml:space="preserve">1 – Olivia (2014–: #187)        </v>
      </c>
      <c r="AC192" s="115" t="str">
        <f>IF(ISNA(IF(K192="Boy",VLOOKUP(A192,'Siblings of those BORN Loyd'!$AP$3:$AQ$70,2,FALSE),VLOOKUP(A192,'Children of Female Loyds'!$AR$5:$AT$60,3,FALSE))),AM192,IF(K192="Boy",VLOOKUP(A192,'Siblings of those BORN Loyd'!$AP$3:$AQ$70,2,FALSE),VLOOKUP(A192,'Children of Female Loyds'!$AR$5:$AT$60,3,FALSE)))</f>
        <v/>
      </c>
      <c r="AD192" s="97" t="str">
        <f t="shared" si="81"/>
        <v>-</v>
      </c>
      <c r="AE192" s="105"/>
      <c r="AF192" s="105" t="str">
        <f>IF(ISNA(VLOOKUP(A192,'Grandchildren Loyd Daughters'!$BD$5:$BF$50,4,FALSE)),"",VLOOKUP(A192,'Grandchildren Loyd Daughters'!$BD$5:$BF$50,3,FALSE))</f>
        <v/>
      </c>
      <c r="AG192" s="129">
        <f>IF(ISNA(VLOOKUP(A192,'Grandchildren of Male Loyds'!$AQ$3:$AR$60,2,FALSE)),0,VLOOKUP(A192,'Grandchildren of Male Loyds'!$AQ$3:$AR$60,2,FALSE))+IF(ISNA(VLOOKUP(A192,'Grandchildren of Female Loyds'!$AX$5:$AY$50,2,FALSE)),0,VLOOKUP(A192,'Grandchildren of Female Loyds'!$AX$5:$AY$50,2,FALSE))+IF(ISNA(VLOOKUP(A192,'Grandchildren Loyd Daughters'!$BD$5:$BE$50,2,FALSE)),0,VLOOKUP(A192,'Grandchildren Loyd Daughters'!$BD$5:$BE$50,2,FALSE))</f>
        <v>0</v>
      </c>
      <c r="AH192" s="129" t="str">
        <f>VLOOKUP($U192,'Loyd List 1-190 - Edit'!$P$3:$AJ$220,21,FALSE)</f>
        <v>Holly Kristina TURNER (b. 10 Jan 1988, )</v>
      </c>
      <c r="AI192" s="129" t="str">
        <f>VLOOKUP(A192,'Updated Bios &amp; Spouse Details'!$A$1:$J$200,7,FALSE)</f>
        <v xml:space="preserve"> -</v>
      </c>
      <c r="AJ192" s="130" t="str">
        <f>IF(VLOOKUP($A192,'Loyd List 1-190 - Edit'!$C$1:$AQ$220,'Book Details - NO EDIT'!AJ$1,FALSE)="","",(VLOOKUP($A192,'Loyd List 1-190 - Edit'!$C$1:$AQ$220,'Book Details - NO EDIT'!AJ$1,FALSE)))</f>
        <v/>
      </c>
      <c r="AK192" s="129" t="str">
        <f>VLOOKUP(A192,'Updated Bios &amp; Spouse Details'!$A$1:$J$200,8,FALSE)</f>
        <v xml:space="preserve"> -</v>
      </c>
      <c r="AL192" s="131" t="str">
        <f>VLOOKUP(A192,'Updated Bios &amp; Spouse Details'!$A$1:$J$200,5,FALSE)</f>
        <v>Daisy is the younger daughter of Ben (1988– : #167). Born 12 Oct 2021 at Grimsby Hospital and lives in Lincolshire.</v>
      </c>
      <c r="AM192" s="105" t="str">
        <f>IF(AND(LEN(H192)&gt;0,ISNA(IF(K192="Boy",VLOOKUP(A192,'Siblings of those BORN Loyd'!$AP$3:$AQ$70,2,FALSE),VLOOKUP(A192,'Children of Female Loyds'!$AR$5:$AS$60,2,FALSE)))),"d.s.p","")</f>
        <v/>
      </c>
      <c r="AN192" s="99" t="str">
        <f t="shared" si="91"/>
        <v>Ben (1988–: #167)</v>
      </c>
      <c r="AO192" s="99" t="str">
        <f t="shared" si="73"/>
        <v>Dominic (1953–: #131)</v>
      </c>
      <c r="AP192" s="99" t="str">
        <f t="shared" si="74"/>
        <v>Alwyne (1920–2014: #94)</v>
      </c>
      <c r="AQ192" s="99" t="str">
        <f t="shared" si="75"/>
        <v>Cecil (1890–1963: #68)</v>
      </c>
      <c r="AR192" s="99" t="str">
        <f t="shared" si="76"/>
        <v>Llewellyn (1861–1939: #45)</v>
      </c>
      <c r="AS192" s="99" t="str">
        <f t="shared" si="77"/>
        <v>Edward (1820–1890: #22)</v>
      </c>
      <c r="AT192" s="99" t="str">
        <f t="shared" si="78"/>
        <v>Edward (1780–1863: #8)</v>
      </c>
      <c r="AU192" s="99" t="str">
        <f t="shared" si="79"/>
        <v>William (1729–1800: #1)</v>
      </c>
      <c r="AW192" s="116" t="str">
        <f>VLOOKUP(A192,'Updated Bios &amp; Spouse Details'!$A$1:$J$193,6,FALSE)</f>
        <v>England</v>
      </c>
      <c r="AX192" s="131">
        <f>VLOOKUP($A192,'Loyd List 1-190 - Edit'!$P$2:$AQ$220,AX$1,FALSE)</f>
        <v>190</v>
      </c>
      <c r="AY192" s="116" t="str">
        <f>IF(ISNA(VLOOKUP(A192,'Data check lookup table'!$G$2:$V$73,AY$1,FALSE))," - ",VLOOKUP(A192,'Data check lookup table'!$G$2:$V$73,AY$1,FALSE))</f>
        <v xml:space="preserve"> - </v>
      </c>
      <c r="AZ192" s="147" t="str">
        <f t="shared" si="69"/>
        <v/>
      </c>
      <c r="BA192" s="99" t="str">
        <f t="shared" si="92"/>
        <v>, Edward (1820–1890: #22)</v>
      </c>
      <c r="BB192" s="99" t="str">
        <f t="shared" si="93"/>
        <v>; Edward (1780–1863: #8)</v>
      </c>
      <c r="BC192" s="99" t="str">
        <f t="shared" si="93"/>
        <v>; William (1729–1800: #1)</v>
      </c>
      <c r="BI192" s="147" t="s">
        <v>3228</v>
      </c>
    </row>
    <row r="193" spans="29:39" s="99" customFormat="1">
      <c r="AC193" s="105"/>
      <c r="AD193" s="110"/>
      <c r="AE193" s="105"/>
      <c r="AF193" s="105"/>
      <c r="AG193" s="100"/>
      <c r="AH193" s="100"/>
      <c r="AI193" s="100"/>
      <c r="AJ193" s="100"/>
      <c r="AK193" s="100"/>
      <c r="AL193" s="100"/>
      <c r="AM193" s="105"/>
    </row>
    <row r="194" spans="29:39" s="99" customFormat="1">
      <c r="AC194" s="105"/>
      <c r="AD194" s="110"/>
      <c r="AE194" s="105"/>
      <c r="AF194" s="105"/>
      <c r="AG194" s="100"/>
      <c r="AH194" s="100"/>
      <c r="AI194" s="100"/>
      <c r="AJ194" s="100"/>
      <c r="AK194" s="100"/>
      <c r="AL194" s="100"/>
      <c r="AM194" s="105"/>
    </row>
    <row r="195" spans="29:39" s="99" customFormat="1">
      <c r="AC195" s="105"/>
      <c r="AD195" s="110"/>
      <c r="AE195" s="105"/>
      <c r="AF195" s="105"/>
      <c r="AG195" s="100"/>
      <c r="AH195" s="100"/>
      <c r="AI195" s="100"/>
      <c r="AJ195" s="100"/>
      <c r="AK195" s="100"/>
      <c r="AL195" s="100"/>
      <c r="AM195" s="105"/>
    </row>
    <row r="196" spans="29:39" s="99" customFormat="1">
      <c r="AC196" s="105"/>
      <c r="AD196" s="110"/>
      <c r="AE196" s="105"/>
      <c r="AF196" s="105"/>
      <c r="AG196" s="100"/>
      <c r="AH196" s="100"/>
      <c r="AI196" s="100"/>
      <c r="AJ196" s="100"/>
      <c r="AK196" s="100"/>
      <c r="AL196" s="100"/>
      <c r="AM196" s="105"/>
    </row>
    <row r="197" spans="29:39" s="99" customFormat="1">
      <c r="AC197" s="105"/>
      <c r="AD197" s="110"/>
      <c r="AE197" s="105"/>
      <c r="AF197" s="105"/>
      <c r="AG197" s="100"/>
      <c r="AH197" s="100"/>
      <c r="AI197" s="100"/>
      <c r="AJ197" s="100"/>
      <c r="AK197" s="100"/>
      <c r="AL197" s="100"/>
      <c r="AM197" s="105"/>
    </row>
    <row r="198" spans="29:39" s="99" customFormat="1">
      <c r="AC198" s="105"/>
      <c r="AD198" s="110"/>
      <c r="AE198" s="105"/>
      <c r="AF198" s="105"/>
      <c r="AG198" s="100"/>
      <c r="AH198" s="100"/>
      <c r="AI198" s="100"/>
      <c r="AJ198" s="100"/>
      <c r="AK198" s="100"/>
      <c r="AL198" s="100"/>
      <c r="AM198" s="105"/>
    </row>
    <row r="199" spans="29:39" s="99" customFormat="1">
      <c r="AC199" s="105"/>
      <c r="AD199" s="110"/>
      <c r="AE199" s="105"/>
      <c r="AF199" s="105"/>
      <c r="AG199" s="100"/>
      <c r="AH199" s="100"/>
      <c r="AI199" s="100"/>
      <c r="AJ199" s="100"/>
      <c r="AK199" s="100"/>
      <c r="AL199" s="100"/>
      <c r="AM199" s="105"/>
    </row>
    <row r="200" spans="29:39" s="99" customFormat="1">
      <c r="AC200" s="105"/>
      <c r="AD200" s="110"/>
      <c r="AE200" s="105"/>
      <c r="AF200" s="105"/>
      <c r="AG200" s="100"/>
      <c r="AH200" s="100"/>
      <c r="AI200" s="100"/>
      <c r="AJ200" s="100"/>
      <c r="AK200" s="100"/>
      <c r="AL200" s="100"/>
      <c r="AM200" s="105"/>
    </row>
    <row r="201" spans="29:39" s="99" customFormat="1">
      <c r="AC201" s="105"/>
      <c r="AD201" s="110"/>
      <c r="AE201" s="105"/>
      <c r="AF201" s="105"/>
      <c r="AG201" s="100"/>
      <c r="AH201" s="100"/>
      <c r="AI201" s="100"/>
      <c r="AJ201" s="100"/>
      <c r="AK201" s="100"/>
      <c r="AL201" s="100"/>
      <c r="AM201" s="105"/>
    </row>
    <row r="202" spans="29:39" s="99" customFormat="1">
      <c r="AC202" s="105"/>
      <c r="AD202" s="110"/>
      <c r="AE202" s="105"/>
      <c r="AF202" s="105"/>
      <c r="AG202" s="100"/>
      <c r="AH202" s="100"/>
      <c r="AI202" s="100"/>
      <c r="AJ202" s="100"/>
      <c r="AK202" s="100"/>
      <c r="AL202" s="100"/>
      <c r="AM202" s="105"/>
    </row>
    <row r="203" spans="29:39" s="99" customFormat="1">
      <c r="AC203" s="105"/>
      <c r="AD203" s="110"/>
      <c r="AE203" s="105"/>
      <c r="AF203" s="105"/>
      <c r="AG203" s="100"/>
      <c r="AH203" s="100"/>
      <c r="AI203" s="100"/>
      <c r="AJ203" s="100"/>
      <c r="AK203" s="100"/>
      <c r="AL203" s="100"/>
      <c r="AM203" s="105"/>
    </row>
    <row r="204" spans="29:39" s="99" customFormat="1">
      <c r="AC204" s="105"/>
      <c r="AD204" s="110"/>
      <c r="AE204" s="105"/>
      <c r="AF204" s="105"/>
      <c r="AG204" s="100"/>
      <c r="AH204" s="100"/>
      <c r="AI204" s="100"/>
      <c r="AJ204" s="100"/>
      <c r="AK204" s="100"/>
      <c r="AL204" s="100"/>
      <c r="AM204" s="105"/>
    </row>
    <row r="205" spans="29:39" s="99" customFormat="1">
      <c r="AC205" s="105"/>
      <c r="AD205" s="110"/>
      <c r="AE205" s="105"/>
      <c r="AF205" s="105"/>
      <c r="AG205" s="100"/>
      <c r="AH205" s="100"/>
      <c r="AI205" s="100"/>
      <c r="AJ205" s="100"/>
      <c r="AK205" s="100"/>
      <c r="AL205" s="100"/>
      <c r="AM205" s="105"/>
    </row>
    <row r="206" spans="29:39" s="99" customFormat="1">
      <c r="AC206" s="105"/>
      <c r="AD206" s="110"/>
      <c r="AE206" s="105"/>
      <c r="AF206" s="105"/>
      <c r="AG206" s="100"/>
      <c r="AH206" s="100"/>
      <c r="AI206" s="100"/>
      <c r="AJ206" s="100"/>
      <c r="AK206" s="100"/>
      <c r="AL206" s="100"/>
      <c r="AM206" s="105"/>
    </row>
    <row r="207" spans="29:39" s="99" customFormat="1">
      <c r="AC207" s="105"/>
      <c r="AD207" s="110"/>
      <c r="AE207" s="105"/>
      <c r="AF207" s="105"/>
      <c r="AG207" s="100"/>
      <c r="AH207" s="100"/>
      <c r="AI207" s="100"/>
      <c r="AJ207" s="100"/>
      <c r="AK207" s="100"/>
      <c r="AL207" s="100"/>
      <c r="AM207" s="105"/>
    </row>
    <row r="208" spans="29:39" s="99" customFormat="1">
      <c r="AC208" s="105"/>
      <c r="AD208" s="110"/>
      <c r="AE208" s="105"/>
      <c r="AF208" s="105"/>
      <c r="AG208" s="100"/>
      <c r="AH208" s="100"/>
      <c r="AI208" s="100"/>
      <c r="AJ208" s="100"/>
      <c r="AK208" s="100"/>
      <c r="AL208" s="100"/>
      <c r="AM208" s="105"/>
    </row>
    <row r="209" spans="29:39" s="99" customFormat="1">
      <c r="AC209" s="105"/>
      <c r="AD209" s="110"/>
      <c r="AE209" s="105"/>
      <c r="AF209" s="105"/>
      <c r="AG209" s="100"/>
      <c r="AH209" s="100"/>
      <c r="AI209" s="100"/>
      <c r="AJ209" s="100"/>
      <c r="AK209" s="100"/>
      <c r="AL209" s="100"/>
      <c r="AM209" s="105"/>
    </row>
    <row r="210" spans="29:39" s="99" customFormat="1">
      <c r="AC210" s="105"/>
      <c r="AD210" s="110"/>
      <c r="AE210" s="105"/>
      <c r="AF210" s="105"/>
      <c r="AG210" s="100"/>
      <c r="AH210" s="100"/>
      <c r="AI210" s="100"/>
      <c r="AJ210" s="100"/>
      <c r="AK210" s="100"/>
      <c r="AL210" s="100"/>
      <c r="AM210" s="105"/>
    </row>
    <row r="211" spans="29:39" s="99" customFormat="1">
      <c r="AC211" s="105"/>
      <c r="AD211" s="110"/>
      <c r="AE211" s="105"/>
      <c r="AF211" s="105"/>
      <c r="AG211" s="100"/>
      <c r="AH211" s="100"/>
      <c r="AI211" s="100"/>
      <c r="AJ211" s="100"/>
      <c r="AK211" s="100"/>
      <c r="AL211" s="100"/>
      <c r="AM211" s="105"/>
    </row>
    <row r="212" spans="29:39" s="99" customFormat="1">
      <c r="AC212" s="105"/>
      <c r="AD212" s="110"/>
      <c r="AE212" s="105"/>
      <c r="AF212" s="105"/>
      <c r="AG212" s="100"/>
      <c r="AH212" s="100"/>
      <c r="AI212" s="100"/>
      <c r="AJ212" s="100"/>
      <c r="AK212" s="100"/>
      <c r="AL212" s="100"/>
      <c r="AM212" s="105"/>
    </row>
    <row r="213" spans="29:39" s="99" customFormat="1">
      <c r="AC213" s="105"/>
      <c r="AD213" s="110"/>
      <c r="AE213" s="105"/>
      <c r="AF213" s="105"/>
      <c r="AG213" s="100"/>
      <c r="AH213" s="100"/>
      <c r="AI213" s="100"/>
      <c r="AJ213" s="100"/>
      <c r="AK213" s="100"/>
      <c r="AL213" s="100"/>
      <c r="AM213" s="105"/>
    </row>
    <row r="214" spans="29:39" s="99" customFormat="1">
      <c r="AC214" s="105"/>
      <c r="AD214" s="110"/>
      <c r="AE214" s="105"/>
      <c r="AF214" s="105"/>
      <c r="AG214" s="100"/>
      <c r="AH214" s="100"/>
      <c r="AI214" s="100"/>
      <c r="AJ214" s="100"/>
      <c r="AK214" s="100"/>
      <c r="AL214" s="100"/>
      <c r="AM214" s="105"/>
    </row>
    <row r="215" spans="29:39" s="99" customFormat="1">
      <c r="AC215" s="105"/>
      <c r="AD215" s="110"/>
      <c r="AE215" s="105"/>
      <c r="AF215" s="105"/>
      <c r="AG215" s="100"/>
      <c r="AH215" s="100"/>
      <c r="AI215" s="100"/>
      <c r="AJ215" s="100"/>
      <c r="AK215" s="100"/>
      <c r="AL215" s="100"/>
      <c r="AM215" s="105"/>
    </row>
    <row r="216" spans="29:39" s="99" customFormat="1">
      <c r="AC216" s="105"/>
      <c r="AD216" s="110"/>
      <c r="AE216" s="105"/>
      <c r="AF216" s="105"/>
      <c r="AG216" s="100"/>
      <c r="AH216" s="100"/>
      <c r="AI216" s="100"/>
      <c r="AJ216" s="100"/>
      <c r="AK216" s="100"/>
      <c r="AL216" s="100"/>
      <c r="AM216" s="105"/>
    </row>
    <row r="217" spans="29:39" s="99" customFormat="1">
      <c r="AC217" s="105"/>
      <c r="AD217" s="110"/>
      <c r="AE217" s="105"/>
      <c r="AF217" s="105"/>
      <c r="AG217" s="100"/>
      <c r="AH217" s="100"/>
      <c r="AI217" s="100"/>
      <c r="AJ217" s="100"/>
      <c r="AK217" s="100"/>
      <c r="AL217" s="100"/>
      <c r="AM217" s="105"/>
    </row>
    <row r="218" spans="29:39" s="99" customFormat="1">
      <c r="AC218" s="105"/>
      <c r="AD218" s="110"/>
      <c r="AE218" s="105"/>
      <c r="AF218" s="105"/>
      <c r="AG218" s="100"/>
      <c r="AH218" s="100"/>
      <c r="AI218" s="100"/>
      <c r="AJ218" s="100"/>
      <c r="AK218" s="100"/>
      <c r="AL218" s="100"/>
      <c r="AM218" s="105"/>
    </row>
    <row r="219" spans="29:39" s="99" customFormat="1">
      <c r="AC219" s="105"/>
      <c r="AD219" s="110"/>
      <c r="AE219" s="105"/>
      <c r="AF219" s="105"/>
      <c r="AG219" s="100"/>
      <c r="AH219" s="100"/>
      <c r="AI219" s="100"/>
      <c r="AJ219" s="100"/>
      <c r="AK219" s="100"/>
      <c r="AL219" s="100"/>
      <c r="AM219" s="105"/>
    </row>
    <row r="220" spans="29:39" s="99" customFormat="1">
      <c r="AC220" s="105"/>
      <c r="AD220" s="110"/>
      <c r="AE220" s="105"/>
      <c r="AF220" s="105"/>
      <c r="AG220" s="100"/>
      <c r="AH220" s="100"/>
      <c r="AI220" s="100"/>
      <c r="AJ220" s="100"/>
      <c r="AK220" s="100"/>
      <c r="AL220" s="100"/>
      <c r="AM220" s="105"/>
    </row>
    <row r="221" spans="29:39">
      <c r="AC221" s="105"/>
      <c r="AD221" s="110"/>
      <c r="AE221" s="105"/>
      <c r="AF221" s="105"/>
      <c r="AG221" s="100"/>
      <c r="AH221" s="100"/>
      <c r="AI221" s="100"/>
      <c r="AJ221" s="100"/>
      <c r="AK221" s="100"/>
      <c r="AL221" s="100"/>
      <c r="AM221" s="105"/>
    </row>
    <row r="222" spans="29:39">
      <c r="AC222" s="105"/>
      <c r="AD222" s="110"/>
      <c r="AE222" s="105"/>
      <c r="AF222" s="105"/>
      <c r="AG222" s="100"/>
      <c r="AH222" s="100"/>
      <c r="AI222" s="100"/>
      <c r="AJ222" s="100"/>
      <c r="AK222" s="100"/>
      <c r="AL222" s="100"/>
      <c r="AM222" s="105"/>
    </row>
    <row r="223" spans="29:39">
      <c r="AC223" s="105"/>
      <c r="AD223" s="110"/>
      <c r="AE223" s="105"/>
      <c r="AF223" s="105"/>
      <c r="AG223" s="100"/>
      <c r="AH223" s="100"/>
      <c r="AI223" s="100"/>
      <c r="AJ223" s="100"/>
      <c r="AK223" s="100"/>
      <c r="AL223" s="100"/>
      <c r="AM223" s="105"/>
    </row>
    <row r="224" spans="29:39">
      <c r="AC224" s="105"/>
      <c r="AD224" s="110"/>
      <c r="AE224" s="105"/>
      <c r="AF224" s="105"/>
      <c r="AG224" s="100"/>
      <c r="AH224" s="100"/>
      <c r="AI224" s="100"/>
      <c r="AJ224" s="100"/>
      <c r="AK224" s="100"/>
      <c r="AL224" s="100"/>
      <c r="AM224" s="105"/>
    </row>
    <row r="225" spans="29:39">
      <c r="AC225" s="105"/>
      <c r="AD225" s="110"/>
      <c r="AE225" s="105"/>
      <c r="AF225" s="105"/>
      <c r="AG225" s="100"/>
      <c r="AH225" s="100"/>
      <c r="AI225" s="100"/>
      <c r="AJ225" s="100"/>
      <c r="AK225" s="100"/>
      <c r="AL225" s="100"/>
      <c r="AM225" s="105"/>
    </row>
    <row r="226" spans="29:39">
      <c r="AC226" s="105"/>
      <c r="AD226" s="110"/>
      <c r="AE226" s="105"/>
      <c r="AF226" s="105"/>
      <c r="AG226" s="100"/>
      <c r="AH226" s="100"/>
      <c r="AI226" s="100"/>
      <c r="AJ226" s="100"/>
      <c r="AK226" s="100"/>
      <c r="AL226" s="100"/>
      <c r="AM226" s="105"/>
    </row>
    <row r="227" spans="29:39">
      <c r="AC227" s="105"/>
      <c r="AD227" s="110"/>
      <c r="AE227" s="105"/>
      <c r="AF227" s="105"/>
      <c r="AG227" s="100"/>
      <c r="AH227" s="100"/>
      <c r="AI227" s="100"/>
      <c r="AJ227" s="100"/>
      <c r="AK227" s="100"/>
      <c r="AL227" s="100"/>
      <c r="AM227" s="105"/>
    </row>
    <row r="228" spans="29:39">
      <c r="AC228" s="105"/>
      <c r="AD228" s="110"/>
      <c r="AE228" s="105"/>
      <c r="AF228" s="105"/>
      <c r="AG228" s="100"/>
      <c r="AH228" s="100"/>
      <c r="AI228" s="100"/>
      <c r="AJ228" s="100"/>
      <c r="AK228" s="100"/>
      <c r="AL228" s="100"/>
      <c r="AM228" s="105"/>
    </row>
    <row r="229" spans="29:39">
      <c r="AC229" s="105"/>
      <c r="AD229" s="110"/>
      <c r="AE229" s="105"/>
      <c r="AF229" s="105"/>
      <c r="AG229" s="100"/>
      <c r="AH229" s="100"/>
      <c r="AI229" s="100"/>
      <c r="AJ229" s="100"/>
      <c r="AK229" s="100"/>
      <c r="AL229" s="100"/>
      <c r="AM229" s="105"/>
    </row>
    <row r="230" spans="29:39">
      <c r="AC230" s="105"/>
      <c r="AD230" s="110"/>
      <c r="AE230" s="105"/>
      <c r="AF230" s="105"/>
      <c r="AG230" s="100"/>
      <c r="AH230" s="100"/>
      <c r="AI230" s="100"/>
      <c r="AJ230" s="100"/>
      <c r="AK230" s="100"/>
      <c r="AL230" s="100"/>
      <c r="AM230" s="105"/>
    </row>
    <row r="231" spans="29:39">
      <c r="AC231" s="105"/>
      <c r="AD231" s="110"/>
      <c r="AE231" s="105"/>
      <c r="AF231" s="105"/>
      <c r="AG231" s="100"/>
      <c r="AH231" s="100"/>
      <c r="AI231" s="100"/>
      <c r="AJ231" s="100"/>
      <c r="AK231" s="100"/>
      <c r="AL231" s="100"/>
      <c r="AM231" s="105"/>
    </row>
    <row r="232" spans="29:39">
      <c r="AC232" s="105"/>
      <c r="AD232" s="110"/>
      <c r="AE232" s="105"/>
      <c r="AF232" s="105"/>
      <c r="AG232" s="100"/>
      <c r="AH232" s="100"/>
      <c r="AI232" s="100"/>
      <c r="AJ232" s="100"/>
      <c r="AK232" s="100"/>
      <c r="AL232" s="100"/>
      <c r="AM232" s="105"/>
    </row>
    <row r="233" spans="29:39">
      <c r="AC233" s="105"/>
      <c r="AD233" s="110"/>
      <c r="AE233" s="105"/>
      <c r="AF233" s="105"/>
      <c r="AG233" s="100"/>
      <c r="AH233" s="100"/>
      <c r="AI233" s="100"/>
      <c r="AJ233" s="100"/>
      <c r="AK233" s="100"/>
      <c r="AL233" s="100"/>
      <c r="AM233" s="105"/>
    </row>
    <row r="234" spans="29:39">
      <c r="AC234" s="105"/>
      <c r="AD234" s="110"/>
      <c r="AE234" s="105"/>
      <c r="AF234" s="105"/>
      <c r="AG234" s="100"/>
      <c r="AH234" s="100"/>
      <c r="AI234" s="100"/>
      <c r="AJ234" s="100"/>
      <c r="AK234" s="100"/>
      <c r="AL234" s="100"/>
      <c r="AM234" s="105"/>
    </row>
    <row r="235" spans="29:39">
      <c r="AC235" s="105"/>
      <c r="AD235" s="110"/>
      <c r="AE235" s="105"/>
      <c r="AF235" s="105"/>
      <c r="AG235" s="100"/>
      <c r="AH235" s="100"/>
      <c r="AI235" s="100"/>
      <c r="AJ235" s="100"/>
      <c r="AK235" s="100"/>
      <c r="AL235" s="100"/>
      <c r="AM235" s="105"/>
    </row>
    <row r="236" spans="29:39">
      <c r="AC236" s="105"/>
      <c r="AD236" s="110"/>
      <c r="AE236" s="105"/>
      <c r="AF236" s="105"/>
      <c r="AG236" s="100"/>
      <c r="AH236" s="100"/>
      <c r="AI236" s="100"/>
      <c r="AJ236" s="100"/>
      <c r="AK236" s="100"/>
      <c r="AL236" s="100"/>
      <c r="AM236" s="105"/>
    </row>
    <row r="237" spans="29:39">
      <c r="AC237" s="105"/>
      <c r="AD237" s="110"/>
      <c r="AE237" s="105"/>
      <c r="AF237" s="105"/>
      <c r="AG237" s="100"/>
      <c r="AH237" s="100"/>
      <c r="AI237" s="100"/>
      <c r="AJ237" s="100"/>
      <c r="AK237" s="100"/>
      <c r="AL237" s="100"/>
      <c r="AM237" s="105"/>
    </row>
    <row r="238" spans="29:39">
      <c r="AC238" s="105"/>
      <c r="AD238" s="110"/>
      <c r="AE238" s="105"/>
      <c r="AF238" s="105"/>
      <c r="AG238" s="100"/>
      <c r="AH238" s="100"/>
      <c r="AI238" s="100"/>
      <c r="AJ238" s="100"/>
      <c r="AK238" s="100"/>
      <c r="AL238" s="100"/>
      <c r="AM238" s="105"/>
    </row>
    <row r="239" spans="29:39">
      <c r="AC239" s="105"/>
      <c r="AD239" s="110"/>
      <c r="AE239" s="105"/>
      <c r="AF239" s="105"/>
      <c r="AG239" s="100"/>
      <c r="AH239" s="100"/>
      <c r="AI239" s="100"/>
      <c r="AJ239" s="100"/>
      <c r="AK239" s="100"/>
      <c r="AL239" s="100"/>
      <c r="AM239" s="105"/>
    </row>
    <row r="240" spans="29:39">
      <c r="AC240" s="105"/>
      <c r="AD240" s="110"/>
      <c r="AE240" s="105"/>
      <c r="AF240" s="105"/>
      <c r="AG240" s="100"/>
      <c r="AH240" s="100"/>
      <c r="AI240" s="100"/>
      <c r="AJ240" s="100"/>
      <c r="AK240" s="100"/>
      <c r="AL240" s="100"/>
      <c r="AM240" s="105"/>
    </row>
    <row r="241" spans="29:39">
      <c r="AC241" s="105"/>
      <c r="AD241" s="110"/>
      <c r="AE241" s="105"/>
      <c r="AF241" s="105"/>
      <c r="AG241" s="100"/>
      <c r="AH241" s="100"/>
      <c r="AI241" s="100"/>
      <c r="AJ241" s="100"/>
      <c r="AK241" s="100"/>
      <c r="AL241" s="100"/>
      <c r="AM241" s="105"/>
    </row>
    <row r="242" spans="29:39">
      <c r="AC242" s="105"/>
      <c r="AD242" s="110"/>
      <c r="AE242" s="105"/>
      <c r="AF242" s="105"/>
      <c r="AG242" s="100"/>
      <c r="AH242" s="100"/>
      <c r="AI242" s="100"/>
      <c r="AJ242" s="100"/>
      <c r="AK242" s="100"/>
      <c r="AL242" s="100"/>
      <c r="AM242" s="105"/>
    </row>
    <row r="243" spans="29:39">
      <c r="AC243" s="105"/>
      <c r="AD243" s="110"/>
      <c r="AE243" s="105"/>
      <c r="AF243" s="105"/>
      <c r="AG243" s="100"/>
      <c r="AH243" s="100"/>
      <c r="AI243" s="100"/>
      <c r="AJ243" s="100"/>
      <c r="AK243" s="100"/>
      <c r="AL243" s="100"/>
      <c r="AM243" s="105"/>
    </row>
    <row r="244" spans="29:39">
      <c r="AC244" s="105"/>
      <c r="AD244" s="110"/>
      <c r="AE244" s="105"/>
      <c r="AF244" s="105"/>
      <c r="AG244" s="100"/>
      <c r="AH244" s="100"/>
      <c r="AI244" s="100"/>
      <c r="AJ244" s="100"/>
      <c r="AK244" s="100"/>
      <c r="AL244" s="100"/>
      <c r="AM244" s="105"/>
    </row>
  </sheetData>
  <autoFilter ref="A2:AN192" xr:uid="{70F02382-A8A1-754C-8610-05B2AC236C91}"/>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7445-D568-CB43-8A75-40061E5FF427}">
  <dimension ref="A1:AA194"/>
  <sheetViews>
    <sheetView tabSelected="1" topLeftCell="A67" workbookViewId="0">
      <selection activeCell="F158" sqref="F158"/>
    </sheetView>
  </sheetViews>
  <sheetFormatPr baseColWidth="10" defaultRowHeight="16"/>
  <cols>
    <col min="1" max="1" width="15.5" customWidth="1"/>
    <col min="2" max="2" width="29.83203125" customWidth="1"/>
    <col min="3" max="3" width="71.5" bestFit="1" customWidth="1"/>
    <col min="4" max="4" width="32.5" customWidth="1"/>
    <col min="5" max="5" width="14.1640625" customWidth="1"/>
    <col min="6" max="6" width="71.5" customWidth="1"/>
    <col min="7" max="7" width="32" customWidth="1"/>
    <col min="8" max="8" width="12.83203125" customWidth="1"/>
    <col min="9" max="14" width="27.83203125" customWidth="1"/>
    <col min="15" max="15" width="15.83203125" style="31" customWidth="1"/>
    <col min="16" max="16" width="48" customWidth="1"/>
    <col min="17" max="17" width="17.1640625" customWidth="1"/>
    <col min="18" max="18" width="14.6640625" customWidth="1"/>
    <col min="19" max="19" width="34.6640625" customWidth="1"/>
    <col min="25" max="25" width="58.33203125" customWidth="1"/>
  </cols>
  <sheetData>
    <row r="1" spans="1:23" s="31" customFormat="1" ht="35" customHeight="1">
      <c r="B1" s="73" t="s">
        <v>5727</v>
      </c>
      <c r="E1" s="373" t="s">
        <v>5734</v>
      </c>
    </row>
    <row r="2" spans="1:23" s="142" customFormat="1" ht="36" customHeight="1">
      <c r="A2" s="142" t="s">
        <v>4447</v>
      </c>
      <c r="B2" s="373" t="s">
        <v>5729</v>
      </c>
      <c r="C2" s="373" t="s">
        <v>5728</v>
      </c>
      <c r="D2" s="373"/>
      <c r="E2" s="142" t="str">
        <f>A2</f>
        <v>LOYD #</v>
      </c>
      <c r="F2" s="373" t="s">
        <v>5735</v>
      </c>
      <c r="H2" s="126"/>
      <c r="I2" s="126"/>
      <c r="J2" s="126"/>
      <c r="K2" s="126"/>
      <c r="L2" s="126"/>
      <c r="M2" s="126"/>
      <c r="N2" s="126"/>
    </row>
    <row r="3" spans="1:23" s="142" customFormat="1" ht="23" customHeight="1">
      <c r="A3" s="377" t="str">
        <f>IF(LEN(B3)=3,LEFT(B3,1),IF(LEN(B3)=4,LEFT(B3,2),LEFT(B3,3)))</f>
        <v>-1</v>
      </c>
      <c r="B3" s="374" t="s">
        <v>4429</v>
      </c>
      <c r="C3" s="375" t="s">
        <v>4796</v>
      </c>
      <c r="D3" s="375"/>
      <c r="E3" s="376">
        <f>VALUE(BiographyMarriageDetsCountries!A3)</f>
        <v>1</v>
      </c>
      <c r="F3" s="375" t="str">
        <f>VLOOKUP(E3,$A$3:$C$240,3,FALSE)</f>
        <v>Anne WILLIAM (b. 1738, d. 24 May 1801)</v>
      </c>
      <c r="G3" s="31"/>
      <c r="H3" s="73"/>
      <c r="I3" s="371"/>
      <c r="J3" s="371"/>
      <c r="K3" s="371"/>
      <c r="L3" s="371"/>
      <c r="M3" s="371"/>
      <c r="N3" s="371"/>
      <c r="W3" s="142" t="s">
        <v>5726</v>
      </c>
    </row>
    <row r="4" spans="1:23" s="31" customFormat="1" ht="23" customHeight="1">
      <c r="A4" s="377" t="str">
        <f>IF(LEN(B4)=3,LEFT(B4,1),IF(LEN(B4)=4,LEFT(B4,2),LEFT(B4,3)))</f>
        <v>0</v>
      </c>
      <c r="B4" s="375" t="s">
        <v>4366</v>
      </c>
      <c r="C4" s="375" t="s">
        <v>4106</v>
      </c>
      <c r="D4" s="375"/>
      <c r="E4" s="376">
        <f>VALUE(BiographyMarriageDetsCountries!A4)</f>
        <v>2</v>
      </c>
      <c r="F4" s="375" t="str">
        <f t="shared" ref="F4:F67" si="0">VLOOKUP(E4,$A$3:$C$240,3,FALSE)</f>
        <v>Lewis DANIEL or DAVIES</v>
      </c>
      <c r="I4" s="371"/>
      <c r="J4" s="371"/>
      <c r="K4" s="371"/>
      <c r="L4" s="371"/>
      <c r="M4" s="371"/>
      <c r="N4" s="371"/>
    </row>
    <row r="5" spans="1:23" s="31" customFormat="1" ht="40">
      <c r="A5" s="377">
        <f>VALUE(IF(LEN(B5)=3,LEFT(B5,1),IF(LEN(B5)=4,LEFT(B5,2),LEFT(B5,3))))</f>
        <v>1</v>
      </c>
      <c r="B5" s="375" t="s">
        <v>4367</v>
      </c>
      <c r="C5" s="375" t="s">
        <v>4359</v>
      </c>
      <c r="D5" s="375"/>
      <c r="E5" s="376">
        <f>VALUE(BiographyMarriageDetsCountries!A5)</f>
        <v>3</v>
      </c>
      <c r="F5" s="375" t="str">
        <f t="shared" si="0"/>
        <v>Sarah  JONES (b. 9 Sep 1759, d. 1 Oct 1821)</v>
      </c>
      <c r="I5" s="372"/>
      <c r="J5" s="372"/>
      <c r="K5" s="372"/>
      <c r="L5" s="372"/>
      <c r="M5" s="372"/>
      <c r="N5" s="372"/>
      <c r="P5" s="370" t="e">
        <f>IF(ISNA(VLOOKUP(E3,$H$5:$I$66,2,FALSE)),VLOOKUP(E3,$O$5:$S$202,5,FALSE),VLOOKUP(E3,$H$5:$I$66,2,FALSE))</f>
        <v>#N/A</v>
      </c>
      <c r="Q5" s="31" t="str">
        <f>BiographyMarriageDetsCountries!B3</f>
        <v>Boy</v>
      </c>
      <c r="S5" s="369" t="str">
        <f>BiographyMarriageDetsCountries!E3</f>
        <v>Anne WILLIAM (b. 1738 , d. 24 May 1801)</v>
      </c>
    </row>
    <row r="6" spans="1:23" s="31" customFormat="1" ht="20">
      <c r="A6" s="377">
        <f>VALUE(IF(LEN(B6)=3,LEFT(B6,1),IF(LEN(B6)=4,LEFT(B6,2),LEFT(B6,3))))</f>
        <v>3</v>
      </c>
      <c r="B6" s="375" t="s">
        <v>4368</v>
      </c>
      <c r="C6" s="375" t="s">
        <v>3120</v>
      </c>
      <c r="D6" s="375"/>
      <c r="E6" s="376">
        <f>VALUE(BiographyMarriageDetsCountries!A6)</f>
        <v>4</v>
      </c>
      <c r="F6" s="375" t="str">
        <f t="shared" si="0"/>
        <v>Martha KIRKMAN (b. 17 Nov 1775, d. 4 Feb 1857)</v>
      </c>
      <c r="I6" s="371"/>
      <c r="J6" s="371"/>
      <c r="K6" s="371"/>
      <c r="L6" s="371"/>
      <c r="M6" s="371"/>
      <c r="N6" s="371"/>
      <c r="P6" s="370" t="e">
        <f>IF(ISNA(VLOOKUP(E4,$H$5:$I$66,2,FALSE)),VLOOKUP(E4,$O$5:$S$202,5,FALSE),VLOOKUP(E4,$H$5:$I$66,2,FALSE))</f>
        <v>#N/A</v>
      </c>
      <c r="Q6" s="31" t="str">
        <f>BiographyMarriageDetsCountries!B4</f>
        <v>Girl</v>
      </c>
      <c r="S6" s="369" t="str">
        <f>BiographyMarriageDetsCountries!E4</f>
        <v>Lewis DANIEL or DAVIES</v>
      </c>
    </row>
    <row r="7" spans="1:23" s="31" customFormat="1" ht="40">
      <c r="A7" s="377">
        <f>VALUE(IF(LEN(B7)=3,LEFT(B7,1),IF(LEN(B7)=4,LEFT(B7,2),LEFT(B7,3))))</f>
        <v>4</v>
      </c>
      <c r="B7" s="375" t="s">
        <v>4369</v>
      </c>
      <c r="C7" s="375" t="s">
        <v>3861</v>
      </c>
      <c r="D7" s="375"/>
      <c r="E7" s="376">
        <f>VALUE(BiographyMarriageDetsCountries!A7)</f>
        <v>5</v>
      </c>
      <c r="F7" s="375" t="str">
        <f t="shared" si="0"/>
        <v>Unmarried</v>
      </c>
      <c r="I7" s="371"/>
      <c r="J7" s="371"/>
      <c r="K7" s="371"/>
      <c r="L7" s="371"/>
      <c r="M7" s="371"/>
      <c r="N7" s="371"/>
      <c r="P7" s="370" t="e">
        <f>IF(ISNA(VLOOKUP(E5,$H$5:$I$66,2,FALSE)),VLOOKUP(E5,$O$5:$S$202,5,FALSE),VLOOKUP(E5,$H$5:$I$66,2,FALSE))</f>
        <v>#N/A</v>
      </c>
      <c r="Q7" s="31" t="str">
        <f>BiographyMarriageDetsCountries!B5</f>
        <v>Boy</v>
      </c>
      <c r="S7" s="369" t="str">
        <f>BiographyMarriageDetsCountries!E5</f>
        <v>(1) Sarah  JONES 7 (b. 9 Sep 1759, d. 1 Oct 1821).</v>
      </c>
    </row>
    <row r="8" spans="1:23" s="31" customFormat="1" ht="40">
      <c r="A8" s="377">
        <f>VALUE(IF(LEN(B8)=3,LEFT(B8,1),IF(LEN(B8)=4,LEFT(B8,2),LEFT(B8,3))))</f>
        <v>8</v>
      </c>
      <c r="B8" s="375" t="s">
        <v>4370</v>
      </c>
      <c r="C8" s="375" t="s">
        <v>2798</v>
      </c>
      <c r="D8" s="375"/>
      <c r="E8" s="376">
        <f>VALUE(BiographyMarriageDetsCountries!A8)</f>
        <v>6</v>
      </c>
      <c r="F8" s="375" t="e">
        <f t="shared" si="0"/>
        <v>#N/A</v>
      </c>
      <c r="I8" s="371"/>
      <c r="J8" s="371"/>
      <c r="K8" s="371"/>
      <c r="L8" s="371"/>
      <c r="M8" s="371"/>
      <c r="N8" s="371"/>
      <c r="P8" s="370" t="e">
        <f>IF(ISNA(VLOOKUP(E6,$H$5:$I$66,2,FALSE)),VLOOKUP(E6,$O$5:$S$202,5,FALSE),VLOOKUP(E6,$H$5:$I$66,2,FALSE))</f>
        <v>#N/A</v>
      </c>
      <c r="Q8" s="31" t="str">
        <f>BiographyMarriageDetsCountries!B6</f>
        <v>Boy</v>
      </c>
      <c r="S8" s="369" t="str">
        <f>BiographyMarriageDetsCountries!E6</f>
        <v>Martha KIRKMAN (b. 17 Nov 1775, d. 4 Feb 1857)</v>
      </c>
    </row>
    <row r="9" spans="1:23" s="31" customFormat="1" ht="20">
      <c r="A9" s="377">
        <f>VALUE(IF(LEN(B9)=3,LEFT(B9,1),IF(LEN(B9)=4,LEFT(B9,2),LEFT(B9,3))))</f>
        <v>9</v>
      </c>
      <c r="B9" s="375" t="s">
        <v>4371</v>
      </c>
      <c r="C9" s="375" t="s">
        <v>2799</v>
      </c>
      <c r="D9" s="375"/>
      <c r="E9" s="376">
        <f>VALUE(BiographyMarriageDetsCountries!A9)</f>
        <v>7</v>
      </c>
      <c r="F9" s="375" t="str">
        <f t="shared" si="0"/>
        <v>Unmarried</v>
      </c>
      <c r="I9" s="371"/>
      <c r="J9" s="371"/>
      <c r="K9" s="371"/>
      <c r="L9" s="371"/>
      <c r="M9" s="371"/>
      <c r="N9" s="371"/>
      <c r="P9" s="370" t="e">
        <f>IF(ISNA(VLOOKUP(E7,$H$5:$I$66,2,FALSE)),VLOOKUP(E7,$O$5:$S$202,5,FALSE),VLOOKUP(E7,$H$5:$I$66,2,FALSE))</f>
        <v>#N/A</v>
      </c>
      <c r="Q9" s="31" t="str">
        <f>BiographyMarriageDetsCountries!B7</f>
        <v>Girl</v>
      </c>
      <c r="S9" s="369" t="str">
        <f>BiographyMarriageDetsCountries!E7</f>
        <v>Unmarried</v>
      </c>
    </row>
    <row r="10" spans="1:23" s="31" customFormat="1" ht="20">
      <c r="A10" s="377">
        <f>VALUE(IF(LEN(B10)=3,LEFT(B10,1),IF(LEN(B10)=4,LEFT(B10,2),LEFT(B10,3))))</f>
        <v>14</v>
      </c>
      <c r="B10" s="375" t="s">
        <v>4372</v>
      </c>
      <c r="C10" s="375" t="s">
        <v>2803</v>
      </c>
      <c r="D10" s="375"/>
      <c r="E10" s="376">
        <f>VALUE(BiographyMarriageDetsCountries!A10)</f>
        <v>8</v>
      </c>
      <c r="F10" s="375" t="str">
        <f t="shared" si="0"/>
        <v>Sarah TAYLOR (b.5 Jul 1785, d. 19 Jan 1863)</v>
      </c>
      <c r="I10" s="371"/>
      <c r="J10" s="371"/>
      <c r="K10" s="371"/>
      <c r="L10" s="371"/>
      <c r="M10" s="371"/>
      <c r="N10" s="371"/>
      <c r="P10" s="370" t="e">
        <f>IF(ISNA(VLOOKUP(E8,$H$5:$I$66,2,FALSE)),VLOOKUP(E8,$O$5:$S$202,5,FALSE),VLOOKUP(E8,$H$5:$I$66,2,FALSE))</f>
        <v>#N/A</v>
      </c>
      <c r="Q10" s="31" t="str">
        <f>BiographyMarriageDetsCountries!B8</f>
        <v>Boy</v>
      </c>
      <c r="S10" s="369" t="str">
        <f>BiographyMarriageDetsCountries!E8</f>
        <v>Unmarried</v>
      </c>
    </row>
    <row r="11" spans="1:23" s="31" customFormat="1" ht="20">
      <c r="A11" s="377">
        <f>VALUE(IF(LEN(B11)=3,LEFT(B11,1),IF(LEN(B11)=4,LEFT(B11,2),LEFT(B11,3))))</f>
        <v>22</v>
      </c>
      <c r="B11" s="375" t="s">
        <v>4373</v>
      </c>
      <c r="C11" s="375" t="s">
        <v>2809</v>
      </c>
      <c r="D11" s="375"/>
      <c r="E11" s="376">
        <f>VALUE(BiographyMarriageDetsCountries!A11)</f>
        <v>9</v>
      </c>
      <c r="F11" s="375" t="str">
        <f t="shared" si="0"/>
        <v>Harriet  WRIGHT (b. 1798/99, d. 6 Nov 1864)</v>
      </c>
      <c r="I11" s="371"/>
      <c r="J11" s="371"/>
      <c r="K11" s="371"/>
      <c r="L11" s="371"/>
      <c r="M11" s="371"/>
      <c r="N11" s="371"/>
      <c r="P11" s="370" t="e">
        <f>IF(ISNA(VLOOKUP(E9,$H$5:$I$66,2,FALSE)),VLOOKUP(E9,$O$5:$S$202,5,FALSE),VLOOKUP(E9,$H$5:$I$66,2,FALSE))</f>
        <v>#N/A</v>
      </c>
      <c r="Q11" s="31" t="str">
        <f>BiographyMarriageDetsCountries!B9</f>
        <v>Girl</v>
      </c>
      <c r="S11" s="369" t="str">
        <f>BiographyMarriageDetsCountries!E9</f>
        <v>Unmarried</v>
      </c>
    </row>
    <row r="12" spans="1:23" s="31" customFormat="1" ht="40">
      <c r="A12" s="377">
        <f>VALUE(IF(LEN(B12)=3,LEFT(B12,1),IF(LEN(B12)=4,LEFT(B12,2),LEFT(B12,3))))</f>
        <v>23</v>
      </c>
      <c r="B12" s="375" t="s">
        <v>4374</v>
      </c>
      <c r="C12" s="375" t="s">
        <v>2821</v>
      </c>
      <c r="D12" s="375"/>
      <c r="E12" s="376">
        <f>VALUE(BiographyMarriageDetsCountries!A12)</f>
        <v>10</v>
      </c>
      <c r="F12" s="375" t="e">
        <f t="shared" si="0"/>
        <v>#N/A</v>
      </c>
      <c r="I12" s="371"/>
      <c r="J12" s="371"/>
      <c r="K12" s="371"/>
      <c r="L12" s="371"/>
      <c r="M12" s="371"/>
      <c r="N12" s="371"/>
      <c r="P12" s="370" t="e">
        <f>IF(ISNA(VLOOKUP(E10,$H$5:$I$66,2,FALSE)),VLOOKUP(E10,$O$5:$S$202,5,FALSE),VLOOKUP(E10,$H$5:$I$66,2,FALSE))</f>
        <v>#N/A</v>
      </c>
      <c r="Q12" s="31" t="str">
        <f>BiographyMarriageDetsCountries!B10</f>
        <v>Boy</v>
      </c>
      <c r="S12" s="369" t="str">
        <f>BiographyMarriageDetsCountries!E10</f>
        <v>Sarah TAYLOR (b.5 Jul 1785, d. 19 Jan 1863)</v>
      </c>
    </row>
    <row r="13" spans="1:23" s="31" customFormat="1" ht="40">
      <c r="A13" s="377">
        <f>VALUE(IF(LEN(B13)=3,LEFT(B13,1),IF(LEN(B13)=4,LEFT(B13,2),LEFT(B13,3))))</f>
        <v>28</v>
      </c>
      <c r="B13" s="375" t="s">
        <v>4375</v>
      </c>
      <c r="C13" s="375" t="s">
        <v>4361</v>
      </c>
      <c r="D13" s="375"/>
      <c r="E13" s="376">
        <f>VALUE(BiographyMarriageDetsCountries!A13)</f>
        <v>11</v>
      </c>
      <c r="F13" s="375" t="str">
        <f t="shared" si="0"/>
        <v>Henry Bombonus BENYON (b. 3 Mar 1806, d. 25 Feb 1849)</v>
      </c>
      <c r="I13" s="371"/>
      <c r="J13" s="371"/>
      <c r="K13" s="371"/>
      <c r="L13" s="371"/>
      <c r="M13" s="371"/>
      <c r="N13" s="371"/>
      <c r="P13" s="370" t="e">
        <f>IF(ISNA(VLOOKUP(E11,$H$5:$I$66,2,FALSE)),VLOOKUP(E11,$O$5:$S$202,5,FALSE),VLOOKUP(E11,$H$5:$I$66,2,FALSE))</f>
        <v>#N/A</v>
      </c>
      <c r="Q13" s="31" t="str">
        <f>BiographyMarriageDetsCountries!B11</f>
        <v>Boy</v>
      </c>
      <c r="S13" s="369" t="str">
        <f>BiographyMarriageDetsCountries!E11</f>
        <v>Harriet  WRIGHT (b. 1798/99, d. 6 Nov 1864)</v>
      </c>
    </row>
    <row r="14" spans="1:23" s="31" customFormat="1" ht="20">
      <c r="A14" s="377">
        <f>VALUE(IF(LEN(B14)=3,LEFT(B14,1),IF(LEN(B14)=4,LEFT(B14,2),LEFT(B14,3))))</f>
        <v>29</v>
      </c>
      <c r="B14" s="375" t="s">
        <v>4384</v>
      </c>
      <c r="C14" s="375" t="s">
        <v>2825</v>
      </c>
      <c r="D14" s="375"/>
      <c r="E14" s="376">
        <f>VALUE(BiographyMarriageDetsCountries!A14)</f>
        <v>12</v>
      </c>
      <c r="F14" s="375" t="str">
        <f t="shared" si="0"/>
        <v>Unmarried</v>
      </c>
      <c r="I14" s="371"/>
      <c r="J14" s="371"/>
      <c r="K14" s="371"/>
      <c r="L14" s="371"/>
      <c r="M14" s="371"/>
      <c r="N14" s="371"/>
      <c r="P14" s="370" t="e">
        <f>IF(ISNA(VLOOKUP(E12,$H$5:$I$66,2,FALSE)),VLOOKUP(E12,$O$5:$S$202,5,FALSE),VLOOKUP(E12,$H$5:$I$66,2,FALSE))</f>
        <v>#N/A</v>
      </c>
      <c r="Q14" s="31" t="str">
        <f>BiographyMarriageDetsCountries!B12</f>
        <v>Boy</v>
      </c>
      <c r="S14" s="369" t="str">
        <f>BiographyMarriageDetsCountries!E12</f>
        <v>Unmarried</v>
      </c>
    </row>
    <row r="15" spans="1:23" s="31" customFormat="1" ht="40">
      <c r="A15" s="377">
        <f>VALUE(IF(LEN(B15)=3,LEFT(B15,1),IF(LEN(B15)=4,LEFT(B15,2),LEFT(B15,3))))</f>
        <v>30</v>
      </c>
      <c r="B15" s="375" t="s">
        <v>4379</v>
      </c>
      <c r="C15" s="375" t="s">
        <v>2827</v>
      </c>
      <c r="D15" s="375"/>
      <c r="E15" s="376">
        <f>VALUE(BiographyMarriageDetsCountries!A15)</f>
        <v>13</v>
      </c>
      <c r="F15" s="375" t="e">
        <f t="shared" si="0"/>
        <v>#N/A</v>
      </c>
      <c r="I15" s="371"/>
      <c r="J15" s="371"/>
      <c r="K15" s="371"/>
      <c r="L15" s="371"/>
      <c r="M15" s="371"/>
      <c r="N15" s="371"/>
      <c r="P15" s="370" t="e">
        <f>IF(ISNA(VLOOKUP(E13,$H$5:$I$66,2,FALSE)),VLOOKUP(E13,$O$5:$S$202,5,FALSE),VLOOKUP(E13,$H$5:$I$66,2,FALSE))</f>
        <v>#N/A</v>
      </c>
      <c r="Q15" s="31" t="str">
        <f>BiographyMarriageDetsCountries!B13</f>
        <v>Girl</v>
      </c>
      <c r="S15" s="369" t="str">
        <f>BiographyMarriageDetsCountries!E13</f>
        <v>Henry Bombonus BENYON (b. 3 Mar 1806, d. 25 Feb 1849)</v>
      </c>
    </row>
    <row r="16" spans="1:23" s="31" customFormat="1" ht="20">
      <c r="A16" s="377">
        <f>VALUE(IF(LEN(B16)=3,LEFT(B16,1),IF(LEN(B16)=4,LEFT(B16,2),LEFT(B16,3))))</f>
        <v>32</v>
      </c>
      <c r="B16" s="375" t="s">
        <v>4377</v>
      </c>
      <c r="C16" s="375" t="s">
        <v>2829</v>
      </c>
      <c r="D16" s="375"/>
      <c r="E16" s="376">
        <f>VALUE(BiographyMarriageDetsCountries!A16)</f>
        <v>14</v>
      </c>
      <c r="F16" s="375" t="str">
        <f t="shared" si="0"/>
        <v>Annie Hurst HAIG (b. 3 Oct 1816, d. 28 May 1885)</v>
      </c>
      <c r="I16" s="371"/>
      <c r="J16" s="371"/>
      <c r="K16" s="371"/>
      <c r="L16" s="371"/>
      <c r="M16" s="371"/>
      <c r="N16" s="371"/>
      <c r="P16" s="370" t="e">
        <f>IF(ISNA(VLOOKUP(E14,$H$5:$I$66,2,FALSE)),VLOOKUP(E14,$O$5:$S$202,5,FALSE),VLOOKUP(E14,$H$5:$I$66,2,FALSE))</f>
        <v>#N/A</v>
      </c>
      <c r="Q16" s="31" t="str">
        <f>BiographyMarriageDetsCountries!B14</f>
        <v>Girl</v>
      </c>
      <c r="S16" s="369" t="str">
        <f>BiographyMarriageDetsCountries!E14</f>
        <v>Unmarried</v>
      </c>
    </row>
    <row r="17" spans="1:19" s="31" customFormat="1" ht="40">
      <c r="A17" s="377">
        <f>VALUE(IF(LEN(B17)=3,LEFT(B17,1),IF(LEN(B17)=4,LEFT(B17,2),LEFT(B17,3))))</f>
        <v>34</v>
      </c>
      <c r="B17" s="375" t="s">
        <v>4380</v>
      </c>
      <c r="C17" s="375" t="s">
        <v>2831</v>
      </c>
      <c r="D17" s="375"/>
      <c r="E17" s="376">
        <f>VALUE(BiographyMarriageDetsCountries!A17)</f>
        <v>15</v>
      </c>
      <c r="F17" s="375" t="str">
        <f t="shared" si="0"/>
        <v>Died in infancy.</v>
      </c>
      <c r="I17" s="371"/>
      <c r="J17" s="371"/>
      <c r="K17" s="371"/>
      <c r="L17" s="371"/>
      <c r="M17" s="371"/>
      <c r="N17" s="371"/>
      <c r="P17" s="370" t="e">
        <f>IF(ISNA(VLOOKUP(E15,$H$5:$I$66,2,FALSE)),VLOOKUP(E15,$O$5:$S$202,5,FALSE),VLOOKUP(E15,$H$5:$I$66,2,FALSE))</f>
        <v>#N/A</v>
      </c>
      <c r="Q17" s="31" t="str">
        <f>BiographyMarriageDetsCountries!B15</f>
        <v>Boy</v>
      </c>
      <c r="S17" s="369" t="str">
        <f>BiographyMarriageDetsCountries!E15</f>
        <v>Frances Harriet IRBY (b. 25 Feb 1817, d. 27 Jan 1902)</v>
      </c>
    </row>
    <row r="18" spans="1:19" s="31" customFormat="1" ht="40">
      <c r="A18" s="377">
        <f>VALUE(IF(LEN(B18)=3,LEFT(B18,1),IF(LEN(B18)=4,LEFT(B18,2),LEFT(B18,3))))</f>
        <v>35</v>
      </c>
      <c r="B18" s="375" t="s">
        <v>4378</v>
      </c>
      <c r="C18" s="375" t="s">
        <v>3867</v>
      </c>
      <c r="D18" s="375"/>
      <c r="E18" s="376">
        <f>VALUE(BiographyMarriageDetsCountries!A18)</f>
        <v>16</v>
      </c>
      <c r="F18" s="375" t="str">
        <f t="shared" si="0"/>
        <v>Thomas NORTH (b. 1809/10, d. 30 Oct 1886)</v>
      </c>
      <c r="I18" s="371"/>
      <c r="J18" s="371"/>
      <c r="K18" s="371"/>
      <c r="L18" s="371"/>
      <c r="M18" s="371"/>
      <c r="N18" s="371"/>
      <c r="P18" s="370" t="e">
        <f>IF(ISNA(VLOOKUP(E16,$H$5:$I$66,2,FALSE)),VLOOKUP(E16,$O$5:$S$202,5,FALSE),VLOOKUP(E16,$H$5:$I$66,2,FALSE))</f>
        <v>#N/A</v>
      </c>
      <c r="Q18" s="31" t="str">
        <f>BiographyMarriageDetsCountries!B16</f>
        <v>Boy</v>
      </c>
      <c r="S18" s="369" t="str">
        <f>BiographyMarriageDetsCountries!E16</f>
        <v>Annie Hurst HAIG (b. 3 Oct 1816, d. 28 May 1885)</v>
      </c>
    </row>
    <row r="19" spans="1:19" s="31" customFormat="1" ht="20">
      <c r="A19" s="377">
        <f>VALUE(IF(LEN(B19)=3,LEFT(B19,1),IF(LEN(B19)=4,LEFT(B19,2),LEFT(B19,3))))</f>
        <v>41</v>
      </c>
      <c r="B19" s="375" t="s">
        <v>4376</v>
      </c>
      <c r="C19" s="375" t="s">
        <v>2835</v>
      </c>
      <c r="D19" s="375"/>
      <c r="E19" s="376">
        <f>VALUE(BiographyMarriageDetsCountries!A19)</f>
        <v>17</v>
      </c>
      <c r="F19" s="375" t="e">
        <f t="shared" si="0"/>
        <v>#N/A</v>
      </c>
      <c r="I19" s="371"/>
      <c r="J19" s="371"/>
      <c r="K19" s="371"/>
      <c r="L19" s="371"/>
      <c r="M19" s="371"/>
      <c r="N19" s="371"/>
      <c r="P19" s="370" t="e">
        <f>IF(ISNA(VLOOKUP(E17,$H$5:$I$66,2,FALSE)),VLOOKUP(E17,$O$5:$S$202,5,FALSE),VLOOKUP(E17,$H$5:$I$66,2,FALSE))</f>
        <v>#N/A</v>
      </c>
      <c r="Q19" s="31" t="str">
        <f>BiographyMarriageDetsCountries!B17</f>
        <v>Girl</v>
      </c>
      <c r="S19" s="369" t="str">
        <f>BiographyMarriageDetsCountries!E17</f>
        <v>Died in infancy.</v>
      </c>
    </row>
    <row r="20" spans="1:19" s="31" customFormat="1" ht="40">
      <c r="A20" s="377">
        <f>VALUE(IF(LEN(B20)=3,LEFT(B20,1),IF(LEN(B20)=4,LEFT(B20,2),LEFT(B20,3))))</f>
        <v>44</v>
      </c>
      <c r="B20" s="375" t="s">
        <v>4381</v>
      </c>
      <c r="C20" s="375" t="s">
        <v>4362</v>
      </c>
      <c r="D20" s="375"/>
      <c r="E20" s="376">
        <f>VALUE(BiographyMarriageDetsCountries!A20)</f>
        <v>18</v>
      </c>
      <c r="F20" s="375" t="str">
        <f t="shared" si="0"/>
        <v>James Dyce NICOL MP (b. 13 Aug 1805, d. 16 Nov 1872)</v>
      </c>
      <c r="I20" s="371"/>
      <c r="J20" s="371"/>
      <c r="K20" s="371"/>
      <c r="L20" s="371"/>
      <c r="M20" s="371"/>
      <c r="N20" s="371"/>
      <c r="P20" s="370" t="e">
        <f>IF(ISNA(VLOOKUP(E18,$H$5:$I$66,2,FALSE)),VLOOKUP(E18,$O$5:$S$202,5,FALSE),VLOOKUP(E18,$H$5:$I$66,2,FALSE))</f>
        <v>#N/A</v>
      </c>
      <c r="Q20" s="31" t="str">
        <f>BiographyMarriageDetsCountries!B18</f>
        <v>Girl</v>
      </c>
      <c r="S20" s="369" t="str">
        <f>BiographyMarriageDetsCountries!E18</f>
        <v>Thomas NORTH (b. 1809/10, d. 30 Oct 1886)</v>
      </c>
    </row>
    <row r="21" spans="1:19" s="31" customFormat="1" ht="20">
      <c r="A21" s="377">
        <f>VALUE(IF(LEN(B21)=3,LEFT(B21,1),IF(LEN(B21)=4,LEFT(B21,2),LEFT(B21,3))))</f>
        <v>45</v>
      </c>
      <c r="B21" s="375" t="s">
        <v>4382</v>
      </c>
      <c r="C21" s="375" t="s">
        <v>2838</v>
      </c>
      <c r="D21" s="375"/>
      <c r="E21" s="376">
        <f>VALUE(BiographyMarriageDetsCountries!A21)</f>
        <v>19</v>
      </c>
      <c r="F21" s="375" t="str">
        <f t="shared" si="0"/>
        <v>William ENTWISLE (b. 30 Sep 1809, d. 18 Aug 1865)</v>
      </c>
      <c r="I21" s="371"/>
      <c r="J21" s="371"/>
      <c r="K21" s="371"/>
      <c r="L21" s="371"/>
      <c r="M21" s="371"/>
      <c r="N21" s="371"/>
      <c r="P21" s="370" t="e">
        <f>IF(ISNA(VLOOKUP(E19,$H$5:$I$66,2,FALSE)),VLOOKUP(E19,$O$5:$S$202,5,FALSE),VLOOKUP(E19,$H$5:$I$66,2,FALSE))</f>
        <v>#N/A</v>
      </c>
      <c r="Q21" s="31" t="str">
        <f>BiographyMarriageDetsCountries!B19</f>
        <v>Boy</v>
      </c>
      <c r="S21" s="369" t="str">
        <f>BiographyMarriageDetsCountries!E19</f>
        <v>Died in infancy.</v>
      </c>
    </row>
    <row r="22" spans="1:19" s="31" customFormat="1" ht="40">
      <c r="A22" s="377">
        <f>VALUE(IF(LEN(B22)=3,LEFT(B22,1),IF(LEN(B22)=4,LEFT(B22,2),LEFT(B22,3))))</f>
        <v>46</v>
      </c>
      <c r="B22" s="375" t="s">
        <v>4383</v>
      </c>
      <c r="C22" s="375" t="s">
        <v>2840</v>
      </c>
      <c r="D22" s="375"/>
      <c r="E22" s="376">
        <f>VALUE(BiographyMarriageDetsCountries!A22)</f>
        <v>20</v>
      </c>
      <c r="F22" s="375" t="e">
        <f t="shared" si="0"/>
        <v>#N/A</v>
      </c>
      <c r="I22" s="371"/>
      <c r="J22" s="371"/>
      <c r="K22" s="371"/>
      <c r="L22" s="371"/>
      <c r="M22" s="371"/>
      <c r="N22" s="371"/>
      <c r="P22" s="370" t="e">
        <f>IF(ISNA(VLOOKUP(E20,$H$5:$I$66,2,FALSE)),VLOOKUP(E20,$O$5:$S$202,5,FALSE),VLOOKUP(E20,$H$5:$I$66,2,FALSE))</f>
        <v>#N/A</v>
      </c>
      <c r="Q22" s="31" t="str">
        <f>BiographyMarriageDetsCountries!B20</f>
        <v>Girl</v>
      </c>
      <c r="S22" s="369" t="str">
        <f>BiographyMarriageDetsCountries!E20</f>
        <v>James Dyce NICOL MP (b. 13 Aug 1805, d. 16 Nov 1872)</v>
      </c>
    </row>
    <row r="23" spans="1:19" s="31" customFormat="1" ht="40">
      <c r="A23" s="377">
        <f>VALUE(IF(LEN(B23)=3,LEFT(B23,1),IF(LEN(B23)=4,LEFT(B23,2),LEFT(B23,3))))</f>
        <v>52</v>
      </c>
      <c r="B23" s="375" t="s">
        <v>4389</v>
      </c>
      <c r="C23" s="375" t="s">
        <v>2844</v>
      </c>
      <c r="D23" s="375"/>
      <c r="E23" s="376">
        <f>VALUE(BiographyMarriageDetsCountries!A23)</f>
        <v>21</v>
      </c>
      <c r="F23" s="375" t="e">
        <f t="shared" si="0"/>
        <v>#N/A</v>
      </c>
      <c r="I23" s="371"/>
      <c r="J23" s="371"/>
      <c r="K23" s="371"/>
      <c r="L23" s="371"/>
      <c r="M23" s="371"/>
      <c r="N23" s="371"/>
      <c r="P23" s="370" t="e">
        <f>IF(ISNA(VLOOKUP(E21,$H$5:$I$66,2,FALSE)),VLOOKUP(E21,$O$5:$S$202,5,FALSE),VLOOKUP(E21,$H$5:$I$66,2,FALSE))</f>
        <v>#N/A</v>
      </c>
      <c r="Q23" s="31" t="str">
        <f>BiographyMarriageDetsCountries!B21</f>
        <v>Girl</v>
      </c>
      <c r="S23" s="369" t="str">
        <f>BiographyMarriageDetsCountries!E21</f>
        <v>William ENTWISLE (b. 30 Sep 1809, d. 18 Aug 1865)</v>
      </c>
    </row>
    <row r="24" spans="1:19" s="31" customFormat="1" ht="20">
      <c r="A24" s="377">
        <f>VALUE(IF(LEN(B24)=3,LEFT(B24,1),IF(LEN(B24)=4,LEFT(B24,2),LEFT(B24,3))))</f>
        <v>53</v>
      </c>
      <c r="B24" s="375" t="s">
        <v>4391</v>
      </c>
      <c r="C24" s="375" t="s">
        <v>2845</v>
      </c>
      <c r="D24" s="375"/>
      <c r="E24" s="376">
        <f>VALUE(BiographyMarriageDetsCountries!A24)</f>
        <v>22</v>
      </c>
      <c r="F24" s="375" t="str">
        <f t="shared" si="0"/>
        <v>Caroline Louisa FOSTER (b. 6 Aug 1825, d. 8 Feb 1900)</v>
      </c>
      <c r="I24" s="371"/>
      <c r="J24" s="371"/>
      <c r="K24" s="371"/>
      <c r="L24" s="371"/>
      <c r="M24" s="371"/>
      <c r="N24" s="371"/>
      <c r="P24" s="370" t="e">
        <f>IF(ISNA(VLOOKUP(E22,$H$5:$I$66,2,FALSE)),VLOOKUP(E22,$O$5:$S$202,5,FALSE),VLOOKUP(E22,$H$5:$I$66,2,FALSE))</f>
        <v>#N/A</v>
      </c>
      <c r="Q24" s="31" t="str">
        <f>BiographyMarriageDetsCountries!B22</f>
        <v>Boy</v>
      </c>
      <c r="S24" s="369" t="str">
        <f>BiographyMarriageDetsCountries!E22</f>
        <v>Died in infancy.</v>
      </c>
    </row>
    <row r="25" spans="1:19" s="31" customFormat="1" ht="20">
      <c r="A25" s="377">
        <f>VALUE(IF(LEN(B25)=3,LEFT(B25,1),IF(LEN(B25)=4,LEFT(B25,2),LEFT(B25,3))))</f>
        <v>54</v>
      </c>
      <c r="B25" s="375" t="s">
        <v>4388</v>
      </c>
      <c r="C25" s="375" t="s">
        <v>2847</v>
      </c>
      <c r="D25" s="375"/>
      <c r="E25" s="376">
        <f>VALUE(BiographyMarriageDetsCountries!A25)</f>
        <v>23</v>
      </c>
      <c r="F25" s="375" t="str">
        <f t="shared" si="0"/>
        <v>Caroline Gertrude Walker VIVIAN (b. 1829, d. 28 Nov 1893)</v>
      </c>
      <c r="I25" s="371"/>
      <c r="J25" s="371"/>
      <c r="K25" s="371"/>
      <c r="L25" s="371"/>
      <c r="M25" s="371"/>
      <c r="N25" s="371"/>
      <c r="P25" s="370" t="e">
        <f>IF(ISNA(VLOOKUP(E23,$H$5:$I$66,2,FALSE)),VLOOKUP(E23,$O$5:$S$202,5,FALSE),VLOOKUP(E23,$H$5:$I$66,2,FALSE))</f>
        <v>#N/A</v>
      </c>
      <c r="Q25" s="31" t="str">
        <f>BiographyMarriageDetsCountries!B23</f>
        <v>Boy</v>
      </c>
      <c r="S25" s="369" t="str">
        <f>BiographyMarriageDetsCountries!E23</f>
        <v>Unmarried</v>
      </c>
    </row>
    <row r="26" spans="1:19" s="31" customFormat="1" ht="40">
      <c r="A26" s="377">
        <f>VALUE(IF(LEN(B26)=3,LEFT(B26,1),IF(LEN(B26)=4,LEFT(B26,2),LEFT(B26,3))))</f>
        <v>55</v>
      </c>
      <c r="B26" s="375" t="s">
        <v>4396</v>
      </c>
      <c r="C26" s="375" t="s">
        <v>4363</v>
      </c>
      <c r="D26" s="375"/>
      <c r="E26" s="376">
        <f>VALUE(BiographyMarriageDetsCountries!A26)</f>
        <v>24</v>
      </c>
      <c r="F26" s="375" t="str">
        <f t="shared" si="0"/>
        <v>James Sidney STOPFORD (b. 1807/08, d. 8 Jul 1885)</v>
      </c>
      <c r="I26" s="371"/>
      <c r="J26" s="371"/>
      <c r="K26" s="371"/>
      <c r="L26" s="371"/>
      <c r="M26" s="371"/>
      <c r="N26" s="371"/>
      <c r="P26" s="370" t="e">
        <f>IF(ISNA(VLOOKUP(E24,$H$5:$I$66,2,FALSE)),VLOOKUP(E24,$O$5:$S$202,5,FALSE),VLOOKUP(E24,$H$5:$I$66,2,FALSE))</f>
        <v>#N/A</v>
      </c>
      <c r="Q26" s="31" t="str">
        <f>BiographyMarriageDetsCountries!B24</f>
        <v>Boy</v>
      </c>
      <c r="S26" s="369" t="str">
        <f>BiographyMarriageDetsCountries!E24</f>
        <v>Caroline Louisa FOSTER (b. 6 Aug 1825, d. 8 Feb 1900)</v>
      </c>
    </row>
    <row r="27" spans="1:19" s="31" customFormat="1" ht="40">
      <c r="A27" s="377">
        <f>VALUE(IF(LEN(B27)=3,LEFT(B27,1),IF(LEN(B27)=4,LEFT(B27,2),LEFT(B27,3))))</f>
        <v>56</v>
      </c>
      <c r="B27" s="375" t="s">
        <v>4385</v>
      </c>
      <c r="C27" s="375" t="s">
        <v>2849</v>
      </c>
      <c r="D27" s="375"/>
      <c r="E27" s="376">
        <f>VALUE(BiographyMarriageDetsCountries!A27)</f>
        <v>25</v>
      </c>
      <c r="F27" s="375" t="e">
        <f t="shared" si="0"/>
        <v>#N/A</v>
      </c>
      <c r="I27" s="371"/>
      <c r="J27" s="371"/>
      <c r="K27" s="371"/>
      <c r="L27" s="371"/>
      <c r="M27" s="371"/>
      <c r="N27" s="371"/>
      <c r="P27" s="370" t="e">
        <f>IF(ISNA(VLOOKUP(E25,$H$5:$I$66,2,FALSE)),VLOOKUP(E25,$O$5:$S$202,5,FALSE),VLOOKUP(E25,$H$5:$I$66,2,FALSE))</f>
        <v>#N/A</v>
      </c>
      <c r="Q27" s="31" t="str">
        <f>BiographyMarriageDetsCountries!B25</f>
        <v>Boy</v>
      </c>
      <c r="S27" s="369" t="str">
        <f>BiographyMarriageDetsCountries!E25</f>
        <v>Caroline Gertrude Walker VIVIAN (b. 1829, d. 28 Nov 1893)</v>
      </c>
    </row>
    <row r="28" spans="1:19" s="31" customFormat="1" ht="40">
      <c r="A28" s="377">
        <f>VALUE(IF(LEN(B28)=3,LEFT(B28,1),IF(LEN(B28)=4,LEFT(B28,2),LEFT(B28,3))))</f>
        <v>62</v>
      </c>
      <c r="B28" s="375" t="s">
        <v>4393</v>
      </c>
      <c r="C28" s="375" t="s">
        <v>2852</v>
      </c>
      <c r="D28" s="375"/>
      <c r="E28" s="376">
        <f>VALUE(BiographyMarriageDetsCountries!A28)</f>
        <v>26</v>
      </c>
      <c r="F28" s="375" t="str">
        <f t="shared" si="0"/>
        <v>Robert James LINDSAY (b. 16 Apr 1832, d. 10 Jan 1901)</v>
      </c>
      <c r="I28" s="371"/>
      <c r="J28" s="371"/>
      <c r="K28" s="371"/>
      <c r="L28" s="371"/>
      <c r="M28" s="371"/>
      <c r="N28" s="371"/>
      <c r="P28" s="370" t="e">
        <f>IF(ISNA(VLOOKUP(E26,$H$5:$I$66,2,FALSE)),VLOOKUP(E26,$O$5:$S$202,5,FALSE),VLOOKUP(E26,$H$5:$I$66,2,FALSE))</f>
        <v>#N/A</v>
      </c>
      <c r="Q28" s="31" t="str">
        <f>BiographyMarriageDetsCountries!B26</f>
        <v>Girl</v>
      </c>
      <c r="S28" s="369" t="str">
        <f>BiographyMarriageDetsCountries!E26</f>
        <v>James Sidney STOPFORD (b. 1807/08, d. 8 Jul 1885)</v>
      </c>
    </row>
    <row r="29" spans="1:19" s="31" customFormat="1" ht="20">
      <c r="A29" s="377">
        <f>VALUE(IF(LEN(B29)=3,LEFT(B29,1),IF(LEN(B29)=4,LEFT(B29,2),LEFT(B29,3))))</f>
        <v>66</v>
      </c>
      <c r="B29" s="375" t="s">
        <v>4387</v>
      </c>
      <c r="C29" s="375" t="s">
        <v>3122</v>
      </c>
      <c r="D29" s="375"/>
      <c r="E29" s="376">
        <f>VALUE(BiographyMarriageDetsCountries!A29)</f>
        <v>27</v>
      </c>
      <c r="F29" s="375" t="e">
        <f t="shared" si="0"/>
        <v>#N/A</v>
      </c>
      <c r="I29" s="371"/>
      <c r="J29" s="371"/>
      <c r="K29" s="371"/>
      <c r="L29" s="371"/>
      <c r="M29" s="371"/>
      <c r="N29" s="371"/>
      <c r="P29" s="370" t="e">
        <f>IF(ISNA(VLOOKUP(E27,$H$5:$I$66,2,FALSE)),VLOOKUP(E27,$O$5:$S$202,5,FALSE),VLOOKUP(E27,$H$5:$I$66,2,FALSE))</f>
        <v>#N/A</v>
      </c>
      <c r="Q29" s="31" t="str">
        <f>BiographyMarriageDetsCountries!B27</f>
        <v>Boy</v>
      </c>
      <c r="S29" s="369" t="str">
        <f>BiographyMarriageDetsCountries!E27</f>
        <v>Died in infancy.</v>
      </c>
    </row>
    <row r="30" spans="1:19" s="31" customFormat="1" ht="40">
      <c r="A30" s="377">
        <f>VALUE(IF(LEN(B30)=3,LEFT(B30,1),IF(LEN(B30)=4,LEFT(B30,2),LEFT(B30,3))))</f>
        <v>68</v>
      </c>
      <c r="B30" s="375" t="s">
        <v>4390</v>
      </c>
      <c r="C30" s="375" t="s">
        <v>4365</v>
      </c>
      <c r="D30" s="375"/>
      <c r="E30" s="376">
        <f>VALUE(BiographyMarriageDetsCountries!A30)</f>
        <v>28</v>
      </c>
      <c r="F30" s="375" t="str">
        <f t="shared" si="0"/>
        <v xml:space="preserve">Emily Harriet (Milly) SMYTH (b. 30 Aug 1852, d. 25 Feb 1911) </v>
      </c>
      <c r="I30" s="371"/>
      <c r="J30" s="371"/>
      <c r="K30" s="371"/>
      <c r="L30" s="371"/>
      <c r="M30" s="371"/>
      <c r="N30" s="371"/>
      <c r="P30" s="370" t="e">
        <f>IF(ISNA(VLOOKUP(E28,$H$5:$I$66,2,FALSE)),VLOOKUP(E28,$O$5:$S$202,5,FALSE),VLOOKUP(E28,$H$5:$I$66,2,FALSE))</f>
        <v>#N/A</v>
      </c>
      <c r="Q30" s="31" t="str">
        <f>BiographyMarriageDetsCountries!B28</f>
        <v>Girl</v>
      </c>
      <c r="S30" s="369" t="str">
        <f>BiographyMarriageDetsCountries!E28</f>
        <v>Robert James LINDSAY (b. 16 Apr 1832, d. 10 Jan 1901)</v>
      </c>
    </row>
    <row r="31" spans="1:19" s="31" customFormat="1" ht="20">
      <c r="A31" s="377">
        <f>VALUE(IF(LEN(B31)=3,LEFT(B31,1),IF(LEN(B31)=4,LEFT(B31,2),LEFT(B31,3))))</f>
        <v>71</v>
      </c>
      <c r="B31" s="375" t="s">
        <v>4386</v>
      </c>
      <c r="C31" s="375" t="s">
        <v>3121</v>
      </c>
      <c r="D31" s="375"/>
      <c r="E31" s="376">
        <f>VALUE(BiographyMarriageDetsCountries!A31)</f>
        <v>29</v>
      </c>
      <c r="F31" s="375" t="str">
        <f t="shared" si="0"/>
        <v>Mary Douglas Reid (Minnie) AULD (b. 3 Aug 1850, d. May 1938)</v>
      </c>
      <c r="I31" s="371"/>
      <c r="J31" s="371"/>
      <c r="K31" s="371"/>
      <c r="L31" s="371"/>
      <c r="M31" s="371"/>
      <c r="N31" s="371"/>
      <c r="P31" s="370" t="e">
        <f>IF(ISNA(VLOOKUP(E29,$H$5:$I$66,2,FALSE)),VLOOKUP(E29,$O$5:$S$202,5,FALSE),VLOOKUP(E29,$H$5:$I$66,2,FALSE))</f>
        <v>#N/A</v>
      </c>
      <c r="Q31" s="31" t="str">
        <f>BiographyMarriageDetsCountries!B29</f>
        <v>Boy</v>
      </c>
      <c r="S31" s="369" t="str">
        <f>BiographyMarriageDetsCountries!E29</f>
        <v>Died in infancy.</v>
      </c>
    </row>
    <row r="32" spans="1:19" s="31" customFormat="1" ht="40">
      <c r="A32" s="377">
        <f>VALUE(IF(LEN(B32)=3,LEFT(B32,1),IF(LEN(B32)=4,LEFT(B32,2),LEFT(B32,3))))</f>
        <v>72</v>
      </c>
      <c r="B32" s="375" t="s">
        <v>4394</v>
      </c>
      <c r="C32" s="375" t="s">
        <v>2862</v>
      </c>
      <c r="D32" s="375"/>
      <c r="E32" s="376">
        <f>VALUE(BiographyMarriageDetsCountries!A32)</f>
        <v>30</v>
      </c>
      <c r="F32" s="375" t="str">
        <f t="shared" si="0"/>
        <v>Henrietta Louisa CLUTTERBUCK (b. 23 Jan 1856, d. 14 Jan 1931)</v>
      </c>
      <c r="I32" s="371"/>
      <c r="J32" s="371"/>
      <c r="K32" s="371"/>
      <c r="L32" s="371"/>
      <c r="M32" s="371"/>
      <c r="N32" s="371"/>
      <c r="P32" s="370" t="e">
        <f>IF(ISNA(VLOOKUP(E30,$H$5:$I$66,2,FALSE)),VLOOKUP(E30,$O$5:$S$202,5,FALSE),VLOOKUP(E30,$H$5:$I$66,2,FALSE))</f>
        <v>#N/A</v>
      </c>
      <c r="Q32" s="31" t="str">
        <f>BiographyMarriageDetsCountries!B30</f>
        <v>Boy</v>
      </c>
      <c r="S32" s="369" t="str">
        <f>BiographyMarriageDetsCountries!E30</f>
        <v>Emily Harriet (Milly) SMYTH (b. 30 Aug 1852, d. 25 Feb 1911)</v>
      </c>
    </row>
    <row r="33" spans="1:19" s="31" customFormat="1" ht="60">
      <c r="A33" s="377">
        <f>VALUE(IF(LEN(B33)=3,LEFT(B33,1),IF(LEN(B33)=4,LEFT(B33,2),LEFT(B33,3))))</f>
        <v>76</v>
      </c>
      <c r="B33" s="375" t="s">
        <v>4395</v>
      </c>
      <c r="C33" s="375" t="s">
        <v>3146</v>
      </c>
      <c r="D33" s="375"/>
      <c r="E33" s="376">
        <f>VALUE(BiographyMarriageDetsCountries!A33)</f>
        <v>31</v>
      </c>
      <c r="F33" s="375" t="str">
        <f t="shared" si="0"/>
        <v>Unmarried</v>
      </c>
      <c r="I33" s="371"/>
      <c r="J33" s="371"/>
      <c r="K33" s="371"/>
      <c r="L33" s="371"/>
      <c r="M33" s="371"/>
      <c r="N33" s="371"/>
      <c r="P33" s="370" t="e">
        <f>IF(ISNA(VLOOKUP(E31,$H$5:$I$66,2,FALSE)),VLOOKUP(E31,$O$5:$S$202,5,FALSE),VLOOKUP(E31,$H$5:$I$66,2,FALSE))</f>
        <v>#N/A</v>
      </c>
      <c r="Q33" s="31" t="str">
        <f>BiographyMarriageDetsCountries!B31</f>
        <v>Boy</v>
      </c>
      <c r="S33" s="369" t="str">
        <f>BiographyMarriageDetsCountries!E31</f>
        <v>Mary Douglas Reid (Minnie) AULD (b. 3 Aug 1850, d. May 1938)</v>
      </c>
    </row>
    <row r="34" spans="1:19" s="31" customFormat="1" ht="40">
      <c r="A34" s="377">
        <f>VALUE(IF(LEN(B34)=3,LEFT(B34,1),IF(LEN(B34)=4,LEFT(B34,2),LEFT(B34,3))))</f>
        <v>77</v>
      </c>
      <c r="B34" s="375" t="s">
        <v>4392</v>
      </c>
      <c r="C34" s="375" t="s">
        <v>2865</v>
      </c>
      <c r="D34" s="375"/>
      <c r="E34" s="376">
        <f>VALUE(BiographyMarriageDetsCountries!A34)</f>
        <v>32</v>
      </c>
      <c r="F34" s="375" t="str">
        <f t="shared" si="0"/>
        <v>Frances Maria Jane FETHERSTONHAUGH (b. 10 Feb 1855, d. 6 May 1929)</v>
      </c>
      <c r="I34" s="371"/>
      <c r="J34" s="371"/>
      <c r="K34" s="371"/>
      <c r="L34" s="371"/>
      <c r="M34" s="371"/>
      <c r="N34" s="371"/>
      <c r="P34" s="370" t="e">
        <f>IF(ISNA(VLOOKUP(E32,$H$5:$I$66,2,FALSE)),VLOOKUP(E32,$O$5:$S$202,5,FALSE),VLOOKUP(E32,$H$5:$I$66,2,FALSE))</f>
        <v>#N/A</v>
      </c>
      <c r="Q34" s="31" t="str">
        <f>BiographyMarriageDetsCountries!B32</f>
        <v>Boy</v>
      </c>
      <c r="S34" s="369" t="str">
        <f>BiographyMarriageDetsCountries!E32</f>
        <v>Henrietta Louisa CLUTTERBUCK (b. 23 Jan 1856, d. 14 Jan 1931)</v>
      </c>
    </row>
    <row r="35" spans="1:19" s="31" customFormat="1" ht="20">
      <c r="A35" s="116">
        <v>78</v>
      </c>
      <c r="B35" s="375" t="s">
        <v>4398</v>
      </c>
      <c r="C35" s="375" t="s">
        <v>3145</v>
      </c>
      <c r="D35" s="375"/>
      <c r="E35" s="376">
        <f>VALUE(BiographyMarriageDetsCountries!A35)</f>
        <v>33</v>
      </c>
      <c r="F35" s="375" t="e">
        <f t="shared" si="0"/>
        <v>#N/A</v>
      </c>
      <c r="I35" s="371"/>
      <c r="J35" s="371"/>
      <c r="K35" s="371"/>
      <c r="L35" s="371"/>
      <c r="M35" s="371"/>
      <c r="N35" s="371"/>
      <c r="P35" s="370" t="e">
        <f>IF(ISNA(VLOOKUP(E33,$H$5:$I$66,2,FALSE)),VLOOKUP(E33,$O$5:$S$202,5,FALSE),VLOOKUP(E33,$H$5:$I$66,2,FALSE))</f>
        <v>#N/A</v>
      </c>
      <c r="Q35" s="31" t="str">
        <f>BiographyMarriageDetsCountries!B33</f>
        <v>Girl</v>
      </c>
      <c r="S35" s="369" t="str">
        <f>BiographyMarriageDetsCountries!E33</f>
        <v>Unmarried</v>
      </c>
    </row>
    <row r="36" spans="1:19" s="31" customFormat="1" ht="60">
      <c r="A36" s="116">
        <v>78</v>
      </c>
      <c r="B36" s="375" t="s">
        <v>4404</v>
      </c>
      <c r="C36" s="375" t="s">
        <v>3804</v>
      </c>
      <c r="D36" s="375"/>
      <c r="E36" s="376">
        <f>VALUE(BiographyMarriageDetsCountries!A36)</f>
        <v>34</v>
      </c>
      <c r="F36" s="375" t="str">
        <f t="shared" si="0"/>
        <v>Millicent Blandinah KESTEVEN (b. 1850/51, d. 22 Jun 1945)</v>
      </c>
      <c r="I36" s="371"/>
      <c r="J36" s="371"/>
      <c r="K36" s="371"/>
      <c r="L36" s="371"/>
      <c r="M36" s="371"/>
      <c r="N36" s="371"/>
      <c r="P36" s="370" t="e">
        <f>IF(ISNA(VLOOKUP(E34,$H$5:$I$66,2,FALSE)),VLOOKUP(E34,$O$5:$S$202,5,FALSE),VLOOKUP(E34,$H$5:$I$66,2,FALSE))</f>
        <v>#N/A</v>
      </c>
      <c r="Q36" s="31" t="str">
        <f>BiographyMarriageDetsCountries!B34</f>
        <v>Boy</v>
      </c>
      <c r="S36" s="369" t="str">
        <f>BiographyMarriageDetsCountries!E34</f>
        <v>Frances Maria Jane FETHERSTONHAUGH (b. 10 Feb 1855, d. 6 May 1929)</v>
      </c>
    </row>
    <row r="37" spans="1:19" s="31" customFormat="1" ht="20">
      <c r="A37" s="377">
        <f>VALUE(IF(LEN(B37)=3,LEFT(B37,1),IF(LEN(B37)=4,LEFT(B37,2),LEFT(B37,3))))</f>
        <v>80</v>
      </c>
      <c r="B37" s="375" t="s">
        <v>4397</v>
      </c>
      <c r="C37" s="375" t="s">
        <v>3579</v>
      </c>
      <c r="D37" s="375"/>
      <c r="E37" s="376">
        <f>VALUE(BiographyMarriageDetsCountries!A37)</f>
        <v>35</v>
      </c>
      <c r="F37" s="375" t="str">
        <f t="shared" si="0"/>
        <v>Lady Mary Sophia HELY-HUTCHINSON (b. 22 Sep 1853, d. 30 Jul 1936)</v>
      </c>
      <c r="I37" s="371"/>
      <c r="J37" s="371"/>
      <c r="K37" s="371"/>
      <c r="L37" s="371"/>
      <c r="M37" s="371"/>
      <c r="N37" s="371"/>
      <c r="P37" s="370" t="e">
        <f>IF(ISNA(VLOOKUP(E35,$H$5:$I$66,2,FALSE)),VLOOKUP(E35,$O$5:$S$202,5,FALSE),VLOOKUP(E35,$H$5:$I$66,2,FALSE))</f>
        <v>#N/A</v>
      </c>
      <c r="Q37" s="31" t="str">
        <f>BiographyMarriageDetsCountries!B35</f>
        <v>Boy</v>
      </c>
      <c r="S37" s="369" t="str">
        <f>BiographyMarriageDetsCountries!E35</f>
        <v>Unmarried</v>
      </c>
    </row>
    <row r="38" spans="1:19" s="31" customFormat="1" ht="40">
      <c r="A38" s="377">
        <f>VALUE(IF(LEN(B38)=3,LEFT(B38,1),IF(LEN(B38)=4,LEFT(B38,2),LEFT(B38,3))))</f>
        <v>86</v>
      </c>
      <c r="B38" s="375" t="s">
        <v>4403</v>
      </c>
      <c r="C38" s="375" t="s">
        <v>3047</v>
      </c>
      <c r="D38" s="375"/>
      <c r="E38" s="376">
        <f>VALUE(BiographyMarriageDetsCountries!A38)</f>
        <v>36</v>
      </c>
      <c r="F38" s="375" t="str">
        <f t="shared" si="0"/>
        <v>George John COURTHOPE (b. 3 Mar 1848, d. 8 Sep 1910)</v>
      </c>
      <c r="I38" s="371"/>
      <c r="J38" s="371"/>
      <c r="K38" s="371"/>
      <c r="L38" s="371"/>
      <c r="M38" s="371"/>
      <c r="N38" s="371"/>
      <c r="P38" s="370" t="e">
        <f>IF(ISNA(VLOOKUP(E36,$H$5:$I$66,2,FALSE)),VLOOKUP(E36,$O$5:$S$202,5,FALSE),VLOOKUP(E36,$H$5:$I$66,2,FALSE))</f>
        <v>#N/A</v>
      </c>
      <c r="Q38" s="31" t="str">
        <f>BiographyMarriageDetsCountries!B36</f>
        <v>Boy</v>
      </c>
      <c r="S38" s="369" t="str">
        <f>BiographyMarriageDetsCountries!E36</f>
        <v>Millicent Blandinah KESTEVEN (b. 1850/51, d. 22 Jun 1945)</v>
      </c>
    </row>
    <row r="39" spans="1:19" s="31" customFormat="1" ht="60">
      <c r="A39" s="377">
        <f>VALUE(IF(LEN(B39)=3,LEFT(B39,1),IF(LEN(B39)=4,LEFT(B39,2),LEFT(B39,3))))</f>
        <v>89</v>
      </c>
      <c r="B39" s="375" t="s">
        <v>4401</v>
      </c>
      <c r="C39" s="375" t="s">
        <v>3578</v>
      </c>
      <c r="D39" s="375"/>
      <c r="E39" s="376">
        <f>VALUE(BiographyMarriageDetsCountries!A39)</f>
        <v>37</v>
      </c>
      <c r="F39" s="375" t="str">
        <f t="shared" si="0"/>
        <v>Unmarried</v>
      </c>
      <c r="I39" s="371"/>
      <c r="J39" s="371"/>
      <c r="K39" s="371"/>
      <c r="L39" s="371"/>
      <c r="M39" s="371"/>
      <c r="N39" s="371"/>
      <c r="P39" s="370" t="e">
        <f>IF(ISNA(VLOOKUP(E37,$H$5:$I$66,2,FALSE)),VLOOKUP(E37,$O$5:$S$202,5,FALSE),VLOOKUP(E37,$H$5:$I$66,2,FALSE))</f>
        <v>#N/A</v>
      </c>
      <c r="Q39" s="31" t="str">
        <f>BiographyMarriageDetsCountries!B37</f>
        <v>Boy</v>
      </c>
      <c r="S39" s="369" t="str">
        <f>BiographyMarriageDetsCountries!E37</f>
        <v>Lady Mary Sophia HELY-HUTCHINSON (b. 22 Sep 1853, d. 30 Jul 1936)</v>
      </c>
    </row>
    <row r="40" spans="1:19" s="31" customFormat="1" ht="40">
      <c r="A40" s="377">
        <f>VALUE(IF(LEN(B40)=3,LEFT(B40,1),IF(LEN(B40)=4,LEFT(B40,2),LEFT(B40,3))))</f>
        <v>94</v>
      </c>
      <c r="B40" s="375" t="s">
        <v>4402</v>
      </c>
      <c r="C40" s="375" t="s">
        <v>3577</v>
      </c>
      <c r="D40" s="375"/>
      <c r="E40" s="376">
        <f>VALUE(BiographyMarriageDetsCountries!A40)</f>
        <v>38</v>
      </c>
      <c r="F40" s="375" t="str">
        <f t="shared" si="0"/>
        <v>Unmarried</v>
      </c>
      <c r="I40" s="371"/>
      <c r="J40" s="371"/>
      <c r="K40" s="371"/>
      <c r="L40" s="371"/>
      <c r="M40" s="371"/>
      <c r="N40" s="371"/>
      <c r="P40" s="370" t="e">
        <f>IF(ISNA(VLOOKUP(E38,$H$5:$I$66,2,FALSE)),VLOOKUP(E38,$O$5:$S$202,5,FALSE),VLOOKUP(E38,$H$5:$I$66,2,FALSE))</f>
        <v>#N/A</v>
      </c>
      <c r="Q40" s="31" t="str">
        <f>BiographyMarriageDetsCountries!B38</f>
        <v>Girl</v>
      </c>
      <c r="S40" s="369" t="str">
        <f>BiographyMarriageDetsCountries!E38</f>
        <v>George John COURTHOPE (b. 3 Mar 1848, d. 8 Sep 1910)</v>
      </c>
    </row>
    <row r="41" spans="1:19" s="31" customFormat="1" ht="20">
      <c r="A41" s="377">
        <f>VALUE(IF(LEN(B41)=3,LEFT(B41,1),IF(LEN(B41)=4,LEFT(B41,2),LEFT(B41,3))))</f>
        <v>96</v>
      </c>
      <c r="B41" s="375" t="s">
        <v>4399</v>
      </c>
      <c r="C41" s="375" t="s">
        <v>4274</v>
      </c>
      <c r="D41" s="375"/>
      <c r="E41" s="376">
        <f>VALUE(BiographyMarriageDetsCountries!A41)</f>
        <v>39</v>
      </c>
      <c r="F41" s="375" t="str">
        <f t="shared" si="0"/>
        <v>Unmarried</v>
      </c>
      <c r="I41" s="371"/>
      <c r="J41" s="371"/>
      <c r="K41" s="371"/>
      <c r="L41" s="371"/>
      <c r="M41" s="371"/>
      <c r="N41" s="371"/>
      <c r="P41" s="370" t="e">
        <f>IF(ISNA(VLOOKUP(E39,$H$5:$I$66,2,FALSE)),VLOOKUP(E39,$O$5:$S$202,5,FALSE),VLOOKUP(E39,$H$5:$I$66,2,FALSE))</f>
        <v>#N/A</v>
      </c>
      <c r="Q41" s="31" t="str">
        <f>BiographyMarriageDetsCountries!B39</f>
        <v>Girl</v>
      </c>
      <c r="S41" s="369" t="str">
        <f>BiographyMarriageDetsCountries!E39</f>
        <v>Unmarried</v>
      </c>
    </row>
    <row r="42" spans="1:19" s="31" customFormat="1" ht="20">
      <c r="A42" s="377">
        <v>98</v>
      </c>
      <c r="B42" s="375" t="s">
        <v>4405</v>
      </c>
      <c r="C42" s="375" t="s">
        <v>3813</v>
      </c>
      <c r="D42" s="375"/>
      <c r="E42" s="376">
        <f>VALUE(BiographyMarriageDetsCountries!A42)</f>
        <v>40</v>
      </c>
      <c r="F42" s="375" t="str">
        <f t="shared" si="0"/>
        <v>Unmarried</v>
      </c>
      <c r="I42" s="371"/>
      <c r="J42" s="371"/>
      <c r="K42" s="371"/>
      <c r="L42" s="371"/>
      <c r="M42" s="371"/>
      <c r="N42" s="371"/>
      <c r="P42" s="370" t="e">
        <f>IF(ISNA(VLOOKUP(E40,$H$5:$I$66,2,FALSE)),VLOOKUP(E40,$O$5:$S$202,5,FALSE),VLOOKUP(E40,$H$5:$I$66,2,FALSE))</f>
        <v>#N/A</v>
      </c>
      <c r="Q42" s="31" t="str">
        <f>BiographyMarriageDetsCountries!B40</f>
        <v>Girl</v>
      </c>
      <c r="S42" s="369" t="str">
        <f>BiographyMarriageDetsCountries!E40</f>
        <v>Unmarried</v>
      </c>
    </row>
    <row r="43" spans="1:19" s="31" customFormat="1" ht="20">
      <c r="A43" s="377">
        <v>98</v>
      </c>
      <c r="B43" s="375" t="s">
        <v>4405</v>
      </c>
      <c r="C43" s="375" t="s">
        <v>3813</v>
      </c>
      <c r="D43" s="375"/>
      <c r="E43" s="376">
        <f>VALUE(BiographyMarriageDetsCountries!A43)</f>
        <v>41</v>
      </c>
      <c r="F43" s="375" t="str">
        <f t="shared" si="0"/>
        <v>Isabella (Isabel) CURREY (b. 26 Apr 1855, d. 16 Jan 1926)</v>
      </c>
      <c r="I43" s="371"/>
      <c r="J43" s="371"/>
      <c r="K43" s="371"/>
      <c r="L43" s="371"/>
      <c r="M43" s="371"/>
      <c r="N43" s="371"/>
      <c r="P43" s="370" t="e">
        <f>IF(ISNA(VLOOKUP(E41,$H$5:$I$66,2,FALSE)),VLOOKUP(E41,$O$5:$S$202,5,FALSE),VLOOKUP(E41,$H$5:$I$66,2,FALSE))</f>
        <v>#N/A</v>
      </c>
      <c r="Q43" s="31" t="str">
        <f>BiographyMarriageDetsCountries!B41</f>
        <v>Girl</v>
      </c>
      <c r="S43" s="369" t="str">
        <f>BiographyMarriageDetsCountries!E41</f>
        <v>Unmarried</v>
      </c>
    </row>
    <row r="44" spans="1:19" s="31" customFormat="1" ht="20">
      <c r="A44" s="377">
        <v>98</v>
      </c>
      <c r="B44" s="375" t="s">
        <v>4409</v>
      </c>
      <c r="C44" s="375" t="s">
        <v>3119</v>
      </c>
      <c r="D44" s="375"/>
      <c r="E44" s="376">
        <f>VALUE(BiographyMarriageDetsCountries!A44)</f>
        <v>42</v>
      </c>
      <c r="F44" s="375" t="str">
        <f t="shared" si="0"/>
        <v>Edward Hesketh GODDARD (b. 19 Oct 1855, d. Oct/Dec 1920)</v>
      </c>
      <c r="I44" s="371"/>
      <c r="J44" s="371"/>
      <c r="K44" s="371"/>
      <c r="L44" s="371"/>
      <c r="M44" s="371"/>
      <c r="N44" s="371"/>
      <c r="P44" s="370" t="e">
        <f>IF(ISNA(VLOOKUP(E42,$H$5:$I$66,2,FALSE)),VLOOKUP(E42,$O$5:$S$202,5,FALSE),VLOOKUP(E42,$H$5:$I$66,2,FALSE))</f>
        <v>#N/A</v>
      </c>
      <c r="Q44" s="31" t="str">
        <f>BiographyMarriageDetsCountries!B42</f>
        <v>Girl</v>
      </c>
      <c r="S44" s="369" t="str">
        <f>BiographyMarriageDetsCountries!E42</f>
        <v>Unmarried</v>
      </c>
    </row>
    <row r="45" spans="1:19" s="31" customFormat="1" ht="40">
      <c r="A45" s="377">
        <f>VALUE(IF(LEN(B45)=3,LEFT(B45,1),IF(LEN(B45)=4,LEFT(B45,2),LEFT(B45,3))))</f>
        <v>99</v>
      </c>
      <c r="B45" s="375" t="s">
        <v>4406</v>
      </c>
      <c r="C45" s="375" t="s">
        <v>3048</v>
      </c>
      <c r="D45" s="375"/>
      <c r="E45" s="376">
        <f>VALUE(BiographyMarriageDetsCountries!A45)</f>
        <v>43</v>
      </c>
      <c r="F45" s="375" t="str">
        <f t="shared" si="0"/>
        <v>Unmarried</v>
      </c>
      <c r="I45" s="371"/>
      <c r="J45" s="371"/>
      <c r="K45" s="371"/>
      <c r="L45" s="371"/>
      <c r="M45" s="371"/>
      <c r="N45" s="371"/>
      <c r="P45" s="370" t="e">
        <f>IF(ISNA(VLOOKUP(E43,$H$5:$I$66,2,FALSE)),VLOOKUP(E43,$O$5:$S$202,5,FALSE),VLOOKUP(E43,$H$5:$I$66,2,FALSE))</f>
        <v>#N/A</v>
      </c>
      <c r="Q45" s="31" t="str">
        <f>BiographyMarriageDetsCountries!B43</f>
        <v>Boy</v>
      </c>
      <c r="S45" s="369" t="str">
        <f>BiographyMarriageDetsCountries!E43</f>
        <v>Isabella (Isabel) CURREY (b. 26 Apr 1855, d. 16 Jan 1926)</v>
      </c>
    </row>
    <row r="46" spans="1:19" s="31" customFormat="1" ht="40">
      <c r="A46" s="377">
        <f>VALUE(IF(LEN(B46)=3,LEFT(B46,1),IF(LEN(B46)=4,LEFT(B46,2),LEFT(B46,3))))</f>
        <v>100</v>
      </c>
      <c r="B46" s="375" t="s">
        <v>4407</v>
      </c>
      <c r="C46" s="375" t="s">
        <v>3153</v>
      </c>
      <c r="D46" s="375"/>
      <c r="E46" s="376">
        <f>VALUE(BiographyMarriageDetsCountries!A46)</f>
        <v>44</v>
      </c>
      <c r="F46" s="375" t="str">
        <f t="shared" si="0"/>
        <v>The Hon Clementina Georgina BROWNLOW (b. 13 Jan 1868, d. 1 Sep 1929)</v>
      </c>
      <c r="I46" s="371"/>
      <c r="J46" s="371"/>
      <c r="K46" s="371"/>
      <c r="L46" s="371"/>
      <c r="M46" s="371"/>
      <c r="N46" s="371"/>
      <c r="P46" s="370" t="e">
        <f>IF(ISNA(VLOOKUP(E44,$H$5:$I$66,2,FALSE)),VLOOKUP(E44,$O$5:$S$202,5,FALSE),VLOOKUP(E44,$H$5:$I$66,2,FALSE))</f>
        <v>#N/A</v>
      </c>
      <c r="Q46" s="31" t="str">
        <f>BiographyMarriageDetsCountries!B44</f>
        <v>Girl</v>
      </c>
      <c r="S46" s="369" t="str">
        <f>BiographyMarriageDetsCountries!E44</f>
        <v>Edward Hesketh GODDARD (b. 19 Oct 1855, d. Oct/Dec 1920)</v>
      </c>
    </row>
    <row r="47" spans="1:19" s="31" customFormat="1" ht="20">
      <c r="A47" s="377">
        <f>VALUE(IF(LEN(B47)=3,LEFT(B47,1),IF(LEN(B47)=4,LEFT(B47,2),LEFT(B47,3))))</f>
        <v>104</v>
      </c>
      <c r="B47" s="375" t="s">
        <v>4408</v>
      </c>
      <c r="C47" s="375" t="s">
        <v>3049</v>
      </c>
      <c r="D47" s="375"/>
      <c r="E47" s="376">
        <f>VALUE(BiographyMarriageDetsCountries!A47)</f>
        <v>45</v>
      </c>
      <c r="F47" s="375" t="str">
        <f t="shared" si="0"/>
        <v>Rebecca Olivia LEWIS (b.13 Aug 1860, d. 18 Mar 1927)</v>
      </c>
      <c r="I47" s="371"/>
      <c r="J47" s="371"/>
      <c r="K47" s="371"/>
      <c r="L47" s="371"/>
      <c r="M47" s="371"/>
      <c r="N47" s="371"/>
      <c r="P47" s="370" t="e">
        <f>IF(ISNA(VLOOKUP(E45,$H$5:$I$66,2,FALSE)),VLOOKUP(E45,$O$5:$S$202,5,FALSE),VLOOKUP(E45,$H$5:$I$66,2,FALSE))</f>
        <v>#N/A</v>
      </c>
      <c r="Q47" s="31" t="str">
        <f>BiographyMarriageDetsCountries!B45</f>
        <v>Girl</v>
      </c>
      <c r="S47" s="369" t="str">
        <f>BiographyMarriageDetsCountries!E45</f>
        <v>Unmarried</v>
      </c>
    </row>
    <row r="48" spans="1:19" s="31" customFormat="1" ht="60">
      <c r="A48" s="377">
        <f>VALUE(IF(LEN(B48)=3,LEFT(B48,1),IF(LEN(B48)=4,LEFT(B48,2),LEFT(B48,3))))</f>
        <v>105</v>
      </c>
      <c r="B48" s="375" t="s">
        <v>4400</v>
      </c>
      <c r="C48" s="375" t="s">
        <v>3144</v>
      </c>
      <c r="D48" s="375"/>
      <c r="E48" s="376">
        <f>VALUE(BiographyMarriageDetsCountries!A48)</f>
        <v>46</v>
      </c>
      <c r="F48" s="375" t="str">
        <f t="shared" si="0"/>
        <v xml:space="preserve">Emily Diana Maria BEAUMONT (b. 25 Dec 1860, d. 4 Jul 1956) </v>
      </c>
      <c r="I48" s="371"/>
      <c r="J48" s="371"/>
      <c r="K48" s="371"/>
      <c r="L48" s="371"/>
      <c r="M48" s="371"/>
      <c r="N48" s="371"/>
      <c r="P48" s="370" t="e">
        <f>IF(ISNA(VLOOKUP(E46,$H$5:$I$66,2,FALSE)),VLOOKUP(E46,$O$5:$S$202,5,FALSE),VLOOKUP(E46,$H$5:$I$66,2,FALSE))</f>
        <v>#N/A</v>
      </c>
      <c r="Q48" s="31" t="str">
        <f>BiographyMarriageDetsCountries!B46</f>
        <v>Boy</v>
      </c>
      <c r="S48" s="369" t="str">
        <f>BiographyMarriageDetsCountries!E46</f>
        <v>(1) The Hon Clementina Georgina BROWNLOW (b. 13 Jan 1868, d. 1 Sep 1929)</v>
      </c>
    </row>
    <row r="49" spans="1:19" s="31" customFormat="1" ht="40">
      <c r="A49" s="377">
        <f>VALUE(IF(LEN(B49)=3,LEFT(B49,1),IF(LEN(B49)=4,LEFT(B49,2),LEFT(B49,3))))</f>
        <v>113</v>
      </c>
      <c r="B49" s="375" t="s">
        <v>4411</v>
      </c>
      <c r="C49" s="375" t="s">
        <v>3123</v>
      </c>
      <c r="D49" s="375"/>
      <c r="E49" s="376">
        <f>VALUE(BiographyMarriageDetsCountries!A49)</f>
        <v>47</v>
      </c>
      <c r="F49" s="375" t="str">
        <f t="shared" si="0"/>
        <v>Alfred HARDCASTLE (b. 30 Mar 1857, d. 1 Aug 1927)</v>
      </c>
      <c r="I49" s="371"/>
      <c r="J49" s="371"/>
      <c r="K49" s="371"/>
      <c r="L49" s="371"/>
      <c r="M49" s="371"/>
      <c r="N49" s="371"/>
      <c r="P49" s="370" t="e">
        <f>IF(ISNA(VLOOKUP(E47,$H$5:$I$66,2,FALSE)),VLOOKUP(E47,$O$5:$S$202,5,FALSE),VLOOKUP(E47,$H$5:$I$66,2,FALSE))</f>
        <v>#N/A</v>
      </c>
      <c r="Q49" s="31" t="str">
        <f>BiographyMarriageDetsCountries!B47</f>
        <v>Boy</v>
      </c>
      <c r="S49" s="369" t="str">
        <f>BiographyMarriageDetsCountries!E47</f>
        <v>Rebecca Olivia LEWIS (b.13 Aug 1860, d. 18 Mar 1927)</v>
      </c>
    </row>
    <row r="50" spans="1:19" s="31" customFormat="1" ht="40">
      <c r="A50" s="377">
        <f>VALUE(IF(LEN(B50)=3,LEFT(B50,1),IF(LEN(B50)=4,LEFT(B50,2),LEFT(B50,3))))</f>
        <v>114</v>
      </c>
      <c r="B50" s="375" t="s">
        <v>4413</v>
      </c>
      <c r="C50" s="375" t="s">
        <v>3141</v>
      </c>
      <c r="D50" s="375"/>
      <c r="E50" s="376">
        <f>VALUE(BiographyMarriageDetsCountries!A50)</f>
        <v>48</v>
      </c>
      <c r="F50" s="375" t="str">
        <f t="shared" si="0"/>
        <v>George Halford D’OYLY (b. 21 Feb 1855, d. 21 Feb 1909)</v>
      </c>
      <c r="I50" s="371"/>
      <c r="J50" s="371"/>
      <c r="K50" s="371"/>
      <c r="L50" s="371"/>
      <c r="M50" s="371"/>
      <c r="N50" s="371"/>
      <c r="P50" s="370" t="e">
        <f>IF(ISNA(VLOOKUP(E48,$H$5:$I$66,2,FALSE)),VLOOKUP(E48,$O$5:$S$202,5,FALSE),VLOOKUP(E48,$H$5:$I$66,2,FALSE))</f>
        <v>#N/A</v>
      </c>
      <c r="Q50" s="31" t="str">
        <f>BiographyMarriageDetsCountries!B48</f>
        <v>Boy</v>
      </c>
      <c r="S50" s="369" t="str">
        <f>BiographyMarriageDetsCountries!E48</f>
        <v xml:space="preserve">Emily Diana Maria BEAUMONT (b. 25 Dec 1860, d. 4 Jul 1956) </v>
      </c>
    </row>
    <row r="51" spans="1:19" s="31" customFormat="1" ht="40">
      <c r="A51" s="377">
        <f>VALUE(IF(LEN(B51)=3,LEFT(B51,1),IF(LEN(B51)=4,LEFT(B51,2),LEFT(B51,3))))</f>
        <v>117</v>
      </c>
      <c r="B51" s="375" t="s">
        <v>4410</v>
      </c>
      <c r="C51" s="375" t="s">
        <v>2926</v>
      </c>
      <c r="D51" s="375"/>
      <c r="E51" s="376">
        <f>VALUE(BiographyMarriageDetsCountries!A51)</f>
        <v>49</v>
      </c>
      <c r="F51" s="375" t="str">
        <f t="shared" si="0"/>
        <v>Died in infancy.</v>
      </c>
      <c r="I51" s="371"/>
      <c r="J51" s="371"/>
      <c r="K51" s="371"/>
      <c r="L51" s="371"/>
      <c r="M51" s="371"/>
      <c r="N51" s="371"/>
      <c r="P51" s="370" t="e">
        <f>IF(ISNA(VLOOKUP(E49,$H$5:$I$66,2,FALSE)),VLOOKUP(E49,$O$5:$S$202,5,FALSE),VLOOKUP(E49,$H$5:$I$66,2,FALSE))</f>
        <v>#N/A</v>
      </c>
      <c r="Q51" s="31" t="str">
        <f>BiographyMarriageDetsCountries!B49</f>
        <v>Girl</v>
      </c>
      <c r="S51" s="369" t="str">
        <f>BiographyMarriageDetsCountries!E49</f>
        <v>Alfred HARDCASTLE (b. 30 Mar 1857, d. 1 Aug 1927)</v>
      </c>
    </row>
    <row r="52" spans="1:19" s="31" customFormat="1" ht="40">
      <c r="A52" s="116">
        <f>VALUE(IF(LEN(B52)=3,LEFT(B52,1),IF(LEN(B52)=4,LEFT(B52,2),LEFT(B52,3))))</f>
        <v>119</v>
      </c>
      <c r="B52" s="375" t="s">
        <v>4412</v>
      </c>
      <c r="C52" s="375" t="s">
        <v>3124</v>
      </c>
      <c r="D52" s="375"/>
      <c r="E52" s="376">
        <f>VALUE(BiographyMarriageDetsCountries!A52)</f>
        <v>50</v>
      </c>
      <c r="F52" s="375" t="e">
        <f t="shared" si="0"/>
        <v>#N/A</v>
      </c>
      <c r="I52" s="371"/>
      <c r="J52" s="371"/>
      <c r="K52" s="371"/>
      <c r="L52" s="371"/>
      <c r="M52" s="371"/>
      <c r="N52" s="371"/>
      <c r="P52" s="370" t="e">
        <f>IF(ISNA(VLOOKUP(E50,$H$5:$I$66,2,FALSE)),VLOOKUP(E50,$O$5:$S$202,5,FALSE),VLOOKUP(E50,$H$5:$I$66,2,FALSE))</f>
        <v>#N/A</v>
      </c>
      <c r="Q52" s="31" t="str">
        <f>BiographyMarriageDetsCountries!B50</f>
        <v>Girl</v>
      </c>
      <c r="S52" s="369" t="str">
        <f>BiographyMarriageDetsCountries!E50</f>
        <v>George Halford D’OYLY (b. 21 Feb 1855, d. 21 Feb 1909)</v>
      </c>
    </row>
    <row r="53" spans="1:19" s="31" customFormat="1" ht="20">
      <c r="A53" s="116">
        <f>VALUE(IF(LEN(B53)=3,LEFT(B53,1),IF(LEN(B53)=4,LEFT(B53,2),LEFT(B53,3))))</f>
        <v>119</v>
      </c>
      <c r="B53" s="375" t="s">
        <v>4415</v>
      </c>
      <c r="C53" s="375" t="s">
        <v>3142</v>
      </c>
      <c r="D53" s="375"/>
      <c r="E53" s="376">
        <f>VALUE(BiographyMarriageDetsCountries!A53)</f>
        <v>51</v>
      </c>
      <c r="F53" s="375" t="e">
        <f t="shared" si="0"/>
        <v>#N/A</v>
      </c>
      <c r="I53" s="371"/>
      <c r="J53" s="371"/>
      <c r="K53" s="371"/>
      <c r="L53" s="371"/>
      <c r="M53" s="371"/>
      <c r="N53" s="371"/>
      <c r="P53" s="370" t="e">
        <f>IF(ISNA(VLOOKUP(E51,$H$5:$I$66,2,FALSE)),VLOOKUP(E51,$O$5:$S$202,5,FALSE),VLOOKUP(E51,$H$5:$I$66,2,FALSE))</f>
        <v>#N/A</v>
      </c>
      <c r="Q53" s="31" t="str">
        <f>BiographyMarriageDetsCountries!B51</f>
        <v>Girl</v>
      </c>
      <c r="S53" s="369" t="str">
        <f>BiographyMarriageDetsCountries!E51</f>
        <v>Died in infancy.</v>
      </c>
    </row>
    <row r="54" spans="1:19" s="31" customFormat="1" ht="40">
      <c r="A54" s="377">
        <f>VALUE(IF(LEN(B54)=3,LEFT(B54,1),IF(LEN(B54)=4,LEFT(B54,2),LEFT(B54,3))))</f>
        <v>121</v>
      </c>
      <c r="B54" s="375" t="s">
        <v>4419</v>
      </c>
      <c r="C54" s="375" t="s">
        <v>3143</v>
      </c>
      <c r="D54" s="375"/>
      <c r="E54" s="376">
        <f>VALUE(BiographyMarriageDetsCountries!A54)</f>
        <v>52</v>
      </c>
      <c r="F54" s="375" t="str">
        <f t="shared" si="0"/>
        <v>Mary Christobel CHARRINGTON (b. 18 Nov 1894, d. 9 Jan 1977)</v>
      </c>
      <c r="I54" s="371"/>
      <c r="J54" s="371"/>
      <c r="K54" s="371"/>
      <c r="L54" s="371"/>
      <c r="M54" s="371"/>
      <c r="N54" s="371"/>
      <c r="P54" s="370" t="e">
        <f>IF(ISNA(VLOOKUP(E52,$H$5:$I$66,2,FALSE)),VLOOKUP(E52,$O$5:$S$202,5,FALSE),VLOOKUP(E52,$H$5:$I$66,2,FALSE))</f>
        <v>#N/A</v>
      </c>
      <c r="Q54" s="31" t="str">
        <f>BiographyMarriageDetsCountries!B52</f>
        <v>Boy</v>
      </c>
      <c r="S54" s="369" t="str">
        <f>BiographyMarriageDetsCountries!E52</f>
        <v>Kathleen Agnes HEATH (b. 9 Sep 1872, d. 28 Oct 1913)</v>
      </c>
    </row>
    <row r="55" spans="1:19" s="31" customFormat="1" ht="20">
      <c r="A55" s="377">
        <f>VALUE(IF(LEN(B55)=3,LEFT(B55,1),IF(LEN(B55)=4,LEFT(B55,2),LEFT(B55,3))))</f>
        <v>130</v>
      </c>
      <c r="B55" s="375" t="s">
        <v>4417</v>
      </c>
      <c r="C55" s="375" t="s">
        <v>2934</v>
      </c>
      <c r="D55" s="375"/>
      <c r="E55" s="376">
        <f>VALUE(BiographyMarriageDetsCountries!A55)</f>
        <v>53</v>
      </c>
      <c r="F55" s="375" t="str">
        <f t="shared" si="0"/>
        <v>Kathleen Elizabeth Lilian DONOVAN (b. 21 Mar 1896, d. 7 Dec 1983)</v>
      </c>
      <c r="I55" s="371"/>
      <c r="J55" s="371"/>
      <c r="K55" s="371"/>
      <c r="L55" s="371"/>
      <c r="M55" s="371"/>
      <c r="N55" s="371"/>
      <c r="P55" s="370" t="e">
        <f>IF(ISNA(VLOOKUP(E53,$H$5:$I$66,2,FALSE)),VLOOKUP(E53,$O$5:$S$202,5,FALSE),VLOOKUP(E53,$H$5:$I$66,2,FALSE))</f>
        <v>#N/A</v>
      </c>
      <c r="Q55" s="31" t="str">
        <f>BiographyMarriageDetsCountries!B53</f>
        <v>Boy</v>
      </c>
      <c r="S55" s="369" t="str">
        <f>BiographyMarriageDetsCountries!E53</f>
        <v>Unmarried</v>
      </c>
    </row>
    <row r="56" spans="1:19" s="31" customFormat="1" ht="40">
      <c r="A56" s="377">
        <f>VALUE(IF(LEN(B56)=3,LEFT(B56,1),IF(LEN(B56)=4,LEFT(B56,2),LEFT(B56,3))))</f>
        <v>131</v>
      </c>
      <c r="B56" s="375" t="s">
        <v>4414</v>
      </c>
      <c r="C56" s="375" t="s">
        <v>2936</v>
      </c>
      <c r="D56" s="375"/>
      <c r="E56" s="376">
        <f>VALUE(BiographyMarriageDetsCountries!A56)</f>
        <v>54</v>
      </c>
      <c r="F56" s="375" t="str">
        <f t="shared" si="0"/>
        <v>Ada Maud Keele GILES (b. 11 Apr 1884, d. 19 Jul 1955)</v>
      </c>
      <c r="I56" s="371"/>
      <c r="J56" s="371"/>
      <c r="K56" s="371"/>
      <c r="L56" s="371"/>
      <c r="M56" s="371"/>
      <c r="N56" s="371"/>
      <c r="P56" s="370" t="e">
        <f>IF(ISNA(VLOOKUP(E54,$H$5:$I$66,2,FALSE)),VLOOKUP(E54,$O$5:$S$202,5,FALSE),VLOOKUP(E54,$H$5:$I$66,2,FALSE))</f>
        <v>#N/A</v>
      </c>
      <c r="Q56" s="31" t="str">
        <f>BiographyMarriageDetsCountries!B54</f>
        <v>Boy</v>
      </c>
      <c r="S56" s="369" t="str">
        <f>BiographyMarriageDetsCountries!E54</f>
        <v>Mary Christobel CHARRINGTON (b. 18 Nov 1894, d. 9 Jan 1977)</v>
      </c>
    </row>
    <row r="57" spans="1:19" s="31" customFormat="1" ht="60">
      <c r="A57" s="377">
        <f>VALUE(IF(LEN(B57)=3,LEFT(B57,1),IF(LEN(B57)=4,LEFT(B57,2),LEFT(B57,3))))</f>
        <v>135</v>
      </c>
      <c r="B57" s="375" t="s">
        <v>4420</v>
      </c>
      <c r="C57" s="375" t="s">
        <v>2937</v>
      </c>
      <c r="D57" s="375"/>
      <c r="E57" s="376">
        <f>VALUE(BiographyMarriageDetsCountries!A57)</f>
        <v>55</v>
      </c>
      <c r="F57" s="375" t="str">
        <f t="shared" si="0"/>
        <v>Alice Selina (Lovely) MYHILL (b. 1 Nov 1909, )</v>
      </c>
      <c r="I57" s="371"/>
      <c r="J57" s="371"/>
      <c r="K57" s="371"/>
      <c r="L57" s="371"/>
      <c r="M57" s="371"/>
      <c r="N57" s="371"/>
      <c r="P57" s="370" t="e">
        <f>IF(ISNA(VLOOKUP(E55,$H$5:$I$66,2,FALSE)),VLOOKUP(E55,$O$5:$S$202,5,FALSE),VLOOKUP(E55,$H$5:$I$66,2,FALSE))</f>
        <v>#N/A</v>
      </c>
      <c r="Q57" s="31" t="str">
        <f>BiographyMarriageDetsCountries!B55</f>
        <v>Boy</v>
      </c>
      <c r="S57" s="369" t="str">
        <f>BiographyMarriageDetsCountries!E55</f>
        <v>Kathleen Elizabeth Lilian DONOVAN (b. 21 Mar 1896, d. 7 Dec 1983)</v>
      </c>
    </row>
    <row r="58" spans="1:19" s="31" customFormat="1" ht="40">
      <c r="A58" s="377">
        <f>VALUE(IF(LEN(B58)=3,LEFT(B58,1),IF(LEN(B58)=4,LEFT(B58,2),LEFT(B58,3))))</f>
        <v>136</v>
      </c>
      <c r="B58" s="375" t="s">
        <v>4416</v>
      </c>
      <c r="C58" s="375" t="s">
        <v>4108</v>
      </c>
      <c r="D58" s="375"/>
      <c r="E58" s="376">
        <f>VALUE(BiographyMarriageDetsCountries!A58)</f>
        <v>56</v>
      </c>
      <c r="F58" s="375" t="str">
        <f t="shared" si="0"/>
        <v>Dorothy WILLERT (b. 19 Jan 1886, d. 15 Jan 1966)</v>
      </c>
      <c r="I58" s="371"/>
      <c r="J58" s="371"/>
      <c r="K58" s="371"/>
      <c r="L58" s="371"/>
      <c r="M58" s="371"/>
      <c r="N58" s="371"/>
      <c r="P58" s="370" t="e">
        <f>IF(ISNA(VLOOKUP(E56,$H$5:$I$66,2,FALSE)),VLOOKUP(E56,$O$5:$S$202,5,FALSE),VLOOKUP(E56,$H$5:$I$66,2,FALSE))</f>
        <v>#N/A</v>
      </c>
      <c r="Q58" s="31" t="str">
        <f>BiographyMarriageDetsCountries!B56</f>
        <v>Boy</v>
      </c>
      <c r="S58" s="369" t="str">
        <f>BiographyMarriageDetsCountries!E56</f>
        <v>Ada Maud Keele GILES (b. 11 Apr 1884, d. 19 Jul 1955)</v>
      </c>
    </row>
    <row r="59" spans="1:19" s="31" customFormat="1" ht="40">
      <c r="A59" s="377">
        <f>VALUE(IF(LEN(B59)=3,LEFT(B59,1),IF(LEN(B59)=4,LEFT(B59,2),LEFT(B59,3))))</f>
        <v>138</v>
      </c>
      <c r="B59" s="375" t="s">
        <v>4418</v>
      </c>
      <c r="C59" s="375" t="s">
        <v>3140</v>
      </c>
      <c r="D59" s="375"/>
      <c r="E59" s="376">
        <f>VALUE(BiographyMarriageDetsCountries!A59)</f>
        <v>57</v>
      </c>
      <c r="F59" s="375" t="e">
        <f t="shared" si="0"/>
        <v>#N/A</v>
      </c>
      <c r="I59" s="371"/>
      <c r="J59" s="371"/>
      <c r="K59" s="371"/>
      <c r="L59" s="371"/>
      <c r="M59" s="371"/>
      <c r="N59" s="371"/>
      <c r="P59" s="370" t="e">
        <f>IF(ISNA(VLOOKUP(E57,$H$5:$I$66,2,FALSE)),VLOOKUP(E57,$O$5:$S$202,5,FALSE),VLOOKUP(E57,$H$5:$I$66,2,FALSE))</f>
        <v>#N/A</v>
      </c>
      <c r="Q59" s="31" t="str">
        <f>BiographyMarriageDetsCountries!B57</f>
        <v>Boy</v>
      </c>
      <c r="S59" s="369" t="str">
        <f>BiographyMarriageDetsCountries!E57</f>
        <v>(1) Ilma May MONTAGUE (b. 1878/79, )</v>
      </c>
    </row>
    <row r="60" spans="1:19" s="31" customFormat="1" ht="40">
      <c r="A60" s="377">
        <f>VALUE(IF(LEN(B60)=3,LEFT(B60,1),IF(LEN(B60)=4,LEFT(B60,2),LEFT(B60,3))))</f>
        <v>142</v>
      </c>
      <c r="B60" s="375" t="s">
        <v>4421</v>
      </c>
      <c r="C60" s="375" t="s">
        <v>4109</v>
      </c>
      <c r="D60" s="375"/>
      <c r="E60" s="376">
        <f>VALUE(BiographyMarriageDetsCountries!A60)</f>
        <v>58</v>
      </c>
      <c r="F60" s="375" t="e">
        <f t="shared" si="0"/>
        <v>#N/A</v>
      </c>
      <c r="I60" s="371"/>
      <c r="J60" s="371"/>
      <c r="K60" s="371"/>
      <c r="L60" s="371"/>
      <c r="M60" s="371"/>
      <c r="N60" s="371"/>
      <c r="P60" s="370" t="e">
        <f>IF(ISNA(VLOOKUP(E58,$H$5:$I$66,2,FALSE)),VLOOKUP(E58,$O$5:$S$202,5,FALSE),VLOOKUP(E58,$H$5:$I$66,2,FALSE))</f>
        <v>#N/A</v>
      </c>
      <c r="Q60" s="31" t="str">
        <f>BiographyMarriageDetsCountries!B58</f>
        <v>Boy</v>
      </c>
      <c r="S60" s="369" t="str">
        <f>BiographyMarriageDetsCountries!E58</f>
        <v>Dorothy WILLERT (b. 19 Jan 1886, d. 15 Jan 1966)</v>
      </c>
    </row>
    <row r="61" spans="1:19" s="31" customFormat="1" ht="20">
      <c r="A61" s="377">
        <f>VALUE(IF(LEN(B61)=3,LEFT(B61,1),IF(LEN(B61)=4,LEFT(B61,2),LEFT(B61,3))))</f>
        <v>146</v>
      </c>
      <c r="B61" s="375" t="s">
        <v>4423</v>
      </c>
      <c r="C61" s="375" t="s">
        <v>4360</v>
      </c>
      <c r="D61" s="375"/>
      <c r="E61" s="376">
        <f>VALUE(BiographyMarriageDetsCountries!A61)</f>
        <v>59</v>
      </c>
      <c r="F61" s="375" t="str">
        <f t="shared" si="0"/>
        <v>Unmarried</v>
      </c>
      <c r="I61" s="371"/>
      <c r="J61" s="371"/>
      <c r="K61" s="371"/>
      <c r="L61" s="371"/>
      <c r="M61" s="371"/>
      <c r="N61" s="371"/>
      <c r="P61" s="370" t="e">
        <f>IF(ISNA(VLOOKUP(E59,$H$5:$I$66,2,FALSE)),VLOOKUP(E59,$O$5:$S$202,5,FALSE),VLOOKUP(E59,$H$5:$I$66,2,FALSE))</f>
        <v>#N/A</v>
      </c>
      <c r="Q61" s="31" t="str">
        <f>BiographyMarriageDetsCountries!B59</f>
        <v>Boy</v>
      </c>
      <c r="S61" s="369" t="str">
        <f>BiographyMarriageDetsCountries!E59</f>
        <v>Unmarried</v>
      </c>
    </row>
    <row r="62" spans="1:19" s="31" customFormat="1" ht="20">
      <c r="A62" s="377">
        <f>VALUE(IF(LEN(B62)=3,LEFT(B62,1),IF(LEN(B62)=4,LEFT(B62,2),LEFT(B62,3))))</f>
        <v>149</v>
      </c>
      <c r="B62" s="375" t="s">
        <v>4425</v>
      </c>
      <c r="C62" s="375" t="s">
        <v>4364</v>
      </c>
      <c r="D62" s="375"/>
      <c r="E62" s="376">
        <f>VALUE(BiographyMarriageDetsCountries!A62)</f>
        <v>60</v>
      </c>
      <c r="F62" s="375" t="str">
        <f t="shared" si="0"/>
        <v>His Honour Edwin Max KONSTAM (b. 6 Jun 1870, d. 7 Apr 1956)</v>
      </c>
      <c r="I62" s="371"/>
      <c r="J62" s="371"/>
      <c r="K62" s="371"/>
      <c r="L62" s="371"/>
      <c r="M62" s="371"/>
      <c r="N62" s="371"/>
      <c r="P62" s="370" t="e">
        <f>IF(ISNA(VLOOKUP(E60,$H$5:$I$66,2,FALSE)),VLOOKUP(E60,$O$5:$S$202,5,FALSE),VLOOKUP(E60,$H$5:$I$66,2,FALSE))</f>
        <v>#N/A</v>
      </c>
      <c r="Q62" s="31" t="str">
        <f>BiographyMarriageDetsCountries!B60</f>
        <v>Boy</v>
      </c>
      <c r="S62" s="369" t="str">
        <f>BiographyMarriageDetsCountries!E60</f>
        <v>Unmarried</v>
      </c>
    </row>
    <row r="63" spans="1:19" s="31" customFormat="1" ht="20">
      <c r="A63" s="377">
        <f>VALUE(IF(LEN(B63)=3,LEFT(B63,1),IF(LEN(B63)=4,LEFT(B63,2),LEFT(B63,3))))</f>
        <v>150</v>
      </c>
      <c r="B63" s="375" t="s">
        <v>4422</v>
      </c>
      <c r="C63" s="375" t="s">
        <v>2943</v>
      </c>
      <c r="D63" s="375"/>
      <c r="E63" s="376">
        <f>VALUE(BiographyMarriageDetsCountries!A63)</f>
        <v>61</v>
      </c>
      <c r="F63" s="375" t="e">
        <f t="shared" si="0"/>
        <v>#N/A</v>
      </c>
      <c r="I63" s="371"/>
      <c r="J63" s="371"/>
      <c r="K63" s="371"/>
      <c r="L63" s="371"/>
      <c r="M63" s="371"/>
      <c r="N63" s="371"/>
      <c r="P63" s="370" t="e">
        <f>IF(ISNA(VLOOKUP(E61,$H$5:$I$66,2,FALSE)),VLOOKUP(E61,$O$5:$S$202,5,FALSE),VLOOKUP(E61,$H$5:$I$66,2,FALSE))</f>
        <v>#N/A</v>
      </c>
      <c r="Q63" s="31" t="str">
        <f>BiographyMarriageDetsCountries!B61</f>
        <v>Girl</v>
      </c>
      <c r="S63" s="369" t="str">
        <f>BiographyMarriageDetsCountries!E61</f>
        <v>Unmarried</v>
      </c>
    </row>
    <row r="64" spans="1:19" s="31" customFormat="1" ht="40">
      <c r="A64" s="377">
        <f>VALUE(IF(LEN(B64)=3,LEFT(B64,1),IF(LEN(B64)=4,LEFT(B64,2),LEFT(B64,3))))</f>
        <v>155</v>
      </c>
      <c r="B64" s="375" t="s">
        <v>4424</v>
      </c>
      <c r="C64" s="375" t="s">
        <v>3125</v>
      </c>
      <c r="D64" s="375"/>
      <c r="E64" s="376">
        <f>VALUE(BiographyMarriageDetsCountries!A64)</f>
        <v>62</v>
      </c>
      <c r="F64" s="375" t="str">
        <f t="shared" si="0"/>
        <v>Olive Mary GLADSTONE (b. 7 May 1893, d. 7 Aug 1977)</v>
      </c>
      <c r="I64" s="371"/>
      <c r="J64" s="371"/>
      <c r="K64" s="371"/>
      <c r="L64" s="371"/>
      <c r="M64" s="371"/>
      <c r="N64" s="371"/>
      <c r="P64" s="370" t="e">
        <f>IF(ISNA(VLOOKUP(E62,$H$5:$I$66,2,FALSE)),VLOOKUP(E62,$O$5:$S$202,5,FALSE),VLOOKUP(E62,$H$5:$I$66,2,FALSE))</f>
        <v>#N/A</v>
      </c>
      <c r="Q64" s="31" t="str">
        <f>BiographyMarriageDetsCountries!B62</f>
        <v>Girl</v>
      </c>
      <c r="S64" s="369" t="str">
        <f>BiographyMarriageDetsCountries!E62</f>
        <v>His Honour Edwin Max KONSTAM (b. 6 Jun 1870, d. 7 Apr 1956)</v>
      </c>
    </row>
    <row r="65" spans="1:19" s="31" customFormat="1" ht="20">
      <c r="A65" s="377">
        <f>VALUE(IF(LEN(B65)=3,LEFT(B65,1),IF(LEN(B65)=4,LEFT(B65,2),LEFT(B65,3))))</f>
        <v>162</v>
      </c>
      <c r="B65" s="375" t="s">
        <v>4427</v>
      </c>
      <c r="C65" s="375" t="s">
        <v>3089</v>
      </c>
      <c r="D65" s="375"/>
      <c r="E65" s="376">
        <f>VALUE(BiographyMarriageDetsCountries!A65)</f>
        <v>63</v>
      </c>
      <c r="F65" s="375" t="str">
        <f t="shared" si="0"/>
        <v>William Withers MOORE (b. 4 Aug 1855, d. 20 Feb 1944)</v>
      </c>
      <c r="I65" s="371"/>
      <c r="J65" s="371"/>
      <c r="K65" s="371"/>
      <c r="L65" s="371"/>
      <c r="M65" s="371"/>
      <c r="N65" s="371"/>
      <c r="P65" s="370" t="e">
        <f>IF(ISNA(VLOOKUP(E63,$H$5:$I$66,2,FALSE)),VLOOKUP(E63,$O$5:$S$202,5,FALSE),VLOOKUP(E63,$H$5:$I$66,2,FALSE))</f>
        <v>#N/A</v>
      </c>
      <c r="Q65" s="31" t="str">
        <f>BiographyMarriageDetsCountries!B63</f>
        <v>Boy</v>
      </c>
      <c r="S65" s="369" t="str">
        <f>BiographyMarriageDetsCountries!E63</f>
        <v>Unmarried</v>
      </c>
    </row>
    <row r="66" spans="1:19" s="31" customFormat="1" ht="40">
      <c r="A66" s="377">
        <f>VALUE(IF(LEN(B66)=3,LEFT(B66,1),IF(LEN(B66)=4,LEFT(B66,2),LEFT(B66,3))))</f>
        <v>167</v>
      </c>
      <c r="B66" s="375" t="s">
        <v>4426</v>
      </c>
      <c r="C66" s="375" t="s">
        <v>3789</v>
      </c>
      <c r="D66" s="375"/>
      <c r="E66" s="376">
        <f>VALUE(BiographyMarriageDetsCountries!A66)</f>
        <v>64</v>
      </c>
      <c r="F66" s="375" t="str">
        <f t="shared" si="0"/>
        <v>Comdt. Baron Max LEWAL</v>
      </c>
      <c r="I66" s="371"/>
      <c r="J66" s="371"/>
      <c r="K66" s="371"/>
      <c r="L66" s="371"/>
      <c r="M66" s="371"/>
      <c r="N66" s="371"/>
      <c r="P66" s="370" t="e">
        <f>IF(ISNA(VLOOKUP(E64,$H$5:$I$66,2,FALSE)),VLOOKUP(E64,$O$5:$S$202,5,FALSE),VLOOKUP(E64,$H$5:$I$66,2,FALSE))</f>
        <v>#N/A</v>
      </c>
      <c r="Q66" s="31" t="str">
        <f>BiographyMarriageDetsCountries!B64</f>
        <v>Boy</v>
      </c>
      <c r="S66" s="369" t="str">
        <f>BiographyMarriageDetsCountries!E64</f>
        <v>Olive Mary GLADSTONE (b. 7 May 1893, d. 7 Aug 1977)</v>
      </c>
    </row>
    <row r="67" spans="1:19" s="31" customFormat="1" ht="40">
      <c r="A67" s="73" t="s">
        <v>5733</v>
      </c>
      <c r="B67" s="378" t="s">
        <v>5732</v>
      </c>
      <c r="C67" s="375"/>
      <c r="D67" s="375"/>
      <c r="E67" s="376">
        <f>VALUE(BiographyMarriageDetsCountries!A67)</f>
        <v>65</v>
      </c>
      <c r="F67" s="375" t="str">
        <f t="shared" si="0"/>
        <v>James Norman WHEELER (b. 17 Apr 1882, d. 6 Jan 1966)</v>
      </c>
      <c r="P67" s="370" t="e">
        <f>IF(ISNA(VLOOKUP(E65,$H$5:$I$66,2,FALSE)),VLOOKUP(E65,$O$5:$S$202,5,FALSE),VLOOKUP(E65,$H$5:$I$66,2,FALSE))</f>
        <v>#N/A</v>
      </c>
      <c r="Q67" s="31" t="str">
        <f>BiographyMarriageDetsCountries!B65</f>
        <v>Girl</v>
      </c>
      <c r="S67" s="369" t="str">
        <f>BiographyMarriageDetsCountries!E65</f>
        <v>William Withers MOORE (b. 4 Aug 1855, d. 20 Feb 1944)</v>
      </c>
    </row>
    <row r="68" spans="1:19" s="31" customFormat="1" ht="20">
      <c r="A68" s="73" t="str">
        <f>A2</f>
        <v>LOYD #</v>
      </c>
      <c r="B68" s="73" t="s">
        <v>5730</v>
      </c>
      <c r="C68" s="73" t="s">
        <v>5731</v>
      </c>
      <c r="D68" s="375"/>
      <c r="E68" s="376">
        <f>VALUE(BiographyMarriageDetsCountries!A68)</f>
        <v>66</v>
      </c>
      <c r="F68" s="375" t="str">
        <f t="shared" ref="F68:F131" si="1">VLOOKUP(E68,$A$3:$C$240,3,FALSE)</f>
        <v>The Hon Bettine Henrietta KNATCHBULL-HUGESSEN (b. 15 Sep 1888, d. 9 Aug 1967)</v>
      </c>
      <c r="P68" s="370" t="e">
        <f>IF(ISNA(VLOOKUP(E66,$H$5:$I$66,2,FALSE)),VLOOKUP(E66,$O$5:$S$202,5,FALSE),VLOOKUP(E66,$H$5:$I$66,2,FALSE))</f>
        <v>#N/A</v>
      </c>
      <c r="Q68" s="31" t="str">
        <f>BiographyMarriageDetsCountries!B66</f>
        <v>Girl</v>
      </c>
      <c r="S68" s="369" t="str">
        <f>BiographyMarriageDetsCountries!E66</f>
        <v>Comdt. Baron Max LEWAL</v>
      </c>
    </row>
    <row r="69" spans="1:19" s="31" customFormat="1" ht="40">
      <c r="A69" s="376">
        <v>2</v>
      </c>
      <c r="B69" s="31" t="s">
        <v>2814</v>
      </c>
      <c r="C69" s="370" t="s">
        <v>1947</v>
      </c>
      <c r="E69" s="376">
        <f>VALUE(BiographyMarriageDetsCountries!A69)</f>
        <v>67</v>
      </c>
      <c r="F69" s="375" t="e">
        <f t="shared" si="1"/>
        <v>#N/A</v>
      </c>
      <c r="P69" s="370" t="e">
        <f>IF(ISNA(VLOOKUP(E67,$H$5:$I$66,2,FALSE)),VLOOKUP(E67,$O$5:$S$202,5,FALSE),VLOOKUP(E67,$H$5:$I$66,2,FALSE))</f>
        <v>#N/A</v>
      </c>
      <c r="Q69" s="31" t="str">
        <f>BiographyMarriageDetsCountries!B67</f>
        <v>Girl</v>
      </c>
      <c r="S69" s="369" t="str">
        <f>BiographyMarriageDetsCountries!E67</f>
        <v>James Norman WHEELER (b. 17 Apr 1882, d. 6 Jan 1966)</v>
      </c>
    </row>
    <row r="70" spans="1:19" s="31" customFormat="1" ht="60">
      <c r="A70" s="376">
        <v>5</v>
      </c>
      <c r="B70" s="31" t="s">
        <v>2814</v>
      </c>
      <c r="C70" s="370" t="s">
        <v>1797</v>
      </c>
      <c r="E70" s="376">
        <f>VALUE(BiographyMarriageDetsCountries!A70)</f>
        <v>68</v>
      </c>
      <c r="F70" s="375" t="str">
        <f t="shared" si="1"/>
        <v>Mrs. Phyllis Marie ARCHER (nee ETESON) (b.3 Aug 1889, d. 29 Mar 1932)</v>
      </c>
      <c r="P70" s="370" t="e">
        <f>IF(ISNA(VLOOKUP(E68,$H$5:$I$66,2,FALSE)),VLOOKUP(E68,$O$5:$S$202,5,FALSE),VLOOKUP(E68,$H$5:$I$66,2,FALSE))</f>
        <v>#N/A</v>
      </c>
      <c r="Q70" s="31" t="str">
        <f>BiographyMarriageDetsCountries!B68</f>
        <v>Boy</v>
      </c>
      <c r="S70" s="369" t="str">
        <f>BiographyMarriageDetsCountries!E68</f>
        <v>The Hon Bettine Henrietta KNATCHBULL-HUGESSEN (b. 15 Sep 1888, d. 9 Aug 1967)</v>
      </c>
    </row>
    <row r="71" spans="1:19" s="31" customFormat="1" ht="20">
      <c r="A71" s="376">
        <v>7</v>
      </c>
      <c r="B71" s="31" t="s">
        <v>2814</v>
      </c>
      <c r="C71" s="370" t="s">
        <v>1797</v>
      </c>
      <c r="E71" s="376">
        <f>VALUE(BiographyMarriageDetsCountries!A71)</f>
        <v>69</v>
      </c>
      <c r="F71" s="375" t="e">
        <f t="shared" si="1"/>
        <v>#N/A</v>
      </c>
      <c r="P71" s="370" t="e">
        <f>IF(ISNA(VLOOKUP(E69,$H$5:$I$66,2,FALSE)),VLOOKUP(E69,$O$5:$S$202,5,FALSE),VLOOKUP(E69,$H$5:$I$66,2,FALSE))</f>
        <v>#N/A</v>
      </c>
      <c r="Q71" s="31" t="str">
        <f>BiographyMarriageDetsCountries!B69</f>
        <v>Boy</v>
      </c>
      <c r="S71" s="369" t="str">
        <f>BiographyMarriageDetsCountries!E69</f>
        <v>Unmarried</v>
      </c>
    </row>
    <row r="72" spans="1:19" s="31" customFormat="1" ht="60">
      <c r="A72" s="376">
        <v>11</v>
      </c>
      <c r="B72" s="31" t="s">
        <v>2814</v>
      </c>
      <c r="C72" s="370" t="s">
        <v>2800</v>
      </c>
      <c r="E72" s="376">
        <f>VALUE(BiographyMarriageDetsCountries!A72)</f>
        <v>70</v>
      </c>
      <c r="F72" s="375" t="str">
        <f t="shared" si="1"/>
        <v>Charles MICKLEM (b. 17 Jan 1882, d. 26 Jan 1955)</v>
      </c>
      <c r="P72" s="370" t="e">
        <f>IF(ISNA(VLOOKUP(E70,$H$5:$I$66,2,FALSE)),VLOOKUP(E70,$O$5:$S$202,5,FALSE),VLOOKUP(E70,$H$5:$I$66,2,FALSE))</f>
        <v>#N/A</v>
      </c>
      <c r="Q72" s="31" t="str">
        <f>BiographyMarriageDetsCountries!B70</f>
        <v>Boy</v>
      </c>
      <c r="S72" s="369" t="str">
        <f>BiographyMarriageDetsCountries!E70</f>
        <v>Mrs. Phyllis Marie ETESON (ARCHER) (b.3 Aug 1889, d. 29 Mar 1932)</v>
      </c>
    </row>
    <row r="73" spans="1:19" s="31" customFormat="1" ht="20">
      <c r="A73" s="376">
        <v>12</v>
      </c>
      <c r="B73" s="31" t="s">
        <v>2814</v>
      </c>
      <c r="C73" s="370" t="s">
        <v>1797</v>
      </c>
      <c r="E73" s="376">
        <f>VALUE(BiographyMarriageDetsCountries!A73)</f>
        <v>71</v>
      </c>
      <c r="F73" s="375" t="str">
        <f t="shared" si="1"/>
        <v>Ivy Nina TWINING (b. 2 Aug 1884, d. 12 Jul 1950)</v>
      </c>
      <c r="P73" s="370" t="e">
        <f>IF(ISNA(VLOOKUP(E71,$H$5:$I$66,2,FALSE)),VLOOKUP(E71,$O$5:$S$202,5,FALSE),VLOOKUP(E71,$H$5:$I$66,2,FALSE))</f>
        <v>#N/A</v>
      </c>
      <c r="Q73" s="31" t="str">
        <f>BiographyMarriageDetsCountries!B71</f>
        <v>Boy</v>
      </c>
      <c r="S73" s="369" t="str">
        <f>BiographyMarriageDetsCountries!E71</f>
        <v>Unmarried</v>
      </c>
    </row>
    <row r="74" spans="1:19" s="31" customFormat="1" ht="40">
      <c r="A74" s="376">
        <v>15</v>
      </c>
      <c r="B74" s="31" t="s">
        <v>2814</v>
      </c>
      <c r="C74" s="370" t="s">
        <v>2791</v>
      </c>
      <c r="E74" s="376">
        <f>VALUE(BiographyMarriageDetsCountries!A74)</f>
        <v>72</v>
      </c>
      <c r="F74" s="375" t="str">
        <f t="shared" si="1"/>
        <v>Lady Moyra BRODRICK (b.11 Jan 1897, d. 1 Apr 1982)</v>
      </c>
      <c r="P74" s="370" t="e">
        <f>IF(ISNA(VLOOKUP(E72,$H$5:$I$66,2,FALSE)),VLOOKUP(E72,$O$5:$S$202,5,FALSE),VLOOKUP(E72,$H$5:$I$66,2,FALSE))</f>
        <v>#N/A</v>
      </c>
      <c r="Q74" s="31" t="str">
        <f>BiographyMarriageDetsCountries!B72</f>
        <v>Girl</v>
      </c>
      <c r="S74" s="369" t="str">
        <f>BiographyMarriageDetsCountries!E72</f>
        <v>Charles MICKLEM (b. 17 Jan 1882, d. 26 Jan 1955)</v>
      </c>
    </row>
    <row r="75" spans="1:19" s="31" customFormat="1" ht="40">
      <c r="A75" s="376">
        <v>16</v>
      </c>
      <c r="B75" s="31" t="s">
        <v>2814</v>
      </c>
      <c r="C75" s="370" t="s">
        <v>2805</v>
      </c>
      <c r="E75" s="376">
        <f>VALUE(BiographyMarriageDetsCountries!A75)</f>
        <v>73</v>
      </c>
      <c r="F75" s="375" t="e">
        <f t="shared" si="1"/>
        <v>#N/A</v>
      </c>
      <c r="P75" s="370" t="e">
        <f>IF(ISNA(VLOOKUP(E73,$H$5:$I$66,2,FALSE)),VLOOKUP(E73,$O$5:$S$202,5,FALSE),VLOOKUP(E73,$H$5:$I$66,2,FALSE))</f>
        <v>#N/A</v>
      </c>
      <c r="Q75" s="31" t="str">
        <f>BiographyMarriageDetsCountries!B73</f>
        <v>Boy</v>
      </c>
      <c r="S75" s="369" t="str">
        <f>BiographyMarriageDetsCountries!E73</f>
        <v>(1) Ivy Nina TWINING (b. 2 Aug 1884, d. 12 Jul 1950).</v>
      </c>
    </row>
    <row r="76" spans="1:19" s="31" customFormat="1" ht="40">
      <c r="A76" s="376">
        <v>18</v>
      </c>
      <c r="B76" s="31" t="s">
        <v>2814</v>
      </c>
      <c r="C76" s="370" t="s">
        <v>2806</v>
      </c>
      <c r="E76" s="376">
        <f>VALUE(BiographyMarriageDetsCountries!A76)</f>
        <v>74</v>
      </c>
      <c r="F76" s="375" t="str">
        <f t="shared" si="1"/>
        <v>Died in infancy.</v>
      </c>
      <c r="P76" s="370" t="e">
        <f>IF(ISNA(VLOOKUP(E74,$H$5:$I$66,2,FALSE)),VLOOKUP(E74,$O$5:$S$202,5,FALSE),VLOOKUP(E74,$H$5:$I$66,2,FALSE))</f>
        <v>#N/A</v>
      </c>
      <c r="Q76" s="31" t="str">
        <f>BiographyMarriageDetsCountries!B74</f>
        <v>Boy</v>
      </c>
      <c r="S76" s="369" t="str">
        <f>BiographyMarriageDetsCountries!E74</f>
        <v>Lady Moyra BRODRICK (b.11 Jan 1897, d. 1 Apr 1982)</v>
      </c>
    </row>
    <row r="77" spans="1:19" s="31" customFormat="1" ht="20">
      <c r="A77" s="376">
        <v>19</v>
      </c>
      <c r="B77" s="31" t="s">
        <v>2814</v>
      </c>
      <c r="C77" s="370" t="s">
        <v>2808</v>
      </c>
      <c r="E77" s="376">
        <f>VALUE(BiographyMarriageDetsCountries!A77)</f>
        <v>75</v>
      </c>
      <c r="F77" s="375" t="e">
        <f t="shared" si="1"/>
        <v>#N/A</v>
      </c>
      <c r="P77" s="370" t="e">
        <f>IF(ISNA(VLOOKUP(E75,$H$5:$I$66,2,FALSE)),VLOOKUP(E75,$O$5:$S$202,5,FALSE),VLOOKUP(E75,$H$5:$I$66,2,FALSE))</f>
        <v>#N/A</v>
      </c>
      <c r="Q77" s="31" t="str">
        <f>BiographyMarriageDetsCountries!B75</f>
        <v>Boy</v>
      </c>
      <c r="S77" s="369" t="str">
        <f>BiographyMarriageDetsCountries!E75</f>
        <v>Alice SCOTT-ANDERSON (b. ?, d. ?)</v>
      </c>
    </row>
    <row r="78" spans="1:19" s="31" customFormat="1" ht="20">
      <c r="A78" s="376">
        <v>24</v>
      </c>
      <c r="B78" s="31" t="s">
        <v>2814</v>
      </c>
      <c r="C78" s="370" t="s">
        <v>2823</v>
      </c>
      <c r="E78" s="376">
        <f>VALUE(BiographyMarriageDetsCountries!A78)</f>
        <v>76</v>
      </c>
      <c r="F78" s="375" t="str">
        <f t="shared" si="1"/>
        <v xml:space="preserve">Nora CARRUTHERS (b. 31 Mar 1907, ) </v>
      </c>
      <c r="P78" s="370" t="e">
        <f>IF(ISNA(VLOOKUP(E76,$H$5:$I$66,2,FALSE)),VLOOKUP(E76,$O$5:$S$202,5,FALSE),VLOOKUP(E76,$H$5:$I$66,2,FALSE))</f>
        <v>#N/A</v>
      </c>
      <c r="Q78" s="31" t="str">
        <f>BiographyMarriageDetsCountries!B76</f>
        <v>Girl</v>
      </c>
      <c r="S78" s="369" t="str">
        <f>BiographyMarriageDetsCountries!E76</f>
        <v>Died in infancy.</v>
      </c>
    </row>
    <row r="79" spans="1:19" s="31" customFormat="1" ht="20">
      <c r="A79" s="376">
        <v>26</v>
      </c>
      <c r="B79" s="31" t="s">
        <v>2814</v>
      </c>
      <c r="C79" s="370" t="s">
        <v>3864</v>
      </c>
      <c r="E79" s="376">
        <f>VALUE(BiographyMarriageDetsCountries!A79)</f>
        <v>77</v>
      </c>
      <c r="F79" s="375" t="str">
        <f t="shared" si="1"/>
        <v>Emily Charlotte Eileen OAKELEY (b. 28 Jan 1896, d. 8 May 1978)</v>
      </c>
      <c r="P79" s="370" t="e">
        <f>IF(ISNA(VLOOKUP(E77,$H$5:$I$66,2,FALSE)),VLOOKUP(E77,$O$5:$S$202,5,FALSE),VLOOKUP(E77,$H$5:$I$66,2,FALSE))</f>
        <v>#N/A</v>
      </c>
      <c r="Q79" s="31" t="str">
        <f>BiographyMarriageDetsCountries!B77</f>
        <v>Boy</v>
      </c>
      <c r="S79" s="369" t="str">
        <f>BiographyMarriageDetsCountries!E77</f>
        <v>Unmarried</v>
      </c>
    </row>
    <row r="80" spans="1:19" s="31" customFormat="1" ht="40">
      <c r="A80" s="376">
        <v>31</v>
      </c>
      <c r="B80" s="31" t="s">
        <v>2814</v>
      </c>
      <c r="C80" s="370" t="s">
        <v>1797</v>
      </c>
      <c r="E80" s="376">
        <f>VALUE(BiographyMarriageDetsCountries!A80)</f>
        <v>78</v>
      </c>
      <c r="F80" s="375" t="str">
        <f t="shared" si="1"/>
        <v>Phyllis Mary Porter TRINGHAM (b. 17 Sep 1907, )</v>
      </c>
      <c r="P80" s="370" t="e">
        <f>IF(ISNA(VLOOKUP(E78,$H$5:$I$66,2,FALSE)),VLOOKUP(E78,$O$5:$S$202,5,FALSE),VLOOKUP(E78,$H$5:$I$66,2,FALSE))</f>
        <v>#N/A</v>
      </c>
      <c r="Q80" s="31" t="str">
        <f>BiographyMarriageDetsCountries!B78</f>
        <v>Boy</v>
      </c>
      <c r="S80" s="369" t="str">
        <f>BiographyMarriageDetsCountries!E78</f>
        <v xml:space="preserve">Nora CARRUTHERS (b. 31 Mar 1907, d?) </v>
      </c>
    </row>
    <row r="81" spans="1:27" s="31" customFormat="1" ht="40">
      <c r="A81" s="376">
        <v>36</v>
      </c>
      <c r="B81" s="31" t="s">
        <v>2814</v>
      </c>
      <c r="C81" s="370" t="s">
        <v>2833</v>
      </c>
      <c r="E81" s="376">
        <f>VALUE(BiographyMarriageDetsCountries!A81)</f>
        <v>79</v>
      </c>
      <c r="F81" s="375" t="e">
        <f t="shared" si="1"/>
        <v>#N/A</v>
      </c>
      <c r="P81" s="370" t="e">
        <f>IF(ISNA(VLOOKUP(E79,$H$5:$I$66,2,FALSE)),VLOOKUP(E79,$O$5:$S$202,5,FALSE),VLOOKUP(E79,$H$5:$I$66,2,FALSE))</f>
        <v>#N/A</v>
      </c>
      <c r="Q81" s="31" t="str">
        <f>BiographyMarriageDetsCountries!B79</f>
        <v>Boy</v>
      </c>
      <c r="S81" s="369" t="str">
        <f>BiographyMarriageDetsCountries!E79</f>
        <v>Emily Charlotte Eileen OAKELEY (b. 28 Jan 1896, d. 8 May 1978)</v>
      </c>
    </row>
    <row r="82" spans="1:27" s="31" customFormat="1" ht="40">
      <c r="A82" s="376">
        <v>37</v>
      </c>
      <c r="B82" s="31" t="s">
        <v>2814</v>
      </c>
      <c r="C82" s="370" t="s">
        <v>1797</v>
      </c>
      <c r="E82" s="376">
        <f>VALUE(BiographyMarriageDetsCountries!A82)</f>
        <v>80</v>
      </c>
      <c r="F82" s="375" t="str">
        <f t="shared" si="1"/>
        <v>Isabel Mary Beatrix PARKER (b. 22 Feb 1903, d. 13 Jan 1992)</v>
      </c>
      <c r="P82" s="370" t="e">
        <f>IF(ISNA(VLOOKUP(E80,$H$5:$I$66,2,FALSE)),VLOOKUP(E80,$O$5:$S$202,5,FALSE),VLOOKUP(E80,$H$5:$I$66,2,FALSE))</f>
        <v>#N/A</v>
      </c>
      <c r="Q82" s="31" t="str">
        <f>BiographyMarriageDetsCountries!B80</f>
        <v>Boy</v>
      </c>
      <c r="S82" s="369" t="str">
        <f>BiographyMarriageDetsCountries!E80</f>
        <v>Enid Beatrice COBB (b. 25 Feb 1900, d. 18 Jun 1990).</v>
      </c>
    </row>
    <row r="83" spans="1:27" s="31" customFormat="1" ht="20">
      <c r="A83" s="376">
        <v>38</v>
      </c>
      <c r="B83" s="31" t="s">
        <v>2814</v>
      </c>
      <c r="C83" s="370" t="s">
        <v>1797</v>
      </c>
      <c r="E83" s="376">
        <f>VALUE(BiographyMarriageDetsCountries!A83)</f>
        <v>81</v>
      </c>
      <c r="F83" s="375" t="e">
        <f t="shared" si="1"/>
        <v>#N/A</v>
      </c>
      <c r="P83" s="370" t="e">
        <f>IF(ISNA(VLOOKUP(E81,$H$5:$I$66,2,FALSE)),VLOOKUP(E81,$O$5:$S$202,5,FALSE),VLOOKUP(E81,$H$5:$I$66,2,FALSE))</f>
        <v>#N/A</v>
      </c>
      <c r="Q83" s="31" t="str">
        <f>BiographyMarriageDetsCountries!B81</f>
        <v>Boy</v>
      </c>
      <c r="S83" s="369" t="str">
        <f>BiographyMarriageDetsCountries!E81</f>
        <v>Unmarried</v>
      </c>
    </row>
    <row r="84" spans="1:27" s="31" customFormat="1" ht="40">
      <c r="A84" s="376">
        <v>39</v>
      </c>
      <c r="B84" s="31" t="s">
        <v>2814</v>
      </c>
      <c r="C84" s="370" t="s">
        <v>1797</v>
      </c>
      <c r="E84" s="376">
        <f>VALUE(BiographyMarriageDetsCountries!A84)</f>
        <v>82</v>
      </c>
      <c r="F84" s="375" t="e">
        <f t="shared" si="1"/>
        <v>#N/A</v>
      </c>
      <c r="P84" s="370" t="e">
        <f>IF(ISNA(VLOOKUP(E82,$H$5:$I$66,2,FALSE)),VLOOKUP(E82,$O$5:$S$202,5,FALSE),VLOOKUP(E82,$H$5:$I$66,2,FALSE))</f>
        <v>#N/A</v>
      </c>
      <c r="Q84" s="31" t="str">
        <f>BiographyMarriageDetsCountries!B82</f>
        <v>Boy</v>
      </c>
      <c r="S84" s="369" t="str">
        <f>BiographyMarriageDetsCountries!E82</f>
        <v>Isabel Mary Beatrix PARKER (b. 22 Feb 1903, d. 13 Jan 1992)</v>
      </c>
    </row>
    <row r="85" spans="1:27" s="31" customFormat="1" ht="20">
      <c r="A85" s="376">
        <v>40</v>
      </c>
      <c r="B85" s="31" t="s">
        <v>2814</v>
      </c>
      <c r="C85" s="370" t="s">
        <v>1797</v>
      </c>
      <c r="E85" s="376">
        <f>VALUE(BiographyMarriageDetsCountries!A85)</f>
        <v>83</v>
      </c>
      <c r="F85" s="375" t="str">
        <f t="shared" si="1"/>
        <v>Unmarried</v>
      </c>
      <c r="P85" s="370" t="e">
        <f>IF(ISNA(VLOOKUP(E83,$H$5:$I$66,2,FALSE)),VLOOKUP(E83,$O$5:$S$202,5,FALSE),VLOOKUP(E83,$H$5:$I$66,2,FALSE))</f>
        <v>#N/A</v>
      </c>
      <c r="Q85" s="31" t="str">
        <f>BiographyMarriageDetsCountries!B83</f>
        <v>Boy</v>
      </c>
      <c r="S85" s="369" t="str">
        <f>BiographyMarriageDetsCountries!E83</f>
        <v>Unmarried</v>
      </c>
    </row>
    <row r="86" spans="1:27" s="31" customFormat="1" ht="20">
      <c r="A86" s="376">
        <v>42</v>
      </c>
      <c r="B86" s="31" t="s">
        <v>2814</v>
      </c>
      <c r="C86" s="370" t="s">
        <v>2836</v>
      </c>
      <c r="E86" s="376">
        <f>VALUE(BiographyMarriageDetsCountries!A86)</f>
        <v>84</v>
      </c>
      <c r="F86" s="375" t="e">
        <f t="shared" si="1"/>
        <v>#N/A</v>
      </c>
      <c r="P86" s="370" t="e">
        <f>IF(ISNA(VLOOKUP(E84,$H$5:$I$66,2,FALSE)),VLOOKUP(E84,$O$5:$S$202,5,FALSE),VLOOKUP(E84,$H$5:$I$66,2,FALSE))</f>
        <v>#N/A</v>
      </c>
      <c r="Q86" s="31" t="str">
        <f>BiographyMarriageDetsCountries!B84</f>
        <v>Boy</v>
      </c>
      <c r="S86" s="369" t="str">
        <f>BiographyMarriageDetsCountries!E84</f>
        <v>Unmarried</v>
      </c>
      <c r="AA86" s="99"/>
    </row>
    <row r="87" spans="1:27" s="31" customFormat="1" ht="20">
      <c r="A87" s="376">
        <v>43</v>
      </c>
      <c r="B87" s="31" t="s">
        <v>2814</v>
      </c>
      <c r="C87" s="370" t="s">
        <v>1797</v>
      </c>
      <c r="E87" s="376">
        <f>VALUE(BiographyMarriageDetsCountries!A87)</f>
        <v>85</v>
      </c>
      <c r="F87" s="375" t="str">
        <f t="shared" si="1"/>
        <v>James Henry (known as Jimmy) FRICS (b. 14 Jun 1912, d. 1 Nov 1988)</v>
      </c>
      <c r="P87" s="370" t="e">
        <f>IF(ISNA(VLOOKUP(E85,$H$5:$I$66,2,FALSE)),VLOOKUP(E85,$O$5:$S$202,5,FALSE),VLOOKUP(E85,$H$5:$I$66,2,FALSE))</f>
        <v>#N/A</v>
      </c>
      <c r="Q87" s="31" t="str">
        <f>BiographyMarriageDetsCountries!B85</f>
        <v>Girl</v>
      </c>
      <c r="S87" s="369" t="str">
        <f>BiographyMarriageDetsCountries!E85</f>
        <v>Unmarried</v>
      </c>
    </row>
    <row r="88" spans="1:27" s="31" customFormat="1" ht="20">
      <c r="A88" s="376">
        <v>47</v>
      </c>
      <c r="B88" s="31" t="s">
        <v>2814</v>
      </c>
      <c r="C88" s="370" t="s">
        <v>2841</v>
      </c>
      <c r="E88" s="376">
        <f>VALUE(BiographyMarriageDetsCountries!A88)</f>
        <v>86</v>
      </c>
      <c r="F88" s="375" t="str">
        <f t="shared" si="1"/>
        <v xml:space="preserve">Anne SMITHELLS (b. 12 Mar 1921, d. 3 Aug 2010) </v>
      </c>
      <c r="P88" s="370" t="e">
        <f>IF(ISNA(VLOOKUP(E86,$H$5:$I$66,2,FALSE)),VLOOKUP(E86,$O$5:$S$202,5,FALSE),VLOOKUP(E86,$H$5:$I$66,2,FALSE))</f>
        <v>#N/A</v>
      </c>
      <c r="Q88" s="31" t="str">
        <f>BiographyMarriageDetsCountries!B86</f>
        <v>Boy</v>
      </c>
      <c r="S88" s="369" t="str">
        <f>BiographyMarriageDetsCountries!E86</f>
        <v>Unmarried</v>
      </c>
    </row>
    <row r="89" spans="1:27" s="31" customFormat="1" ht="60">
      <c r="A89" s="376">
        <v>48</v>
      </c>
      <c r="B89" s="31" t="s">
        <v>2814</v>
      </c>
      <c r="C89" s="370" t="s">
        <v>2843</v>
      </c>
      <c r="E89" s="376">
        <f>VALUE(BiographyMarriageDetsCountries!A89)</f>
        <v>87</v>
      </c>
      <c r="F89" s="375" t="e">
        <f t="shared" si="1"/>
        <v>#N/A</v>
      </c>
      <c r="P89" s="370" t="e">
        <f>IF(ISNA(VLOOKUP(E87,$H$5:$I$66,2,FALSE)),VLOOKUP(E87,$O$5:$S$202,5,FALSE),VLOOKUP(E87,$H$5:$I$66,2,FALSE))</f>
        <v>#N/A</v>
      </c>
      <c r="Q89" s="31" t="str">
        <f>BiographyMarriageDetsCountries!B87</f>
        <v>Girl</v>
      </c>
      <c r="S89" s="369" t="str">
        <f>BiographyMarriageDetsCountries!E87</f>
        <v>James Henry (known as Jimmy) FRICS (b. 14 Jun 1912, d. 1 Nov 1988)</v>
      </c>
    </row>
    <row r="90" spans="1:27" s="31" customFormat="1" ht="40">
      <c r="A90" s="376">
        <v>49</v>
      </c>
      <c r="B90" s="31" t="s">
        <v>2814</v>
      </c>
      <c r="C90" s="370" t="s">
        <v>2791</v>
      </c>
      <c r="E90" s="376">
        <f>VALUE(BiographyMarriageDetsCountries!A90)</f>
        <v>88</v>
      </c>
      <c r="F90" s="375" t="str">
        <f t="shared" si="1"/>
        <v>James Ian KEITH, Earl of KINTORE (b. 25 Jul 1908, d. 1 Oct 1989)</v>
      </c>
      <c r="P90" s="370" t="e">
        <f>IF(ISNA(VLOOKUP(E88,$H$5:$I$66,2,FALSE)),VLOOKUP(E88,$O$5:$S$202,5,FALSE),VLOOKUP(E88,$H$5:$I$66,2,FALSE))</f>
        <v>#N/A</v>
      </c>
      <c r="Q90" s="31" t="str">
        <f>BiographyMarriageDetsCountries!B88</f>
        <v>Boy</v>
      </c>
      <c r="S90" s="369" t="str">
        <f>BiographyMarriageDetsCountries!E88</f>
        <v xml:space="preserve">Anne SMITHELLS (b. 12 Mar 1921, d. 3 Aug 2010) </v>
      </c>
    </row>
    <row r="91" spans="1:27" s="31" customFormat="1" ht="20">
      <c r="A91" s="376">
        <v>59</v>
      </c>
      <c r="B91" s="31" t="s">
        <v>2814</v>
      </c>
      <c r="C91" s="370" t="s">
        <v>1797</v>
      </c>
      <c r="E91" s="376">
        <f>VALUE(BiographyMarriageDetsCountries!A91)</f>
        <v>89</v>
      </c>
      <c r="F91" s="375" t="str">
        <f t="shared" si="1"/>
        <v>Katharine Layzell (b. 13 Mar 1924, d. 26 Oct 1981)</v>
      </c>
      <c r="P91" s="370" t="e">
        <f>IF(ISNA(VLOOKUP(E89,$H$5:$I$66,2,FALSE)),VLOOKUP(E89,$O$5:$S$202,5,FALSE),VLOOKUP(E89,$H$5:$I$66,2,FALSE))</f>
        <v>#N/A</v>
      </c>
      <c r="Q91" s="31" t="str">
        <f>BiographyMarriageDetsCountries!B89</f>
        <v>Boy</v>
      </c>
      <c r="S91" s="369" t="str">
        <f>BiographyMarriageDetsCountries!E89</f>
        <v>Unmarried</v>
      </c>
    </row>
    <row r="92" spans="1:27" s="31" customFormat="1" ht="40">
      <c r="A92" s="376">
        <v>60</v>
      </c>
      <c r="B92" s="31" t="s">
        <v>2814</v>
      </c>
      <c r="C92" s="370" t="s">
        <v>2851</v>
      </c>
      <c r="E92" s="376">
        <f>VALUE(BiographyMarriageDetsCountries!A92)</f>
        <v>90</v>
      </c>
      <c r="F92" s="375" t="str">
        <f t="shared" si="1"/>
        <v>Thomas (Tommy) MARSHAM-TOWNSHEND (b. 26 Dec 1915, d. 24 Jan 1944).</v>
      </c>
      <c r="P92" s="370" t="e">
        <f>IF(ISNA(VLOOKUP(E90,$H$5:$I$66,2,FALSE)),VLOOKUP(E90,$O$5:$S$202,5,FALSE),VLOOKUP(E90,$H$5:$I$66,2,FALSE))</f>
        <v>#N/A</v>
      </c>
      <c r="Q92" s="31" t="str">
        <f>BiographyMarriageDetsCountries!B90</f>
        <v>Girl</v>
      </c>
      <c r="S92" s="369" t="str">
        <f>BiographyMarriageDetsCountries!E90</f>
        <v>James Ian KEITH, Earl of KINTORE (b. 25 Jul 1908, d. 1 Oct 1989)</v>
      </c>
    </row>
    <row r="93" spans="1:27" s="31" customFormat="1" ht="40">
      <c r="A93" s="376">
        <v>63</v>
      </c>
      <c r="B93" s="31" t="s">
        <v>2814</v>
      </c>
      <c r="C93" s="370" t="s">
        <v>2853</v>
      </c>
      <c r="E93" s="376">
        <f>VALUE(BiographyMarriageDetsCountries!A93)</f>
        <v>91</v>
      </c>
      <c r="F93" s="375" t="e">
        <f t="shared" si="1"/>
        <v>#N/A</v>
      </c>
      <c r="P93" s="370" t="e">
        <f>IF(ISNA(VLOOKUP(E91,$H$5:$I$66,2,FALSE)),VLOOKUP(E91,$O$5:$S$202,5,FALSE),VLOOKUP(E91,$H$5:$I$66,2,FALSE))</f>
        <v>#N/A</v>
      </c>
      <c r="Q93" s="31" t="str">
        <f>BiographyMarriageDetsCountries!B91</f>
        <v>Boy</v>
      </c>
      <c r="S93" s="369" t="str">
        <f>BiographyMarriageDetsCountries!E91</f>
        <v xml:space="preserve">Katharine LAYZELL (b. 13 Mar 1924, d. 26 Oct 1981) </v>
      </c>
    </row>
    <row r="94" spans="1:27" s="31" customFormat="1" ht="60">
      <c r="A94" s="376">
        <v>64</v>
      </c>
      <c r="B94" s="31" t="s">
        <v>2814</v>
      </c>
      <c r="C94" s="370" t="s">
        <v>2261</v>
      </c>
      <c r="E94" s="376">
        <f>VALUE(BiographyMarriageDetsCountries!A94)</f>
        <v>92</v>
      </c>
      <c r="F94" s="375" t="str">
        <f t="shared" si="1"/>
        <v>Robert TATTON-BROWN (b. 14 Sep 1913, d. 16 Apr 1990)</v>
      </c>
      <c r="P94" s="370" t="e">
        <f>IF(ISNA(VLOOKUP(E92,$H$5:$I$66,2,FALSE)),VLOOKUP(E92,$O$5:$S$202,5,FALSE),VLOOKUP(E92,$H$5:$I$66,2,FALSE))</f>
        <v>#N/A</v>
      </c>
      <c r="Q94" s="31" t="str">
        <f>BiographyMarriageDetsCountries!B92</f>
        <v>Girl</v>
      </c>
      <c r="S94" s="369" t="str">
        <f>BiographyMarriageDetsCountries!E92</f>
        <v>Thomas (Tommy) MARSHAM-TOWNSHEND (b. 26 Dec 1915, d. 24 Jan 1944).</v>
      </c>
    </row>
    <row r="95" spans="1:27" s="31" customFormat="1" ht="20">
      <c r="A95" s="376">
        <v>65</v>
      </c>
      <c r="B95" s="31" t="s">
        <v>2814</v>
      </c>
      <c r="C95" s="370" t="s">
        <v>2856</v>
      </c>
      <c r="E95" s="376">
        <f>VALUE(BiographyMarriageDetsCountries!A95)</f>
        <v>93</v>
      </c>
      <c r="F95" s="375" t="str">
        <f t="shared" si="1"/>
        <v>Unmarried</v>
      </c>
      <c r="P95" s="370" t="e">
        <f>IF(ISNA(VLOOKUP(E93,$H$5:$I$66,2,FALSE)),VLOOKUP(E93,$O$5:$S$202,5,FALSE),VLOOKUP(E93,$H$5:$I$66,2,FALSE))</f>
        <v>#N/A</v>
      </c>
      <c r="Q95" s="31" t="str">
        <f>BiographyMarriageDetsCountries!B93</f>
        <v>Boy</v>
      </c>
      <c r="S95" s="369" t="str">
        <f>BiographyMarriageDetsCountries!E93</f>
        <v>Died in childhood.</v>
      </c>
    </row>
    <row r="96" spans="1:27" s="31" customFormat="1" ht="40">
      <c r="A96" s="376">
        <v>70</v>
      </c>
      <c r="B96" s="31" t="s">
        <v>2814</v>
      </c>
      <c r="C96" s="370" t="s">
        <v>2859</v>
      </c>
      <c r="E96" s="376">
        <f>VALUE(BiographyMarriageDetsCountries!A96)</f>
        <v>94</v>
      </c>
      <c r="F96" s="375" t="str">
        <f t="shared" si="1"/>
        <v>Alison Fraser PORTER (b. 21 Feb 1920, d. 6 Sep 2003)</v>
      </c>
      <c r="P96" s="370" t="e">
        <f>IF(ISNA(VLOOKUP(E94,$H$5:$I$66,2,FALSE)),VLOOKUP(E94,$O$5:$S$202,5,FALSE),VLOOKUP(E94,$H$5:$I$66,2,FALSE))</f>
        <v>#N/A</v>
      </c>
      <c r="Q96" s="31" t="str">
        <f>BiographyMarriageDetsCountries!B94</f>
        <v>Girl</v>
      </c>
      <c r="S96" s="369" t="str">
        <f>BiographyMarriageDetsCountries!E94</f>
        <v>Robert TATTON-BROWN (b. 14 Sep 1913, d. 16 Apr 1990)</v>
      </c>
    </row>
    <row r="97" spans="1:19" s="31" customFormat="1" ht="20">
      <c r="A97" s="376">
        <v>74</v>
      </c>
      <c r="B97" s="31" t="s">
        <v>2814</v>
      </c>
      <c r="C97" s="370" t="s">
        <v>2791</v>
      </c>
      <c r="E97" s="376">
        <f>VALUE(BiographyMarriageDetsCountries!A97)</f>
        <v>95</v>
      </c>
      <c r="F97" s="375" t="str">
        <f t="shared" si="1"/>
        <v>Major Hubert Guy Broughton KNIGHT MC (b. 9 Apr 1917, d. 1 Nov 1993)</v>
      </c>
      <c r="P97" s="370" t="e">
        <f>IF(ISNA(VLOOKUP(E95,$H$5:$I$66,2,FALSE)),VLOOKUP(E95,$O$5:$S$202,5,FALSE),VLOOKUP(E95,$H$5:$I$66,2,FALSE))</f>
        <v>#N/A</v>
      </c>
      <c r="Q97" s="31" t="str">
        <f>BiographyMarriageDetsCountries!B95</f>
        <v>Girl</v>
      </c>
      <c r="S97" s="369" t="str">
        <f>BiographyMarriageDetsCountries!E95</f>
        <v>Unmarried</v>
      </c>
    </row>
    <row r="98" spans="1:19" s="31" customFormat="1" ht="40">
      <c r="A98" s="376">
        <v>83</v>
      </c>
      <c r="B98" s="31" t="s">
        <v>2814</v>
      </c>
      <c r="C98" s="370" t="s">
        <v>1797</v>
      </c>
      <c r="E98" s="376">
        <f>VALUE(BiographyMarriageDetsCountries!A98)</f>
        <v>96</v>
      </c>
      <c r="F98" s="375" t="str">
        <f t="shared" si="1"/>
        <v>June Cecilia KEPPEL (b. 19 Jun 1924, d. 7 May 2008)</v>
      </c>
      <c r="P98" s="370" t="e">
        <f>IF(ISNA(VLOOKUP(E96,$H$5:$I$66,2,FALSE)),VLOOKUP(E96,$O$5:$S$202,5,FALSE),VLOOKUP(E96,$H$5:$I$66,2,FALSE))</f>
        <v>#N/A</v>
      </c>
      <c r="Q98" s="31" t="str">
        <f>BiographyMarriageDetsCountries!B96</f>
        <v>Boy</v>
      </c>
      <c r="S98" s="369" t="str">
        <f>BiographyMarriageDetsCountries!E96</f>
        <v xml:space="preserve"> Alison Fraser PORTER (b. 21 Feb 1920, d. 6 Sep 2003)</v>
      </c>
    </row>
    <row r="99" spans="1:19" s="31" customFormat="1" ht="60">
      <c r="A99" s="376">
        <v>85</v>
      </c>
      <c r="B99" s="31" t="s">
        <v>2814</v>
      </c>
      <c r="C99" s="370" t="s">
        <v>3884</v>
      </c>
      <c r="E99" s="376">
        <f>VALUE(BiographyMarriageDetsCountries!A99)</f>
        <v>97</v>
      </c>
      <c r="F99" s="375" t="str">
        <f t="shared" si="1"/>
        <v>Robert Edward Walker SALE (b. 26 Nov 1913, d. 11 Aug 1983)</v>
      </c>
      <c r="P99" s="370" t="e">
        <f>IF(ISNA(VLOOKUP(E97,$H$5:$I$66,2,FALSE)),VLOOKUP(E97,$O$5:$S$202,5,FALSE),VLOOKUP(E97,$H$5:$I$66,2,FALSE))</f>
        <v>#N/A</v>
      </c>
      <c r="Q99" s="31" t="str">
        <f>BiographyMarriageDetsCountries!B97</f>
        <v>Girl</v>
      </c>
      <c r="S99" s="369" t="str">
        <f>BiographyMarriageDetsCountries!E97</f>
        <v>Major Hubert Guy Broughton KNIGHT MC (b. 9 Apr 1917, d. 1 Nov 1993)</v>
      </c>
    </row>
    <row r="100" spans="1:19" s="31" customFormat="1" ht="40">
      <c r="A100" s="376">
        <v>88</v>
      </c>
      <c r="B100" s="31" t="s">
        <v>2814</v>
      </c>
      <c r="C100" s="370" t="s">
        <v>2869</v>
      </c>
      <c r="E100" s="376">
        <f>VALUE(BiographyMarriageDetsCountries!A100)</f>
        <v>98</v>
      </c>
      <c r="F100" s="375" t="str">
        <f t="shared" si="1"/>
        <v>Suzanne DUNCAN (b. 25 Aug 1928, )</v>
      </c>
      <c r="P100" s="370" t="e">
        <f>IF(ISNA(VLOOKUP(E98,$H$5:$I$66,2,FALSE)),VLOOKUP(E98,$O$5:$S$202,5,FALSE),VLOOKUP(E98,$H$5:$I$66,2,FALSE))</f>
        <v>#N/A</v>
      </c>
      <c r="Q100" s="31" t="str">
        <f>BiographyMarriageDetsCountries!B98</f>
        <v>Boy</v>
      </c>
      <c r="S100" s="369" t="str">
        <f>BiographyMarriageDetsCountries!E98</f>
        <v>June Cecilia KEPPEL (b. 19 Jun 1924)</v>
      </c>
    </row>
    <row r="101" spans="1:19" s="31" customFormat="1" ht="40">
      <c r="A101" s="376">
        <v>90</v>
      </c>
      <c r="B101" s="31" t="s">
        <v>2814</v>
      </c>
      <c r="C101" s="370" t="s">
        <v>4357</v>
      </c>
      <c r="E101" s="376">
        <f>VALUE(BiographyMarriageDetsCountries!A101)</f>
        <v>99</v>
      </c>
      <c r="F101" s="375" t="str">
        <f t="shared" si="1"/>
        <v>Sally Elizabeth Jane INGLIS (b. 18 Jan 1931, d. 27 Aug 2020)</v>
      </c>
      <c r="P101" s="370" t="e">
        <f>IF(ISNA(VLOOKUP(E99,$H$5:$I$66,2,FALSE)),VLOOKUP(E99,$O$5:$S$202,5,FALSE),VLOOKUP(E99,$H$5:$I$66,2,FALSE))</f>
        <v>#N/A</v>
      </c>
      <c r="Q101" s="31" t="str">
        <f>BiographyMarriageDetsCountries!B99</f>
        <v>Girl</v>
      </c>
      <c r="S101" s="369" t="str">
        <f>BiographyMarriageDetsCountries!E99</f>
        <v>Robert Edward Walker SALE (b. 26 Nov 1913, d. 11 Aug 1983)</v>
      </c>
    </row>
    <row r="102" spans="1:19" s="31" customFormat="1" ht="40">
      <c r="A102" s="376">
        <v>92</v>
      </c>
      <c r="B102" s="31" t="s">
        <v>2814</v>
      </c>
      <c r="C102" s="370" t="s">
        <v>2871</v>
      </c>
      <c r="E102" s="376">
        <f>VALUE(BiographyMarriageDetsCountries!A102)</f>
        <v>100</v>
      </c>
      <c r="F102" s="375" t="str">
        <f t="shared" si="1"/>
        <v>Joanna SMITH-BINGHAM (b. 17 Nov 1935, )</v>
      </c>
      <c r="P102" s="370" t="e">
        <f>IF(ISNA(VLOOKUP(E100,$H$5:$I$66,2,FALSE)),VLOOKUP(E100,$O$5:$S$202,5,FALSE),VLOOKUP(E100,$H$5:$I$66,2,FALSE))</f>
        <v>#N/A</v>
      </c>
      <c r="Q102" s="31" t="str">
        <f>BiographyMarriageDetsCountries!B100</f>
        <v>Boy</v>
      </c>
      <c r="S102" s="369" t="str">
        <f>BiographyMarriageDetsCountries!E100</f>
        <v>(1) Suzanne DUNCAN (b. 25 Aug 1928, ).</v>
      </c>
    </row>
    <row r="103" spans="1:19" s="31" customFormat="1" ht="40">
      <c r="A103" s="376">
        <v>93</v>
      </c>
      <c r="B103" s="31" t="s">
        <v>2814</v>
      </c>
      <c r="C103" s="370" t="s">
        <v>1797</v>
      </c>
      <c r="E103" s="376">
        <f>VALUE(BiographyMarriageDetsCountries!A103)</f>
        <v>101</v>
      </c>
      <c r="F103" s="375" t="str">
        <f t="shared" si="1"/>
        <v>John Charles Edmund Carson MEADE (b. 6 Jun 1914, d. 30 Mar 1989) 6th Earl of CLANWILLIAM</v>
      </c>
      <c r="P103" s="370" t="e">
        <f>IF(ISNA(VLOOKUP(E101,$H$5:$I$66,2,FALSE)),VLOOKUP(E101,$O$5:$S$202,5,FALSE),VLOOKUP(E101,$H$5:$I$66,2,FALSE))</f>
        <v>#N/A</v>
      </c>
      <c r="Q103" s="31" t="str">
        <f>BiographyMarriageDetsCountries!B101</f>
        <v>Boy</v>
      </c>
      <c r="S103" s="369" t="str">
        <f>BiographyMarriageDetsCountries!E101</f>
        <v>Sally Elizabeth Jane INGLIS (b. 18 Jan 1931, d. 27 Aug 2020)</v>
      </c>
    </row>
    <row r="104" spans="1:19" s="31" customFormat="1" ht="40">
      <c r="A104" s="376">
        <v>95</v>
      </c>
      <c r="B104" s="31" t="s">
        <v>2814</v>
      </c>
      <c r="C104" s="370" t="s">
        <v>2874</v>
      </c>
      <c r="E104" s="376">
        <f>VALUE(BiographyMarriageDetsCountries!A104)</f>
        <v>102</v>
      </c>
      <c r="F104" s="375" t="str">
        <f t="shared" si="1"/>
        <v>Malcolm Coit DUNLOP (b. 17 Feb 1927, )</v>
      </c>
      <c r="P104" s="370" t="e">
        <f>IF(ISNA(VLOOKUP(E102,$H$5:$I$66,2,FALSE)),VLOOKUP(E102,$O$5:$S$202,5,FALSE),VLOOKUP(E102,$H$5:$I$66,2,FALSE))</f>
        <v>#N/A</v>
      </c>
      <c r="Q104" s="31" t="str">
        <f>BiographyMarriageDetsCountries!B102</f>
        <v>Boy</v>
      </c>
      <c r="S104" s="369" t="str">
        <f>BiographyMarriageDetsCountries!E102</f>
        <v>Joanna SMITH-BINGHAM (b. 17 Nov 1935, )</v>
      </c>
    </row>
    <row r="105" spans="1:19" s="31" customFormat="1" ht="60">
      <c r="A105" s="376">
        <v>97</v>
      </c>
      <c r="B105" s="31" t="s">
        <v>2814</v>
      </c>
      <c r="C105" s="370" t="s">
        <v>2876</v>
      </c>
      <c r="E105" s="376">
        <f>VALUE(BiographyMarriageDetsCountries!A105)</f>
        <v>103</v>
      </c>
      <c r="F105" s="375" t="str">
        <f t="shared" si="1"/>
        <v>Sir Thomas Anthony GORE-BROWN (b. 20 Jun 1918, d. 7 Sep 1988)</v>
      </c>
      <c r="P105" s="370" t="e">
        <f>IF(ISNA(VLOOKUP(E103,$H$5:$I$66,2,FALSE)),VLOOKUP(E103,$O$5:$S$202,5,FALSE),VLOOKUP(E103,$H$5:$I$66,2,FALSE))</f>
        <v>#N/A</v>
      </c>
      <c r="Q105" s="31" t="str">
        <f>BiographyMarriageDetsCountries!B103</f>
        <v>Girl</v>
      </c>
      <c r="S105" s="369" t="str">
        <f>BiographyMarriageDetsCountries!E103</f>
        <v>John Charles Edmund Carson MEADE (b. 6 Jun 1914, d. 30 Mar 1989) 6th Earl of CLANWILLIAM</v>
      </c>
    </row>
    <row r="106" spans="1:19" s="31" customFormat="1" ht="40">
      <c r="A106" s="376">
        <v>101</v>
      </c>
      <c r="B106" s="31" t="s">
        <v>2814</v>
      </c>
      <c r="C106" s="370" t="s">
        <v>3891</v>
      </c>
      <c r="E106" s="376">
        <f>VALUE(BiographyMarriageDetsCountries!A106)</f>
        <v>104</v>
      </c>
      <c r="F106" s="375" t="str">
        <f t="shared" si="1"/>
        <v>Philippa Mary Emma STEEL (b. 5 Dec 1932, d. 27 Oct 2020)</v>
      </c>
      <c r="P106" s="370" t="e">
        <f>IF(ISNA(VLOOKUP(E104,$H$5:$I$66,2,FALSE)),VLOOKUP(E104,$O$5:$S$202,5,FALSE),VLOOKUP(E104,$H$5:$I$66,2,FALSE))</f>
        <v>#N/A</v>
      </c>
      <c r="Q106" s="31" t="str">
        <f>BiographyMarriageDetsCountries!B104</f>
        <v>Girl</v>
      </c>
      <c r="S106" s="369" t="str">
        <f>BiographyMarriageDetsCountries!E104</f>
        <v>Malcolm Coit DUNLOP (b. 17 Feb 1927, )</v>
      </c>
    </row>
    <row r="107" spans="1:19" s="31" customFormat="1" ht="60">
      <c r="A107" s="376">
        <v>102</v>
      </c>
      <c r="B107" s="31" t="s">
        <v>2814</v>
      </c>
      <c r="C107" s="370" t="s">
        <v>3152</v>
      </c>
      <c r="E107" s="376">
        <f>VALUE(BiographyMarriageDetsCountries!A107)</f>
        <v>105</v>
      </c>
      <c r="F107" s="375" t="str">
        <f t="shared" si="1"/>
        <v>Patricia Mary MACLEAN (b. 11 Feb 1929, )</v>
      </c>
      <c r="P107" s="370" t="e">
        <f>IF(ISNA(VLOOKUP(E105,$H$5:$I$66,2,FALSE)),VLOOKUP(E105,$O$5:$S$202,5,FALSE),VLOOKUP(E105,$H$5:$I$66,2,FALSE))</f>
        <v>#N/A</v>
      </c>
      <c r="Q107" s="31" t="str">
        <f>BiographyMarriageDetsCountries!B105</f>
        <v>Girl</v>
      </c>
      <c r="S107" s="369" t="str">
        <f>BiographyMarriageDetsCountries!E105</f>
        <v>Sir Thomas Anthony GORE-BROWN (b. 20 Jun 1918, d. 7 Sep 1988)</v>
      </c>
    </row>
    <row r="108" spans="1:19" s="31" customFormat="1" ht="40">
      <c r="A108" s="376">
        <v>103</v>
      </c>
      <c r="B108" s="31" t="s">
        <v>2814</v>
      </c>
      <c r="C108" s="370" t="s">
        <v>3592</v>
      </c>
      <c r="E108" s="376">
        <f>VALUE(BiographyMarriageDetsCountries!A108)</f>
        <v>106</v>
      </c>
      <c r="F108" s="375" t="str">
        <f t="shared" si="1"/>
        <v>Derek Edward Anthony WINN, 5th Baron ST OSWALD (b. 9 Jul 1919, d. 18 Mar 1999)</v>
      </c>
      <c r="P108" s="370" t="e">
        <f>IF(ISNA(VLOOKUP(E106,$H$5:$I$66,2,FALSE)),VLOOKUP(E106,$O$5:$S$202,5,FALSE),VLOOKUP(E106,$H$5:$I$66,2,FALSE))</f>
        <v>#N/A</v>
      </c>
      <c r="Q108" s="31" t="str">
        <f>BiographyMarriageDetsCountries!B106</f>
        <v>Boy</v>
      </c>
      <c r="S108" s="369" t="str">
        <f>BiographyMarriageDetsCountries!E106</f>
        <v>Philippa Mary Emma STEEL (b. 5 Dec 1932, d. 27 Oct 2020)</v>
      </c>
    </row>
    <row r="109" spans="1:19" s="31" customFormat="1" ht="40">
      <c r="A109" s="376">
        <v>106</v>
      </c>
      <c r="B109" s="31" t="s">
        <v>2814</v>
      </c>
      <c r="C109" s="370" t="s">
        <v>2920</v>
      </c>
      <c r="E109" s="376">
        <f>VALUE(BiographyMarriageDetsCountries!A109)</f>
        <v>107</v>
      </c>
      <c r="F109" s="375" t="str">
        <f t="shared" si="1"/>
        <v>(1) Harold Arthur GRAHAM (b. 1922, )</v>
      </c>
      <c r="P109" s="370" t="e">
        <f>IF(ISNA(VLOOKUP(E107,$H$5:$I$66,2,FALSE)),VLOOKUP(E107,$O$5:$S$202,5,FALSE),VLOOKUP(E107,$H$5:$I$66,2,FALSE))</f>
        <v>#N/A</v>
      </c>
      <c r="Q109" s="31" t="str">
        <f>BiographyMarriageDetsCountries!B107</f>
        <v>Boy</v>
      </c>
      <c r="S109" s="369" t="str">
        <f>BiographyMarriageDetsCountries!E107</f>
        <v>(1) Patricia Mary MACLEAN (b. 11 Feb 1929, d. 1 Mar 2001).  .</v>
      </c>
    </row>
    <row r="110" spans="1:19" s="31" customFormat="1" ht="60">
      <c r="A110" s="376">
        <v>107</v>
      </c>
      <c r="B110" s="31" t="s">
        <v>2814</v>
      </c>
      <c r="C110" s="370" t="s">
        <v>3151</v>
      </c>
      <c r="E110" s="376">
        <f>VALUE(BiographyMarriageDetsCountries!A110)</f>
        <v>108</v>
      </c>
      <c r="F110" s="375" t="str">
        <f t="shared" si="1"/>
        <v>Frank HOYLE (b. 9 Oct 1920, d. 1 Jan 2006)</v>
      </c>
      <c r="P110" s="370" t="e">
        <f>IF(ISNA(VLOOKUP(E108,$H$5:$I$66,2,FALSE)),VLOOKUP(E108,$O$5:$S$202,5,FALSE),VLOOKUP(E108,$H$5:$I$66,2,FALSE))</f>
        <v>#N/A</v>
      </c>
      <c r="Q110" s="31" t="str">
        <f>BiographyMarriageDetsCountries!B108</f>
        <v>Girl</v>
      </c>
      <c r="S110" s="369" t="str">
        <f>BiographyMarriageDetsCountries!E108</f>
        <v>Derek Edward Anthony WINN, 5th Baron ST OSWALD (b. 9 Jul 1919, d. 18 Mar 1999)</v>
      </c>
    </row>
    <row r="111" spans="1:19" s="31" customFormat="1" ht="40">
      <c r="A111" s="376">
        <v>108</v>
      </c>
      <c r="B111" s="31" t="s">
        <v>2814</v>
      </c>
      <c r="C111" s="370" t="s">
        <v>3044</v>
      </c>
      <c r="E111" s="376">
        <f>VALUE(BiographyMarriageDetsCountries!A111)</f>
        <v>109</v>
      </c>
      <c r="F111" s="375" t="str">
        <f t="shared" si="1"/>
        <v>Terrence (Terry) WALTON (b. 1 Nov 1932, d. 1 Apr 2000)</v>
      </c>
      <c r="P111" s="370" t="e">
        <f>IF(ISNA(VLOOKUP(E109,$H$5:$I$66,2,FALSE)),VLOOKUP(E109,$O$5:$S$202,5,FALSE),VLOOKUP(E109,$H$5:$I$66,2,FALSE))</f>
        <v>#N/A</v>
      </c>
      <c r="Q111" s="31" t="str">
        <f>BiographyMarriageDetsCountries!B109</f>
        <v>Girl</v>
      </c>
      <c r="S111" s="369" t="str">
        <f>BiographyMarriageDetsCountries!E109</f>
        <v>(1) Harold Arthur GRAHAM (b. 1922, )</v>
      </c>
    </row>
    <row r="112" spans="1:19" s="31" customFormat="1" ht="40">
      <c r="A112" s="376">
        <v>109</v>
      </c>
      <c r="B112" s="31" t="s">
        <v>2814</v>
      </c>
      <c r="C112" s="370" t="s">
        <v>2922</v>
      </c>
      <c r="E112" s="376">
        <f>VALUE(BiographyMarriageDetsCountries!A112)</f>
        <v>110</v>
      </c>
      <c r="F112" s="375" t="str">
        <f t="shared" si="1"/>
        <v>Leonard Drummond BOYCE (b 24 May 1933, d. 27 Feb 2005)</v>
      </c>
      <c r="P112" s="370" t="e">
        <f>IF(ISNA(VLOOKUP(E110,$H$5:$I$66,2,FALSE)),VLOOKUP(E110,$O$5:$S$202,5,FALSE),VLOOKUP(E110,$H$5:$I$66,2,FALSE))</f>
        <v>#N/A</v>
      </c>
      <c r="Q112" s="31" t="str">
        <f>BiographyMarriageDetsCountries!B110</f>
        <v>Girl</v>
      </c>
      <c r="S112" s="369" t="str">
        <f>BiographyMarriageDetsCountries!E110</f>
        <v>Frank HOYLE (b. 9 Oct 1920, d. 1 Jan 2006)</v>
      </c>
    </row>
    <row r="113" spans="1:19" s="31" customFormat="1" ht="40">
      <c r="A113" s="376">
        <v>110</v>
      </c>
      <c r="B113" s="31" t="s">
        <v>2814</v>
      </c>
      <c r="C113" s="370" t="s">
        <v>3045</v>
      </c>
      <c r="E113" s="376">
        <f>VALUE(BiographyMarriageDetsCountries!A113)</f>
        <v>111</v>
      </c>
      <c r="F113" s="375" t="e">
        <f t="shared" si="1"/>
        <v>#N/A</v>
      </c>
      <c r="P113" s="370" t="e">
        <f>IF(ISNA(VLOOKUP(E111,$H$5:$I$66,2,FALSE)),VLOOKUP(E111,$O$5:$S$202,5,FALSE),VLOOKUP(E111,$H$5:$I$66,2,FALSE))</f>
        <v>#N/A</v>
      </c>
      <c r="Q113" s="31" t="str">
        <f>BiographyMarriageDetsCountries!B111</f>
        <v>Girl</v>
      </c>
      <c r="S113" s="369" t="str">
        <f>BiographyMarriageDetsCountries!E111</f>
        <v>Terrence (Terry) WALTON (b. 1 Nov 1932, d. 1 Apr 2000)</v>
      </c>
    </row>
    <row r="114" spans="1:19" s="31" customFormat="1" ht="40">
      <c r="A114" s="376">
        <v>112</v>
      </c>
      <c r="B114" s="31" t="s">
        <v>2814</v>
      </c>
      <c r="C114" s="370" t="s">
        <v>3150</v>
      </c>
      <c r="E114" s="376">
        <f>VALUE(BiographyMarriageDetsCountries!A114)</f>
        <v>112</v>
      </c>
      <c r="F114" s="375" t="str">
        <f t="shared" si="1"/>
        <v>Cyril Eric DOWNES (b. 12 Nov 1930, )</v>
      </c>
      <c r="P114" s="370" t="e">
        <f>IF(ISNA(VLOOKUP(E112,$H$5:$I$66,2,FALSE)),VLOOKUP(E112,$O$5:$S$202,5,FALSE),VLOOKUP(E112,$H$5:$I$66,2,FALSE))</f>
        <v>#N/A</v>
      </c>
      <c r="Q114" s="31" t="str">
        <f>BiographyMarriageDetsCountries!B112</f>
        <v>Girl</v>
      </c>
      <c r="S114" s="369" t="str">
        <f>BiographyMarriageDetsCountries!E112</f>
        <v>Leonard Drummond BOYCE (b 24 May 1933, d. 27 Feb 2005)</v>
      </c>
    </row>
    <row r="115" spans="1:19" s="31" customFormat="1" ht="20">
      <c r="A115" s="376">
        <v>115</v>
      </c>
      <c r="B115" s="31" t="s">
        <v>2814</v>
      </c>
      <c r="C115" s="370" t="s">
        <v>3046</v>
      </c>
      <c r="E115" s="376">
        <f>VALUE(BiographyMarriageDetsCountries!A115)</f>
        <v>113</v>
      </c>
      <c r="F115" s="375" t="str">
        <f t="shared" si="1"/>
        <v>Deirdre THOMPSON (b. 11 Apr 1936, d. 2004)</v>
      </c>
      <c r="P115" s="370" t="e">
        <f>IF(ISNA(VLOOKUP(E113,$H$5:$I$66,2,FALSE)),VLOOKUP(E113,$O$5:$S$202,5,FALSE),VLOOKUP(E113,$H$5:$I$66,2,FALSE))</f>
        <v>#N/A</v>
      </c>
      <c r="Q115" s="31" t="str">
        <f>BiographyMarriageDetsCountries!B113</f>
        <v>Boy</v>
      </c>
      <c r="S115" s="369" t="str">
        <f>BiographyMarriageDetsCountries!E113</f>
        <v>Unmarried</v>
      </c>
    </row>
    <row r="116" spans="1:19" s="31" customFormat="1" ht="40">
      <c r="A116" s="376">
        <v>116</v>
      </c>
      <c r="B116" s="31" t="s">
        <v>2814</v>
      </c>
      <c r="C116" s="370" t="s">
        <v>3149</v>
      </c>
      <c r="E116" s="376">
        <f>VALUE(BiographyMarriageDetsCountries!A116)</f>
        <v>114</v>
      </c>
      <c r="F116" s="375" t="str">
        <f t="shared" si="1"/>
        <v>Rosemary (Rosie) STRAKER (b. 19 Jan 1945, )</v>
      </c>
      <c r="P116" s="370" t="e">
        <f>IF(ISNA(VLOOKUP(E114,$H$5:$I$66,2,FALSE)),VLOOKUP(E114,$O$5:$S$202,5,FALSE),VLOOKUP(E114,$H$5:$I$66,2,FALSE))</f>
        <v>#N/A</v>
      </c>
      <c r="Q116" s="31" t="str">
        <f>BiographyMarriageDetsCountries!B114</f>
        <v>Girl</v>
      </c>
      <c r="S116" s="369" t="str">
        <f>BiographyMarriageDetsCountries!E114</f>
        <v>Cyril Eric DOWNES (b. 12 Nov 1930, )</v>
      </c>
    </row>
    <row r="117" spans="1:19" s="31" customFormat="1" ht="40">
      <c r="A117" s="376">
        <v>118</v>
      </c>
      <c r="B117" s="31" t="s">
        <v>2814</v>
      </c>
      <c r="C117" s="370" t="s">
        <v>2791</v>
      </c>
      <c r="E117" s="376">
        <f>VALUE(BiographyMarriageDetsCountries!A117)</f>
        <v>115</v>
      </c>
      <c r="F117" s="375" t="str">
        <f t="shared" si="1"/>
        <v>Savile William Francis CROSSLEY (b. 17 Sep 1928, d. 24 Jan 2012 )</v>
      </c>
      <c r="P117" s="370" t="e">
        <f>IF(ISNA(VLOOKUP(E115,$H$5:$I$66,2,FALSE)),VLOOKUP(E115,$O$5:$S$202,5,FALSE),VLOOKUP(E115,$H$5:$I$66,2,FALSE))</f>
        <v>#N/A</v>
      </c>
      <c r="Q117" s="31" t="str">
        <f>BiographyMarriageDetsCountries!B115</f>
        <v>Boy</v>
      </c>
      <c r="S117" s="369" t="str">
        <f>BiographyMarriageDetsCountries!E115</f>
        <v xml:space="preserve">(1) Deirdre THOMPSON (b. 11 Apr 1936, ) </v>
      </c>
    </row>
    <row r="118" spans="1:19" s="31" customFormat="1" ht="40">
      <c r="A118" s="376">
        <v>120</v>
      </c>
      <c r="B118" s="31" t="s">
        <v>2814</v>
      </c>
      <c r="C118" s="370" t="s">
        <v>3148</v>
      </c>
      <c r="E118" s="376">
        <f>VALUE(BiographyMarriageDetsCountries!A118)</f>
        <v>116</v>
      </c>
      <c r="F118" s="375" t="str">
        <f t="shared" si="1"/>
        <v>Michael Herbert (Mike) CLULOW (b. 23 Sep 1944, )</v>
      </c>
      <c r="P118" s="370" t="e">
        <f>IF(ISNA(VLOOKUP(E116,$H$5:$I$66,2,FALSE)),VLOOKUP(E116,$O$5:$S$202,5,FALSE),VLOOKUP(E116,$H$5:$I$66,2,FALSE))</f>
        <v>#N/A</v>
      </c>
      <c r="Q118" s="31" t="str">
        <f>BiographyMarriageDetsCountries!B116</f>
        <v>Boy</v>
      </c>
      <c r="S118" s="369" t="str">
        <f>BiographyMarriageDetsCountries!E116</f>
        <v>Rosemary (Rosie) STRAKER (b. 19 Jan 1945, )</v>
      </c>
    </row>
    <row r="119" spans="1:19" s="31" customFormat="1" ht="40">
      <c r="A119" s="376">
        <v>123</v>
      </c>
      <c r="B119" s="31" t="s">
        <v>2814</v>
      </c>
      <c r="C119" s="370" t="s">
        <v>2928</v>
      </c>
      <c r="E119" s="376">
        <f>VALUE(BiographyMarriageDetsCountries!A119)</f>
        <v>117</v>
      </c>
      <c r="F119" s="375" t="str">
        <f t="shared" si="1"/>
        <v>Mary DAVIES (b. 6 Aug 1939, d. 17 Feb 1997)</v>
      </c>
      <c r="P119" s="370" t="e">
        <f>IF(ISNA(VLOOKUP(E117,$H$5:$I$66,2,FALSE)),VLOOKUP(E117,$O$5:$S$202,5,FALSE),VLOOKUP(E117,$H$5:$I$66,2,FALSE))</f>
        <v>#N/A</v>
      </c>
      <c r="Q119" s="31" t="str">
        <f>BiographyMarriageDetsCountries!B117</f>
        <v>Girl</v>
      </c>
      <c r="S119" s="369" t="str">
        <f>BiographyMarriageDetsCountries!E117</f>
        <v>Savile William Francis CROSSLEY (b. 17 Sep 1928, d. 24 Jan 2012 )</v>
      </c>
    </row>
    <row r="120" spans="1:19" s="31" customFormat="1" ht="40">
      <c r="A120" s="376">
        <v>125</v>
      </c>
      <c r="B120" s="31" t="s">
        <v>2814</v>
      </c>
      <c r="C120" s="370" t="s">
        <v>2930</v>
      </c>
      <c r="E120" s="376">
        <f>VALUE(BiographyMarriageDetsCountries!A120)</f>
        <v>118</v>
      </c>
      <c r="F120" s="375" t="str">
        <f t="shared" si="1"/>
        <v>Died in infancy.</v>
      </c>
      <c r="P120" s="370" t="e">
        <f>IF(ISNA(VLOOKUP(E118,$H$5:$I$66,2,FALSE)),VLOOKUP(E118,$O$5:$S$202,5,FALSE),VLOOKUP(E118,$H$5:$I$66,2,FALSE))</f>
        <v>#N/A</v>
      </c>
      <c r="Q120" s="31" t="str">
        <f>BiographyMarriageDetsCountries!B118</f>
        <v>Girl</v>
      </c>
      <c r="S120" s="369" t="str">
        <f>BiographyMarriageDetsCountries!E118</f>
        <v>Michael Herbert (Mike) CLULOW (b. 23 Sep 1944, )</v>
      </c>
    </row>
    <row r="121" spans="1:19" s="31" customFormat="1" ht="40">
      <c r="A121" s="376">
        <v>128</v>
      </c>
      <c r="B121" s="31" t="s">
        <v>2814</v>
      </c>
      <c r="C121" s="370" t="s">
        <v>3580</v>
      </c>
      <c r="E121" s="376">
        <f>VALUE(BiographyMarriageDetsCountries!A121)</f>
        <v>119</v>
      </c>
      <c r="F121" s="375" t="str">
        <f t="shared" si="1"/>
        <v>Mary Jennifer CHARLTON (b. 15 Jul 1946, d. 10 Oct 1976)</v>
      </c>
      <c r="P121" s="370" t="e">
        <f>IF(ISNA(VLOOKUP(E119,$H$5:$I$66,2,FALSE)),VLOOKUP(E119,$O$5:$S$202,5,FALSE),VLOOKUP(E119,$H$5:$I$66,2,FALSE))</f>
        <v>#N/A</v>
      </c>
      <c r="Q121" s="31" t="str">
        <f>BiographyMarriageDetsCountries!B119</f>
        <v>Boy</v>
      </c>
      <c r="S121" s="369" t="str">
        <f>BiographyMarriageDetsCountries!E119</f>
        <v>Mary DAVIES (b. 6 Aug 1939, d. 17 Feb 1997)</v>
      </c>
    </row>
    <row r="122" spans="1:19" s="31" customFormat="1" ht="20">
      <c r="A122" s="376">
        <v>129</v>
      </c>
      <c r="B122" s="31" t="s">
        <v>2814</v>
      </c>
      <c r="C122" s="370" t="s">
        <v>2932</v>
      </c>
      <c r="E122" s="376">
        <f>VALUE(BiographyMarriageDetsCountries!A122)</f>
        <v>120</v>
      </c>
      <c r="F122" s="375" t="str">
        <f t="shared" si="1"/>
        <v>Anthony Havelock HUDSON (b. 25 Apr 1946, )</v>
      </c>
      <c r="P122" s="370" t="e">
        <f>IF(ISNA(VLOOKUP(E120,$H$5:$I$66,2,FALSE)),VLOOKUP(E120,$O$5:$S$202,5,FALSE),VLOOKUP(E120,$H$5:$I$66,2,FALSE))</f>
        <v>#N/A</v>
      </c>
      <c r="Q122" s="31" t="str">
        <f>BiographyMarriageDetsCountries!B120</f>
        <v>Girl</v>
      </c>
      <c r="S122" s="369" t="str">
        <f>BiographyMarriageDetsCountries!E120</f>
        <v>Died in infancy.</v>
      </c>
    </row>
    <row r="123" spans="1:19" s="31" customFormat="1" ht="40">
      <c r="A123" s="376">
        <v>137</v>
      </c>
      <c r="B123" s="31" t="s">
        <v>2814</v>
      </c>
      <c r="C123" s="370" t="s">
        <v>2940</v>
      </c>
      <c r="E123" s="376">
        <f>VALUE(BiographyMarriageDetsCountries!A123)</f>
        <v>121</v>
      </c>
      <c r="F123" s="375" t="str">
        <f t="shared" si="1"/>
        <v>Mrs Anabel Laura Dorothy STAPLETON (b. 31 Dec 1955, )</v>
      </c>
      <c r="P123" s="370" t="e">
        <f>IF(ISNA(VLOOKUP(E121,$H$5:$I$66,2,FALSE)),VLOOKUP(E121,$O$5:$S$202,5,FALSE),VLOOKUP(E121,$H$5:$I$66,2,FALSE))</f>
        <v>#N/A</v>
      </c>
      <c r="Q123" s="31" t="str">
        <f>BiographyMarriageDetsCountries!B121</f>
        <v>Boy</v>
      </c>
      <c r="S123" s="369" t="str">
        <f>BiographyMarriageDetsCountries!E121</f>
        <v>(1) Mary Jennifer CHARLTON (b. 15 Jul 1946, d. 10 Oct 1976)</v>
      </c>
    </row>
    <row r="124" spans="1:19" s="31" customFormat="1" ht="40">
      <c r="A124" s="376">
        <v>140</v>
      </c>
      <c r="B124" s="31" t="s">
        <v>2814</v>
      </c>
      <c r="C124" s="370" t="s">
        <v>3147</v>
      </c>
      <c r="E124" s="376">
        <f>VALUE(BiographyMarriageDetsCountries!A124)</f>
        <v>122</v>
      </c>
      <c r="F124" s="375" t="e">
        <f t="shared" si="1"/>
        <v>#N/A</v>
      </c>
      <c r="P124" s="370" t="e">
        <f>IF(ISNA(VLOOKUP(E122,$H$5:$I$66,2,FALSE)),VLOOKUP(E122,$O$5:$S$202,5,FALSE),VLOOKUP(E122,$H$5:$I$66,2,FALSE))</f>
        <v>#N/A</v>
      </c>
      <c r="Q124" s="31" t="str">
        <f>BiographyMarriageDetsCountries!B122</f>
        <v>Girl</v>
      </c>
      <c r="S124" s="369" t="str">
        <f>BiographyMarriageDetsCountries!E122</f>
        <v>Anthony Havelock HUDSON (b. 25 Apr 1946, )</v>
      </c>
    </row>
    <row r="125" spans="1:19" s="31" customFormat="1" ht="60">
      <c r="A125" s="376">
        <v>141</v>
      </c>
      <c r="B125" s="31" t="s">
        <v>2814</v>
      </c>
      <c r="C125" s="370" t="s">
        <v>3916</v>
      </c>
      <c r="E125" s="376">
        <f>VALUE(BiographyMarriageDetsCountries!A125)</f>
        <v>123</v>
      </c>
      <c r="F125" s="375" t="str">
        <f t="shared" si="1"/>
        <v>Terrence Eric BOSMAN (b. 5 Jan 1948, d. 21 Apr 1987)</v>
      </c>
      <c r="P125" s="370" t="e">
        <f>IF(ISNA(VLOOKUP(E123,$H$5:$I$66,2,FALSE)),VLOOKUP(E123,$O$5:$S$202,5,FALSE),VLOOKUP(E123,$H$5:$I$66,2,FALSE))</f>
        <v>#N/A</v>
      </c>
      <c r="Q125" s="31" t="str">
        <f>BiographyMarriageDetsCountries!B123</f>
        <v>Boy</v>
      </c>
      <c r="S125" s="369" t="str">
        <f>BiographyMarriageDetsCountries!E123</f>
        <v>Mrs Anabel Laura Dorothy STAPLETON (b. 31 Dec 1955, )</v>
      </c>
    </row>
    <row r="126" spans="1:19" s="31" customFormat="1" ht="40">
      <c r="A126" s="376">
        <v>143</v>
      </c>
      <c r="B126" s="31" t="s">
        <v>2814</v>
      </c>
      <c r="C126" s="370" t="s">
        <v>2942</v>
      </c>
      <c r="E126" s="376">
        <f>VALUE(BiographyMarriageDetsCountries!A126)</f>
        <v>124</v>
      </c>
      <c r="F126" s="375" t="e">
        <f t="shared" si="1"/>
        <v>#N/A</v>
      </c>
      <c r="P126" s="370" t="e">
        <f>IF(ISNA(VLOOKUP(E124,$H$5:$I$66,2,FALSE)),VLOOKUP(E124,$O$5:$S$202,5,FALSE),VLOOKUP(E124,$H$5:$I$66,2,FALSE))</f>
        <v>#N/A</v>
      </c>
      <c r="Q126" s="31" t="str">
        <f>BiographyMarriageDetsCountries!B124</f>
        <v>Boy</v>
      </c>
      <c r="S126" s="369" t="str">
        <f>BiographyMarriageDetsCountries!E124</f>
        <v>(1) Jill Deloitte DAVIS (b. 19 Nov 1948, d. 3 Jun 2014).</v>
      </c>
    </row>
    <row r="127" spans="1:19" s="31" customFormat="1" ht="40">
      <c r="A127" s="376">
        <v>147</v>
      </c>
      <c r="B127" s="31" t="s">
        <v>2814</v>
      </c>
      <c r="C127" s="370" t="s">
        <v>4271</v>
      </c>
      <c r="E127" s="376">
        <f>VALUE(BiographyMarriageDetsCountries!A127)</f>
        <v>125</v>
      </c>
      <c r="F127" s="375" t="str">
        <f t="shared" si="1"/>
        <v>Jock Llewellyn HAWKEY (b. 1 Feb 1949, )</v>
      </c>
      <c r="P127" s="370" t="e">
        <f>IF(ISNA(VLOOKUP(E125,$H$5:$I$66,2,FALSE)),VLOOKUP(E125,$O$5:$S$202,5,FALSE),VLOOKUP(E125,$H$5:$I$66,2,FALSE))</f>
        <v>#N/A</v>
      </c>
      <c r="Q127" s="31" t="str">
        <f>BiographyMarriageDetsCountries!B125</f>
        <v>Girl</v>
      </c>
      <c r="S127" s="369" t="str">
        <f>BiographyMarriageDetsCountries!E125</f>
        <v>Terrence Eric BOSMAN (b. 5 Jan 1948, d. 21 Apr 1987)</v>
      </c>
    </row>
    <row r="128" spans="1:19" s="31" customFormat="1" ht="40">
      <c r="A128" s="376">
        <v>151</v>
      </c>
      <c r="B128" s="31" t="s">
        <v>2814</v>
      </c>
      <c r="C128" s="370" t="s">
        <v>4285</v>
      </c>
      <c r="E128" s="376">
        <f>VALUE(BiographyMarriageDetsCountries!A128)</f>
        <v>126</v>
      </c>
      <c r="F128" s="375" t="e">
        <f t="shared" si="1"/>
        <v>#N/A</v>
      </c>
      <c r="P128" s="370" t="e">
        <f>IF(ISNA(VLOOKUP(E126,$H$5:$I$66,2,FALSE)),VLOOKUP(E126,$O$5:$S$202,5,FALSE),VLOOKUP(E126,$H$5:$I$66,2,FALSE))</f>
        <v>#N/A</v>
      </c>
      <c r="Q128" s="31" t="str">
        <f>BiographyMarriageDetsCountries!B126</f>
        <v>Boy</v>
      </c>
      <c r="S128" s="369" t="str">
        <f>BiographyMarriageDetsCountries!E126</f>
        <v>Deirdre Susan WELLS (b. 4 May 1951, )</v>
      </c>
    </row>
    <row r="129" spans="1:19" s="31" customFormat="1" ht="40">
      <c r="A129" s="376">
        <v>152</v>
      </c>
      <c r="B129" s="31" t="s">
        <v>2814</v>
      </c>
      <c r="C129" s="370" t="s">
        <v>2945</v>
      </c>
      <c r="E129" s="376">
        <f>VALUE(BiographyMarriageDetsCountries!A129)</f>
        <v>127</v>
      </c>
      <c r="F129" s="375" t="e">
        <f t="shared" si="1"/>
        <v>#N/A</v>
      </c>
      <c r="P129" s="370" t="e">
        <f>IF(ISNA(VLOOKUP(E127,$H$5:$I$66,2,FALSE)),VLOOKUP(E127,$O$5:$S$202,5,FALSE),VLOOKUP(E127,$H$5:$I$66,2,FALSE))</f>
        <v>#N/A</v>
      </c>
      <c r="Q129" s="31" t="str">
        <f>BiographyMarriageDetsCountries!B127</f>
        <v>Girl</v>
      </c>
      <c r="S129" s="369" t="str">
        <f>BiographyMarriageDetsCountries!E127</f>
        <v>Jock Llewellyn HAWKEY (b. 1 Feb 1949, )</v>
      </c>
    </row>
    <row r="130" spans="1:19" s="31" customFormat="1" ht="20">
      <c r="A130" s="376">
        <v>154</v>
      </c>
      <c r="B130" s="31" t="s">
        <v>2814</v>
      </c>
      <c r="C130" s="370" t="s">
        <v>4284</v>
      </c>
      <c r="E130" s="376">
        <f>VALUE(BiographyMarriageDetsCountries!A130)</f>
        <v>128</v>
      </c>
      <c r="F130" s="375" t="str">
        <f t="shared" si="1"/>
        <v>Neil PEMBERTON (b.20 Mar 1953, ). Divorced 2001.</v>
      </c>
      <c r="P130" s="370" t="e">
        <f>IF(ISNA(VLOOKUP(E128,$H$5:$I$66,2,FALSE)),VLOOKUP(E128,$O$5:$S$202,5,FALSE),VLOOKUP(E128,$H$5:$I$66,2,FALSE))</f>
        <v>#N/A</v>
      </c>
      <c r="Q130" s="31" t="str">
        <f>BiographyMarriageDetsCountries!B128</f>
        <v>Boy</v>
      </c>
      <c r="S130" s="369" t="str">
        <f>BiographyMarriageDetsCountries!E128</f>
        <v>Angela Vernon (b. 27 Sep 1937, )</v>
      </c>
    </row>
    <row r="131" spans="1:19" s="31" customFormat="1" ht="20">
      <c r="A131" s="376">
        <v>156</v>
      </c>
      <c r="B131" s="31" t="s">
        <v>2814</v>
      </c>
      <c r="C131" s="370" t="s">
        <v>3066</v>
      </c>
      <c r="E131" s="376">
        <f>VALUE(BiographyMarriageDetsCountries!A131)</f>
        <v>129</v>
      </c>
      <c r="F131" s="375" t="str">
        <f t="shared" si="1"/>
        <v>Arnold SAKOLINSKY (b. 18 Sep 1943, )</v>
      </c>
      <c r="P131" s="370" t="e">
        <f>IF(ISNA(VLOOKUP(E129,$H$5:$I$66,2,FALSE)),VLOOKUP(E129,$O$5:$S$202,5,FALSE),VLOOKUP(E129,$H$5:$I$66,2,FALSE))</f>
        <v>#N/A</v>
      </c>
      <c r="Q131" s="31" t="str">
        <f>BiographyMarriageDetsCountries!B129</f>
        <v>Boy</v>
      </c>
      <c r="S131" s="369" t="str">
        <f>BiographyMarriageDetsCountries!E129</f>
        <v xml:space="preserve"> - </v>
      </c>
    </row>
    <row r="132" spans="1:19" s="31" customFormat="1" ht="40">
      <c r="A132" s="376">
        <v>157</v>
      </c>
      <c r="B132" s="31" t="s">
        <v>2814</v>
      </c>
      <c r="C132" s="370" t="s">
        <v>4323</v>
      </c>
      <c r="E132" s="376">
        <f>VALUE(BiographyMarriageDetsCountries!A132)</f>
        <v>130</v>
      </c>
      <c r="F132" s="375" t="str">
        <f t="shared" ref="F132:F192" si="2">VLOOKUP(E132,$A$3:$C$240,3,FALSE)</f>
        <v>Jacqueline Mary HERMAN (b. 4 Nov 1955, )</v>
      </c>
      <c r="P132" s="370" t="e">
        <f>IF(ISNA(VLOOKUP(E130,$H$5:$I$66,2,FALSE)),VLOOKUP(E130,$O$5:$S$202,5,FALSE),VLOOKUP(E130,$H$5:$I$66,2,FALSE))</f>
        <v>#N/A</v>
      </c>
      <c r="Q132" s="31" t="str">
        <f>BiographyMarriageDetsCountries!B130</f>
        <v>Girl</v>
      </c>
      <c r="S132" s="369" t="str">
        <f>BiographyMarriageDetsCountries!E130</f>
        <v>Neil PEMBERTON (b.20 Mar 1953, ). Divorced 2001.</v>
      </c>
    </row>
    <row r="133" spans="1:19" s="31" customFormat="1" ht="40">
      <c r="A133" s="376">
        <v>158</v>
      </c>
      <c r="B133" s="31" t="s">
        <v>2814</v>
      </c>
      <c r="C133" s="370" t="s">
        <v>4326</v>
      </c>
      <c r="E133" s="376">
        <f>VALUE(BiographyMarriageDetsCountries!A133)</f>
        <v>131</v>
      </c>
      <c r="F133" s="375" t="str">
        <f t="shared" si="2"/>
        <v>Karina Lesley BOYCE (b. 22 Apr 1954, )</v>
      </c>
      <c r="P133" s="370" t="e">
        <f>IF(ISNA(VLOOKUP(E131,$H$5:$I$66,2,FALSE)),VLOOKUP(E131,$O$5:$S$202,5,FALSE),VLOOKUP(E131,$H$5:$I$66,2,FALSE))</f>
        <v>#N/A</v>
      </c>
      <c r="Q133" s="31" t="str">
        <f>BiographyMarriageDetsCountries!B131</f>
        <v>Girl</v>
      </c>
      <c r="S133" s="369" t="str">
        <f>BiographyMarriageDetsCountries!E131</f>
        <v>Arnold SAKOLINSKY (b. 18 Sep 1943, )</v>
      </c>
    </row>
    <row r="134" spans="1:19" s="31" customFormat="1" ht="40">
      <c r="A134" s="376">
        <v>159</v>
      </c>
      <c r="B134" s="31" t="s">
        <v>2814</v>
      </c>
      <c r="C134" s="370" t="s">
        <v>4324</v>
      </c>
      <c r="E134" s="376">
        <f>VALUE(BiographyMarriageDetsCountries!A134)</f>
        <v>132</v>
      </c>
      <c r="F134" s="375" t="e">
        <f t="shared" si="2"/>
        <v>#N/A</v>
      </c>
      <c r="P134" s="370" t="e">
        <f>IF(ISNA(VLOOKUP(E132,$H$5:$I$66,2,FALSE)),VLOOKUP(E132,$O$5:$S$202,5,FALSE),VLOOKUP(E132,$H$5:$I$66,2,FALSE))</f>
        <v>#N/A</v>
      </c>
      <c r="Q134" s="31" t="str">
        <f>BiographyMarriageDetsCountries!B132</f>
        <v>Boy</v>
      </c>
      <c r="S134" s="369" t="str">
        <f>BiographyMarriageDetsCountries!E132</f>
        <v>Jacqueline Mary HERMAN (b. 4 Nov 1955, )</v>
      </c>
    </row>
    <row r="135" spans="1:19" s="31" customFormat="1" ht="40">
      <c r="A135" s="376">
        <v>161</v>
      </c>
      <c r="B135" s="31" t="s">
        <v>2814</v>
      </c>
      <c r="C135" s="370" t="s">
        <v>4322</v>
      </c>
      <c r="E135" s="376">
        <f>VALUE(BiographyMarriageDetsCountries!A135)</f>
        <v>133</v>
      </c>
      <c r="F135" s="375" t="e">
        <f t="shared" si="2"/>
        <v>#N/A</v>
      </c>
      <c r="P135" s="370" t="e">
        <f>IF(ISNA(VLOOKUP(E133,$H$5:$I$66,2,FALSE)),VLOOKUP(E133,$O$5:$S$202,5,FALSE),VLOOKUP(E133,$H$5:$I$66,2,FALSE))</f>
        <v>#N/A</v>
      </c>
      <c r="Q135" s="31" t="str">
        <f>BiographyMarriageDetsCountries!B133</f>
        <v>Boy</v>
      </c>
      <c r="S135" s="369" t="str">
        <f>BiographyMarriageDetsCountries!E133</f>
        <v>Karina Lesley BOYCE (b. 22 Apr 1954, )</v>
      </c>
    </row>
    <row r="136" spans="1:19" s="31" customFormat="1" ht="20">
      <c r="A136" s="376">
        <v>163</v>
      </c>
      <c r="B136" s="31" t="s">
        <v>2814</v>
      </c>
      <c r="C136" s="370" t="s">
        <v>4325</v>
      </c>
      <c r="E136" s="376">
        <f>VALUE(BiographyMarriageDetsCountries!A136)</f>
        <v>134</v>
      </c>
      <c r="F136" s="375" t="e">
        <f t="shared" si="2"/>
        <v>#N/A</v>
      </c>
      <c r="P136" s="370" t="e">
        <f>IF(ISNA(VLOOKUP(E134,$H$5:$I$66,2,FALSE)),VLOOKUP(E134,$O$5:$S$202,5,FALSE),VLOOKUP(E134,$H$5:$I$66,2,FALSE))</f>
        <v>#N/A</v>
      </c>
      <c r="Q136" s="31" t="str">
        <f>BiographyMarriageDetsCountries!B134</f>
        <v>Boy</v>
      </c>
      <c r="S136" s="369" t="str">
        <f>BiographyMarriageDetsCountries!E134</f>
        <v>Died in infancy.</v>
      </c>
    </row>
    <row r="137" spans="1:19" s="31" customFormat="1" ht="40">
      <c r="A137" s="376">
        <v>164</v>
      </c>
      <c r="B137" s="31" t="s">
        <v>2814</v>
      </c>
      <c r="C137" s="370" t="s">
        <v>3092</v>
      </c>
      <c r="E137" s="376">
        <f>VALUE(BiographyMarriageDetsCountries!A137)</f>
        <v>135</v>
      </c>
      <c r="F137" s="375" t="str">
        <f t="shared" si="2"/>
        <v>Brenda POW (b. 23 Aug 1964, )</v>
      </c>
      <c r="P137" s="370" t="e">
        <f>IF(ISNA(VLOOKUP(E135,$H$5:$I$66,2,FALSE)),VLOOKUP(E135,$O$5:$S$202,5,FALSE),VLOOKUP(E135,$H$5:$I$66,2,FALSE))</f>
        <v>#N/A</v>
      </c>
      <c r="Q137" s="31" t="str">
        <f>BiographyMarriageDetsCountries!B135</f>
        <v>Boy</v>
      </c>
      <c r="S137" s="369" t="str">
        <f>BiographyMarriageDetsCountries!E135</f>
        <v xml:space="preserve">(1) Mrs. Sally Irene LLOYD (b. 17 Dec 1946, d. 19 Aug 2006). </v>
      </c>
    </row>
    <row r="138" spans="1:19" s="31" customFormat="1" ht="20">
      <c r="A138" s="376">
        <v>165</v>
      </c>
      <c r="B138" s="31" t="s">
        <v>2814</v>
      </c>
      <c r="C138" s="370" t="s">
        <v>3104</v>
      </c>
      <c r="E138" s="376">
        <f>VALUE(BiographyMarriageDetsCountries!A138)</f>
        <v>136</v>
      </c>
      <c r="F138" s="375" t="str">
        <f t="shared" si="2"/>
        <v>Cherry Margaret CORMACK (b. 18 Sep 1956, )</v>
      </c>
      <c r="P138" s="370" t="e">
        <f>IF(ISNA(VLOOKUP(E136,$H$5:$I$66,2,FALSE)),VLOOKUP(E136,$O$5:$S$202,5,FALSE),VLOOKUP(E136,$H$5:$I$66,2,FALSE))</f>
        <v>#N/A</v>
      </c>
      <c r="Q138" s="31" t="str">
        <f>BiographyMarriageDetsCountries!B136</f>
        <v>Boy</v>
      </c>
      <c r="S138" s="369" t="str">
        <f>BiographyMarriageDetsCountries!E136</f>
        <v>Unmarried</v>
      </c>
    </row>
    <row r="139" spans="1:19" s="31" customFormat="1" ht="19" customHeight="1">
      <c r="A139" s="376">
        <v>168</v>
      </c>
      <c r="B139" s="31" t="s">
        <v>2814</v>
      </c>
      <c r="C139" s="370" t="s">
        <v>4068</v>
      </c>
      <c r="E139" s="376">
        <f>VALUE(BiographyMarriageDetsCountries!A139)</f>
        <v>137</v>
      </c>
      <c r="F139" s="375" t="str">
        <f t="shared" si="2"/>
        <v>Adrian GELL (b. 11 Mar 1960, )</v>
      </c>
      <c r="P139" s="370" t="e">
        <f>IF(ISNA(VLOOKUP(E137,$H$5:$I$66,2,FALSE)),VLOOKUP(E137,$O$5:$S$202,5,FALSE),VLOOKUP(E137,$H$5:$I$66,2,FALSE))</f>
        <v>#N/A</v>
      </c>
      <c r="Q139" s="31" t="str">
        <f>BiographyMarriageDetsCountries!B137</f>
        <v>Boy</v>
      </c>
      <c r="S139" s="369" t="str">
        <f>BiographyMarriageDetsCountries!E137</f>
        <v>Brenda POW (b. 23 Aug 1964, )</v>
      </c>
    </row>
    <row r="140" spans="1:19" s="31" customFormat="1" ht="40">
      <c r="A140" s="376">
        <v>170</v>
      </c>
      <c r="B140" s="31" t="s">
        <v>2814</v>
      </c>
      <c r="C140" s="370" t="s">
        <v>4069</v>
      </c>
      <c r="E140" s="376">
        <f>VALUE(BiographyMarriageDetsCountries!A140)</f>
        <v>138</v>
      </c>
      <c r="F140" s="375" t="str">
        <f t="shared" si="2"/>
        <v>Kirsten Mary WROUGHTON (b. 12 Dec 1959, )</v>
      </c>
      <c r="P140" s="370" t="e">
        <f>IF(ISNA(VLOOKUP(E138,$H$5:$I$66,2,FALSE)),VLOOKUP(E138,$O$5:$S$202,5,FALSE),VLOOKUP(E138,$H$5:$I$66,2,FALSE))</f>
        <v>#N/A</v>
      </c>
      <c r="Q140" s="31" t="str">
        <f>BiographyMarriageDetsCountries!B138</f>
        <v>Boy</v>
      </c>
      <c r="S140" s="369" t="str">
        <f>BiographyMarriageDetsCountries!E138</f>
        <v>Cherry Margaret CORMACK (b 18 Sep 1956, )</v>
      </c>
    </row>
    <row r="141" spans="1:19" s="31" customFormat="1" ht="20">
      <c r="A141" s="376">
        <v>172</v>
      </c>
      <c r="B141" s="31" t="s">
        <v>2814</v>
      </c>
      <c r="C141" s="370" t="s">
        <v>2792</v>
      </c>
      <c r="E141" s="376">
        <f>VALUE(BiographyMarriageDetsCountries!A141)</f>
        <v>139</v>
      </c>
      <c r="F141" s="375" t="e">
        <f t="shared" si="2"/>
        <v>#N/A</v>
      </c>
      <c r="P141" s="370" t="e">
        <f>IF(ISNA(VLOOKUP(E139,$H$5:$I$66,2,FALSE)),VLOOKUP(E139,$O$5:$S$202,5,FALSE),VLOOKUP(E139,$H$5:$I$66,2,FALSE))</f>
        <v>#N/A</v>
      </c>
      <c r="Q141" s="31" t="str">
        <f>BiographyMarriageDetsCountries!B139</f>
        <v>Girl</v>
      </c>
      <c r="S141" s="369" t="str">
        <f>BiographyMarriageDetsCountries!E139</f>
        <v>Adrian GELL (b. 11 Mar 1960, )</v>
      </c>
    </row>
    <row r="142" spans="1:19" s="31" customFormat="1" ht="40">
      <c r="A142" s="376">
        <v>174</v>
      </c>
      <c r="B142" s="31" t="s">
        <v>2814</v>
      </c>
      <c r="C142" s="370" t="s">
        <v>2793</v>
      </c>
      <c r="E142" s="376">
        <f>VALUE(BiographyMarriageDetsCountries!A142)</f>
        <v>140</v>
      </c>
      <c r="F142" s="375" t="str">
        <f t="shared" si="2"/>
        <v>George Andrew Lang MILLER (b. 22 Nov 1944, )</v>
      </c>
      <c r="P142" s="370" t="e">
        <f>IF(ISNA(VLOOKUP(E140,$H$5:$I$66,2,FALSE)),VLOOKUP(E140,$O$5:$S$202,5,FALSE),VLOOKUP(E140,$H$5:$I$66,2,FALSE))</f>
        <v>#N/A</v>
      </c>
      <c r="Q142" s="31" t="str">
        <f>BiographyMarriageDetsCountries!B140</f>
        <v>Boy</v>
      </c>
      <c r="S142" s="369" t="str">
        <f>BiographyMarriageDetsCountries!E140</f>
        <v xml:space="preserve">Kirsten Mary WROUGHTON (b. 12 Dec 1959, ). </v>
      </c>
    </row>
    <row r="143" spans="1:19" s="31" customFormat="1" ht="40">
      <c r="A143" s="376">
        <v>181</v>
      </c>
      <c r="B143" s="31" t="s">
        <v>2814</v>
      </c>
      <c r="C143" s="370" t="s">
        <v>2793</v>
      </c>
      <c r="E143" s="376">
        <f>VALUE(BiographyMarriageDetsCountries!A143)</f>
        <v>141</v>
      </c>
      <c r="F143" s="375" t="str">
        <f t="shared" si="2"/>
        <v>Duncan Ian Arthur Campbell BYATT (b. 24 Jan 1962, )</v>
      </c>
      <c r="P143" s="370" t="e">
        <f>IF(ISNA(VLOOKUP(E141,$H$5:$I$66,2,FALSE)),VLOOKUP(E141,$O$5:$S$202,5,FALSE),VLOOKUP(E141,$H$5:$I$66,2,FALSE))</f>
        <v>#N/A</v>
      </c>
      <c r="Q143" s="31" t="str">
        <f>BiographyMarriageDetsCountries!B141</f>
        <v>Boy</v>
      </c>
      <c r="S143" s="369" t="str">
        <f>BiographyMarriageDetsCountries!E141</f>
        <v>Magdalene Mary (Dalene) McSHANE (b. 22 Jul 1956, )</v>
      </c>
    </row>
    <row r="144" spans="1:19" s="31" customFormat="1" ht="40">
      <c r="A144" s="376">
        <v>182</v>
      </c>
      <c r="B144" s="31" t="s">
        <v>2814</v>
      </c>
      <c r="C144" s="370" t="s">
        <v>2793</v>
      </c>
      <c r="E144" s="376">
        <f>VALUE(BiographyMarriageDetsCountries!A144)</f>
        <v>142</v>
      </c>
      <c r="F144" s="375" t="str">
        <f t="shared" si="2"/>
        <v>Lynn HAMILTON (b. 23 Feb 1962, )</v>
      </c>
      <c r="P144" s="370" t="e">
        <f>IF(ISNA(VLOOKUP(E142,$H$5:$I$66,2,FALSE)),VLOOKUP(E142,$O$5:$S$202,5,FALSE),VLOOKUP(E142,$H$5:$I$66,2,FALSE))</f>
        <v>#N/A</v>
      </c>
      <c r="Q144" s="31" t="str">
        <f>BiographyMarriageDetsCountries!B142</f>
        <v>Girl</v>
      </c>
      <c r="S144" s="369" t="str">
        <f>BiographyMarriageDetsCountries!E142</f>
        <v>George Andrew Lang MILLER (b. 22 Nov 1944, )</v>
      </c>
    </row>
    <row r="145" spans="1:19" s="31" customFormat="1" ht="40">
      <c r="A145" s="376">
        <v>183</v>
      </c>
      <c r="B145" s="31" t="s">
        <v>2814</v>
      </c>
      <c r="C145" s="370" t="s">
        <v>2793</v>
      </c>
      <c r="E145" s="376">
        <f>VALUE(BiographyMarriageDetsCountries!A145)</f>
        <v>143</v>
      </c>
      <c r="F145" s="375" t="str">
        <f t="shared" si="2"/>
        <v>Nicholas Courcy ASHE (b. 19 Jan 1957, )</v>
      </c>
      <c r="P145" s="370" t="e">
        <f>IF(ISNA(VLOOKUP(E143,$H$5:$I$66,2,FALSE)),VLOOKUP(E143,$O$5:$S$202,5,FALSE),VLOOKUP(E143,$H$5:$I$66,2,FALSE))</f>
        <v>#N/A</v>
      </c>
      <c r="Q145" s="31" t="str">
        <f>BiographyMarriageDetsCountries!B143</f>
        <v>Girl</v>
      </c>
      <c r="S145" s="369" t="str">
        <f>BiographyMarriageDetsCountries!E143</f>
        <v>Duncan Ian Arthur Campbell BYATT (b. 24 Jan 1962, )</v>
      </c>
    </row>
    <row r="146" spans="1:19" s="31" customFormat="1" ht="40">
      <c r="A146" s="376">
        <v>184</v>
      </c>
      <c r="B146" s="31" t="s">
        <v>2814</v>
      </c>
      <c r="C146" s="370" t="s">
        <v>2793</v>
      </c>
      <c r="E146" s="376">
        <f>VALUE(BiographyMarriageDetsCountries!A146)</f>
        <v>144</v>
      </c>
      <c r="F146" s="375" t="e">
        <f t="shared" si="2"/>
        <v>#N/A</v>
      </c>
      <c r="P146" s="370" t="e">
        <f>IF(ISNA(VLOOKUP(E144,$H$5:$I$66,2,FALSE)),VLOOKUP(E144,$O$5:$S$202,5,FALSE),VLOOKUP(E144,$H$5:$I$66,2,FALSE))</f>
        <v>#N/A</v>
      </c>
      <c r="Q146" s="31" t="str">
        <f>BiographyMarriageDetsCountries!B144</f>
        <v>Boy</v>
      </c>
      <c r="S146" s="369" t="str">
        <f>BiographyMarriageDetsCountries!E144</f>
        <v>Lynn  HAMILTON (b. 23 Feb 1962, )</v>
      </c>
    </row>
    <row r="147" spans="1:19" s="31" customFormat="1" ht="40">
      <c r="A147" s="376">
        <v>185</v>
      </c>
      <c r="B147" s="31" t="s">
        <v>2814</v>
      </c>
      <c r="C147" s="370" t="s">
        <v>2793</v>
      </c>
      <c r="E147" s="376">
        <f>VALUE(BiographyMarriageDetsCountries!A147)</f>
        <v>145</v>
      </c>
      <c r="F147" s="375" t="e">
        <f t="shared" si="2"/>
        <v>#N/A</v>
      </c>
      <c r="P147" s="370" t="e">
        <f>IF(ISNA(VLOOKUP(E145,$H$5:$I$66,2,FALSE)),VLOOKUP(E145,$O$5:$S$202,5,FALSE),VLOOKUP(E145,$H$5:$I$66,2,FALSE))</f>
        <v>#N/A</v>
      </c>
      <c r="Q147" s="31" t="str">
        <f>BiographyMarriageDetsCountries!B145</f>
        <v>Girl</v>
      </c>
      <c r="S147" s="369" t="str">
        <f>BiographyMarriageDetsCountries!E145</f>
        <v>Nicholas Courcy ASHE (b. 19 Jan 1957, )</v>
      </c>
    </row>
    <row r="148" spans="1:19" s="31" customFormat="1" ht="20">
      <c r="A148" s="376">
        <v>187</v>
      </c>
      <c r="B148" s="31" t="s">
        <v>2814</v>
      </c>
      <c r="C148" s="370" t="s">
        <v>2793</v>
      </c>
      <c r="E148" s="376">
        <f>VALUE(BiographyMarriageDetsCountries!A148)</f>
        <v>146</v>
      </c>
      <c r="F148" s="375" t="str">
        <f t="shared" si="2"/>
        <v>Jenny CARTWRIGHT (b. 19 Feb 1967, )</v>
      </c>
      <c r="P148" s="370" t="e">
        <f>IF(ISNA(VLOOKUP(E146,$H$5:$I$66,2,FALSE)),VLOOKUP(E146,$O$5:$S$202,5,FALSE),VLOOKUP(E146,$H$5:$I$66,2,FALSE))</f>
        <v>#N/A</v>
      </c>
      <c r="Q148" s="31" t="str">
        <f>BiographyMarriageDetsCountries!B146</f>
        <v>Boy</v>
      </c>
      <c r="S148" s="369">
        <f>BiographyMarriageDetsCountries!E146</f>
        <v>0</v>
      </c>
    </row>
    <row r="149" spans="1:19" s="31" customFormat="1" ht="40">
      <c r="A149" s="376">
        <v>190</v>
      </c>
      <c r="B149" s="31" t="s">
        <v>2814</v>
      </c>
      <c r="C149" s="370" t="s">
        <v>2793</v>
      </c>
      <c r="E149" s="376">
        <f>VALUE(BiographyMarriageDetsCountries!A149)</f>
        <v>147</v>
      </c>
      <c r="F149" s="375" t="str">
        <f t="shared" si="2"/>
        <v>James Robert HUNT (b. 19 May 1976, )</v>
      </c>
      <c r="P149" s="370" t="e">
        <f>IF(ISNA(VLOOKUP(E147,$H$5:$I$66,2,FALSE)),VLOOKUP(E147,$O$5:$S$202,5,FALSE),VLOOKUP(E147,$H$5:$I$66,2,FALSE))</f>
        <v>#N/A</v>
      </c>
      <c r="Q149" s="31" t="str">
        <f>BiographyMarriageDetsCountries!B147</f>
        <v>Boy</v>
      </c>
      <c r="S149" s="369" t="str">
        <f>BiographyMarriageDetsCountries!E147</f>
        <v>Sarah Ann WHITLEY (b. 2 Oct 1959, )</v>
      </c>
    </row>
    <row r="150" spans="1:19" s="31" customFormat="1" ht="40">
      <c r="E150" s="376">
        <f>VALUE(BiographyMarriageDetsCountries!A150)</f>
        <v>148</v>
      </c>
      <c r="F150" s="375" t="e">
        <f t="shared" si="2"/>
        <v>#N/A</v>
      </c>
      <c r="P150" s="370" t="e">
        <f>IF(ISNA(VLOOKUP(E148,$H$5:$I$66,2,FALSE)),VLOOKUP(E148,$O$5:$S$202,5,FALSE),VLOOKUP(E148,$H$5:$I$66,2,FALSE))</f>
        <v>#N/A</v>
      </c>
      <c r="Q150" s="31" t="str">
        <f>BiographyMarriageDetsCountries!B148</f>
        <v>Boy</v>
      </c>
      <c r="S150" s="369" t="str">
        <f>BiographyMarriageDetsCountries!E148</f>
        <v>Jenny CARTWRIGHT (b. 19 Feb 1967, ). Divorced 2020.</v>
      </c>
    </row>
    <row r="151" spans="1:19" s="31" customFormat="1" ht="40">
      <c r="E151" s="376">
        <f>VALUE(BiographyMarriageDetsCountries!A151)</f>
        <v>149</v>
      </c>
      <c r="F151" s="375" t="str">
        <f t="shared" si="2"/>
        <v>Harriet Louise MELLOR (b. , )</v>
      </c>
      <c r="P151" s="370" t="e">
        <f>IF(ISNA(VLOOKUP(E149,$H$5:$I$66,2,FALSE)),VLOOKUP(E149,$O$5:$S$202,5,FALSE),VLOOKUP(E149,$H$5:$I$66,2,FALSE))</f>
        <v>#N/A</v>
      </c>
      <c r="Q151" s="31" t="str">
        <f>BiographyMarriageDetsCountries!B149</f>
        <v>Girl</v>
      </c>
      <c r="S151" s="369" t="str">
        <f>BiographyMarriageDetsCountries!E149</f>
        <v>James Robert HUNT (b. 19 May 1976, )</v>
      </c>
    </row>
    <row r="152" spans="1:19" s="31" customFormat="1" ht="20">
      <c r="E152" s="376">
        <f>VALUE(BiographyMarriageDetsCountries!A152)</f>
        <v>150</v>
      </c>
      <c r="F152" s="375" t="str">
        <f t="shared" si="2"/>
        <v>Lady Tara Guinevere CRICHTON (b. 9 May 1967, )</v>
      </c>
      <c r="P152" s="370" t="e">
        <f>IF(ISNA(VLOOKUP(E150,$H$5:$I$66,2,FALSE)),VLOOKUP(E150,$O$5:$S$202,5,FALSE),VLOOKUP(E150,$H$5:$I$66,2,FALSE))</f>
        <v>#N/A</v>
      </c>
      <c r="Q152" s="31" t="str">
        <f>BiographyMarriageDetsCountries!B150</f>
        <v>Boy</v>
      </c>
      <c r="S152" s="369" t="str">
        <f>BiographyMarriageDetsCountries!E150</f>
        <v>Died in infancy.</v>
      </c>
    </row>
    <row r="153" spans="1:19" s="31" customFormat="1" ht="34" customHeight="1">
      <c r="E153" s="376">
        <f>VALUE(BiographyMarriageDetsCountries!A153)</f>
        <v>151</v>
      </c>
      <c r="F153" s="375" t="str">
        <f t="shared" si="2"/>
        <v>Richard Thomas LUFF (b. 3 Apr 1971, )</v>
      </c>
      <c r="P153" s="370" t="e">
        <f>IF(ISNA(VLOOKUP(E151,$H$5:$I$66,2,FALSE)),VLOOKUP(E151,$O$5:$S$202,5,FALSE),VLOOKUP(E151,$H$5:$I$66,2,FALSE))</f>
        <v>#N/A</v>
      </c>
      <c r="Q153" s="31" t="str">
        <f>BiographyMarriageDetsCountries!B151</f>
        <v>Boy</v>
      </c>
      <c r="S153" s="369" t="str">
        <f>BiographyMarriageDetsCountries!E151</f>
        <v>(1) Lady Sophia HAMILTON</v>
      </c>
    </row>
    <row r="154" spans="1:19" s="31" customFormat="1" ht="40">
      <c r="E154" s="376">
        <f>VALUE(BiographyMarriageDetsCountries!A154)</f>
        <v>152</v>
      </c>
      <c r="F154" s="375" t="str">
        <f t="shared" si="2"/>
        <v>Ellis Fitzroy WHITCOMB (b. 16 Oct 1962, )</v>
      </c>
      <c r="P154" s="370" t="e">
        <f>IF(ISNA(VLOOKUP(E152,$H$5:$I$66,2,FALSE)),VLOOKUP(E152,$O$5:$S$202,5,FALSE),VLOOKUP(E152,$H$5:$I$66,2,FALSE))</f>
        <v>#N/A</v>
      </c>
      <c r="Q154" s="31" t="str">
        <f>BiographyMarriageDetsCountries!B152</f>
        <v>Boy</v>
      </c>
      <c r="S154" s="369" t="str">
        <f>BiographyMarriageDetsCountries!E152</f>
        <v>Lady Tara Guinevere CRICHTON (b. 9 May 1967, )</v>
      </c>
    </row>
    <row r="155" spans="1:19" s="31" customFormat="1" ht="40">
      <c r="E155" s="376">
        <f>VALUE(BiographyMarriageDetsCountries!A155)</f>
        <v>153</v>
      </c>
      <c r="F155" s="375" t="e">
        <f t="shared" si="2"/>
        <v>#N/A</v>
      </c>
      <c r="P155" s="370" t="e">
        <f>IF(ISNA(VLOOKUP(E153,$H$5:$I$66,2,FALSE)),VLOOKUP(E153,$O$5:$S$202,5,FALSE),VLOOKUP(E153,$H$5:$I$66,2,FALSE))</f>
        <v>#N/A</v>
      </c>
      <c r="Q155" s="31" t="str">
        <f>BiographyMarriageDetsCountries!B153</f>
        <v>Girl</v>
      </c>
      <c r="S155" s="369" t="str">
        <f>BiographyMarriageDetsCountries!E153</f>
        <v>Richard Thomas LUFF (b. 3 Apr 1971, )</v>
      </c>
    </row>
    <row r="156" spans="1:19" s="31" customFormat="1" ht="40">
      <c r="E156" s="376">
        <f>VALUE(BiographyMarriageDetsCountries!A156)</f>
        <v>154</v>
      </c>
      <c r="F156" s="375" t="str">
        <f t="shared" si="2"/>
        <v>Shaun Jason NEWING (b.13 Aug 1973, )</v>
      </c>
      <c r="P156" s="370" t="e">
        <f>IF(ISNA(VLOOKUP(E154,$H$5:$I$66,2,FALSE)),VLOOKUP(E154,$O$5:$S$202,5,FALSE),VLOOKUP(E154,$H$5:$I$66,2,FALSE))</f>
        <v>#N/A</v>
      </c>
      <c r="Q156" s="31" t="str">
        <f>BiographyMarriageDetsCountries!B154</f>
        <v>Girl</v>
      </c>
      <c r="S156" s="369" t="str">
        <f>BiographyMarriageDetsCountries!E154</f>
        <v>Ellis Fitzroy WHITCOMB (b. 16 Oct 1962, )</v>
      </c>
    </row>
    <row r="157" spans="1:19" s="31" customFormat="1" ht="40">
      <c r="E157" s="376">
        <f>VALUE(BiographyMarriageDetsCountries!A157)</f>
        <v>155</v>
      </c>
      <c r="F157" s="375" t="str">
        <f t="shared" si="2"/>
        <v>Anna Maria LEES (b. 15 Mar 1972, )</v>
      </c>
      <c r="P157" s="370" t="e">
        <f>IF(ISNA(VLOOKUP(E155,$H$5:$I$66,2,FALSE)),VLOOKUP(E155,$O$5:$S$202,5,FALSE),VLOOKUP(E155,$H$5:$I$66,2,FALSE))</f>
        <v>#N/A</v>
      </c>
      <c r="Q157" s="31" t="str">
        <f>BiographyMarriageDetsCountries!B155</f>
        <v>Boy</v>
      </c>
      <c r="S157" s="369" t="str">
        <f>BiographyMarriageDetsCountries!E155</f>
        <v>Vanessa Anne HARVEY (b. 1 Jul 1969, ) Divorced 2015.</v>
      </c>
    </row>
    <row r="158" spans="1:19" s="31" customFormat="1" ht="40">
      <c r="E158" s="376">
        <f>VALUE(BiographyMarriageDetsCountries!A158)</f>
        <v>156</v>
      </c>
      <c r="F158" s="375" t="str">
        <f t="shared" si="2"/>
        <v>John Matthew GRINDAL (b. 11 Mar 1976, )</v>
      </c>
      <c r="P158" s="370" t="e">
        <f>IF(ISNA(VLOOKUP(E156,$H$5:$I$66,2,FALSE)),VLOOKUP(E156,$O$5:$S$202,5,FALSE),VLOOKUP(E156,$H$5:$I$66,2,FALSE))</f>
        <v>#N/A</v>
      </c>
      <c r="Q158" s="31" t="str">
        <f>BiographyMarriageDetsCountries!B156</f>
        <v>Girl</v>
      </c>
      <c r="S158" s="369" t="str">
        <f>BiographyMarriageDetsCountries!E156</f>
        <v>Shaun Jason NEWING (b.13 Aug 1973, )</v>
      </c>
    </row>
    <row r="159" spans="1:19" s="31" customFormat="1" ht="40">
      <c r="E159" s="376">
        <f>VALUE(BiographyMarriageDetsCountries!A159)</f>
        <v>157</v>
      </c>
      <c r="F159" s="375" t="str">
        <f t="shared" si="2"/>
        <v>William H. S. SIMMONDS (b. 29 Nov 1974, )</v>
      </c>
      <c r="P159" s="370" t="e">
        <f>IF(ISNA(VLOOKUP(E157,$H$5:$I$66,2,FALSE)),VLOOKUP(E157,$O$5:$S$202,5,FALSE),VLOOKUP(E157,$H$5:$I$66,2,FALSE))</f>
        <v>#N/A</v>
      </c>
      <c r="Q159" s="31" t="str">
        <f>BiographyMarriageDetsCountries!B157</f>
        <v>Boy</v>
      </c>
      <c r="S159" s="369" t="str">
        <f>BiographyMarriageDetsCountries!E157</f>
        <v>Anne Maria LEES (b. 15 Mar 1972, )</v>
      </c>
    </row>
    <row r="160" spans="1:19" s="31" customFormat="1" ht="40">
      <c r="E160" s="376">
        <f>VALUE(BiographyMarriageDetsCountries!A160)</f>
        <v>158</v>
      </c>
      <c r="F160" s="375" t="str">
        <f t="shared" si="2"/>
        <v>Timothy KYLE (b. 9 Oct 1973, )</v>
      </c>
      <c r="P160" s="370" t="e">
        <f>IF(ISNA(VLOOKUP(E158,$H$5:$I$66,2,FALSE)),VLOOKUP(E158,$O$5:$S$202,5,FALSE),VLOOKUP(E158,$H$5:$I$66,2,FALSE))</f>
        <v>#N/A</v>
      </c>
      <c r="Q160" s="31" t="str">
        <f>BiographyMarriageDetsCountries!B158</f>
        <v>Girl</v>
      </c>
      <c r="S160" s="369" t="str">
        <f>BiographyMarriageDetsCountries!E158</f>
        <v>John Matthew GRINDAL (b. 11 Mar 1976, )</v>
      </c>
    </row>
    <row r="161" spans="5:19" s="31" customFormat="1" ht="40">
      <c r="E161" s="376">
        <f>VALUE(BiographyMarriageDetsCountries!A161)</f>
        <v>159</v>
      </c>
      <c r="F161" s="375" t="str">
        <f t="shared" si="2"/>
        <v>Robert GARDENER (b. 25 Oct 1978, )</v>
      </c>
      <c r="P161" s="370" t="e">
        <f>IF(ISNA(VLOOKUP(E159,$H$5:$I$66,2,FALSE)),VLOOKUP(E159,$O$5:$S$202,5,FALSE),VLOOKUP(E159,$H$5:$I$66,2,FALSE))</f>
        <v>#N/A</v>
      </c>
      <c r="Q161" s="31" t="str">
        <f>BiographyMarriageDetsCountries!B159</f>
        <v>Girl</v>
      </c>
      <c r="S161" s="369" t="str">
        <f>BiographyMarriageDetsCountries!E159</f>
        <v>William H. S. SIMMONDS (b. 29 Nov 1974, )</v>
      </c>
    </row>
    <row r="162" spans="5:19" s="31" customFormat="1" ht="20">
      <c r="E162" s="376">
        <f>VALUE(BiographyMarriageDetsCountries!A162)</f>
        <v>160</v>
      </c>
      <c r="F162" s="375" t="e">
        <f t="shared" si="2"/>
        <v>#N/A</v>
      </c>
      <c r="P162" s="370" t="e">
        <f>IF(ISNA(VLOOKUP(E160,$H$5:$I$66,2,FALSE)),VLOOKUP(E160,$O$5:$S$202,5,FALSE),VLOOKUP(E160,$H$5:$I$66,2,FALSE))</f>
        <v>#N/A</v>
      </c>
      <c r="Q162" s="31" t="str">
        <f>BiographyMarriageDetsCountries!B160</f>
        <v>Girl</v>
      </c>
      <c r="S162" s="369" t="str">
        <f>BiographyMarriageDetsCountries!E160</f>
        <v>Timothy KYLE (b. 9 Oct 1973, )</v>
      </c>
    </row>
    <row r="163" spans="5:19" s="31" customFormat="1" ht="40">
      <c r="E163" s="376">
        <f>VALUE(BiographyMarriageDetsCountries!A163)</f>
        <v>161</v>
      </c>
      <c r="F163" s="375" t="str">
        <f t="shared" si="2"/>
        <v>Henry HAYNS (b. 11 Jan 1982, )</v>
      </c>
      <c r="P163" s="370" t="e">
        <f>IF(ISNA(VLOOKUP(E161,$H$5:$I$66,2,FALSE)),VLOOKUP(E161,$O$5:$S$202,5,FALSE),VLOOKUP(E161,$H$5:$I$66,2,FALSE))</f>
        <v>#N/A</v>
      </c>
      <c r="Q163" s="31" t="str">
        <f>BiographyMarriageDetsCountries!B161</f>
        <v>Girl</v>
      </c>
      <c r="S163" s="369" t="str">
        <f>BiographyMarriageDetsCountries!E161</f>
        <v>Robert GARDENER (b. 25 Oct 1978, )</v>
      </c>
    </row>
    <row r="164" spans="5:19" s="31" customFormat="1" ht="20">
      <c r="E164" s="376">
        <f>VALUE(BiographyMarriageDetsCountries!A164)</f>
        <v>162</v>
      </c>
      <c r="F164" s="375" t="str">
        <f t="shared" si="2"/>
        <v>Laura Mary MUSSELBROOK (b. 23 Sep 1981, )</v>
      </c>
      <c r="P164" s="370" t="e">
        <f>IF(ISNA(VLOOKUP(E162,$H$5:$I$66,2,FALSE)),VLOOKUP(E162,$O$5:$S$202,5,FALSE),VLOOKUP(E162,$H$5:$I$66,2,FALSE))</f>
        <v>#N/A</v>
      </c>
      <c r="Q164" s="31" t="str">
        <f>BiographyMarriageDetsCountries!B162</f>
        <v>Boy</v>
      </c>
      <c r="S164" s="369" t="str">
        <f>BiographyMarriageDetsCountries!E162</f>
        <v>-</v>
      </c>
    </row>
    <row r="165" spans="5:19" s="31" customFormat="1" ht="20">
      <c r="E165" s="376">
        <f>VALUE(BiographyMarriageDetsCountries!A165)</f>
        <v>163</v>
      </c>
      <c r="F165" s="375" t="str">
        <f t="shared" si="2"/>
        <v>Simon John DINSMORE (b. 2 Mar 1982, )</v>
      </c>
      <c r="P165" s="370" t="e">
        <f>IF(ISNA(VLOOKUP(E163,$H$5:$I$66,2,FALSE)),VLOOKUP(E163,$O$5:$S$202,5,FALSE),VLOOKUP(E163,$H$5:$I$66,2,FALSE))</f>
        <v>#N/A</v>
      </c>
      <c r="Q165" s="31" t="str">
        <f>BiographyMarriageDetsCountries!B163</f>
        <v>Girl</v>
      </c>
      <c r="S165" s="369" t="str">
        <f>BiographyMarriageDetsCountries!E163</f>
        <v>Henry HAYNS (b. 11 Jan 1982, )</v>
      </c>
    </row>
    <row r="166" spans="5:19" s="31" customFormat="1" ht="40">
      <c r="E166" s="376">
        <f>VALUE(BiographyMarriageDetsCountries!A166)</f>
        <v>164</v>
      </c>
      <c r="F166" s="375" t="str">
        <f t="shared" si="2"/>
        <v>Richard Benjamin LEASK (b. 28 July 1983, )</v>
      </c>
      <c r="P166" s="370" t="e">
        <f>IF(ISNA(VLOOKUP(E164,$H$5:$I$66,2,FALSE)),VLOOKUP(E164,$O$5:$S$202,5,FALSE),VLOOKUP(E164,$H$5:$I$66,2,FALSE))</f>
        <v>#N/A</v>
      </c>
      <c r="Q166" s="31" t="str">
        <f>BiographyMarriageDetsCountries!B164</f>
        <v>Boy</v>
      </c>
      <c r="S166" s="369" t="str">
        <f>BiographyMarriageDetsCountries!E164</f>
        <v>Laura Mary MUSSELBROOK (b. 23 Sep 1981, )</v>
      </c>
    </row>
    <row r="167" spans="5:19" s="31" customFormat="1" ht="40">
      <c r="E167" s="376">
        <f>VALUE(BiographyMarriageDetsCountries!A167)</f>
        <v>165</v>
      </c>
      <c r="F167" s="375" t="str">
        <f t="shared" si="2"/>
        <v>Roshan PURI (b. 11 Mar 1986, )</v>
      </c>
      <c r="P167" s="370" t="e">
        <f>IF(ISNA(VLOOKUP(E165,$H$5:$I$66,2,FALSE)),VLOOKUP(E165,$O$5:$S$202,5,FALSE),VLOOKUP(E165,$H$5:$I$66,2,FALSE))</f>
        <v>#N/A</v>
      </c>
      <c r="Q167" s="31" t="str">
        <f>BiographyMarriageDetsCountries!B165</f>
        <v>Girl</v>
      </c>
      <c r="S167" s="369" t="str">
        <f>BiographyMarriageDetsCountries!E165</f>
        <v>Simon John DINSMORE (b. 2 Mar 1982, )</v>
      </c>
    </row>
    <row r="168" spans="5:19" s="31" customFormat="1" ht="40">
      <c r="E168" s="376">
        <f>VALUE(BiographyMarriageDetsCountries!A168)</f>
        <v>166</v>
      </c>
      <c r="F168" s="375" t="e">
        <f t="shared" si="2"/>
        <v>#N/A</v>
      </c>
      <c r="P168" s="370" t="e">
        <f>IF(ISNA(VLOOKUP(E166,$H$5:$I$66,2,FALSE)),VLOOKUP(E166,$O$5:$S$202,5,FALSE),VLOOKUP(E166,$H$5:$I$66,2,FALSE))</f>
        <v>#N/A</v>
      </c>
      <c r="Q168" s="31" t="str">
        <f>BiographyMarriageDetsCountries!B166</f>
        <v>Girl</v>
      </c>
      <c r="S168" s="369" t="str">
        <f>BiographyMarriageDetsCountries!E166</f>
        <v>Richard Benjamin LEASK (b. 28 July 1983, )</v>
      </c>
    </row>
    <row r="169" spans="5:19" s="31" customFormat="1" ht="20">
      <c r="E169" s="376">
        <f>VALUE(BiographyMarriageDetsCountries!A169)</f>
        <v>167</v>
      </c>
      <c r="F169" s="375" t="str">
        <f t="shared" si="2"/>
        <v>Holly Kristina TURNER (b. 10 Jan 1988, )</v>
      </c>
      <c r="P169" s="370" t="e">
        <f>IF(ISNA(VLOOKUP(E167,$H$5:$I$66,2,FALSE)),VLOOKUP(E167,$O$5:$S$202,5,FALSE),VLOOKUP(E167,$H$5:$I$66,2,FALSE))</f>
        <v>#N/A</v>
      </c>
      <c r="Q169" s="31" t="str">
        <f>BiographyMarriageDetsCountries!B167</f>
        <v>Girl</v>
      </c>
      <c r="S169" s="369" t="str">
        <f>BiographyMarriageDetsCountries!E167</f>
        <v>Roshan PURI (b. 11 Mar 1986, )</v>
      </c>
    </row>
    <row r="170" spans="5:19" s="31" customFormat="1" ht="20">
      <c r="E170" s="376">
        <f>VALUE(BiographyMarriageDetsCountries!A170)</f>
        <v>168</v>
      </c>
      <c r="F170" s="375" t="str">
        <f t="shared" si="2"/>
        <v>Benjamin Randulph Berners POWELL (b. , )</v>
      </c>
      <c r="P170" s="370" t="e">
        <f>IF(ISNA(VLOOKUP(E168,$H$5:$I$66,2,FALSE)),VLOOKUP(E168,$O$5:$S$202,5,FALSE),VLOOKUP(E168,$H$5:$I$66,2,FALSE))</f>
        <v>#N/A</v>
      </c>
      <c r="Q170" s="31" t="str">
        <f>BiographyMarriageDetsCountries!B168</f>
        <v>Boy</v>
      </c>
      <c r="S170" s="369" t="str">
        <f>BiographyMarriageDetsCountries!E168</f>
        <v>-</v>
      </c>
    </row>
    <row r="171" spans="5:19" s="31" customFormat="1" ht="40">
      <c r="E171" s="376">
        <f>VALUE(BiographyMarriageDetsCountries!A171)</f>
        <v>169</v>
      </c>
      <c r="F171" s="375" t="e">
        <f t="shared" si="2"/>
        <v>#N/A</v>
      </c>
      <c r="P171" s="370" t="e">
        <f>IF(ISNA(VLOOKUP(E169,$H$5:$I$66,2,FALSE)),VLOOKUP(E169,$O$5:$S$202,5,FALSE),VLOOKUP(E169,$H$5:$I$66,2,FALSE))</f>
        <v>#N/A</v>
      </c>
      <c r="Q171" s="31" t="str">
        <f>BiographyMarriageDetsCountries!B169</f>
        <v>Boy</v>
      </c>
      <c r="S171" s="369" t="str">
        <f>BiographyMarriageDetsCountries!E169</f>
        <v>Holly Kristina TURNER (b. 10 Jan 1988, )</v>
      </c>
    </row>
    <row r="172" spans="5:19" s="31" customFormat="1" ht="40">
      <c r="E172" s="376">
        <f>VALUE(BiographyMarriageDetsCountries!A172)</f>
        <v>170</v>
      </c>
      <c r="F172" s="375" t="str">
        <f t="shared" si="2"/>
        <v>Oliver Michael Folliott POWELL (b. , )</v>
      </c>
      <c r="P172" s="370" t="e">
        <f>IF(ISNA(VLOOKUP(E170,$H$5:$I$66,2,FALSE)),VLOOKUP(E170,$O$5:$S$202,5,FALSE),VLOOKUP(E170,$H$5:$I$66,2,FALSE))</f>
        <v>#N/A</v>
      </c>
      <c r="Q172" s="31" t="str">
        <f>BiographyMarriageDetsCountries!B170</f>
        <v>Girl</v>
      </c>
      <c r="S172" s="369" t="str">
        <f>BiographyMarriageDetsCountries!E170</f>
        <v>Benjamin Randulph Berners POWELL (b. , )</v>
      </c>
    </row>
    <row r="173" spans="5:19" s="31" customFormat="1" ht="20">
      <c r="E173" s="376">
        <f>VALUE(BiographyMarriageDetsCountries!A173)</f>
        <v>171</v>
      </c>
      <c r="F173" s="375" t="e">
        <f t="shared" si="2"/>
        <v>#N/A</v>
      </c>
      <c r="P173" s="370" t="e">
        <f>IF(ISNA(VLOOKUP(E171,$H$5:$I$66,2,FALSE)),VLOOKUP(E171,$O$5:$S$202,5,FALSE),VLOOKUP(E171,$H$5:$I$66,2,FALSE))</f>
        <v>#N/A</v>
      </c>
      <c r="Q173" s="31" t="str">
        <f>BiographyMarriageDetsCountries!B171</f>
        <v>Boy</v>
      </c>
      <c r="S173" s="369" t="str">
        <f>BiographyMarriageDetsCountries!E171</f>
        <v>-</v>
      </c>
    </row>
    <row r="174" spans="5:19" s="31" customFormat="1" ht="40">
      <c r="E174" s="376">
        <f>VALUE(BiographyMarriageDetsCountries!A174)</f>
        <v>172</v>
      </c>
      <c r="F174" s="375" t="str">
        <f t="shared" si="2"/>
        <v>-</v>
      </c>
      <c r="P174" s="370" t="e">
        <f>IF(ISNA(VLOOKUP(E172,$H$5:$I$66,2,FALSE)),VLOOKUP(E172,$O$5:$S$202,5,FALSE),VLOOKUP(E172,$H$5:$I$66,2,FALSE))</f>
        <v>#N/A</v>
      </c>
      <c r="Q174" s="31" t="str">
        <f>BiographyMarriageDetsCountries!B172</f>
        <v>Girl</v>
      </c>
      <c r="S174" s="369" t="str">
        <f>BiographyMarriageDetsCountries!E172</f>
        <v>Oliver Michael Folliott POWELL (b. , )</v>
      </c>
    </row>
    <row r="175" spans="5:19" s="31" customFormat="1" ht="20">
      <c r="E175" s="376">
        <f>VALUE(BiographyMarriageDetsCountries!A175)</f>
        <v>173</v>
      </c>
      <c r="F175" s="375" t="e">
        <f t="shared" si="2"/>
        <v>#N/A</v>
      </c>
      <c r="P175" s="370" t="e">
        <f>IF(ISNA(VLOOKUP(E173,$H$5:$I$66,2,FALSE)),VLOOKUP(E173,$O$5:$S$202,5,FALSE),VLOOKUP(E173,$H$5:$I$66,2,FALSE))</f>
        <v>#N/A</v>
      </c>
      <c r="Q175" s="31" t="str">
        <f>BiographyMarriageDetsCountries!B173</f>
        <v>Boy</v>
      </c>
      <c r="S175" s="369" t="str">
        <f>BiographyMarriageDetsCountries!E173</f>
        <v>-</v>
      </c>
    </row>
    <row r="176" spans="5:19" s="31" customFormat="1" ht="20">
      <c r="E176" s="376">
        <f>VALUE(BiographyMarriageDetsCountries!A176)</f>
        <v>174</v>
      </c>
      <c r="F176" s="375" t="str">
        <f t="shared" si="2"/>
        <v xml:space="preserve"> -</v>
      </c>
      <c r="P176" s="370" t="e">
        <f>IF(ISNA(VLOOKUP(E174,$H$5:$I$66,2,FALSE)),VLOOKUP(E174,$O$5:$S$202,5,FALSE),VLOOKUP(E174,$H$5:$I$66,2,FALSE))</f>
        <v>#N/A</v>
      </c>
      <c r="Q176" s="31" t="str">
        <f>BiographyMarriageDetsCountries!B174</f>
        <v>Girl</v>
      </c>
      <c r="S176" s="369" t="str">
        <f>BiographyMarriageDetsCountries!E174</f>
        <v>-</v>
      </c>
    </row>
    <row r="177" spans="5:19" s="31" customFormat="1" ht="40">
      <c r="E177" s="376">
        <f>VALUE(BiographyMarriageDetsCountries!A177)</f>
        <v>175</v>
      </c>
      <c r="F177" s="375" t="e">
        <f t="shared" si="2"/>
        <v>#N/A</v>
      </c>
      <c r="P177" s="370" t="e">
        <f>IF(ISNA(VLOOKUP(E175,$H$5:$I$66,2,FALSE)),VLOOKUP(E175,$O$5:$S$202,5,FALSE),VLOOKUP(E175,$H$5:$I$66,2,FALSE))</f>
        <v>#N/A</v>
      </c>
      <c r="Q177" s="31" t="str">
        <f>BiographyMarriageDetsCountries!B175</f>
        <v>Boy</v>
      </c>
      <c r="S177" s="369" t="str">
        <f>BiographyMarriageDetsCountries!E175</f>
        <v>Andrea Devan KIRKHAM (b. 11 Nov 1991).</v>
      </c>
    </row>
    <row r="178" spans="5:19" s="31" customFormat="1" ht="20">
      <c r="E178" s="376">
        <f>VALUE(BiographyMarriageDetsCountries!A178)</f>
        <v>176</v>
      </c>
      <c r="F178" s="375" t="e">
        <f t="shared" si="2"/>
        <v>#N/A</v>
      </c>
      <c r="P178" s="370" t="e">
        <f>IF(ISNA(VLOOKUP(E176,$H$5:$I$66,2,FALSE)),VLOOKUP(E176,$O$5:$S$202,5,FALSE),VLOOKUP(E176,$H$5:$I$66,2,FALSE))</f>
        <v>#N/A</v>
      </c>
      <c r="Q178" s="31" t="str">
        <f>BiographyMarriageDetsCountries!B176</f>
        <v>Girl</v>
      </c>
      <c r="S178" s="369" t="str">
        <f>BiographyMarriageDetsCountries!E176</f>
        <v xml:space="preserve"> -</v>
      </c>
    </row>
    <row r="179" spans="5:19" s="31" customFormat="1" ht="100">
      <c r="E179" s="376">
        <f>VALUE(BiographyMarriageDetsCountries!A179)</f>
        <v>177</v>
      </c>
      <c r="F179" s="375" t="e">
        <f t="shared" si="2"/>
        <v>#N/A</v>
      </c>
      <c r="P179" s="370" t="e">
        <f>IF(ISNA(VLOOKUP(E177,$H$5:$I$66,2,FALSE)),VLOOKUP(E177,$O$5:$S$202,5,FALSE),VLOOKUP(E177,$H$5:$I$66,2,FALSE))</f>
        <v>#N/A</v>
      </c>
      <c r="Q179" s="31" t="str">
        <f>BiographyMarriageDetsCountries!B177</f>
        <v>Boy</v>
      </c>
      <c r="S179" s="369" t="str">
        <f>BiographyMarriageDetsCountries!E177</f>
        <v>Engaged to be married to Naomi Lydia NICHOLL in December 2022. Naomi is the daughter of Stephen Nicholl, of London, and his wife Eloise Price.</v>
      </c>
    </row>
    <row r="180" spans="5:19" s="31" customFormat="1" ht="20">
      <c r="E180" s="376">
        <f>VALUE(BiographyMarriageDetsCountries!A180)</f>
        <v>178</v>
      </c>
      <c r="F180" s="375" t="e">
        <f t="shared" si="2"/>
        <v>#N/A</v>
      </c>
      <c r="P180" s="370" t="e">
        <f>IF(ISNA(VLOOKUP(E178,$H$5:$I$66,2,FALSE)),VLOOKUP(E178,$O$5:$S$202,5,FALSE),VLOOKUP(E178,$H$5:$I$66,2,FALSE))</f>
        <v>#N/A</v>
      </c>
      <c r="Q180" s="31" t="str">
        <f>BiographyMarriageDetsCountries!B178</f>
        <v>Boy</v>
      </c>
      <c r="S180" s="369" t="str">
        <f>BiographyMarriageDetsCountries!E178</f>
        <v>Ellie COLLINS (b. 4 Aug 1994, )</v>
      </c>
    </row>
    <row r="181" spans="5:19" s="31" customFormat="1" ht="20">
      <c r="E181" s="376">
        <f>VALUE(BiographyMarriageDetsCountries!A181)</f>
        <v>179</v>
      </c>
      <c r="F181" s="375" t="e">
        <f t="shared" si="2"/>
        <v>#N/A</v>
      </c>
      <c r="P181" s="370" t="e">
        <f>IF(ISNA(VLOOKUP(E179,$H$5:$I$66,2,FALSE)),VLOOKUP(E179,$O$5:$S$202,5,FALSE),VLOOKUP(E179,$H$5:$I$66,2,FALSE))</f>
        <v>#N/A</v>
      </c>
      <c r="Q181" s="31" t="str">
        <f>BiographyMarriageDetsCountries!B179</f>
        <v>Boy</v>
      </c>
      <c r="S181" s="369" t="str">
        <f>BiographyMarriageDetsCountries!E179</f>
        <v xml:space="preserve"> -</v>
      </c>
    </row>
    <row r="182" spans="5:19" s="31" customFormat="1" ht="20">
      <c r="E182" s="376">
        <f>VALUE(BiographyMarriageDetsCountries!A182)</f>
        <v>180</v>
      </c>
      <c r="F182" s="375" t="e">
        <f t="shared" si="2"/>
        <v>#N/A</v>
      </c>
      <c r="P182" s="370" t="e">
        <f>IF(ISNA(VLOOKUP(E180,$H$5:$I$66,2,FALSE)),VLOOKUP(E180,$O$5:$S$202,5,FALSE),VLOOKUP(E180,$H$5:$I$66,2,FALSE))</f>
        <v>#N/A</v>
      </c>
      <c r="Q182" s="31" t="str">
        <f>BiographyMarriageDetsCountries!B180</f>
        <v>Boy</v>
      </c>
      <c r="S182" s="369" t="str">
        <f>BiographyMarriageDetsCountries!E180</f>
        <v xml:space="preserve"> -</v>
      </c>
    </row>
    <row r="183" spans="5:19" s="31" customFormat="1" ht="20">
      <c r="E183" s="376">
        <f>VALUE(BiographyMarriageDetsCountries!A183)</f>
        <v>181</v>
      </c>
      <c r="F183" s="375" t="str">
        <f t="shared" si="2"/>
        <v xml:space="preserve"> -</v>
      </c>
      <c r="P183" s="370" t="e">
        <f>IF(ISNA(VLOOKUP(E181,$H$5:$I$66,2,FALSE)),VLOOKUP(E181,$O$5:$S$202,5,FALSE),VLOOKUP(E181,$H$5:$I$66,2,FALSE))</f>
        <v>#N/A</v>
      </c>
      <c r="Q183" s="31" t="str">
        <f>BiographyMarriageDetsCountries!B181</f>
        <v>Boy</v>
      </c>
      <c r="S183" s="369" t="str">
        <f>BiographyMarriageDetsCountries!E181</f>
        <v xml:space="preserve"> -</v>
      </c>
    </row>
    <row r="184" spans="5:19" s="31" customFormat="1" ht="20">
      <c r="E184" s="376">
        <f>VALUE(BiographyMarriageDetsCountries!A184)</f>
        <v>182</v>
      </c>
      <c r="F184" s="375" t="str">
        <f t="shared" si="2"/>
        <v xml:space="preserve"> -</v>
      </c>
      <c r="P184" s="370" t="e">
        <f>IF(ISNA(VLOOKUP(E182,$H$5:$I$66,2,FALSE)),VLOOKUP(E182,$O$5:$S$202,5,FALSE),VLOOKUP(E182,$H$5:$I$66,2,FALSE))</f>
        <v>#N/A</v>
      </c>
      <c r="Q184" s="31" t="str">
        <f>BiographyMarriageDetsCountries!B182</f>
        <v>Boy</v>
      </c>
      <c r="S184" s="369" t="str">
        <f>BiographyMarriageDetsCountries!E182</f>
        <v xml:space="preserve"> -</v>
      </c>
    </row>
    <row r="185" spans="5:19" s="31" customFormat="1" ht="20">
      <c r="E185" s="376">
        <f>VALUE(BiographyMarriageDetsCountries!A185)</f>
        <v>183</v>
      </c>
      <c r="F185" s="375" t="str">
        <f t="shared" si="2"/>
        <v xml:space="preserve"> -</v>
      </c>
      <c r="P185" s="370" t="e">
        <f>IF(ISNA(VLOOKUP(E183,$H$5:$I$66,2,FALSE)),VLOOKUP(E183,$O$5:$S$202,5,FALSE),VLOOKUP(E183,$H$5:$I$66,2,FALSE))</f>
        <v>#N/A</v>
      </c>
      <c r="Q185" s="31" t="str">
        <f>BiographyMarriageDetsCountries!B183</f>
        <v>Girl</v>
      </c>
      <c r="S185" s="369" t="str">
        <f>BiographyMarriageDetsCountries!E183</f>
        <v xml:space="preserve"> -</v>
      </c>
    </row>
    <row r="186" spans="5:19" s="31" customFormat="1" ht="20">
      <c r="E186" s="376">
        <f>VALUE(BiographyMarriageDetsCountries!A186)</f>
        <v>184</v>
      </c>
      <c r="F186" s="375" t="str">
        <f t="shared" si="2"/>
        <v xml:space="preserve"> -</v>
      </c>
      <c r="P186" s="370" t="e">
        <f>IF(ISNA(VLOOKUP(E184,$H$5:$I$66,2,FALSE)),VLOOKUP(E184,$O$5:$S$202,5,FALSE),VLOOKUP(E184,$H$5:$I$66,2,FALSE))</f>
        <v>#N/A</v>
      </c>
      <c r="Q186" s="31" t="str">
        <f>BiographyMarriageDetsCountries!B184</f>
        <v>Girl</v>
      </c>
      <c r="S186" s="369" t="str">
        <f>BiographyMarriageDetsCountries!E184</f>
        <v xml:space="preserve"> -</v>
      </c>
    </row>
    <row r="187" spans="5:19" s="31" customFormat="1" ht="20">
      <c r="E187" s="376">
        <f>VALUE(BiographyMarriageDetsCountries!A187)</f>
        <v>185</v>
      </c>
      <c r="F187" s="375" t="str">
        <f t="shared" si="2"/>
        <v xml:space="preserve"> -</v>
      </c>
      <c r="P187" s="370" t="e">
        <f>IF(ISNA(VLOOKUP(E185,$H$5:$I$66,2,FALSE)),VLOOKUP(E185,$O$5:$S$202,5,FALSE),VLOOKUP(E185,$H$5:$I$66,2,FALSE))</f>
        <v>#N/A</v>
      </c>
      <c r="Q187" s="31" t="str">
        <f>BiographyMarriageDetsCountries!B185</f>
        <v>Girl</v>
      </c>
      <c r="S187" s="369" t="str">
        <f>BiographyMarriageDetsCountries!E185</f>
        <v xml:space="preserve"> -</v>
      </c>
    </row>
    <row r="188" spans="5:19" s="31" customFormat="1" ht="20">
      <c r="E188" s="376">
        <f>VALUE(BiographyMarriageDetsCountries!A188)</f>
        <v>186</v>
      </c>
      <c r="F188" s="375" t="e">
        <f t="shared" si="2"/>
        <v>#N/A</v>
      </c>
      <c r="P188" s="370" t="e">
        <f>IF(ISNA(VLOOKUP(E186,$H$5:$I$66,2,FALSE)),VLOOKUP(E186,$O$5:$S$202,5,FALSE),VLOOKUP(E186,$H$5:$I$66,2,FALSE))</f>
        <v>#N/A</v>
      </c>
      <c r="Q188" s="31" t="str">
        <f>BiographyMarriageDetsCountries!B186</f>
        <v>Girl</v>
      </c>
      <c r="S188" s="369" t="str">
        <f>BiographyMarriageDetsCountries!E186</f>
        <v xml:space="preserve"> -</v>
      </c>
    </row>
    <row r="189" spans="5:19" s="31" customFormat="1" ht="20">
      <c r="E189" s="376">
        <f>VALUE(BiographyMarriageDetsCountries!A189)</f>
        <v>187</v>
      </c>
      <c r="F189" s="375" t="str">
        <f t="shared" si="2"/>
        <v xml:space="preserve"> -</v>
      </c>
      <c r="P189" s="370" t="e">
        <f>IF(ISNA(VLOOKUP(E187,$H$5:$I$66,2,FALSE)),VLOOKUP(E187,$O$5:$S$202,5,FALSE),VLOOKUP(E187,$H$5:$I$66,2,FALSE))</f>
        <v>#N/A</v>
      </c>
      <c r="Q189" s="31" t="str">
        <f>BiographyMarriageDetsCountries!B187</f>
        <v>Girl</v>
      </c>
      <c r="S189" s="369" t="str">
        <f>BiographyMarriageDetsCountries!E187</f>
        <v xml:space="preserve"> -</v>
      </c>
    </row>
    <row r="190" spans="5:19" s="31" customFormat="1" ht="20">
      <c r="E190" s="376">
        <f>VALUE(BiographyMarriageDetsCountries!A190)</f>
        <v>188</v>
      </c>
      <c r="F190" s="375" t="e">
        <f t="shared" si="2"/>
        <v>#N/A</v>
      </c>
      <c r="P190" s="370" t="e">
        <f>IF(ISNA(VLOOKUP(E188,$H$5:$I$66,2,FALSE)),VLOOKUP(E188,$O$5:$S$202,5,FALSE),VLOOKUP(E188,$H$5:$I$66,2,FALSE))</f>
        <v>#N/A</v>
      </c>
      <c r="Q190" s="31" t="str">
        <f>BiographyMarriageDetsCountries!B188</f>
        <v>Boy</v>
      </c>
      <c r="S190" s="369" t="str">
        <f>BiographyMarriageDetsCountries!E188</f>
        <v xml:space="preserve"> -</v>
      </c>
    </row>
    <row r="191" spans="5:19" s="31" customFormat="1" ht="20">
      <c r="E191" s="376">
        <f>VALUE(BiographyMarriageDetsCountries!A191)</f>
        <v>189</v>
      </c>
      <c r="F191" s="375" t="e">
        <f t="shared" si="2"/>
        <v>#N/A</v>
      </c>
      <c r="P191" s="370" t="e">
        <f>IF(ISNA(VLOOKUP(E189,$H$5:$I$66,2,FALSE)),VLOOKUP(E189,$O$5:$S$202,5,FALSE),VLOOKUP(E189,$H$5:$I$66,2,FALSE))</f>
        <v>#N/A</v>
      </c>
      <c r="Q191" s="31" t="str">
        <f>BiographyMarriageDetsCountries!B189</f>
        <v>Girl</v>
      </c>
      <c r="S191" s="369" t="str">
        <f>BiographyMarriageDetsCountries!E189</f>
        <v xml:space="preserve"> -</v>
      </c>
    </row>
    <row r="192" spans="5:19" s="31" customFormat="1" ht="20">
      <c r="E192" s="376">
        <f>VALUE(BiographyMarriageDetsCountries!A192)</f>
        <v>190</v>
      </c>
      <c r="F192" s="375" t="str">
        <f t="shared" si="2"/>
        <v xml:space="preserve"> -</v>
      </c>
      <c r="P192" s="370" t="e">
        <f>IF(ISNA(VLOOKUP(E190,$H$5:$I$66,2,FALSE)),VLOOKUP(E190,$O$5:$S$202,5,FALSE),VLOOKUP(E190,$H$5:$I$66,2,FALSE))</f>
        <v>#N/A</v>
      </c>
      <c r="Q192" s="31" t="str">
        <f>BiographyMarriageDetsCountries!B190</f>
        <v>Boy</v>
      </c>
      <c r="S192" s="369" t="str">
        <f>BiographyMarriageDetsCountries!E190</f>
        <v xml:space="preserve"> -</v>
      </c>
    </row>
    <row r="193" spans="16:19" s="31" customFormat="1" ht="20">
      <c r="P193" s="370" t="e">
        <f>IF(ISNA(VLOOKUP(E191,$H$5:$I$66,2,FALSE)),VLOOKUP(E191,$O$5:$S$202,5,FALSE),VLOOKUP(E191,$H$5:$I$66,2,FALSE))</f>
        <v>#N/A</v>
      </c>
      <c r="Q193" s="31" t="str">
        <f>BiographyMarriageDetsCountries!B191</f>
        <v>Boy</v>
      </c>
      <c r="S193" s="369" t="str">
        <f>BiographyMarriageDetsCountries!E191</f>
        <v xml:space="preserve"> -</v>
      </c>
    </row>
    <row r="194" spans="16:19" s="99" customFormat="1" ht="20">
      <c r="P194" s="370" t="e">
        <f>IF(ISNA(VLOOKUP(E192,$H$5:$I$66,2,FALSE)),VLOOKUP(E192,$O$5:$S$202,5,FALSE),VLOOKUP(E192,$H$5:$I$66,2,FALSE))</f>
        <v>#N/A</v>
      </c>
      <c r="Q194" s="31" t="str">
        <f>BiographyMarriageDetsCountries!B192</f>
        <v>Girl</v>
      </c>
      <c r="S194" s="369" t="str">
        <f>BiographyMarriageDetsCountries!E192</f>
        <v xml:space="preserve">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49CA-8770-3C4F-9989-7E976515337F}">
  <dimension ref="A1:AP192"/>
  <sheetViews>
    <sheetView workbookViewId="0">
      <pane xSplit="3" ySplit="2" topLeftCell="D3" activePane="bottomRight" state="frozen"/>
      <selection pane="topRight" activeCell="D1" sqref="D1"/>
      <selection pane="bottomLeft" activeCell="A3" sqref="A3"/>
      <selection pane="bottomRight" activeCell="H54" sqref="H54"/>
    </sheetView>
  </sheetViews>
  <sheetFormatPr baseColWidth="10" defaultRowHeight="16"/>
  <cols>
    <col min="6" max="6" width="42.1640625" customWidth="1"/>
    <col min="7" max="7" width="39.33203125" customWidth="1"/>
    <col min="8" max="8" width="38.83203125" customWidth="1"/>
    <col min="9" max="9" width="34.6640625" bestFit="1" customWidth="1"/>
    <col min="10" max="10" width="38.6640625" customWidth="1"/>
    <col min="11" max="11" width="35.1640625" customWidth="1"/>
    <col min="12" max="12" width="34.83203125" customWidth="1"/>
    <col min="13" max="13" width="40.33203125" bestFit="1" customWidth="1"/>
    <col min="14" max="14" width="41.33203125" bestFit="1" customWidth="1"/>
    <col min="15" max="15" width="34.33203125" bestFit="1" customWidth="1"/>
    <col min="16" max="16" width="35.5" customWidth="1"/>
    <col min="17" max="17" width="36.6640625" bestFit="1" customWidth="1"/>
    <col min="18" max="18" width="25" customWidth="1"/>
    <col min="19" max="19" width="25.5" customWidth="1"/>
    <col min="20" max="20" width="22.5" bestFit="1" customWidth="1"/>
    <col min="21" max="21" width="23.5" customWidth="1"/>
    <col min="22" max="22" width="49.1640625" customWidth="1"/>
    <col min="23" max="23" width="43.83203125" bestFit="1" customWidth="1"/>
    <col min="24" max="24" width="45.6640625" bestFit="1" customWidth="1"/>
    <col min="27" max="27" width="34.5" customWidth="1"/>
  </cols>
  <sheetData>
    <row r="1" spans="1:42">
      <c r="A1" s="298" t="s">
        <v>780</v>
      </c>
      <c r="B1" s="298"/>
      <c r="C1" s="133" t="s">
        <v>3038</v>
      </c>
      <c r="D1" s="133"/>
      <c r="E1" s="133" t="s">
        <v>2352</v>
      </c>
    </row>
    <row r="2" spans="1:42">
      <c r="A2" s="298"/>
      <c r="B2" s="298"/>
      <c r="C2" s="298"/>
      <c r="D2" s="298"/>
      <c r="E2" s="298"/>
      <c r="F2" s="298">
        <v>1</v>
      </c>
      <c r="G2" s="124">
        <f>F2+1</f>
        <v>2</v>
      </c>
      <c r="H2" s="124">
        <f t="shared" ref="H2:AO2" si="0">G2+1</f>
        <v>3</v>
      </c>
      <c r="I2" s="124">
        <f t="shared" si="0"/>
        <v>4</v>
      </c>
      <c r="J2" s="124">
        <f t="shared" si="0"/>
        <v>5</v>
      </c>
      <c r="K2" s="124">
        <f t="shared" si="0"/>
        <v>6</v>
      </c>
      <c r="L2" s="124">
        <f t="shared" si="0"/>
        <v>7</v>
      </c>
      <c r="M2" s="124">
        <f t="shared" si="0"/>
        <v>8</v>
      </c>
      <c r="N2" s="124">
        <f t="shared" si="0"/>
        <v>9</v>
      </c>
      <c r="O2" s="124">
        <f t="shared" si="0"/>
        <v>10</v>
      </c>
      <c r="P2" s="124">
        <f t="shared" si="0"/>
        <v>11</v>
      </c>
      <c r="Q2" s="124">
        <f t="shared" si="0"/>
        <v>12</v>
      </c>
      <c r="R2" s="124">
        <f t="shared" si="0"/>
        <v>13</v>
      </c>
      <c r="S2" s="124">
        <f t="shared" si="0"/>
        <v>14</v>
      </c>
      <c r="T2" s="124">
        <f t="shared" si="0"/>
        <v>15</v>
      </c>
      <c r="U2" s="124">
        <f t="shared" si="0"/>
        <v>16</v>
      </c>
      <c r="V2" s="124">
        <f t="shared" si="0"/>
        <v>17</v>
      </c>
      <c r="W2" s="124">
        <f t="shared" si="0"/>
        <v>18</v>
      </c>
      <c r="X2" s="124">
        <f t="shared" si="0"/>
        <v>19</v>
      </c>
      <c r="Y2" s="124">
        <f t="shared" si="0"/>
        <v>20</v>
      </c>
      <c r="Z2" s="124">
        <f t="shared" si="0"/>
        <v>21</v>
      </c>
      <c r="AA2" s="124">
        <f t="shared" si="0"/>
        <v>22</v>
      </c>
      <c r="AB2" s="124">
        <f t="shared" si="0"/>
        <v>23</v>
      </c>
      <c r="AC2" s="124">
        <f t="shared" si="0"/>
        <v>24</v>
      </c>
      <c r="AD2" s="124">
        <f t="shared" si="0"/>
        <v>25</v>
      </c>
      <c r="AE2" s="124">
        <f t="shared" si="0"/>
        <v>26</v>
      </c>
      <c r="AF2" s="124">
        <f t="shared" si="0"/>
        <v>27</v>
      </c>
      <c r="AG2" s="124">
        <f t="shared" si="0"/>
        <v>28</v>
      </c>
      <c r="AH2" s="124">
        <f t="shared" si="0"/>
        <v>29</v>
      </c>
      <c r="AI2" s="124">
        <f t="shared" si="0"/>
        <v>30</v>
      </c>
      <c r="AJ2" s="124">
        <f t="shared" si="0"/>
        <v>31</v>
      </c>
      <c r="AK2" s="124">
        <f t="shared" si="0"/>
        <v>32</v>
      </c>
      <c r="AL2" s="124">
        <f t="shared" si="0"/>
        <v>33</v>
      </c>
      <c r="AM2" s="124">
        <f t="shared" si="0"/>
        <v>34</v>
      </c>
      <c r="AN2" s="124">
        <f t="shared" si="0"/>
        <v>35</v>
      </c>
      <c r="AO2" s="124">
        <f t="shared" si="0"/>
        <v>36</v>
      </c>
      <c r="AP2" s="124"/>
    </row>
    <row r="3" spans="1:42" ht="17">
      <c r="A3" s="299">
        <v>1</v>
      </c>
      <c r="B3" s="299" t="str">
        <f>LEFT(F3,SEARCH(" ",F3)-1)</f>
        <v>Samuel</v>
      </c>
      <c r="C3" s="299" t="s">
        <v>2898</v>
      </c>
      <c r="D3" s="299">
        <f>36-COUNTIF(F3:AO3,"")</f>
        <v>19</v>
      </c>
      <c r="E3" s="299">
        <f>C3-D3-IF(OR(F3="d.s.p.",F3="–"),-1,0)</f>
        <v>0</v>
      </c>
      <c r="F3" s="300" t="s">
        <v>5236</v>
      </c>
      <c r="G3" t="s">
        <v>5259</v>
      </c>
      <c r="H3" t="s">
        <v>5258</v>
      </c>
      <c r="I3" t="s">
        <v>5257</v>
      </c>
      <c r="J3" t="s">
        <v>5256</v>
      </c>
      <c r="K3" t="s">
        <v>5255</v>
      </c>
      <c r="L3" t="s">
        <v>5254</v>
      </c>
      <c r="M3" t="s">
        <v>5260</v>
      </c>
      <c r="N3" t="s">
        <v>5261</v>
      </c>
      <c r="O3" t="s">
        <v>5262</v>
      </c>
      <c r="P3" t="s">
        <v>5263</v>
      </c>
      <c r="Q3" t="s">
        <v>5264</v>
      </c>
      <c r="R3" t="s">
        <v>5265</v>
      </c>
      <c r="S3" t="s">
        <v>5266</v>
      </c>
      <c r="T3" t="s">
        <v>5227</v>
      </c>
      <c r="U3" t="s">
        <v>5267</v>
      </c>
      <c r="V3" t="s">
        <v>5349</v>
      </c>
      <c r="W3" t="s">
        <v>5273</v>
      </c>
      <c r="X3" t="s">
        <v>5396</v>
      </c>
    </row>
    <row r="4" spans="1:42" ht="17">
      <c r="A4" s="298">
        <v>2</v>
      </c>
      <c r="B4" s="299" t="str">
        <f>LEFT(F4,SEARCH(" ",F4)-1)</f>
        <v>William</v>
      </c>
      <c r="C4" s="299" t="s">
        <v>2899</v>
      </c>
      <c r="D4" s="299">
        <f t="shared" ref="D4:D67" si="1">36-COUNTIF(F4:AO4,"")</f>
        <v>2</v>
      </c>
      <c r="E4" s="299">
        <f t="shared" ref="E4:E67" si="2">C4-D4-IF(OR(F4="d.s.p.",F4="–"),-1,0)</f>
        <v>0</v>
      </c>
      <c r="F4" s="131" t="s">
        <v>5268</v>
      </c>
      <c r="G4" t="s">
        <v>5269</v>
      </c>
    </row>
    <row r="5" spans="1:42" ht="17">
      <c r="A5" s="298">
        <v>3</v>
      </c>
      <c r="B5" s="299" t="str">
        <f>LEFT(F5,SEARCH(" ",F5)-1)</f>
        <v>Henry</v>
      </c>
      <c r="C5" s="299" t="s">
        <v>2899</v>
      </c>
      <c r="D5" s="299">
        <f t="shared" si="1"/>
        <v>2</v>
      </c>
      <c r="E5" s="299">
        <f t="shared" si="2"/>
        <v>0</v>
      </c>
      <c r="F5" s="131" t="s">
        <v>5252</v>
      </c>
      <c r="G5" t="s">
        <v>5386</v>
      </c>
    </row>
    <row r="6" spans="1:42" ht="17">
      <c r="A6" s="298">
        <v>4</v>
      </c>
      <c r="B6" s="299" t="str">
        <f>LEFT(F6,SEARCH(" ",F6)-1)</f>
        <v>William</v>
      </c>
      <c r="C6" s="299" t="s">
        <v>5237</v>
      </c>
      <c r="D6" s="299">
        <f t="shared" si="1"/>
        <v>8</v>
      </c>
      <c r="E6" s="299">
        <f t="shared" si="2"/>
        <v>0</v>
      </c>
      <c r="F6" s="131" t="s">
        <v>5286</v>
      </c>
      <c r="G6" t="s">
        <v>5272</v>
      </c>
      <c r="H6" t="s">
        <v>5271</v>
      </c>
      <c r="I6" t="s">
        <v>5228</v>
      </c>
      <c r="J6" t="s">
        <v>5229</v>
      </c>
      <c r="K6" t="s">
        <v>5274</v>
      </c>
      <c r="L6" t="s">
        <v>5253</v>
      </c>
      <c r="M6" t="s">
        <v>5387</v>
      </c>
    </row>
    <row r="7" spans="1:42" ht="17">
      <c r="A7" s="298">
        <v>5</v>
      </c>
      <c r="B7" s="299">
        <v>0</v>
      </c>
      <c r="C7" s="299">
        <v>0</v>
      </c>
      <c r="D7" s="299">
        <f t="shared" si="1"/>
        <v>1</v>
      </c>
      <c r="E7" s="299">
        <f t="shared" si="2"/>
        <v>0</v>
      </c>
      <c r="F7" s="131" t="s">
        <v>5226</v>
      </c>
    </row>
    <row r="8" spans="1:42" ht="17">
      <c r="A8" s="298">
        <v>6</v>
      </c>
      <c r="B8" s="299">
        <v>0</v>
      </c>
      <c r="C8" s="299">
        <v>0</v>
      </c>
      <c r="D8" s="299">
        <f t="shared" si="1"/>
        <v>1</v>
      </c>
      <c r="E8" s="299">
        <f t="shared" si="2"/>
        <v>0</v>
      </c>
      <c r="F8" s="131" t="s">
        <v>5226</v>
      </c>
    </row>
    <row r="9" spans="1:42" ht="17">
      <c r="A9" s="298">
        <v>7</v>
      </c>
      <c r="B9" s="299">
        <v>0</v>
      </c>
      <c r="C9" s="299">
        <v>0</v>
      </c>
      <c r="D9" s="299">
        <f t="shared" si="1"/>
        <v>1</v>
      </c>
      <c r="E9" s="299">
        <f t="shared" si="2"/>
        <v>0</v>
      </c>
      <c r="F9" s="131" t="s">
        <v>5226</v>
      </c>
    </row>
    <row r="10" spans="1:42" ht="17">
      <c r="A10" s="298">
        <v>8</v>
      </c>
      <c r="B10" s="299" t="str">
        <f>LEFT(F10,SEARCH(" ",F10)-1)</f>
        <v>Mary</v>
      </c>
      <c r="C10" s="299" t="s">
        <v>5238</v>
      </c>
      <c r="D10" s="299">
        <f t="shared" si="1"/>
        <v>31</v>
      </c>
      <c r="E10" s="299">
        <f t="shared" si="2"/>
        <v>0</v>
      </c>
      <c r="F10" s="131" t="s">
        <v>5285</v>
      </c>
      <c r="G10" t="s">
        <v>5281</v>
      </c>
      <c r="H10" t="s">
        <v>5282</v>
      </c>
      <c r="I10" t="s">
        <v>5283</v>
      </c>
      <c r="J10" t="s">
        <v>5284</v>
      </c>
      <c r="K10" t="s">
        <v>5275</v>
      </c>
      <c r="L10" t="s">
        <v>5277</v>
      </c>
      <c r="M10" t="s">
        <v>5278</v>
      </c>
      <c r="N10" t="s">
        <v>5279</v>
      </c>
      <c r="O10" t="s">
        <v>5230</v>
      </c>
      <c r="P10" t="s">
        <v>5231</v>
      </c>
      <c r="Q10" t="s">
        <v>5232</v>
      </c>
      <c r="R10" t="s">
        <v>5233</v>
      </c>
      <c r="S10" t="s">
        <v>5234</v>
      </c>
      <c r="T10" t="s">
        <v>5235</v>
      </c>
      <c r="U10" t="s">
        <v>5280</v>
      </c>
      <c r="V10" t="s">
        <v>5350</v>
      </c>
      <c r="W10" t="s">
        <v>5351</v>
      </c>
      <c r="X10" t="s">
        <v>5352</v>
      </c>
      <c r="Y10" t="s">
        <v>5353</v>
      </c>
      <c r="Z10" t="s">
        <v>5354</v>
      </c>
      <c r="AA10" t="s">
        <v>5355</v>
      </c>
      <c r="AB10" t="s">
        <v>5356</v>
      </c>
      <c r="AC10" t="s">
        <v>5357</v>
      </c>
      <c r="AD10" t="s">
        <v>5358</v>
      </c>
      <c r="AE10" t="s">
        <v>5359</v>
      </c>
      <c r="AF10" t="s">
        <v>5360</v>
      </c>
      <c r="AG10" t="s">
        <v>5361</v>
      </c>
      <c r="AH10" t="s">
        <v>5362</v>
      </c>
      <c r="AI10" t="s">
        <v>5363</v>
      </c>
      <c r="AJ10" t="s">
        <v>5364</v>
      </c>
    </row>
    <row r="11" spans="1:42" ht="17">
      <c r="A11" s="298">
        <v>9</v>
      </c>
      <c r="B11" s="299">
        <v>0</v>
      </c>
      <c r="C11" s="299">
        <v>0</v>
      </c>
      <c r="D11" s="299">
        <f t="shared" si="1"/>
        <v>1</v>
      </c>
      <c r="E11" s="299">
        <f t="shared" si="2"/>
        <v>0</v>
      </c>
      <c r="F11" s="131" t="s">
        <v>5270</v>
      </c>
    </row>
    <row r="12" spans="1:42" ht="17">
      <c r="A12" s="298">
        <v>10</v>
      </c>
      <c r="B12" s="299">
        <v>0</v>
      </c>
      <c r="C12" s="299">
        <v>0</v>
      </c>
      <c r="D12" s="299">
        <f t="shared" si="1"/>
        <v>1</v>
      </c>
      <c r="E12" s="299">
        <f t="shared" si="2"/>
        <v>0</v>
      </c>
      <c r="F12" s="131" t="s">
        <v>5226</v>
      </c>
    </row>
    <row r="13" spans="1:42" ht="17">
      <c r="A13" s="298">
        <v>11</v>
      </c>
      <c r="B13" s="299">
        <v>0</v>
      </c>
      <c r="C13" s="299">
        <v>0</v>
      </c>
      <c r="D13" s="299">
        <f t="shared" si="1"/>
        <v>1</v>
      </c>
      <c r="E13" s="299">
        <f t="shared" si="2"/>
        <v>0</v>
      </c>
      <c r="F13" s="131" t="s">
        <v>5270</v>
      </c>
    </row>
    <row r="14" spans="1:42" ht="17">
      <c r="A14" s="298">
        <v>12</v>
      </c>
      <c r="B14" s="299">
        <v>0</v>
      </c>
      <c r="C14" s="299">
        <v>0</v>
      </c>
      <c r="D14" s="299">
        <f t="shared" si="1"/>
        <v>1</v>
      </c>
      <c r="E14" s="299">
        <f t="shared" si="2"/>
        <v>0</v>
      </c>
      <c r="F14" s="131" t="s">
        <v>5226</v>
      </c>
    </row>
    <row r="15" spans="1:42" ht="17">
      <c r="A15" s="298">
        <v>13</v>
      </c>
      <c r="B15" s="299">
        <v>0</v>
      </c>
      <c r="C15" s="299">
        <v>0</v>
      </c>
      <c r="D15" s="299">
        <f t="shared" si="1"/>
        <v>1</v>
      </c>
      <c r="E15" s="299">
        <f t="shared" si="2"/>
        <v>0</v>
      </c>
      <c r="F15" s="131" t="s">
        <v>5226</v>
      </c>
    </row>
    <row r="16" spans="1:42" ht="17">
      <c r="A16" s="298">
        <v>14</v>
      </c>
      <c r="B16" s="299" t="str">
        <f>LEFT(F16,SEARCH(" ",F16)-1)</f>
        <v>Lewis</v>
      </c>
      <c r="C16" s="299" t="s">
        <v>5239</v>
      </c>
      <c r="D16" s="299">
        <f t="shared" si="1"/>
        <v>14</v>
      </c>
      <c r="E16" s="299">
        <f t="shared" si="2"/>
        <v>0</v>
      </c>
      <c r="F16" s="131" t="s">
        <v>5287</v>
      </c>
      <c r="G16" t="s">
        <v>5288</v>
      </c>
      <c r="H16" t="s">
        <v>5289</v>
      </c>
      <c r="I16" t="s">
        <v>5290</v>
      </c>
      <c r="J16" t="s">
        <v>5291</v>
      </c>
      <c r="K16" t="s">
        <v>5276</v>
      </c>
      <c r="L16" t="s">
        <v>5292</v>
      </c>
      <c r="M16" t="s">
        <v>5293</v>
      </c>
      <c r="N16" t="s">
        <v>5294</v>
      </c>
      <c r="O16" t="s">
        <v>5295</v>
      </c>
      <c r="P16" t="s">
        <v>5296</v>
      </c>
      <c r="Q16" t="s">
        <v>5297</v>
      </c>
      <c r="R16" t="s">
        <v>5298</v>
      </c>
      <c r="S16" t="s">
        <v>5388</v>
      </c>
    </row>
    <row r="17" spans="1:24" ht="17">
      <c r="A17" s="298">
        <v>15</v>
      </c>
      <c r="B17" s="299">
        <v>0</v>
      </c>
      <c r="C17" s="299">
        <v>0</v>
      </c>
      <c r="D17" s="299">
        <f t="shared" si="1"/>
        <v>1</v>
      </c>
      <c r="E17" s="299">
        <f t="shared" si="2"/>
        <v>0</v>
      </c>
      <c r="F17" s="131" t="s">
        <v>5226</v>
      </c>
    </row>
    <row r="18" spans="1:24" ht="17">
      <c r="A18" s="298">
        <v>16</v>
      </c>
      <c r="B18" s="299">
        <v>0</v>
      </c>
      <c r="C18" s="299">
        <v>0</v>
      </c>
      <c r="D18" s="299">
        <f t="shared" si="1"/>
        <v>1</v>
      </c>
      <c r="E18" s="299">
        <f t="shared" si="2"/>
        <v>0</v>
      </c>
      <c r="F18" s="131" t="s">
        <v>5226</v>
      </c>
    </row>
    <row r="19" spans="1:24" ht="17">
      <c r="A19" s="298">
        <v>17</v>
      </c>
      <c r="B19" s="299">
        <v>0</v>
      </c>
      <c r="C19" s="299">
        <v>0</v>
      </c>
      <c r="D19" s="299">
        <f t="shared" si="1"/>
        <v>1</v>
      </c>
      <c r="E19" s="299">
        <f t="shared" si="2"/>
        <v>0</v>
      </c>
      <c r="F19" s="131" t="s">
        <v>5226</v>
      </c>
    </row>
    <row r="20" spans="1:24" ht="17">
      <c r="A20" s="298">
        <v>18</v>
      </c>
      <c r="B20" s="299" t="str">
        <f>LEFT(F20,SEARCH(" ",F20)-1)</f>
        <v>Malcolm</v>
      </c>
      <c r="C20" s="299" t="s">
        <v>5240</v>
      </c>
      <c r="D20" s="299">
        <f t="shared" si="1"/>
        <v>5</v>
      </c>
      <c r="E20" s="299">
        <f t="shared" si="2"/>
        <v>0</v>
      </c>
      <c r="F20" s="131" t="s">
        <v>5299</v>
      </c>
      <c r="G20" t="s">
        <v>5300</v>
      </c>
      <c r="H20" t="s">
        <v>5301</v>
      </c>
      <c r="I20" t="s">
        <v>5302</v>
      </c>
      <c r="J20" t="s">
        <v>5303</v>
      </c>
    </row>
    <row r="21" spans="1:24" ht="17">
      <c r="A21" s="298">
        <v>19</v>
      </c>
      <c r="B21" s="299">
        <v>0</v>
      </c>
      <c r="C21" s="299">
        <v>0</v>
      </c>
      <c r="D21" s="299">
        <f t="shared" si="1"/>
        <v>1</v>
      </c>
      <c r="E21" s="299">
        <f t="shared" si="2"/>
        <v>0</v>
      </c>
      <c r="F21" s="131" t="s">
        <v>5270</v>
      </c>
    </row>
    <row r="22" spans="1:24" ht="17">
      <c r="A22" s="298">
        <v>20</v>
      </c>
      <c r="B22" s="299">
        <v>0</v>
      </c>
      <c r="C22" s="299">
        <v>0</v>
      </c>
      <c r="D22" s="299">
        <f t="shared" si="1"/>
        <v>1</v>
      </c>
      <c r="E22" s="299">
        <f t="shared" si="2"/>
        <v>0</v>
      </c>
      <c r="F22" s="131" t="s">
        <v>5226</v>
      </c>
    </row>
    <row r="23" spans="1:24" ht="17">
      <c r="A23" s="298">
        <v>21</v>
      </c>
      <c r="B23" s="299">
        <v>0</v>
      </c>
      <c r="C23" s="299">
        <v>0</v>
      </c>
      <c r="D23" s="299">
        <f t="shared" si="1"/>
        <v>1</v>
      </c>
      <c r="E23" s="299">
        <f t="shared" si="2"/>
        <v>0</v>
      </c>
      <c r="F23" s="131" t="s">
        <v>5226</v>
      </c>
    </row>
    <row r="24" spans="1:24" ht="17">
      <c r="A24" s="298">
        <v>22</v>
      </c>
      <c r="B24" s="299" t="str">
        <f>LEFT(F24,SEARCH(" ",F24)-1)</f>
        <v>Lewis</v>
      </c>
      <c r="C24" s="299" t="s">
        <v>2898</v>
      </c>
      <c r="D24" s="299">
        <f t="shared" si="1"/>
        <v>19</v>
      </c>
      <c r="E24" s="299">
        <f t="shared" si="2"/>
        <v>0</v>
      </c>
      <c r="F24" s="131" t="s">
        <v>5304</v>
      </c>
      <c r="G24" t="s">
        <v>5305</v>
      </c>
      <c r="H24" t="s">
        <v>5306</v>
      </c>
      <c r="I24" t="s">
        <v>5307</v>
      </c>
      <c r="J24" t="s">
        <v>5308</v>
      </c>
      <c r="K24" t="s">
        <v>5309</v>
      </c>
      <c r="L24" t="s">
        <v>5310</v>
      </c>
      <c r="M24" t="s">
        <v>5311</v>
      </c>
      <c r="N24" t="s">
        <v>5312</v>
      </c>
      <c r="O24" t="s">
        <v>5365</v>
      </c>
      <c r="P24" t="s">
        <v>5366</v>
      </c>
      <c r="Q24" t="s">
        <v>5367</v>
      </c>
      <c r="R24" t="s">
        <v>5368</v>
      </c>
      <c r="S24" t="s">
        <v>5369</v>
      </c>
      <c r="T24" t="s">
        <v>5370</v>
      </c>
      <c r="U24" t="s">
        <v>5371</v>
      </c>
      <c r="V24" t="s">
        <v>5372</v>
      </c>
      <c r="W24" t="s">
        <v>5373</v>
      </c>
      <c r="X24" t="s">
        <v>5374</v>
      </c>
    </row>
    <row r="25" spans="1:24" ht="17">
      <c r="A25" s="298">
        <v>23</v>
      </c>
      <c r="B25" s="299" t="str">
        <f>LEFT(F25,SEARCH(" ",F25)-1)</f>
        <v>Dick</v>
      </c>
      <c r="C25" s="299" t="s">
        <v>5241</v>
      </c>
      <c r="D25" s="299">
        <f t="shared" si="1"/>
        <v>13</v>
      </c>
      <c r="E25" s="299">
        <f t="shared" si="2"/>
        <v>0</v>
      </c>
      <c r="F25" s="131" t="s">
        <v>5313</v>
      </c>
      <c r="G25" t="s">
        <v>5703</v>
      </c>
      <c r="H25" t="s">
        <v>5708</v>
      </c>
      <c r="I25" t="s">
        <v>5709</v>
      </c>
      <c r="J25" t="s">
        <v>5710</v>
      </c>
      <c r="K25" t="s">
        <v>5711</v>
      </c>
      <c r="L25" t="s">
        <v>5712</v>
      </c>
      <c r="M25" t="s">
        <v>5713</v>
      </c>
      <c r="N25" t="s">
        <v>5714</v>
      </c>
      <c r="O25" t="s">
        <v>5704</v>
      </c>
      <c r="P25" t="s">
        <v>5705</v>
      </c>
      <c r="Q25" t="s">
        <v>5706</v>
      </c>
      <c r="R25" t="s">
        <v>5707</v>
      </c>
    </row>
    <row r="26" spans="1:24" ht="17">
      <c r="A26" s="298">
        <v>24</v>
      </c>
      <c r="B26" s="299">
        <v>0</v>
      </c>
      <c r="C26" s="299">
        <v>0</v>
      </c>
      <c r="D26" s="299">
        <f t="shared" si="1"/>
        <v>1</v>
      </c>
      <c r="E26" s="299">
        <f t="shared" si="2"/>
        <v>0</v>
      </c>
      <c r="F26" s="131" t="s">
        <v>5226</v>
      </c>
    </row>
    <row r="27" spans="1:24" ht="17">
      <c r="A27" s="298">
        <v>25</v>
      </c>
      <c r="B27" s="299">
        <v>0</v>
      </c>
      <c r="C27" s="299">
        <v>0</v>
      </c>
      <c r="D27" s="299">
        <f t="shared" si="1"/>
        <v>1</v>
      </c>
      <c r="E27" s="299">
        <f t="shared" si="2"/>
        <v>0</v>
      </c>
      <c r="F27" s="131" t="s">
        <v>5226</v>
      </c>
    </row>
    <row r="28" spans="1:24" ht="17">
      <c r="A28" s="298">
        <v>26</v>
      </c>
      <c r="B28" s="299">
        <v>0</v>
      </c>
      <c r="C28" s="299">
        <v>0</v>
      </c>
      <c r="D28" s="299">
        <f t="shared" si="1"/>
        <v>1</v>
      </c>
      <c r="E28" s="299">
        <f t="shared" si="2"/>
        <v>0</v>
      </c>
      <c r="F28" s="131" t="s">
        <v>5226</v>
      </c>
    </row>
    <row r="29" spans="1:24" ht="17">
      <c r="A29" s="298">
        <v>27</v>
      </c>
      <c r="B29" s="299">
        <v>0</v>
      </c>
      <c r="C29" s="299">
        <v>0</v>
      </c>
      <c r="D29" s="299">
        <f t="shared" si="1"/>
        <v>1</v>
      </c>
      <c r="E29" s="299">
        <f t="shared" si="2"/>
        <v>0</v>
      </c>
      <c r="F29" s="131" t="s">
        <v>5226</v>
      </c>
    </row>
    <row r="30" spans="1:24" ht="17">
      <c r="A30" s="298">
        <v>28</v>
      </c>
      <c r="B30" s="299" t="str">
        <f>LEFT(F30,SEARCH(" ",F30)-1)</f>
        <v>Anne</v>
      </c>
      <c r="C30" s="299" t="s">
        <v>5242</v>
      </c>
      <c r="D30" s="299">
        <f t="shared" si="1"/>
        <v>6</v>
      </c>
      <c r="E30" s="299">
        <f t="shared" si="2"/>
        <v>0</v>
      </c>
      <c r="F30" s="131" t="s">
        <v>5314</v>
      </c>
      <c r="G30" t="s">
        <v>5315</v>
      </c>
      <c r="H30" t="s">
        <v>5316</v>
      </c>
      <c r="I30" t="s">
        <v>5317</v>
      </c>
      <c r="J30" t="s">
        <v>5318</v>
      </c>
      <c r="K30" t="s">
        <v>5389</v>
      </c>
    </row>
    <row r="31" spans="1:24" ht="17">
      <c r="A31" s="298">
        <v>29</v>
      </c>
      <c r="B31" s="299" t="str">
        <f>LEFT(F31,SEARCH(" ",F31)-1)</f>
        <v>Margaret</v>
      </c>
      <c r="C31" s="299" t="s">
        <v>5243</v>
      </c>
      <c r="D31" s="299">
        <f t="shared" si="1"/>
        <v>4</v>
      </c>
      <c r="E31" s="299">
        <f t="shared" si="2"/>
        <v>0</v>
      </c>
      <c r="F31" s="131" t="s">
        <v>5319</v>
      </c>
      <c r="G31" t="s">
        <v>5320</v>
      </c>
      <c r="H31" t="s">
        <v>5321</v>
      </c>
      <c r="I31" t="s">
        <v>5390</v>
      </c>
    </row>
    <row r="32" spans="1:24" ht="17">
      <c r="A32" s="298">
        <v>30</v>
      </c>
      <c r="B32" s="299" t="str">
        <f>LEFT(F32,SEARCH(" ",F32)-1)</f>
        <v>Peter</v>
      </c>
      <c r="C32" s="299" t="s">
        <v>5240</v>
      </c>
      <c r="D32" s="299">
        <f t="shared" si="1"/>
        <v>5</v>
      </c>
      <c r="E32" s="299">
        <f t="shared" si="2"/>
        <v>0</v>
      </c>
      <c r="F32" s="131" t="s">
        <v>5322</v>
      </c>
      <c r="G32" t="s">
        <v>5323</v>
      </c>
      <c r="H32" t="s">
        <v>5324</v>
      </c>
      <c r="I32" t="s">
        <v>5325</v>
      </c>
      <c r="J32" t="s">
        <v>5391</v>
      </c>
    </row>
    <row r="33" spans="1:15" ht="17">
      <c r="A33" s="298">
        <v>31</v>
      </c>
      <c r="B33" s="299">
        <v>0</v>
      </c>
      <c r="C33" s="299">
        <v>0</v>
      </c>
      <c r="D33" s="299">
        <f t="shared" si="1"/>
        <v>1</v>
      </c>
      <c r="E33" s="299">
        <f t="shared" si="2"/>
        <v>0</v>
      </c>
      <c r="F33" s="131" t="s">
        <v>5226</v>
      </c>
    </row>
    <row r="34" spans="1:15" ht="17">
      <c r="A34" s="298">
        <v>32</v>
      </c>
      <c r="B34" s="299" t="str">
        <f>LEFT(F34,SEARCH(" ",F34)-1)</f>
        <v>Sir</v>
      </c>
      <c r="C34" s="299" t="s">
        <v>2899</v>
      </c>
      <c r="D34" s="299">
        <f t="shared" si="1"/>
        <v>2</v>
      </c>
      <c r="E34" s="299">
        <f t="shared" si="2"/>
        <v>0</v>
      </c>
      <c r="F34" s="131" t="s">
        <v>5326</v>
      </c>
      <c r="G34" t="s">
        <v>5392</v>
      </c>
    </row>
    <row r="35" spans="1:15" ht="17">
      <c r="A35" s="298">
        <v>33</v>
      </c>
      <c r="B35" s="299">
        <v>0</v>
      </c>
      <c r="C35" s="299">
        <v>0</v>
      </c>
      <c r="D35" s="299">
        <f t="shared" si="1"/>
        <v>1</v>
      </c>
      <c r="E35" s="299">
        <f t="shared" si="2"/>
        <v>0</v>
      </c>
      <c r="F35" s="131" t="s">
        <v>5226</v>
      </c>
    </row>
    <row r="36" spans="1:15" ht="17">
      <c r="A36" s="298">
        <v>34</v>
      </c>
      <c r="B36" s="299" t="str">
        <f>LEFT(F36,SEARCH(" ",F36)-1)</f>
        <v>Peter</v>
      </c>
      <c r="C36" s="299" t="s">
        <v>5240</v>
      </c>
      <c r="D36" s="299">
        <f t="shared" si="1"/>
        <v>5</v>
      </c>
      <c r="E36" s="299">
        <f t="shared" si="2"/>
        <v>0</v>
      </c>
      <c r="F36" s="131" t="s">
        <v>5327</v>
      </c>
      <c r="G36" t="s">
        <v>5328</v>
      </c>
      <c r="H36" t="s">
        <v>5375</v>
      </c>
      <c r="I36" t="s">
        <v>5376</v>
      </c>
      <c r="J36" t="s">
        <v>5377</v>
      </c>
    </row>
    <row r="37" spans="1:15" ht="17">
      <c r="A37" s="298">
        <v>35</v>
      </c>
      <c r="B37" s="299" t="str">
        <f>LEFT(F37,SEARCH(" ",F37)-1)</f>
        <v>Jos</v>
      </c>
      <c r="C37" s="299" t="s">
        <v>5240</v>
      </c>
      <c r="D37" s="299">
        <f t="shared" si="1"/>
        <v>5</v>
      </c>
      <c r="E37" s="299">
        <f t="shared" si="2"/>
        <v>0</v>
      </c>
      <c r="F37" s="131" t="s">
        <v>5329</v>
      </c>
      <c r="G37" t="s">
        <v>5330</v>
      </c>
      <c r="H37" t="s">
        <v>5331</v>
      </c>
      <c r="I37" t="s">
        <v>5332</v>
      </c>
      <c r="J37" t="s">
        <v>5333</v>
      </c>
    </row>
    <row r="38" spans="1:15" ht="17">
      <c r="A38" s="298">
        <v>36</v>
      </c>
      <c r="B38" s="299" t="str">
        <f>LEFT(F38,SEARCH(" ",F38)-1)</f>
        <v>4–Beryl</v>
      </c>
      <c r="C38" s="299" t="s">
        <v>5243</v>
      </c>
      <c r="D38" s="299">
        <f t="shared" si="1"/>
        <v>4</v>
      </c>
      <c r="E38" s="299">
        <f t="shared" si="2"/>
        <v>0</v>
      </c>
      <c r="F38" s="131" t="s">
        <v>5334</v>
      </c>
      <c r="G38" t="s">
        <v>5335</v>
      </c>
      <c r="H38" t="s">
        <v>5336</v>
      </c>
      <c r="I38" t="s">
        <v>5337</v>
      </c>
    </row>
    <row r="39" spans="1:15" ht="17">
      <c r="A39" s="298">
        <v>37</v>
      </c>
      <c r="B39" s="299">
        <v>0</v>
      </c>
      <c r="C39" s="299">
        <v>0</v>
      </c>
      <c r="D39" s="299">
        <f t="shared" si="1"/>
        <v>1</v>
      </c>
      <c r="E39" s="299">
        <f t="shared" si="2"/>
        <v>0</v>
      </c>
      <c r="F39" s="131" t="s">
        <v>5226</v>
      </c>
    </row>
    <row r="40" spans="1:15" ht="17">
      <c r="A40" s="298">
        <v>38</v>
      </c>
      <c r="B40" s="299">
        <v>0</v>
      </c>
      <c r="C40" s="299">
        <v>0</v>
      </c>
      <c r="D40" s="299">
        <f t="shared" si="1"/>
        <v>1</v>
      </c>
      <c r="E40" s="299">
        <f t="shared" si="2"/>
        <v>0</v>
      </c>
      <c r="F40" s="131" t="s">
        <v>5226</v>
      </c>
    </row>
    <row r="41" spans="1:15" ht="17">
      <c r="A41" s="298">
        <v>39</v>
      </c>
      <c r="B41" s="299">
        <v>0</v>
      </c>
      <c r="C41" s="299">
        <v>0</v>
      </c>
      <c r="D41" s="299">
        <f t="shared" si="1"/>
        <v>1</v>
      </c>
      <c r="E41" s="299">
        <f t="shared" si="2"/>
        <v>0</v>
      </c>
      <c r="F41" s="131" t="s">
        <v>5226</v>
      </c>
    </row>
    <row r="42" spans="1:15" ht="17">
      <c r="A42" s="298">
        <v>40</v>
      </c>
      <c r="B42" s="299">
        <v>0</v>
      </c>
      <c r="C42" s="299">
        <v>0</v>
      </c>
      <c r="D42" s="299">
        <f t="shared" si="1"/>
        <v>1</v>
      </c>
      <c r="E42" s="299">
        <f t="shared" si="2"/>
        <v>0</v>
      </c>
      <c r="F42" s="131" t="s">
        <v>5226</v>
      </c>
    </row>
    <row r="43" spans="1:15" ht="17">
      <c r="A43" s="298">
        <v>41</v>
      </c>
      <c r="B43" s="299" t="str">
        <f>LEFT(F43,SEARCH(" ",F43)-1)</f>
        <v>Averil</v>
      </c>
      <c r="C43" s="299" t="s">
        <v>5240</v>
      </c>
      <c r="D43" s="299">
        <f t="shared" si="1"/>
        <v>5</v>
      </c>
      <c r="E43" s="299">
        <f t="shared" si="2"/>
        <v>0</v>
      </c>
      <c r="F43" s="131" t="s">
        <v>5338</v>
      </c>
      <c r="G43" t="s">
        <v>5339</v>
      </c>
      <c r="H43" t="s">
        <v>5378</v>
      </c>
      <c r="I43" t="s">
        <v>5379</v>
      </c>
      <c r="J43" t="s">
        <v>5380</v>
      </c>
    </row>
    <row r="44" spans="1:15" ht="17">
      <c r="A44" s="298">
        <v>42</v>
      </c>
      <c r="B44" s="299">
        <v>0</v>
      </c>
      <c r="C44" s="299">
        <v>0</v>
      </c>
      <c r="D44" s="299">
        <f t="shared" si="1"/>
        <v>1</v>
      </c>
      <c r="E44" s="299">
        <f t="shared" si="2"/>
        <v>0</v>
      </c>
      <c r="F44" s="131" t="s">
        <v>5270</v>
      </c>
    </row>
    <row r="45" spans="1:15" ht="17">
      <c r="A45" s="298">
        <v>43</v>
      </c>
      <c r="B45" s="299">
        <v>0</v>
      </c>
      <c r="C45" s="299">
        <v>0</v>
      </c>
      <c r="D45" s="299">
        <f t="shared" si="1"/>
        <v>1</v>
      </c>
      <c r="E45" s="299">
        <f t="shared" si="2"/>
        <v>0</v>
      </c>
      <c r="F45" s="131" t="s">
        <v>5226</v>
      </c>
    </row>
    <row r="46" spans="1:15" ht="17">
      <c r="A46" s="298">
        <v>44</v>
      </c>
      <c r="B46" s="299" t="str">
        <f>LEFT(F46,SEARCH(" ",F46)-1)</f>
        <v>Delia</v>
      </c>
      <c r="C46" s="299" t="s">
        <v>5240</v>
      </c>
      <c r="D46" s="299">
        <f t="shared" si="1"/>
        <v>5</v>
      </c>
      <c r="E46" s="299">
        <f t="shared" si="2"/>
        <v>0</v>
      </c>
      <c r="F46" s="131" t="s">
        <v>5344</v>
      </c>
      <c r="G46" t="s">
        <v>5345</v>
      </c>
      <c r="H46" t="s">
        <v>5346</v>
      </c>
      <c r="I46" t="s">
        <v>5347</v>
      </c>
      <c r="J46" t="s">
        <v>5393</v>
      </c>
    </row>
    <row r="47" spans="1:15" ht="17">
      <c r="A47" s="298">
        <v>45</v>
      </c>
      <c r="B47" s="299" t="str">
        <f>LEFT(F47,SEARCH(" ",F47)-1)</f>
        <v>Jill</v>
      </c>
      <c r="C47" s="299" t="s">
        <v>2899</v>
      </c>
      <c r="D47" s="299">
        <f t="shared" si="1"/>
        <v>2</v>
      </c>
      <c r="E47" s="299">
        <f t="shared" si="2"/>
        <v>0</v>
      </c>
      <c r="F47" s="131" t="s">
        <v>5348</v>
      </c>
      <c r="G47" t="s">
        <v>5394</v>
      </c>
    </row>
    <row r="48" spans="1:15" ht="17">
      <c r="A48" s="298">
        <v>46</v>
      </c>
      <c r="B48" s="299" t="str">
        <f>LEFT(F48,SEARCH(" ",F48)-1)</f>
        <v>Willie</v>
      </c>
      <c r="C48" s="299" t="s">
        <v>5244</v>
      </c>
      <c r="D48" s="299">
        <f t="shared" si="1"/>
        <v>10</v>
      </c>
      <c r="E48" s="299">
        <f t="shared" si="2"/>
        <v>0</v>
      </c>
      <c r="F48" s="131" t="s">
        <v>5340</v>
      </c>
      <c r="G48" t="s">
        <v>5341</v>
      </c>
      <c r="H48" t="s">
        <v>5342</v>
      </c>
      <c r="I48" t="s">
        <v>5343</v>
      </c>
      <c r="J48" t="s">
        <v>5381</v>
      </c>
      <c r="K48" t="s">
        <v>5395</v>
      </c>
      <c r="L48" t="s">
        <v>5382</v>
      </c>
      <c r="M48" t="s">
        <v>5383</v>
      </c>
      <c r="N48" t="s">
        <v>5384</v>
      </c>
      <c r="O48" t="s">
        <v>5385</v>
      </c>
    </row>
    <row r="49" spans="1:20" ht="17">
      <c r="A49" s="298">
        <v>47</v>
      </c>
      <c r="B49" s="298" t="str">
        <f>LEFT(F49,SEARCH(" ",F49)-1)</f>
        <v>John</v>
      </c>
      <c r="C49" s="298" t="s">
        <v>2899</v>
      </c>
      <c r="D49" s="299">
        <f t="shared" si="1"/>
        <v>2</v>
      </c>
      <c r="E49" s="299">
        <f t="shared" si="2"/>
        <v>0</v>
      </c>
      <c r="F49" s="131" t="s">
        <v>5398</v>
      </c>
      <c r="G49" t="s">
        <v>5397</v>
      </c>
    </row>
    <row r="50" spans="1:20" ht="17">
      <c r="A50" s="298">
        <v>48</v>
      </c>
      <c r="B50" s="299">
        <v>0</v>
      </c>
      <c r="C50" s="299">
        <v>0</v>
      </c>
      <c r="D50" s="299">
        <f t="shared" si="1"/>
        <v>1</v>
      </c>
      <c r="E50" s="299">
        <f t="shared" si="2"/>
        <v>0</v>
      </c>
      <c r="F50" s="131" t="s">
        <v>5270</v>
      </c>
    </row>
    <row r="51" spans="1:20" ht="17">
      <c r="A51" s="298">
        <v>49</v>
      </c>
      <c r="B51" s="299">
        <v>0</v>
      </c>
      <c r="C51" s="299">
        <v>0</v>
      </c>
      <c r="D51" s="299">
        <f t="shared" si="1"/>
        <v>1</v>
      </c>
      <c r="E51" s="299">
        <f t="shared" si="2"/>
        <v>0</v>
      </c>
      <c r="F51" s="131" t="s">
        <v>5226</v>
      </c>
    </row>
    <row r="52" spans="1:20" ht="17">
      <c r="A52" s="298">
        <v>50</v>
      </c>
      <c r="B52" s="299">
        <v>0</v>
      </c>
      <c r="C52" s="299">
        <v>0</v>
      </c>
      <c r="D52" s="299">
        <f t="shared" si="1"/>
        <v>1</v>
      </c>
      <c r="E52" s="299">
        <f t="shared" si="2"/>
        <v>0</v>
      </c>
      <c r="F52" s="131" t="s">
        <v>5226</v>
      </c>
    </row>
    <row r="53" spans="1:20" ht="17">
      <c r="A53" s="298">
        <v>51</v>
      </c>
      <c r="B53" s="299">
        <v>0</v>
      </c>
      <c r="C53" s="299">
        <v>0</v>
      </c>
      <c r="D53" s="299">
        <f t="shared" si="1"/>
        <v>1</v>
      </c>
      <c r="E53" s="299">
        <f t="shared" si="2"/>
        <v>0</v>
      </c>
      <c r="F53" s="131" t="s">
        <v>5226</v>
      </c>
    </row>
    <row r="54" spans="1:20" ht="17">
      <c r="A54" s="298">
        <v>52</v>
      </c>
      <c r="B54" s="298" t="str">
        <f>LEFT(F54,SEARCH(" ",F54)-1)</f>
        <v>June</v>
      </c>
      <c r="C54" s="298" t="s">
        <v>5245</v>
      </c>
      <c r="D54" s="299">
        <f t="shared" si="1"/>
        <v>3</v>
      </c>
      <c r="E54" s="299">
        <f t="shared" si="2"/>
        <v>0</v>
      </c>
      <c r="F54" s="131" t="s">
        <v>5401</v>
      </c>
      <c r="G54" t="s">
        <v>5399</v>
      </c>
      <c r="H54" s="125" t="s">
        <v>5400</v>
      </c>
    </row>
    <row r="55" spans="1:20" ht="17">
      <c r="A55" s="298">
        <v>53</v>
      </c>
      <c r="B55" s="299" t="str">
        <f>LEFT(F55,SEARCH(" ",F55)-1)</f>
        <v>Julian</v>
      </c>
      <c r="C55" s="299" t="s">
        <v>5240</v>
      </c>
      <c r="D55" s="299">
        <f t="shared" si="1"/>
        <v>5</v>
      </c>
      <c r="E55" s="299">
        <f t="shared" si="2"/>
        <v>0</v>
      </c>
      <c r="F55" s="131" t="s">
        <v>5402</v>
      </c>
      <c r="G55" t="s">
        <v>5403</v>
      </c>
      <c r="H55" t="s">
        <v>5404</v>
      </c>
      <c r="I55" t="s">
        <v>5405</v>
      </c>
      <c r="J55" t="s">
        <v>5406</v>
      </c>
    </row>
    <row r="56" spans="1:20" ht="17">
      <c r="A56" s="298">
        <v>54</v>
      </c>
      <c r="B56" s="299" t="str">
        <f>LEFT(F56,SEARCH(" ",F56)-1)</f>
        <v>Janet</v>
      </c>
      <c r="C56" s="299" t="s">
        <v>5242</v>
      </c>
      <c r="D56" s="299">
        <f t="shared" si="1"/>
        <v>6</v>
      </c>
      <c r="E56" s="299">
        <f t="shared" si="2"/>
        <v>0</v>
      </c>
      <c r="F56" s="131" t="s">
        <v>5407</v>
      </c>
      <c r="G56" t="s">
        <v>5408</v>
      </c>
      <c r="H56" t="s">
        <v>5409</v>
      </c>
      <c r="I56" t="s">
        <v>5410</v>
      </c>
      <c r="J56" t="s">
        <v>5411</v>
      </c>
      <c r="K56" t="s">
        <v>5412</v>
      </c>
    </row>
    <row r="57" spans="1:20" ht="17">
      <c r="A57" s="298">
        <v>55</v>
      </c>
      <c r="B57" s="299" t="str">
        <f>LEFT(F57,SEARCH(" ",F57)-1)</f>
        <v>Susannah</v>
      </c>
      <c r="C57" s="299" t="s">
        <v>5239</v>
      </c>
      <c r="D57" s="299">
        <f t="shared" si="1"/>
        <v>14</v>
      </c>
      <c r="E57" s="299">
        <f t="shared" si="2"/>
        <v>0</v>
      </c>
      <c r="F57" s="131" t="s">
        <v>5413</v>
      </c>
      <c r="G57" t="s">
        <v>5414</v>
      </c>
      <c r="H57" t="s">
        <v>5415</v>
      </c>
      <c r="I57" t="s">
        <v>5416</v>
      </c>
      <c r="J57" t="s">
        <v>5417</v>
      </c>
      <c r="K57" t="s">
        <v>5418</v>
      </c>
      <c r="L57" t="s">
        <v>5419</v>
      </c>
      <c r="M57" t="s">
        <v>5420</v>
      </c>
      <c r="N57" t="s">
        <v>5421</v>
      </c>
      <c r="O57" t="s">
        <v>5422</v>
      </c>
      <c r="P57" t="s">
        <v>5423</v>
      </c>
      <c r="Q57" t="s">
        <v>5424</v>
      </c>
      <c r="R57" t="s">
        <v>5425</v>
      </c>
      <c r="S57" t="s">
        <v>5426</v>
      </c>
    </row>
    <row r="58" spans="1:20" ht="17">
      <c r="A58" s="298">
        <v>56</v>
      </c>
      <c r="B58" s="299" t="str">
        <f>LEFT(F58,SEARCH(" ",F58)-1)</f>
        <v>Thomas</v>
      </c>
      <c r="C58" s="299" t="s">
        <v>5246</v>
      </c>
      <c r="D58" s="299">
        <f t="shared" si="1"/>
        <v>15</v>
      </c>
      <c r="E58" s="299">
        <f t="shared" si="2"/>
        <v>0</v>
      </c>
      <c r="F58" s="131" t="s">
        <v>5427</v>
      </c>
      <c r="G58" t="s">
        <v>5428</v>
      </c>
      <c r="H58" t="s">
        <v>5429</v>
      </c>
      <c r="I58" t="s">
        <v>5430</v>
      </c>
      <c r="J58" t="s">
        <v>5431</v>
      </c>
      <c r="K58" t="s">
        <v>5432</v>
      </c>
      <c r="L58" t="s">
        <v>5433</v>
      </c>
      <c r="M58" t="s">
        <v>5434</v>
      </c>
      <c r="N58" t="s">
        <v>5435</v>
      </c>
      <c r="O58" t="s">
        <v>5436</v>
      </c>
      <c r="P58" t="s">
        <v>5437</v>
      </c>
      <c r="Q58" t="s">
        <v>5438</v>
      </c>
      <c r="R58" t="s">
        <v>5439</v>
      </c>
      <c r="S58" t="s">
        <v>5440</v>
      </c>
      <c r="T58" t="s">
        <v>5441</v>
      </c>
    </row>
    <row r="59" spans="1:20" ht="17">
      <c r="A59" s="298">
        <v>57</v>
      </c>
      <c r="B59" s="299">
        <v>0</v>
      </c>
      <c r="C59" s="299">
        <v>0</v>
      </c>
      <c r="D59" s="299">
        <f t="shared" si="1"/>
        <v>1</v>
      </c>
      <c r="E59" s="299">
        <f t="shared" si="2"/>
        <v>0</v>
      </c>
      <c r="F59" s="131" t="s">
        <v>5226</v>
      </c>
    </row>
    <row r="60" spans="1:20" ht="17">
      <c r="A60" s="298">
        <v>58</v>
      </c>
      <c r="B60" s="299">
        <v>0</v>
      </c>
      <c r="C60" s="299">
        <v>0</v>
      </c>
      <c r="D60" s="299">
        <f t="shared" si="1"/>
        <v>1</v>
      </c>
      <c r="E60" s="299">
        <f t="shared" si="2"/>
        <v>0</v>
      </c>
      <c r="F60" s="131" t="s">
        <v>5226</v>
      </c>
    </row>
    <row r="61" spans="1:20" ht="17">
      <c r="A61" s="298">
        <v>59</v>
      </c>
      <c r="B61" s="299">
        <v>0</v>
      </c>
      <c r="C61" s="299">
        <v>0</v>
      </c>
      <c r="D61" s="299">
        <f t="shared" si="1"/>
        <v>1</v>
      </c>
      <c r="E61" s="299">
        <f t="shared" si="2"/>
        <v>0</v>
      </c>
      <c r="F61" s="131" t="s">
        <v>5226</v>
      </c>
    </row>
    <row r="62" spans="1:20" ht="17">
      <c r="A62" s="298">
        <v>60</v>
      </c>
      <c r="B62" s="299">
        <v>0</v>
      </c>
      <c r="C62" s="299">
        <v>0</v>
      </c>
      <c r="D62" s="299">
        <f t="shared" si="1"/>
        <v>1</v>
      </c>
      <c r="E62" s="299">
        <f t="shared" si="2"/>
        <v>0</v>
      </c>
      <c r="F62" s="131" t="s">
        <v>5226</v>
      </c>
    </row>
    <row r="63" spans="1:20" ht="17">
      <c r="A63" s="298">
        <v>61</v>
      </c>
      <c r="B63" s="299">
        <v>0</v>
      </c>
      <c r="C63" s="299">
        <v>0</v>
      </c>
      <c r="D63" s="299">
        <f t="shared" si="1"/>
        <v>1</v>
      </c>
      <c r="E63" s="299">
        <f t="shared" si="2"/>
        <v>0</v>
      </c>
      <c r="F63" s="131" t="s">
        <v>5226</v>
      </c>
    </row>
    <row r="64" spans="1:20" ht="17">
      <c r="A64" s="298">
        <v>62</v>
      </c>
      <c r="B64" s="299" t="str">
        <f>LEFT(F64,SEARCH(" ",F64)-1)</f>
        <v>Tess</v>
      </c>
      <c r="C64" s="299" t="s">
        <v>5245</v>
      </c>
      <c r="D64" s="299">
        <f t="shared" si="1"/>
        <v>3</v>
      </c>
      <c r="E64" s="299">
        <f t="shared" si="2"/>
        <v>0</v>
      </c>
      <c r="F64" s="131" t="s">
        <v>5442</v>
      </c>
      <c r="G64" t="s">
        <v>5443</v>
      </c>
      <c r="H64" t="s">
        <v>5444</v>
      </c>
    </row>
    <row r="65" spans="1:17" ht="17">
      <c r="A65" s="298">
        <v>63</v>
      </c>
      <c r="B65" s="299" t="str">
        <f>LEFT(F65,SEARCH(" ",F65)-1)</f>
        <v>Arthur</v>
      </c>
      <c r="C65" s="299" t="s">
        <v>2899</v>
      </c>
      <c r="D65" s="299">
        <f t="shared" si="1"/>
        <v>2</v>
      </c>
      <c r="E65" s="299">
        <f t="shared" si="2"/>
        <v>0</v>
      </c>
      <c r="F65" s="131" t="s">
        <v>5445</v>
      </c>
      <c r="G65" t="s">
        <v>5446</v>
      </c>
    </row>
    <row r="66" spans="1:17" ht="17">
      <c r="A66" s="298">
        <v>64</v>
      </c>
      <c r="B66" s="299">
        <v>0</v>
      </c>
      <c r="C66" s="299">
        <v>0</v>
      </c>
      <c r="D66" s="299">
        <f t="shared" si="1"/>
        <v>1</v>
      </c>
      <c r="E66" s="299">
        <f t="shared" si="2"/>
        <v>0</v>
      </c>
      <c r="F66" s="131" t="s">
        <v>5226</v>
      </c>
    </row>
    <row r="67" spans="1:17" ht="17">
      <c r="A67" s="298">
        <v>65</v>
      </c>
      <c r="B67" s="299" t="str">
        <f>LEFT(F67,SEARCH(" ",F67)-1)</f>
        <v>Vanessa</v>
      </c>
      <c r="C67" s="299" t="s">
        <v>2899</v>
      </c>
      <c r="D67" s="299">
        <f t="shared" si="1"/>
        <v>2</v>
      </c>
      <c r="E67" s="299">
        <f t="shared" si="2"/>
        <v>0</v>
      </c>
      <c r="F67" s="131" t="s">
        <v>5447</v>
      </c>
      <c r="G67" t="s">
        <v>5448</v>
      </c>
    </row>
    <row r="68" spans="1:17" ht="17">
      <c r="A68" s="298">
        <v>66</v>
      </c>
      <c r="B68" s="299" t="str">
        <f>LEFT(F68,SEARCH(" ",F68)-1)</f>
        <v>Caroline</v>
      </c>
      <c r="C68" s="299" t="s">
        <v>5247</v>
      </c>
      <c r="D68" s="299">
        <f t="shared" ref="D68:D131" si="3">36-COUNTIF(F68:AO68,"")</f>
        <v>7</v>
      </c>
      <c r="E68" s="299">
        <f t="shared" ref="E68:E131" si="4">C68-D68-IF(OR(F68="d.s.p.",F68="–"),-1,0)</f>
        <v>0</v>
      </c>
      <c r="F68" s="131" t="s">
        <v>5449</v>
      </c>
      <c r="G68" t="s">
        <v>5450</v>
      </c>
      <c r="H68" t="s">
        <v>5451</v>
      </c>
      <c r="I68" t="s">
        <v>5452</v>
      </c>
      <c r="J68" t="s">
        <v>5453</v>
      </c>
      <c r="K68" t="s">
        <v>5454</v>
      </c>
      <c r="L68" t="s">
        <v>5455</v>
      </c>
    </row>
    <row r="69" spans="1:17" ht="17">
      <c r="A69" s="298">
        <v>67</v>
      </c>
      <c r="B69" s="299">
        <v>0</v>
      </c>
      <c r="C69" s="299">
        <v>0</v>
      </c>
      <c r="D69" s="299">
        <f t="shared" si="3"/>
        <v>1</v>
      </c>
      <c r="E69" s="299">
        <f t="shared" si="4"/>
        <v>0</v>
      </c>
      <c r="F69" s="131" t="s">
        <v>5226</v>
      </c>
    </row>
    <row r="70" spans="1:17" ht="17">
      <c r="A70" s="298">
        <v>68</v>
      </c>
      <c r="B70" s="299" t="str">
        <f>LEFT(F70,SEARCH(" ",F70)-1)</f>
        <v>Rob</v>
      </c>
      <c r="C70" s="299" t="s">
        <v>5242</v>
      </c>
      <c r="D70" s="299">
        <f t="shared" si="3"/>
        <v>6</v>
      </c>
      <c r="E70" s="299">
        <f t="shared" si="4"/>
        <v>0</v>
      </c>
      <c r="F70" s="131" t="s">
        <v>5456</v>
      </c>
      <c r="G70" t="s">
        <v>5457</v>
      </c>
      <c r="H70" t="s">
        <v>5458</v>
      </c>
      <c r="I70" t="s">
        <v>5459</v>
      </c>
      <c r="J70" t="s">
        <v>5460</v>
      </c>
      <c r="K70" t="s">
        <v>5461</v>
      </c>
    </row>
    <row r="71" spans="1:17" ht="17">
      <c r="A71" s="298">
        <v>69</v>
      </c>
      <c r="B71" s="299">
        <v>0</v>
      </c>
      <c r="C71" s="299">
        <v>0</v>
      </c>
      <c r="D71" s="299">
        <f t="shared" si="3"/>
        <v>1</v>
      </c>
      <c r="E71" s="299">
        <f t="shared" si="4"/>
        <v>0</v>
      </c>
      <c r="F71" s="131" t="s">
        <v>5226</v>
      </c>
    </row>
    <row r="72" spans="1:17" ht="17">
      <c r="A72" s="298">
        <v>70</v>
      </c>
      <c r="B72" s="299" t="str">
        <f>LEFT(F72,SEARCH(" ",F72)-1)</f>
        <v>William</v>
      </c>
      <c r="C72" s="299" t="s">
        <v>5248</v>
      </c>
      <c r="D72" s="299">
        <f t="shared" si="3"/>
        <v>12</v>
      </c>
      <c r="E72" s="299">
        <f t="shared" si="4"/>
        <v>0</v>
      </c>
      <c r="F72" s="131" t="s">
        <v>5462</v>
      </c>
      <c r="G72" t="s">
        <v>5463</v>
      </c>
      <c r="H72" t="s">
        <v>5464</v>
      </c>
      <c r="I72" t="s">
        <v>5465</v>
      </c>
      <c r="J72" t="s">
        <v>5466</v>
      </c>
      <c r="K72" t="s">
        <v>5467</v>
      </c>
      <c r="L72" t="s">
        <v>5468</v>
      </c>
      <c r="M72" t="s">
        <v>5469</v>
      </c>
      <c r="N72" t="s">
        <v>5470</v>
      </c>
      <c r="O72" t="s">
        <v>5471</v>
      </c>
      <c r="P72" t="s">
        <v>5472</v>
      </c>
      <c r="Q72" t="s">
        <v>5473</v>
      </c>
    </row>
    <row r="73" spans="1:17" ht="17">
      <c r="A73" s="298">
        <v>71</v>
      </c>
      <c r="B73" s="299" t="str">
        <f>LEFT(F73,SEARCH(" ",F73)-1)</f>
        <v>Rona</v>
      </c>
      <c r="C73" s="299" t="s">
        <v>5245</v>
      </c>
      <c r="D73" s="299">
        <f t="shared" si="3"/>
        <v>3</v>
      </c>
      <c r="E73" s="299">
        <f t="shared" si="4"/>
        <v>0</v>
      </c>
      <c r="F73" s="131" t="s">
        <v>5474</v>
      </c>
      <c r="G73" t="s">
        <v>5475</v>
      </c>
      <c r="H73" t="s">
        <v>5476</v>
      </c>
    </row>
    <row r="74" spans="1:17" ht="17">
      <c r="A74" s="298">
        <v>72</v>
      </c>
      <c r="B74" s="299" t="str">
        <f>LEFT(F74,SEARCH(" ",F74)-1)</f>
        <v>Alexandra</v>
      </c>
      <c r="C74" s="299" t="s">
        <v>5237</v>
      </c>
      <c r="D74" s="299">
        <f t="shared" si="3"/>
        <v>8</v>
      </c>
      <c r="E74" s="299">
        <f t="shared" si="4"/>
        <v>0</v>
      </c>
      <c r="F74" s="131" t="s">
        <v>5477</v>
      </c>
      <c r="G74" t="s">
        <v>5478</v>
      </c>
      <c r="H74" t="s">
        <v>5479</v>
      </c>
      <c r="I74" t="s">
        <v>5480</v>
      </c>
      <c r="J74" t="s">
        <v>5481</v>
      </c>
      <c r="K74" t="s">
        <v>5482</v>
      </c>
      <c r="L74" t="s">
        <v>5483</v>
      </c>
      <c r="M74" t="s">
        <v>5484</v>
      </c>
    </row>
    <row r="75" spans="1:17" ht="17">
      <c r="A75" s="298">
        <v>73</v>
      </c>
      <c r="B75" s="299">
        <v>0</v>
      </c>
      <c r="C75" s="299">
        <v>0</v>
      </c>
      <c r="D75" s="299">
        <f t="shared" si="3"/>
        <v>1</v>
      </c>
      <c r="E75" s="299">
        <f t="shared" si="4"/>
        <v>0</v>
      </c>
      <c r="F75" s="131" t="s">
        <v>5226</v>
      </c>
    </row>
    <row r="76" spans="1:17" ht="17">
      <c r="A76" s="298">
        <v>74</v>
      </c>
      <c r="B76" s="299">
        <v>0</v>
      </c>
      <c r="C76" s="299">
        <v>0</v>
      </c>
      <c r="D76" s="299">
        <f t="shared" si="3"/>
        <v>1</v>
      </c>
      <c r="E76" s="299">
        <f t="shared" si="4"/>
        <v>0</v>
      </c>
      <c r="F76" s="131" t="s">
        <v>5226</v>
      </c>
    </row>
    <row r="77" spans="1:17" ht="17">
      <c r="A77" s="298">
        <v>75</v>
      </c>
      <c r="B77" s="299">
        <v>0</v>
      </c>
      <c r="C77" s="299">
        <v>0</v>
      </c>
      <c r="D77" s="299">
        <f t="shared" si="3"/>
        <v>1</v>
      </c>
      <c r="E77" s="299">
        <f t="shared" si="4"/>
        <v>0</v>
      </c>
      <c r="F77" s="131" t="s">
        <v>5226</v>
      </c>
    </row>
    <row r="78" spans="1:17" ht="17">
      <c r="A78" s="298">
        <v>76</v>
      </c>
      <c r="B78" s="299" t="str">
        <f>LEFT(F78,SEARCH(" ",F78)-1)</f>
        <v>Lorraine</v>
      </c>
      <c r="C78" s="299" t="s">
        <v>5240</v>
      </c>
      <c r="D78" s="299">
        <f t="shared" si="3"/>
        <v>5</v>
      </c>
      <c r="E78" s="299">
        <f t="shared" si="4"/>
        <v>0</v>
      </c>
      <c r="F78" s="131" t="s">
        <v>5485</v>
      </c>
      <c r="G78" t="s">
        <v>5486</v>
      </c>
      <c r="H78" t="s">
        <v>5487</v>
      </c>
      <c r="I78" t="s">
        <v>5488</v>
      </c>
      <c r="J78" t="s">
        <v>5489</v>
      </c>
    </row>
    <row r="79" spans="1:17" ht="17">
      <c r="A79" s="298">
        <v>77</v>
      </c>
      <c r="B79" s="299" t="str">
        <f>LEFT(F79,SEARCH(" ",F79)-1)</f>
        <v>Martin</v>
      </c>
      <c r="C79" s="299" t="s">
        <v>5249</v>
      </c>
      <c r="D79" s="299">
        <f t="shared" si="3"/>
        <v>9</v>
      </c>
      <c r="E79" s="299">
        <f t="shared" si="4"/>
        <v>0</v>
      </c>
      <c r="F79" s="131" t="s">
        <v>5490</v>
      </c>
      <c r="G79" t="s">
        <v>5491</v>
      </c>
      <c r="H79" t="s">
        <v>5492</v>
      </c>
      <c r="I79" t="s">
        <v>5493</v>
      </c>
      <c r="J79" t="s">
        <v>5494</v>
      </c>
      <c r="K79" t="s">
        <v>5495</v>
      </c>
      <c r="L79" t="s">
        <v>5496</v>
      </c>
      <c r="M79" t="s">
        <v>5497</v>
      </c>
      <c r="N79" t="s">
        <v>5498</v>
      </c>
    </row>
    <row r="80" spans="1:17" ht="17">
      <c r="A80" s="298">
        <v>78</v>
      </c>
      <c r="B80" s="299" t="str">
        <f>LEFT(F80,SEARCH(" ",F80)-1)</f>
        <v>Anthony</v>
      </c>
      <c r="C80" s="299" t="s">
        <v>5237</v>
      </c>
      <c r="D80" s="299">
        <f t="shared" si="3"/>
        <v>8</v>
      </c>
      <c r="E80" s="299">
        <f t="shared" si="4"/>
        <v>0</v>
      </c>
      <c r="F80" s="131" t="s">
        <v>5499</v>
      </c>
      <c r="G80" t="s">
        <v>5500</v>
      </c>
      <c r="H80" t="s">
        <v>5501</v>
      </c>
      <c r="I80" t="s">
        <v>5502</v>
      </c>
      <c r="J80" t="s">
        <v>5503</v>
      </c>
      <c r="K80" t="s">
        <v>5504</v>
      </c>
      <c r="L80" t="s">
        <v>5505</v>
      </c>
      <c r="M80" t="s">
        <v>5506</v>
      </c>
    </row>
    <row r="81" spans="1:18" ht="17">
      <c r="A81" s="298">
        <v>79</v>
      </c>
      <c r="B81" s="299">
        <v>0</v>
      </c>
      <c r="C81" s="299">
        <v>0</v>
      </c>
      <c r="D81" s="299">
        <f t="shared" si="3"/>
        <v>1</v>
      </c>
      <c r="E81" s="299">
        <f t="shared" si="4"/>
        <v>0</v>
      </c>
      <c r="F81" s="131" t="s">
        <v>5226</v>
      </c>
    </row>
    <row r="82" spans="1:18" ht="17">
      <c r="A82" s="298">
        <v>80</v>
      </c>
      <c r="B82" s="299" t="str">
        <f>LEFT(F82,SEARCH(" ",F82)-1)</f>
        <v>William</v>
      </c>
      <c r="C82" s="299" t="s">
        <v>5241</v>
      </c>
      <c r="D82" s="299">
        <f t="shared" si="3"/>
        <v>13</v>
      </c>
      <c r="E82" s="299">
        <f t="shared" si="4"/>
        <v>0</v>
      </c>
      <c r="F82" s="131" t="s">
        <v>5507</v>
      </c>
      <c r="G82" t="s">
        <v>5508</v>
      </c>
      <c r="H82" t="s">
        <v>5509</v>
      </c>
      <c r="I82" t="s">
        <v>5510</v>
      </c>
      <c r="J82" t="s">
        <v>5511</v>
      </c>
      <c r="K82" t="s">
        <v>5512</v>
      </c>
      <c r="L82" t="s">
        <v>5513</v>
      </c>
      <c r="M82" t="s">
        <v>5514</v>
      </c>
      <c r="N82" t="s">
        <v>5515</v>
      </c>
      <c r="O82" t="s">
        <v>5516</v>
      </c>
      <c r="P82" t="s">
        <v>5517</v>
      </c>
      <c r="Q82" t="s">
        <v>5518</v>
      </c>
      <c r="R82" t="s">
        <v>5519</v>
      </c>
    </row>
    <row r="83" spans="1:18" ht="17">
      <c r="A83" s="298">
        <v>81</v>
      </c>
      <c r="B83" s="299">
        <v>0</v>
      </c>
      <c r="C83" s="299">
        <v>0</v>
      </c>
      <c r="D83" s="299">
        <f t="shared" si="3"/>
        <v>1</v>
      </c>
      <c r="E83" s="299">
        <f t="shared" si="4"/>
        <v>0</v>
      </c>
      <c r="F83" s="131" t="s">
        <v>5226</v>
      </c>
    </row>
    <row r="84" spans="1:18" ht="17">
      <c r="A84" s="298">
        <v>82</v>
      </c>
      <c r="B84" s="299">
        <v>0</v>
      </c>
      <c r="C84" s="299">
        <v>0</v>
      </c>
      <c r="D84" s="299">
        <f t="shared" si="3"/>
        <v>1</v>
      </c>
      <c r="E84" s="299">
        <f t="shared" si="4"/>
        <v>0</v>
      </c>
      <c r="F84" s="131" t="s">
        <v>5226</v>
      </c>
    </row>
    <row r="85" spans="1:18" ht="17">
      <c r="A85" s="298">
        <v>83</v>
      </c>
      <c r="B85" s="299">
        <v>0</v>
      </c>
      <c r="C85" s="299">
        <v>0</v>
      </c>
      <c r="D85" s="299">
        <f t="shared" si="3"/>
        <v>1</v>
      </c>
      <c r="E85" s="299">
        <f t="shared" si="4"/>
        <v>0</v>
      </c>
      <c r="F85" s="131" t="s">
        <v>5226</v>
      </c>
    </row>
    <row r="86" spans="1:18" ht="17">
      <c r="A86" s="298">
        <v>84</v>
      </c>
      <c r="B86" s="299">
        <v>0</v>
      </c>
      <c r="C86" s="299">
        <v>0</v>
      </c>
      <c r="D86" s="299">
        <f t="shared" si="3"/>
        <v>1</v>
      </c>
      <c r="E86" s="299">
        <f t="shared" si="4"/>
        <v>0</v>
      </c>
      <c r="F86" s="131" t="s">
        <v>5226</v>
      </c>
    </row>
    <row r="87" spans="1:18" ht="17">
      <c r="A87" s="298">
        <v>85</v>
      </c>
      <c r="B87" s="299" t="str">
        <f>LEFT(F87,SEARCH(" ",F87)-1)</f>
        <v>Charlotte</v>
      </c>
      <c r="C87" s="299" t="s">
        <v>2885</v>
      </c>
      <c r="D87" s="299">
        <f t="shared" si="3"/>
        <v>11</v>
      </c>
      <c r="E87" s="299">
        <f t="shared" si="4"/>
        <v>0</v>
      </c>
      <c r="F87" s="131" t="s">
        <v>5520</v>
      </c>
      <c r="G87" t="s">
        <v>5521</v>
      </c>
      <c r="H87" t="s">
        <v>5522</v>
      </c>
      <c r="I87" t="s">
        <v>5523</v>
      </c>
      <c r="J87" t="s">
        <v>5524</v>
      </c>
      <c r="K87" t="s">
        <v>5525</v>
      </c>
      <c r="L87" t="s">
        <v>5526</v>
      </c>
      <c r="M87" t="s">
        <v>5527</v>
      </c>
      <c r="N87" t="s">
        <v>5528</v>
      </c>
      <c r="O87" t="s">
        <v>5529</v>
      </c>
      <c r="P87" t="s">
        <v>5530</v>
      </c>
    </row>
    <row r="88" spans="1:18" ht="17">
      <c r="A88" s="298">
        <v>86</v>
      </c>
      <c r="B88" s="299" t="str">
        <f>LEFT(F88,SEARCH(" ",F88)-1)</f>
        <v>Gareth</v>
      </c>
      <c r="C88" s="299" t="s">
        <v>5240</v>
      </c>
      <c r="D88" s="299">
        <f t="shared" si="3"/>
        <v>5</v>
      </c>
      <c r="E88" s="299">
        <f t="shared" si="4"/>
        <v>0</v>
      </c>
      <c r="F88" s="131" t="s">
        <v>5531</v>
      </c>
      <c r="G88" t="s">
        <v>5532</v>
      </c>
      <c r="H88" t="s">
        <v>5533</v>
      </c>
      <c r="I88" t="s">
        <v>5534</v>
      </c>
      <c r="J88" t="s">
        <v>5535</v>
      </c>
    </row>
    <row r="89" spans="1:18" ht="17">
      <c r="A89" s="298">
        <v>87</v>
      </c>
      <c r="B89" s="299">
        <v>0</v>
      </c>
      <c r="C89" s="299">
        <v>0</v>
      </c>
      <c r="D89" s="299">
        <f t="shared" si="3"/>
        <v>1</v>
      </c>
      <c r="E89" s="299">
        <f t="shared" si="4"/>
        <v>0</v>
      </c>
      <c r="F89" s="131" t="s">
        <v>5226</v>
      </c>
    </row>
    <row r="90" spans="1:18" ht="17">
      <c r="A90" s="298">
        <v>88</v>
      </c>
      <c r="B90" s="299" t="str">
        <f>LEFT(F90,SEARCH(" ",F90)-1)</f>
        <v>Richard</v>
      </c>
      <c r="C90" s="299" t="s">
        <v>5242</v>
      </c>
      <c r="D90" s="299">
        <f t="shared" si="3"/>
        <v>6</v>
      </c>
      <c r="E90" s="299">
        <f t="shared" si="4"/>
        <v>0</v>
      </c>
      <c r="F90" s="131" t="s">
        <v>5536</v>
      </c>
      <c r="G90" t="s">
        <v>5537</v>
      </c>
      <c r="H90" t="s">
        <v>5538</v>
      </c>
      <c r="I90" t="s">
        <v>5539</v>
      </c>
      <c r="J90" t="s">
        <v>5540</v>
      </c>
      <c r="K90" t="s">
        <v>5541</v>
      </c>
    </row>
    <row r="91" spans="1:18" ht="17">
      <c r="A91" s="298">
        <v>89</v>
      </c>
      <c r="B91" s="299" t="str">
        <f>LEFT(F91,SEARCH(" ",F91)-1)</f>
        <v>Katharine</v>
      </c>
      <c r="C91" s="299" t="s">
        <v>2899</v>
      </c>
      <c r="D91" s="299">
        <f t="shared" si="3"/>
        <v>2</v>
      </c>
      <c r="E91" s="299">
        <f t="shared" si="4"/>
        <v>0</v>
      </c>
      <c r="F91" s="131" t="s">
        <v>5542</v>
      </c>
      <c r="G91" t="s">
        <v>5543</v>
      </c>
    </row>
    <row r="92" spans="1:18" ht="17">
      <c r="A92" s="298">
        <v>90</v>
      </c>
      <c r="B92" s="299" t="str">
        <f>LEFT(F92,SEARCH(" ",F92)-1)</f>
        <v>Emily</v>
      </c>
      <c r="C92" s="299" t="s">
        <v>5247</v>
      </c>
      <c r="D92" s="299">
        <f t="shared" si="3"/>
        <v>7</v>
      </c>
      <c r="E92" s="299">
        <f t="shared" si="4"/>
        <v>0</v>
      </c>
      <c r="F92" s="131" t="s">
        <v>5544</v>
      </c>
      <c r="G92" t="s">
        <v>5545</v>
      </c>
      <c r="H92" t="s">
        <v>5546</v>
      </c>
      <c r="I92" t="s">
        <v>5547</v>
      </c>
      <c r="J92" t="s">
        <v>5548</v>
      </c>
      <c r="K92" t="s">
        <v>5549</v>
      </c>
      <c r="L92" t="s">
        <v>5550</v>
      </c>
    </row>
    <row r="93" spans="1:18" ht="17">
      <c r="A93" s="298">
        <v>91</v>
      </c>
      <c r="B93" s="299">
        <v>0</v>
      </c>
      <c r="C93" s="299">
        <v>0</v>
      </c>
      <c r="D93" s="299">
        <f t="shared" si="3"/>
        <v>1</v>
      </c>
      <c r="E93" s="299">
        <f t="shared" si="4"/>
        <v>0</v>
      </c>
      <c r="F93" s="131" t="s">
        <v>5226</v>
      </c>
    </row>
    <row r="94" spans="1:18" ht="17">
      <c r="A94" s="298">
        <v>92</v>
      </c>
      <c r="B94" s="299" t="str">
        <f>LEFT(F94,SEARCH(" ",F94)-1)</f>
        <v>Hugh</v>
      </c>
      <c r="C94" s="299" t="s">
        <v>5244</v>
      </c>
      <c r="D94" s="299">
        <f t="shared" si="3"/>
        <v>10</v>
      </c>
      <c r="E94" s="299">
        <f t="shared" si="4"/>
        <v>0</v>
      </c>
      <c r="F94" s="131" t="s">
        <v>5551</v>
      </c>
      <c r="G94" t="s">
        <v>5552</v>
      </c>
      <c r="H94" t="s">
        <v>5553</v>
      </c>
      <c r="I94" t="s">
        <v>5554</v>
      </c>
      <c r="J94" t="s">
        <v>5555</v>
      </c>
      <c r="K94" t="s">
        <v>5556</v>
      </c>
      <c r="L94" t="s">
        <v>5557</v>
      </c>
      <c r="M94" t="s">
        <v>5558</v>
      </c>
      <c r="N94" t="s">
        <v>5559</v>
      </c>
      <c r="O94" t="s">
        <v>5560</v>
      </c>
    </row>
    <row r="95" spans="1:18" ht="17">
      <c r="A95" s="298">
        <v>93</v>
      </c>
      <c r="B95" s="299">
        <v>0</v>
      </c>
      <c r="C95" s="299">
        <v>0</v>
      </c>
      <c r="D95" s="299">
        <f t="shared" si="3"/>
        <v>1</v>
      </c>
      <c r="E95" s="299">
        <f t="shared" si="4"/>
        <v>0</v>
      </c>
      <c r="F95" s="131" t="s">
        <v>5226</v>
      </c>
    </row>
    <row r="96" spans="1:18" ht="17">
      <c r="A96" s="298">
        <v>94</v>
      </c>
      <c r="B96" s="299" t="str">
        <f t="shared" ref="B96:B106" si="5">LEFT(F96,SEARCH(" ",F96)-1)</f>
        <v>John</v>
      </c>
      <c r="C96" s="299" t="s">
        <v>5237</v>
      </c>
      <c r="D96" s="299">
        <f t="shared" si="3"/>
        <v>8</v>
      </c>
      <c r="E96" s="299">
        <f t="shared" si="4"/>
        <v>0</v>
      </c>
      <c r="F96" s="131" t="s">
        <v>5561</v>
      </c>
      <c r="G96" t="s">
        <v>5562</v>
      </c>
      <c r="H96" t="s">
        <v>5563</v>
      </c>
      <c r="I96" t="s">
        <v>5564</v>
      </c>
      <c r="J96" t="s">
        <v>5565</v>
      </c>
      <c r="K96" t="s">
        <v>5566</v>
      </c>
      <c r="L96" t="s">
        <v>5567</v>
      </c>
      <c r="M96" t="s">
        <v>5568</v>
      </c>
    </row>
    <row r="97" spans="1:21" ht="17">
      <c r="A97" s="298">
        <v>95</v>
      </c>
      <c r="B97" s="299" t="str">
        <f t="shared" si="5"/>
        <v>THE</v>
      </c>
      <c r="C97" s="299" t="s">
        <v>5245</v>
      </c>
      <c r="D97" s="299">
        <f t="shared" si="3"/>
        <v>3</v>
      </c>
      <c r="E97" s="299">
        <f t="shared" si="4"/>
        <v>0</v>
      </c>
      <c r="F97" s="131" t="s">
        <v>5569</v>
      </c>
      <c r="G97" t="s">
        <v>5570</v>
      </c>
      <c r="H97" t="s">
        <v>5571</v>
      </c>
    </row>
    <row r="98" spans="1:21" ht="17">
      <c r="A98" s="298">
        <v>96</v>
      </c>
      <c r="B98" s="299" t="str">
        <f t="shared" si="5"/>
        <v>James</v>
      </c>
      <c r="C98" s="299" t="s">
        <v>5245</v>
      </c>
      <c r="D98" s="299">
        <f t="shared" si="3"/>
        <v>3</v>
      </c>
      <c r="E98" s="299">
        <f t="shared" si="4"/>
        <v>0</v>
      </c>
      <c r="F98" s="131" t="s">
        <v>5572</v>
      </c>
      <c r="G98" t="s">
        <v>5573</v>
      </c>
      <c r="H98" t="s">
        <v>5574</v>
      </c>
    </row>
    <row r="99" spans="1:21" ht="17">
      <c r="A99" s="298">
        <v>97</v>
      </c>
      <c r="B99" s="299" t="str">
        <f t="shared" si="5"/>
        <v>Alexander</v>
      </c>
      <c r="C99" s="299" t="s">
        <v>5240</v>
      </c>
      <c r="D99" s="299">
        <f t="shared" si="3"/>
        <v>5</v>
      </c>
      <c r="E99" s="299">
        <f t="shared" si="4"/>
        <v>0</v>
      </c>
      <c r="F99" s="131" t="s">
        <v>5575</v>
      </c>
      <c r="G99" t="s">
        <v>5576</v>
      </c>
      <c r="H99" t="s">
        <v>5577</v>
      </c>
      <c r="I99" t="s">
        <v>5578</v>
      </c>
      <c r="J99" t="s">
        <v>5579</v>
      </c>
    </row>
    <row r="100" spans="1:21" ht="17">
      <c r="A100" s="298">
        <v>98</v>
      </c>
      <c r="B100" s="299" t="str">
        <f t="shared" si="5"/>
        <v>Chloe</v>
      </c>
      <c r="C100" s="299" t="s">
        <v>5240</v>
      </c>
      <c r="D100" s="299">
        <f t="shared" si="3"/>
        <v>5</v>
      </c>
      <c r="E100" s="299">
        <f t="shared" si="4"/>
        <v>0</v>
      </c>
      <c r="F100" s="131" t="s">
        <v>5580</v>
      </c>
      <c r="G100" t="s">
        <v>5581</v>
      </c>
      <c r="H100" t="s">
        <v>5582</v>
      </c>
      <c r="I100" t="s">
        <v>5583</v>
      </c>
      <c r="J100" t="s">
        <v>5584</v>
      </c>
    </row>
    <row r="101" spans="1:21" ht="17">
      <c r="A101" s="298">
        <v>99</v>
      </c>
      <c r="B101" s="299" t="str">
        <f t="shared" si="5"/>
        <v>Honor</v>
      </c>
      <c r="C101" s="299" t="s">
        <v>5250</v>
      </c>
      <c r="D101" s="299">
        <f t="shared" si="3"/>
        <v>1</v>
      </c>
      <c r="E101" s="299">
        <f t="shared" si="4"/>
        <v>0</v>
      </c>
      <c r="F101" s="131" t="s">
        <v>5585</v>
      </c>
    </row>
    <row r="102" spans="1:21" ht="17">
      <c r="A102" s="298">
        <v>100</v>
      </c>
      <c r="B102" s="299" t="str">
        <f t="shared" si="5"/>
        <v>Camilla</v>
      </c>
      <c r="C102" s="299" t="s">
        <v>5247</v>
      </c>
      <c r="D102" s="299">
        <f t="shared" si="3"/>
        <v>7</v>
      </c>
      <c r="E102" s="299">
        <f t="shared" si="4"/>
        <v>0</v>
      </c>
      <c r="F102" s="131" t="s">
        <v>5586</v>
      </c>
      <c r="G102" t="s">
        <v>5587</v>
      </c>
      <c r="H102" t="s">
        <v>5588</v>
      </c>
      <c r="I102" t="s">
        <v>5589</v>
      </c>
      <c r="J102" t="s">
        <v>5590</v>
      </c>
      <c r="K102" t="s">
        <v>5591</v>
      </c>
      <c r="L102" t="s">
        <v>5592</v>
      </c>
    </row>
    <row r="103" spans="1:21" ht="17">
      <c r="A103" s="298">
        <v>101</v>
      </c>
      <c r="B103" s="299" t="str">
        <f t="shared" si="5"/>
        <v>Lawrence</v>
      </c>
      <c r="C103" s="299" t="s">
        <v>5251</v>
      </c>
      <c r="D103" s="299">
        <f t="shared" si="3"/>
        <v>16</v>
      </c>
      <c r="E103" s="299">
        <f t="shared" si="4"/>
        <v>0</v>
      </c>
      <c r="F103" s="131" t="s">
        <v>5593</v>
      </c>
      <c r="G103" t="s">
        <v>5594</v>
      </c>
      <c r="H103" t="s">
        <v>5595</v>
      </c>
      <c r="I103" t="s">
        <v>5596</v>
      </c>
      <c r="J103" t="s">
        <v>5597</v>
      </c>
      <c r="K103" t="s">
        <v>5598</v>
      </c>
      <c r="L103" t="s">
        <v>5599</v>
      </c>
      <c r="M103" t="s">
        <v>5600</v>
      </c>
      <c r="N103" t="s">
        <v>5601</v>
      </c>
      <c r="O103" t="s">
        <v>5602</v>
      </c>
      <c r="P103" t="s">
        <v>5603</v>
      </c>
      <c r="Q103" t="s">
        <v>5604</v>
      </c>
      <c r="R103" t="s">
        <v>5605</v>
      </c>
      <c r="S103" t="s">
        <v>5606</v>
      </c>
      <c r="T103" t="s">
        <v>5607</v>
      </c>
      <c r="U103" t="s">
        <v>5608</v>
      </c>
    </row>
    <row r="104" spans="1:21" ht="17">
      <c r="A104" s="298">
        <v>102</v>
      </c>
      <c r="B104" s="299" t="str">
        <f t="shared" si="5"/>
        <v>Ella</v>
      </c>
      <c r="C104" s="299" t="s">
        <v>2899</v>
      </c>
      <c r="D104" s="299">
        <f t="shared" si="3"/>
        <v>2</v>
      </c>
      <c r="E104" s="299">
        <f t="shared" si="4"/>
        <v>0</v>
      </c>
      <c r="F104" s="131" t="s">
        <v>5609</v>
      </c>
      <c r="G104" t="s">
        <v>5610</v>
      </c>
    </row>
    <row r="105" spans="1:21" ht="17">
      <c r="A105" s="298">
        <v>103</v>
      </c>
      <c r="B105" s="299" t="str">
        <f t="shared" si="5"/>
        <v>Marina</v>
      </c>
      <c r="C105" s="299" t="s">
        <v>5241</v>
      </c>
      <c r="D105" s="299">
        <f t="shared" si="3"/>
        <v>13</v>
      </c>
      <c r="E105" s="299">
        <f t="shared" si="4"/>
        <v>0</v>
      </c>
      <c r="F105" s="131" t="s">
        <v>5611</v>
      </c>
      <c r="G105" t="s">
        <v>5612</v>
      </c>
      <c r="H105" t="s">
        <v>5613</v>
      </c>
      <c r="I105" t="s">
        <v>5614</v>
      </c>
      <c r="J105" t="s">
        <v>5615</v>
      </c>
      <c r="K105" t="s">
        <v>5616</v>
      </c>
      <c r="L105" t="s">
        <v>5617</v>
      </c>
      <c r="M105" t="s">
        <v>5618</v>
      </c>
      <c r="N105" t="s">
        <v>5619</v>
      </c>
      <c r="O105" t="s">
        <v>5620</v>
      </c>
      <c r="P105" t="s">
        <v>5621</v>
      </c>
      <c r="Q105" t="s">
        <v>5622</v>
      </c>
      <c r="R105" t="s">
        <v>5623</v>
      </c>
    </row>
    <row r="106" spans="1:21" ht="17">
      <c r="A106" s="298">
        <v>104</v>
      </c>
      <c r="B106" s="299" t="str">
        <f t="shared" si="5"/>
        <v>George</v>
      </c>
      <c r="C106" s="299" t="s">
        <v>5242</v>
      </c>
      <c r="D106" s="299">
        <f t="shared" si="3"/>
        <v>6</v>
      </c>
      <c r="E106" s="299">
        <f t="shared" si="4"/>
        <v>0</v>
      </c>
      <c r="F106" s="131" t="s">
        <v>5697</v>
      </c>
      <c r="G106" t="s">
        <v>5698</v>
      </c>
      <c r="H106" t="s">
        <v>5699</v>
      </c>
      <c r="I106" t="s">
        <v>5700</v>
      </c>
      <c r="J106" t="s">
        <v>5701</v>
      </c>
      <c r="K106" t="s">
        <v>5702</v>
      </c>
    </row>
    <row r="107" spans="1:21" ht="17">
      <c r="A107" s="298">
        <v>105</v>
      </c>
      <c r="B107" s="299">
        <v>0</v>
      </c>
      <c r="C107" s="299">
        <v>0</v>
      </c>
      <c r="D107" s="299">
        <f t="shared" si="3"/>
        <v>1</v>
      </c>
      <c r="E107" s="299">
        <f t="shared" si="4"/>
        <v>0</v>
      </c>
      <c r="F107" s="131" t="s">
        <v>5270</v>
      </c>
    </row>
    <row r="108" spans="1:21" ht="17">
      <c r="A108" s="298">
        <v>106</v>
      </c>
      <c r="B108" s="299" t="str">
        <f>LEFT(F108,SEARCH(" ",F108)-1)</f>
        <v>Charlotte</v>
      </c>
      <c r="C108" s="299" t="s">
        <v>5242</v>
      </c>
      <c r="D108" s="299">
        <f t="shared" si="3"/>
        <v>6</v>
      </c>
      <c r="E108" s="299">
        <f t="shared" si="4"/>
        <v>0</v>
      </c>
      <c r="F108" s="131" t="s">
        <v>5624</v>
      </c>
      <c r="G108" t="s">
        <v>5625</v>
      </c>
      <c r="H108" t="s">
        <v>5626</v>
      </c>
      <c r="I108" t="s">
        <v>5627</v>
      </c>
      <c r="J108" t="s">
        <v>5628</v>
      </c>
      <c r="K108" t="s">
        <v>5629</v>
      </c>
    </row>
    <row r="109" spans="1:21" ht="17">
      <c r="A109" s="298">
        <v>107</v>
      </c>
      <c r="B109" s="299" t="str">
        <f>LEFT(F109,SEARCH(" ",F109)-1)</f>
        <v>Edward</v>
      </c>
      <c r="C109" s="299" t="s">
        <v>5241</v>
      </c>
      <c r="D109" s="299">
        <f t="shared" si="3"/>
        <v>13</v>
      </c>
      <c r="E109" s="299">
        <f t="shared" si="4"/>
        <v>0</v>
      </c>
      <c r="F109" s="131" t="s">
        <v>5630</v>
      </c>
      <c r="G109" t="s">
        <v>5631</v>
      </c>
      <c r="H109" t="s">
        <v>5632</v>
      </c>
      <c r="I109" t="s">
        <v>5633</v>
      </c>
      <c r="J109" t="s">
        <v>5634</v>
      </c>
      <c r="K109" t="s">
        <v>5635</v>
      </c>
      <c r="L109" t="s">
        <v>5636</v>
      </c>
      <c r="M109" t="s">
        <v>5637</v>
      </c>
      <c r="N109" t="s">
        <v>5638</v>
      </c>
      <c r="O109" t="s">
        <v>5639</v>
      </c>
      <c r="P109" t="s">
        <v>5640</v>
      </c>
      <c r="Q109" t="s">
        <v>5641</v>
      </c>
      <c r="R109" t="s">
        <v>5642</v>
      </c>
    </row>
    <row r="110" spans="1:21" ht="17">
      <c r="A110" s="298">
        <v>108</v>
      </c>
      <c r="B110" s="299" t="str">
        <f>LEFT(F110,SEARCH(" ",F110)-1)</f>
        <v>Daniel</v>
      </c>
      <c r="C110" s="299" t="s">
        <v>5240</v>
      </c>
      <c r="D110" s="299">
        <f t="shared" si="3"/>
        <v>5</v>
      </c>
      <c r="E110" s="299">
        <f t="shared" si="4"/>
        <v>0</v>
      </c>
      <c r="F110" s="131" t="s">
        <v>5692</v>
      </c>
      <c r="G110" t="s">
        <v>5693</v>
      </c>
      <c r="H110" t="s">
        <v>5694</v>
      </c>
      <c r="I110" t="s">
        <v>5695</v>
      </c>
      <c r="J110" t="s">
        <v>5696</v>
      </c>
    </row>
    <row r="111" spans="1:21" ht="17">
      <c r="A111" s="298">
        <v>109</v>
      </c>
      <c r="B111" s="299" t="str">
        <f>LEFT(F111,SEARCH(" ",F111)-1)</f>
        <v>Toby</v>
      </c>
      <c r="C111" s="299" t="s">
        <v>5243</v>
      </c>
      <c r="D111" s="299">
        <f t="shared" si="3"/>
        <v>4</v>
      </c>
      <c r="E111" s="299">
        <f t="shared" si="4"/>
        <v>0</v>
      </c>
      <c r="F111" s="131" t="s">
        <v>5691</v>
      </c>
      <c r="G111" t="s">
        <v>5643</v>
      </c>
      <c r="H111" t="s">
        <v>5644</v>
      </c>
      <c r="I111" t="s">
        <v>5645</v>
      </c>
    </row>
    <row r="112" spans="1:21" ht="17">
      <c r="A112" s="298">
        <v>110</v>
      </c>
      <c r="B112" s="299" t="str">
        <f>LEFT(F112,SEARCH(" ",F112)-1)</f>
        <v>Christopher</v>
      </c>
      <c r="C112" s="299" t="s">
        <v>5242</v>
      </c>
      <c r="D112" s="299">
        <f t="shared" si="3"/>
        <v>6</v>
      </c>
      <c r="E112" s="299">
        <f t="shared" si="4"/>
        <v>0</v>
      </c>
      <c r="F112" s="131" t="s">
        <v>5646</v>
      </c>
      <c r="G112" t="s">
        <v>5647</v>
      </c>
      <c r="H112" t="s">
        <v>5648</v>
      </c>
      <c r="I112" t="s">
        <v>5649</v>
      </c>
      <c r="J112" t="s">
        <v>5650</v>
      </c>
      <c r="K112" t="s">
        <v>5651</v>
      </c>
    </row>
    <row r="113" spans="1:15" ht="17">
      <c r="A113" s="298">
        <v>111</v>
      </c>
      <c r="B113" s="299">
        <v>0</v>
      </c>
      <c r="C113" s="299">
        <v>0</v>
      </c>
      <c r="D113" s="299">
        <f t="shared" si="3"/>
        <v>1</v>
      </c>
      <c r="E113" s="299">
        <f t="shared" si="4"/>
        <v>0</v>
      </c>
      <c r="F113" s="131" t="s">
        <v>5226</v>
      </c>
    </row>
    <row r="114" spans="1:15" ht="17">
      <c r="A114" s="298">
        <v>112</v>
      </c>
      <c r="B114" s="299">
        <v>0</v>
      </c>
      <c r="C114" s="299">
        <v>0</v>
      </c>
      <c r="D114" s="299">
        <f t="shared" si="3"/>
        <v>1</v>
      </c>
      <c r="E114" s="299">
        <f t="shared" si="4"/>
        <v>0</v>
      </c>
      <c r="F114" s="131" t="s">
        <v>5270</v>
      </c>
    </row>
    <row r="115" spans="1:15" ht="17">
      <c r="A115" s="298">
        <v>113</v>
      </c>
      <c r="B115" s="299" t="str">
        <f>LEFT(F115,SEARCH(" ",F115)-1)</f>
        <v>Delilah</v>
      </c>
      <c r="C115" s="299" t="s">
        <v>5250</v>
      </c>
      <c r="D115" s="299">
        <f t="shared" si="3"/>
        <v>1</v>
      </c>
      <c r="E115" s="299">
        <f t="shared" si="4"/>
        <v>0</v>
      </c>
      <c r="F115" s="131" t="s">
        <v>5652</v>
      </c>
    </row>
    <row r="116" spans="1:15" ht="17">
      <c r="A116" s="298">
        <v>114</v>
      </c>
      <c r="B116" s="299" t="str">
        <f>LEFT(F116,SEARCH(" ",F116)-1)</f>
        <v>Henry</v>
      </c>
      <c r="C116" s="299" t="s">
        <v>5240</v>
      </c>
      <c r="D116" s="299">
        <f t="shared" si="3"/>
        <v>5</v>
      </c>
      <c r="E116" s="299">
        <f t="shared" si="4"/>
        <v>0</v>
      </c>
      <c r="F116" s="131" t="s">
        <v>5653</v>
      </c>
      <c r="G116" t="s">
        <v>5654</v>
      </c>
      <c r="H116" t="s">
        <v>5655</v>
      </c>
      <c r="I116" t="s">
        <v>5656</v>
      </c>
      <c r="J116" t="s">
        <v>5657</v>
      </c>
    </row>
    <row r="117" spans="1:15" ht="17">
      <c r="A117" s="298">
        <v>115</v>
      </c>
      <c r="B117" s="299" t="str">
        <f>LEFT(F117,SEARCH(" ",F117)-1)</f>
        <v>Benjamin</v>
      </c>
      <c r="C117" s="299" t="s">
        <v>5242</v>
      </c>
      <c r="D117" s="299">
        <f t="shared" si="3"/>
        <v>6</v>
      </c>
      <c r="E117" s="299">
        <f t="shared" si="4"/>
        <v>0</v>
      </c>
      <c r="F117" s="131" t="s">
        <v>5658</v>
      </c>
      <c r="G117" t="s">
        <v>5659</v>
      </c>
      <c r="H117" t="s">
        <v>5660</v>
      </c>
      <c r="I117" t="s">
        <v>5661</v>
      </c>
      <c r="J117" t="s">
        <v>5662</v>
      </c>
      <c r="K117" t="s">
        <v>5663</v>
      </c>
    </row>
    <row r="118" spans="1:15" ht="17">
      <c r="A118" s="298">
        <v>116</v>
      </c>
      <c r="B118" s="299">
        <v>0</v>
      </c>
      <c r="C118" s="299">
        <v>0</v>
      </c>
      <c r="D118" s="299">
        <f t="shared" si="3"/>
        <v>1</v>
      </c>
      <c r="E118" s="299">
        <f t="shared" si="4"/>
        <v>0</v>
      </c>
      <c r="F118" s="131" t="s">
        <v>5270</v>
      </c>
    </row>
    <row r="119" spans="1:15" ht="17">
      <c r="A119" s="298">
        <v>117</v>
      </c>
      <c r="B119" s="299">
        <v>0</v>
      </c>
      <c r="C119" s="299">
        <v>0</v>
      </c>
      <c r="D119" s="299">
        <f t="shared" si="3"/>
        <v>1</v>
      </c>
      <c r="E119" s="299">
        <f t="shared" si="4"/>
        <v>0</v>
      </c>
      <c r="F119" s="131" t="s">
        <v>5270</v>
      </c>
    </row>
    <row r="120" spans="1:15" ht="17">
      <c r="A120" s="298">
        <v>118</v>
      </c>
      <c r="B120" s="299">
        <v>0</v>
      </c>
      <c r="C120" s="299">
        <v>0</v>
      </c>
      <c r="D120" s="299">
        <f t="shared" si="3"/>
        <v>1</v>
      </c>
      <c r="E120" s="299">
        <f t="shared" si="4"/>
        <v>0</v>
      </c>
      <c r="F120" s="131" t="s">
        <v>5226</v>
      </c>
    </row>
    <row r="121" spans="1:15" ht="17">
      <c r="A121" s="298">
        <v>119</v>
      </c>
      <c r="B121" s="299" t="str">
        <f>LEFT(F121,SEARCH(" ",F121)-1)</f>
        <v>Matilda</v>
      </c>
      <c r="C121" s="299" t="s">
        <v>5249</v>
      </c>
      <c r="D121" s="299">
        <f t="shared" si="3"/>
        <v>9</v>
      </c>
      <c r="E121" s="299">
        <f t="shared" si="4"/>
        <v>0</v>
      </c>
      <c r="F121" s="131" t="s">
        <v>5664</v>
      </c>
      <c r="G121" t="s">
        <v>5665</v>
      </c>
      <c r="H121" t="s">
        <v>5666</v>
      </c>
      <c r="I121" t="s">
        <v>5667</v>
      </c>
      <c r="J121" t="s">
        <v>5668</v>
      </c>
      <c r="K121" t="s">
        <v>5669</v>
      </c>
      <c r="L121" t="s">
        <v>5670</v>
      </c>
      <c r="M121" t="s">
        <v>5671</v>
      </c>
      <c r="N121" t="s">
        <v>5672</v>
      </c>
      <c r="O121" s="198"/>
    </row>
    <row r="122" spans="1:15" ht="17">
      <c r="A122" s="298">
        <v>120</v>
      </c>
      <c r="B122" s="299">
        <v>0</v>
      </c>
      <c r="C122" s="299">
        <v>0</v>
      </c>
      <c r="D122" s="299">
        <f t="shared" si="3"/>
        <v>1</v>
      </c>
      <c r="E122" s="299">
        <f t="shared" si="4"/>
        <v>0</v>
      </c>
      <c r="F122" s="131" t="s">
        <v>5226</v>
      </c>
    </row>
    <row r="123" spans="1:15" ht="17">
      <c r="A123" s="298">
        <v>121</v>
      </c>
      <c r="B123" s="299">
        <v>0</v>
      </c>
      <c r="C123" s="299">
        <v>0</v>
      </c>
      <c r="D123" s="299">
        <f t="shared" si="3"/>
        <v>1</v>
      </c>
      <c r="E123" s="299">
        <f t="shared" si="4"/>
        <v>0</v>
      </c>
      <c r="F123" s="131" t="s">
        <v>5270</v>
      </c>
    </row>
    <row r="124" spans="1:15" ht="17">
      <c r="A124" s="298">
        <v>122</v>
      </c>
      <c r="B124" s="299">
        <v>0</v>
      </c>
      <c r="C124" s="299">
        <v>0</v>
      </c>
      <c r="D124" s="299">
        <f t="shared" si="3"/>
        <v>1</v>
      </c>
      <c r="E124" s="299">
        <f t="shared" si="4"/>
        <v>0</v>
      </c>
      <c r="F124" s="131" t="s">
        <v>5270</v>
      </c>
    </row>
    <row r="125" spans="1:15" ht="17">
      <c r="A125" s="298">
        <v>123</v>
      </c>
      <c r="B125" s="299" t="str">
        <f>LEFT(F125,SEARCH(" ",F125)-1)</f>
        <v>Evie</v>
      </c>
      <c r="C125" s="299" t="s">
        <v>5240</v>
      </c>
      <c r="D125" s="299">
        <f t="shared" si="3"/>
        <v>5</v>
      </c>
      <c r="E125" s="299">
        <f t="shared" si="4"/>
        <v>0</v>
      </c>
      <c r="F125" s="131" t="s">
        <v>5673</v>
      </c>
      <c r="G125" t="s">
        <v>5674</v>
      </c>
      <c r="H125" t="s">
        <v>5675</v>
      </c>
      <c r="I125" t="s">
        <v>5676</v>
      </c>
      <c r="J125" t="s">
        <v>5677</v>
      </c>
    </row>
    <row r="126" spans="1:15" ht="17">
      <c r="A126" s="298">
        <v>124</v>
      </c>
      <c r="B126" s="299">
        <v>0</v>
      </c>
      <c r="C126" s="299">
        <v>0</v>
      </c>
      <c r="D126" s="299">
        <f t="shared" si="3"/>
        <v>1</v>
      </c>
      <c r="E126" s="299">
        <f t="shared" si="4"/>
        <v>0</v>
      </c>
      <c r="F126" s="131" t="s">
        <v>5270</v>
      </c>
    </row>
    <row r="127" spans="1:15" ht="17">
      <c r="A127" s="298">
        <v>125</v>
      </c>
      <c r="B127" s="299">
        <v>0</v>
      </c>
      <c r="C127" s="299">
        <v>0</v>
      </c>
      <c r="D127" s="299">
        <f t="shared" si="3"/>
        <v>1</v>
      </c>
      <c r="E127" s="299">
        <f t="shared" si="4"/>
        <v>0</v>
      </c>
      <c r="F127" s="131" t="s">
        <v>5270</v>
      </c>
    </row>
    <row r="128" spans="1:15" ht="17">
      <c r="A128" s="298">
        <v>126</v>
      </c>
      <c r="B128" s="299">
        <v>0</v>
      </c>
      <c r="C128" s="299">
        <v>0</v>
      </c>
      <c r="D128" s="299">
        <f t="shared" si="3"/>
        <v>1</v>
      </c>
      <c r="E128" s="299">
        <f t="shared" si="4"/>
        <v>0</v>
      </c>
      <c r="F128" s="131" t="s">
        <v>5270</v>
      </c>
    </row>
    <row r="129" spans="1:10" ht="17">
      <c r="A129" s="298">
        <v>127</v>
      </c>
      <c r="B129" s="299">
        <v>0</v>
      </c>
      <c r="C129" s="299">
        <v>0</v>
      </c>
      <c r="D129" s="299">
        <f t="shared" si="3"/>
        <v>1</v>
      </c>
      <c r="E129" s="299">
        <f t="shared" si="4"/>
        <v>0</v>
      </c>
      <c r="F129" s="131" t="s">
        <v>5270</v>
      </c>
    </row>
    <row r="130" spans="1:10" ht="17">
      <c r="A130" s="298">
        <v>128</v>
      </c>
      <c r="B130" s="299">
        <v>0</v>
      </c>
      <c r="C130" s="299">
        <v>0</v>
      </c>
      <c r="D130" s="299">
        <f t="shared" si="3"/>
        <v>1</v>
      </c>
      <c r="E130" s="299">
        <f t="shared" si="4"/>
        <v>0</v>
      </c>
      <c r="F130" s="131" t="s">
        <v>5270</v>
      </c>
    </row>
    <row r="131" spans="1:10" ht="17">
      <c r="A131" s="298">
        <v>129</v>
      </c>
      <c r="B131" s="299">
        <v>0</v>
      </c>
      <c r="C131" s="299">
        <v>0</v>
      </c>
      <c r="D131" s="299">
        <f t="shared" si="3"/>
        <v>1</v>
      </c>
      <c r="E131" s="299">
        <f t="shared" si="4"/>
        <v>0</v>
      </c>
      <c r="F131" s="131" t="s">
        <v>5270</v>
      </c>
    </row>
    <row r="132" spans="1:10" ht="17">
      <c r="A132" s="298">
        <v>130</v>
      </c>
      <c r="B132" s="299">
        <v>0</v>
      </c>
      <c r="C132" s="299">
        <v>0</v>
      </c>
      <c r="D132" s="299">
        <f t="shared" ref="D132:D192" si="6">36-COUNTIF(F132:AO132,"")</f>
        <v>1</v>
      </c>
      <c r="E132" s="299">
        <f t="shared" ref="E132:E192" si="7">C132-D132-IF(OR(F132="d.s.p.",F132="–"),-1,0)</f>
        <v>0</v>
      </c>
      <c r="F132" s="131" t="s">
        <v>5270</v>
      </c>
    </row>
    <row r="133" spans="1:10" ht="17">
      <c r="A133" s="298">
        <v>131</v>
      </c>
      <c r="B133" s="299" t="str">
        <f>LEFT(F133,SEARCH(" ",F133)-1)</f>
        <v>Olivia</v>
      </c>
      <c r="C133" s="299" t="s">
        <v>5243</v>
      </c>
      <c r="D133" s="299">
        <f t="shared" si="6"/>
        <v>4</v>
      </c>
      <c r="E133" s="299">
        <f t="shared" si="7"/>
        <v>0</v>
      </c>
      <c r="F133" s="131" t="s">
        <v>5678</v>
      </c>
      <c r="G133" t="s">
        <v>5679</v>
      </c>
      <c r="H133" t="s">
        <v>5680</v>
      </c>
      <c r="I133" t="s">
        <v>5681</v>
      </c>
    </row>
    <row r="134" spans="1:10" ht="17">
      <c r="A134" s="298">
        <v>132</v>
      </c>
      <c r="B134" s="299">
        <v>0</v>
      </c>
      <c r="C134" s="299">
        <v>0</v>
      </c>
      <c r="D134" s="299">
        <f t="shared" si="6"/>
        <v>1</v>
      </c>
      <c r="E134" s="299">
        <f t="shared" si="7"/>
        <v>0</v>
      </c>
      <c r="F134" s="131" t="s">
        <v>5226</v>
      </c>
    </row>
    <row r="135" spans="1:10" ht="17">
      <c r="A135" s="298">
        <v>133</v>
      </c>
      <c r="B135" s="299">
        <v>0</v>
      </c>
      <c r="C135" s="299">
        <v>0</v>
      </c>
      <c r="D135" s="299">
        <f t="shared" si="6"/>
        <v>1</v>
      </c>
      <c r="E135" s="299">
        <f t="shared" si="7"/>
        <v>0</v>
      </c>
      <c r="F135" s="131" t="s">
        <v>5270</v>
      </c>
    </row>
    <row r="136" spans="1:10" ht="17">
      <c r="A136" s="298">
        <v>134</v>
      </c>
      <c r="B136" s="299">
        <v>0</v>
      </c>
      <c r="C136" s="299">
        <v>0</v>
      </c>
      <c r="D136" s="299">
        <f t="shared" si="6"/>
        <v>1</v>
      </c>
      <c r="E136" s="299">
        <f t="shared" si="7"/>
        <v>0</v>
      </c>
      <c r="F136" s="131" t="s">
        <v>5270</v>
      </c>
    </row>
    <row r="137" spans="1:10" ht="17">
      <c r="A137" s="298">
        <v>135</v>
      </c>
      <c r="B137" s="299">
        <v>0</v>
      </c>
      <c r="C137" s="299">
        <v>0</v>
      </c>
      <c r="D137" s="299">
        <f t="shared" si="6"/>
        <v>1</v>
      </c>
      <c r="E137" s="299">
        <f t="shared" si="7"/>
        <v>0</v>
      </c>
      <c r="F137" s="131" t="s">
        <v>5270</v>
      </c>
    </row>
    <row r="138" spans="1:10" ht="17">
      <c r="A138" s="298">
        <v>136</v>
      </c>
      <c r="B138" s="299" t="str">
        <f>LEFT(F138,SEARCH(" ",F138)-1)</f>
        <v>Freddie</v>
      </c>
      <c r="C138" s="299" t="s">
        <v>5240</v>
      </c>
      <c r="D138" s="299">
        <f t="shared" si="6"/>
        <v>5</v>
      </c>
      <c r="E138" s="299">
        <f t="shared" si="7"/>
        <v>0</v>
      </c>
      <c r="F138" s="131" t="s">
        <v>5682</v>
      </c>
      <c r="G138" t="s">
        <v>5683</v>
      </c>
      <c r="H138" t="s">
        <v>5684</v>
      </c>
      <c r="I138" t="s">
        <v>5685</v>
      </c>
      <c r="J138" t="s">
        <v>5686</v>
      </c>
    </row>
    <row r="139" spans="1:10" ht="17">
      <c r="A139" s="298">
        <v>137</v>
      </c>
      <c r="B139" s="299">
        <v>0</v>
      </c>
      <c r="C139" s="299">
        <v>0</v>
      </c>
      <c r="D139" s="299">
        <f t="shared" si="6"/>
        <v>1</v>
      </c>
      <c r="E139" s="299">
        <f t="shared" si="7"/>
        <v>0</v>
      </c>
      <c r="F139" s="131" t="s">
        <v>5270</v>
      </c>
    </row>
    <row r="140" spans="1:10" ht="17">
      <c r="A140" s="298">
        <v>138</v>
      </c>
      <c r="B140" s="299" t="str">
        <f>LEFT(F140,SEARCH(" ",F140)-1)</f>
        <v>Nicholas</v>
      </c>
      <c r="C140" s="299" t="s">
        <v>5245</v>
      </c>
      <c r="D140" s="299">
        <f t="shared" si="6"/>
        <v>3</v>
      </c>
      <c r="E140" s="299">
        <f t="shared" si="7"/>
        <v>0</v>
      </c>
      <c r="F140" s="131" t="s">
        <v>5687</v>
      </c>
      <c r="G140" t="s">
        <v>5688</v>
      </c>
      <c r="H140" t="s">
        <v>5689</v>
      </c>
    </row>
    <row r="141" spans="1:10" ht="17">
      <c r="A141" s="298">
        <v>139</v>
      </c>
      <c r="B141" s="299">
        <v>0</v>
      </c>
      <c r="C141" s="299">
        <v>0</v>
      </c>
      <c r="D141" s="299">
        <f t="shared" si="6"/>
        <v>1</v>
      </c>
      <c r="E141" s="299">
        <f t="shared" si="7"/>
        <v>0</v>
      </c>
      <c r="F141" s="131" t="s">
        <v>5270</v>
      </c>
    </row>
    <row r="142" spans="1:10" ht="17">
      <c r="A142" s="298">
        <v>140</v>
      </c>
      <c r="B142" s="299">
        <v>0</v>
      </c>
      <c r="C142" s="299">
        <v>0</v>
      </c>
      <c r="D142" s="299">
        <f t="shared" si="6"/>
        <v>1</v>
      </c>
      <c r="E142" s="299">
        <f t="shared" si="7"/>
        <v>0</v>
      </c>
      <c r="F142" s="131" t="s">
        <v>5270</v>
      </c>
    </row>
    <row r="143" spans="1:10" ht="17">
      <c r="A143" s="298">
        <v>141</v>
      </c>
      <c r="B143" s="299">
        <v>0</v>
      </c>
      <c r="C143" s="299">
        <v>0</v>
      </c>
      <c r="D143" s="299">
        <f t="shared" si="6"/>
        <v>1</v>
      </c>
      <c r="E143" s="299">
        <f t="shared" si="7"/>
        <v>0</v>
      </c>
      <c r="F143" s="131" t="s">
        <v>5270</v>
      </c>
    </row>
    <row r="144" spans="1:10" ht="17">
      <c r="A144" s="298">
        <v>142</v>
      </c>
      <c r="B144" s="299">
        <v>0</v>
      </c>
      <c r="C144" s="299">
        <v>0</v>
      </c>
      <c r="D144" s="299">
        <f t="shared" si="6"/>
        <v>1</v>
      </c>
      <c r="E144" s="299">
        <f t="shared" si="7"/>
        <v>0</v>
      </c>
      <c r="F144" s="131" t="s">
        <v>5270</v>
      </c>
    </row>
    <row r="145" spans="1:6" ht="17">
      <c r="A145" s="298">
        <v>143</v>
      </c>
      <c r="B145" s="299" t="str">
        <f>LEFT(F145,SEARCH(" ",F145)-1)</f>
        <v>Alice</v>
      </c>
      <c r="C145" s="298" t="s">
        <v>5250</v>
      </c>
      <c r="D145" s="299">
        <f t="shared" si="6"/>
        <v>1</v>
      </c>
      <c r="E145" s="299">
        <f t="shared" si="7"/>
        <v>0</v>
      </c>
      <c r="F145" s="301" t="s">
        <v>5690</v>
      </c>
    </row>
    <row r="146" spans="1:6" ht="17">
      <c r="A146" s="298">
        <v>144</v>
      </c>
      <c r="B146" s="299">
        <v>0</v>
      </c>
      <c r="C146" s="299">
        <v>0</v>
      </c>
      <c r="D146" s="299">
        <f t="shared" si="6"/>
        <v>1</v>
      </c>
      <c r="E146" s="299">
        <f t="shared" si="7"/>
        <v>0</v>
      </c>
      <c r="F146" s="131" t="s">
        <v>5270</v>
      </c>
    </row>
    <row r="147" spans="1:6" ht="17">
      <c r="A147" s="298">
        <v>145</v>
      </c>
      <c r="B147" s="299">
        <v>0</v>
      </c>
      <c r="C147" s="299">
        <v>0</v>
      </c>
      <c r="D147" s="299">
        <f t="shared" si="6"/>
        <v>1</v>
      </c>
      <c r="E147" s="299">
        <f t="shared" si="7"/>
        <v>0</v>
      </c>
      <c r="F147" s="131" t="s">
        <v>5270</v>
      </c>
    </row>
    <row r="148" spans="1:6" ht="17">
      <c r="A148" s="298">
        <v>146</v>
      </c>
      <c r="B148" s="299">
        <v>0</v>
      </c>
      <c r="C148" s="299">
        <v>0</v>
      </c>
      <c r="D148" s="299">
        <f t="shared" si="6"/>
        <v>1</v>
      </c>
      <c r="E148" s="299">
        <f t="shared" si="7"/>
        <v>0</v>
      </c>
      <c r="F148" s="131" t="s">
        <v>5270</v>
      </c>
    </row>
    <row r="149" spans="1:6" ht="17">
      <c r="A149" s="298">
        <v>147</v>
      </c>
      <c r="B149" s="299">
        <v>0</v>
      </c>
      <c r="C149" s="299">
        <v>0</v>
      </c>
      <c r="D149" s="299">
        <f t="shared" si="6"/>
        <v>1</v>
      </c>
      <c r="E149" s="299">
        <f t="shared" si="7"/>
        <v>0</v>
      </c>
      <c r="F149" s="131" t="s">
        <v>5270</v>
      </c>
    </row>
    <row r="150" spans="1:6" ht="17">
      <c r="A150" s="298">
        <v>148</v>
      </c>
      <c r="B150" s="299">
        <v>0</v>
      </c>
      <c r="C150" s="299">
        <v>0</v>
      </c>
      <c r="D150" s="299">
        <f t="shared" si="6"/>
        <v>1</v>
      </c>
      <c r="E150" s="299">
        <f t="shared" si="7"/>
        <v>0</v>
      </c>
      <c r="F150" s="131" t="s">
        <v>5226</v>
      </c>
    </row>
    <row r="151" spans="1:6" ht="17">
      <c r="A151" s="298">
        <v>149</v>
      </c>
      <c r="B151" s="299">
        <v>0</v>
      </c>
      <c r="C151" s="299">
        <v>0</v>
      </c>
      <c r="D151" s="299">
        <f t="shared" si="6"/>
        <v>1</v>
      </c>
      <c r="E151" s="299">
        <f t="shared" si="7"/>
        <v>0</v>
      </c>
      <c r="F151" s="131" t="s">
        <v>5270</v>
      </c>
    </row>
    <row r="152" spans="1:6" ht="17">
      <c r="A152" s="298">
        <v>150</v>
      </c>
      <c r="B152" s="299">
        <v>0</v>
      </c>
      <c r="C152" s="299">
        <v>0</v>
      </c>
      <c r="D152" s="299">
        <f t="shared" si="6"/>
        <v>1</v>
      </c>
      <c r="E152" s="299">
        <f t="shared" si="7"/>
        <v>0</v>
      </c>
      <c r="F152" s="131" t="s">
        <v>5270</v>
      </c>
    </row>
    <row r="153" spans="1:6" ht="17">
      <c r="A153" s="298">
        <v>151</v>
      </c>
      <c r="B153" s="299">
        <v>0</v>
      </c>
      <c r="C153" s="299">
        <v>0</v>
      </c>
      <c r="D153" s="299">
        <f t="shared" si="6"/>
        <v>1</v>
      </c>
      <c r="E153" s="299">
        <f t="shared" si="7"/>
        <v>0</v>
      </c>
      <c r="F153" s="131" t="s">
        <v>5270</v>
      </c>
    </row>
    <row r="154" spans="1:6" ht="17">
      <c r="A154" s="298">
        <v>152</v>
      </c>
      <c r="B154" s="299">
        <v>0</v>
      </c>
      <c r="C154" s="299">
        <v>0</v>
      </c>
      <c r="D154" s="299">
        <f t="shared" si="6"/>
        <v>1</v>
      </c>
      <c r="E154" s="299">
        <f t="shared" si="7"/>
        <v>0</v>
      </c>
      <c r="F154" s="131" t="s">
        <v>5270</v>
      </c>
    </row>
    <row r="155" spans="1:6" ht="17">
      <c r="A155" s="298">
        <v>153</v>
      </c>
      <c r="B155" s="299">
        <v>0</v>
      </c>
      <c r="C155" s="299">
        <v>0</v>
      </c>
      <c r="D155" s="299">
        <f t="shared" si="6"/>
        <v>1</v>
      </c>
      <c r="E155" s="299">
        <f t="shared" si="7"/>
        <v>0</v>
      </c>
      <c r="F155" s="131" t="s">
        <v>5270</v>
      </c>
    </row>
    <row r="156" spans="1:6" ht="17">
      <c r="A156" s="298">
        <v>154</v>
      </c>
      <c r="B156" s="299">
        <v>0</v>
      </c>
      <c r="C156" s="299">
        <v>0</v>
      </c>
      <c r="D156" s="299">
        <f t="shared" si="6"/>
        <v>1</v>
      </c>
      <c r="E156" s="299">
        <f t="shared" si="7"/>
        <v>0</v>
      </c>
      <c r="F156" s="131" t="s">
        <v>5270</v>
      </c>
    </row>
    <row r="157" spans="1:6" ht="17">
      <c r="A157" s="298">
        <v>155</v>
      </c>
      <c r="B157" s="299">
        <v>0</v>
      </c>
      <c r="C157" s="299">
        <v>0</v>
      </c>
      <c r="D157" s="299">
        <f t="shared" si="6"/>
        <v>1</v>
      </c>
      <c r="E157" s="299">
        <f t="shared" si="7"/>
        <v>0</v>
      </c>
      <c r="F157" s="131" t="s">
        <v>5270</v>
      </c>
    </row>
    <row r="158" spans="1:6" ht="17">
      <c r="A158" s="298">
        <v>156</v>
      </c>
      <c r="B158" s="299">
        <v>0</v>
      </c>
      <c r="C158" s="299">
        <v>0</v>
      </c>
      <c r="D158" s="299">
        <f t="shared" si="6"/>
        <v>1</v>
      </c>
      <c r="E158" s="299">
        <f t="shared" si="7"/>
        <v>0</v>
      </c>
      <c r="F158" s="131" t="s">
        <v>5270</v>
      </c>
    </row>
    <row r="159" spans="1:6" ht="17">
      <c r="A159" s="298">
        <v>157</v>
      </c>
      <c r="B159" s="299">
        <v>0</v>
      </c>
      <c r="C159" s="299">
        <v>0</v>
      </c>
      <c r="D159" s="299">
        <f t="shared" si="6"/>
        <v>1</v>
      </c>
      <c r="E159" s="299">
        <f t="shared" si="7"/>
        <v>0</v>
      </c>
      <c r="F159" s="131" t="s">
        <v>5270</v>
      </c>
    </row>
    <row r="160" spans="1:6" ht="17">
      <c r="A160" s="298">
        <v>158</v>
      </c>
      <c r="B160" s="299">
        <v>0</v>
      </c>
      <c r="C160" s="299">
        <v>0</v>
      </c>
      <c r="D160" s="299">
        <f t="shared" si="6"/>
        <v>1</v>
      </c>
      <c r="E160" s="299">
        <f t="shared" si="7"/>
        <v>0</v>
      </c>
      <c r="F160" s="131" t="s">
        <v>5270</v>
      </c>
    </row>
    <row r="161" spans="1:6" ht="17">
      <c r="A161" s="298">
        <v>159</v>
      </c>
      <c r="B161" s="299">
        <v>0</v>
      </c>
      <c r="C161" s="299">
        <v>0</v>
      </c>
      <c r="D161" s="299">
        <f t="shared" si="6"/>
        <v>1</v>
      </c>
      <c r="E161" s="299">
        <f t="shared" si="7"/>
        <v>0</v>
      </c>
      <c r="F161" s="131" t="s">
        <v>5270</v>
      </c>
    </row>
    <row r="162" spans="1:6" ht="17">
      <c r="A162" s="298">
        <v>160</v>
      </c>
      <c r="B162" s="299">
        <v>0</v>
      </c>
      <c r="C162" s="299">
        <v>0</v>
      </c>
      <c r="D162" s="299">
        <f t="shared" si="6"/>
        <v>1</v>
      </c>
      <c r="E162" s="299">
        <f t="shared" si="7"/>
        <v>0</v>
      </c>
      <c r="F162" s="131" t="s">
        <v>5270</v>
      </c>
    </row>
    <row r="163" spans="1:6" ht="17">
      <c r="A163" s="298">
        <v>161</v>
      </c>
      <c r="B163" s="299">
        <v>0</v>
      </c>
      <c r="C163" s="299">
        <v>0</v>
      </c>
      <c r="D163" s="299">
        <f t="shared" si="6"/>
        <v>1</v>
      </c>
      <c r="E163" s="299">
        <f t="shared" si="7"/>
        <v>0</v>
      </c>
      <c r="F163" s="131" t="s">
        <v>5270</v>
      </c>
    </row>
    <row r="164" spans="1:6" ht="17">
      <c r="A164" s="298">
        <v>162</v>
      </c>
      <c r="B164" s="299">
        <v>0</v>
      </c>
      <c r="C164" s="299">
        <v>0</v>
      </c>
      <c r="D164" s="299">
        <f t="shared" si="6"/>
        <v>1</v>
      </c>
      <c r="E164" s="299">
        <f t="shared" si="7"/>
        <v>0</v>
      </c>
      <c r="F164" s="131" t="s">
        <v>5270</v>
      </c>
    </row>
    <row r="165" spans="1:6" ht="17">
      <c r="A165" s="298">
        <v>163</v>
      </c>
      <c r="B165" s="299">
        <v>0</v>
      </c>
      <c r="C165" s="299">
        <v>0</v>
      </c>
      <c r="D165" s="299">
        <f t="shared" si="6"/>
        <v>1</v>
      </c>
      <c r="E165" s="299">
        <f t="shared" si="7"/>
        <v>0</v>
      </c>
      <c r="F165" s="131" t="s">
        <v>5270</v>
      </c>
    </row>
    <row r="166" spans="1:6" ht="17">
      <c r="A166" s="298">
        <v>164</v>
      </c>
      <c r="B166" s="299">
        <v>0</v>
      </c>
      <c r="C166" s="299">
        <v>0</v>
      </c>
      <c r="D166" s="299">
        <f t="shared" si="6"/>
        <v>1</v>
      </c>
      <c r="E166" s="299">
        <f t="shared" si="7"/>
        <v>0</v>
      </c>
      <c r="F166" s="131" t="s">
        <v>5270</v>
      </c>
    </row>
    <row r="167" spans="1:6" ht="17">
      <c r="A167" s="298">
        <v>165</v>
      </c>
      <c r="B167" s="299">
        <v>0</v>
      </c>
      <c r="C167" s="299">
        <v>0</v>
      </c>
      <c r="D167" s="299">
        <f t="shared" si="6"/>
        <v>1</v>
      </c>
      <c r="E167" s="299">
        <f t="shared" si="7"/>
        <v>0</v>
      </c>
      <c r="F167" s="131" t="s">
        <v>5270</v>
      </c>
    </row>
    <row r="168" spans="1:6" ht="17">
      <c r="A168" s="298">
        <v>166</v>
      </c>
      <c r="B168" s="299">
        <v>0</v>
      </c>
      <c r="C168" s="299">
        <v>0</v>
      </c>
      <c r="D168" s="299">
        <f t="shared" si="6"/>
        <v>1</v>
      </c>
      <c r="E168" s="299">
        <f t="shared" si="7"/>
        <v>0</v>
      </c>
      <c r="F168" s="131" t="s">
        <v>5270</v>
      </c>
    </row>
    <row r="169" spans="1:6" ht="17">
      <c r="A169" s="298">
        <v>167</v>
      </c>
      <c r="B169" s="299">
        <v>0</v>
      </c>
      <c r="C169" s="299">
        <v>0</v>
      </c>
      <c r="D169" s="299">
        <f t="shared" si="6"/>
        <v>1</v>
      </c>
      <c r="E169" s="299">
        <f t="shared" si="7"/>
        <v>0</v>
      </c>
      <c r="F169" s="131" t="s">
        <v>5270</v>
      </c>
    </row>
    <row r="170" spans="1:6" ht="17">
      <c r="A170" s="298">
        <v>168</v>
      </c>
      <c r="B170" s="299">
        <v>0</v>
      </c>
      <c r="C170" s="299">
        <v>0</v>
      </c>
      <c r="D170" s="299">
        <f t="shared" si="6"/>
        <v>1</v>
      </c>
      <c r="E170" s="299">
        <f t="shared" si="7"/>
        <v>0</v>
      </c>
      <c r="F170" s="131" t="s">
        <v>5270</v>
      </c>
    </row>
    <row r="171" spans="1:6" ht="17">
      <c r="A171" s="298">
        <v>169</v>
      </c>
      <c r="B171" s="299">
        <v>0</v>
      </c>
      <c r="C171" s="299">
        <v>0</v>
      </c>
      <c r="D171" s="299">
        <f t="shared" si="6"/>
        <v>1</v>
      </c>
      <c r="E171" s="299">
        <f t="shared" si="7"/>
        <v>0</v>
      </c>
      <c r="F171" s="131" t="s">
        <v>5270</v>
      </c>
    </row>
    <row r="172" spans="1:6" ht="17">
      <c r="A172" s="298">
        <v>170</v>
      </c>
      <c r="B172" s="299">
        <v>0</v>
      </c>
      <c r="C172" s="299">
        <v>0</v>
      </c>
      <c r="D172" s="299">
        <f t="shared" si="6"/>
        <v>1</v>
      </c>
      <c r="E172" s="299">
        <f t="shared" si="7"/>
        <v>0</v>
      </c>
      <c r="F172" s="131" t="s">
        <v>5270</v>
      </c>
    </row>
    <row r="173" spans="1:6" ht="17">
      <c r="A173" s="298">
        <v>171</v>
      </c>
      <c r="B173" s="299">
        <v>0</v>
      </c>
      <c r="C173" s="299">
        <v>0</v>
      </c>
      <c r="D173" s="299">
        <f t="shared" si="6"/>
        <v>1</v>
      </c>
      <c r="E173" s="299">
        <f t="shared" si="7"/>
        <v>0</v>
      </c>
      <c r="F173" s="131" t="s">
        <v>5270</v>
      </c>
    </row>
    <row r="174" spans="1:6" ht="17">
      <c r="A174" s="298">
        <v>172</v>
      </c>
      <c r="B174" s="299">
        <v>0</v>
      </c>
      <c r="C174" s="299">
        <v>0</v>
      </c>
      <c r="D174" s="299">
        <f t="shared" si="6"/>
        <v>1</v>
      </c>
      <c r="E174" s="299">
        <f t="shared" si="7"/>
        <v>0</v>
      </c>
      <c r="F174" s="131" t="s">
        <v>5270</v>
      </c>
    </row>
    <row r="175" spans="1:6" ht="17">
      <c r="A175" s="298">
        <v>173</v>
      </c>
      <c r="B175" s="299">
        <v>0</v>
      </c>
      <c r="C175" s="299">
        <v>0</v>
      </c>
      <c r="D175" s="299">
        <f t="shared" si="6"/>
        <v>1</v>
      </c>
      <c r="E175" s="299">
        <f t="shared" si="7"/>
        <v>0</v>
      </c>
      <c r="F175" s="131" t="s">
        <v>5270</v>
      </c>
    </row>
    <row r="176" spans="1:6" ht="17">
      <c r="A176" s="298">
        <v>174</v>
      </c>
      <c r="B176" s="299">
        <v>0</v>
      </c>
      <c r="C176" s="299">
        <v>0</v>
      </c>
      <c r="D176" s="299">
        <f t="shared" si="6"/>
        <v>1</v>
      </c>
      <c r="E176" s="299">
        <f t="shared" si="7"/>
        <v>0</v>
      </c>
      <c r="F176" s="131" t="s">
        <v>5270</v>
      </c>
    </row>
    <row r="177" spans="1:6" ht="17">
      <c r="A177" s="298">
        <v>175</v>
      </c>
      <c r="B177" s="299">
        <v>0</v>
      </c>
      <c r="C177" s="299">
        <v>0</v>
      </c>
      <c r="D177" s="299">
        <f t="shared" si="6"/>
        <v>1</v>
      </c>
      <c r="E177" s="299">
        <f t="shared" si="7"/>
        <v>0</v>
      </c>
      <c r="F177" s="131" t="s">
        <v>5270</v>
      </c>
    </row>
    <row r="178" spans="1:6" ht="17">
      <c r="A178" s="298">
        <v>176</v>
      </c>
      <c r="B178" s="299">
        <v>0</v>
      </c>
      <c r="C178" s="299">
        <v>0</v>
      </c>
      <c r="D178" s="299">
        <f t="shared" si="6"/>
        <v>1</v>
      </c>
      <c r="E178" s="299">
        <f t="shared" si="7"/>
        <v>0</v>
      </c>
      <c r="F178" s="131" t="s">
        <v>5270</v>
      </c>
    </row>
    <row r="179" spans="1:6" ht="17">
      <c r="A179" s="298">
        <v>177</v>
      </c>
      <c r="B179" s="299">
        <v>0</v>
      </c>
      <c r="C179" s="299">
        <v>0</v>
      </c>
      <c r="D179" s="299">
        <f t="shared" si="6"/>
        <v>1</v>
      </c>
      <c r="E179" s="299">
        <f t="shared" si="7"/>
        <v>0</v>
      </c>
      <c r="F179" s="131" t="s">
        <v>5270</v>
      </c>
    </row>
    <row r="180" spans="1:6" ht="17">
      <c r="A180" s="298">
        <v>178</v>
      </c>
      <c r="B180" s="299">
        <v>0</v>
      </c>
      <c r="C180" s="299">
        <v>0</v>
      </c>
      <c r="D180" s="299">
        <f t="shared" si="6"/>
        <v>1</v>
      </c>
      <c r="E180" s="299">
        <f t="shared" si="7"/>
        <v>0</v>
      </c>
      <c r="F180" s="131" t="s">
        <v>5270</v>
      </c>
    </row>
    <row r="181" spans="1:6" ht="17">
      <c r="A181" s="298">
        <v>179</v>
      </c>
      <c r="B181" s="299">
        <v>0</v>
      </c>
      <c r="C181" s="299">
        <v>0</v>
      </c>
      <c r="D181" s="299">
        <f t="shared" si="6"/>
        <v>1</v>
      </c>
      <c r="E181" s="299">
        <f t="shared" si="7"/>
        <v>0</v>
      </c>
      <c r="F181" s="131" t="s">
        <v>5270</v>
      </c>
    </row>
    <row r="182" spans="1:6" ht="17">
      <c r="A182" s="298">
        <v>180</v>
      </c>
      <c r="B182" s="299">
        <v>0</v>
      </c>
      <c r="C182" s="299">
        <v>0</v>
      </c>
      <c r="D182" s="299">
        <f t="shared" si="6"/>
        <v>1</v>
      </c>
      <c r="E182" s="299">
        <f t="shared" si="7"/>
        <v>0</v>
      </c>
      <c r="F182" s="131" t="s">
        <v>5270</v>
      </c>
    </row>
    <row r="183" spans="1:6" ht="17">
      <c r="A183" s="298">
        <v>181</v>
      </c>
      <c r="B183" s="299">
        <v>0</v>
      </c>
      <c r="C183" s="299">
        <v>0</v>
      </c>
      <c r="D183" s="299">
        <f t="shared" si="6"/>
        <v>1</v>
      </c>
      <c r="E183" s="299">
        <f t="shared" si="7"/>
        <v>0</v>
      </c>
      <c r="F183" s="131" t="s">
        <v>5270</v>
      </c>
    </row>
    <row r="184" spans="1:6" ht="17">
      <c r="A184" s="298">
        <v>182</v>
      </c>
      <c r="B184" s="299">
        <v>0</v>
      </c>
      <c r="C184" s="299">
        <v>0</v>
      </c>
      <c r="D184" s="299">
        <f t="shared" si="6"/>
        <v>1</v>
      </c>
      <c r="E184" s="299">
        <f t="shared" si="7"/>
        <v>0</v>
      </c>
      <c r="F184" s="131" t="s">
        <v>5270</v>
      </c>
    </row>
    <row r="185" spans="1:6" ht="17">
      <c r="A185" s="298">
        <v>183</v>
      </c>
      <c r="B185" s="299">
        <v>0</v>
      </c>
      <c r="C185" s="299">
        <v>0</v>
      </c>
      <c r="D185" s="299">
        <f t="shared" si="6"/>
        <v>1</v>
      </c>
      <c r="E185" s="299">
        <f t="shared" si="7"/>
        <v>0</v>
      </c>
      <c r="F185" s="131" t="s">
        <v>5270</v>
      </c>
    </row>
    <row r="186" spans="1:6" ht="17">
      <c r="A186" s="298">
        <v>184</v>
      </c>
      <c r="B186" s="299">
        <v>0</v>
      </c>
      <c r="C186" s="299">
        <v>0</v>
      </c>
      <c r="D186" s="299">
        <f t="shared" si="6"/>
        <v>1</v>
      </c>
      <c r="E186" s="299">
        <f t="shared" si="7"/>
        <v>0</v>
      </c>
      <c r="F186" s="131" t="s">
        <v>5270</v>
      </c>
    </row>
    <row r="187" spans="1:6" ht="17">
      <c r="A187" s="298">
        <v>185</v>
      </c>
      <c r="B187" s="299">
        <v>0</v>
      </c>
      <c r="C187" s="299">
        <v>0</v>
      </c>
      <c r="D187" s="299">
        <f t="shared" si="6"/>
        <v>1</v>
      </c>
      <c r="E187" s="299">
        <f t="shared" si="7"/>
        <v>0</v>
      </c>
      <c r="F187" s="131" t="s">
        <v>5270</v>
      </c>
    </row>
    <row r="188" spans="1:6" ht="17">
      <c r="A188" s="298">
        <v>186</v>
      </c>
      <c r="B188" s="299">
        <v>0</v>
      </c>
      <c r="C188" s="299">
        <v>0</v>
      </c>
      <c r="D188" s="299">
        <f t="shared" si="6"/>
        <v>1</v>
      </c>
      <c r="E188" s="299">
        <f t="shared" si="7"/>
        <v>0</v>
      </c>
      <c r="F188" s="131" t="s">
        <v>5270</v>
      </c>
    </row>
    <row r="189" spans="1:6" ht="17">
      <c r="A189" s="298">
        <v>187</v>
      </c>
      <c r="B189" s="299">
        <v>0</v>
      </c>
      <c r="C189" s="299">
        <v>0</v>
      </c>
      <c r="D189" s="299">
        <f t="shared" si="6"/>
        <v>1</v>
      </c>
      <c r="E189" s="299">
        <f t="shared" si="7"/>
        <v>0</v>
      </c>
      <c r="F189" s="131" t="s">
        <v>5270</v>
      </c>
    </row>
    <row r="190" spans="1:6" ht="17">
      <c r="A190" s="298">
        <v>188</v>
      </c>
      <c r="B190" s="299">
        <v>0</v>
      </c>
      <c r="C190" s="299">
        <v>0</v>
      </c>
      <c r="D190" s="299">
        <f t="shared" si="6"/>
        <v>1</v>
      </c>
      <c r="E190" s="299">
        <f t="shared" si="7"/>
        <v>0</v>
      </c>
      <c r="F190" s="131" t="s">
        <v>5270</v>
      </c>
    </row>
    <row r="191" spans="1:6" ht="17">
      <c r="A191" s="298">
        <v>189</v>
      </c>
      <c r="B191" s="299">
        <v>0</v>
      </c>
      <c r="C191" s="299">
        <v>0</v>
      </c>
      <c r="D191" s="299">
        <f t="shared" si="6"/>
        <v>1</v>
      </c>
      <c r="E191" s="299">
        <f t="shared" si="7"/>
        <v>0</v>
      </c>
      <c r="F191" s="131" t="s">
        <v>5270</v>
      </c>
    </row>
    <row r="192" spans="1:6" ht="17">
      <c r="A192" s="298">
        <v>190</v>
      </c>
      <c r="B192" s="299">
        <v>0</v>
      </c>
      <c r="C192" s="299">
        <v>0</v>
      </c>
      <c r="D192" s="299">
        <f t="shared" si="6"/>
        <v>1</v>
      </c>
      <c r="E192" s="299">
        <f t="shared" si="7"/>
        <v>0</v>
      </c>
      <c r="F192" s="131" t="s">
        <v>5270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1CA5-4D39-1844-B514-0CC1D5162E54}">
  <dimension ref="A2:X193"/>
  <sheetViews>
    <sheetView workbookViewId="0">
      <pane xSplit="3" ySplit="2" topLeftCell="P109" activePane="bottomRight" state="frozen"/>
      <selection pane="topRight" activeCell="D1" sqref="D1"/>
      <selection pane="bottomLeft" activeCell="A2" sqref="A2"/>
      <selection pane="bottomRight" activeCell="P121" sqref="P121"/>
    </sheetView>
  </sheetViews>
  <sheetFormatPr baseColWidth="10" defaultRowHeight="16"/>
  <cols>
    <col min="2" max="2" width="29.5" bestFit="1" customWidth="1"/>
    <col min="3" max="3" width="30.1640625" customWidth="1"/>
    <col min="4" max="4" width="12" bestFit="1" customWidth="1"/>
    <col min="7" max="7" width="35.1640625" bestFit="1" customWidth="1"/>
    <col min="8" max="8" width="76" customWidth="1"/>
    <col min="9" max="9" width="178.6640625" bestFit="1" customWidth="1"/>
    <col min="10" max="10" width="54.33203125" style="132" customWidth="1"/>
    <col min="11" max="11" width="144.83203125" customWidth="1"/>
    <col min="12" max="12" width="255.83203125" bestFit="1" customWidth="1"/>
    <col min="13" max="13" width="127" customWidth="1"/>
    <col min="14" max="14" width="92.83203125" customWidth="1"/>
    <col min="15" max="15" width="130.6640625" customWidth="1"/>
    <col min="16" max="16" width="198.83203125" customWidth="1"/>
    <col min="17" max="17" width="34.83203125" style="31" customWidth="1"/>
    <col min="18" max="18" width="10.83203125" style="116"/>
    <col min="19" max="19" width="46.83203125" style="116" bestFit="1" customWidth="1"/>
    <col min="20" max="20" width="51.1640625" bestFit="1" customWidth="1"/>
    <col min="21" max="21" width="28.6640625" bestFit="1" customWidth="1"/>
    <col min="22" max="22" width="14.33203125" customWidth="1"/>
  </cols>
  <sheetData>
    <row r="2" spans="1:24" s="60" customFormat="1">
      <c r="A2" s="126" t="str">
        <f>'Book Details - NO EDIT'!A2</f>
        <v>Loyd #</v>
      </c>
      <c r="B2" s="60" t="str">
        <f>'Book Details - NO EDIT'!Y2</f>
        <v>Birth Full Name</v>
      </c>
      <c r="C2" s="60" t="str">
        <f>'Book Details - NO EDIT'!V2</f>
        <v>Known as &amp; Dates</v>
      </c>
      <c r="D2" s="60" t="str">
        <f>'Book Details - NO EDIT'!I2</f>
        <v>Dob Entered</v>
      </c>
      <c r="E2" s="60" t="str">
        <f>'Book Details - NO EDIT'!K2</f>
        <v>Sex</v>
      </c>
      <c r="F2" s="60" t="str">
        <f>'Book Details - NO EDIT'!T2</f>
        <v>Generation</v>
      </c>
      <c r="G2" s="60" t="str">
        <f>'Book Details - NO EDIT'!Z2</f>
        <v>Father's name (Known as, Dates, Loyd #)</v>
      </c>
      <c r="H2" s="126" t="str">
        <f>'Book Details - NO EDIT'!AH2</f>
        <v>Mother</v>
      </c>
      <c r="I2" s="60" t="str">
        <f>'Book Details - NO EDIT'!AI2</f>
        <v>Husband/Wife</v>
      </c>
      <c r="J2" s="192" t="str">
        <f>'Book Details - NO EDIT'!AJ2</f>
        <v xml:space="preserve">DoM </v>
      </c>
      <c r="K2" s="60" t="str">
        <f>'Book Details - NO EDIT'!AK2</f>
        <v>Marriage Details</v>
      </c>
      <c r="L2" s="133" t="str">
        <f>'Book Details - NO EDIT'!AL2</f>
        <v>Additional Biographical Information (Short address)</v>
      </c>
      <c r="M2" s="60" t="str">
        <f>'Book Details - NO EDIT'!AA2</f>
        <v>Lineage</v>
      </c>
      <c r="N2" s="133" t="str">
        <f>'Book Details - NO EDIT'!AB2</f>
        <v>Siblings (Number &amp; List)</v>
      </c>
      <c r="O2" s="133" t="str">
        <f>'Book Details - NO EDIT'!AC2</f>
        <v>Children (Number and list)</v>
      </c>
      <c r="P2" s="133" t="str">
        <f>'Book Details - NO EDIT'!AD2</f>
        <v>Grandchildren Full List</v>
      </c>
      <c r="Q2" s="191" t="str">
        <f>VLOOKUP(A2,'Book Details - NO EDIT'!$A$2:$J$210,10,FALSE)</f>
        <v>DoD</v>
      </c>
      <c r="R2" s="126" t="str">
        <f>'Book Details - NO EDIT'!AX2</f>
        <v>Age</v>
      </c>
      <c r="S2" s="126" t="str">
        <f>'Book Details - NO EDIT'!AY2</f>
        <v>Contact</v>
      </c>
      <c r="T2" s="60" t="str">
        <f>'Book Details - NO EDIT'!AW2</f>
        <v>Residency</v>
      </c>
      <c r="U2" s="126" t="str">
        <f>VLOOKUP(A2,'Book Details - NO EDIT'!$A2:$S$192,13,FALSE)</f>
        <v>GFather's Loyd #</v>
      </c>
      <c r="V2" s="60" t="str">
        <f>VLOOKUP(A2,'Book Details - NO EDIT'!$A2:$S$192,12,FALSE)</f>
        <v>Father's Loyd #</v>
      </c>
      <c r="W2" s="60" t="s">
        <v>2550</v>
      </c>
      <c r="X2" s="60" t="s">
        <v>4339</v>
      </c>
    </row>
    <row r="3" spans="1:24" s="31" customFormat="1" ht="79" customHeight="1">
      <c r="A3" s="125">
        <f>'Book Details - NO EDIT'!A3</f>
        <v>1</v>
      </c>
      <c r="B3" s="31" t="str">
        <f>'Book Details - NO EDIT'!Y3</f>
        <v>William LLOYD</v>
      </c>
      <c r="C3" s="31" t="str">
        <f>'Book Details - NO EDIT'!V3</f>
        <v>William (1729–1800)</v>
      </c>
      <c r="D3" s="199" t="str">
        <f>'Book Details - NO EDIT'!I3</f>
        <v>20/09/1729</v>
      </c>
      <c r="E3" s="31" t="str">
        <f>IF('Book Details - NO EDIT'!K3="Boy","Male","Female")</f>
        <v>Male</v>
      </c>
      <c r="F3" s="31" t="s">
        <v>3791</v>
      </c>
      <c r="G3" s="31" t="str">
        <f>'Book Details - NO EDIT'!Z3</f>
        <v>Lewis Lloyd (c1690–1758: #0)</v>
      </c>
      <c r="H3" s="31" t="str">
        <f>'Book Details - NO EDIT'!AH3</f>
        <v>Jane (b. , d. 26/11/1761)</v>
      </c>
      <c r="I3" s="31" t="str">
        <f>'Book Details - NO EDIT'!AI3</f>
        <v>Anne WILLIAM (b. 1738 , d. 24 May 1801)</v>
      </c>
      <c r="J3" s="199" t="str">
        <f>'Book Details - NO EDIT'!AJ3</f>
        <v>03/01/1765</v>
      </c>
      <c r="K3" s="31" t="str">
        <f>'Book Details - NO EDIT'!AK3</f>
        <v>Married Anne at Llanfair-ar-y-bryn, Llandovery, daughter of John WILLIAM of Llanfair-ar-y-bryn, Llandovery. Anne buried 28 May 1801 at Cilycwm.</v>
      </c>
      <c r="L3" s="131" t="str">
        <f>'Book Details - NO EDIT'!AL3</f>
        <v xml:space="preserve">Yeoman of Cwm-y-to fach and afterwards (1795) of Court Henry [1] in the parish of Cilycwm, Carmarthenshire. 3rd and youngest son of Lewis LLOYD (c.1690–1758: #0) [2]  of Cwm-y-to fach in the parish of Llanwrda. Baptised 20 Sep 1729 at Llanwrda. Died 13 May 1800. Buried 16 May 1800 at Cilycwm. Issue: 3 daughters, 4 sons. Will dated 8 July 1799, proved 24 May 1800 at Carmarthen. Original in National Library of Wales, Aberystwyth. Churchwarden Llanwrda 1766 and 1791 Tombstone in Cilycwm Churchyard. Issue: 4 sons, 3 daughters. Footnote: [1] Court Henry (spelt CWRT HENRY on first Ordnance Survey maps printed in 1865) was sold by Lord Overstone in 1881 for £1,000. [2] Lewis Lloyd died 24 Aug 1758. Buried 25 or 26 Aug 1758 at Llanwrda. Lewis' will dated 8 Jan 1757, proved 10 Jul 1760. Total assets £12-3 shillings. Original in the National Library of Wales, Aberystwyth (Testators’ Wills index St David’s Diocese).                                                                    </v>
      </c>
      <c r="M3" s="73" t="str">
        <f>'Book Details - NO EDIT'!AA3</f>
        <v>Lewis Lloyd (c1690 –1758; #0) Thomas Lloyd (1642–1725: #-1)</v>
      </c>
      <c r="N3" s="197" t="str">
        <f>'Book Details - NO EDIT'!AB3</f>
        <v>5 – Gwenllian Lloyd (1719 - c1800) Edward Lloyd (1721 - 1751) Elizabeth Lloyd (1726 - 1777) Jane Lloyd (recorded living in 1766) Catherine Lloyd (recorded living in 1766)</v>
      </c>
      <c r="O3" s="198" t="str">
        <f>'Book Details - NO EDIT'!AC3</f>
        <v>7 - Jane (1765–1832: #2); Lewis LOYD (1768–1858: #3); William (1770–1828: #4); Catherine (1772–1798: #5); Thomas (1775–1853: #6); Gwenllian (1777–1779: #7); Edward (1780–1863: #8)</v>
      </c>
      <c r="P3" s="198" t="str">
        <f>'Book Details - NO EDIT'!AD3</f>
        <v xml:space="preserve">19 - Samuel (1796–1883: #9); William (1809–1879: #10); Sarah (1810–1858: #11); Eliza (1810–1861: #12); Lewis (1811–1891: #13); Thomas (1812–1857: #14); Annie (1813–1834: #15); Maria (1814–1900: #16); Edward (1815–1815: #17); Kate (1815–1905: #18); Hannah (1817–1907: #19); John (1817–1818: #20); Lewis (1819–1841: #21); Edward (1820–1890: #22) ;William (1821–1885: #23); Fanny (1824–1856: #24)   Lewis DAVIES or DANIEL (Unknown - Unknown:  #2a) Ann DAVIES or DANIEL (Unknown - Unknown:  #2b) William DAVIES or DANIEL (1800 - 1832:  #2c)            </v>
      </c>
      <c r="Q3" s="191" t="str">
        <f>IF('Book Details - NO EDIT'!J3="",IF(R3=0,"Less than year on 1-Jul-2022",_xlfn.CONCAT("On 1-Jul-2022, age ",R3,'Book Details - NO EDIT'!J3)),IF(LEN(R3)=0,"Died in infancy",_xlfn.CONCAT("Died ",'Book Details - NO EDIT'!J3,","," aged ",R3)))</f>
        <v>Died 13/05/1800, aged 1</v>
      </c>
      <c r="R3" s="197">
        <f>'Book Details - NO EDIT'!AX3</f>
        <v>1</v>
      </c>
      <c r="S3" s="73" t="str">
        <f>'Book Details - NO EDIT'!AY3</f>
        <v xml:space="preserve"> - </v>
      </c>
      <c r="T3" s="73" t="str">
        <f>'Book Details - NO EDIT'!AW3</f>
        <v>Wales</v>
      </c>
      <c r="U3" s="73" t="str">
        <f>VLOOKUP(A3,'Book Details - NO EDIT'!$A3:$S$192,13,FALSE)</f>
        <v>Thomas Lloyd (1642–1725: #-1)</v>
      </c>
      <c r="V3" s="73">
        <f>VLOOKUP(A3,'Book Details - NO EDIT'!$A3:$S$192,12,FALSE)</f>
        <v>0</v>
      </c>
      <c r="X3" s="31">
        <f>IF(LEN('Book Details - NO EDIT'!J3)=0,0,1)</f>
        <v>1</v>
      </c>
    </row>
    <row r="4" spans="1:24" s="31" customFormat="1" ht="34">
      <c r="A4" s="125">
        <f>'Book Details - NO EDIT'!A4</f>
        <v>2</v>
      </c>
      <c r="B4" s="31" t="str">
        <f>'Book Details - NO EDIT'!Y4</f>
        <v>Jane LLOYD</v>
      </c>
      <c r="C4" s="31" t="str">
        <f>'Book Details - NO EDIT'!V4</f>
        <v>Jane (1765–1832)</v>
      </c>
      <c r="D4" s="199" t="str">
        <f>'Book Details - NO EDIT'!I4</f>
        <v>29/10/1765</v>
      </c>
      <c r="E4" s="31" t="str">
        <f>IF('Book Details - NO EDIT'!K4="Boy","Male","Female")</f>
        <v>Female</v>
      </c>
      <c r="F4" s="31" t="str">
        <f>IF('Book Details - NO EDIT'!T4=1,"First",IF('Book Details - NO EDIT'!T4=2,"Second",IF('Book Details - NO EDIT'!T4=3,"Third",IF('Book Details - NO EDIT'!T4=4,"Fourth",IF('Book Details - NO EDIT'!T4=5,"Fifth",IF('Book Details - NO EDIT'!T4=6,"Sixth",IF('Book Details - NO EDIT'!T4=7,"Seventh",IF('Book Details - NO EDIT'!T4=8,"Eighth",0))))))))</f>
        <v>First</v>
      </c>
      <c r="G4" s="31" t="str">
        <f>'Book Details - NO EDIT'!Z4</f>
        <v>William (1729–1800: #1)</v>
      </c>
      <c r="H4" s="31" t="str">
        <f>'Book Details - NO EDIT'!AH4</f>
        <v>Anne WILLIAM (b. 1738, d. 24 May 1801)</v>
      </c>
      <c r="I4" s="31" t="str">
        <f>'Book Details - NO EDIT'!AI4</f>
        <v>Lewis DANIEL or DAVIES</v>
      </c>
      <c r="J4" s="199" t="str">
        <f>'Book Details - NO EDIT'!AJ4</f>
        <v>03/02/1795</v>
      </c>
      <c r="K4" s="31" t="str">
        <f>'Book Details - NO EDIT'!AK4</f>
        <v>Married at Llanwrda,Lewis  of Caio, Carmarthenshire, Yeoman, afterwards of Court Henry after her father’s death in 1800.</v>
      </c>
      <c r="L4" s="131" t="str">
        <f>'Book Details - NO EDIT'!AL4</f>
        <v>Jane was the eldest daughter of William LLOYD (1729–1800: #1) of Court Henry, Cilycwm, Carmarthenshire. b. 29 Oct 1765, baptised  4 or 9 Nov 1765 at Llanwrda.  Died 11 May 1832, buried at Cilycwm. Issue: 2 sons 1 daughter.</v>
      </c>
      <c r="M4" s="73" t="str">
        <f>'Book Details - NO EDIT'!AA4</f>
        <v xml:space="preserve">William (1729–1800: #1)       </v>
      </c>
      <c r="N4" s="197" t="str">
        <f>'Book Details - NO EDIT'!AB4</f>
        <v xml:space="preserve">6 – Lewis LOYD (1768–1858: #3) William (1770–1828: #4) Catherine (1772–1798: #5) Thomas (1775–1853: #6) Gwenllian (1777–1779: #7) Edward (1780–1863: #8)  </v>
      </c>
      <c r="O4" s="198" t="str">
        <f>'Book Details - NO EDIT'!AC4</f>
        <v xml:space="preserve">3 - Lewis DAVIES or DANIEL (Unknown - Unknown: #2a) Ann DAVIES or DANIEL (Unknown - Unknown: #2b) William DAVIES or DANIEL (1800 - 1832: #2c)     </v>
      </c>
      <c r="P4" s="198" t="str">
        <f>'Book Details - NO EDIT'!AD4</f>
        <v xml:space="preserve">2 - William DAVIES (Date unknown -1908: #2aa) Catherine DAVIES (1829 -1866: #2ca)                 </v>
      </c>
      <c r="Q4" s="191" t="str">
        <f>IF('Book Details - NO EDIT'!J4="",IF(R4=0,"Less than year on 1-Jul-2022",_xlfn.CONCAT("On 1-Jul-2022, age ",R4,'Book Details - NO EDIT'!J4)),IF(LEN(R4)=0,"Died in infancy",_xlfn.CONCAT("Died ",'Book Details - NO EDIT'!J4,","," aged ",R4)))</f>
        <v>Died 11/05/1832, aged 2</v>
      </c>
      <c r="R4" s="73">
        <f>'Book Details - NO EDIT'!AX4</f>
        <v>2</v>
      </c>
      <c r="S4" s="73" t="str">
        <f>'Book Details - NO EDIT'!AY4</f>
        <v xml:space="preserve"> - </v>
      </c>
      <c r="T4" s="73" t="str">
        <f>'Book Details - NO EDIT'!AW4</f>
        <v>Wales</v>
      </c>
      <c r="U4" s="73">
        <f>VLOOKUP(A4,'Book Details - NO EDIT'!$A4:$S$192,13,FALSE)</f>
        <v>0</v>
      </c>
      <c r="V4" s="73">
        <f>VLOOKUP(A4,'Book Details - NO EDIT'!$A4:$S$192,12,FALSE)</f>
        <v>1</v>
      </c>
      <c r="X4" s="31">
        <f>IF(LEN('Book Details - NO EDIT'!J4)=0,0,1)</f>
        <v>1</v>
      </c>
    </row>
    <row r="5" spans="1:24" s="31" customFormat="1" ht="255">
      <c r="A5" s="125">
        <f>'Book Details - NO EDIT'!A5</f>
        <v>3</v>
      </c>
      <c r="B5" s="31" t="str">
        <f>'Book Details - NO EDIT'!Y5</f>
        <v>Lewis LOYD</v>
      </c>
      <c r="C5" s="31" t="str">
        <f>'Book Details - NO EDIT'!V5</f>
        <v>Lewis LOYD (1768–1858)</v>
      </c>
      <c r="D5" s="199" t="str">
        <f>'Book Details - NO EDIT'!I5</f>
        <v>01/01/1768</v>
      </c>
      <c r="E5" s="31" t="str">
        <f>IF('Book Details - NO EDIT'!K5="Boy","Male","Female")</f>
        <v>Male</v>
      </c>
      <c r="F5" s="31" t="str">
        <f>IF('Book Details - NO EDIT'!T5=1,"First",IF('Book Details - NO EDIT'!T5=2,"Second",IF('Book Details - NO EDIT'!T5=3,"Third",IF('Book Details - NO EDIT'!T5=4,"Fourth",IF('Book Details - NO EDIT'!T5=5,"Fifth",IF('Book Details - NO EDIT'!T5=6,"Sixth",IF('Book Details - NO EDIT'!T5=7,"Seventh",IF('Book Details - NO EDIT'!T5=8,"Eighth",0))))))))</f>
        <v>First</v>
      </c>
      <c r="G5" s="31" t="str">
        <f>'Book Details - NO EDIT'!Z5</f>
        <v>William (1729–1800: #1)</v>
      </c>
      <c r="H5" s="31" t="str">
        <f>'Book Details - NO EDIT'!AH5</f>
        <v>Anne WILLIAM (b. 1738, d. 24 May 1801)</v>
      </c>
      <c r="I5" s="31" t="str">
        <f>'Book Details - NO EDIT'!AI5</f>
        <v>(1) Sarah  JONES 7 (b. 9 Sep 1759, d. 1 Oct 1821).</v>
      </c>
      <c r="J5" s="199" t="str">
        <f>'Book Details - NO EDIT'!AJ5</f>
        <v>11/11/1793</v>
      </c>
      <c r="K5" s="31" t="str">
        <f>'Book Details - NO EDIT'!AK5</f>
        <v>(1) 11 Nov 1793 Sarah (b. 9 Sep 1759, d. 1 Oct 1821) at Broughton New Hall, daughter of John JONES (1713-75) banker and Tea dealer of Manchester and founder of the King Street Bank. Sarah buried at Cross Street Chapel, Manchester. (2) Married Mrs. Mary CHAMPION (d. 1 Feb 1835) on 21 Jan 1823.</v>
      </c>
      <c r="L5" s="131" t="str">
        <f>'Book Details - NO EDIT'!AL5</f>
        <v>Lewis lived at 43 Lothbury, London and of Overstone Park, Northamptonshire. Eldest son of William LLOYD (1729–1800: #1) of Court Henry, Cilycwm, Carmarthenshire. Born 1 Jan 1768, baptised  5 Jan 1768 at Llanwrda. Educated at Mr. David PRICE’s school [5] at Llanycrwys near Lampeter and at the Presbyterian Academy of Carmarthen, Swansea (1785-89). Rode to Manchester in September 1789. Entered Manchester Unitarian College. Appointed Tutor in Belle Letters at Manchester 1790-92. Became Supply Preacher at Dob Lane Chapel, Failsworth, Manchester [6]. Also preached at Blackley where he met his future wife, Sarah Jones. Lewis joined the Bank before relocating to the London branch as partner with Daniel, Jones, Barker, Loyd &amp; Co. 1793. Jones, Loyd, Hulme &amp; Co. 1798. Jones, Loyd &amp; Co. 1808. Retired from Bank 1844. Changed the family name to LOYD about 1795. Obtained the grant of arms 10 Apr 1835 on his appointment as High Sheriff of Northamptonshire, and registered it at the College of Arms in the name of his father in order to include his brothers and their descendants. Died 13 May 1858 at Overstone, buried at Overstone. Will dated 21 Nov 1843. Estate left to Lord OVERSTONE:- Land £1,172,091, Securities £701,102, Personal effects £5,639. Issue: (1st wife) 1 son (who later became Lord OVERSTONE). Portrait by Eden Upton EDDIS in possession of Christopher Lewis LOYD (1923–2013: #100). Able and far-sighted to a degree, this extraordinary man (Lewis LOYD), of whom unfortunately not very much is known, was endowed with a biting wit; when, in 1828, Frys &amp; Chapman - Joseph Fry was the husband of the great reformer Mrs Elizabeth Fry (nee Gurney) - had to close its doors, he told a Quaker client who had been wise enough previously to withdraw his money and to entrust it to a “more sophisticated house”, “Thou wer’t right, friend: it is wiser to place thy money with a rich sinner than with a poor saint.” Overstone Library, Reading University.  Footnotes: [5] When David PRICE’s youngest son, Lewis, died in London, his old pupil, Lewis LOYD, was at his bedside. [6] “At the time in question.....to get to Dob Lane Chapel from the College was quite a journey. Lewis Loyd made his way to it Sunday by Sunday, upon the identical little white pony which had carried him from Carmarthenshire to Manchester, trotting, not along a wearily-extended street, but between hedgerows and pastures. It was a wild and rebellious little animal, and until the time for its master’s return to Dawson Street in the evening, was turned into a meadow belonging to a Mr Barrett, a leading man at Dob Lane Chapel, and at whose house Lewis Loyd was usually the welcome guest. Another leading member of the Dob Lane congregation was a Mr Samuel Taylor, a merchant in Princess Street, whose residence was at Moston. It was from this old gentleman, if tradition be trustworthy, that Lewis Loyd received his first lessons in the inestimable and immortal science of how to get rich. Mr Taylor seems to have discovered very early that Lewis had a remarkable gift for figures and accounts. He certainly led him on to a realization of his native powers. Probably it was Mr Taylor who, after service one fine morning, presented the young preacher with a bank note in acknowledgment of the excellent way in which he acquitted himself in the pulpit. Money in those days was a scarce article with the budding Croesus. His salary, it is said, was £40 a year. He thanked the donor cordially, and added that on the same terms he would gladly pray for him every Sunday of the year. Whether it was at this particular period, or a trifle later, that Lewis Loyd was engaged in writing his tract upon Original Sin, there is no evidence to show. (The tract in question was one of a series of ‘Letters to the Inhabitants of Wigan occasioned by the Rev Mr Tawell’s Discourse on the Divinity of Jesus Christ, 1791’. The volume, which is rare, consists of one hundred and sixty pages (size 12mo), twelve of which are Lewis Loyd’s.)” - Grindon p 58-59. Roddy SALE (#97d), in 2021, has portrait of Samuel &amp; William Jones (1746 – 1819) of Greenhill and William Jones (1757 – 1821) who owned Wolvey in Warwickshire (left to Lord Overstone).</v>
      </c>
      <c r="M5" s="73" t="str">
        <f>'Book Details - NO EDIT'!AA5</f>
        <v xml:space="preserve">William (1729–1800: #1)       </v>
      </c>
      <c r="N5" s="197" t="str">
        <f>'Book Details - NO EDIT'!AB5</f>
        <v xml:space="preserve">6 – Jane (1765–1832: #2)  William (1770–1828: #4) Catherine (1772–1798: #5) Thomas (1775–1853: #6) Gwenllian (1777–1779: #7) Edward (1780–1863: #8)  </v>
      </c>
      <c r="O5" s="198" t="str">
        <f>'Book Details - NO EDIT'!AC5</f>
        <v>1 - Samuel (1796–1883: #9)</v>
      </c>
      <c r="P5" s="198" t="str">
        <f>'Book Details - NO EDIT'!AD5</f>
        <v xml:space="preserve">2 - Henry (1832–1833: #25); The Hon Harriet (1837–1920: #26)   </v>
      </c>
      <c r="Q5" s="191" t="str">
        <f>IF('Book Details - NO EDIT'!J5="",IF(R5=0,"Less than year on 1-Jul-2022",_xlfn.CONCAT("On 1-Jul-2022, age ",R5,'Book Details - NO EDIT'!J5)),IF(LEN(R5)=0,"Died in infancy",_xlfn.CONCAT("Died ",'Book Details - NO EDIT'!J5,","," aged ",R5)))</f>
        <v>Died 13/05/1858, aged 3</v>
      </c>
      <c r="R5" s="73">
        <f>'Book Details - NO EDIT'!AX5</f>
        <v>3</v>
      </c>
      <c r="S5" s="73" t="str">
        <f>'Book Details - NO EDIT'!AY5</f>
        <v xml:space="preserve"> - </v>
      </c>
      <c r="T5" s="73" t="str">
        <f>'Book Details - NO EDIT'!AW5</f>
        <v>Wales &amp; England</v>
      </c>
      <c r="U5" s="73">
        <f>VLOOKUP(A5,'Book Details - NO EDIT'!$A5:$S$192,13,FALSE)</f>
        <v>0</v>
      </c>
      <c r="V5" s="73">
        <f>VLOOKUP(A5,'Book Details - NO EDIT'!$A5:$S$192,12,FALSE)</f>
        <v>1</v>
      </c>
      <c r="X5" s="31">
        <f>IF(LEN('Book Details - NO EDIT'!J5)=0,0,1)</f>
        <v>1</v>
      </c>
    </row>
    <row r="6" spans="1:24" s="31" customFormat="1" ht="85">
      <c r="A6" s="125">
        <f>'Book Details - NO EDIT'!A6</f>
        <v>4</v>
      </c>
      <c r="B6" s="31" t="str">
        <f>'Book Details - NO EDIT'!Y6</f>
        <v>William LOYD</v>
      </c>
      <c r="C6" s="31" t="str">
        <f>'Book Details - NO EDIT'!V6</f>
        <v>William (1770–1828)</v>
      </c>
      <c r="D6" s="199" t="str">
        <f>'Book Details - NO EDIT'!I6</f>
        <v>07/05/1770</v>
      </c>
      <c r="E6" s="31" t="str">
        <f>IF('Book Details - NO EDIT'!K6="Boy","Male","Female")</f>
        <v>Male</v>
      </c>
      <c r="F6" s="31" t="str">
        <f>IF('Book Details - NO EDIT'!T6=1,"First",IF('Book Details - NO EDIT'!T6=2,"Second",IF('Book Details - NO EDIT'!T6=3,"Third",IF('Book Details - NO EDIT'!T6=4,"Fourth",IF('Book Details - NO EDIT'!T6=5,"Fifth",IF('Book Details - NO EDIT'!T6=6,"Sixth",IF('Book Details - NO EDIT'!T6=7,"Seventh",IF('Book Details - NO EDIT'!T6=8,"Eighth",0))))))))</f>
        <v>First</v>
      </c>
      <c r="G6" s="31" t="str">
        <f>'Book Details - NO EDIT'!Z6</f>
        <v>William (1729–1800: #1)</v>
      </c>
      <c r="H6" s="31" t="str">
        <f>'Book Details - NO EDIT'!AH6</f>
        <v>Anne WILLIAM (b. 1738, d. 24 May 1801)</v>
      </c>
      <c r="I6" s="31" t="str">
        <f>'Book Details - NO EDIT'!AI6</f>
        <v>Martha KIRKMAN (b. 17 Nov 1775, d. 4 Feb 1857)</v>
      </c>
      <c r="J6" s="199" t="str">
        <f>'Book Details - NO EDIT'!AJ6</f>
        <v>05/01/1809</v>
      </c>
      <c r="K6" s="31" t="str">
        <f>'Book Details - NO EDIT'!AK6</f>
        <v>Married Martha, daughter of Thomas KIRKMAN of Manchester, at Manchester Collegiate Church (later Manchester Cathedral). Martha died at 17 Marlborough Place, St John’s Wood, London, and is buried at Kensal Green.</v>
      </c>
      <c r="L6" s="131" t="str">
        <f>'Book Details - NO EDIT'!AL6</f>
        <v>William lived at 7 Bread Street, Cheapside and later of 13 Portland Place, Clapham Road, London. 2nd son of William LLOYD (1729–1800: #1) of Court Henry, Cilycwm, Carmarthenshire. Born 7 May 1770, baptised  11 or 14 May 1770 at Llanwrda.  Warehouseman. He was the only one of the four brothers who was unsuccessful in business. The diaries of his son, William Kirkman LOYD (1809-1879: #10), recorded that in 1867 he received from his father’s solicitor various old papers connected with his father’s affairs which he destroyed in 1871 thus removing evidence of the extent of his father’s debts [8]. Died 17 Aug 1828, buried 25 Aug 1828 at Bunhill Fields, London EC1 in family grave (plan 15, grave no. 223). His gold watch is in possession of John Michael LOYD (1938- ). Issue: 5 sons, 2 daughters. Footnote: [8] In Oct 1864, Lord OVERSTONE (Samuel Jones LOYD 1796-1883) wrote “He carried on a concern of his own in which he was uniformly unsuccessful, and thus became the cause of much anxiety and serious loss to the other members of the family. ....To save the name of the family from dishonour it became necessary to discharge his trading debts - about £45,000 - and this burden was borne by the prosperous members of the family in the proportion in which they then shared the profits of the Banking business - ie My Father (#3), Myself (#9), and Mr Edw[ar]d Loyd (#8) - each one third” - O’Brien page 1053.</v>
      </c>
      <c r="M6" s="73" t="str">
        <f>'Book Details - NO EDIT'!AA6</f>
        <v xml:space="preserve">William (1729–1800: #1)       </v>
      </c>
      <c r="N6" s="197" t="str">
        <f>'Book Details - NO EDIT'!AB6</f>
        <v xml:space="preserve">6 – Jane (1765–1832: #2) Lewis LOYD (1768–1858: #3)  Catherine (1772–1798: #5) Thomas (1775–1853: #6) Gwenllian (1777–1779: #7) Edward (1780–1863: #8)  </v>
      </c>
      <c r="O6" s="198" t="str">
        <f>'Book Details - NO EDIT'!AC6</f>
        <v>7 - William (1809–1879: #10); Eliza (1810–1861: #12); Thomas (1812–1857: #14); Maria (1814–1900: #16); Edward (1815–1815: #17); John (1817–1818: #20); Lewis (1819–1841: #21)</v>
      </c>
      <c r="P6" s="198" t="str">
        <f>'Book Details - NO EDIT'!AD6</f>
        <v xml:space="preserve">8 - William (1843–1843: #27); The Rev Lewis (1844–1905: #28); Arthur (1845–1930: #29); Archie (1847–1922: #30); Frank (1848–1934: #32); Alfred (1849–1881: #33); Ted (1851–1922: #34); Annie (1853–1946: #37)   </v>
      </c>
      <c r="Q6" s="191" t="str">
        <f>IF('Book Details - NO EDIT'!J6="",IF(R6=0,"Less than year on 1-Jul-2022",_xlfn.CONCAT("On 1-Jul-2022, age ",R6,'Book Details - NO EDIT'!J6)),IF(LEN(R6)=0,"Died in infancy",_xlfn.CONCAT("Died ",'Book Details - NO EDIT'!J6,","," aged ",R6)))</f>
        <v>Died 04/02/1828, aged 4</v>
      </c>
      <c r="R6" s="73">
        <f>'Book Details - NO EDIT'!AX6</f>
        <v>4</v>
      </c>
      <c r="S6" s="73" t="str">
        <f>'Book Details - NO EDIT'!AY6</f>
        <v xml:space="preserve"> - </v>
      </c>
      <c r="T6" s="73" t="str">
        <f>'Book Details - NO EDIT'!AW6</f>
        <v>Wales &amp; England</v>
      </c>
      <c r="U6" s="73">
        <f>VLOOKUP(A6,'Book Details - NO EDIT'!$A6:$S$192,13,FALSE)</f>
        <v>0</v>
      </c>
      <c r="V6" s="73">
        <f>VLOOKUP(A6,'Book Details - NO EDIT'!$A6:$S$192,12,FALSE)</f>
        <v>1</v>
      </c>
      <c r="X6" s="31">
        <f>IF(LEN('Book Details - NO EDIT'!J6)=0,0,1)</f>
        <v>1</v>
      </c>
    </row>
    <row r="7" spans="1:24" s="31" customFormat="1" ht="17">
      <c r="A7" s="125">
        <f>'Book Details - NO EDIT'!A7</f>
        <v>5</v>
      </c>
      <c r="B7" s="31" t="str">
        <f>'Book Details - NO EDIT'!Y7</f>
        <v>Catherine LLOYD</v>
      </c>
      <c r="C7" s="31" t="str">
        <f>'Book Details - NO EDIT'!V7</f>
        <v>Catherine (1772–1798)</v>
      </c>
      <c r="D7" s="199" t="str">
        <f>'Book Details - NO EDIT'!I7</f>
        <v>19/02/1772</v>
      </c>
      <c r="E7" s="31" t="str">
        <f>IF('Book Details - NO EDIT'!K7="Boy","Male","Female")</f>
        <v>Female</v>
      </c>
      <c r="F7" s="31" t="str">
        <f>IF('Book Details - NO EDIT'!T7=1,"First",IF('Book Details - NO EDIT'!T7=2,"Second",IF('Book Details - NO EDIT'!T7=3,"Third",IF('Book Details - NO EDIT'!T7=4,"Fourth",IF('Book Details - NO EDIT'!T7=5,"Fifth",IF('Book Details - NO EDIT'!T7=6,"Sixth",IF('Book Details - NO EDIT'!T7=7,"Seventh",IF('Book Details - NO EDIT'!T7=8,"Eighth",0))))))))</f>
        <v>First</v>
      </c>
      <c r="G7" s="31" t="str">
        <f>'Book Details - NO EDIT'!Z7</f>
        <v>William (1729–1800: #1)</v>
      </c>
      <c r="H7" s="31" t="str">
        <f>'Book Details - NO EDIT'!AH7</f>
        <v>Anne WILLIAM (b. 1738, d. 24 May 1801)</v>
      </c>
      <c r="I7" s="31" t="str">
        <f>'Book Details - NO EDIT'!AI7</f>
        <v>Unmarried</v>
      </c>
      <c r="J7" s="199" t="str">
        <f>'Book Details - NO EDIT'!AJ7</f>
        <v xml:space="preserve"> -</v>
      </c>
      <c r="K7" s="31" t="str">
        <f>'Book Details - NO EDIT'!AK7</f>
        <v xml:space="preserve"> -</v>
      </c>
      <c r="L7" s="131" t="str">
        <f>'Book Details - NO EDIT'!AL7</f>
        <v>Catherine was the 2nd daughter of William LLOYD (1729–1800: #1) of Court Henry, Cilycwm, Carmarthenshire. Born 19th Feb 1772, and baptised 25 Feb 1772 at Llanwrda. Died, unmarried, 9 Dec 1798, buried 12 Dec 1798 at Cilycwm. DSP</v>
      </c>
      <c r="M7" s="73" t="str">
        <f>'Book Details - NO EDIT'!AA7</f>
        <v xml:space="preserve">William (1729–1800: #1)       </v>
      </c>
      <c r="N7" s="197" t="str">
        <f>'Book Details - NO EDIT'!AB7</f>
        <v xml:space="preserve">6 – Jane (1765–1832: #2) Lewis LOYD (1768–1858: #3) William (1770–1828: #4)  Thomas (1775–1853: #6) Gwenllian (1777–1779: #7) Edward (1780–1863: #8)  </v>
      </c>
      <c r="O7" s="198" t="str">
        <f>'Book Details - NO EDIT'!AC7</f>
        <v>d.s.p</v>
      </c>
      <c r="P7" s="198" t="str">
        <f>'Book Details - NO EDIT'!AD7</f>
        <v>d.s.p.</v>
      </c>
      <c r="Q7" s="191" t="str">
        <f>IF('Book Details - NO EDIT'!J7="",IF(R7=0,"Less than year on 1-Jul-2022",_xlfn.CONCAT("On 1-Jul-2022, age ",R7,'Book Details - NO EDIT'!J7)),IF(LEN(R7)=0,"Died in infancy",_xlfn.CONCAT("Died ",'Book Details - NO EDIT'!J7,","," aged ",R7)))</f>
        <v>Died 09/12/1798, aged 5</v>
      </c>
      <c r="R7" s="73">
        <f>'Book Details - NO EDIT'!AX7</f>
        <v>5</v>
      </c>
      <c r="S7" s="73" t="str">
        <f>'Book Details - NO EDIT'!AY7</f>
        <v xml:space="preserve"> - </v>
      </c>
      <c r="T7" s="73" t="str">
        <f>'Book Details - NO EDIT'!AW7</f>
        <v>Wales</v>
      </c>
      <c r="U7" s="73">
        <f>VLOOKUP(A7,'Book Details - NO EDIT'!$A7:$S$192,13,FALSE)</f>
        <v>0</v>
      </c>
      <c r="V7" s="73">
        <f>VLOOKUP(A7,'Book Details - NO EDIT'!$A7:$S$192,12,FALSE)</f>
        <v>1</v>
      </c>
      <c r="X7" s="31">
        <f>IF(LEN('Book Details - NO EDIT'!J7)=0,0,1)</f>
        <v>1</v>
      </c>
    </row>
    <row r="8" spans="1:24" s="31" customFormat="1" ht="51">
      <c r="A8" s="125">
        <f>'Book Details - NO EDIT'!A8</f>
        <v>6</v>
      </c>
      <c r="B8" s="31" t="str">
        <f>'Book Details - NO EDIT'!Y8</f>
        <v>Thomas LOYD</v>
      </c>
      <c r="C8" s="31" t="str">
        <f>'Book Details - NO EDIT'!V8</f>
        <v>Thomas (1775–1853)</v>
      </c>
      <c r="D8" s="199" t="str">
        <f>'Book Details - NO EDIT'!I8</f>
        <v>05/06/1775</v>
      </c>
      <c r="E8" s="31" t="str">
        <f>IF('Book Details - NO EDIT'!K8="Boy","Male","Female")</f>
        <v>Male</v>
      </c>
      <c r="F8" s="31" t="str">
        <f>IF('Book Details - NO EDIT'!T8=1,"First",IF('Book Details - NO EDIT'!T8=2,"Second",IF('Book Details - NO EDIT'!T8=3,"Third",IF('Book Details - NO EDIT'!T8=4,"Fourth",IF('Book Details - NO EDIT'!T8=5,"Fifth",IF('Book Details - NO EDIT'!T8=6,"Sixth",IF('Book Details - NO EDIT'!T8=7,"Seventh",IF('Book Details - NO EDIT'!T8=8,"Eighth",0))))))))</f>
        <v>First</v>
      </c>
      <c r="G8" s="31" t="str">
        <f>'Book Details - NO EDIT'!Z8</f>
        <v>William (1729–1800: #1)</v>
      </c>
      <c r="H8" s="31" t="str">
        <f>'Book Details - NO EDIT'!AH8</f>
        <v>Anne WILLIAM (b. 1738, d. 24 May 1801)</v>
      </c>
      <c r="I8" s="31" t="str">
        <f>'Book Details - NO EDIT'!AI8</f>
        <v>Unmarried</v>
      </c>
      <c r="J8" s="199" t="str">
        <f>'Book Details - NO EDIT'!AJ8</f>
        <v xml:space="preserve"> -</v>
      </c>
      <c r="K8" s="31" t="str">
        <f>'Book Details - NO EDIT'!AK8</f>
        <v xml:space="preserve"> -</v>
      </c>
      <c r="L8" s="131" t="str">
        <f>'Book Details - NO EDIT'!AL8</f>
        <v>Thomas lived at Ardwick Terrace, Manchester. 3rd son of William LLOYD (1729–1800: #1) of Court Henry, Cilycwm, Carmarthenshire. Born 5 Jun 1775, and baptised  8 Jun 1775 at Llanwrda. Thomas became head of the Cannon Street calico printers, Loyd &amp; Price in 1823, and  afterwards Loyd, Buchan &amp; Welsh. Died, unmarried, 28 Jan 1853 leaving property worth either, £80,000 [9] including at least £5,000 to his relations in Wales, or £35,000 [10]. Will dated 29 Nov 1845, proved 23 Jun 1853 P.C.C. “Never was there a more good-humoured or friendly man than Thomas Loyd. A bachelor to the end of his days - chatty, frank and communicative - he delighted in company and sensible conversation, and had no objection, like Cato of old, to warm his cold chastity every evening with mellow wine.” - Grindon page 89. Footnotes: [9] According to Grindon. [10] According to O'Brien.</v>
      </c>
      <c r="M8" s="73" t="str">
        <f>'Book Details - NO EDIT'!AA8</f>
        <v xml:space="preserve">William (1729–1800: #1)       </v>
      </c>
      <c r="N8" s="197" t="str">
        <f>'Book Details - NO EDIT'!AB8</f>
        <v xml:space="preserve">6 – Jane (1765–1832: #2) Lewis LOYD (1768–1858: #3) William (1770–1828: #4) Catherine (1772–1798: #5)  Gwenllian (1777–1779: #7) Edward (1780–1863: #8)  </v>
      </c>
      <c r="O8" s="198" t="str">
        <f>'Book Details - NO EDIT'!AC8</f>
        <v>d.s.p</v>
      </c>
      <c r="P8" s="198" t="str">
        <f>'Book Details - NO EDIT'!AD8</f>
        <v>d.s.p.</v>
      </c>
      <c r="Q8" s="191" t="str">
        <f>IF('Book Details - NO EDIT'!J8="",IF(R8=0,"Less than year on 1-Jul-2022",_xlfn.CONCAT("On 1-Jul-2022, age ",R8,'Book Details - NO EDIT'!J8)),IF(LEN(R8)=0,"Died in infancy",_xlfn.CONCAT("Died ",'Book Details - NO EDIT'!J8,","," aged ",R8)))</f>
        <v>Died 28/01/1853, aged 6</v>
      </c>
      <c r="R8" s="73">
        <f>'Book Details - NO EDIT'!AX8</f>
        <v>6</v>
      </c>
      <c r="S8" s="73" t="str">
        <f>'Book Details - NO EDIT'!AY8</f>
        <v xml:space="preserve"> - </v>
      </c>
      <c r="T8" s="73" t="str">
        <f>'Book Details - NO EDIT'!AW8</f>
        <v>Wales &amp; England</v>
      </c>
      <c r="U8" s="73">
        <f>VLOOKUP(A8,'Book Details - NO EDIT'!$A8:$S$192,13,FALSE)</f>
        <v>0</v>
      </c>
      <c r="V8" s="73">
        <f>VLOOKUP(A8,'Book Details - NO EDIT'!$A8:$S$192,12,FALSE)</f>
        <v>1</v>
      </c>
      <c r="X8" s="31">
        <f>IF(LEN('Book Details - NO EDIT'!J8)=0,0,1)</f>
        <v>1</v>
      </c>
    </row>
    <row r="9" spans="1:24" s="31" customFormat="1" ht="17">
      <c r="A9" s="125">
        <f>'Book Details - NO EDIT'!A9</f>
        <v>7</v>
      </c>
      <c r="B9" s="31" t="str">
        <f>'Book Details - NO EDIT'!Y9</f>
        <v>Gwenllian LLOYD</v>
      </c>
      <c r="C9" s="31" t="str">
        <f>'Book Details - NO EDIT'!V9</f>
        <v>Gwenllian (1777–1779)</v>
      </c>
      <c r="D9" s="199" t="str">
        <f>'Book Details - NO EDIT'!I9</f>
        <v>19/10/1777</v>
      </c>
      <c r="E9" s="31" t="str">
        <f>IF('Book Details - NO EDIT'!K9="Boy","Male","Female")</f>
        <v>Female</v>
      </c>
      <c r="F9" s="31" t="str">
        <f>IF('Book Details - NO EDIT'!T9=1,"First",IF('Book Details - NO EDIT'!T9=2,"Second",IF('Book Details - NO EDIT'!T9=3,"Third",IF('Book Details - NO EDIT'!T9=4,"Fourth",IF('Book Details - NO EDIT'!T9=5,"Fifth",IF('Book Details - NO EDIT'!T9=6,"Sixth",IF('Book Details - NO EDIT'!T9=7,"Seventh",IF('Book Details - NO EDIT'!T9=8,"Eighth",0))))))))</f>
        <v>First</v>
      </c>
      <c r="G9" s="31" t="str">
        <f>'Book Details - NO EDIT'!Z9</f>
        <v>William (1729–1800: #1)</v>
      </c>
      <c r="H9" s="31" t="str">
        <f>'Book Details - NO EDIT'!AH9</f>
        <v>Anne WILLIAM (b. 1738, d. 24 May 1801)</v>
      </c>
      <c r="I9" s="31" t="str">
        <f>'Book Details - NO EDIT'!AI9</f>
        <v>Unmarried</v>
      </c>
      <c r="J9" s="199" t="str">
        <f>'Book Details - NO EDIT'!AJ9</f>
        <v xml:space="preserve"> -</v>
      </c>
      <c r="K9" s="31" t="str">
        <f>'Book Details - NO EDIT'!AK9</f>
        <v xml:space="preserve"> -</v>
      </c>
      <c r="L9" s="131" t="str">
        <f>'Book Details - NO EDIT'!AL9</f>
        <v>Gwenllian was the 3rd and youngest daughter of William LLOYD (1729-1800: #1) of Court Henry, Cilycwm, Carmarthenshire. Born 19 Oct 1777, and baptised  22 or 23 Oct 1777 at Llanwrda. Died 12 Oct 1779. Buried at Llanwrda.</v>
      </c>
      <c r="M9" s="73" t="str">
        <f>'Book Details - NO EDIT'!AA9</f>
        <v xml:space="preserve">William (1729–1800: #1)       </v>
      </c>
      <c r="N9" s="197" t="str">
        <f>'Book Details - NO EDIT'!AB9</f>
        <v xml:space="preserve">6 – Jane (1765–1832: #2) Lewis LOYD (1768–1858: #3) William (1770–1828: #4) Catherine (1772–1798: #5) Thomas (1775–1853: #6)  Edward (1780–1863: #8)  </v>
      </c>
      <c r="O9" s="198" t="str">
        <f>'Book Details - NO EDIT'!AC9</f>
        <v>d.s.p</v>
      </c>
      <c r="P9" s="198" t="str">
        <f>'Book Details - NO EDIT'!AD9</f>
        <v>d.s.p.</v>
      </c>
      <c r="Q9" s="191" t="str">
        <f>IF('Book Details - NO EDIT'!J9="",IF(R9=0,"Less than year on 1-Jul-2022",_xlfn.CONCAT("On 1-Jul-2022, age ",R9,'Book Details - NO EDIT'!J9)),IF(LEN(R9)=0,"Died in infancy",_xlfn.CONCAT("Died ",'Book Details - NO EDIT'!J9,","," aged ",R9)))</f>
        <v>Died 12/10/1779, aged 7</v>
      </c>
      <c r="R9" s="73">
        <f>'Book Details - NO EDIT'!AX9</f>
        <v>7</v>
      </c>
      <c r="S9" s="73" t="str">
        <f>'Book Details - NO EDIT'!AY9</f>
        <v xml:space="preserve"> - </v>
      </c>
      <c r="T9" s="73" t="str">
        <f>'Book Details - NO EDIT'!AW9</f>
        <v>Wales</v>
      </c>
      <c r="U9" s="73">
        <f>VLOOKUP(A9,'Book Details - NO EDIT'!$A9:$S$192,13,FALSE)</f>
        <v>0</v>
      </c>
      <c r="V9" s="73">
        <f>VLOOKUP(A9,'Book Details - NO EDIT'!$A9:$S$192,12,FALSE)</f>
        <v>1</v>
      </c>
      <c r="X9" s="31">
        <f>IF(LEN('Book Details - NO EDIT'!J9)=0,0,1)</f>
        <v>1</v>
      </c>
    </row>
    <row r="10" spans="1:24" s="31" customFormat="1" ht="323">
      <c r="A10" s="125">
        <f>'Book Details - NO EDIT'!A10</f>
        <v>8</v>
      </c>
      <c r="B10" s="31" t="str">
        <f>'Book Details - NO EDIT'!Y10</f>
        <v>Edward LOYD</v>
      </c>
      <c r="C10" s="31" t="str">
        <f>'Book Details - NO EDIT'!V10</f>
        <v>Edward (1780–1863)</v>
      </c>
      <c r="D10" s="199" t="str">
        <f>'Book Details - NO EDIT'!I10</f>
        <v>30/01/1780</v>
      </c>
      <c r="E10" s="31" t="str">
        <f>IF('Book Details - NO EDIT'!K10="Boy","Male","Female")</f>
        <v>Male</v>
      </c>
      <c r="F10" s="31" t="str">
        <f>IF('Book Details - NO EDIT'!T10=1,"First",IF('Book Details - NO EDIT'!T10=2,"Second",IF('Book Details - NO EDIT'!T10=3,"Third",IF('Book Details - NO EDIT'!T10=4,"Fourth",IF('Book Details - NO EDIT'!T10=5,"Fifth",IF('Book Details - NO EDIT'!T10=6,"Sixth",IF('Book Details - NO EDIT'!T10=7,"Seventh",IF('Book Details - NO EDIT'!T10=8,"Eighth",0))))))))</f>
        <v>First</v>
      </c>
      <c r="G10" s="31" t="str">
        <f>'Book Details - NO EDIT'!Z10</f>
        <v>William (1729–1800: #1)</v>
      </c>
      <c r="H10" s="31" t="str">
        <f>'Book Details - NO EDIT'!AH10</f>
        <v>Anne WILLIAM (b. 1738, d. 24 May 1801)</v>
      </c>
      <c r="I10" s="31" t="str">
        <f>'Book Details - NO EDIT'!AI10</f>
        <v>Sarah TAYLOR (b.5 Jul 1785, d. 19 Jan 1863)</v>
      </c>
      <c r="J10" s="199" t="str">
        <f>'Book Details - NO EDIT'!AJ10</f>
        <v>17/08/1809</v>
      </c>
      <c r="K10" s="110" t="str">
        <f>'Book Details - NO EDIT'!AK10</f>
        <v>Married Sarah, 3rd daughter of Joseph TAYLOR of Lion Fold, Blackley, Lancashire. at Manchester Collegiate Church (later Manchester Cathedral). Sarah baptised, 7 Aug 1785, at Blackley Chapel. Buried at Addington, near  Croydon. Sarah’s mother married again, after Joseph Taylor, Thomas Henshaw who set up the Henshaw Trust which still exists in 2022 after  Sarah left £20k to the Henshaw Trust in her will.</v>
      </c>
      <c r="L10" s="131" t="str">
        <f>'Book Details - NO EDIT'!AL10</f>
        <v>At different times Edward lived in King Street, Manchester, at Greenhill, Cheetham Hill, Manchester [11] and later at Coombe House, Coombe Lane, Croydon, Surrey. 4th and youngest son of William LLOYD (1729–1800: #1) of Court Henry, Cilycwm, Carmarthenshire. Born 30 Jan 1780 and baptised  3 Feb 1780 at Llanwrda. Educated probably at Mr. David PRICE’s school at Llanycrwys near Lampeter for a schoolmaster. Came to Manchester and entered Bank as a clerk, became head cashier and then partner. Member of the Billiard Club and Broughton Archers.[12] Became senior partner, Manchester branch, Jones Loyds Bank at 35 King Street, Manchester in 1821. Notable collector of modern English water colours and Dutch old masters. Died 30 Jan 1863 at Coombe House, buried at Addington, near Croydon. Estate worth £600,000. Will dated 9 Apr 1855, proved 18 Mar 1863 P.P.R.. Issue: 3 sons, 5 daughters. Roddy SALE (97d), in 2022, has portrait of Sarah Taylor (daughter of Joseph Taylor) who married Edward Loyd (#8). Footnote: [11]  Greenhill, Cheetham Hill, Manchester was built, and lived in, by Samuel JONES who died 17 Mar 1819. It was then taken over by his partner at the bank, Edward LOYD, who lived there until he retired to Croydon in 1848. By 1877 the house had disappeared. Edward LOYD also owned the manor and huge estate of Minshull Vernon, near Nantwich in Cheshire, although he never live there himself. Some of the property was occupied by his wife’s relatives, and he was the joint benefactor of the church of St Peter, Leighton-cum-Minshull. Vernon Manor was rebuilt in 1849 to a design by Sir Gilbert Scott. On his death Edward  left the estate to his eldest son, Lewis LOYD (1811–91: #13) who, in turn, on his death left it and other property in Cheshire to his grandson, Edward Henry LOYD (1861–1938: #44) who was also known as Harry. [12] “Mr Loyd’s devotedness to the bank was equalled by his attachment to his home ....he rarely allowed himself to be absent for more than a day or two. He was a member of the Billiard Club, but found his chief enjoyment in connection with that famous old body, the Broughton Archers. ... composed exclusively of gentlemen, the admission being almost as strict as to the Billiard Club..... all men who represented the weight and influence of the town. A meeting short of Edward Loyd perhaps was never known ... because ... on the archery ground he divested himself of all his cares, smoothed his ruffled plumage, and warmed and refreshed the very atmosphere with his boundless ‘bonhomie’. He was accustomed to present the club as often as needed with an aum (fifteen dozen) of hock ... Of this celebrated club Mr Edward Loyd may truthfully be declared to have been the life and soul ... as a member ... he did most to render it one of the most charming that ever existed. He was one of the muster upon the lawn at Holland House on the occasion of that celebrated festival when the Broughton Archers acted as body guard to the Queen.” Grindon page 153-57.  “After the death of William Jones  [the son of John Jones (1713–75)] and brother of Sarah, wife of Lewis Loyd (1768–1858: #3) in 1821, the King Street bank fell under the control, purely and solely, of Mr Edward Loyd who splendid management continued unbroken for the long period of twenty-seven years. [On 25 December 1848] the Manchester business was separated from the Metropolitan one, the ancient appellation of William Jones Loyd and co., disappeared; Mr Loyd, 68, retired, and the [his] responsibilities in Manchester were distributed amongst four new partners: Mr Loyd’s son Edward (1820 –90: #22), Mr William Entwisle, Mr Henry Barrett Bury and Mr Thomas Barlow Jervis. “On his retirement from the bank, Mr Loyd removed to Croydon in Surrey. His departure from Manchester touched a larger circle than has ever been affected in our town by the loss of the single member of the community. No man was better known or more generally respected. The many years he was accustomed to making his way to the bank with regularity so exact, riding a little brown pony, familiarly known along the road as “Jacob Faithful”, that his passing any given corner suffice to tell the time of day. Later on, disliking everything that savoured of show and vanity, he exchanged a pony for an unpretentious shut-up carriage. He never failed to enter the bank at 9am, and never left in the evening until the books were all made up and the cash was balanced to the uttermost penny. Many a time he had not scrupled to go in late to a dinner party, even at his own table, rather than neglect his duties at the desk. This did not come of any unworthy ‘amor nummi ; in Edward Loyd there was not the slightest taint of avarice; it was purely out of love of order and precision. This also rendered him indifferent to speculation, the desire to get rich by leaps, which, being a disorderly thing, he constantly discouraged……in his conduct towards others he was always kindly and amicable; he knew not what it was to be contentious, and sought, whenever the occasion arose, to promote peace. Grindon p 150 –53. ”In person Mr Edward Loyd was…well made, and compact. He had a fair, round, rosy, ample face, a fine old last–century castor countenance, a beautifully clear complexion, a baldhead, and lucid grey eyes. Come upon him wherever you might, he always had the air of a gentlemen – a certain refined simplicity tinged with stateliness." Grindon Page P 157.</v>
      </c>
      <c r="M10" s="73" t="str">
        <f>'Book Details - NO EDIT'!AA10</f>
        <v xml:space="preserve">William (1729–1800: #1)       </v>
      </c>
      <c r="N10" s="197" t="str">
        <f>'Book Details - NO EDIT'!AB10</f>
        <v xml:space="preserve">6 – Jane (1765–1832: #2) Lewis LOYD (1768–1858: #3) William (1770–1828: #4) Catherine (1772–1798: #5) Thomas (1775–1853: #6) Gwenllian (1777–1779: #7)   </v>
      </c>
      <c r="O10" s="198" t="str">
        <f>'Book Details - NO EDIT'!AC10</f>
        <v>8 - Sarah (1810–1858: #11); Lewis (1811–1891: #13); Annie (1813–1834: #15); Kate (1815–1905: #18); Hannah (1817–1907: #19); Edward (1820–1890: #22); William (1821–1885: #23); Fanny (1824–1856: #24)</v>
      </c>
      <c r="P10" s="198" t="str">
        <f>'Book Details - NO EDIT'!AD10</f>
        <v>31 - Mary (1848–1934: #31); Lewis (1852–1908: #35); Elinor (1853–1895: #36); Gertrude (1854–1924: #38); Fa (1855–1927: #39); Harriet (1856–1921: #40); Frederic (1856–1936: #41); Dulcie (1858–1905: #42); Meg (1859–1936: #43); Harry (1861–1938: #44); Llewellyn (1861–1939: #45); William (1863–1923: #46); Caroline (1864–1940: #47); Caroline (1865–1938: #48) ;Mary (1867–1867: #49); Arthur (1868–1911: #50)   Emma BENYON (1838 - 1913:  #11a) Sarah BENYON (1839 - 1863:  #11b) Henry BENYON (1841 - 1861:  #11c) Fanny BENYON (1842 - 1845:  #11d) Edward BENYON (1845 - 1903:  #11e) Margaret NICOL (1844 - 1927:  #18a) William NICOL (1846 - 1914:  #18b) James NICOL (1848 - 1938:  #18c) Sarah NICOL (1854 - 1943:  #18d) Lewis NICOL (1858 - 1935:  #18e) William ENTWISLE (1839 - 1860:  #19a) Richard ENTWISLE (1840 - 1894:  #19b) Frederica ENTWISLE (1842 - 1916:  #19c) Bernard ENTWISLE (1847 - 1877:  #19d) Edward ENTWISLE (1852 - 1881:  #19e)</v>
      </c>
      <c r="Q10" s="191" t="str">
        <f>IF('Book Details - NO EDIT'!J10="",IF(R10=0,"Less than year on 1-Jul-2022",_xlfn.CONCAT("On 1-Jul-2022, age ",R10,'Book Details - NO EDIT'!J10)),IF(LEN(R10)=0,"Died in infancy",_xlfn.CONCAT("Died ",'Book Details - NO EDIT'!J10,","," aged ",R10)))</f>
        <v>Died 30/01/1863, aged 8</v>
      </c>
      <c r="R10" s="73">
        <f>'Book Details - NO EDIT'!AX10</f>
        <v>8</v>
      </c>
      <c r="S10" s="73" t="str">
        <f>'Book Details - NO EDIT'!AY10</f>
        <v xml:space="preserve"> - </v>
      </c>
      <c r="T10" s="73" t="str">
        <f>'Book Details - NO EDIT'!AW10</f>
        <v>Wales &amp; England</v>
      </c>
      <c r="U10" s="73">
        <f>VLOOKUP(A10,'Book Details - NO EDIT'!$A10:$S$192,13,FALSE)</f>
        <v>0</v>
      </c>
      <c r="V10" s="73">
        <f>VLOOKUP(A10,'Book Details - NO EDIT'!$A10:$S$192,12,FALSE)</f>
        <v>1</v>
      </c>
      <c r="X10" s="31">
        <f>IF(LEN('Book Details - NO EDIT'!J10)=0,0,1)</f>
        <v>1</v>
      </c>
    </row>
    <row r="11" spans="1:24" s="31" customFormat="1" ht="238">
      <c r="A11" s="125">
        <f>'Book Details - NO EDIT'!A11</f>
        <v>9</v>
      </c>
      <c r="B11" s="31" t="str">
        <f>'Book Details - NO EDIT'!Y11</f>
        <v>Samuel Jones LOYD</v>
      </c>
      <c r="C11" s="31" t="str">
        <f>'Book Details - NO EDIT'!V11</f>
        <v>Samuel (1796–1883)</v>
      </c>
      <c r="D11" s="199" t="str">
        <f>'Book Details - NO EDIT'!I11</f>
        <v>25/09/1796</v>
      </c>
      <c r="E11" s="31" t="str">
        <f>IF('Book Details - NO EDIT'!K11="Boy","Male","Female")</f>
        <v>Male</v>
      </c>
      <c r="F11" s="31" t="str">
        <f>IF('Book Details - NO EDIT'!T11=1,"First",IF('Book Details - NO EDIT'!T11=2,"Second",IF('Book Details - NO EDIT'!T11=3,"Third",IF('Book Details - NO EDIT'!T11=4,"Fourth",IF('Book Details - NO EDIT'!T11=5,"Fifth",IF('Book Details - NO EDIT'!T11=6,"Sixth",IF('Book Details - NO EDIT'!T11=7,"Seventh",IF('Book Details - NO EDIT'!T11=8,"Eighth",0))))))))</f>
        <v>Second</v>
      </c>
      <c r="G11" s="31" t="str">
        <f>'Book Details - NO EDIT'!Z11</f>
        <v>Lewis LOYD (1768–1858: #3)</v>
      </c>
      <c r="H11" s="31" t="str">
        <f>'Book Details - NO EDIT'!AH11</f>
        <v>Sarah  JONES (b. 9 Sep 1759, d. 1 Oct 1821)</v>
      </c>
      <c r="I11" s="31" t="str">
        <f>'Book Details - NO EDIT'!AI11</f>
        <v>Harriet  WRIGHT (b. 1798/99, d. 6 Nov 1864)</v>
      </c>
      <c r="J11" s="199" t="str">
        <f>'Book Details - NO EDIT'!AJ11</f>
        <v>10/08/1829</v>
      </c>
      <c r="K11" s="31" t="str">
        <f>'Book Details - NO EDIT'!AK11</f>
        <v>Harriet, daughter of Ichabod WRIGHT of Mapperley Hall, Nottinghamshire. Buried at Lockinge, Nr. Wantage. Harriet Wright’s sister married Fredrick Paul IRBY ( Jan 1866). Their daughter later married Lewis Loyd (1811 - 1891: #13). The Wright’s also related to Foster-Harter, a cousin through Caroline Foster Loyd (1864 -1940: #47).</v>
      </c>
      <c r="L11" s="131" t="str">
        <f>'Book Details - NO EDIT'!AL11</f>
        <v xml:space="preserve">Samuel, the 1st and last Baron OVERSTONE of Overstone and Fotheringhay both in the county of Northamptonshire, of Overstone Park [13], Northamptonshire, and of 2 Carlton Gardens, London SW1. Only son of Lewis LOYD (1768–1858: #3) of 43 Lothbury, London and of Overstone Park, Northamptonshire. Born 25 Sep 1796 at 43 Lothbury. Educated: Eton 1808/09-13 and Trinity College, Cambridge (MA 1818). Oxford (Hon DCL 1864). Career: Partner in Jones Loyds Bank 1817. MP for Hythe 1819-26. Partner in Jones Loyds Bank 1817. MP for Hythe 1819-26. Exchequer Bill (subsequently Public Works Loan) Commissioner 1831-75. Witness before Bank Charter Committee 1832. ‘Reflections and Further Reflections’ published 1837. Witness before Bank Charter Committee 1832. ‘Reflections and Further Reflections’ published 1837. Hand Loom Weavers Commissioner 1837-40. Appeared before Select Committee on Postage 1838. Articles published. Appeared before Committee on Banks of Issue 1840. Writer for Morning Chronicle 1840-1841. Appeared before Committee on Bills of Exchange 1841. Joined Anti Corn Law League 1843. Chairman of British Association for the relief of the Extreme Distress in Ireland and Scotland 1846-49. Commissioner for the Great Exhibition 1850. Raised to Peerage 5 Mar 1850 [14]. Trustee of National Gallery 1850. Senator of London University 1850-77. Letters to The Times signed ‘Mercator’ 1855-57. Exchequer Bill (subsequently Public Works Loan) Commissioner 1831-75. Decimal Coinage Commissioner 1855-60. Consulted by government over future of Act of 1844. Appeared before Committee on Bank Acts 1857. Active in opposition to GLADSTONE’s financial policy 1860. Member of Volunteer Commission 1862. Resigns from Senate of London University 1883. By c1881, Lord OVERSTONE was in receipt of an income that was equivalent to 0.02 per cent of total United Kingdom taxable income, and his investments in land comprised 0.1 per cent of the total land area of Britain. Although he was, therefore, the possessor of one of the largest fortunes of his day, he gave away considerable sums of money (averaging one-third of his total expenditure between 1863 and 1882) to relatives [15], friends and employees as well as to established charities. Died 17 Nov 1883 at 2 Carlton Gardens, London and buried at Lockinge, leaving Securities of £2,188,084, and Landed Property £3,114,262 (much settled on his son-in-law before his death). Issue: 1 son, 1 daughter. Portrait by Frank HOLL in possession of Christopher (1923–2013: #100) and subsequently with Thomas (1959– : #138). “The chief of the new commercial aristocracy is supposed to be Lord Overstone, one of the wealthiest subjects in the world, his fortune being estimated at five millions” - Great Governing Families of England 1865. Footnotes: [13] The building of the present large house was started in 1861 at the wish of Lady Overstone in place of the previous house which Lewis (1768–1858: #3) bought from the Kipling family. Three and a half years later Lady Overstone died and Lord Overstone disliked the new house so much that he lived almost entirely with his daughter and son-in-law at Lockinge and at 2 Carlton Gardens where his daughter and son-in-law also continued to live after Lord Overstone’s death. [14] Samuel's elevation to the peerage gave rise to the following lines: ‘The Banker Lord must have his name destroyed; The peerage must be pure, no peer a (l)Loyd; No longer by his City title known - Lord Overgold is now Lord Overstone’ - Grindon page 168. [15] His “papers contain many details of the extensive financial support which he gave to Mrs T K Loyd [widow of Thomas Kirkman LOYD (1812-57)] and her children. He seems to have supported them, paid for their education, and launched them on their careers” - O’Brien page 1057. </v>
      </c>
      <c r="M11" s="73" t="str">
        <f>'Book Details - NO EDIT'!AA11</f>
        <v xml:space="preserve">Lewis LOYD (1768–1858: #3) William (1729–1800: #1)      </v>
      </c>
      <c r="N11" s="197" t="str">
        <f>'Book Details - NO EDIT'!AB11</f>
        <v>0 – Only chlid</v>
      </c>
      <c r="O11" s="198" t="str">
        <f>'Book Details - NO EDIT'!AC11</f>
        <v>2 - Henry (1832–1833: #25); The Hon Harriet (1837–1920: #26)</v>
      </c>
      <c r="P11" s="198" t="str">
        <f>'Book Details - NO EDIT'!AD11</f>
        <v>-</v>
      </c>
      <c r="Q11" s="191" t="str">
        <f>IF('Book Details - NO EDIT'!J11="",IF(R11=0,"Less than year on 1-Jul-2022",_xlfn.CONCAT("On 1-Jul-2022, age ",R11,'Book Details - NO EDIT'!J11)),IF(LEN(R11)=0,"Died in infancy",_xlfn.CONCAT("Died ",'Book Details - NO EDIT'!J11,","," aged ",R11)))</f>
        <v>Died 17/11/1883, aged 9</v>
      </c>
      <c r="R11" s="73">
        <f>'Book Details - NO EDIT'!AX11</f>
        <v>9</v>
      </c>
      <c r="S11" s="73" t="str">
        <f>'Book Details - NO EDIT'!AY11</f>
        <v xml:space="preserve"> - </v>
      </c>
      <c r="T11" s="73" t="str">
        <f>'Book Details - NO EDIT'!AW11</f>
        <v>England</v>
      </c>
      <c r="U11" s="73">
        <f>VLOOKUP(A11,'Book Details - NO EDIT'!$A11:$S$192,13,FALSE)</f>
        <v>1</v>
      </c>
      <c r="V11" s="73">
        <f>VLOOKUP(A11,'Book Details - NO EDIT'!$A11:$S$192,12,FALSE)</f>
        <v>3</v>
      </c>
      <c r="X11" s="31">
        <f>IF(LEN('Book Details - NO EDIT'!J11)=0,0,1)</f>
        <v>1</v>
      </c>
    </row>
    <row r="12" spans="1:24" s="31" customFormat="1" ht="323">
      <c r="A12" s="125">
        <f>'Book Details - NO EDIT'!A12</f>
        <v>10</v>
      </c>
      <c r="B12" s="31" t="str">
        <f>'Book Details - NO EDIT'!Y12</f>
        <v>William Kirkman LOYD</v>
      </c>
      <c r="C12" s="31" t="str">
        <f>'Book Details - NO EDIT'!V12</f>
        <v>William (1809–1879)</v>
      </c>
      <c r="D12" s="199" t="str">
        <f>'Book Details - NO EDIT'!I12</f>
        <v>09/10/1809</v>
      </c>
      <c r="E12" s="31" t="str">
        <f>IF('Book Details - NO EDIT'!K12="Boy","Male","Female")</f>
        <v>Male</v>
      </c>
      <c r="F12" s="31" t="str">
        <f>IF('Book Details - NO EDIT'!T12=1,"First",IF('Book Details - NO EDIT'!T12=2,"Second",IF('Book Details - NO EDIT'!T12=3,"Third",IF('Book Details - NO EDIT'!T12=4,"Fourth",IF('Book Details - NO EDIT'!T12=5,"Fifth",IF('Book Details - NO EDIT'!T12=6,"Sixth",IF('Book Details - NO EDIT'!T12=7,"Seventh",IF('Book Details - NO EDIT'!T12=8,"Eighth",0))))))))</f>
        <v>Second</v>
      </c>
      <c r="G12" s="31" t="str">
        <f>'Book Details - NO EDIT'!Z12</f>
        <v>William (1770–1828: #4)</v>
      </c>
      <c r="H12" s="31" t="str">
        <f>'Book Details - NO EDIT'!AH12</f>
        <v>Martha KIRKMAN (b. 17 Nov 1775, d. 4 Feb 1857)</v>
      </c>
      <c r="I12" s="31" t="str">
        <f>'Book Details - NO EDIT'!AI12</f>
        <v>Unmarried</v>
      </c>
      <c r="J12" s="199" t="str">
        <f>'Book Details - NO EDIT'!AJ12</f>
        <v xml:space="preserve"> -</v>
      </c>
      <c r="K12" s="31" t="str">
        <f>'Book Details - NO EDIT'!AK12</f>
        <v xml:space="preserve"> -</v>
      </c>
      <c r="L12" s="131" t="str">
        <f>'Book Details - NO EDIT'!AL12</f>
        <v>Eldest son of William LOYD (1770–1828: #4) of 7 Bread Street, Cheapside, London EC2. Born 9 Oct 1809. Educated at the Charterhouse in London. Appointed a student at Addiscombe, the East India Company’s military college in Surrey in Jan 1824. Commissioned 2nd Lieutenant 18 Dec 1825. Sailed for Madras 8 Mar 1826, arrived 12 Jul 1826 (aged 16). Joined 3rd Battalion, Madras Artillery. Promoted Lieutenant 6 Aug 1827. Acting Staff Officer 1828/29. Adjutant, 2nd Battalion Sep 1831-Jan 1835. D Troop, Horse Brigade Jan 1835-Oct 1838. Appointed to Artillery of Nizam of Hyderabad Oct 1838. Gazetted Captain 1840. Active Service in 1841, 1849 and 1851. Gazetted Major Nov 1851. Active service in 1853. Retired with rank of Lieut Colonel, Madras Artillery 1854. Departed India 30 Aug 1854. Arrived London after 28 years service 20 Oct 1854. Became guardian of the seven young children of his brother Thomas Kirkman LOYD (1812–57: #14), killed in Indian Mutiny. He lived at: 17 Marlborough Place, St John’s Wood, London NW8. 1854-57; Brighton and elsewhere (1857-1860; 30 Leinster Square, London W2. (1860-64); 7 Gloucester Place, London. (1864-66); 45 Dover St, London W1. (1866-74); 7 Broadwater Down, Tunbridge Wells, Kent. (1874-79). William died, unmarried, 14 Jun 1879 and was buried 21 Jun 1879 in the Tunbridge Wells Cemetery. DSP Portrait by Eden Upton EDDIS in possession of Peter Haig LOYD (1922–2022: #98) until passed to William (1973– : #155). “After the Colonel had served continuously in the tropics for more than a quarter of a century, his health began to fail. In the autumn of 1853 he was granted, on medical recommendation, eight months leave of absence for the purpose of taking a sea voyage, and obtaining a change of air which, it was hoped, would restore his health. On the 1 Nov 1853 he started his eight months’ sick leave, and saw a railway train for the first time in his life at Bombay in the middle of the month. From Bombay he went to Ceylon where he met his brother, T K Loyd - my grandfather. They travelled together by sea to Calcutta where they remained for a short time. The Colonel returned alone by sea to Bombay, and went from there to Mahabaleshwar where he remained for three months. As might perhaps be expected, this continued sojourn in the tropics failed to restore him to health, and he had to leave India. He retired from the service with the rank and pension of a Lieut. Colonel. On 30 Aug 1854, he left Bombay by steamship for Suez. Thence he proceeded by the overland route to Alexandria where he embarked on an Austrian Lloyd steamer for Trieste. From there he travelled, by Venice, across Europe by train and diligence, reaching London on 20 Oct 1854 after twenty-eight years’ absence. To return to England in middle life with impaired health after an uninterrupted spell of service in India, seems to have been quite usual in those days. In order to understand properly the Colonel’s papers it is necessary to go back a little. His father, William (1809–1879: #4), was the only one of the four brothers who came from Wales in search of fortune to fail in business [and as a result of which] his brothers had assisted him and his family. When the Colonel returned from India, his surviving uncles were old men, and their sons and daughters thoroughly well established in England. His English diaries are very interesting because he moved about so much and had so many friends. One of the points which impresses...is the genius he possessed for enjoying the friendship of people of widely varying circumstances and interests. In spite of troubles and bereavements, not very good health and the inherent loneliness of the man with no family of his own, he must have had some very happy times: discovering his native Islands; constantly staying in the country houses of his relatives and friends; frequently travelling abroad; hunting and shooting a little in England; always helping those around him and delighting in their affection; and meeting through the Overstones and others much that was distinguished and interesting in English life. For his mind, informed by wide reading and by constant travel, his delightful personality and his innate goodness gave him the key to many worlds. The Colonel never married and the chief concern of his life became the guardianship of the seven children of his brother, my grandfather, who perished in the Indian Mutiny, leaving a widow and young family. The Colonel assumed a father’s responsibility to them and carried out this labour of love with unswerving devotion and unselfishness. In return he possessed their deep affection and lived to see them grow up and start in the professions he was at such pains to help them enter. Lord Overstone and his cousins stood behind the little group with their wise and generous support. The very difficult and delicate task of negotiating between the young family of his dead brother and his wealthy cousins devolved upon the Colonel. It is impossible to read [his] diaries without noticing the exceeding kindness of these cousins to the Colonel’s ‘wards’; not only financially but in other ways as well. All [these] circumstances....combined to save the Colonel from the lonely years in England that so often awaited men who had spent their youth and their health in India. His restlessness is manifested by his frequent changes of abode, as well as by his love of movement” - from notes of Reggie (1886–1961: #61).</v>
      </c>
      <c r="M12" s="73" t="str">
        <f>'Book Details - NO EDIT'!AA12</f>
        <v xml:space="preserve">William (1770–1828: #4) William (1729–1800: #1)      </v>
      </c>
      <c r="N12" s="197" t="str">
        <f>'Book Details - NO EDIT'!AB12</f>
        <v xml:space="preserve">6 – Eliza (1810–1861: #12) Thomas (1812–1857: #14) Maria (1814–1900: #16) Edward (1815–1815: #17) John (1817–1818: #20) Lewis (1819–1841: #21)  </v>
      </c>
      <c r="O12" s="198" t="str">
        <f>'Book Details - NO EDIT'!AC12</f>
        <v>d.s.p</v>
      </c>
      <c r="P12" s="198" t="str">
        <f>'Book Details - NO EDIT'!AD12</f>
        <v>d.s.p.</v>
      </c>
      <c r="Q12" s="191" t="str">
        <f>IF('Book Details - NO EDIT'!J12="",IF(R12=0,"Less than year on 1-Jul-2022",_xlfn.CONCAT("On 1-Jul-2022, age ",R12,'Book Details - NO EDIT'!J12)),IF(LEN(R12)=0,"Died in infancy",_xlfn.CONCAT("Died ",'Book Details - NO EDIT'!J12,","," aged ",R12)))</f>
        <v>Died 14/06/1879, aged 10</v>
      </c>
      <c r="R12" s="73">
        <f>'Book Details - NO EDIT'!AX12</f>
        <v>10</v>
      </c>
      <c r="S12" s="73" t="str">
        <f>'Book Details - NO EDIT'!AY12</f>
        <v xml:space="preserve"> - </v>
      </c>
      <c r="T12" s="73" t="str">
        <f>'Book Details - NO EDIT'!AW12</f>
        <v>England &amp; India</v>
      </c>
      <c r="U12" s="73">
        <f>VLOOKUP(A12,'Book Details - NO EDIT'!$A12:$S$192,13,FALSE)</f>
        <v>1</v>
      </c>
      <c r="V12" s="73">
        <f>VLOOKUP(A12,'Book Details - NO EDIT'!$A12:$S$192,12,FALSE)</f>
        <v>4</v>
      </c>
      <c r="X12" s="31">
        <f>IF(LEN('Book Details - NO EDIT'!J12)=0,0,1)</f>
        <v>1</v>
      </c>
    </row>
    <row r="13" spans="1:24" s="31" customFormat="1" ht="34">
      <c r="A13" s="125">
        <f>'Book Details - NO EDIT'!A13</f>
        <v>11</v>
      </c>
      <c r="B13" s="31" t="str">
        <f>'Book Details - NO EDIT'!Y13</f>
        <v>Sarah LOYD</v>
      </c>
      <c r="C13" s="31" t="str">
        <f>'Book Details - NO EDIT'!V13</f>
        <v>Sarah (1810–1858)</v>
      </c>
      <c r="D13" s="199" t="str">
        <f>'Book Details - NO EDIT'!I13</f>
        <v>30/05/1810</v>
      </c>
      <c r="E13" s="31" t="str">
        <f>IF('Book Details - NO EDIT'!K13="Boy","Male","Female")</f>
        <v>Female</v>
      </c>
      <c r="F13" s="31" t="str">
        <f>IF('Book Details - NO EDIT'!T13=1,"First",IF('Book Details - NO EDIT'!T13=2,"Second",IF('Book Details - NO EDIT'!T13=3,"Third",IF('Book Details - NO EDIT'!T13=4,"Fourth",IF('Book Details - NO EDIT'!T13=5,"Fifth",IF('Book Details - NO EDIT'!T13=6,"Sixth",IF('Book Details - NO EDIT'!T13=7,"Seventh",IF('Book Details - NO EDIT'!T13=8,"Eighth",0))))))))</f>
        <v>Second</v>
      </c>
      <c r="G13" s="31" t="str">
        <f>'Book Details - NO EDIT'!Z13</f>
        <v>Edward (1780–1863: #8)</v>
      </c>
      <c r="H13" s="31" t="str">
        <f>'Book Details - NO EDIT'!AH13</f>
        <v>Sarah TAYLOR (b.5 Jul 1785, d. 19 Jan 1863)</v>
      </c>
      <c r="I13" s="31" t="str">
        <f>'Book Details - NO EDIT'!AI13</f>
        <v>Henry Bombonus BENYON (b. 3 Mar 1806, d. 25 Feb 1849)</v>
      </c>
      <c r="J13" s="199" t="str">
        <f>'Book Details - NO EDIT'!AJ13</f>
        <v>01/10/1835</v>
      </c>
      <c r="K13" s="31" t="str">
        <f>'Book Details - NO EDIT'!AK13</f>
        <v>Married Henry at the Collegiate Church, Manchester (later Manchester Cathedral). Henry buried with his daughter, Fanny, in a vault at Roundhay Church) of Roundhay Lodge, Leeds.</v>
      </c>
      <c r="L13" s="131" t="str">
        <f>'Book Details - NO EDIT'!AL13</f>
        <v>Sarah was the eldest daughter of Edward (1780–1863: #8) of Coombe House, Coombe Lane, Croydon, Surrey. Born 30 May 1810.  Died 15 Jun 1858, buried at Hollington, Nr. Hastings, Sussex. Roddy SALE (#97d), in 2022, has portrait of Sarah BENYON (1839 – 1863: #11b). Issue: 3 daughters, 2 sons.</v>
      </c>
      <c r="M13" s="73" t="str">
        <f>'Book Details - NO EDIT'!AA13</f>
        <v xml:space="preserve">Edward (1780–1863: #8) William (1729–1800: #1)      </v>
      </c>
      <c r="N13" s="197" t="str">
        <f>'Book Details - NO EDIT'!AB13</f>
        <v xml:space="preserve">7 – Lewis (1811–1891: #13) Annie (1813–1834: #15) Kate (1815–1905: #18) Hannah (1817–1907: #19) Edward (1820–1890: #22) William (1821–1885: #23) Fanny (1824–1856: #24) </v>
      </c>
      <c r="O13" s="198" t="str">
        <f>'Book Details - NO EDIT'!AC13</f>
        <v xml:space="preserve">5 - Emma BENYON (1838 - 1913: #11a) Sarah BENYON (1839 - 1863: #11b) Henry BENYON (1841 - 1861: #11c) Fanny BENYON (1842 - 1845: #11d) Edward BENYON (1845 - 1903: #11e)   </v>
      </c>
      <c r="P13" s="198" t="str">
        <f>'Book Details - NO EDIT'!AD13</f>
        <v>-</v>
      </c>
      <c r="Q13" s="191" t="str">
        <f>IF('Book Details - NO EDIT'!J13="",IF(R13=0,"Less than year on 1-Jul-2022",_xlfn.CONCAT("On 1-Jul-2022, age ",R13,'Book Details - NO EDIT'!J13)),IF(LEN(R13)=0,"Died in infancy",_xlfn.CONCAT("Died ",'Book Details - NO EDIT'!J13,","," aged ",R13)))</f>
        <v>Died 15/06/1858, aged 11</v>
      </c>
      <c r="R13" s="73">
        <f>'Book Details - NO EDIT'!AX13</f>
        <v>11</v>
      </c>
      <c r="S13" s="73" t="str">
        <f>'Book Details - NO EDIT'!AY13</f>
        <v xml:space="preserve"> - </v>
      </c>
      <c r="T13" s="73" t="str">
        <f>'Book Details - NO EDIT'!AW13</f>
        <v>England</v>
      </c>
      <c r="U13" s="73">
        <f>VLOOKUP(A13,'Book Details - NO EDIT'!$A13:$S$192,13,FALSE)</f>
        <v>1</v>
      </c>
      <c r="V13" s="73">
        <f>VLOOKUP(A13,'Book Details - NO EDIT'!$A13:$S$192,12,FALSE)</f>
        <v>8</v>
      </c>
      <c r="X13" s="31">
        <f>IF(LEN('Book Details - NO EDIT'!J13)=0,0,1)</f>
        <v>1</v>
      </c>
    </row>
    <row r="14" spans="1:24" s="31" customFormat="1" ht="17">
      <c r="A14" s="125">
        <f>'Book Details - NO EDIT'!A14</f>
        <v>12</v>
      </c>
      <c r="B14" s="31" t="str">
        <f>'Book Details - NO EDIT'!Y14</f>
        <v>Eliza LOYD</v>
      </c>
      <c r="C14" s="31" t="str">
        <f>'Book Details - NO EDIT'!V14</f>
        <v>Eliza (1810–1861)</v>
      </c>
      <c r="D14" s="199" t="str">
        <f>'Book Details - NO EDIT'!I14</f>
        <v>30/11/1810</v>
      </c>
      <c r="E14" s="31" t="str">
        <f>IF('Book Details - NO EDIT'!K14="Boy","Male","Female")</f>
        <v>Female</v>
      </c>
      <c r="F14" s="31" t="str">
        <f>IF('Book Details - NO EDIT'!T14=1,"First",IF('Book Details - NO EDIT'!T14=2,"Second",IF('Book Details - NO EDIT'!T14=3,"Third",IF('Book Details - NO EDIT'!T14=4,"Fourth",IF('Book Details - NO EDIT'!T14=5,"Fifth",IF('Book Details - NO EDIT'!T14=6,"Sixth",IF('Book Details - NO EDIT'!T14=7,"Seventh",IF('Book Details - NO EDIT'!T14=8,"Eighth",0))))))))</f>
        <v>Second</v>
      </c>
      <c r="G14" s="31" t="str">
        <f>'Book Details - NO EDIT'!Z14</f>
        <v>William (1770–1828: #4)</v>
      </c>
      <c r="H14" s="31" t="str">
        <f>'Book Details - NO EDIT'!AH14</f>
        <v>Martha KIRKMAN (b. 17 Nov 1775, d. 4 Feb 1857)</v>
      </c>
      <c r="I14" s="31" t="str">
        <f>'Book Details - NO EDIT'!AI14</f>
        <v>Unmarried</v>
      </c>
      <c r="J14" s="199" t="str">
        <f>'Book Details - NO EDIT'!AJ14</f>
        <v xml:space="preserve"> -</v>
      </c>
      <c r="K14" s="31" t="str">
        <f>'Book Details - NO EDIT'!AK14</f>
        <v xml:space="preserve"> -</v>
      </c>
      <c r="L14" s="131" t="str">
        <f>'Book Details - NO EDIT'!AL14</f>
        <v xml:space="preserve">Eliza was the elder daughter of William  (1770–1828: #4) of 7 Bread Street, Cheapside, London EC2. Born 30 Nov 1810. Died, unmarried, 3 Oct 1861 at 30 Leinster Square, London W2. DSP   </v>
      </c>
      <c r="M14" s="73" t="str">
        <f>'Book Details - NO EDIT'!AA14</f>
        <v xml:space="preserve">William (1770–1828: #4) William (1729–1800: #1)      </v>
      </c>
      <c r="N14" s="197" t="str">
        <f>'Book Details - NO EDIT'!AB14</f>
        <v xml:space="preserve">6 – William (1809–1879: #10)  Thomas (1812–1857: #14) Maria (1814–1900: #16) Edward (1815–1815: #17) John (1817–1818: #20) Lewis (1819–1841: #21)  </v>
      </c>
      <c r="O14" s="198" t="str">
        <f>'Book Details - NO EDIT'!AC14</f>
        <v>d.s.p</v>
      </c>
      <c r="P14" s="198" t="str">
        <f>'Book Details - NO EDIT'!AD14</f>
        <v>d.s.p.</v>
      </c>
      <c r="Q14" s="191" t="str">
        <f>IF('Book Details - NO EDIT'!J14="",IF(R14=0,"Less than year on 1-Jul-2022",_xlfn.CONCAT("On 1-Jul-2022, age ",R14,'Book Details - NO EDIT'!J14)),IF(LEN(R14)=0,"Died in infancy",_xlfn.CONCAT("Died ",'Book Details - NO EDIT'!J14,","," aged ",R14)))</f>
        <v>Died 03/10/1861, aged 12</v>
      </c>
      <c r="R14" s="73">
        <f>'Book Details - NO EDIT'!AX14</f>
        <v>12</v>
      </c>
      <c r="S14" s="73" t="str">
        <f>'Book Details - NO EDIT'!AY14</f>
        <v xml:space="preserve"> - </v>
      </c>
      <c r="T14" s="73" t="str">
        <f>'Book Details - NO EDIT'!AW14</f>
        <v>England</v>
      </c>
      <c r="U14" s="73">
        <f>VLOOKUP(A14,'Book Details - NO EDIT'!$A14:$S$192,13,FALSE)</f>
        <v>1</v>
      </c>
      <c r="V14" s="73">
        <f>VLOOKUP(A14,'Book Details - NO EDIT'!$A14:$S$192,12,FALSE)</f>
        <v>4</v>
      </c>
      <c r="X14" s="31">
        <f>IF(LEN('Book Details - NO EDIT'!J14)=0,0,1)</f>
        <v>1</v>
      </c>
    </row>
    <row r="15" spans="1:24" s="31" customFormat="1" ht="68">
      <c r="A15" s="125">
        <f>'Book Details - NO EDIT'!A15</f>
        <v>13</v>
      </c>
      <c r="B15" s="31" t="str">
        <f>'Book Details - NO EDIT'!Y15</f>
        <v>Lewis LOYD</v>
      </c>
      <c r="C15" s="31" t="str">
        <f>'Book Details - NO EDIT'!V15</f>
        <v>Lewis (1811–1891)</v>
      </c>
      <c r="D15" s="199" t="str">
        <f>'Book Details - NO EDIT'!I15</f>
        <v>10/08/1811</v>
      </c>
      <c r="E15" s="31" t="str">
        <f>IF('Book Details - NO EDIT'!K15="Boy","Male","Female")</f>
        <v>Male</v>
      </c>
      <c r="F15" s="31" t="str">
        <f>IF('Book Details - NO EDIT'!T15=1,"First",IF('Book Details - NO EDIT'!T15=2,"Second",IF('Book Details - NO EDIT'!T15=3,"Third",IF('Book Details - NO EDIT'!T15=4,"Fourth",IF('Book Details - NO EDIT'!T15=5,"Fifth",IF('Book Details - NO EDIT'!T15=6,"Sixth",IF('Book Details - NO EDIT'!T15=7,"Seventh",IF('Book Details - NO EDIT'!T15=8,"Eighth",0))))))))</f>
        <v>Second</v>
      </c>
      <c r="G15" s="31" t="str">
        <f>'Book Details - NO EDIT'!Z15</f>
        <v>Edward (1780–1863: #8)</v>
      </c>
      <c r="H15" s="31" t="str">
        <f>'Book Details - NO EDIT'!AH15</f>
        <v>Sarah TAYLOR (b.5 Jul 1785, d. 19 Jan 1863)</v>
      </c>
      <c r="I15" s="31" t="str">
        <f>'Book Details - NO EDIT'!AI15</f>
        <v>Frances Harriet IRBY (b. 25 Feb 1817, d. 27 Jan 1902)</v>
      </c>
      <c r="J15" s="199" t="str">
        <f>'Book Details - NO EDIT'!AJ15</f>
        <v>19/06/1845</v>
      </c>
      <c r="K15" s="31" t="str">
        <f>'Book Details - NO EDIT'!AK15</f>
        <v>Married at St George’s, Hanover Square, London. Frances eldest daughter of Rear Admiral The Hon Frederick Paul IRBY CB of Boyland Hall, Norfolk. Frances's mother, Frances WRIGHT, was Lady OVERSTONE’S sister.</v>
      </c>
      <c r="L15" s="131" t="str">
        <f>'Book Details - NO EDIT'!AL15</f>
        <v>Lewis lived at 20 Hyde Park Gardens, London SW7 and at Monk’s Orchard, West Wickham, Kent. Eldest son of Edward (1780–1863: #8) of Coombe House, Coombe Lane, Croydon, Surrey. Born 10 Aug 1811 and baptised  4 Sept 1811 at St Ann’s, Manchester. Educated: Eton and Trinity College, Cambridge. Career: Banker in the London house of Jones Loyd &amp; Co. JP Surrey. High Sheriff 1863. Commissioner of Lieutenancy for the City of London. Founded the church of St John the Evangelist, Waterloo Road, Cheetham, Manchester at a cost of £20,000 and endowed benefice with income of £200 per annum. Died 19 Jul 1891, buried at Addington, Nr. Croydon, Surrey. DSP Will dated 1885. Estate £598,798. Roddy SALE (#97d), in 2022, has IRBY family tree (from Lewis). Frank Sale (#97ea) visited the church, which transferred to the New Testament, but has a revisionary clause that if the church should close then the property reverts to the Loyd estate. Roddy also has portrait of Lewis as a young man.</v>
      </c>
      <c r="M15" s="73" t="str">
        <f>'Book Details - NO EDIT'!AA15</f>
        <v xml:space="preserve">Edward (1780–1863: #8) William (1729–1800: #1)      </v>
      </c>
      <c r="N15" s="197" t="str">
        <f>'Book Details - NO EDIT'!AB15</f>
        <v xml:space="preserve">7 – Sarah (1810–1858: #11)  Annie (1813–1834: #15) Kate (1815–1905: #18) Hannah (1817–1907: #19) Edward (1820–1890: #22) William (1821–1885: #23) Fanny (1824–1856: #24) </v>
      </c>
      <c r="O15" s="198" t="str">
        <f>'Book Details - NO EDIT'!AC15</f>
        <v>d.s.p</v>
      </c>
      <c r="P15" s="198" t="str">
        <f>'Book Details - NO EDIT'!AD15</f>
        <v>d.s.p.</v>
      </c>
      <c r="Q15" s="191" t="str">
        <f>IF('Book Details - NO EDIT'!J15="",IF(R15=0,"Less than year on 1-Jul-2022",_xlfn.CONCAT("On 1-Jul-2022, age ",R15,'Book Details - NO EDIT'!J15)),IF(LEN(R15)=0,"Died in infancy",_xlfn.CONCAT("Died ",'Book Details - NO EDIT'!J15,","," aged ",R15)))</f>
        <v>Died 19/07/1891, aged 13</v>
      </c>
      <c r="R15" s="73">
        <f>'Book Details - NO EDIT'!AX15</f>
        <v>13</v>
      </c>
      <c r="S15" s="73" t="str">
        <f>'Book Details - NO EDIT'!AY15</f>
        <v xml:space="preserve"> - </v>
      </c>
      <c r="T15" s="73" t="str">
        <f>'Book Details - NO EDIT'!AW15</f>
        <v>England</v>
      </c>
      <c r="U15" s="73">
        <f>VLOOKUP(A15,'Book Details - NO EDIT'!$A15:$S$192,13,FALSE)</f>
        <v>1</v>
      </c>
      <c r="V15" s="73">
        <f>VLOOKUP(A15,'Book Details - NO EDIT'!$A15:$S$192,12,FALSE)</f>
        <v>8</v>
      </c>
      <c r="X15" s="31">
        <f>IF(LEN('Book Details - NO EDIT'!J15)=0,0,1)</f>
        <v>1</v>
      </c>
    </row>
    <row r="16" spans="1:24" s="31" customFormat="1" ht="170">
      <c r="A16" s="125">
        <f>'Book Details - NO EDIT'!A16</f>
        <v>14</v>
      </c>
      <c r="B16" s="31" t="str">
        <f>'Book Details - NO EDIT'!Y16</f>
        <v>Thomas Kirkman LOYD</v>
      </c>
      <c r="C16" s="31" t="str">
        <f>'Book Details - NO EDIT'!V16</f>
        <v>Thomas (1812–1857)</v>
      </c>
      <c r="D16" s="199" t="str">
        <f>'Book Details - NO EDIT'!I16</f>
        <v>10/10/1812</v>
      </c>
      <c r="E16" s="31" t="str">
        <f>IF('Book Details - NO EDIT'!K16="Boy","Male","Female")</f>
        <v>Male</v>
      </c>
      <c r="F16" s="31" t="str">
        <f>IF('Book Details - NO EDIT'!T16=1,"First",IF('Book Details - NO EDIT'!T16=2,"Second",IF('Book Details - NO EDIT'!T16=3,"Third",IF('Book Details - NO EDIT'!T16=4,"Fourth",IF('Book Details - NO EDIT'!T16=5,"Fifth",IF('Book Details - NO EDIT'!T16=6,"Sixth",IF('Book Details - NO EDIT'!T16=7,"Seventh",IF('Book Details - NO EDIT'!T16=8,"Eighth",0))))))))</f>
        <v>Second</v>
      </c>
      <c r="G16" s="31" t="str">
        <f>'Book Details - NO EDIT'!Z16</f>
        <v>William (1770–1828: #4)</v>
      </c>
      <c r="H16" s="31" t="str">
        <f>'Book Details - NO EDIT'!AH16</f>
        <v>Martha KIRKMAN (b. 17 Nov 1775, d. 4 Feb 1857)</v>
      </c>
      <c r="I16" s="31" t="str">
        <f>'Book Details - NO EDIT'!AI16</f>
        <v>Annie Hurst HAIG (b. 3 Oct 1816, d. 28 May 1885)</v>
      </c>
      <c r="J16" s="199" t="str">
        <f>'Book Details - NO EDIT'!AJ16</f>
        <v>10/02/1842</v>
      </c>
      <c r="K16" s="31" t="str">
        <f>'Book Details - NO EDIT'!AK16</f>
        <v>Married at Agra, Annie, daughter of Captain James HAIG (b. c1768, d. 11 Sep 1832 buried at St Paul’s, Bedford) of Bedford, 3rd in descent from Anthony, 21st Laird of Bemersyde. Owing to a carriage accident Annie was unable to accompany her husband to India on his last return there and thus survived the Mutiny. Annie died at Riola, Vergato, Florence, Italy, buried 1 Jun 1885 in Protestant Cemetery, Florence. Annie's Estate £2,971.  After leaving the Royal Navy with the rank of Lieutenant, James HAIG bought a small ship and, putting a skipper and crew on board, traded with her, and other ships like her, for many years in the East Indies. When he married, he bought a house in the Crescent, then being built, in Bedford where his children grew up, the boys going to Bedford School). Portraits of James Haig and his wife, Maria, were in possession of the Rev Lewis Haig (1844-1905: #28), then Bishop Philip Henry (1884-1952: #58) who gave them to Reggie (1886- 1961: #61), who, in turn, left them as part of his estate to Peter (1922-2022: #98). “All my childhood I remember a portrait my Father had of James Haig,.....I remember my Father told us small children not to shoot our arrows at his portrait when we were all shooting madly, and James looked at us so sternly!” - in a letter from Kitty (1885-1989: #60) dated 4 Nov 1987 to Peter (1922- 2022: #98).</v>
      </c>
      <c r="L16" s="131" t="str">
        <f>'Book Details - NO EDIT'!AL16</f>
        <v>Thomas of Humeerpoor [17], North West Provinces, India. 2nd son of William (1770–1828: #4) of 7 Bread Street, Cheapside, London EC2. Born 10 Oct 1812 at Cheapside. Educated Haileybury 1831-32. Career: Joined Bengal Civil Service 1833. Magistrate and Collector of Humeerpoor. Killed in Indian Mutiny 19 Jun 1857 at Humeerpoor. His wife Annie [18], daughter of Captain James HAIG [19], survived the mutiny. Issue: 7 sons, 1 daughter. Original portrait in possession of Michael (1938– : #114). Copy of a document in writing of Thomas Kirkman LOYD dated one week before his murder by the Sepoys in the Indian Mutiny:  “In case of my death I make my watch [20] a present to Gungah-Sahale, my Serishtadar, for faithful service since I have been in the district. My watch-chain and two seals, one with my crest, and one with “Annie” on it, I wish, if preserved, to go to my family; the chain and crest [21] to my son Arthur (as I know my brother Lewis’s (1819–1841: #21) watch is intended for my dear son Lewis (1844–1905: #28)) and the “Annie” seal to my dear little daughter Annie (1853–1946: #37). My father’s snuff-box to be dear little Archie’s (1847–1922: #30), and the little cross and chain Annie’s (#37), and all the other little things that may escape to be divided amongst my dear children, whom with my dearest wife may God preserve for ever and ever. We have authentic information that the whole English population of Allahabad have been destroyed and we expect our fate to be the same here very long. I trust I die with no enmity in my heart towards anyone, and I pray God to forgive me all my sins and to accept me thro’ the alone merits of His dear Son our Saviour Jesus Christ. (Signed) T. K. LOYD Humeerpore 12 Jun 1857.” Footnote: [17] Or ‘Humeerpore’. Now Hamirpur, Uttar Pradesh, India. [18]  Owing to a carriage accident she was unable to accompany her husband to India on his last return there, and thus survived the Mutiny. [19] Portraits of  Captain James HAIG and his wife, Maria, were in possession of the Rev Lewis (1844–1905: #28), then of Bishop Philip (1884–1952: #58) who gave them to Reginald (1886- 1961: #61), who, in turn, left them as part of his estate to Peter (1922–2022: #98). Now in possession of William (1973– : #155).  “All my childhood I remember a portrait my Father had of James Haig,....I remember my Father told us small children not to shoot our arrows at his portrait when we were all shooting madly, and James looked at us so sternly!” In a letter from Mary Beatrix LOYD (1885-1989: #60)[Kitty KONSTAM] dated 4 Nov 1987 to Peter (1922–2022: #98). [20] Apparently his Serishtadar (or servant) held him in such high regard that he returned his gold watch to the family and was in the possession of Christopher Lewis LOYD (1923–2013: #100) and is now in the possession of Michael (1938– : #114).</v>
      </c>
      <c r="M16" s="73" t="str">
        <f>'Book Details - NO EDIT'!AA16</f>
        <v xml:space="preserve">William (1770–1828: #4) William (1729–1800: #1)      </v>
      </c>
      <c r="N16" s="197" t="str">
        <f>'Book Details - NO EDIT'!AB16</f>
        <v xml:space="preserve">6 – William (1809–1879: #10) Eliza (1810–1861: #12)  Maria (1814–1900: #16) Edward (1815–1815: #17) John (1817–1818: #20) Lewis (1819–1841: #21)  </v>
      </c>
      <c r="O16" s="198" t="str">
        <f>'Book Details - NO EDIT'!AC16</f>
        <v>8 - William (1843–1843: #27); The Rev Lewis (1844–1905: #28); Arthur (1845–1930: #29); Archie (1847–1922: #30); Frank (1848–1934: #32); Alfred (1849–1881: #33); Ted (1851–1922: #34); Annie (1853–1946: #37)</v>
      </c>
      <c r="P16" s="198" t="str">
        <f>'Book Details - NO EDIT'!AD16</f>
        <v xml:space="preserve">14 - Lewis (1875–1947: #51); Alfred (1882–1919: #54); Tommy (1882–1944: #56); Rt Rev Philip (1884–1952: #58); Kitty (1885–1989: #60); Reggie (1886–1961: #61); Bobby (1887–1977: #62); Nan (1889–1967: #65); Tony/Dodo (1889–1956: #67); Geoffrey (1890–1914: #69); Arthur (1890–1974: #71); Edward (1893–1932: #76); Wilfrid (1893–1971: #77); Eric (1894–1963: #80)   </v>
      </c>
      <c r="Q16" s="191" t="str">
        <f>IF('Book Details - NO EDIT'!J16="",IF(R16=0,"Less than year on 1-Jul-2022",_xlfn.CONCAT("On 1-Jul-2022, age ",R16,'Book Details - NO EDIT'!J16)),IF(LEN(R16)=0,"Died in infancy",_xlfn.CONCAT("Died ",'Book Details - NO EDIT'!J16,","," aged ",R16)))</f>
        <v>Died 19/06/1857, aged 14</v>
      </c>
      <c r="R16" s="73">
        <f>'Book Details - NO EDIT'!AX16</f>
        <v>14</v>
      </c>
      <c r="S16" s="73" t="str">
        <f>'Book Details - NO EDIT'!AY16</f>
        <v xml:space="preserve"> - </v>
      </c>
      <c r="T16" s="73" t="str">
        <f>'Book Details - NO EDIT'!AW16</f>
        <v>England &amp; India</v>
      </c>
      <c r="U16" s="73">
        <f>VLOOKUP(A16,'Book Details - NO EDIT'!$A16:$S$192,13,FALSE)</f>
        <v>1</v>
      </c>
      <c r="V16" s="73">
        <f>VLOOKUP(A16,'Book Details - NO EDIT'!$A16:$S$192,12,FALSE)</f>
        <v>4</v>
      </c>
      <c r="X16" s="31">
        <f>IF(LEN('Book Details - NO EDIT'!J16)=0,0,1)</f>
        <v>1</v>
      </c>
    </row>
    <row r="17" spans="1:24" s="31" customFormat="1" ht="17">
      <c r="A17" s="125">
        <f>'Book Details - NO EDIT'!A17</f>
        <v>15</v>
      </c>
      <c r="B17" s="31" t="str">
        <f>'Book Details - NO EDIT'!Y17</f>
        <v>Ann LOYD</v>
      </c>
      <c r="C17" s="31" t="str">
        <f>'Book Details - NO EDIT'!V17</f>
        <v>Annie (1813–1834)</v>
      </c>
      <c r="D17" s="199" t="str">
        <f>'Book Details - NO EDIT'!I17</f>
        <v>26/02/1813</v>
      </c>
      <c r="E17" s="31" t="str">
        <f>IF('Book Details - NO EDIT'!K17="Boy","Male","Female")</f>
        <v>Female</v>
      </c>
      <c r="F17" s="31" t="str">
        <f>IF('Book Details - NO EDIT'!T17=1,"First",IF('Book Details - NO EDIT'!T17=2,"Second",IF('Book Details - NO EDIT'!T17=3,"Third",IF('Book Details - NO EDIT'!T17=4,"Fourth",IF('Book Details - NO EDIT'!T17=5,"Fifth",IF('Book Details - NO EDIT'!T17=6,"Sixth",IF('Book Details - NO EDIT'!T17=7,"Seventh",IF('Book Details - NO EDIT'!T17=8,"Eighth",0))))))))</f>
        <v>Second</v>
      </c>
      <c r="G17" s="31" t="str">
        <f>'Book Details - NO EDIT'!Z17</f>
        <v>Edward (1780–1863: #8)</v>
      </c>
      <c r="H17" s="31" t="str">
        <f>'Book Details - NO EDIT'!AH17</f>
        <v>Sarah TAYLOR (b.5 Jul 1785, d. 19 Jan 1863)</v>
      </c>
      <c r="I17" s="31" t="str">
        <f>'Book Details - NO EDIT'!AI17</f>
        <v>Died in infancy.</v>
      </c>
      <c r="J17" s="199" t="str">
        <f>'Book Details - NO EDIT'!AJ17</f>
        <v xml:space="preserve"> -</v>
      </c>
      <c r="K17" s="31" t="str">
        <f>'Book Details - NO EDIT'!AK17</f>
        <v xml:space="preserve"> - </v>
      </c>
      <c r="L17" s="131" t="str">
        <f>'Book Details - NO EDIT'!AL17</f>
        <v>Ann also known as Annie was the 2nd daughter of Edward (1780–1863: #8) of Coombe House, Coombe Lane, Croydon, Surrey. Born 26 Feb 1813. Died, unmarried, 10 Sep 1834. DSP</v>
      </c>
      <c r="M17" s="73" t="str">
        <f>'Book Details - NO EDIT'!AA17</f>
        <v xml:space="preserve">Edward (1780–1863: #8) William (1729–1800: #1)      </v>
      </c>
      <c r="N17" s="197" t="str">
        <f>'Book Details - NO EDIT'!AB17</f>
        <v xml:space="preserve">7 – Sarah (1810–1858: #11) Lewis (1811–1891: #13)  Kate (1815–1905: #18) Hannah (1817–1907: #19) Edward (1820–1890: #22) William (1821–1885: #23) Fanny (1824–1856: #24) </v>
      </c>
      <c r="O17" s="198" t="str">
        <f>'Book Details - NO EDIT'!AC17</f>
        <v>d.s.p</v>
      </c>
      <c r="P17" s="198" t="str">
        <f>'Book Details - NO EDIT'!AD17</f>
        <v>d.s.p.</v>
      </c>
      <c r="Q17" s="191" t="str">
        <f>IF('Book Details - NO EDIT'!J17="",IF(R17=0,"Less than year on 1-Jul-2022",_xlfn.CONCAT("On 1-Jul-2022, age ",R17,'Book Details - NO EDIT'!J17)),IF(LEN(R17)=0,"Died in infancy",_xlfn.CONCAT("Died ",'Book Details - NO EDIT'!J17,","," aged ",R17)))</f>
        <v>Died 10/09/1834, aged 15</v>
      </c>
      <c r="R17" s="73">
        <f>'Book Details - NO EDIT'!AX17</f>
        <v>15</v>
      </c>
      <c r="S17" s="73" t="str">
        <f>'Book Details - NO EDIT'!AY17</f>
        <v xml:space="preserve"> - </v>
      </c>
      <c r="T17" s="73" t="str">
        <f>'Book Details - NO EDIT'!AW17</f>
        <v>England</v>
      </c>
      <c r="U17" s="73">
        <f>VLOOKUP(A17,'Book Details - NO EDIT'!$A17:$S$192,13,FALSE)</f>
        <v>1</v>
      </c>
      <c r="V17" s="73">
        <f>VLOOKUP(A17,'Book Details - NO EDIT'!$A17:$S$192,12,FALSE)</f>
        <v>8</v>
      </c>
      <c r="X17" s="31">
        <f>IF(LEN('Book Details - NO EDIT'!J17)=0,0,1)</f>
        <v>1</v>
      </c>
    </row>
    <row r="18" spans="1:24" s="31" customFormat="1" ht="17">
      <c r="A18" s="125">
        <f>'Book Details - NO EDIT'!A18</f>
        <v>16</v>
      </c>
      <c r="B18" s="31" t="str">
        <f>'Book Details - NO EDIT'!Y18</f>
        <v>Maria LOYD</v>
      </c>
      <c r="C18" s="31" t="str">
        <f>'Book Details - NO EDIT'!V18</f>
        <v>Maria (1814–1900)</v>
      </c>
      <c r="D18" s="199" t="str">
        <f>'Book Details - NO EDIT'!I18</f>
        <v>17/02/1814</v>
      </c>
      <c r="E18" s="31" t="str">
        <f>IF('Book Details - NO EDIT'!K18="Boy","Male","Female")</f>
        <v>Female</v>
      </c>
      <c r="F18" s="31" t="str">
        <f>IF('Book Details - NO EDIT'!T18=1,"First",IF('Book Details - NO EDIT'!T18=2,"Second",IF('Book Details - NO EDIT'!T18=3,"Third",IF('Book Details - NO EDIT'!T18=4,"Fourth",IF('Book Details - NO EDIT'!T18=5,"Fifth",IF('Book Details - NO EDIT'!T18=6,"Sixth",IF('Book Details - NO EDIT'!T18=7,"Seventh",IF('Book Details - NO EDIT'!T18=8,"Eighth",0))))))))</f>
        <v>Second</v>
      </c>
      <c r="G18" s="31" t="str">
        <f>'Book Details - NO EDIT'!Z18</f>
        <v>William (1770–1828: #4)</v>
      </c>
      <c r="H18" s="31" t="str">
        <f>'Book Details - NO EDIT'!AH18</f>
        <v>Martha KIRKMAN (b. 17 Nov 1775, d. 4 Feb 1857)</v>
      </c>
      <c r="I18" s="31" t="str">
        <f>'Book Details - NO EDIT'!AI18</f>
        <v>Thomas NORTH (b. 1809/10, d. 30 Oct 1886)</v>
      </c>
      <c r="J18" s="199" t="str">
        <f>'Book Details - NO EDIT'!AJ18</f>
        <v>18/12/1847</v>
      </c>
      <c r="K18" s="31" t="str">
        <f>'Book Details - NO EDIT'!AK18</f>
        <v>Married at Marylebone Church, London, Thomas  of Loders, Bridport, Dorset. Moved to Northcote, Frant Road, Frant, Sussex in 1868. Thomas died at Northcote, Frant.</v>
      </c>
      <c r="L18" s="131" t="str">
        <f>'Book Details - NO EDIT'!AL18</f>
        <v>Maria was the younger daughter of William (1770–1828: #4) of 7 Bread Street, Cheapside, London EC2. Born 17 Feb 1814. Moved to  Northcote, Frant Road, Frant, Sussex in 1868 two years after the death of her husband Thomas. Died, 16 Sep 1900 at Northcote and buried at Tunbridge Wells. DSP</v>
      </c>
      <c r="M18" s="73" t="str">
        <f>'Book Details - NO EDIT'!AA18</f>
        <v xml:space="preserve">William (1770–1828: #4) William (1729–1800: #1)      </v>
      </c>
      <c r="N18" s="197" t="str">
        <f>'Book Details - NO EDIT'!AB18</f>
        <v xml:space="preserve">6 – William (1809–1879: #10) Eliza (1810–1861: #12) Thomas (1812–1857: #14)  Edward (1815–1815: #17) John (1817–1818: #20) Lewis (1819–1841: #21)  </v>
      </c>
      <c r="O18" s="198" t="str">
        <f>'Book Details - NO EDIT'!AC18</f>
        <v>d.s.p</v>
      </c>
      <c r="P18" s="198" t="str">
        <f>'Book Details - NO EDIT'!AD18</f>
        <v>d.s.p.</v>
      </c>
      <c r="Q18" s="191" t="str">
        <f>IF('Book Details - NO EDIT'!J18="",IF(R18=0,"Less than year on 1-Jul-2022",_xlfn.CONCAT("On 1-Jul-2022, age ",R18,'Book Details - NO EDIT'!J18)),IF(LEN(R18)=0,"Died in infancy",_xlfn.CONCAT("Died ",'Book Details - NO EDIT'!J18,","," aged ",R18)))</f>
        <v>Died 16/09/1900, aged 16</v>
      </c>
      <c r="R18" s="73">
        <f>'Book Details - NO EDIT'!AX18</f>
        <v>16</v>
      </c>
      <c r="S18" s="73" t="str">
        <f>'Book Details - NO EDIT'!AY18</f>
        <v xml:space="preserve"> - </v>
      </c>
      <c r="T18" s="73" t="str">
        <f>'Book Details - NO EDIT'!AW18</f>
        <v>England</v>
      </c>
      <c r="U18" s="73">
        <f>VLOOKUP(A18,'Book Details - NO EDIT'!$A18:$S$192,13,FALSE)</f>
        <v>1</v>
      </c>
      <c r="V18" s="73">
        <f>VLOOKUP(A18,'Book Details - NO EDIT'!$A18:$S$192,12,FALSE)</f>
        <v>4</v>
      </c>
      <c r="X18" s="31">
        <f>IF(LEN('Book Details - NO EDIT'!J18)=0,0,1)</f>
        <v>1</v>
      </c>
    </row>
    <row r="19" spans="1:24" s="31" customFormat="1" ht="17">
      <c r="A19" s="125">
        <f>'Book Details - NO EDIT'!A19</f>
        <v>17</v>
      </c>
      <c r="B19" s="31" t="str">
        <f>'Book Details - NO EDIT'!Y19</f>
        <v>Edward Kirkman LOYD</v>
      </c>
      <c r="C19" s="31" t="str">
        <f>'Book Details - NO EDIT'!V19</f>
        <v>Edward (1815–1815)</v>
      </c>
      <c r="D19" s="199" t="str">
        <f>'Book Details - NO EDIT'!I19</f>
        <v>02/07/1815</v>
      </c>
      <c r="E19" s="31" t="str">
        <f>IF('Book Details - NO EDIT'!K19="Boy","Male","Female")</f>
        <v>Male</v>
      </c>
      <c r="F19" s="31" t="str">
        <f>IF('Book Details - NO EDIT'!T19=1,"First",IF('Book Details - NO EDIT'!T19=2,"Second",IF('Book Details - NO EDIT'!T19=3,"Third",IF('Book Details - NO EDIT'!T19=4,"Fourth",IF('Book Details - NO EDIT'!T19=5,"Fifth",IF('Book Details - NO EDIT'!T19=6,"Sixth",IF('Book Details - NO EDIT'!T19=7,"Seventh",IF('Book Details - NO EDIT'!T19=8,"Eighth",0))))))))</f>
        <v>Second</v>
      </c>
      <c r="G19" s="31" t="str">
        <f>'Book Details - NO EDIT'!Z19</f>
        <v>William (1770–1828: #4)</v>
      </c>
      <c r="H19" s="31" t="str">
        <f>'Book Details - NO EDIT'!AH19</f>
        <v>Martha KIRKMAN (b. 17 Nov 1775, d. 4 Feb 1857)</v>
      </c>
      <c r="I19" s="31" t="str">
        <f>'Book Details - NO EDIT'!AI19</f>
        <v>Died in infancy.</v>
      </c>
      <c r="J19" s="199" t="str">
        <f>'Book Details - NO EDIT'!AJ19</f>
        <v xml:space="preserve"> - </v>
      </c>
      <c r="K19" s="31" t="str">
        <f>'Book Details - NO EDIT'!AK19</f>
        <v xml:space="preserve"> - </v>
      </c>
      <c r="L19" s="131" t="str">
        <f>'Book Details - NO EDIT'!AL19</f>
        <v>Edward was 3rd son of William (1770–1828: #4) of 7 Bread Street, Cheapside, London EC2. Born 2 Jul 1815. Died in infancy on 23 Jul 1815; buried at Bunhill Fields, London, in the family grave (plan 15, grave no. 223).</v>
      </c>
      <c r="M19" s="73" t="str">
        <f>'Book Details - NO EDIT'!AA19</f>
        <v xml:space="preserve">William (1770–1828: #4) William (1729–1800: #1)      </v>
      </c>
      <c r="N19" s="197" t="str">
        <f>'Book Details - NO EDIT'!AB19</f>
        <v xml:space="preserve">6 – William (1809–1879: #10) Eliza (1810–1861: #12) Thomas (1812–1857: #14) Maria (1814–1900: #16)  John (1817–1818: #20) Lewis (1819–1841: #21)  </v>
      </c>
      <c r="O19" s="198" t="str">
        <f>'Book Details - NO EDIT'!AC19</f>
        <v>d.s.p</v>
      </c>
      <c r="P19" s="198" t="str">
        <f>'Book Details - NO EDIT'!AD19</f>
        <v>d.s.p.</v>
      </c>
      <c r="Q19" s="191" t="str">
        <f>IF('Book Details - NO EDIT'!J19="",IF(R19=0,"Less than year on 1-Jul-2022",_xlfn.CONCAT("On 1-Jul-2022, age ",R19,'Book Details - NO EDIT'!J19)),IF(LEN(R19)=0,"Died in infancy",_xlfn.CONCAT("Died ",'Book Details - NO EDIT'!J19,","," aged ",R19)))</f>
        <v>Died 23/07/1815, aged 17</v>
      </c>
      <c r="R19" s="73">
        <f>'Book Details - NO EDIT'!AX19</f>
        <v>17</v>
      </c>
      <c r="S19" s="73" t="str">
        <f>'Book Details - NO EDIT'!AY19</f>
        <v xml:space="preserve"> - </v>
      </c>
      <c r="T19" s="73" t="str">
        <f>'Book Details - NO EDIT'!AW19</f>
        <v>England</v>
      </c>
      <c r="U19" s="73">
        <f>VLOOKUP(A19,'Book Details - NO EDIT'!$A19:$S$192,13,FALSE)</f>
        <v>1</v>
      </c>
      <c r="V19" s="73">
        <f>VLOOKUP(A19,'Book Details - NO EDIT'!$A19:$S$192,12,FALSE)</f>
        <v>4</v>
      </c>
      <c r="X19" s="31">
        <f>IF(LEN('Book Details - NO EDIT'!J19)=0,0,1)</f>
        <v>1</v>
      </c>
    </row>
    <row r="20" spans="1:24" s="31" customFormat="1" ht="34">
      <c r="A20" s="125">
        <f>'Book Details - NO EDIT'!A20</f>
        <v>18</v>
      </c>
      <c r="B20" s="31" t="str">
        <f>'Book Details - NO EDIT'!Y20</f>
        <v>Catherine LOYD</v>
      </c>
      <c r="C20" s="31" t="str">
        <f>'Book Details - NO EDIT'!V20</f>
        <v>Kate (1815–1905)</v>
      </c>
      <c r="D20" s="199" t="str">
        <f>'Book Details - NO EDIT'!I20</f>
        <v>26/08/1815</v>
      </c>
      <c r="E20" s="31" t="str">
        <f>IF('Book Details - NO EDIT'!K20="Boy","Male","Female")</f>
        <v>Female</v>
      </c>
      <c r="F20" s="31" t="str">
        <f>IF('Book Details - NO EDIT'!T20=1,"First",IF('Book Details - NO EDIT'!T20=2,"Second",IF('Book Details - NO EDIT'!T20=3,"Third",IF('Book Details - NO EDIT'!T20=4,"Fourth",IF('Book Details - NO EDIT'!T20=5,"Fifth",IF('Book Details - NO EDIT'!T20=6,"Sixth",IF('Book Details - NO EDIT'!T20=7,"Seventh",IF('Book Details - NO EDIT'!T20=8,"Eighth",0))))))))</f>
        <v>Second</v>
      </c>
      <c r="G20" s="31" t="str">
        <f>'Book Details - NO EDIT'!Z20</f>
        <v>Edward (1780–1863: #8)</v>
      </c>
      <c r="H20" s="31" t="str">
        <f>'Book Details - NO EDIT'!AH20</f>
        <v>Sarah TAYLOR (b.5 Jul 1785, d. 19 Jan 1863)</v>
      </c>
      <c r="I20" s="31" t="str">
        <f>'Book Details - NO EDIT'!AI20</f>
        <v>James Dyce NICOL MP (b. 13 Aug 1805, d. 16 Nov 1872)</v>
      </c>
      <c r="J20" s="199" t="str">
        <f>'Book Details - NO EDIT'!AJ20</f>
        <v>14/03/1844</v>
      </c>
      <c r="K20" s="31" t="str">
        <f>'Book Details - NO EDIT'!AK20</f>
        <v>James of Ballogie, Aberdeenshire and of 5 Hyde Park Terrace, London. James buried Birse Kirkyard.</v>
      </c>
      <c r="L20" s="131" t="str">
        <f>'Book Details - NO EDIT'!AL20</f>
        <v>Kate was the 3rd daughter of Edward (1780–1863: #8). Born 26 Aug 1815.  Died 14 Dec 1905; buried at Birse Kirkyard. Issue: 2 daughters, 3 sons.</v>
      </c>
      <c r="M20" s="73" t="str">
        <f>'Book Details - NO EDIT'!AA20</f>
        <v xml:space="preserve">Edward (1780–1863: #8) William (1729–1800: #1)      </v>
      </c>
      <c r="N20" s="197" t="str">
        <f>'Book Details - NO EDIT'!AB20</f>
        <v xml:space="preserve">7 – Sarah (1810–1858: #11) Lewis (1811–1891: #13) Annie (1813–1834: #15)  Hannah (1817–1907: #19) Edward (1820–1890: #22) William (1821–1885: #23) Fanny (1824–1856: #24) </v>
      </c>
      <c r="O20" s="198" t="str">
        <f>'Book Details - NO EDIT'!AC20</f>
        <v xml:space="preserve">5 - Margaret NICOL (1844 - 1927: #18a) William NICOL (1846 - 1914: #18b) James NICOL (1848 - 1938: #18c) Sarah NICOL (1854 - 1943: #18d) Lewis NICOL (1858 - 1935: #18e)   </v>
      </c>
      <c r="P20" s="198" t="str">
        <f>'Book Details - NO EDIT'!AD20</f>
        <v xml:space="preserve">5 - Malcolm NICOL (1879 -1891: #18ba) Margery NICOL (1880 -1963: #18bb) Randall NICOL (1882 -1941: #18bc) Dorothy NICOL (1885 -1964: #18bd) Violet NICOL (1887 -1957: #18ea)              </v>
      </c>
      <c r="Q20" s="191" t="str">
        <f>IF('Book Details - NO EDIT'!J20="",IF(R20=0,"Less than year on 1-Jul-2022",_xlfn.CONCAT("On 1-Jul-2022, age ",R20,'Book Details - NO EDIT'!J20)),IF(LEN(R20)=0,"Died in infancy",_xlfn.CONCAT("Died ",'Book Details - NO EDIT'!J20,","," aged ",R20)))</f>
        <v>Died 14/12/1905, aged 18</v>
      </c>
      <c r="R20" s="73">
        <f>'Book Details - NO EDIT'!AX20</f>
        <v>18</v>
      </c>
      <c r="S20" s="73" t="str">
        <f>'Book Details - NO EDIT'!AY20</f>
        <v xml:space="preserve"> - </v>
      </c>
      <c r="T20" s="73" t="str">
        <f>'Book Details - NO EDIT'!AW20</f>
        <v>England</v>
      </c>
      <c r="U20" s="73">
        <f>VLOOKUP(A20,'Book Details - NO EDIT'!$A20:$S$192,13,FALSE)</f>
        <v>1</v>
      </c>
      <c r="V20" s="73">
        <f>VLOOKUP(A20,'Book Details - NO EDIT'!$A20:$S$192,12,FALSE)</f>
        <v>8</v>
      </c>
      <c r="X20" s="31">
        <f>IF(LEN('Book Details - NO EDIT'!J20)=0,0,1)</f>
        <v>1</v>
      </c>
    </row>
    <row r="21" spans="1:24" s="31" customFormat="1" ht="34">
      <c r="A21" s="125">
        <f>'Book Details - NO EDIT'!A21</f>
        <v>19</v>
      </c>
      <c r="B21" s="31" t="str">
        <f>'Book Details - NO EDIT'!Y21</f>
        <v>Hannah LOYD</v>
      </c>
      <c r="C21" s="31" t="str">
        <f>'Book Details - NO EDIT'!V21</f>
        <v>Hannah (1817–1907)</v>
      </c>
      <c r="D21" s="199" t="str">
        <f>'Book Details - NO EDIT'!I21</f>
        <v>09/02/1817</v>
      </c>
      <c r="E21" s="31" t="str">
        <f>IF('Book Details - NO EDIT'!K21="Boy","Male","Female")</f>
        <v>Female</v>
      </c>
      <c r="F21" s="31" t="str">
        <f>IF('Book Details - NO EDIT'!T21=1,"First",IF('Book Details - NO EDIT'!T21=2,"Second",IF('Book Details - NO EDIT'!T21=3,"Third",IF('Book Details - NO EDIT'!T21=4,"Fourth",IF('Book Details - NO EDIT'!T21=5,"Fifth",IF('Book Details - NO EDIT'!T21=6,"Sixth",IF('Book Details - NO EDIT'!T21=7,"Seventh",IF('Book Details - NO EDIT'!T21=8,"Eighth",0))))))))</f>
        <v>Second</v>
      </c>
      <c r="G21" s="31" t="str">
        <f>'Book Details - NO EDIT'!Z21</f>
        <v>Edward (1780–1863: #8)</v>
      </c>
      <c r="H21" s="31" t="str">
        <f>'Book Details - NO EDIT'!AH21</f>
        <v>Sarah TAYLOR (b.5 Jul 1785, d. 19 Jan 1863)</v>
      </c>
      <c r="I21" s="31" t="str">
        <f>'Book Details - NO EDIT'!AI21</f>
        <v>William ENTWISLE (b. 30 Sep 1809, d. 18 Aug 1865)</v>
      </c>
      <c r="J21" s="199" t="str">
        <f>'Book Details - NO EDIT'!AJ21</f>
        <v>27/04/1837</v>
      </c>
      <c r="K21" s="31" t="str">
        <f>'Book Details - NO EDIT'!AK21</f>
        <v>William  of Rusholme House, Manchester. Hannah's husband William was born in Manchester and the fourth son of Richard Entwisle. He became an honorary Doctor of Civil Law at the University of Oxford in 1844, and was also a chairman of the Manchester and Leeds Railway Company, and a partner at banking firm Loyd, Entwisle, Bury and Jervis, now part of the Royal Bank of Scotland.</v>
      </c>
      <c r="L21" s="131" t="str">
        <f>'Book Details - NO EDIT'!AL21</f>
        <v>Hannah lived at The Oaks, Sunningdale, Ascot, Berkshire (in her widowhood) and was the 4th daughter of Edward  (1780–1863: #8). Born 9 Feb 1817. Died  25 Nov 1907 and is buried at Sunningdale. Issue: 4 sons, 1 daughter.</v>
      </c>
      <c r="M21" s="73" t="str">
        <f>'Book Details - NO EDIT'!AA21</f>
        <v xml:space="preserve">Edward (1780–1863: #8) William (1729–1800: #1)      </v>
      </c>
      <c r="N21" s="197" t="str">
        <f>'Book Details - NO EDIT'!AB21</f>
        <v xml:space="preserve">7 – Sarah (1810–1858: #11) Lewis (1811–1891: #13) Annie (1813–1834: #15) Kate (1815–1905: #18)  Edward (1820–1890: #22) William (1821–1885: #23) Fanny (1824–1856: #24) </v>
      </c>
      <c r="O21" s="198" t="str">
        <f>'Book Details - NO EDIT'!AC21</f>
        <v xml:space="preserve">5 - William ENTWISLE (1839 - 1860: #19a) Richard ENTWISLE (1840 - 1894: #19b) Frederica ENTWISLE (1842 - 1916: #19c) Bernard ENTWISLE (1847 - 1877: #19d) Edward ENTWISLE (1852 - 1881: #19e)   </v>
      </c>
      <c r="P21" s="198" t="str">
        <f>'Book Details - NO EDIT'!AD21</f>
        <v>-</v>
      </c>
      <c r="Q21" s="191" t="str">
        <f>IF('Book Details - NO EDIT'!J21="",IF(R21=0,"Less than year on 1-Jul-2022",_xlfn.CONCAT("On 1-Jul-2022, age ",R21,'Book Details - NO EDIT'!J21)),IF(LEN(R21)=0,"Died in infancy",_xlfn.CONCAT("Died ",'Book Details - NO EDIT'!J21,","," aged ",R21)))</f>
        <v>Died 25/11/1907, aged 19</v>
      </c>
      <c r="R21" s="73">
        <f>'Book Details - NO EDIT'!AX21</f>
        <v>19</v>
      </c>
      <c r="S21" s="73" t="str">
        <f>'Book Details - NO EDIT'!AY21</f>
        <v xml:space="preserve"> - </v>
      </c>
      <c r="T21" s="73" t="str">
        <f>'Book Details - NO EDIT'!AW21</f>
        <v>England</v>
      </c>
      <c r="U21" s="73">
        <f>VLOOKUP(A21,'Book Details - NO EDIT'!$A21:$S$192,13,FALSE)</f>
        <v>1</v>
      </c>
      <c r="V21" s="73">
        <f>VLOOKUP(A21,'Book Details - NO EDIT'!$A21:$S$192,12,FALSE)</f>
        <v>8</v>
      </c>
      <c r="X21" s="31">
        <f>IF(LEN('Book Details - NO EDIT'!J21)=0,0,1)</f>
        <v>1</v>
      </c>
    </row>
    <row r="22" spans="1:24" s="31" customFormat="1" ht="17">
      <c r="A22" s="125">
        <f>'Book Details - NO EDIT'!A22</f>
        <v>20</v>
      </c>
      <c r="B22" s="31" t="str">
        <f>'Book Details - NO EDIT'!Y22</f>
        <v>John Kirkman LOYD</v>
      </c>
      <c r="C22" s="31" t="str">
        <f>'Book Details - NO EDIT'!V22</f>
        <v>John (1817–1818)</v>
      </c>
      <c r="D22" s="199" t="str">
        <f>'Book Details - NO EDIT'!I22</f>
        <v>03/10/1817</v>
      </c>
      <c r="E22" s="31" t="str">
        <f>IF('Book Details - NO EDIT'!K22="Boy","Male","Female")</f>
        <v>Male</v>
      </c>
      <c r="F22" s="31" t="str">
        <f>IF('Book Details - NO EDIT'!T22=1,"First",IF('Book Details - NO EDIT'!T22=2,"Second",IF('Book Details - NO EDIT'!T22=3,"Third",IF('Book Details - NO EDIT'!T22=4,"Fourth",IF('Book Details - NO EDIT'!T22=5,"Fifth",IF('Book Details - NO EDIT'!T22=6,"Sixth",IF('Book Details - NO EDIT'!T22=7,"Seventh",IF('Book Details - NO EDIT'!T22=8,"Eighth",0))))))))</f>
        <v>Second</v>
      </c>
      <c r="G22" s="31" t="str">
        <f>'Book Details - NO EDIT'!Z22</f>
        <v>William (1770–1828: #4)</v>
      </c>
      <c r="H22" s="31" t="str">
        <f>'Book Details - NO EDIT'!AH22</f>
        <v>Martha KIRKMAN (b. 17 Nov 1775, d. 4 Feb 1857)</v>
      </c>
      <c r="I22" s="31" t="str">
        <f>'Book Details - NO EDIT'!AI22</f>
        <v>Died in infancy.</v>
      </c>
      <c r="J22" s="199" t="str">
        <f>'Book Details - NO EDIT'!AJ22</f>
        <v xml:space="preserve"> - </v>
      </c>
      <c r="K22" s="31" t="str">
        <f>'Book Details - NO EDIT'!AK22</f>
        <v xml:space="preserve"> - </v>
      </c>
      <c r="L22" s="131" t="str">
        <f>'Book Details - NO EDIT'!AL22</f>
        <v>John was the 4th son of William (1770–1828: #4) of 7 Bread Street, Cheapside, London EC2. Born  3 Oct 1817. Died in infancy on 13 Apr 1818; buried at Bunhill Fields, London in family grave (plan 15, grave no. 223).</v>
      </c>
      <c r="M22" s="73" t="str">
        <f>'Book Details - NO EDIT'!AA22</f>
        <v xml:space="preserve">William (1770–1828: #4) William (1729–1800: #1)      </v>
      </c>
      <c r="N22" s="197" t="str">
        <f>'Book Details - NO EDIT'!AB22</f>
        <v xml:space="preserve">6 – William (1809–1879: #10) Eliza (1810–1861: #12) Thomas (1812–1857: #14) Maria (1814–1900: #16) Edward (1815–1815: #17)  Lewis (1819–1841: #21)  </v>
      </c>
      <c r="O22" s="198" t="str">
        <f>'Book Details - NO EDIT'!AC22</f>
        <v>d.s.p</v>
      </c>
      <c r="P22" s="198" t="str">
        <f>'Book Details - NO EDIT'!AD22</f>
        <v>d.s.p.</v>
      </c>
      <c r="Q22" s="191" t="str">
        <f>IF('Book Details - NO EDIT'!J22="",IF(R22=0,"Less than year on 1-Jul-2022",_xlfn.CONCAT("On 1-Jul-2022, age ",R22,'Book Details - NO EDIT'!J22)),IF(LEN(R22)=0,"Died in infancy",_xlfn.CONCAT("Died ",'Book Details - NO EDIT'!J22,","," aged ",R22)))</f>
        <v>Died 13/04/1818, aged 20</v>
      </c>
      <c r="R22" s="73">
        <f>'Book Details - NO EDIT'!AX22</f>
        <v>20</v>
      </c>
      <c r="S22" s="73" t="str">
        <f>'Book Details - NO EDIT'!AY22</f>
        <v xml:space="preserve"> - </v>
      </c>
      <c r="T22" s="73" t="str">
        <f>'Book Details - NO EDIT'!AW22</f>
        <v>England</v>
      </c>
      <c r="U22" s="73">
        <f>VLOOKUP(A22,'Book Details - NO EDIT'!$A22:$S$192,13,FALSE)</f>
        <v>1</v>
      </c>
      <c r="V22" s="73">
        <f>VLOOKUP(A22,'Book Details - NO EDIT'!$A22:$S$192,12,FALSE)</f>
        <v>4</v>
      </c>
      <c r="X22" s="31">
        <f>IF(LEN('Book Details - NO EDIT'!J22)=0,0,1)</f>
        <v>1</v>
      </c>
    </row>
    <row r="23" spans="1:24" s="31" customFormat="1" ht="34">
      <c r="A23" s="125">
        <f>'Book Details - NO EDIT'!A23</f>
        <v>21</v>
      </c>
      <c r="B23" s="31" t="str">
        <f>'Book Details - NO EDIT'!Y23</f>
        <v>Lewis Kirkman  LOYD</v>
      </c>
      <c r="C23" s="31" t="str">
        <f>'Book Details - NO EDIT'!V23</f>
        <v>Lewis (1819–1841)</v>
      </c>
      <c r="D23" s="199" t="str">
        <f>'Book Details - NO EDIT'!I23</f>
        <v>29/04/1819</v>
      </c>
      <c r="E23" s="31" t="str">
        <f>IF('Book Details - NO EDIT'!K23="Boy","Male","Female")</f>
        <v>Male</v>
      </c>
      <c r="F23" s="31" t="str">
        <f>IF('Book Details - NO EDIT'!T23=1,"First",IF('Book Details - NO EDIT'!T23=2,"Second",IF('Book Details - NO EDIT'!T23=3,"Third",IF('Book Details - NO EDIT'!T23=4,"Fourth",IF('Book Details - NO EDIT'!T23=5,"Fifth",IF('Book Details - NO EDIT'!T23=6,"Sixth",IF('Book Details - NO EDIT'!T23=7,"Seventh",IF('Book Details - NO EDIT'!T23=8,"Eighth",0))))))))</f>
        <v>Second</v>
      </c>
      <c r="G23" s="31" t="str">
        <f>'Book Details - NO EDIT'!Z23</f>
        <v>William (1770–1828: #4)</v>
      </c>
      <c r="H23" s="31" t="str">
        <f>'Book Details - NO EDIT'!AH23</f>
        <v>Martha KIRKMAN (b. 17 Nov 1775, d. 4 Feb 1857)</v>
      </c>
      <c r="I23" s="31" t="str">
        <f>'Book Details - NO EDIT'!AI23</f>
        <v>Unmarried</v>
      </c>
      <c r="J23" s="199" t="str">
        <f>'Book Details - NO EDIT'!AJ23</f>
        <v xml:space="preserve"> - </v>
      </c>
      <c r="K23" s="31" t="str">
        <f>'Book Details - NO EDIT'!AK23</f>
        <v xml:space="preserve"> - </v>
      </c>
      <c r="L23" s="131" t="str">
        <f>'Book Details - NO EDIT'!AL23</f>
        <v>Lewis was the 5th and youngest son of William (1770–1828: #4) of 7 Bread Street, Cheapside, London EC2. Born 29 Apr 1819. Educated Harrow. Four years a clerk on the London Stock Exchange. Contracted consumption. Died 7 Jul 1841 and buried at Bunhill Fields, London, in family grave (plan 15, grave no. 223). Some of the volumes of the classics, his Harrow school books were in possession of Peter (1922–2022: #98). DSP</v>
      </c>
      <c r="M23" s="73" t="str">
        <f>'Book Details - NO EDIT'!AA23</f>
        <v xml:space="preserve">William (1770–1828: #4) William (1729–1800: #1)      </v>
      </c>
      <c r="N23" s="197" t="str">
        <f>'Book Details - NO EDIT'!AB23</f>
        <v xml:space="preserve">6 – William (1809–1879: #10) Eliza (1810–1861: #12) Thomas (1812–1857: #14) Maria (1814–1900: #16) Edward (1815–1815: #17) John (1817–1818: #20)   </v>
      </c>
      <c r="O23" s="198" t="str">
        <f>'Book Details - NO EDIT'!AC23</f>
        <v>d.s.p</v>
      </c>
      <c r="P23" s="198" t="str">
        <f>'Book Details - NO EDIT'!AD23</f>
        <v>d.s.p.</v>
      </c>
      <c r="Q23" s="191" t="str">
        <f>IF('Book Details - NO EDIT'!J23="",IF(R23=0,"Less than year on 1-Jul-2022",_xlfn.CONCAT("On 1-Jul-2022, age ",R23,'Book Details - NO EDIT'!J23)),IF(LEN(R23)=0,"Died in infancy",_xlfn.CONCAT("Died ",'Book Details - NO EDIT'!J23,","," aged ",R23)))</f>
        <v>Died 07/07/1841, aged 21</v>
      </c>
      <c r="R23" s="73">
        <f>'Book Details - NO EDIT'!AX23</f>
        <v>21</v>
      </c>
      <c r="S23" s="73" t="str">
        <f>'Book Details - NO EDIT'!AY23</f>
        <v xml:space="preserve"> - </v>
      </c>
      <c r="T23" s="73" t="str">
        <f>'Book Details - NO EDIT'!AW23</f>
        <v>England</v>
      </c>
      <c r="U23" s="73">
        <f>VLOOKUP(A23,'Book Details - NO EDIT'!$A23:$S$192,13,FALSE)</f>
        <v>1</v>
      </c>
      <c r="V23" s="73">
        <f>VLOOKUP(A23,'Book Details - NO EDIT'!$A23:$S$192,12,FALSE)</f>
        <v>4</v>
      </c>
      <c r="X23" s="31">
        <f>IF(LEN('Book Details - NO EDIT'!J23)=0,0,1)</f>
        <v>1</v>
      </c>
    </row>
    <row r="24" spans="1:24" s="31" customFormat="1" ht="238">
      <c r="A24" s="125">
        <f>'Book Details - NO EDIT'!A24</f>
        <v>22</v>
      </c>
      <c r="B24" s="31" t="str">
        <f>'Book Details - NO EDIT'!Y24</f>
        <v>Edward LOYD</v>
      </c>
      <c r="C24" s="31" t="str">
        <f>'Book Details - NO EDIT'!V24</f>
        <v>Edward (1820–1890)</v>
      </c>
      <c r="D24" s="199" t="str">
        <f>'Book Details - NO EDIT'!I24</f>
        <v>19/04/1820</v>
      </c>
      <c r="E24" s="31" t="str">
        <f>IF('Book Details - NO EDIT'!K24="Boy","Male","Female")</f>
        <v>Male</v>
      </c>
      <c r="F24" s="31" t="str">
        <f>IF('Book Details - NO EDIT'!T24=1,"First",IF('Book Details - NO EDIT'!T24=2,"Second",IF('Book Details - NO EDIT'!T24=3,"Third",IF('Book Details - NO EDIT'!T24=4,"Fourth",IF('Book Details - NO EDIT'!T24=5,"Fifth",IF('Book Details - NO EDIT'!T24=6,"Sixth",IF('Book Details - NO EDIT'!T24=7,"Seventh",IF('Book Details - NO EDIT'!T24=8,"Eighth",0))))))))</f>
        <v>Second</v>
      </c>
      <c r="G24" s="31" t="str">
        <f>'Book Details - NO EDIT'!Z24</f>
        <v>Edward (1780–1863: #8)</v>
      </c>
      <c r="H24" s="31" t="str">
        <f>'Book Details - NO EDIT'!AH24</f>
        <v>Sarah TAYLOR (b.5 Jul 1785, d. 19 Jan 1863)</v>
      </c>
      <c r="I24" s="31" t="str">
        <f>'Book Details - NO EDIT'!AI24</f>
        <v>Caroline Louisa FOSTER (b. 6 Aug 1825, d. 8 Feb 1900)</v>
      </c>
      <c r="J24" s="199" t="str">
        <f>'Book Details - NO EDIT'!AJ24</f>
        <v>12/03/1846</v>
      </c>
      <c r="K24" s="31" t="str">
        <f>'Book Details - NO EDIT'!AK24</f>
        <v>Married at Ashton on Mersey, Cheshire, Caroline eldest daughter of John Frederic FOSTER (1795-1858) of Sale Priory, Cheshire and of Kempston, Bedfordshire. Louisa buried at Hawkhurst.</v>
      </c>
      <c r="L24" s="131" t="str">
        <f>'Book Details - NO EDIT'!AL24</f>
        <v>Edward lived at Prestwich Lodge, Manchester and later at Lillesden House [22], Hawkhurst, Kent. 2nd son of Edward (1780–1863: #8). Born 19 Apr 1820 and baptised 6 Nov 1820 at St Anne’s, Manchester. Education: Eton and Trinity College, Cambridge. Career: Banker of Jones Loyd &amp; Co. of King Street, Manchester. Lt. Colonel 1st Manchester R.V. during 1863-67. DL, JP Lancashire. JP Kent. High Sheriff in 1876. The patron and benefactor of All Saint’s, Gurnard, Nr. Cowes, Isle of Wight, consecrated 9 Jun 1893, contributed £250 before his death towards the total cost of £1,347. Member Royal Yacht Squadron 1866-90. Died 21 Dec 1890; buried at Hawkhurst. Will dated 1888. Estate £140,294. Issue: 2 sons, 5 daughters. Portraits of him and his wife, his gold repeater watch and picture of one of his yachts, “Day Dream” (92 ton Yawl) that Edward owned between 1866 and 1870, are in the possession of Paddy (1951– : #126). Roddy SALE (#97d), in 2021, has a copy of a portrait bust of Edward (1820–1890: #22). The West Window in the Holy Trinity Church Cowes, Isle of Wight, is dedicated to Edward (1820–1890: #22) with a memorial on the left (north?) wall to his wife Caroline Louisa Foster (1825–1900). Behind the church is Thornhill (Edward's IoW residence), overlooking the Royal Yacht Squadron. Footnote: [22] Edward bought Lillesden estate of some 500 acres in 1854, pulled down the old Elizabethan house and built a new mansion finished in 1855. LOYD Crest and his monogram over the doors. “COMING OF AGE AT LILLESDEN PARK - On Thursday last [26 April 1877], the eldest son [Frederick Edward LOYD (1856-1936)] of Lieutenant-Colonel, Edward Loyd, of Lillesden came of age, and there were great rejoicings. Lieutenant-Colonel Loyd and the members of his family are greatly beloved for their kind and generous deeds, and all classes in the neighbourhood appeared to vie with each other in evincing an interest in the event, and in testifying their good wishes for the health and happiness of the heir of Lillesden and all the members of his family. At an early hour the bells of the parish church sent forth a merry peal, and in the course of the morning a deputation of the tradesmen and inhabitants of the village paid a visit to Lillesden for the purpose of presenting an illuminated address to the hero of the day. This address contained suitable congratulations, and earnest hopes for his future health and happiness. It is almost needless to say that the deputation met with a very cordial reception, and after the presentation, which was preceded by a few appropriate remarks from the spokesman of the party, Mr Loyd thanked them for the interest they had manifested in him, and expressed his appreciation of the kindness of his visitors. Throughout the village there were great rejoicings, and the school children were very liberally entertained with buns, oranges, and other similar commodities which gladden the juvenile heart. The workpeople on Col. Loyd’s estate were regaled with an excellent dinner at the Eight Bells Inn, and, under the presidency of Mr Lansdell, a most enjoyable evening was spent. A fine fat bullock, well known on the farm, and rejoicing in the name of “King Koffee”, was killed in celebration of the coming of age, and a great portion of the meat gratuitously distributed. A large exhibition of bunting was to be observed at the Moor, and in other parts of the neighbourhood, and one enthusiastic tradesman, as the shades of evening crept on, illuminated the district with coloured fire, and despatched balloons on an aerial voyage. A large and distinguished company were entertained at the mansion, for whose amusement ample provision was made during the day, and in the evening a grand ball was held. The orchestra was occupied by Mr E. Johnson’s popular quadrille band from Tunbridge Wells, which played in first class style. The party included.......” etc. - report in local press.</v>
      </c>
      <c r="M24" s="73" t="str">
        <f>'Book Details - NO EDIT'!AA24</f>
        <v xml:space="preserve">Edward (1780–1863: #8) William (1729–1800: #1)      </v>
      </c>
      <c r="N24" s="197" t="str">
        <f>'Book Details - NO EDIT'!AB24</f>
        <v xml:space="preserve">7 – Sarah (1810–1858: #11) Lewis (1811–1891: #13) Annie (1813–1834: #15) Kate (1815–1905: #18) Hannah (1817–1907: #19)  William (1821–1885: #23) Fanny (1824–1856: #24) </v>
      </c>
      <c r="O24" s="198" t="str">
        <f>'Book Details - NO EDIT'!AC24</f>
        <v>7 - Mary (1848–1934: #31); Elinor (1853–1895: #36); Fa (1855–1927: #39); Frederic (1856–1936: #41); Meg (1859–1936: #43); Llewellyn (1861–1939: #45); Caroline (1864–1940: #47)</v>
      </c>
      <c r="P24" s="198" t="str">
        <f>'Book Details - NO EDIT'!AD24</f>
        <v xml:space="preserve">19 - Lewis (1880–1918: #52); Edward (1881–1962: #53); Evelyn (1885–1962: #59); Mary (1887–1968: #63); Cecil (1890–1963: #68); Eric (1891–1967: #73); Cecily (1891–1891: #74); Alwyne (1894–1917: #79); Ruby (1898–1977: #83)   George COURTHOPE (1877 - 1955:  #36a) Alexander COURTHOPE (1878 - 1892:  #36b) John COURTHOPE (1882 - 1954:  #36c) Barbara COURTHOPE (1883 - 1972:  #36d) Elinor COURTHOPE (1886 - 1974:  #36e) Richard COURTHOPE (1888 - 1889:  #36f) Robert COURTHOPE (1891 - 1966:  #36g) Margery COURTHOPE (1893 - 1901:  #36h) Loyd HARDCASTLE (1893 - 1955:  #47a) Canon Joseph HARDCASTLE (1899 - 1972:  #47b)     </v>
      </c>
      <c r="Q24" s="191" t="str">
        <f>IF('Book Details - NO EDIT'!J24="",IF(R24=0,"Less than year on 1-Jul-2022",_xlfn.CONCAT("On 1-Jul-2022, age ",R24,'Book Details - NO EDIT'!J24)),IF(LEN(R24)=0,"Died in infancy",_xlfn.CONCAT("Died ",'Book Details - NO EDIT'!J24,","," aged ",R24)))</f>
        <v>Died 21/12/1890, aged 22</v>
      </c>
      <c r="R24" s="73">
        <f>'Book Details - NO EDIT'!AX24</f>
        <v>22</v>
      </c>
      <c r="S24" s="73" t="str">
        <f>'Book Details - NO EDIT'!AY24</f>
        <v xml:space="preserve"> - </v>
      </c>
      <c r="T24" s="73" t="str">
        <f>'Book Details - NO EDIT'!AW24</f>
        <v>England</v>
      </c>
      <c r="U24" s="73">
        <f>VLOOKUP(A24,'Book Details - NO EDIT'!$A24:$S$192,13,FALSE)</f>
        <v>1</v>
      </c>
      <c r="V24" s="73">
        <f>VLOOKUP(A24,'Book Details - NO EDIT'!$A24:$S$192,12,FALSE)</f>
        <v>8</v>
      </c>
      <c r="X24" s="31">
        <f>IF(LEN('Book Details - NO EDIT'!J24)=0,0,1)</f>
        <v>1</v>
      </c>
    </row>
    <row r="25" spans="1:24" s="31" customFormat="1" ht="34">
      <c r="A25" s="125">
        <f>'Book Details - NO EDIT'!A25</f>
        <v>23</v>
      </c>
      <c r="B25" s="31" t="str">
        <f>'Book Details - NO EDIT'!Y25</f>
        <v>William Jones LOYD</v>
      </c>
      <c r="C25" s="31" t="str">
        <f>'Book Details - NO EDIT'!V25</f>
        <v>William (1821–1885)</v>
      </c>
      <c r="D25" s="199" t="str">
        <f>'Book Details - NO EDIT'!I25</f>
        <v>02/08/1821</v>
      </c>
      <c r="E25" s="31" t="str">
        <f>IF('Book Details - NO EDIT'!K25="Boy","Male","Female")</f>
        <v>Male</v>
      </c>
      <c r="F25" s="31" t="str">
        <f>IF('Book Details - NO EDIT'!T25=1,"First",IF('Book Details - NO EDIT'!T25=2,"Second",IF('Book Details - NO EDIT'!T25=3,"Third",IF('Book Details - NO EDIT'!T25=4,"Fourth",IF('Book Details - NO EDIT'!T25=5,"Fifth",IF('Book Details - NO EDIT'!T25=6,"Sixth",IF('Book Details - NO EDIT'!T25=7,"Seventh",IF('Book Details - NO EDIT'!T25=8,"Eighth",0))))))))</f>
        <v>Second</v>
      </c>
      <c r="G25" s="31" t="str">
        <f>'Book Details - NO EDIT'!Z25</f>
        <v>Edward (1780–1863: #8)</v>
      </c>
      <c r="H25" s="31" t="str">
        <f>'Book Details - NO EDIT'!AH25</f>
        <v>Sarah TAYLOR (b.5 Jul 1785, d. 19 Jan 1863)</v>
      </c>
      <c r="I25" s="31" t="str">
        <f>'Book Details - NO EDIT'!AI25</f>
        <v>Caroline Gertrude Walker VIVIAN (b. 1829, d. 28 Nov 1893)</v>
      </c>
      <c r="J25" s="199" t="str">
        <f>'Book Details - NO EDIT'!AJ25</f>
        <v>21/06/1848</v>
      </c>
      <c r="K25" s="31" t="str">
        <f>'Book Details - NO EDIT'!AK25</f>
        <v>Married at St George’s, Hanover Square, London. Caroline daughter of the late John Henry VIVIAN MP of Singleton, Glamorgan. Caroline buried at Langleybury.</v>
      </c>
      <c r="L25" s="131" t="str">
        <f>'Book Details - NO EDIT'!AL25</f>
        <v>William of Langleybury, near Watford, Hertfordshire and of 93 Eaton Place, London SW1 was the 3rd and youngest son of Edward (1780–1863: #8). Born 2 Aug 1821, baptised 13 May 1822 at the Collegiate Church Manchester (later Manchester Cathedral). Educated Eton and Trinity College, Cambridge (BA 1843, MA 1846). Member of the London house of Jones Loyd &amp; Co. JP, DL for Hertfordshire. High Sheriff 1861. Built the church of St Paul, Langleybury 1864. Died 28 Aug 1885; buried at Langleybury. Estate £347,726. Issue: 4 sons, 5 daughters.</v>
      </c>
      <c r="M25" s="73" t="str">
        <f>'Book Details - NO EDIT'!AA25</f>
        <v xml:space="preserve">Edward (1780–1863: #8) William (1729–1800: #1)      </v>
      </c>
      <c r="N25" s="197" t="str">
        <f>'Book Details - NO EDIT'!AB25</f>
        <v xml:space="preserve">7 – Sarah (1810–1858: #11) Lewis (1811–1891: #13) Annie (1813–1834: #15) Kate (1815–1905: #18) Hannah (1817–1907: #19) Edward (1820–1890: #22)  Fanny (1824–1856: #24) </v>
      </c>
      <c r="O25" s="198" t="str">
        <f>'Book Details - NO EDIT'!AC25</f>
        <v>9 - Lewis (1852–1908: #35); Gertrude (1854–1924: #38); Harriet (1856–1921: #40); Dulcie (1858–1905: #42); Harry (1861–1938: #44); William (1863–1923: #46); Caroline (1865–1938: #48); Mary (1867–1867: #49); Arthur (1868–1911: #50)</v>
      </c>
      <c r="P25" s="198" t="str">
        <f>'Book Details - NO EDIT'!AD25</f>
        <v xml:space="preserve">13 - Dick (1882–1950: #55); Robert (1884–1917: #57); Gertrude (1887–1917: #64); William (1889–1947: #66); Diana (1890–1963: #70); Charles (1891–1973: #72); Godfrey (1893–1917: #75); Vivian (1894–1972: #78); Reginald (1885–1917: #81); Wilfred (1896–1955: #82); Eddie (1902–1942: #84)   Ambrose GODDARD (1892 - :  #42a) Mabell D'OYLY (1904 - 1983:  #48a)             </v>
      </c>
      <c r="Q25" s="191" t="str">
        <f>IF('Book Details - NO EDIT'!J25="",IF(R25=0,"Less than year on 1-Jul-2022",_xlfn.CONCAT("On 1-Jul-2022, age ",R25,'Book Details - NO EDIT'!J25)),IF(LEN(R25)=0,"Died in infancy",_xlfn.CONCAT("Died ",'Book Details - NO EDIT'!J25,","," aged ",R25)))</f>
        <v>Died 28/08/1885, aged 23</v>
      </c>
      <c r="R25" s="73">
        <f>'Book Details - NO EDIT'!AX25</f>
        <v>23</v>
      </c>
      <c r="S25" s="73" t="str">
        <f>'Book Details - NO EDIT'!AY25</f>
        <v xml:space="preserve"> - </v>
      </c>
      <c r="T25" s="73" t="str">
        <f>'Book Details - NO EDIT'!AW25</f>
        <v>England</v>
      </c>
      <c r="U25" s="73">
        <f>VLOOKUP(A25,'Book Details - NO EDIT'!$A25:$S$192,13,FALSE)</f>
        <v>1</v>
      </c>
      <c r="V25" s="73">
        <f>VLOOKUP(A25,'Book Details - NO EDIT'!$A25:$S$192,12,FALSE)</f>
        <v>8</v>
      </c>
      <c r="X25" s="31">
        <f>IF(LEN('Book Details - NO EDIT'!J25)=0,0,1)</f>
        <v>1</v>
      </c>
    </row>
    <row r="26" spans="1:24" s="31" customFormat="1" ht="17">
      <c r="A26" s="125">
        <f>'Book Details - NO EDIT'!A26</f>
        <v>24</v>
      </c>
      <c r="B26" s="31" t="str">
        <f>'Book Details - NO EDIT'!Y26</f>
        <v>Frances LOYD</v>
      </c>
      <c r="C26" s="31" t="str">
        <f>'Book Details - NO EDIT'!V26</f>
        <v>Fanny (1824–1856)</v>
      </c>
      <c r="D26" s="199" t="str">
        <f>'Book Details - NO EDIT'!I26</f>
        <v>24/11/1824</v>
      </c>
      <c r="E26" s="31" t="str">
        <f>IF('Book Details - NO EDIT'!K26="Boy","Male","Female")</f>
        <v>Female</v>
      </c>
      <c r="F26" s="31" t="str">
        <f>IF('Book Details - NO EDIT'!T26=1,"First",IF('Book Details - NO EDIT'!T26=2,"Second",IF('Book Details - NO EDIT'!T26=3,"Third",IF('Book Details - NO EDIT'!T26=4,"Fourth",IF('Book Details - NO EDIT'!T26=5,"Fifth",IF('Book Details - NO EDIT'!T26=6,"Sixth",IF('Book Details - NO EDIT'!T26=7,"Seventh",IF('Book Details - NO EDIT'!T26=8,"Eighth",0))))))))</f>
        <v>Second</v>
      </c>
      <c r="G26" s="31" t="str">
        <f>'Book Details - NO EDIT'!Z26</f>
        <v>Edward (1780–1863: #8)</v>
      </c>
      <c r="H26" s="31" t="str">
        <f>'Book Details - NO EDIT'!AH26</f>
        <v>Sarah TAYLOR (b.5 Jul 1785, d. 19 Jan 1863)</v>
      </c>
      <c r="I26" s="31" t="str">
        <f>'Book Details - NO EDIT'!AI26</f>
        <v>James Sidney STOPFORD (b. 1807/08, d. 8 Jul 1885)</v>
      </c>
      <c r="J26" s="199" t="str">
        <f>'Book Details - NO EDIT'!AJ26</f>
        <v>16/09/1847</v>
      </c>
      <c r="K26" s="31" t="str">
        <f>'Book Details - NO EDIT'!AK26</f>
        <v xml:space="preserve">James, 5th son of the Rev the Hon Richard Bruce STOPFORD. James survived Fanny by almost 30 years and  married a second time, 12 Mar 1868, to Catherine Mary (d. 1884) daughter of Sir Thomas Wuthen WALLER.  James  died at The Oaks, Sunninghill. </v>
      </c>
      <c r="L26" s="131" t="str">
        <f>'Book Details - NO EDIT'!AL26</f>
        <v xml:space="preserve">Fanny was the 5th and youngest daughter of Edward (1780–1863: #8). Born 24 Nov 1824.  DSP 20 Sep 1856. 23. DSP                                                              </v>
      </c>
      <c r="M26" s="73" t="str">
        <f>'Book Details - NO EDIT'!AA26</f>
        <v xml:space="preserve">Edward (1780–1863: #8) William (1729–1800: #1)      </v>
      </c>
      <c r="N26" s="197" t="str">
        <f>'Book Details - NO EDIT'!AB26</f>
        <v xml:space="preserve">7 – Sarah (1810–1858: #11) Lewis (1811–1891: #13) Annie (1813–1834: #15) Kate (1815–1905: #18) Hannah (1817–1907: #19) Edward (1820–1890: #22) William (1821–1885: #23)  </v>
      </c>
      <c r="O26" s="198" t="str">
        <f>'Book Details - NO EDIT'!AC26</f>
        <v>d.s.p</v>
      </c>
      <c r="P26" s="198" t="str">
        <f>'Book Details - NO EDIT'!AD26</f>
        <v>d.s.p.</v>
      </c>
      <c r="Q26" s="191" t="str">
        <f>IF('Book Details - NO EDIT'!J26="",IF(R26=0,"Less than year on 1-Jul-2022",_xlfn.CONCAT("On 1-Jul-2022, age ",R26,'Book Details - NO EDIT'!J26)),IF(LEN(R26)=0,"Died in infancy",_xlfn.CONCAT("Died ",'Book Details - NO EDIT'!J26,","," aged ",R26)))</f>
        <v>Died 20/09/1856, aged 24</v>
      </c>
      <c r="R26" s="73">
        <f>'Book Details - NO EDIT'!AX26</f>
        <v>24</v>
      </c>
      <c r="S26" s="73" t="str">
        <f>'Book Details - NO EDIT'!AY26</f>
        <v xml:space="preserve"> - </v>
      </c>
      <c r="T26" s="73" t="str">
        <f>'Book Details - NO EDIT'!AW26</f>
        <v>England</v>
      </c>
      <c r="U26" s="73">
        <f>VLOOKUP(A26,'Book Details - NO EDIT'!$A26:$S$192,13,FALSE)</f>
        <v>1</v>
      </c>
      <c r="V26" s="73">
        <f>VLOOKUP(A26,'Book Details - NO EDIT'!$A26:$S$192,12,FALSE)</f>
        <v>8</v>
      </c>
      <c r="X26" s="31">
        <f>IF(LEN('Book Details - NO EDIT'!J26)=0,0,1)</f>
        <v>1</v>
      </c>
    </row>
    <row r="27" spans="1:24" s="31" customFormat="1" ht="17">
      <c r="A27" s="125">
        <f>'Book Details - NO EDIT'!A27</f>
        <v>25</v>
      </c>
      <c r="B27" s="31" t="str">
        <f>'Book Details - NO EDIT'!Y27</f>
        <v>Henry Jones LOYD</v>
      </c>
      <c r="C27" s="31" t="str">
        <f>'Book Details - NO EDIT'!V27</f>
        <v>Henry (1832–1833)</v>
      </c>
      <c r="D27" s="199" t="str">
        <f>'Book Details - NO EDIT'!I27</f>
        <v>20/12/1832</v>
      </c>
      <c r="E27" s="31" t="str">
        <f>IF('Book Details - NO EDIT'!K27="Boy","Male","Female")</f>
        <v>Male</v>
      </c>
      <c r="F27" s="31" t="str">
        <f>IF('Book Details - NO EDIT'!T27=1,"First",IF('Book Details - NO EDIT'!T27=2,"Second",IF('Book Details - NO EDIT'!T27=3,"Third",IF('Book Details - NO EDIT'!T27=4,"Fourth",IF('Book Details - NO EDIT'!T27=5,"Fifth",IF('Book Details - NO EDIT'!T27=6,"Sixth",IF('Book Details - NO EDIT'!T27=7,"Seventh",IF('Book Details - NO EDIT'!T27=8,"Eighth",0))))))))</f>
        <v>Third</v>
      </c>
      <c r="G27" s="31" t="str">
        <f>'Book Details - NO EDIT'!Z27</f>
        <v>Samuel (1796–1883: #9)</v>
      </c>
      <c r="H27" s="31" t="str">
        <f>'Book Details - NO EDIT'!AH27</f>
        <v>Harriet  WRIGHT (b. 1798/99, d. 6 Nov 1864)</v>
      </c>
      <c r="I27" s="31" t="str">
        <f>'Book Details - NO EDIT'!AI27</f>
        <v>Died in infancy.</v>
      </c>
      <c r="J27" s="199" t="str">
        <f>'Book Details - NO EDIT'!AJ27</f>
        <v xml:space="preserve"> - </v>
      </c>
      <c r="K27" s="31" t="str">
        <f>'Book Details - NO EDIT'!AK27</f>
        <v xml:space="preserve"> - </v>
      </c>
      <c r="L27" s="131" t="str">
        <f>'Book Details - NO EDIT'!AL27</f>
        <v>Henry was the only son of Samuel (Baron OVERSTONE) (1796–1883: #9). Born 20 Dec 1832. Died in infancy on 31 Mar 1833; buried at Overstone.</v>
      </c>
      <c r="M27" s="73" t="str">
        <f>'Book Details - NO EDIT'!AA27</f>
        <v xml:space="preserve">Samuel (1796–1883: #9) Lewis LOYD (1768–1858: #3) William (1729–1800: #1)     </v>
      </c>
      <c r="N27" s="197" t="str">
        <f>'Book Details - NO EDIT'!AB27</f>
        <v xml:space="preserve">1 – The Hon Harriet (1837–1920: #26)       </v>
      </c>
      <c r="O27" s="198" t="str">
        <f>'Book Details - NO EDIT'!AC27</f>
        <v>d.s.p</v>
      </c>
      <c r="P27" s="198" t="str">
        <f>'Book Details - NO EDIT'!AD27</f>
        <v>d.s.p.</v>
      </c>
      <c r="Q27" s="191" t="str">
        <f>IF('Book Details - NO EDIT'!J27="",IF(R27=0,"Less than year on 1-Jul-2022",_xlfn.CONCAT("On 1-Jul-2022, age ",R27,'Book Details - NO EDIT'!J27)),IF(LEN(R27)=0,"Died in infancy",_xlfn.CONCAT("Died ",'Book Details - NO EDIT'!J27,","," aged ",R27)))</f>
        <v>Died 31/03/1833, aged 25</v>
      </c>
      <c r="R27" s="73">
        <f>'Book Details - NO EDIT'!AX27</f>
        <v>25</v>
      </c>
      <c r="S27" s="73" t="str">
        <f>'Book Details - NO EDIT'!AY27</f>
        <v xml:space="preserve"> - </v>
      </c>
      <c r="T27" s="73" t="str">
        <f>'Book Details - NO EDIT'!AW27</f>
        <v>England</v>
      </c>
      <c r="U27" s="73">
        <f>VLOOKUP(A27,'Book Details - NO EDIT'!$A27:$S$192,13,FALSE)</f>
        <v>3</v>
      </c>
      <c r="V27" s="73">
        <f>VLOOKUP(A27,'Book Details - NO EDIT'!$A27:$S$192,12,FALSE)</f>
        <v>9</v>
      </c>
      <c r="X27" s="31">
        <f>IF(LEN('Book Details - NO EDIT'!J27)=0,0,1)</f>
        <v>1</v>
      </c>
    </row>
    <row r="28" spans="1:24" s="31" customFormat="1" ht="51">
      <c r="A28" s="125">
        <f>'Book Details - NO EDIT'!A28</f>
        <v>26</v>
      </c>
      <c r="B28" s="31" t="str">
        <f>'Book Details - NO EDIT'!Y28</f>
        <v>The Hon Harriet Sarah Jones LOYD</v>
      </c>
      <c r="C28" s="31" t="str">
        <f>'Book Details - NO EDIT'!V28</f>
        <v>The Hon Harriet (1837–1920)</v>
      </c>
      <c r="D28" s="199" t="str">
        <f>'Book Details - NO EDIT'!I28</f>
        <v>30/06/1837</v>
      </c>
      <c r="E28" s="31" t="str">
        <f>IF('Book Details - NO EDIT'!K28="Boy","Male","Female")</f>
        <v>Female</v>
      </c>
      <c r="F28" s="31" t="str">
        <f>IF('Book Details - NO EDIT'!T28=1,"First",IF('Book Details - NO EDIT'!T28=2,"Second",IF('Book Details - NO EDIT'!T28=3,"Third",IF('Book Details - NO EDIT'!T28=4,"Fourth",IF('Book Details - NO EDIT'!T28=5,"Fifth",IF('Book Details - NO EDIT'!T28=6,"Sixth",IF('Book Details - NO EDIT'!T28=7,"Seventh",IF('Book Details - NO EDIT'!T28=8,"Eighth",0))))))))</f>
        <v>Third</v>
      </c>
      <c r="G28" s="31" t="str">
        <f>'Book Details - NO EDIT'!Z28</f>
        <v>Samuel (1796–1883: #9)</v>
      </c>
      <c r="H28" s="31" t="str">
        <f>'Book Details - NO EDIT'!AH28</f>
        <v>Harriet  WRIGHT (b. 1798/99, d. 6 Nov 1864)</v>
      </c>
      <c r="I28" s="31" t="str">
        <f>'Book Details - NO EDIT'!AI28</f>
        <v>Robert James LINDSAY (b. 16 Apr 1832, d. 10 Jan 1901)</v>
      </c>
      <c r="J28" s="199" t="str">
        <f>'Book Details - NO EDIT'!AJ28</f>
        <v>17/11/1858</v>
      </c>
      <c r="K28" s="31" t="str">
        <f>'Book Details - NO EDIT'!AK28</f>
        <v>Married at St Martin’s in the Fields, London. Robert, educated Eton (1846-50). Lieut Colonel, Scots Fusiliers Guards, 2nd son of Lieut General James LINDSAY of Balcarres, Co. Fife and Anne, daughter of Sir Coutts TROTTER, Bart of Westville, Lincolnshire. Robert had served in the Crimea War 1854-55, greatly distinguishing himself in the defence of the Queen’s Colour at Alma, and in command of his company at Inkerman. Awarded Victoria Cross 24 Feb 1857. Retired from Army 1859. (Mentioned in Pan Books - “Battles of the Crimea War”). On his marriage he assumed the surname of LOYD LINDSAY. MP for Berkshire 1865-85. Founded British Red Cross Society 1870. Lord Lieutenant and JP for Berkshire 1886-1901. Equerry to HRH The Prince of Wales 1874 (later Edward VII). Financial Secretary to War Office 1877-80. Created KCB 1881. Raised to Peerage as Baron WANTAGE of Lockinge 1885. Founder and Director of the Wantage Tramway. Ran from Wantage Road GWR to Wantage 1873. Tramway finally dissolved 1947. (See “The Wantage Tramway” Abbey Press, Abington 1958.)  Robert buried at Ardington, Nr. Lockinge.</v>
      </c>
      <c r="L28" s="131" t="str">
        <f>'Book Details - NO EDIT'!AL28</f>
        <v xml:space="preserve">Lady WANTAGE of Lockinge House [24] Wantage, and of 2 Carlton Gardens, London SW1 was the only daughter of Samuel Jones LOYD, Baron OVERSTONE (1796–1883: #9). Born 30 Jun 1837. Harriet DSP on 9 Aug 1920 and is buried at Ardington, near Lockinge. DSP Estate £768,587. Portrait by Philip LASZLO de LOMBOS in possession of Christopher (1923-2013: #100). Footnote: [24] Lockinge House, built 1773, was given by Lord Overstone to his daughter Harriet and son-in-law after their marriage. After her husband Robert died in 1901 Harriet wrote a book entitled  'Lord Wantage, V.C.; K.C.B. - A Memoir' which was published in 1907.  A copy is in the possession of Dominic (1953– : #131) and Roddy SALE ((397d) also has a copy of a memoire of Lord Wantage written by his wife The Hon Harriet (1837–1920: #26). </v>
      </c>
      <c r="M28" s="73" t="str">
        <f>'Book Details - NO EDIT'!AA28</f>
        <v xml:space="preserve">Samuel (1796–1883: #9) Lewis LOYD (1768–1858: #3) William (1729–1800: #1)     </v>
      </c>
      <c r="N28" s="197" t="str">
        <f>'Book Details - NO EDIT'!AB28</f>
        <v xml:space="preserve">1 – Henry (1832–1833: #25)        </v>
      </c>
      <c r="O28" s="198" t="str">
        <f>'Book Details - NO EDIT'!AC28</f>
        <v>d.s.p</v>
      </c>
      <c r="P28" s="198" t="str">
        <f>'Book Details - NO EDIT'!AD28</f>
        <v>d.s.p.</v>
      </c>
      <c r="Q28" s="191" t="str">
        <f>IF('Book Details - NO EDIT'!J28="",IF(R28=0,"Less than year on 1-Jul-2022",_xlfn.CONCAT("On 1-Jul-2022, age ",R28,'Book Details - NO EDIT'!J28)),IF(LEN(R28)=0,"Died in infancy",_xlfn.CONCAT("Died ",'Book Details - NO EDIT'!J28,","," aged ",R28)))</f>
        <v>Died 09/08/1920, aged 26</v>
      </c>
      <c r="R28" s="73">
        <f>'Book Details - NO EDIT'!AX28</f>
        <v>26</v>
      </c>
      <c r="S28" s="73" t="str">
        <f>'Book Details - NO EDIT'!AY28</f>
        <v xml:space="preserve"> - </v>
      </c>
      <c r="T28" s="73" t="str">
        <f>'Book Details - NO EDIT'!AW28</f>
        <v>England</v>
      </c>
      <c r="U28" s="73">
        <f>VLOOKUP(A28,'Book Details - NO EDIT'!$A28:$S$192,13,FALSE)</f>
        <v>3</v>
      </c>
      <c r="V28" s="73">
        <f>VLOOKUP(A28,'Book Details - NO EDIT'!$A28:$S$192,12,FALSE)</f>
        <v>9</v>
      </c>
      <c r="X28" s="31">
        <f>IF(LEN('Book Details - NO EDIT'!J28)=0,0,1)</f>
        <v>1</v>
      </c>
    </row>
    <row r="29" spans="1:24" s="31" customFormat="1" ht="17">
      <c r="A29" s="125">
        <f>'Book Details - NO EDIT'!A29</f>
        <v>27</v>
      </c>
      <c r="B29" s="31" t="str">
        <f>'Book Details - NO EDIT'!Y29</f>
        <v>William Kirkman LOYD</v>
      </c>
      <c r="C29" s="31" t="str">
        <f>'Book Details - NO EDIT'!V29</f>
        <v>William (1843–1843)</v>
      </c>
      <c r="D29" s="199" t="str">
        <f>'Book Details - NO EDIT'!I29</f>
        <v>17/01/1843</v>
      </c>
      <c r="E29" s="31" t="str">
        <f>IF('Book Details - NO EDIT'!K29="Boy","Male","Female")</f>
        <v>Male</v>
      </c>
      <c r="F29" s="31" t="str">
        <f>IF('Book Details - NO EDIT'!T29=1,"First",IF('Book Details - NO EDIT'!T29=2,"Second",IF('Book Details - NO EDIT'!T29=3,"Third",IF('Book Details - NO EDIT'!T29=4,"Fourth",IF('Book Details - NO EDIT'!T29=5,"Fifth",IF('Book Details - NO EDIT'!T29=6,"Sixth",IF('Book Details - NO EDIT'!T29=7,"Seventh",IF('Book Details - NO EDIT'!T29=8,"Eighth",0))))))))</f>
        <v>Third</v>
      </c>
      <c r="G29" s="31" t="str">
        <f>'Book Details - NO EDIT'!Z29</f>
        <v>Thomas (1812–1857: #14)</v>
      </c>
      <c r="H29" s="31" t="str">
        <f>'Book Details - NO EDIT'!AH29</f>
        <v>Annie Hurst HAIG (b. 3 Oct 1816, d. 28 May 1885)</v>
      </c>
      <c r="I29" s="31" t="str">
        <f>'Book Details - NO EDIT'!AI29</f>
        <v>Died in infancy.</v>
      </c>
      <c r="J29" s="199" t="str">
        <f>'Book Details - NO EDIT'!AJ29</f>
        <v xml:space="preserve"> - </v>
      </c>
      <c r="K29" s="31" t="str">
        <f>'Book Details - NO EDIT'!AK29</f>
        <v xml:space="preserve"> - </v>
      </c>
      <c r="L29" s="131" t="str">
        <f>'Book Details - NO EDIT'!AL29</f>
        <v>William was the eldest son of Thomas (1812–1857: #14). Born 17 Jan 1843. Died in infancy on 30 May 1843 in India.</v>
      </c>
      <c r="M29" s="73" t="str">
        <f>'Book Details - NO EDIT'!AA29</f>
        <v xml:space="preserve">Thomas (1812–1857: #14) William (1770–1828: #4) William (1729–1800: #1)     </v>
      </c>
      <c r="N29" s="197" t="str">
        <f>'Book Details - NO EDIT'!AB29</f>
        <v xml:space="preserve">7 – The Rev Lewis (1844–1905: #28) Arthur (1845–1930: #29) Archie (1847–1922: #30) Frank (1848–1934: #32) Alfred (1849–1881: #33) Ted (1851–1922: #34) Annie (1853–1946: #37) </v>
      </c>
      <c r="O29" s="198" t="str">
        <f>'Book Details - NO EDIT'!AC29</f>
        <v>d.s.p</v>
      </c>
      <c r="P29" s="198" t="str">
        <f>'Book Details - NO EDIT'!AD29</f>
        <v>d.s.p.</v>
      </c>
      <c r="Q29" s="191" t="str">
        <f>IF('Book Details - NO EDIT'!J29="",IF(R29=0,"Less than year on 1-Jul-2022",_xlfn.CONCAT("On 1-Jul-2022, age ",R29,'Book Details - NO EDIT'!J29)),IF(LEN(R29)=0,"Died in infancy",_xlfn.CONCAT("Died ",'Book Details - NO EDIT'!J29,","," aged ",R29)))</f>
        <v>Died 30/05/1843, aged 27</v>
      </c>
      <c r="R29" s="73">
        <f>'Book Details - NO EDIT'!AX29</f>
        <v>27</v>
      </c>
      <c r="S29" s="73" t="str">
        <f>'Book Details - NO EDIT'!AY29</f>
        <v xml:space="preserve"> - </v>
      </c>
      <c r="T29" s="73" t="str">
        <f>'Book Details - NO EDIT'!AW29</f>
        <v>England</v>
      </c>
      <c r="U29" s="73">
        <f>VLOOKUP(A29,'Book Details - NO EDIT'!$A29:$S$192,13,FALSE)</f>
        <v>4</v>
      </c>
      <c r="V29" s="73">
        <f>VLOOKUP(A29,'Book Details - NO EDIT'!$A29:$S$192,12,FALSE)</f>
        <v>14</v>
      </c>
      <c r="X29" s="31">
        <f>IF(LEN('Book Details - NO EDIT'!J29)=0,0,1)</f>
        <v>1</v>
      </c>
    </row>
    <row r="30" spans="1:24" s="31" customFormat="1" ht="34">
      <c r="A30" s="125">
        <f>'Book Details - NO EDIT'!A30</f>
        <v>28</v>
      </c>
      <c r="B30" s="31" t="str">
        <f>'Book Details - NO EDIT'!Y30</f>
        <v>The Rev Lewis Haig  LOYD</v>
      </c>
      <c r="C30" s="31" t="str">
        <f>'Book Details - NO EDIT'!V30</f>
        <v>The Rev Lewis (1844–1905)</v>
      </c>
      <c r="D30" s="199" t="str">
        <f>'Book Details - NO EDIT'!I30</f>
        <v>28/03/1844</v>
      </c>
      <c r="E30" s="31" t="str">
        <f>IF('Book Details - NO EDIT'!K30="Boy","Male","Female")</f>
        <v>Male</v>
      </c>
      <c r="F30" s="31" t="str">
        <f>IF('Book Details - NO EDIT'!T30=1,"First",IF('Book Details - NO EDIT'!T30=2,"Second",IF('Book Details - NO EDIT'!T30=3,"Third",IF('Book Details - NO EDIT'!T30=4,"Fourth",IF('Book Details - NO EDIT'!T30=5,"Fifth",IF('Book Details - NO EDIT'!T30=6,"Sixth",IF('Book Details - NO EDIT'!T30=7,"Seventh",IF('Book Details - NO EDIT'!T30=8,"Eighth",0))))))))</f>
        <v>Third</v>
      </c>
      <c r="G30" s="31" t="str">
        <f>'Book Details - NO EDIT'!Z30</f>
        <v>Thomas (1812–1857: #14)</v>
      </c>
      <c r="H30" s="31" t="str">
        <f>'Book Details - NO EDIT'!AH30</f>
        <v>Annie Hurst HAIG (b. 3 Oct 1816, d. 28 May 1885)</v>
      </c>
      <c r="I30" s="31" t="str">
        <f>'Book Details - NO EDIT'!AI30</f>
        <v>Emily Harriet (Milly) SMYTH (b. 30 Aug 1852, d. 25 Feb 1911)</v>
      </c>
      <c r="J30" s="199" t="str">
        <f>'Book Details - NO EDIT'!AJ30</f>
        <v>27/10/1874</v>
      </c>
      <c r="K30" s="31" t="str">
        <f>'Book Details - NO EDIT'!AK30</f>
        <v>Married at Little Houghton, Northamptonshire, Milly daughter of the Rev Christopher SMYTH of Little Houghton, Northamptonshire.</v>
      </c>
      <c r="L30" s="131" t="str">
        <f>'Book Details - NO EDIT'!AL30</f>
        <v>Lewis was the 2nd son of Thomas (1812–1857: #14) . Born 28 Mar 1844 at Simla, India. Educated MA. Rector of Abington, Northamptonshire 1870-77. Vicar of St Laurence, Northampton 1877-85. Vicar of Wing, Buckinghamshire 1885. Rector of Orlingbury, Northamptonshire. Died 4 Aug 1905, at Grange Gardens, Eastbourne; buried at Wing, Buckinghamshire. Issue: 3 sons, 1 daughter.</v>
      </c>
      <c r="M30" s="73" t="str">
        <f>'Book Details - NO EDIT'!AA30</f>
        <v xml:space="preserve">Thomas (1812–1857: #14) William (1770–1828: #4) William (1729–1800: #1)     </v>
      </c>
      <c r="N30" s="197" t="str">
        <f>'Book Details - NO EDIT'!AB30</f>
        <v xml:space="preserve">7 – William (1843–1843: #27)  Arthur (1845–1930: #29) Archie (1847–1922: #30) Frank (1848–1934: #32) Alfred (1849–1881: #33) Ted (1851–1922: #34) Annie (1853–1946: #37) </v>
      </c>
      <c r="O30" s="198" t="str">
        <f>'Book Details - NO EDIT'!AC30</f>
        <v>4 - Lewis (1875–1947: #51); Tommy (1882–1944: #56); Rt Rev Philip (1884–1952: #58); Kitty (1885–1989: #60)</v>
      </c>
      <c r="P30" s="198" t="str">
        <f>'Book Details - NO EDIT'!AD30</f>
        <v xml:space="preserve">6 - Anne (1912–2004: #85); John (1913–1943: #87); Martin (1917–1926: #91); Hester (1920–2002: #95); Christopher (1923–2013: #100); Catherine (1923–2014: #101)   </v>
      </c>
      <c r="Q30" s="191" t="str">
        <f>IF('Book Details - NO EDIT'!J30="",IF(R30=0,"Less than year on 1-Jul-2022",_xlfn.CONCAT("On 1-Jul-2022, age ",R30,'Book Details - NO EDIT'!J30)),IF(LEN(R30)=0,"Died in infancy",_xlfn.CONCAT("Died ",'Book Details - NO EDIT'!J30,","," aged ",R30)))</f>
        <v>Died 04/08/1905, aged 28</v>
      </c>
      <c r="R30" s="73">
        <f>'Book Details - NO EDIT'!AX30</f>
        <v>28</v>
      </c>
      <c r="S30" s="73" t="str">
        <f>'Book Details - NO EDIT'!AY30</f>
        <v xml:space="preserve"> - </v>
      </c>
      <c r="T30" s="73" t="str">
        <f>'Book Details - NO EDIT'!AW30</f>
        <v>England</v>
      </c>
      <c r="U30" s="73">
        <f>VLOOKUP(A30,'Book Details - NO EDIT'!$A30:$S$192,13,FALSE)</f>
        <v>4</v>
      </c>
      <c r="V30" s="73">
        <f>VLOOKUP(A30,'Book Details - NO EDIT'!$A30:$S$192,12,FALSE)</f>
        <v>14</v>
      </c>
      <c r="X30" s="31">
        <f>IF(LEN('Book Details - NO EDIT'!J30)=0,0,1)</f>
        <v>1</v>
      </c>
    </row>
    <row r="31" spans="1:24" s="31" customFormat="1" ht="153">
      <c r="A31" s="125">
        <f>'Book Details - NO EDIT'!A31</f>
        <v>29</v>
      </c>
      <c r="B31" s="31" t="str">
        <f>'Book Details - NO EDIT'!Y31</f>
        <v>Arthur Purvis LOYD</v>
      </c>
      <c r="C31" s="31" t="str">
        <f>'Book Details - NO EDIT'!V31</f>
        <v>Arthur (1845–1930)</v>
      </c>
      <c r="D31" s="199" t="str">
        <f>'Book Details - NO EDIT'!I31</f>
        <v>28/09/1845</v>
      </c>
      <c r="E31" s="31" t="str">
        <f>IF('Book Details - NO EDIT'!K31="Boy","Male","Female")</f>
        <v>Male</v>
      </c>
      <c r="F31" s="31" t="str">
        <f>IF('Book Details - NO EDIT'!T31=1,"First",IF('Book Details - NO EDIT'!T31=2,"Second",IF('Book Details - NO EDIT'!T31=3,"Third",IF('Book Details - NO EDIT'!T31=4,"Fourth",IF('Book Details - NO EDIT'!T31=5,"Fifth",IF('Book Details - NO EDIT'!T31=6,"Sixth",IF('Book Details - NO EDIT'!T31=7,"Seventh",IF('Book Details - NO EDIT'!T31=8,"Eighth",0))))))))</f>
        <v>Third</v>
      </c>
      <c r="G31" s="31" t="str">
        <f>'Book Details - NO EDIT'!Z31</f>
        <v>Thomas (1812–1857: #14)</v>
      </c>
      <c r="H31" s="31" t="str">
        <f>'Book Details - NO EDIT'!AH31</f>
        <v>Annie Hurst HAIG (b. 3 Oct 1816, d. 28 May 1885)</v>
      </c>
      <c r="I31" s="31" t="str">
        <f>'Book Details - NO EDIT'!AI31</f>
        <v>Mary Douglas Reid (Minnie) AULD (b. 3 Aug 1850, d. May 1938)</v>
      </c>
      <c r="J31" s="199" t="str">
        <f>'Book Details - NO EDIT'!AJ31</f>
        <v>18/10/1882</v>
      </c>
      <c r="K31" s="31" t="str">
        <f>'Book Details - NO EDIT'!AK31</f>
        <v>Married at St Mary and the Angels (Roman Catholic), Kensington, London, Minnie eldest daughter of T. K. AULD of 90 Portland Place, London, W1. Minnie buried with her husband at Brompton.</v>
      </c>
      <c r="L31" s="131" t="str">
        <f>'Book Details - NO EDIT'!AL31</f>
        <v>Arthur lived at 42 Thurloe Square, London SW7 and was 3rd son of Thomas  (1812–1857: #14) . Born 28 Sep 1845 at Agra, India. Educated St Clare, Kent and RMC Sandhurst.  Cornet 21st Hussars Jul 1865. Joined Regt at Umballa, Punjab, India Oct 1865. Lieutenant Oct 1868. Adjutant May 1873-Dec 1877. Captain Dec 1877. Major Jul 1881. Retired Feb 1884. Recalled to serve in Boer War as Remount Officer. Commanded Advance Remount Depot, Pretoria 1900. Despatches. Lieut Colonel Nov 1900. Ornithologist.  [27] Died 19 Mar 1930 at 42 Thurloe Square, buried with his grandmother, Maria Haig, at Brompton (grave no. 4844). Issue: 1 son. Footnote: [27] He was a keen amateur ornithologist with many references to birds in his letters from a very young age. Most of his diaries, in the possession of Margaret (1932– : #109), later Margaret WALTON, contain descriptions of birds. In 1894, he produced a beautiful, leather bound, hand written book “Bird Notes” with pen and ink diagrams of the anatomy of birds, which is now in the possession of Michael (1938– : #114). Brigadier Clive Simpson, one of our foremost authorities on British Birds, reviewing the book in 1995, wrote of “the wonder of the reader at the meticulous care of the author; the beauty of his penmanship; the artistry of his ‘Synoptical Tables of Subdivisions’, with their subtle changes in the signs of the lettering and their clever construction. Above all, the reader becomes aware of the author’s love of his subject and his determination to make his book as beautiful as the birds of which he writes. The book is a work of art and should be recognized as such.”  “He (Arthur] and his wife never settled down until Eric (1894-1963: #80) was born. They had always lived itinerant lives, he in the Army in India, England and Ireland and Minnie in Ceylon and then Mexico. They visited many countries together between 1887 and 1893 including North Africa, Egypt, Turkey and Norway. The story goes that early in 1894 Minnie, then aged 43, complained to a friend that they were about to embark on another voyage and she was pregnant again - having up to that time had nine miscarriages! The friend insisted on her consulting a doctor with the result that she was made to rest for nine months and my father was born in September 1894. They then bought a house near Salisbury ...” Margaret (1932– : #109), later Margaret WALTON.</v>
      </c>
      <c r="M31" s="73" t="str">
        <f>'Book Details - NO EDIT'!AA31</f>
        <v xml:space="preserve">Thomas (1812–1857: #14) William (1770–1828: #4) William (1729–1800: #1)     </v>
      </c>
      <c r="N31" s="197" t="str">
        <f>'Book Details - NO EDIT'!AB31</f>
        <v xml:space="preserve">7 – William (1843–1843: #27) The Rev Lewis (1844–1905: #28)  Archie (1847–1922: #30) Frank (1848–1934: #32) Alfred (1849–1881: #33) Ted (1851–1922: #34) Annie (1853–1946: #37) </v>
      </c>
      <c r="O31" s="198" t="str">
        <f>'Book Details - NO EDIT'!AC31</f>
        <v>1 - Eric (1894–1963: #80)</v>
      </c>
      <c r="P31" s="198" t="str">
        <f>'Book Details - NO EDIT'!AD31</f>
        <v xml:space="preserve">4 - Margaret (1932–: #109); Jean (1933–: #110); Michael (1938–: #114); Peter (1942–: #119)   </v>
      </c>
      <c r="Q31" s="191" t="str">
        <f>IF('Book Details - NO EDIT'!J31="",IF(R31=0,"Less than year on 1-Jul-2022",_xlfn.CONCAT("On 1-Jul-2022, age ",R31,'Book Details - NO EDIT'!J31)),IF(LEN(R31)=0,"Died in infancy",_xlfn.CONCAT("Died ",'Book Details - NO EDIT'!J31,","," aged ",R31)))</f>
        <v>Died 19/03/1930, aged 29</v>
      </c>
      <c r="R31" s="73">
        <f>'Book Details - NO EDIT'!AX31</f>
        <v>29</v>
      </c>
      <c r="S31" s="73" t="str">
        <f>'Book Details - NO EDIT'!AY31</f>
        <v xml:space="preserve"> - </v>
      </c>
      <c r="T31" s="73" t="str">
        <f>'Book Details - NO EDIT'!AW31</f>
        <v>India, England and Ireland</v>
      </c>
      <c r="U31" s="73">
        <f>VLOOKUP(A31,'Book Details - NO EDIT'!$A31:$S$192,13,FALSE)</f>
        <v>4</v>
      </c>
      <c r="V31" s="73">
        <f>VLOOKUP(A31,'Book Details - NO EDIT'!$A31:$S$192,12,FALSE)</f>
        <v>14</v>
      </c>
      <c r="X31" s="31">
        <f>IF(LEN('Book Details - NO EDIT'!J31)=0,0,1)</f>
        <v>1</v>
      </c>
    </row>
    <row r="32" spans="1:24" s="31" customFormat="1" ht="153">
      <c r="A32" s="125">
        <f>'Book Details - NO EDIT'!A32</f>
        <v>30</v>
      </c>
      <c r="B32" s="31" t="str">
        <f>'Book Details - NO EDIT'!Y32</f>
        <v>Archie Kirkman LOYD</v>
      </c>
      <c r="C32" s="31" t="str">
        <f>'Book Details - NO EDIT'!V32</f>
        <v>Archie (1847–1922)</v>
      </c>
      <c r="D32" s="199" t="str">
        <f>'Book Details - NO EDIT'!I32</f>
        <v>22/01/1847</v>
      </c>
      <c r="E32" s="31" t="str">
        <f>IF('Book Details - NO EDIT'!K32="Boy","Male","Female")</f>
        <v>Male</v>
      </c>
      <c r="F32" s="31" t="str">
        <f>IF('Book Details - NO EDIT'!T32=1,"First",IF('Book Details - NO EDIT'!T32=2,"Second",IF('Book Details - NO EDIT'!T32=3,"Third",IF('Book Details - NO EDIT'!T32=4,"Fourth",IF('Book Details - NO EDIT'!T32=5,"Fifth",IF('Book Details - NO EDIT'!T32=6,"Sixth",IF('Book Details - NO EDIT'!T32=7,"Seventh",IF('Book Details - NO EDIT'!T32=8,"Eighth",0))))))))</f>
        <v>Third</v>
      </c>
      <c r="G32" s="31" t="str">
        <f>'Book Details - NO EDIT'!Z32</f>
        <v>Thomas (1812–1857: #14)</v>
      </c>
      <c r="H32" s="31" t="str">
        <f>'Book Details - NO EDIT'!AH32</f>
        <v>Annie Hurst HAIG (b. 3 Oct 1816, d. 28 May 1885)</v>
      </c>
      <c r="I32" s="31" t="str">
        <f>'Book Details - NO EDIT'!AI32</f>
        <v>Henrietta Louisa CLUTTERBUCK (b. 23 Jan 1856, d. 14 Jan 1931)</v>
      </c>
      <c r="J32" s="199" t="str">
        <f>'Book Details - NO EDIT'!AJ32</f>
        <v>24/06/1885</v>
      </c>
      <c r="K32" s="31" t="str">
        <f>'Book Details - NO EDIT'!AK32</f>
        <v>Married at St. James’s, Piccadilly, London. Henrietta daughter of Edmund Lewis CLUTTERBUCK DL, JP of Hardenhuish Park, Chippenham, Wiltshire. Henrietta died at 60A Cadogan Square, buried at West Hendred, Berkshire.</v>
      </c>
      <c r="L32" s="131" t="str">
        <f>'Book Details - NO EDIT'!AL32</f>
        <v>Archie lived at Downs House [28], East Hendred, Berkshire and of 60A Cadogan Square, London SW1. 4th son of Thomas (1812–1857: #14). Born 22 Jan 1847 at Agra, India. Educated St Clare, Kent and Brighton College. Passed 3rd in open competition for Indian Civil Service, and Prize-man in English Law. Indian Civil Service 1867-69. Barrister-at-Law, Middle Temple 1868. QC 1892 (later KC on the death of Queen Victoria). Northern, and later, Midland Circuit, and Leicester and Northampton Sessions. Bencher 1894. Lent Reader 1907. MP for North Berkshire (Abingdon Division) 1895-1905 and 1916-18. Vice-Chairman, Council of the British Red Cross Society [29]. DL, JP, CA Berkshire. Died 1 Dec 1922 at 60A Cadogan Square, buried 4 Dec 1922 at West Hendred, Berkshire. Two portraits by Catherine OULESS of him (1913) and his wife (1914) passed from Reggie (1886–1961: #61) in 1961 to Peter (1922–2022: #98) and to Fergus DUNLOP  (1958– :#102b) in 2013. Issue: 4 sons. Archie Kirkman Loyd was actively involved in the work of the Red Cross Society from its foundation in 1870 by Lord Wantage, husband of The Hon Harriet (#26), with whom, in the law vacations, he often travelled abroad on Red Cross work. "During the armistice (Feb 1871) in the Franco-German war, in response to the call for special diet for the besieged, he entered Paris with a large quantity of port wine and lime juice to overcome scurvy, and then purchased quantities of vegetables for the hospitals. In 1876 he travelled with Lord Wantage through Serbia and Turkey, and was present at the decisive battle of Alexinatz. Returning from Constantinople, he established a temporary hospital at Scutari in Albania. In 1877, when Russia and Turkey were at war, he took thirteen tons of medicines and surgical appliances to Romania and, after an adventurous journey, reached the Russian Emperor’s headquarters at Gorni-Studen, near Plevna where he was presented to the Czar who commanded that every facility should be given to him for carrying out his mission" - the journal of the British Red Cross Society, Vol 1 No. 5 May 1914. Footnote: [28] Lord WANTAGE had lent to Archie Hodcott, West Ilsley, Berkshire in 1891 and built on the west wing for him which he had used as his country retreat until 1899. Lord WANTAGE then lent him Downs House which Lady WANTAGE conveyed to him in 1912. (29) Wrote “An outline of the History of the British Red Cross Society 1870-1914” published by The Abbey Press, Oct 1917.</v>
      </c>
      <c r="M32" s="73" t="str">
        <f>'Book Details - NO EDIT'!AA32</f>
        <v xml:space="preserve">Thomas (1812–1857: #14) William (1770–1828: #4) William (1729–1800: #1)     </v>
      </c>
      <c r="N32" s="197" t="str">
        <f>'Book Details - NO EDIT'!AB32</f>
        <v xml:space="preserve">7 – William (1843–1843: #27) The Rev Lewis (1844–1905: #28) Arthur (1845–1930: #29)  Frank (1848–1934: #32) Alfred (1849–1881: #33) Ted (1851–1922: #34) Annie (1853–1946: #37) </v>
      </c>
      <c r="O32" s="198" t="str">
        <f>'Book Details - NO EDIT'!AC32</f>
        <v>4 - Reggie (1886–1961: #61); Bobby (1887–1977: #62); Geoffrey (1890–1914: #69); Wilfrid (1893–1971: #77)</v>
      </c>
      <c r="P32" s="198" t="str">
        <f>'Book Details - NO EDIT'!AD32</f>
        <v xml:space="preserve">5 - Peter (1922–2022: #98); Zelda (1923–2014: #102); Geoffrey (1926–2018: #105); Denise (1928–: #106); Andrew (1934–1975: #111)   </v>
      </c>
      <c r="Q32" s="191" t="str">
        <f>IF('Book Details - NO EDIT'!J32="",IF(R32=0,"Less than year on 1-Jul-2022",_xlfn.CONCAT("On 1-Jul-2022, age ",R32,'Book Details - NO EDIT'!J32)),IF(LEN(R32)=0,"Died in infancy",_xlfn.CONCAT("Died ",'Book Details - NO EDIT'!J32,","," aged ",R32)))</f>
        <v>Died 01/12/1922, aged 30</v>
      </c>
      <c r="R32" s="73">
        <f>'Book Details - NO EDIT'!AX32</f>
        <v>30</v>
      </c>
      <c r="S32" s="73" t="str">
        <f>'Book Details - NO EDIT'!AY32</f>
        <v xml:space="preserve"> - </v>
      </c>
      <c r="T32" s="73" t="str">
        <f>'Book Details - NO EDIT'!AW32</f>
        <v>India, Eastern Europe &amp; England</v>
      </c>
      <c r="U32" s="73">
        <f>VLOOKUP(A32,'Book Details - NO EDIT'!$A32:$S$192,13,FALSE)</f>
        <v>4</v>
      </c>
      <c r="V32" s="73">
        <f>VLOOKUP(A32,'Book Details - NO EDIT'!$A32:$S$192,12,FALSE)</f>
        <v>14</v>
      </c>
      <c r="X32" s="31">
        <f>IF(LEN('Book Details - NO EDIT'!J32)=0,0,1)</f>
        <v>1</v>
      </c>
    </row>
    <row r="33" spans="1:24" s="31" customFormat="1" ht="34">
      <c r="A33" s="125">
        <f>'Book Details - NO EDIT'!A33</f>
        <v>31</v>
      </c>
      <c r="B33" s="31" t="str">
        <f>'Book Details - NO EDIT'!Y33</f>
        <v>Mary Louisa LOYD</v>
      </c>
      <c r="C33" s="31" t="str">
        <f>'Book Details - NO EDIT'!V33</f>
        <v>Mary (1848–1934)</v>
      </c>
      <c r="D33" s="199" t="str">
        <f>'Book Details - NO EDIT'!I33</f>
        <v>05/03/1848</v>
      </c>
      <c r="E33" s="31" t="str">
        <f>IF('Book Details - NO EDIT'!K33="Boy","Male","Female")</f>
        <v>Female</v>
      </c>
      <c r="F33" s="31" t="str">
        <f>IF('Book Details - NO EDIT'!T33=1,"First",IF('Book Details - NO EDIT'!T33=2,"Second",IF('Book Details - NO EDIT'!T33=3,"Third",IF('Book Details - NO EDIT'!T33=4,"Fourth",IF('Book Details - NO EDIT'!T33=5,"Fifth",IF('Book Details - NO EDIT'!T33=6,"Sixth",IF('Book Details - NO EDIT'!T33=7,"Seventh",IF('Book Details - NO EDIT'!T33=8,"Eighth",0))))))))</f>
        <v>Third</v>
      </c>
      <c r="G33" s="31" t="str">
        <f>'Book Details - NO EDIT'!Z33</f>
        <v>Edward (1820–1890: #22)</v>
      </c>
      <c r="H33" s="31" t="str">
        <f>'Book Details - NO EDIT'!AH33</f>
        <v>Caroline Louisa FOSTER (b. 6 Aug 1825, d. 8 Feb 1900)</v>
      </c>
      <c r="I33" s="31" t="str">
        <f>'Book Details - NO EDIT'!AI33</f>
        <v>Unmarried</v>
      </c>
      <c r="J33" s="199" t="str">
        <f>'Book Details - NO EDIT'!AJ33</f>
        <v xml:space="preserve"> - </v>
      </c>
      <c r="K33" s="31" t="str">
        <f>'Book Details - NO EDIT'!AK33</f>
        <v xml:space="preserve"> - </v>
      </c>
      <c r="L33" s="131" t="str">
        <f>'Book Details - NO EDIT'!AL33</f>
        <v>Mary lived at Cwrt Henri [30] Hawkhurst, Kent and was the eldest daughter of Edward (1820–1890: #22). Born 5 Mar 1848 at Prestwich Lodge, Manchester, baptised 26 Apr 1848 at Prestwich Church. Died, unmarried, 15 Jun 1930, buried at Hawkhurst. Footnote: [30] After her death, the house reverted to its original name of "Stoneden".</v>
      </c>
      <c r="M33" s="73" t="str">
        <f>'Book Details - NO EDIT'!AA33</f>
        <v xml:space="preserve">Edward (1820–1890: #22) Edward (1780–1863: #8) William (1729–1800: #1)     </v>
      </c>
      <c r="N33" s="197" t="str">
        <f>'Book Details - NO EDIT'!AB33</f>
        <v xml:space="preserve">6 – Elinor (1853–1895: #36) Fa (1855–1927: #39) Frederic (1856–1936: #41) Meg (1859–1936: #43) Llewellyn (1861–1939: #45) Caroline (1864–1940: #47)  </v>
      </c>
      <c r="O33" s="198" t="str">
        <f>'Book Details - NO EDIT'!AC33</f>
        <v>d.s.p</v>
      </c>
      <c r="P33" s="198" t="str">
        <f>'Book Details - NO EDIT'!AD33</f>
        <v>d.s.p.</v>
      </c>
      <c r="Q33" s="191" t="str">
        <f>IF('Book Details - NO EDIT'!J33="",IF(R33=0,"Less than year on 1-Jul-2022",_xlfn.CONCAT("On 1-Jul-2022, age ",R33,'Book Details - NO EDIT'!J33)),IF(LEN(R33)=0,"Died in infancy",_xlfn.CONCAT("Died ",'Book Details - NO EDIT'!J33,","," aged ",R33)))</f>
        <v>Died 09/08/1934, aged 31</v>
      </c>
      <c r="R33" s="73">
        <f>'Book Details - NO EDIT'!AX33</f>
        <v>31</v>
      </c>
      <c r="S33" s="73" t="str">
        <f>'Book Details - NO EDIT'!AY33</f>
        <v xml:space="preserve"> - </v>
      </c>
      <c r="T33" s="73" t="str">
        <f>'Book Details - NO EDIT'!AW33</f>
        <v>England</v>
      </c>
      <c r="U33" s="73">
        <f>VLOOKUP(A33,'Book Details - NO EDIT'!$A33:$S$192,13,FALSE)</f>
        <v>8</v>
      </c>
      <c r="V33" s="73">
        <f>VLOOKUP(A33,'Book Details - NO EDIT'!$A33:$S$192,12,FALSE)</f>
        <v>22</v>
      </c>
      <c r="X33" s="31">
        <f>IF(LEN('Book Details - NO EDIT'!J33)=0,0,1)</f>
        <v>1</v>
      </c>
    </row>
    <row r="34" spans="1:24" s="31" customFormat="1" ht="34">
      <c r="A34" s="125">
        <f>'Book Details - NO EDIT'!A34</f>
        <v>32</v>
      </c>
      <c r="B34" s="31" t="str">
        <f>'Book Details - NO EDIT'!Y34</f>
        <v>Frank Kirkman LOYD</v>
      </c>
      <c r="C34" s="31" t="str">
        <f>'Book Details - NO EDIT'!V34</f>
        <v>Frank (1848–1934)</v>
      </c>
      <c r="D34" s="199" t="str">
        <f>'Book Details - NO EDIT'!I34</f>
        <v>13/08/1848</v>
      </c>
      <c r="E34" s="31" t="str">
        <f>IF('Book Details - NO EDIT'!K34="Boy","Male","Female")</f>
        <v>Male</v>
      </c>
      <c r="F34" s="31" t="str">
        <f>IF('Book Details - NO EDIT'!T34=1,"First",IF('Book Details - NO EDIT'!T34=2,"Second",IF('Book Details - NO EDIT'!T34=3,"Third",IF('Book Details - NO EDIT'!T34=4,"Fourth",IF('Book Details - NO EDIT'!T34=5,"Fifth",IF('Book Details - NO EDIT'!T34=6,"Sixth",IF('Book Details - NO EDIT'!T34=7,"Seventh",IF('Book Details - NO EDIT'!T34=8,"Eighth",0))))))))</f>
        <v>Third</v>
      </c>
      <c r="G34" s="31" t="str">
        <f>'Book Details - NO EDIT'!Z34</f>
        <v>Thomas (1812–1857: #14)</v>
      </c>
      <c r="H34" s="31" t="str">
        <f>'Book Details - NO EDIT'!AH34</f>
        <v>Annie Hurst HAIG (b. 3 Oct 1816, d. 28 May 1885)</v>
      </c>
      <c r="I34" s="31" t="str">
        <f>'Book Details - NO EDIT'!AI34</f>
        <v>Frances Maria Jane FETHERSTONHAUGH (b. 10 Feb 1855, d. 6 May 1929)</v>
      </c>
      <c r="J34" s="199" t="str">
        <f>'Book Details - NO EDIT'!AJ34</f>
        <v>06/04/1880</v>
      </c>
      <c r="K34" s="31" t="str">
        <f>'Book Details - NO EDIT'!AK34</f>
        <v>Married at Holy Trinity, Dublin. Frances daughter of William FETHERSTONHAUGH JP of Carrick, Co. Meath, Ireland. Frances died at Lealands House, Groombridge, Sussex.</v>
      </c>
      <c r="L34" s="131" t="str">
        <f>'Book Details - NO EDIT'!AL34</f>
        <v>Frank lived at Lealands House, Groombridge, Sussex and was the 5th son of Thomas (1812–1857: #14). Born 13 Aug 1848 at Mussoorie, India.  55th Regiment, The Royal Inniskelling Fusiliers, 13 Jan 1868-30 Nov 1880. Adjutant 55 Rifles, 1 Nov 1879-30 Nov 1880. 108th Regiment, the Cheshire Militia 1 Dec 1880-Jun 1888. Lieut Colonel. JP for Sussex 1895. Died 9 Aug 1934 at Jevington Gardens, Eastbourne, Sussex. Issue: 2 sons.</v>
      </c>
      <c r="M34" s="73" t="str">
        <f>'Book Details - NO EDIT'!AA34</f>
        <v xml:space="preserve">Thomas (1812–1857: #14) William (1770–1828: #4) William (1729–1800: #1)     </v>
      </c>
      <c r="N34" s="197" t="str">
        <f>'Book Details - NO EDIT'!AB34</f>
        <v xml:space="preserve">7 – William (1843–1843: #27) The Rev Lewis (1844–1905: #28) Arthur (1845–1930: #29) Archie (1847–1922: #30)  Alfred (1849–1881: #33) Ted (1851–1922: #34) Annie (1853–1946: #37) </v>
      </c>
      <c r="O34" s="198" t="str">
        <f>'Book Details - NO EDIT'!AC34</f>
        <v>2 - Alfred (1882–1919: #54); Tony/Dodo (1889–1956: #67)</v>
      </c>
      <c r="P34" s="198" t="str">
        <f>'Book Details - NO EDIT'!AD34</f>
        <v xml:space="preserve">2 - Sir Francis/Frank (1916–2006: #89); Daphne (1917–1992: #92)   </v>
      </c>
      <c r="Q34" s="191" t="str">
        <f>IF('Book Details - NO EDIT'!J34="",IF(R34=0,"Less than year on 1-Jul-2022",_xlfn.CONCAT("On 1-Jul-2022, age ",R34,'Book Details - NO EDIT'!J34)),IF(LEN(R34)=0,"Died in infancy",_xlfn.CONCAT("Died ",'Book Details - NO EDIT'!J34,","," aged ",R34)))</f>
        <v>Died 08/09/1934, aged 32</v>
      </c>
      <c r="R34" s="73">
        <f>'Book Details - NO EDIT'!AX34</f>
        <v>32</v>
      </c>
      <c r="S34" s="73" t="str">
        <f>'Book Details - NO EDIT'!AY34</f>
        <v xml:space="preserve"> - </v>
      </c>
      <c r="T34" s="73" t="str">
        <f>'Book Details - NO EDIT'!AW34</f>
        <v>India and England</v>
      </c>
      <c r="U34" s="73">
        <f>VLOOKUP(A34,'Book Details - NO EDIT'!$A34:$S$192,13,FALSE)</f>
        <v>4</v>
      </c>
      <c r="V34" s="73">
        <f>VLOOKUP(A34,'Book Details - NO EDIT'!$A34:$S$192,12,FALSE)</f>
        <v>14</v>
      </c>
      <c r="X34" s="31">
        <f>IF(LEN('Book Details - NO EDIT'!J34)=0,0,1)</f>
        <v>1</v>
      </c>
    </row>
    <row r="35" spans="1:24" s="31" customFormat="1" ht="17">
      <c r="A35" s="125">
        <f>'Book Details - NO EDIT'!A35</f>
        <v>33</v>
      </c>
      <c r="B35" s="31" t="str">
        <f>'Book Details - NO EDIT'!Y35</f>
        <v>Alfred Kirkman LOYD</v>
      </c>
      <c r="C35" s="31" t="str">
        <f>'Book Details - NO EDIT'!V35</f>
        <v>Alfred (1849–1881)</v>
      </c>
      <c r="D35" s="199" t="str">
        <f>'Book Details - NO EDIT'!I35</f>
        <v>16/10/1849</v>
      </c>
      <c r="E35" s="31" t="str">
        <f>IF('Book Details - NO EDIT'!K35="Boy","Male","Female")</f>
        <v>Male</v>
      </c>
      <c r="F35" s="31" t="str">
        <f>IF('Book Details - NO EDIT'!T35=1,"First",IF('Book Details - NO EDIT'!T35=2,"Second",IF('Book Details - NO EDIT'!T35=3,"Third",IF('Book Details - NO EDIT'!T35=4,"Fourth",IF('Book Details - NO EDIT'!T35=5,"Fifth",IF('Book Details - NO EDIT'!T35=6,"Sixth",IF('Book Details - NO EDIT'!T35=7,"Seventh",IF('Book Details - NO EDIT'!T35=8,"Eighth",0))))))))</f>
        <v>Third</v>
      </c>
      <c r="G35" s="31" t="str">
        <f>'Book Details - NO EDIT'!Z35</f>
        <v>Thomas (1812–1857: #14)</v>
      </c>
      <c r="H35" s="31" t="str">
        <f>'Book Details - NO EDIT'!AH35</f>
        <v>Annie Hurst HAIG (b. 3 Oct 1816, d. 28 May 1885)</v>
      </c>
      <c r="I35" s="31" t="str">
        <f>'Book Details - NO EDIT'!AI35</f>
        <v>Unmarried</v>
      </c>
      <c r="J35" s="199" t="str">
        <f>'Book Details - NO EDIT'!AJ35</f>
        <v xml:space="preserve"> - </v>
      </c>
      <c r="K35" s="31" t="str">
        <f>'Book Details - NO EDIT'!AK35</f>
        <v xml:space="preserve"> - </v>
      </c>
      <c r="L35" s="131" t="str">
        <f>'Book Details - NO EDIT'!AL35</f>
        <v>Alfred was the 6th son of Thomas (1812–1857: #14). Born 16 Oct 1849 at Landour, India. Royal Artillery Captain 23 Jul 1870 to 9 Apr 1880.  Served in India. Died, unmarried, 20 Apr 1881 at Sheerness, Kent. DSP</v>
      </c>
      <c r="M35" s="73" t="str">
        <f>'Book Details - NO EDIT'!AA35</f>
        <v xml:space="preserve">Thomas (1812–1857: #14) William (1770–1828: #4) William (1729–1800: #1)     </v>
      </c>
      <c r="N35" s="197" t="str">
        <f>'Book Details - NO EDIT'!AB35</f>
        <v xml:space="preserve">7 – William (1843–1843: #27) The Rev Lewis (1844–1905: #28) Arthur (1845–1930: #29) Archie (1847–1922: #30) Frank (1848–1934: #32)  Ted (1851–1922: #34) Annie (1853–1946: #37) </v>
      </c>
      <c r="O35" s="198" t="str">
        <f>'Book Details - NO EDIT'!AC35</f>
        <v>d.s.p</v>
      </c>
      <c r="P35" s="198" t="str">
        <f>'Book Details - NO EDIT'!AD35</f>
        <v>d.s.p.</v>
      </c>
      <c r="Q35" s="191" t="str">
        <f>IF('Book Details - NO EDIT'!J35="",IF(R35=0,"Less than year on 1-Jul-2022",_xlfn.CONCAT("On 1-Jul-2022, age ",R35,'Book Details - NO EDIT'!J35)),IF(LEN(R35)=0,"Died in infancy",_xlfn.CONCAT("Died ",'Book Details - NO EDIT'!J35,","," aged ",R35)))</f>
        <v>Died 20/04/1881, aged 33</v>
      </c>
      <c r="R35" s="73">
        <f>'Book Details - NO EDIT'!AX35</f>
        <v>33</v>
      </c>
      <c r="S35" s="73" t="str">
        <f>'Book Details - NO EDIT'!AY35</f>
        <v xml:space="preserve"> - </v>
      </c>
      <c r="T35" s="73" t="str">
        <f>'Book Details - NO EDIT'!AW35</f>
        <v>India and England</v>
      </c>
      <c r="U35" s="73">
        <f>VLOOKUP(A35,'Book Details - NO EDIT'!$A35:$S$192,13,FALSE)</f>
        <v>4</v>
      </c>
      <c r="V35" s="73">
        <f>VLOOKUP(A35,'Book Details - NO EDIT'!$A35:$S$192,12,FALSE)</f>
        <v>14</v>
      </c>
      <c r="X35" s="31">
        <f>IF(LEN('Book Details - NO EDIT'!J35)=0,0,1)</f>
        <v>1</v>
      </c>
    </row>
    <row r="36" spans="1:24" s="31" customFormat="1" ht="34">
      <c r="A36" s="125">
        <f>'Book Details - NO EDIT'!A36</f>
        <v>34</v>
      </c>
      <c r="B36" s="31" t="str">
        <f>'Book Details - NO EDIT'!Y36</f>
        <v xml:space="preserve">Edward Kirkman LOYD </v>
      </c>
      <c r="C36" s="31" t="str">
        <f>'Book Details - NO EDIT'!V36</f>
        <v>Ted (1851–1922)</v>
      </c>
      <c r="D36" s="199" t="str">
        <f>'Book Details - NO EDIT'!I36</f>
        <v>06/08/1851</v>
      </c>
      <c r="E36" s="31" t="str">
        <f>IF('Book Details - NO EDIT'!K36="Boy","Male","Female")</f>
        <v>Male</v>
      </c>
      <c r="F36" s="31" t="str">
        <f>IF('Book Details - NO EDIT'!T36=1,"First",IF('Book Details - NO EDIT'!T36=2,"Second",IF('Book Details - NO EDIT'!T36=3,"Third",IF('Book Details - NO EDIT'!T36=4,"Fourth",IF('Book Details - NO EDIT'!T36=5,"Fifth",IF('Book Details - NO EDIT'!T36=6,"Sixth",IF('Book Details - NO EDIT'!T36=7,"Seventh",IF('Book Details - NO EDIT'!T36=8,"Eighth",0))))))))</f>
        <v>Third</v>
      </c>
      <c r="G36" s="31" t="str">
        <f>'Book Details - NO EDIT'!Z36</f>
        <v>Thomas (1812–1857: #14)</v>
      </c>
      <c r="H36" s="31" t="str">
        <f>'Book Details - NO EDIT'!AH36</f>
        <v>Annie Hurst HAIG (b. 3 Oct 1816, d. 28 May 1885)</v>
      </c>
      <c r="I36" s="31" t="str">
        <f>'Book Details - NO EDIT'!AI36</f>
        <v>Millicent Blandinah KESTEVEN (b. 1850/51, d. 22 Jun 1945)</v>
      </c>
      <c r="J36" s="199" t="str">
        <f>'Book Details - NO EDIT'!AJ36</f>
        <v>11/04/1888</v>
      </c>
      <c r="K36" s="31" t="str">
        <f>'Book Details - NO EDIT'!AK36</f>
        <v>Married at Holy Trinity, Waltham Cross, Hertfordshire. Millicent daughter of William Bedford KESTEVEN of The Cedars, Theobalds, Cheshunt, Hertfordshire. Died at Rugby, Warwickshire.</v>
      </c>
      <c r="L36" s="131" t="str">
        <f>'Book Details - NO EDIT'!AL36</f>
        <v>Ted lived at Spencer House, Aylesbury, Buckinghamshire and was the  7th and youngest son of Thomas (1812–1857: #14). Born 6 Aug 1851 at 17, Marlborough Place, St John’s Wood, London. He joined the 28th Regiment, 1st Glosters, from 6 Jul 1870. Retired with rank of Captain. Died 23 Oct 1922 at Broadstairs, Kent. Issue: 2 sons, 1 daughter.</v>
      </c>
      <c r="M36" s="73" t="str">
        <f>'Book Details - NO EDIT'!AA36</f>
        <v xml:space="preserve">Thomas (1812–1857: #14) William (1770–1828: #4) William (1729–1800: #1)     </v>
      </c>
      <c r="N36" s="197" t="str">
        <f>'Book Details - NO EDIT'!AB36</f>
        <v xml:space="preserve">7 – William (1843–1843: #27) The Rev Lewis (1844–1905: #28) Arthur (1845–1930: #29) Archie (1847–1922: #30) Frank (1848–1934: #32) Alfred (1849–1881: #33)  Annie (1853–1946: #37) </v>
      </c>
      <c r="O36" s="198" t="str">
        <f>'Book Details - NO EDIT'!AC36</f>
        <v>3 - Nan (1889–1967: #65); Arthur (1890–1974: #71); Edward (1893–1932: #76)</v>
      </c>
      <c r="P36" s="198" t="str">
        <f>'Book Details - NO EDIT'!AD36</f>
        <v xml:space="preserve">5 - Peter (1913–2008: #86); Wooie (1928–1996: #107)   Audrey WHEELER (1913 - :  #65a) Norma WHEELER (1924 - :  #65b) Basil WHEELER (1926 - :  #65c)            </v>
      </c>
      <c r="Q36" s="191" t="str">
        <f>IF('Book Details - NO EDIT'!J36="",IF(R36=0,"Less than year on 1-Jul-2022",_xlfn.CONCAT("On 1-Jul-2022, age ",R36,'Book Details - NO EDIT'!J36)),IF(LEN(R36)=0,"Died in infancy",_xlfn.CONCAT("Died ",'Book Details - NO EDIT'!J36,","," aged ",R36)))</f>
        <v>Died 23/10/1922, aged 34</v>
      </c>
      <c r="R36" s="73">
        <f>'Book Details - NO EDIT'!AX36</f>
        <v>34</v>
      </c>
      <c r="S36" s="73" t="str">
        <f>'Book Details - NO EDIT'!AY36</f>
        <v xml:space="preserve"> - </v>
      </c>
      <c r="T36" s="73" t="str">
        <f>'Book Details - NO EDIT'!AW36</f>
        <v>England</v>
      </c>
      <c r="U36" s="73">
        <f>VLOOKUP(A36,'Book Details - NO EDIT'!$A36:$S$192,13,FALSE)</f>
        <v>4</v>
      </c>
      <c r="V36" s="73">
        <f>VLOOKUP(A36,'Book Details - NO EDIT'!$A36:$S$192,12,FALSE)</f>
        <v>14</v>
      </c>
      <c r="X36" s="31">
        <f>IF(LEN('Book Details - NO EDIT'!J36)=0,0,1)</f>
        <v>1</v>
      </c>
    </row>
    <row r="37" spans="1:24" s="31" customFormat="1" ht="51">
      <c r="A37" s="125">
        <f>'Book Details - NO EDIT'!A37</f>
        <v>35</v>
      </c>
      <c r="B37" s="31" t="str">
        <f>'Book Details - NO EDIT'!Y37</f>
        <v>Lewis Vivian LOYD</v>
      </c>
      <c r="C37" s="31" t="str">
        <f>'Book Details - NO EDIT'!V37</f>
        <v>Lewis (1852–1908)</v>
      </c>
      <c r="D37" s="199" t="str">
        <f>'Book Details - NO EDIT'!I37</f>
        <v>14/11/1852</v>
      </c>
      <c r="E37" s="31" t="str">
        <f>IF('Book Details - NO EDIT'!K37="Boy","Male","Female")</f>
        <v>Male</v>
      </c>
      <c r="F37" s="31" t="str">
        <f>IF('Book Details - NO EDIT'!T37=1,"First",IF('Book Details - NO EDIT'!T37=2,"Second",IF('Book Details - NO EDIT'!T37=3,"Third",IF('Book Details - NO EDIT'!T37=4,"Fourth",IF('Book Details - NO EDIT'!T37=5,"Fifth",IF('Book Details - NO EDIT'!T37=6,"Sixth",IF('Book Details - NO EDIT'!T37=7,"Seventh",IF('Book Details - NO EDIT'!T37=8,"Eighth",0))))))))</f>
        <v>Third</v>
      </c>
      <c r="G37" s="31" t="str">
        <f>'Book Details - NO EDIT'!Z37</f>
        <v>William (1821–1885: #23)</v>
      </c>
      <c r="H37" s="31" t="str">
        <f>'Book Details - NO EDIT'!AH37</f>
        <v>Caroline Gertrude Walker VIVIAN (b. 1829, d. 28 Nov 1893)</v>
      </c>
      <c r="I37" s="31" t="str">
        <f>'Book Details - NO EDIT'!AI37</f>
        <v>Lady Mary Sophia HELY-HUTCHINSON (b. 22 Sep 1853, d. 30 Jul 1936)</v>
      </c>
      <c r="J37" s="199" t="str">
        <f>'Book Details - NO EDIT'!AJ37</f>
        <v>14/08/1879</v>
      </c>
      <c r="K37" s="31" t="str">
        <f>'Book Details - NO EDIT'!AK37</f>
        <v>Married at St George’s, Hanover Square, London, Mary eldest daughter of the 4th Earl of DONOUGHMORE.</v>
      </c>
      <c r="L37" s="131" t="str">
        <f>'Book Details - NO EDIT'!AL37</f>
        <v>Lewis lived at Withybrook, Wolvey and Grandborough, Warwickshire and at Coldham, Cambridgeshire. He was the eldest son of William  (1821–1885: #23). Born 14 Nov 1852. Educated Eton 1866-69. DL, JP Warwickshire and Cambridgeshire. JP Co. Tipperary. Lieutenant, Grenadier Guards 1872-83. Served in Egyptian War 1882. Director L &amp; NW Railway from 1885. MP for Chatham 1892-95. Lt. Colonel and Hon. Colonel–2 Vol. Battalion, Warwickshire Regiment 1888-94. Brigadier General commanding South Midland Vol. Inf. Brigade from 1894. Died 21 Sep 1908. Lewis was left Overstone Park by Lord Overstone but Lady Wantage was allowed to use it during her lifetime. He had earlier sold his interest in it to Sir Harry Mallaby-Deeley (1863–1937), hence the property was sold post 1920.  Issue: 2 sons, 1 daughter.</v>
      </c>
      <c r="M37" s="73" t="str">
        <f>'Book Details - NO EDIT'!AA37</f>
        <v xml:space="preserve">William (1821–1885: #23) Edward (1780–1863: #8) William (1729–1800: #1)     </v>
      </c>
      <c r="N37" s="197" t="str">
        <f>'Book Details - NO EDIT'!AB37</f>
        <v>8 – Gertrude (1854–1924: #38) Harriet (1856–1921: #40) Dulcie (1858–1905: #42) Harry (1861–1938: #44) William (1863–1923: #46) Caroline (1865–1938: #48) Mary (1867–1867: #49) Arthur (1868–1911: #50)</v>
      </c>
      <c r="O37" s="198" t="str">
        <f>'Book Details - NO EDIT'!AC37</f>
        <v>3 - Dick (1882–1950: #55); Robert (1884–1917: #57); Gertrude (1887–1917: #64)</v>
      </c>
      <c r="P37" s="198" t="str">
        <f>'Book Details - NO EDIT'!AD37</f>
        <v xml:space="preserve">5 - Jos (1931–: #108); Deen (1936–2016: #112); Peggy (1939–: #116); Patrick (1942–: #117); Patricia (1942–1942: #118)   </v>
      </c>
      <c r="Q37" s="191" t="str">
        <f>IF('Book Details - NO EDIT'!J37="",IF(R37=0,"Less than year on 1-Jul-2022",_xlfn.CONCAT("On 1-Jul-2022, age ",R37,'Book Details - NO EDIT'!J37)),IF(LEN(R37)=0,"Died in infancy",_xlfn.CONCAT("Died ",'Book Details - NO EDIT'!J37,","," aged ",R37)))</f>
        <v>Died 21/09/1908, aged 35</v>
      </c>
      <c r="R37" s="73">
        <f>'Book Details - NO EDIT'!AX37</f>
        <v>35</v>
      </c>
      <c r="S37" s="73" t="str">
        <f>'Book Details - NO EDIT'!AY37</f>
        <v xml:space="preserve"> - </v>
      </c>
      <c r="T37" s="73" t="str">
        <f>'Book Details - NO EDIT'!AW37</f>
        <v>England and Egypt</v>
      </c>
      <c r="U37" s="73">
        <f>VLOOKUP(A37,'Book Details - NO EDIT'!$A37:$S$192,13,FALSE)</f>
        <v>8</v>
      </c>
      <c r="V37" s="73">
        <f>VLOOKUP(A37,'Book Details - NO EDIT'!$A37:$S$192,12,FALSE)</f>
        <v>23</v>
      </c>
      <c r="X37" s="31">
        <f>IF(LEN('Book Details - NO EDIT'!J37)=0,0,1)</f>
        <v>1</v>
      </c>
    </row>
    <row r="38" spans="1:24" s="31" customFormat="1" ht="51">
      <c r="A38" s="125">
        <f>'Book Details - NO EDIT'!A38</f>
        <v>36</v>
      </c>
      <c r="B38" s="31" t="str">
        <f>'Book Details - NO EDIT'!Y38</f>
        <v>Elinor Sarah LOYD</v>
      </c>
      <c r="C38" s="31" t="str">
        <f>'Book Details - NO EDIT'!V38</f>
        <v>Elinor (1853–1895)</v>
      </c>
      <c r="D38" s="199" t="str">
        <f>'Book Details - NO EDIT'!I38</f>
        <v>18/01/1853</v>
      </c>
      <c r="E38" s="31" t="str">
        <f>IF('Book Details - NO EDIT'!K38="Boy","Male","Female")</f>
        <v>Female</v>
      </c>
      <c r="F38" s="31" t="str">
        <f>IF('Book Details - NO EDIT'!T38=1,"First",IF('Book Details - NO EDIT'!T38=2,"Second",IF('Book Details - NO EDIT'!T38=3,"Third",IF('Book Details - NO EDIT'!T38=4,"Fourth",IF('Book Details - NO EDIT'!T38=5,"Fifth",IF('Book Details - NO EDIT'!T38=6,"Sixth",IF('Book Details - NO EDIT'!T38=7,"Seventh",IF('Book Details - NO EDIT'!T38=8,"Eighth",0))))))))</f>
        <v>Third</v>
      </c>
      <c r="G38" s="31" t="str">
        <f>'Book Details - NO EDIT'!Z38</f>
        <v>Edward (1820–1890: #22)</v>
      </c>
      <c r="H38" s="31" t="str">
        <f>'Book Details - NO EDIT'!AH38</f>
        <v>Caroline Louisa FOSTER (b. 6 Aug 1825, d. 8 Feb 1900)</v>
      </c>
      <c r="I38" s="31" t="str">
        <f>'Book Details - NO EDIT'!AI38</f>
        <v>George John COURTHOPE (b. 3 Mar 1848, d. 8 Sep 1910)</v>
      </c>
      <c r="J38" s="199" t="str">
        <f>'Book Details - NO EDIT'!AJ38</f>
        <v>21/09/1876</v>
      </c>
      <c r="K38" s="31" t="str">
        <f>'Book Details - NO EDIT'!AK38</f>
        <v>Married at Hawkhurst. George of Whiligh, Ticehurst, Sussex and of Sprivers, Horsmonden, Kent, son of George Campion COURTHOPE (b. 1811, d. 1895).</v>
      </c>
      <c r="L38" s="131" t="str">
        <f>'Book Details - NO EDIT'!AL38</f>
        <v xml:space="preserve">Elinor was the 2nd daughter of Edward (1820–1890: #22). Born 18 Jan 1853 at Prestwich Lodge, Manchester, baptised 17 Feb 1853 at Prestwich Lodge (privately), christened 22 Apr 1853 at Prestwich Church. Following her marriage to George COURTHOPE, Elinor lived at the Whiligh estate [1] Sussex where she gave birth to 8 children. Elinor died Dec 1895 at Sprivers, (later a National Trust property) Horsmonden and buried at Horsmonden, Kent. Footnote: [1] Whiligh was the home of the Courthope family. Most of the extensive estate straddling Wadhurst and Ticehurst parishes was used for timber production. In a remarkable feat of continuity oaks from the estate were used, both to build the roof of the Hall of the Palace of Westminster in the 14th century and to rebuild it again after bombing raids during WWII. </v>
      </c>
      <c r="M38" s="73" t="str">
        <f>'Book Details - NO EDIT'!AA38</f>
        <v xml:space="preserve">Edward (1820–1890: #22) Edward (1780–1863: #8) William (1729–1800: #1)     </v>
      </c>
      <c r="N38" s="197" t="str">
        <f>'Book Details - NO EDIT'!AB38</f>
        <v xml:space="preserve">6 – Mary (1848–1934: #31)  Fa (1855–1927: #39) Frederic (1856–1936: #41) Meg (1859–1936: #43) Llewellyn (1861–1939: #45) Caroline (1864–1940: #47)  </v>
      </c>
      <c r="O38" s="198" t="str">
        <f>'Book Details - NO EDIT'!AC38</f>
        <v>8 - George COURTHOPE (1877 - 1955: #36a) Alexander COURTHOPE (1878 - 1892: #36b) John COURTHOPE (1882 - 1954: #36c) Barbara COURTHOPE (1883 - 1972: #36d) Elinor COURTHOPE (1886 - 1974: #36e) Richard COURTHOPE (1888 - 1889: #36f) Robert COURTHOPE (1891 - 1966: #36g) Margery COURTHOPE (1893 - 1901: #36h)</v>
      </c>
      <c r="P38" s="198" t="str">
        <f>'Book Details - NO EDIT'!AD38</f>
        <v xml:space="preserve">4 - Beryl COURTHOPE (1900 -1974: #36aa) Daphne COURTHOPE (1902 -1980: #36ab) Elinor POWELL (1911 -1997: #36da) John POWELL (1913 -1944: #36db)               </v>
      </c>
      <c r="Q38" s="191" t="str">
        <f>IF('Book Details - NO EDIT'!J38="",IF(R38=0,"Less than year on 1-Jul-2022",_xlfn.CONCAT("On 1-Jul-2022, age ",R38,'Book Details - NO EDIT'!J38)),IF(LEN(R38)=0,"Died in infancy",_xlfn.CONCAT("Died ",'Book Details - NO EDIT'!J38,","," aged ",R38)))</f>
        <v>Died 25/12/1895, aged 36</v>
      </c>
      <c r="R38" s="73">
        <f>'Book Details - NO EDIT'!AX38</f>
        <v>36</v>
      </c>
      <c r="S38" s="73" t="str">
        <f>'Book Details - NO EDIT'!AY38</f>
        <v xml:space="preserve"> - </v>
      </c>
      <c r="T38" s="73" t="str">
        <f>'Book Details - NO EDIT'!AW38</f>
        <v>England</v>
      </c>
      <c r="U38" s="73">
        <f>VLOOKUP(A38,'Book Details - NO EDIT'!$A38:$S$192,13,FALSE)</f>
        <v>8</v>
      </c>
      <c r="V38" s="73">
        <f>VLOOKUP(A38,'Book Details - NO EDIT'!$A38:$S$192,12,FALSE)</f>
        <v>22</v>
      </c>
      <c r="X38" s="31">
        <f>IF(LEN('Book Details - NO EDIT'!J38)=0,0,1)</f>
        <v>1</v>
      </c>
    </row>
    <row r="39" spans="1:24" s="31" customFormat="1" ht="34">
      <c r="A39" s="125">
        <f>'Book Details - NO EDIT'!A39</f>
        <v>37</v>
      </c>
      <c r="B39" s="31" t="str">
        <f>'Book Details - NO EDIT'!Y39</f>
        <v>Annie LOYD</v>
      </c>
      <c r="C39" s="31" t="str">
        <f>'Book Details - NO EDIT'!V39</f>
        <v>Annie (1853–1946)</v>
      </c>
      <c r="D39" s="199" t="str">
        <f>'Book Details - NO EDIT'!I39</f>
        <v>01/07/1853</v>
      </c>
      <c r="E39" s="31" t="str">
        <f>IF('Book Details - NO EDIT'!K39="Boy","Male","Female")</f>
        <v>Female</v>
      </c>
      <c r="F39" s="31" t="str">
        <f>IF('Book Details - NO EDIT'!T39=1,"First",IF('Book Details - NO EDIT'!T39=2,"Second",IF('Book Details - NO EDIT'!T39=3,"Third",IF('Book Details - NO EDIT'!T39=4,"Fourth",IF('Book Details - NO EDIT'!T39=5,"Fifth",IF('Book Details - NO EDIT'!T39=6,"Sixth",IF('Book Details - NO EDIT'!T39=7,"Seventh",IF('Book Details - NO EDIT'!T39=8,"Eighth",0))))))))</f>
        <v>Third</v>
      </c>
      <c r="G39" s="31" t="str">
        <f>'Book Details - NO EDIT'!Z39</f>
        <v>Thomas (1812–1857: #14)</v>
      </c>
      <c r="H39" s="31" t="str">
        <f>'Book Details - NO EDIT'!AH39</f>
        <v>Annie Hurst HAIG (b. 3 Oct 1816, d. 28 May 1885)</v>
      </c>
      <c r="I39" s="31" t="str">
        <f>'Book Details - NO EDIT'!AI39</f>
        <v>Unmarried</v>
      </c>
      <c r="J39" s="199" t="str">
        <f>'Book Details - NO EDIT'!AJ39</f>
        <v xml:space="preserve"> - </v>
      </c>
      <c r="K39" s="31" t="str">
        <f>'Book Details - NO EDIT'!AK39</f>
        <v xml:space="preserve"> - </v>
      </c>
      <c r="L39" s="131" t="str">
        <f>'Book Details - NO EDIT'!AL39</f>
        <v>Annie was the only daughter of Thomas (1812–1857: #14). Born 1 Jul 1853 at Broadstairs, Kent. Although little has been recorded about her, family letters indicate that she nursed her mother assiduously in the weeks before her death in 1885 and it seems she was a kind and caring person - see biography for Alwyne (1920–2014: #94). She is reputed to have been the last surviving person to receive a pension from the Indian Mutiny. Died, unmarried, 17 Sep 1946 at Tunbridge Wells, Kent. DSP</v>
      </c>
      <c r="M39" s="73" t="str">
        <f>'Book Details - NO EDIT'!AA39</f>
        <v xml:space="preserve">Thomas (1812–1857: #14) William (1770–1828: #4) William (1729–1800: #1)     </v>
      </c>
      <c r="N39" s="197" t="str">
        <f>'Book Details - NO EDIT'!AB39</f>
        <v xml:space="preserve">7 – William (1843–1843: #27) The Rev Lewis (1844–1905: #28) Arthur (1845–1930: #29) Archie (1847–1922: #30) Frank (1848–1934: #32) Alfred (1849–1881: #33) Ted (1851–1922: #34)  </v>
      </c>
      <c r="O39" s="198" t="str">
        <f>'Book Details - NO EDIT'!AC39</f>
        <v>d.s.p</v>
      </c>
      <c r="P39" s="198" t="str">
        <f>'Book Details - NO EDIT'!AD39</f>
        <v>d.s.p.</v>
      </c>
      <c r="Q39" s="191" t="str">
        <f>IF('Book Details - NO EDIT'!J39="",IF(R39=0,"Less than year on 1-Jul-2022",_xlfn.CONCAT("On 1-Jul-2022, age ",R39,'Book Details - NO EDIT'!J39)),IF(LEN(R39)=0,"Died in infancy",_xlfn.CONCAT("Died ",'Book Details - NO EDIT'!J39,","," aged ",R39)))</f>
        <v>Died 17/09/1946, aged 37</v>
      </c>
      <c r="R39" s="73">
        <f>'Book Details - NO EDIT'!AX39</f>
        <v>37</v>
      </c>
      <c r="S39" s="73" t="str">
        <f>'Book Details - NO EDIT'!AY39</f>
        <v xml:space="preserve"> - </v>
      </c>
      <c r="T39" s="73" t="str">
        <f>'Book Details - NO EDIT'!AW39</f>
        <v>England</v>
      </c>
      <c r="U39" s="73">
        <f>VLOOKUP(A39,'Book Details - NO EDIT'!$A39:$S$192,13,FALSE)</f>
        <v>4</v>
      </c>
      <c r="V39" s="73">
        <f>VLOOKUP(A39,'Book Details - NO EDIT'!$A39:$S$192,12,FALSE)</f>
        <v>14</v>
      </c>
      <c r="X39" s="31">
        <f>IF(LEN('Book Details - NO EDIT'!J39)=0,0,1)</f>
        <v>1</v>
      </c>
    </row>
    <row r="40" spans="1:24" s="31" customFormat="1" ht="17">
      <c r="A40" s="125">
        <f>'Book Details - NO EDIT'!A40</f>
        <v>38</v>
      </c>
      <c r="B40" s="31" t="str">
        <f>'Book Details - NO EDIT'!Y40</f>
        <v>Gertrude Sarah LOYD</v>
      </c>
      <c r="C40" s="31" t="str">
        <f>'Book Details - NO EDIT'!V40</f>
        <v>Gertrude (1854–1924)</v>
      </c>
      <c r="D40" s="199" t="str">
        <f>'Book Details - NO EDIT'!I40</f>
        <v>24/09/1854</v>
      </c>
      <c r="E40" s="31" t="str">
        <f>IF('Book Details - NO EDIT'!K40="Boy","Male","Female")</f>
        <v>Female</v>
      </c>
      <c r="F40" s="31" t="str">
        <f>IF('Book Details - NO EDIT'!T40=1,"First",IF('Book Details - NO EDIT'!T40=2,"Second",IF('Book Details - NO EDIT'!T40=3,"Third",IF('Book Details - NO EDIT'!T40=4,"Fourth",IF('Book Details - NO EDIT'!T40=5,"Fifth",IF('Book Details - NO EDIT'!T40=6,"Sixth",IF('Book Details - NO EDIT'!T40=7,"Seventh",IF('Book Details - NO EDIT'!T40=8,"Eighth",0))))))))</f>
        <v>Third</v>
      </c>
      <c r="G40" s="31" t="str">
        <f>'Book Details - NO EDIT'!Z40</f>
        <v>William (1821–1885: #23)</v>
      </c>
      <c r="H40" s="31" t="str">
        <f>'Book Details - NO EDIT'!AH40</f>
        <v>Caroline Gertrude Walker VIVIAN (b. 1829, d. 28 Nov 1893)</v>
      </c>
      <c r="I40" s="31" t="str">
        <f>'Book Details - NO EDIT'!AI40</f>
        <v>Unmarried</v>
      </c>
      <c r="J40" s="199" t="str">
        <f>'Book Details - NO EDIT'!AJ40</f>
        <v xml:space="preserve"> - </v>
      </c>
      <c r="K40" s="31" t="str">
        <f>'Book Details - NO EDIT'!AK40</f>
        <v xml:space="preserve"> - </v>
      </c>
      <c r="L40" s="131" t="str">
        <f>'Book Details - NO EDIT'!AL40</f>
        <v>Gertrude was the eldest daughter of William  (1821–1885: #23) of Langleybury, near Watford, Hertfordshire. Born 24 Sep 1854. Died, unmarried, 30 Jun 1924, buried at Kings Langley, Hertfordshire. DSP</v>
      </c>
      <c r="M40" s="73" t="str">
        <f>'Book Details - NO EDIT'!AA40</f>
        <v xml:space="preserve">William (1821–1885: #23) Edward (1780–1863: #8) William (1729–1800: #1)     </v>
      </c>
      <c r="N40" s="197" t="str">
        <f>'Book Details - NO EDIT'!AB40</f>
        <v>8 – Lewis (1852–1908: #35)  Harriet (1856–1921: #40) Dulcie (1858–1905: #42) Harry (1861–1938: #44) William (1863–1923: #46) Caroline (1865–1938: #48) Mary (1867–1867: #49) Arthur (1868–1911: #50)</v>
      </c>
      <c r="O40" s="198" t="str">
        <f>'Book Details - NO EDIT'!AC40</f>
        <v>d.s.p</v>
      </c>
      <c r="P40" s="198" t="str">
        <f>'Book Details - NO EDIT'!AD40</f>
        <v>d.s.p.</v>
      </c>
      <c r="Q40" s="191" t="str">
        <f>IF('Book Details - NO EDIT'!J40="",IF(R40=0,"Less than year on 1-Jul-2022",_xlfn.CONCAT("On 1-Jul-2022, age ",R40,'Book Details - NO EDIT'!J40)),IF(LEN(R40)=0,"Died in infancy",_xlfn.CONCAT("Died ",'Book Details - NO EDIT'!J40,","," aged ",R40)))</f>
        <v>Died 30/06/1924, aged 38</v>
      </c>
      <c r="R40" s="73">
        <f>'Book Details - NO EDIT'!AX40</f>
        <v>38</v>
      </c>
      <c r="S40" s="73" t="str">
        <f>'Book Details - NO EDIT'!AY40</f>
        <v xml:space="preserve"> - </v>
      </c>
      <c r="T40" s="73" t="str">
        <f>'Book Details - NO EDIT'!AW40</f>
        <v>England</v>
      </c>
      <c r="U40" s="73">
        <f>VLOOKUP(A40,'Book Details - NO EDIT'!$A40:$S$192,13,FALSE)</f>
        <v>8</v>
      </c>
      <c r="V40" s="73">
        <f>VLOOKUP(A40,'Book Details - NO EDIT'!$A40:$S$192,12,FALSE)</f>
        <v>23</v>
      </c>
      <c r="X40" s="31">
        <f>IF(LEN('Book Details - NO EDIT'!J40)=0,0,1)</f>
        <v>1</v>
      </c>
    </row>
    <row r="41" spans="1:24" s="31" customFormat="1" ht="17">
      <c r="A41" s="125">
        <f>'Book Details - NO EDIT'!A41</f>
        <v>39</v>
      </c>
      <c r="B41" s="31" t="str">
        <f>'Book Details - NO EDIT'!Y41</f>
        <v>Frances Helen LOYD</v>
      </c>
      <c r="C41" s="31" t="str">
        <f>'Book Details - NO EDIT'!V41</f>
        <v>Fa (1855–1927)</v>
      </c>
      <c r="D41" s="199" t="str">
        <f>'Book Details - NO EDIT'!I41</f>
        <v>08/02/1855</v>
      </c>
      <c r="E41" s="31" t="str">
        <f>IF('Book Details - NO EDIT'!K41="Boy","Male","Female")</f>
        <v>Female</v>
      </c>
      <c r="F41" s="31" t="str">
        <f>IF('Book Details - NO EDIT'!T41=1,"First",IF('Book Details - NO EDIT'!T41=2,"Second",IF('Book Details - NO EDIT'!T41=3,"Third",IF('Book Details - NO EDIT'!T41=4,"Fourth",IF('Book Details - NO EDIT'!T41=5,"Fifth",IF('Book Details - NO EDIT'!T41=6,"Sixth",IF('Book Details - NO EDIT'!T41=7,"Seventh",IF('Book Details - NO EDIT'!T41=8,"Eighth",0))))))))</f>
        <v>Third</v>
      </c>
      <c r="G41" s="31" t="str">
        <f>'Book Details - NO EDIT'!Z41</f>
        <v>Edward (1820–1890: #22)</v>
      </c>
      <c r="H41" s="31" t="str">
        <f>'Book Details - NO EDIT'!AH41</f>
        <v>Caroline Louisa FOSTER (b. 6 Aug 1825, d. 8 Feb 1900)</v>
      </c>
      <c r="I41" s="31" t="str">
        <f>'Book Details - NO EDIT'!AI41</f>
        <v>Unmarried</v>
      </c>
      <c r="J41" s="199" t="str">
        <f>'Book Details - NO EDIT'!AJ41</f>
        <v xml:space="preserve"> - </v>
      </c>
      <c r="K41" s="31" t="str">
        <f>'Book Details - NO EDIT'!AK41</f>
        <v xml:space="preserve"> - </v>
      </c>
      <c r="L41" s="131" t="str">
        <f>'Book Details - NO EDIT'!AL41</f>
        <v>Fa was the 3rd daughter of Edward (1820–1890: #22). Born 8 Feb 1855 at Prestwich Lodge, Manchester, baptised 3 Apr 1855 at Hawkhurst, Kent. Died, unmarried, 10 May 1927; buried on 14 May 1927 at Northwood Cemetery, Cowes, Isle of Wight (grave no. 6359). DSP</v>
      </c>
      <c r="M41" s="73" t="str">
        <f>'Book Details - NO EDIT'!AA41</f>
        <v xml:space="preserve">Edward (1820–1890: #22) Edward (1780–1863: #8) William (1729–1800: #1)     </v>
      </c>
      <c r="N41" s="197" t="str">
        <f>'Book Details - NO EDIT'!AB41</f>
        <v xml:space="preserve">6 – Mary (1848–1934: #31) Elinor (1853–1895: #36)  Frederic (1856–1936: #41) Meg (1859–1936: #43) Llewellyn (1861–1939: #45) Caroline (1864–1940: #47)  </v>
      </c>
      <c r="O41" s="198" t="str">
        <f>'Book Details - NO EDIT'!AC41</f>
        <v>d.s.p</v>
      </c>
      <c r="P41" s="198" t="str">
        <f>'Book Details - NO EDIT'!AD41</f>
        <v>d.s.p.</v>
      </c>
      <c r="Q41" s="191" t="str">
        <f>IF('Book Details - NO EDIT'!J41="",IF(R41=0,"Less than year on 1-Jul-2022",_xlfn.CONCAT("On 1-Jul-2022, age ",R41,'Book Details - NO EDIT'!J41)),IF(LEN(R41)=0,"Died in infancy",_xlfn.CONCAT("Died ",'Book Details - NO EDIT'!J41,","," aged ",R41)))</f>
        <v>Died 10/05/1927, aged 39</v>
      </c>
      <c r="R41" s="73">
        <f>'Book Details - NO EDIT'!AX41</f>
        <v>39</v>
      </c>
      <c r="S41" s="73" t="str">
        <f>'Book Details - NO EDIT'!AY41</f>
        <v xml:space="preserve"> - </v>
      </c>
      <c r="T41" s="73" t="str">
        <f>'Book Details - NO EDIT'!AW41</f>
        <v>England</v>
      </c>
      <c r="U41" s="73">
        <f>VLOOKUP(A41,'Book Details - NO EDIT'!$A41:$S$192,13,FALSE)</f>
        <v>8</v>
      </c>
      <c r="V41" s="73">
        <f>VLOOKUP(A41,'Book Details - NO EDIT'!$A41:$S$192,12,FALSE)</f>
        <v>22</v>
      </c>
      <c r="X41" s="31">
        <f>IF(LEN('Book Details - NO EDIT'!J41)=0,0,1)</f>
        <v>1</v>
      </c>
    </row>
    <row r="42" spans="1:24" s="31" customFormat="1" ht="17">
      <c r="A42" s="125">
        <f>'Book Details - NO EDIT'!A42</f>
        <v>40</v>
      </c>
      <c r="B42" s="31" t="str">
        <f>'Book Details - NO EDIT'!Y42</f>
        <v>Harriet Edith LOYD</v>
      </c>
      <c r="C42" s="31" t="str">
        <f>'Book Details - NO EDIT'!V42</f>
        <v>Harriet (1856–1921)</v>
      </c>
      <c r="D42" s="199" t="str">
        <f>'Book Details - NO EDIT'!I42</f>
        <v>17/01/1856</v>
      </c>
      <c r="E42" s="31" t="str">
        <f>IF('Book Details - NO EDIT'!K42="Boy","Male","Female")</f>
        <v>Female</v>
      </c>
      <c r="F42" s="31" t="str">
        <f>IF('Book Details - NO EDIT'!T42=1,"First",IF('Book Details - NO EDIT'!T42=2,"Second",IF('Book Details - NO EDIT'!T42=3,"Third",IF('Book Details - NO EDIT'!T42=4,"Fourth",IF('Book Details - NO EDIT'!T42=5,"Fifth",IF('Book Details - NO EDIT'!T42=6,"Sixth",IF('Book Details - NO EDIT'!T42=7,"Seventh",IF('Book Details - NO EDIT'!T42=8,"Eighth",0))))))))</f>
        <v>Third</v>
      </c>
      <c r="G42" s="31" t="str">
        <f>'Book Details - NO EDIT'!Z42</f>
        <v>William (1821–1885: #23)</v>
      </c>
      <c r="H42" s="31" t="str">
        <f>'Book Details - NO EDIT'!AH42</f>
        <v>Caroline Gertrude Walker VIVIAN (b. 1829, d. 28 Nov 1893)</v>
      </c>
      <c r="I42" s="31" t="str">
        <f>'Book Details - NO EDIT'!AI42</f>
        <v>Unmarried</v>
      </c>
      <c r="J42" s="199" t="str">
        <f>'Book Details - NO EDIT'!AJ42</f>
        <v xml:space="preserve"> - </v>
      </c>
      <c r="K42" s="31" t="str">
        <f>'Book Details - NO EDIT'!AK42</f>
        <v xml:space="preserve"> - </v>
      </c>
      <c r="L42" s="131" t="str">
        <f>'Book Details - NO EDIT'!AL42</f>
        <v>Harriet was the 2nd daughter of William (1821–1885: #23) of Langleybury, near Watford, Hertfordshire. Born 17 Jan 1856. Died, unmarried, 29 Aug 1921, buried at Kings Langley, Hertfordshire. DSP</v>
      </c>
      <c r="M42" s="73" t="str">
        <f>'Book Details - NO EDIT'!AA42</f>
        <v xml:space="preserve">William (1821–1885: #23) Edward (1780–1863: #8) William (1729–1800: #1)     </v>
      </c>
      <c r="N42" s="197" t="str">
        <f>'Book Details - NO EDIT'!AB42</f>
        <v>8 – Lewis (1852–1908: #35) Gertrude (1854–1924: #38)  Dulcie (1858–1905: #42) Harry (1861–1938: #44) William (1863–1923: #46) Caroline (1865–1938: #48) Mary (1867–1867: #49) Arthur (1868–1911: #50)</v>
      </c>
      <c r="O42" s="198" t="str">
        <f>'Book Details - NO EDIT'!AC42</f>
        <v>d.s.p</v>
      </c>
      <c r="P42" s="198" t="str">
        <f>'Book Details - NO EDIT'!AD42</f>
        <v>d.s.p.</v>
      </c>
      <c r="Q42" s="191" t="str">
        <f>IF('Book Details - NO EDIT'!J42="",IF(R42=0,"Less than year on 1-Jul-2022",_xlfn.CONCAT("On 1-Jul-2022, age ",R42,'Book Details - NO EDIT'!J42)),IF(LEN(R42)=0,"Died in infancy",_xlfn.CONCAT("Died ",'Book Details - NO EDIT'!J42,","," aged ",R42)))</f>
        <v>Died 29/08/1921, aged 40</v>
      </c>
      <c r="R42" s="73">
        <f>'Book Details - NO EDIT'!AX42</f>
        <v>40</v>
      </c>
      <c r="S42" s="73" t="str">
        <f>'Book Details - NO EDIT'!AY42</f>
        <v xml:space="preserve"> - </v>
      </c>
      <c r="T42" s="73" t="str">
        <f>'Book Details - NO EDIT'!AW42</f>
        <v>England</v>
      </c>
      <c r="U42" s="73">
        <f>VLOOKUP(A42,'Book Details - NO EDIT'!$A42:$S$192,13,FALSE)</f>
        <v>8</v>
      </c>
      <c r="V42" s="73">
        <f>VLOOKUP(A42,'Book Details - NO EDIT'!$A42:$S$192,12,FALSE)</f>
        <v>23</v>
      </c>
      <c r="X42" s="31">
        <f>IF(LEN('Book Details - NO EDIT'!J42)=0,0,1)</f>
        <v>1</v>
      </c>
    </row>
    <row r="43" spans="1:24" s="31" customFormat="1" ht="51">
      <c r="A43" s="125">
        <f>'Book Details - NO EDIT'!A43</f>
        <v>41</v>
      </c>
      <c r="B43" s="31" t="str">
        <f>'Book Details - NO EDIT'!Y43</f>
        <v>Frederic Edward LOYD</v>
      </c>
      <c r="C43" s="31" t="str">
        <f>'Book Details - NO EDIT'!V43</f>
        <v>Frederic (1856–1936)</v>
      </c>
      <c r="D43" s="199" t="str">
        <f>'Book Details - NO EDIT'!I43</f>
        <v>26/04/1856</v>
      </c>
      <c r="E43" s="31" t="str">
        <f>IF('Book Details - NO EDIT'!K43="Boy","Male","Female")</f>
        <v>Male</v>
      </c>
      <c r="F43" s="31" t="str">
        <f>IF('Book Details - NO EDIT'!T43=1,"First",IF('Book Details - NO EDIT'!T43=2,"Second",IF('Book Details - NO EDIT'!T43=3,"Third",IF('Book Details - NO EDIT'!T43=4,"Fourth",IF('Book Details - NO EDIT'!T43=5,"Fifth",IF('Book Details - NO EDIT'!T43=6,"Sixth",IF('Book Details - NO EDIT'!T43=7,"Seventh",IF('Book Details - NO EDIT'!T43=8,"Eighth",0))))))))</f>
        <v>Third</v>
      </c>
      <c r="G43" s="31" t="str">
        <f>'Book Details - NO EDIT'!Z43</f>
        <v>Edward (1820–1890: #22)</v>
      </c>
      <c r="H43" s="31" t="str">
        <f>'Book Details - NO EDIT'!AH43</f>
        <v>Caroline Louisa FOSTER (b. 6 Aug 1825, d. 8 Feb 1900)</v>
      </c>
      <c r="I43" s="31" t="str">
        <f>'Book Details - NO EDIT'!AI43</f>
        <v>Isabella (Isabel) CURREY (b. 26 Apr 1855, d. 16 Jan 1926)</v>
      </c>
      <c r="J43" s="199" t="str">
        <f>'Book Details - NO EDIT'!AJ43</f>
        <v>17/04/1879</v>
      </c>
      <c r="K43" s="31" t="str">
        <f>'Book Details - NO EDIT'!AK43</f>
        <v>Married at St. James’s, Piccadilly, London. Isabel youngest daughter of Frederick CURREY FLS, FRS, Barrister-at-Law. Isabel died at Shaw Hill House and is buried at Shaw.</v>
      </c>
      <c r="L43" s="131" t="str">
        <f>'Book Details - NO EDIT'!AL43</f>
        <v>Frederic lived at Monk’s Orchard [1] West Wickham, Kent until 1924; then at Albyns, Romford, Essex and then of Shaw Hill House, Melksham, Wiltshire. He was the elder son of Edward (1820–1890: #22). Born 26 Apr 1856 at Prestwich Lodge, Manchester, baptised 2 Jul 1856 at Prestwich Church. Educated Eton 1870-73 and Trinity College, Cambridge. Barrister-at-Law, Inner Temple 1889. JP Surrey, Hertfordshire 1892 and Essex 1902. Died 25 Jun 1936 at Shaw Hill House, buried at Shaw, Wiltshire. Issue: 2 sons, 3 daughters. Footnote: [1] Under the provision of his father's will, Frederick's younger brother Llewellyn (#45) would only inherit Lillesden estate if Frederic inherited Monks Orchard, Beckenham estate from his uncle Lewis (#13) who also left £600,000, half of which went to Frederic and the other to his nephew, Edward (#44).</v>
      </c>
      <c r="M43" s="73" t="str">
        <f>'Book Details - NO EDIT'!AA43</f>
        <v xml:space="preserve">Edward (1820–1890: #22) Edward (1780–1863: #8) William (1729–1800: #1)     </v>
      </c>
      <c r="N43" s="197" t="str">
        <f>'Book Details - NO EDIT'!AB43</f>
        <v xml:space="preserve">6 – Mary (1848–1934: #31) Elinor (1853–1895: #36) Fa (1855–1927: #39)  Meg (1859–1936: #43) Llewellyn (1861–1939: #45) Caroline (1864–1940: #47)  </v>
      </c>
      <c r="O43" s="198" t="str">
        <f>'Book Details - NO EDIT'!AC43</f>
        <v>5 - Lewis (1880–1918: #52); Edward (1881–1962: #53); Evelyn (1885–1962: #59); Mary (1887–1968: #63); Cecily (1891–1891: #74)</v>
      </c>
      <c r="P43" s="198" t="str">
        <f>'Book Details - NO EDIT'!AD43</f>
        <v xml:space="preserve">5 - Averil (1917–1993: #90); Audrey (1922–2005: #97)   Loyd MOORE (1926 - 2019:  #63a) Isabel MOORE (1929 - 2020:  #63b) Veronica MOORE (1930 - 1934:  #63c)            </v>
      </c>
      <c r="Q43" s="191" t="str">
        <f>IF('Book Details - NO EDIT'!J43="",IF(R43=0,"Less than year on 1-Jul-2022",_xlfn.CONCAT("On 1-Jul-2022, age ",R43,'Book Details - NO EDIT'!J43)),IF(LEN(R43)=0,"Died in infancy",_xlfn.CONCAT("Died ",'Book Details - NO EDIT'!J43,","," aged ",R43)))</f>
        <v>Died 25/06/1936, aged 41</v>
      </c>
      <c r="R43" s="73">
        <f>'Book Details - NO EDIT'!AX43</f>
        <v>41</v>
      </c>
      <c r="S43" s="73" t="str">
        <f>'Book Details - NO EDIT'!AY43</f>
        <v xml:space="preserve"> - </v>
      </c>
      <c r="T43" s="73" t="str">
        <f>'Book Details - NO EDIT'!AW43</f>
        <v>England</v>
      </c>
      <c r="U43" s="73">
        <f>VLOOKUP(A43,'Book Details - NO EDIT'!$A43:$S$192,13,FALSE)</f>
        <v>8</v>
      </c>
      <c r="V43" s="73">
        <f>VLOOKUP(A43,'Book Details - NO EDIT'!$A43:$S$192,12,FALSE)</f>
        <v>22</v>
      </c>
      <c r="X43" s="31">
        <f>IF(LEN('Book Details - NO EDIT'!J43)=0,0,1)</f>
        <v>1</v>
      </c>
    </row>
    <row r="44" spans="1:24" s="31" customFormat="1" ht="17">
      <c r="A44" s="125">
        <f>'Book Details - NO EDIT'!A44</f>
        <v>42</v>
      </c>
      <c r="B44" s="31" t="str">
        <f>'Book Details - NO EDIT'!Y44</f>
        <v>Dulcie Gwendoline LOYD</v>
      </c>
      <c r="C44" s="31" t="str">
        <f>'Book Details - NO EDIT'!V44</f>
        <v>Dulcie (1858–1905)</v>
      </c>
      <c r="D44" s="199" t="str">
        <f>'Book Details - NO EDIT'!I44</f>
        <v>06/10/1858</v>
      </c>
      <c r="E44" s="31" t="str">
        <f>IF('Book Details - NO EDIT'!K44="Boy","Male","Female")</f>
        <v>Female</v>
      </c>
      <c r="F44" s="31" t="str">
        <f>IF('Book Details - NO EDIT'!T44=1,"First",IF('Book Details - NO EDIT'!T44=2,"Second",IF('Book Details - NO EDIT'!T44=3,"Third",IF('Book Details - NO EDIT'!T44=4,"Fourth",IF('Book Details - NO EDIT'!T44=5,"Fifth",IF('Book Details - NO EDIT'!T44=6,"Sixth",IF('Book Details - NO EDIT'!T44=7,"Seventh",IF('Book Details - NO EDIT'!T44=8,"Eighth",0))))))))</f>
        <v>Third</v>
      </c>
      <c r="G44" s="31" t="str">
        <f>'Book Details - NO EDIT'!Z44</f>
        <v>William (1821–1885: #23)</v>
      </c>
      <c r="H44" s="31" t="str">
        <f>'Book Details - NO EDIT'!AH44</f>
        <v>Caroline Gertrude Walker VIVIAN (b. 1829, d. 28 Nov 1893)</v>
      </c>
      <c r="I44" s="31" t="str">
        <f>'Book Details - NO EDIT'!AI44</f>
        <v>Edward Hesketh GODDARD (b. 19 Oct 1855, d. Oct/Dec 1920)</v>
      </c>
      <c r="J44" s="199" t="str">
        <f>'Book Details - NO EDIT'!AJ44</f>
        <v>13/04/1891</v>
      </c>
      <c r="K44" s="31" t="str">
        <f>'Book Details - NO EDIT'!AK44</f>
        <v>Edward Captain, Dorset Regiment and 3rd son of Ambrose GODDARD of The Lawn, Swindon, Wiltshire.</v>
      </c>
      <c r="L44" s="131" t="str">
        <f>'Book Details - NO EDIT'!AL44</f>
        <v>Dulcie was the 3rd daughter of William (1821–1885: #23). Born 6 Oct 1858.  Died 8 Jul 1905.</v>
      </c>
      <c r="M44" s="73" t="str">
        <f>'Book Details - NO EDIT'!AA44</f>
        <v xml:space="preserve">William (1821–1885: #23) Edward (1780–1863: #8) William (1729–1800: #1)     </v>
      </c>
      <c r="N44" s="197" t="str">
        <f>'Book Details - NO EDIT'!AB44</f>
        <v>8 – Lewis (1852–1908: #35) Gertrude (1854–1924: #38) Harriet (1856–1921: #40)  Harry (1861–1938: #44) William (1863–1923: #46) Caroline (1865–1938: #48) Mary (1867–1867: #49) Arthur (1868–1911: #50)</v>
      </c>
      <c r="O44" s="198" t="str">
        <f>'Book Details - NO EDIT'!AC44</f>
        <v xml:space="preserve">1 - Ambrose GODDARD (1892 - : #42a)       </v>
      </c>
      <c r="P44" s="198" t="str">
        <f>'Book Details - NO EDIT'!AD44</f>
        <v>-</v>
      </c>
      <c r="Q44" s="191" t="str">
        <f>IF('Book Details - NO EDIT'!J44="",IF(R44=0,"Less than year on 1-Jul-2022",_xlfn.CONCAT("On 1-Jul-2022, age ",R44,'Book Details - NO EDIT'!J44)),IF(LEN(R44)=0,"Died in infancy",_xlfn.CONCAT("Died ",'Book Details - NO EDIT'!J44,","," aged ",R44)))</f>
        <v>Died 08/07/1905, aged 42</v>
      </c>
      <c r="R44" s="73">
        <f>'Book Details - NO EDIT'!AX44</f>
        <v>42</v>
      </c>
      <c r="S44" s="73" t="str">
        <f>'Book Details - NO EDIT'!AY44</f>
        <v xml:space="preserve"> - </v>
      </c>
      <c r="T44" s="73" t="str">
        <f>'Book Details - NO EDIT'!AW44</f>
        <v>England</v>
      </c>
      <c r="U44" s="73">
        <f>VLOOKUP(A44,'Book Details - NO EDIT'!$A44:$S$192,13,FALSE)</f>
        <v>8</v>
      </c>
      <c r="V44" s="73">
        <f>VLOOKUP(A44,'Book Details - NO EDIT'!$A44:$S$192,12,FALSE)</f>
        <v>23</v>
      </c>
      <c r="X44" s="31">
        <f>IF(LEN('Book Details - NO EDIT'!J44)=0,0,1)</f>
        <v>1</v>
      </c>
    </row>
    <row r="45" spans="1:24" s="31" customFormat="1" ht="51">
      <c r="A45" s="125">
        <f>'Book Details - NO EDIT'!A45</f>
        <v>43</v>
      </c>
      <c r="B45" s="31" t="str">
        <f>'Book Details - NO EDIT'!Y45</f>
        <v>Margaret Foster LOYD</v>
      </c>
      <c r="C45" s="31" t="str">
        <f>'Book Details - NO EDIT'!V45</f>
        <v>Meg (1859–1936)</v>
      </c>
      <c r="D45" s="199" t="str">
        <f>'Book Details - NO EDIT'!I45</f>
        <v>02/08/1859</v>
      </c>
      <c r="E45" s="31" t="str">
        <f>IF('Book Details - NO EDIT'!K45="Boy","Male","Female")</f>
        <v>Female</v>
      </c>
      <c r="F45" s="31" t="str">
        <f>IF('Book Details - NO EDIT'!T45=1,"First",IF('Book Details - NO EDIT'!T45=2,"Second",IF('Book Details - NO EDIT'!T45=3,"Third",IF('Book Details - NO EDIT'!T45=4,"Fourth",IF('Book Details - NO EDIT'!T45=5,"Fifth",IF('Book Details - NO EDIT'!T45=6,"Sixth",IF('Book Details - NO EDIT'!T45=7,"Seventh",IF('Book Details - NO EDIT'!T45=8,"Eighth",0))))))))</f>
        <v>Third</v>
      </c>
      <c r="G45" s="31" t="str">
        <f>'Book Details - NO EDIT'!Z45</f>
        <v>Edward (1820–1890: #22)</v>
      </c>
      <c r="H45" s="31" t="str">
        <f>'Book Details - NO EDIT'!AH45</f>
        <v>Caroline Louisa FOSTER (b. 6 Aug 1825, d. 8 Feb 1900)</v>
      </c>
      <c r="I45" s="31" t="str">
        <f>'Book Details - NO EDIT'!AI45</f>
        <v>Unmarried</v>
      </c>
      <c r="J45" s="199" t="str">
        <f>'Book Details - NO EDIT'!AJ45</f>
        <v xml:space="preserve"> - </v>
      </c>
      <c r="K45" s="31" t="str">
        <f>'Book Details - NO EDIT'!AK45</f>
        <v xml:space="preserve"> - </v>
      </c>
      <c r="L45" s="131" t="str">
        <f>'Book Details - NO EDIT'!AL45</f>
        <v xml:space="preserve">Meg was the 4th daughter of Edward (1820–1890: #22). Born 2 Aug 1859 at Prestwich Lodge, Manchester. Baptised 19 Sep 1859 at Prestwich Church. Died, unmarried, 29 Jun 1936, buried at Hawkhurst. Roddy SALE (#97d) has Meg’s diaries from the estate of Alwyne (1920–2014: #94). Issue: 1 daughter.
</v>
      </c>
      <c r="M45" s="73" t="str">
        <f>'Book Details - NO EDIT'!AA45</f>
        <v xml:space="preserve">Edward (1820–1890: #22) Edward (1780–1863: #8) William (1729–1800: #1)     </v>
      </c>
      <c r="N45" s="197" t="str">
        <f>'Book Details - NO EDIT'!AB45</f>
        <v xml:space="preserve">6 – Mary (1848–1934: #31) Elinor (1853–1895: #36) Fa (1855–1927: #39) Frederic (1856–1936: #41)  Llewellyn (1861–1939: #45) Caroline (1864–1940: #47)  </v>
      </c>
      <c r="O45" s="198" t="str">
        <f>'Book Details - NO EDIT'!AC45</f>
        <v>d.s.p</v>
      </c>
      <c r="P45" s="198" t="str">
        <f>'Book Details - NO EDIT'!AD45</f>
        <v>d.s.p.</v>
      </c>
      <c r="Q45" s="191" t="str">
        <f>IF('Book Details - NO EDIT'!J45="",IF(R45=0,"Less than year on 1-Jul-2022",_xlfn.CONCAT("On 1-Jul-2022, age ",R45,'Book Details - NO EDIT'!J45)),IF(LEN(R45)=0,"Died in infancy",_xlfn.CONCAT("Died ",'Book Details - NO EDIT'!J45,","," aged ",R45)))</f>
        <v>Died 29/06/1936, aged 43</v>
      </c>
      <c r="R45" s="73">
        <f>'Book Details - NO EDIT'!AX45</f>
        <v>43</v>
      </c>
      <c r="S45" s="73" t="str">
        <f>'Book Details - NO EDIT'!AY45</f>
        <v xml:space="preserve"> - </v>
      </c>
      <c r="T45" s="73" t="str">
        <f>'Book Details - NO EDIT'!AW45</f>
        <v>England</v>
      </c>
      <c r="U45" s="73">
        <f>VLOOKUP(A45,'Book Details - NO EDIT'!$A45:$S$192,13,FALSE)</f>
        <v>8</v>
      </c>
      <c r="V45" s="73">
        <f>VLOOKUP(A45,'Book Details - NO EDIT'!$A45:$S$192,12,FALSE)</f>
        <v>22</v>
      </c>
      <c r="X45" s="31">
        <f>IF(LEN('Book Details - NO EDIT'!J45)=0,0,1)</f>
        <v>1</v>
      </c>
    </row>
    <row r="46" spans="1:24" s="31" customFormat="1" ht="34">
      <c r="A46" s="125">
        <f>'Book Details - NO EDIT'!A46</f>
        <v>44</v>
      </c>
      <c r="B46" s="31" t="str">
        <f>'Book Details - NO EDIT'!Y46</f>
        <v>Edward Henry LOYD</v>
      </c>
      <c r="C46" s="31" t="str">
        <f>'Book Details - NO EDIT'!V46</f>
        <v>Harry (1861–1938)</v>
      </c>
      <c r="D46" s="199" t="str">
        <f>'Book Details - NO EDIT'!I46</f>
        <v>02/04/1861</v>
      </c>
      <c r="E46" s="31" t="str">
        <f>IF('Book Details - NO EDIT'!K46="Boy","Male","Female")</f>
        <v>Male</v>
      </c>
      <c r="F46" s="31" t="str">
        <f>IF('Book Details - NO EDIT'!T46=1,"First",IF('Book Details - NO EDIT'!T46=2,"Second",IF('Book Details - NO EDIT'!T46=3,"Third",IF('Book Details - NO EDIT'!T46=4,"Fourth",IF('Book Details - NO EDIT'!T46=5,"Fifth",IF('Book Details - NO EDIT'!T46=6,"Sixth",IF('Book Details - NO EDIT'!T46=7,"Seventh",IF('Book Details - NO EDIT'!T46=8,"Eighth",0))))))))</f>
        <v>Third</v>
      </c>
      <c r="G46" s="31" t="str">
        <f>'Book Details - NO EDIT'!Z46</f>
        <v>William (1821–1885: #23)</v>
      </c>
      <c r="H46" s="31" t="str">
        <f>'Book Details - NO EDIT'!AH46</f>
        <v>Caroline Gertrude Walker VIVIAN (b. 1829, d. 28 Nov 1893)</v>
      </c>
      <c r="I46" s="31" t="str">
        <f>'Book Details - NO EDIT'!AI46</f>
        <v>(1) The Hon Clementina Georgina BROWNLOW (b. 13 Jan 1868, d. 1 Sep 1929)</v>
      </c>
      <c r="J46" s="199" t="str">
        <f>'Book Details - NO EDIT'!AJ46</f>
        <v>26/07/1888</v>
      </c>
      <c r="K46" s="31" t="str">
        <f>'Book Details - NO EDIT'!AK46</f>
        <v>Married: (1) 26 Jul 1888 the Hon Clementina Georgina (b. 13 Jan 1868, d. 1 Sep 1929) 5th daughter of Charles BROWNLOW, 2nd Baron LURGAN KP (1831-82) of Brownlow House, Lurgan, co Armagh. Lord-in-Waiting to HM Queen Victoria. (2) 16 Feb 1931, Mrs. Clementina Elizabeth Charlotte VILLIERS (b. 07/1870, d. 6 Feb 1933) daughter of Colonel Ernest VILLIERS and widow of Montague Whittington PRICE, DL of 67 Eaton Place, London SW1. (3) 19 Mar 1936 at St Saviour’s, Walton Street, London, Mrs Ruth Ethel Fuller ACLAND- HOOD (b. 1870, d. 23 Nov 1955) 3rd daughter of the late Major Hugh Francis Lethbridge ASTLEY JP, and widow of Harry ACLAND- HOOD.</v>
      </c>
      <c r="L46" s="131" t="str">
        <f>'Book Details - NO EDIT'!AL46</f>
        <v>Edward lived at Langleybury, near Watford, Hertfordshire and was the 2nd son of William (1821–1885: #23). Educated Eton 1874-78 and Trinity College, Cambridge. DL. Alderman, Hertfordshire County Council. JP, High Sheriff 1894. Major, Hertfordshire Imp. Yeomanry 1891-1902. Chairman, Colne Valley Water Company. Director, Guardian Assurance. Died 6 Nov 1938. Issue: (1st wife) 3 sons. Edward left the MINSHULL VERNON estate by Lewis (1844–1905: #28). Roddy SALE (#97d) visited in 2021 and saw the Loyd window in the church.</v>
      </c>
      <c r="M46" s="73" t="str">
        <f>'Book Details - NO EDIT'!AA46</f>
        <v xml:space="preserve">William (1821–1885: #23) Edward (1780–1863: #8) William (1729–1800: #1)     </v>
      </c>
      <c r="N46" s="197" t="str">
        <f>'Book Details - NO EDIT'!AB46</f>
        <v>8 – Lewis (1852–1908: #35) Gertrude (1854–1924: #38) Harriet (1856–1921: #40) Dulcie (1858–1905: #42)  William (1863–1923: #46) Caroline (1865–1938: #48) Mary (1867–1867: #49) Arthur (1868–1911: #50)</v>
      </c>
      <c r="O46" s="198" t="str">
        <f>'Book Details - NO EDIT'!AC46</f>
        <v>3 - William (1889–1947: #66); Charles (1891–1973: #72); Reginald (1885–1917: #81)</v>
      </c>
      <c r="P46" s="198" t="str">
        <f>'Book Details - NO EDIT'!AD46</f>
        <v xml:space="preserve">5 - Delia (1915–2007: #88); Edward (1921–1977: #96); Peter (1923–1974: #99); Lavinia (1923–1995: #103); Sir Julian (1926–2018: #104)   </v>
      </c>
      <c r="Q46" s="191" t="str">
        <f>IF('Book Details - NO EDIT'!J46="",IF(R46=0,"Less than year on 1-Jul-2022",_xlfn.CONCAT("On 1-Jul-2022, age ",R46,'Book Details - NO EDIT'!J46)),IF(LEN(R46)=0,"Died in infancy",_xlfn.CONCAT("Died ",'Book Details - NO EDIT'!J46,","," aged ",R46)))</f>
        <v>Died 06/11/1938, aged 44</v>
      </c>
      <c r="R46" s="73">
        <f>'Book Details - NO EDIT'!AX46</f>
        <v>44</v>
      </c>
      <c r="S46" s="73" t="str">
        <f>'Book Details - NO EDIT'!AY46</f>
        <v xml:space="preserve"> - </v>
      </c>
      <c r="T46" s="73" t="str">
        <f>'Book Details - NO EDIT'!AW46</f>
        <v>England</v>
      </c>
      <c r="U46" s="73">
        <f>VLOOKUP(A46,'Book Details - NO EDIT'!$A46:$S$192,13,FALSE)</f>
        <v>8</v>
      </c>
      <c r="V46" s="73">
        <f>VLOOKUP(A46,'Book Details - NO EDIT'!$A46:$S$192,12,FALSE)</f>
        <v>23</v>
      </c>
      <c r="X46" s="31">
        <f>IF(LEN('Book Details - NO EDIT'!J46)=0,0,1)</f>
        <v>1</v>
      </c>
    </row>
    <row r="47" spans="1:24" s="31" customFormat="1" ht="68">
      <c r="A47" s="125">
        <f>'Book Details - NO EDIT'!A47</f>
        <v>45</v>
      </c>
      <c r="B47" s="31" t="str">
        <f>'Book Details - NO EDIT'!Y47</f>
        <v>Llewellyn Foster LOYD</v>
      </c>
      <c r="C47" s="31" t="str">
        <f>'Book Details - NO EDIT'!V47</f>
        <v>Llewellyn (1861–1939)</v>
      </c>
      <c r="D47" s="199" t="str">
        <f>'Book Details - NO EDIT'!I47</f>
        <v>30/06/1861</v>
      </c>
      <c r="E47" s="31" t="str">
        <f>IF('Book Details - NO EDIT'!K47="Boy","Male","Female")</f>
        <v>Male</v>
      </c>
      <c r="F47" s="31" t="str">
        <f>IF('Book Details - NO EDIT'!T47=1,"First",IF('Book Details - NO EDIT'!T47=2,"Second",IF('Book Details - NO EDIT'!T47=3,"Third",IF('Book Details - NO EDIT'!T47=4,"Fourth",IF('Book Details - NO EDIT'!T47=5,"Fifth",IF('Book Details - NO EDIT'!T47=6,"Sixth",IF('Book Details - NO EDIT'!T47=7,"Seventh",IF('Book Details - NO EDIT'!T47=8,"Eighth",0))))))))</f>
        <v>Third</v>
      </c>
      <c r="G47" s="31" t="str">
        <f>'Book Details - NO EDIT'!Z47</f>
        <v>Edward (1820–1890: #22)</v>
      </c>
      <c r="H47" s="31" t="str">
        <f>'Book Details - NO EDIT'!AH47</f>
        <v>Caroline Louisa FOSTER (b. 6 Aug 1825, d. 8 Feb 1900)</v>
      </c>
      <c r="I47" s="31" t="str">
        <f>'Book Details - NO EDIT'!AI47</f>
        <v>Rebecca Olivia LEWIS (b.13 Aug 1860, d. 18 Mar 1927)</v>
      </c>
      <c r="J47" s="199" t="str">
        <f>'Book Details - NO EDIT'!AJ47</f>
        <v>04/02/1889</v>
      </c>
      <c r="K47" s="31" t="str">
        <f>'Book Details - NO EDIT'!AK47</f>
        <v>Married Rebecca at British Vice Consulate, Pau, France, by her father, daughter of the Rt Rev John Travers LEWIS, (1825-1901) Archbishop of Ontario and Metropolitan of Canada. Rebecca born at Brockville, Canada, died at Lillesden Frith (also known as the Beeches) and buried at Hawkhurst.</v>
      </c>
      <c r="L47" s="131" t="str">
        <f>'Book Details - NO EDIT'!AL47</f>
        <v>Llewellyn lived at Lillesden House [31], Hawkhurst, Kent and was the younger son of Edward (1820–1890: #22). Born 30 Jun 1861 at Prestwich Lodge, Manchester. Baptised 7 Aug 1861 at Prestwich Church. Educated Eton 1875-77 and Christ Church, Oxford 1881. JP Kent. Member Royal Yacht Squadron 1892-1939. Yacht SS ‘Lotus’ (70 tons) owned 1890-1906. Died, 27 Dec 1939, at Lillesden Frith (also known as The Beeches) and buried at Hawkhurst, Kent. Issue: 3 sons, 1 daughter. Llewellyn is featured in a group portrait (c1910) in the Royal Yacht Squadron at Cowes, next to Kaiser Wilhelm II. Paddy (1951– : #126) has the portrait of Llewellyn in RYS attire and Llewellyn's house, 'Thornhill' on the Isle of Wight, has now been converted into apartments. Footnote: [31] Llewellyn sold Lillesden House c1923-25 and it became: first a boys Preparatory school and then a girls school until 1998, when it was sold. All the land of the 500 acre estate had been sold by his death. The house is a grade II listed building and, by 1999, was being lived in and returned to a private house before being converted into luxury apartments in 2018.</v>
      </c>
      <c r="M47" s="73" t="str">
        <f>'Book Details - NO EDIT'!AA47</f>
        <v xml:space="preserve">Edward (1820–1890: #22) Edward (1780–1863: #8) William (1729–1800: #1)     </v>
      </c>
      <c r="N47" s="197" t="str">
        <f>'Book Details - NO EDIT'!AB47</f>
        <v xml:space="preserve">6 – Mary (1848–1934: #31) Elinor (1853–1895: #36) Fa (1855–1927: #39) Frederic (1856–1936: #41) Meg (1859–1936: #43)  Caroline (1864–1940: #47)  </v>
      </c>
      <c r="O47" s="198" t="str">
        <f>'Book Details - NO EDIT'!AC47</f>
        <v>4 - Cecil (1890–1963: #68); Eric (1891–1967: #73); Alwyne (1894–1917: #79); Ruby (1898–1977: #83)</v>
      </c>
      <c r="P47" s="198" t="str">
        <f>'Book Details - NO EDIT'!AD47</f>
        <v xml:space="preserve">2 - Jill (1920–2002: #93); Alwyne (1920–2014: #94)   </v>
      </c>
      <c r="Q47" s="191" t="str">
        <f>IF('Book Details - NO EDIT'!J47="",IF(R47=0,"Less than year on 1-Jul-2022",_xlfn.CONCAT("On 1-Jul-2022, age ",R47,'Book Details - NO EDIT'!J47)),IF(LEN(R47)=0,"Died in infancy",_xlfn.CONCAT("Died ",'Book Details - NO EDIT'!J47,","," aged ",R47)))</f>
        <v>Died 27/12/1939, aged 45</v>
      </c>
      <c r="R47" s="73">
        <f>'Book Details - NO EDIT'!AX47</f>
        <v>45</v>
      </c>
      <c r="S47" s="73" t="str">
        <f>'Book Details - NO EDIT'!AY47</f>
        <v xml:space="preserve"> - </v>
      </c>
      <c r="T47" s="73" t="str">
        <f>'Book Details - NO EDIT'!AW47</f>
        <v>England</v>
      </c>
      <c r="U47" s="73">
        <f>VLOOKUP(A47,'Book Details - NO EDIT'!$A47:$S$192,13,FALSE)</f>
        <v>8</v>
      </c>
      <c r="V47" s="73">
        <f>VLOOKUP(A47,'Book Details - NO EDIT'!$A47:$S$192,12,FALSE)</f>
        <v>22</v>
      </c>
      <c r="X47" s="31">
        <f>IF(LEN('Book Details - NO EDIT'!J47)=0,0,1)</f>
        <v>1</v>
      </c>
    </row>
    <row r="48" spans="1:24" s="31" customFormat="1" ht="34">
      <c r="A48" s="125">
        <f>'Book Details - NO EDIT'!A48</f>
        <v>46</v>
      </c>
      <c r="B48" s="31" t="str">
        <f>'Book Details - NO EDIT'!Y48</f>
        <v>William Graham LOYD</v>
      </c>
      <c r="C48" s="31" t="str">
        <f>'Book Details - NO EDIT'!V48</f>
        <v>William (1863–1923)</v>
      </c>
      <c r="D48" s="199" t="str">
        <f>'Book Details - NO EDIT'!I48</f>
        <v>30/09/1863</v>
      </c>
      <c r="E48" s="31" t="str">
        <f>IF('Book Details - NO EDIT'!K48="Boy","Male","Female")</f>
        <v>Male</v>
      </c>
      <c r="F48" s="31" t="str">
        <f>IF('Book Details - NO EDIT'!T48=1,"First",IF('Book Details - NO EDIT'!T48=2,"Second",IF('Book Details - NO EDIT'!T48=3,"Third",IF('Book Details - NO EDIT'!T48=4,"Fourth",IF('Book Details - NO EDIT'!T48=5,"Fifth",IF('Book Details - NO EDIT'!T48=6,"Sixth",IF('Book Details - NO EDIT'!T48=7,"Seventh",IF('Book Details - NO EDIT'!T48=8,"Eighth",0))))))))</f>
        <v>Third</v>
      </c>
      <c r="G48" s="31" t="str">
        <f>'Book Details - NO EDIT'!Z48</f>
        <v>William (1821–1885: #23)</v>
      </c>
      <c r="H48" s="31" t="str">
        <f>'Book Details - NO EDIT'!AH48</f>
        <v>Caroline Gertrude Walker VIVIAN (b. 1829, d. 28 Nov 1893)</v>
      </c>
      <c r="I48" s="31" t="str">
        <f>'Book Details - NO EDIT'!AI48</f>
        <v xml:space="preserve">Emily Diana Maria BEAUMONT (b. 25 Dec 1860, d. 4 Jul 1956) </v>
      </c>
      <c r="J48" s="199" t="str">
        <f>'Book Details - NO EDIT'!AJ48</f>
        <v>14/01/1888</v>
      </c>
      <c r="K48" s="31" t="str">
        <f>'Book Details - NO EDIT'!AK48</f>
        <v>Diana 2nd daughter of Henry Frederick BEAUMONT DL of Whitley Beaumont, Yorkshire. Diana died at Whitley, Priory Road, Sunningdale, Chobham, Surrey.</v>
      </c>
      <c r="L48" s="131" t="str">
        <f>'Book Details - NO EDIT'!AL48</f>
        <v>William lived at Stonehill, Bagshot, Surrey and of Ovington House, Ovington Gardens, London SW3 and was the 3rd son of William (1821–1885: #23). Born 30 Sep 1863. Educated Eton 1876-80.  JP Berkshire. Captain 2nd Vol Battalion, Welsh Regiment 1883-92. Died 18 Jun 1923. Issue: 4 sons, 1 daughter.</v>
      </c>
      <c r="M48" s="73" t="str">
        <f>'Book Details - NO EDIT'!AA48</f>
        <v xml:space="preserve">William (1821–1885: #23) Edward (1780–1863: #8) William (1729–1800: #1)     </v>
      </c>
      <c r="N48" s="197" t="str">
        <f>'Book Details - NO EDIT'!AB48</f>
        <v>8 – Lewis (1852–1908: #35) Gertrude (1854–1924: #38) Harriet (1856–1921: #40) Dulcie (1858–1905: #42) Harry (1861–1938: #44)  Caroline (1865–1938: #48) Mary (1867–1867: #49) Arthur (1868–1911: #50)</v>
      </c>
      <c r="O48" s="198" t="str">
        <f>'Book Details - NO EDIT'!AC48</f>
        <v>5 - Diana (1890–1963: #70); Godfrey (1893–1917: #75); Vivian (1894–1972: #78); Wilfred (1896–1955: #82); Eddie (1902–1942: #84)</v>
      </c>
      <c r="P48" s="198" t="str">
        <f>'Book Details - NO EDIT'!AD48</f>
        <v xml:space="preserve">10 - Willie (1937–1994: #113); Belinda (1939–2018: #115); Vivian (1951–: #127); Ginie (1961–: #140)   Cynthia MICKLEM (1921 - 1990:  #70a) Dora MICKLEM (1924 - :  #70b) Anne MICKLEM (1925 - :  #70c) Tom MICKLEM (1926 - :  #70d) Elizabeth MICKLEM (1929 - :  #70e) Nathaniel MICKLEM (1931 - 1950:  #70f)         </v>
      </c>
      <c r="Q48" s="191" t="str">
        <f>IF('Book Details - NO EDIT'!J48="",IF(R48=0,"Less than year on 1-Jul-2022",_xlfn.CONCAT("On 1-Jul-2022, age ",R48,'Book Details - NO EDIT'!J48)),IF(LEN(R48)=0,"Died in infancy",_xlfn.CONCAT("Died ",'Book Details - NO EDIT'!J48,","," aged ",R48)))</f>
        <v>Died 18/06/1923, aged 46</v>
      </c>
      <c r="R48" s="73">
        <f>'Book Details - NO EDIT'!AX48</f>
        <v>46</v>
      </c>
      <c r="S48" s="73" t="str">
        <f>'Book Details - NO EDIT'!AY48</f>
        <v xml:space="preserve"> - </v>
      </c>
      <c r="T48" s="73" t="str">
        <f>'Book Details - NO EDIT'!AW48</f>
        <v>England</v>
      </c>
      <c r="U48" s="73">
        <f>VLOOKUP(A48,'Book Details - NO EDIT'!$A48:$S$192,13,FALSE)</f>
        <v>8</v>
      </c>
      <c r="V48" s="73">
        <f>VLOOKUP(A48,'Book Details - NO EDIT'!$A48:$S$192,12,FALSE)</f>
        <v>23</v>
      </c>
      <c r="X48" s="31">
        <f>IF(LEN('Book Details - NO EDIT'!J48)=0,0,1)</f>
        <v>1</v>
      </c>
    </row>
    <row r="49" spans="1:24" s="31" customFormat="1" ht="17">
      <c r="A49" s="125">
        <f>'Book Details - NO EDIT'!A49</f>
        <v>47</v>
      </c>
      <c r="B49" s="31" t="str">
        <f>'Book Details - NO EDIT'!Y49</f>
        <v>Caroline Foster LOYD</v>
      </c>
      <c r="C49" s="31" t="str">
        <f>'Book Details - NO EDIT'!V49</f>
        <v>Caroline (1864–1940)</v>
      </c>
      <c r="D49" s="199" t="str">
        <f>'Book Details - NO EDIT'!I49</f>
        <v>10/07/1864</v>
      </c>
      <c r="E49" s="31" t="str">
        <f>IF('Book Details - NO EDIT'!K49="Boy","Male","Female")</f>
        <v>Female</v>
      </c>
      <c r="F49" s="31" t="str">
        <f>IF('Book Details - NO EDIT'!T49=1,"First",IF('Book Details - NO EDIT'!T49=2,"Second",IF('Book Details - NO EDIT'!T49=3,"Third",IF('Book Details - NO EDIT'!T49=4,"Fourth",IF('Book Details - NO EDIT'!T49=5,"Fifth",IF('Book Details - NO EDIT'!T49=6,"Sixth",IF('Book Details - NO EDIT'!T49=7,"Seventh",IF('Book Details - NO EDIT'!T49=8,"Eighth",0))))))))</f>
        <v>Third</v>
      </c>
      <c r="G49" s="31" t="str">
        <f>'Book Details - NO EDIT'!Z49</f>
        <v>Edward (1820–1890: #22)</v>
      </c>
      <c r="H49" s="31" t="str">
        <f>'Book Details - NO EDIT'!AH49</f>
        <v>Caroline Louisa FOSTER (b. 6 Aug 1825, d. 8 Feb 1900)</v>
      </c>
      <c r="I49" s="31" t="str">
        <f>'Book Details - NO EDIT'!AI49</f>
        <v>Alfred HARDCASTLE (b. 30 Mar 1857, d. 1 Aug 1927)</v>
      </c>
      <c r="J49" s="199" t="str">
        <f>'Book Details - NO EDIT'!AJ49</f>
        <v>08/03/1892</v>
      </c>
      <c r="K49" s="31" t="str">
        <f>'Book Details - NO EDIT'!AK49</f>
        <v>Married at St Lawrence’s, Hawkhurst, Alfred eldest son of Edward HARDCASTLE MP of New Lodge, Hawkhurst, Kent.</v>
      </c>
      <c r="L49" s="131" t="str">
        <f>'Book Details - NO EDIT'!AL49</f>
        <v>Caroline was the 5th and youngest daughter of Edward (1820–1890: #22). Born 10 Jul 1864 at Prestwich Lodge, Manchester. Baptised 30 Aug 1864 at Prestwich Church. Died 3 Dec 1940. Issue: 2 sons.</v>
      </c>
      <c r="M49" s="73" t="str">
        <f>'Book Details - NO EDIT'!AA49</f>
        <v xml:space="preserve">Edward (1820–1890: #22) Edward (1780–1863: #8) William (1729–1800: #1)     </v>
      </c>
      <c r="N49" s="197" t="str">
        <f>'Book Details - NO EDIT'!AB49</f>
        <v xml:space="preserve">6 – Mary (1848–1934: #31) Elinor (1853–1895: #36) Fa (1855–1927: #39) Frederic (1856–1936: #41) Meg (1859–1936: #43) Llewellyn (1861–1939: #45)   </v>
      </c>
      <c r="O49" s="198" t="str">
        <f>'Book Details - NO EDIT'!AC49</f>
        <v xml:space="preserve">2 - Loyd HARDCASTLE (1893 - 1955: #47a) Canon Joseph HARDCASTLE (1899 - 1972: #47b)      </v>
      </c>
      <c r="P49" s="198" t="str">
        <f>'Book Details - NO EDIT'!AD49</f>
        <v xml:space="preserve">2 - John HARDCASTLE (1923 -: #47aa) Priscilla HARDCASTLE (1954 -: #47ab)                 </v>
      </c>
      <c r="Q49" s="191" t="str">
        <f>IF('Book Details - NO EDIT'!J49="",IF(R49=0,"Less than year on 1-Jul-2022",_xlfn.CONCAT("On 1-Jul-2022, age ",R49,'Book Details - NO EDIT'!J49)),IF(LEN(R49)=0,"Died in infancy",_xlfn.CONCAT("Died ",'Book Details - NO EDIT'!J49,","," aged ",R49)))</f>
        <v>Died 03/12/1940, aged 47</v>
      </c>
      <c r="R49" s="73">
        <f>'Book Details - NO EDIT'!AX49</f>
        <v>47</v>
      </c>
      <c r="S49" s="73" t="str">
        <f>'Book Details - NO EDIT'!AY49</f>
        <v xml:space="preserve"> - </v>
      </c>
      <c r="T49" s="73" t="str">
        <f>'Book Details - NO EDIT'!AW49</f>
        <v>England</v>
      </c>
      <c r="U49" s="73">
        <f>VLOOKUP(A49,'Book Details - NO EDIT'!$A49:$S$192,13,FALSE)</f>
        <v>8</v>
      </c>
      <c r="V49" s="73">
        <f>VLOOKUP(A49,'Book Details - NO EDIT'!$A49:$S$192,12,FALSE)</f>
        <v>22</v>
      </c>
      <c r="X49" s="31">
        <f>IF(LEN('Book Details - NO EDIT'!J49)=0,0,1)</f>
        <v>1</v>
      </c>
    </row>
    <row r="50" spans="1:24" s="31" customFormat="1" ht="17">
      <c r="A50" s="125">
        <f>'Book Details - NO EDIT'!A50</f>
        <v>48</v>
      </c>
      <c r="B50" s="31" t="str">
        <f>'Book Details - NO EDIT'!Y50</f>
        <v>Caroline Beatrice LOYD</v>
      </c>
      <c r="C50" s="31" t="str">
        <f>'Book Details - NO EDIT'!V50</f>
        <v>Caroline (1865–1938)</v>
      </c>
      <c r="D50" s="199" t="str">
        <f>'Book Details - NO EDIT'!I50</f>
        <v>02/04/1865</v>
      </c>
      <c r="E50" s="31" t="str">
        <f>IF('Book Details - NO EDIT'!K50="Boy","Male","Female")</f>
        <v>Female</v>
      </c>
      <c r="F50" s="31" t="str">
        <f>IF('Book Details - NO EDIT'!T50=1,"First",IF('Book Details - NO EDIT'!T50=2,"Second",IF('Book Details - NO EDIT'!T50=3,"Third",IF('Book Details - NO EDIT'!T50=4,"Fourth",IF('Book Details - NO EDIT'!T50=5,"Fifth",IF('Book Details - NO EDIT'!T50=6,"Sixth",IF('Book Details - NO EDIT'!T50=7,"Seventh",IF('Book Details - NO EDIT'!T50=8,"Eighth",0))))))))</f>
        <v>Third</v>
      </c>
      <c r="G50" s="31" t="str">
        <f>'Book Details - NO EDIT'!Z50</f>
        <v>William (1821–1885: #23)</v>
      </c>
      <c r="H50" s="31" t="str">
        <f>'Book Details - NO EDIT'!AH50</f>
        <v>Caroline Gertrude Walker VIVIAN (b. 1829, d. 28 Nov 1893)</v>
      </c>
      <c r="I50" s="31" t="str">
        <f>'Book Details - NO EDIT'!AI50</f>
        <v>George Halford D’OYLY (b. 21 Feb 1855, d. 21 Feb 1909)</v>
      </c>
      <c r="J50" s="199">
        <f>'Book Details - NO EDIT'!AJ50</f>
        <v>557</v>
      </c>
      <c r="K50" s="31" t="str">
        <f>'Book Details - NO EDIT'!AK50</f>
        <v>Married, near Ashford in Kent, George, a Major in the Devon Regiment, and son of the Rev Charles John D’OYLY of Great Chart.</v>
      </c>
      <c r="L50" s="131" t="str">
        <f>'Book Details - NO EDIT'!AL50</f>
        <v>Caroline was the 4th daughter of William (1821–1885: #23). Born 2 Apr 1865. Died 21 Feb 1938.</v>
      </c>
      <c r="M50" s="73" t="str">
        <f>'Book Details - NO EDIT'!AA50</f>
        <v xml:space="preserve">William (1821–1885: #23) Edward (1780–1863: #8) William (1729–1800: #1)     </v>
      </c>
      <c r="N50" s="197" t="str">
        <f>'Book Details - NO EDIT'!AB50</f>
        <v>8 – Lewis (1852–1908: #35) Gertrude (1854–1924: #38) Harriet (1856–1921: #40) Dulcie (1858–1905: #42) Harry (1861–1938: #44) William (1863–1923: #46)  Mary (1867–1867: #49) Arthur (1868–1911: #50)</v>
      </c>
      <c r="O50" s="198" t="str">
        <f>'Book Details - NO EDIT'!AC50</f>
        <v xml:space="preserve">1 - Mabell D'OYLY (1904 - 1983: #48a)       </v>
      </c>
      <c r="P50" s="198" t="str">
        <f>'Book Details - NO EDIT'!AD50</f>
        <v>-</v>
      </c>
      <c r="Q50" s="191" t="str">
        <f>IF('Book Details - NO EDIT'!J50="",IF(R50=0,"Less than year on 1-Jul-2022",_xlfn.CONCAT("On 1-Jul-2022, age ",R50,'Book Details - NO EDIT'!J50)),IF(LEN(R50)=0,"Died in infancy",_xlfn.CONCAT("Died ",'Book Details - NO EDIT'!J50,","," aged ",R50)))</f>
        <v>Died 21/02/1938, aged 48</v>
      </c>
      <c r="R50" s="73">
        <f>'Book Details - NO EDIT'!AX50</f>
        <v>48</v>
      </c>
      <c r="S50" s="73" t="str">
        <f>'Book Details - NO EDIT'!AY50</f>
        <v xml:space="preserve"> - </v>
      </c>
      <c r="T50" s="73" t="str">
        <f>'Book Details - NO EDIT'!AW50</f>
        <v>England</v>
      </c>
      <c r="U50" s="73">
        <f>VLOOKUP(A50,'Book Details - NO EDIT'!$A50:$S$192,13,FALSE)</f>
        <v>8</v>
      </c>
      <c r="V50" s="73">
        <f>VLOOKUP(A50,'Book Details - NO EDIT'!$A50:$S$192,12,FALSE)</f>
        <v>23</v>
      </c>
      <c r="X50" s="31">
        <f>IF(LEN('Book Details - NO EDIT'!J50)=0,0,1)</f>
        <v>1</v>
      </c>
    </row>
    <row r="51" spans="1:24" s="31" customFormat="1" ht="17">
      <c r="A51" s="125">
        <f>'Book Details - NO EDIT'!A51</f>
        <v>49</v>
      </c>
      <c r="B51" s="31" t="str">
        <f>'Book Details - NO EDIT'!Y51</f>
        <v>Mary Winifrid LOYD</v>
      </c>
      <c r="C51" s="31" t="str">
        <f>'Book Details - NO EDIT'!V51</f>
        <v>Mary (1867–1867)</v>
      </c>
      <c r="D51" s="199" t="str">
        <f>'Book Details - NO EDIT'!I51</f>
        <v>19/01/1867</v>
      </c>
      <c r="E51" s="31" t="str">
        <f>IF('Book Details - NO EDIT'!K51="Boy","Male","Female")</f>
        <v>Female</v>
      </c>
      <c r="F51" s="31" t="str">
        <f>IF('Book Details - NO EDIT'!T51=1,"First",IF('Book Details - NO EDIT'!T51=2,"Second",IF('Book Details - NO EDIT'!T51=3,"Third",IF('Book Details - NO EDIT'!T51=4,"Fourth",IF('Book Details - NO EDIT'!T51=5,"Fifth",IF('Book Details - NO EDIT'!T51=6,"Sixth",IF('Book Details - NO EDIT'!T51=7,"Seventh",IF('Book Details - NO EDIT'!T51=8,"Eighth",0))))))))</f>
        <v>Third</v>
      </c>
      <c r="G51" s="31" t="str">
        <f>'Book Details - NO EDIT'!Z51</f>
        <v>William (1821–1885: #23)</v>
      </c>
      <c r="H51" s="31" t="str">
        <f>'Book Details - NO EDIT'!AH51</f>
        <v>Caroline Gertrude Walker VIVIAN (b. 1829, d. 28 Nov 1893)</v>
      </c>
      <c r="I51" s="31" t="str">
        <f>'Book Details - NO EDIT'!AI51</f>
        <v>Died in infancy.</v>
      </c>
      <c r="J51" s="199" t="str">
        <f>'Book Details - NO EDIT'!AJ51</f>
        <v xml:space="preserve"> - </v>
      </c>
      <c r="K51" s="31" t="str">
        <f>'Book Details - NO EDIT'!AK51</f>
        <v xml:space="preserve"> - </v>
      </c>
      <c r="L51" s="131" t="str">
        <f>'Book Details - NO EDIT'!AL51</f>
        <v>Mary was the 5th and youngest daughter of William (1821–1885: #23). Born 19 Jan 1867. Died in infancy on 19 Jan 1867.</v>
      </c>
      <c r="M51" s="73" t="str">
        <f>'Book Details - NO EDIT'!AA51</f>
        <v xml:space="preserve">William (1821–1885: #23) Edward (1780–1863: #8) William (1729–1800: #1)     </v>
      </c>
      <c r="N51" s="197" t="str">
        <f>'Book Details - NO EDIT'!AB51</f>
        <v>8 – Lewis (1852–1908: #35) Gertrude (1854–1924: #38) Harriet (1856–1921: #40) Dulcie (1858–1905: #42) Harry (1861–1938: #44) William (1863–1923: #46) Caroline (1865–1938: #48)  Arthur (1868–1911: #50)</v>
      </c>
      <c r="O51" s="198" t="str">
        <f>'Book Details - NO EDIT'!AC51</f>
        <v>d.s.p</v>
      </c>
      <c r="P51" s="198" t="str">
        <f>'Book Details - NO EDIT'!AD51</f>
        <v>d.s.p.</v>
      </c>
      <c r="Q51" s="191" t="str">
        <f>IF('Book Details - NO EDIT'!J51="",IF(R51=0,"Less than year on 1-Jul-2022",_xlfn.CONCAT("On 1-Jul-2022, age ",R51,'Book Details - NO EDIT'!J51)),IF(LEN(R51)=0,"Died in infancy",_xlfn.CONCAT("Died ",'Book Details - NO EDIT'!J51,","," aged ",R51)))</f>
        <v>Died 19/01/1867, aged 49</v>
      </c>
      <c r="R51" s="73">
        <f>'Book Details - NO EDIT'!AX51</f>
        <v>49</v>
      </c>
      <c r="S51" s="73" t="str">
        <f>'Book Details - NO EDIT'!AY51</f>
        <v xml:space="preserve"> - </v>
      </c>
      <c r="T51" s="73" t="str">
        <f>'Book Details - NO EDIT'!AW51</f>
        <v>England</v>
      </c>
      <c r="U51" s="73">
        <f>VLOOKUP(A51,'Book Details - NO EDIT'!$A51:$S$192,13,FALSE)</f>
        <v>8</v>
      </c>
      <c r="V51" s="73">
        <f>VLOOKUP(A51,'Book Details - NO EDIT'!$A51:$S$192,12,FALSE)</f>
        <v>23</v>
      </c>
      <c r="X51" s="31">
        <f>IF(LEN('Book Details - NO EDIT'!J51)=0,0,1)</f>
        <v>1</v>
      </c>
    </row>
    <row r="52" spans="1:24" s="31" customFormat="1" ht="34">
      <c r="A52" s="125">
        <f>'Book Details - NO EDIT'!A52</f>
        <v>50</v>
      </c>
      <c r="B52" s="31" t="str">
        <f>'Book Details - NO EDIT'!Y52</f>
        <v>Arthur Heneage LOYD</v>
      </c>
      <c r="C52" s="31" t="str">
        <f>'Book Details - NO EDIT'!V52</f>
        <v>Arthur (1868–1911)</v>
      </c>
      <c r="D52" s="199" t="str">
        <f>'Book Details - NO EDIT'!I52</f>
        <v>20/07/1868</v>
      </c>
      <c r="E52" s="31" t="str">
        <f>IF('Book Details - NO EDIT'!K52="Boy","Male","Female")</f>
        <v>Male</v>
      </c>
      <c r="F52" s="31" t="str">
        <f>IF('Book Details - NO EDIT'!T52=1,"First",IF('Book Details - NO EDIT'!T52=2,"Second",IF('Book Details - NO EDIT'!T52=3,"Third",IF('Book Details - NO EDIT'!T52=4,"Fourth",IF('Book Details - NO EDIT'!T52=5,"Fifth",IF('Book Details - NO EDIT'!T52=6,"Sixth",IF('Book Details - NO EDIT'!T52=7,"Seventh",IF('Book Details - NO EDIT'!T52=8,"Eighth",0))))))))</f>
        <v>Third</v>
      </c>
      <c r="G52" s="31" t="str">
        <f>'Book Details - NO EDIT'!Z52</f>
        <v>William (1821–1885: #23)</v>
      </c>
      <c r="H52" s="31" t="str">
        <f>'Book Details - NO EDIT'!AH52</f>
        <v>Caroline Gertrude Walker VIVIAN (b. 1829, d. 28 Nov 1893)</v>
      </c>
      <c r="I52" s="31" t="str">
        <f>'Book Details - NO EDIT'!AI52</f>
        <v>Kathleen Agnes HEATH (b. 9 Sep 1872, d. 28 Oct 1913)</v>
      </c>
      <c r="J52" s="199" t="str">
        <f>'Book Details - NO EDIT'!AJ52</f>
        <v>06/03/1894</v>
      </c>
      <c r="K52" s="31" t="str">
        <f>'Book Details - NO EDIT'!AK52</f>
        <v>Married, at St Nicholas’, Strood, Kent, Kathleen daughter of Richard HEATH of Strood, Kent. Kathleen was born in Strood, Kent and died at Bute Street Hospital, Vancouver, British Columbia, Canada.</v>
      </c>
      <c r="L52" s="131" t="str">
        <f>'Book Details - NO EDIT'!AL52</f>
        <v>Arthur lived at Idaho [33], Ringwood, Hampshire. 4th and youngest son of William (1821–1885: #23). Born 20 Jul 1868 at 77 Eaton Square, London, SW1. Educated Eton 1881-84.  Captain, 2 Vol. Battalion, Warwickshire Regiment 1891-96. 4 Vol. Battalion, Hampshire Regiment 1897-1900. Died 21 Jun 1911 of pneumonia in Las Palmas. DSP Footnote: [33] Idaho was a log house designed by the Architect, Kirtland CUTTER, of Spokane, USA and built in 1897 among pinewoods south of the town.</v>
      </c>
      <c r="M52" s="73" t="str">
        <f>'Book Details - NO EDIT'!AA52</f>
        <v xml:space="preserve">William (1821–1885: #23) Edward (1780–1863: #8) William (1729–1800: #1)     </v>
      </c>
      <c r="N52" s="197" t="str">
        <f>'Book Details - NO EDIT'!AB52</f>
        <v xml:space="preserve">8 – Lewis (1852–1908: #35) Gertrude (1854–1924: #38) Harriet (1856–1921: #40) Dulcie (1858–1905: #42) Harry (1861–1938: #44) William (1863–1923: #46) Caroline (1865–1938: #48) Mary (1867–1867: #49) </v>
      </c>
      <c r="O52" s="198" t="str">
        <f>'Book Details - NO EDIT'!AC52</f>
        <v>d.s.p</v>
      </c>
      <c r="P52" s="198" t="str">
        <f>'Book Details - NO EDIT'!AD52</f>
        <v>d.s.p.</v>
      </c>
      <c r="Q52" s="191" t="str">
        <f>IF('Book Details - NO EDIT'!J52="",IF(R52=0,"Less than year on 1-Jul-2022",_xlfn.CONCAT("On 1-Jul-2022, age ",R52,'Book Details - NO EDIT'!J52)),IF(LEN(R52)=0,"Died in infancy",_xlfn.CONCAT("Died ",'Book Details - NO EDIT'!J52,","," aged ",R52)))</f>
        <v>Died 21/06/1911, aged 50</v>
      </c>
      <c r="R52" s="73">
        <f>'Book Details - NO EDIT'!AX52</f>
        <v>50</v>
      </c>
      <c r="S52" s="73" t="str">
        <f>'Book Details - NO EDIT'!AY52</f>
        <v xml:space="preserve"> - </v>
      </c>
      <c r="T52" s="73" t="str">
        <f>'Book Details - NO EDIT'!AW52</f>
        <v>England and USA</v>
      </c>
      <c r="U52" s="73">
        <f>VLOOKUP(A52,'Book Details - NO EDIT'!$A52:$S$192,13,FALSE)</f>
        <v>8</v>
      </c>
      <c r="V52" s="73">
        <f>VLOOKUP(A52,'Book Details - NO EDIT'!$A52:$S$192,12,FALSE)</f>
        <v>23</v>
      </c>
      <c r="X52" s="31">
        <f>IF(LEN('Book Details - NO EDIT'!J52)=0,0,1)</f>
        <v>1</v>
      </c>
    </row>
    <row r="53" spans="1:24" s="31" customFormat="1" ht="68">
      <c r="A53" s="125">
        <f>'Book Details - NO EDIT'!A53</f>
        <v>51</v>
      </c>
      <c r="B53" s="31" t="str">
        <f>'Book Details - NO EDIT'!Y53</f>
        <v>Lewis Christopher  LOYD</v>
      </c>
      <c r="C53" s="31" t="str">
        <f>'Book Details - NO EDIT'!V53</f>
        <v>Lewis (1875–1947)</v>
      </c>
      <c r="D53" s="199" t="str">
        <f>'Book Details - NO EDIT'!I53</f>
        <v>27/09/1875</v>
      </c>
      <c r="E53" s="31" t="str">
        <f>IF('Book Details - NO EDIT'!K53="Boy","Male","Female")</f>
        <v>Male</v>
      </c>
      <c r="F53" s="31" t="str">
        <f>IF('Book Details - NO EDIT'!T53=1,"First",IF('Book Details - NO EDIT'!T53=2,"Second",IF('Book Details - NO EDIT'!T53=3,"Third",IF('Book Details - NO EDIT'!T53=4,"Fourth",IF('Book Details - NO EDIT'!T53=5,"Fifth",IF('Book Details - NO EDIT'!T53=6,"Sixth",IF('Book Details - NO EDIT'!T53=7,"Seventh",IF('Book Details - NO EDIT'!T53=8,"Eighth",0))))))))</f>
        <v>Fourth</v>
      </c>
      <c r="G53" s="31" t="str">
        <f>'Book Details - NO EDIT'!Z53</f>
        <v>The Rev Lewis (1844–1905: #28)</v>
      </c>
      <c r="H53" s="31" t="str">
        <f>'Book Details - NO EDIT'!AH53</f>
        <v xml:space="preserve">Emily Harriet (Milly) SMYTH (b. 30 Aug 1852, d. 25 Feb 1911) </v>
      </c>
      <c r="I53" s="31" t="str">
        <f>'Book Details - NO EDIT'!AI53</f>
        <v>Unmarried</v>
      </c>
      <c r="J53" s="199" t="str">
        <f>'Book Details - NO EDIT'!AJ53</f>
        <v xml:space="preserve"> - </v>
      </c>
      <c r="K53" s="31" t="str">
        <f>'Book Details - NO EDIT'!AK53</f>
        <v xml:space="preserve"> - </v>
      </c>
      <c r="L53" s="131" t="str">
        <f>'Book Details - NO EDIT'!AL53</f>
        <v>Lewis lived at 18 Tite Street, Chelsea, London SW3. eldest son of The Rev Lewis (1844–1905: #28). Born 27 Sep 1875 at Abington Rectory, Northampton. Educated Eton 1889-94 and Trinity College, Cambridge (BA). Career: Barrister-at-Law, Inner Temple 1901 Midland Circuit; Department of the Treasury Solicitor 1917-36 and 1939-46. Author of, “The Origins of some Anglo-Norman Families,” published by Harleian Society 1951. Compiled “A Short Account of the Family of LLOYD of Dugoedydd, Cwm-y-to fach and Court Henry, Camarthenshire, Wales” 1911; and the family tree showing roots back to Thomas LLOYD (1653–1736: #-1) of Dugoedydd 1914. (See pull-out copy at end of Loyd Book in 2000). Died, unmarried, 17 Aug 1947. DSP Lewis created the original family tree of 1914 showing our roots to Wales going back to Thomas LLOYD of Dugoedydd, which provided the basis for much of the later work for the editions of the "Loyd Who's Who."</v>
      </c>
      <c r="M53" s="73" t="str">
        <f>'Book Details - NO EDIT'!AA53</f>
        <v xml:space="preserve">The Rev Lewis (1844–1905: #28) Thomas (1812–1857: #14) William (1770–1828: #4) William (1729–1800: #1)    </v>
      </c>
      <c r="N53" s="197" t="str">
        <f>'Book Details - NO EDIT'!AB53</f>
        <v xml:space="preserve">3 – Tommy (1882–1944: #56) Rt Rev Philip (1884–1952: #58) Kitty (1885–1989: #60)     </v>
      </c>
      <c r="O53" s="198" t="str">
        <f>'Book Details - NO EDIT'!AC53</f>
        <v>d.s.p</v>
      </c>
      <c r="P53" s="198" t="str">
        <f>'Book Details - NO EDIT'!AD53</f>
        <v>d.s.p.</v>
      </c>
      <c r="Q53" s="191" t="str">
        <f>IF('Book Details - NO EDIT'!J53="",IF(R53=0,"Less than year on 1-Jul-2022",_xlfn.CONCAT("On 1-Jul-2022, age ",R53,'Book Details - NO EDIT'!J53)),IF(LEN(R53)=0,"Died in infancy",_xlfn.CONCAT("Died ",'Book Details - NO EDIT'!J53,","," aged ",R53)))</f>
        <v>Died 17/08/1947, aged 51</v>
      </c>
      <c r="R53" s="73">
        <f>'Book Details - NO EDIT'!AX53</f>
        <v>51</v>
      </c>
      <c r="S53" s="73" t="str">
        <f>'Book Details - NO EDIT'!AY53</f>
        <v xml:space="preserve"> - </v>
      </c>
      <c r="T53" s="73" t="str">
        <f>'Book Details - NO EDIT'!AW53</f>
        <v>England</v>
      </c>
      <c r="U53" s="73">
        <f>VLOOKUP(A53,'Book Details - NO EDIT'!$A53:$S$192,13,FALSE)</f>
        <v>14</v>
      </c>
      <c r="V53" s="73">
        <f>VLOOKUP(A53,'Book Details - NO EDIT'!$A53:$S$192,12,FALSE)</f>
        <v>28</v>
      </c>
      <c r="X53" s="31">
        <f>IF(LEN('Book Details - NO EDIT'!J53)=0,0,1)</f>
        <v>1</v>
      </c>
    </row>
    <row r="54" spans="1:24" s="31" customFormat="1" ht="68">
      <c r="A54" s="125">
        <f>'Book Details - NO EDIT'!A54</f>
        <v>52</v>
      </c>
      <c r="B54" s="31" t="str">
        <f>'Book Details - NO EDIT'!Y54</f>
        <v>Lewis Frederic Innes LOYD</v>
      </c>
      <c r="C54" s="31" t="str">
        <f>'Book Details - NO EDIT'!V54</f>
        <v>Lewis (1880–1918)</v>
      </c>
      <c r="D54" s="199" t="str">
        <f>'Book Details - NO EDIT'!I54</f>
        <v>06/10/1880</v>
      </c>
      <c r="E54" s="31" t="str">
        <f>IF('Book Details - NO EDIT'!K54="Boy","Male","Female")</f>
        <v>Male</v>
      </c>
      <c r="F54" s="31" t="str">
        <f>IF('Book Details - NO EDIT'!T54=1,"First",IF('Book Details - NO EDIT'!T54=2,"Second",IF('Book Details - NO EDIT'!T54=3,"Third",IF('Book Details - NO EDIT'!T54=4,"Fourth",IF('Book Details - NO EDIT'!T54=5,"Fifth",IF('Book Details - NO EDIT'!T54=6,"Sixth",IF('Book Details - NO EDIT'!T54=7,"Seventh",IF('Book Details - NO EDIT'!T54=8,"Eighth",0))))))))</f>
        <v>Fourth</v>
      </c>
      <c r="G54" s="31" t="str">
        <f>'Book Details - NO EDIT'!Z54</f>
        <v>Frederic (1856–1936: #41)</v>
      </c>
      <c r="H54" s="31" t="str">
        <f>'Book Details - NO EDIT'!AH54</f>
        <v>Isabella (Isabel) CURREY (b. 26 Apr 1855, d. 16 Jan 1926)</v>
      </c>
      <c r="I54" s="31" t="str">
        <f>'Book Details - NO EDIT'!AI54</f>
        <v>Mary Christobel CHARRINGTON (b. 18 Nov 1894, d. 9 Jan 1977)</v>
      </c>
      <c r="J54" s="199">
        <f>'Book Details - NO EDIT'!AJ54</f>
        <v>5407</v>
      </c>
      <c r="K54" s="31" t="str">
        <f>'Book Details - NO EDIT'!AK54</f>
        <v>Married Mary youngest daughter of Colonel Francis CHARRINGTON CMG, Staffordshire Regiment, of Pishiobury Park, Hertfordshire. Mary Christobel later married: Secondly, 8 Jun 1920 Lieut Colonel Frank KING DSO, OBE, 4th Hussars. (Div 1925); Thirdly, Oct 1925 Ralph Lambton STOBART MC (d. Mar 1942); &amp;  Fourthly 3 Jun 1946 Jack Sidney SMITH of Chatley Wood, Ringwood, Hampshire.</v>
      </c>
      <c r="L54" s="131" t="str">
        <f>'Book Details - NO EDIT'!AL54</f>
        <v>Lewis was the elder son of Frederic (1856–1936: #41). He lived firstly at Monk's Orchard, Kent and then Albyns, Romford, Essex and then at Shaw Hill House, Melksham, Wiltshire. Born 6 Oct 1880. Educated Eton 1894-98 and Trinity College, Cambridge. Career: Barrister-at-Law, Inner Temple 1906. Served in WWI in Gallipoli as Major, Lovat’s Scouts, attached Worcestershire Yeomanry. Died 21 Sep 1918 at 12 Landsdowne Road, Dublin, of influenza (1) and pneumonia. Issue: 1 daughter. Footnote: (1) The 1918 influenza pandemic was the most severe pandemic in recent history. It was caused by an H1N1 virus with genes of avian origin. Although there is not universal consensus regarding where the virus originated, it spread worldwide during 1918-1919.  In the United States, it was first identified in military personnel in spring 1918. It is estimated that about 500 million people or one-third of the world’s population became infected with this virus. The number of deaths was estimated to be at least 50 million worldwide</v>
      </c>
      <c r="M54" s="73" t="str">
        <f>'Book Details - NO EDIT'!AA54</f>
        <v xml:space="preserve">Frederic (1856–1936: #41) Edward (1820–1890: #22) Edward (1780–1863: #8) William (1729–1800: #1)    </v>
      </c>
      <c r="N54" s="197" t="str">
        <f>'Book Details - NO EDIT'!AB54</f>
        <v xml:space="preserve">4 – Edward (1881–1962: #53) Evelyn (1885–1962: #59) Mary (1887–1968: #63) Cecily (1891–1891: #74)    </v>
      </c>
      <c r="O54" s="198" t="str">
        <f>'Book Details - NO EDIT'!AC54</f>
        <v>1 - Averil (1917–1993: #90)</v>
      </c>
      <c r="P54" s="198" t="str">
        <f>'Book Details - NO EDIT'!AD54</f>
        <v xml:space="preserve">3 -    June MARSHAM-TOWNHEND (1942 - :  #90a) Suki MARSHAM-TOWNHEND (1944 - :  #90b) Jonathan CLARKE (1950 - :  #90c)            </v>
      </c>
      <c r="Q54" s="191" t="str">
        <f>IF('Book Details - NO EDIT'!J54="",IF(R54=0,"Less than year on 1-Jul-2022",_xlfn.CONCAT("On 1-Jul-2022, age ",R54,'Book Details - NO EDIT'!J54)),IF(LEN(R54)=0,"Died in infancy",_xlfn.CONCAT("Died ",'Book Details - NO EDIT'!J54,","," aged ",R54)))</f>
        <v>Died 21/09/1918, aged 52</v>
      </c>
      <c r="R54" s="73">
        <f>'Book Details - NO EDIT'!AX54</f>
        <v>52</v>
      </c>
      <c r="S54" s="73" t="str">
        <f>'Book Details - NO EDIT'!AY54</f>
        <v xml:space="preserve"> - </v>
      </c>
      <c r="T54" s="73" t="str">
        <f>'Book Details - NO EDIT'!AW54</f>
        <v>England</v>
      </c>
      <c r="U54" s="73">
        <f>VLOOKUP(A54,'Book Details - NO EDIT'!$A54:$S$192,13,FALSE)</f>
        <v>22</v>
      </c>
      <c r="V54" s="73">
        <f>VLOOKUP(A54,'Book Details - NO EDIT'!$A54:$S$192,12,FALSE)</f>
        <v>41</v>
      </c>
      <c r="X54" s="31">
        <f>IF(LEN('Book Details - NO EDIT'!J54)=0,0,1)</f>
        <v>1</v>
      </c>
    </row>
    <row r="55" spans="1:24" s="31" customFormat="1" ht="34">
      <c r="A55" s="125">
        <f>'Book Details - NO EDIT'!A55</f>
        <v>53</v>
      </c>
      <c r="B55" s="31" t="str">
        <f>'Book Details - NO EDIT'!Y55</f>
        <v>Edward Noel Farnham LOYD</v>
      </c>
      <c r="C55" s="31" t="str">
        <f>'Book Details - NO EDIT'!V55</f>
        <v>Edward (1881–1962)</v>
      </c>
      <c r="D55" s="199" t="str">
        <f>'Book Details - NO EDIT'!I55</f>
        <v>23/12/1881</v>
      </c>
      <c r="E55" s="31" t="str">
        <f>IF('Book Details - NO EDIT'!K55="Boy","Male","Female")</f>
        <v>Male</v>
      </c>
      <c r="F55" s="31" t="str">
        <f>IF('Book Details - NO EDIT'!T55=1,"First",IF('Book Details - NO EDIT'!T55=2,"Second",IF('Book Details - NO EDIT'!T55=3,"Third",IF('Book Details - NO EDIT'!T55=4,"Fourth",IF('Book Details - NO EDIT'!T55=5,"Fifth",IF('Book Details - NO EDIT'!T55=6,"Sixth",IF('Book Details - NO EDIT'!T55=7,"Seventh",IF('Book Details - NO EDIT'!T55=8,"Eighth",0))))))))</f>
        <v>Fourth</v>
      </c>
      <c r="G55" s="31" t="str">
        <f>'Book Details - NO EDIT'!Z55</f>
        <v>Frederic (1856–1936: #41)</v>
      </c>
      <c r="H55" s="31" t="str">
        <f>'Book Details - NO EDIT'!AH55</f>
        <v>Isabella (Isabel) CURREY (b. 26 Apr 1855, d. 16 Jan 1926)</v>
      </c>
      <c r="I55" s="31" t="str">
        <f>'Book Details - NO EDIT'!AI55</f>
        <v>Kathleen Elizabeth Lilian DONOVAN (b. 21 Mar 1896, d. 7 Dec 1983)</v>
      </c>
      <c r="J55" s="199">
        <f>'Book Details - NO EDIT'!AJ55</f>
        <v>7126</v>
      </c>
      <c r="K55" s="31" t="str">
        <f>'Book Details - NO EDIT'!AK55</f>
        <v>Kathleen only daughter of the Rev Sydney Charles DONOVAN MA (1894-1929), Rector of All Saints’, East Horndon, Essex.</v>
      </c>
      <c r="L55" s="131" t="str">
        <f>'Book Details - NO EDIT'!AL55</f>
        <v>Edward lived at Haughton House, Churchill, Oxfordshire and was the younger son of Frederic (1856–1936: #41). Born 23 Dec 1881. Educated Eton 1895-99 and Trinity College, Cambridge (BA 1903, MA 1906).  Career: DL, JP, CC. Barrister-at-Law, Inner Temple 1906. Served in World War I in France as Corporal, Royal Scots Greys and later as Major, Warwickshire Yeomanry. Died 6 Feb 1962. Issue: 1 daughter.</v>
      </c>
      <c r="M55" s="73" t="str">
        <f>'Book Details - NO EDIT'!AA55</f>
        <v xml:space="preserve">Frederic (1856–1936: #41) Edward (1820–1890: #22) Edward (1780–1863: #8) William (1729–1800: #1)    </v>
      </c>
      <c r="N55" s="197" t="str">
        <f>'Book Details - NO EDIT'!AB55</f>
        <v xml:space="preserve">4 – Lewis (1880–1918: #52)  Evelyn (1885–1962: #59) Mary (1887–1968: #63) Cecily (1891–1891: #74)    </v>
      </c>
      <c r="O55" s="198" t="str">
        <f>'Book Details - NO EDIT'!AC55</f>
        <v>1 - Audrey (1922–2005: #97)</v>
      </c>
      <c r="P55" s="198" t="str">
        <f>'Book Details - NO EDIT'!AD55</f>
        <v xml:space="preserve">5 -    Julian SALE (1951 - :  #97a) Iona SALE (1954 - :  #97b) Charles SALE (1956 - 1957:  #97c) Roddy SALE (1959 - :  #97d) Edward SALE (1963 - :  #97e)          </v>
      </c>
      <c r="Q55" s="191" t="str">
        <f>IF('Book Details - NO EDIT'!J55="",IF(R55=0,"Less than year on 1-Jul-2022",_xlfn.CONCAT("On 1-Jul-2022, age ",R55,'Book Details - NO EDIT'!J55)),IF(LEN(R55)=0,"Died in infancy",_xlfn.CONCAT("Died ",'Book Details - NO EDIT'!J55,","," aged ",R55)))</f>
        <v>Died 06/02/1962, aged 53</v>
      </c>
      <c r="R55" s="73">
        <f>'Book Details - NO EDIT'!AX55</f>
        <v>53</v>
      </c>
      <c r="S55" s="73" t="str">
        <f>'Book Details - NO EDIT'!AY55</f>
        <v xml:space="preserve"> - </v>
      </c>
      <c r="T55" s="73" t="str">
        <f>'Book Details - NO EDIT'!AW55</f>
        <v>England</v>
      </c>
      <c r="U55" s="73">
        <f>VLOOKUP(A55,'Book Details - NO EDIT'!$A55:$S$192,13,FALSE)</f>
        <v>22</v>
      </c>
      <c r="V55" s="73">
        <f>VLOOKUP(A55,'Book Details - NO EDIT'!$A55:$S$192,12,FALSE)</f>
        <v>41</v>
      </c>
      <c r="X55" s="31">
        <f>IF(LEN('Book Details - NO EDIT'!J55)=0,0,1)</f>
        <v>1</v>
      </c>
    </row>
    <row r="56" spans="1:24" s="31" customFormat="1" ht="34">
      <c r="A56" s="125">
        <f>'Book Details - NO EDIT'!A56</f>
        <v>54</v>
      </c>
      <c r="B56" s="31" t="str">
        <f>'Book Details - NO EDIT'!Y56</f>
        <v>Alfred William Kirkman LOYD</v>
      </c>
      <c r="C56" s="31" t="str">
        <f>'Book Details - NO EDIT'!V56</f>
        <v>Alfred (1882–1919)</v>
      </c>
      <c r="D56" s="199" t="str">
        <f>'Book Details - NO EDIT'!I56</f>
        <v>10/02/1882</v>
      </c>
      <c r="E56" s="31" t="str">
        <f>IF('Book Details - NO EDIT'!K56="Boy","Male","Female")</f>
        <v>Male</v>
      </c>
      <c r="F56" s="31" t="str">
        <f>IF('Book Details - NO EDIT'!T56=1,"First",IF('Book Details - NO EDIT'!T56=2,"Second",IF('Book Details - NO EDIT'!T56=3,"Third",IF('Book Details - NO EDIT'!T56=4,"Fourth",IF('Book Details - NO EDIT'!T56=5,"Fifth",IF('Book Details - NO EDIT'!T56=6,"Sixth",IF('Book Details - NO EDIT'!T56=7,"Seventh",IF('Book Details - NO EDIT'!T56=8,"Eighth",0))))))))</f>
        <v>Fourth</v>
      </c>
      <c r="G56" s="31" t="str">
        <f>'Book Details - NO EDIT'!Z56</f>
        <v>Frank (1848–1934: #32)</v>
      </c>
      <c r="H56" s="31" t="str">
        <f>'Book Details - NO EDIT'!AH56</f>
        <v>Frances Maria Jane FETHERSTONHAUGH (b. 10 Feb 1855, d. 6 May 1929)</v>
      </c>
      <c r="I56" s="31" t="str">
        <f>'Book Details - NO EDIT'!AI56</f>
        <v>Ada Maud Keele GILES (b. 11 Apr 1884, d. 19 Jul 1955)</v>
      </c>
      <c r="J56" s="199">
        <f>'Book Details - NO EDIT'!AJ56</f>
        <v>5509</v>
      </c>
      <c r="K56" s="31" t="str">
        <f>'Book Details - NO EDIT'!AK56</f>
        <v>Married at All Saints’, Woodham, Ada elder daughter of Trelawny B GILES of Grange Cottage, Horsell, Woking, Surrey.</v>
      </c>
      <c r="L56" s="131" t="str">
        <f>'Book Details - NO EDIT'!AL56</f>
        <v>Alfred lived at Lealands House, Groombridge, Sussex and was the elder son of Frank (1848–1934: #32). Born 10 Feb 1882. Educated Eton 1895-98 and RMC Sandhurst.  Royal Sussex Regiment. Boer War 1901-02 Queen’s Medal and 4 clasps. Captain 1910. Major 1916-19. Served in WWI in France as Brigade Major. Died 13 Feb 1919 at Greystones Military Hospital, Blackpool, Lancashire of heart failure following influenza. Issue: 1 son, 1 daughter.</v>
      </c>
      <c r="M56" s="73" t="str">
        <f>'Book Details - NO EDIT'!AA56</f>
        <v xml:space="preserve">Frank (1848–1934: #32) Thomas (1812–1857: #14) William (1770–1828: #4) William (1729–1800: #1)    </v>
      </c>
      <c r="N56" s="197" t="str">
        <f>'Book Details - NO EDIT'!AB56</f>
        <v xml:space="preserve">1 – Tony/Dodo (1889–1956: #67)       </v>
      </c>
      <c r="O56" s="198" t="str">
        <f>'Book Details - NO EDIT'!AC56</f>
        <v>2 - Sir Francis/Frank (1916–2006: #89); Daphne (1917–1992: #92)</v>
      </c>
      <c r="P56" s="198" t="str">
        <f>'Book Details - NO EDIT'!AD56</f>
        <v xml:space="preserve">6 - Janet (1949–: #123); Diana (1952–: #129)   Tim TATTON-BROWN (1947 - :  #92a) Giles TATTON-BROWN (1948 - :  #92b) Anthea TATTON-BROWN (1951 - :  #92c) Fanny TATTON-BROWN (1954 - :  #92d)           </v>
      </c>
      <c r="Q56" s="191" t="str">
        <f>IF('Book Details - NO EDIT'!J56="",IF(R56=0,"Less than year on 1-Jul-2022",_xlfn.CONCAT("On 1-Jul-2022, age ",R56,'Book Details - NO EDIT'!J56)),IF(LEN(R56)=0,"Died in infancy",_xlfn.CONCAT("Died ",'Book Details - NO EDIT'!J56,","," aged ",R56)))</f>
        <v>Died 13/02/1919, aged 54</v>
      </c>
      <c r="R56" s="73">
        <f>'Book Details - NO EDIT'!AX56</f>
        <v>54</v>
      </c>
      <c r="S56" s="73" t="str">
        <f>'Book Details - NO EDIT'!AY56</f>
        <v xml:space="preserve"> - </v>
      </c>
      <c r="T56" s="73" t="str">
        <f>'Book Details - NO EDIT'!AW56</f>
        <v>England</v>
      </c>
      <c r="U56" s="73">
        <f>VLOOKUP(A56,'Book Details - NO EDIT'!$A56:$S$192,13,FALSE)</f>
        <v>14</v>
      </c>
      <c r="V56" s="73">
        <f>VLOOKUP(A56,'Book Details - NO EDIT'!$A56:$S$192,12,FALSE)</f>
        <v>32</v>
      </c>
      <c r="X56" s="31">
        <f>IF(LEN('Book Details - NO EDIT'!J56)=0,0,1)</f>
        <v>1</v>
      </c>
    </row>
    <row r="57" spans="1:24" s="31" customFormat="1" ht="34">
      <c r="A57" s="125">
        <f>'Book Details - NO EDIT'!A57</f>
        <v>55</v>
      </c>
      <c r="B57" s="31" t="str">
        <f>'Book Details - NO EDIT'!Y57</f>
        <v>Lewis Richard William LOYD</v>
      </c>
      <c r="C57" s="31" t="str">
        <f>'Book Details - NO EDIT'!V57</f>
        <v>Dick (1882–1950)</v>
      </c>
      <c r="D57" s="199" t="str">
        <f>'Book Details - NO EDIT'!I57</f>
        <v>17/04/1882</v>
      </c>
      <c r="E57" s="31" t="str">
        <f>IF('Book Details - NO EDIT'!K57="Boy","Male","Female")</f>
        <v>Male</v>
      </c>
      <c r="F57" s="31" t="str">
        <f>IF('Book Details - NO EDIT'!T57=1,"First",IF('Book Details - NO EDIT'!T57=2,"Second",IF('Book Details - NO EDIT'!T57=3,"Third",IF('Book Details - NO EDIT'!T57=4,"Fourth",IF('Book Details - NO EDIT'!T57=5,"Fifth",IF('Book Details - NO EDIT'!T57=6,"Sixth",IF('Book Details - NO EDIT'!T57=7,"Seventh",IF('Book Details - NO EDIT'!T57=8,"Eighth",0))))))))</f>
        <v>Fourth</v>
      </c>
      <c r="G57" s="31" t="str">
        <f>'Book Details - NO EDIT'!Z57</f>
        <v>Lewis (1852–1908: #35)</v>
      </c>
      <c r="H57" s="31" t="str">
        <f>'Book Details - NO EDIT'!AH57</f>
        <v>Lady Mary Sophia HELY-HUTCHINSON (b. 22 Sep 1853, d. 30 Jul 1936)</v>
      </c>
      <c r="I57" s="31" t="str">
        <f>'Book Details - NO EDIT'!AI57</f>
        <v>(1) Ilma May MONTAGUE (b. 1878/79, )</v>
      </c>
      <c r="J57" s="199">
        <f>'Book Details - NO EDIT'!AJ57</f>
        <v>720</v>
      </c>
      <c r="K57" s="31" t="str">
        <f>'Book Details - NO EDIT'!AK57</f>
        <v>Married (1) Ilma at St Giles Register Office, London. (2) 11 Dec 1935 at the British Consulate, Paris, Alice Selina MYHILL (b. 1 Nov 1909, ). Alice, (aka "Lovely"), daughter of Charles MYHILL of Martham, Norfolk. Later Alice married secondly 18 Jun 1955 Robert Reginald ARKELL-LOYD (b. , d. 11 Mar 1977). Reginald of Greystone, Teignmouth, Devon, formerly ARKEL, changed his name by deed poll in 1955 to ARKELL-LOYD.</v>
      </c>
      <c r="L57" s="131" t="str">
        <f>'Book Details - NO EDIT'!AL57</f>
        <v>Lewis was the elder son of Lewis (1852–1908: #35) of Withybrook, Wolvey, Warwickshire . Born 17 Apr 1882. Educated Eton 1896-99 and Christ Church, Oxford.  Served in World War I in France and Egypt as Air Mechanic and later as Lieutenant Royal Air Force. Died 1 Feb 1950, buried at Teignmouth, Devon. Issue: (2nd wife) 1 son, 4 daughters.</v>
      </c>
      <c r="M57" s="73" t="str">
        <f>'Book Details - NO EDIT'!AA57</f>
        <v xml:space="preserve">Lewis (1852–1908: #35) William (1821–1885: #23) Edward (1780–1863: #8) William (1729–1800: #1)    </v>
      </c>
      <c r="N57" s="197" t="str">
        <f>'Book Details - NO EDIT'!AB57</f>
        <v xml:space="preserve">2 – Robert (1884–1917: #57) Gertrude (1887–1917: #64)      </v>
      </c>
      <c r="O57" s="198" t="str">
        <f>'Book Details - NO EDIT'!AC57</f>
        <v>5 - Jos (1931–: #108); Deen (1936–2016: #112); Peggy (1939–: #116); Patrick (1942–: #117); Patricia (1942–1942: #118)</v>
      </c>
      <c r="P57" s="198" t="str">
        <f>'Book Details - NO EDIT'!AD57</f>
        <v xml:space="preserve">14 - Susannah (1965–: #147); Elspeth (1967–: #151); Richard (1968–: #153)   Frances HOYLE (1953 - :  #108a) Richard HOYLE (1956 - :  #108b) David HOYLE (1961 - :  #108c) Peter HOYLE (1963 - :  #108d) Kevin DOWNES (1958 - :  #112a) Lynda DOWNES (1960 - :  #112b) Graeme DOWNES (1961 - :  #112c) Lesley DOWNES (1963 - :  #112d) Carl CLULOW (1970 - 1970:  #116a) Kate CLULOW (1971 - :  #116b) Clare CLULOW (1973 - :  #116c)    </v>
      </c>
      <c r="Q57" s="191" t="str">
        <f>IF('Book Details - NO EDIT'!J57="",IF(R57=0,"Less than year on 1-Jul-2022",_xlfn.CONCAT("On 1-Jul-2022, age ",R57,'Book Details - NO EDIT'!J57)),IF(LEN(R57)=0,"Died in infancy",_xlfn.CONCAT("Died ",'Book Details - NO EDIT'!J57,","," aged ",R57)))</f>
        <v>Died 01/02/1950, aged 55</v>
      </c>
      <c r="R57" s="73">
        <f>'Book Details - NO EDIT'!AX57</f>
        <v>55</v>
      </c>
      <c r="S57" s="73" t="str">
        <f>'Book Details - NO EDIT'!AY57</f>
        <v xml:space="preserve"> - </v>
      </c>
      <c r="T57" s="73" t="str">
        <f>'Book Details - NO EDIT'!AW57</f>
        <v>England, France and Egypt</v>
      </c>
      <c r="U57" s="73">
        <f>VLOOKUP(A57,'Book Details - NO EDIT'!$A57:$S$192,13,FALSE)</f>
        <v>23</v>
      </c>
      <c r="V57" s="73">
        <f>VLOOKUP(A57,'Book Details - NO EDIT'!$A57:$S$192,12,FALSE)</f>
        <v>35</v>
      </c>
      <c r="X57" s="31">
        <f>IF(LEN('Book Details - NO EDIT'!J57)=0,0,1)</f>
        <v>1</v>
      </c>
    </row>
    <row r="58" spans="1:24" s="31" customFormat="1" ht="51">
      <c r="A58" s="125">
        <f>'Book Details - NO EDIT'!A58</f>
        <v>56</v>
      </c>
      <c r="B58" s="31" t="str">
        <f>'Book Details - NO EDIT'!Y58</f>
        <v>Arthur Thomas LOYD</v>
      </c>
      <c r="C58" s="31" t="str">
        <f>'Book Details - NO EDIT'!V58</f>
        <v>Tommy (1882–1944)</v>
      </c>
      <c r="D58" s="199" t="str">
        <f>'Book Details - NO EDIT'!I58</f>
        <v>19/04/1882</v>
      </c>
      <c r="E58" s="31" t="str">
        <f>IF('Book Details - NO EDIT'!K58="Boy","Male","Female")</f>
        <v>Male</v>
      </c>
      <c r="F58" s="31" t="str">
        <f>IF('Book Details - NO EDIT'!T58=1,"First",IF('Book Details - NO EDIT'!T58=2,"Second",IF('Book Details - NO EDIT'!T58=3,"Third",IF('Book Details - NO EDIT'!T58=4,"Fourth",IF('Book Details - NO EDIT'!T58=5,"Fifth",IF('Book Details - NO EDIT'!T58=6,"Sixth",IF('Book Details - NO EDIT'!T58=7,"Seventh",IF('Book Details - NO EDIT'!T58=8,"Eighth",0))))))))</f>
        <v>Fourth</v>
      </c>
      <c r="G58" s="31" t="str">
        <f>'Book Details - NO EDIT'!Z58</f>
        <v>The Rev Lewis (1844–1905: #28)</v>
      </c>
      <c r="H58" s="31" t="str">
        <f>'Book Details - NO EDIT'!AH58</f>
        <v xml:space="preserve">Emily Harriet (Milly) SMYTH (b. 30 Aug 1852, d. 25 Feb 1911) </v>
      </c>
      <c r="I58" s="31" t="str">
        <f>'Book Details - NO EDIT'!AI58</f>
        <v>Dorothy WILLERT (b. 19 Jan 1886, d. 15 Jan 1966)</v>
      </c>
      <c r="J58" s="199">
        <f>'Book Details - NO EDIT'!AJ58</f>
        <v>4223</v>
      </c>
      <c r="K58" s="31" t="str">
        <f>'Book Details - NO EDIT'!AK58</f>
        <v>Dorothy  only daughter of Paul Ferdinand WILLERT (1844-1912) of Headington Hill, Oxford. Dorothy is buried at Lockinge.</v>
      </c>
      <c r="L58" s="131" t="str">
        <f>'Book Details - NO EDIT'!AL58</f>
        <v>Arthur lived at Lockinge House, Wantage, Berkshire and was the 2nd son of the Rev Lewis (1844 -1905: #28). Born 19 Apr 1882. Educated Eton 1895-1900 and Hertford College, Oxford (BA 1904, MA 1918). Career: Egyptian Public Service 1905-18. OBE 1908. Secretary to Lord MILNER, Egyptian Commissioner 1919. JP 1921. MP for Abingdon 1921-23. Ecclesiastical Commissioner 1923. DL 1926. High Sheriff 1927. Lord Lieutenant 1935. Vice-Chairman County Council 1931-38. Chairman County Council 1938. Hon Colonel 80th AA Regiment (TA). Warden of Bradfield College 1938-44 and there is a boys’ house named ‘Loyd’ at the school. Died 4 Nov 1944, buried at Lockinge. Estate £1,157,484. Issue: 3 sons, 3 daughters.</v>
      </c>
      <c r="M58" s="73" t="str">
        <f>'Book Details - NO EDIT'!AA58</f>
        <v xml:space="preserve">The Rev Lewis (1844–1905: #28) Thomas (1812–1857: #14) William (1770–1828: #4) William (1729–1800: #1)    </v>
      </c>
      <c r="N58" s="197" t="str">
        <f>'Book Details - NO EDIT'!AB58</f>
        <v xml:space="preserve">3 – Lewis (1875–1947: #51)  Rt Rev Philip (1884–1952: #58) Kitty (1885–1989: #60)     </v>
      </c>
      <c r="O58" s="198" t="str">
        <f>'Book Details - NO EDIT'!AC58</f>
        <v>6 - Anne (1912–2004: #85); John (1913–1943: #87); Martin (1917–1926: #91); Hester (1920–2002: #95); Christopher (1923–2013: #100); Catherine (1923–2014: #101)</v>
      </c>
      <c r="P58" s="198" t="str">
        <f>'Book Details - NO EDIT'!AD58</f>
        <v xml:space="preserve">15 - Thomas (1959–: #138); Harriet (1962–: #143); James (1966–: #150)   Martin LANE FOX (1938 - 2016:  #85a) Edward LANE FOX (1939 - :  #85b) Jenny LANE FOX (1944 - :  #85c) Robin LANE FOX (1946 - :  #85d) Henrietta KNIGHT (1946 - :  #95a) Ce-Ce KNIGHT (1949 - 2020:  #95b) Lady Selina MEADE (1950 - :  #101a) Lady Mary MEADE (1952 - :  #101b) Lady Julia MEADE (1953 - :  #101c) Lady Laura MEADE (1957 - :  #101d) Lady Katherine MEADE (1959 - :  #101e) Lady Sophia MEADE (1963 - :  #101f)   </v>
      </c>
      <c r="Q58" s="191" t="str">
        <f>IF('Book Details - NO EDIT'!J58="",IF(R58=0,"Less than year on 1-Jul-2022",_xlfn.CONCAT("On 1-Jul-2022, age ",R58,'Book Details - NO EDIT'!J58)),IF(LEN(R58)=0,"Died in infancy",_xlfn.CONCAT("Died ",'Book Details - NO EDIT'!J58,","," aged ",R58)))</f>
        <v>Died 04/11/1944, aged 56</v>
      </c>
      <c r="R58" s="73">
        <f>'Book Details - NO EDIT'!AX58</f>
        <v>56</v>
      </c>
      <c r="S58" s="73" t="str">
        <f>'Book Details - NO EDIT'!AY58</f>
        <v xml:space="preserve"> - </v>
      </c>
      <c r="T58" s="73" t="str">
        <f>'Book Details - NO EDIT'!AW58</f>
        <v>England and Egypt</v>
      </c>
      <c r="U58" s="73">
        <f>VLOOKUP(A58,'Book Details - NO EDIT'!$A58:$S$192,13,FALSE)</f>
        <v>14</v>
      </c>
      <c r="V58" s="73">
        <f>VLOOKUP(A58,'Book Details - NO EDIT'!$A58:$S$192,12,FALSE)</f>
        <v>28</v>
      </c>
      <c r="X58" s="31">
        <f>IF(LEN('Book Details - NO EDIT'!J58)=0,0,1)</f>
        <v>1</v>
      </c>
    </row>
    <row r="59" spans="1:24" s="31" customFormat="1" ht="17">
      <c r="A59" s="125">
        <f>'Book Details - NO EDIT'!A59</f>
        <v>57</v>
      </c>
      <c r="B59" s="31" t="str">
        <f>'Book Details - NO EDIT'!Y59</f>
        <v>Robert John Henry  LOYD</v>
      </c>
      <c r="C59" s="31" t="str">
        <f>'Book Details - NO EDIT'!V59</f>
        <v>Robert (1884–1917)</v>
      </c>
      <c r="D59" s="199" t="str">
        <f>'Book Details - NO EDIT'!I59</f>
        <v>11/05/1884</v>
      </c>
      <c r="E59" s="31" t="str">
        <f>IF('Book Details - NO EDIT'!K59="Boy","Male","Female")</f>
        <v>Male</v>
      </c>
      <c r="F59" s="31" t="str">
        <f>IF('Book Details - NO EDIT'!T59=1,"First",IF('Book Details - NO EDIT'!T59=2,"Second",IF('Book Details - NO EDIT'!T59=3,"Third",IF('Book Details - NO EDIT'!T59=4,"Fourth",IF('Book Details - NO EDIT'!T59=5,"Fifth",IF('Book Details - NO EDIT'!T59=6,"Sixth",IF('Book Details - NO EDIT'!T59=7,"Seventh",IF('Book Details - NO EDIT'!T59=8,"Eighth",0))))))))</f>
        <v>Fourth</v>
      </c>
      <c r="G59" s="31" t="str">
        <f>'Book Details - NO EDIT'!Z59</f>
        <v>Lewis (1852–1908: #35)</v>
      </c>
      <c r="H59" s="31" t="str">
        <f>'Book Details - NO EDIT'!AH59</f>
        <v>Lady Mary Sophia HELY-HUTCHINSON (b. 22 Sep 1853, d. 30 Jul 1936)</v>
      </c>
      <c r="I59" s="31" t="str">
        <f>'Book Details - NO EDIT'!AI59</f>
        <v>Unmarried</v>
      </c>
      <c r="J59" s="199" t="str">
        <f>'Book Details - NO EDIT'!AJ59</f>
        <v xml:space="preserve"> - </v>
      </c>
      <c r="K59" s="31" t="str">
        <f>'Book Details - NO EDIT'!AK59</f>
        <v xml:space="preserve"> - </v>
      </c>
      <c r="L59" s="131" t="str">
        <f>'Book Details - NO EDIT'!AL59</f>
        <v>Robert was the younger son of Lewis (1852–1908: #35) of Withybrook, Wolvey, etc. Born 11 May 1884. Died, unmarried, 23 Sep 1917. DSP</v>
      </c>
      <c r="M59" s="73" t="str">
        <f>'Book Details - NO EDIT'!AA59</f>
        <v xml:space="preserve">Lewis (1852–1908: #35) William (1821–1885: #23) Edward (1780–1863: #8) William (1729–1800: #1)    </v>
      </c>
      <c r="N59" s="197" t="str">
        <f>'Book Details - NO EDIT'!AB59</f>
        <v xml:space="preserve">2 – Dick (1882–1950: #55)  Gertrude (1887–1917: #64)      </v>
      </c>
      <c r="O59" s="198" t="str">
        <f>'Book Details - NO EDIT'!AC59</f>
        <v>d.s.p</v>
      </c>
      <c r="P59" s="198" t="str">
        <f>'Book Details - NO EDIT'!AD59</f>
        <v>d.s.p.</v>
      </c>
      <c r="Q59" s="191" t="str">
        <f>IF('Book Details - NO EDIT'!J59="",IF(R59=0,"Less than year on 1-Jul-2022",_xlfn.CONCAT("On 1-Jul-2022, age ",R59,'Book Details - NO EDIT'!J59)),IF(LEN(R59)=0,"Died in infancy",_xlfn.CONCAT("Died ",'Book Details - NO EDIT'!J59,","," aged ",R59)))</f>
        <v>Died 23/09/1917, aged 57</v>
      </c>
      <c r="R59" s="73">
        <f>'Book Details - NO EDIT'!AX59</f>
        <v>57</v>
      </c>
      <c r="S59" s="73" t="str">
        <f>'Book Details - NO EDIT'!AY59</f>
        <v xml:space="preserve"> - </v>
      </c>
      <c r="T59" s="73" t="str">
        <f>'Book Details - NO EDIT'!AW59</f>
        <v>England</v>
      </c>
      <c r="U59" s="73">
        <f>VLOOKUP(A59,'Book Details - NO EDIT'!$A59:$S$192,13,FALSE)</f>
        <v>23</v>
      </c>
      <c r="V59" s="73">
        <f>VLOOKUP(A59,'Book Details - NO EDIT'!$A59:$S$192,12,FALSE)</f>
        <v>35</v>
      </c>
      <c r="X59" s="31">
        <f>IF(LEN('Book Details - NO EDIT'!J59)=0,0,1)</f>
        <v>1</v>
      </c>
    </row>
    <row r="60" spans="1:24" s="31" customFormat="1" ht="68">
      <c r="A60" s="125">
        <f>'Book Details - NO EDIT'!A60</f>
        <v>58</v>
      </c>
      <c r="B60" s="31" t="str">
        <f>'Book Details - NO EDIT'!Y60</f>
        <v>Rt Rev Philip Henry LOYD</v>
      </c>
      <c r="C60" s="31" t="str">
        <f>'Book Details - NO EDIT'!V60</f>
        <v>Rt Rev Philip (1884–1952)</v>
      </c>
      <c r="D60" s="199" t="str">
        <f>'Book Details - NO EDIT'!I60</f>
        <v>08/07/1884</v>
      </c>
      <c r="E60" s="31" t="str">
        <f>IF('Book Details - NO EDIT'!K60="Boy","Male","Female")</f>
        <v>Male</v>
      </c>
      <c r="F60" s="31" t="str">
        <f>IF('Book Details - NO EDIT'!T60=1,"First",IF('Book Details - NO EDIT'!T60=2,"Second",IF('Book Details - NO EDIT'!T60=3,"Third",IF('Book Details - NO EDIT'!T60=4,"Fourth",IF('Book Details - NO EDIT'!T60=5,"Fifth",IF('Book Details - NO EDIT'!T60=6,"Sixth",IF('Book Details - NO EDIT'!T60=7,"Seventh",IF('Book Details - NO EDIT'!T60=8,"Eighth",0))))))))</f>
        <v>Fourth</v>
      </c>
      <c r="G60" s="31" t="str">
        <f>'Book Details - NO EDIT'!Z60</f>
        <v>The Rev Lewis (1844–1905: #28)</v>
      </c>
      <c r="H60" s="31" t="str">
        <f>'Book Details - NO EDIT'!AH60</f>
        <v xml:space="preserve">Emily Harriet (Milly) SMYTH (b. 30 Aug 1852, d. 25 Feb 1911) </v>
      </c>
      <c r="I60" s="31" t="str">
        <f>'Book Details - NO EDIT'!AI60</f>
        <v>Unmarried</v>
      </c>
      <c r="J60" s="199" t="str">
        <f>'Book Details - NO EDIT'!AJ60</f>
        <v xml:space="preserve"> - </v>
      </c>
      <c r="K60" s="31" t="str">
        <f>'Book Details - NO EDIT'!AK60</f>
        <v xml:space="preserve"> - </v>
      </c>
      <c r="L60" s="131" t="str">
        <f>'Book Details - NO EDIT'!AL60</f>
        <v>Philip lived in Nasik, Deccan, India and St Albans, Hertfordshire. He was the 3rd and youngest son of the Rev Lewis (1844–1905: #28). Born 8 Jul 1884 at Northampton. Educated Eton 1897-1903, Scholar Kings College, Cambridge, (BA 1906, MA 1911) and Cuddesdon Theological College 1909-10. Career: Deacon 1910. Priest 1911. Curate of St Mary the Virgin of Eton, Hackney Wick, London 1910-12. Vice-principal, Cuddesdon Theological College 1912-15. Missionary of SPG at Miri, India 1915-17 and Ahmednagar, India 1919-21 and 1922-25. Domestic Chaplain to Bishop of Bombay 1917-25. Assistant Bishop of Bombay 1925-29. Bishop of Nasik, Deccan 1929-44. Bishop of St Albans 1944-50. Died, unmarried, 11 Jan 1952 at Bournemouth, buried 15 Jan 1952 in the same grave as his brother, Lewis (1875-1947: #51) in a London graveyard. DSP Biography by R.P. STACEY WADDY, published by A.R. Mowbray &amp; Co. 1954. Philip baptised Robert Sale (c1913, in Bombay, India) who later became the husband of Audrey (1922–2013: #97).</v>
      </c>
      <c r="M60" s="73" t="str">
        <f>'Book Details - NO EDIT'!AA60</f>
        <v xml:space="preserve">The Rev Lewis (1844–1905: #28) Thomas (1812–1857: #14) William (1770–1828: #4) William (1729–1800: #1)    </v>
      </c>
      <c r="N60" s="197" t="str">
        <f>'Book Details - NO EDIT'!AB60</f>
        <v xml:space="preserve">3 – Lewis (1875–1947: #51) Tommy (1882–1944: #56)  Kitty (1885–1989: #60)     </v>
      </c>
      <c r="O60" s="198" t="str">
        <f>'Book Details - NO EDIT'!AC60</f>
        <v>d.s.p</v>
      </c>
      <c r="P60" s="198" t="str">
        <f>'Book Details - NO EDIT'!AD60</f>
        <v>d.s.p.</v>
      </c>
      <c r="Q60" s="191" t="str">
        <f>IF('Book Details - NO EDIT'!J60="",IF(R60=0,"Less than year on 1-Jul-2022",_xlfn.CONCAT("On 1-Jul-2022, age ",R60,'Book Details - NO EDIT'!J60)),IF(LEN(R60)=0,"Died in infancy",_xlfn.CONCAT("Died ",'Book Details - NO EDIT'!J60,","," aged ",R60)))</f>
        <v>Died 11/01/1952, aged 58</v>
      </c>
      <c r="R60" s="73">
        <f>'Book Details - NO EDIT'!AX60</f>
        <v>58</v>
      </c>
      <c r="S60" s="73" t="str">
        <f>'Book Details - NO EDIT'!AY60</f>
        <v xml:space="preserve"> - </v>
      </c>
      <c r="T60" s="73" t="str">
        <f>'Book Details - NO EDIT'!AW60</f>
        <v>England and India</v>
      </c>
      <c r="U60" s="73">
        <f>VLOOKUP(A60,'Book Details - NO EDIT'!$A60:$S$192,13,FALSE)</f>
        <v>14</v>
      </c>
      <c r="V60" s="73">
        <f>VLOOKUP(A60,'Book Details - NO EDIT'!$A60:$S$192,12,FALSE)</f>
        <v>28</v>
      </c>
      <c r="X60" s="31">
        <f>IF(LEN('Book Details - NO EDIT'!J60)=0,0,1)</f>
        <v>1</v>
      </c>
    </row>
    <row r="61" spans="1:24" s="31" customFormat="1" ht="17">
      <c r="A61" s="125">
        <f>'Book Details - NO EDIT'!A61</f>
        <v>59</v>
      </c>
      <c r="B61" s="31" t="str">
        <f>'Book Details - NO EDIT'!Y61</f>
        <v>Evelyn Sarah LOYD</v>
      </c>
      <c r="C61" s="31" t="str">
        <f>'Book Details - NO EDIT'!V61</f>
        <v>Evelyn (1885–1962)</v>
      </c>
      <c r="D61" s="199" t="str">
        <f>'Book Details - NO EDIT'!I61</f>
        <v>17/04/1885</v>
      </c>
      <c r="E61" s="31" t="str">
        <f>IF('Book Details - NO EDIT'!K61="Boy","Male","Female")</f>
        <v>Female</v>
      </c>
      <c r="F61" s="31" t="str">
        <f>IF('Book Details - NO EDIT'!T61=1,"First",IF('Book Details - NO EDIT'!T61=2,"Second",IF('Book Details - NO EDIT'!T61=3,"Third",IF('Book Details - NO EDIT'!T61=4,"Fourth",IF('Book Details - NO EDIT'!T61=5,"Fifth",IF('Book Details - NO EDIT'!T61=6,"Sixth",IF('Book Details - NO EDIT'!T61=7,"Seventh",IF('Book Details - NO EDIT'!T61=8,"Eighth",0))))))))</f>
        <v>Fourth</v>
      </c>
      <c r="G61" s="31" t="str">
        <f>'Book Details - NO EDIT'!Z61</f>
        <v>Frederic (1856–1936: #41)</v>
      </c>
      <c r="H61" s="31" t="str">
        <f>'Book Details - NO EDIT'!AH61</f>
        <v>Isabella (Isabel) CURREY (b. 26 Apr 1855, d. 16 Jan 1926)</v>
      </c>
      <c r="I61" s="31" t="str">
        <f>'Book Details - NO EDIT'!AI61</f>
        <v>Unmarried</v>
      </c>
      <c r="J61" s="199" t="str">
        <f>'Book Details - NO EDIT'!AJ61</f>
        <v xml:space="preserve"> - </v>
      </c>
      <c r="K61" s="31" t="str">
        <f>'Book Details - NO EDIT'!AK61</f>
        <v xml:space="preserve"> - </v>
      </c>
      <c r="L61" s="131" t="str">
        <f>'Book Details - NO EDIT'!AL61</f>
        <v>Evelyn lived at Tormore, Ardvasar, Skye and was the eldest daughter of Frederic (1856–1936: #41). Born 17 Apr 1885. Died, unmarried, 9 Aug 1962 at Tormore, buried at Kilmore, Sleat. DSP</v>
      </c>
      <c r="M61" s="73" t="str">
        <f>'Book Details - NO EDIT'!AA61</f>
        <v xml:space="preserve">Frederic (1856–1936: #41) Edward (1820–1890: #22) Edward (1780–1863: #8) William (1729–1800: #1)    </v>
      </c>
      <c r="N61" s="197" t="str">
        <f>'Book Details - NO EDIT'!AB61</f>
        <v xml:space="preserve">4 – Lewis (1880–1918: #52) Edward (1881–1962: #53)  Mary (1887–1968: #63) Cecily (1891–1891: #74)    </v>
      </c>
      <c r="O61" s="198" t="str">
        <f>'Book Details - NO EDIT'!AC61</f>
        <v>d.s.p</v>
      </c>
      <c r="P61" s="198" t="str">
        <f>'Book Details - NO EDIT'!AD61</f>
        <v>d.s.p.</v>
      </c>
      <c r="Q61" s="191" t="str">
        <f>IF('Book Details - NO EDIT'!J61="",IF(R61=0,"Less than year on 1-Jul-2022",_xlfn.CONCAT("On 1-Jul-2022, age ",R61,'Book Details - NO EDIT'!J61)),IF(LEN(R61)=0,"Died in infancy",_xlfn.CONCAT("Died ",'Book Details - NO EDIT'!J61,","," aged ",R61)))</f>
        <v>Died 09/08/1962, aged 59</v>
      </c>
      <c r="R61" s="73">
        <f>'Book Details - NO EDIT'!AX61</f>
        <v>59</v>
      </c>
      <c r="S61" s="73" t="str">
        <f>'Book Details - NO EDIT'!AY61</f>
        <v xml:space="preserve"> - </v>
      </c>
      <c r="T61" s="73" t="str">
        <f>'Book Details - NO EDIT'!AW61</f>
        <v>Scotland</v>
      </c>
      <c r="U61" s="73">
        <f>VLOOKUP(A61,'Book Details - NO EDIT'!$A61:$S$192,13,FALSE)</f>
        <v>22</v>
      </c>
      <c r="V61" s="73">
        <f>VLOOKUP(A61,'Book Details - NO EDIT'!$A61:$S$192,12,FALSE)</f>
        <v>41</v>
      </c>
      <c r="X61" s="31">
        <f>IF(LEN('Book Details - NO EDIT'!J61)=0,0,1)</f>
        <v>1</v>
      </c>
    </row>
    <row r="62" spans="1:24" s="31" customFormat="1" ht="17">
      <c r="A62" s="125">
        <f>'Book Details - NO EDIT'!A62</f>
        <v>60</v>
      </c>
      <c r="B62" s="31" t="str">
        <f>'Book Details - NO EDIT'!Y62</f>
        <v>Mary Beatrix LOYD</v>
      </c>
      <c r="C62" s="31" t="str">
        <f>'Book Details - NO EDIT'!V62</f>
        <v>Kitty (1885–1989)</v>
      </c>
      <c r="D62" s="199" t="str">
        <f>'Book Details - NO EDIT'!I62</f>
        <v>26/10/1885</v>
      </c>
      <c r="E62" s="31" t="str">
        <f>IF('Book Details - NO EDIT'!K62="Boy","Male","Female")</f>
        <v>Female</v>
      </c>
      <c r="F62" s="31" t="str">
        <f>IF('Book Details - NO EDIT'!T62=1,"First",IF('Book Details - NO EDIT'!T62=2,"Second",IF('Book Details - NO EDIT'!T62=3,"Third",IF('Book Details - NO EDIT'!T62=4,"Fourth",IF('Book Details - NO EDIT'!T62=5,"Fifth",IF('Book Details - NO EDIT'!T62=6,"Sixth",IF('Book Details - NO EDIT'!T62=7,"Seventh",IF('Book Details - NO EDIT'!T62=8,"Eighth",0))))))))</f>
        <v>Fourth</v>
      </c>
      <c r="G62" s="31" t="str">
        <f>'Book Details - NO EDIT'!Z62</f>
        <v>The Rev Lewis (1844–1905: #28)</v>
      </c>
      <c r="H62" s="31" t="str">
        <f>'Book Details - NO EDIT'!AH62</f>
        <v xml:space="preserve">Emily Harriet (Milly) SMYTH (b. 30 Aug 1852, d. 25 Feb 1911) </v>
      </c>
      <c r="I62" s="31" t="str">
        <f>'Book Details - NO EDIT'!AI62</f>
        <v>His Honour Edwin Max KONSTAM (b. 6 Jun 1870, d. 7 Apr 1956)</v>
      </c>
      <c r="J62" s="199">
        <f>'Book Details - NO EDIT'!AJ62</f>
        <v>6845</v>
      </c>
      <c r="K62" s="31" t="str">
        <f>'Book Details - NO EDIT'!AK62</f>
        <v>Married, at St Peter’s, Eaton Square, London SW1, Edwin son of H. KONSTAM of 64, Gloucester Place, Portman Square, London W1. Edwin CBE, KC, County Court Judge 1932-45, born in Islington and buried at Brookwood Cemetery.</v>
      </c>
      <c r="L62" s="131" t="str">
        <f>'Book Details - NO EDIT'!AL62</f>
        <v>Kitty lived at  44, Cranmer Court, Sloane Avenue, London SW3 and was the only daughter of the Rev Lewis (1844–1905: #28). Born 26 Oct 1885. Died 2 Feb 1989, buried at Brookwood Cemetery. DSP Portrait by Philip LASZLO de LOMBOS was last in possession of Christopher (1923–2013: #100).</v>
      </c>
      <c r="M62" s="73" t="str">
        <f>'Book Details - NO EDIT'!AA62</f>
        <v xml:space="preserve">The Rev Lewis (1844–1905: #28) Thomas (1812–1857: #14) William (1770–1828: #4) William (1729–1800: #1)    </v>
      </c>
      <c r="N62" s="197" t="str">
        <f>'Book Details - NO EDIT'!AB62</f>
        <v xml:space="preserve">3 – Lewis (1875–1947: #51) Tommy (1882–1944: #56) Rt Rev Philip (1884–1952: #58)      </v>
      </c>
      <c r="O62" s="198" t="str">
        <f>'Book Details - NO EDIT'!AC62</f>
        <v>d.s.p</v>
      </c>
      <c r="P62" s="198" t="str">
        <f>'Book Details - NO EDIT'!AD62</f>
        <v>d.s.p.</v>
      </c>
      <c r="Q62" s="191" t="str">
        <f>IF('Book Details - NO EDIT'!J62="",IF(R62=0,"Less than year on 1-Jul-2022",_xlfn.CONCAT("On 1-Jul-2022, age ",R62,'Book Details - NO EDIT'!J62)),IF(LEN(R62)=0,"Died in infancy",_xlfn.CONCAT("Died ",'Book Details - NO EDIT'!J62,","," aged ",R62)))</f>
        <v>Died 02/02/1989, aged 60</v>
      </c>
      <c r="R62" s="73">
        <f>'Book Details - NO EDIT'!AX62</f>
        <v>60</v>
      </c>
      <c r="S62" s="73" t="str">
        <f>'Book Details - NO EDIT'!AY62</f>
        <v xml:space="preserve"> - </v>
      </c>
      <c r="T62" s="73" t="str">
        <f>'Book Details - NO EDIT'!AW62</f>
        <v>England</v>
      </c>
      <c r="U62" s="73">
        <f>VLOOKUP(A62,'Book Details - NO EDIT'!$A62:$S$192,13,FALSE)</f>
        <v>14</v>
      </c>
      <c r="V62" s="73">
        <f>VLOOKUP(A62,'Book Details - NO EDIT'!$A62:$S$192,12,FALSE)</f>
        <v>28</v>
      </c>
      <c r="X62" s="31">
        <f>IF(LEN('Book Details - NO EDIT'!J62)=0,0,1)</f>
        <v>1</v>
      </c>
    </row>
    <row r="63" spans="1:24" s="31" customFormat="1" ht="68">
      <c r="A63" s="125">
        <f>'Book Details - NO EDIT'!A63</f>
        <v>61</v>
      </c>
      <c r="B63" s="31" t="str">
        <f>'Book Details - NO EDIT'!Y63</f>
        <v>Reginald Arthur LOYD</v>
      </c>
      <c r="C63" s="31" t="str">
        <f>'Book Details - NO EDIT'!V63</f>
        <v>Reggie (1886–1961)</v>
      </c>
      <c r="D63" s="199" t="str">
        <f>'Book Details - NO EDIT'!I63</f>
        <v>21/05/1886</v>
      </c>
      <c r="E63" s="31" t="str">
        <f>IF('Book Details - NO EDIT'!K63="Boy","Male","Female")</f>
        <v>Male</v>
      </c>
      <c r="F63" s="31" t="str">
        <f>IF('Book Details - NO EDIT'!T63=1,"First",IF('Book Details - NO EDIT'!T63=2,"Second",IF('Book Details - NO EDIT'!T63=3,"Third",IF('Book Details - NO EDIT'!T63=4,"Fourth",IF('Book Details - NO EDIT'!T63=5,"Fifth",IF('Book Details - NO EDIT'!T63=6,"Sixth",IF('Book Details - NO EDIT'!T63=7,"Seventh",IF('Book Details - NO EDIT'!T63=8,"Eighth",0))))))))</f>
        <v>Fourth</v>
      </c>
      <c r="G63" s="31" t="str">
        <f>'Book Details - NO EDIT'!Z63</f>
        <v>Archie (1847–1922: #30)</v>
      </c>
      <c r="H63" s="31" t="str">
        <f>'Book Details - NO EDIT'!AH63</f>
        <v>Henrietta Louisa CLUTTERBUCK (b. 23 Jan 1856, d. 14 Jan 1931)</v>
      </c>
      <c r="I63" s="31" t="str">
        <f>'Book Details - NO EDIT'!AI63</f>
        <v>Unmarried</v>
      </c>
      <c r="J63" s="199" t="str">
        <f>'Book Details - NO EDIT'!AJ63</f>
        <v xml:space="preserve"> - </v>
      </c>
      <c r="K63" s="31" t="str">
        <f>'Book Details - NO EDIT'!AK63</f>
        <v xml:space="preserve"> - </v>
      </c>
      <c r="L63" s="131" t="str">
        <f>'Book Details - NO EDIT'!AL63</f>
        <v xml:space="preserve">Reggie lived at Downs House, East Hendred, Berkshire and was the eldest son of Archie (1847–1922: #30). Born 21 May 1886 at 18 Radnor Place, London W2. Baptised 24 Jun 1886 at St John’s, Paddington. Educated Eton 1899-1904 and Trinity College, Cambridge (BA 1908). Served in World War I in France and England as Captain, Remount Service. Inherited Downs House on the death  of his father. The Downs  landholding was expanded but later sold. Transcribed and privately published his brother, Geoffrey’s (1890–1914: #69), war diary, in 1935. Died (unmarried) 12 Mar 1961 at Oxford. Buried 17 Mar 1961 at West Hendred, Berkshire. As of 2022, his library of books is held by Peter (1942– : #119). Photo: Reggie Loyd outside St Anne's, Bowden Hill on March 18th 1919, as Best Man at wedding of his brother, Bobbie, to Olive Gladstone
</v>
      </c>
      <c r="M63" s="73" t="str">
        <f>'Book Details - NO EDIT'!AA63</f>
        <v xml:space="preserve">Archie (1847–1922: #30) Thomas (1812–1857: #14) William (1770–1828: #4) William (1729–1800: #1)    </v>
      </c>
      <c r="N63" s="197" t="str">
        <f>'Book Details - NO EDIT'!AB63</f>
        <v xml:space="preserve">3 – Bobby (1887–1977: #62) Geoffrey (1890–1914: #69) Wilfrid (1893–1971: #77)     </v>
      </c>
      <c r="O63" s="198" t="str">
        <f>'Book Details - NO EDIT'!AC63</f>
        <v>d.s.p</v>
      </c>
      <c r="P63" s="198" t="str">
        <f>'Book Details - NO EDIT'!AD63</f>
        <v>d.s.p.</v>
      </c>
      <c r="Q63" s="191" t="str">
        <f>IF('Book Details - NO EDIT'!J63="",IF(R63=0,"Less than year on 1-Jul-2022",_xlfn.CONCAT("On 1-Jul-2022, age ",R63,'Book Details - NO EDIT'!J63)),IF(LEN(R63)=0,"Died in infancy",_xlfn.CONCAT("Died ",'Book Details - NO EDIT'!J63,","," aged ",R63)))</f>
        <v>Died 12/03/1961, aged 61</v>
      </c>
      <c r="R63" s="73">
        <f>'Book Details - NO EDIT'!AX63</f>
        <v>61</v>
      </c>
      <c r="S63" s="73" t="str">
        <f>'Book Details - NO EDIT'!AY63</f>
        <v xml:space="preserve"> - </v>
      </c>
      <c r="T63" s="73" t="str">
        <f>'Book Details - NO EDIT'!AW63</f>
        <v>England and France</v>
      </c>
      <c r="U63" s="73">
        <f>VLOOKUP(A63,'Book Details - NO EDIT'!$A63:$S$192,13,FALSE)</f>
        <v>14</v>
      </c>
      <c r="V63" s="73">
        <f>VLOOKUP(A63,'Book Details - NO EDIT'!$A63:$S$192,12,FALSE)</f>
        <v>30</v>
      </c>
      <c r="X63" s="31">
        <f>IF(LEN('Book Details - NO EDIT'!J63)=0,0,1)</f>
        <v>1</v>
      </c>
    </row>
    <row r="64" spans="1:24" s="31" customFormat="1" ht="85">
      <c r="A64" s="125">
        <f>'Book Details - NO EDIT'!A64</f>
        <v>62</v>
      </c>
      <c r="B64" s="31" t="str">
        <f>'Book Details - NO EDIT'!Y64</f>
        <v>Robert Lindsay LOYD</v>
      </c>
      <c r="C64" s="31" t="str">
        <f>'Book Details - NO EDIT'!V64</f>
        <v>Bobby (1887–1977)</v>
      </c>
      <c r="D64" s="199" t="str">
        <f>'Book Details - NO EDIT'!I64</f>
        <v>16/09/1887</v>
      </c>
      <c r="E64" s="31" t="str">
        <f>IF('Book Details - NO EDIT'!K64="Boy","Male","Female")</f>
        <v>Male</v>
      </c>
      <c r="F64" s="31" t="str">
        <f>IF('Book Details - NO EDIT'!T64=1,"First",IF('Book Details - NO EDIT'!T64=2,"Second",IF('Book Details - NO EDIT'!T64=3,"Third",IF('Book Details - NO EDIT'!T64=4,"Fourth",IF('Book Details - NO EDIT'!T64=5,"Fifth",IF('Book Details - NO EDIT'!T64=6,"Sixth",IF('Book Details - NO EDIT'!T64=7,"Seventh",IF('Book Details - NO EDIT'!T64=8,"Eighth",0))))))))</f>
        <v>Fourth</v>
      </c>
      <c r="G64" s="31" t="str">
        <f>'Book Details - NO EDIT'!Z64</f>
        <v>Archie (1847–1922: #30)</v>
      </c>
      <c r="H64" s="31" t="str">
        <f>'Book Details - NO EDIT'!AH64</f>
        <v>Henrietta Louisa CLUTTERBUCK (b. 23 Jan 1856, d. 14 Jan 1931)</v>
      </c>
      <c r="I64" s="31" t="str">
        <f>'Book Details - NO EDIT'!AI64</f>
        <v>Olive Mary GLADSTONE (b. 7 May 1893, d. 7 Aug 1977)</v>
      </c>
      <c r="J64" s="199">
        <f>'Book Details - NO EDIT'!AJ64</f>
        <v>7017</v>
      </c>
      <c r="K64" s="31" t="str">
        <f>'Book Details - NO EDIT'!AK64</f>
        <v>Married Olive, at St Anne’s, Bowden Hill, Wiltshire, 2nd daughter of Sir John Evelyn GLADSTONE Bart: DL, JP of Bowden Park, Chippenham, Wiltshire. Olive Mary died at Kings Walden, Windsor, Berkshire, buried 19 Aug 1977 at West Hendred, Berkshire.</v>
      </c>
      <c r="L64" s="131" t="str">
        <f>'Book Details - NO EDIT'!AL64</f>
        <v>Bobby lived at Kings Walden, Windsor, Berkshire and was the 2nd son of Archie (1847–1922: #30). Born 16 Sep 1887 at Lockinge House, Wantage, Berkshire, baptised 27 Oct 1887 at Lockinge. Educated Eton 1900-05 and Magdelen College, Oxford (BA 1911, MA 1924). Commissioned 28th January 1911 as Lieutenant 16th (Queens) Lancers, seconded in February 1914 to the 1st Cavalry Brigade as Signals Officer, mobilised 4th August 1914, one of the Old Contemptibles, Battle of Mons 23rd August 1914, Battle of the Marne, 5th September 1914, etc., (despatches 3 times). MC 1916. Military OBE 1919. Major, 1st Life Guards (1920–1934). Served in World War II as 2nd in Command 152nd Officer Cadet Training Unit, Catterick, Yorkshire, 1939-42. Trustee, Gardner’s Trust for the Blind (1942, Chairman 1956-1974), Princess Louise Hospital for Children, (Chairman 1937-40); and the London Foot Hospital, (Trustee 1936, Chairman 1947-8). Knight of St John 1950. Almoner 1948. Grand Master’s Order of Service to Freemasonry 1953. Died 25 Jun 1977 at Wexham Park Hospital, Slough, Berkshire. Buried 6 Jul 1977 at West Hendred, Berkshire. Issue: 1 daughter. Photo: Robert Lindsay Loyd (Bobbie) in 16th (Queen’s) Lancers uniform with medal ribbon, late 1918/early 1919, photo by Elliot and Fry.</v>
      </c>
      <c r="M64" s="73" t="str">
        <f>'Book Details - NO EDIT'!AA64</f>
        <v xml:space="preserve">Archie (1847–1922: #30) Thomas (1812–1857: #14) William (1770–1828: #4) William (1729–1800: #1)    </v>
      </c>
      <c r="N64" s="197" t="str">
        <f>'Book Details - NO EDIT'!AB64</f>
        <v xml:space="preserve">3 – Reggie (1886–1961: #61)  Geoffrey (1890–1914: #69) Wilfrid (1893–1971: #77)     </v>
      </c>
      <c r="O64" s="198" t="str">
        <f>'Book Details - NO EDIT'!AC64</f>
        <v>1 - Zelda (1923–2014: #102)</v>
      </c>
      <c r="P64" s="198" t="str">
        <f>'Book Details - NO EDIT'!AD64</f>
        <v xml:space="preserve">3 -    Tess DUNLOP (1956 - :  #102a) Fergus DUNLOP (1958 - :  #102b) Celina DUNLOP (1960 - :  #102c)            </v>
      </c>
      <c r="Q64" s="191" t="str">
        <f>IF('Book Details - NO EDIT'!J64="",IF(R64=0,"Less than year on 1-Jul-2022",_xlfn.CONCAT("On 1-Jul-2022, age ",R64,'Book Details - NO EDIT'!J64)),IF(LEN(R64)=0,"Died in infancy",_xlfn.CONCAT("Died ",'Book Details - NO EDIT'!J64,","," aged ",R64)))</f>
        <v>Died 25/06/1977, aged 62</v>
      </c>
      <c r="R64" s="73">
        <f>'Book Details - NO EDIT'!AX64</f>
        <v>62</v>
      </c>
      <c r="S64" s="73" t="str">
        <f>'Book Details - NO EDIT'!AY64</f>
        <v xml:space="preserve"> - </v>
      </c>
      <c r="T64" s="73" t="str">
        <f>'Book Details - NO EDIT'!AW64</f>
        <v>England and France</v>
      </c>
      <c r="U64" s="73">
        <f>VLOOKUP(A64,'Book Details - NO EDIT'!$A64:$S$192,13,FALSE)</f>
        <v>14</v>
      </c>
      <c r="V64" s="73">
        <f>VLOOKUP(A64,'Book Details - NO EDIT'!$A64:$S$192,12,FALSE)</f>
        <v>30</v>
      </c>
      <c r="X64" s="31">
        <f>IF(LEN('Book Details - NO EDIT'!J64)=0,0,1)</f>
        <v>1</v>
      </c>
    </row>
    <row r="65" spans="1:24" s="31" customFormat="1" ht="17">
      <c r="A65" s="125">
        <f>'Book Details - NO EDIT'!A65</f>
        <v>63</v>
      </c>
      <c r="B65" s="31" t="str">
        <f>'Book Details - NO EDIT'!Y65</f>
        <v>Mary Innes Foster LOYD</v>
      </c>
      <c r="C65" s="31" t="str">
        <f>'Book Details - NO EDIT'!V65</f>
        <v>Mary (1887–1968)</v>
      </c>
      <c r="D65" s="199" t="str">
        <f>'Book Details - NO EDIT'!I65</f>
        <v>23/11/1887</v>
      </c>
      <c r="E65" s="31" t="str">
        <f>IF('Book Details - NO EDIT'!K65="Boy","Male","Female")</f>
        <v>Female</v>
      </c>
      <c r="F65" s="31" t="str">
        <f>IF('Book Details - NO EDIT'!T65=1,"First",IF('Book Details - NO EDIT'!T65=2,"Second",IF('Book Details - NO EDIT'!T65=3,"Third",IF('Book Details - NO EDIT'!T65=4,"Fourth",IF('Book Details - NO EDIT'!T65=5,"Fifth",IF('Book Details - NO EDIT'!T65=6,"Sixth",IF('Book Details - NO EDIT'!T65=7,"Seventh",IF('Book Details - NO EDIT'!T65=8,"Eighth",0))))))))</f>
        <v>Fourth</v>
      </c>
      <c r="G65" s="31" t="str">
        <f>'Book Details - NO EDIT'!Z65</f>
        <v>Frederic (1856–1936: #41)</v>
      </c>
      <c r="H65" s="31" t="str">
        <f>'Book Details - NO EDIT'!AH65</f>
        <v>Isabella (Isabel) CURREY (b. 26 Apr 1855, d. 16 Jan 1926)</v>
      </c>
      <c r="I65" s="31" t="str">
        <f>'Book Details - NO EDIT'!AI65</f>
        <v>William Withers MOORE (b. 4 Aug 1855, d. 20 Feb 1944)</v>
      </c>
      <c r="J65" s="199">
        <f>'Book Details - NO EDIT'!AJ65</f>
        <v>9298</v>
      </c>
      <c r="K65" s="31" t="str">
        <f>'Book Details - NO EDIT'!AK65</f>
        <v>Married William at St Peter &amp; St Paul (The Abbey) Bath. William died at Bath, Somerset and buried in Lansdown Cemetery, Bath as his second wife.</v>
      </c>
      <c r="L65" s="131" t="str">
        <f>'Book Details - NO EDIT'!AL65</f>
        <v xml:space="preserve">Mary was the 2nd daughter of Frederic  (1856–1936: #41) of Shaw Hill House, Melksham, Wiltshire and of Albyns, Romford, Essex. Born 23 Nov 1887. Died 15 Sep 1968 in Skye. Buried in Lansdown Cemetery, Bath. Issue: 1 son, 2 daughters.                                     </v>
      </c>
      <c r="M65" s="73" t="str">
        <f>'Book Details - NO EDIT'!AA65</f>
        <v xml:space="preserve">Frederic (1856–1936: #41) Edward (1820–1890: #22) Edward (1780–1863: #8) William (1729–1800: #1)    </v>
      </c>
      <c r="N65" s="197" t="str">
        <f>'Book Details - NO EDIT'!AB65</f>
        <v xml:space="preserve">4 – Lewis (1880–1918: #52) Edward (1881–1962: #53) Evelyn (1885–1962: #59)  Cecily (1891–1891: #74)    </v>
      </c>
      <c r="O65" s="198" t="str">
        <f>'Book Details - NO EDIT'!AC65</f>
        <v xml:space="preserve">3 - Loyd MOORE (1926 - 2019: #63a) Isabel MOORE (1929 - 2020: #63b) Veronica MOORE (1930 - 1934: #63c)     </v>
      </c>
      <c r="P65" s="198" t="str">
        <f>'Book Details - NO EDIT'!AD65</f>
        <v xml:space="preserve">2 - Arthur MOORE (1950 -: #63aa) Gareth MOORE (1985 -: #63ab)                 </v>
      </c>
      <c r="Q65" s="191" t="str">
        <f>IF('Book Details - NO EDIT'!J65="",IF(R65=0,"Less than year on 1-Jul-2022",_xlfn.CONCAT("On 1-Jul-2022, age ",R65,'Book Details - NO EDIT'!J65)),IF(LEN(R65)=0,"Died in infancy",_xlfn.CONCAT("Died ",'Book Details - NO EDIT'!J65,","," aged ",R65)))</f>
        <v>Died 25/09/1968, aged 63</v>
      </c>
      <c r="R65" s="73">
        <f>'Book Details - NO EDIT'!AX65</f>
        <v>63</v>
      </c>
      <c r="S65" s="73" t="str">
        <f>'Book Details - NO EDIT'!AY65</f>
        <v xml:space="preserve"> - </v>
      </c>
      <c r="T65" s="73" t="str">
        <f>'Book Details - NO EDIT'!AW65</f>
        <v>England and Scotland</v>
      </c>
      <c r="U65" s="73">
        <f>VLOOKUP(A65,'Book Details - NO EDIT'!$A65:$S$192,13,FALSE)</f>
        <v>22</v>
      </c>
      <c r="V65" s="73">
        <f>VLOOKUP(A65,'Book Details - NO EDIT'!$A65:$S$192,12,FALSE)</f>
        <v>41</v>
      </c>
      <c r="X65" s="31">
        <f>IF(LEN('Book Details - NO EDIT'!J65)=0,0,1)</f>
        <v>1</v>
      </c>
    </row>
    <row r="66" spans="1:24" s="31" customFormat="1" ht="17">
      <c r="A66" s="125">
        <f>'Book Details - NO EDIT'!A66</f>
        <v>64</v>
      </c>
      <c r="B66" s="31" t="str">
        <f>'Book Details - NO EDIT'!Y66</f>
        <v>Gertrude Harriet Joselyn LOYD</v>
      </c>
      <c r="C66" s="31" t="str">
        <f>'Book Details - NO EDIT'!V66</f>
        <v>Gertrude (1887–1917)</v>
      </c>
      <c r="D66" s="199" t="str">
        <f>'Book Details - NO EDIT'!I66</f>
        <v>22/12/1887</v>
      </c>
      <c r="E66" s="31" t="str">
        <f>IF('Book Details - NO EDIT'!K66="Boy","Male","Female")</f>
        <v>Female</v>
      </c>
      <c r="F66" s="31" t="str">
        <f>IF('Book Details - NO EDIT'!T66=1,"First",IF('Book Details - NO EDIT'!T66=2,"Second",IF('Book Details - NO EDIT'!T66=3,"Third",IF('Book Details - NO EDIT'!T66=4,"Fourth",IF('Book Details - NO EDIT'!T66=5,"Fifth",IF('Book Details - NO EDIT'!T66=6,"Sixth",IF('Book Details - NO EDIT'!T66=7,"Seventh",IF('Book Details - NO EDIT'!T66=8,"Eighth",0))))))))</f>
        <v>Fourth</v>
      </c>
      <c r="G66" s="31" t="str">
        <f>'Book Details - NO EDIT'!Z66</f>
        <v>Lewis (1852–1908: #35)</v>
      </c>
      <c r="H66" s="31" t="str">
        <f>'Book Details - NO EDIT'!AH66</f>
        <v>Lady Mary Sophia HELY-HUTCHINSON (b. 22 Sep 1853, d. 30 Jul 1936)</v>
      </c>
      <c r="I66" s="31" t="str">
        <f>'Book Details - NO EDIT'!AI66</f>
        <v>Comdt. Baron Max LEWAL</v>
      </c>
      <c r="J66" s="199">
        <f>'Book Details - NO EDIT'!AJ66</f>
        <v>2663</v>
      </c>
      <c r="K66" s="31" t="str">
        <f>'Book Details - NO EDIT'!AK66</f>
        <v>Comdt. Baron Max, French Cavalry, only son of General LEWAL.</v>
      </c>
      <c r="L66" s="131" t="str">
        <f>'Book Details - NO EDIT'!AL66</f>
        <v>Gertrude was the only daughter of Lewis (1852–1908: #35). Born 22 Dec 1887. Died in childbirth 13 Jun 1917. DSP</v>
      </c>
      <c r="M66" s="73" t="str">
        <f>'Book Details - NO EDIT'!AA66</f>
        <v xml:space="preserve">Lewis (1852–1908: #35) William (1821–1885: #23) Edward (1780–1863: #8) William (1729–1800: #1)    </v>
      </c>
      <c r="N66" s="197" t="str">
        <f>'Book Details - NO EDIT'!AB66</f>
        <v xml:space="preserve">2 – Dick (1882–1950: #55) Robert (1884–1917: #57)       </v>
      </c>
      <c r="O66" s="198" t="str">
        <f>'Book Details - NO EDIT'!AC66</f>
        <v>d.s.p</v>
      </c>
      <c r="P66" s="198" t="str">
        <f>'Book Details - NO EDIT'!AD66</f>
        <v>d.s.p.</v>
      </c>
      <c r="Q66" s="191" t="str">
        <f>IF('Book Details - NO EDIT'!J66="",IF(R66=0,"Less than year on 1-Jul-2022",_xlfn.CONCAT("On 1-Jul-2022, age ",R66,'Book Details - NO EDIT'!J66)),IF(LEN(R66)=0,"Died in infancy",_xlfn.CONCAT("Died ",'Book Details - NO EDIT'!J66,","," aged ",R66)))</f>
        <v>Died 13/06/1917, aged 64</v>
      </c>
      <c r="R66" s="73">
        <f>'Book Details - NO EDIT'!AX66</f>
        <v>64</v>
      </c>
      <c r="S66" s="73" t="str">
        <f>'Book Details - NO EDIT'!AY66</f>
        <v xml:space="preserve"> - </v>
      </c>
      <c r="T66" s="73" t="str">
        <f>'Book Details - NO EDIT'!AW66</f>
        <v>England</v>
      </c>
      <c r="U66" s="73">
        <f>VLOOKUP(A66,'Book Details - NO EDIT'!$A66:$S$192,13,FALSE)</f>
        <v>23</v>
      </c>
      <c r="V66" s="73">
        <f>VLOOKUP(A66,'Book Details - NO EDIT'!$A66:$S$192,12,FALSE)</f>
        <v>35</v>
      </c>
      <c r="X66" s="31">
        <f>IF(LEN('Book Details - NO EDIT'!J66)=0,0,1)</f>
        <v>1</v>
      </c>
    </row>
    <row r="67" spans="1:24" s="31" customFormat="1" ht="17">
      <c r="A67" s="125">
        <f>'Book Details - NO EDIT'!A67</f>
        <v>65</v>
      </c>
      <c r="B67" s="31" t="str">
        <f>'Book Details - NO EDIT'!Y67</f>
        <v>Melicent Annie Kirkman LOYD</v>
      </c>
      <c r="C67" s="31" t="str">
        <f>'Book Details - NO EDIT'!V67</f>
        <v>Nan (1889–1967)</v>
      </c>
      <c r="D67" s="199" t="str">
        <f>'Book Details - NO EDIT'!I67</f>
        <v>04/02/1889</v>
      </c>
      <c r="E67" s="31" t="str">
        <f>IF('Book Details - NO EDIT'!K67="Boy","Male","Female")</f>
        <v>Female</v>
      </c>
      <c r="F67" s="31" t="str">
        <f>IF('Book Details - NO EDIT'!T67=1,"First",IF('Book Details - NO EDIT'!T67=2,"Second",IF('Book Details - NO EDIT'!T67=3,"Third",IF('Book Details - NO EDIT'!T67=4,"Fourth",IF('Book Details - NO EDIT'!T67=5,"Fifth",IF('Book Details - NO EDIT'!T67=6,"Sixth",IF('Book Details - NO EDIT'!T67=7,"Seventh",IF('Book Details - NO EDIT'!T67=8,"Eighth",0))))))))</f>
        <v>Fourth</v>
      </c>
      <c r="G67" s="31" t="str">
        <f>'Book Details - NO EDIT'!Z67</f>
        <v>Ted (1851–1922: #34)</v>
      </c>
      <c r="H67" s="31" t="str">
        <f>'Book Details - NO EDIT'!AH67</f>
        <v>Millicent Blandinah KESTEVEN (b. 1850/51, d. 22 Jun 1945)</v>
      </c>
      <c r="I67" s="31" t="str">
        <f>'Book Details - NO EDIT'!AI67</f>
        <v>James Norman WHEELER (b. 17 Apr 1882, d. 6 Jan 1966)</v>
      </c>
      <c r="J67" s="199">
        <f>'Book Details - NO EDIT'!AJ67</f>
        <v>4554</v>
      </c>
      <c r="K67" s="31" t="str">
        <f>'Book Details - NO EDIT'!AK67</f>
        <v>Married Norman, at Wimborne Minster, Dorset, son of the Rev James WHEELER, Rector of Hampreston, Dorset. Norman educated Cambridge and St Thomas’s Hospital, London. World War I, RAMC. Physician and Ophthalmic Surgeon, Rugby.</v>
      </c>
      <c r="L67" s="131" t="str">
        <f>'Book Details - NO EDIT'!AL67</f>
        <v>Melicent was the only daughter of Edward  (1851–1922: #34). Born 4 Feb 1889.  Died 14 Apr 1967 at St Mawes, Cornwall, buried at St. Just-in-Roseland, Cornwall. Issue: 2 daughters, 1 son.</v>
      </c>
      <c r="M67" s="73" t="str">
        <f>'Book Details - NO EDIT'!AA67</f>
        <v xml:space="preserve">Ted (1851–1922: #34) Thomas (1812–1857: #14) William (1770–1828: #4) William (1729–1800: #1)    </v>
      </c>
      <c r="N67" s="197" t="str">
        <f>'Book Details - NO EDIT'!AB67</f>
        <v xml:space="preserve">2 – Arthur (1890–1974: #71) Edward (1893–1932: #76)      </v>
      </c>
      <c r="O67" s="198" t="str">
        <f>'Book Details - NO EDIT'!AC67</f>
        <v xml:space="preserve">3 - Audrey WHEELER (1913 - : #65a) Norma WHEELER (1924 - : #65b) Basil WHEELER (1926 - : #65c)     </v>
      </c>
      <c r="P67" s="198" t="str">
        <f>'Book Details - NO EDIT'!AD67</f>
        <v xml:space="preserve">2 - Vanessa WHEELER (1971 -: #65ca) Karen WHEELER (1973 -: #65cb)                 </v>
      </c>
      <c r="Q67" s="191" t="str">
        <f>IF('Book Details - NO EDIT'!J67="",IF(R67=0,"Less than year on 1-Jul-2022",_xlfn.CONCAT("On 1-Jul-2022, age ",R67,'Book Details - NO EDIT'!J67)),IF(LEN(R67)=0,"Died in infancy",_xlfn.CONCAT("Died ",'Book Details - NO EDIT'!J67,","," aged ",R67)))</f>
        <v>Died 14/04/1967, aged 65</v>
      </c>
      <c r="R67" s="73">
        <f>'Book Details - NO EDIT'!AX67</f>
        <v>65</v>
      </c>
      <c r="S67" s="73" t="str">
        <f>'Book Details - NO EDIT'!AY67</f>
        <v xml:space="preserve"> - </v>
      </c>
      <c r="T67" s="73" t="str">
        <f>'Book Details - NO EDIT'!AW67</f>
        <v>England</v>
      </c>
      <c r="U67" s="73">
        <f>VLOOKUP(A67,'Book Details - NO EDIT'!$A67:$S$192,13,FALSE)</f>
        <v>14</v>
      </c>
      <c r="V67" s="73">
        <f>VLOOKUP(A67,'Book Details - NO EDIT'!$A67:$S$192,12,FALSE)</f>
        <v>34</v>
      </c>
      <c r="X67" s="31">
        <f>IF(LEN('Book Details - NO EDIT'!J67)=0,0,1)</f>
        <v>1</v>
      </c>
    </row>
    <row r="68" spans="1:24" s="31" customFormat="1" ht="17">
      <c r="A68" s="125">
        <f>'Book Details - NO EDIT'!A68</f>
        <v>66</v>
      </c>
      <c r="B68" s="31" t="str">
        <f>'Book Details - NO EDIT'!Y68</f>
        <v>William Lewis Brownlow LOYD</v>
      </c>
      <c r="C68" s="31" t="str">
        <f>'Book Details - NO EDIT'!V68</f>
        <v>William (1889–1947)</v>
      </c>
      <c r="D68" s="199" t="str">
        <f>'Book Details - NO EDIT'!I68</f>
        <v>07/05/1889</v>
      </c>
      <c r="E68" s="31" t="str">
        <f>IF('Book Details - NO EDIT'!K68="Boy","Male","Female")</f>
        <v>Male</v>
      </c>
      <c r="F68" s="31" t="str">
        <f>IF('Book Details - NO EDIT'!T68=1,"First",IF('Book Details - NO EDIT'!T68=2,"Second",IF('Book Details - NO EDIT'!T68=3,"Third",IF('Book Details - NO EDIT'!T68=4,"Fourth",IF('Book Details - NO EDIT'!T68=5,"Fifth",IF('Book Details - NO EDIT'!T68=6,"Sixth",IF('Book Details - NO EDIT'!T68=7,"Seventh",IF('Book Details - NO EDIT'!T68=8,"Eighth",0))))))))</f>
        <v>Fourth</v>
      </c>
      <c r="G68" s="31" t="str">
        <f>'Book Details - NO EDIT'!Z68</f>
        <v>Harry (1861–1938: #44)</v>
      </c>
      <c r="H68" s="31" t="str">
        <f>'Book Details - NO EDIT'!AH68</f>
        <v>The Hon Clementina Georgina BROWNLOW (b. 13 Jan 1868, d. 1 Sep 1929)</v>
      </c>
      <c r="I68" s="31" t="str">
        <f>'Book Details - NO EDIT'!AI68</f>
        <v>The Hon Bettine Henrietta KNATCHBULL-HUGESSEN (b. 15 Sep 1888, d. 9 Aug 1967)</v>
      </c>
      <c r="J68" s="199">
        <f>'Book Details - NO EDIT'!AJ68</f>
        <v>4515</v>
      </c>
      <c r="K68" s="31" t="str">
        <f>'Book Details - NO EDIT'!AK68</f>
        <v>The Hon Bettine Henrietta 2nd daughter of Edward KNATCHBULL-HUGESSEN, 2nd Baron BRABOURNE.</v>
      </c>
      <c r="L68" s="131" t="str">
        <f>'Book Details - NO EDIT'!AL68</f>
        <v>William lived at Upper House, Shamley Green, Guildford, Surrey and was the eldest son of Edward (1861–1938: #44 ). Born 7 May 1889. Died 27 Oct 1947. Issue: 2 sons, 1 daughter.</v>
      </c>
      <c r="M68" s="73" t="str">
        <f>'Book Details - NO EDIT'!AA68</f>
        <v xml:space="preserve">Harry (1861–1938: #44) William (1821–1885: #23) Edward (1780–1863: #8) William (1729–1800: #1)    </v>
      </c>
      <c r="N68" s="197" t="str">
        <f>'Book Details - NO EDIT'!AB68</f>
        <v xml:space="preserve">2 – Charles (1891–1973: #72) Reginald (1885–1917: #81)      </v>
      </c>
      <c r="O68" s="198" t="str">
        <f>'Book Details - NO EDIT'!AC68</f>
        <v>3 - Delia (1915–2007: #88); Edward (1921–1977: #96); Peter (1923–1974: #99)</v>
      </c>
      <c r="P68" s="198" t="str">
        <f>'Book Details - NO EDIT'!AD68</f>
        <v xml:space="preserve">7 - Caroline (1947–2022: #120); David (1949–: #121); Henrietta (1959–: #137); Andrew (1962–: #144)   Lady Diana BAIRD (1937 - :  #88a) Michael KEITH (1939 - 2004:  #88b) The Hon Alexander BAIRD (1946 - :  #88c)            </v>
      </c>
      <c r="Q68" s="191" t="str">
        <f>IF('Book Details - NO EDIT'!J68="",IF(R68=0,"Less than year on 1-Jul-2022",_xlfn.CONCAT("On 1-Jul-2022, age ",R68,'Book Details - NO EDIT'!J68)),IF(LEN(R68)=0,"Died in infancy",_xlfn.CONCAT("Died ",'Book Details - NO EDIT'!J68,","," aged ",R68)))</f>
        <v>Died 27/10/1947, aged 66</v>
      </c>
      <c r="R68" s="73">
        <f>'Book Details - NO EDIT'!AX68</f>
        <v>66</v>
      </c>
      <c r="S68" s="73" t="str">
        <f>'Book Details - NO EDIT'!AY68</f>
        <v xml:space="preserve"> - </v>
      </c>
      <c r="T68" s="73" t="str">
        <f>'Book Details - NO EDIT'!AW68</f>
        <v>England</v>
      </c>
      <c r="U68" s="73">
        <f>VLOOKUP(A68,'Book Details - NO EDIT'!$A68:$S$192,13,FALSE)</f>
        <v>23</v>
      </c>
      <c r="V68" s="73">
        <f>VLOOKUP(A68,'Book Details - NO EDIT'!$A68:$S$192,12,FALSE)</f>
        <v>44</v>
      </c>
      <c r="X68" s="31">
        <f>IF(LEN('Book Details - NO EDIT'!J68)=0,0,1)</f>
        <v>1</v>
      </c>
    </row>
    <row r="69" spans="1:24" s="31" customFormat="1" ht="102">
      <c r="A69" s="125">
        <f>'Book Details - NO EDIT'!A69</f>
        <v>67</v>
      </c>
      <c r="B69" s="31" t="str">
        <f>'Book Details - NO EDIT'!Y69</f>
        <v>Francis Fetherstonhaugh LOYD</v>
      </c>
      <c r="C69" s="31" t="str">
        <f>'Book Details - NO EDIT'!V69</f>
        <v>Tony/Dodo (1889–1956)</v>
      </c>
      <c r="D69" s="199" t="str">
        <f>'Book Details - NO EDIT'!I69</f>
        <v>26/05/1889</v>
      </c>
      <c r="E69" s="31" t="str">
        <f>IF('Book Details - NO EDIT'!K69="Boy","Male","Female")</f>
        <v>Male</v>
      </c>
      <c r="F69" s="31" t="str">
        <f>IF('Book Details - NO EDIT'!T69=1,"First",IF('Book Details - NO EDIT'!T69=2,"Second",IF('Book Details - NO EDIT'!T69=3,"Third",IF('Book Details - NO EDIT'!T69=4,"Fourth",IF('Book Details - NO EDIT'!T69=5,"Fifth",IF('Book Details - NO EDIT'!T69=6,"Sixth",IF('Book Details - NO EDIT'!T69=7,"Seventh",IF('Book Details - NO EDIT'!T69=8,"Eighth",0))))))))</f>
        <v>Fourth</v>
      </c>
      <c r="G69" s="31" t="str">
        <f>'Book Details - NO EDIT'!Z69</f>
        <v>Frank (1848–1934: #32)</v>
      </c>
      <c r="H69" s="31" t="str">
        <f>'Book Details - NO EDIT'!AH69</f>
        <v>Frances Maria Jane FETHERSTONHAUGH (b. 10 Feb 1855, d. 6 May 1929)</v>
      </c>
      <c r="I69" s="31" t="str">
        <f>'Book Details - NO EDIT'!AI69</f>
        <v>Unmarried</v>
      </c>
      <c r="J69" s="199" t="str">
        <f>'Book Details - NO EDIT'!AJ69</f>
        <v xml:space="preserve"> - </v>
      </c>
      <c r="K69" s="31" t="str">
        <f>'Book Details - NO EDIT'!AK69</f>
        <v xml:space="preserve"> - </v>
      </c>
      <c r="L69" s="131" t="str">
        <f>'Book Details - NO EDIT'!AL69</f>
        <v>Francis was the younger son of Frank (1848–1934: #32). Born 26 May 1889. Served in World War I as Captain [1], Sherwood Foresters - (wounded-convalesced at Polesden Lacey [2]), Foreign Office and King’s Messenger. Secretary to Sir Ronald CROSS, High Commissioner, Australia 1943. Died, unmarried, 18 Jan 1956 at Grange Cottage, Horsell, Woking, Surrey. Signature of Francis F. Loyd seen in the 1915-1916 patient 'visitors book' at a 'Great War Centenary Exhibition' at Polesden Lacey in October 2016 by Dominic (1953– : #131). DSP Footnote: [1] Wounded, 10 July 1915, bullet wound to right leg [shattered], transported by trawler to hospital ship - source Army records. [2] Frances spent a few months recovering at Polesden Lacey (now National Trust). Between June 1915 until late 1916, the owner, Margaret Greville, opened Polesden Lacey as a convalescent hospital for officers. Having experienced the horrors of war: wounded in the trenches of Ypres, and Loos, subjected to gas attacks, shrapnel wounds and trauma; Polesden Lacey provided a brief respite and a nostalgic glimpse of the privileged world many of these young men had inhabited before the war. They would have been through quite a journey from the dressing stations on the Western Front, to casualty clearing stations and base hospitals in France, before finally being evacuated to hospitals in the UK including King Edward VII hospital in London. More than 80 soldiers spent time at Polesden recovering from their wounds after being evacuated from the front line. While some had minor injuries and may have only stayed briefly at Polesden, others were learning to live with amputations or permanent damage to their lungs and so stayed longer.</v>
      </c>
      <c r="M69" s="73" t="str">
        <f>'Book Details - NO EDIT'!AA69</f>
        <v xml:space="preserve">Frank (1848–1934: #32) Thomas (1812–1857: #14) William (1770–1828: #4) William (1729–1800: #1)    </v>
      </c>
      <c r="N69" s="197" t="str">
        <f>'Book Details - NO EDIT'!AB69</f>
        <v xml:space="preserve">1 – Alfred (1882–1919: #54)        </v>
      </c>
      <c r="O69" s="198" t="str">
        <f>'Book Details - NO EDIT'!AC69</f>
        <v>d.s.p</v>
      </c>
      <c r="P69" s="198" t="str">
        <f>'Book Details - NO EDIT'!AD69</f>
        <v>d.s.p.</v>
      </c>
      <c r="Q69" s="191" t="str">
        <f>IF('Book Details - NO EDIT'!J69="",IF(R69=0,"Less than year on 1-Jul-2022",_xlfn.CONCAT("On 1-Jul-2022, age ",R69,'Book Details - NO EDIT'!J69)),IF(LEN(R69)=0,"Died in infancy",_xlfn.CONCAT("Died ",'Book Details - NO EDIT'!J69,","," aged ",R69)))</f>
        <v>Died 18/01/1956, aged 67</v>
      </c>
      <c r="R69" s="73">
        <f>'Book Details - NO EDIT'!AX69</f>
        <v>67</v>
      </c>
      <c r="S69" s="73" t="str">
        <f>'Book Details - NO EDIT'!AY69</f>
        <v xml:space="preserve"> - </v>
      </c>
      <c r="T69" s="73" t="str">
        <f>'Book Details - NO EDIT'!AW69</f>
        <v>England and Australia</v>
      </c>
      <c r="U69" s="73">
        <f>VLOOKUP(A69,'Book Details - NO EDIT'!$A69:$S$192,13,FALSE)</f>
        <v>14</v>
      </c>
      <c r="V69" s="73">
        <f>VLOOKUP(A69,'Book Details - NO EDIT'!$A69:$S$192,12,FALSE)</f>
        <v>32</v>
      </c>
      <c r="X69" s="31">
        <f>IF(LEN('Book Details - NO EDIT'!J69)=0,0,1)</f>
        <v>1</v>
      </c>
    </row>
    <row r="70" spans="1:24" s="31" customFormat="1" ht="34">
      <c r="A70" s="125">
        <f>'Book Details - NO EDIT'!A70</f>
        <v>68</v>
      </c>
      <c r="B70" s="31" t="str">
        <f>'Book Details - NO EDIT'!Y70</f>
        <v>Cecil Lewellyn LOYD</v>
      </c>
      <c r="C70" s="31" t="str">
        <f>'Book Details - NO EDIT'!V70</f>
        <v>Cecil (1890–1963)</v>
      </c>
      <c r="D70" s="199" t="str">
        <f>'Book Details - NO EDIT'!I70</f>
        <v>20/01/1890</v>
      </c>
      <c r="E70" s="31" t="str">
        <f>IF('Book Details - NO EDIT'!K70="Boy","Male","Female")</f>
        <v>Male</v>
      </c>
      <c r="F70" s="31" t="str">
        <f>IF('Book Details - NO EDIT'!T70=1,"First",IF('Book Details - NO EDIT'!T70=2,"Second",IF('Book Details - NO EDIT'!T70=3,"Third",IF('Book Details - NO EDIT'!T70=4,"Fourth",IF('Book Details - NO EDIT'!T70=5,"Fifth",IF('Book Details - NO EDIT'!T70=6,"Sixth",IF('Book Details - NO EDIT'!T70=7,"Seventh",IF('Book Details - NO EDIT'!T70=8,"Eighth",0))))))))</f>
        <v>Fourth</v>
      </c>
      <c r="G70" s="31" t="str">
        <f>'Book Details - NO EDIT'!Z70</f>
        <v>Llewellyn (1861–1939: #45)</v>
      </c>
      <c r="H70" s="31" t="str">
        <f>'Book Details - NO EDIT'!AH70</f>
        <v>Rebecca Olivia LEWIS (b.13 Aug 1860, d. 18 Mar 1927)</v>
      </c>
      <c r="I70" s="31" t="str">
        <f>'Book Details - NO EDIT'!AI70</f>
        <v>Mrs. Phyllis Marie ETESON (ARCHER) (b.3 Aug 1889, d. 29 Mar 1932)</v>
      </c>
      <c r="J70" s="199">
        <f>'Book Details - NO EDIT'!AJ70</f>
        <v>7089</v>
      </c>
      <c r="K70" s="31" t="str">
        <f>'Book Details - NO EDIT'!AK70</f>
        <v>Married at Kensington Registry Office, Mrs. Phyllis Marie youngest daughter of Surgeon-General Alfred ETESON CB, MD, IA. Phyllis born in Watford, divorced wife of Goodwyn Luddington ARCHER. Phyllis died at 53 Clarendon Road, London W11 and buried in Kensington Cemetery, Hanwell, Uxbridge Road, London W7.</v>
      </c>
      <c r="L70" s="131" t="str">
        <f>'Book Details - NO EDIT'!AL70</f>
        <v>Cecil was the eldest son of Llewellyn (1861–1939: #45). Born 20 Jan 1890. Educated Eton 1904-08. Served in World War 1 as Lieutenant, 5th Battalion, The East Kent Regiment (The Buffs), RFC and Royal Air Force Technical Officer. Died 17 Jan 1963 at Southmoor House, Draycott Moor, Kingston Bagpuize, Oxfordshire. Cremated, ashes interred at Hawkhurst, Kent.  Issue: 1 son, 1 daughter (twins).</v>
      </c>
      <c r="M70" s="73" t="str">
        <f>'Book Details - NO EDIT'!AA70</f>
        <v xml:space="preserve">Llewellyn (1861–1939: #45) Edward (1820–1890: #22) Edward (1780–1863: #8) William (1729–1800: #1)    </v>
      </c>
      <c r="N70" s="197" t="str">
        <f>'Book Details - NO EDIT'!AB70</f>
        <v xml:space="preserve">3 – Eric (1891–1967: #73) Alwyne (1894–1917: #79) Ruby (1898–1977: #83)     </v>
      </c>
      <c r="O70" s="198" t="str">
        <f>'Book Details - NO EDIT'!AC70</f>
        <v>2 - Jill (1920–2002: #93); Alwyne (1920–2014: #94)</v>
      </c>
      <c r="P70" s="198" t="str">
        <f>'Book Details - NO EDIT'!AD70</f>
        <v xml:space="preserve">6 - Rob (1949–: #124); Paddy (1951–: #126); Dominic (1953–: #131); Tim (1957–: #136); Alex (1959–: #139); Rick (1962–: #142)   </v>
      </c>
      <c r="Q70" s="191" t="str">
        <f>IF('Book Details - NO EDIT'!J70="",IF(R70=0,"Less than year on 1-Jul-2022",_xlfn.CONCAT("On 1-Jul-2022, age ",R70,'Book Details - NO EDIT'!J70)),IF(LEN(R70)=0,"Died in infancy",_xlfn.CONCAT("Died ",'Book Details - NO EDIT'!J70,","," aged ",R70)))</f>
        <v>Died 17/01/1963, aged 68</v>
      </c>
      <c r="R70" s="73">
        <f>'Book Details - NO EDIT'!AX70</f>
        <v>68</v>
      </c>
      <c r="S70" s="73" t="str">
        <f>'Book Details - NO EDIT'!AY70</f>
        <v xml:space="preserve"> - </v>
      </c>
      <c r="T70" s="73" t="str">
        <f>'Book Details - NO EDIT'!AW70</f>
        <v>England</v>
      </c>
      <c r="U70" s="73">
        <f>VLOOKUP(A70,'Book Details - NO EDIT'!$A70:$S$192,13,FALSE)</f>
        <v>22</v>
      </c>
      <c r="V70" s="73">
        <f>VLOOKUP(A70,'Book Details - NO EDIT'!$A70:$S$192,12,FALSE)</f>
        <v>45</v>
      </c>
      <c r="X70" s="31">
        <f>IF(LEN('Book Details - NO EDIT'!J70)=0,0,1)</f>
        <v>1</v>
      </c>
    </row>
    <row r="71" spans="1:24" s="31" customFormat="1" ht="102">
      <c r="A71" s="125">
        <f>'Book Details - NO EDIT'!A71</f>
        <v>69</v>
      </c>
      <c r="B71" s="31" t="str">
        <f>'Book Details - NO EDIT'!Y71</f>
        <v>Geoffrey Archibald LOYD</v>
      </c>
      <c r="C71" s="31" t="str">
        <f>'Book Details - NO EDIT'!V71</f>
        <v>Geoffrey (1890–1914)</v>
      </c>
      <c r="D71" s="199" t="str">
        <f>'Book Details - NO EDIT'!I71</f>
        <v>01/05/1890</v>
      </c>
      <c r="E71" s="31" t="str">
        <f>IF('Book Details - NO EDIT'!K71="Boy","Male","Female")</f>
        <v>Male</v>
      </c>
      <c r="F71" s="31" t="str">
        <f>IF('Book Details - NO EDIT'!T71=1,"First",IF('Book Details - NO EDIT'!T71=2,"Second",IF('Book Details - NO EDIT'!T71=3,"Third",IF('Book Details - NO EDIT'!T71=4,"Fourth",IF('Book Details - NO EDIT'!T71=5,"Fifth",IF('Book Details - NO EDIT'!T71=6,"Sixth",IF('Book Details - NO EDIT'!T71=7,"Seventh",IF('Book Details - NO EDIT'!T71=8,"Eighth",0))))))))</f>
        <v>Fourth</v>
      </c>
      <c r="G71" s="31" t="str">
        <f>'Book Details - NO EDIT'!Z71</f>
        <v>Archie (1847–1922: #30)</v>
      </c>
      <c r="H71" s="31" t="str">
        <f>'Book Details - NO EDIT'!AH71</f>
        <v>Henrietta Louisa CLUTTERBUCK (b. 23 Jan 1856, d. 14 Jan 1931)</v>
      </c>
      <c r="I71" s="31" t="str">
        <f>'Book Details - NO EDIT'!AI71</f>
        <v>Unmarried</v>
      </c>
      <c r="J71" s="199" t="str">
        <f>'Book Details - NO EDIT'!AJ71</f>
        <v xml:space="preserve"> - </v>
      </c>
      <c r="K71" s="31" t="str">
        <f>'Book Details - NO EDIT'!AK71</f>
        <v xml:space="preserve"> - </v>
      </c>
      <c r="L71" s="131" t="str">
        <f>'Book Details - NO EDIT'!AL71</f>
        <v>Geoffrey was the 3rd son of Archie (1847–1922: #30). Born 22 Jan 1890 at 60A Cadogan Square, London, baptised 28 Mar 1890 at St. Saviour’s, Walton Street, London SW3. Educated Eton 1905-08 and Served in World War I in France as 2nd Lieutenant, Scots Guards, attended 2 Divisional Cyclist Company. Chev. Legion of Honour (7 Sep 1914), (despatches). Lieutenant (posthumously). Wounded before Ypres 13 Nov 1914. Died (unmarried) 14 Nov 1914 of his wounds, attended by his brother, Bobbie (1887–1977: #62), buried at the town cemetery, Poperinghe, Belgium. Grave Ref. I.B.4. A small portrait by Catherine OULESS passed from his brother, Reggie (1886–1961: #61) to Peter (1922–2022: #98) in 1961; and to Celina DUNLOP (1960– : #102c)  in 2013, his signet ring, given to his namesake, Geoffrey (1926–2018: #105), was lost in a car park, and a replica was made subsequently. A campaign chest of Geoffrey’s effects was assembled by Reggie and Bobbie, containing papers and artefacts including: the original manuscript of his war diary running to 12 Nov 1914; shell fragments from the Aisne (his fatal wound was from a shrapnel burst overhead); photographs of Geoffrey at different ages, some with his father or brothers; and his Scots Guards map bag. This chest passed to Zelda (1923–2014: #102) in 1977, and to Celina in 2014 who donated it to Eton’s Macnaughten Library in 2020 on the 106th anniversary of Geoffrey’s death. The curator called it ‘the richest WW1 archive in the collection’. A transcript of the war diary is lodged with the Imperial War Museum, London.</v>
      </c>
      <c r="M71" s="73" t="str">
        <f>'Book Details - NO EDIT'!AA71</f>
        <v xml:space="preserve">Archie (1847–1922: #30) Thomas (1812–1857: #14) William (1770–1828: #4) William (1729–1800: #1)    </v>
      </c>
      <c r="N71" s="197" t="str">
        <f>'Book Details - NO EDIT'!AB71</f>
        <v xml:space="preserve">3 – Reggie (1886–1961: #61) Bobby (1887–1977: #62)  Wilfrid (1893–1971: #77)     </v>
      </c>
      <c r="O71" s="198" t="str">
        <f>'Book Details - NO EDIT'!AC71</f>
        <v>d.s.p</v>
      </c>
      <c r="P71" s="198" t="str">
        <f>'Book Details - NO EDIT'!AD71</f>
        <v>d.s.p.</v>
      </c>
      <c r="Q71" s="191" t="str">
        <f>IF('Book Details - NO EDIT'!J71="",IF(R71=0,"Less than year on 1-Jul-2022",_xlfn.CONCAT("On 1-Jul-2022, age ",R71,'Book Details - NO EDIT'!J71)),IF(LEN(R71)=0,"Died in infancy",_xlfn.CONCAT("Died ",'Book Details - NO EDIT'!J71,","," aged ",R71)))</f>
        <v>Died 14/11/1914, aged 69</v>
      </c>
      <c r="R71" s="73">
        <f>'Book Details - NO EDIT'!AX71</f>
        <v>69</v>
      </c>
      <c r="S71" s="73" t="str">
        <f>'Book Details - NO EDIT'!AY71</f>
        <v xml:space="preserve"> - </v>
      </c>
      <c r="T71" s="73" t="str">
        <f>'Book Details - NO EDIT'!AW71</f>
        <v>England</v>
      </c>
      <c r="U71" s="73">
        <f>VLOOKUP(A71,'Book Details - NO EDIT'!$A71:$S$192,13,FALSE)</f>
        <v>14</v>
      </c>
      <c r="V71" s="73">
        <f>VLOOKUP(A71,'Book Details - NO EDIT'!$A71:$S$192,12,FALSE)</f>
        <v>30</v>
      </c>
      <c r="X71" s="31">
        <f>IF(LEN('Book Details - NO EDIT'!J71)=0,0,1)</f>
        <v>1</v>
      </c>
    </row>
    <row r="72" spans="1:24" s="31" customFormat="1" ht="34">
      <c r="A72" s="125">
        <f>'Book Details - NO EDIT'!A72</f>
        <v>70</v>
      </c>
      <c r="B72" s="31" t="str">
        <f>'Book Details - NO EDIT'!Y72</f>
        <v>Diana Gertrude May LOYD</v>
      </c>
      <c r="C72" s="31" t="str">
        <f>'Book Details - NO EDIT'!V72</f>
        <v>Diana (1890–1963)</v>
      </c>
      <c r="D72" s="199" t="str">
        <f>'Book Details - NO EDIT'!I72</f>
        <v>01/05/1890</v>
      </c>
      <c r="E72" s="31" t="str">
        <f>IF('Book Details - NO EDIT'!K72="Boy","Male","Female")</f>
        <v>Female</v>
      </c>
      <c r="F72" s="31" t="str">
        <f>IF('Book Details - NO EDIT'!T72=1,"First",IF('Book Details - NO EDIT'!T72=2,"Second",IF('Book Details - NO EDIT'!T72=3,"Third",IF('Book Details - NO EDIT'!T72=4,"Fourth",IF('Book Details - NO EDIT'!T72=5,"Fifth",IF('Book Details - NO EDIT'!T72=6,"Sixth",IF('Book Details - NO EDIT'!T72=7,"Seventh",IF('Book Details - NO EDIT'!T72=8,"Eighth",0))))))))</f>
        <v>Fourth</v>
      </c>
      <c r="G72" s="31" t="str">
        <f>'Book Details - NO EDIT'!Z72</f>
        <v>William (1863–1923: #46)</v>
      </c>
      <c r="H72" s="31" t="str">
        <f>'Book Details - NO EDIT'!AH72</f>
        <v xml:space="preserve">Emily Diana Maria BEAUMONT (b. 25 Dec 1860, d. 4 Jul 1956) </v>
      </c>
      <c r="I72" s="31" t="str">
        <f>'Book Details - NO EDIT'!AI72</f>
        <v>Charles MICKLEM (b. 17 Jan 1882, d. 26 Jan 1955)</v>
      </c>
      <c r="J72" s="199">
        <f>'Book Details - NO EDIT'!AJ72</f>
        <v>7620</v>
      </c>
      <c r="K72" s="31" t="str">
        <f>'Book Details - NO EDIT'!AK72</f>
        <v>Charles son of Leonard MICKLEM of Abbots Mead, Elstree, Hertfordshire. Served in World War I with Royal Marine Artillery Howitzer Brigade (despatches twice). Major 1917. DSO 1918. Member London Stock Exchange. DL 1938, JP Surrey. High Sheriff of Surrey 1938.</v>
      </c>
      <c r="L72" s="131" t="str">
        <f>'Book Details - NO EDIT'!AL72</f>
        <v>Diana was the only daughter of William (1863–1923: #46). Born 1 May 1890 at 46 Beaufort Gardens, London SW3. Died 1 July 1963. Issue: 4 daughters, 2 sons.</v>
      </c>
      <c r="M72" s="73" t="str">
        <f>'Book Details - NO EDIT'!AA72</f>
        <v xml:space="preserve">William (1863–1923: #46) William (1821–1885: #23) Edward (1780–1863: #8) William (1729–1800: #1)    </v>
      </c>
      <c r="N72" s="197" t="str">
        <f>'Book Details - NO EDIT'!AB72</f>
        <v xml:space="preserve">4 – Godfrey (1893–1917: #75) Vivian (1894–1972: #78) Wilfred (1896–1955: #82) Eddie (1902–1942: #84)    </v>
      </c>
      <c r="O72" s="198" t="str">
        <f>'Book Details - NO EDIT'!AC72</f>
        <v xml:space="preserve">6 - Cynthia MICKLEM (1921 - 1990: #70a) Dora MICKLEM (1924 - : #70b) Anne MICKLEM (1925 - : #70c) Tom MICKLEM (1926 - : #70d) Elizabeth MICKLEM (1929 - : #70e) Nathaniel MICKLEM (1931 - 1950: #70f)  </v>
      </c>
      <c r="P72" s="198" t="str">
        <f>'Book Details - NO EDIT'!AD72</f>
        <v xml:space="preserve">12 - William SHEARER (1951 -: #70aa) Rosemary SHEARER (1952 -: #70ab) Andrew SHEARER (1960 -: #70ac) Peter MELITUS (1955 -: #70ba) Caroline MELITUS (1959 -: #70bb) Hugo PAGE (1951 -: #70ca) Nat PAGE (1953 -: #70cb) Henry PAGE (1953 -: #70cc) Rupert PAGE (1963 -: #70cd) Philippa MICKLEM (1958 -: #70da) Jeremy MICKLEM (1961 -: #70db) Sylvie MICKLEM (1964 -: #70dc)       </v>
      </c>
      <c r="Q72" s="191" t="str">
        <f>IF('Book Details - NO EDIT'!J72="",IF(R72=0,"Less than year on 1-Jul-2022",_xlfn.CONCAT("On 1-Jul-2022, age ",R72,'Book Details - NO EDIT'!J72)),IF(LEN(R72)=0,"Died in infancy",_xlfn.CONCAT("Died ",'Book Details - NO EDIT'!J72,","," aged ",R72)))</f>
        <v>Died 01/07/1963, aged 70</v>
      </c>
      <c r="R72" s="73">
        <f>'Book Details - NO EDIT'!AX72</f>
        <v>70</v>
      </c>
      <c r="S72" s="73" t="str">
        <f>'Book Details - NO EDIT'!AY72</f>
        <v xml:space="preserve"> - </v>
      </c>
      <c r="T72" s="73" t="str">
        <f>'Book Details - NO EDIT'!AW72</f>
        <v>England</v>
      </c>
      <c r="U72" s="73">
        <f>VLOOKUP(A72,'Book Details - NO EDIT'!$A72:$S$192,13,FALSE)</f>
        <v>23</v>
      </c>
      <c r="V72" s="73">
        <f>VLOOKUP(A72,'Book Details - NO EDIT'!$A72:$S$192,12,FALSE)</f>
        <v>46</v>
      </c>
      <c r="X72" s="31">
        <f>IF(LEN('Book Details - NO EDIT'!J72)=0,0,1)</f>
        <v>1</v>
      </c>
    </row>
    <row r="73" spans="1:24" s="31" customFormat="1" ht="34">
      <c r="A73" s="125">
        <f>'Book Details - NO EDIT'!A73</f>
        <v>71</v>
      </c>
      <c r="B73" s="31" t="str">
        <f>'Book Details - NO EDIT'!Y73</f>
        <v>Arthur Kesteven LOYD</v>
      </c>
      <c r="C73" s="31" t="str">
        <f>'Book Details - NO EDIT'!V73</f>
        <v>Arthur (1890–1974)</v>
      </c>
      <c r="D73" s="199" t="str">
        <f>'Book Details - NO EDIT'!I73</f>
        <v>16/11/1890</v>
      </c>
      <c r="E73" s="31" t="str">
        <f>IF('Book Details - NO EDIT'!K73="Boy","Male","Female")</f>
        <v>Male</v>
      </c>
      <c r="F73" s="31" t="str">
        <f>IF('Book Details - NO EDIT'!T73=1,"First",IF('Book Details - NO EDIT'!T73=2,"Second",IF('Book Details - NO EDIT'!T73=3,"Third",IF('Book Details - NO EDIT'!T73=4,"Fourth",IF('Book Details - NO EDIT'!T73=5,"Fifth",IF('Book Details - NO EDIT'!T73=6,"Sixth",IF('Book Details - NO EDIT'!T73=7,"Seventh",IF('Book Details - NO EDIT'!T73=8,"Eighth",0))))))))</f>
        <v>Fourth</v>
      </c>
      <c r="G73" s="31" t="str">
        <f>'Book Details - NO EDIT'!Z73</f>
        <v>Ted (1851–1922: #34)</v>
      </c>
      <c r="H73" s="31" t="str">
        <f>'Book Details - NO EDIT'!AH73</f>
        <v>Millicent Blandinah KESTEVEN (b. 1850/51, d. 22 Jun 1945)</v>
      </c>
      <c r="I73" s="31" t="str">
        <f>'Book Details - NO EDIT'!AI73</f>
        <v>(1) Ivy Nina TWINING (b. 2 Aug 1884, d. 12 Jul 1950).</v>
      </c>
      <c r="J73" s="199">
        <f>'Book Details - NO EDIT'!AJ73</f>
        <v>4658</v>
      </c>
      <c r="K73" s="31" t="str">
        <f>'Book Details - NO EDIT'!AK73</f>
        <v>Married (1) Ivy, at Walhachin, British Columbia, 2nd daughter of the Rev R. TWINING, Vicar of Woodfield, Salisbury, Wiltshire. Married (2) Florence Wilson (known as Daisy) BASKETT (b. 16 Jun 1882, d. 29 Jun 1969) 2nd daughter of the Rev H. BASKETT, Vicar of St. Andrews, Donhead, Wiltshire.</v>
      </c>
      <c r="L73" s="131" t="str">
        <f>'Book Details - NO EDIT'!AL73</f>
        <v>Arthur lived at 450 Cadder Avenue, British Columbia, Canada and was the elder son of Edward (1851–1922: #34). Born 16 Nov 1890. Educated Marlborough.  President, British Columbia Tree Fruits Limited 1940-55. Member, Canadian Horticultural Council. MBE 1946. Died 11 Sep 1974. Buried at Kelowna, British Columbia. Issue: (1st wife) 1 son.</v>
      </c>
      <c r="M73" s="73" t="str">
        <f>'Book Details - NO EDIT'!AA73</f>
        <v xml:space="preserve">Ted (1851–1922: #34) Thomas (1812–1857: #14) William (1770–1828: #4) William (1729–1800: #1)    </v>
      </c>
      <c r="N73" s="197" t="str">
        <f>'Book Details - NO EDIT'!AB73</f>
        <v xml:space="preserve">2 – Nan (1889–1967: #65)  Edward (1893–1932: #76)      </v>
      </c>
      <c r="O73" s="198" t="str">
        <f>'Book Details - NO EDIT'!AC73</f>
        <v>1 - Peter (1913–2008: #86)</v>
      </c>
      <c r="P73" s="198" t="str">
        <f>'Book Details - NO EDIT'!AD73</f>
        <v xml:space="preserve">3 - Rona (1951–: #125); David (1952–: #130); Jim (1955–: #135)   </v>
      </c>
      <c r="Q73" s="191" t="str">
        <f>IF('Book Details - NO EDIT'!J73="",IF(R73=0,"Less than year on 1-Jul-2022",_xlfn.CONCAT("On 1-Jul-2022, age ",R73,'Book Details - NO EDIT'!J73)),IF(LEN(R73)=0,"Died in infancy",_xlfn.CONCAT("Died ",'Book Details - NO EDIT'!J73,","," aged ",R73)))</f>
        <v>Died 11/09/1974, aged 71</v>
      </c>
      <c r="R73" s="73">
        <f>'Book Details - NO EDIT'!AX73</f>
        <v>71</v>
      </c>
      <c r="S73" s="73" t="str">
        <f>'Book Details - NO EDIT'!AY73</f>
        <v xml:space="preserve"> - </v>
      </c>
      <c r="T73" s="73" t="str">
        <f>'Book Details - NO EDIT'!AW73</f>
        <v>England and Canada</v>
      </c>
      <c r="U73" s="73">
        <f>VLOOKUP(A73,'Book Details - NO EDIT'!$A73:$S$192,13,FALSE)</f>
        <v>14</v>
      </c>
      <c r="V73" s="73">
        <f>VLOOKUP(A73,'Book Details - NO EDIT'!$A73:$S$192,12,FALSE)</f>
        <v>34</v>
      </c>
      <c r="X73" s="31">
        <f>IF(LEN('Book Details - NO EDIT'!J73)=0,0,1)</f>
        <v>1</v>
      </c>
    </row>
    <row r="74" spans="1:24" s="31" customFormat="1" ht="68">
      <c r="A74" s="125">
        <f>'Book Details - NO EDIT'!A74</f>
        <v>72</v>
      </c>
      <c r="B74" s="31" t="str">
        <f>'Book Details - NO EDIT'!Y74</f>
        <v>Henry Charles LOYD</v>
      </c>
      <c r="C74" s="31" t="str">
        <f>'Book Details - NO EDIT'!V74</f>
        <v>Charles (1891–1973)</v>
      </c>
      <c r="D74" s="199" t="str">
        <f>'Book Details - NO EDIT'!I74</f>
        <v>21/02/1891</v>
      </c>
      <c r="E74" s="31" t="str">
        <f>IF('Book Details - NO EDIT'!K74="Boy","Male","Female")</f>
        <v>Male</v>
      </c>
      <c r="F74" s="31" t="str">
        <f>IF('Book Details - NO EDIT'!T74=1,"First",IF('Book Details - NO EDIT'!T74=2,"Second",IF('Book Details - NO EDIT'!T74=3,"Third",IF('Book Details - NO EDIT'!T74=4,"Fourth",IF('Book Details - NO EDIT'!T74=5,"Fifth",IF('Book Details - NO EDIT'!T74=6,"Sixth",IF('Book Details - NO EDIT'!T74=7,"Seventh",IF('Book Details - NO EDIT'!T74=8,"Eighth",0))))))))</f>
        <v>Fourth</v>
      </c>
      <c r="G74" s="31" t="str">
        <f>'Book Details - NO EDIT'!Z74</f>
        <v>Harry (1861–1938: #44)</v>
      </c>
      <c r="H74" s="31" t="str">
        <f>'Book Details - NO EDIT'!AH74</f>
        <v>The Hon Clementina Georgina BROWNLOW (b. 13 Jan 1868, d. 1 Sep 1929)</v>
      </c>
      <c r="I74" s="31" t="str">
        <f>'Book Details - NO EDIT'!AI74</f>
        <v>Lady Moyra BRODRICK (b.11 Jan 1897, d. 1 Apr 1982)</v>
      </c>
      <c r="J74" s="199">
        <f>'Book Details - NO EDIT'!AJ74</f>
        <v>8246</v>
      </c>
      <c r="K74" s="31" t="str">
        <f>'Book Details - NO EDIT'!AK74</f>
        <v>Lady Moyra youngest daughter of the Rt Hon St John Freemantle BRODRICK, 9th Viscount, later 1st Earl of MIDLETON KP.</v>
      </c>
      <c r="L74" s="131" t="str">
        <f>'Book Details - NO EDIT'!AL74</f>
        <v>Henry, known as Charles and nicknamed "Budget", lived at Mettingham Pines, Bungay, Suffolk and was the 2nd son of Edward (1861–1938: #44). Born 21 Feb 1891. Educated Eton 1904-09 and RMC Sandhurst. Served in World War I in France as Captain Coldstream Guards and Lieut Colonel Staff (wounded 4 times) (despatches 3 times). Commanded 3rd Battalion, Coldstream Guards 1929-32. Officer Commanding Coldstream Guards Regiment 1932-34. GSO 1934-36. Brigadier, General Staff, British Troops, Egypt 1936-38. Commanded 1st Infantry Brigade (Guards) 1938-39. Served in World War II. Commanded 2nd division 1939-40. Chief of General Staff, Home Forces 1941-42. GOC-in-C Southern Command 1942-43. GOC London District 1944-47. Colonel, Coldstream Guards 1945-66. AdC General to HM King George VI 1946-47. MC 1915, DSO 1918, CB 1941, KCB 1943, KCVO 1947, GCVO 1965, Croix de Guerre (France), Comdr. Legion Merit (USA), Gd Offr. Order of Orange, Nassau with Swords (Netherlands). Retired 1947. DL 1954 Norfolk. Died 11 Nov 1973. Issue: 1 son, 1 daughter.</v>
      </c>
      <c r="M74" s="73" t="str">
        <f>'Book Details - NO EDIT'!AA74</f>
        <v xml:space="preserve">Harry (1861–1938: #44) William (1821–1885: #23) Edward (1780–1863: #8) William (1729–1800: #1)    </v>
      </c>
      <c r="N74" s="197" t="str">
        <f>'Book Details - NO EDIT'!AB74</f>
        <v xml:space="preserve">2 – William (1889–1947: #66)  Reginald (1885–1917: #81)      </v>
      </c>
      <c r="O74" s="198" t="str">
        <f>'Book Details - NO EDIT'!AC74</f>
        <v>2 - Lavinia (1923–1995: #103); Sir Julian (1926–2018: #104)</v>
      </c>
      <c r="P74" s="198" t="str">
        <f>'Book Details - NO EDIT'!AD74</f>
        <v xml:space="preserve">8 - Alexandra (1961–: #141); Charles (1963–: #146); Toby (1966–1966: #148); Mary Rose (1967–: #152)   James GORE-BROWNE (1947 - :  #103a) Georgina GORE-BROWNE (1949 - :  #103b) David GORE-BROWNE (1952 - 2012:  #103c) Patrick GORE-BROWNE (1956 - :  #103d)           </v>
      </c>
      <c r="Q74" s="191" t="str">
        <f>IF('Book Details - NO EDIT'!J74="",IF(R74=0,"Less than year on 1-Jul-2022",_xlfn.CONCAT("On 1-Jul-2022, age ",R74,'Book Details - NO EDIT'!J74)),IF(LEN(R74)=0,"Died in infancy",_xlfn.CONCAT("Died ",'Book Details - NO EDIT'!J74,","," aged ",R74)))</f>
        <v>Died 11/11/1973, aged 72</v>
      </c>
      <c r="R74" s="73">
        <f>'Book Details - NO EDIT'!AX74</f>
        <v>72</v>
      </c>
      <c r="S74" s="73" t="str">
        <f>'Book Details - NO EDIT'!AY74</f>
        <v xml:space="preserve"> - </v>
      </c>
      <c r="T74" s="73" t="str">
        <f>'Book Details - NO EDIT'!AW74</f>
        <v>England, France and Egypt</v>
      </c>
      <c r="U74" s="73">
        <f>VLOOKUP(A74,'Book Details - NO EDIT'!$A74:$S$192,13,FALSE)</f>
        <v>23</v>
      </c>
      <c r="V74" s="73">
        <f>VLOOKUP(A74,'Book Details - NO EDIT'!$A74:$S$192,12,FALSE)</f>
        <v>44</v>
      </c>
      <c r="X74" s="31">
        <f>IF(LEN('Book Details - NO EDIT'!J74)=0,0,1)</f>
        <v>1</v>
      </c>
    </row>
    <row r="75" spans="1:24" s="31" customFormat="1" ht="51">
      <c r="A75" s="125">
        <f>'Book Details - NO EDIT'!A75</f>
        <v>73</v>
      </c>
      <c r="B75" s="31" t="str">
        <f>'Book Details - NO EDIT'!Y75</f>
        <v>Eric Edward Foster LOYD</v>
      </c>
      <c r="C75" s="31" t="str">
        <f>'Book Details - NO EDIT'!V75</f>
        <v>Eric (1891–1967)</v>
      </c>
      <c r="D75" s="199" t="str">
        <f>'Book Details - NO EDIT'!I75</f>
        <v>26/04/1891</v>
      </c>
      <c r="E75" s="31" t="str">
        <f>IF('Book Details - NO EDIT'!K75="Boy","Male","Female")</f>
        <v>Male</v>
      </c>
      <c r="F75" s="31" t="str">
        <f>IF('Book Details - NO EDIT'!T75=1,"First",IF('Book Details - NO EDIT'!T75=2,"Second",IF('Book Details - NO EDIT'!T75=3,"Third",IF('Book Details - NO EDIT'!T75=4,"Fourth",IF('Book Details - NO EDIT'!T75=5,"Fifth",IF('Book Details - NO EDIT'!T75=6,"Sixth",IF('Book Details - NO EDIT'!T75=7,"Seventh",IF('Book Details - NO EDIT'!T75=8,"Eighth",0))))))))</f>
        <v>Fourth</v>
      </c>
      <c r="G75" s="31" t="str">
        <f>'Book Details - NO EDIT'!Z75</f>
        <v>Llewellyn (1861–1939: #45)</v>
      </c>
      <c r="H75" s="31" t="str">
        <f>'Book Details - NO EDIT'!AH75</f>
        <v>Rebecca Olivia LEWIS (b.13 Aug 1860, d. 18 Mar 1927)</v>
      </c>
      <c r="I75" s="31" t="str">
        <f>'Book Details - NO EDIT'!AI75</f>
        <v>Alice SCOTT-ANDERSON (b. ?, d. ?)</v>
      </c>
      <c r="J75" s="199">
        <f>'Book Details - NO EDIT'!AJ75</f>
        <v>8553</v>
      </c>
      <c r="K75" s="31" t="str">
        <f>'Book Details - NO EDIT'!AK75</f>
        <v>(1) Married at the Chapel Royal of the Savoy, London WC2, Alice daughter of Captain Thomas SCOTT-ANDERSON, Royal Navy of Newchannelkirk, Lauderdale, Berwickshire, and widow of Lamb (Marquise) O’BRYEN. (Divorced). (2) Married 8 Aug 1957 in Montreal, his cousin Norah Deane (d. 7 Jan 1965) daughter of Charles Edward McKIEL of Montreal, Canada and widow of Archie F. BAILLIE.</v>
      </c>
      <c r="L75" s="131" t="str">
        <f>'Book Details - NO EDIT'!AL75</f>
        <v xml:space="preserve">Eric lived at Lillesden, Hawkhurst, Kent before moving to Montreal, Canada and was the 2nd son of Llewellyn (1861–1939: #45). Born 26 Apr 1891 in Eastbourne. Educated Eton 1905-09 and Christ Church, Oxford 1909-10. He served in World War I in France as a Lieutenant, Royal Sussex Regiment and Royal Irish Dragoon Guards. He was seconded to the Royal Flying Corps as a Flight Lieutenant in Nov 1917. He became a prisoner of war and finally repatriated back to England 19 Dec 1918. Eric emigrated to Montrea, Canada in 1927. He served as a Lieutenant, Royal Canadian Naval Volunteer Reserve (Navy Intelligence) in WWII from 1942. He was Secretary of the Last Post Fund for the buriel of old soldiers. Eric died 12 Nov 1967 in a fire in his flat in Montreal. DSP </v>
      </c>
      <c r="M75" s="73" t="str">
        <f>'Book Details - NO EDIT'!AA75</f>
        <v xml:space="preserve">Llewellyn (1861–1939: #45) Edward (1820–1890: #22) Edward (1780–1863: #8) William (1729–1800: #1)    </v>
      </c>
      <c r="N75" s="197" t="str">
        <f>'Book Details - NO EDIT'!AB75</f>
        <v xml:space="preserve">3 – Cecil (1890–1963: #68)  Alwyne (1894–1917: #79) Ruby (1898–1977: #83)     </v>
      </c>
      <c r="O75" s="198" t="str">
        <f>'Book Details - NO EDIT'!AC75</f>
        <v>d.s.p</v>
      </c>
      <c r="P75" s="198" t="str">
        <f>'Book Details - NO EDIT'!AD75</f>
        <v>d.s.p.</v>
      </c>
      <c r="Q75" s="191" t="str">
        <f>IF('Book Details - NO EDIT'!J75="",IF(R75=0,"Less than year on 1-Jul-2022",_xlfn.CONCAT("On 1-Jul-2022, age ",R75,'Book Details - NO EDIT'!J75)),IF(LEN(R75)=0,"Died in infancy",_xlfn.CONCAT("Died ",'Book Details - NO EDIT'!J75,","," aged ",R75)))</f>
        <v>Died 12/11/1967, aged 73</v>
      </c>
      <c r="R75" s="73">
        <f>'Book Details - NO EDIT'!AX75</f>
        <v>73</v>
      </c>
      <c r="S75" s="73" t="str">
        <f>'Book Details - NO EDIT'!AY75</f>
        <v xml:space="preserve"> - </v>
      </c>
      <c r="T75" s="73" t="str">
        <f>'Book Details - NO EDIT'!AW75</f>
        <v>England, France and Canada</v>
      </c>
      <c r="U75" s="73">
        <f>VLOOKUP(A75,'Book Details - NO EDIT'!$A75:$S$192,13,FALSE)</f>
        <v>22</v>
      </c>
      <c r="V75" s="73">
        <f>VLOOKUP(A75,'Book Details - NO EDIT'!$A75:$S$192,12,FALSE)</f>
        <v>45</v>
      </c>
      <c r="X75" s="31">
        <f>IF(LEN('Book Details - NO EDIT'!J75)=0,0,1)</f>
        <v>1</v>
      </c>
    </row>
    <row r="76" spans="1:24" s="31" customFormat="1" ht="17">
      <c r="A76" s="125">
        <f>'Book Details - NO EDIT'!A76</f>
        <v>74</v>
      </c>
      <c r="B76" s="31" t="str">
        <f>'Book Details - NO EDIT'!Y76</f>
        <v>Cecily LOYD</v>
      </c>
      <c r="C76" s="31" t="str">
        <f>'Book Details - NO EDIT'!V76</f>
        <v>Cecily (1891–1891)</v>
      </c>
      <c r="D76" s="199" t="str">
        <f>'Book Details - NO EDIT'!I76</f>
        <v>03/06/1891</v>
      </c>
      <c r="E76" s="31" t="str">
        <f>IF('Book Details - NO EDIT'!K76="Boy","Male","Female")</f>
        <v>Female</v>
      </c>
      <c r="F76" s="31" t="str">
        <f>IF('Book Details - NO EDIT'!T76=1,"First",IF('Book Details - NO EDIT'!T76=2,"Second",IF('Book Details - NO EDIT'!T76=3,"Third",IF('Book Details - NO EDIT'!T76=4,"Fourth",IF('Book Details - NO EDIT'!T76=5,"Fifth",IF('Book Details - NO EDIT'!T76=6,"Sixth",IF('Book Details - NO EDIT'!T76=7,"Seventh",IF('Book Details - NO EDIT'!T76=8,"Eighth",0))))))))</f>
        <v>Fourth</v>
      </c>
      <c r="G76" s="31" t="str">
        <f>'Book Details - NO EDIT'!Z76</f>
        <v>Frederic (1856–1936: #41)</v>
      </c>
      <c r="H76" s="31" t="str">
        <f>'Book Details - NO EDIT'!AH76</f>
        <v>Isabella (Isabel) CURREY (b. 26 Apr 1855, d. 16 Jan 1926)</v>
      </c>
      <c r="I76" s="31" t="str">
        <f>'Book Details - NO EDIT'!AI76</f>
        <v>Died in infancy.</v>
      </c>
      <c r="J76" s="199" t="str">
        <f>'Book Details - NO EDIT'!AJ76</f>
        <v xml:space="preserve"> - </v>
      </c>
      <c r="K76" s="31" t="str">
        <f>'Book Details - NO EDIT'!AK76</f>
        <v xml:space="preserve"> - </v>
      </c>
      <c r="L76" s="131" t="str">
        <f>'Book Details - NO EDIT'!AL76</f>
        <v xml:space="preserve">Cecily was youngest daughter of Frederic (1856–1936: #41). Born 3 Jun 1891. Died in infancy 3 Jun 1891. Buried at All Saints’, Little Munden, Hertfordshire.                                                           </v>
      </c>
      <c r="M76" s="73" t="str">
        <f>'Book Details - NO EDIT'!AA76</f>
        <v xml:space="preserve">Frederic (1856–1936: #41) Edward (1820–1890: #22) Edward (1780–1863: #8) William (1729–1800: #1)    </v>
      </c>
      <c r="N76" s="197" t="str">
        <f>'Book Details - NO EDIT'!AB76</f>
        <v xml:space="preserve">4 – Lewis (1880–1918: #52) Edward (1881–1962: #53) Evelyn (1885–1962: #59) Mary (1887–1968: #63)     </v>
      </c>
      <c r="O76" s="198" t="str">
        <f>'Book Details - NO EDIT'!AC76</f>
        <v>d.s.p</v>
      </c>
      <c r="P76" s="198" t="str">
        <f>'Book Details - NO EDIT'!AD76</f>
        <v>d.s.p.</v>
      </c>
      <c r="Q76" s="191" t="str">
        <f>IF('Book Details - NO EDIT'!J76="",IF(R76=0,"Less than year on 1-Jul-2022",_xlfn.CONCAT("On 1-Jul-2022, age ",R76,'Book Details - NO EDIT'!J76)),IF(LEN(R76)=0,"Died in infancy",_xlfn.CONCAT("Died ",'Book Details - NO EDIT'!J76,","," aged ",R76)))</f>
        <v>Died 03/06/1891, aged 74</v>
      </c>
      <c r="R76" s="73">
        <f>'Book Details - NO EDIT'!AX76</f>
        <v>74</v>
      </c>
      <c r="S76" s="73" t="str">
        <f>'Book Details - NO EDIT'!AY76</f>
        <v xml:space="preserve"> - </v>
      </c>
      <c r="T76" s="73" t="str">
        <f>'Book Details - NO EDIT'!AW76</f>
        <v>England</v>
      </c>
      <c r="U76" s="73">
        <f>VLOOKUP(A76,'Book Details - NO EDIT'!$A76:$S$192,13,FALSE)</f>
        <v>22</v>
      </c>
      <c r="V76" s="73">
        <f>VLOOKUP(A76,'Book Details - NO EDIT'!$A76:$S$192,12,FALSE)</f>
        <v>41</v>
      </c>
      <c r="X76" s="31">
        <f>IF(LEN('Book Details - NO EDIT'!J76)=0,0,1)</f>
        <v>1</v>
      </c>
    </row>
    <row r="77" spans="1:24" s="31" customFormat="1" ht="17">
      <c r="A77" s="125">
        <f>'Book Details - NO EDIT'!A77</f>
        <v>75</v>
      </c>
      <c r="B77" s="31" t="str">
        <f>'Book Details - NO EDIT'!Y77</f>
        <v>Godfrey Beaumont LOYD</v>
      </c>
      <c r="C77" s="31" t="str">
        <f>'Book Details - NO EDIT'!V77</f>
        <v>Godfrey (1893–1917)</v>
      </c>
      <c r="D77" s="199" t="str">
        <f>'Book Details - NO EDIT'!I77</f>
        <v>10/03/1893</v>
      </c>
      <c r="E77" s="31" t="str">
        <f>IF('Book Details - NO EDIT'!K77="Boy","Male","Female")</f>
        <v>Male</v>
      </c>
      <c r="F77" s="31" t="str">
        <f>IF('Book Details - NO EDIT'!T77=1,"First",IF('Book Details - NO EDIT'!T77=2,"Second",IF('Book Details - NO EDIT'!T77=3,"Third",IF('Book Details - NO EDIT'!T77=4,"Fourth",IF('Book Details - NO EDIT'!T77=5,"Fifth",IF('Book Details - NO EDIT'!T77=6,"Sixth",IF('Book Details - NO EDIT'!T77=7,"Seventh",IF('Book Details - NO EDIT'!T77=8,"Eighth",0))))))))</f>
        <v>Fourth</v>
      </c>
      <c r="G77" s="31" t="str">
        <f>'Book Details - NO EDIT'!Z77</f>
        <v>William (1863–1923: #46)</v>
      </c>
      <c r="H77" s="31" t="str">
        <f>'Book Details - NO EDIT'!AH77</f>
        <v xml:space="preserve">Emily Diana Maria BEAUMONT (b. 25 Dec 1860, d. 4 Jul 1956) </v>
      </c>
      <c r="I77" s="31" t="str">
        <f>'Book Details - NO EDIT'!AI77</f>
        <v>Unmarried</v>
      </c>
      <c r="J77" s="199" t="str">
        <f>'Book Details - NO EDIT'!AJ77</f>
        <v xml:space="preserve"> - </v>
      </c>
      <c r="K77" s="31" t="str">
        <f>'Book Details - NO EDIT'!AK77</f>
        <v xml:space="preserve"> - </v>
      </c>
      <c r="L77" s="131" t="str">
        <f>'Book Details - NO EDIT'!AL77</f>
        <v>Godfrey was eldest son of William (1863–1923: #46). Born 10 Mar 1893. Served in World War I as Captain, Kings Royal Rifle Corps MC (Posthumously). Died, unmarried, 1 Dec 1917 of wounds received in action. Buried at Tincourt New British cemetery, France. Grave Ref. III.D.5. DSP</v>
      </c>
      <c r="M77" s="73" t="str">
        <f>'Book Details - NO EDIT'!AA77</f>
        <v xml:space="preserve">William (1863–1923: #46) William (1821–1885: #23) Edward (1780–1863: #8) William (1729–1800: #1)    </v>
      </c>
      <c r="N77" s="197" t="str">
        <f>'Book Details - NO EDIT'!AB77</f>
        <v xml:space="preserve">4 – Diana (1890–1963: #70)  Vivian (1894–1972: #78) Wilfred (1896–1955: #82) Eddie (1902–1942: #84)    </v>
      </c>
      <c r="O77" s="198" t="str">
        <f>'Book Details - NO EDIT'!AC77</f>
        <v>d.s.p</v>
      </c>
      <c r="P77" s="198" t="str">
        <f>'Book Details - NO EDIT'!AD77</f>
        <v>d.s.p.</v>
      </c>
      <c r="Q77" s="191" t="str">
        <f>IF('Book Details - NO EDIT'!J77="",IF(R77=0,"Less than year on 1-Jul-2022",_xlfn.CONCAT("On 1-Jul-2022, age ",R77,'Book Details - NO EDIT'!J77)),IF(LEN(R77)=0,"Died in infancy",_xlfn.CONCAT("Died ",'Book Details - NO EDIT'!J77,","," aged ",R77)))</f>
        <v>Died 01/12/1917, aged 75</v>
      </c>
      <c r="R77" s="73">
        <f>'Book Details - NO EDIT'!AX77</f>
        <v>75</v>
      </c>
      <c r="S77" s="73" t="str">
        <f>'Book Details - NO EDIT'!AY77</f>
        <v xml:space="preserve"> - </v>
      </c>
      <c r="T77" s="73" t="str">
        <f>'Book Details - NO EDIT'!AW77</f>
        <v>England and France</v>
      </c>
      <c r="U77" s="73">
        <f>VLOOKUP(A77,'Book Details - NO EDIT'!$A77:$S$192,13,FALSE)</f>
        <v>23</v>
      </c>
      <c r="V77" s="73">
        <f>VLOOKUP(A77,'Book Details - NO EDIT'!$A77:$S$192,12,FALSE)</f>
        <v>46</v>
      </c>
      <c r="X77" s="31">
        <f>IF(LEN('Book Details - NO EDIT'!J77)=0,0,1)</f>
        <v>1</v>
      </c>
    </row>
    <row r="78" spans="1:24" s="31" customFormat="1" ht="34">
      <c r="A78" s="125">
        <f>'Book Details - NO EDIT'!A78</f>
        <v>76</v>
      </c>
      <c r="B78" s="31" t="str">
        <f>'Book Details - NO EDIT'!Y78</f>
        <v>Edward Basil Kirkman LOYD</v>
      </c>
      <c r="C78" s="31" t="str">
        <f>'Book Details - NO EDIT'!V78</f>
        <v>Edward (1893–1932)</v>
      </c>
      <c r="D78" s="199" t="str">
        <f>'Book Details - NO EDIT'!I78</f>
        <v>14/03/1893</v>
      </c>
      <c r="E78" s="31" t="str">
        <f>IF('Book Details - NO EDIT'!K78="Boy","Male","Female")</f>
        <v>Male</v>
      </c>
      <c r="F78" s="31" t="str">
        <f>IF('Book Details - NO EDIT'!T78=1,"First",IF('Book Details - NO EDIT'!T78=2,"Second",IF('Book Details - NO EDIT'!T78=3,"Third",IF('Book Details - NO EDIT'!T78=4,"Fourth",IF('Book Details - NO EDIT'!T78=5,"Fifth",IF('Book Details - NO EDIT'!T78=6,"Sixth",IF('Book Details - NO EDIT'!T78=7,"Seventh",IF('Book Details - NO EDIT'!T78=8,"Eighth",0))))))))</f>
        <v>Fourth</v>
      </c>
      <c r="G78" s="31" t="str">
        <f>'Book Details - NO EDIT'!Z78</f>
        <v>Ted (1851–1922: #34)</v>
      </c>
      <c r="H78" s="31" t="str">
        <f>'Book Details - NO EDIT'!AH78</f>
        <v>Millicent Blandinah KESTEVEN (b. 1850/51, d. 22 Jun 1945)</v>
      </c>
      <c r="I78" s="31" t="str">
        <f>'Book Details - NO EDIT'!AI78</f>
        <v xml:space="preserve">Nora CARRUTHERS (b. 31 Mar 1907, d?) </v>
      </c>
      <c r="J78" s="199">
        <f>'Book Details - NO EDIT'!AJ78</f>
        <v>9681</v>
      </c>
      <c r="K78" s="31" t="str">
        <f>'Book Details - NO EDIT'!AK78</f>
        <v>Nora eldest daughter of Edward M. CARRUTHERS of Kelowna, British Columbia, Canada. Nora married 2ndly 1939, Charles NESS (d. 18 Jan 1983) of Oslo, Norway and had further issue.</v>
      </c>
      <c r="L78" s="131" t="str">
        <f>'Book Details - NO EDIT'!AL78</f>
        <v>Edward was the younger son of Edward (1851–1922: #34). Born 14 Mar 1893. Educated Marlborough. Served in World War I as 2nd Lieutenant Royal Irish Rifles (despatches 1917). Captain 11th/12th Bengal Cavalry. Late Probyns Horse T.A. Major British Columbia Dragoons. MC. Arrived in Kelowna in 1923. Career: Orchardist 1923-30. Hotel Manager 1930-32. Died 25 May 1932 at Kelowna, British Columbia after a car accident. Issue: 1 daughter.</v>
      </c>
      <c r="M78" s="73" t="str">
        <f>'Book Details - NO EDIT'!AA78</f>
        <v xml:space="preserve">Ted (1851–1922: #34) Thomas (1812–1857: #14) William (1770–1828: #4) William (1729–1800: #1)    </v>
      </c>
      <c r="N78" s="197" t="str">
        <f>'Book Details - NO EDIT'!AB78</f>
        <v xml:space="preserve">2 – Nan (1889–1967: #65) Arthur (1890–1974: #71)       </v>
      </c>
      <c r="O78" s="198" t="str">
        <f>'Book Details - NO EDIT'!AC78</f>
        <v>1 - Wooie (1928–1996: #107)</v>
      </c>
      <c r="P78" s="198" t="str">
        <f>'Book Details - NO EDIT'!AD78</f>
        <v xml:space="preserve">5 -    Lorraine GRAHAM (1951 - :  #107a) Nora ORR (1955 - :  #107b) Michael ORR (1956 - :  #107c) Ted ORR (1959 - :  #107d) Heather ORR (1970 - :  #107e)          </v>
      </c>
      <c r="Q78" s="191" t="str">
        <f>IF('Book Details - NO EDIT'!J78="",IF(R78=0,"Less than year on 1-Jul-2022",_xlfn.CONCAT("On 1-Jul-2022, age ",R78,'Book Details - NO EDIT'!J78)),IF(LEN(R78)=0,"Died in infancy",_xlfn.CONCAT("Died ",'Book Details - NO EDIT'!J78,","," aged ",R78)))</f>
        <v>Died 25/05/1932, aged 76</v>
      </c>
      <c r="R78" s="73">
        <f>'Book Details - NO EDIT'!AX78</f>
        <v>76</v>
      </c>
      <c r="S78" s="73" t="str">
        <f>'Book Details - NO EDIT'!AY78</f>
        <v xml:space="preserve"> - </v>
      </c>
      <c r="T78" s="73" t="str">
        <f>'Book Details - NO EDIT'!AW78</f>
        <v>England, France and Canada</v>
      </c>
      <c r="U78" s="73">
        <f>VLOOKUP(A78,'Book Details - NO EDIT'!$A78:$S$192,13,FALSE)</f>
        <v>14</v>
      </c>
      <c r="V78" s="73">
        <f>VLOOKUP(A78,'Book Details - NO EDIT'!$A78:$S$192,12,FALSE)</f>
        <v>34</v>
      </c>
      <c r="X78" s="31">
        <f>IF(LEN('Book Details - NO EDIT'!J78)=0,0,1)</f>
        <v>1</v>
      </c>
    </row>
    <row r="79" spans="1:24" s="31" customFormat="1" ht="51">
      <c r="A79" s="125">
        <f>'Book Details - NO EDIT'!A79</f>
        <v>77</v>
      </c>
      <c r="B79" s="31" t="str">
        <f>'Book Details - NO EDIT'!Y79</f>
        <v>Wilfrid Haig LOYD</v>
      </c>
      <c r="C79" s="31" t="str">
        <f>'Book Details - NO EDIT'!V79</f>
        <v>Wilfrid (1893–1971)</v>
      </c>
      <c r="D79" s="199" t="str">
        <f>'Book Details - NO EDIT'!I79</f>
        <v>13/09/1893</v>
      </c>
      <c r="E79" s="31" t="str">
        <f>IF('Book Details - NO EDIT'!K79="Boy","Male","Female")</f>
        <v>Male</v>
      </c>
      <c r="F79" s="31" t="str">
        <f>IF('Book Details - NO EDIT'!T79=1,"First",IF('Book Details - NO EDIT'!T79=2,"Second",IF('Book Details - NO EDIT'!T79=3,"Third",IF('Book Details - NO EDIT'!T79=4,"Fourth",IF('Book Details - NO EDIT'!T79=5,"Fifth",IF('Book Details - NO EDIT'!T79=6,"Sixth",IF('Book Details - NO EDIT'!T79=7,"Seventh",IF('Book Details - NO EDIT'!T79=8,"Eighth",0))))))))</f>
        <v>Fourth</v>
      </c>
      <c r="G79" s="31" t="str">
        <f>'Book Details - NO EDIT'!Z79</f>
        <v>Archie (1847–1922: #30)</v>
      </c>
      <c r="H79" s="31" t="str">
        <f>'Book Details - NO EDIT'!AH79</f>
        <v>Henrietta Louisa CLUTTERBUCK (b. 23 Jan 1856, d. 14 Jan 1931)</v>
      </c>
      <c r="I79" s="31" t="str">
        <f>'Book Details - NO EDIT'!AI79</f>
        <v>Emily Charlotte Eileen OAKELEY (b. 28 Jan 1896, d. 8 May 1978)</v>
      </c>
      <c r="J79" s="199">
        <f>'Book Details - NO EDIT'!AJ79</f>
        <v>8036</v>
      </c>
      <c r="K79" s="31" t="str">
        <f>'Book Details - NO EDIT'!AK79</f>
        <v>Emily MBE younger daughter of Captain Sir Charles John OAKELEY Bart: Queen’s Own Regiment, of Frittenden, Kent. cremated 17 May 1978 at Putney Vale, ashes interred 27 May 1978 in family grave at West Hendred.</v>
      </c>
      <c r="L79" s="131" t="str">
        <f>'Book Details - NO EDIT'!AL79</f>
        <v>Wilfred lived at 36 Chester Square, London SW1 and later of Oakhill, Seaview, Isle of Wight. He was 4th and youngest son of Archie (1847–1922: #30). Born 13 Sep 1893 at Hodcott, West Ilsley, Berkshire. Baptised 19 Nov 1893 at West Ilsley. Educated privately and Trinity College, Cambridge. Served in World War I 1914-19. Enlisted as Corporal, Despatch Rider. Served in 1st battle of Ypres. Lieutenant RTO 1915. Captain, Royal Engineers. Member, London Stock Exchange 1922-28. Chairman, Young Conservatives Union 1933-39. Died 17 Sep 1971 at Oakhill, Seaview, Isle of Wight.  Cremated 22 Sep 1971 at Newport, Isle of Wight. Ashes interred in family grave at West Hendred. Issue: 3 sons, 1 daughter.</v>
      </c>
      <c r="M79" s="73" t="str">
        <f>'Book Details - NO EDIT'!AA79</f>
        <v xml:space="preserve">Archie (1847–1922: #30) Thomas (1812–1857: #14) William (1770–1828: #4) William (1729–1800: #1)    </v>
      </c>
      <c r="N79" s="197" t="str">
        <f>'Book Details - NO EDIT'!AB79</f>
        <v xml:space="preserve">3 – Reggie (1886–1961: #61) Bobby (1887–1977: #62) Geoffrey (1890–1914: #69)      </v>
      </c>
      <c r="O79" s="198" t="str">
        <f>'Book Details - NO EDIT'!AC79</f>
        <v>4 - Peter (1922–2022: #98); Geoffrey (1926–2018: #105); Denise (1928–: #106); Andrew (1934–1975: #111)</v>
      </c>
      <c r="P79" s="198" t="str">
        <f>'Book Details - NO EDIT'!AD79</f>
        <v xml:space="preserve">9 - Martin (1949–: #122); Julie (1952–: #128); Penelope (1954–1954: #132); Jeremy (1954–: #133); William (1955–: #134); Tony (1963–: #145); Sophie (1969–: #154)   The Hon Geva WINN (1955 - :  #106a) Charles WINN (1959 - :  #106b)             </v>
      </c>
      <c r="Q79" s="191" t="str">
        <f>IF('Book Details - NO EDIT'!J79="",IF(R79=0,"Less than year on 1-Jul-2022",_xlfn.CONCAT("On 1-Jul-2022, age ",R79,'Book Details - NO EDIT'!J79)),IF(LEN(R79)=0,"Died in infancy",_xlfn.CONCAT("Died ",'Book Details - NO EDIT'!J79,","," aged ",R79)))</f>
        <v>Died 17/09/1971, aged 77</v>
      </c>
      <c r="R79" s="73">
        <f>'Book Details - NO EDIT'!AX79</f>
        <v>77</v>
      </c>
      <c r="S79" s="73" t="str">
        <f>'Book Details - NO EDIT'!AY79</f>
        <v xml:space="preserve"> - </v>
      </c>
      <c r="T79" s="73" t="str">
        <f>'Book Details - NO EDIT'!AW79</f>
        <v>England and France</v>
      </c>
      <c r="U79" s="73">
        <f>VLOOKUP(A79,'Book Details - NO EDIT'!$A79:$S$192,13,FALSE)</f>
        <v>14</v>
      </c>
      <c r="V79" s="73">
        <f>VLOOKUP(A79,'Book Details - NO EDIT'!$A79:$S$192,12,FALSE)</f>
        <v>30</v>
      </c>
      <c r="X79" s="31">
        <f>IF(LEN('Book Details - NO EDIT'!J79)=0,0,1)</f>
        <v>1</v>
      </c>
    </row>
    <row r="80" spans="1:24" s="31" customFormat="1" ht="68">
      <c r="A80" s="125">
        <f>'Book Details - NO EDIT'!A80</f>
        <v>78</v>
      </c>
      <c r="B80" s="31" t="str">
        <f>'Book Details - NO EDIT'!Y80</f>
        <v>Vivian Graham LOYD</v>
      </c>
      <c r="C80" s="31" t="str">
        <f>'Book Details - NO EDIT'!V80</f>
        <v>Vivian (1894–1972)</v>
      </c>
      <c r="D80" s="199" t="str">
        <f>'Book Details - NO EDIT'!I80</f>
        <v>13/05/1894</v>
      </c>
      <c r="E80" s="31" t="str">
        <f>IF('Book Details - NO EDIT'!K80="Boy","Male","Female")</f>
        <v>Male</v>
      </c>
      <c r="F80" s="31" t="str">
        <f>IF('Book Details - NO EDIT'!T80=1,"First",IF('Book Details - NO EDIT'!T80=2,"Second",IF('Book Details - NO EDIT'!T80=3,"Third",IF('Book Details - NO EDIT'!T80=4,"Fourth",IF('Book Details - NO EDIT'!T80=5,"Fifth",IF('Book Details - NO EDIT'!T80=6,"Sixth",IF('Book Details - NO EDIT'!T80=7,"Seventh",IF('Book Details - NO EDIT'!T80=8,"Eighth",0))))))))</f>
        <v>Fourth</v>
      </c>
      <c r="G80" s="31" t="str">
        <f>'Book Details - NO EDIT'!Z80</f>
        <v>William (1863–1923: #46)</v>
      </c>
      <c r="H80" s="31" t="str">
        <f>'Book Details - NO EDIT'!AH80</f>
        <v xml:space="preserve">Emily Diana Maria BEAUMONT (b. 25 Dec 1860, d. 4 Jul 1956) </v>
      </c>
      <c r="I80" s="31" t="str">
        <f>'Book Details - NO EDIT'!AI80</f>
        <v>Enid Beatrice COBB (b. 25 Feb 1900, d. 18 Jun 1990).</v>
      </c>
      <c r="J80" s="199">
        <f>'Book Details - NO EDIT'!AJ80</f>
        <v>9090</v>
      </c>
      <c r="K80" s="110" t="str">
        <f>'Book Details - NO EDIT'!AK80</f>
        <v>Married (1) 19 Nov 1924 Enid Beatrice younger daughter of John Henry COBB of St. James’s Court, London SW1. (Div). Married (2) 7 Jan 1937 Phyllis Mary Porter daughter of Colonel Archibald Montgomery TRINGHAM OBE, DSO of Fallowfield, Puttenham, Nr. Guildford, Surrey. (Divorced). Married (3) 29 Nov 1950 Veronica Elizabeth  daughter of Hugh Arthur HAYNES.</v>
      </c>
      <c r="L80" s="131" t="str">
        <f>'Book Details - NO EDIT'!AL80</f>
        <v>Vivian lived at Cowarth Park Farm, Sunningdale, Berkshire and was the 2nd son of William (1863–1923: #46). Born 13 May 1894. Educated Wellington. Served in World War I and was commissioned as a Second Lieutenant in the 4th Home Counties (Cinque Ports) Brigade, Royal Field Artillery on 1 May 1913. He served in India from 1914–1916 and Mesopotamia from 1916, where he contracted tuberculosis, which was the reason for his subsequent health problems. He ended the war as a Captain. Career: He founded his own company, Vivian Loyd &amp; Co  as an engineer and later in partnership with John CARDEN, he was responsible for the Carden Loyd carrier used by the Army during World War II. In August 1938, they presented a prototype of a low-cost light tracked artillery tractor and it was subsequently ordered by the British army and during the war, more than 26,000 units were built –2,790 from Loyd’s factory. After the war, he built crawler tractors and agricultural machinery. Vivian died 19 Mar 1972 at Princess Christian Nursing Home, Windsor. Issue: (2nd wife) 1 son, 1 daughter. (3rd wife) 1 son, 1 daughter.</v>
      </c>
      <c r="M80" s="73" t="str">
        <f>'Book Details - NO EDIT'!AA80</f>
        <v xml:space="preserve">William (1863–1923: #46) William (1821–1885: #23) Edward (1780–1863: #8) William (1729–1800: #1)    </v>
      </c>
      <c r="N80" s="197" t="str">
        <f>'Book Details - NO EDIT'!AB80</f>
        <v xml:space="preserve">4 – Diana (1890–1963: #70) Godfrey (1893–1917: #75)  Wilfred (1896–1955: #82) Eddie (1902–1942: #84)    </v>
      </c>
      <c r="O80" s="198" t="str">
        <f>'Book Details - NO EDIT'!AC80</f>
        <v>4 - Willie (1937–1994: #113); Belinda (1939–2018: #115); Vivian (1951–: #127); Ginie (1961–: #140)</v>
      </c>
      <c r="P80" s="198" t="str">
        <f>'Book Details - NO EDIT'!AD80</f>
        <v xml:space="preserve">8 - Anthony (1966–: #149)   The Hon Isabel CROSSLEY (1964 - :  #115a) The Hon Camilla CROSSLEY (1967 - :  #115b) The Hon Alicia CROSSLEY (1969 - :  #115c) The Hon Hugh CROSSLEY (1971 - :  #115d) The Hon Bridget CROSSLEY (1974 - :  #115e) Daisy MILLER (1995 - :  #140a) Violet MILLER (1995 - :  #140b)        </v>
      </c>
      <c r="Q80" s="191" t="str">
        <f>IF('Book Details - NO EDIT'!J80="",IF(R80=0,"Less than year on 1-Jul-2022",_xlfn.CONCAT("On 1-Jul-2022, age ",R80,'Book Details - NO EDIT'!J80)),IF(LEN(R80)=0,"Died in infancy",_xlfn.CONCAT("Died ",'Book Details - NO EDIT'!J80,","," aged ",R80)))</f>
        <v>Died 19/03/1972, aged 78</v>
      </c>
      <c r="R80" s="73">
        <f>'Book Details - NO EDIT'!AX80</f>
        <v>78</v>
      </c>
      <c r="S80" s="73" t="str">
        <f>'Book Details - NO EDIT'!AY80</f>
        <v xml:space="preserve"> - </v>
      </c>
      <c r="T80" s="73" t="str">
        <f>'Book Details - NO EDIT'!AW80</f>
        <v>England</v>
      </c>
      <c r="U80" s="73">
        <f>VLOOKUP(A80,'Book Details - NO EDIT'!$A80:$S$192,13,FALSE)</f>
        <v>23</v>
      </c>
      <c r="V80" s="73">
        <f>VLOOKUP(A80,'Book Details - NO EDIT'!$A80:$S$192,12,FALSE)</f>
        <v>46</v>
      </c>
      <c r="X80" s="31">
        <f>IF(LEN('Book Details - NO EDIT'!J80)=0,0,1)</f>
        <v>1</v>
      </c>
    </row>
    <row r="81" spans="1:24" s="31" customFormat="1" ht="119">
      <c r="A81" s="125">
        <f>'Book Details - NO EDIT'!A81</f>
        <v>79</v>
      </c>
      <c r="B81" s="31" t="str">
        <f>'Book Details - NO EDIT'!Y81</f>
        <v>Alwyne Travers LOYD</v>
      </c>
      <c r="C81" s="31" t="str">
        <f>'Book Details - NO EDIT'!V81</f>
        <v>Alwyne (1894–1917)</v>
      </c>
      <c r="D81" s="199" t="str">
        <f>'Book Details - NO EDIT'!I81</f>
        <v>12/07/1894</v>
      </c>
      <c r="E81" s="31" t="str">
        <f>IF('Book Details - NO EDIT'!K81="Boy","Male","Female")</f>
        <v>Male</v>
      </c>
      <c r="F81" s="31" t="str">
        <f>IF('Book Details - NO EDIT'!T81=1,"First",IF('Book Details - NO EDIT'!T81=2,"Second",IF('Book Details - NO EDIT'!T81=3,"Third",IF('Book Details - NO EDIT'!T81=4,"Fourth",IF('Book Details - NO EDIT'!T81=5,"Fifth",IF('Book Details - NO EDIT'!T81=6,"Sixth",IF('Book Details - NO EDIT'!T81=7,"Seventh",IF('Book Details - NO EDIT'!T81=8,"Eighth",0))))))))</f>
        <v>Fourth</v>
      </c>
      <c r="G81" s="31" t="str">
        <f>'Book Details - NO EDIT'!Z81</f>
        <v>Llewellyn (1861–1939: #45)</v>
      </c>
      <c r="H81" s="31" t="str">
        <f>'Book Details - NO EDIT'!AH81</f>
        <v>Rebecca Olivia LEWIS (b.13 Aug 1860, d. 18 Mar 1927)</v>
      </c>
      <c r="I81" s="31" t="str">
        <f>'Book Details - NO EDIT'!AI81</f>
        <v>Unmarried</v>
      </c>
      <c r="J81" s="199" t="str">
        <f>'Book Details - NO EDIT'!AJ81</f>
        <v xml:space="preserve"> - </v>
      </c>
      <c r="K81" s="31" t="str">
        <f>'Book Details - NO EDIT'!AK81</f>
        <v xml:space="preserve"> - </v>
      </c>
      <c r="L81" s="131" t="str">
        <f>'Book Details - NO EDIT'!AL81</f>
        <v>Alwyne was the 3rd and youngest son of Llewellyn (1861–1939: #45). Born 12 Jul 1894. Educated Eton 1907-13. Served in World War I in France. Alwyne  joined the 5th Buffs (East Kent Regiment) as Lieutenant on the outbreak of war, transferring to the RFC and joined 25 squadron on 22 June 1916, aged 21, claiming his first two victories. While serving with 25 Squadron he became a close friend of Arthur Tedder, who later became Marshal of the Royal Air Force]. Alwyne subsequently served in 22 Squadron, and after a rest, joined 32 Squadron in mid 1917, becoming Captain and Flight Commander [1] before he claimed his final four victories to become an 'Ace' .[2] Alwyne was killed in action, 28 September 1917, when his A9211 DH5 aircraft was shot down by anti-aircraft fire at 1pm (caught in enemy barrage), during offensive patrol, over Zillebeke Lake, Belgium.The village of Zillebeke is located about one and a half miles south-east of Ypres, and there is a lake of the same name nearby. Alwyne died at the age of 23 and is buried in Lijssenthoek Military Cemetery, Poperinge, Belgium  (Grave reference XXV - J – 1)  [Website: www.lijssenthoek.be]   Footnote: [1]   Article from the Old Hawkhurst News (Volume 3) dated 1917. The officer commanding his squadron in France, in a letter to his father writes:  “He was second in command of the squadron and would shortly be promoted squadron commander. He was considered to be the best pilot and during his last battle kept the squadron together by his leadership and bravery. He was the life and sole of the men and it impossible to say how much he is missed.” [2] Historically, a flying ace was defined as a military aviator credited with shooting down five or more enemy aircraft during aerial combat. Rob (1949– : #124) is in possession of Alwyne's original flying manual, which was a war service publication, and an undated painting he did of a couple of racing cars.</v>
      </c>
      <c r="M81" s="73" t="str">
        <f>'Book Details - NO EDIT'!AA81</f>
        <v xml:space="preserve">Llewellyn (1861–1939: #45) Edward (1820–1890: #22) Edward (1780–1863: #8) William (1729–1800: #1)    </v>
      </c>
      <c r="N81" s="197" t="str">
        <f>'Book Details - NO EDIT'!AB81</f>
        <v xml:space="preserve">3 – Cecil (1890–1963: #68) Eric (1891–1967: #73)  Ruby (1898–1977: #83)     </v>
      </c>
      <c r="O81" s="198" t="str">
        <f>'Book Details - NO EDIT'!AC81</f>
        <v>d.s.p</v>
      </c>
      <c r="P81" s="198" t="str">
        <f>'Book Details - NO EDIT'!AD81</f>
        <v>d.s.p.</v>
      </c>
      <c r="Q81" s="191" t="str">
        <f>IF('Book Details - NO EDIT'!J81="",IF(R81=0,"Less than year on 1-Jul-2022",_xlfn.CONCAT("On 1-Jul-2022, age ",R81,'Book Details - NO EDIT'!J81)),IF(LEN(R81)=0,"Died in infancy",_xlfn.CONCAT("Died ",'Book Details - NO EDIT'!J81,","," aged ",R81)))</f>
        <v>Died 28/09/1917, aged 79</v>
      </c>
      <c r="R81" s="73">
        <f>'Book Details - NO EDIT'!AX81</f>
        <v>79</v>
      </c>
      <c r="S81" s="73" t="str">
        <f>'Book Details - NO EDIT'!AY81</f>
        <v xml:space="preserve"> - </v>
      </c>
      <c r="T81" s="73" t="str">
        <f>'Book Details - NO EDIT'!AW81</f>
        <v>England and France</v>
      </c>
      <c r="U81" s="73">
        <f>VLOOKUP(A81,'Book Details - NO EDIT'!$A81:$S$192,13,FALSE)</f>
        <v>22</v>
      </c>
      <c r="V81" s="73">
        <f>VLOOKUP(A81,'Book Details - NO EDIT'!$A81:$S$192,12,FALSE)</f>
        <v>45</v>
      </c>
      <c r="X81" s="31">
        <f>IF(LEN('Book Details - NO EDIT'!J81)=0,0,1)</f>
        <v>1</v>
      </c>
    </row>
    <row r="82" spans="1:24" s="31" customFormat="1" ht="51">
      <c r="A82" s="125">
        <f>'Book Details - NO EDIT'!A82</f>
        <v>80</v>
      </c>
      <c r="B82" s="31" t="str">
        <f>'Book Details - NO EDIT'!Y82</f>
        <v>Eric William LOYD</v>
      </c>
      <c r="C82" s="31" t="str">
        <f>'Book Details - NO EDIT'!V82</f>
        <v>Eric (1894–1963)</v>
      </c>
      <c r="D82" s="199" t="str">
        <f>'Book Details - NO EDIT'!I82</f>
        <v>28/09/1894</v>
      </c>
      <c r="E82" s="31" t="str">
        <f>IF('Book Details - NO EDIT'!K82="Boy","Male","Female")</f>
        <v>Male</v>
      </c>
      <c r="F82" s="31" t="str">
        <f>IF('Book Details - NO EDIT'!T82=1,"First",IF('Book Details - NO EDIT'!T82=2,"Second",IF('Book Details - NO EDIT'!T82=3,"Third",IF('Book Details - NO EDIT'!T82=4,"Fourth",IF('Book Details - NO EDIT'!T82=5,"Fifth",IF('Book Details - NO EDIT'!T82=6,"Sixth",IF('Book Details - NO EDIT'!T82=7,"Seventh",IF('Book Details - NO EDIT'!T82=8,"Eighth",0))))))))</f>
        <v>Fourth</v>
      </c>
      <c r="G82" s="31" t="str">
        <f>'Book Details - NO EDIT'!Z82</f>
        <v>Arthur (1845–1930: #29)</v>
      </c>
      <c r="H82" s="31" t="str">
        <f>'Book Details - NO EDIT'!AH82</f>
        <v>Mary Douglas Reid (Minnie) AULD (b. 3 Aug 1850, d. May 1938)</v>
      </c>
      <c r="I82" s="31" t="str">
        <f>'Book Details - NO EDIT'!AI82</f>
        <v>Isabel Mary Beatrix PARKER (b. 22 Feb 1903, d. 13 Jan 1992)</v>
      </c>
      <c r="J82" s="199">
        <f>'Book Details - NO EDIT'!AJ82</f>
        <v>11471</v>
      </c>
      <c r="K82" s="31" t="str">
        <f>'Book Details - NO EDIT'!AK82</f>
        <v>Married, at the Brompton Oratory, London SW7, Isabel 2nd daughter of Colonel John William Robinson PARKER CB, FSA, DL of Browsholme Hall, Clitheroe, Lancashire and of Alkincoats, Lancashire. Isabel buried with her husband at St Peter’s, Marlow.</v>
      </c>
      <c r="L82" s="131" t="str">
        <f>'Book Details - NO EDIT'!AL82</f>
        <v>Eric lived at The Dene, Riverwoods, Marlow, Buckinghamshire and previously of Thurloe Square, London SW7 and was the only son of Arthur (1845–1930: #29). Born 29 Sep 1894, baptised 9 Nov 1894 at St. James’s, Spanish Place, London W1. Educated Eton 1908-12 and Magdalen College, Oxford. Served in World War I in France and Balkans. Captain, Green Howards 1914-26. (Wounded Loos 1915) (despatches). Att. MGC. Selonica and South Russia 1916-19. Served in World War II as Captain Staff, War Office and Royal Hospital, Chelsea. Died 19 Apr 1963, buried at St Peter’s, Marlow. Issue: 2 sons, 2 daughters.</v>
      </c>
      <c r="M82" s="73" t="str">
        <f>'Book Details - NO EDIT'!AA82</f>
        <v xml:space="preserve">Arthur (1845–1930: #29) Thomas (1812–1857: #14) William (1770–1828: #4) William (1729–1800: #1)    </v>
      </c>
      <c r="N82" s="197" t="str">
        <f>'Book Details - NO EDIT'!AB82</f>
        <v>0 – Only chlid</v>
      </c>
      <c r="O82" s="198" t="str">
        <f>'Book Details - NO EDIT'!AC82</f>
        <v>4 - Margaret (1932–: #109); Jean (1933–: #110); Michael (1938–: #114); Peter (1942–: #119)</v>
      </c>
      <c r="P82" s="198" t="str">
        <f>'Book Details - NO EDIT'!AD82</f>
        <v xml:space="preserve">13 - William (1973–: #155); Amy (1975–: #156); Tess (1975–: #157); Chloe (1977–: #158); Daisy (1979–: #159); Molly (1982–: #161); Harriet (1984–: #163)   Jennet WALTON (1964 - :  #109a) Timothy WALTON (1967 - :  #109b) John BOYCE (1961 - :  #110a) Joanna BOYCE (1963 - :  #110b) Robert BOYCE (1964 - :  #110c) Paula BOYCE (1966 - :  #110d)         </v>
      </c>
      <c r="Q82" s="191" t="str">
        <f>IF('Book Details - NO EDIT'!J82="",IF(R82=0,"Less than year on 1-Jul-2022",_xlfn.CONCAT("On 1-Jul-2022, age ",R82,'Book Details - NO EDIT'!J82)),IF(LEN(R82)=0,"Died in infancy",_xlfn.CONCAT("Died ",'Book Details - NO EDIT'!J82,","," aged ",R82)))</f>
        <v>Died 19/04/1963, aged 80</v>
      </c>
      <c r="R82" s="73">
        <f>'Book Details - NO EDIT'!AX82</f>
        <v>80</v>
      </c>
      <c r="S82" s="73" t="str">
        <f>'Book Details - NO EDIT'!AY82</f>
        <v xml:space="preserve"> - </v>
      </c>
      <c r="T82" s="73" t="str">
        <f>'Book Details - NO EDIT'!AW82</f>
        <v>England, France and some Balkan states.</v>
      </c>
      <c r="U82" s="73">
        <f>VLOOKUP(A82,'Book Details - NO EDIT'!$A82:$S$192,13,FALSE)</f>
        <v>14</v>
      </c>
      <c r="V82" s="73">
        <f>VLOOKUP(A82,'Book Details - NO EDIT'!$A82:$S$192,12,FALSE)</f>
        <v>29</v>
      </c>
      <c r="X82" s="31">
        <f>IF(LEN('Book Details - NO EDIT'!J82)=0,0,1)</f>
        <v>1</v>
      </c>
    </row>
    <row r="83" spans="1:24" s="31" customFormat="1" ht="34">
      <c r="A83" s="125">
        <f>'Book Details - NO EDIT'!A83</f>
        <v>81</v>
      </c>
      <c r="B83" s="31" t="str">
        <f>'Book Details - NO EDIT'!Y83</f>
        <v>Reginald Percy LOYD</v>
      </c>
      <c r="C83" s="31" t="str">
        <f>'Book Details - NO EDIT'!V83</f>
        <v>Reginald (1885–1917)</v>
      </c>
      <c r="D83" s="199" t="str">
        <f>'Book Details - NO EDIT'!I83</f>
        <v>20/06/1885</v>
      </c>
      <c r="E83" s="31" t="str">
        <f>IF('Book Details - NO EDIT'!K83="Boy","Male","Female")</f>
        <v>Male</v>
      </c>
      <c r="F83" s="31" t="str">
        <f>IF('Book Details - NO EDIT'!T83=1,"First",IF('Book Details - NO EDIT'!T83=2,"Second",IF('Book Details - NO EDIT'!T83=3,"Third",IF('Book Details - NO EDIT'!T83=4,"Fourth",IF('Book Details - NO EDIT'!T83=5,"Fifth",IF('Book Details - NO EDIT'!T83=6,"Sixth",IF('Book Details - NO EDIT'!T83=7,"Seventh",IF('Book Details - NO EDIT'!T83=8,"Eighth",0))))))))</f>
        <v>Fourth</v>
      </c>
      <c r="G83" s="31" t="str">
        <f>'Book Details - NO EDIT'!Z83</f>
        <v>Harry (1861–1938: #44)</v>
      </c>
      <c r="H83" s="31" t="str">
        <f>'Book Details - NO EDIT'!AH83</f>
        <v>The Hon Clementina Georgina BROWNLOW (b. 13 Jan 1868, d. 1 Sep 1929)</v>
      </c>
      <c r="I83" s="31" t="str">
        <f>'Book Details - NO EDIT'!AI83</f>
        <v>Unmarried</v>
      </c>
      <c r="J83" s="199" t="str">
        <f>'Book Details - NO EDIT'!AJ83</f>
        <v xml:space="preserve"> - </v>
      </c>
      <c r="K83" s="31" t="str">
        <f>'Book Details - NO EDIT'!AK83</f>
        <v xml:space="preserve"> - </v>
      </c>
      <c r="L83" s="131" t="str">
        <f>'Book Details - NO EDIT'!AL83</f>
        <v>Reginald was the 3rd and youngest son of Edward (1861–1938: #44) Born 20 Jun 1895. Educated Eton 1909-14. Served in World War I in France as Captain, Coldstream Guards MC. Killed in action at Gonnelieu 1 Dec 1917. Buried at Metz-en-Couture communal cemetery, British extension, France. Grave Ref. II.I.15. Died unmarried and DSP</v>
      </c>
      <c r="M83" s="73" t="str">
        <f>'Book Details - NO EDIT'!AA83</f>
        <v xml:space="preserve">Harry (1861–1938: #44) William (1821–1885: #23) Edward (1780–1863: #8) William (1729–1800: #1)    </v>
      </c>
      <c r="N83" s="197" t="str">
        <f>'Book Details - NO EDIT'!AB83</f>
        <v xml:space="preserve">2 – William (1889–1947: #66) Charles (1891–1973: #72)       </v>
      </c>
      <c r="O83" s="198" t="str">
        <f>'Book Details - NO EDIT'!AC83</f>
        <v>d.s.p</v>
      </c>
      <c r="P83" s="198" t="str">
        <f>'Book Details - NO EDIT'!AD83</f>
        <v>d.s.p.</v>
      </c>
      <c r="Q83" s="191" t="str">
        <f>IF('Book Details - NO EDIT'!J83="",IF(R83=0,"Less than year on 1-Jul-2022",_xlfn.CONCAT("On 1-Jul-2022, age ",R83,'Book Details - NO EDIT'!J83)),IF(LEN(R83)=0,"Died in infancy",_xlfn.CONCAT("Died ",'Book Details - NO EDIT'!J83,","," aged ",R83)))</f>
        <v>Died 01/12/1917, aged 81</v>
      </c>
      <c r="R83" s="73">
        <f>'Book Details - NO EDIT'!AX83</f>
        <v>81</v>
      </c>
      <c r="S83" s="73" t="str">
        <f>'Book Details - NO EDIT'!AY83</f>
        <v xml:space="preserve"> - </v>
      </c>
      <c r="T83" s="73" t="str">
        <f>'Book Details - NO EDIT'!AW83</f>
        <v>England</v>
      </c>
      <c r="U83" s="73">
        <f>VLOOKUP(A83,'Book Details - NO EDIT'!$A83:$S$192,13,FALSE)</f>
        <v>23</v>
      </c>
      <c r="V83" s="73">
        <f>VLOOKUP(A83,'Book Details - NO EDIT'!$A83:$S$192,12,FALSE)</f>
        <v>44</v>
      </c>
      <c r="X83" s="31">
        <f>IF(LEN('Book Details - NO EDIT'!J83)=0,0,1)</f>
        <v>1</v>
      </c>
    </row>
    <row r="84" spans="1:24" s="31" customFormat="1" ht="51">
      <c r="A84" s="125">
        <f>'Book Details - NO EDIT'!A84</f>
        <v>82</v>
      </c>
      <c r="B84" s="31" t="str">
        <f>'Book Details - NO EDIT'!Y84</f>
        <v>Wilfred Everard LOYD</v>
      </c>
      <c r="C84" s="31" t="str">
        <f>'Book Details - NO EDIT'!V84</f>
        <v>Wilfred (1896–1955)</v>
      </c>
      <c r="D84" s="199" t="str">
        <f>'Book Details - NO EDIT'!I84</f>
        <v>14/07/1896</v>
      </c>
      <c r="E84" s="31" t="str">
        <f>IF('Book Details - NO EDIT'!K84="Boy","Male","Female")</f>
        <v>Male</v>
      </c>
      <c r="F84" s="31" t="str">
        <f>IF('Book Details - NO EDIT'!T84=1,"First",IF('Book Details - NO EDIT'!T84=2,"Second",IF('Book Details - NO EDIT'!T84=3,"Third",IF('Book Details - NO EDIT'!T84=4,"Fourth",IF('Book Details - NO EDIT'!T84=5,"Fifth",IF('Book Details - NO EDIT'!T84=6,"Sixth",IF('Book Details - NO EDIT'!T84=7,"Seventh",IF('Book Details - NO EDIT'!T84=8,"Eighth",0))))))))</f>
        <v>Fourth</v>
      </c>
      <c r="G84" s="31" t="str">
        <f>'Book Details - NO EDIT'!Z84</f>
        <v>William (1863–1923: #46)</v>
      </c>
      <c r="H84" s="31" t="str">
        <f>'Book Details - NO EDIT'!AH84</f>
        <v xml:space="preserve">Emily Diana Maria BEAUMONT (b. 25 Dec 1860, d. 4 Jul 1956) </v>
      </c>
      <c r="I84" s="31" t="str">
        <f>'Book Details - NO EDIT'!AI84</f>
        <v>Unmarried</v>
      </c>
      <c r="J84" s="199" t="str">
        <f>'Book Details - NO EDIT'!AJ84</f>
        <v xml:space="preserve"> - </v>
      </c>
      <c r="K84" s="31" t="str">
        <f>'Book Details - NO EDIT'!AK84</f>
        <v xml:space="preserve"> - </v>
      </c>
      <c r="L84" s="131" t="str">
        <f>'Book Details - NO EDIT'!AL84</f>
        <v>Wilfred was the 3rd son of William (1863–1923: #46). Born 14 Jul 1896. Captain, Royal Engineers MC. "Gazette Issue No. 30251 – Military Cross. His Majesty the King has been graciously pleased to confer the Military Cross on the undermentioned Officers and Warrant Officers in recognition of their gallantry and devotion to duty In the Field. For conspicuous gallantry and devotion to duty whilst consolidating positions. He showed great gallantry and determination, carrying on his work in spite of heavy hostile shelling, and setting a splendid example by his disregard for his personal safety. His work on all occasions has been excellent." Wilfred died, unmarried, 11 Oct 1955. DSP</v>
      </c>
      <c r="M84" s="73" t="str">
        <f>'Book Details - NO EDIT'!AA84</f>
        <v xml:space="preserve">William (1863–1923: #46) William (1821–1885: #23) Edward (1780–1863: #8) William (1729–1800: #1)    </v>
      </c>
      <c r="N84" s="197" t="str">
        <f>'Book Details - NO EDIT'!AB84</f>
        <v xml:space="preserve">4 – Diana (1890–1963: #70) Godfrey (1893–1917: #75) Vivian (1894–1972: #78)  Eddie (1902–1942: #84)    </v>
      </c>
      <c r="O84" s="198" t="str">
        <f>'Book Details - NO EDIT'!AC84</f>
        <v>d.s.p</v>
      </c>
      <c r="P84" s="198" t="str">
        <f>'Book Details - NO EDIT'!AD84</f>
        <v>d.s.p.</v>
      </c>
      <c r="Q84" s="191" t="str">
        <f>IF('Book Details - NO EDIT'!J84="",IF(R84=0,"Less than year on 1-Jul-2022",_xlfn.CONCAT("On 1-Jul-2022, age ",R84,'Book Details - NO EDIT'!J84)),IF(LEN(R84)=0,"Died in infancy",_xlfn.CONCAT("Died ",'Book Details - NO EDIT'!J84,","," aged ",R84)))</f>
        <v>Died 11/10/1955, aged 82</v>
      </c>
      <c r="R84" s="73">
        <f>'Book Details - NO EDIT'!AX84</f>
        <v>82</v>
      </c>
      <c r="S84" s="73" t="str">
        <f>'Book Details - NO EDIT'!AY84</f>
        <v xml:space="preserve"> - </v>
      </c>
      <c r="T84" s="73" t="str">
        <f>'Book Details - NO EDIT'!AW84</f>
        <v>England</v>
      </c>
      <c r="U84" s="73">
        <f>VLOOKUP(A84,'Book Details - NO EDIT'!$A84:$S$192,13,FALSE)</f>
        <v>23</v>
      </c>
      <c r="V84" s="73">
        <f>VLOOKUP(A84,'Book Details - NO EDIT'!$A84:$S$192,12,FALSE)</f>
        <v>46</v>
      </c>
      <c r="X84" s="31">
        <f>IF(LEN('Book Details - NO EDIT'!J84)=0,0,1)</f>
        <v>1</v>
      </c>
    </row>
    <row r="85" spans="1:24" s="31" customFormat="1" ht="51">
      <c r="A85" s="125">
        <f>'Book Details - NO EDIT'!A85</f>
        <v>83</v>
      </c>
      <c r="B85" s="31" t="str">
        <f>'Book Details - NO EDIT'!Y85</f>
        <v>Ruby May LOYD</v>
      </c>
      <c r="C85" s="31" t="str">
        <f>'Book Details - NO EDIT'!V85</f>
        <v>Ruby (1898–1977)</v>
      </c>
      <c r="D85" s="199" t="str">
        <f>'Book Details - NO EDIT'!I85</f>
        <v>11/05/1898</v>
      </c>
      <c r="E85" s="31" t="str">
        <f>IF('Book Details - NO EDIT'!K85="Boy","Male","Female")</f>
        <v>Female</v>
      </c>
      <c r="F85" s="31" t="str">
        <f>IF('Book Details - NO EDIT'!T85=1,"First",IF('Book Details - NO EDIT'!T85=2,"Second",IF('Book Details - NO EDIT'!T85=3,"Third",IF('Book Details - NO EDIT'!T85=4,"Fourth",IF('Book Details - NO EDIT'!T85=5,"Fifth",IF('Book Details - NO EDIT'!T85=6,"Sixth",IF('Book Details - NO EDIT'!T85=7,"Seventh",IF('Book Details - NO EDIT'!T85=8,"Eighth",0))))))))</f>
        <v>Fourth</v>
      </c>
      <c r="G85" s="31" t="str">
        <f>'Book Details - NO EDIT'!Z85</f>
        <v>Llewellyn (1861–1939: #45)</v>
      </c>
      <c r="H85" s="31" t="str">
        <f>'Book Details - NO EDIT'!AH85</f>
        <v>Rebecca Olivia LEWIS (b.13 Aug 1860, d. 18 Mar 1927)</v>
      </c>
      <c r="I85" s="31" t="str">
        <f>'Book Details - NO EDIT'!AI85</f>
        <v>Unmarried</v>
      </c>
      <c r="J85" s="199" t="str">
        <f>'Book Details - NO EDIT'!AJ85</f>
        <v xml:space="preserve"> - </v>
      </c>
      <c r="K85" s="31" t="str">
        <f>'Book Details - NO EDIT'!AK85</f>
        <v xml:space="preserve"> - </v>
      </c>
      <c r="L85" s="131" t="str">
        <f>'Book Details - NO EDIT'!AL85</f>
        <v>Ruby was the only daughter of Llewellyn (1861–1939: #45) of Lillesden House, Hawkhurst, Kent. Born 11 May 1898. Ruby was educated by governesses at home. At the outbreak of the Great War, the family home Lillesden, was used as a Red Cross Hospital between 1914-16 for Belgium soldiers and Ruby remembered running around, as a 16 year old helping the patients along with her mother Rebecca.  During this time Ruby took many photographs including pictures of the recouperating soldiers. Career: Joint headmistress, Mercers School, Hawkhurst, Kent, 1946-59. Ruby died unmarried on 4 Jun 1977 and was cremated and her ashes interred at Hawkhurst, Kent. DSP Ruby was affectionally known as 'Ruby-the-hat-Loyd' by her nephew and great nephews as she always wore a hat whenever they visited. Dominic (1953– : #131) great-nephew, has her photo album of life at Lillesden in 1916.</v>
      </c>
      <c r="M85" s="73" t="str">
        <f>'Book Details - NO EDIT'!AA85</f>
        <v xml:space="preserve">Llewellyn (1861–1939: #45) Edward (1820–1890: #22) Edward (1780–1863: #8) William (1729–1800: #1)    </v>
      </c>
      <c r="N85" s="197" t="str">
        <f>'Book Details - NO EDIT'!AB85</f>
        <v xml:space="preserve">3 – Cecil (1890–1963: #68) Eric (1891–1967: #73) Alwyne (1894–1917: #79)      </v>
      </c>
      <c r="O85" s="198" t="str">
        <f>'Book Details - NO EDIT'!AC85</f>
        <v>d.s.p</v>
      </c>
      <c r="P85" s="198" t="str">
        <f>'Book Details - NO EDIT'!AD85</f>
        <v>d.s.p.</v>
      </c>
      <c r="Q85" s="191" t="str">
        <f>IF('Book Details - NO EDIT'!J85="",IF(R85=0,"Less than year on 1-Jul-2022",_xlfn.CONCAT("On 1-Jul-2022, age ",R85,'Book Details - NO EDIT'!J85)),IF(LEN(R85)=0,"Died in infancy",_xlfn.CONCAT("Died ",'Book Details - NO EDIT'!J85,","," aged ",R85)))</f>
        <v>Died 04/06/1977, aged 83</v>
      </c>
      <c r="R85" s="73">
        <f>'Book Details - NO EDIT'!AX85</f>
        <v>83</v>
      </c>
      <c r="S85" s="73" t="str">
        <f>'Book Details - NO EDIT'!AY85</f>
        <v xml:space="preserve"> - </v>
      </c>
      <c r="T85" s="73" t="str">
        <f>'Book Details - NO EDIT'!AW85</f>
        <v>England</v>
      </c>
      <c r="U85" s="73">
        <f>VLOOKUP(A85,'Book Details - NO EDIT'!$A85:$S$192,13,FALSE)</f>
        <v>22</v>
      </c>
      <c r="V85" s="73">
        <f>VLOOKUP(A85,'Book Details - NO EDIT'!$A85:$S$192,12,FALSE)</f>
        <v>45</v>
      </c>
      <c r="X85" s="31">
        <f>IF(LEN('Book Details - NO EDIT'!J85)=0,0,1)</f>
        <v>1</v>
      </c>
    </row>
    <row r="86" spans="1:24" s="31" customFormat="1" ht="17">
      <c r="A86" s="125">
        <f>'Book Details - NO EDIT'!A86</f>
        <v>84</v>
      </c>
      <c r="B86" s="31" t="str">
        <f>'Book Details - NO EDIT'!Y86</f>
        <v>Edward Ernest LOYD</v>
      </c>
      <c r="C86" s="31" t="str">
        <f>'Book Details - NO EDIT'!V86</f>
        <v>Eddie (1902–1942)</v>
      </c>
      <c r="D86" s="199">
        <f>'Book Details - NO EDIT'!I86</f>
        <v>873</v>
      </c>
      <c r="E86" s="31" t="str">
        <f>IF('Book Details - NO EDIT'!K86="Boy","Male","Female")</f>
        <v>Male</v>
      </c>
      <c r="F86" s="31" t="str">
        <f>IF('Book Details - NO EDIT'!T86=1,"First",IF('Book Details - NO EDIT'!T86=2,"Second",IF('Book Details - NO EDIT'!T86=3,"Third",IF('Book Details - NO EDIT'!T86=4,"Fourth",IF('Book Details - NO EDIT'!T86=5,"Fifth",IF('Book Details - NO EDIT'!T86=6,"Sixth",IF('Book Details - NO EDIT'!T86=7,"Seventh",IF('Book Details - NO EDIT'!T86=8,"Eighth",0))))))))</f>
        <v>Fourth</v>
      </c>
      <c r="G86" s="31" t="str">
        <f>'Book Details - NO EDIT'!Z86</f>
        <v>William (1863–1923: #46)</v>
      </c>
      <c r="H86" s="31" t="str">
        <f>'Book Details - NO EDIT'!AH86</f>
        <v xml:space="preserve">Emily Diana Maria BEAUMONT (b. 25 Dec 1860, d. 4 Jul 1956) </v>
      </c>
      <c r="I86" s="31" t="str">
        <f>'Book Details - NO EDIT'!AI86</f>
        <v>Unmarried</v>
      </c>
      <c r="J86" s="199" t="str">
        <f>'Book Details - NO EDIT'!AJ86</f>
        <v xml:space="preserve"> - </v>
      </c>
      <c r="K86" s="31" t="str">
        <f>'Book Details - NO EDIT'!AK86</f>
        <v xml:space="preserve"> - </v>
      </c>
      <c r="L86" s="131" t="str">
        <f>'Book Details - NO EDIT'!AL86</f>
        <v>Edward, aka Eddie, was the 4th and youngest son of William (1863–1923: #46). Born 22 May 1902. Educated Eton 1916-18. Died, unmarried, 12 Dec 1942 after a long illness. DSP</v>
      </c>
      <c r="M86" s="73" t="str">
        <f>'Book Details - NO EDIT'!AA86</f>
        <v xml:space="preserve">William (1863–1923: #46) William (1821–1885: #23) Edward (1780–1863: #8) William (1729–1800: #1)    </v>
      </c>
      <c r="N86" s="197" t="str">
        <f>'Book Details - NO EDIT'!AB86</f>
        <v xml:space="preserve">4 – Diana (1890–1963: #70) Godfrey (1893–1917: #75) Vivian (1894–1972: #78) Wilfred (1896–1955: #82)     </v>
      </c>
      <c r="O86" s="198" t="str">
        <f>'Book Details - NO EDIT'!AC86</f>
        <v>d.s.p</v>
      </c>
      <c r="P86" s="198" t="str">
        <f>'Book Details - NO EDIT'!AD86</f>
        <v>d.s.p.</v>
      </c>
      <c r="Q86" s="191" t="str">
        <f>IF('Book Details - NO EDIT'!J86="",IF(R86=0,"Less than year on 1-Jul-2022",_xlfn.CONCAT("On 1-Jul-2022, age ",R86,'Book Details - NO EDIT'!J86)),IF(LEN(R86)=0,"Died in infancy",_xlfn.CONCAT("Died ",'Book Details - NO EDIT'!J86,","," aged ",R86)))</f>
        <v>Died 12/12/1942, aged 84</v>
      </c>
      <c r="R86" s="73">
        <f>'Book Details - NO EDIT'!AX86</f>
        <v>84</v>
      </c>
      <c r="S86" s="73" t="str">
        <f>'Book Details - NO EDIT'!AY86</f>
        <v xml:space="preserve"> - </v>
      </c>
      <c r="T86" s="73" t="str">
        <f>'Book Details - NO EDIT'!AW86</f>
        <v>England</v>
      </c>
      <c r="U86" s="73">
        <f>VLOOKUP(A86,'Book Details - NO EDIT'!$A86:$S$192,13,FALSE)</f>
        <v>23</v>
      </c>
      <c r="V86" s="73">
        <f>VLOOKUP(A86,'Book Details - NO EDIT'!$A86:$S$192,12,FALSE)</f>
        <v>46</v>
      </c>
      <c r="X86" s="31">
        <f>IF(LEN('Book Details - NO EDIT'!J86)=0,0,1)</f>
        <v>1</v>
      </c>
    </row>
    <row r="87" spans="1:24" s="31" customFormat="1" ht="34">
      <c r="A87" s="125">
        <f>'Book Details - NO EDIT'!A87</f>
        <v>85</v>
      </c>
      <c r="B87" s="31" t="str">
        <f>'Book Details - NO EDIT'!Y87</f>
        <v>Anne LOYD</v>
      </c>
      <c r="C87" s="31" t="str">
        <f>'Book Details - NO EDIT'!V87</f>
        <v>Anne (1912–2004)</v>
      </c>
      <c r="D87" s="199">
        <f>'Book Details - NO EDIT'!I87</f>
        <v>4671</v>
      </c>
      <c r="E87" s="31" t="str">
        <f>IF('Book Details - NO EDIT'!K87="Boy","Male","Female")</f>
        <v>Female</v>
      </c>
      <c r="F87" s="31" t="str">
        <f>IF('Book Details - NO EDIT'!T87=1,"First",IF('Book Details - NO EDIT'!T87=2,"Second",IF('Book Details - NO EDIT'!T87=3,"Third",IF('Book Details - NO EDIT'!T87=4,"Fourth",IF('Book Details - NO EDIT'!T87=5,"Fifth",IF('Book Details - NO EDIT'!T87=6,"Sixth",IF('Book Details - NO EDIT'!T87=7,"Seventh",IF('Book Details - NO EDIT'!T87=8,"Eighth",0))))))))</f>
        <v>Fifth</v>
      </c>
      <c r="G87" s="31" t="str">
        <f>'Book Details - NO EDIT'!Z87</f>
        <v>Tommy (1882–1944: #56)</v>
      </c>
      <c r="H87" s="31" t="str">
        <f>'Book Details - NO EDIT'!AH87</f>
        <v>Dorothy WILLERT (b. 19 Jan 1886, d. 15 Jan 1966)</v>
      </c>
      <c r="I87" s="31" t="str">
        <f>'Book Details - NO EDIT'!AI87</f>
        <v>James Henry (known as Jimmy) FRICS (b. 14 Jun 1912, d. 1 Nov 1988)</v>
      </c>
      <c r="J87" s="199">
        <f>'Book Details - NO EDIT'!AJ87</f>
        <v>13527</v>
      </c>
      <c r="K87" s="31" t="str">
        <f>'Book Details - NO EDIT'!AK87</f>
        <v>Jimmy of Middleton House, Middleton Cheney, Banbury, Oxfordshire, and of 5 Mount Street, London, W1, only son of Captain Edward LANE FOX, Yorkshire Yeomanry. Educated Eton, and Magdalen College, Oxford.</v>
      </c>
      <c r="L87" s="131" t="str">
        <f>'Book Details - NO EDIT'!AL87</f>
        <v>Anne was the eldest daughter of Arthur (1882–1944: #56). Born 14 Oct 1912 in London. Died 2 Sep 2004. Issue: 3 sons, 1 daughter.</v>
      </c>
      <c r="M87" s="73" t="str">
        <f>'Book Details - NO EDIT'!AA87</f>
        <v xml:space="preserve">Tommy (1882–1944: #56) The Rev Lewis (1844–1905: #28) Thomas (1812–1857: #14) William (1770–1828: #4) William (1729–1800: #1)   </v>
      </c>
      <c r="N87" s="197" t="str">
        <f>'Book Details - NO EDIT'!AB87</f>
        <v xml:space="preserve">5 – John (1913–1943: #87) Martin (1917–1926: #91) Hester (1920–2002: #95) Christopher (1923–2013: #100) Catherine (1923–2014: #101)   </v>
      </c>
      <c r="O87" s="198" t="str">
        <f>'Book Details - NO EDIT'!AC87</f>
        <v xml:space="preserve">4 - Martin LANE FOX (1938 - 2016: #85a) Edward LANE FOX (1939 - : #85b) Jenny LANE FOX (1944 - : #85c) Robin LANE FOX (1946 - : #85d)    </v>
      </c>
      <c r="P87" s="198" t="str">
        <f>'Book Details - NO EDIT'!AD87</f>
        <v xml:space="preserve">11 - Charlotte LANE FOX (1967 -: #85aa) Oliver LANE FOX (1968 -: #85ab) Sophie LANE FOX (1972 -: #85ac) Lucy LANE FOX (1965 -: #85ba) Serena LANE FOX (1967 -: #85bb) Emily LANE FOX (1969 -: #85bc) Charles LANE FOX (1977 -: #85bd) James TENNYSON d'EYNCOURT (1978 -: #85ca) Frances TENNYSON d'EYNCOURT (1980 -: #85cb) Martha LANE FOX (1973 -: #85da) Henry LANE FOX (1974 -: #85db)        </v>
      </c>
      <c r="Q87" s="191" t="str">
        <f>IF('Book Details - NO EDIT'!J87="",IF(R87=0,"Less than year on 1-Jul-2022",_xlfn.CONCAT("On 1-Jul-2022, age ",R87,'Book Details - NO EDIT'!J87)),IF(LEN(R87)=0,"Died in infancy",_xlfn.CONCAT("Died ",'Book Details - NO EDIT'!J87,","," aged ",R87)))</f>
        <v>Died 02/09/2004, aged 85</v>
      </c>
      <c r="R87" s="73">
        <f>'Book Details - NO EDIT'!AX87</f>
        <v>85</v>
      </c>
      <c r="S87" s="73" t="str">
        <f>'Book Details - NO EDIT'!AY87</f>
        <v xml:space="preserve"> - </v>
      </c>
      <c r="T87" s="73" t="str">
        <f>'Book Details - NO EDIT'!AW87</f>
        <v>England</v>
      </c>
      <c r="U87" s="73">
        <f>VLOOKUP(A87,'Book Details - NO EDIT'!$A87:$S$192,13,FALSE)</f>
        <v>28</v>
      </c>
      <c r="V87" s="73">
        <f>VLOOKUP(A87,'Book Details - NO EDIT'!$A87:$S$192,12,FALSE)</f>
        <v>56</v>
      </c>
      <c r="X87" s="31">
        <f>IF(LEN('Book Details - NO EDIT'!J87)=0,0,1)</f>
        <v>1</v>
      </c>
    </row>
    <row r="88" spans="1:24" s="31" customFormat="1" ht="34">
      <c r="A88" s="125">
        <f>'Book Details - NO EDIT'!A88</f>
        <v>86</v>
      </c>
      <c r="B88" s="31" t="str">
        <f>'Book Details - NO EDIT'!Y88</f>
        <v>Norman Kesteven LOYD</v>
      </c>
      <c r="C88" s="31" t="str">
        <f>'Book Details - NO EDIT'!V88</f>
        <v>Peter (1913–2008)</v>
      </c>
      <c r="D88" s="199">
        <f>'Book Details - NO EDIT'!I88</f>
        <v>4973</v>
      </c>
      <c r="E88" s="31" t="str">
        <f>IF('Book Details - NO EDIT'!K88="Boy","Male","Female")</f>
        <v>Male</v>
      </c>
      <c r="F88" s="31" t="str">
        <f>IF('Book Details - NO EDIT'!T88=1,"First",IF('Book Details - NO EDIT'!T88=2,"Second",IF('Book Details - NO EDIT'!T88=3,"Third",IF('Book Details - NO EDIT'!T88=4,"Fourth",IF('Book Details - NO EDIT'!T88=5,"Fifth",IF('Book Details - NO EDIT'!T88=6,"Sixth",IF('Book Details - NO EDIT'!T88=7,"Seventh",IF('Book Details - NO EDIT'!T88=8,"Eighth",0))))))))</f>
        <v>Fifth</v>
      </c>
      <c r="G88" s="31" t="str">
        <f>'Book Details - NO EDIT'!Z88</f>
        <v>Arthur (1890–1974: #71)</v>
      </c>
      <c r="H88" s="31" t="str">
        <f>'Book Details - NO EDIT'!AH88</f>
        <v>Ivy Nina TWINING (b. 2 Aug 1884, d. 12 Jul 1950)</v>
      </c>
      <c r="I88" s="31" t="str">
        <f>'Book Details - NO EDIT'!AI88</f>
        <v xml:space="preserve">Anne SMITHELLS (b. 12 Mar 1921, d. 3 Aug 2010) </v>
      </c>
      <c r="J88" s="199">
        <f>'Book Details - NO EDIT'!AJ88</f>
        <v>18368</v>
      </c>
      <c r="K88" s="31" t="str">
        <f>'Book Details - NO EDIT'!AK88</f>
        <v>Anne born in Fulham, London, eldest daughter of Colin SMITHELLS of Chalfont St. Peter, Buckinghamshire.</v>
      </c>
      <c r="L88" s="131" t="str">
        <f>'Book Details - NO EDIT'!AL88</f>
        <v>Peter lived at 450 Cadder Avenue, Kelowna, British Columbia, V1Y 5N3, Canada and was the only child of Arthur (1890–1974: #71). Born 12 Aug 1913 at Walhachin, British Columbia. Educated Kelowna. Served in World War II as Squadron Leader, Royal Air Force. Pilot RAF Coastal Command 1936-1945. Career:  Daimler Motor Works, Coventry 1933-36; Irrigation Engineer, British Columbia 1948-72. Died 2 Jul 2008 Issue: 2 sons, 1 daughter.</v>
      </c>
      <c r="M88" s="73" t="str">
        <f>'Book Details - NO EDIT'!AA88</f>
        <v xml:space="preserve">Arthur (1890–1974: #71) Ted (1851–1922: #34) Thomas (1812–1857: #14) William (1770–1828: #4) William (1729–1800: #1)   </v>
      </c>
      <c r="N88" s="197" t="str">
        <f>'Book Details - NO EDIT'!AB88</f>
        <v>0 – Only chlid</v>
      </c>
      <c r="O88" s="198" t="str">
        <f>'Book Details - NO EDIT'!AC88</f>
        <v>3 - Rona (1951–: #125); David (1952–: #130); Jim (1955–: #135)</v>
      </c>
      <c r="P88" s="198" t="str">
        <f>'Book Details - NO EDIT'!AD88</f>
        <v xml:space="preserve">5 - Gareth (1988–: #166); Curtis (1992–: #173); Spencer (1995–: #177)   Bryan HAWKEY (1976 - :  #125a) Allison HAWKEY (1978 - :  #125b)             </v>
      </c>
      <c r="Q88" s="191" t="str">
        <f>IF('Book Details - NO EDIT'!J88="",IF(R88=0,"Less than year on 1-Jul-2022",_xlfn.CONCAT("On 1-Jul-2022, age ",R88,'Book Details - NO EDIT'!J88)),IF(LEN(R88)=0,"Died in infancy",_xlfn.CONCAT("Died ",'Book Details - NO EDIT'!J88,","," aged ",R88)))</f>
        <v>Died 02/07/2008, aged 86</v>
      </c>
      <c r="R88" s="73">
        <f>'Book Details - NO EDIT'!AX88</f>
        <v>86</v>
      </c>
      <c r="S88" s="73" t="str">
        <f>'Book Details - NO EDIT'!AY88</f>
        <v xml:space="preserve"> - </v>
      </c>
      <c r="T88" s="73" t="str">
        <f>'Book Details - NO EDIT'!AW88</f>
        <v>Canada and England</v>
      </c>
      <c r="U88" s="73">
        <f>VLOOKUP(A88,'Book Details - NO EDIT'!$A88:$S$192,13,FALSE)</f>
        <v>34</v>
      </c>
      <c r="V88" s="73">
        <f>VLOOKUP(A88,'Book Details - NO EDIT'!$A88:$S$192,12,FALSE)</f>
        <v>71</v>
      </c>
      <c r="X88" s="31">
        <f>IF(LEN('Book Details - NO EDIT'!J88)=0,0,1)</f>
        <v>1</v>
      </c>
    </row>
    <row r="89" spans="1:24" s="31" customFormat="1" ht="17">
      <c r="A89" s="125">
        <f>'Book Details - NO EDIT'!A89</f>
        <v>87</v>
      </c>
      <c r="B89" s="31" t="str">
        <f>'Book Details - NO EDIT'!Y89</f>
        <v>John Lindsay LOYD</v>
      </c>
      <c r="C89" s="31" t="str">
        <f>'Book Details - NO EDIT'!V89</f>
        <v>John (1913–1943)</v>
      </c>
      <c r="D89" s="199">
        <f>'Book Details - NO EDIT'!I89</f>
        <v>5039</v>
      </c>
      <c r="E89" s="31" t="str">
        <f>IF('Book Details - NO EDIT'!K89="Boy","Male","Female")</f>
        <v>Male</v>
      </c>
      <c r="F89" s="31" t="str">
        <f>IF('Book Details - NO EDIT'!T89=1,"First",IF('Book Details - NO EDIT'!T89=2,"Second",IF('Book Details - NO EDIT'!T89=3,"Third",IF('Book Details - NO EDIT'!T89=4,"Fourth",IF('Book Details - NO EDIT'!T89=5,"Fifth",IF('Book Details - NO EDIT'!T89=6,"Sixth",IF('Book Details - NO EDIT'!T89=7,"Seventh",IF('Book Details - NO EDIT'!T89=8,"Eighth",0))))))))</f>
        <v>Fifth</v>
      </c>
      <c r="G89" s="31" t="str">
        <f>'Book Details - NO EDIT'!Z89</f>
        <v>Tommy (1882–1944: #56)</v>
      </c>
      <c r="H89" s="31" t="str">
        <f>'Book Details - NO EDIT'!AH89</f>
        <v>Dorothy WILLERT (b. 19 Jan 1886, d. 15 Jan 1966)</v>
      </c>
      <c r="I89" s="31" t="str">
        <f>'Book Details - NO EDIT'!AI89</f>
        <v>Unmarried</v>
      </c>
      <c r="J89" s="199" t="str">
        <f>'Book Details - NO EDIT'!AJ89</f>
        <v xml:space="preserve"> - </v>
      </c>
      <c r="K89" s="31" t="str">
        <f>'Book Details - NO EDIT'!AK89</f>
        <v xml:space="preserve"> - </v>
      </c>
      <c r="L89" s="131" t="str">
        <f>'Book Details - NO EDIT'!AL89</f>
        <v>John was the eldest son of Arthur (1882–1944: #56). Born 17 Oct 1913. Educated Eton 1926-32. Served in World War II as Captain, Coldstream Guards. Wounded North Africa. Died, unmarried, 3 Oct 1943 at Lockinge. Buried at Lockinge. DSP</v>
      </c>
      <c r="M89" s="73" t="str">
        <f>'Book Details - NO EDIT'!AA89</f>
        <v xml:space="preserve">Tommy (1882–1944: #56) The Rev Lewis (1844–1905: #28) Thomas (1812–1857: #14) William (1770–1828: #4) William (1729–1800: #1)   </v>
      </c>
      <c r="N89" s="197" t="str">
        <f>'Book Details - NO EDIT'!AB89</f>
        <v xml:space="preserve">5 – Anne (1912–2004: #85)  Martin (1917–1926: #91) Hester (1920–2002: #95) Christopher (1923–2013: #100) Catherine (1923–2014: #101)   </v>
      </c>
      <c r="O89" s="198" t="str">
        <f>'Book Details - NO EDIT'!AC89</f>
        <v>d.s.p</v>
      </c>
      <c r="P89" s="198" t="str">
        <f>'Book Details - NO EDIT'!AD89</f>
        <v>d.s.p.</v>
      </c>
      <c r="Q89" s="191" t="str">
        <f>IF('Book Details - NO EDIT'!J89="",IF(R89=0,"Less than year on 1-Jul-2022",_xlfn.CONCAT("On 1-Jul-2022, age ",R89,'Book Details - NO EDIT'!J89)),IF(LEN(R89)=0,"Died in infancy",_xlfn.CONCAT("Died ",'Book Details - NO EDIT'!J89,","," aged ",R89)))</f>
        <v>Died 03/10/1943, aged 87</v>
      </c>
      <c r="R89" s="73">
        <f>'Book Details - NO EDIT'!AX89</f>
        <v>87</v>
      </c>
      <c r="S89" s="73" t="str">
        <f>'Book Details - NO EDIT'!AY89</f>
        <v xml:space="preserve"> - </v>
      </c>
      <c r="T89" s="73" t="str">
        <f>'Book Details - NO EDIT'!AW89</f>
        <v>England and North Africa</v>
      </c>
      <c r="U89" s="73">
        <f>VLOOKUP(A89,'Book Details - NO EDIT'!$A89:$S$192,13,FALSE)</f>
        <v>28</v>
      </c>
      <c r="V89" s="73">
        <f>VLOOKUP(A89,'Book Details - NO EDIT'!$A89:$S$192,12,FALSE)</f>
        <v>56</v>
      </c>
      <c r="X89" s="31">
        <f>IF(LEN('Book Details - NO EDIT'!J89)=0,0,1)</f>
        <v>1</v>
      </c>
    </row>
    <row r="90" spans="1:24" s="31" customFormat="1" ht="17">
      <c r="A90" s="125">
        <f>'Book Details - NO EDIT'!A90</f>
        <v>88</v>
      </c>
      <c r="B90" s="31" t="str">
        <f>'Book Details - NO EDIT'!Y90</f>
        <v>Delia Virginia Georgina LOYD</v>
      </c>
      <c r="C90" s="31" t="str">
        <f>'Book Details - NO EDIT'!V90</f>
        <v>Delia (1915–2007)</v>
      </c>
      <c r="D90" s="199">
        <f>'Book Details - NO EDIT'!I90</f>
        <v>5734</v>
      </c>
      <c r="E90" s="31" t="str">
        <f>IF('Book Details - NO EDIT'!K90="Boy","Male","Female")</f>
        <v>Female</v>
      </c>
      <c r="F90" s="31" t="str">
        <f>IF('Book Details - NO EDIT'!T90=1,"First",IF('Book Details - NO EDIT'!T90=2,"Second",IF('Book Details - NO EDIT'!T90=3,"Third",IF('Book Details - NO EDIT'!T90=4,"Fourth",IF('Book Details - NO EDIT'!T90=5,"Fifth",IF('Book Details - NO EDIT'!T90=6,"Sixth",IF('Book Details - NO EDIT'!T90=7,"Seventh",IF('Book Details - NO EDIT'!T90=8,"Eighth",0))))))))</f>
        <v>Fifth</v>
      </c>
      <c r="G90" s="31" t="str">
        <f>'Book Details - NO EDIT'!Z90</f>
        <v>William (1889–1947: #66)</v>
      </c>
      <c r="H90" s="31" t="str">
        <f>'Book Details - NO EDIT'!AH90</f>
        <v>The Hon Bettine Henrietta KNATCHBULL-HUGESSEN (b. 15 Sep 1888, d. 9 Aug 1967)</v>
      </c>
      <c r="I90" s="31" t="str">
        <f>'Book Details - NO EDIT'!AI90</f>
        <v>James Ian KEITH, Earl of KINTORE (b. 25 Jul 1908, d. 1 Oct 1989)</v>
      </c>
      <c r="J90" s="199">
        <f>'Book Details - NO EDIT'!AJ90</f>
        <v>12848</v>
      </c>
      <c r="K90" s="31" t="str">
        <f>'Book Details - NO EDIT'!AK90</f>
        <v>Married, at St Peter’s, Eaton Square, London SW1, James of Glenton House, Rickarton, Stonehaven, Kincardinshire, 12th Earl, 3rd Bart:, s. as 2nd Viscount STONEHAVEN 1941, changed his name by Interlocutor Lyon Court 28 Jun 1947. s. his mother as chief of the name of KEITH 1974. Educated Eton 1921-26. Vice-Lieutenant for Kincardinshire, and an Asso. Inst. of Structural Engineers. Served in World War II as Major, Royal Marines.</v>
      </c>
      <c r="L90" s="131" t="str">
        <f>'Book Details - NO EDIT'!AL90</f>
        <v>Delia lived at 16 Garden Wood, Inchmarlo, Banchory, Scotland and was the only daughter of William (1889–1947: #66). Born 12 Sep 1915. Baptised at Shamley Green, Surrey. Educated Tabley House, Cheshire. Died 10 Jan 2007. Issue: 1 daughter, 2 sons.</v>
      </c>
      <c r="M90" s="73" t="str">
        <f>'Book Details - NO EDIT'!AA90</f>
        <v xml:space="preserve">William (1889–1947: #66) Harry (1861–1938: #44) William (1821–1885: #23) Edward (1780–1863: #8) William (1729–1800: #1)   </v>
      </c>
      <c r="N90" s="197" t="str">
        <f>'Book Details - NO EDIT'!AB90</f>
        <v xml:space="preserve">2 – Edward (1921–1977: #96) Peter (1923–1974: #99)      </v>
      </c>
      <c r="O90" s="198" t="str">
        <f>'Book Details - NO EDIT'!AC90</f>
        <v xml:space="preserve">3 - Lady Diana BAIRD (1937 - : #88a) Michael KEITH (1939 - 2004: #88b) The Hon Alexander BAIRD (1946 - : #88c)     </v>
      </c>
      <c r="P90" s="198" t="str">
        <f>'Book Details - NO EDIT'!AD90</f>
        <v xml:space="preserve">6 - Richard HOLMAN (1958 -: #88aa) Edward HOLMAN (1960 -: #88ab) Georgina HOLMAN (1964 -: #88ac) Emma HOLMAN (1966 -: #88ad) James KEITH (1976 -: #88ba) The Honourable Iona KEITH (1978 -: #88ca)             </v>
      </c>
      <c r="Q90" s="191" t="str">
        <f>IF('Book Details - NO EDIT'!J90="",IF(R90=0,"Less than year on 1-Jul-2022",_xlfn.CONCAT("On 1-Jul-2022, age ",R90,'Book Details - NO EDIT'!J90)),IF(LEN(R90)=0,"Died in infancy",_xlfn.CONCAT("Died ",'Book Details - NO EDIT'!J90,","," aged ",R90)))</f>
        <v>Died 10/01/2007, aged 88</v>
      </c>
      <c r="R90" s="73">
        <f>'Book Details - NO EDIT'!AX90</f>
        <v>88</v>
      </c>
      <c r="S90" s="73" t="str">
        <f>'Book Details - NO EDIT'!AY90</f>
        <v xml:space="preserve"> - </v>
      </c>
      <c r="T90" s="73" t="str">
        <f>'Book Details - NO EDIT'!AW90</f>
        <v>England and Scotland</v>
      </c>
      <c r="U90" s="73">
        <f>VLOOKUP(A90,'Book Details - NO EDIT'!$A90:$S$192,13,FALSE)</f>
        <v>44</v>
      </c>
      <c r="V90" s="73">
        <f>VLOOKUP(A90,'Book Details - NO EDIT'!$A90:$S$192,12,FALSE)</f>
        <v>66</v>
      </c>
      <c r="X90" s="31">
        <f>IF(LEN('Book Details - NO EDIT'!J90)=0,0,1)</f>
        <v>1</v>
      </c>
    </row>
    <row r="91" spans="1:24" s="31" customFormat="1" ht="51">
      <c r="A91" s="125">
        <f>'Book Details - NO EDIT'!A91</f>
        <v>89</v>
      </c>
      <c r="B91" s="31" t="str">
        <f>'Book Details - NO EDIT'!Y91</f>
        <v>Francis Alfred LOYD</v>
      </c>
      <c r="C91" s="31" t="str">
        <f>'Book Details - NO EDIT'!V91</f>
        <v>Sir Francis/Frank (1916–2006)</v>
      </c>
      <c r="D91" s="199">
        <f>'Book Details - NO EDIT'!I91</f>
        <v>6093</v>
      </c>
      <c r="E91" s="31" t="str">
        <f>IF('Book Details - NO EDIT'!K91="Boy","Male","Female")</f>
        <v>Male</v>
      </c>
      <c r="F91" s="31" t="str">
        <f>IF('Book Details - NO EDIT'!T91=1,"First",IF('Book Details - NO EDIT'!T91=2,"Second",IF('Book Details - NO EDIT'!T91=3,"Third",IF('Book Details - NO EDIT'!T91=4,"Fourth",IF('Book Details - NO EDIT'!T91=5,"Fifth",IF('Book Details - NO EDIT'!T91=6,"Sixth",IF('Book Details - NO EDIT'!T91=7,"Seventh",IF('Book Details - NO EDIT'!T91=8,"Eighth",0))))))))</f>
        <v>Fifth</v>
      </c>
      <c r="G91" s="31" t="str">
        <f>'Book Details - NO EDIT'!Z91</f>
        <v>Alfred (1882–1919: #54)</v>
      </c>
      <c r="H91" s="31" t="str">
        <f>'Book Details - NO EDIT'!AH91</f>
        <v>Ada Maud Keele GILES (b. 11 Apr 1884, d. 19 Jul 1955)</v>
      </c>
      <c r="I91" s="31" t="str">
        <f>'Book Details - NO EDIT'!AI91</f>
        <v xml:space="preserve">Katharine LAYZELL (b. 13 Mar 1924, d. 26 Oct 1981) </v>
      </c>
      <c r="J91" s="199">
        <f>'Book Details - NO EDIT'!AJ91</f>
        <v>16877</v>
      </c>
      <c r="K91" s="31" t="str">
        <f>'Book Details - NO EDIT'!AK91</f>
        <v xml:space="preserve">(1) Married at St Paul’s, Kiambu, Kenya, Katharine 3rd and youngest daughter of Lieut Colonel Stanley Charles LAYZELL MC of Mwatati, Kenya. Issue two daughters. (2) Married 7 Sep 1984 at St Edmund’s Catholic Church, Bury St Edmunds, Suffolk, Mrs Monica MURRAY BROWN (b. 1 Nov 1919, d. 2004 ) widow of Lieut Colonel Charles Russell MURRAY BROWN DSO of Worlington, Suffolk and 2nd daughter of John Lloyd Herman MEWBURN of Calgary, Alberta, Canada. </v>
      </c>
      <c r="L91" s="131" t="str">
        <f>'Book Details - NO EDIT'!AL91</f>
        <v>Frank lived at 53 Park Road, Aldeburgh Suffolk and was the only son of Alfred (1882–1919: #54). Born 5 Sep 1916 at Berkhamstead, Hertfordshire, baptised 23 Sep 1916 at Fryth Cottage, Berkhampstead. Educated Eton 1930-35 and Trinity College, Oxford (MA). MBE 1951, OBE 1954, CMG, 1961, KCMG 1965. District Officer, Kenya 1939. Military Service East Africa 1940-42. Private Secretary to Governor of Kenya 1942-45. District Commissioner 1945-56. Commonwealth Fund Fellowship to USA 1953-54. Provincial Commissioner 1956-62. Permanent Secretary Governor’s Office 1962-63. HM Commissioner for Swaziland 1964-68. Director London House for Overseas Graduates 1969-79. Chairman Oxfam Africa Committee 1979-85. Died 13 Dec 2006. Issue: (1st wife) 2 daughters.</v>
      </c>
      <c r="M91" s="73" t="str">
        <f>'Book Details - NO EDIT'!AA91</f>
        <v xml:space="preserve">Alfred (1882–1919: #54) Frank (1848–1934: #32) Thomas (1812–1857: #14) William (1770–1828: #4) William (1729–1800: #1)   </v>
      </c>
      <c r="N91" s="197" t="str">
        <f>'Book Details - NO EDIT'!AB91</f>
        <v xml:space="preserve">1 – Daphne (1917–1992: #92)       </v>
      </c>
      <c r="O91" s="198" t="str">
        <f>'Book Details - NO EDIT'!AC91</f>
        <v>2 - Janet (1949–: #123); Diana (1952–: #129)</v>
      </c>
      <c r="P91" s="198" t="str">
        <f>'Book Details - NO EDIT'!AD91</f>
        <v xml:space="preserve">2 -    Katharine BOSMAN (1978 - :  #123a) Adam BOSMAN (1980 - :  #123b)             </v>
      </c>
      <c r="Q91" s="191" t="str">
        <f>IF('Book Details - NO EDIT'!J91="",IF(R91=0,"Less than year on 1-Jul-2022",_xlfn.CONCAT("On 1-Jul-2022, age ",R91,'Book Details - NO EDIT'!J91)),IF(LEN(R91)=0,"Died in infancy",_xlfn.CONCAT("Died ",'Book Details - NO EDIT'!J91,","," aged ",R91)))</f>
        <v>Died 13/12/2006, aged 89</v>
      </c>
      <c r="R91" s="73">
        <f>'Book Details - NO EDIT'!AX91</f>
        <v>89</v>
      </c>
      <c r="S91" s="73" t="str">
        <f>'Book Details - NO EDIT'!AY91</f>
        <v xml:space="preserve"> - </v>
      </c>
      <c r="T91" s="73" t="str">
        <f>'Book Details - NO EDIT'!AW91</f>
        <v>England, Kenya, Swaziland (later called Eswatini)</v>
      </c>
      <c r="U91" s="73">
        <f>VLOOKUP(A91,'Book Details - NO EDIT'!$A91:$S$192,13,FALSE)</f>
        <v>32</v>
      </c>
      <c r="V91" s="73">
        <f>VLOOKUP(A91,'Book Details - NO EDIT'!$A91:$S$192,12,FALSE)</f>
        <v>54</v>
      </c>
      <c r="X91" s="31">
        <f>IF(LEN('Book Details - NO EDIT'!J91)=0,0,1)</f>
        <v>1</v>
      </c>
    </row>
    <row r="92" spans="1:24" s="31" customFormat="1" ht="34">
      <c r="A92" s="125">
        <f>'Book Details - NO EDIT'!A92</f>
        <v>90</v>
      </c>
      <c r="B92" s="31" t="str">
        <f>'Book Details - NO EDIT'!Y92</f>
        <v>Averil Innes LOYD</v>
      </c>
      <c r="C92" s="31" t="str">
        <f>'Book Details - NO EDIT'!V92</f>
        <v>Averil (1917–1993)</v>
      </c>
      <c r="D92" s="199">
        <f>'Book Details - NO EDIT'!I92</f>
        <v>6293</v>
      </c>
      <c r="E92" s="31" t="str">
        <f>IF('Book Details - NO EDIT'!K92="Boy","Male","Female")</f>
        <v>Female</v>
      </c>
      <c r="F92" s="31" t="str">
        <f>IF('Book Details - NO EDIT'!T92=1,"First",IF('Book Details - NO EDIT'!T92=2,"Second",IF('Book Details - NO EDIT'!T92=3,"Third",IF('Book Details - NO EDIT'!T92=4,"Fourth",IF('Book Details - NO EDIT'!T92=5,"Fifth",IF('Book Details - NO EDIT'!T92=6,"Sixth",IF('Book Details - NO EDIT'!T92=7,"Seventh",IF('Book Details - NO EDIT'!T92=8,"Eighth",0))))))))</f>
        <v>Fifth</v>
      </c>
      <c r="G92" s="31" t="str">
        <f>'Book Details - NO EDIT'!Z92</f>
        <v>Lewis (1880–1918: #52)</v>
      </c>
      <c r="H92" s="31" t="str">
        <f>'Book Details - NO EDIT'!AH92</f>
        <v>Mary Christobel CHARRINGTON (b. 18 Nov 1894, d. 9 Jan 1977)</v>
      </c>
      <c r="I92" s="31" t="str">
        <f>'Book Details - NO EDIT'!AI92</f>
        <v>Thomas (Tommy) MARSHAM-TOWNSHEND (b. 26 Dec 1915, d. 24 Jan 1944).</v>
      </c>
      <c r="J92" s="199">
        <f>'Book Details - NO EDIT'!AJ92</f>
        <v>14632</v>
      </c>
      <c r="K92" s="31" t="str">
        <f>'Book Details - NO EDIT'!AK92</f>
        <v>(1) Married  at All Saints’ Cathedral, Cairo, Tommy Captain, Scots Guards, younger son of Hugh Sydney MARSHAM-TOWNSHEND JP of Scadbury Park, Chislehurst, Kent. Tommy died of his wounds. Issue two daughters. (2) 8 Aug 1945 at St Paul’s, Knightsbridge, London, John OBE, MC, Yugoslav Order of Service to the People with Silver Rays, Lieut Colonel, Scots Guards, Liveryman of Clothworkers’ Company, eldest son of Edmund Stephenson CLARKE of Pickwell, Bolney, West Sussex, RH17 5RE.  Issue one son. John buried Highbrook Church, West Sussex.</v>
      </c>
      <c r="L92" s="131" t="str">
        <f>'Book Details - NO EDIT'!AL92</f>
        <v>Averil was the only child of Lewis (1880–1918: #52). Born 24 Mar 1917. Died 21 Aug 1993, buried Highbrook Church, West Sussex in same grave as her 2nd husband, John Robert Stephenson CLARKE. Issue: 2 daughters, 1 son.</v>
      </c>
      <c r="M92" s="73" t="str">
        <f>'Book Details - NO EDIT'!AA92</f>
        <v xml:space="preserve">Lewis (1880–1918: #52) Frederic (1856–1936: #41) Edward (1820–1890: #22) Edward (1780–1863: #8) William (1729–1800: #1)   </v>
      </c>
      <c r="N92" s="197" t="str">
        <f>'Book Details - NO EDIT'!AB92</f>
        <v>0 – Only chlid</v>
      </c>
      <c r="O92" s="198" t="str">
        <f>'Book Details - NO EDIT'!AC92</f>
        <v xml:space="preserve">3 - June MARSHAM-TOWNHEND (1942 - : #90a) Suki MARSHAM-TOWNHEND (1944 - : #90b) Jonathan CLARKE (1950 - : #90c)     </v>
      </c>
      <c r="P92" s="198" t="str">
        <f>'Book Details - NO EDIT'!AD92</f>
        <v xml:space="preserve">7 - Emily NORMAN (1975 -: #90aa) Lachlan RANKIN (1980 -: #90ab) Cesare STUDIATI BERNI (1972 -: #90ba) Viola STUDIATI BERNI (1975 -: #90bb) Georgina  CLARKE (1976 -: #90ca) Philippa CLARKE (1980 -1980: #90cb) Marina CLARKE (1982 -: #90cc)            </v>
      </c>
      <c r="Q92" s="191" t="str">
        <f>IF('Book Details - NO EDIT'!J92="",IF(R92=0,"Less than year on 1-Jul-2022",_xlfn.CONCAT("On 1-Jul-2022, age ",R92,'Book Details - NO EDIT'!J92)),IF(LEN(R92)=0,"Died in infancy",_xlfn.CONCAT("Died ",'Book Details - NO EDIT'!J92,","," aged ",R92)))</f>
        <v>Died 21/08/1993, aged 90</v>
      </c>
      <c r="R92" s="73">
        <f>'Book Details - NO EDIT'!AX92</f>
        <v>90</v>
      </c>
      <c r="S92" s="73" t="str">
        <f>'Book Details - NO EDIT'!AY92</f>
        <v xml:space="preserve"> - </v>
      </c>
      <c r="T92" s="73" t="str">
        <f>'Book Details - NO EDIT'!AW92</f>
        <v>England</v>
      </c>
      <c r="U92" s="73">
        <f>VLOOKUP(A92,'Book Details - NO EDIT'!$A92:$S$192,13,FALSE)</f>
        <v>41</v>
      </c>
      <c r="V92" s="73">
        <f>VLOOKUP(A92,'Book Details - NO EDIT'!$A92:$S$192,12,FALSE)</f>
        <v>52</v>
      </c>
      <c r="X92" s="31">
        <f>IF(LEN('Book Details - NO EDIT'!J92)=0,0,1)</f>
        <v>1</v>
      </c>
    </row>
    <row r="93" spans="1:24" s="31" customFormat="1" ht="17">
      <c r="A93" s="125">
        <f>'Book Details - NO EDIT'!A93</f>
        <v>91</v>
      </c>
      <c r="B93" s="31" t="str">
        <f>'Book Details - NO EDIT'!Y93</f>
        <v>Martin Thomas LOYD</v>
      </c>
      <c r="C93" s="31" t="str">
        <f>'Book Details - NO EDIT'!V93</f>
        <v>Martin (1917–1926)</v>
      </c>
      <c r="D93" s="199">
        <f>'Book Details - NO EDIT'!I93</f>
        <v>6439</v>
      </c>
      <c r="E93" s="31" t="str">
        <f>IF('Book Details - NO EDIT'!K93="Boy","Male","Female")</f>
        <v>Male</v>
      </c>
      <c r="F93" s="31" t="str">
        <f>IF('Book Details - NO EDIT'!T93=1,"First",IF('Book Details - NO EDIT'!T93=2,"Second",IF('Book Details - NO EDIT'!T93=3,"Third",IF('Book Details - NO EDIT'!T93=4,"Fourth",IF('Book Details - NO EDIT'!T93=5,"Fifth",IF('Book Details - NO EDIT'!T93=6,"Sixth",IF('Book Details - NO EDIT'!T93=7,"Seventh",IF('Book Details - NO EDIT'!T93=8,"Eighth",0))))))))</f>
        <v>Fifth</v>
      </c>
      <c r="G93" s="31" t="str">
        <f>'Book Details - NO EDIT'!Z93</f>
        <v>Tommy (1882–1944: #56)</v>
      </c>
      <c r="H93" s="31" t="str">
        <f>'Book Details - NO EDIT'!AH93</f>
        <v>Dorothy WILLERT (b. 19 Jan 1886, d. 15 Jan 1966)</v>
      </c>
      <c r="I93" s="31" t="str">
        <f>'Book Details - NO EDIT'!AI93</f>
        <v>Died in childhood.</v>
      </c>
      <c r="J93" s="199" t="str">
        <f>'Book Details - NO EDIT'!AJ93</f>
        <v xml:space="preserve"> - </v>
      </c>
      <c r="K93" s="31" t="str">
        <f>'Book Details - NO EDIT'!AK93</f>
        <v xml:space="preserve"> - </v>
      </c>
      <c r="L93" s="131" t="str">
        <f>'Book Details - NO EDIT'!AL93</f>
        <v>Martin was the 2nd son of Arthur (1882–1944: #56). Born 17 Aug 1917. Died in childhood on 27 Oct 1926. Buried at Lockinge.</v>
      </c>
      <c r="M93" s="73" t="str">
        <f>'Book Details - NO EDIT'!AA93</f>
        <v xml:space="preserve">Tommy (1882–1944: #56) The Rev Lewis (1844–1905: #28) Thomas (1812–1857: #14) William (1770–1828: #4) William (1729–1800: #1)   </v>
      </c>
      <c r="N93" s="197" t="str">
        <f>'Book Details - NO EDIT'!AB93</f>
        <v xml:space="preserve">5 – Anne (1912–2004: #85) John (1913–1943: #87)  Hester (1920–2002: #95) Christopher (1923–2013: #100) Catherine (1923–2014: #101)   </v>
      </c>
      <c r="O93" s="198" t="str">
        <f>'Book Details - NO EDIT'!AC93</f>
        <v>d.s.p</v>
      </c>
      <c r="P93" s="198" t="str">
        <f>'Book Details - NO EDIT'!AD93</f>
        <v>d.s.p.</v>
      </c>
      <c r="Q93" s="191" t="str">
        <f>IF('Book Details - NO EDIT'!J93="",IF(R93=0,"Less than year on 1-Jul-2022",_xlfn.CONCAT("On 1-Jul-2022, age ",R93,'Book Details - NO EDIT'!J93)),IF(LEN(R93)=0,"Died in infancy",_xlfn.CONCAT("Died ",'Book Details - NO EDIT'!J93,","," aged ",R93)))</f>
        <v>Died 27/10/1926, aged 91</v>
      </c>
      <c r="R93" s="73">
        <f>'Book Details - NO EDIT'!AX93</f>
        <v>91</v>
      </c>
      <c r="S93" s="73" t="str">
        <f>'Book Details - NO EDIT'!AY93</f>
        <v xml:space="preserve"> - </v>
      </c>
      <c r="T93" s="73" t="str">
        <f>'Book Details - NO EDIT'!AW93</f>
        <v>England</v>
      </c>
      <c r="U93" s="73">
        <f>VLOOKUP(A93,'Book Details - NO EDIT'!$A93:$S$192,13,FALSE)</f>
        <v>28</v>
      </c>
      <c r="V93" s="73">
        <f>VLOOKUP(A93,'Book Details - NO EDIT'!$A93:$S$192,12,FALSE)</f>
        <v>56</v>
      </c>
      <c r="X93" s="31">
        <f>IF(LEN('Book Details - NO EDIT'!J93)=0,0,1)</f>
        <v>1</v>
      </c>
    </row>
    <row r="94" spans="1:24" s="31" customFormat="1" ht="34">
      <c r="A94" s="125">
        <f>'Book Details - NO EDIT'!A94</f>
        <v>92</v>
      </c>
      <c r="B94" s="31" t="str">
        <f>'Book Details - NO EDIT'!Y94</f>
        <v>Daphne Maud Trelawny LOYD</v>
      </c>
      <c r="C94" s="31" t="str">
        <f>'Book Details - NO EDIT'!V94</f>
        <v>Daphne (1917–1992)</v>
      </c>
      <c r="D94" s="199">
        <f>'Book Details - NO EDIT'!I94</f>
        <v>6540</v>
      </c>
      <c r="E94" s="31" t="str">
        <f>IF('Book Details - NO EDIT'!K94="Boy","Male","Female")</f>
        <v>Female</v>
      </c>
      <c r="F94" s="31" t="str">
        <f>IF('Book Details - NO EDIT'!T94=1,"First",IF('Book Details - NO EDIT'!T94=2,"Second",IF('Book Details - NO EDIT'!T94=3,"Third",IF('Book Details - NO EDIT'!T94=4,"Fourth",IF('Book Details - NO EDIT'!T94=5,"Fifth",IF('Book Details - NO EDIT'!T94=6,"Sixth",IF('Book Details - NO EDIT'!T94=7,"Seventh",IF('Book Details - NO EDIT'!T94=8,"Eighth",0))))))))</f>
        <v>Fifth</v>
      </c>
      <c r="G94" s="31" t="str">
        <f>'Book Details - NO EDIT'!Z94</f>
        <v>Alfred (1882–1919: #54)</v>
      </c>
      <c r="H94" s="31" t="str">
        <f>'Book Details - NO EDIT'!AH94</f>
        <v>Ada Maud Keele GILES (b. 11 Apr 1884, d. 19 Jul 1955)</v>
      </c>
      <c r="I94" s="31" t="str">
        <f>'Book Details - NO EDIT'!AI94</f>
        <v>Robert TATTON-BROWN (b. 14 Sep 1913, d. 16 Apr 1990)</v>
      </c>
      <c r="J94" s="199">
        <f>'Book Details - NO EDIT'!AJ94</f>
        <v>16674</v>
      </c>
      <c r="K94" s="31" t="str">
        <f>'Book Details - NO EDIT'!AK94</f>
        <v>Married at St. Mary’s, Horsell, Woking, Robert of Fisherton Mill House, Salisbury, Wiltshire, SP2 7RZ. Robert born in Rochester, Kent and baptised in Rochester Cathedral.</v>
      </c>
      <c r="L94" s="131" t="str">
        <f>'Book Details - NO EDIT'!AL94</f>
        <v>Daphne was the only daughter of Alfred (1882–1919: #54). Born 26 Nov 1917 at Prestwick, Ayrshire. Baptised 19 Jan 1918 at St Martin’s Prestwick.  Died 22 Jul 1992. Issue: 2 sons, 2 daughters.</v>
      </c>
      <c r="M94" s="73" t="str">
        <f>'Book Details - NO EDIT'!AA94</f>
        <v xml:space="preserve">Alfred (1882–1919: #54) Frank (1848–1934: #32) Thomas (1812–1857: #14) William (1770–1828: #4) William (1729–1800: #1)   </v>
      </c>
      <c r="N94" s="197" t="str">
        <f>'Book Details - NO EDIT'!AB94</f>
        <v xml:space="preserve">1 – Sir Francis/Frank (1916–2006: #89)        </v>
      </c>
      <c r="O94" s="198" t="str">
        <f>'Book Details - NO EDIT'!AC94</f>
        <v xml:space="preserve">4 - Tim TATTON-BROWN (1947 - : #92a) Giles TATTON-BROWN (1948 - : #92b) Anthea TATTON-BROWN (1951 - : #92c) Fanny TATTON-BROWN (1954 - : #92d)    </v>
      </c>
      <c r="P94" s="198" t="str">
        <f>'Book Details - NO EDIT'!AD94</f>
        <v xml:space="preserve">10 - Hugh TATTON-BROWN (1980 -: #92aa) Miranda TATTON-BROWN (1983 -: #92ab) Lucy TATTON-BROWN (1984 -: #92ac) Robert TATTON-BROWN (1993 -: #92ad) Olivia TATTON-BROWN (1971 -: #92ba) Ben TATTON-BROWN (1973 -: #92bb) Daisy TATTON-BROWN (1983 -: #92bc) Gregory TATTON-BROWN (1985 -: #92bd) Jonathan SURTEES (1982 -: #92da) Rosamund SURTEES (1987 -: #92db)         </v>
      </c>
      <c r="Q94" s="191" t="str">
        <f>IF('Book Details - NO EDIT'!J94="",IF(R94=0,"Less than year on 1-Jul-2022",_xlfn.CONCAT("On 1-Jul-2022, age ",R94,'Book Details - NO EDIT'!J94)),IF(LEN(R94)=0,"Died in infancy",_xlfn.CONCAT("Died ",'Book Details - NO EDIT'!J94,","," aged ",R94)))</f>
        <v>Died 22/07/1992, aged 92</v>
      </c>
      <c r="R94" s="73">
        <f>'Book Details - NO EDIT'!AX94</f>
        <v>92</v>
      </c>
      <c r="S94" s="73" t="str">
        <f>'Book Details - NO EDIT'!AY94</f>
        <v xml:space="preserve"> - </v>
      </c>
      <c r="T94" s="73" t="str">
        <f>'Book Details - NO EDIT'!AW94</f>
        <v>England, Aden, South Arabia, Yemen and Kenya</v>
      </c>
      <c r="U94" s="73">
        <f>VLOOKUP(A94,'Book Details - NO EDIT'!$A94:$S$192,13,FALSE)</f>
        <v>32</v>
      </c>
      <c r="V94" s="73">
        <f>VLOOKUP(A94,'Book Details - NO EDIT'!$A94:$S$192,12,FALSE)</f>
        <v>54</v>
      </c>
      <c r="X94" s="31">
        <f>IF(LEN('Book Details - NO EDIT'!J94)=0,0,1)</f>
        <v>1</v>
      </c>
    </row>
    <row r="95" spans="1:24" s="31" customFormat="1" ht="85">
      <c r="A95" s="125">
        <f>'Book Details - NO EDIT'!A95</f>
        <v>93</v>
      </c>
      <c r="B95" s="31" t="str">
        <f>'Book Details - NO EDIT'!Y95</f>
        <v>Iris Daphne LOYD</v>
      </c>
      <c r="C95" s="31" t="str">
        <f>'Book Details - NO EDIT'!V95</f>
        <v>Jill (1920–2002)</v>
      </c>
      <c r="D95" s="199">
        <f>'Book Details - NO EDIT'!I95</f>
        <v>7391</v>
      </c>
      <c r="E95" s="31" t="str">
        <f>IF('Book Details - NO EDIT'!K95="Boy","Male","Female")</f>
        <v>Female</v>
      </c>
      <c r="F95" s="31" t="str">
        <f>IF('Book Details - NO EDIT'!T95=1,"First",IF('Book Details - NO EDIT'!T95=2,"Second",IF('Book Details - NO EDIT'!T95=3,"Third",IF('Book Details - NO EDIT'!T95=4,"Fourth",IF('Book Details - NO EDIT'!T95=5,"Fifth",IF('Book Details - NO EDIT'!T95=6,"Sixth",IF('Book Details - NO EDIT'!T95=7,"Seventh",IF('Book Details - NO EDIT'!T95=8,"Eighth",0))))))))</f>
        <v>Fifth</v>
      </c>
      <c r="G95" s="31" t="str">
        <f>'Book Details - NO EDIT'!Z95</f>
        <v>Cecil (1890–1963: #68)</v>
      </c>
      <c r="H95" s="31" t="str">
        <f>'Book Details - NO EDIT'!AH95</f>
        <v>Mrs. Phyllis Marie ARCHER (nee ETESON) (b.3 Aug 1889, d. 29 Mar 1932)</v>
      </c>
      <c r="I95" s="31" t="str">
        <f>'Book Details - NO EDIT'!AI95</f>
        <v>Unmarried</v>
      </c>
      <c r="J95" s="199" t="str">
        <f>'Book Details - NO EDIT'!AJ95</f>
        <v xml:space="preserve"> - </v>
      </c>
      <c r="K95" s="31" t="str">
        <f>'Book Details - NO EDIT'!AK95</f>
        <v xml:space="preserve"> - </v>
      </c>
      <c r="L95" s="131" t="str">
        <f>'Book Details - NO EDIT'!AL95</f>
        <v>Jill lived at 3 Ashlawn, The Green, Benenden, Cranbrook, Kent and was the only daughter of Cecil (1890–1963: #68). Born 26 Mar 1920 (twin with her brother, Alwyne) at St. Margaret's Cross, Hawkhurst. Baptised 2 May 1920 at St Laurence, Hawkhurst, Kent by her uncle the Rev Frank ETESON. Educated at Wadhurst College, East Sussex and secretarial college in London.  At the start of WW2, in 1939, Jill joined the Red Cross and cooked in hospitals. Later in the war she enlisted in the Auxiliary Territorial Service (ATS) and learnt to drive all sorts of vehicles. Career:  Jill worked in Rhodesia and on her return to England was personal secretary to the National Trust Manager for Devon and Cornwall.  On retirement, Jill first moved ‘back’ to Whiigh where she and her twin brother Alwyne had been sent, as teenagers, to live at Whiligh as Wards of Sir George [later Lord] COURTHOPE (1887–1955: #36a). Jill lived in the Old Stables before moving to Beneden where she enjoyed entertaining her nephews and great nephews. Died 10 April 2002 at Berkley Residential Home, Tunbrige Wells. Cremated 18 Apr 2002. Ashes buried in Benenden Churchyard 20 Jul 2002. Welsh Slate tablet inscribed, "In loving memory of Jill Loyd 26 March 1920-10 April 2002". DSP</v>
      </c>
      <c r="M95" s="73" t="str">
        <f>'Book Details - NO EDIT'!AA95</f>
        <v xml:space="preserve">Cecil (1890–1963: #68) Llewellyn (1861–1939: #45) Edward (1820–1890: #22) Edward (1780–1863: #8) William (1729–1800: #1)   </v>
      </c>
      <c r="N95" s="197" t="str">
        <f>'Book Details - NO EDIT'!AB95</f>
        <v xml:space="preserve">1 – Alwyne (1920–2014: #94)       </v>
      </c>
      <c r="O95" s="198" t="str">
        <f>'Book Details - NO EDIT'!AC95</f>
        <v>d.s.p</v>
      </c>
      <c r="P95" s="198" t="str">
        <f>'Book Details - NO EDIT'!AD95</f>
        <v>d.s.p.</v>
      </c>
      <c r="Q95" s="191" t="str">
        <f>IF('Book Details - NO EDIT'!J95="",IF(R95=0,"Less than year on 1-Jul-2022",_xlfn.CONCAT("On 1-Jul-2022, age ",R95,'Book Details - NO EDIT'!J95)),IF(LEN(R95)=0,"Died in infancy",_xlfn.CONCAT("Died ",'Book Details - NO EDIT'!J95,","," aged ",R95)))</f>
        <v>Died 10/04/2002, aged 93</v>
      </c>
      <c r="R95" s="73">
        <f>'Book Details - NO EDIT'!AX95</f>
        <v>93</v>
      </c>
      <c r="S95" s="73" t="str">
        <f>'Book Details - NO EDIT'!AY95</f>
        <v xml:space="preserve"> - </v>
      </c>
      <c r="T95" s="73" t="str">
        <f>'Book Details - NO EDIT'!AW95</f>
        <v>England &amp; Rhodesia</v>
      </c>
      <c r="U95" s="73">
        <f>VLOOKUP(A95,'Book Details - NO EDIT'!$A95:$S$192,13,FALSE)</f>
        <v>45</v>
      </c>
      <c r="V95" s="73">
        <f>VLOOKUP(A95,'Book Details - NO EDIT'!$A95:$S$192,12,FALSE)</f>
        <v>68</v>
      </c>
      <c r="X95" s="31">
        <f>IF(LEN('Book Details - NO EDIT'!J95)=0,0,1)</f>
        <v>1</v>
      </c>
    </row>
    <row r="96" spans="1:24" s="31" customFormat="1" ht="153">
      <c r="A96" s="125">
        <f>'Book Details - NO EDIT'!A96</f>
        <v>94</v>
      </c>
      <c r="B96" s="31" t="str">
        <f>'Book Details - NO EDIT'!Y96</f>
        <v>Alwyne Eteson LOYD</v>
      </c>
      <c r="C96" s="31" t="str">
        <f>'Book Details - NO EDIT'!V96</f>
        <v>Alwyne (1920–2014)</v>
      </c>
      <c r="D96" s="199">
        <f>'Book Details - NO EDIT'!I96</f>
        <v>7391</v>
      </c>
      <c r="E96" s="31" t="str">
        <f>IF('Book Details - NO EDIT'!K96="Boy","Male","Female")</f>
        <v>Male</v>
      </c>
      <c r="F96" s="31" t="str">
        <f>IF('Book Details - NO EDIT'!T96=1,"First",IF('Book Details - NO EDIT'!T96=2,"Second",IF('Book Details - NO EDIT'!T96=3,"Third",IF('Book Details - NO EDIT'!T96=4,"Fourth",IF('Book Details - NO EDIT'!T96=5,"Fifth",IF('Book Details - NO EDIT'!T96=6,"Sixth",IF('Book Details - NO EDIT'!T96=7,"Seventh",IF('Book Details - NO EDIT'!T96=8,"Eighth",0))))))))</f>
        <v>Fifth</v>
      </c>
      <c r="G96" s="31" t="str">
        <f>'Book Details - NO EDIT'!Z96</f>
        <v>Cecil (1890–1963: #68)</v>
      </c>
      <c r="H96" s="31" t="str">
        <f>'Book Details - NO EDIT'!AH96</f>
        <v>Mrs. Phyllis Marie ARCHER (nee ETESON) (b.3 Aug 1889, d. 29 Mar 1932)</v>
      </c>
      <c r="I96" s="31" t="str">
        <f>'Book Details - NO EDIT'!AI96</f>
        <v xml:space="preserve"> Alison Fraser PORTER (b. 21 Feb 1920, d. 6 Sep 2003)</v>
      </c>
      <c r="J96" s="199">
        <f>'Book Details - NO EDIT'!AJ96</f>
        <v>17702</v>
      </c>
      <c r="K96" s="31" t="str">
        <f>'Book Details - NO EDIT'!AK96</f>
        <v>Married Alison, at St. Cuthbert’s, Wood Green, London, by her father, youngest daughter of the Rev Robert B. PORTER, Robert a missionary in West China 1907-34. Alison born in China.</v>
      </c>
      <c r="L96" s="131" t="str">
        <f>'Book Details - NO EDIT'!AL96</f>
        <v xml:space="preserve">Alwyne lived at Stag Cottage, 17 Kings Road, Teddington, Middlesex and was the only son of Cecil (1890–1963: #68). Born 26 Mar 1920 (twin with his sister, Jill) at St Margaret's Cross, Hawkhurst. Baptised 2 May 1920 at St Laurence, Hawkhurst, Kent by his uncle the Rev Frank ETESON. Educated Repton. Served in World War II in Africa, Italy and Burma (despatches). Major, Royal Engineers, TD 1950, ERD 1961, MCIT 1949. Retired from Emergency Reserve 1961. Career: In Brewing industry including Ind Coope and Guinness. Liveryman of Goldsmith’s Company 17 Oct 1945 by special grant, as ward of George Loyd, Baron COURTHOPE (1887–1955: #36a) the Prime Warden of the Goldsmiths’ Company 1943-44. After their mother’s early death in 1932 at the age of 42, Alwyne and his twin sister Jill were sent to live at Whiligh as Wards of Sir George [later Lord] COURTHOPE (1887–1955: #36a) where they experienced some resentment from Lady COURTHOPE and her two daughters. On occasions, delicate family matters were discussed in their presence such as the misdemeanours of their grandfather, Llewellyn (1861-1939: #45), his ruining of his estate and being bailed out of his debts by his sister, Caroline Foster LOYD (1864-1940: #47) [later Mrs Alfred Hardcastle], all of which caused them considerable distress. However, one Christmas at Whiligh, they received a surprise present of £20 from an unnamed LOYD relative in Tunbridge Wells, which kindness they have never forgot. Her name was not mentioned but it must have been Annie (1853–1946: #37) who would have been told of their situation by their guardian. After taking early retirement in 1978, Alwyne worked as an active volunteer in many areas of the local community including Teddington Hospital but his favourite time was spent at Hampton Court Palace as a volunteer guide in the Royal Chapel. In the 1980s after he met Peter (#98) he provided siginficant support, as a keen Loyd Family Archivist, in the publishing of  THE LOYD FAMILY, "Who's  Who", first  in 1985 and later updated in 2000 with THE LOYD FAMILY a "Who's Who" in date of birth order from William (1729–1800: #1). Alwyne died on 10 May 2014 unexpectedly at a residential home, Willowmeade, in East Molesey. Alwyne's friend Reverend Denis Mulliner, Chaplin at Hampton Court Palace, led Alwyne's memorial service in the Royal Chapel following his funeral at the parish church of St James In Hampton Hill and burial, alongside his wife Alison, in Teddington Cemetery which was attended by family and close friends. Issue: 6 sons. </v>
      </c>
      <c r="M96" s="73" t="str">
        <f>'Book Details - NO EDIT'!AA96</f>
        <v xml:space="preserve">Cecil (1890–1963: #68) Llewellyn (1861–1939: #45) Edward (1820–1890: #22) Edward (1780–1863: #8) William (1729–1800: #1)   </v>
      </c>
      <c r="N96" s="197" t="str">
        <f>'Book Details - NO EDIT'!AB96</f>
        <v xml:space="preserve">1 – Jill (1920–2002: #93)        </v>
      </c>
      <c r="O96" s="198" t="str">
        <f>'Book Details - NO EDIT'!AC96</f>
        <v>6 - Rob (1949–: #124); Paddy (1951–: #126); Dominic (1953–: #131); Tim (1957–: #136); Alex (1959–: #139); Rick (1962–: #142)</v>
      </c>
      <c r="P96" s="198" t="str">
        <f>'Book Details - NO EDIT'!AD96</f>
        <v xml:space="preserve">8 - John (1982–: #160); David (1984–: #162); Poppy (1984–: #164); Rose (1986–: #165); Ben (1988–: #167); Florina (1991–: #172); Sam (1994–: #176); Josh (1996–: #179)   </v>
      </c>
      <c r="Q96" s="191" t="str">
        <f>IF('Book Details - NO EDIT'!J96="",IF(R96=0,"Less than year on 1-Jul-2022",_xlfn.CONCAT("On 1-Jul-2022, age ",R96,'Book Details - NO EDIT'!J96)),IF(LEN(R96)=0,"Died in infancy",_xlfn.CONCAT("Died ",'Book Details - NO EDIT'!J96,","," aged ",R96)))</f>
        <v>Died 10/05/2014, aged 94</v>
      </c>
      <c r="R96" s="73">
        <f>'Book Details - NO EDIT'!AX96</f>
        <v>94</v>
      </c>
      <c r="S96" s="73" t="str">
        <f>'Book Details - NO EDIT'!AY96</f>
        <v xml:space="preserve"> - </v>
      </c>
      <c r="T96" s="73" t="str">
        <f>'Book Details - NO EDIT'!AW96</f>
        <v>England, Africa, Italy &amp; Burma (Myanmar)</v>
      </c>
      <c r="U96" s="73">
        <f>VLOOKUP(A96,'Book Details - NO EDIT'!$A96:$S$192,13,FALSE)</f>
        <v>45</v>
      </c>
      <c r="V96" s="73">
        <f>VLOOKUP(A96,'Book Details - NO EDIT'!$A96:$S$192,12,FALSE)</f>
        <v>68</v>
      </c>
      <c r="X96" s="31">
        <f>IF(LEN('Book Details - NO EDIT'!J96)=0,0,1)</f>
        <v>1</v>
      </c>
    </row>
    <row r="97" spans="1:24" s="31" customFormat="1" ht="17">
      <c r="A97" s="125">
        <f>'Book Details - NO EDIT'!A97</f>
        <v>95</v>
      </c>
      <c r="B97" s="31" t="str">
        <f>'Book Details - NO EDIT'!Y97</f>
        <v>Hester LOYD</v>
      </c>
      <c r="C97" s="31" t="str">
        <f>'Book Details - NO EDIT'!V97</f>
        <v>Hester (1920–2002)</v>
      </c>
      <c r="D97" s="199">
        <f>'Book Details - NO EDIT'!I97</f>
        <v>7641</v>
      </c>
      <c r="E97" s="31" t="str">
        <f>IF('Book Details - NO EDIT'!K97="Boy","Male","Female")</f>
        <v>Female</v>
      </c>
      <c r="F97" s="31" t="str">
        <f>IF('Book Details - NO EDIT'!T97=1,"First",IF('Book Details - NO EDIT'!T97=2,"Second",IF('Book Details - NO EDIT'!T97=3,"Third",IF('Book Details - NO EDIT'!T97=4,"Fourth",IF('Book Details - NO EDIT'!T97=5,"Fifth",IF('Book Details - NO EDIT'!T97=6,"Sixth",IF('Book Details - NO EDIT'!T97=7,"Seventh",IF('Book Details - NO EDIT'!T97=8,"Eighth",0))))))))</f>
        <v>Fifth</v>
      </c>
      <c r="G97" s="31" t="str">
        <f>'Book Details - NO EDIT'!Z97</f>
        <v>Tommy (1882–1944: #56)</v>
      </c>
      <c r="H97" s="31" t="str">
        <f>'Book Details - NO EDIT'!AH97</f>
        <v>Dorothy WILLERT (b. 19 Jan 1886, d. 15 Jan 1966)</v>
      </c>
      <c r="I97" s="31" t="str">
        <f>'Book Details - NO EDIT'!AI97</f>
        <v>Major Hubert Guy Broughton KNIGHT MC (b. 9 Apr 1917, d. 1 Nov 1993)</v>
      </c>
      <c r="J97" s="199">
        <f>'Book Details - NO EDIT'!AJ97</f>
        <v>16261</v>
      </c>
      <c r="K97" s="31" t="str">
        <f>'Book Details - NO EDIT'!AK97</f>
        <v>Hester married at Lockinge, by her uncle, the Rt Rev Philip LOYD, Major Hubert, late Coldstream Guards of Lockinge Manor, Wantage. Educated Eton and RMC Sandhurst.</v>
      </c>
      <c r="L97" s="131" t="str">
        <f>'Book Details - NO EDIT'!AL97</f>
        <v>Hester was the 2nd daughter of Arthur (1882–1944: #56) of Lockinge, Wantage, Berkshire. Born 1 Dec 1920.  Died 2002. Issue: 2 daughters.</v>
      </c>
      <c r="M97" s="73" t="str">
        <f>'Book Details - NO EDIT'!AA97</f>
        <v xml:space="preserve">Tommy (1882–1944: #56) The Rev Lewis (1844–1905: #28) Thomas (1812–1857: #14) William (1770–1828: #4) William (1729–1800: #1)   </v>
      </c>
      <c r="N97" s="197" t="str">
        <f>'Book Details - NO EDIT'!AB97</f>
        <v xml:space="preserve">5 – Anne (1912–2004: #85) John (1913–1943: #87) Martin (1917–1926: #91)  Christopher (1923–2013: #100) Catherine (1923–2014: #101)   </v>
      </c>
      <c r="O97" s="198" t="str">
        <f>'Book Details - NO EDIT'!AC97</f>
        <v xml:space="preserve">2 - Henrietta KNIGHT (1946 - : #95a) Ce-Ce KNIGHT (1949 - 2020: #95b)      </v>
      </c>
      <c r="P97" s="198" t="str">
        <f>'Book Details - NO EDIT'!AD97</f>
        <v xml:space="preserve">3 - THE Hon William VESTEY (1983 -: #95ba) THE Hon Arthur VESTEY (1985 -: #95bb) The Hon Mary VESTEY (1992 -: #95bc)                </v>
      </c>
      <c r="Q97" s="191" t="str">
        <f>IF('Book Details - NO EDIT'!J97="",IF(R97=0,"Less than year on 1-Jul-2022",_xlfn.CONCAT("On 1-Jul-2022, age ",R97,'Book Details - NO EDIT'!J97)),IF(LEN(R97)=0,"Died in infancy",_xlfn.CONCAT("Died ",'Book Details - NO EDIT'!J97,","," aged ",R97)))</f>
        <v>Died 01/01/2002, aged 95</v>
      </c>
      <c r="R97" s="73">
        <f>'Book Details - NO EDIT'!AX97</f>
        <v>95</v>
      </c>
      <c r="S97" s="73" t="str">
        <f>'Book Details - NO EDIT'!AY97</f>
        <v xml:space="preserve"> - </v>
      </c>
      <c r="T97" s="73" t="str">
        <f>'Book Details - NO EDIT'!AW97</f>
        <v>England</v>
      </c>
      <c r="U97" s="73">
        <f>VLOOKUP(A97,'Book Details - NO EDIT'!$A97:$S$192,13,FALSE)</f>
        <v>28</v>
      </c>
      <c r="V97" s="73">
        <f>VLOOKUP(A97,'Book Details - NO EDIT'!$A97:$S$192,12,FALSE)</f>
        <v>56</v>
      </c>
      <c r="X97" s="31">
        <f>IF(LEN('Book Details - NO EDIT'!J97)=0,0,1)</f>
        <v>1</v>
      </c>
    </row>
    <row r="98" spans="1:24" s="31" customFormat="1" ht="17">
      <c r="A98" s="125">
        <f>'Book Details - NO EDIT'!A98</f>
        <v>96</v>
      </c>
      <c r="B98" s="31" t="str">
        <f>'Book Details - NO EDIT'!Y98</f>
        <v>Edward Percy Canning LOYD</v>
      </c>
      <c r="C98" s="31" t="str">
        <f>'Book Details - NO EDIT'!V98</f>
        <v>Edward (1921–1977)</v>
      </c>
      <c r="D98" s="199">
        <f>'Book Details - NO EDIT'!I98</f>
        <v>7723</v>
      </c>
      <c r="E98" s="31" t="str">
        <f>IF('Book Details - NO EDIT'!K98="Boy","Male","Female")</f>
        <v>Male</v>
      </c>
      <c r="F98" s="31" t="str">
        <f>IF('Book Details - NO EDIT'!T98=1,"First",IF('Book Details - NO EDIT'!T98=2,"Second",IF('Book Details - NO EDIT'!T98=3,"Third",IF('Book Details - NO EDIT'!T98=4,"Fourth",IF('Book Details - NO EDIT'!T98=5,"Fifth",IF('Book Details - NO EDIT'!T98=6,"Sixth",IF('Book Details - NO EDIT'!T98=7,"Seventh",IF('Book Details - NO EDIT'!T98=8,"Eighth",0))))))))</f>
        <v>Fifth</v>
      </c>
      <c r="G98" s="31" t="str">
        <f>'Book Details - NO EDIT'!Z98</f>
        <v>William (1889–1947: #66)</v>
      </c>
      <c r="H98" s="31" t="str">
        <f>'Book Details - NO EDIT'!AH98</f>
        <v>The Hon Bettine Henrietta KNATCHBULL-HUGESSEN (b. 15 Sep 1888, d. 9 Aug 1967)</v>
      </c>
      <c r="I98" s="31" t="str">
        <f>'Book Details - NO EDIT'!AI98</f>
        <v>June Cecilia KEPPEL (b. 19 Jun 1924)</v>
      </c>
      <c r="J98" s="199">
        <f>'Book Details - NO EDIT'!AJ98</f>
        <v>16839</v>
      </c>
      <c r="K98" s="31" t="str">
        <f>'Book Details - NO EDIT'!AK98</f>
        <v>Married at St Peter’s, Eaton Square, London SW1, June eldest daughter of the late Lieut Colonel Arnold Ramsay KEPPEL, Kings Own Yorkshire Light Infantry. June married secondly on 16 Jun 1990 Alexander (Sandy) FLETCHER of The Old Vicarage, Wighill, Tadcaster, North Yorkshire, LS24 8BQ.</v>
      </c>
      <c r="L98" s="131" t="str">
        <f>'Book Details - NO EDIT'!AL98</f>
        <v>Edward lived at 10 Cadogan Square, London SW1. Elder son of William (1889–1947: #66). Born 21 Feb 1921. Educated Eton 1934-38. Served in World War II in North Africa. Captain, Coldstream Guards. Prisoner of war. Died 7 Jan 1977, buried at Langleybury, Hertfordshire. Issue: 1 son, 1 daughter.</v>
      </c>
      <c r="M98" s="73" t="str">
        <f>'Book Details - NO EDIT'!AA98</f>
        <v xml:space="preserve">William (1889–1947: #66) Harry (1861–1938: #44) William (1821–1885: #23) Edward (1780–1863: #8) William (1729–1800: #1)   </v>
      </c>
      <c r="N98" s="197" t="str">
        <f>'Book Details - NO EDIT'!AB98</f>
        <v xml:space="preserve">2 – Delia (1915–2007: #88)  Peter (1923–1974: #99)      </v>
      </c>
      <c r="O98" s="198" t="str">
        <f>'Book Details - NO EDIT'!AC98</f>
        <v>2 - Caroline (1947–2022: #120); David (1949–: #121)</v>
      </c>
      <c r="P98" s="198" t="str">
        <f>'Book Details - NO EDIT'!AD98</f>
        <v xml:space="preserve">3 - James (1988–: #169); Rupert (1990–: #171); Tabitha (1992–: #174)   </v>
      </c>
      <c r="Q98" s="191" t="str">
        <f>IF('Book Details - NO EDIT'!J98="",IF(R98=0,"Less than year on 1-Jul-2022",_xlfn.CONCAT("On 1-Jul-2022, age ",R98,'Book Details - NO EDIT'!J98)),IF(LEN(R98)=0,"Died in infancy",_xlfn.CONCAT("Died ",'Book Details - NO EDIT'!J98,","," aged ",R98)))</f>
        <v>Died 07/01/1977, aged 96</v>
      </c>
      <c r="R98" s="73">
        <f>'Book Details - NO EDIT'!AX98</f>
        <v>96</v>
      </c>
      <c r="S98" s="73" t="str">
        <f>'Book Details - NO EDIT'!AY98</f>
        <v xml:space="preserve"> - </v>
      </c>
      <c r="T98" s="73" t="str">
        <f>'Book Details - NO EDIT'!AW98</f>
        <v>England and North Africa</v>
      </c>
      <c r="U98" s="73">
        <f>VLOOKUP(A98,'Book Details - NO EDIT'!$A98:$S$192,13,FALSE)</f>
        <v>44</v>
      </c>
      <c r="V98" s="73">
        <f>VLOOKUP(A98,'Book Details - NO EDIT'!$A98:$S$192,12,FALSE)</f>
        <v>66</v>
      </c>
      <c r="X98" s="31">
        <f>IF(LEN('Book Details - NO EDIT'!J98)=0,0,1)</f>
        <v>1</v>
      </c>
    </row>
    <row r="99" spans="1:24" s="31" customFormat="1" ht="34">
      <c r="A99" s="125">
        <f>'Book Details - NO EDIT'!A99</f>
        <v>97</v>
      </c>
      <c r="B99" s="31" t="str">
        <f>'Book Details - NO EDIT'!Y99</f>
        <v>Audrey Janet Isabel LOYD</v>
      </c>
      <c r="C99" s="31" t="str">
        <f>'Book Details - NO EDIT'!V99</f>
        <v>Audrey (1922–2005)</v>
      </c>
      <c r="D99" s="199">
        <f>'Book Details - NO EDIT'!I99</f>
        <v>8184</v>
      </c>
      <c r="E99" s="31" t="str">
        <f>IF('Book Details - NO EDIT'!K99="Boy","Male","Female")</f>
        <v>Female</v>
      </c>
      <c r="F99" s="31" t="str">
        <f>IF('Book Details - NO EDIT'!T99=1,"First",IF('Book Details - NO EDIT'!T99=2,"Second",IF('Book Details - NO EDIT'!T99=3,"Third",IF('Book Details - NO EDIT'!T99=4,"Fourth",IF('Book Details - NO EDIT'!T99=5,"Fifth",IF('Book Details - NO EDIT'!T99=6,"Sixth",IF('Book Details - NO EDIT'!T99=7,"Seventh",IF('Book Details - NO EDIT'!T99=8,"Eighth",0))))))))</f>
        <v>Fifth</v>
      </c>
      <c r="G99" s="31" t="str">
        <f>'Book Details - NO EDIT'!Z99</f>
        <v>Edward (1881–1962: #53)</v>
      </c>
      <c r="H99" s="31" t="str">
        <f>'Book Details - NO EDIT'!AH99</f>
        <v>Kathleen Elizabeth Lilian DONOVAN (b. 21 Mar 1896, d. 7 Dec 1983)</v>
      </c>
      <c r="I99" s="31" t="str">
        <f>'Book Details - NO EDIT'!AI99</f>
        <v>Robert Edward Walker SALE (b. 26 Nov 1913, d. 11 Aug 1983)</v>
      </c>
      <c r="J99" s="199">
        <f>'Book Details - NO EDIT'!AJ99</f>
        <v>18753</v>
      </c>
      <c r="K99" s="31" t="str">
        <f>'Book Details - NO EDIT'!AK99</f>
        <v>Robert, baptised in Bombay by the Rev, later the Rt Rev, Philip (1884 - 1952: #58) Bishop of Nasik and Bishop of St Albans, MC, Lieut Colonel, Welsh Guards, son of the late Edward Little SALE of Brownshill Court, Painswick, Gloucestershire. Late Collector of Bombay and of Belgaum, Indian Civil Service.</v>
      </c>
      <c r="L99" s="131" t="str">
        <f>'Book Details - NO EDIT'!AL99</f>
        <v>Audrey lived at Dowdeswell Home Farm, Andoversford, Gloucestershire and was the only child of Edward (1881–1962: #53). Born 28 May 1922. Had safe keeping of old Welsh Bible with entries about LLOYD family in Carmarthenshire in 18th Century and other old family papers, and the blunderbuss belonging to Edward (1780–1863: #8) for use by his coachman if attacked on the turnpikes. Died 4 Oct 2005. Issue: 1 daughter, 3 sons</v>
      </c>
      <c r="M99" s="73" t="str">
        <f>'Book Details - NO EDIT'!AA99</f>
        <v xml:space="preserve">Edward (1881–1962: #53) Frederic (1856–1936: #41) Edward (1820–1890: #22) Edward (1780–1863: #8) William (1729–1800: #1)   </v>
      </c>
      <c r="N99" s="197" t="str">
        <f>'Book Details - NO EDIT'!AB99</f>
        <v>0 – Only chlid</v>
      </c>
      <c r="O99" s="198" t="str">
        <f>'Book Details - NO EDIT'!AC99</f>
        <v xml:space="preserve">5 - Julian SALE (1951 - : #97a) Iona SALE (1954 - : #97b) Charles SALE (1956 - 1957: #97c) Roddy SALE (1959 - : #97d) Edward SALE (1963 - : #97e)   </v>
      </c>
      <c r="P99" s="198" t="str">
        <f>'Book Details - NO EDIT'!AD99</f>
        <v xml:space="preserve">5 - Alexander SALE (1991 -: #97aa) Oliver SALE (1995 -: #97ab) Frank SALE (1995 -: #97ea) Connie SALE (1997 -: #97eb) Grace SALE (2002 -0: #97ec)              </v>
      </c>
      <c r="Q99" s="191" t="str">
        <f>IF('Book Details - NO EDIT'!J99="",IF(R99=0,"Less than year on 1-Jul-2022",_xlfn.CONCAT("On 1-Jul-2022, age ",R99,'Book Details - NO EDIT'!J99)),IF(LEN(R99)=0,"Died in infancy",_xlfn.CONCAT("Died ",'Book Details - NO EDIT'!J99,","," aged ",R99)))</f>
        <v>Died 04/10/2005, aged 97</v>
      </c>
      <c r="R99" s="73">
        <f>'Book Details - NO EDIT'!AX99</f>
        <v>97</v>
      </c>
      <c r="S99" s="73" t="str">
        <f>'Book Details - NO EDIT'!AY99</f>
        <v>Deceased</v>
      </c>
      <c r="T99" s="73" t="str">
        <f>'Book Details - NO EDIT'!AW99</f>
        <v>England</v>
      </c>
      <c r="U99" s="73">
        <f>VLOOKUP(A99,'Book Details - NO EDIT'!$A99:$S$192,13,FALSE)</f>
        <v>41</v>
      </c>
      <c r="V99" s="73">
        <f>VLOOKUP(A99,'Book Details - NO EDIT'!$A99:$S$192,12,FALSE)</f>
        <v>53</v>
      </c>
      <c r="X99" s="31">
        <f>IF(LEN('Book Details - NO EDIT'!J99)=0,0,1)</f>
        <v>1</v>
      </c>
    </row>
    <row r="100" spans="1:24" s="31" customFormat="1" ht="85">
      <c r="A100" s="125">
        <f>'Book Details - NO EDIT'!A100</f>
        <v>98</v>
      </c>
      <c r="B100" s="31" t="str">
        <f>'Book Details - NO EDIT'!Y100</f>
        <v>Peter Haig LOYD</v>
      </c>
      <c r="C100" s="31" t="str">
        <f>'Book Details - NO EDIT'!V100</f>
        <v>Peter (1922–2022)</v>
      </c>
      <c r="D100" s="199">
        <f>'Book Details - NO EDIT'!I100</f>
        <v>8318</v>
      </c>
      <c r="E100" s="31" t="str">
        <f>IF('Book Details - NO EDIT'!K100="Boy","Male","Female")</f>
        <v>Male</v>
      </c>
      <c r="F100" s="31" t="str">
        <f>IF('Book Details - NO EDIT'!T100=1,"First",IF('Book Details - NO EDIT'!T100=2,"Second",IF('Book Details - NO EDIT'!T100=3,"Third",IF('Book Details - NO EDIT'!T100=4,"Fourth",IF('Book Details - NO EDIT'!T100=5,"Fifth",IF('Book Details - NO EDIT'!T100=6,"Sixth",IF('Book Details - NO EDIT'!T100=7,"Seventh",IF('Book Details - NO EDIT'!T100=8,"Eighth",0))))))))</f>
        <v>Fifth</v>
      </c>
      <c r="G100" s="31" t="str">
        <f>'Book Details - NO EDIT'!Z100</f>
        <v>Wilfrid (1893–1971: #77)</v>
      </c>
      <c r="H100" s="31" t="str">
        <f>'Book Details - NO EDIT'!AH100</f>
        <v>Emily Charlotte Eileen OAKELEY (b. 28 Jan 1896, d. 8 May 1978)</v>
      </c>
      <c r="I100" s="31" t="str">
        <f>'Book Details - NO EDIT'!AI100</f>
        <v>(1) Suzanne DUNCAN (b. 25 Aug 1928, ).</v>
      </c>
      <c r="J100" s="199">
        <f>'Book Details - NO EDIT'!AJ100</f>
        <v>18361</v>
      </c>
      <c r="K100" s="31" t="str">
        <f>'Book Details - NO EDIT'!AK100</f>
        <v>(1) Married 8 Apr 1950 at Tewkesbury Abbey, Suzanne only child of Eric McLeod DUNCAN of The Croft, The Leigh, Nr. Cheltenham, Gloucestershire. (Issue 1 son &amp; 2 daughters - divorced 1957). (2) Married 26 Aug 1961 at Chelsea Registry Office, Rosie elder daughter of Dr John Hay MOIR of Worplesdon, Surrey. Cremated 18 Mar 1997. (Issue 1 son &amp; 1 daughter). (3) 10 Oct 1998 at Burgh House, Hampstead, London NW3, Rosemary, elder daughter of Flight Lieutenant David Moore CROOK (b. 24 Nov 1914, d. 18 Dec 1944 flying) DFC 1 Nov 1940 of Glenwood, Edgerton, Huddersfield, Yorkshire. David served in World War II in Battle of Britain in 609 Squadron. David Crook, author of "Spitfire Pilot", Faber and Faber 1942.</v>
      </c>
      <c r="L100" s="131" t="str">
        <f>'Book Details - NO EDIT'!AL100</f>
        <v>Peter lived in North London and was the eldest son of Wilfrid (1893–1971: #77). Born 9 Oct 1922 at Frittenden, Kent. Baptised 9 Dec 1922 at St Michael’s, Chester Square. Educated Eton 1936-40. Served in World War II in Home Fleet in HMS Belfast, and on land in India and Burma. Captain, Royal Marines. Adjutant and Troop Commander, 42 Commando Royal Marines 1943-45. OC Royal Marines HMS Nigeria 1945-47. Retired from Royal Marines 1958. Imperial Chemical Industries, Plastics Division 1958-61. BTR Industries 1961-66. Industrial Society 1966-74. Director, British Institute of Management 1974-84. FMS 1966, FBIM 1974 (now FIMgt), FIIM 1979. Yachtmaster (Offshore) 1976. Loyd Family Archivist producing a Loyd book series: THE LOYD FAMILY, "Who's Who", first edition published in 1985; and then updated in 2000 with the second edition entitled, “THE LOYD FAMILY – A "Who's Who" in date of birth order from William LLOYD (1729-1800) to the present day.” Peter died 13 May 2022 in the Royal Free Hospital and his funeral service was held at Hampstead Parish Church, Hampstead, London on 27 May 2022. Issue: (1st wife) 1 son, 2 daughters. (2nd wife) 1 son, 1 daughter.</v>
      </c>
      <c r="M100" s="73" t="str">
        <f>'Book Details - NO EDIT'!AA100</f>
        <v xml:space="preserve">Wilfrid (1893–1971: #77) Archie (1847–1922: #30) Thomas (1812–1857: #14) William (1770–1828: #4) William (1729–1800: #1)   </v>
      </c>
      <c r="N100" s="197" t="str">
        <f>'Book Details - NO EDIT'!AB100</f>
        <v xml:space="preserve">3 – Geoffrey (1926–2018: #105) Denise (1928–: #106) Andrew (1934–1975: #111)     </v>
      </c>
      <c r="O100" s="198" t="str">
        <f>'Book Details - NO EDIT'!AC100</f>
        <v>5 - Julie (1952–: #128); Penelope (1954–1954: #132); William (1955–: #134); Tony (1963–: #145); Sophie (1969–: #154)</v>
      </c>
      <c r="P100" s="198" t="str">
        <f>'Book Details - NO EDIT'!AD100</f>
        <v xml:space="preserve">5 -    Chloe PEMBERTON (1991 - :  #128a) Kate PEMBERTON (1993 - :  #128b) Freddie NEWING (2006 - :  #154a) Gus NEWING (2008 - :  #154b) Albert NEWING (2015 - 2015:  #154c)          </v>
      </c>
      <c r="Q100" s="191" t="str">
        <f>IF('Book Details - NO EDIT'!J100="",IF(R100=0,"Less than year on 1-Jul-2022",_xlfn.CONCAT("On 1-Jul-2022, age ",R100,'Book Details - NO EDIT'!J100)),IF(LEN(R100)=0,"Died in infancy",_xlfn.CONCAT("Died ",'Book Details - NO EDIT'!J100,","," aged ",R100)))</f>
        <v>Died 13/05/2022, aged 98</v>
      </c>
      <c r="R100" s="73">
        <f>'Book Details - NO EDIT'!AX100</f>
        <v>98</v>
      </c>
      <c r="S100" s="73" t="str">
        <f>'Book Details - NO EDIT'!AY100</f>
        <v>rosemaryloyd@gmail.com</v>
      </c>
      <c r="T100" s="73" t="str">
        <f>'Book Details - NO EDIT'!AW100</f>
        <v>England, India and Burma</v>
      </c>
      <c r="U100" s="73">
        <f>VLOOKUP(A100,'Book Details - NO EDIT'!$A100:$S$192,13,FALSE)</f>
        <v>30</v>
      </c>
      <c r="V100" s="73">
        <f>VLOOKUP(A100,'Book Details - NO EDIT'!$A100:$S$192,12,FALSE)</f>
        <v>77</v>
      </c>
      <c r="X100" s="31">
        <f>IF(LEN('Book Details - NO EDIT'!J100)=0,0,1)</f>
        <v>1</v>
      </c>
    </row>
    <row r="101" spans="1:24" s="31" customFormat="1" ht="17">
      <c r="A101" s="125">
        <f>'Book Details - NO EDIT'!A101</f>
        <v>99</v>
      </c>
      <c r="B101" s="31" t="str">
        <f>'Book Details - NO EDIT'!Y101</f>
        <v>Peter Wyndham LOYD</v>
      </c>
      <c r="C101" s="31" t="str">
        <f>'Book Details - NO EDIT'!V101</f>
        <v>Peter (1923–1974)</v>
      </c>
      <c r="D101" s="199">
        <f>'Book Details - NO EDIT'!I101</f>
        <v>8509</v>
      </c>
      <c r="E101" s="31" t="str">
        <f>IF('Book Details - NO EDIT'!K101="Boy","Male","Female")</f>
        <v>Male</v>
      </c>
      <c r="F101" s="31" t="str">
        <f>IF('Book Details - NO EDIT'!T101=1,"First",IF('Book Details - NO EDIT'!T101=2,"Second",IF('Book Details - NO EDIT'!T101=3,"Third",IF('Book Details - NO EDIT'!T101=4,"Fourth",IF('Book Details - NO EDIT'!T101=5,"Fifth",IF('Book Details - NO EDIT'!T101=6,"Sixth",IF('Book Details - NO EDIT'!T101=7,"Seventh",IF('Book Details - NO EDIT'!T101=8,"Eighth",0))))))))</f>
        <v>Fifth</v>
      </c>
      <c r="G101" s="31" t="str">
        <f>'Book Details - NO EDIT'!Z101</f>
        <v>William (1889–1947: #66)</v>
      </c>
      <c r="H101" s="31" t="str">
        <f>'Book Details - NO EDIT'!AH101</f>
        <v>The Hon Bettine Henrietta KNATCHBULL-HUGESSEN (b. 15 Sep 1888, d. 9 Aug 1967)</v>
      </c>
      <c r="I101" s="31" t="str">
        <f>'Book Details - NO EDIT'!AI101</f>
        <v>Sally Elizabeth Jane INGLIS (b. 18 Jan 1931, d. 27 Aug 2020)</v>
      </c>
      <c r="J101" s="199">
        <f>'Book Details - NO EDIT'!AJ101</f>
        <v>21248</v>
      </c>
      <c r="K101" s="31" t="str">
        <f>'Book Details - NO EDIT'!AK101</f>
        <v>Married Sally, at St. Peter’s, Eaton Square, London, SW1, eldest daughter of John INGLIS of West Nisbet, Jedburgh, Roxburghshire.</v>
      </c>
      <c r="L101" s="131" t="str">
        <f>'Book Details - NO EDIT'!AL101</f>
        <v xml:space="preserve">Peter lived at Towersey Manor, Thame, Oxfordshire and was the younger son of William (1889–1947: #66). Born 18 Apr 1923. Educated Eton 1936-40. . Served in World War II as Captain, Coldstream Guards and later as Major, Coldstream Guards. Died 12 Jun 1974. Issue: 1 son, 1 daughter. </v>
      </c>
      <c r="M101" s="73" t="str">
        <f>'Book Details - NO EDIT'!AA101</f>
        <v xml:space="preserve">William (1889–1947: #66) Harry (1861–1938: #44) William (1821–1885: #23) Edward (1780–1863: #8) William (1729–1800: #1)   </v>
      </c>
      <c r="N101" s="197" t="str">
        <f>'Book Details - NO EDIT'!AB101</f>
        <v xml:space="preserve">2 – Delia (1915–2007: #88) Edward (1921–1977: #96)       </v>
      </c>
      <c r="O101" s="198" t="str">
        <f>'Book Details - NO EDIT'!AC101</f>
        <v>2 - Henrietta (1959–: #137); Andrew (1962–: #144)</v>
      </c>
      <c r="P101" s="198" t="str">
        <f>'Book Details - NO EDIT'!AD101</f>
        <v xml:space="preserve">1 -    Honor GELL (1998 - :  #137a)              </v>
      </c>
      <c r="Q101" s="191" t="str">
        <f>IF('Book Details - NO EDIT'!J101="",IF(R101=0,"Less than year on 1-Jul-2022",_xlfn.CONCAT("On 1-Jul-2022, age ",R101,'Book Details - NO EDIT'!J101)),IF(LEN(R101)=0,"Died in infancy",_xlfn.CONCAT("Died ",'Book Details - NO EDIT'!J101,","," aged ",R101)))</f>
        <v>Died 12/06/1974, aged 99</v>
      </c>
      <c r="R101" s="73">
        <f>'Book Details - NO EDIT'!AX101</f>
        <v>99</v>
      </c>
      <c r="S101" s="73" t="str">
        <f>'Book Details - NO EDIT'!AY101</f>
        <v xml:space="preserve"> - </v>
      </c>
      <c r="T101" s="73" t="str">
        <f>'Book Details - NO EDIT'!AW101</f>
        <v>England</v>
      </c>
      <c r="U101" s="73">
        <f>VLOOKUP(A101,'Book Details - NO EDIT'!$A101:$S$192,13,FALSE)</f>
        <v>44</v>
      </c>
      <c r="V101" s="73">
        <f>VLOOKUP(A101,'Book Details - NO EDIT'!$A101:$S$192,12,FALSE)</f>
        <v>66</v>
      </c>
      <c r="X101" s="31">
        <f>IF(LEN('Book Details - NO EDIT'!J101)=0,0,1)</f>
        <v>1</v>
      </c>
    </row>
    <row r="102" spans="1:24" s="31" customFormat="1" ht="34">
      <c r="A102" s="125">
        <f>'Book Details - NO EDIT'!A102</f>
        <v>100</v>
      </c>
      <c r="B102" s="31" t="str">
        <f>'Book Details - NO EDIT'!Y102</f>
        <v>Christopher Lewis LOYD</v>
      </c>
      <c r="C102" s="31" t="str">
        <f>'Book Details - NO EDIT'!V102</f>
        <v>Christopher (1923–2013)</v>
      </c>
      <c r="D102" s="199">
        <f>'Book Details - NO EDIT'!I102</f>
        <v>8553</v>
      </c>
      <c r="E102" s="31" t="str">
        <f>IF('Book Details - NO EDIT'!K102="Boy","Male","Female")</f>
        <v>Male</v>
      </c>
      <c r="F102" s="31" t="str">
        <f>IF('Book Details - NO EDIT'!T102=1,"First",IF('Book Details - NO EDIT'!T102=2,"Second",IF('Book Details - NO EDIT'!T102=3,"Third",IF('Book Details - NO EDIT'!T102=4,"Fourth",IF('Book Details - NO EDIT'!T102=5,"Fifth",IF('Book Details - NO EDIT'!T102=6,"Sixth",IF('Book Details - NO EDIT'!T102=7,"Seventh",IF('Book Details - NO EDIT'!T102=8,"Eighth",0))))))))</f>
        <v>Fifth</v>
      </c>
      <c r="G102" s="31" t="str">
        <f>'Book Details - NO EDIT'!Z102</f>
        <v>Tommy (1882–1944: #56)</v>
      </c>
      <c r="H102" s="31" t="str">
        <f>'Book Details - NO EDIT'!AH102</f>
        <v>Dorothy WILLERT (b. 19 Jan 1886, d. 15 Jan 1966)</v>
      </c>
      <c r="I102" s="31" t="str">
        <f>'Book Details - NO EDIT'!AI102</f>
        <v>Joanna SMITH-BINGHAM (b. 17 Nov 1935, )</v>
      </c>
      <c r="J102" s="199">
        <f>'Book Details - NO EDIT'!AJ102</f>
        <v>21171</v>
      </c>
      <c r="K102" s="31" t="str">
        <f>'Book Details - NO EDIT'!AK102</f>
        <v>Married Joanna, at St Margaret’s , Westminster, London, only daughter of Captain Arthur Turberville SMITH-BINGHAM of Milburne Manor, Malmesbury, Wiltshire. (Div 1986).</v>
      </c>
      <c r="L102" s="131" t="str">
        <f>'Book Details - NO EDIT'!AL102</f>
        <v>Christopher lived at Lockinge, Wantage, Oxfordshire, and was the 3rd and youngest son of Arthur (1882–1944: #56). Born 1 Jun 1923 (twin with his youngest sister, Catherine). Educated Eton 1936-42 and Kings College, Cambridge (BA 1949. MA).  Served in World War II 1942-45 as Captain, Coldstream Guards, MC 1944. FRICS, DL 1954, JP 1950, High Sheriff 1961. Member Jockey Club. Trustee of Wallace Collection 1973-90. Died 14 Jul 2013. Issue: 2 sons, 1 daughter.</v>
      </c>
      <c r="M102" s="73" t="str">
        <f>'Book Details - NO EDIT'!AA102</f>
        <v xml:space="preserve">Tommy (1882–1944: #56) The Rev Lewis (1844–1905: #28) Thomas (1812–1857: #14) William (1770–1828: #4) William (1729–1800: #1)   </v>
      </c>
      <c r="N102" s="197" t="str">
        <f>'Book Details - NO EDIT'!AB102</f>
        <v xml:space="preserve">5 – Anne (1912–2004: #85) John (1913–1943: #87) Martin (1917–1926: #91) Hester (1920–2002: #95)  Catherine (1923–2014: #101)   </v>
      </c>
      <c r="O102" s="198" t="str">
        <f>'Book Details - NO EDIT'!AC102</f>
        <v>3 - Thomas (1959–: #138); Harriet (1962–: #143); James (1966–: #150)</v>
      </c>
      <c r="P102" s="198" t="str">
        <f>'Book Details - NO EDIT'!AD102</f>
        <v xml:space="preserve">7 - Camilla (1988–: #168); Sophie (1989–: #170); Kit (1993–: #175); William (1996–: #178); Eliza (1999–: #181)   Emily ASHE (1988 - :  #143a) Charles ASHE (1990 - :  #143b)             </v>
      </c>
      <c r="Q102" s="191" t="str">
        <f>IF('Book Details - NO EDIT'!J102="",IF(R102=0,"Less than year on 1-Jul-2022",_xlfn.CONCAT("On 1-Jul-2022, age ",R102,'Book Details - NO EDIT'!J102)),IF(LEN(R102)=0,"Died in infancy",_xlfn.CONCAT("Died ",'Book Details - NO EDIT'!J102,","," aged ",R102)))</f>
        <v>Died 14/07/2013, aged 100</v>
      </c>
      <c r="R102" s="73">
        <f>'Book Details - NO EDIT'!AX102</f>
        <v>100</v>
      </c>
      <c r="S102" s="73" t="str">
        <f>'Book Details - NO EDIT'!AY102</f>
        <v xml:space="preserve"> - </v>
      </c>
      <c r="T102" s="73" t="str">
        <f>'Book Details - NO EDIT'!AW102</f>
        <v>England</v>
      </c>
      <c r="U102" s="73">
        <f>VLOOKUP(A102,'Book Details - NO EDIT'!$A102:$S$192,13,FALSE)</f>
        <v>28</v>
      </c>
      <c r="V102" s="73">
        <f>VLOOKUP(A102,'Book Details - NO EDIT'!$A102:$S$192,12,FALSE)</f>
        <v>56</v>
      </c>
      <c r="X102" s="31">
        <f>IF(LEN('Book Details - NO EDIT'!J102)=0,0,1)</f>
        <v>1</v>
      </c>
    </row>
    <row r="103" spans="1:24" s="31" customFormat="1" ht="51">
      <c r="A103" s="125">
        <f>'Book Details - NO EDIT'!A103</f>
        <v>101</v>
      </c>
      <c r="B103" s="31" t="str">
        <f>'Book Details - NO EDIT'!Y103</f>
        <v>Catherine LOYD</v>
      </c>
      <c r="C103" s="31" t="str">
        <f>'Book Details - NO EDIT'!V103</f>
        <v>Catherine (1923–2014)</v>
      </c>
      <c r="D103" s="199">
        <f>'Book Details - NO EDIT'!I103</f>
        <v>8553</v>
      </c>
      <c r="E103" s="31" t="str">
        <f>IF('Book Details - NO EDIT'!K103="Boy","Male","Female")</f>
        <v>Female</v>
      </c>
      <c r="F103" s="31" t="str">
        <f>IF('Book Details - NO EDIT'!T103=1,"First",IF('Book Details - NO EDIT'!T103=2,"Second",IF('Book Details - NO EDIT'!T103=3,"Third",IF('Book Details - NO EDIT'!T103=4,"Fourth",IF('Book Details - NO EDIT'!T103=5,"Fifth",IF('Book Details - NO EDIT'!T103=6,"Sixth",IF('Book Details - NO EDIT'!T103=7,"Seventh",IF('Book Details - NO EDIT'!T103=8,"Eighth",0))))))))</f>
        <v>Fifth</v>
      </c>
      <c r="G103" s="31" t="str">
        <f>'Book Details - NO EDIT'!Z103</f>
        <v>Tommy (1882–1944: #56)</v>
      </c>
      <c r="H103" s="31" t="str">
        <f>'Book Details - NO EDIT'!AH103</f>
        <v>Dorothy WILLERT (b. 19 Jan 1886, d. 15 Jan 1966)</v>
      </c>
      <c r="I103" s="31" t="str">
        <f>'Book Details - NO EDIT'!AI103</f>
        <v>John Charles Edmund Carson MEADE (b. 6 Jun 1914, d. 30 Mar 1989) 6th Earl of CLANWILLIAM</v>
      </c>
      <c r="J103" s="199">
        <f>'Book Details - NO EDIT'!AJ103</f>
        <v>17868</v>
      </c>
      <c r="K103" s="31" t="str">
        <f>'Book Details - NO EDIT'!AK103</f>
        <v>Married John, 6th Earl of CLANWILLIAM D.L. of Montalto, Ballynalinch, co Down and of Flat 7, 58 Cadogan Square, London SW1.</v>
      </c>
      <c r="L103" s="131" t="str">
        <f>'Book Details - NO EDIT'!AL103</f>
        <v>Catherine was the 3rd and youngest daughter of Arthur (1882–1944: #56). Born 1 Jun 1923 (twin with her youngest brother, Christopher). Died 22 Jan 2014.Issue: 6 daughters</v>
      </c>
      <c r="M103" s="73" t="str">
        <f>'Book Details - NO EDIT'!AA103</f>
        <v xml:space="preserve">Tommy (1882–1944: #56) The Rev Lewis (1844–1905: #28) Thomas (1812–1857: #14) William (1770–1828: #4) William (1729–1800: #1)   </v>
      </c>
      <c r="N103" s="197" t="str">
        <f>'Book Details - NO EDIT'!AB103</f>
        <v xml:space="preserve">5 – Anne (1912–2004: #85) John (1913–1943: #87) Martin (1917–1926: #91) Hester (1920–2002: #95) Christopher (1923–2013: #100)    </v>
      </c>
      <c r="O103" s="198" t="str">
        <f>'Book Details - NO EDIT'!AC103</f>
        <v xml:space="preserve">6 - Lady Selina MEADE (1950 - : #101a) Lady Mary MEADE (1952 - : #101b) Lady Julia MEADE (1953 - : #101c) Lady Laura MEADE (1957 - : #101d) Lady Katherine MEADE (1959 - : #101e) Lady Sophia MEADE (1963 - : #101f)  </v>
      </c>
      <c r="P103" s="198" t="str">
        <f>'Book Details - NO EDIT'!AD103</f>
        <v xml:space="preserve">16 - Lawrence TIMPSON (1974 -: #101aa) Catherine TIMPSON (1979 -: #101ab) Viscount John LOWRY-CORRY (1985 -: #101ba) The Hon Montagu LOWRY-CORRY (1989 -: #101bb) Lady Martha LOWRY-CORRY (1992 -: #101bc) Milo HISCOX (1987 -: #101ca) Henry HISCOX (1989 -: #101cb) Sydney HISCOX (1993 -: #101cc) Nicholas REID (1982 -: #101da) Amelia REID (1984 -: #101db) Clementine REID (1988 -: #101dc) Thomas WILLS (1991 -: #101ea) George WILLS (1993 -: #101eb) Laura WILLS (1996 -: #101ec) Richard HEYWOOD (1993 -: #101fa) Alec HEYWOOD (1996 -: #101fb)   </v>
      </c>
      <c r="Q103" s="191" t="str">
        <f>IF('Book Details - NO EDIT'!J103="",IF(R103=0,"Less than year on 1-Jul-2022",_xlfn.CONCAT("On 1-Jul-2022, age ",R103,'Book Details - NO EDIT'!J103)),IF(LEN(R103)=0,"Died in infancy",_xlfn.CONCAT("Died ",'Book Details - NO EDIT'!J103,","," aged ",R103)))</f>
        <v>Died 22/01/2014, aged 101</v>
      </c>
      <c r="R103" s="73">
        <f>'Book Details - NO EDIT'!AX103</f>
        <v>101</v>
      </c>
      <c r="S103" s="73" t="str">
        <f>'Book Details - NO EDIT'!AY103</f>
        <v xml:space="preserve"> - </v>
      </c>
      <c r="T103" s="73" t="str">
        <f>'Book Details - NO EDIT'!AW103</f>
        <v>England</v>
      </c>
      <c r="U103" s="73">
        <f>VLOOKUP(A103,'Book Details - NO EDIT'!$A103:$S$192,13,FALSE)</f>
        <v>28</v>
      </c>
      <c r="V103" s="73">
        <f>VLOOKUP(A103,'Book Details - NO EDIT'!$A103:$S$192,12,FALSE)</f>
        <v>56</v>
      </c>
      <c r="X103" s="31">
        <f>IF(LEN('Book Details - NO EDIT'!J103)=0,0,1)</f>
        <v>1</v>
      </c>
    </row>
    <row r="104" spans="1:24" s="31" customFormat="1" ht="68">
      <c r="A104" s="125">
        <f>'Book Details - NO EDIT'!A104</f>
        <v>102</v>
      </c>
      <c r="B104" s="31" t="str">
        <f>'Book Details - NO EDIT'!Y104</f>
        <v>Zelda Mary LOYD</v>
      </c>
      <c r="C104" s="31" t="str">
        <f>'Book Details - NO EDIT'!V104</f>
        <v>Zelda (1923–2014)</v>
      </c>
      <c r="D104" s="199">
        <f>'Book Details - NO EDIT'!I104</f>
        <v>8745</v>
      </c>
      <c r="E104" s="31" t="str">
        <f>IF('Book Details - NO EDIT'!K104="Boy","Male","Female")</f>
        <v>Female</v>
      </c>
      <c r="F104" s="31" t="str">
        <f>IF('Book Details - NO EDIT'!T104=1,"First",IF('Book Details - NO EDIT'!T104=2,"Second",IF('Book Details - NO EDIT'!T104=3,"Third",IF('Book Details - NO EDIT'!T104=4,"Fourth",IF('Book Details - NO EDIT'!T104=5,"Fifth",IF('Book Details - NO EDIT'!T104=6,"Sixth",IF('Book Details - NO EDIT'!T104=7,"Seventh",IF('Book Details - NO EDIT'!T104=8,"Eighth",0))))))))</f>
        <v>Fifth</v>
      </c>
      <c r="G104" s="31" t="str">
        <f>'Book Details - NO EDIT'!Z104</f>
        <v>Bobby (1887–1977: #62)</v>
      </c>
      <c r="H104" s="31" t="str">
        <f>'Book Details - NO EDIT'!AH104</f>
        <v>Olive Mary GLADSTONE (b. 7 May 1893, d. 7 Aug 1977)</v>
      </c>
      <c r="I104" s="31" t="str">
        <f>'Book Details - NO EDIT'!AI104</f>
        <v>Malcolm Coit DUNLOP (b. 17 Feb 1927, )</v>
      </c>
      <c r="J104" s="199">
        <f>'Book Details - NO EDIT'!AJ104</f>
        <v>19810</v>
      </c>
      <c r="K104" s="31" t="str">
        <f>'Book Details - NO EDIT'!AK104</f>
        <v>Married at St. Mark’s, North Audley Street, London, Malcolm (OBE 1997) of Ravenswood, 81 Gregories Road, Beaconsfield, Buckinghamshire, HP9 1HN, son of Andrew Fergus DUNLOP OBE of Purton Corner, Purton Lane, Farnham Royal, Buckinghamshire.</v>
      </c>
      <c r="L104" s="131" t="str">
        <f>'Book Details - NO EDIT'!AL104</f>
        <v>Zelda was the only child of Robert (1887–1977: #62). Born 10 Dec 1923 at Weymouth Street, London. Baptised 9 Feb 1924 at St Anne’s, Bowden Hill, Nr. Chippenham, Wiltshire. Educated by governesses at home, Kings Walden, Kings Road, Windsor until aged 17; Domestic Science at Errolston, Ascot (1941). Court circle at Windsor Castle with the two princesses, 1941-45, e.g. Princess Elizabeth’s 18th birthday ball 5th May 1944. British Red Cross Society: nursing at Queensmead, Windsor (1942-45) - rehabilitation for bombed-out civilians and returning Allied PoWs; administrative - Foreign Relations Department, Wimbourne House, London SW1 (1945-47). Travelled with her father to USA and Canada 1947, Brazil and the Argentine 1949. Inherited Bowden Park, north Wiltshire, her mother’s childhood home, 1955 and sold. Patron, St Anne’s, Bowden Hill 1962-2014. Died 30 April 2014, Beaconsfield, and buried at St Anne’s. Issue: 2 daughters, 1 son.</v>
      </c>
      <c r="M104" s="73" t="str">
        <f>'Book Details - NO EDIT'!AA104</f>
        <v xml:space="preserve">Bobby (1887–1977: #62) Archie (1847–1922: #30) Thomas (1812–1857: #14) William (1770–1828: #4) William (1729–1800: #1)   </v>
      </c>
      <c r="N104" s="197" t="str">
        <f>'Book Details - NO EDIT'!AB104</f>
        <v>0 – Only chlid</v>
      </c>
      <c r="O104" s="198" t="str">
        <f>'Book Details - NO EDIT'!AC104</f>
        <v xml:space="preserve">3 - Tess DUNLOP (1956 - : #102a) Fergus DUNLOP (1958 - : #102b) Celina DUNLOP (1960 - : #102c)     </v>
      </c>
      <c r="P104" s="198" t="str">
        <f>'Book Details - NO EDIT'!AD104</f>
        <v xml:space="preserve">2 - Ella DUNLOP (1998 -: #102ba) John DUNLOP (2000 -0: #102bb)                 </v>
      </c>
      <c r="Q104" s="191" t="str">
        <f>IF('Book Details - NO EDIT'!J104="",IF(R104=0,"Less than year on 1-Jul-2022",_xlfn.CONCAT("On 1-Jul-2022, age ",R104,'Book Details - NO EDIT'!J104)),IF(LEN(R104)=0,"Died in infancy",_xlfn.CONCAT("Died ",'Book Details - NO EDIT'!J104,","," aged ",R104)))</f>
        <v>Died 30/04/2014, aged 102</v>
      </c>
      <c r="R104" s="73">
        <f>'Book Details - NO EDIT'!AX104</f>
        <v>102</v>
      </c>
      <c r="S104" s="73" t="str">
        <f>'Book Details - NO EDIT'!AY104</f>
        <v>tessdunlop@gmail.com; celinadunlop@btinternet.com</v>
      </c>
      <c r="T104" s="73" t="str">
        <f>'Book Details - NO EDIT'!AW104</f>
        <v>England</v>
      </c>
      <c r="U104" s="73">
        <f>VLOOKUP(A104,'Book Details - NO EDIT'!$A104:$S$192,13,FALSE)</f>
        <v>30</v>
      </c>
      <c r="V104" s="73">
        <f>VLOOKUP(A104,'Book Details - NO EDIT'!$A104:$S$192,12,FALSE)</f>
        <v>62</v>
      </c>
      <c r="X104" s="31">
        <f>IF(LEN('Book Details - NO EDIT'!J104)=0,0,1)</f>
        <v>1</v>
      </c>
    </row>
    <row r="105" spans="1:24" s="31" customFormat="1" ht="51">
      <c r="A105" s="125">
        <f>'Book Details - NO EDIT'!A105</f>
        <v>103</v>
      </c>
      <c r="B105" s="31" t="str">
        <f>'Book Details - NO EDIT'!Y105</f>
        <v>Lavinia Gertrude Georgina LOYD</v>
      </c>
      <c r="C105" s="31" t="str">
        <f>'Book Details - NO EDIT'!V105</f>
        <v>Lavinia (1923–1995)</v>
      </c>
      <c r="D105" s="199">
        <f>'Book Details - NO EDIT'!I105</f>
        <v>8756</v>
      </c>
      <c r="E105" s="31" t="str">
        <f>IF('Book Details - NO EDIT'!K105="Boy","Male","Female")</f>
        <v>Female</v>
      </c>
      <c r="F105" s="31" t="str">
        <f>IF('Book Details - NO EDIT'!T105=1,"First",IF('Book Details - NO EDIT'!T105=2,"Second",IF('Book Details - NO EDIT'!T105=3,"Third",IF('Book Details - NO EDIT'!T105=4,"Fourth",IF('Book Details - NO EDIT'!T105=5,"Fifth",IF('Book Details - NO EDIT'!T105=6,"Sixth",IF('Book Details - NO EDIT'!T105=7,"Seventh",IF('Book Details - NO EDIT'!T105=8,"Eighth",0))))))))</f>
        <v>Fifth</v>
      </c>
      <c r="G105" s="31" t="str">
        <f>'Book Details - NO EDIT'!Z105</f>
        <v>Charles (1891–1973: #72)</v>
      </c>
      <c r="H105" s="31" t="str">
        <f>'Book Details - NO EDIT'!AH105</f>
        <v>Lady Moyra BRODRICK (b.11 Jan 1897, d. 1 Apr 1982)</v>
      </c>
      <c r="I105" s="31" t="str">
        <f>'Book Details - NO EDIT'!AI105</f>
        <v>Sir Thomas Anthony GORE-BROWN (b. 20 Jun 1918, d. 7 Sep 1988)</v>
      </c>
      <c r="J105" s="199">
        <f>'Book Details - NO EDIT'!AJ105</f>
        <v>16805</v>
      </c>
      <c r="K105" s="31" t="str">
        <f>'Book Details - NO EDIT'!AK105</f>
        <v>Married at St. Peter’s, Eaton Square, London, Sir Thomas (Kt. 1980) of The Old Rectory, Lydlinch, Sturminster Newton, Dorset, Major, Grenadier Guards, younger son of Colonel Sir Eric GORE-BROWNE DSO, OBE, TD of Glaston House, Rutland.</v>
      </c>
      <c r="L105" s="131" t="str">
        <f>'Book Details - NO EDIT'!AL105</f>
        <v>Lavinia was the only daughter of  Sir Henry (1891–1973: #72). Born 21 Dec 1923. Died 12 Dec 1995. Buried at Peper Harow, Godalming, Surrey. Issue: 3 Sons, 1 daughter.</v>
      </c>
      <c r="M105" s="73" t="str">
        <f>'Book Details - NO EDIT'!AA105</f>
        <v xml:space="preserve">Charles (1891–1973: #72) Harry (1861–1938: #44) William (1821–1885: #23) Edward (1780–1863: #8) William (1729–1800: #1)   </v>
      </c>
      <c r="N105" s="197" t="str">
        <f>'Book Details - NO EDIT'!AB105</f>
        <v xml:space="preserve">1 – Sir Julian (1926–2018: #104)       </v>
      </c>
      <c r="O105" s="198" t="str">
        <f>'Book Details - NO EDIT'!AC105</f>
        <v xml:space="preserve">4 - James GORE-BROWNE (1947 - : #103a) Georgina GORE-BROWNE (1949 - : #103b) David GORE-BROWNE (1952 - 2012: #103c) Patrick GORE-BROWNE (1956 - : #103d)    </v>
      </c>
      <c r="P105" s="198" t="str">
        <f>'Book Details - NO EDIT'!AD105</f>
        <v xml:space="preserve">13 - Marina GORE-BROWNE (1984 -: #103aa) Frederick GORE-BROWNE (1987 -: #103ab) Harry GORE-BROWNE (1988 -: #103ac) Edward PILKINGTON (1971 -: #103ba) Lucy PILKINGTON (1973 -: #103bb) Nicholas PILKINGTON (1976 -: #103bc) Claire PILKINGTON (1979 -: #103bd) William GORE-BROWNE (1988 -: #103ca) Heather GORE-BROWNE (1990 -: #103cb) Rose GORE-BROWNE (1991 -: #103cc) Sophie GORE-BROWNE (1985 -: #103da) Elizabeth GORE-BROWNE (1988 -: #103db) Georgina GORE-BROWNE (1992 -: #103dc)      </v>
      </c>
      <c r="Q105" s="191" t="str">
        <f>IF('Book Details - NO EDIT'!J105="",IF(R105=0,"Less than year on 1-Jul-2022",_xlfn.CONCAT("On 1-Jul-2022, age ",R105,'Book Details - NO EDIT'!J105)),IF(LEN(R105)=0,"Died in infancy",_xlfn.CONCAT("Died ",'Book Details - NO EDIT'!J105,","," aged ",R105)))</f>
        <v>Died 12/12/1995, aged 103</v>
      </c>
      <c r="R105" s="73">
        <f>'Book Details - NO EDIT'!AX105</f>
        <v>103</v>
      </c>
      <c r="S105" s="73" t="str">
        <f>'Book Details - NO EDIT'!AY105</f>
        <v xml:space="preserve"> - </v>
      </c>
      <c r="T105" s="73" t="str">
        <f>'Book Details - NO EDIT'!AW105</f>
        <v>England</v>
      </c>
      <c r="U105" s="73">
        <f>VLOOKUP(A105,'Book Details - NO EDIT'!$A105:$S$192,13,FALSE)</f>
        <v>44</v>
      </c>
      <c r="V105" s="73">
        <f>VLOOKUP(A105,'Book Details - NO EDIT'!$A105:$S$192,12,FALSE)</f>
        <v>72</v>
      </c>
      <c r="X105" s="31">
        <f>IF(LEN('Book Details - NO EDIT'!J105)=0,0,1)</f>
        <v>1</v>
      </c>
    </row>
    <row r="106" spans="1:24" s="31" customFormat="1" ht="51">
      <c r="A106" s="125">
        <f>'Book Details - NO EDIT'!A106</f>
        <v>104</v>
      </c>
      <c r="B106" s="31" t="str">
        <f>'Book Details - NO EDIT'!Y106</f>
        <v>Sir Julian St. John LOYD</v>
      </c>
      <c r="C106" s="31" t="str">
        <f>'Book Details - NO EDIT'!V106</f>
        <v>Sir Julian (1926–2018)</v>
      </c>
      <c r="D106" s="199">
        <f>'Book Details - NO EDIT'!I106</f>
        <v>9642</v>
      </c>
      <c r="E106" s="31" t="str">
        <f>IF('Book Details - NO EDIT'!K106="Boy","Male","Female")</f>
        <v>Male</v>
      </c>
      <c r="F106" s="31" t="str">
        <f>IF('Book Details - NO EDIT'!T106=1,"First",IF('Book Details - NO EDIT'!T106=2,"Second",IF('Book Details - NO EDIT'!T106=3,"Third",IF('Book Details - NO EDIT'!T106=4,"Fourth",IF('Book Details - NO EDIT'!T106=5,"Fifth",IF('Book Details - NO EDIT'!T106=6,"Sixth",IF('Book Details - NO EDIT'!T106=7,"Seventh",IF('Book Details - NO EDIT'!T106=8,"Eighth",0))))))))</f>
        <v>Fifth</v>
      </c>
      <c r="G106" s="31" t="str">
        <f>'Book Details - NO EDIT'!Z106</f>
        <v>Charles (1891–1973: #72)</v>
      </c>
      <c r="H106" s="31" t="str">
        <f>'Book Details - NO EDIT'!AH106</f>
        <v>Lady Moyra BRODRICK (b.11 Jan 1897, d. 1 Apr 1982)</v>
      </c>
      <c r="I106" s="31" t="str">
        <f>'Book Details - NO EDIT'!AI106</f>
        <v>Philippa Mary Emma STEEL (b. 5 Dec 1932, d. 27 Oct 2020)</v>
      </c>
      <c r="J106" s="199">
        <f>'Book Details - NO EDIT'!AJ106</f>
        <v>22209</v>
      </c>
      <c r="K106" s="31" t="str">
        <f>'Book Details - NO EDIT'!AK106</f>
        <v>Married, Philippa twin daughter of Sir Christopher Eden STEEL GCMG, MVO of Southrop Lodge, Lechlade, Gloucestershire.</v>
      </c>
      <c r="L106" s="131" t="str">
        <f>'Book Details - NO EDIT'!AL106</f>
        <v>Sir Julian lived at Laycocks, Sandringham, Norfolk, and later of Perrystone Cottage, Burnham Market, King’s Lynn, Norfolk and was the only son of Sir Henry (1891–1973: #72). Born 25 May 1926. Educated Eton 1939-44 and Magdalene College, Cambridge (BA 1952,  MA 1955). Served in World War II as Lieutenant, Coldstream Guards. Career: Partner with Savills Norwich between 1955 and 1964. Agent to HM the Queen at Sandringham 1964-1991. FRICS 1960. He was appointed Commander, Royal Victorian Order (CVO) in 1979. Held the office of Deputy Lieutenant (DL) of Norfolk in 1983. Appointed Knight Commander, Royal Victorian Order (KCVO) in 1991. Issue: 2 sons, 2 daughters.</v>
      </c>
      <c r="M106" s="73" t="str">
        <f>'Book Details - NO EDIT'!AA106</f>
        <v xml:space="preserve">Charles (1891–1973: #72) Harry (1861–1938: #44) William (1821–1885: #23) Edward (1780–1863: #8) William (1729–1800: #1)   </v>
      </c>
      <c r="N106" s="197" t="str">
        <f>'Book Details - NO EDIT'!AB106</f>
        <v xml:space="preserve">1 – Lavinia (1923–1995: #103)        </v>
      </c>
      <c r="O106" s="198" t="str">
        <f>'Book Details - NO EDIT'!AC106</f>
        <v>4 - Alexandra (1961–: #141); Charles (1963–: #146); Toby (1966–1966: #148); Mary Rose (1967–: #152)</v>
      </c>
      <c r="P106" s="198" t="str">
        <f>'Book Details - NO EDIT'!AD106</f>
        <v xml:space="preserve">6 - George (1998–: #180); Rosanna (2000–: #182)   Letty BYATT (1996 - :  #141a) Harry BYATT (1998 - 2017:  #141b) Clementine WHITCOMB (1999 - :  #152a) Augustin WHITCOMB (2001 - :  #152b)           </v>
      </c>
      <c r="Q106" s="191" t="str">
        <f>IF('Book Details - NO EDIT'!J106="",IF(R106=0,"Less than year on 1-Jul-2022",_xlfn.CONCAT("On 1-Jul-2022, age ",R106,'Book Details - NO EDIT'!J106)),IF(LEN(R106)=0,"Died in infancy",_xlfn.CONCAT("Died ",'Book Details - NO EDIT'!J106,","," aged ",R106)))</f>
        <v>Died 07/02/2018, aged 104</v>
      </c>
      <c r="R106" s="73">
        <f>'Book Details - NO EDIT'!AX106</f>
        <v>104</v>
      </c>
      <c r="S106" s="73" t="str">
        <f>'Book Details - NO EDIT'!AY106</f>
        <v xml:space="preserve"> - </v>
      </c>
      <c r="T106" s="73" t="str">
        <f>'Book Details - NO EDIT'!AW106</f>
        <v>England</v>
      </c>
      <c r="U106" s="73">
        <f>VLOOKUP(A106,'Book Details - NO EDIT'!$A106:$S$192,13,FALSE)</f>
        <v>44</v>
      </c>
      <c r="V106" s="73">
        <f>VLOOKUP(A106,'Book Details - NO EDIT'!$A106:$S$192,12,FALSE)</f>
        <v>72</v>
      </c>
      <c r="X106" s="31">
        <f>IF(LEN('Book Details - NO EDIT'!J106)=0,0,1)</f>
        <v>1</v>
      </c>
    </row>
    <row r="107" spans="1:24" s="31" customFormat="1" ht="51">
      <c r="A107" s="125">
        <f>'Book Details - NO EDIT'!A107</f>
        <v>105</v>
      </c>
      <c r="B107" s="31" t="str">
        <f>'Book Details - NO EDIT'!Y107</f>
        <v>Geoffrey Haig LOYD</v>
      </c>
      <c r="C107" s="31" t="str">
        <f>'Book Details - NO EDIT'!V107</f>
        <v>Geoffrey (1926–2018)</v>
      </c>
      <c r="D107" s="199">
        <f>'Book Details - NO EDIT'!I107</f>
        <v>9665</v>
      </c>
      <c r="E107" s="31" t="str">
        <f>IF('Book Details - NO EDIT'!K107="Boy","Male","Female")</f>
        <v>Male</v>
      </c>
      <c r="F107" s="31" t="str">
        <f>IF('Book Details - NO EDIT'!T107=1,"First",IF('Book Details - NO EDIT'!T107=2,"Second",IF('Book Details - NO EDIT'!T107=3,"Third",IF('Book Details - NO EDIT'!T107=4,"Fourth",IF('Book Details - NO EDIT'!T107=5,"Fifth",IF('Book Details - NO EDIT'!T107=6,"Sixth",IF('Book Details - NO EDIT'!T107=7,"Seventh",IF('Book Details - NO EDIT'!T107=8,"Eighth",0))))))))</f>
        <v>Fifth</v>
      </c>
      <c r="G107" s="31" t="str">
        <f>'Book Details - NO EDIT'!Z107</f>
        <v>Wilfrid (1893–1971: #77)</v>
      </c>
      <c r="H107" s="31" t="str">
        <f>'Book Details - NO EDIT'!AH107</f>
        <v>Emily Charlotte Eileen OAKELEY (b. 28 Jan 1896, d. 8 May 1978)</v>
      </c>
      <c r="I107" s="31" t="str">
        <f>'Book Details - NO EDIT'!AI107</f>
        <v>(1) Patricia Mary MACLEAN (b. 11 Feb 1929, d. 1 Mar 2001).  .</v>
      </c>
      <c r="J107" s="199">
        <f>'Book Details - NO EDIT'!AJ107</f>
        <v>17742</v>
      </c>
      <c r="K107" s="31" t="str">
        <f>'Book Details - NO EDIT'!AK107</f>
        <v>Married (1) Patricia, at St Michael’s, Chester Square, daughter of John Eric MACLEAN of Christchurch, Hampshire. (2 sons) (Div 1967). (2) Dawn  BAIRD  (b. 3 Jun 1927, d. 5 Aug 2010 ) on 1 Mar 1968, only child of Major Robert Douglas BAIRD MC, The Rifle Brigade, of Sorrel, Hale Purlieu, Fordingbridge, Hampshire.</v>
      </c>
      <c r="L107" s="131" t="str">
        <f>'Book Details - NO EDIT'!AL107</f>
        <v xml:space="preserve">Geoffrey lived at Remenham House, Ocle Pychard, Herefordshire, HR1 3RB and was the 2nd son of Wifrid (1893–1971: #77). Born 17 Jun 1926 at 36 Chester Square. Baptised 27 Jul 1926 at St Michael’s, Chester Square. Educated Eton 1939-43. Career: Cape Times (South Africa) 1948-51. London School of Printing &amp; Graphic Arts. Bowater Paper Corp. 1957-66. Tyler Smith &amp; Co. 1967-8. H. P. Bulmer 1968-70. Chairman &amp; MD Hereford Herbs 1970-89. Vice-President British Herb Trade Association from 1980. Chairman Herefordshire Fine Foods Marketing Grp. 1988-97. Chairman National Speciality Food &amp; Drink Committee 1990-1. Council British Speciality Foods 1990-97. Chairman &amp; MD Burley Marketing Associates from 1989. AIMSM 1961, AAMA 1964, MIM 1969. MBE 1997. Issue: (1st wife) 2 sons.       </v>
      </c>
      <c r="M107" s="73" t="str">
        <f>'Book Details - NO EDIT'!AA107</f>
        <v xml:space="preserve">Wilfrid (1893–1971: #77) Archie (1847–1922: #30) Thomas (1812–1857: #14) William (1770–1828: #4) William (1729–1800: #1)   </v>
      </c>
      <c r="N107" s="197" t="str">
        <f>'Book Details - NO EDIT'!AB107</f>
        <v xml:space="preserve">3 – Peter (1922–2022: #98)  Denise (1928–: #106) Andrew (1934–1975: #111)     </v>
      </c>
      <c r="O107" s="198" t="str">
        <f>'Book Details - NO EDIT'!AC107</f>
        <v>2 - Martin (1949–: #122); Jeremy (1954–: #133)</v>
      </c>
      <c r="P107" s="198" t="str">
        <f>'Book Details - NO EDIT'!AD107</f>
        <v>-</v>
      </c>
      <c r="Q107" s="191" t="str">
        <f>IF('Book Details - NO EDIT'!J107="",IF(R107=0,"Less than year on 1-Jul-2022",_xlfn.CONCAT("On 1-Jul-2022, age ",R107,'Book Details - NO EDIT'!J107)),IF(LEN(R107)=0,"Died in infancy",_xlfn.CONCAT("Died ",'Book Details - NO EDIT'!J107,","," aged ",R107)))</f>
        <v>Died 22/08/2018, aged 105</v>
      </c>
      <c r="R107" s="73">
        <f>'Book Details - NO EDIT'!AX107</f>
        <v>105</v>
      </c>
      <c r="S107" s="73" t="str">
        <f>'Book Details - NO EDIT'!AY107</f>
        <v xml:space="preserve"> - </v>
      </c>
      <c r="T107" s="73" t="str">
        <f>'Book Details - NO EDIT'!AW107</f>
        <v>England</v>
      </c>
      <c r="U107" s="73">
        <f>VLOOKUP(A107,'Book Details - NO EDIT'!$A107:$S$192,13,FALSE)</f>
        <v>30</v>
      </c>
      <c r="V107" s="73">
        <f>VLOOKUP(A107,'Book Details - NO EDIT'!$A107:$S$192,12,FALSE)</f>
        <v>77</v>
      </c>
      <c r="X107" s="31">
        <f>IF(LEN('Book Details - NO EDIT'!J107)=0,0,1)</f>
        <v>1</v>
      </c>
    </row>
    <row r="108" spans="1:24" s="31" customFormat="1" ht="17">
      <c r="A108" s="125">
        <f>'Book Details - NO EDIT'!A108</f>
        <v>106</v>
      </c>
      <c r="B108" s="31" t="str">
        <f>'Book Details - NO EDIT'!Y108</f>
        <v>Denise Eileen Charlotte LOYD</v>
      </c>
      <c r="C108" s="31" t="str">
        <f>'Book Details - NO EDIT'!V108</f>
        <v>Denise (1928–)</v>
      </c>
      <c r="D108" s="199">
        <f>'Book Details - NO EDIT'!I108</f>
        <v>10547</v>
      </c>
      <c r="E108" s="31" t="str">
        <f>IF('Book Details - NO EDIT'!K108="Boy","Male","Female")</f>
        <v>Female</v>
      </c>
      <c r="F108" s="31" t="str">
        <f>IF('Book Details - NO EDIT'!T108=1,"First",IF('Book Details - NO EDIT'!T108=2,"Second",IF('Book Details - NO EDIT'!T108=3,"Third",IF('Book Details - NO EDIT'!T108=4,"Fourth",IF('Book Details - NO EDIT'!T108=5,"Fifth",IF('Book Details - NO EDIT'!T108=6,"Sixth",IF('Book Details - NO EDIT'!T108=7,"Seventh",IF('Book Details - NO EDIT'!T108=8,"Eighth",0))))))))</f>
        <v>Fifth</v>
      </c>
      <c r="G108" s="31" t="str">
        <f>'Book Details - NO EDIT'!Z108</f>
        <v>Wilfrid (1893–1971: #77)</v>
      </c>
      <c r="H108" s="31" t="str">
        <f>'Book Details - NO EDIT'!AH108</f>
        <v>Emily Charlotte Eileen OAKELEY (b. 28 Jan 1896, d. 8 May 1978)</v>
      </c>
      <c r="I108" s="31" t="str">
        <f>'Book Details - NO EDIT'!AI108</f>
        <v>Derek Edward Anthony WINN, 5th Baron ST OSWALD (b. 9 Jul 1919, d. 18 Mar 1999)</v>
      </c>
      <c r="J108" s="199">
        <f>'Book Details - NO EDIT'!AJ108</f>
        <v>19885</v>
      </c>
      <c r="K108" s="31" t="str">
        <f>'Book Details - NO EDIT'!AK108</f>
        <v>Married, 10 Jun 1954 at St Margaret’s, Westminster, London, Derek Edward Anthony WINN, 5th Baron ST OSWALD of Nostell Priory, Wakefield, West Yorkshire.</v>
      </c>
      <c r="L108" s="131" t="str">
        <f>'Book Details - NO EDIT'!AL108</f>
        <v>Denise lives in Ludlow, Shropshire and is the only daughter of Wilfrid (1893-1971:  #77). Born 15 Nov 1928 at 36 Chester Square. Baptised 20 Jan 1929 at St Michael’s, Chester Square. Issue: 1 daughter, 1 son.</v>
      </c>
      <c r="M108" s="73" t="str">
        <f>'Book Details - NO EDIT'!AA108</f>
        <v xml:space="preserve">Wilfrid (1893–1971: #77) Archie (1847–1922: #30) Thomas (1812–1857: #14) William (1770–1828: #4) William (1729–1800: #1)   </v>
      </c>
      <c r="N108" s="197" t="str">
        <f>'Book Details - NO EDIT'!AB108</f>
        <v xml:space="preserve">3 – Peter (1922–2022: #98) Geoffrey (1926–2018: #105)  Andrew (1934–1975: #111)     </v>
      </c>
      <c r="O108" s="198" t="str">
        <f>'Book Details - NO EDIT'!AC108</f>
        <v xml:space="preserve">2 - The Hon Geva WINN (1955 - : #106a) Charles WINN (1959 - : #106b)      </v>
      </c>
      <c r="P108" s="198" t="str">
        <f>'Book Details - NO EDIT'!AD108</f>
        <v xml:space="preserve">6 - Charlotte BLACKETT (1988 -: #106aa) Eve BLACKETT (1989 -: #106ab) Lettie BLACKETT (1991 -: #106ac) Annabel BLACKETT (1993 -: #106ad) The Hon Rowland WINN (1986 -: #106ba) The Hon Henrietta WINN (1993 -: #106bb)             </v>
      </c>
      <c r="Q108" s="191" t="str">
        <f>IF('Book Details - NO EDIT'!J108="",IF(R108=0,"Less than year on 1-Jul-2022",_xlfn.CONCAT("On 1-Jul-2022, age ",R108,'Book Details - NO EDIT'!J108)),IF(LEN(R108)=0,"Died in infancy",_xlfn.CONCAT("Died ",'Book Details - NO EDIT'!J108,","," aged ",R108)))</f>
        <v>On 1-Jul-2022, age 106</v>
      </c>
      <c r="R108" s="73">
        <f>'Book Details - NO EDIT'!AX108</f>
        <v>106</v>
      </c>
      <c r="S108" s="73" t="str">
        <f>'Book Details - NO EDIT'!AY108</f>
        <v>rosemaryloyd@gmail.com</v>
      </c>
      <c r="T108" s="73" t="str">
        <f>'Book Details - NO EDIT'!AW108</f>
        <v>England</v>
      </c>
      <c r="U108" s="73">
        <f>VLOOKUP(A108,'Book Details - NO EDIT'!$A108:$S$192,13,FALSE)</f>
        <v>30</v>
      </c>
      <c r="V108" s="73">
        <f>VLOOKUP(A108,'Book Details - NO EDIT'!$A108:$S$192,12,FALSE)</f>
        <v>77</v>
      </c>
      <c r="X108" s="31">
        <f>IF(LEN('Book Details - NO EDIT'!J108)=0,0,1)</f>
        <v>0</v>
      </c>
    </row>
    <row r="109" spans="1:24" s="31" customFormat="1" ht="34">
      <c r="A109" s="125">
        <f>'Book Details - NO EDIT'!A109</f>
        <v>107</v>
      </c>
      <c r="B109" s="31" t="str">
        <f>'Book Details - NO EDIT'!Y109</f>
        <v>Brenda Kirkman Valerie LOYD</v>
      </c>
      <c r="C109" s="31" t="str">
        <f>'Book Details - NO EDIT'!V109</f>
        <v>Wooie (1928–1996)</v>
      </c>
      <c r="D109" s="199">
        <f>'Book Details - NO EDIT'!I109</f>
        <v>10559</v>
      </c>
      <c r="E109" s="31" t="str">
        <f>IF('Book Details - NO EDIT'!K109="Boy","Male","Female")</f>
        <v>Female</v>
      </c>
      <c r="F109" s="31" t="str">
        <f>IF('Book Details - NO EDIT'!T109=1,"First",IF('Book Details - NO EDIT'!T109=2,"Second",IF('Book Details - NO EDIT'!T109=3,"Third",IF('Book Details - NO EDIT'!T109=4,"Fourth",IF('Book Details - NO EDIT'!T109=5,"Fifth",IF('Book Details - NO EDIT'!T109=6,"Sixth",IF('Book Details - NO EDIT'!T109=7,"Seventh",IF('Book Details - NO EDIT'!T109=8,"Eighth",0))))))))</f>
        <v>Fifth</v>
      </c>
      <c r="G109" s="31" t="str">
        <f>'Book Details - NO EDIT'!Z109</f>
        <v>Edward (1893–1932: #76)</v>
      </c>
      <c r="H109" s="31" t="str">
        <f>'Book Details - NO EDIT'!AH109</f>
        <v xml:space="preserve">Nora CARRUTHERS (b. 31 Mar 1907, ) </v>
      </c>
      <c r="I109" s="31" t="str">
        <f>'Book Details - NO EDIT'!AI109</f>
        <v>(1) Harold Arthur GRAHAM (b. 1922, )</v>
      </c>
      <c r="J109" s="199">
        <f>'Book Details - NO EDIT'!AJ109</f>
        <v>17647</v>
      </c>
      <c r="K109" s="31" t="str">
        <f>'Book Details - NO EDIT'!AK109</f>
        <v>(1) Brenda married at Medicine Hat, Alberta, Harold 3rd son of Arthur GRAHAM of Medicine Hat, Alberta. (Div Jun 1953.) (2)  Married on 7 Aug 1954 at Coeur d’Alene, Idaho, USA, William (Bill) Elmo Jr. (b. 8 Jan 1930, ) eldest son of William Elmo ORR of New Mexico Territory.</v>
      </c>
      <c r="L109" s="131" t="str">
        <f>'Book Details - NO EDIT'!AL109</f>
        <v>Wooie lived at 4409 Benjamin Drive, Yakima, Washington, 98908, USA and was the only daughter of Edward (1893–1932: #76). Born 27 Nov 1928 at Rutland, British Columbia. Baptised Dec 1928 at Kelowna, British Columbia. Educated Vernon, British Columbia, Banff, Alberta, Victoria, British Columbia and Business College, Medicine Hat, Alberta, Canada. Issue: 3 daughters, 2 sons.</v>
      </c>
      <c r="M109" s="73" t="str">
        <f>'Book Details - NO EDIT'!AA109</f>
        <v xml:space="preserve">Edward (1893–1932: #76) Ted (1851–1922: #34) Thomas (1812–1857: #14) William (1770–1828: #4) William (1729–1800: #1)   </v>
      </c>
      <c r="N109" s="197" t="str">
        <f>'Book Details - NO EDIT'!AB109</f>
        <v>0 – Only chlid</v>
      </c>
      <c r="O109" s="198" t="str">
        <f>'Book Details - NO EDIT'!AC109</f>
        <v xml:space="preserve">5 - Lorraine GRAHAM (1951 - : #107a) Nora ORR (1955 - : #107b) Michael ORR (1956 - : #107c) Ted ORR (1959 - : #107d) Heather ORR (1970 - : #107e)   </v>
      </c>
      <c r="P109" s="198" t="str">
        <f>'Book Details - NO EDIT'!AD109</f>
        <v xml:space="preserve">13 - Edward RUSSELL (1976 -: #107aa) Mathew AMY (1981 -: #107ab) Michael AMY (1981 -: #107ac) Jonathon AMY (1983 -: #107ad) Christopher THOMPSON (1973 -: #107ba) George THOMPSON (1976 -: #107bb) Jeremy THOMPSON (1979 -: #107bc) Charitie ORR (1978 -: #107ca) Audrey ORR (1980 -: #107cb) Michael ORR (1984 -: #107cc) Seth ORR (1986 -: #107cd) Brandy ORR (1979 -: #107da) Timothy ORR (1980 -: #107db)      </v>
      </c>
      <c r="Q109" s="191" t="str">
        <f>IF('Book Details - NO EDIT'!J109="",IF(R109=0,"Less than year on 1-Jul-2022",_xlfn.CONCAT("On 1-Jul-2022, age ",R109,'Book Details - NO EDIT'!J109)),IF(LEN(R109)=0,"Died in infancy",_xlfn.CONCAT("Died ",'Book Details - NO EDIT'!J109,","," aged ",R109)))</f>
        <v>Died 11/09/1996, aged 107</v>
      </c>
      <c r="R109" s="73">
        <f>'Book Details - NO EDIT'!AX109</f>
        <v>107</v>
      </c>
      <c r="S109" s="73" t="str">
        <f>'Book Details - NO EDIT'!AY109</f>
        <v xml:space="preserve"> - </v>
      </c>
      <c r="T109" s="73" t="str">
        <f>'Book Details - NO EDIT'!AW109</f>
        <v>Canada and USA</v>
      </c>
      <c r="U109" s="73">
        <f>VLOOKUP(A109,'Book Details - NO EDIT'!$A109:$S$192,13,FALSE)</f>
        <v>34</v>
      </c>
      <c r="V109" s="73">
        <f>VLOOKUP(A109,'Book Details - NO EDIT'!$A109:$S$192,12,FALSE)</f>
        <v>76</v>
      </c>
      <c r="X109" s="31">
        <f>IF(LEN('Book Details - NO EDIT'!J109)=0,0,1)</f>
        <v>1</v>
      </c>
    </row>
    <row r="110" spans="1:24" s="31" customFormat="1" ht="17">
      <c r="A110" s="125">
        <f>'Book Details - NO EDIT'!A110</f>
        <v>108</v>
      </c>
      <c r="B110" s="31" t="str">
        <f>'Book Details - NO EDIT'!Y110</f>
        <v>Joscelyn Moira Selina LOYD</v>
      </c>
      <c r="C110" s="31" t="str">
        <f>'Book Details - NO EDIT'!V110</f>
        <v>Jos (1931–)</v>
      </c>
      <c r="D110" s="199">
        <f>'Book Details - NO EDIT'!I110</f>
        <v>11658</v>
      </c>
      <c r="E110" s="31" t="str">
        <f>IF('Book Details - NO EDIT'!K110="Boy","Male","Female")</f>
        <v>Female</v>
      </c>
      <c r="F110" s="31" t="str">
        <f>IF('Book Details - NO EDIT'!T110=1,"First",IF('Book Details - NO EDIT'!T110=2,"Second",IF('Book Details - NO EDIT'!T110=3,"Third",IF('Book Details - NO EDIT'!T110=4,"Fourth",IF('Book Details - NO EDIT'!T110=5,"Fifth",IF('Book Details - NO EDIT'!T110=6,"Sixth",IF('Book Details - NO EDIT'!T110=7,"Seventh",IF('Book Details - NO EDIT'!T110=8,"Eighth",0))))))))</f>
        <v>Fifth</v>
      </c>
      <c r="G110" s="31" t="str">
        <f>'Book Details - NO EDIT'!Z110</f>
        <v>Dick (1882–1950: #55)</v>
      </c>
      <c r="H110" s="31" t="str">
        <f>'Book Details - NO EDIT'!AH110</f>
        <v>Alice Selina (Lovely) MYHILL (b. 1 Nov 1909, )</v>
      </c>
      <c r="I110" s="31" t="str">
        <f>'Book Details - NO EDIT'!AI110</f>
        <v>Frank HOYLE (b. 9 Oct 1920, d. 1 Jan 2006)</v>
      </c>
      <c r="J110" s="199">
        <f>'Book Details - NO EDIT'!AJ110</f>
        <v>18653</v>
      </c>
      <c r="K110" s="31" t="str">
        <f>'Book Details - NO EDIT'!AK110</f>
        <v>Married at Torquay, Frank of 1A Victoria Street, Lytham, Lancashire, FY8 5DU, son of Francis HOYLE.</v>
      </c>
      <c r="L110" s="131" t="str">
        <f>'Book Details - NO EDIT'!AL110</f>
        <v>Joscelyn is the eldest daughter of Lewis (1882–1950: #55). Born 1 Dec 1931 at 12 Rue de Boileau, Paris. Baptised 1932 at the English Church of St. George, Paris. Issue: 1 daughter, 3 sons.</v>
      </c>
      <c r="M110" s="73" t="str">
        <f>'Book Details - NO EDIT'!AA110</f>
        <v xml:space="preserve">Dick (1882–1950: #55) Lewis (1852–1908: #35) William (1821–1885: #23) Edward (1780–1863: #8) William (1729–1800: #1)   </v>
      </c>
      <c r="N110" s="197" t="str">
        <f>'Book Details - NO EDIT'!AB110</f>
        <v xml:space="preserve">4 – Deen (1936–2016: #112) Peggy (1939–: #116) Patrick (1942–: #117) Patricia (1942–1942: #118)    </v>
      </c>
      <c r="O110" s="198" t="str">
        <f>'Book Details - NO EDIT'!AC110</f>
        <v xml:space="preserve">4 - Frances HOYLE (1953 - : #108a) Richard HOYLE (1956 - : #108b) David HOYLE (1961 - : #108c) Peter HOYLE (1963 - : #108d)    </v>
      </c>
      <c r="P110" s="198" t="str">
        <f>'Book Details - NO EDIT'!AD110</f>
        <v xml:space="preserve">5 - Daniel CARTER (1976 -: #108aa) Simon CARTER (1982 -: #108ab) Matthew HOYLE (1982 -: #108ba) Darren HOYLE (1985 -: #108bb) Tanya HOYLE (1985 -: #108ca)              </v>
      </c>
      <c r="Q110" s="191" t="str">
        <f>IF('Book Details - NO EDIT'!J110="",IF(R110=0,"Less than year on 1-Jul-2022",_xlfn.CONCAT("On 1-Jul-2022, age ",R110,'Book Details - NO EDIT'!J110)),IF(LEN(R110)=0,"Died in infancy",_xlfn.CONCAT("Died ",'Book Details - NO EDIT'!J110,","," aged ",R110)))</f>
        <v>On 1-Jul-2022, age 108</v>
      </c>
      <c r="R110" s="73">
        <f>'Book Details - NO EDIT'!AX110</f>
        <v>108</v>
      </c>
      <c r="S110" s="73" t="str">
        <f>'Book Details - NO EDIT'!AY110</f>
        <v xml:space="preserve"> - </v>
      </c>
      <c r="T110" s="73" t="str">
        <f>'Book Details - NO EDIT'!AW110</f>
        <v>France</v>
      </c>
      <c r="U110" s="73">
        <f>VLOOKUP(A110,'Book Details - NO EDIT'!$A110:$S$192,13,FALSE)</f>
        <v>35</v>
      </c>
      <c r="V110" s="73">
        <f>VLOOKUP(A110,'Book Details - NO EDIT'!$A110:$S$192,12,FALSE)</f>
        <v>55</v>
      </c>
      <c r="X110" s="31">
        <f>IF(LEN('Book Details - NO EDIT'!J110)=0,0,1)</f>
        <v>0</v>
      </c>
    </row>
    <row r="111" spans="1:24" s="31" customFormat="1" ht="17">
      <c r="A111" s="125">
        <f>'Book Details - NO EDIT'!A111</f>
        <v>109</v>
      </c>
      <c r="B111" s="31" t="str">
        <f>'Book Details - NO EDIT'!Y111</f>
        <v>Margaret Beatrix Mary LOYD</v>
      </c>
      <c r="C111" s="31" t="str">
        <f>'Book Details - NO EDIT'!V111</f>
        <v>Margaret (1932–)</v>
      </c>
      <c r="D111" s="199">
        <f>'Book Details - NO EDIT'!I111</f>
        <v>11749</v>
      </c>
      <c r="E111" s="31" t="str">
        <f>IF('Book Details - NO EDIT'!K111="Boy","Male","Female")</f>
        <v>Female</v>
      </c>
      <c r="F111" s="31" t="str">
        <f>IF('Book Details - NO EDIT'!T111=1,"First",IF('Book Details - NO EDIT'!T111=2,"Second",IF('Book Details - NO EDIT'!T111=3,"Third",IF('Book Details - NO EDIT'!T111=4,"Fourth",IF('Book Details - NO EDIT'!T111=5,"Fifth",IF('Book Details - NO EDIT'!T111=6,"Sixth",IF('Book Details - NO EDIT'!T111=7,"Seventh",IF('Book Details - NO EDIT'!T111=8,"Eighth",0))))))))</f>
        <v>Fifth</v>
      </c>
      <c r="G111" s="31" t="str">
        <f>'Book Details - NO EDIT'!Z111</f>
        <v>Eric (1894–1963: #80)</v>
      </c>
      <c r="H111" s="31" t="str">
        <f>'Book Details - NO EDIT'!AH111</f>
        <v>Isabel Mary Beatrix PARKER (b. 22 Feb 1903, d. 13 Jan 1992)</v>
      </c>
      <c r="I111" s="31" t="str">
        <f>'Book Details - NO EDIT'!AI111</f>
        <v>Terrence (Terry) WALTON (b. 1 Nov 1932, d. 1 Apr 2000)</v>
      </c>
      <c r="J111" s="199">
        <f>'Book Details - NO EDIT'!AJ111</f>
        <v>23364</v>
      </c>
      <c r="K111" s="31" t="str">
        <f>'Book Details - NO EDIT'!AK111</f>
        <v>Margaret married, at Kensington Registry Office, Terry only son of Eric Samuel WALTON of Greenfield, Stafford.</v>
      </c>
      <c r="L111" s="131" t="str">
        <f>'Book Details - NO EDIT'!AL111</f>
        <v>Margaret lives in Central London and is the elder daughter of Eric (1894–1963: #80). Born 1 Mar 1932. Baptised 8 Apr 1982 at the Brompton Oratory, London SW7. Educated Holy Child Convent, Harrogate. Issue: 1 daughter, 1 son.</v>
      </c>
      <c r="M111" s="73" t="str">
        <f>'Book Details - NO EDIT'!AA111</f>
        <v xml:space="preserve">Eric (1894–1963: #80) Arthur (1845–1930: #29) Thomas (1812–1857: #14) William (1770–1828: #4) William (1729–1800: #1)   </v>
      </c>
      <c r="N111" s="197" t="str">
        <f>'Book Details - NO EDIT'!AB111</f>
        <v xml:space="preserve">3 – Jean (1933–: #110) Michael (1938–: #114) Peter (1942–: #119)     </v>
      </c>
      <c r="O111" s="198" t="str">
        <f>'Book Details - NO EDIT'!AC111</f>
        <v xml:space="preserve">2 - Jennet WALTON (1964 - : #109a) Timothy WALTON (1967 - : #109b)      </v>
      </c>
      <c r="P111" s="198" t="str">
        <f>'Book Details - NO EDIT'!AD111</f>
        <v xml:space="preserve">4 - Toby WALTON (2008 -: #109ba) Leo WALTON (2012 -: #109bb) Benjamin WALTON (2013 -: #109bc) Isabel WALTON (2016 -: #109bd)               </v>
      </c>
      <c r="Q111" s="191" t="str">
        <f>IF('Book Details - NO EDIT'!J111="",IF(R111=0,"Less than year on 1-Jul-2022",_xlfn.CONCAT("On 1-Jul-2022, age ",R111,'Book Details - NO EDIT'!J111)),IF(LEN(R111)=0,"Died in infancy",_xlfn.CONCAT("Died ",'Book Details - NO EDIT'!J111,","," aged ",R111)))</f>
        <v>On 1-Jul-2022, age 109</v>
      </c>
      <c r="R111" s="73">
        <f>'Book Details - NO EDIT'!AX111</f>
        <v>109</v>
      </c>
      <c r="S111" s="73" t="str">
        <f>'Book Details - NO EDIT'!AY111</f>
        <v>mantlehill@aol.com</v>
      </c>
      <c r="T111" s="73" t="str">
        <f>'Book Details - NO EDIT'!AW111</f>
        <v>England</v>
      </c>
      <c r="U111" s="73">
        <f>VLOOKUP(A111,'Book Details - NO EDIT'!$A111:$S$192,13,FALSE)</f>
        <v>29</v>
      </c>
      <c r="V111" s="73">
        <f>VLOOKUP(A111,'Book Details - NO EDIT'!$A111:$S$192,12,FALSE)</f>
        <v>80</v>
      </c>
      <c r="X111" s="31">
        <f>IF(LEN('Book Details - NO EDIT'!J111)=0,0,1)</f>
        <v>0</v>
      </c>
    </row>
    <row r="112" spans="1:24" s="31" customFormat="1" ht="17">
      <c r="A112" s="125">
        <f>'Book Details - NO EDIT'!A112</f>
        <v>110</v>
      </c>
      <c r="B112" s="31" t="str">
        <f>'Book Details - NO EDIT'!Y112</f>
        <v>Jean Isabel LOYD</v>
      </c>
      <c r="C112" s="31" t="str">
        <f>'Book Details - NO EDIT'!V112</f>
        <v>Jean (1933–)</v>
      </c>
      <c r="D112" s="199">
        <f>'Book Details - NO EDIT'!I112</f>
        <v>12297</v>
      </c>
      <c r="E112" s="31" t="str">
        <f>IF('Book Details - NO EDIT'!K112="Boy","Male","Female")</f>
        <v>Female</v>
      </c>
      <c r="F112" s="31" t="str">
        <f>IF('Book Details - NO EDIT'!T112=1,"First",IF('Book Details - NO EDIT'!T112=2,"Second",IF('Book Details - NO EDIT'!T112=3,"Third",IF('Book Details - NO EDIT'!T112=4,"Fourth",IF('Book Details - NO EDIT'!T112=5,"Fifth",IF('Book Details - NO EDIT'!T112=6,"Sixth",IF('Book Details - NO EDIT'!T112=7,"Seventh",IF('Book Details - NO EDIT'!T112=8,"Eighth",0))))))))</f>
        <v>Fifth</v>
      </c>
      <c r="G112" s="31" t="str">
        <f>'Book Details - NO EDIT'!Z112</f>
        <v>Eric (1894–1963: #80)</v>
      </c>
      <c r="H112" s="31" t="str">
        <f>'Book Details - NO EDIT'!AH112</f>
        <v>Isabel Mary Beatrix PARKER (b. 22 Feb 1903, d. 13 Jan 1992)</v>
      </c>
      <c r="I112" s="31" t="str">
        <f>'Book Details - NO EDIT'!AI112</f>
        <v>Leonard Drummond BOYCE (b 24 May 1933, d. 27 Feb 2005)</v>
      </c>
      <c r="J112" s="199">
        <f>'Book Details - NO EDIT'!AJ112</f>
        <v>21801</v>
      </c>
      <c r="K112" s="31" t="str">
        <f>'Book Details - NO EDIT'!AK112</f>
        <v>Married at St Peter’s, Marlow, Leonard 3rd son of Robert Craig BOYCE of Glasgow. French Master, The Edinburgh Academy 1959-92.</v>
      </c>
      <c r="L112" s="131" t="str">
        <f>'Book Details - NO EDIT'!AL112</f>
        <v>Jean lives in Canterbury, Kent and is the younger daughter of Eric (1894–1963: #80). Born 31 Aug 1933. Baptised 29 Sep 1933 at the Brompton Oratory, London SW7. Educated Holy Child Convent, Harrogate and Reading University (BA). Issue: 2 sons, 2 daughters.</v>
      </c>
      <c r="M112" s="73" t="str">
        <f>'Book Details - NO EDIT'!AA112</f>
        <v xml:space="preserve">Eric (1894–1963: #80) Arthur (1845–1930: #29) Thomas (1812–1857: #14) William (1770–1828: #4) William (1729–1800: #1)   </v>
      </c>
      <c r="N112" s="197" t="str">
        <f>'Book Details - NO EDIT'!AB112</f>
        <v xml:space="preserve">3 – Margaret (1932–: #109)  Michael (1938–: #114) Peter (1942–: #119)     </v>
      </c>
      <c r="O112" s="198" t="str">
        <f>'Book Details - NO EDIT'!AC112</f>
        <v xml:space="preserve">4 - John BOYCE (1961 - : #110a) Joanna BOYCE (1963 - : #110b) Robert BOYCE (1964 - : #110c) Paula BOYCE (1966 - : #110d)    </v>
      </c>
      <c r="P112" s="198" t="str">
        <f>'Book Details - NO EDIT'!AD112</f>
        <v xml:space="preserve">6 - Christopher BOYCE (1990 -: #110aa) Andrew BOYCE (1991 -: #110ab) Robin BOYCE (1997 -2019: #110ac) Hannah BOYCE (2011 -: #110ca) Karina BOYCE de CASTRO (1999 -: #110da) Matheus BOYCE de CASTRO (2002 -0: #110db)             </v>
      </c>
      <c r="Q112" s="191" t="str">
        <f>IF('Book Details - NO EDIT'!J112="",IF(R112=0,"Less than year on 1-Jul-2022",_xlfn.CONCAT("On 1-Jul-2022, age ",R112,'Book Details - NO EDIT'!J112)),IF(LEN(R112)=0,"Died in infancy",_xlfn.CONCAT("Died ",'Book Details - NO EDIT'!J112,","," aged ",R112)))</f>
        <v>On 1-Jul-2022, age 110</v>
      </c>
      <c r="R112" s="73">
        <f>'Book Details - NO EDIT'!AX112</f>
        <v>110</v>
      </c>
      <c r="S112" s="73" t="str">
        <f>'Book Details - NO EDIT'!AY112</f>
        <v>mantlehill@aol.com</v>
      </c>
      <c r="T112" s="73" t="str">
        <f>'Book Details - NO EDIT'!AW112</f>
        <v>England</v>
      </c>
      <c r="U112" s="73">
        <f>VLOOKUP(A112,'Book Details - NO EDIT'!$A112:$S$192,13,FALSE)</f>
        <v>29</v>
      </c>
      <c r="V112" s="73">
        <f>VLOOKUP(A112,'Book Details - NO EDIT'!$A112:$S$192,12,FALSE)</f>
        <v>80</v>
      </c>
      <c r="X112" s="31">
        <f>IF(LEN('Book Details - NO EDIT'!J112)=0,0,1)</f>
        <v>0</v>
      </c>
    </row>
    <row r="113" spans="1:24" s="31" customFormat="1" ht="17">
      <c r="A113" s="125">
        <f>'Book Details - NO EDIT'!A113</f>
        <v>111</v>
      </c>
      <c r="B113" s="31" t="str">
        <f>'Book Details - NO EDIT'!Y113</f>
        <v>Andrew Haig LOYD</v>
      </c>
      <c r="C113" s="31" t="str">
        <f>'Book Details - NO EDIT'!V113</f>
        <v>Andrew (1934–1975)</v>
      </c>
      <c r="D113" s="199">
        <f>'Book Details - NO EDIT'!I113</f>
        <v>12643</v>
      </c>
      <c r="E113" s="31" t="str">
        <f>IF('Book Details - NO EDIT'!K113="Boy","Male","Female")</f>
        <v>Male</v>
      </c>
      <c r="F113" s="31" t="str">
        <f>IF('Book Details - NO EDIT'!T113=1,"First",IF('Book Details - NO EDIT'!T113=2,"Second",IF('Book Details - NO EDIT'!T113=3,"Third",IF('Book Details - NO EDIT'!T113=4,"Fourth",IF('Book Details - NO EDIT'!T113=5,"Fifth",IF('Book Details - NO EDIT'!T113=6,"Sixth",IF('Book Details - NO EDIT'!T113=7,"Seventh",IF('Book Details - NO EDIT'!T113=8,"Eighth",0))))))))</f>
        <v>Fifth</v>
      </c>
      <c r="G113" s="31" t="str">
        <f>'Book Details - NO EDIT'!Z113</f>
        <v>Wilfrid (1893–1971: #77)</v>
      </c>
      <c r="H113" s="31" t="str">
        <f>'Book Details - NO EDIT'!AH113</f>
        <v>Emily Charlotte Eileen OAKELEY (b. 28 Jan 1896, d. 8 May 1978)</v>
      </c>
      <c r="I113" s="31" t="str">
        <f>'Book Details - NO EDIT'!AI113</f>
        <v>Unmarried</v>
      </c>
      <c r="J113" s="199" t="str">
        <f>'Book Details - NO EDIT'!AJ113</f>
        <v xml:space="preserve"> - </v>
      </c>
      <c r="K113" s="31" t="str">
        <f>'Book Details - NO EDIT'!AK113</f>
        <v xml:space="preserve"> - </v>
      </c>
      <c r="L113" s="131" t="str">
        <f>'Book Details - NO EDIT'!AL113</f>
        <v>Andrew was the 3rd and youngest son of Wilfrid (1893–1971: #77). Born 12 Aug 1934 at 36 Chester Square, baptised 15 Nov 1934 at St Michael’s, Chester Square by the Dean of Lincoln. Andrew had Down's syndrome. Died, unmarried, 7 Mar 1975. DSP</v>
      </c>
      <c r="M113" s="73" t="str">
        <f>'Book Details - NO EDIT'!AA113</f>
        <v xml:space="preserve">Wilfrid (1893–1971: #77) Archie (1847–1922: #30) Thomas (1812–1857: #14) William (1770–1828: #4) William (1729–1800: #1)   </v>
      </c>
      <c r="N113" s="197" t="str">
        <f>'Book Details - NO EDIT'!AB113</f>
        <v xml:space="preserve">3 – Peter (1922–2022: #98) Geoffrey (1926–2018: #105) Denise (1928–: #106)      </v>
      </c>
      <c r="O113" s="198" t="str">
        <f>'Book Details - NO EDIT'!AC113</f>
        <v>d.s.p</v>
      </c>
      <c r="P113" s="198" t="str">
        <f>'Book Details - NO EDIT'!AD113</f>
        <v>d.s.p.</v>
      </c>
      <c r="Q113" s="191" t="str">
        <f>IF('Book Details - NO EDIT'!J113="",IF(R113=0,"Less than year on 1-Jul-2022",_xlfn.CONCAT("On 1-Jul-2022, age ",R113,'Book Details - NO EDIT'!J113)),IF(LEN(R113)=0,"Died in infancy",_xlfn.CONCAT("Died ",'Book Details - NO EDIT'!J113,","," aged ",R113)))</f>
        <v>Died 07/03/1975, aged 111</v>
      </c>
      <c r="R113" s="73">
        <f>'Book Details - NO EDIT'!AX113</f>
        <v>111</v>
      </c>
      <c r="S113" s="73" t="str">
        <f>'Book Details - NO EDIT'!AY113</f>
        <v xml:space="preserve"> - </v>
      </c>
      <c r="T113" s="73" t="str">
        <f>'Book Details - NO EDIT'!AW113</f>
        <v>England</v>
      </c>
      <c r="U113" s="73">
        <f>VLOOKUP(A113,'Book Details - NO EDIT'!$A113:$S$192,13,FALSE)</f>
        <v>30</v>
      </c>
      <c r="V113" s="73">
        <f>VLOOKUP(A113,'Book Details - NO EDIT'!$A113:$S$192,12,FALSE)</f>
        <v>77</v>
      </c>
      <c r="X113" s="31">
        <f>IF(LEN('Book Details - NO EDIT'!J113)=0,0,1)</f>
        <v>1</v>
      </c>
    </row>
    <row r="114" spans="1:24" s="31" customFormat="1" ht="17">
      <c r="A114" s="125">
        <f>'Book Details - NO EDIT'!A114</f>
        <v>112</v>
      </c>
      <c r="B114" s="31" t="str">
        <f>'Book Details - NO EDIT'!Y114</f>
        <v>Una Alys Doreen LOYD</v>
      </c>
      <c r="C114" s="31" t="str">
        <f>'Book Details - NO EDIT'!V114</f>
        <v>Deen (1936–2016)</v>
      </c>
      <c r="D114" s="199">
        <f>'Book Details - NO EDIT'!I114</f>
        <v>13204</v>
      </c>
      <c r="E114" s="31" t="str">
        <f>IF('Book Details - NO EDIT'!K114="Boy","Male","Female")</f>
        <v>Female</v>
      </c>
      <c r="F114" s="31" t="str">
        <f>IF('Book Details - NO EDIT'!T114=1,"First",IF('Book Details - NO EDIT'!T114=2,"Second",IF('Book Details - NO EDIT'!T114=3,"Third",IF('Book Details - NO EDIT'!T114=4,"Fourth",IF('Book Details - NO EDIT'!T114=5,"Fifth",IF('Book Details - NO EDIT'!T114=6,"Sixth",IF('Book Details - NO EDIT'!T114=7,"Seventh",IF('Book Details - NO EDIT'!T114=8,"Eighth",0))))))))</f>
        <v>Fifth</v>
      </c>
      <c r="G114" s="31" t="str">
        <f>'Book Details - NO EDIT'!Z114</f>
        <v>Dick (1882–1950: #55)</v>
      </c>
      <c r="H114" s="31" t="str">
        <f>'Book Details - NO EDIT'!AH114</f>
        <v>Alice Selina (Lovely) MYHILL (b. 1 Nov 1909, )</v>
      </c>
      <c r="I114" s="31" t="str">
        <f>'Book Details - NO EDIT'!AI114</f>
        <v>Cyril Eric DOWNES (b. 12 Nov 1930, )</v>
      </c>
      <c r="J114" s="199">
        <f>'Book Details - NO EDIT'!AJ114</f>
        <v>24181</v>
      </c>
      <c r="K114" s="31" t="str">
        <f>'Book Details - NO EDIT'!AK114</f>
        <v>Married, at Loughborough Registry Office, Cyril of Home Farm, Wicklewood, Norfolk. (Div. Jan 1977).</v>
      </c>
      <c r="L114" s="131" t="str">
        <f>'Book Details - NO EDIT'!AL114</f>
        <v xml:space="preserve">Deen was the 2nd daughter of Lewis (1882–1950: #55). Born 24 Feb 1936 at Rue de Conde, Saint-Jean-Les-Deux-Jumeaux, France. Baptised 16 Apr 1936 at the English Church of St. George, Paris. Died 1 May 2006. Issue: 2 sons, 2 daughters.                  </v>
      </c>
      <c r="M114" s="73" t="str">
        <f>'Book Details - NO EDIT'!AA114</f>
        <v xml:space="preserve">Dick (1882–1950: #55) Lewis (1852–1908: #35) William (1821–1885: #23) Edward (1780–1863: #8) William (1729–1800: #1)   </v>
      </c>
      <c r="N114" s="197" t="str">
        <f>'Book Details - NO EDIT'!AB114</f>
        <v xml:space="preserve">4 – Jos (1931–: #108)  Peggy (1939–: #116) Patrick (1942–: #117) Patricia (1942–1942: #118)    </v>
      </c>
      <c r="O114" s="198" t="str">
        <f>'Book Details - NO EDIT'!AC114</f>
        <v xml:space="preserve">4 - Kevin DOWNES (1958 - : #112a) Lynda DOWNES (1960 - : #112b) Graeme DOWNES (1961 - : #112c) Lesley DOWNES (1963 - : #112d)    </v>
      </c>
      <c r="P114" s="198" t="str">
        <f>'Book Details - NO EDIT'!AD114</f>
        <v>-</v>
      </c>
      <c r="Q114" s="191" t="str">
        <f>IF('Book Details - NO EDIT'!J114="",IF(R114=0,"Less than year on 1-Jul-2022",_xlfn.CONCAT("On 1-Jul-2022, age ",R114,'Book Details - NO EDIT'!J114)),IF(LEN(R114)=0,"Died in infancy",_xlfn.CONCAT("Died ",'Book Details - NO EDIT'!J114,","," aged ",R114)))</f>
        <v>Died 01/05/2016, aged 112</v>
      </c>
      <c r="R114" s="73">
        <f>'Book Details - NO EDIT'!AX114</f>
        <v>112</v>
      </c>
      <c r="S114" s="73" t="str">
        <f>'Book Details - NO EDIT'!AY114</f>
        <v xml:space="preserve"> - </v>
      </c>
      <c r="T114" s="73" t="str">
        <f>'Book Details - NO EDIT'!AW114</f>
        <v>France</v>
      </c>
      <c r="U114" s="73">
        <f>VLOOKUP(A114,'Book Details - NO EDIT'!$A114:$S$192,13,FALSE)</f>
        <v>35</v>
      </c>
      <c r="V114" s="73">
        <f>VLOOKUP(A114,'Book Details - NO EDIT'!$A114:$S$192,12,FALSE)</f>
        <v>55</v>
      </c>
      <c r="X114" s="31">
        <f>IF(LEN('Book Details - NO EDIT'!J114)=0,0,1)</f>
        <v>1</v>
      </c>
    </row>
    <row r="115" spans="1:24" s="31" customFormat="1" ht="34">
      <c r="A115" s="125">
        <f>'Book Details - NO EDIT'!A115</f>
        <v>113</v>
      </c>
      <c r="B115" s="31" t="str">
        <f>'Book Details - NO EDIT'!Y115</f>
        <v>William Tetbert Vivian LOYD</v>
      </c>
      <c r="C115" s="31" t="str">
        <f>'Book Details - NO EDIT'!V115</f>
        <v>Willie (1937–1994)</v>
      </c>
      <c r="D115" s="199">
        <f>'Book Details - NO EDIT'!I115</f>
        <v>13872</v>
      </c>
      <c r="E115" s="31" t="str">
        <f>IF('Book Details - NO EDIT'!K115="Boy","Male","Female")</f>
        <v>Male</v>
      </c>
      <c r="F115" s="31" t="str">
        <f>IF('Book Details - NO EDIT'!T115=1,"First",IF('Book Details - NO EDIT'!T115=2,"Second",IF('Book Details - NO EDIT'!T115=3,"Third",IF('Book Details - NO EDIT'!T115=4,"Fourth",IF('Book Details - NO EDIT'!T115=5,"Fifth",IF('Book Details - NO EDIT'!T115=6,"Sixth",IF('Book Details - NO EDIT'!T115=7,"Seventh",IF('Book Details - NO EDIT'!T115=8,"Eighth",0))))))))</f>
        <v>Fifth</v>
      </c>
      <c r="G115" s="31" t="str">
        <f>'Book Details - NO EDIT'!Z115</f>
        <v>Vivian (1894–1972: #78)</v>
      </c>
      <c r="H115" s="31" t="str">
        <f>'Book Details - NO EDIT'!AH115</f>
        <v>Phyllis Mary Porter TRINGHAM (b. 17 Sep 1907, )</v>
      </c>
      <c r="I115" s="31" t="str">
        <f>'Book Details - NO EDIT'!AI115</f>
        <v xml:space="preserve">(1) Deirdre THOMPSON (b. 11 Apr 1936, ) </v>
      </c>
      <c r="J115" s="199">
        <f>'Book Details - NO EDIT'!AJ115</f>
        <v>22929</v>
      </c>
      <c r="K115" s="31" t="str">
        <f>'Book Details - NO EDIT'!AK115</f>
        <v>(1) Deirdre younger daughter of Walter Hugh THOMPSON. (2) 27 Oct 1975 Lieselotte (Lilo) BRANDSTETTER (b. 15 Nov 1944, ) eldest daughter of Theodor BRANDSTETTER of Klagenfurt, Austria.</v>
      </c>
      <c r="L115" s="131" t="str">
        <f>'Book Details - NO EDIT'!AL115</f>
        <v>Willie lived at Cowarth Park Farm, Sunningdale, Berkshire and later of Pink Hill Farm, Eynsham, Oxfordshire and was the elder son of Vivian (1894–1972: #113). Born 23 Dec 1937. Educated Eton 1951-55. Major, Life Guards. Author of 'Challengers and Chargers', a history of The Life Guards 1945-1992, and of 'A Lurcher in the House'. Died  8 Jul 1994. Issue: (1st wife) 1 son.</v>
      </c>
      <c r="M115" s="73" t="str">
        <f>'Book Details - NO EDIT'!AA115</f>
        <v xml:space="preserve">Vivian (1894–1972: #78) William (1863–1923: #46) William (1821–1885: #23) Edward (1780–1863: #8) William (1729–1800: #1)   </v>
      </c>
      <c r="N115" s="197" t="str">
        <f>'Book Details - NO EDIT'!AB115</f>
        <v xml:space="preserve">3 – Belinda (1939–2018: #115) Vivian (1951–: #127) Ginie (1961–: #140)     </v>
      </c>
      <c r="O115" s="198" t="str">
        <f>'Book Details - NO EDIT'!AC115</f>
        <v>1 - Anthony (1966–: #149)</v>
      </c>
      <c r="P115" s="198" t="str">
        <f>'Book Details - NO EDIT'!AD115</f>
        <v xml:space="preserve">1 - Delilah (2006–: #184)   </v>
      </c>
      <c r="Q115" s="191" t="str">
        <f>IF('Book Details - NO EDIT'!J115="",IF(R115=0,"Less than year on 1-Jul-2022",_xlfn.CONCAT("On 1-Jul-2022, age ",R115,'Book Details - NO EDIT'!J115)),IF(LEN(R115)=0,"Died in infancy",_xlfn.CONCAT("Died ",'Book Details - NO EDIT'!J115,","," aged ",R115)))</f>
        <v>Died 08/07/1994, aged 113</v>
      </c>
      <c r="R115" s="73">
        <f>'Book Details - NO EDIT'!AX115</f>
        <v>113</v>
      </c>
      <c r="S115" s="73" t="str">
        <f>'Book Details - NO EDIT'!AY115</f>
        <v xml:space="preserve"> - </v>
      </c>
      <c r="T115" s="73" t="str">
        <f>'Book Details - NO EDIT'!AW115</f>
        <v>England</v>
      </c>
      <c r="U115" s="73">
        <f>VLOOKUP(A115,'Book Details - NO EDIT'!$A115:$S$192,13,FALSE)</f>
        <v>46</v>
      </c>
      <c r="V115" s="73">
        <f>VLOOKUP(A115,'Book Details - NO EDIT'!$A115:$S$192,12,FALSE)</f>
        <v>78</v>
      </c>
      <c r="X115" s="31">
        <f>IF(LEN('Book Details - NO EDIT'!J115)=0,0,1)</f>
        <v>1</v>
      </c>
    </row>
    <row r="116" spans="1:24" s="31" customFormat="1" ht="34">
      <c r="A116" s="125">
        <f>'Book Details - NO EDIT'!A116</f>
        <v>114</v>
      </c>
      <c r="B116" s="31" t="str">
        <f>'Book Details - NO EDIT'!Y116</f>
        <v>John Michael LOYD</v>
      </c>
      <c r="C116" s="31" t="str">
        <f>'Book Details - NO EDIT'!V116</f>
        <v>Michael (1938–)</v>
      </c>
      <c r="D116" s="199">
        <f>'Book Details - NO EDIT'!I116</f>
        <v>14120</v>
      </c>
      <c r="E116" s="31" t="str">
        <f>IF('Book Details - NO EDIT'!K116="Boy","Male","Female")</f>
        <v>Male</v>
      </c>
      <c r="F116" s="31" t="str">
        <f>IF('Book Details - NO EDIT'!T116=1,"First",IF('Book Details - NO EDIT'!T116=2,"Second",IF('Book Details - NO EDIT'!T116=3,"Third",IF('Book Details - NO EDIT'!T116=4,"Fourth",IF('Book Details - NO EDIT'!T116=5,"Fifth",IF('Book Details - NO EDIT'!T116=6,"Sixth",IF('Book Details - NO EDIT'!T116=7,"Seventh",IF('Book Details - NO EDIT'!T116=8,"Eighth",0))))))))</f>
        <v>Fifth</v>
      </c>
      <c r="G116" s="31" t="str">
        <f>'Book Details - NO EDIT'!Z116</f>
        <v>Eric (1894–1963: #80)</v>
      </c>
      <c r="H116" s="31" t="str">
        <f>'Book Details - NO EDIT'!AH116</f>
        <v>Isabel Mary Beatrix PARKER (b. 22 Feb 1903, d. 13 Jan 1992)</v>
      </c>
      <c r="I116" s="31" t="str">
        <f>'Book Details - NO EDIT'!AI116</f>
        <v>Rosemary (Rosie) STRAKER (b. 19 Jan 1945, )</v>
      </c>
      <c r="J116" s="199">
        <f>'Book Details - NO EDIT'!AJ116</f>
        <v>26915</v>
      </c>
      <c r="K116" s="31" t="str">
        <f>'Book Details - NO EDIT'!AK116</f>
        <v>Married Rosie, at Stagshaw Chapel, Corbridge, Northumberland, daughter of John Joicey STRAKER of Stagshaw House, Corbridge, Northumberland.</v>
      </c>
      <c r="L116" s="131" t="str">
        <f>'Book Details - NO EDIT'!AL116</f>
        <v>Michael lives in Haydon Bridge, Northumberland and is the elder son of Eric (1894–1963: #80). Born 28 Aug 1938. Baptised 27 Sep 1938 at St Peter’s, Marlow. Educated Ampleforth and RMA Sandhurst. Career: Captain, Royal Dragoons 1958-69. Courage Breweries 1969-77. Lieut Colonel, Sultan of Oman’s Forces and Secretary to Defence Committee, Government of Oman 1977-81. Farmer from 1981. JP 1984. High Sheriff 1993. Issue: 3 daughters.</v>
      </c>
      <c r="M116" s="73" t="str">
        <f>'Book Details - NO EDIT'!AA116</f>
        <v xml:space="preserve">Eric (1894–1963: #80) Arthur (1845–1930: #29) Thomas (1812–1857: #14) William (1770–1828: #4) William (1729–1800: #1)   </v>
      </c>
      <c r="N116" s="197" t="str">
        <f>'Book Details - NO EDIT'!AB116</f>
        <v xml:space="preserve">3 – Margaret (1932–: #109) Jean (1933–: #110)  Peter (1942–: #119)     </v>
      </c>
      <c r="O116" s="198" t="str">
        <f>'Book Details - NO EDIT'!AC116</f>
        <v>3 - Tess (1975–: #157); Chloe (1977–: #158); Daisy (1979–: #159)</v>
      </c>
      <c r="P116" s="198" t="str">
        <f>'Book Details - NO EDIT'!AD116</f>
        <v xml:space="preserve">5 -    Henry SIMMONDS (2012 - :  #157a) Emily SIMMONDS (2014 - :  #157b) Theodore KYLE (2010 - :  #158a) Thomas GARDENER (2010 - :  #159a) Alice GARDENER (2013 - :  #159b)          </v>
      </c>
      <c r="Q116" s="191" t="str">
        <f>IF('Book Details - NO EDIT'!J116="",IF(R116=0,"Less than year on 1-Jul-2022",_xlfn.CONCAT("On 1-Jul-2022, age ",R116,'Book Details - NO EDIT'!J116)),IF(LEN(R116)=0,"Died in infancy",_xlfn.CONCAT("Died ",'Book Details - NO EDIT'!J116,","," aged ",R116)))</f>
        <v>On 1-Jul-2022, age 114</v>
      </c>
      <c r="R116" s="73">
        <f>'Book Details - NO EDIT'!AX116</f>
        <v>114</v>
      </c>
      <c r="S116" s="73" t="str">
        <f>'Book Details - NO EDIT'!AY116</f>
        <v>loydthreepwood@gmail.com</v>
      </c>
      <c r="T116" s="73" t="str">
        <f>'Book Details - NO EDIT'!AW116</f>
        <v>England and Oman</v>
      </c>
      <c r="U116" s="73">
        <f>VLOOKUP(A116,'Book Details - NO EDIT'!$A116:$S$192,13,FALSE)</f>
        <v>29</v>
      </c>
      <c r="V116" s="73">
        <f>VLOOKUP(A116,'Book Details - NO EDIT'!$A116:$S$192,12,FALSE)</f>
        <v>80</v>
      </c>
      <c r="X116" s="31">
        <f>IF(LEN('Book Details - NO EDIT'!J116)=0,0,1)</f>
        <v>0</v>
      </c>
    </row>
    <row r="117" spans="1:24" s="31" customFormat="1" ht="34">
      <c r="A117" s="125">
        <f>'Book Details - NO EDIT'!A117</f>
        <v>115</v>
      </c>
      <c r="B117" s="31" t="str">
        <f>'Book Details - NO EDIT'!Y117</f>
        <v>Belinda Maris LOYD</v>
      </c>
      <c r="C117" s="31" t="str">
        <f>'Book Details - NO EDIT'!V117</f>
        <v>Belinda (1939–2018)</v>
      </c>
      <c r="D117" s="199">
        <f>'Book Details - NO EDIT'!I117</f>
        <v>14432</v>
      </c>
      <c r="E117" s="31" t="str">
        <f>IF('Book Details - NO EDIT'!K117="Boy","Male","Female")</f>
        <v>Female</v>
      </c>
      <c r="F117" s="31" t="str">
        <f>IF('Book Details - NO EDIT'!T117=1,"First",IF('Book Details - NO EDIT'!T117=2,"Second",IF('Book Details - NO EDIT'!T117=3,"Third",IF('Book Details - NO EDIT'!T117=4,"Fourth",IF('Book Details - NO EDIT'!T117=5,"Fifth",IF('Book Details - NO EDIT'!T117=6,"Sixth",IF('Book Details - NO EDIT'!T117=7,"Seventh",IF('Book Details - NO EDIT'!T117=8,"Eighth",0))))))))</f>
        <v>Fifth</v>
      </c>
      <c r="G117" s="31" t="str">
        <f>'Book Details - NO EDIT'!Z117</f>
        <v>Vivian (1894–1972: #78)</v>
      </c>
      <c r="H117" s="31" t="str">
        <f>'Book Details - NO EDIT'!AH117</f>
        <v>Phyllis Mary Porter TRINGHAM (b. 17 Sep 1907, )</v>
      </c>
      <c r="I117" s="31" t="str">
        <f>'Book Details - NO EDIT'!AI117</f>
        <v>Savile William Francis CROSSLEY (b. 17 Sep 1928, d. 24 Jan 2012 )</v>
      </c>
      <c r="J117" s="199">
        <f>'Book Details - NO EDIT'!AJ117</f>
        <v>23298</v>
      </c>
      <c r="K117" s="31" t="str">
        <f>'Book Details - NO EDIT'!AK117</f>
        <v>Married Savile, 3rd Baron SOMERLEYTON of Somerleyton Hall, Lowestoft, Suffolk, NR32 5QQ. Saville Educated Eton 1942-46; Captain, Coldstream Guards; Co. Councillor, East Suffolk 1967-73; DL, JP, Master of the Horse, and a Lord in Waiting to HM The Queen from 1978. Director East Anglian Water Co.</v>
      </c>
      <c r="L117" s="131" t="str">
        <f>'Book Details - NO EDIT'!AL117</f>
        <v>Belinda was the elder daughter of Vivian (1894–1972: #98). Born 6 Jul 1939. OBE 1997. Died 1 Dec 2018 in Lowestoft. Issue: 4 daughters, 1 son.</v>
      </c>
      <c r="M117" s="73" t="str">
        <f>'Book Details - NO EDIT'!AA117</f>
        <v xml:space="preserve">Vivian (1894–1972: #78) William (1863–1923: #46) William (1821–1885: #23) Edward (1780–1863: #8) William (1729–1800: #1)   </v>
      </c>
      <c r="N117" s="197" t="str">
        <f>'Book Details - NO EDIT'!AB117</f>
        <v xml:space="preserve">3 – Willie (1937–1994: #113)  Vivian (1951–: #127) Ginie (1961–: #140)     </v>
      </c>
      <c r="O117" s="198" t="str">
        <f>'Book Details - NO EDIT'!AC117</f>
        <v xml:space="preserve">5 - The Hon Isabel CROSSLEY (1964 - : #115a) The Hon Camilla CROSSLEY (1967 - : #115b) The Hon Alicia CROSSLEY (1969 - : #115c) The Hon Hugh CROSSLEY (1971 - : #115d) The Hon Bridget CROSSLEY (1974 - : #115e)   </v>
      </c>
      <c r="P117" s="198" t="str">
        <f>'Book Details - NO EDIT'!AD117</f>
        <v xml:space="preserve">6 - Benjamin CATOR (1988 -: #115aa) Lara CATOR (1992 -: #115ab) Oscar CATOR (1996 -: #115ac) Milo SOAMES (1995 -: #115ba) Tommy SOAMES (1997 -: #115bb) Mary SOAMES (1999 -: #115bc)             </v>
      </c>
      <c r="Q117" s="191" t="str">
        <f>IF('Book Details - NO EDIT'!J117="",IF(R117=0,"Less than year on 1-Jul-2022",_xlfn.CONCAT("On 1-Jul-2022, age ",R117,'Book Details - NO EDIT'!J117)),IF(LEN(R117)=0,"Died in infancy",_xlfn.CONCAT("Died ",'Book Details - NO EDIT'!J117,","," aged ",R117)))</f>
        <v>Died 01/12/2018, aged 115</v>
      </c>
      <c r="R117" s="73">
        <f>'Book Details - NO EDIT'!AX117</f>
        <v>115</v>
      </c>
      <c r="S117" s="73" t="str">
        <f>'Book Details - NO EDIT'!AY117</f>
        <v xml:space="preserve"> - </v>
      </c>
      <c r="T117" s="73" t="str">
        <f>'Book Details - NO EDIT'!AW117</f>
        <v>England</v>
      </c>
      <c r="U117" s="73">
        <f>VLOOKUP(A117,'Book Details - NO EDIT'!$A117:$S$192,13,FALSE)</f>
        <v>46</v>
      </c>
      <c r="V117" s="73">
        <f>VLOOKUP(A117,'Book Details - NO EDIT'!$A117:$S$192,12,FALSE)</f>
        <v>78</v>
      </c>
      <c r="X117" s="31">
        <f>IF(LEN('Book Details - NO EDIT'!J117)=0,0,1)</f>
        <v>1</v>
      </c>
    </row>
    <row r="118" spans="1:24" s="31" customFormat="1" ht="17">
      <c r="A118" s="125">
        <f>'Book Details - NO EDIT'!A118</f>
        <v>116</v>
      </c>
      <c r="B118" s="31" t="str">
        <f>'Book Details - NO EDIT'!Y118</f>
        <v>Margaret Sheila Eileen LOYD</v>
      </c>
      <c r="C118" s="31" t="str">
        <f>'Book Details - NO EDIT'!V118</f>
        <v>Peggy (1939–)</v>
      </c>
      <c r="D118" s="199">
        <f>'Book Details - NO EDIT'!I118</f>
        <v>14567</v>
      </c>
      <c r="E118" s="31" t="str">
        <f>IF('Book Details - NO EDIT'!K118="Boy","Male","Female")</f>
        <v>Female</v>
      </c>
      <c r="F118" s="31" t="str">
        <f>IF('Book Details - NO EDIT'!T118=1,"First",IF('Book Details - NO EDIT'!T118=2,"Second",IF('Book Details - NO EDIT'!T118=3,"Third",IF('Book Details - NO EDIT'!T118=4,"Fourth",IF('Book Details - NO EDIT'!T118=5,"Fifth",IF('Book Details - NO EDIT'!T118=6,"Sixth",IF('Book Details - NO EDIT'!T118=7,"Seventh",IF('Book Details - NO EDIT'!T118=8,"Eighth",0))))))))</f>
        <v>Fifth</v>
      </c>
      <c r="G118" s="31" t="str">
        <f>'Book Details - NO EDIT'!Z118</f>
        <v>Dick (1882–1950: #55)</v>
      </c>
      <c r="H118" s="31" t="str">
        <f>'Book Details - NO EDIT'!AH118</f>
        <v>Alice Selina (Lovely) MYHILL (b. 1 Nov 1909, )</v>
      </c>
      <c r="I118" s="31" t="str">
        <f>'Book Details - NO EDIT'!AI118</f>
        <v>Michael Herbert (Mike) CLULOW (b. 23 Sep 1944, )</v>
      </c>
      <c r="J118" s="199">
        <f>'Book Details - NO EDIT'!AJ118</f>
        <v>25312</v>
      </c>
      <c r="K118" s="31" t="str">
        <f>'Book Details - NO EDIT'!AK118</f>
        <v>Married Mike, at Cockington, Torquay, Devon, of 22 West Street, Bridlington, North Humberside, YO15 3DX.</v>
      </c>
      <c r="L118" s="131" t="str">
        <f>'Book Details - NO EDIT'!AL118</f>
        <v>Peggy is the 3rd daughter of Lewis (1882–1950: #55). Born 18 Nov 1939 at Norwich. Baptised 14 Jan 1940 at St Mary’s, Martham, Norfolk. Issue: 1 sons, 2 daughters.</v>
      </c>
      <c r="M118" s="73" t="str">
        <f>'Book Details - NO EDIT'!AA118</f>
        <v xml:space="preserve">Dick (1882–1950: #55) Lewis (1852–1908: #35) William (1821–1885: #23) Edward (1780–1863: #8) William (1729–1800: #1)   </v>
      </c>
      <c r="N118" s="197" t="str">
        <f>'Book Details - NO EDIT'!AB118</f>
        <v xml:space="preserve">4 – Jos (1931–: #108) Deen (1936–2016: #112)  Patrick (1942–: #117) Patricia (1942–1942: #118)    </v>
      </c>
      <c r="O118" s="198" t="str">
        <f>'Book Details - NO EDIT'!AC118</f>
        <v xml:space="preserve">3 - Carl CLULOW (1970 - 1970: #116a) Kate CLULOW (1971 - : #116b) Clare CLULOW (1973 - : #116c)     </v>
      </c>
      <c r="P118" s="198" t="str">
        <f>'Book Details - NO EDIT'!AD118</f>
        <v>-</v>
      </c>
      <c r="Q118" s="191" t="str">
        <f>IF('Book Details - NO EDIT'!J118="",IF(R118=0,"Less than year on 1-Jul-2022",_xlfn.CONCAT("On 1-Jul-2022, age ",R118,'Book Details - NO EDIT'!J118)),IF(LEN(R118)=0,"Died in infancy",_xlfn.CONCAT("Died ",'Book Details - NO EDIT'!J118,","," aged ",R118)))</f>
        <v>On 1-Jul-2022, age 116</v>
      </c>
      <c r="R118" s="73">
        <f>'Book Details - NO EDIT'!AX118</f>
        <v>116</v>
      </c>
      <c r="S118" s="73" t="str">
        <f>'Book Details - NO EDIT'!AY118</f>
        <v>patrickloyd@cwgsy.net</v>
      </c>
      <c r="T118" s="73" t="str">
        <f>'Book Details - NO EDIT'!AW118</f>
        <v>England</v>
      </c>
      <c r="U118" s="73">
        <f>VLOOKUP(A118,'Book Details - NO EDIT'!$A118:$S$192,13,FALSE)</f>
        <v>35</v>
      </c>
      <c r="V118" s="73">
        <f>VLOOKUP(A118,'Book Details - NO EDIT'!$A118:$S$192,12,FALSE)</f>
        <v>55</v>
      </c>
      <c r="X118" s="31">
        <f>IF(LEN('Book Details - NO EDIT'!J118)=0,0,1)</f>
        <v>0</v>
      </c>
    </row>
    <row r="119" spans="1:24" s="31" customFormat="1" ht="17">
      <c r="A119" s="125">
        <f>'Book Details - NO EDIT'!A119</f>
        <v>117</v>
      </c>
      <c r="B119" s="31" t="str">
        <f>'Book Details - NO EDIT'!Y119</f>
        <v>Patrick Christopher Robin LOYD</v>
      </c>
      <c r="C119" s="31" t="str">
        <f>'Book Details - NO EDIT'!V119</f>
        <v>Patrick (1942–)</v>
      </c>
      <c r="D119" s="199">
        <f>'Book Details - NO EDIT'!I119</f>
        <v>15429</v>
      </c>
      <c r="E119" s="31" t="str">
        <f>IF('Book Details - NO EDIT'!K119="Boy","Male","Female")</f>
        <v>Male</v>
      </c>
      <c r="F119" s="31" t="str">
        <f>IF('Book Details - NO EDIT'!T119=1,"First",IF('Book Details - NO EDIT'!T119=2,"Second",IF('Book Details - NO EDIT'!T119=3,"Third",IF('Book Details - NO EDIT'!T119=4,"Fourth",IF('Book Details - NO EDIT'!T119=5,"Fifth",IF('Book Details - NO EDIT'!T119=6,"Sixth",IF('Book Details - NO EDIT'!T119=7,"Seventh",IF('Book Details - NO EDIT'!T119=8,"Eighth",0))))))))</f>
        <v>Fifth</v>
      </c>
      <c r="G119" s="31" t="str">
        <f>'Book Details - NO EDIT'!Z119</f>
        <v>Dick (1882–1950: #55)</v>
      </c>
      <c r="H119" s="31" t="str">
        <f>'Book Details - NO EDIT'!AH119</f>
        <v>Alice Selina (Lovely) MYHILL (b. 1 Nov 1909, )</v>
      </c>
      <c r="I119" s="31" t="str">
        <f>'Book Details - NO EDIT'!AI119</f>
        <v>Mary DAVIES (b. 6 Aug 1939, d. 17 Feb 1997)</v>
      </c>
      <c r="J119" s="199">
        <f>'Book Details - NO EDIT'!AJ119</f>
        <v>23652</v>
      </c>
      <c r="K119" s="31" t="str">
        <f>'Book Details - NO EDIT'!AK119</f>
        <v>Married at All Saints’, Grendon, West Atherstone, Warwickshire, Mary,  daughter of Morgan DAVIES of Lodge Farm, Ratcliffe Culey, Atherstone, Warwickshire. Mary born at Tamworth, Staffordshire.</v>
      </c>
      <c r="L119" s="131" t="str">
        <f>'Book Details - NO EDIT'!AL119</f>
        <v>Patrick lives in Guernsey, Channel Islands and is the only son of Lewis (1882–1950: #55). Born 29 Mar 1942 (twin with his youngest sister, Patricia) in Norwich. Baptised 10 Jun 1942 at St. Mary’s, Martham, Norfolk. Issue: 2 daughters, 1 son.</v>
      </c>
      <c r="M119" s="73" t="str">
        <f>'Book Details - NO EDIT'!AA119</f>
        <v xml:space="preserve">Dick (1882–1950: #55) Lewis (1852–1908: #35) William (1821–1885: #23) Edward (1780–1863: #8) William (1729–1800: #1)   </v>
      </c>
      <c r="N119" s="197" t="str">
        <f>'Book Details - NO EDIT'!AB119</f>
        <v xml:space="preserve">4 – Jos (1931–: #108) Deen (1936–2016: #112) Peggy (1939–: #116)  Patricia (1942–1942: #118)    </v>
      </c>
      <c r="O119" s="198" t="str">
        <f>'Book Details - NO EDIT'!AC119</f>
        <v>3 - Susannah (1965–: #147); Elspeth (1967–: #151); Richard (1968–: #153)</v>
      </c>
      <c r="P119" s="198" t="str">
        <f>'Book Details - NO EDIT'!AD119</f>
        <v>-</v>
      </c>
      <c r="Q119" s="191" t="str">
        <f>IF('Book Details - NO EDIT'!J119="",IF(R119=0,"Less than year on 1-Jul-2022",_xlfn.CONCAT("On 1-Jul-2022, age ",R119,'Book Details - NO EDIT'!J119)),IF(LEN(R119)=0,"Died in infancy",_xlfn.CONCAT("Died ",'Book Details - NO EDIT'!J119,","," aged ",R119)))</f>
        <v>On 1-Jul-2022, age 117</v>
      </c>
      <c r="R119" s="73">
        <f>'Book Details - NO EDIT'!AX119</f>
        <v>117</v>
      </c>
      <c r="S119" s="73" t="str">
        <f>'Book Details - NO EDIT'!AY119</f>
        <v>patrickloyd@cwgsy.net</v>
      </c>
      <c r="T119" s="73" t="str">
        <f>'Book Details - NO EDIT'!AW119</f>
        <v>England</v>
      </c>
      <c r="U119" s="73">
        <f>VLOOKUP(A119,'Book Details - NO EDIT'!$A119:$S$192,13,FALSE)</f>
        <v>35</v>
      </c>
      <c r="V119" s="73">
        <f>VLOOKUP(A119,'Book Details - NO EDIT'!$A119:$S$192,12,FALSE)</f>
        <v>55</v>
      </c>
      <c r="X119" s="31">
        <f>IF(LEN('Book Details - NO EDIT'!J119)=0,0,1)</f>
        <v>0</v>
      </c>
    </row>
    <row r="120" spans="1:24" s="31" customFormat="1" ht="17">
      <c r="A120" s="125">
        <f>'Book Details - NO EDIT'!A120</f>
        <v>118</v>
      </c>
      <c r="B120" s="31" t="str">
        <f>'Book Details - NO EDIT'!Y120</f>
        <v>Patricia Doris Irene LOYD</v>
      </c>
      <c r="C120" s="31" t="str">
        <f>'Book Details - NO EDIT'!V120</f>
        <v>Patricia (1942–1942)</v>
      </c>
      <c r="D120" s="199">
        <f>'Book Details - NO EDIT'!I120</f>
        <v>15429</v>
      </c>
      <c r="E120" s="31" t="str">
        <f>IF('Book Details - NO EDIT'!K120="Boy","Male","Female")</f>
        <v>Female</v>
      </c>
      <c r="F120" s="31" t="str">
        <f>IF('Book Details - NO EDIT'!T120=1,"First",IF('Book Details - NO EDIT'!T120=2,"Second",IF('Book Details - NO EDIT'!T120=3,"Third",IF('Book Details - NO EDIT'!T120=4,"Fourth",IF('Book Details - NO EDIT'!T120=5,"Fifth",IF('Book Details - NO EDIT'!T120=6,"Sixth",IF('Book Details - NO EDIT'!T120=7,"Seventh",IF('Book Details - NO EDIT'!T120=8,"Eighth",0))))))))</f>
        <v>Fifth</v>
      </c>
      <c r="G120" s="31" t="str">
        <f>'Book Details - NO EDIT'!Z120</f>
        <v>Dick (1882–1950: #55)</v>
      </c>
      <c r="H120" s="31" t="str">
        <f>'Book Details - NO EDIT'!AH120</f>
        <v>Alice Selina (Lovely) MYHILL (b. 1 Nov 1909, )</v>
      </c>
      <c r="I120" s="31" t="str">
        <f>'Book Details - NO EDIT'!AI120</f>
        <v>Died in infancy.</v>
      </c>
      <c r="J120" s="199" t="str">
        <f>'Book Details - NO EDIT'!AJ120</f>
        <v xml:space="preserve"> - </v>
      </c>
      <c r="K120" s="31" t="str">
        <f>'Book Details - NO EDIT'!AK120</f>
        <v>-</v>
      </c>
      <c r="L120" s="131" t="str">
        <f>'Book Details - NO EDIT'!AL120</f>
        <v>Patricia was the 4th and youngest daughter of Lewis (1882–1950: #55). Born 29 Mar 1942 (twin with her brother, Patrick) in Norwich. Died in infancy on 2 Apr 1942 in Norwich.</v>
      </c>
      <c r="M120" s="73" t="str">
        <f>'Book Details - NO EDIT'!AA120</f>
        <v xml:space="preserve">Dick (1882–1950: #55) Lewis (1852–1908: #35) William (1821–1885: #23) Edward (1780–1863: #8) William (1729–1800: #1)   </v>
      </c>
      <c r="N120" s="197" t="str">
        <f>'Book Details - NO EDIT'!AB120</f>
        <v xml:space="preserve">4 – Jos (1931–: #108) Deen (1936–2016: #112) Peggy (1939–: #116) Patrick (1942–: #117)     </v>
      </c>
      <c r="O120" s="198" t="str">
        <f>'Book Details - NO EDIT'!AC120</f>
        <v>d.s.p</v>
      </c>
      <c r="P120" s="198" t="str">
        <f>'Book Details - NO EDIT'!AD120</f>
        <v>d.s.p.</v>
      </c>
      <c r="Q120" s="191" t="str">
        <f>IF('Book Details - NO EDIT'!J120="",IF(R120=0,"Less than year on 1-Jul-2022",_xlfn.CONCAT("On 1-Jul-2022, age ",R120,'Book Details - NO EDIT'!J120)),IF(LEN(R120)=0,"Died in infancy",_xlfn.CONCAT("Died ",'Book Details - NO EDIT'!J120,","," aged ",R120)))</f>
        <v>Died 02/04/1942, aged 118</v>
      </c>
      <c r="R120" s="73">
        <f>'Book Details - NO EDIT'!AX120</f>
        <v>118</v>
      </c>
      <c r="S120" s="73" t="str">
        <f>'Book Details - NO EDIT'!AY120</f>
        <v xml:space="preserve"> - </v>
      </c>
      <c r="T120" s="73" t="str">
        <f>'Book Details - NO EDIT'!AW120</f>
        <v>England</v>
      </c>
      <c r="U120" s="73">
        <f>VLOOKUP(A120,'Book Details - NO EDIT'!$A120:$S$192,13,FALSE)</f>
        <v>35</v>
      </c>
      <c r="V120" s="73">
        <f>VLOOKUP(A120,'Book Details - NO EDIT'!$A120:$S$192,12,FALSE)</f>
        <v>55</v>
      </c>
      <c r="X120" s="31">
        <f>IF(LEN('Book Details - NO EDIT'!J120)=0,0,1)</f>
        <v>1</v>
      </c>
    </row>
    <row r="121" spans="1:24" s="31" customFormat="1" ht="34">
      <c r="A121" s="125">
        <f>'Book Details - NO EDIT'!A121</f>
        <v>119</v>
      </c>
      <c r="B121" s="31" t="str">
        <f>'Book Details - NO EDIT'!Y121</f>
        <v>Peter Robert LOYD</v>
      </c>
      <c r="C121" s="31" t="str">
        <f>'Book Details - NO EDIT'!V121</f>
        <v>Peter (1942–)</v>
      </c>
      <c r="D121" s="199">
        <f>'Book Details - NO EDIT'!I121</f>
        <v>15592</v>
      </c>
      <c r="E121" s="31" t="str">
        <f>IF('Book Details - NO EDIT'!K121="Boy","Male","Female")</f>
        <v>Male</v>
      </c>
      <c r="F121" s="31" t="str">
        <f>IF('Book Details - NO EDIT'!T121=1,"First",IF('Book Details - NO EDIT'!T121=2,"Second",IF('Book Details - NO EDIT'!T121=3,"Third",IF('Book Details - NO EDIT'!T121=4,"Fourth",IF('Book Details - NO EDIT'!T121=5,"Fifth",IF('Book Details - NO EDIT'!T121=6,"Sixth",IF('Book Details - NO EDIT'!T121=7,"Seventh",IF('Book Details - NO EDIT'!T121=8,"Eighth",0))))))))</f>
        <v>Fifth</v>
      </c>
      <c r="G121" s="31" t="str">
        <f>'Book Details - NO EDIT'!Z121</f>
        <v>Eric (1894–1963: #80)</v>
      </c>
      <c r="H121" s="31" t="str">
        <f>'Book Details - NO EDIT'!AH121</f>
        <v>Isabel Mary Beatrix PARKER (b. 22 Feb 1903, d. 13 Jan 1992)</v>
      </c>
      <c r="I121" s="31" t="str">
        <f>'Book Details - NO EDIT'!AI121</f>
        <v>(1) Mary Jennifer CHARLTON (b. 15 Jul 1946, d. 10 Oct 1976)</v>
      </c>
      <c r="J121" s="199">
        <f>'Book Details - NO EDIT'!AJ121</f>
        <v>25942</v>
      </c>
      <c r="K121" s="31" t="str">
        <f>'Book Details - NO EDIT'!AK121</f>
        <v>(1) Married Mary, at St Oswald’s, Bellingham, Northumberland. Mary eldest daughter of Major Frederick John CHARLTON of Hesleyside Hall, Bellingham, Northumberland. Died as result of a train accident in Mexico. (2) Married Charlotte Ann HEDLEY (b. 13 Sep 1946, ) on 22 May 1981 at Farm Street, London, only daughter of Timothy Grant HEDLEY of Berwick House, Lympne, Kent.</v>
      </c>
      <c r="L121" s="131" t="str">
        <f>'Book Details - NO EDIT'!AL121</f>
        <v>Peter lives in Hexham, Northumberland and is the younger son of Eric (1894–1963: #80). Born 8 Sep 1942. Baptised 28 Sep 1942 at St Hubert’s, Dunsopbridge, Lancashire. Educated Ampleforth and RMA Sandhurst. Career: Captain, Royal Scots Greys 1962-71. Scottish &amp; Newcastle Breweries 1971-78. MD Christopher &amp; Co 1978-84. Farmer and independent wine merchant from 1984. Chairman Orders of St John Care Trust 2007-13, High Sheriff 2013, Knight of Malta (Grand Cross) 1980. Issue: (1st wife) 1 son, 1 daughter. (2nd wife) 2 daughters. Contact email: mantlehill@aol.com</v>
      </c>
      <c r="M121" s="73" t="str">
        <f>'Book Details - NO EDIT'!AA121</f>
        <v xml:space="preserve">Eric (1894–1963: #80) Arthur (1845–1930: #29) Thomas (1812–1857: #14) William (1770–1828: #4) William (1729–1800: #1)   </v>
      </c>
      <c r="N121" s="197" t="str">
        <f>'Book Details - NO EDIT'!AB121</f>
        <v xml:space="preserve">3 – Margaret (1932–: #109) Jean (1933–: #110) Michael (1938–: #114)      </v>
      </c>
      <c r="O121" s="198" t="str">
        <f>'Book Details - NO EDIT'!AC121</f>
        <v>4 - William (1973–: #155); Amy (1975–: #156); Molly (1982–: #161); Harriet (1984–: #163)</v>
      </c>
      <c r="P121" s="198" t="str">
        <f>'Book Details - NO EDIT'!AD121</f>
        <v xml:space="preserve">9 - Matilda (2006–: #183); Katherine (2007–: #185); Henry (2010–: #186)   Peter GRINDAL (2014 - :  #156a) Dorothy GRINDAL (2016 - :  #156b) Alexia HAYNS (2014 - :  #161a) Edward HAYNS (2016 - :  #161b) 
Thomas DINSMORE (2012 - :  #163a) Mary DINSMORE (2014 - :  #163b)         </v>
      </c>
      <c r="Q121" s="191" t="str">
        <f>IF('Book Details - NO EDIT'!J121="",IF(R121=0,"Less than year on 1-Jul-2022",_xlfn.CONCAT("On 1-Jul-2022, age ",R121,'Book Details - NO EDIT'!J121)),IF(LEN(R121)=0,"Died in infancy",_xlfn.CONCAT("Died ",'Book Details - NO EDIT'!J121,","," aged ",R121)))</f>
        <v>On 1-Jul-2022, age 119</v>
      </c>
      <c r="R121" s="73">
        <f>'Book Details - NO EDIT'!AX121</f>
        <v>119</v>
      </c>
      <c r="S121" s="73" t="str">
        <f>'Book Details - NO EDIT'!AY121</f>
        <v>mantlehill@aol.com</v>
      </c>
      <c r="T121" s="73" t="str">
        <f>'Book Details - NO EDIT'!AW121</f>
        <v>England</v>
      </c>
      <c r="U121" s="73">
        <f>VLOOKUP(A121,'Book Details - NO EDIT'!$A121:$S$192,13,FALSE)</f>
        <v>29</v>
      </c>
      <c r="V121" s="73">
        <f>VLOOKUP(A121,'Book Details - NO EDIT'!$A121:$S$192,12,FALSE)</f>
        <v>80</v>
      </c>
      <c r="X121" s="31">
        <f>IF(LEN('Book Details - NO EDIT'!J121)=0,0,1)</f>
        <v>0</v>
      </c>
    </row>
    <row r="122" spans="1:24" s="31" customFormat="1" ht="34">
      <c r="A122" s="125">
        <f>'Book Details - NO EDIT'!A122</f>
        <v>120</v>
      </c>
      <c r="B122" s="31" t="str">
        <f>'Book Details - NO EDIT'!Y122</f>
        <v>Caroline Evelyn LOYD</v>
      </c>
      <c r="C122" s="31" t="str">
        <f>'Book Details - NO EDIT'!V122</f>
        <v>Caroline (1947–2022)</v>
      </c>
      <c r="D122" s="199">
        <f>'Book Details - NO EDIT'!I122</f>
        <v>17183</v>
      </c>
      <c r="E122" s="31" t="str">
        <f>IF('Book Details - NO EDIT'!K122="Boy","Male","Female")</f>
        <v>Female</v>
      </c>
      <c r="F122" s="31" t="str">
        <f>IF('Book Details - NO EDIT'!T122=1,"First",IF('Book Details - NO EDIT'!T122=2,"Second",IF('Book Details - NO EDIT'!T122=3,"Third",IF('Book Details - NO EDIT'!T122=4,"Fourth",IF('Book Details - NO EDIT'!T122=5,"Fifth",IF('Book Details - NO EDIT'!T122=6,"Sixth",IF('Book Details - NO EDIT'!T122=7,"Seventh",IF('Book Details - NO EDIT'!T122=8,"Eighth",0))))))))</f>
        <v>Sixth</v>
      </c>
      <c r="G122" s="31" t="str">
        <f>'Book Details - NO EDIT'!Z122</f>
        <v>Edward (1921–1977: #96)</v>
      </c>
      <c r="H122" s="31" t="str">
        <f>'Book Details - NO EDIT'!AH122</f>
        <v>June Cecilia KEPPEL (b. 19 Jun 1924, d. 7 May 2008)</v>
      </c>
      <c r="I122" s="31" t="str">
        <f>'Book Details - NO EDIT'!AI122</f>
        <v>Anthony Havelock HUDSON (b. 25 Apr 1946, )</v>
      </c>
      <c r="J122" s="199">
        <f>'Book Details - NO EDIT'!AJ122</f>
        <v>24960</v>
      </c>
      <c r="K122" s="31" t="str">
        <f>'Book Details - NO EDIT'!AK122</f>
        <v>Married Anthony,at the Guards’ Chapel, Birdcage Walk, London SW1, elder son of Havelock Henry Trevor HUDSON of The Old Rectory, Stanford Dingley, Berkshire. (Divorced 1973).</v>
      </c>
      <c r="L122" s="131" t="str">
        <f>'Book Details - NO EDIT'!AL122</f>
        <v xml:space="preserve">Caroline lived in SW London and is the only daughter of Edward (1921–1977: #96) of 10 Cadogan Square, London SW1. Born 16 Jan 1947. Baptised 19 Mar 1947 at St Peter’s, Eaton Square, London SW1. Educated Brondesbury-at-Stocks, Tring, Hertfordshire. Career: Drivers Jonas 1973-78. United Friendly 1978-85. Business Space 1985-86. Business Support Officer, Finance &amp; Leasing Association from Dec 1986. DSP                           </v>
      </c>
      <c r="M122" s="73" t="str">
        <f>'Book Details - NO EDIT'!AA122</f>
        <v xml:space="preserve">Edward (1921–1977: #96) William (1889–1947: #66) Harry (1861–1938: #44) William (1821–1885: #23) Edward (1780–1863: #8) William (1729–1800: #1)  </v>
      </c>
      <c r="N122" s="197" t="str">
        <f>'Book Details - NO EDIT'!AB122</f>
        <v xml:space="preserve">1 – David (1949–: #121)       </v>
      </c>
      <c r="O122" s="198" t="str">
        <f>'Book Details - NO EDIT'!AC122</f>
        <v>d.s.p</v>
      </c>
      <c r="P122" s="198" t="str">
        <f>'Book Details - NO EDIT'!AD122</f>
        <v>d.s.p.</v>
      </c>
      <c r="Q122" s="191" t="str">
        <f>IF('Book Details - NO EDIT'!J122="",IF(R122=0,"Less than year on 1-Jul-2022",_xlfn.CONCAT("On 1-Jul-2022, age ",R122,'Book Details - NO EDIT'!J122)),IF(LEN(R122)=0,"Died in infancy",_xlfn.CONCAT("Died ",'Book Details - NO EDIT'!J122,","," aged ",R122)))</f>
        <v>Died 13/06/2022, aged 120</v>
      </c>
      <c r="R122" s="73">
        <f>'Book Details - NO EDIT'!AX122</f>
        <v>120</v>
      </c>
      <c r="S122" s="73" t="str">
        <f>'Book Details - NO EDIT'!AY122</f>
        <v>Deceased</v>
      </c>
      <c r="T122" s="73" t="str">
        <f>'Book Details - NO EDIT'!AW122</f>
        <v>England</v>
      </c>
      <c r="U122" s="73">
        <f>VLOOKUP(A122,'Book Details - NO EDIT'!$A122:$S$192,13,FALSE)</f>
        <v>66</v>
      </c>
      <c r="V122" s="73">
        <f>VLOOKUP(A122,'Book Details - NO EDIT'!$A122:$S$192,12,FALSE)</f>
        <v>96</v>
      </c>
      <c r="X122" s="31">
        <f>IF(LEN('Book Details - NO EDIT'!J122)=0,0,1)</f>
        <v>1</v>
      </c>
    </row>
    <row r="123" spans="1:24" s="31" customFormat="1" ht="34">
      <c r="A123" s="125">
        <f>'Book Details - NO EDIT'!A123</f>
        <v>121</v>
      </c>
      <c r="B123" s="31" t="str">
        <f>'Book Details - NO EDIT'!Y123</f>
        <v>David William Arnold LOYD</v>
      </c>
      <c r="C123" s="31" t="str">
        <f>'Book Details - NO EDIT'!V123</f>
        <v>David (1949–)</v>
      </c>
      <c r="D123" s="199">
        <f>'Book Details - NO EDIT'!I123</f>
        <v>17902</v>
      </c>
      <c r="E123" s="31" t="str">
        <f>IF('Book Details - NO EDIT'!K123="Boy","Male","Female")</f>
        <v>Male</v>
      </c>
      <c r="F123" s="31" t="str">
        <f>IF('Book Details - NO EDIT'!T123=1,"First",IF('Book Details - NO EDIT'!T123=2,"Second",IF('Book Details - NO EDIT'!T123=3,"Third",IF('Book Details - NO EDIT'!T123=4,"Fourth",IF('Book Details - NO EDIT'!T123=5,"Fifth",IF('Book Details - NO EDIT'!T123=6,"Sixth",IF('Book Details - NO EDIT'!T123=7,"Seventh",IF('Book Details - NO EDIT'!T123=8,"Eighth",0))))))))</f>
        <v>Sixth</v>
      </c>
      <c r="G123" s="31" t="str">
        <f>'Book Details - NO EDIT'!Z123</f>
        <v>Edward (1921–1977: #96)</v>
      </c>
      <c r="H123" s="31" t="str">
        <f>'Book Details - NO EDIT'!AH123</f>
        <v>June Cecilia KEPPEL (b. 19 Jun 1924, d. 7 May 2008)</v>
      </c>
      <c r="I123" s="31" t="str">
        <f>'Book Details - NO EDIT'!AI123</f>
        <v>Mrs Anabel Laura Dorothy STAPLETON (b. 31 Dec 1955, )</v>
      </c>
      <c r="J123" s="199">
        <f>'Book Details - NO EDIT'!AJ123</f>
        <v>31353</v>
      </c>
      <c r="K123" s="31" t="str">
        <f>'Book Details - NO EDIT'!AK123</f>
        <v xml:space="preserve">Anabel only daughter of the Hon Charles MORRISON MP. </v>
      </c>
      <c r="L123" s="131" t="str">
        <f>'Book Details - NO EDIT'!AL123</f>
        <v>David lives in Marlborough, Wiltshire and is the only son of Edward (1921–1977: #96). Born 4 Jan 1949, baptised 19 Mar 1949 at St Peter’s, Eaton Square, London SW1. Educated Eton 1962-67. FCA 1973. Career: Peat Marwick Mitchell 1974-78. Kleinwort Benson from 1978. MD Dresdner Kleinwort Benson, Hong Kong 1997-99. Corporate Finance Director, Kleinwort Benson from 1999. Issue: 2 sons, 1 daughter.</v>
      </c>
      <c r="M123" s="73" t="str">
        <f>'Book Details - NO EDIT'!AA123</f>
        <v xml:space="preserve">Edward (1921–1977: #96) William (1889–1947: #66) Harry (1861–1938: #44) William (1821–1885: #23) Edward (1780–1863: #8) William (1729–1800: #1)  </v>
      </c>
      <c r="N123" s="197" t="str">
        <f>'Book Details - NO EDIT'!AB123</f>
        <v xml:space="preserve">1 – Caroline (1947–2022: #120)        </v>
      </c>
      <c r="O123" s="198" t="str">
        <f>'Book Details - NO EDIT'!AC123</f>
        <v>3 - James (1988–: #169); Rupert (1990–: #171); Tabitha (1992–: #174)</v>
      </c>
      <c r="P123" s="198" t="str">
        <f>'Book Details - NO EDIT'!AD123</f>
        <v>-</v>
      </c>
      <c r="Q123" s="191" t="str">
        <f>IF('Book Details - NO EDIT'!J123="",IF(R123=0,"Less than year on 1-Jul-2022",_xlfn.CONCAT("On 1-Jul-2022, age ",R123,'Book Details - NO EDIT'!J123)),IF(LEN(R123)=0,"Died in infancy",_xlfn.CONCAT("Died ",'Book Details - NO EDIT'!J123,","," aged ",R123)))</f>
        <v>On 1-Jul-2022, age 121</v>
      </c>
      <c r="R123" s="73">
        <f>'Book Details - NO EDIT'!AX123</f>
        <v>121</v>
      </c>
      <c r="S123" s="73" t="str">
        <f>'Book Details - NO EDIT'!AY123</f>
        <v>david.loyd@hotmail.com</v>
      </c>
      <c r="T123" s="73" t="str">
        <f>'Book Details - NO EDIT'!AW123</f>
        <v>England and Hong Kong</v>
      </c>
      <c r="U123" s="73">
        <f>VLOOKUP(A123,'Book Details - NO EDIT'!$A123:$S$192,13,FALSE)</f>
        <v>66</v>
      </c>
      <c r="V123" s="73">
        <f>VLOOKUP(A123,'Book Details - NO EDIT'!$A123:$S$192,12,FALSE)</f>
        <v>96</v>
      </c>
      <c r="X123" s="31">
        <f>IF(LEN('Book Details - NO EDIT'!J123)=0,0,1)</f>
        <v>0</v>
      </c>
    </row>
    <row r="124" spans="1:24" s="31" customFormat="1" ht="17">
      <c r="A124" s="125">
        <f>'Book Details - NO EDIT'!A124</f>
        <v>122</v>
      </c>
      <c r="B124" s="31" t="str">
        <f>'Book Details - NO EDIT'!Y124</f>
        <v>Martin Andrew Haig LOYD</v>
      </c>
      <c r="C124" s="31" t="str">
        <f>'Book Details - NO EDIT'!V124</f>
        <v>Martin (1949–)</v>
      </c>
      <c r="D124" s="199">
        <f>'Book Details - NO EDIT'!I124</f>
        <v>17947</v>
      </c>
      <c r="E124" s="31" t="str">
        <f>IF('Book Details - NO EDIT'!K124="Boy","Male","Female")</f>
        <v>Male</v>
      </c>
      <c r="F124" s="31" t="str">
        <f>IF('Book Details - NO EDIT'!T124=1,"First",IF('Book Details - NO EDIT'!T124=2,"Second",IF('Book Details - NO EDIT'!T124=3,"Third",IF('Book Details - NO EDIT'!T124=4,"Fourth",IF('Book Details - NO EDIT'!T124=5,"Fifth",IF('Book Details - NO EDIT'!T124=6,"Sixth",IF('Book Details - NO EDIT'!T124=7,"Seventh",IF('Book Details - NO EDIT'!T124=8,"Eighth",0))))))))</f>
        <v>Sixth</v>
      </c>
      <c r="G124" s="31" t="str">
        <f>'Book Details - NO EDIT'!Z124</f>
        <v>Geoffrey (1926–2018: #105)</v>
      </c>
      <c r="H124" s="31" t="str">
        <f>'Book Details - NO EDIT'!AH124</f>
        <v>Patricia Mary MACLEAN (b. 11 Feb 1929, )</v>
      </c>
      <c r="I124" s="31" t="str">
        <f>'Book Details - NO EDIT'!AI124</f>
        <v>(1) Jill Deloitte DAVIS (b. 19 Nov 1948, d. 3 Jun 2014).</v>
      </c>
      <c r="J124" s="199">
        <f>'Book Details - NO EDIT'!AJ124</f>
        <v>27382</v>
      </c>
      <c r="K124" s="31" t="str">
        <f>'Book Details - NO EDIT'!AK124</f>
        <v>(1) Married Jill, on 19 Dec 1974, eldest daughter of Charles Deloitte DAVIS of Mosman, NSW. Divorced  9 Apr 2002. (2) Married, 26 Apr 2003, Wendy Louise KERRANS (b. 29 Jan 1957, ) daughter of Hugh and Jean  KERRANS of Sydney, New South Wales, Australia.</v>
      </c>
      <c r="L124" s="131" t="str">
        <f>'Book Details - NO EDIT'!AL124</f>
        <v>Martin now lives in Wales having lived in New South Wales in Australia and is the elder son of Geoffrey (1926–2018: #105). Born 18 Feb 1949 at Mowbray, Capetown, South Africa, baptised at Cape Town Cathedral. Educated Dean Close, Cheltenham.</v>
      </c>
      <c r="M124" s="73" t="str">
        <f>'Book Details - NO EDIT'!AA124</f>
        <v xml:space="preserve">Geoffrey (1926–2018: #105) Wilfrid (1893–1971: #77) Archie (1847–1922: #30) Thomas (1812–1857: #14) William (1770–1828: #4) William (1729–1800: #1)  </v>
      </c>
      <c r="N124" s="197" t="str">
        <f>'Book Details - NO EDIT'!AB124</f>
        <v xml:space="preserve">1 – Jeremy (1954–: #133)       </v>
      </c>
      <c r="O124" s="198" t="str">
        <f>'Book Details - NO EDIT'!AC124</f>
        <v/>
      </c>
      <c r="P124" s="198" t="str">
        <f>'Book Details - NO EDIT'!AD124</f>
        <v>-</v>
      </c>
      <c r="Q124" s="191" t="str">
        <f>IF('Book Details - NO EDIT'!J124="",IF(R124=0,"Less than year on 1-Jul-2022",_xlfn.CONCAT("On 1-Jul-2022, age ",R124,'Book Details - NO EDIT'!J124)),IF(LEN(R124)=0,"Died in infancy",_xlfn.CONCAT("Died ",'Book Details - NO EDIT'!J124,","," aged ",R124)))</f>
        <v>On 1-Jul-2022, age 122</v>
      </c>
      <c r="R124" s="73">
        <f>'Book Details - NO EDIT'!AX124</f>
        <v>122</v>
      </c>
      <c r="S124" s="73" t="str">
        <f>'Book Details - NO EDIT'!AY124</f>
        <v>jeremyloyd@hotmail.com</v>
      </c>
      <c r="T124" s="73" t="str">
        <f>'Book Details - NO EDIT'!AW124</f>
        <v>South Africa, England, Australia &amp; Wales</v>
      </c>
      <c r="U124" s="73">
        <f>VLOOKUP(A124,'Book Details - NO EDIT'!$A124:$S$192,13,FALSE)</f>
        <v>77</v>
      </c>
      <c r="V124" s="73">
        <f>VLOOKUP(A124,'Book Details - NO EDIT'!$A124:$S$192,12,FALSE)</f>
        <v>105</v>
      </c>
      <c r="X124" s="31">
        <f>IF(LEN('Book Details - NO EDIT'!J124)=0,0,1)</f>
        <v>0</v>
      </c>
    </row>
    <row r="125" spans="1:24" s="31" customFormat="1" ht="17">
      <c r="A125" s="125">
        <f>'Book Details - NO EDIT'!A125</f>
        <v>123</v>
      </c>
      <c r="B125" s="31" t="str">
        <f>'Book Details - NO EDIT'!Y125</f>
        <v>Janet Katharine LOYD</v>
      </c>
      <c r="C125" s="31" t="str">
        <f>'Book Details - NO EDIT'!V125</f>
        <v>Janet (1949–)</v>
      </c>
      <c r="D125" s="199">
        <f>'Book Details - NO EDIT'!I125</f>
        <v>18019</v>
      </c>
      <c r="E125" s="31" t="str">
        <f>IF('Book Details - NO EDIT'!K125="Boy","Male","Female")</f>
        <v>Female</v>
      </c>
      <c r="F125" s="31" t="str">
        <f>IF('Book Details - NO EDIT'!T125=1,"First",IF('Book Details - NO EDIT'!T125=2,"Second",IF('Book Details - NO EDIT'!T125=3,"Third",IF('Book Details - NO EDIT'!T125=4,"Fourth",IF('Book Details - NO EDIT'!T125=5,"Fifth",IF('Book Details - NO EDIT'!T125=6,"Sixth",IF('Book Details - NO EDIT'!T125=7,"Seventh",IF('Book Details - NO EDIT'!T125=8,"Eighth",0))))))))</f>
        <v>Sixth</v>
      </c>
      <c r="G125" s="31" t="str">
        <f>'Book Details - NO EDIT'!Z125</f>
        <v>Sir Francis/Frank (1916–2006: #89)</v>
      </c>
      <c r="H125" s="31" t="str">
        <f>'Book Details - NO EDIT'!AH125</f>
        <v>Katharine Layzell (b. 13 Mar 1924, d. 26 Oct 1981)</v>
      </c>
      <c r="I125" s="31" t="str">
        <f>'Book Details - NO EDIT'!AI125</f>
        <v>Terrence Eric BOSMAN (b. 5 Jan 1948, d. 21 Apr 1987)</v>
      </c>
      <c r="J125" s="199">
        <f>'Book Details - NO EDIT'!AJ125</f>
        <v>26992</v>
      </c>
      <c r="K125" s="31" t="str">
        <f>'Book Details - NO EDIT'!AK125</f>
        <v>Janet married, at the Chapel of St. Augustine, London House for Overseas Graduates, Mecklenburgh Square, London WC1, Terrence 2nd son of Vernon James BOSMAN of Johannesburg, South Africa.</v>
      </c>
      <c r="L125" s="131" t="str">
        <f>'Book Details - NO EDIT'!AL125</f>
        <v>Janet lives in Stoke-by-Nayland, Suffolk  and is elder daughter of Sir Francis (1916–2006: #89). Born 1 May 1949 at Nyeri, Kenya. Baptised 18 Sep 1949 at Fort Hall, Kenya. Educated Kenya High, Nairobi and Queen Anne’s, Caversham.Issue: 1 daughter, 1 son. Email address: janetbosman@icloud.com</v>
      </c>
      <c r="M125" s="73" t="str">
        <f>'Book Details - NO EDIT'!AA125</f>
        <v xml:space="preserve">Sir Francis/Frank (1916–2006: #89) Alfred (1882–1919: #54) Frank (1848–1934: #32) Thomas (1812–1857: #14) William (1770–1828: #4) William (1729–1800: #1)  </v>
      </c>
      <c r="N125" s="197" t="str">
        <f>'Book Details - NO EDIT'!AB125</f>
        <v xml:space="preserve">1 – Diana (1952–: #129)       </v>
      </c>
      <c r="O125" s="198" t="str">
        <f>'Book Details - NO EDIT'!AC125</f>
        <v xml:space="preserve">2 - Katharine BOSMAN (1978 - : #123a) Adam BOSMAN (1980 - : #123b)      </v>
      </c>
      <c r="P125" s="198" t="str">
        <f>'Book Details - NO EDIT'!AD125</f>
        <v xml:space="preserve">5 - Evie TALBOT (2012 -: #123aa) Arlo TALBOT (2015 -: #123ab) Rufus CORVINO (2005 -: #123ba) Hal BOSMAN (2017 -: #123bb) Rocky BOSMAN (2020 -: #123bc)              </v>
      </c>
      <c r="Q125" s="191" t="str">
        <f>IF('Book Details - NO EDIT'!J125="",IF(R125=0,"Less than year on 1-Jul-2022",_xlfn.CONCAT("On 1-Jul-2022, age ",R125,'Book Details - NO EDIT'!J125)),IF(LEN(R125)=0,"Died in infancy",_xlfn.CONCAT("Died ",'Book Details - NO EDIT'!J125,","," aged ",R125)))</f>
        <v>On 1-Jul-2022, age 123</v>
      </c>
      <c r="R125" s="73">
        <f>'Book Details - NO EDIT'!AX125</f>
        <v>123</v>
      </c>
      <c r="S125" s="73" t="str">
        <f>'Book Details - NO EDIT'!AY125</f>
        <v>janetbosman@icloud.com</v>
      </c>
      <c r="T125" s="73" t="str">
        <f>'Book Details - NO EDIT'!AW125</f>
        <v>Kenya, Swaziland (now Eswatini), South Africa and England</v>
      </c>
      <c r="U125" s="73">
        <f>VLOOKUP(A125,'Book Details - NO EDIT'!$A125:$S$192,13,FALSE)</f>
        <v>54</v>
      </c>
      <c r="V125" s="73">
        <f>VLOOKUP(A125,'Book Details - NO EDIT'!$A125:$S$192,12,FALSE)</f>
        <v>89</v>
      </c>
      <c r="X125" s="31">
        <f>IF(LEN('Book Details - NO EDIT'!J125)=0,0,1)</f>
        <v>0</v>
      </c>
    </row>
    <row r="126" spans="1:24" s="31" customFormat="1" ht="51">
      <c r="A126" s="125">
        <f>'Book Details - NO EDIT'!A126</f>
        <v>124</v>
      </c>
      <c r="B126" s="31" t="str">
        <f>'Book Details - NO EDIT'!Y126</f>
        <v>Alwyne Edward Robert LOYD</v>
      </c>
      <c r="C126" s="31" t="str">
        <f>'Book Details - NO EDIT'!V126</f>
        <v>Rob (1949–)</v>
      </c>
      <c r="D126" s="199">
        <f>'Book Details - NO EDIT'!I126</f>
        <v>18084</v>
      </c>
      <c r="E126" s="31" t="str">
        <f>IF('Book Details - NO EDIT'!K126="Boy","Male","Female")</f>
        <v>Male</v>
      </c>
      <c r="F126" s="31" t="str">
        <f>IF('Book Details - NO EDIT'!T126=1,"First",IF('Book Details - NO EDIT'!T126=2,"Second",IF('Book Details - NO EDIT'!T126=3,"Third",IF('Book Details - NO EDIT'!T126=4,"Fourth",IF('Book Details - NO EDIT'!T126=5,"Fifth",IF('Book Details - NO EDIT'!T126=6,"Sixth",IF('Book Details - NO EDIT'!T126=7,"Seventh",IF('Book Details - NO EDIT'!T126=8,"Eighth",0))))))))</f>
        <v>Sixth</v>
      </c>
      <c r="G126" s="31" t="str">
        <f>'Book Details - NO EDIT'!Z126</f>
        <v>Alwyne (1920–2014: #94)</v>
      </c>
      <c r="H126" s="31" t="str">
        <f>'Book Details - NO EDIT'!AH126</f>
        <v>Alison Fraser PORTER (b. 21 Feb 1920, d. 6 Sep 2003)</v>
      </c>
      <c r="I126" s="31" t="str">
        <f>'Book Details - NO EDIT'!AI126</f>
        <v>Deirdre Susan WELLS (b. 4 May 1951, )</v>
      </c>
      <c r="J126" s="199">
        <f>'Book Details - NO EDIT'!AJ126</f>
        <v>28579</v>
      </c>
      <c r="K126" s="31" t="str">
        <f>'Book Details - NO EDIT'!AK126</f>
        <v>Rob married, at St Mary’s, Wimbledon, London SW19, Deirdre only daughter of Alexander WELLS of Winwick, Cheshire.</v>
      </c>
      <c r="L126" s="131" t="str">
        <f>'Book Details - NO EDIT'!AL126</f>
        <v>Rob lives in Devon; previously of Wisteria Cottage, Coombe Meadow, Bovey Tracey, Newton Abbot, Devon. Eldest son of Alwyne Eteson LOYD (1920–2014: #94). Born 5 Jul 1949 at St. George’s Wood, Haslemere, Surrey. Baptised 7 Oct 1949 at St. Cuthbert’s, Wood Green, London, by his grandfather, the Rev Robert PORTER. Educated Brentwood and Member of the Association of Residential Letting Agents (MARLA) until retired. Freeman of Goldsmiths’ Company 1973. Guitar player/composer. Book published 1973 - "Rob Loyd Folio of Graduated Guitar Solos". Semi- finalist in two categories UK Songrwriting Contest 2021.  Career: 1966-1968 RNIB – Talking Books Sound Department; 1968-1988 London Weekend Television (LWT) – Sound Department; 1988-2015 worked in property/property management. Email: robloyd@icloud.com.</v>
      </c>
      <c r="M126" s="73" t="str">
        <f>'Book Details - NO EDIT'!AA126</f>
        <v xml:space="preserve">Alwyne (1920–2014: #94) Cecil (1890–1963: #68) Llewellyn (1861–1939: #45) Edward (1820–1890: #22) Edward (1780–1863: #8) William (1729–1800: #1)  </v>
      </c>
      <c r="N126" s="197" t="str">
        <f>'Book Details - NO EDIT'!AB126</f>
        <v xml:space="preserve">5 – Paddy (1951–: #126) Dominic (1953–: #131) Tim (1957–: #136) Alex (1959–: #139) Rick (1962–: #142)   </v>
      </c>
      <c r="O126" s="198" t="str">
        <f>'Book Details - NO EDIT'!AC126</f>
        <v/>
      </c>
      <c r="P126" s="198" t="str">
        <f>'Book Details - NO EDIT'!AD126</f>
        <v>-</v>
      </c>
      <c r="Q126" s="191" t="str">
        <f>IF('Book Details - NO EDIT'!J126="",IF(R126=0,"Less than year on 1-Jul-2022",_xlfn.CONCAT("On 1-Jul-2022, age ",R126,'Book Details - NO EDIT'!J126)),IF(LEN(R126)=0,"Died in infancy",_xlfn.CONCAT("Died ",'Book Details - NO EDIT'!J126,","," aged ",R126)))</f>
        <v>On 1-Jul-2022, age 124</v>
      </c>
      <c r="R126" s="73">
        <f>'Book Details - NO EDIT'!AX126</f>
        <v>124</v>
      </c>
      <c r="S126" s="73" t="str">
        <f>'Book Details - NO EDIT'!AY126</f>
        <v>robloyd@icloud.com</v>
      </c>
      <c r="T126" s="73" t="str">
        <f>'Book Details - NO EDIT'!AW126</f>
        <v>England</v>
      </c>
      <c r="U126" s="73">
        <f>VLOOKUP(A126,'Book Details - NO EDIT'!$A126:$S$192,13,FALSE)</f>
        <v>68</v>
      </c>
      <c r="V126" s="73">
        <f>VLOOKUP(A126,'Book Details - NO EDIT'!$A126:$S$192,12,FALSE)</f>
        <v>94</v>
      </c>
      <c r="X126" s="31">
        <f>IF(LEN('Book Details - NO EDIT'!J126)=0,0,1)</f>
        <v>0</v>
      </c>
    </row>
    <row r="127" spans="1:24" s="31" customFormat="1" ht="34">
      <c r="A127" s="125">
        <f>'Book Details - NO EDIT'!A127</f>
        <v>125</v>
      </c>
      <c r="B127" s="31" t="str">
        <f>'Book Details - NO EDIT'!Y127</f>
        <v>Rona Mary LOYD</v>
      </c>
      <c r="C127" s="31" t="str">
        <f>'Book Details - NO EDIT'!V127</f>
        <v>Rona (1951–)</v>
      </c>
      <c r="D127" s="199">
        <f>'Book Details - NO EDIT'!I127</f>
        <v>18683</v>
      </c>
      <c r="E127" s="31" t="str">
        <f>IF('Book Details - NO EDIT'!K127="Boy","Male","Female")</f>
        <v>Female</v>
      </c>
      <c r="F127" s="31" t="str">
        <f>IF('Book Details - NO EDIT'!T127=1,"First",IF('Book Details - NO EDIT'!T127=2,"Second",IF('Book Details - NO EDIT'!T127=3,"Third",IF('Book Details - NO EDIT'!T127=4,"Fourth",IF('Book Details - NO EDIT'!T127=5,"Fifth",IF('Book Details - NO EDIT'!T127=6,"Sixth",IF('Book Details - NO EDIT'!T127=7,"Seventh",IF('Book Details - NO EDIT'!T127=8,"Eighth",0))))))))</f>
        <v>Sixth</v>
      </c>
      <c r="G127" s="31" t="str">
        <f>'Book Details - NO EDIT'!Z127</f>
        <v>Peter (1913–2008: #86)</v>
      </c>
      <c r="H127" s="31" t="str">
        <f>'Book Details - NO EDIT'!AH127</f>
        <v xml:space="preserve">Anne SMITHELLS (b. 12 Mar 1921, d. 3 Aug 2010) </v>
      </c>
      <c r="I127" s="31" t="str">
        <f>'Book Details - NO EDIT'!AI127</f>
        <v>Jock Llewellyn HAWKEY (b. 1 Feb 1949, )</v>
      </c>
      <c r="J127" s="199">
        <f>'Book Details - NO EDIT'!AJ127</f>
        <v>26173</v>
      </c>
      <c r="K127" s="31" t="str">
        <f>'Book Details - NO EDIT'!AK127</f>
        <v>Rona married Jock  4th son of Francis H HAWKEY of 1360 Bel Air Avenue, Kelowna, British Columbia. Jock was a chemist and metallurgist specialising in water technology.</v>
      </c>
      <c r="L127" s="131" t="str">
        <f>'Book Details - NO EDIT'!AL127</f>
        <v>Rona lives in Kelowna, British Columbia, Canada and is the only daughter of Norman (1913–2008: #86). Born 24 Feb 1951 at Kelowna, British Columbia. Baptised 6 Jun 1951 at St. Mary’s, East Kelowna, British Columbia. Career: British Columbia Institute of Technology 1970-74. X-ray technologist retired in 2000. Issue: 1 son, 1 daughter.</v>
      </c>
      <c r="M127" s="73" t="str">
        <f>'Book Details - NO EDIT'!AA127</f>
        <v xml:space="preserve">Peter (1913–2008: #86) Arthur (1890–1974: #71) Ted (1851–1922: #34) Thomas (1812–1857: #14) William (1770–1828: #4) William (1729–1800: #1)  </v>
      </c>
      <c r="N127" s="197" t="str">
        <f>'Book Details - NO EDIT'!AB127</f>
        <v xml:space="preserve">2 – David (1952–: #130) Jim (1955–: #135)      </v>
      </c>
      <c r="O127" s="198" t="str">
        <f>'Book Details - NO EDIT'!AC127</f>
        <v xml:space="preserve">2 - Bryan HAWKEY (1976 - : #125a) Allison HAWKEY (1978 - : #125b)      </v>
      </c>
      <c r="P127" s="198" t="str">
        <f>'Book Details - NO EDIT'!AD127</f>
        <v>-</v>
      </c>
      <c r="Q127" s="191" t="str">
        <f>IF('Book Details - NO EDIT'!J127="",IF(R127=0,"Less than year on 1-Jul-2022",_xlfn.CONCAT("On 1-Jul-2022, age ",R127,'Book Details - NO EDIT'!J127)),IF(LEN(R127)=0,"Died in infancy",_xlfn.CONCAT("Died ",'Book Details - NO EDIT'!J127,","," aged ",R127)))</f>
        <v>On 1-Jul-2022, age 125</v>
      </c>
      <c r="R127" s="73">
        <f>'Book Details - NO EDIT'!AX127</f>
        <v>125</v>
      </c>
      <c r="S127" s="73" t="str">
        <f>'Book Details - NO EDIT'!AY127</f>
        <v>jockronahawkey@hotmail.com</v>
      </c>
      <c r="T127" s="73" t="str">
        <f>'Book Details - NO EDIT'!AW127</f>
        <v>Canada</v>
      </c>
      <c r="U127" s="73">
        <f>VLOOKUP(A127,'Book Details - NO EDIT'!$A127:$S$192,13,FALSE)</f>
        <v>71</v>
      </c>
      <c r="V127" s="73">
        <f>VLOOKUP(A127,'Book Details - NO EDIT'!$A127:$S$192,12,FALSE)</f>
        <v>86</v>
      </c>
      <c r="X127" s="31">
        <f>IF(LEN('Book Details - NO EDIT'!J127)=0,0,1)</f>
        <v>0</v>
      </c>
    </row>
    <row r="128" spans="1:24" s="31" customFormat="1" ht="51">
      <c r="A128" s="125">
        <f>'Book Details - NO EDIT'!A128</f>
        <v>126</v>
      </c>
      <c r="B128" s="31" t="str">
        <f>'Book Details - NO EDIT'!Y128</f>
        <v>Patrick William Geale LOYD</v>
      </c>
      <c r="C128" s="31" t="str">
        <f>'Book Details - NO EDIT'!V128</f>
        <v>Paddy (1951–)</v>
      </c>
      <c r="D128" s="199">
        <f>'Book Details - NO EDIT'!I128</f>
        <v>18784</v>
      </c>
      <c r="E128" s="31" t="str">
        <f>IF('Book Details - NO EDIT'!K128="Boy","Male","Female")</f>
        <v>Male</v>
      </c>
      <c r="F128" s="31" t="str">
        <f>IF('Book Details - NO EDIT'!T128=1,"First",IF('Book Details - NO EDIT'!T128=2,"Second",IF('Book Details - NO EDIT'!T128=3,"Third",IF('Book Details - NO EDIT'!T128=4,"Fourth",IF('Book Details - NO EDIT'!T128=5,"Fifth",IF('Book Details - NO EDIT'!T128=6,"Sixth",IF('Book Details - NO EDIT'!T128=7,"Seventh",IF('Book Details - NO EDIT'!T128=8,"Eighth",0))))))))</f>
        <v>Sixth</v>
      </c>
      <c r="G128" s="31" t="str">
        <f>'Book Details - NO EDIT'!Z128</f>
        <v>Alwyne (1920–2014: #94)</v>
      </c>
      <c r="H128" s="31" t="str">
        <f>'Book Details - NO EDIT'!AH128</f>
        <v>Alison Fraser PORTER (b. 21 Feb 1920, d. 6 Sep 2003)</v>
      </c>
      <c r="I128" s="31" t="str">
        <f>'Book Details - NO EDIT'!AI128</f>
        <v>Angela Vernon (b. 27 Sep 1937, )</v>
      </c>
      <c r="J128" s="199" t="str">
        <f>'Book Details - NO EDIT'!AJ128</f>
        <v xml:space="preserve"> - </v>
      </c>
      <c r="K128" s="31" t="str">
        <f>'Book Details - NO EDIT'!AK128</f>
        <v>Paddy's partner, since 1977,  (unmarried) Beryl Margaret Vernon (known as Angela) daughter of Frank Douglas Vernon (b. 1 Jan 1899, d. 19 Jul 1965) and Dorothy Muriel Vernon (b. 16 June 1914, d. 13 Jul 1975).</v>
      </c>
      <c r="L128" s="131" t="str">
        <f>'Book Details - NO EDIT'!AL128</f>
        <v>Paddy lives near Chiangmai, Thailand and previously in Hammersmith, London. He is the 2nd son of Alwyne (1920–2014: #94). Born 5 Jun 1951 at St. George’s Wood, Haslemere, Surrey. Baptised 25 Aug 1951 at St Cuthbert’s, Wood Green, London by his grandfather, the Rev Robert PORTER. Educated/Qualifications: Brentwood. FSVA 1973. FIAS(TP) 1976. FB Eng 1993. FRICS 2000. Career: Chartered &amp; Corporate Surveyor. Corporate Building Engineer (Retired). Paddy retired from his Estate Business in 2008 to build a house (Eagle Peak) where he lives, with his partner Angela, in the mountains of Chiang Dao in the province of Chiangmai, Thailand. Freeman of Goldsmiths’ Company 1973.</v>
      </c>
      <c r="M128" s="73" t="str">
        <f>'Book Details - NO EDIT'!AA128</f>
        <v xml:space="preserve">Alwyne (1920–2014: #94) Cecil (1890–1963: #68) Llewellyn (1861–1939: #45) Edward (1820–1890: #22) Edward (1780–1863: #8) William (1729–1800: #1)  </v>
      </c>
      <c r="N128" s="197" t="str">
        <f>'Book Details - NO EDIT'!AB128</f>
        <v xml:space="preserve">5 – Rob (1949–: #124)  Dominic (1953–: #131) Tim (1957–: #136) Alex (1959–: #139) Rick (1962–: #142)   </v>
      </c>
      <c r="O128" s="198" t="str">
        <f>'Book Details - NO EDIT'!AC128</f>
        <v/>
      </c>
      <c r="P128" s="198" t="str">
        <f>'Book Details - NO EDIT'!AD128</f>
        <v>-</v>
      </c>
      <c r="Q128" s="191" t="str">
        <f>IF('Book Details - NO EDIT'!J128="",IF(R128=0,"Less than year on 1-Jul-2022",_xlfn.CONCAT("On 1-Jul-2022, age ",R128,'Book Details - NO EDIT'!J128)),IF(LEN(R128)=0,"Died in infancy",_xlfn.CONCAT("Died ",'Book Details - NO EDIT'!J128,","," aged ",R128)))</f>
        <v>On 1-Jul-2022, age 126</v>
      </c>
      <c r="R128" s="73">
        <f>'Book Details - NO EDIT'!AX128</f>
        <v>126</v>
      </c>
      <c r="S128" s="73" t="str">
        <f>'Book Details - NO EDIT'!AY128</f>
        <v>paddyloyd@talk21.com </v>
      </c>
      <c r="T128" s="73" t="str">
        <f>'Book Details - NO EDIT'!AW128</f>
        <v>England &amp; Thailand</v>
      </c>
      <c r="U128" s="73">
        <f>VLOOKUP(A128,'Book Details - NO EDIT'!$A128:$S$192,13,FALSE)</f>
        <v>68</v>
      </c>
      <c r="V128" s="73">
        <f>VLOOKUP(A128,'Book Details - NO EDIT'!$A128:$S$192,12,FALSE)</f>
        <v>94</v>
      </c>
      <c r="X128" s="31">
        <f>IF(LEN('Book Details - NO EDIT'!J128)=0,0,1)</f>
        <v>0</v>
      </c>
    </row>
    <row r="129" spans="1:24" s="31" customFormat="1" ht="34">
      <c r="A129" s="125">
        <f>'Book Details - NO EDIT'!A129</f>
        <v>127</v>
      </c>
      <c r="B129" s="31" t="str">
        <f>'Book Details - NO EDIT'!Y129</f>
        <v>Vivian Algernon LOYD</v>
      </c>
      <c r="C129" s="31" t="str">
        <f>'Book Details - NO EDIT'!V129</f>
        <v>Vivian (1951–)</v>
      </c>
      <c r="D129" s="199">
        <f>'Book Details - NO EDIT'!I129</f>
        <v>18943</v>
      </c>
      <c r="E129" s="31" t="str">
        <f>IF('Book Details - NO EDIT'!K129="Boy","Male","Female")</f>
        <v>Male</v>
      </c>
      <c r="F129" s="31" t="str">
        <f>IF('Book Details - NO EDIT'!T129=1,"First",IF('Book Details - NO EDIT'!T129=2,"Second",IF('Book Details - NO EDIT'!T129=3,"Third",IF('Book Details - NO EDIT'!T129=4,"Fourth",IF('Book Details - NO EDIT'!T129=5,"Fifth",IF('Book Details - NO EDIT'!T129=6,"Sixth",IF('Book Details - NO EDIT'!T129=7,"Seventh",IF('Book Details - NO EDIT'!T129=8,"Eighth",0))))))))</f>
        <v>Fifth</v>
      </c>
      <c r="G129" s="31" t="str">
        <f>'Book Details - NO EDIT'!Z129</f>
        <v>Vivian (1894–1972: #78)</v>
      </c>
      <c r="H129" s="31" t="str">
        <f>'Book Details - NO EDIT'!AH129</f>
        <v>Veronica Elizabeth HAYNES (b. 4 Dec 1926, )</v>
      </c>
      <c r="I129" s="31" t="str">
        <f>'Book Details - NO EDIT'!AI129</f>
        <v xml:space="preserve"> - </v>
      </c>
      <c r="J129" s="199" t="str">
        <f>'Book Details - NO EDIT'!AJ129</f>
        <v/>
      </c>
      <c r="K129" s="31" t="str">
        <f>'Book Details - NO EDIT'!AK129</f>
        <v xml:space="preserve"> - </v>
      </c>
      <c r="L129" s="131" t="str">
        <f>'Book Details - NO EDIT'!AL129</f>
        <v>Vivian lives in Calbourne, Isle of Wight and is the younger son of Vivian (1894–1972: #78). Born 11 Nov 1951 at 27 Welbeck Street, London W1, baptised 13 Apr 1952 at Clyne Castle Chapel, Swansea by the Archdeacon of Gower. Educated Eton 1965-67. Career: Director of group of marine related private companies. Member Royal Yacht Squadron from 1976.</v>
      </c>
      <c r="M129" s="73" t="str">
        <f>'Book Details - NO EDIT'!AA129</f>
        <v xml:space="preserve">Vivian (1894–1972: #78) William (1863–1923: #46) William (1821–1885: #23) Edward (1780–1863: #8) William (1729–1800: #1)   </v>
      </c>
      <c r="N129" s="197" t="str">
        <f>'Book Details - NO EDIT'!AB129</f>
        <v xml:space="preserve">3 – Willie (1937–1994: #113) Belinda (1939–2018: #115)  Ginie (1961–: #140)     </v>
      </c>
      <c r="O129" s="198" t="str">
        <f>'Book Details - NO EDIT'!AC129</f>
        <v/>
      </c>
      <c r="P129" s="198" t="str">
        <f>'Book Details - NO EDIT'!AD129</f>
        <v>-</v>
      </c>
      <c r="Q129" s="191" t="str">
        <f>IF('Book Details - NO EDIT'!J129="",IF(R129=0,"Less than year on 1-Jul-2022",_xlfn.CONCAT("On 1-Jul-2022, age ",R129,'Book Details - NO EDIT'!J129)),IF(LEN(R129)=0,"Died in infancy",_xlfn.CONCAT("Died ",'Book Details - NO EDIT'!J129,","," aged ",R129)))</f>
        <v>On 1-Jul-2022, age 127</v>
      </c>
      <c r="R129" s="73">
        <f>'Book Details - NO EDIT'!AX129</f>
        <v>127</v>
      </c>
      <c r="S129" s="73" t="str">
        <f>'Book Details - NO EDIT'!AY129</f>
        <v>victoryyardiow@gmail.com</v>
      </c>
      <c r="T129" s="73" t="str">
        <f>'Book Details - NO EDIT'!AW129</f>
        <v>England</v>
      </c>
      <c r="U129" s="73">
        <f>VLOOKUP(A129,'Book Details - NO EDIT'!$A129:$S$192,13,FALSE)</f>
        <v>46</v>
      </c>
      <c r="V129" s="73">
        <f>VLOOKUP(A129,'Book Details - NO EDIT'!$A129:$S$192,12,FALSE)</f>
        <v>78</v>
      </c>
      <c r="X129" s="31">
        <f>IF(LEN('Book Details - NO EDIT'!J129)=0,0,1)</f>
        <v>0</v>
      </c>
    </row>
    <row r="130" spans="1:24" s="31" customFormat="1" ht="34">
      <c r="A130" s="125">
        <f>'Book Details - NO EDIT'!A130</f>
        <v>128</v>
      </c>
      <c r="B130" s="31" t="str">
        <f>'Book Details - NO EDIT'!Y130</f>
        <v>Julie Caroline LOYD</v>
      </c>
      <c r="C130" s="31" t="str">
        <f>'Book Details - NO EDIT'!V130</f>
        <v>Julie (1952–)</v>
      </c>
      <c r="D130" s="199">
        <f>'Book Details - NO EDIT'!I130</f>
        <v>19114</v>
      </c>
      <c r="E130" s="31" t="str">
        <f>IF('Book Details - NO EDIT'!K130="Boy","Male","Female")</f>
        <v>Female</v>
      </c>
      <c r="F130" s="31" t="str">
        <f>IF('Book Details - NO EDIT'!T130=1,"First",IF('Book Details - NO EDIT'!T130=2,"Second",IF('Book Details - NO EDIT'!T130=3,"Third",IF('Book Details - NO EDIT'!T130=4,"Fourth",IF('Book Details - NO EDIT'!T130=5,"Fifth",IF('Book Details - NO EDIT'!T130=6,"Sixth",IF('Book Details - NO EDIT'!T130=7,"Seventh",IF('Book Details - NO EDIT'!T130=8,"Eighth",0))))))))</f>
        <v>Sixth</v>
      </c>
      <c r="G130" s="31" t="str">
        <f>'Book Details - NO EDIT'!Z130</f>
        <v>Peter (1922–2022: #98)</v>
      </c>
      <c r="H130" s="31" t="str">
        <f>'Book Details - NO EDIT'!AH130</f>
        <v>Suzanne DUNCAN (b. 25 Aug 1928, )</v>
      </c>
      <c r="I130" s="31" t="str">
        <f>'Book Details - NO EDIT'!AI130</f>
        <v>Neil PEMBERTON (b.20 Mar 1953, ). Divorced 2001.</v>
      </c>
      <c r="J130" s="199">
        <f>'Book Details - NO EDIT'!AJ130</f>
        <v>32402</v>
      </c>
      <c r="K130" s="31" t="str">
        <f>'Book Details - NO EDIT'!AK130</f>
        <v>Neil son of Jack PEMBERTON of Lakeside, Cardiff, South Wales.</v>
      </c>
      <c r="L130" s="131" t="str">
        <f>'Book Details - NO EDIT'!AL130</f>
        <v>Julie lives in West Dorset and is the eldest daughter of Peter (1922–2022: #98). Born 30 Apr 1952 in Gloucester. Baptised 8 Feb 1953 at Christchurch, Pembroke, Malta. Education: Headington, Oxford and Kent University (BA). Career: Christian Aid 1975-81. Freelance journalist and broadcaster 1981-89. Head of Religious Broadcasting World Service 1989-90. Issue: 2 daughters</v>
      </c>
      <c r="M130" s="73" t="str">
        <f>'Book Details - NO EDIT'!AA130</f>
        <v xml:space="preserve">Peter (1922–2022: #98) Wilfrid (1893–1971: #77) Archie (1847–1922: #30) Thomas (1812–1857: #14) William (1770–1828: #4) William (1729–1800: #1)  </v>
      </c>
      <c r="N130" s="197" t="str">
        <f>'Book Details - NO EDIT'!AB130</f>
        <v xml:space="preserve">4 – Penelope (1954–1954: #132) William (1955–: #134) Tony (1963–: #145) Sophie (1969–: #154)    </v>
      </c>
      <c r="O130" s="198" t="str">
        <f>'Book Details - NO EDIT'!AC130</f>
        <v xml:space="preserve">2 - Chloe PEMBERTON (1991 - : #128a) Kate PEMBERTON (1993 - : #128b)      </v>
      </c>
      <c r="P130" s="198" t="str">
        <f>'Book Details - NO EDIT'!AD130</f>
        <v>-</v>
      </c>
      <c r="Q130" s="191" t="str">
        <f>IF('Book Details - NO EDIT'!J130="",IF(R130=0,"Less than year on 1-Jul-2022",_xlfn.CONCAT("On 1-Jul-2022, age ",R130,'Book Details - NO EDIT'!J130)),IF(LEN(R130)=0,"Died in infancy",_xlfn.CONCAT("Died ",'Book Details - NO EDIT'!J130,","," aged ",R130)))</f>
        <v>On 1-Jul-2022, age 128</v>
      </c>
      <c r="R130" s="73">
        <f>'Book Details - NO EDIT'!AX130</f>
        <v>128</v>
      </c>
      <c r="S130" s="73" t="str">
        <f>'Book Details - NO EDIT'!AY130</f>
        <v>rosemaryloyd@gmail.com</v>
      </c>
      <c r="T130" s="73" t="str">
        <f>'Book Details - NO EDIT'!AW130</f>
        <v>England and Malta</v>
      </c>
      <c r="U130" s="73">
        <f>VLOOKUP(A130,'Book Details - NO EDIT'!$A130:$S$192,13,FALSE)</f>
        <v>77</v>
      </c>
      <c r="V130" s="73">
        <f>VLOOKUP(A130,'Book Details - NO EDIT'!$A130:$S$192,12,FALSE)</f>
        <v>98</v>
      </c>
      <c r="X130" s="31">
        <f>IF(LEN('Book Details - NO EDIT'!J130)=0,0,1)</f>
        <v>0</v>
      </c>
    </row>
    <row r="131" spans="1:24" s="31" customFormat="1" ht="17">
      <c r="A131" s="125">
        <f>'Book Details - NO EDIT'!A131</f>
        <v>129</v>
      </c>
      <c r="B131" s="31" t="str">
        <f>'Book Details - NO EDIT'!Y131</f>
        <v>Diana Margaret LOYD</v>
      </c>
      <c r="C131" s="31" t="str">
        <f>'Book Details - NO EDIT'!V131</f>
        <v>Diana (1952–)</v>
      </c>
      <c r="D131" s="199">
        <f>'Book Details - NO EDIT'!I131</f>
        <v>19127</v>
      </c>
      <c r="E131" s="31" t="str">
        <f>IF('Book Details - NO EDIT'!K131="Boy","Male","Female")</f>
        <v>Female</v>
      </c>
      <c r="F131" s="31" t="str">
        <f>IF('Book Details - NO EDIT'!T131=1,"First",IF('Book Details - NO EDIT'!T131=2,"Second",IF('Book Details - NO EDIT'!T131=3,"Third",IF('Book Details - NO EDIT'!T131=4,"Fourth",IF('Book Details - NO EDIT'!T131=5,"Fifth",IF('Book Details - NO EDIT'!T131=6,"Sixth",IF('Book Details - NO EDIT'!T131=7,"Seventh",IF('Book Details - NO EDIT'!T131=8,"Eighth",0))))))))</f>
        <v>Sixth</v>
      </c>
      <c r="G131" s="31" t="str">
        <f>'Book Details - NO EDIT'!Z131</f>
        <v>Sir Francis/Frank (1916–2006: #89)</v>
      </c>
      <c r="H131" s="31" t="str">
        <f>'Book Details - NO EDIT'!AH131</f>
        <v>Katharine Layzell (b. 13 Mar 1924, d. 26 Oct 1981)</v>
      </c>
      <c r="I131" s="31" t="str">
        <f>'Book Details - NO EDIT'!AI131</f>
        <v>Arnold SAKOLINSKY (b. 18 Sep 1943, )</v>
      </c>
      <c r="J131" s="199">
        <f>'Book Details - NO EDIT'!AJ131</f>
        <v>30506</v>
      </c>
      <c r="K131" s="31" t="str">
        <f>'Book Details - NO EDIT'!AK131</f>
        <v>Married Arnold at St. Peter and St. Paul’s, Aldeburgh, Suffolk.</v>
      </c>
      <c r="L131" s="131" t="str">
        <f>'Book Details - NO EDIT'!AL131</f>
        <v>Diana lives in Canada is the younger daughter of Sir Francis (1916–2006: #89). Born 13 May 1952 in Nairobi, Kenya. Baptised Jul 1952 at Fort Hall, Kenya. Educated Hawnes School, Bedford. Email addres: dmsako@shaw.ca</v>
      </c>
      <c r="M131" s="73" t="str">
        <f>'Book Details - NO EDIT'!AA131</f>
        <v xml:space="preserve">Sir Francis/Frank (1916–2006: #89) Alfred (1882–1919: #54) Frank (1848–1934: #32) Thomas (1812–1857: #14) William (1770–1828: #4) William (1729–1800: #1)  </v>
      </c>
      <c r="N131" s="197" t="str">
        <f>'Book Details - NO EDIT'!AB131</f>
        <v xml:space="preserve">1 – Janet (1949–: #123)        </v>
      </c>
      <c r="O131" s="198" t="str">
        <f>'Book Details - NO EDIT'!AC131</f>
        <v/>
      </c>
      <c r="P131" s="198" t="str">
        <f>'Book Details - NO EDIT'!AD131</f>
        <v>-</v>
      </c>
      <c r="Q131" s="191" t="str">
        <f>IF('Book Details - NO EDIT'!J131="",IF(R131=0,"Less than year on 1-Jul-2022",_xlfn.CONCAT("On 1-Jul-2022, age ",R131,'Book Details - NO EDIT'!J131)),IF(LEN(R131)=0,"Died in infancy",_xlfn.CONCAT("Died ",'Book Details - NO EDIT'!J131,","," aged ",R131)))</f>
        <v>On 1-Jul-2022, age 129</v>
      </c>
      <c r="R131" s="73">
        <f>'Book Details - NO EDIT'!AX131</f>
        <v>129</v>
      </c>
      <c r="S131" s="73" t="str">
        <f>'Book Details - NO EDIT'!AY131</f>
        <v>dmsako@shaw.ca</v>
      </c>
      <c r="T131" s="73" t="str">
        <f>'Book Details - NO EDIT'!AW131</f>
        <v>Kenya, Swaziland (now Eswatini), England and Canada</v>
      </c>
      <c r="U131" s="73">
        <f>VLOOKUP(A131,'Book Details - NO EDIT'!$A131:$S$192,13,FALSE)</f>
        <v>54</v>
      </c>
      <c r="V131" s="73">
        <f>VLOOKUP(A131,'Book Details - NO EDIT'!$A131:$S$192,12,FALSE)</f>
        <v>89</v>
      </c>
      <c r="X131" s="31">
        <f>IF(LEN('Book Details - NO EDIT'!J131)=0,0,1)</f>
        <v>0</v>
      </c>
    </row>
    <row r="132" spans="1:24" s="31" customFormat="1" ht="17">
      <c r="A132" s="125">
        <f>'Book Details - NO EDIT'!A132</f>
        <v>130</v>
      </c>
      <c r="B132" s="31" t="str">
        <f>'Book Details - NO EDIT'!Y132</f>
        <v>David Arthur LOYD</v>
      </c>
      <c r="C132" s="31" t="str">
        <f>'Book Details - NO EDIT'!V132</f>
        <v>David (1952–)</v>
      </c>
      <c r="D132" s="199">
        <f>'Book Details - NO EDIT'!I132</f>
        <v>19171</v>
      </c>
      <c r="E132" s="31" t="str">
        <f>IF('Book Details - NO EDIT'!K132="Boy","Male","Female")</f>
        <v>Male</v>
      </c>
      <c r="F132" s="31" t="str">
        <f>IF('Book Details - NO EDIT'!T132=1,"First",IF('Book Details - NO EDIT'!T132=2,"Second",IF('Book Details - NO EDIT'!T132=3,"Third",IF('Book Details - NO EDIT'!T132=4,"Fourth",IF('Book Details - NO EDIT'!T132=5,"Fifth",IF('Book Details - NO EDIT'!T132=6,"Sixth",IF('Book Details - NO EDIT'!T132=7,"Seventh",IF('Book Details - NO EDIT'!T132=8,"Eighth",0))))))))</f>
        <v>Sixth</v>
      </c>
      <c r="G132" s="31" t="str">
        <f>'Book Details - NO EDIT'!Z132</f>
        <v>Peter (1913–2008: #86)</v>
      </c>
      <c r="H132" s="31" t="str">
        <f>'Book Details - NO EDIT'!AH132</f>
        <v xml:space="preserve">Anne SMITHELLS (b. 12 Mar 1921, d. 3 Aug 2010) </v>
      </c>
      <c r="I132" s="31" t="str">
        <f>'Book Details - NO EDIT'!AI132</f>
        <v>Jacqueline Mary HERMAN (b. 4 Nov 1955, )</v>
      </c>
      <c r="J132" s="199" t="str">
        <f>'Book Details - NO EDIT'!AJ132</f>
        <v>09/07/.1983</v>
      </c>
      <c r="K132" s="31" t="str">
        <f>'Book Details - NO EDIT'!AK132</f>
        <v>Jacqueline only daughter of J HERMAN of Chase, British Columbia.</v>
      </c>
      <c r="L132" s="131" t="str">
        <f>'Book Details - NO EDIT'!AL132</f>
        <v>David lives in  Kelowna, British Columbia, Canada. Elder son of Norman (1913–2008: #86). Born 26 Jun 1952 in Kelowna, British Columbia. Baptised 5 Oct 1952 at St. Michael’s, Kelowna, British Columbia. Educated Kelowna and University of Victoria, British Columbia (BA History). Dip Ed. Issue: 1 son.</v>
      </c>
      <c r="M132" s="73" t="str">
        <f>'Book Details - NO EDIT'!AA132</f>
        <v xml:space="preserve">Peter (1913–2008: #86) Arthur (1890–1974: #71) Ted (1851–1922: #34) Thomas (1812–1857: #14) William (1770–1828: #4) William (1729–1800: #1)  </v>
      </c>
      <c r="N132" s="197" t="str">
        <f>'Book Details - NO EDIT'!AB132</f>
        <v xml:space="preserve">2 – Rona (1951–: #125)  Jim (1955–: #135)      </v>
      </c>
      <c r="O132" s="198" t="str">
        <f>'Book Details - NO EDIT'!AC132</f>
        <v>1 - Gareth (1988–: #166)</v>
      </c>
      <c r="P132" s="198" t="str">
        <f>'Book Details - NO EDIT'!AD132</f>
        <v>-</v>
      </c>
      <c r="Q132" s="191" t="str">
        <f>IF('Book Details - NO EDIT'!J132="",IF(R132=0,"Less than year on 1-Jul-2022",_xlfn.CONCAT("On 1-Jul-2022, age ",R132,'Book Details - NO EDIT'!J132)),IF(LEN(R132)=0,"Died in infancy",_xlfn.CONCAT("Died ",'Book Details - NO EDIT'!J132,","," aged ",R132)))</f>
        <v>On 1-Jul-2022, age 130</v>
      </c>
      <c r="R132" s="73">
        <f>'Book Details - NO EDIT'!AX132</f>
        <v>130</v>
      </c>
      <c r="S132" s="73" t="str">
        <f>'Book Details - NO EDIT'!AY132</f>
        <v>jdloyd1783@gmail.com</v>
      </c>
      <c r="T132" s="73" t="str">
        <f>'Book Details - NO EDIT'!AW132</f>
        <v>Canada</v>
      </c>
      <c r="U132" s="73">
        <f>VLOOKUP(A132,'Book Details - NO EDIT'!$A132:$S$192,13,FALSE)</f>
        <v>71</v>
      </c>
      <c r="V132" s="73">
        <f>VLOOKUP(A132,'Book Details - NO EDIT'!$A132:$S$192,12,FALSE)</f>
        <v>86</v>
      </c>
      <c r="X132" s="31">
        <f>IF(LEN('Book Details - NO EDIT'!J132)=0,0,1)</f>
        <v>0</v>
      </c>
    </row>
    <row r="133" spans="1:24" s="31" customFormat="1" ht="68">
      <c r="A133" s="125">
        <f>'Book Details - NO EDIT'!A133</f>
        <v>131</v>
      </c>
      <c r="B133" s="31" t="str">
        <f>'Book Details - NO EDIT'!Y133</f>
        <v>Dominic George Lewis LOYD</v>
      </c>
      <c r="C133" s="31" t="str">
        <f>'Book Details - NO EDIT'!V133</f>
        <v>Dominic (1953–)</v>
      </c>
      <c r="D133" s="199">
        <f>'Book Details - NO EDIT'!I133</f>
        <v>19435</v>
      </c>
      <c r="E133" s="31" t="str">
        <f>IF('Book Details - NO EDIT'!K133="Boy","Male","Female")</f>
        <v>Male</v>
      </c>
      <c r="F133" s="31" t="str">
        <f>IF('Book Details - NO EDIT'!T133=1,"First",IF('Book Details - NO EDIT'!T133=2,"Second",IF('Book Details - NO EDIT'!T133=3,"Third",IF('Book Details - NO EDIT'!T133=4,"Fourth",IF('Book Details - NO EDIT'!T133=5,"Fifth",IF('Book Details - NO EDIT'!T133=6,"Sixth",IF('Book Details - NO EDIT'!T133=7,"Seventh",IF('Book Details - NO EDIT'!T133=8,"Eighth",0))))))))</f>
        <v>Sixth</v>
      </c>
      <c r="G133" s="31" t="str">
        <f>'Book Details - NO EDIT'!Z133</f>
        <v>Alwyne (1920–2014: #94)</v>
      </c>
      <c r="H133" s="31" t="str">
        <f>'Book Details - NO EDIT'!AH133</f>
        <v>Alison Fraser PORTER (b. 21 Feb 1920, d. 6 Sep 2003)</v>
      </c>
      <c r="I133" s="31" t="str">
        <f>'Book Details - NO EDIT'!AI133</f>
        <v>Karina Lesley BOYCE (b. 22 Apr 1954, )</v>
      </c>
      <c r="J133" s="199">
        <f>'Book Details - NO EDIT'!AJ133</f>
        <v>27965</v>
      </c>
      <c r="K133" s="31" t="str">
        <f>'Book Details - NO EDIT'!AK133</f>
        <v>Married  at St James’s, Finchampstead, Berkshire, Karina Lesley, younger daughter of Ronald Ransome BOYCE (b. 1920, d. 1997) and Joy Willis (b, 1922, d. 2021) of Welton-by-Lincoln. Karina educated Gipsy Hill College, Kingston University (Cert Ed 1976, B.Ed. 1976).</v>
      </c>
      <c r="L133" s="131" t="str">
        <f>'Book Details - NO EDIT'!AL133</f>
        <v>Dominic lives in Boston, Lincolnshire and is the 3rd son of Alwyne (1920–2014: #94). Born 17 Mar 1953 at St George’s Wood, Haslemere, Surrey, baptised 25 Sep 1953 at St Deny’s, Sleaford, Lincolnshire by the Rev Brian BECKWORTH. Education: Fyfield School, Essex;  and Kingston University, Gipsy Hill College, (B Ed. 1975, Cert Ed 1975); and Roehampton University, (Dip Maths 1984). Career: Teacher, Eastwick Primary School, Great Bookham, Surrey 1975-79; Hammond Primary School, Bagshot, Surrey 1979-83; Deputy head teacher, Beaufort School, Woking, Surrey 1983-87; Head teacher, St Paul’s School, Addlestone, Surrey 1987-90; Headteacher, Tower Road School, Boston, Lincolnshire 1990-2014; Headteacher Consultant 2004-2006; NAHT President - Lincolnshire Branch 2008-2012. Freeman of Goldsmiths’ Company 1974. Issue: 3 sons. Co-editor "Loyd Who's Who" 2022 with his brother Rick (1962– : #142). Contact email: dominicloyd@btinternet.com</v>
      </c>
      <c r="M133" s="73" t="str">
        <f>'Book Details - NO EDIT'!AA133</f>
        <v xml:space="preserve">Alwyne (1920–2014: #94) Cecil (1890–1963: #68) Llewellyn (1861–1939: #45) Edward (1820–1890: #22) Edward (1780–1863: #8) William (1729–1800: #1)  </v>
      </c>
      <c r="N133" s="197" t="str">
        <f>'Book Details - NO EDIT'!AB133</f>
        <v xml:space="preserve">5 – Rob (1949–: #124) Paddy (1951–: #126)  Tim (1957–: #136) Alex (1959–: #139) Rick (1962–: #142)   </v>
      </c>
      <c r="O133" s="198" t="str">
        <f>'Book Details - NO EDIT'!AC133</f>
        <v>3 - John (1982–: #160); David (1984–: #162); Ben (1988–: #167)</v>
      </c>
      <c r="P133" s="198" t="str">
        <f>'Book Details - NO EDIT'!AD133</f>
        <v xml:space="preserve">4 - Olivia (2014–: #187); Archie (2017–: #188); Rory (2019–: #189); Daisy (2021–: #190)   </v>
      </c>
      <c r="Q133" s="191" t="str">
        <f>IF('Book Details - NO EDIT'!J133="",IF(R133=0,"Less than year on 1-Jul-2022",_xlfn.CONCAT("On 1-Jul-2022, age ",R133,'Book Details - NO EDIT'!J133)),IF(LEN(R133)=0,"Died in infancy",_xlfn.CONCAT("Died ",'Book Details - NO EDIT'!J133,","," aged ",R133)))</f>
        <v>On 1-Jul-2022, age 131</v>
      </c>
      <c r="R133" s="73">
        <f>'Book Details - NO EDIT'!AX133</f>
        <v>131</v>
      </c>
      <c r="S133" s="73" t="str">
        <f>'Book Details - NO EDIT'!AY133</f>
        <v>dominicloyd@btinternet.com</v>
      </c>
      <c r="T133" s="73" t="str">
        <f>'Book Details - NO EDIT'!AW133</f>
        <v>England</v>
      </c>
      <c r="U133" s="73">
        <f>VLOOKUP(A133,'Book Details - NO EDIT'!$A133:$S$192,13,FALSE)</f>
        <v>68</v>
      </c>
      <c r="V133" s="73">
        <f>VLOOKUP(A133,'Book Details - NO EDIT'!$A133:$S$192,12,FALSE)</f>
        <v>94</v>
      </c>
      <c r="X133" s="31">
        <f>IF(LEN('Book Details - NO EDIT'!J133)=0,0,1)</f>
        <v>0</v>
      </c>
    </row>
    <row r="134" spans="1:24" s="31" customFormat="1" ht="17">
      <c r="A134" s="125">
        <f>'Book Details - NO EDIT'!A134</f>
        <v>132</v>
      </c>
      <c r="B134" s="31" t="str">
        <f>'Book Details - NO EDIT'!Y134</f>
        <v>Penelope LOYD</v>
      </c>
      <c r="C134" s="31" t="str">
        <f>'Book Details - NO EDIT'!V134</f>
        <v>Penelope (1954–1954)</v>
      </c>
      <c r="D134" s="199">
        <f>'Book Details - NO EDIT'!I134</f>
        <v>19852</v>
      </c>
      <c r="E134" s="31" t="str">
        <f>IF('Book Details - NO EDIT'!K134="Boy","Male","Female")</f>
        <v>Male</v>
      </c>
      <c r="F134" s="31" t="str">
        <f>IF('Book Details - NO EDIT'!T134=1,"First",IF('Book Details - NO EDIT'!T134=2,"Second",IF('Book Details - NO EDIT'!T134=3,"Third",IF('Book Details - NO EDIT'!T134=4,"Fourth",IF('Book Details - NO EDIT'!T134=5,"Fifth",IF('Book Details - NO EDIT'!T134=6,"Sixth",IF('Book Details - NO EDIT'!T134=7,"Seventh",IF('Book Details - NO EDIT'!T134=8,"Eighth",0))))))))</f>
        <v>Sixth</v>
      </c>
      <c r="G134" s="31" t="str">
        <f>'Book Details - NO EDIT'!Z134</f>
        <v>Peter (1922–2022: #98)</v>
      </c>
      <c r="H134" s="31" t="str">
        <f>'Book Details - NO EDIT'!AH134</f>
        <v>Suzanne DUNCAN (b. 25 Aug 1928, )</v>
      </c>
      <c r="I134" s="31" t="str">
        <f>'Book Details - NO EDIT'!AI134</f>
        <v>Died in infancy.</v>
      </c>
      <c r="J134" s="199" t="str">
        <f>'Book Details - NO EDIT'!AJ134</f>
        <v xml:space="preserve"> - </v>
      </c>
      <c r="K134" s="31" t="str">
        <f>'Book Details - NO EDIT'!AK134</f>
        <v xml:space="preserve"> - </v>
      </c>
      <c r="L134" s="131" t="str">
        <f>'Book Details - NO EDIT'!AL134</f>
        <v>Penny was the 2nd daughter of Peter (1922–2022: #98). Born and baptised 8 May 1954. Died in infancy on 8 May 1954 at St. Mary’s Hospital, Portsmouth, Hampshire.</v>
      </c>
      <c r="M134" s="73" t="str">
        <f>'Book Details - NO EDIT'!AA134</f>
        <v xml:space="preserve">Peter (1922–2022: #98) Wilfrid (1893–1971: #77) Archie (1847–1922: #30) Thomas (1812–1857: #14) William (1770–1828: #4) William (1729–1800: #1)  </v>
      </c>
      <c r="N134" s="197" t="str">
        <f>'Book Details - NO EDIT'!AB134</f>
        <v xml:space="preserve">4 – Julie (1952–: #128)  William (1955–: #134) Tony (1963–: #145) Sophie (1969–: #154)    </v>
      </c>
      <c r="O134" s="198" t="str">
        <f>'Book Details - NO EDIT'!AC134</f>
        <v>d.s.p</v>
      </c>
      <c r="P134" s="198" t="str">
        <f>'Book Details - NO EDIT'!AD134</f>
        <v>d.s.p.</v>
      </c>
      <c r="Q134" s="191" t="str">
        <f>IF('Book Details - NO EDIT'!J134="",IF(R134=0,"Less than year on 1-Jul-2022",_xlfn.CONCAT("On 1-Jul-2022, age ",R134,'Book Details - NO EDIT'!J134)),IF(LEN(R134)=0,"Died in infancy",_xlfn.CONCAT("Died ",'Book Details - NO EDIT'!J134,","," aged ",R134)))</f>
        <v>Died 08/05/1954, aged 132</v>
      </c>
      <c r="R134" s="73">
        <f>'Book Details - NO EDIT'!AX134</f>
        <v>132</v>
      </c>
      <c r="S134" s="73" t="str">
        <f>'Book Details - NO EDIT'!AY134</f>
        <v xml:space="preserve"> - </v>
      </c>
      <c r="T134" s="73" t="str">
        <f>'Book Details - NO EDIT'!AW134</f>
        <v>England</v>
      </c>
      <c r="U134" s="73">
        <f>VLOOKUP(A134,'Book Details - NO EDIT'!$A134:$S$192,13,FALSE)</f>
        <v>77</v>
      </c>
      <c r="V134" s="73">
        <f>VLOOKUP(A134,'Book Details - NO EDIT'!$A134:$S$192,12,FALSE)</f>
        <v>98</v>
      </c>
      <c r="X134" s="31">
        <f>IF(LEN('Book Details - NO EDIT'!J134)=0,0,1)</f>
        <v>1</v>
      </c>
    </row>
    <row r="135" spans="1:24" s="31" customFormat="1" ht="34">
      <c r="A135" s="125">
        <f>'Book Details - NO EDIT'!A135</f>
        <v>133</v>
      </c>
      <c r="B135" s="31" t="str">
        <f>'Book Details - NO EDIT'!Y135</f>
        <v>Jeremy Charles Haig LOYD</v>
      </c>
      <c r="C135" s="31" t="str">
        <f>'Book Details - NO EDIT'!V135</f>
        <v>Jeremy (1954–)</v>
      </c>
      <c r="D135" s="199">
        <f>'Book Details - NO EDIT'!I135</f>
        <v>19909</v>
      </c>
      <c r="E135" s="31" t="str">
        <f>IF('Book Details - NO EDIT'!K135="Boy","Male","Female")</f>
        <v>Male</v>
      </c>
      <c r="F135" s="31" t="str">
        <f>IF('Book Details - NO EDIT'!T135=1,"First",IF('Book Details - NO EDIT'!T135=2,"Second",IF('Book Details - NO EDIT'!T135=3,"Third",IF('Book Details - NO EDIT'!T135=4,"Fourth",IF('Book Details - NO EDIT'!T135=5,"Fifth",IF('Book Details - NO EDIT'!T135=6,"Sixth",IF('Book Details - NO EDIT'!T135=7,"Seventh",IF('Book Details - NO EDIT'!T135=8,"Eighth",0))))))))</f>
        <v>Sixth</v>
      </c>
      <c r="G135" s="31" t="str">
        <f>'Book Details - NO EDIT'!Z135</f>
        <v>Geoffrey (1926–2018: #105)</v>
      </c>
      <c r="H135" s="31" t="str">
        <f>'Book Details - NO EDIT'!AH135</f>
        <v>Patricia Mary MACLEAN (b. 11 Feb 1929, )</v>
      </c>
      <c r="I135" s="31" t="str">
        <f>'Book Details - NO EDIT'!AI135</f>
        <v xml:space="preserve">(1) Mrs. Sally Irene LLOYD (b. 17 Dec 1946, d. 19 Aug 2006). </v>
      </c>
      <c r="J135" s="199" t="str">
        <f>'Book Details - NO EDIT'!AJ135</f>
        <v xml:space="preserve"> 06/10/1983</v>
      </c>
      <c r="K135" s="31" t="str">
        <f>'Book Details - NO EDIT'!AK135</f>
        <v xml:space="preserve">(1) Married Sally, 6 Oct 1983, at Chelsea Registry Office, only daughter of Duncan ROBERTSON of Phoenix House, Beadlam, Nawton, North Yorkshire. (2) Married Anne Margaret FLETCHER (b. 26 May 1967, ) on 11 Jan 2009, at Davaar, Te Anau, New Zealand. youngest daughter of Ian and Margaret FLECTHER of Otatara, Invercargill, New Zealand.
</v>
      </c>
      <c r="L135" s="131" t="str">
        <f>'Book Details - NO EDIT'!AL135</f>
        <v>Jeremy lives in London and is the younger son of Geoffrey (1926–2018: #105). Baptised Aug 1954 at St Peter’s, Seaview, Isle of Wight. Educated Nautical College, Pangbourne. Career: Account Exec, Michael Rice 1974-79; Dir, RTI Productions 1976-89; Dir, Project Art from 1978; Operations Dir, Capital Radio 1986-90; First Oxfordshire (Fox) Radio from 1988; MD Capital Radio 1990-99;. Dir, Carlton Television 1992-94; CEO Pickwick Group 1994-96; Dep Ch, Blackwell Group 1996-99; Dir, Hamdon Entertainment USA from 1996.</v>
      </c>
      <c r="M135" s="73" t="str">
        <f>'Book Details - NO EDIT'!AA135</f>
        <v xml:space="preserve">Geoffrey (1926–2018: #105) Wilfrid (1893–1971: #77) Archie (1847–1922: #30) Thomas (1812–1857: #14) William (1770–1828: #4) William (1729–1800: #1)  </v>
      </c>
      <c r="N135" s="197" t="str">
        <f>'Book Details - NO EDIT'!AB135</f>
        <v xml:space="preserve">1 – Martin (1949–: #122)        </v>
      </c>
      <c r="O135" s="198" t="str">
        <f>'Book Details - NO EDIT'!AC135</f>
        <v/>
      </c>
      <c r="P135" s="198" t="str">
        <f>'Book Details - NO EDIT'!AD135</f>
        <v>-</v>
      </c>
      <c r="Q135" s="191" t="str">
        <f>IF('Book Details - NO EDIT'!J135="",IF(R135=0,"Less than year on 1-Jul-2022",_xlfn.CONCAT("On 1-Jul-2022, age ",R135,'Book Details - NO EDIT'!J135)),IF(LEN(R135)=0,"Died in infancy",_xlfn.CONCAT("Died ",'Book Details - NO EDIT'!J135,","," aged ",R135)))</f>
        <v>On 1-Jul-2022, age 133</v>
      </c>
      <c r="R135" s="73">
        <f>'Book Details - NO EDIT'!AX135</f>
        <v>133</v>
      </c>
      <c r="S135" s="73" t="str">
        <f>'Book Details - NO EDIT'!AY135</f>
        <v>jeremyloyd@hotmail.com</v>
      </c>
      <c r="T135" s="73" t="str">
        <f>'Book Details - NO EDIT'!AW135</f>
        <v>England and USA</v>
      </c>
      <c r="U135" s="73">
        <f>VLOOKUP(A135,'Book Details - NO EDIT'!$A135:$S$192,13,FALSE)</f>
        <v>77</v>
      </c>
      <c r="V135" s="73">
        <f>VLOOKUP(A135,'Book Details - NO EDIT'!$A135:$S$192,12,FALSE)</f>
        <v>105</v>
      </c>
      <c r="X135" s="31">
        <f>IF(LEN('Book Details - NO EDIT'!J135)=0,0,1)</f>
        <v>0</v>
      </c>
    </row>
    <row r="136" spans="1:24" s="31" customFormat="1" ht="17">
      <c r="A136" s="125">
        <f>'Book Details - NO EDIT'!A136</f>
        <v>134</v>
      </c>
      <c r="B136" s="31" t="str">
        <f>'Book Details - NO EDIT'!Y136</f>
        <v>William Haig LOYD</v>
      </c>
      <c r="C136" s="31" t="str">
        <f>'Book Details - NO EDIT'!V136</f>
        <v>William (1955–)</v>
      </c>
      <c r="D136" s="199">
        <f>'Book Details - NO EDIT'!I136</f>
        <v>20246</v>
      </c>
      <c r="E136" s="31" t="str">
        <f>IF('Book Details - NO EDIT'!K136="Boy","Male","Female")</f>
        <v>Male</v>
      </c>
      <c r="F136" s="31" t="str">
        <f>IF('Book Details - NO EDIT'!T136=1,"First",IF('Book Details - NO EDIT'!T136=2,"Second",IF('Book Details - NO EDIT'!T136=3,"Third",IF('Book Details - NO EDIT'!T136=4,"Fourth",IF('Book Details - NO EDIT'!T136=5,"Fifth",IF('Book Details - NO EDIT'!T136=6,"Sixth",IF('Book Details - NO EDIT'!T136=7,"Seventh",IF('Book Details - NO EDIT'!T136=8,"Eighth",0))))))))</f>
        <v>Sixth</v>
      </c>
      <c r="G136" s="31" t="str">
        <f>'Book Details - NO EDIT'!Z136</f>
        <v>Peter (1922–2022: #98)</v>
      </c>
      <c r="H136" s="31" t="str">
        <f>'Book Details - NO EDIT'!AH136</f>
        <v>Suzanne DUNCAN (b. 25 Aug 1928, )</v>
      </c>
      <c r="I136" s="31" t="str">
        <f>'Book Details - NO EDIT'!AI136</f>
        <v>Unmarried</v>
      </c>
      <c r="J136" s="199" t="str">
        <f>'Book Details - NO EDIT'!AJ136</f>
        <v xml:space="preserve"> - </v>
      </c>
      <c r="K136" s="31" t="str">
        <f>'Book Details - NO EDIT'!AK136</f>
        <v xml:space="preserve"> - </v>
      </c>
      <c r="L136" s="131" t="str">
        <f>'Book Details - NO EDIT'!AL136</f>
        <v>William lives in Taunton, Somerset. Elder Son of Peter (1922–2022: #98). Born 6 Jun 1955. Baptised 17 Sep 1955 at St Mary’s, South Hayling, Hampshire. Career: Hydrographic Office, Ministry of Defence (Navy) 1972-2015 (Retired after 43 years service).</v>
      </c>
      <c r="M136" s="73" t="str">
        <f>'Book Details - NO EDIT'!AA136</f>
        <v xml:space="preserve">Peter (1922–2022: #98) Wilfrid (1893–1971: #77) Archie (1847–1922: #30) Thomas (1812–1857: #14) William (1770–1828: #4) William (1729–1800: #1)  </v>
      </c>
      <c r="N136" s="197" t="str">
        <f>'Book Details - NO EDIT'!AB136</f>
        <v xml:space="preserve">4 – Julie (1952–: #128) Penelope (1954–1954: #132)  Tony (1963–: #145) Sophie (1969–: #154)    </v>
      </c>
      <c r="O136" s="198" t="str">
        <f>'Book Details - NO EDIT'!AC136</f>
        <v/>
      </c>
      <c r="P136" s="198" t="str">
        <f>'Book Details - NO EDIT'!AD136</f>
        <v>-</v>
      </c>
      <c r="Q136" s="191" t="str">
        <f>IF('Book Details - NO EDIT'!J136="",IF(R136=0,"Less than year on 1-Jul-2022",_xlfn.CONCAT("On 1-Jul-2022, age ",R136,'Book Details - NO EDIT'!J136)),IF(LEN(R136)=0,"Died in infancy",_xlfn.CONCAT("Died ",'Book Details - NO EDIT'!J136,","," aged ",R136)))</f>
        <v>On 1-Jul-2022, age 134</v>
      </c>
      <c r="R136" s="73">
        <f>'Book Details - NO EDIT'!AX136</f>
        <v>134</v>
      </c>
      <c r="S136" s="73" t="str">
        <f>'Book Details - NO EDIT'!AY136</f>
        <v>rosemaryloyd@gmail.com</v>
      </c>
      <c r="T136" s="73" t="str">
        <f>'Book Details - NO EDIT'!AW136</f>
        <v>England</v>
      </c>
      <c r="U136" s="73">
        <f>VLOOKUP(A136,'Book Details - NO EDIT'!$A136:$S$192,13,FALSE)</f>
        <v>77</v>
      </c>
      <c r="V136" s="73">
        <f>VLOOKUP(A136,'Book Details - NO EDIT'!$A136:$S$192,12,FALSE)</f>
        <v>98</v>
      </c>
      <c r="X136" s="31">
        <f>IF(LEN('Book Details - NO EDIT'!J136)=0,0,1)</f>
        <v>0</v>
      </c>
    </row>
    <row r="137" spans="1:24" s="31" customFormat="1" ht="34">
      <c r="A137" s="125">
        <f>'Book Details - NO EDIT'!A137</f>
        <v>135</v>
      </c>
      <c r="B137" s="31" t="str">
        <f>'Book Details - NO EDIT'!Y137</f>
        <v>James Edward LOYD</v>
      </c>
      <c r="C137" s="31" t="str">
        <f>'Book Details - NO EDIT'!V137</f>
        <v>Jim (1955–)</v>
      </c>
      <c r="D137" s="199">
        <f>'Book Details - NO EDIT'!I137</f>
        <v>20324</v>
      </c>
      <c r="E137" s="31" t="str">
        <f>IF('Book Details - NO EDIT'!K137="Boy","Male","Female")</f>
        <v>Male</v>
      </c>
      <c r="F137" s="31" t="str">
        <f>IF('Book Details - NO EDIT'!T137=1,"First",IF('Book Details - NO EDIT'!T137=2,"Second",IF('Book Details - NO EDIT'!T137=3,"Third",IF('Book Details - NO EDIT'!T137=4,"Fourth",IF('Book Details - NO EDIT'!T137=5,"Fifth",IF('Book Details - NO EDIT'!T137=6,"Sixth",IF('Book Details - NO EDIT'!T137=7,"Seventh",IF('Book Details - NO EDIT'!T137=8,"Eighth",0))))))))</f>
        <v>Sixth</v>
      </c>
      <c r="G137" s="31" t="str">
        <f>'Book Details - NO EDIT'!Z137</f>
        <v>Peter (1913–2008: #86)</v>
      </c>
      <c r="H137" s="31" t="str">
        <f>'Book Details - NO EDIT'!AH137</f>
        <v xml:space="preserve">Anne SMITHELLS (b. 12 Mar 1921, d. 3 Aug 2010) </v>
      </c>
      <c r="I137" s="31" t="str">
        <f>'Book Details - NO EDIT'!AI137</f>
        <v>Brenda POW (b. 23 Aug 1964, )</v>
      </c>
      <c r="J137" s="199">
        <f>'Book Details - NO EDIT'!AJ137</f>
        <v>33348</v>
      </c>
      <c r="K137" s="31" t="str">
        <f>'Book Details - NO EDIT'!AK137</f>
        <v>Brenda daughter of Ernest POW of Revelstoke, British Columbia.</v>
      </c>
      <c r="L137" s="131" t="str">
        <f>'Book Details - NO EDIT'!AL137</f>
        <v>Jim lives in Kelowna, British Columbia, Canada and is the younger son of Norman (1913–2008: #86). Born 23 Aug 1955 at Kelowna, British Columbia. Baptised 5 Apr 1956 at St Mary’s, Oyama, British Columbia. Educated Kelowna. Career: Professional Ski Instructor and Resort Sales Director. Issue: 2 sons.</v>
      </c>
      <c r="M137" s="73" t="str">
        <f>'Book Details - NO EDIT'!AA137</f>
        <v xml:space="preserve">Peter (1913–2008: #86) Arthur (1890–1974: #71) Ted (1851–1922: #34) Thomas (1812–1857: #14) William (1770–1828: #4) William (1729–1800: #1)  </v>
      </c>
      <c r="N137" s="197" t="str">
        <f>'Book Details - NO EDIT'!AB137</f>
        <v xml:space="preserve">2 – Rona (1951–: #125) David (1952–: #130)       </v>
      </c>
      <c r="O137" s="198" t="str">
        <f>'Book Details - NO EDIT'!AC137</f>
        <v>2 - Curtis (1992–: #173); Spencer (1995–: #177)</v>
      </c>
      <c r="P137" s="198" t="str">
        <f>'Book Details - NO EDIT'!AD137</f>
        <v>-</v>
      </c>
      <c r="Q137" s="191" t="str">
        <f>IF('Book Details - NO EDIT'!J137="",IF(R137=0,"Less than year on 1-Jul-2022",_xlfn.CONCAT("On 1-Jul-2022, age ",R137,'Book Details - NO EDIT'!J137)),IF(LEN(R137)=0,"Died in infancy",_xlfn.CONCAT("Died ",'Book Details - NO EDIT'!J137,","," aged ",R137)))</f>
        <v>On 1-Jul-2022, age 135</v>
      </c>
      <c r="R137" s="73">
        <f>'Book Details - NO EDIT'!AX137</f>
        <v>135</v>
      </c>
      <c r="S137" s="73" t="str">
        <f>'Book Details - NO EDIT'!AY137</f>
        <v>jimbrendaloyd1@gmail.com</v>
      </c>
      <c r="T137" s="73" t="str">
        <f>'Book Details - NO EDIT'!AW137</f>
        <v>Canada</v>
      </c>
      <c r="U137" s="73">
        <f>VLOOKUP(A137,'Book Details - NO EDIT'!$A137:$S$192,13,FALSE)</f>
        <v>71</v>
      </c>
      <c r="V137" s="73">
        <f>VLOOKUP(A137,'Book Details - NO EDIT'!$A137:$S$192,12,FALSE)</f>
        <v>86</v>
      </c>
      <c r="X137" s="31">
        <f>IF(LEN('Book Details - NO EDIT'!J137)=0,0,1)</f>
        <v>0</v>
      </c>
    </row>
    <row r="138" spans="1:24" s="31" customFormat="1" ht="19" customHeight="1">
      <c r="A138" s="125">
        <f>'Book Details - NO EDIT'!A138</f>
        <v>136</v>
      </c>
      <c r="B138" s="31" t="str">
        <f>'Book Details - NO EDIT'!Y138</f>
        <v>Timothy Bryan Porter LOYD</v>
      </c>
      <c r="C138" s="31" t="str">
        <f>'Book Details - NO EDIT'!V138</f>
        <v>Tim (1957–)</v>
      </c>
      <c r="D138" s="199">
        <f>'Book Details - NO EDIT'!I138</f>
        <v>20975</v>
      </c>
      <c r="E138" s="31" t="str">
        <f>IF('Book Details - NO EDIT'!K138="Boy","Male","Female")</f>
        <v>Male</v>
      </c>
      <c r="F138" s="31" t="str">
        <f>IF('Book Details - NO EDIT'!T138=1,"First",IF('Book Details - NO EDIT'!T138=2,"Second",IF('Book Details - NO EDIT'!T138=3,"Third",IF('Book Details - NO EDIT'!T138=4,"Fourth",IF('Book Details - NO EDIT'!T138=5,"Fifth",IF('Book Details - NO EDIT'!T138=6,"Sixth",IF('Book Details - NO EDIT'!T138=7,"Seventh",IF('Book Details - NO EDIT'!T138=8,"Eighth",0))))))))</f>
        <v>Sixth</v>
      </c>
      <c r="G138" s="31" t="str">
        <f>'Book Details - NO EDIT'!Z138</f>
        <v>Alwyne (1920–2014: #94)</v>
      </c>
      <c r="H138" s="31" t="str">
        <f>'Book Details - NO EDIT'!AH138</f>
        <v>Alison Fraser PORTER (b. 21 Feb 1920, d. 6 Sep 2003)</v>
      </c>
      <c r="I138" s="31" t="str">
        <f>'Book Details - NO EDIT'!AI138</f>
        <v>Cherry Margaret CORMACK (b 18 Sep 1956, )</v>
      </c>
      <c r="J138" s="199">
        <f>'Book Details - NO EDIT'!AJ138</f>
        <v>29715</v>
      </c>
      <c r="K138" s="31" t="str">
        <f>'Book Details - NO EDIT'!AK138</f>
        <v>Married at St Michael &amp; All Angels’, Beaconsfield, Cherry elder daughter of Alan &amp; Margaret CORMACK of Beaconsfield in Buckinghamshire. Educated UMIST (BSc Hons European Studies 1979) and Southampton University (PGCE 1982).</v>
      </c>
      <c r="L138" s="131" t="str">
        <f>'Book Details - NO EDIT'!AL138</f>
        <v xml:space="preserve">Tim lives in Perthshire, Scotland, previously of Iffley Road, Oxford and is the 4th son of Alwyne (1920–2014: #94). Born  4 Jun 1957 at Burton-on-Trent Maternity Home. Baptised 29 Sep 1957 at St Aiden’s, Shobnall, Burton-on-Trent by the Rev Harold SPRIGGS. Education:  Manchester (BA Econ Hons. 1978) and Warwick (Cert Bus Admin 1988). Freeman of Goldsmiths’ Company 1978. Issue: 3 daughters. </v>
      </c>
      <c r="M138" s="73" t="str">
        <f>'Book Details - NO EDIT'!AA138</f>
        <v xml:space="preserve">Alwyne (1920–2014: #94) Cecil (1890–1963: #68) Llewellyn (1861–1939: #45) Edward (1820–1890: #22) Edward (1780–1863: #8) William (1729–1800: #1)  </v>
      </c>
      <c r="N138" s="197" t="str">
        <f>'Book Details - NO EDIT'!AB138</f>
        <v xml:space="preserve">5 – Rob (1949–: #124) Paddy (1951–: #126) Dominic (1953–: #131)  Alex (1959–: #139) Rick (1962–: #142)   </v>
      </c>
      <c r="O138" s="198" t="str">
        <f>'Book Details - NO EDIT'!AC138</f>
        <v>3 - Poppy (1984–: #164); Rose (1986–: #165); Florina (1991–: #172)</v>
      </c>
      <c r="P138" s="198" t="str">
        <f>'Book Details - NO EDIT'!AD138</f>
        <v xml:space="preserve">5 -    Freddie LEASK (2016 - :  #164a) Hamish LEASK (2018 - :  #164b) Otto LEASK (2020 - :  #164c) Leila PURI (2017 - :  #165a) Alana PURI (2019 - :  #165b)          </v>
      </c>
      <c r="Q138" s="191" t="str">
        <f>IF('Book Details - NO EDIT'!J138="",IF(R138=0,"Less than year on 1-Jul-2022",_xlfn.CONCAT("On 1-Jul-2022, age ",R138,'Book Details - NO EDIT'!J138)),IF(LEN(R138)=0,"Died in infancy",_xlfn.CONCAT("Died ",'Book Details - NO EDIT'!J138,","," aged ",R138)))</f>
        <v>On 1-Jul-2022, age 136</v>
      </c>
      <c r="R138" s="73">
        <f>'Book Details - NO EDIT'!AX138</f>
        <v>136</v>
      </c>
      <c r="S138" s="73" t="str">
        <f>'Book Details - NO EDIT'!AY138</f>
        <v>tim.loyd@btinternet.com</v>
      </c>
      <c r="T138" s="73" t="str">
        <f>'Book Details - NO EDIT'!AW138</f>
        <v>England &amp; Scotland</v>
      </c>
      <c r="U138" s="73">
        <f>VLOOKUP(A138,'Book Details - NO EDIT'!$A138:$S$192,13,FALSE)</f>
        <v>68</v>
      </c>
      <c r="V138" s="73">
        <f>VLOOKUP(A138,'Book Details - NO EDIT'!$A138:$S$192,12,FALSE)</f>
        <v>94</v>
      </c>
      <c r="X138" s="31">
        <f>IF(LEN('Book Details - NO EDIT'!J138)=0,0,1)</f>
        <v>0</v>
      </c>
    </row>
    <row r="139" spans="1:24" s="31" customFormat="1" ht="34">
      <c r="A139" s="125">
        <f>'Book Details - NO EDIT'!A139</f>
        <v>137</v>
      </c>
      <c r="B139" s="31" t="str">
        <f>'Book Details - NO EDIT'!Y139</f>
        <v>Henrietta Jane Rachel LOYD</v>
      </c>
      <c r="C139" s="31" t="str">
        <f>'Book Details - NO EDIT'!V139</f>
        <v>Henrietta (1959–)</v>
      </c>
      <c r="D139" s="199">
        <f>'Book Details - NO EDIT'!I139</f>
        <v>21581</v>
      </c>
      <c r="E139" s="31" t="str">
        <f>IF('Book Details - NO EDIT'!K139="Boy","Male","Female")</f>
        <v>Female</v>
      </c>
      <c r="F139" s="31" t="str">
        <f>IF('Book Details - NO EDIT'!T139=1,"First",IF('Book Details - NO EDIT'!T139=2,"Second",IF('Book Details - NO EDIT'!T139=3,"Third",IF('Book Details - NO EDIT'!T139=4,"Fourth",IF('Book Details - NO EDIT'!T139=5,"Fifth",IF('Book Details - NO EDIT'!T139=6,"Sixth",IF('Book Details - NO EDIT'!T139=7,"Seventh",IF('Book Details - NO EDIT'!T139=8,"Eighth",0))))))))</f>
        <v>Sixth</v>
      </c>
      <c r="G139" s="31" t="str">
        <f>'Book Details - NO EDIT'!Z139</f>
        <v>Peter (1923–1974: #99)</v>
      </c>
      <c r="H139" s="31" t="str">
        <f>'Book Details - NO EDIT'!AH139</f>
        <v>Sally Elizabeth Jane INGLIS (b. 18 Jan 1931, d. 27 Aug 2020)</v>
      </c>
      <c r="I139" s="31" t="str">
        <f>'Book Details - NO EDIT'!AI139</f>
        <v>Adrian GELL (b. 11 Mar 1960, )</v>
      </c>
      <c r="J139" s="199">
        <f>'Book Details - NO EDIT'!AJ139</f>
        <v>34853</v>
      </c>
      <c r="K139" s="31" t="str">
        <f>'Book Details - NO EDIT'!AK139</f>
        <v>Married at St Andrew’s, Kelso, Roxburghshire, Adrian elder son of Anthony GELL of Enville, Worcestershire.</v>
      </c>
      <c r="L139" s="131" t="str">
        <f>'Book Details - NO EDIT'!AL139</f>
        <v>Henrietta lives in West London  and is the only daughter of Peter (1923–1974: #99). Born 31 Jan 1959 at 27 Welbeck Street, London W1. Baptised at St Peter’s, Eaton Square, London SW1. Education: Hatherop Castle, Cirencester, Gloucestershire 1971-77.  Career: Director, Cazenove &amp; Loyd Safaris from 1993. Issue: 1 daughter</v>
      </c>
      <c r="M139" s="73" t="str">
        <f>'Book Details - NO EDIT'!AA139</f>
        <v xml:space="preserve">Peter (1923–1974: #99) William (1889–1947: #66) Harry (1861–1938: #44) William (1821–1885: #23) Edward (1780–1863: #8) William (1729–1800: #1)  </v>
      </c>
      <c r="N139" s="197" t="str">
        <f>'Book Details - NO EDIT'!AB139</f>
        <v xml:space="preserve">1 – Andrew (1962–: #144)       </v>
      </c>
      <c r="O139" s="198" t="str">
        <f>'Book Details - NO EDIT'!AC139</f>
        <v xml:space="preserve">1 - Honor GELL (1998 - : #137a)       </v>
      </c>
      <c r="P139" s="198" t="str">
        <f>'Book Details - NO EDIT'!AD139</f>
        <v>-</v>
      </c>
      <c r="Q139" s="191" t="str">
        <f>IF('Book Details - NO EDIT'!J139="",IF(R139=0,"Less than year on 1-Jul-2022",_xlfn.CONCAT("On 1-Jul-2022, age ",R139,'Book Details - NO EDIT'!J139)),IF(LEN(R139)=0,"Died in infancy",_xlfn.CONCAT("Died ",'Book Details - NO EDIT'!J139,","," aged ",R139)))</f>
        <v>On 1-Jul-2022, age 137</v>
      </c>
      <c r="R139" s="73">
        <f>'Book Details - NO EDIT'!AX139</f>
        <v>137</v>
      </c>
      <c r="S139" s="73" t="str">
        <f>'Book Details - NO EDIT'!AY139</f>
        <v xml:space="preserve">henrietta@cazloyd.com </v>
      </c>
      <c r="T139" s="73" t="str">
        <f>'Book Details - NO EDIT'!AW139</f>
        <v>England</v>
      </c>
      <c r="U139" s="73">
        <f>VLOOKUP(A139,'Book Details - NO EDIT'!$A139:$S$192,13,FALSE)</f>
        <v>66</v>
      </c>
      <c r="V139" s="73">
        <f>VLOOKUP(A139,'Book Details - NO EDIT'!$A139:$S$192,12,FALSE)</f>
        <v>99</v>
      </c>
      <c r="X139" s="31">
        <f>IF(LEN('Book Details - NO EDIT'!J139)=0,0,1)</f>
        <v>0</v>
      </c>
    </row>
    <row r="140" spans="1:24" s="31" customFormat="1" ht="17">
      <c r="A140" s="125">
        <f>'Book Details - NO EDIT'!A140</f>
        <v>138</v>
      </c>
      <c r="B140" s="31" t="str">
        <f>'Book Details - NO EDIT'!Y140</f>
        <v>Thomas Christopher LOYD</v>
      </c>
      <c r="C140" s="31" t="str">
        <f>'Book Details - NO EDIT'!V140</f>
        <v>Thomas (1959–)</v>
      </c>
      <c r="D140" s="199">
        <f>'Book Details - NO EDIT'!I140</f>
        <v>21602</v>
      </c>
      <c r="E140" s="31" t="str">
        <f>IF('Book Details - NO EDIT'!K140="Boy","Male","Female")</f>
        <v>Male</v>
      </c>
      <c r="F140" s="31" t="str">
        <f>IF('Book Details - NO EDIT'!T140=1,"First",IF('Book Details - NO EDIT'!T140=2,"Second",IF('Book Details - NO EDIT'!T140=3,"Third",IF('Book Details - NO EDIT'!T140=4,"Fourth",IF('Book Details - NO EDIT'!T140=5,"Fifth",IF('Book Details - NO EDIT'!T140=6,"Sixth",IF('Book Details - NO EDIT'!T140=7,"Seventh",IF('Book Details - NO EDIT'!T140=8,"Eighth",0))))))))</f>
        <v>Sixth</v>
      </c>
      <c r="G140" s="31" t="str">
        <f>'Book Details - NO EDIT'!Z140</f>
        <v>Christopher (1923–2013: #100)</v>
      </c>
      <c r="H140" s="31" t="str">
        <f>'Book Details - NO EDIT'!AH140</f>
        <v>Joanna SMITH-BINGHAM (b. 17 Nov 1935, )</v>
      </c>
      <c r="I140" s="31" t="str">
        <f>'Book Details - NO EDIT'!AI140</f>
        <v xml:space="preserve">Kirsten Mary WROUGHTON (b. 12 Dec 1959, ). </v>
      </c>
      <c r="J140" s="199">
        <f>'Book Details - NO EDIT'!AJ140</f>
        <v>31031</v>
      </c>
      <c r="K140" s="31" t="str">
        <f>'Book Details - NO EDIT'!AK140</f>
        <v>Married Kirsten at St Mary the Virgin, Fawley, Nr Wantage,  elder daughter of Philip WROUGHTON of Woolley Park, Wantage, Oxfordshire. (2) Married Alexandra Leese MUIR (b. 1959,) on 4 Oct 2006.</v>
      </c>
      <c r="L140" s="131" t="str">
        <f>'Book Details - NO EDIT'!AL140</f>
        <v xml:space="preserve">Thomas lives in Lockinge, nr Wantage, Oxfordshire. Elder son of Christopher (1923–2013:  #100). Born 21 Feb 1959. Baptised at All Saints’, Lockinge. Educated Harrow. </v>
      </c>
      <c r="M140" s="73" t="str">
        <f>'Book Details - NO EDIT'!AA140</f>
        <v xml:space="preserve">Christopher (1923–2013: #100) Tommy (1882–1944: #56) The Rev Lewis (1844–1905: #28) Thomas (1812–1857: #14) William (1770–1828: #4) William (1729–1800: #1)  </v>
      </c>
      <c r="N140" s="197" t="str">
        <f>'Book Details - NO EDIT'!AB140</f>
        <v xml:space="preserve">2 – Harriet (1962–: #143) James (1966–: #150)      </v>
      </c>
      <c r="O140" s="198" t="str">
        <f>'Book Details - NO EDIT'!AC140</f>
        <v>3 - Camilla (1988–: #168); Sophie (1989–: #170); Kit (1993–: #175)</v>
      </c>
      <c r="P140" s="198" t="str">
        <f>'Book Details - NO EDIT'!AD140</f>
        <v xml:space="preserve">3 -    Nicholas POWELL (2020 - :  #168a) Florence POWELL  (2022 - :  #168b) Angus POWELL (2021 - :  #170a)            </v>
      </c>
      <c r="Q140" s="191" t="str">
        <f>IF('Book Details - NO EDIT'!J140="",IF(R140=0,"Less than year on 1-Jul-2022",_xlfn.CONCAT("On 1-Jul-2022, age ",R140,'Book Details - NO EDIT'!J140)),IF(LEN(R140)=0,"Died in infancy",_xlfn.CONCAT("Died ",'Book Details - NO EDIT'!J140,","," aged ",R140)))</f>
        <v>On 1-Jul-2022, age 138</v>
      </c>
      <c r="R140" s="73">
        <f>'Book Details - NO EDIT'!AX140</f>
        <v>138</v>
      </c>
      <c r="S140" s="73" t="str">
        <f>'Book Details - NO EDIT'!AY140</f>
        <v>tloyd@lockinge-estate.co.uk</v>
      </c>
      <c r="T140" s="73" t="str">
        <f>'Book Details - NO EDIT'!AW140</f>
        <v>England</v>
      </c>
      <c r="U140" s="73">
        <f>VLOOKUP(A140,'Book Details - NO EDIT'!$A140:$S$192,13,FALSE)</f>
        <v>56</v>
      </c>
      <c r="V140" s="73">
        <f>VLOOKUP(A140,'Book Details - NO EDIT'!$A140:$S$192,12,FALSE)</f>
        <v>100</v>
      </c>
      <c r="X140" s="31">
        <f>IF(LEN('Book Details - NO EDIT'!J140)=0,0,1)</f>
        <v>0</v>
      </c>
    </row>
    <row r="141" spans="1:24" s="31" customFormat="1" ht="68">
      <c r="A141" s="125">
        <f>'Book Details - NO EDIT'!A141</f>
        <v>139</v>
      </c>
      <c r="B141" s="31" t="str">
        <f>'Book Details - NO EDIT'!Y141</f>
        <v>Alexander Benjamin Eteson LOYD</v>
      </c>
      <c r="C141" s="31" t="str">
        <f>'Book Details - NO EDIT'!V141</f>
        <v>Alex (1959–)</v>
      </c>
      <c r="D141" s="199">
        <f>'Book Details - NO EDIT'!I141</f>
        <v>21628</v>
      </c>
      <c r="E141" s="31" t="str">
        <f>IF('Book Details - NO EDIT'!K141="Boy","Male","Female")</f>
        <v>Male</v>
      </c>
      <c r="F141" s="31" t="str">
        <f>IF('Book Details - NO EDIT'!T141=1,"First",IF('Book Details - NO EDIT'!T141=2,"Second",IF('Book Details - NO EDIT'!T141=3,"Third",IF('Book Details - NO EDIT'!T141=4,"Fourth",IF('Book Details - NO EDIT'!T141=5,"Fifth",IF('Book Details - NO EDIT'!T141=6,"Sixth",IF('Book Details - NO EDIT'!T141=7,"Seventh",IF('Book Details - NO EDIT'!T141=8,"Eighth",0))))))))</f>
        <v>Sixth</v>
      </c>
      <c r="G141" s="31" t="str">
        <f>'Book Details - NO EDIT'!Z141</f>
        <v>Alwyne (1920–2014: #94)</v>
      </c>
      <c r="H141" s="31" t="str">
        <f>'Book Details - NO EDIT'!AH141</f>
        <v>Alison Fraser PORTER (b. 21 Feb 1920, d. 6 Sep 2003)</v>
      </c>
      <c r="I141" s="31" t="str">
        <f>'Book Details - NO EDIT'!AI141</f>
        <v>Magdalene Mary (Dalene) McSHANE (b. 22 Jul 1956, )</v>
      </c>
      <c r="J141" s="199">
        <f>'Book Details - NO EDIT'!AJ141</f>
        <v>35423</v>
      </c>
      <c r="K141" s="31" t="str">
        <f>'Book Details - NO EDIT'!AK141</f>
        <v>Married at Kings Park, Perth, Western Australia, Dalene, youngest daughter of James Patrick (b. 1912, d. 1988) and Frances McSHANE of Clounden, Co. Durham. Education BA(Hons) Sociology &amp; Social Policy; Post Grad Qualification in Social Work; MA Sociology; MEd in Higher Education and PhD in Sociological Concepts.</v>
      </c>
      <c r="L141" s="131" t="str">
        <f>'Book Details - NO EDIT'!AL141</f>
        <v xml:space="preserve">Alex lives in Banham, Norfolk, previously of North London and is the 5th son of Alwyne (1920–2014: #94). Born 19 Mar 1959 at Burton-on-Trent Infirmary. Baptised 17 May 1959 at St Aiden’s, Shobnall, Burton-on-Trent by the Rev Harold SPRIGGS.  Career: Marine Engineer, Royal Navy 1978-1987; Building Administrator, Data Logic 1987-92; Facilities Manager, Chesterton/Workplace Management from 1992–2014; from 2015, Owner and proprietor, Olde Farm Holiday Cottages. Freeman of Goldsmiths’ Company 1981. Assc BIFM 1990. Alex holds a NEBOSH certficate, a qualification in Occupational Health and Safety.
</v>
      </c>
      <c r="M141" s="73" t="str">
        <f>'Book Details - NO EDIT'!AA141</f>
        <v xml:space="preserve">Alwyne (1920–2014: #94) Cecil (1890–1963: #68) Llewellyn (1861–1939: #45) Edward (1820–1890: #22) Edward (1780–1863: #8) William (1729–1800: #1)  </v>
      </c>
      <c r="N141" s="197" t="str">
        <f>'Book Details - NO EDIT'!AB141</f>
        <v xml:space="preserve">5 – Rob (1949–: #124) Paddy (1951–: #126) Dominic (1953–: #131) Tim (1957–: #136)  Rick (1962–: #142)   </v>
      </c>
      <c r="O141" s="198" t="str">
        <f>'Book Details - NO EDIT'!AC141</f>
        <v/>
      </c>
      <c r="P141" s="198" t="str">
        <f>'Book Details - NO EDIT'!AD141</f>
        <v>-</v>
      </c>
      <c r="Q141" s="191" t="str">
        <f>IF('Book Details - NO EDIT'!J141="",IF(R141=0,"Less than year on 1-Jul-2022",_xlfn.CONCAT("On 1-Jul-2022, age ",R141,'Book Details - NO EDIT'!J141)),IF(LEN(R141)=0,"Died in infancy",_xlfn.CONCAT("Died ",'Book Details - NO EDIT'!J141,","," aged ",R141)))</f>
        <v>On 1-Jul-2022, age 139</v>
      </c>
      <c r="R141" s="73">
        <f>'Book Details - NO EDIT'!AX141</f>
        <v>139</v>
      </c>
      <c r="S141" s="73" t="str">
        <f>'Book Details - NO EDIT'!AY141</f>
        <v>abloyd@aol.co.uk</v>
      </c>
      <c r="T141" s="73" t="str">
        <f>'Book Details - NO EDIT'!AW141</f>
        <v>England</v>
      </c>
      <c r="U141" s="73">
        <f>VLOOKUP(A141,'Book Details - NO EDIT'!$A141:$S$192,13,FALSE)</f>
        <v>68</v>
      </c>
      <c r="V141" s="73">
        <f>VLOOKUP(A141,'Book Details - NO EDIT'!$A141:$S$192,12,FALSE)</f>
        <v>94</v>
      </c>
      <c r="X141" s="31">
        <f>IF(LEN('Book Details - NO EDIT'!J141)=0,0,1)</f>
        <v>0</v>
      </c>
    </row>
    <row r="142" spans="1:24" s="31" customFormat="1" ht="34">
      <c r="A142" s="125">
        <f>'Book Details - NO EDIT'!A142</f>
        <v>140</v>
      </c>
      <c r="B142" s="31" t="str">
        <f>'Book Details - NO EDIT'!Y142</f>
        <v>Virginia Diana Jemima LOYD</v>
      </c>
      <c r="C142" s="31" t="str">
        <f>'Book Details - NO EDIT'!V142</f>
        <v>Ginie (1961–)</v>
      </c>
      <c r="D142" s="199">
        <f>'Book Details - NO EDIT'!I142</f>
        <v>22520</v>
      </c>
      <c r="E142" s="31" t="str">
        <f>IF('Book Details - NO EDIT'!K142="Boy","Male","Female")</f>
        <v>Female</v>
      </c>
      <c r="F142" s="31" t="str">
        <f>IF('Book Details - NO EDIT'!T142=1,"First",IF('Book Details - NO EDIT'!T142=2,"Second",IF('Book Details - NO EDIT'!T142=3,"Third",IF('Book Details - NO EDIT'!T142=4,"Fourth",IF('Book Details - NO EDIT'!T142=5,"Fifth",IF('Book Details - NO EDIT'!T142=6,"Sixth",IF('Book Details - NO EDIT'!T142=7,"Seventh",IF('Book Details - NO EDIT'!T142=8,"Eighth",0))))))))</f>
        <v>Fifth</v>
      </c>
      <c r="G142" s="31" t="str">
        <f>'Book Details - NO EDIT'!Z142</f>
        <v>Vivian (1894–1972: #78)</v>
      </c>
      <c r="H142" s="31" t="str">
        <f>'Book Details - NO EDIT'!AH142</f>
        <v>Veronica Elizabeth HAYNES (b. 4 Dec 1926, )</v>
      </c>
      <c r="I142" s="31" t="str">
        <f>'Book Details - NO EDIT'!AI142</f>
        <v>George Andrew Lang MILLER (b. 22 Nov 1944, )</v>
      </c>
      <c r="J142" s="199">
        <f>'Book Details - NO EDIT'!AJ142</f>
        <v>33684</v>
      </c>
      <c r="K142" s="31" t="str">
        <f>'Book Details - NO EDIT'!AK142</f>
        <v>Married at  St Peter and St Paul’s, Barkestone Le Vale, Leicestershire, George, known as Andrew, son of George William MILLER (b. 11 Feb 1909, ) of Cherry Tree Farm, Plungar, Leicestershire. Andrew born at Cherry Tree Farm and George born at Beech Farm, Shellford, Nottinghamshire.</v>
      </c>
      <c r="L142" s="131" t="str">
        <f>'Book Details - NO EDIT'!AL142</f>
        <v>Ginie lives in Devon, previously of Barkestone Le Vale, Leicestershire and is the younger daughter of Vivian (1894–1972: #78). Born 27 Aug 1961 at Princess Christian Nursing Home, Windsor, Berkshire. Baptised at the Parish Church, Old Sunningdale, Berkshire. Educatation: Bedgebury Park, Goudhurst, Kent 1974-77; Winkfield Place Domestic Science College 1978-79 (Dip Floristry &amp; Cooking) and Clarendon College, Nottingham (TEFL).</v>
      </c>
      <c r="M142" s="73" t="str">
        <f>'Book Details - NO EDIT'!AA142</f>
        <v xml:space="preserve">Vivian (1894–1972: #78) William (1863–1923: #46) William (1821–1885: #23) Edward (1780–1863: #8) William (1729–1800: #1)   </v>
      </c>
      <c r="N142" s="197" t="str">
        <f>'Book Details - NO EDIT'!AB142</f>
        <v xml:space="preserve">3 – Willie (1937–1994: #113) Belinda (1939–2018: #115) Vivian (1951–: #127)      </v>
      </c>
      <c r="O142" s="198" t="str">
        <f>'Book Details - NO EDIT'!AC142</f>
        <v xml:space="preserve">2 - Daisy MILLER (1995 - : #140a) Violet MILLER (1995 - : #140b)      </v>
      </c>
      <c r="P142" s="198" t="str">
        <f>'Book Details - NO EDIT'!AD142</f>
        <v>-</v>
      </c>
      <c r="Q142" s="191" t="str">
        <f>IF('Book Details - NO EDIT'!J142="",IF(R142=0,"Less than year on 1-Jul-2022",_xlfn.CONCAT("On 1-Jul-2022, age ",R142,'Book Details - NO EDIT'!J142)),IF(LEN(R142)=0,"Died in infancy",_xlfn.CONCAT("Died ",'Book Details - NO EDIT'!J142,","," aged ",R142)))</f>
        <v>On 1-Jul-2022, age 140</v>
      </c>
      <c r="R142" s="73">
        <f>'Book Details - NO EDIT'!AX142</f>
        <v>140</v>
      </c>
      <c r="S142" s="73" t="str">
        <f>'Book Details - NO EDIT'!AY142</f>
        <v>cherrytreefarms@gmail.com</v>
      </c>
      <c r="T142" s="73" t="str">
        <f>'Book Details - NO EDIT'!AW142</f>
        <v>England</v>
      </c>
      <c r="U142" s="73">
        <f>VLOOKUP(A142,'Book Details - NO EDIT'!$A142:$S$192,13,FALSE)</f>
        <v>46</v>
      </c>
      <c r="V142" s="73">
        <f>VLOOKUP(A142,'Book Details - NO EDIT'!$A142:$S$192,12,FALSE)</f>
        <v>78</v>
      </c>
      <c r="X142" s="31">
        <f>IF(LEN('Book Details - NO EDIT'!J142)=0,0,1)</f>
        <v>0</v>
      </c>
    </row>
    <row r="143" spans="1:24" s="31" customFormat="1" ht="17">
      <c r="A143" s="125">
        <f>'Book Details - NO EDIT'!A143</f>
        <v>141</v>
      </c>
      <c r="B143" s="31" t="str">
        <f>'Book Details - NO EDIT'!Y143</f>
        <v>Alexandra Mary LOYD</v>
      </c>
      <c r="C143" s="31" t="str">
        <f>'Book Details - NO EDIT'!V143</f>
        <v>Alexandra (1961–)</v>
      </c>
      <c r="D143" s="199">
        <f>'Book Details - NO EDIT'!I143</f>
        <v>22568</v>
      </c>
      <c r="E143" s="31" t="str">
        <f>IF('Book Details - NO EDIT'!K143="Boy","Male","Female")</f>
        <v>Female</v>
      </c>
      <c r="F143" s="31" t="str">
        <f>IF('Book Details - NO EDIT'!T143=1,"First",IF('Book Details - NO EDIT'!T143=2,"Second",IF('Book Details - NO EDIT'!T143=3,"Third",IF('Book Details - NO EDIT'!T143=4,"Fourth",IF('Book Details - NO EDIT'!T143=5,"Fifth",IF('Book Details - NO EDIT'!T143=6,"Sixth",IF('Book Details - NO EDIT'!T143=7,"Seventh",IF('Book Details - NO EDIT'!T143=8,"Eighth",0))))))))</f>
        <v>Sixth</v>
      </c>
      <c r="G143" s="31" t="str">
        <f>'Book Details - NO EDIT'!Z143</f>
        <v>Sir Julian (1926–2018: #104)</v>
      </c>
      <c r="H143" s="31" t="str">
        <f>'Book Details - NO EDIT'!AH143</f>
        <v>Philippa Mary Emma STEEL (b. 5 Dec 1932, d. 27 Oct 2020)</v>
      </c>
      <c r="I143" s="31" t="str">
        <f>'Book Details - NO EDIT'!AI143</f>
        <v>Duncan Ian Arthur Campbell BYATT (b. 24 Jan 1962, )</v>
      </c>
      <c r="J143" s="199">
        <f>'Book Details - NO EDIT'!AJ143</f>
        <v>34741</v>
      </c>
      <c r="K143" s="31" t="str">
        <f>'Book Details - NO EDIT'!AK143</f>
        <v>Married Duncan, at St Peter’s, Wolferton, King’s Lynn, Norfolk, younger son of Sir Hugh BYATT of Leargnahension, Tarbert, Argyll.</v>
      </c>
      <c r="L143" s="131" t="str">
        <f>'Book Details - NO EDIT'!AL143</f>
        <v>Alexandra is the elder daughter of Sir Julian (1926–2018: #104). Born 14 Oct 1961. Baptised 26 Nov 1961 at Raveningham, Norwich, Norfolk. Lady-in-waiting to HRH The Princess of Wales 1986-97. Issue: 1 daughter, 1 son. Contact email: ambyatt@gmail.com</v>
      </c>
      <c r="M143" s="73" t="str">
        <f>'Book Details - NO EDIT'!AA143</f>
        <v xml:space="preserve">Sir Julian (1926–2018: #104) Charles (1891–1973: #72) Harry (1861–1938: #44) William (1821–1885: #23) Edward (1780–1863: #8) William (1729–1800: #1)  </v>
      </c>
      <c r="N143" s="197" t="str">
        <f>'Book Details - NO EDIT'!AB143</f>
        <v xml:space="preserve">3 – Charles (1963–: #146) Toby (1966–1966: #148) Mary Rose (1967–: #152)     </v>
      </c>
      <c r="O143" s="198" t="str">
        <f>'Book Details - NO EDIT'!AC143</f>
        <v xml:space="preserve">2 - Letty BYATT (1996 - : #141a) Harry BYATT (1998 - 2017: #141b)      </v>
      </c>
      <c r="P143" s="198" t="str">
        <f>'Book Details - NO EDIT'!AD143</f>
        <v>-</v>
      </c>
      <c r="Q143" s="191" t="str">
        <f>IF('Book Details - NO EDIT'!J143="",IF(R143=0,"Less than year on 1-Jul-2022",_xlfn.CONCAT("On 1-Jul-2022, age ",R143,'Book Details - NO EDIT'!J143)),IF(LEN(R143)=0,"Died in infancy",_xlfn.CONCAT("Died ",'Book Details - NO EDIT'!J143,","," aged ",R143)))</f>
        <v>On 1-Jul-2022, age 141</v>
      </c>
      <c r="R143" s="73">
        <f>'Book Details - NO EDIT'!AX143</f>
        <v>141</v>
      </c>
      <c r="S143" s="73" t="str">
        <f>'Book Details - NO EDIT'!AY143</f>
        <v>ambyatt@gmail.com</v>
      </c>
      <c r="T143" s="73" t="str">
        <f>'Book Details - NO EDIT'!AW143</f>
        <v>England</v>
      </c>
      <c r="U143" s="73">
        <f>VLOOKUP(A143,'Book Details - NO EDIT'!$A143:$S$192,13,FALSE)</f>
        <v>72</v>
      </c>
      <c r="V143" s="73">
        <f>VLOOKUP(A143,'Book Details - NO EDIT'!$A143:$S$192,12,FALSE)</f>
        <v>104</v>
      </c>
      <c r="X143" s="31">
        <f>IF(LEN('Book Details - NO EDIT'!J143)=0,0,1)</f>
        <v>0</v>
      </c>
    </row>
    <row r="144" spans="1:24" s="31" customFormat="1" ht="68">
      <c r="A144" s="125">
        <f>'Book Details - NO EDIT'!A144</f>
        <v>142</v>
      </c>
      <c r="B144" s="31" t="str">
        <f>'Book Details - NO EDIT'!Y144</f>
        <v>Richard John Travers LOYD</v>
      </c>
      <c r="C144" s="31" t="str">
        <f>'Book Details - NO EDIT'!V144</f>
        <v>Rick (1962–)</v>
      </c>
      <c r="D144" s="199">
        <f>'Book Details - NO EDIT'!I144</f>
        <v>22731</v>
      </c>
      <c r="E144" s="31" t="str">
        <f>IF('Book Details - NO EDIT'!K144="Boy","Male","Female")</f>
        <v>Male</v>
      </c>
      <c r="F144" s="31" t="str">
        <f>IF('Book Details - NO EDIT'!T144=1,"First",IF('Book Details - NO EDIT'!T144=2,"Second",IF('Book Details - NO EDIT'!T144=3,"Third",IF('Book Details - NO EDIT'!T144=4,"Fourth",IF('Book Details - NO EDIT'!T144=5,"Fifth",IF('Book Details - NO EDIT'!T144=6,"Sixth",IF('Book Details - NO EDIT'!T144=7,"Seventh",IF('Book Details - NO EDIT'!T144=8,"Eighth",0))))))))</f>
        <v>Sixth</v>
      </c>
      <c r="G144" s="31" t="str">
        <f>'Book Details - NO EDIT'!Z144</f>
        <v>Alwyne (1920–2014: #94)</v>
      </c>
      <c r="H144" s="31" t="str">
        <f>'Book Details - NO EDIT'!AH144</f>
        <v>Alison Fraser PORTER (b. 21 Feb 1920, d. 6 Sep 2003)</v>
      </c>
      <c r="I144" s="31" t="str">
        <f>'Book Details - NO EDIT'!AI144</f>
        <v>Lynn  HAMILTON (b. 23 Feb 1962, )</v>
      </c>
      <c r="J144" s="199">
        <f>'Book Details - NO EDIT'!AJ144</f>
        <v>32760</v>
      </c>
      <c r="K144" s="31" t="str">
        <f>'Book Details - NO EDIT'!AK144</f>
        <v>Married at All Hallows, Bispham, Lancashire, Lynn only daughter of Andrew William and Beryl HAMILTON. Education: York (BSc Hons Biochemistry 1983); Kingston (MA Creative Writing 2012); UCA (PhD Critical &amp; Creative Writing, 2021). Career: Medical education, medical writing and the creation of fictional works to address misperceptions and stigma around illness. In 2022, Lynn added Loyd as her middle name to become Lynn Loyd HAMILTON.</v>
      </c>
      <c r="L144" s="131" t="str">
        <f>'Book Details - NO EDIT'!AL144</f>
        <v>Rick lives in East Molesey, Surrey and is the youngest son of Alwyne (1920–2014: #94) . Born 26 Mar 1962 at St John’s Hospital, Chelmsford, Essex. Baptised 17 Jun 1962 at St Thomas the Martyr, Brentwood, Essex, by Canon James WILLARD. Education/Qualifications: York (BSc Maths, 1983); Loughborough (PGCE Maths &amp; PE, 1986); and Birkbeck College, London (MSc Applied Stats, 1992). CStat (1996); Market Research Society. Career: Teacher, Farnborough Sixth Form (1986-89); Statistician, Defence Analytical Services Agency (1989-95). Social Researcher, SIA 1995-96. Company Statistician, British Market Research Bureau (1996-2002);  Statistician/Researcher, ACNielsen Sydney (2003-06); Statistician/R&amp;D Global Analyst, Nielsen (2006-16); Founder &amp; Consultant, Change by Numbers Ltd (2017 - ). Freeman of Goldsmiths’ Company 1984. Parent Governor, Orchard School, East Molesey (1998-2002); VI guide runner (2015-20); Chairman WSS Charity Epsom (2018-19). Co-editor "Loyd Who's Who" 2022 with his brother Dominic (1953– : #131). Issue: 2 sons. Contact email: rick@changebynumbers.com</v>
      </c>
      <c r="M144" s="73" t="str">
        <f>'Book Details - NO EDIT'!AA144</f>
        <v xml:space="preserve">Alwyne (1920–2014: #94) Cecil (1890–1963: #68) Llewellyn (1861–1939: #45) Edward (1820–1890: #22) Edward (1780–1863: #8) William (1729–1800: #1)  </v>
      </c>
      <c r="N144" s="197" t="str">
        <f>'Book Details - NO EDIT'!AB144</f>
        <v xml:space="preserve">5 – Rob (1949–: #124) Paddy (1951–: #126) Dominic (1953–: #131) Tim (1957–: #136) Alex (1959–: #139)    </v>
      </c>
      <c r="O144" s="198" t="str">
        <f>'Book Details - NO EDIT'!AC144</f>
        <v>2 - Sam (1994–: #176); Josh (1996–: #179)</v>
      </c>
      <c r="P144" s="198" t="str">
        <f>'Book Details - NO EDIT'!AD144</f>
        <v>-</v>
      </c>
      <c r="Q144" s="191" t="str">
        <f>IF('Book Details - NO EDIT'!J144="",IF(R144=0,"Less than year on 1-Jul-2022",_xlfn.CONCAT("On 1-Jul-2022, age ",R144,'Book Details - NO EDIT'!J144)),IF(LEN(R144)=0,"Died in infancy",_xlfn.CONCAT("Died ",'Book Details - NO EDIT'!J144,","," aged ",R144)))</f>
        <v>On 1-Jul-2022, age 142</v>
      </c>
      <c r="R144" s="73">
        <f>'Book Details - NO EDIT'!AX144</f>
        <v>142</v>
      </c>
      <c r="S144" s="73" t="str">
        <f>'Book Details - NO EDIT'!AY144</f>
        <v>rick@changebynumbers.com</v>
      </c>
      <c r="T144" s="73" t="str">
        <f>'Book Details - NO EDIT'!AW144</f>
        <v>England &amp; Australia</v>
      </c>
      <c r="U144" s="73">
        <f>VLOOKUP(A144,'Book Details - NO EDIT'!$A144:$S$192,13,FALSE)</f>
        <v>68</v>
      </c>
      <c r="V144" s="73">
        <f>VLOOKUP(A144,'Book Details - NO EDIT'!$A144:$S$192,12,FALSE)</f>
        <v>94</v>
      </c>
      <c r="X144" s="31">
        <f>IF(LEN('Book Details - NO EDIT'!J144)=0,0,1)</f>
        <v>0</v>
      </c>
    </row>
    <row r="145" spans="1:24" s="31" customFormat="1" ht="17">
      <c r="A145" s="125">
        <f>'Book Details - NO EDIT'!A145</f>
        <v>143</v>
      </c>
      <c r="B145" s="31" t="str">
        <f>'Book Details - NO EDIT'!Y145</f>
        <v>Harriet Sara LOYD</v>
      </c>
      <c r="C145" s="31" t="str">
        <f>'Book Details - NO EDIT'!V145</f>
        <v>Harriet (1962–)</v>
      </c>
      <c r="D145" s="199">
        <f>'Book Details - NO EDIT'!I145</f>
        <v>22817</v>
      </c>
      <c r="E145" s="31" t="str">
        <f>IF('Book Details - NO EDIT'!K145="Boy","Male","Female")</f>
        <v>Female</v>
      </c>
      <c r="F145" s="31" t="str">
        <f>IF('Book Details - NO EDIT'!T145=1,"First",IF('Book Details - NO EDIT'!T145=2,"Second",IF('Book Details - NO EDIT'!T145=3,"Third",IF('Book Details - NO EDIT'!T145=4,"Fourth",IF('Book Details - NO EDIT'!T145=5,"Fifth",IF('Book Details - NO EDIT'!T145=6,"Sixth",IF('Book Details - NO EDIT'!T145=7,"Seventh",IF('Book Details - NO EDIT'!T145=8,"Eighth",0))))))))</f>
        <v>Sixth</v>
      </c>
      <c r="G145" s="31" t="str">
        <f>'Book Details - NO EDIT'!Z145</f>
        <v>Christopher (1923–2013: #100)</v>
      </c>
      <c r="H145" s="31" t="str">
        <f>'Book Details - NO EDIT'!AH145</f>
        <v>Joanna SMITH-BINGHAM (b. 17 Nov 1935, )</v>
      </c>
      <c r="I145" s="31" t="str">
        <f>'Book Details - NO EDIT'!AI145</f>
        <v>Nicholas Courcy ASHE (b. 19 Jan 1957, )</v>
      </c>
      <c r="J145" s="199">
        <f>'Book Details - NO EDIT'!AJ145</f>
        <v>31339</v>
      </c>
      <c r="K145" s="31" t="str">
        <f>'Book Details - NO EDIT'!AK145</f>
        <v xml:space="preserve">Married at All Saints’ Lockinge, by the Rev R G FOSTER, Nicholas elder son of John ASHE of Cross Farm House, Cleverton, Chippenham, Wiltshire. </v>
      </c>
      <c r="L145" s="131" t="str">
        <f>'Book Details - NO EDIT'!AL145</f>
        <v>Harriet is the only daughter of Christopher (1923–2013: #100). Born  20 Jun 1962. Baptised at All Saints’, Lockinge. Issue: 1 daughter, 1 son.</v>
      </c>
      <c r="M145" s="73" t="str">
        <f>'Book Details - NO EDIT'!AA145</f>
        <v xml:space="preserve">Christopher (1923–2013: #100) Tommy (1882–1944: #56) The Rev Lewis (1844–1905: #28) Thomas (1812–1857: #14) William (1770–1828: #4) William (1729–1800: #1)  </v>
      </c>
      <c r="N145" s="197" t="str">
        <f>'Book Details - NO EDIT'!AB145</f>
        <v xml:space="preserve">2 – Thomas (1959–: #138)  James (1966–: #150)      </v>
      </c>
      <c r="O145" s="198" t="str">
        <f>'Book Details - NO EDIT'!AC145</f>
        <v xml:space="preserve">2 - Emily ASHE (1988 - : #143a) Charles ASHE (1990 - : #143b)      </v>
      </c>
      <c r="P145" s="198" t="str">
        <f>'Book Details - NO EDIT'!AD145</f>
        <v xml:space="preserve">1 - Alice RUSSELL-STONEHAM (2020 -: #143aa)                  </v>
      </c>
      <c r="Q145" s="191" t="str">
        <f>IF('Book Details - NO EDIT'!J145="",IF(R145=0,"Less than year on 1-Jul-2022",_xlfn.CONCAT("On 1-Jul-2022, age ",R145,'Book Details - NO EDIT'!J145)),IF(LEN(R145)=0,"Died in infancy",_xlfn.CONCAT("Died ",'Book Details - NO EDIT'!J145,","," aged ",R145)))</f>
        <v>On 1-Jul-2022, age 143</v>
      </c>
      <c r="R145" s="73">
        <f>'Book Details - NO EDIT'!AX145</f>
        <v>143</v>
      </c>
      <c r="S145" s="73" t="str">
        <f>'Book Details - NO EDIT'!AY145</f>
        <v>tloyd@lockinge-estate.co.uk</v>
      </c>
      <c r="T145" s="73" t="str">
        <f>'Book Details - NO EDIT'!AW145</f>
        <v>England</v>
      </c>
      <c r="U145" s="73">
        <f>VLOOKUP(A145,'Book Details - NO EDIT'!$A145:$S$192,13,FALSE)</f>
        <v>56</v>
      </c>
      <c r="V145" s="73">
        <f>VLOOKUP(A145,'Book Details - NO EDIT'!$A145:$S$192,12,FALSE)</f>
        <v>100</v>
      </c>
      <c r="X145" s="31">
        <f>IF(LEN('Book Details - NO EDIT'!J145)=0,0,1)</f>
        <v>0</v>
      </c>
    </row>
    <row r="146" spans="1:24" s="31" customFormat="1" ht="34">
      <c r="A146" s="125">
        <f>'Book Details - NO EDIT'!A146</f>
        <v>144</v>
      </c>
      <c r="B146" s="31" t="str">
        <f>'Book Details - NO EDIT'!Y146</f>
        <v>Andrew Wyndham LOYD</v>
      </c>
      <c r="C146" s="31" t="str">
        <f>'Book Details - NO EDIT'!V146</f>
        <v>Andrew (1962–)</v>
      </c>
      <c r="D146" s="199">
        <f>'Book Details - NO EDIT'!I146</f>
        <v>22951</v>
      </c>
      <c r="E146" s="31" t="str">
        <f>IF('Book Details - NO EDIT'!K146="Boy","Male","Female")</f>
        <v>Male</v>
      </c>
      <c r="F146" s="31" t="str">
        <f>IF('Book Details - NO EDIT'!T146=1,"First",IF('Book Details - NO EDIT'!T146=2,"Second",IF('Book Details - NO EDIT'!T146=3,"Third",IF('Book Details - NO EDIT'!T146=4,"Fourth",IF('Book Details - NO EDIT'!T146=5,"Fifth",IF('Book Details - NO EDIT'!T146=6,"Sixth",IF('Book Details - NO EDIT'!T146=7,"Seventh",IF('Book Details - NO EDIT'!T146=8,"Eighth",0))))))))</f>
        <v>Sixth</v>
      </c>
      <c r="G146" s="31" t="str">
        <f>'Book Details - NO EDIT'!Z146</f>
        <v>Peter (1923–1974: #99)</v>
      </c>
      <c r="H146" s="31" t="str">
        <f>'Book Details - NO EDIT'!AH146</f>
        <v>Sally Elizabeth Jane INGLIS (b. 18 Jan 1931, d. 27 Aug 2020)</v>
      </c>
      <c r="I146" s="31">
        <f>'Book Details - NO EDIT'!AI146</f>
        <v>0</v>
      </c>
      <c r="J146" s="199" t="str">
        <f>'Book Details - NO EDIT'!AJ146</f>
        <v xml:space="preserve"> - </v>
      </c>
      <c r="K146" s="31">
        <f>'Book Details - NO EDIT'!AK146</f>
        <v>0</v>
      </c>
      <c r="L146" s="131" t="str">
        <f>'Book Details - NO EDIT'!AL146</f>
        <v>Andrew lives in Roxburghshire and is only son of Peter (1923–1974: #99). Born 1 Nov 1962 in London. Baptised 3 Apr 1963 at Thame, Oxfordshire. Education: Blundells 1976-81 and Westminster College, London 1984-87 (HND Hotel &amp; Catering). Career: Connaught Hotel, London 1983; Party Ingredients, London 1984; Dukes Hotel, London 1984-85; Dorchester Hotel, London 1987-88; Hotel Intercontinental, London 1988-89; Mayfair Intercontinental, London 1889-91; House Manager for private employers in Canada and USA 1991-97; Estate Manager for private employers in USA 1997-98.</v>
      </c>
      <c r="M146" s="73" t="str">
        <f>'Book Details - NO EDIT'!AA146</f>
        <v xml:space="preserve">Peter (1923–1974: #99) William (1889–1947: #66) Harry (1861–1938: #44) William (1821–1885: #23) Edward (1780–1863: #8) William (1729–1800: #1)  </v>
      </c>
      <c r="N146" s="197" t="str">
        <f>'Book Details - NO EDIT'!AB146</f>
        <v xml:space="preserve">1 – Henrietta (1959–: #137)        </v>
      </c>
      <c r="O146" s="198" t="str">
        <f>'Book Details - NO EDIT'!AC146</f>
        <v/>
      </c>
      <c r="P146" s="198" t="str">
        <f>'Book Details - NO EDIT'!AD146</f>
        <v>-</v>
      </c>
      <c r="Q146" s="191" t="str">
        <f>IF('Book Details - NO EDIT'!J146="",IF(R146=0,"Less than year on 1-Jul-2022",_xlfn.CONCAT("On 1-Jul-2022, age ",R146,'Book Details - NO EDIT'!J146)),IF(LEN(R146)=0,"Died in infancy",_xlfn.CONCAT("Died ",'Book Details - NO EDIT'!J146,","," aged ",R146)))</f>
        <v>On 1-Jul-2022, age 144</v>
      </c>
      <c r="R146" s="73">
        <f>'Book Details - NO EDIT'!AX146</f>
        <v>144</v>
      </c>
      <c r="S146" s="73" t="str">
        <f>'Book Details - NO EDIT'!AY146</f>
        <v>andrew@ltrcastles.com</v>
      </c>
      <c r="T146" s="73" t="str">
        <f>'Book Details - NO EDIT'!AW146</f>
        <v>England, USA and Canada</v>
      </c>
      <c r="U146" s="73">
        <f>VLOOKUP(A146,'Book Details - NO EDIT'!$A146:$S$192,13,FALSE)</f>
        <v>66</v>
      </c>
      <c r="V146" s="73">
        <f>VLOOKUP(A146,'Book Details - NO EDIT'!$A146:$S$192,12,FALSE)</f>
        <v>99</v>
      </c>
      <c r="X146" s="31">
        <f>IF(LEN('Book Details - NO EDIT'!J146)=0,0,1)</f>
        <v>0</v>
      </c>
    </row>
    <row r="147" spans="1:24" s="31" customFormat="1" ht="34">
      <c r="A147" s="125">
        <f>'Book Details - NO EDIT'!A147</f>
        <v>145</v>
      </c>
      <c r="B147" s="31" t="str">
        <f>'Book Details - NO EDIT'!Y147</f>
        <v>Anthony Simon Haig LOYD</v>
      </c>
      <c r="C147" s="31" t="str">
        <f>'Book Details - NO EDIT'!V147</f>
        <v>Tony (1963–)</v>
      </c>
      <c r="D147" s="199">
        <f>'Book Details - NO EDIT'!I147</f>
        <v>23047</v>
      </c>
      <c r="E147" s="31" t="str">
        <f>IF('Book Details - NO EDIT'!K147="Boy","Male","Female")</f>
        <v>Male</v>
      </c>
      <c r="F147" s="31" t="str">
        <f>IF('Book Details - NO EDIT'!T147=1,"First",IF('Book Details - NO EDIT'!T147=2,"Second",IF('Book Details - NO EDIT'!T147=3,"Third",IF('Book Details - NO EDIT'!T147=4,"Fourth",IF('Book Details - NO EDIT'!T147=5,"Fifth",IF('Book Details - NO EDIT'!T147=6,"Sixth",IF('Book Details - NO EDIT'!T147=7,"Seventh",IF('Book Details - NO EDIT'!T147=8,"Eighth",0))))))))</f>
        <v>Sixth</v>
      </c>
      <c r="G147" s="31" t="str">
        <f>'Book Details - NO EDIT'!Z147</f>
        <v>Peter (1922–2022: #98)</v>
      </c>
      <c r="H147" s="31" t="str">
        <f>'Book Details - NO EDIT'!AH147</f>
        <v>Rosemary Joan (Rosie) MOIR (b. 23 Feb 1942, d. 12 Mar 1997)</v>
      </c>
      <c r="I147" s="31" t="str">
        <f>'Book Details - NO EDIT'!AI147</f>
        <v>Sarah Ann WHITLEY (b. 2 Oct 1959, )</v>
      </c>
      <c r="J147" s="199">
        <f>'Book Details - NO EDIT'!AJ147</f>
        <v>36805</v>
      </c>
      <c r="K147" s="31" t="str">
        <f>'Book Details - NO EDIT'!AK147</f>
        <v>Sarah only daughter of Gordon Hedley WHITLEY of Exter Devon.</v>
      </c>
      <c r="L147" s="131" t="str">
        <f>'Book Details - NO EDIT'!AL147</f>
        <v>Tony lives in Upper Basildon and is the younger son of Peter (1922–2022: #98). Born 5 Feb 1963 at the Westminster Hospital, London SW1. Baptised 21 Apr 1963 at St Jude-on-the-Hill, Hampstead Garden Suburb, London NW11. Education:  University College School, Keble College, Oxford (BA Maths 1984), and University College, London (MSc Computer Science 1985). Computer Consultant, Logica from 1985.</v>
      </c>
      <c r="M147" s="73" t="str">
        <f>'Book Details - NO EDIT'!AA147</f>
        <v xml:space="preserve">Peter (1922–2022: #98) Wilfrid (1893–1971: #77) Archie (1847–1922: #30) Thomas (1812–1857: #14) William (1770–1828: #4) William (1729–1800: #1)  </v>
      </c>
      <c r="N147" s="197" t="str">
        <f>'Book Details - NO EDIT'!AB147</f>
        <v xml:space="preserve">4 – Julie (1952–: #128) Penelope (1954–1954: #132) William (1955–: #134)  Sophie (1969–: #154)    </v>
      </c>
      <c r="O147" s="198" t="str">
        <f>'Book Details - NO EDIT'!AC147</f>
        <v/>
      </c>
      <c r="P147" s="198" t="str">
        <f>'Book Details - NO EDIT'!AD147</f>
        <v>-</v>
      </c>
      <c r="Q147" s="191" t="str">
        <f>IF('Book Details - NO EDIT'!J147="",IF(R147=0,"Less than year on 1-Jul-2022",_xlfn.CONCAT("On 1-Jul-2022, age ",R147,'Book Details - NO EDIT'!J147)),IF(LEN(R147)=0,"Died in infancy",_xlfn.CONCAT("Died ",'Book Details - NO EDIT'!J147,","," aged ",R147)))</f>
        <v>On 1-Jul-2022, age 145</v>
      </c>
      <c r="R147" s="73">
        <f>'Book Details - NO EDIT'!AX147</f>
        <v>145</v>
      </c>
      <c r="S147" s="73" t="str">
        <f>'Book Details - NO EDIT'!AY147</f>
        <v>rosemaryloyd@gmail.com</v>
      </c>
      <c r="T147" s="73" t="str">
        <f>'Book Details - NO EDIT'!AW147</f>
        <v>England</v>
      </c>
      <c r="U147" s="73">
        <f>VLOOKUP(A147,'Book Details - NO EDIT'!$A147:$S$192,13,FALSE)</f>
        <v>77</v>
      </c>
      <c r="V147" s="73">
        <f>VLOOKUP(A147,'Book Details - NO EDIT'!$A147:$S$192,12,FALSE)</f>
        <v>98</v>
      </c>
      <c r="X147" s="31">
        <f>IF(LEN('Book Details - NO EDIT'!J147)=0,0,1)</f>
        <v>0</v>
      </c>
    </row>
    <row r="148" spans="1:24" s="31" customFormat="1" ht="51">
      <c r="A148" s="125">
        <f>'Book Details - NO EDIT'!A148</f>
        <v>146</v>
      </c>
      <c r="B148" s="31" t="str">
        <f>'Book Details - NO EDIT'!Y148</f>
        <v>Charles Anthony LOYD</v>
      </c>
      <c r="C148" s="31" t="str">
        <f>'Book Details - NO EDIT'!V148</f>
        <v>Charles (1963–)</v>
      </c>
      <c r="D148" s="199">
        <f>'Book Details - NO EDIT'!I148</f>
        <v>23090</v>
      </c>
      <c r="E148" s="31" t="str">
        <f>IF('Book Details - NO EDIT'!K148="Boy","Male","Female")</f>
        <v>Male</v>
      </c>
      <c r="F148" s="31" t="str">
        <f>IF('Book Details - NO EDIT'!T148=1,"First",IF('Book Details - NO EDIT'!T148=2,"Second",IF('Book Details - NO EDIT'!T148=3,"Third",IF('Book Details - NO EDIT'!T148=4,"Fourth",IF('Book Details - NO EDIT'!T148=5,"Fifth",IF('Book Details - NO EDIT'!T148=6,"Sixth",IF('Book Details - NO EDIT'!T148=7,"Seventh",IF('Book Details - NO EDIT'!T148=8,"Eighth",0))))))))</f>
        <v>Sixth</v>
      </c>
      <c r="G148" s="31" t="str">
        <f>'Book Details - NO EDIT'!Z148</f>
        <v>Sir Julian (1926–2018: #104)</v>
      </c>
      <c r="H148" s="31" t="str">
        <f>'Book Details - NO EDIT'!AH148</f>
        <v>Philippa Mary Emma STEEL (b. 5 Dec 1932, d. 27 Oct 2020)</v>
      </c>
      <c r="I148" s="31" t="str">
        <f>'Book Details - NO EDIT'!AI148</f>
        <v>Jenny CARTWRIGHT (b. 19 Feb 1967, ). Divorced 2020.</v>
      </c>
      <c r="J148" s="199">
        <f>'Book Details - NO EDIT'!AJ148</f>
        <v>35322</v>
      </c>
      <c r="K148" s="31" t="str">
        <f>'Book Details - NO EDIT'!AK148</f>
        <v>Married, at St Peter and St Paul’s, Godalming, Surrey, Jenny elder daughter of Julian CARTWRIGHT of Godalming, Surrey.</v>
      </c>
      <c r="L148" s="131" t="str">
        <f>'Book Details - NO EDIT'!AL148</f>
        <v>Charles is the elder son of Sir Julian (1926–2018: #104). Born 20 Mar 1963. Baptised 25 May 1963 at Raveningham Church, Norwich, Norfolk.  Education: Heatherdown Prep School, Harrow School (1976–1980), Royal Agricultural College, Cirencester (1983–1986). Career: Assistant Agent to Chatsworth Settlement Trustees 1986-89; Cluttons, Berkeley Square, London 1989-1992; Strutt and Parker, Ipswich 1992 onwards. Page of Honour to HM The Queen 1976-79; Member of Royal Institution of Chartered Surveyors (1989). Memberships of I Zingari, MCC and Liveryman of the Worshipful Company of Fishmongers. Interests: Cricket, Flyfishing. Issue: 1 son, 1 daughter.</v>
      </c>
      <c r="M148" s="73" t="str">
        <f>'Book Details - NO EDIT'!AA148</f>
        <v xml:space="preserve">Sir Julian (1926–2018: #104) Charles (1891–1973: #72) Harry (1861–1938: #44) William (1821–1885: #23) Edward (1780–1863: #8) William (1729–1800: #1)  </v>
      </c>
      <c r="N148" s="197" t="str">
        <f>'Book Details - NO EDIT'!AB148</f>
        <v xml:space="preserve">3 – Alexandra (1961–: #141)  Toby (1966–1966: #148) Mary Rose (1967–: #152)     </v>
      </c>
      <c r="O148" s="198" t="str">
        <f>'Book Details - NO EDIT'!AC148</f>
        <v>2 - George (1998–: #180); Rosanna (2000–: #182)</v>
      </c>
      <c r="P148" s="198" t="str">
        <f>'Book Details - NO EDIT'!AD148</f>
        <v>-</v>
      </c>
      <c r="Q148" s="191" t="str">
        <f>IF('Book Details - NO EDIT'!J148="",IF(R148=0,"Less than year on 1-Jul-2022",_xlfn.CONCAT("On 1-Jul-2022, age ",R148,'Book Details - NO EDIT'!J148)),IF(LEN(R148)=0,"Died in infancy",_xlfn.CONCAT("Died ",'Book Details - NO EDIT'!J148,","," aged ",R148)))</f>
        <v>On 1-Jul-2022, age 146</v>
      </c>
      <c r="R148" s="73">
        <f>'Book Details - NO EDIT'!AX148</f>
        <v>146</v>
      </c>
      <c r="S148" s="73" t="str">
        <f>'Book Details - NO EDIT'!AY148</f>
        <v>c.loyde@icloud.com</v>
      </c>
      <c r="T148" s="73" t="str">
        <f>'Book Details - NO EDIT'!AW148</f>
        <v>England</v>
      </c>
      <c r="U148" s="73">
        <f>VLOOKUP(A148,'Book Details - NO EDIT'!$A148:$S$192,13,FALSE)</f>
        <v>72</v>
      </c>
      <c r="V148" s="73">
        <f>VLOOKUP(A148,'Book Details - NO EDIT'!$A148:$S$192,12,FALSE)</f>
        <v>104</v>
      </c>
      <c r="X148" s="31">
        <f>IF(LEN('Book Details - NO EDIT'!J148)=0,0,1)</f>
        <v>0</v>
      </c>
    </row>
    <row r="149" spans="1:24" s="31" customFormat="1" ht="17">
      <c r="A149" s="125">
        <f>'Book Details - NO EDIT'!A149</f>
        <v>147</v>
      </c>
      <c r="B149" s="31" t="str">
        <f>'Book Details - NO EDIT'!Y149</f>
        <v>Susannah Mary LOYD</v>
      </c>
      <c r="C149" s="31" t="str">
        <f>'Book Details - NO EDIT'!V149</f>
        <v>Susannah (1965–)</v>
      </c>
      <c r="D149" s="199">
        <f>'Book Details - NO EDIT'!I149</f>
        <v>24014</v>
      </c>
      <c r="E149" s="31" t="str">
        <f>IF('Book Details - NO EDIT'!K149="Boy","Male","Female")</f>
        <v>Female</v>
      </c>
      <c r="F149" s="31" t="str">
        <f>IF('Book Details - NO EDIT'!T149=1,"First",IF('Book Details - NO EDIT'!T149=2,"Second",IF('Book Details - NO EDIT'!T149=3,"Third",IF('Book Details - NO EDIT'!T149=4,"Fourth",IF('Book Details - NO EDIT'!T149=5,"Fifth",IF('Book Details - NO EDIT'!T149=6,"Sixth",IF('Book Details - NO EDIT'!T149=7,"Seventh",IF('Book Details - NO EDIT'!T149=8,"Eighth",0))))))))</f>
        <v>Sixth</v>
      </c>
      <c r="G149" s="31" t="str">
        <f>'Book Details - NO EDIT'!Z149</f>
        <v>Patrick (1942–: #117)</v>
      </c>
      <c r="H149" s="31" t="str">
        <f>'Book Details - NO EDIT'!AH149</f>
        <v>Mary DAVIES (b. 6 Aug 1939, d. 17 Feb 1997)</v>
      </c>
      <c r="I149" s="31" t="str">
        <f>'Book Details - NO EDIT'!AI149</f>
        <v>James Robert HUNT (b. 19 May 1976, )</v>
      </c>
      <c r="J149" s="199">
        <f>'Book Details - NO EDIT'!AJ149</f>
        <v>38849</v>
      </c>
      <c r="K149" s="31" t="str">
        <f>'Book Details - NO EDIT'!AK149</f>
        <v>James is the son of Thomas and Ann HUNT.</v>
      </c>
      <c r="L149" s="131" t="str">
        <f>'Book Details - NO EDIT'!AL149</f>
        <v>Susannah lives at St Sampsons, Guernsey, Channel Islands and is the elder daughter of Patrick (1942– : #117). Born 29 Sep 1965 at Kettering, Northamptonshire.</v>
      </c>
      <c r="M149" s="73" t="str">
        <f>'Book Details - NO EDIT'!AA149</f>
        <v xml:space="preserve">Patrick (1942–: #117) Dick (1882–1950: #55) Lewis (1852–1908: #35) William (1821–1885: #23) Edward (1780–1863: #8) William (1729–1800: #1)  </v>
      </c>
      <c r="N149" s="197" t="str">
        <f>'Book Details - NO EDIT'!AB149</f>
        <v xml:space="preserve">2 – Elspeth (1967–: #151) Richard (1968–: #153)      </v>
      </c>
      <c r="O149" s="198" t="str">
        <f>'Book Details - NO EDIT'!AC149</f>
        <v/>
      </c>
      <c r="P149" s="198" t="str">
        <f>'Book Details - NO EDIT'!AD149</f>
        <v>-</v>
      </c>
      <c r="Q149" s="191" t="str">
        <f>IF('Book Details - NO EDIT'!J149="",IF(R149=0,"Less than year on 1-Jul-2022",_xlfn.CONCAT("On 1-Jul-2022, age ",R149,'Book Details - NO EDIT'!J149)),IF(LEN(R149)=0,"Died in infancy",_xlfn.CONCAT("Died ",'Book Details - NO EDIT'!J149,","," aged ",R149)))</f>
        <v>On 1-Jul-2022, age 147</v>
      </c>
      <c r="R149" s="73">
        <f>'Book Details - NO EDIT'!AX149</f>
        <v>147</v>
      </c>
      <c r="S149" s="73" t="str">
        <f>'Book Details - NO EDIT'!AY149</f>
        <v>patrickloyd@cwgsy.net</v>
      </c>
      <c r="T149" s="73" t="str">
        <f>'Book Details - NO EDIT'!AW149</f>
        <v>England</v>
      </c>
      <c r="U149" s="73">
        <f>VLOOKUP(A149,'Book Details - NO EDIT'!$A149:$S$192,13,FALSE)</f>
        <v>55</v>
      </c>
      <c r="V149" s="73">
        <f>VLOOKUP(A149,'Book Details - NO EDIT'!$A149:$S$192,12,FALSE)</f>
        <v>117</v>
      </c>
      <c r="X149" s="31">
        <f>IF(LEN('Book Details - NO EDIT'!J149)=0,0,1)</f>
        <v>0</v>
      </c>
    </row>
    <row r="150" spans="1:24" s="31" customFormat="1" ht="17">
      <c r="A150" s="125">
        <f>'Book Details - NO EDIT'!A150</f>
        <v>148</v>
      </c>
      <c r="B150" s="31" t="str">
        <f>'Book Details - NO EDIT'!Y150</f>
        <v>Francis Toby LOYD</v>
      </c>
      <c r="C150" s="31" t="str">
        <f>'Book Details - NO EDIT'!V150</f>
        <v>Toby (1966–1966)</v>
      </c>
      <c r="D150" s="199">
        <f>'Book Details - NO EDIT'!I150</f>
        <v>24197</v>
      </c>
      <c r="E150" s="31" t="str">
        <f>IF('Book Details - NO EDIT'!K150="Boy","Male","Female")</f>
        <v>Male</v>
      </c>
      <c r="F150" s="31" t="str">
        <f>IF('Book Details - NO EDIT'!T150=1,"First",IF('Book Details - NO EDIT'!T150=2,"Second",IF('Book Details - NO EDIT'!T150=3,"Third",IF('Book Details - NO EDIT'!T150=4,"Fourth",IF('Book Details - NO EDIT'!T150=5,"Fifth",IF('Book Details - NO EDIT'!T150=6,"Sixth",IF('Book Details - NO EDIT'!T150=7,"Seventh",IF('Book Details - NO EDIT'!T150=8,"Eighth",0))))))))</f>
        <v>Sixth</v>
      </c>
      <c r="G150" s="31" t="str">
        <f>'Book Details - NO EDIT'!Z150</f>
        <v>Sir Julian (1926–2018: #104)</v>
      </c>
      <c r="H150" s="31" t="str">
        <f>'Book Details - NO EDIT'!AH150</f>
        <v>Philippa Mary Emma STEEL (b. 5 Dec 1932, d. 27 Oct 2020)</v>
      </c>
      <c r="I150" s="31" t="str">
        <f>'Book Details - NO EDIT'!AI150</f>
        <v>Died in infancy.</v>
      </c>
      <c r="J150" s="199" t="str">
        <f>'Book Details - NO EDIT'!AJ150</f>
        <v xml:space="preserve"> - </v>
      </c>
      <c r="K150" s="31" t="str">
        <f>'Book Details - NO EDIT'!AK150</f>
        <v xml:space="preserve"> - </v>
      </c>
      <c r="L150" s="131" t="str">
        <f>'Book Details - NO EDIT'!AL150</f>
        <v xml:space="preserve">Francis was the younger son of Sir Julian (1926-2018: #104) Born 31 Mar 1966. Died, in infancy, 1 Apr 1966.                                                                        </v>
      </c>
      <c r="M150" s="73" t="str">
        <f>'Book Details - NO EDIT'!AA150</f>
        <v xml:space="preserve">Sir Julian (1926–2018: #104) Charles (1891–1973: #72) Harry (1861–1938: #44) William (1821–1885: #23) Edward (1780–1863: #8) William (1729–1800: #1)  </v>
      </c>
      <c r="N150" s="197" t="str">
        <f>'Book Details - NO EDIT'!AB150</f>
        <v xml:space="preserve">3 – Alexandra (1961–: #141) Charles (1963–: #146)  Mary Rose (1967–: #152)     </v>
      </c>
      <c r="O150" s="198" t="str">
        <f>'Book Details - NO EDIT'!AC150</f>
        <v>d.s.p</v>
      </c>
      <c r="P150" s="198" t="str">
        <f>'Book Details - NO EDIT'!AD150</f>
        <v>d.s.p.</v>
      </c>
      <c r="Q150" s="191" t="str">
        <f>IF('Book Details - NO EDIT'!J150="",IF(R150=0,"Less than year on 1-Jul-2022",_xlfn.CONCAT("On 1-Jul-2022, age ",R150,'Book Details - NO EDIT'!J150)),IF(LEN(R150)=0,"Died in infancy",_xlfn.CONCAT("Died ",'Book Details - NO EDIT'!J150,","," aged ",R150)))</f>
        <v>Died 01/04/1966, aged 148</v>
      </c>
      <c r="R150" s="73">
        <f>'Book Details - NO EDIT'!AX150</f>
        <v>148</v>
      </c>
      <c r="S150" s="73" t="str">
        <f>'Book Details - NO EDIT'!AY150</f>
        <v xml:space="preserve"> - </v>
      </c>
      <c r="T150" s="73" t="str">
        <f>'Book Details - NO EDIT'!AW150</f>
        <v>England</v>
      </c>
      <c r="U150" s="73">
        <f>VLOOKUP(A150,'Book Details - NO EDIT'!$A150:$S$192,13,FALSE)</f>
        <v>72</v>
      </c>
      <c r="V150" s="73">
        <f>VLOOKUP(A150,'Book Details - NO EDIT'!$A150:$S$192,12,FALSE)</f>
        <v>104</v>
      </c>
      <c r="X150" s="31">
        <f>IF(LEN('Book Details - NO EDIT'!J150)=0,0,1)</f>
        <v>1</v>
      </c>
    </row>
    <row r="151" spans="1:24" s="31" customFormat="1" ht="34">
      <c r="A151" s="125">
        <f>'Book Details - NO EDIT'!A151</f>
        <v>149</v>
      </c>
      <c r="B151" s="31" t="str">
        <f>'Book Details - NO EDIT'!Y151</f>
        <v>Anthony William Vivian LOYD</v>
      </c>
      <c r="C151" s="31" t="str">
        <f>'Book Details - NO EDIT'!V151</f>
        <v>Anthony (1966–)</v>
      </c>
      <c r="D151" s="199">
        <f>'Book Details - NO EDIT'!I151</f>
        <v>24362</v>
      </c>
      <c r="E151" s="31" t="str">
        <f>IF('Book Details - NO EDIT'!K151="Boy","Male","Female")</f>
        <v>Male</v>
      </c>
      <c r="F151" s="31" t="str">
        <f>IF('Book Details - NO EDIT'!T151=1,"First",IF('Book Details - NO EDIT'!T151=2,"Second",IF('Book Details - NO EDIT'!T151=3,"Third",IF('Book Details - NO EDIT'!T151=4,"Fourth",IF('Book Details - NO EDIT'!T151=5,"Fifth",IF('Book Details - NO EDIT'!T151=6,"Sixth",IF('Book Details - NO EDIT'!T151=7,"Seventh",IF('Book Details - NO EDIT'!T151=8,"Eighth",0))))))))</f>
        <v>Sixth</v>
      </c>
      <c r="G151" s="31" t="str">
        <f>'Book Details - NO EDIT'!Z151</f>
        <v>Willie (1937–1994: #113)</v>
      </c>
      <c r="H151" s="31" t="str">
        <f>'Book Details - NO EDIT'!AH151</f>
        <v>Deirdre THOMPSON (b. 11 Apr 1936, d. 2004)</v>
      </c>
      <c r="I151" s="31" t="str">
        <f>'Book Details - NO EDIT'!AI151</f>
        <v>(1) Lady Sophia HAMILTON</v>
      </c>
      <c r="J151" s="199" t="str">
        <f>'Book Details - NO EDIT'!AJ151</f>
        <v>2002</v>
      </c>
      <c r="K151" s="31" t="str">
        <f>'Book Details - NO EDIT'!AK151</f>
        <v>(1) Lady Sophia daughter of James Hamilton, 5th Duke of Abercorn, and Sacha Hamilton, Duchess of Abercorn. (Div. 2005). (2) Harriet Louise MELLOR in 2007.</v>
      </c>
      <c r="L151" s="131" t="str">
        <f>'Book Details - NO EDIT'!AL151</f>
        <v>Anthony is the only son of Willie (1937–1994: #113). Born 12 Sep 1966. Educated Eton 1980-82; St Mary's College, Guildford and RMA Sandhurst. Career: Lieut, Royal Green Jackets 1986-1991. Served in Northern Ireland and Gulf War. Journalist. Freelance war correspondent for The Times from 1993 to present. Lived in Bosnia to cover the war in the former Yugoslavia. Also covered other wars including Chechnya, Afghanistan, Sierra Leone and Kosovo. Author of ‘my war gone by, I miss it so’, Doubleday 1999. Issue: (2nd Wife)  1 daughter.</v>
      </c>
      <c r="M151" s="73" t="str">
        <f>'Book Details - NO EDIT'!AA151</f>
        <v xml:space="preserve">Willie (1937–1994: #113) Vivian (1894–1972: #78) William (1863–1923: #46) William (1821–1885: #23) Edward (1780–1863: #8) William (1729–1800: #1)  </v>
      </c>
      <c r="N151" s="197" t="str">
        <f>'Book Details - NO EDIT'!AB151</f>
        <v>0 – Only chlid</v>
      </c>
      <c r="O151" s="198" t="str">
        <f>'Book Details - NO EDIT'!AC151</f>
        <v>1 - Delilah (2006–: #184)</v>
      </c>
      <c r="P151" s="198" t="str">
        <f>'Book Details - NO EDIT'!AD151</f>
        <v>-</v>
      </c>
      <c r="Q151" s="191" t="str">
        <f>IF('Book Details - NO EDIT'!J151="",IF(R151=0,"Less than year on 1-Jul-2022",_xlfn.CONCAT("On 1-Jul-2022, age ",R151,'Book Details - NO EDIT'!J151)),IF(LEN(R151)=0,"Died in infancy",_xlfn.CONCAT("Died ",'Book Details - NO EDIT'!J151,","," aged ",R151)))</f>
        <v>On 1-Jul-2022, age 149</v>
      </c>
      <c r="R151" s="73">
        <f>'Book Details - NO EDIT'!AX151</f>
        <v>149</v>
      </c>
      <c r="S151" s="73" t="str">
        <f>'Book Details - NO EDIT'!AY151</f>
        <v>Anthonyloyd@gmail.com</v>
      </c>
      <c r="T151" s="73" t="str">
        <f>'Book Details - NO EDIT'!AW151</f>
        <v>England, Bosnia, Afghanistan, Sierra Leone and Kosovo</v>
      </c>
      <c r="U151" s="73">
        <f>VLOOKUP(A151,'Book Details - NO EDIT'!$A151:$S$192,13,FALSE)</f>
        <v>78</v>
      </c>
      <c r="V151" s="73">
        <f>VLOOKUP(A151,'Book Details - NO EDIT'!$A151:$S$192,12,FALSE)</f>
        <v>113</v>
      </c>
      <c r="X151" s="31">
        <f>IF(LEN('Book Details - NO EDIT'!J151)=0,0,1)</f>
        <v>0</v>
      </c>
    </row>
    <row r="152" spans="1:24" s="31" customFormat="1" ht="17">
      <c r="A152" s="125">
        <f>'Book Details - NO EDIT'!A152</f>
        <v>150</v>
      </c>
      <c r="B152" s="31" t="str">
        <f>'Book Details - NO EDIT'!Y152</f>
        <v>James William LOYD</v>
      </c>
      <c r="C152" s="31" t="str">
        <f>'Book Details - NO EDIT'!V152</f>
        <v>James (1966–)</v>
      </c>
      <c r="D152" s="199">
        <f>'Book Details - NO EDIT'!I152</f>
        <v>24365</v>
      </c>
      <c r="E152" s="31" t="str">
        <f>IF('Book Details - NO EDIT'!K152="Boy","Male","Female")</f>
        <v>Male</v>
      </c>
      <c r="F152" s="31" t="str">
        <f>IF('Book Details - NO EDIT'!T152=1,"First",IF('Book Details - NO EDIT'!T152=2,"Second",IF('Book Details - NO EDIT'!T152=3,"Third",IF('Book Details - NO EDIT'!T152=4,"Fourth",IF('Book Details - NO EDIT'!T152=5,"Fifth",IF('Book Details - NO EDIT'!T152=6,"Sixth",IF('Book Details - NO EDIT'!T152=7,"Seventh",IF('Book Details - NO EDIT'!T152=8,"Eighth",0))))))))</f>
        <v>Sixth</v>
      </c>
      <c r="G152" s="31" t="str">
        <f>'Book Details - NO EDIT'!Z152</f>
        <v>Christopher (1923–2013: #100)</v>
      </c>
      <c r="H152" s="31" t="str">
        <f>'Book Details - NO EDIT'!AH152</f>
        <v>Joanna SMITH-BINGHAM (b. 17 Nov 1935, )</v>
      </c>
      <c r="I152" s="31" t="str">
        <f>'Book Details - NO EDIT'!AI152</f>
        <v>Lady Tara Guinevere CRICHTON (b. 9 May 1967, )</v>
      </c>
      <c r="J152" s="199">
        <f>'Book Details - NO EDIT'!AJ152</f>
        <v>34300</v>
      </c>
      <c r="K152" s="31" t="str">
        <f>'Book Details - NO EDIT'!AK152</f>
        <v>Married Lady Tara, at St Margaret’s, Westminster, London, youngest daughter of the 6th Earl of ERNE, of Crom Castle, Newtown Butler, co Fermanagh.</v>
      </c>
      <c r="L152" s="131" t="str">
        <f>'Book Details - NO EDIT'!AL152</f>
        <v>James lives in Shaftesbury, Dorset and is the younger son of Christopher (1923–2013: #100). Born 15 Sep 1966. Baptised 15 Nov 1966 at All Saints’, Lockinge. Educated Kings, Bruton. Issue: 1 son, 1 daughter.</v>
      </c>
      <c r="M152" s="73" t="str">
        <f>'Book Details - NO EDIT'!AA152</f>
        <v xml:space="preserve">Christopher (1923–2013: #100) Tommy (1882–1944: #56) The Rev Lewis (1844–1905: #28) Thomas (1812–1857: #14) William (1770–1828: #4) William (1729–1800: #1)  </v>
      </c>
      <c r="N152" s="197" t="str">
        <f>'Book Details - NO EDIT'!AB152</f>
        <v xml:space="preserve">2 – Thomas (1959–: #138) Harriet (1962–: #143)       </v>
      </c>
      <c r="O152" s="198" t="str">
        <f>'Book Details - NO EDIT'!AC152</f>
        <v>2 - William (1996–: #178); Eliza (1999–: #181)</v>
      </c>
      <c r="P152" s="198" t="str">
        <f>'Book Details - NO EDIT'!AD152</f>
        <v>-</v>
      </c>
      <c r="Q152" s="191" t="str">
        <f>IF('Book Details - NO EDIT'!J152="",IF(R152=0,"Less than year on 1-Jul-2022",_xlfn.CONCAT("On 1-Jul-2022, age ",R152,'Book Details - NO EDIT'!J152)),IF(LEN(R152)=0,"Died in infancy",_xlfn.CONCAT("Died ",'Book Details - NO EDIT'!J152,","," aged ",R152)))</f>
        <v>On 1-Jul-2022, age 150</v>
      </c>
      <c r="R152" s="73">
        <f>'Book Details - NO EDIT'!AX152</f>
        <v>150</v>
      </c>
      <c r="S152" s="73" t="str">
        <f>'Book Details - NO EDIT'!AY152</f>
        <v>tloyd@lockinge-estate.co.uk</v>
      </c>
      <c r="T152" s="73" t="str">
        <f>'Book Details - NO EDIT'!AW152</f>
        <v>England</v>
      </c>
      <c r="U152" s="73">
        <f>VLOOKUP(A152,'Book Details - NO EDIT'!$A152:$S$192,13,FALSE)</f>
        <v>56</v>
      </c>
      <c r="V152" s="73">
        <f>VLOOKUP(A152,'Book Details - NO EDIT'!$A152:$S$192,12,FALSE)</f>
        <v>100</v>
      </c>
      <c r="X152" s="31">
        <f>IF(LEN('Book Details - NO EDIT'!J152)=0,0,1)</f>
        <v>0</v>
      </c>
    </row>
    <row r="153" spans="1:24" s="31" customFormat="1" ht="17">
      <c r="A153" s="125">
        <f>'Book Details - NO EDIT'!A153</f>
        <v>151</v>
      </c>
      <c r="B153" s="31" t="str">
        <f>'Book Details - NO EDIT'!Y153</f>
        <v>Elspeth Joanna LOYD</v>
      </c>
      <c r="C153" s="31" t="str">
        <f>'Book Details - NO EDIT'!V153</f>
        <v>Elspeth (1967–)</v>
      </c>
      <c r="D153" s="199">
        <f>'Book Details - NO EDIT'!I153</f>
        <v>24623</v>
      </c>
      <c r="E153" s="31" t="str">
        <f>IF('Book Details - NO EDIT'!K153="Boy","Male","Female")</f>
        <v>Female</v>
      </c>
      <c r="F153" s="31" t="str">
        <f>IF('Book Details - NO EDIT'!T153=1,"First",IF('Book Details - NO EDIT'!T153=2,"Second",IF('Book Details - NO EDIT'!T153=3,"Third",IF('Book Details - NO EDIT'!T153=4,"Fourth",IF('Book Details - NO EDIT'!T153=5,"Fifth",IF('Book Details - NO EDIT'!T153=6,"Sixth",IF('Book Details - NO EDIT'!T153=7,"Seventh",IF('Book Details - NO EDIT'!T153=8,"Eighth",0))))))))</f>
        <v>Sixth</v>
      </c>
      <c r="G153" s="31" t="str">
        <f>'Book Details - NO EDIT'!Z153</f>
        <v>Patrick (1942–: #117)</v>
      </c>
      <c r="H153" s="31" t="str">
        <f>'Book Details - NO EDIT'!AH153</f>
        <v>Mary DAVIES (b. 6 Aug 1939, d. 17 Feb 1997)</v>
      </c>
      <c r="I153" s="31" t="str">
        <f>'Book Details - NO EDIT'!AI153</f>
        <v>Richard Thomas LUFF (b. 3 Apr 1971, )</v>
      </c>
      <c r="J153" s="199">
        <f>'Book Details - NO EDIT'!AJ153</f>
        <v>37520</v>
      </c>
      <c r="K153" s="31" t="str">
        <f>'Book Details - NO EDIT'!AK153</f>
        <v>Richard is the son of Peter Thomas LUFF and Elizabeth Lihou.</v>
      </c>
      <c r="L153" s="131" t="str">
        <f>'Book Details - NO EDIT'!AL153</f>
        <v>Elspeth is the younger daughter of Patrick (1942– : #117). Born 31 May 1967 at Northampton.</v>
      </c>
      <c r="M153" s="73" t="str">
        <f>'Book Details - NO EDIT'!AA153</f>
        <v xml:space="preserve">Patrick (1942–: #117) Dick (1882–1950: #55) Lewis (1852–1908: #35) William (1821–1885: #23) Edward (1780–1863: #8) William (1729–1800: #1)  </v>
      </c>
      <c r="N153" s="197" t="str">
        <f>'Book Details - NO EDIT'!AB153</f>
        <v xml:space="preserve">2 – Susannah (1965–: #147)  Richard (1968–: #153)      </v>
      </c>
      <c r="O153" s="198" t="str">
        <f>'Book Details - NO EDIT'!AC153</f>
        <v/>
      </c>
      <c r="P153" s="198" t="str">
        <f>'Book Details - NO EDIT'!AD153</f>
        <v>-</v>
      </c>
      <c r="Q153" s="191" t="str">
        <f>IF('Book Details - NO EDIT'!J153="",IF(R153=0,"Less than year on 1-Jul-2022",_xlfn.CONCAT("On 1-Jul-2022, age ",R153,'Book Details - NO EDIT'!J153)),IF(LEN(R153)=0,"Died in infancy",_xlfn.CONCAT("Died ",'Book Details - NO EDIT'!J153,","," aged ",R153)))</f>
        <v>On 1-Jul-2022, age 151</v>
      </c>
      <c r="R153" s="73">
        <f>'Book Details - NO EDIT'!AX153</f>
        <v>151</v>
      </c>
      <c r="S153" s="73" t="str">
        <f>'Book Details - NO EDIT'!AY153</f>
        <v>patrickloyd@cwgsy.net</v>
      </c>
      <c r="T153" s="73" t="str">
        <f>'Book Details - NO EDIT'!AW153</f>
        <v>England</v>
      </c>
      <c r="U153" s="73">
        <f>VLOOKUP(A153,'Book Details - NO EDIT'!$A153:$S$192,13,FALSE)</f>
        <v>55</v>
      </c>
      <c r="V153" s="73">
        <f>VLOOKUP(A153,'Book Details - NO EDIT'!$A153:$S$192,12,FALSE)</f>
        <v>117</v>
      </c>
      <c r="X153" s="31">
        <f>IF(LEN('Book Details - NO EDIT'!J153)=0,0,1)</f>
        <v>0</v>
      </c>
    </row>
    <row r="154" spans="1:24" s="31" customFormat="1" ht="17">
      <c r="A154" s="125">
        <f>'Book Details - NO EDIT'!A154</f>
        <v>152</v>
      </c>
      <c r="B154" s="31" t="str">
        <f>'Book Details - NO EDIT'!Y154</f>
        <v>Mary Rose LOYD</v>
      </c>
      <c r="C154" s="31" t="str">
        <f>'Book Details - NO EDIT'!V154</f>
        <v>Mary Rose (1967–)</v>
      </c>
      <c r="D154" s="199">
        <f>'Book Details - NO EDIT'!I154</f>
        <v>24631</v>
      </c>
      <c r="E154" s="31" t="str">
        <f>IF('Book Details - NO EDIT'!K154="Boy","Male","Female")</f>
        <v>Female</v>
      </c>
      <c r="F154" s="31" t="str">
        <f>IF('Book Details - NO EDIT'!T154=1,"First",IF('Book Details - NO EDIT'!T154=2,"Second",IF('Book Details - NO EDIT'!T154=3,"Third",IF('Book Details - NO EDIT'!T154=4,"Fourth",IF('Book Details - NO EDIT'!T154=5,"Fifth",IF('Book Details - NO EDIT'!T154=6,"Sixth",IF('Book Details - NO EDIT'!T154=7,"Seventh",IF('Book Details - NO EDIT'!T154=8,"Eighth",0))))))))</f>
        <v>Sixth</v>
      </c>
      <c r="G154" s="31" t="str">
        <f>'Book Details - NO EDIT'!Z154</f>
        <v>Sir Julian (1926–2018: #104)</v>
      </c>
      <c r="H154" s="31" t="str">
        <f>'Book Details - NO EDIT'!AH154</f>
        <v>Philippa Mary Emma STEEL (b. 5 Dec 1932, d. 27 Oct 2020)</v>
      </c>
      <c r="I154" s="31" t="str">
        <f>'Book Details - NO EDIT'!AI154</f>
        <v>Ellis Fitzroy WHITCOMB (b. 16 Oct 1962, )</v>
      </c>
      <c r="J154" s="199">
        <f>'Book Details - NO EDIT'!AJ154</f>
        <v>34818</v>
      </c>
      <c r="K154" s="31" t="str">
        <f>'Book Details - NO EDIT'!AK154</f>
        <v>Married, at St Mary Magdalene, Sandringham, King’s Lynn, Norfolk, Ellis of Old Palace Cottage, Hatfield Park, Hatfield, Hertfordshire, only son of Stuart WHITCOMB of Hatfield Park.</v>
      </c>
      <c r="L154" s="131" t="str">
        <f>'Book Details - NO EDIT'!AL154</f>
        <v>Mary Rose is the younger daughter of Sir Julian (1926–2018: #104). Born 8 Jun 1967. Baptised 6 Aug 1967 at St Peter and St Paul’s, West Newton, Norfolk. Issue: 1 daughter, 1 son.</v>
      </c>
      <c r="M154" s="73" t="str">
        <f>'Book Details - NO EDIT'!AA154</f>
        <v xml:space="preserve">Sir Julian (1926–2018: #104) Charles (1891–1973: #72) Harry (1861–1938: #44) William (1821–1885: #23) Edward (1780–1863: #8) William (1729–1800: #1)  </v>
      </c>
      <c r="N154" s="197" t="str">
        <f>'Book Details - NO EDIT'!AB154</f>
        <v xml:space="preserve">3 – Alexandra (1961–: #141) Charles (1963–: #146) Toby (1966–1966: #148)      </v>
      </c>
      <c r="O154" s="198" t="str">
        <f>'Book Details - NO EDIT'!AC154</f>
        <v xml:space="preserve">2 - Clementine WHITCOMB (1999 - : #152a) Augustin WHITCOMB (2001 - : #152b)      </v>
      </c>
      <c r="P154" s="198" t="str">
        <f>'Book Details - NO EDIT'!AD154</f>
        <v>-</v>
      </c>
      <c r="Q154" s="191" t="str">
        <f>IF('Book Details - NO EDIT'!J154="",IF(R154=0,"Less than year on 1-Jul-2022",_xlfn.CONCAT("On 1-Jul-2022, age ",R154,'Book Details - NO EDIT'!J154)),IF(LEN(R154)=0,"Died in infancy",_xlfn.CONCAT("Died ",'Book Details - NO EDIT'!J154,","," aged ",R154)))</f>
        <v>On 1-Jul-2022, age 152</v>
      </c>
      <c r="R154" s="73">
        <f>'Book Details - NO EDIT'!AX154</f>
        <v>152</v>
      </c>
      <c r="S154" s="73" t="str">
        <f>'Book Details - NO EDIT'!AY154</f>
        <v xml:space="preserve">maryrose@whitcomb.co.uk </v>
      </c>
      <c r="T154" s="73" t="str">
        <f>'Book Details - NO EDIT'!AW154</f>
        <v>England</v>
      </c>
      <c r="U154" s="73">
        <f>VLOOKUP(A154,'Book Details - NO EDIT'!$A154:$S$192,13,FALSE)</f>
        <v>72</v>
      </c>
      <c r="V154" s="73">
        <f>VLOOKUP(A154,'Book Details - NO EDIT'!$A154:$S$192,12,FALSE)</f>
        <v>104</v>
      </c>
      <c r="X154" s="31">
        <f>IF(LEN('Book Details - NO EDIT'!J154)=0,0,1)</f>
        <v>0</v>
      </c>
    </row>
    <row r="155" spans="1:24" s="31" customFormat="1" ht="17">
      <c r="A155" s="125">
        <f>'Book Details - NO EDIT'!A155</f>
        <v>153</v>
      </c>
      <c r="B155" s="31" t="str">
        <f>'Book Details - NO EDIT'!Y155</f>
        <v>Richard John Patrick LOYD</v>
      </c>
      <c r="C155" s="31" t="str">
        <f>'Book Details - NO EDIT'!V155</f>
        <v>Richard (1968–)</v>
      </c>
      <c r="D155" s="199">
        <f>'Book Details - NO EDIT'!I155</f>
        <v>25015</v>
      </c>
      <c r="E155" s="31" t="str">
        <f>IF('Book Details - NO EDIT'!K155="Boy","Male","Female")</f>
        <v>Male</v>
      </c>
      <c r="F155" s="31" t="str">
        <f>IF('Book Details - NO EDIT'!T155=1,"First",IF('Book Details - NO EDIT'!T155=2,"Second",IF('Book Details - NO EDIT'!T155=3,"Third",IF('Book Details - NO EDIT'!T155=4,"Fourth",IF('Book Details - NO EDIT'!T155=5,"Fifth",IF('Book Details - NO EDIT'!T155=6,"Sixth",IF('Book Details - NO EDIT'!T155=7,"Seventh",IF('Book Details - NO EDIT'!T155=8,"Eighth",0))))))))</f>
        <v>Sixth</v>
      </c>
      <c r="G155" s="31" t="str">
        <f>'Book Details - NO EDIT'!Z155</f>
        <v>Patrick (1942–: #117)</v>
      </c>
      <c r="H155" s="31" t="str">
        <f>'Book Details - NO EDIT'!AH155</f>
        <v>Mary DAVIES (b. 6 Aug 1939, d. 17 Feb 1997)</v>
      </c>
      <c r="I155" s="31" t="str">
        <f>'Book Details - NO EDIT'!AI155</f>
        <v>Vanessa Anne HARVEY (b. 1 Jul 1969, ) Divorced 2015.</v>
      </c>
      <c r="J155" s="199">
        <f>'Book Details - NO EDIT'!AJ155</f>
        <v>35350</v>
      </c>
      <c r="K155" s="31" t="str">
        <f>'Book Details - NO EDIT'!AK155</f>
        <v>Married, at Capelles Methodist Church, St Sampsons, Guernsey, Vanessa elder daughter of David John HARVEY of Coutanchez, St Sampsons, Guernsey.</v>
      </c>
      <c r="L155" s="131" t="str">
        <f>'Book Details - NO EDIT'!AL155</f>
        <v>Richard is the only son of Patrick (1942– : #153). Born 26 Jun 1968 at Northampton.</v>
      </c>
      <c r="M155" s="73" t="str">
        <f>'Book Details - NO EDIT'!AA155</f>
        <v xml:space="preserve">Patrick (1942–: #117) Dick (1882–1950: #55) Lewis (1852–1908: #35) William (1821–1885: #23) Edward (1780–1863: #8) William (1729–1800: #1)  </v>
      </c>
      <c r="N155" s="197" t="str">
        <f>'Book Details - NO EDIT'!AB155</f>
        <v xml:space="preserve">2 – Susannah (1965–: #147) Elspeth (1967–: #151)       </v>
      </c>
      <c r="O155" s="198" t="str">
        <f>'Book Details - NO EDIT'!AC155</f>
        <v/>
      </c>
      <c r="P155" s="198" t="str">
        <f>'Book Details - NO EDIT'!AD155</f>
        <v>-</v>
      </c>
      <c r="Q155" s="191" t="str">
        <f>IF('Book Details - NO EDIT'!J155="",IF(R155=0,"Less than year on 1-Jul-2022",_xlfn.CONCAT("On 1-Jul-2022, age ",R155,'Book Details - NO EDIT'!J155)),IF(LEN(R155)=0,"Died in infancy",_xlfn.CONCAT("Died ",'Book Details - NO EDIT'!J155,","," aged ",R155)))</f>
        <v>On 1-Jul-2022, age 153</v>
      </c>
      <c r="R155" s="73">
        <f>'Book Details - NO EDIT'!AX155</f>
        <v>153</v>
      </c>
      <c r="S155" s="73" t="str">
        <f>'Book Details - NO EDIT'!AY155</f>
        <v>patrickloyd@cwgsy.net</v>
      </c>
      <c r="T155" s="73" t="str">
        <f>'Book Details - NO EDIT'!AW155</f>
        <v>England</v>
      </c>
      <c r="U155" s="73">
        <f>VLOOKUP(A155,'Book Details - NO EDIT'!$A155:$S$192,13,FALSE)</f>
        <v>55</v>
      </c>
      <c r="V155" s="73">
        <f>VLOOKUP(A155,'Book Details - NO EDIT'!$A155:$S$192,12,FALSE)</f>
        <v>117</v>
      </c>
      <c r="X155" s="31">
        <f>IF(LEN('Book Details - NO EDIT'!J155)=0,0,1)</f>
        <v>0</v>
      </c>
    </row>
    <row r="156" spans="1:24" s="31" customFormat="1" ht="51">
      <c r="A156" s="125">
        <f>'Book Details - NO EDIT'!A156</f>
        <v>154</v>
      </c>
      <c r="B156" s="31" t="str">
        <f>'Book Details - NO EDIT'!Y156</f>
        <v>Sophie Katherine LOYD</v>
      </c>
      <c r="C156" s="31" t="str">
        <f>'Book Details - NO EDIT'!V156</f>
        <v>Sophie (1969–)</v>
      </c>
      <c r="D156" s="199">
        <f>'Book Details - NO EDIT'!I156</f>
        <v>25364</v>
      </c>
      <c r="E156" s="31" t="str">
        <f>IF('Book Details - NO EDIT'!K156="Boy","Male","Female")</f>
        <v>Female</v>
      </c>
      <c r="F156" s="31" t="str">
        <f>IF('Book Details - NO EDIT'!T156=1,"First",IF('Book Details - NO EDIT'!T156=2,"Second",IF('Book Details - NO EDIT'!T156=3,"Third",IF('Book Details - NO EDIT'!T156=4,"Fourth",IF('Book Details - NO EDIT'!T156=5,"Fifth",IF('Book Details - NO EDIT'!T156=6,"Sixth",IF('Book Details - NO EDIT'!T156=7,"Seventh",IF('Book Details - NO EDIT'!T156=8,"Eighth",0))))))))</f>
        <v>Sixth</v>
      </c>
      <c r="G156" s="31" t="str">
        <f>'Book Details - NO EDIT'!Z156</f>
        <v>Peter (1922–2022: #98)</v>
      </c>
      <c r="H156" s="31" t="str">
        <f>'Book Details - NO EDIT'!AH156</f>
        <v>Rosemary Joan (Rosie) MOIR (b. 23 Feb 1942, d. 12 Mar 1997)</v>
      </c>
      <c r="I156" s="31" t="str">
        <f>'Book Details - NO EDIT'!AI156</f>
        <v>Shaun Jason NEWING (b.13 Aug 1973, )</v>
      </c>
      <c r="J156" s="199">
        <f>'Book Details - NO EDIT'!AJ156</f>
        <v>37821</v>
      </c>
      <c r="K156" s="31" t="str">
        <f>'Book Details - NO EDIT'!AK156</f>
        <v>Shaun of Wollongong, NSW, Australia.</v>
      </c>
      <c r="L156" s="131" t="str">
        <f>'Book Details - NO EDIT'!AL156</f>
        <v>Sophie lives in Victoria, Australia, previously of West London and is the 3rd and youngest daughter of Peter (1922–2022: #98). Born 10 Jun 1969 at the Middlesex Hospital, Mortimer Street, London W1. Baptised 1 Nov 1969 at St.Jude-on-the-Hill, Hampstead Garden Suburb, London NW11. Education: South Hampstead Junior 1974-81, North London Collegiate 1981-87 and Edinburgh University (BSc Hons, Geography 1991).  Career: Andersen Consulting 1992-1996. Sumitomo Bank 1996-98. Credit Suisse first Boston Bank from 1998–2004. Moved to Melbourne in 2004. ANZ, AMP, National Australia Bank, Judo Bank 2020-present. Captain, Great Britain Junior Synchronised Swimming Team 1986. Issue: 3 sons</v>
      </c>
      <c r="M156" s="73" t="str">
        <f>'Book Details - NO EDIT'!AA156</f>
        <v xml:space="preserve">Peter (1922–2022: #98) Wilfrid (1893–1971: #77) Archie (1847–1922: #30) Thomas (1812–1857: #14) William (1770–1828: #4) William (1729–1800: #1)  </v>
      </c>
      <c r="N156" s="197" t="str">
        <f>'Book Details - NO EDIT'!AB156</f>
        <v xml:space="preserve">4 – Julie (1952–: #128) Penelope (1954–1954: #132) William (1955–: #134) Tony (1963–: #145)     </v>
      </c>
      <c r="O156" s="198" t="str">
        <f>'Book Details - NO EDIT'!AC156</f>
        <v xml:space="preserve">3 - Freddie NEWING (2006 - : #154a) Gus NEWING (2008 - : #154b) Albert NEWING (2015 - 2015: #154c)     </v>
      </c>
      <c r="P156" s="198" t="str">
        <f>'Book Details - NO EDIT'!AD156</f>
        <v>-</v>
      </c>
      <c r="Q156" s="191" t="str">
        <f>IF('Book Details - NO EDIT'!J156="",IF(R156=0,"Less than year on 1-Jul-2022",_xlfn.CONCAT("On 1-Jul-2022, age ",R156,'Book Details - NO EDIT'!J156)),IF(LEN(R156)=0,"Died in infancy",_xlfn.CONCAT("Died ",'Book Details - NO EDIT'!J156,","," aged ",R156)))</f>
        <v>On 1-Jul-2022, age 154</v>
      </c>
      <c r="R156" s="73">
        <f>'Book Details - NO EDIT'!AX156</f>
        <v>154</v>
      </c>
      <c r="S156" s="73" t="str">
        <f>'Book Details - NO EDIT'!AY156</f>
        <v>rosemaryloyd@gmail.com</v>
      </c>
      <c r="T156" s="73" t="str">
        <f>'Book Details - NO EDIT'!AW156</f>
        <v>England &amp; Australia</v>
      </c>
      <c r="U156" s="73">
        <f>VLOOKUP(A156,'Book Details - NO EDIT'!$A156:$S$192,13,FALSE)</f>
        <v>77</v>
      </c>
      <c r="V156" s="73">
        <f>VLOOKUP(A156,'Book Details - NO EDIT'!$A156:$S$192,12,FALSE)</f>
        <v>98</v>
      </c>
      <c r="X156" s="31">
        <f>IF(LEN('Book Details - NO EDIT'!J156)=0,0,1)</f>
        <v>0</v>
      </c>
    </row>
    <row r="157" spans="1:24" s="31" customFormat="1" ht="51">
      <c r="A157" s="125">
        <f>'Book Details - NO EDIT'!A157</f>
        <v>155</v>
      </c>
      <c r="B157" s="31" t="str">
        <f>'Book Details - NO EDIT'!Y157</f>
        <v>William John Charlton LOYD (CHARLTON)</v>
      </c>
      <c r="C157" s="31" t="str">
        <f>'Book Details - NO EDIT'!V157</f>
        <v>William (1973–)</v>
      </c>
      <c r="D157" s="199">
        <f>'Book Details - NO EDIT'!I157</f>
        <v>26769</v>
      </c>
      <c r="E157" s="31" t="str">
        <f>IF('Book Details - NO EDIT'!K157="Boy","Male","Female")</f>
        <v>Male</v>
      </c>
      <c r="F157" s="31" t="str">
        <f>IF('Book Details - NO EDIT'!T157=1,"First",IF('Book Details - NO EDIT'!T157=2,"Second",IF('Book Details - NO EDIT'!T157=3,"Third",IF('Book Details - NO EDIT'!T157=4,"Fourth",IF('Book Details - NO EDIT'!T157=5,"Fifth",IF('Book Details - NO EDIT'!T157=6,"Sixth",IF('Book Details - NO EDIT'!T157=7,"Seventh",IF('Book Details - NO EDIT'!T157=8,"Eighth",0))))))))</f>
        <v>Sixth</v>
      </c>
      <c r="G157" s="31" t="str">
        <f>'Book Details - NO EDIT'!Z157</f>
        <v>Peter (1942–: #119)</v>
      </c>
      <c r="H157" s="31" t="str">
        <f>'Book Details - NO EDIT'!AH157</f>
        <v>Mary Jennifer CHARLTON (b. 15 Jul 1946, d. 10 Oct 1976)</v>
      </c>
      <c r="I157" s="31" t="str">
        <f>'Book Details - NO EDIT'!AI157</f>
        <v>Anne Maria LEES (b. 15 Mar 1972, )</v>
      </c>
      <c r="J157" s="199">
        <f>'Book Details - NO EDIT'!AJ157</f>
        <v>38605</v>
      </c>
      <c r="K157" s="31" t="str">
        <f>'Book Details - NO EDIT'!AK157</f>
        <v xml:space="preserve">Married, at St Oswalds, Bellingham, Northumberland, Anne youngest daughter of Anthony David LEES of Preston-on-Wye Herefordshire. </v>
      </c>
      <c r="L157" s="131" t="str">
        <f>'Book Details - NO EDIT'!AL157</f>
        <v>William lives in Bellingham, Northumberland, previously of Wandsworth Bridge Road, London. Only son of Peter (1942–  : #119). Born 15 Apr 1973. Baptised 6 May 1973 at Pathhead, Midlothian. Education: Ampleforth and Newcastle University (BSc Agricultural Economics 1995). Career: Angela Mortimer from 1998-2000; Morgan Stanley 2000-2005; Farmer 2005 - ; Director Hesleyside Huts 2010 - ; Knight of Malta 1997. Portraits of William (1809–1879: #10) and Thomas (1812–1857: #14) by Eden Upton EDDIS are in possession of William (#155). William has created a LOYD library at Hesleyside to house some 800 LOYD books collected by Reggie (1886–1961: #61); portraits of Lord Overstone (1796–1883: #9), William (1809–1879: #10), Captain James HAIG (b. 1768, d. 1832) and Maria (1814–1900: #16) and numerous LOYD items of historical interest. Issue: 2 daughters, 1 son</v>
      </c>
      <c r="M157" s="73" t="str">
        <f>'Book Details - NO EDIT'!AA157</f>
        <v xml:space="preserve">Peter (1942–: #119) Eric (1894–1963: #80) Arthur (1845–1930: #29) Thomas (1812–1857: #14) William (1770–1828: #4) William (1729–1800: #1)  </v>
      </c>
      <c r="N157" s="197" t="str">
        <f>'Book Details - NO EDIT'!AB157</f>
        <v xml:space="preserve">3 – Amy (1975–: #156) Molly (1982–: #161) Harriet (1984–: #163)     </v>
      </c>
      <c r="O157" s="198" t="str">
        <f>'Book Details - NO EDIT'!AC157</f>
        <v>3 - Matilda (2006–: #183); Katherine (2007–: #185); Henry (2010–: #186)</v>
      </c>
      <c r="P157" s="198" t="str">
        <f>'Book Details - NO EDIT'!AD157</f>
        <v>-</v>
      </c>
      <c r="Q157" s="191" t="str">
        <f>IF('Book Details - NO EDIT'!J157="",IF(R157=0,"Less than year on 1-Jul-2022",_xlfn.CONCAT("On 1-Jul-2022, age ",R157,'Book Details - NO EDIT'!J157)),IF(LEN(R157)=0,"Died in infancy",_xlfn.CONCAT("Died ",'Book Details - NO EDIT'!J157,","," aged ",R157)))</f>
        <v>On 1-Jul-2022, age 155</v>
      </c>
      <c r="R157" s="73">
        <f>'Book Details - NO EDIT'!AX157</f>
        <v>155</v>
      </c>
      <c r="S157" s="73" t="str">
        <f>'Book Details - NO EDIT'!AY157</f>
        <v>mantlehill@aol.com</v>
      </c>
      <c r="T157" s="73" t="str">
        <f>'Book Details - NO EDIT'!AW157</f>
        <v>England</v>
      </c>
      <c r="U157" s="73">
        <f>VLOOKUP(A157,'Book Details - NO EDIT'!$A157:$S$192,13,FALSE)</f>
        <v>80</v>
      </c>
      <c r="V157" s="73">
        <f>VLOOKUP(A157,'Book Details - NO EDIT'!$A157:$S$192,12,FALSE)</f>
        <v>119</v>
      </c>
      <c r="X157" s="31">
        <f>IF(LEN('Book Details - NO EDIT'!J157)=0,0,1)</f>
        <v>0</v>
      </c>
    </row>
    <row r="158" spans="1:24" s="31" customFormat="1" ht="34">
      <c r="A158" s="125">
        <f>'Book Details - NO EDIT'!A158</f>
        <v>156</v>
      </c>
      <c r="B158" s="31" t="str">
        <f>'Book Details - NO EDIT'!Y158</f>
        <v>Amy Lucia LOYD</v>
      </c>
      <c r="C158" s="31" t="str">
        <f>'Book Details - NO EDIT'!V158</f>
        <v>Amy (1975–)</v>
      </c>
      <c r="D158" s="199">
        <f>'Book Details - NO EDIT'!I158</f>
        <v>27457</v>
      </c>
      <c r="E158" s="31" t="str">
        <f>IF('Book Details - NO EDIT'!K158="Boy","Male","Female")</f>
        <v>Female</v>
      </c>
      <c r="F158" s="31" t="str">
        <f>IF('Book Details - NO EDIT'!T158=1,"First",IF('Book Details - NO EDIT'!T158=2,"Second",IF('Book Details - NO EDIT'!T158=3,"Third",IF('Book Details - NO EDIT'!T158=4,"Fourth",IF('Book Details - NO EDIT'!T158=5,"Fifth",IF('Book Details - NO EDIT'!T158=6,"Sixth",IF('Book Details - NO EDIT'!T158=7,"Seventh",IF('Book Details - NO EDIT'!T158=8,"Eighth",0))))))))</f>
        <v>Sixth</v>
      </c>
      <c r="G158" s="31" t="str">
        <f>'Book Details - NO EDIT'!Z158</f>
        <v>Peter (1942–: #119)</v>
      </c>
      <c r="H158" s="31" t="str">
        <f>'Book Details - NO EDIT'!AH158</f>
        <v>Mary Jennifer CHARLTON (b. 15 Jul 1946, d. 10 Oct 1976)</v>
      </c>
      <c r="I158" s="31" t="str">
        <f>'Book Details - NO EDIT'!AI158</f>
        <v>John Matthew GRINDAL (b. 11 Mar 1976, )</v>
      </c>
      <c r="J158" s="199">
        <f>'Book Details - NO EDIT'!AJ158</f>
        <v>41250</v>
      </c>
      <c r="K158" s="31" t="str">
        <f>'Book Details - NO EDIT'!AK158</f>
        <v>John, youngest son of Michael Graham GRINDAL of Manor Farm , Catthorpe, Lutterworth, Leicestershie.</v>
      </c>
      <c r="L158" s="131" t="str">
        <f>'Book Details - NO EDIT'!AL158</f>
        <v>Amy lives in Catthorpe, Leicestershire. Eldest daughter of Peter (1942– :  #119). Born 4 Mar 1975. Baptised 12 Mar 1975 at Saltillo, Mexico. Education:  Queen Margarets, York and University of Northumbria (BA History of Art 1997). Career: Phillips Auctioneers from 1998-2001, Sotherby's 2001-2005. Teacher Thomas's School, Kensington-2013, Bilton Grange School 2013, Dame of Malta 2006. Issue: 1 son, 1 daughter.</v>
      </c>
      <c r="M158" s="73" t="str">
        <f>'Book Details - NO EDIT'!AA158</f>
        <v xml:space="preserve">Peter (1942–: #119) Eric (1894–1963: #80) Arthur (1845–1930: #29) Thomas (1812–1857: #14) William (1770–1828: #4) William (1729–1800: #1)  </v>
      </c>
      <c r="N158" s="197" t="str">
        <f>'Book Details - NO EDIT'!AB158</f>
        <v xml:space="preserve">3 – William (1973–: #155)  Molly (1982–: #161) Harriet (1984–: #163)     </v>
      </c>
      <c r="O158" s="198" t="str">
        <f>'Book Details - NO EDIT'!AC158</f>
        <v xml:space="preserve">2 - Peter GRINDAL (2014 - : #156a) Dorothy GRINDAL (2016 - : #156b)      </v>
      </c>
      <c r="P158" s="198" t="str">
        <f>'Book Details - NO EDIT'!AD158</f>
        <v>-</v>
      </c>
      <c r="Q158" s="191" t="str">
        <f>IF('Book Details - NO EDIT'!J158="",IF(R158=0,"Less than year on 1-Jul-2022",_xlfn.CONCAT("On 1-Jul-2022, age ",R158,'Book Details - NO EDIT'!J158)),IF(LEN(R158)=0,"Died in infancy",_xlfn.CONCAT("Died ",'Book Details - NO EDIT'!J158,","," aged ",R158)))</f>
        <v>On 1-Jul-2022, age 156</v>
      </c>
      <c r="R158" s="73">
        <f>'Book Details - NO EDIT'!AX158</f>
        <v>156</v>
      </c>
      <c r="S158" s="73" t="str">
        <f>'Book Details - NO EDIT'!AY158</f>
        <v>mantlehill@aol.com</v>
      </c>
      <c r="T158" s="73" t="str">
        <f>'Book Details - NO EDIT'!AW158</f>
        <v>Mexico and England</v>
      </c>
      <c r="U158" s="73">
        <f>VLOOKUP(A158,'Book Details - NO EDIT'!$A158:$S$192,13,FALSE)</f>
        <v>80</v>
      </c>
      <c r="V158" s="73">
        <f>VLOOKUP(A158,'Book Details - NO EDIT'!$A158:$S$192,12,FALSE)</f>
        <v>119</v>
      </c>
      <c r="X158" s="31">
        <f>IF(LEN('Book Details - NO EDIT'!J158)=0,0,1)</f>
        <v>0</v>
      </c>
    </row>
    <row r="159" spans="1:24" s="31" customFormat="1" ht="34">
      <c r="A159" s="125">
        <f>'Book Details - NO EDIT'!A159</f>
        <v>157</v>
      </c>
      <c r="B159" s="31" t="str">
        <f>'Book Details - NO EDIT'!Y159</f>
        <v>Tessa Jane LOYD</v>
      </c>
      <c r="C159" s="31" t="str">
        <f>'Book Details - NO EDIT'!V159</f>
        <v>Tess (1975–)</v>
      </c>
      <c r="D159" s="199">
        <f>'Book Details - NO EDIT'!I159</f>
        <v>27606</v>
      </c>
      <c r="E159" s="31" t="str">
        <f>IF('Book Details - NO EDIT'!K159="Boy","Male","Female")</f>
        <v>Female</v>
      </c>
      <c r="F159" s="31" t="str">
        <f>IF('Book Details - NO EDIT'!T159=1,"First",IF('Book Details - NO EDIT'!T159=2,"Second",IF('Book Details - NO EDIT'!T159=3,"Third",IF('Book Details - NO EDIT'!T159=4,"Fourth",IF('Book Details - NO EDIT'!T159=5,"Fifth",IF('Book Details - NO EDIT'!T159=6,"Sixth",IF('Book Details - NO EDIT'!T159=7,"Seventh",IF('Book Details - NO EDIT'!T159=8,"Eighth",0))))))))</f>
        <v>Sixth</v>
      </c>
      <c r="G159" s="31" t="str">
        <f>'Book Details - NO EDIT'!Z159</f>
        <v>Michael (1938–: #114)</v>
      </c>
      <c r="H159" s="31" t="str">
        <f>'Book Details - NO EDIT'!AH159</f>
        <v>Rosemary (Rosie) STRAKER (b. 19 Jan 1945, )</v>
      </c>
      <c r="I159" s="31" t="str">
        <f>'Book Details - NO EDIT'!AI159</f>
        <v>William H. S. SIMMONDS (b. 29 Nov 1974, )</v>
      </c>
      <c r="J159" s="199">
        <f>'Book Details - NO EDIT'!AJ159</f>
        <v>40761</v>
      </c>
      <c r="K159" s="31" t="str">
        <f>'Book Details - NO EDIT'!AK159</f>
        <v xml:space="preserve"> William only son of Harry SIMMONDS of Oswaldkirk, North Yorshire.</v>
      </c>
      <c r="L159" s="131" t="str">
        <f>'Book Details - NO EDIT'!AL159</f>
        <v>Tessa lives in Hayden Bridge, Hexham and is the eldest daughter of John (1938– : #114). Born 31 Jul 1975. Baptised 21 Sep 1975 at Stagshaw Chapel, Corbridge, Northumberland. Educated University of Northumbria (BA Business Studies) and RMA Sandhurst. Career:  Captain Royal Engineers. Retired SEO 2005. PA Consultancy 2005-2012. Issue: 1 son, 1 daughter.</v>
      </c>
      <c r="M159" s="73" t="str">
        <f>'Book Details - NO EDIT'!AA159</f>
        <v xml:space="preserve">Michael (1938–: #114) Eric (1894–1963: #80) Arthur (1845–1930: #29) Thomas (1812–1857: #14) William (1770–1828: #4) William (1729–1800: #1)  </v>
      </c>
      <c r="N159" s="197" t="str">
        <f>'Book Details - NO EDIT'!AB159</f>
        <v xml:space="preserve">2 – Chloe (1977–: #158) Daisy (1979–: #159)      </v>
      </c>
      <c r="O159" s="198" t="str">
        <f>'Book Details - NO EDIT'!AC159</f>
        <v xml:space="preserve">2 - Henry SIMMONDS (2012 - : #157a) Emily SIMMONDS (2014 - : #157b)      </v>
      </c>
      <c r="P159" s="198" t="str">
        <f>'Book Details - NO EDIT'!AD159</f>
        <v>-</v>
      </c>
      <c r="Q159" s="191" t="str">
        <f>IF('Book Details - NO EDIT'!J159="",IF(R159=0,"Less than year on 1-Jul-2022",_xlfn.CONCAT("On 1-Jul-2022, age ",R159,'Book Details - NO EDIT'!J159)),IF(LEN(R159)=0,"Died in infancy",_xlfn.CONCAT("Died ",'Book Details - NO EDIT'!J159,","," aged ",R159)))</f>
        <v>On 1-Jul-2022, age 157</v>
      </c>
      <c r="R159" s="73">
        <f>'Book Details - NO EDIT'!AX159</f>
        <v>157</v>
      </c>
      <c r="S159" s="73" t="str">
        <f>'Book Details - NO EDIT'!AY159</f>
        <v>mantlehill@aol.com</v>
      </c>
      <c r="T159" s="73" t="str">
        <f>'Book Details - NO EDIT'!AW159</f>
        <v>England</v>
      </c>
      <c r="U159" s="73">
        <f>VLOOKUP(A159,'Book Details - NO EDIT'!$A159:$S$192,13,FALSE)</f>
        <v>80</v>
      </c>
      <c r="V159" s="73">
        <f>VLOOKUP(A159,'Book Details - NO EDIT'!$A159:$S$192,12,FALSE)</f>
        <v>114</v>
      </c>
      <c r="X159" s="31">
        <f>IF(LEN('Book Details - NO EDIT'!J159)=0,0,1)</f>
        <v>0</v>
      </c>
    </row>
    <row r="160" spans="1:24" s="31" customFormat="1" ht="17">
      <c r="A160" s="125">
        <f>'Book Details - NO EDIT'!A160</f>
        <v>158</v>
      </c>
      <c r="B160" s="31" t="str">
        <f>'Book Details - NO EDIT'!Y160</f>
        <v>Chloe Victoria LOYD</v>
      </c>
      <c r="C160" s="31" t="str">
        <f>'Book Details - NO EDIT'!V160</f>
        <v>Chloe (1977–)</v>
      </c>
      <c r="D160" s="199">
        <f>'Book Details - NO EDIT'!I160</f>
        <v>28368</v>
      </c>
      <c r="E160" s="31" t="str">
        <f>IF('Book Details - NO EDIT'!K160="Boy","Male","Female")</f>
        <v>Female</v>
      </c>
      <c r="F160" s="31" t="str">
        <f>IF('Book Details - NO EDIT'!T160=1,"First",IF('Book Details - NO EDIT'!T160=2,"Second",IF('Book Details - NO EDIT'!T160=3,"Third",IF('Book Details - NO EDIT'!T160=4,"Fourth",IF('Book Details - NO EDIT'!T160=5,"Fifth",IF('Book Details - NO EDIT'!T160=6,"Sixth",IF('Book Details - NO EDIT'!T160=7,"Seventh",IF('Book Details - NO EDIT'!T160=8,"Eighth",0))))))))</f>
        <v>Sixth</v>
      </c>
      <c r="G160" s="31" t="str">
        <f>'Book Details - NO EDIT'!Z160</f>
        <v>Michael (1938–: #114)</v>
      </c>
      <c r="H160" s="31" t="str">
        <f>'Book Details - NO EDIT'!AH160</f>
        <v>Rosemary (Rosie) STRAKER (b. 19 Jan 1945, )</v>
      </c>
      <c r="I160" s="31" t="str">
        <f>'Book Details - NO EDIT'!AI160</f>
        <v>Timothy KYLE (b. 9 Oct 1973, )</v>
      </c>
      <c r="J160" s="199">
        <f>'Book Details - NO EDIT'!AJ160</f>
        <v>39599</v>
      </c>
      <c r="K160" s="31" t="str">
        <f>'Book Details - NO EDIT'!AK160</f>
        <v>Married Timothy at Stagshaw Chapel, Corbridge, Northumberland, eldest son of Air Vice Marshall RICKARD, of Pursers Place, Marefield, East Sussex.</v>
      </c>
      <c r="L160" s="131" t="str">
        <f>'Book Details - NO EDIT'!AL160</f>
        <v>Chloe lives in Sussex and is the 2nd daughter of John (1938– : #114). Born 31 Aug 1977. Baptised 19 Sep 1977 at Stagshaw Chapel, Corbridge, Northumberland. Educated: Edinburgh University (MA Hon Geography). Issue: 1 daughter.</v>
      </c>
      <c r="M160" s="73" t="str">
        <f>'Book Details - NO EDIT'!AA160</f>
        <v xml:space="preserve">Michael (1938–: #114) Eric (1894–1963: #80) Arthur (1845–1930: #29) Thomas (1812–1857: #14) William (1770–1828: #4) William (1729–1800: #1)  </v>
      </c>
      <c r="N160" s="197" t="str">
        <f>'Book Details - NO EDIT'!AB160</f>
        <v xml:space="preserve">2 – Tess (1975–: #157)  Daisy (1979–: #159)      </v>
      </c>
      <c r="O160" s="198" t="str">
        <f>'Book Details - NO EDIT'!AC160</f>
        <v xml:space="preserve">1 - Theodore KYLE (2010 - : #158a)       </v>
      </c>
      <c r="P160" s="198" t="str">
        <f>'Book Details - NO EDIT'!AD160</f>
        <v>-</v>
      </c>
      <c r="Q160" s="191" t="str">
        <f>IF('Book Details - NO EDIT'!J160="",IF(R160=0,"Less than year on 1-Jul-2022",_xlfn.CONCAT("On 1-Jul-2022, age ",R160,'Book Details - NO EDIT'!J160)),IF(LEN(R160)=0,"Died in infancy",_xlfn.CONCAT("Died ",'Book Details - NO EDIT'!J160,","," aged ",R160)))</f>
        <v>On 1-Jul-2022, age 158</v>
      </c>
      <c r="R160" s="73">
        <f>'Book Details - NO EDIT'!AX160</f>
        <v>158</v>
      </c>
      <c r="S160" s="73" t="str">
        <f>'Book Details - NO EDIT'!AY160</f>
        <v>mantlehill@aol.com</v>
      </c>
      <c r="T160" s="73" t="str">
        <f>'Book Details - NO EDIT'!AW160</f>
        <v>England</v>
      </c>
      <c r="U160" s="73">
        <f>VLOOKUP(A160,'Book Details - NO EDIT'!$A160:$S$192,13,FALSE)</f>
        <v>80</v>
      </c>
      <c r="V160" s="73">
        <f>VLOOKUP(A160,'Book Details - NO EDIT'!$A160:$S$192,12,FALSE)</f>
        <v>114</v>
      </c>
      <c r="X160" s="31">
        <f>IF(LEN('Book Details - NO EDIT'!J160)=0,0,1)</f>
        <v>0</v>
      </c>
    </row>
    <row r="161" spans="1:24" s="31" customFormat="1" ht="34">
      <c r="A161" s="125">
        <f>'Book Details - NO EDIT'!A161</f>
        <v>159</v>
      </c>
      <c r="B161" s="31" t="str">
        <f>'Book Details - NO EDIT'!Y161</f>
        <v>Daisy Anne LOYD</v>
      </c>
      <c r="C161" s="31" t="str">
        <f>'Book Details - NO EDIT'!V161</f>
        <v>Daisy (1979–)</v>
      </c>
      <c r="D161" s="199">
        <f>'Book Details - NO EDIT'!I161</f>
        <v>29086</v>
      </c>
      <c r="E161" s="31" t="str">
        <f>IF('Book Details - NO EDIT'!K161="Boy","Male","Female")</f>
        <v>Female</v>
      </c>
      <c r="F161" s="31" t="str">
        <f>IF('Book Details - NO EDIT'!T161=1,"First",IF('Book Details - NO EDIT'!T161=2,"Second",IF('Book Details - NO EDIT'!T161=3,"Third",IF('Book Details - NO EDIT'!T161=4,"Fourth",IF('Book Details - NO EDIT'!T161=5,"Fifth",IF('Book Details - NO EDIT'!T161=6,"Sixth",IF('Book Details - NO EDIT'!T161=7,"Seventh",IF('Book Details - NO EDIT'!T161=8,"Eighth",0))))))))</f>
        <v>Sixth</v>
      </c>
      <c r="G161" s="31" t="str">
        <f>'Book Details - NO EDIT'!Z161</f>
        <v>Michael (1938–: #114)</v>
      </c>
      <c r="H161" s="31" t="str">
        <f>'Book Details - NO EDIT'!AH161</f>
        <v>Rosemary (Rosie) STRAKER (b. 19 Jan 1945, )</v>
      </c>
      <c r="I161" s="31" t="str">
        <f>'Book Details - NO EDIT'!AI161</f>
        <v>Robert GARDENER (b. 25 Oct 1978, )</v>
      </c>
      <c r="J161" s="199">
        <f>'Book Details - NO EDIT'!AJ161</f>
        <v>39424</v>
      </c>
      <c r="K161" s="31" t="str">
        <f>'Book Details - NO EDIT'!AK161</f>
        <v>Robert youngest son of Nichoasl GARDENER of North Allerton, N. Yorkshire.</v>
      </c>
      <c r="L161" s="131" t="str">
        <f>'Book Details - NO EDIT'!AL161</f>
        <v>Daisy lives in Langley-on-Tyne, Hexham and is the 3rd and youngest daughter of John (1938– : #114). Born 19 Aug 1979. Baptised 9 Sep 1979 at Stagshaw Chapel, Corbridge, Northumberland. Education:  Worcester College, Oxford (MA 2000); RADA; Kings College, London (MA 2005); UCL Instiitute of Education (PhD, 2011). Career: Lecturer Higher Colleges of Technology, Abu Dhabi 2011-2014; Lecturer UCL Institute of Education and Goldsmiths University of London from 2005.  Issue: 1 son, 1 daughter.</v>
      </c>
      <c r="M161" s="73" t="str">
        <f>'Book Details - NO EDIT'!AA161</f>
        <v xml:space="preserve">Michael (1938–: #114) Eric (1894–1963: #80) Arthur (1845–1930: #29) Thomas (1812–1857: #14) William (1770–1828: #4) William (1729–1800: #1)  </v>
      </c>
      <c r="N161" s="197" t="str">
        <f>'Book Details - NO EDIT'!AB161</f>
        <v xml:space="preserve">2 – Tess (1975–: #157) Chloe (1977–: #158)       </v>
      </c>
      <c r="O161" s="198" t="str">
        <f>'Book Details - NO EDIT'!AC161</f>
        <v xml:space="preserve">2 - Thomas GARDENER (2010 - : #159a) Alice GARDENER (2013 - : #159b)      </v>
      </c>
      <c r="P161" s="198" t="str">
        <f>'Book Details - NO EDIT'!AD161</f>
        <v>-</v>
      </c>
      <c r="Q161" s="191" t="str">
        <f>IF('Book Details - NO EDIT'!J161="",IF(R161=0,"Less than year on 1-Jul-2022",_xlfn.CONCAT("On 1-Jul-2022, age ",R161,'Book Details - NO EDIT'!J161)),IF(LEN(R161)=0,"Died in infancy",_xlfn.CONCAT("Died ",'Book Details - NO EDIT'!J161,","," aged ",R161)))</f>
        <v>On 1-Jul-2022, age 159</v>
      </c>
      <c r="R161" s="73">
        <f>'Book Details - NO EDIT'!AX161</f>
        <v>159</v>
      </c>
      <c r="S161" s="73" t="str">
        <f>'Book Details - NO EDIT'!AY161</f>
        <v>mantlehill@aol.com</v>
      </c>
      <c r="T161" s="73" t="str">
        <f>'Book Details - NO EDIT'!AW161</f>
        <v>England</v>
      </c>
      <c r="U161" s="73">
        <f>VLOOKUP(A161,'Book Details - NO EDIT'!$A161:$S$192,13,FALSE)</f>
        <v>80</v>
      </c>
      <c r="V161" s="73">
        <f>VLOOKUP(A161,'Book Details - NO EDIT'!$A161:$S$192,12,FALSE)</f>
        <v>114</v>
      </c>
      <c r="X161" s="31">
        <f>IF(LEN('Book Details - NO EDIT'!J161)=0,0,1)</f>
        <v>0</v>
      </c>
    </row>
    <row r="162" spans="1:24" s="31" customFormat="1" ht="68">
      <c r="A162" s="125">
        <f>'Book Details - NO EDIT'!A162</f>
        <v>160</v>
      </c>
      <c r="B162" s="31" t="str">
        <f>'Book Details - NO EDIT'!Y162</f>
        <v>John Stewart LOYD</v>
      </c>
      <c r="C162" s="31" t="str">
        <f>'Book Details - NO EDIT'!V162</f>
        <v>John (1982–)</v>
      </c>
      <c r="D162" s="199">
        <f>'Book Details - NO EDIT'!I162</f>
        <v>29969</v>
      </c>
      <c r="E162" s="31" t="str">
        <f>IF('Book Details - NO EDIT'!K162="Boy","Male","Female")</f>
        <v>Male</v>
      </c>
      <c r="F162" s="31" t="str">
        <f>IF('Book Details - NO EDIT'!T162=1,"First",IF('Book Details - NO EDIT'!T162=2,"Second",IF('Book Details - NO EDIT'!T162=3,"Third",IF('Book Details - NO EDIT'!T162=4,"Fourth",IF('Book Details - NO EDIT'!T162=5,"Fifth",IF('Book Details - NO EDIT'!T162=6,"Sixth",IF('Book Details - NO EDIT'!T162=7,"Seventh",IF('Book Details - NO EDIT'!T162=8,"Eighth",0))))))))</f>
        <v>Seventh</v>
      </c>
      <c r="G162" s="31" t="str">
        <f>'Book Details - NO EDIT'!Z162</f>
        <v>Dominic (1953–: #131)</v>
      </c>
      <c r="H162" s="31" t="str">
        <f>'Book Details - NO EDIT'!AH162</f>
        <v>Karina Lesley BOYCE (b. 22 Apr 1954, )</v>
      </c>
      <c r="I162" s="31" t="str">
        <f>'Book Details - NO EDIT'!AI162</f>
        <v>-</v>
      </c>
      <c r="J162" s="199" t="str">
        <f>'Book Details - NO EDIT'!AJ162</f>
        <v/>
      </c>
      <c r="K162" s="31" t="str">
        <f>'Book Details - NO EDIT'!AK162</f>
        <v xml:space="preserve"> -</v>
      </c>
      <c r="L162" s="131" t="str">
        <f>'Book Details - NO EDIT'!AL162</f>
        <v>John lives in Lausanne, Switzerland, previously of Paris, France and is the eldest son of Dominic (1953– : #131). Born 18 Jan 1982 at St Peter’s Hospital, Chertsey, Surrey. Baptised 18 Apr 1982 at St Andrew’s, Goldsworth Park, Woking, Surrey in the local school. Education:  Boston Grammar, England 1993-2000; University of Warwick (BSc Hons Mathematics-Operational Research-Statistics-Economics [with Intercalated year] 2000-2004) Paris1 Panthéon-Sorbonne, France [Erasmus exchange programme 2002-2003). Career: Chartered Accountant (ACA Institute of Chartered Accountants in England and Wales 2008, Certified Internal Auditor 2015, Certified Fraud Examiner 2021. Duke of Edinburgh Gold Award 2002, Freeman of the City of London and  Freeman of Goldsmiths’ Company 2003. Employment: Chartered Accountants Paris, France 2004-09, OECD Paris, France 2011-17, HSBC Paris, France 2018-20, UEFA Nyon, Switzerland 2020 – . Interests: sports, languages, travel.</v>
      </c>
      <c r="M162" s="73" t="str">
        <f>'Book Details - NO EDIT'!AA162</f>
        <v xml:space="preserve">Dominic (1953–: #131) Alwyne (1920–2014: #94) Cecil (1890–1963: #68) Llewellyn (1861–1939: #45) Edward (1820–1890: #22) Edward (1780–1863: #8) William (1729–1800: #1) </v>
      </c>
      <c r="N162" s="197" t="str">
        <f>'Book Details - NO EDIT'!AB162</f>
        <v xml:space="preserve">2 – David (1984–: #162) Ben (1988–: #167)      </v>
      </c>
      <c r="O162" s="198" t="str">
        <f>'Book Details - NO EDIT'!AC162</f>
        <v/>
      </c>
      <c r="P162" s="198" t="str">
        <f>'Book Details - NO EDIT'!AD162</f>
        <v>-</v>
      </c>
      <c r="Q162" s="191" t="str">
        <f>IF('Book Details - NO EDIT'!J162="",IF(R162=0,"Less than year on 1-Jul-2022",_xlfn.CONCAT("On 1-Jul-2022, age ",R162,'Book Details - NO EDIT'!J162)),IF(LEN(R162)=0,"Died in infancy",_xlfn.CONCAT("Died ",'Book Details - NO EDIT'!J162,","," aged ",R162)))</f>
        <v>On 1-Jul-2022, age 160</v>
      </c>
      <c r="R162" s="73">
        <f>'Book Details - NO EDIT'!AX162</f>
        <v>160</v>
      </c>
      <c r="S162" s="73" t="str">
        <f>'Book Details - NO EDIT'!AY162</f>
        <v>johnloyd@hotmail.com</v>
      </c>
      <c r="T162" s="73" t="str">
        <f>'Book Details - NO EDIT'!AW162</f>
        <v>England, France &amp; Switzerland</v>
      </c>
      <c r="U162" s="73">
        <f>VLOOKUP(A162,'Book Details - NO EDIT'!$A162:$S$192,13,FALSE)</f>
        <v>94</v>
      </c>
      <c r="V162" s="73">
        <f>VLOOKUP(A162,'Book Details - NO EDIT'!$A162:$S$192,12,FALSE)</f>
        <v>131</v>
      </c>
      <c r="X162" s="31">
        <f>IF(LEN('Book Details - NO EDIT'!J162)=0,0,1)</f>
        <v>0</v>
      </c>
    </row>
    <row r="163" spans="1:24" s="31" customFormat="1" ht="17">
      <c r="A163" s="125">
        <f>'Book Details - NO EDIT'!A163</f>
        <v>161</v>
      </c>
      <c r="B163" s="31" t="str">
        <f>'Book Details - NO EDIT'!Y163</f>
        <v>Molly Isabel LOYD</v>
      </c>
      <c r="C163" s="31" t="str">
        <f>'Book Details - NO EDIT'!V163</f>
        <v>Molly (1982–)</v>
      </c>
      <c r="D163" s="199">
        <f>'Book Details - NO EDIT'!I163</f>
        <v>30048</v>
      </c>
      <c r="E163" s="31" t="str">
        <f>IF('Book Details - NO EDIT'!K163="Boy","Male","Female")</f>
        <v>Female</v>
      </c>
      <c r="F163" s="31" t="str">
        <f>IF('Book Details - NO EDIT'!T163=1,"First",IF('Book Details - NO EDIT'!T163=2,"Second",IF('Book Details - NO EDIT'!T163=3,"Third",IF('Book Details - NO EDIT'!T163=4,"Fourth",IF('Book Details - NO EDIT'!T163=5,"Fifth",IF('Book Details - NO EDIT'!T163=6,"Sixth",IF('Book Details - NO EDIT'!T163=7,"Seventh",IF('Book Details - NO EDIT'!T163=8,"Eighth",0))))))))</f>
        <v>Sixth</v>
      </c>
      <c r="G163" s="31" t="str">
        <f>'Book Details - NO EDIT'!Z163</f>
        <v>Peter (1942–: #119)</v>
      </c>
      <c r="H163" s="31" t="str">
        <f>'Book Details - NO EDIT'!AH163</f>
        <v>Charlotte Ann HEDLEY (b. 13 Sep 1946, )</v>
      </c>
      <c r="I163" s="31" t="str">
        <f>'Book Details - NO EDIT'!AI163</f>
        <v>Henry HAYNS (b. 11 Jan 1982, )</v>
      </c>
      <c r="J163" s="199">
        <f>'Book Details - NO EDIT'!AJ163</f>
        <v>41139</v>
      </c>
      <c r="K163" s="31" t="str">
        <f>'Book Details - NO EDIT'!AK163</f>
        <v>Henry, younger son of Andrew HAYNS of Stretton Rutland.</v>
      </c>
      <c r="L163" s="131" t="str">
        <f>'Book Details - NO EDIT'!AL163</f>
        <v xml:space="preserve">Molly lives in Stretton, Rutland and is the 2nd daughter of Peter (1942–  :  #119). Born 7 Apr 1982, baptised 22 May 1982 at St Mary Magdalene’s, Wandsworth, London. Education: Queen Margarets, York. Rutland Kinesiology 2019-, Dame of Malta 2014. Issue:  1 daughter, 1 son.                                                                         </v>
      </c>
      <c r="M163" s="73" t="str">
        <f>'Book Details - NO EDIT'!AA163</f>
        <v xml:space="preserve">Peter (1942–: #119) Eric (1894–1963: #80) Arthur (1845–1930: #29) Thomas (1812–1857: #14) William (1770–1828: #4) William (1729–1800: #1)  </v>
      </c>
      <c r="N163" s="197" t="str">
        <f>'Book Details - NO EDIT'!AB163</f>
        <v xml:space="preserve">3 – William (1973–: #155) Amy (1975–: #156)  Harriet (1984–: #163)     </v>
      </c>
      <c r="O163" s="198" t="str">
        <f>'Book Details - NO EDIT'!AC163</f>
        <v xml:space="preserve">2 - Alexia HAYNS (2014 - : #161a) Edward HAYNS (2016 - : #161b)      </v>
      </c>
      <c r="P163" s="198" t="str">
        <f>'Book Details - NO EDIT'!AD163</f>
        <v>-</v>
      </c>
      <c r="Q163" s="191" t="str">
        <f>IF('Book Details - NO EDIT'!J163="",IF(R163=0,"Less than year on 1-Jul-2022",_xlfn.CONCAT("On 1-Jul-2022, age ",R163,'Book Details - NO EDIT'!J163)),IF(LEN(R163)=0,"Died in infancy",_xlfn.CONCAT("Died ",'Book Details - NO EDIT'!J163,","," aged ",R163)))</f>
        <v>On 1-Jul-2022, age 161</v>
      </c>
      <c r="R163" s="73">
        <f>'Book Details - NO EDIT'!AX163</f>
        <v>161</v>
      </c>
      <c r="S163" s="73" t="str">
        <f>'Book Details - NO EDIT'!AY163</f>
        <v>mantlehill@aol.com</v>
      </c>
      <c r="T163" s="73" t="str">
        <f>'Book Details - NO EDIT'!AW163</f>
        <v>England</v>
      </c>
      <c r="U163" s="73">
        <f>VLOOKUP(A163,'Book Details - NO EDIT'!$A163:$S$192,13,FALSE)</f>
        <v>80</v>
      </c>
      <c r="V163" s="73">
        <f>VLOOKUP(A163,'Book Details - NO EDIT'!$A163:$S$192,12,FALSE)</f>
        <v>119</v>
      </c>
      <c r="X163" s="31">
        <f>IF(LEN('Book Details - NO EDIT'!J163)=0,0,1)</f>
        <v>0</v>
      </c>
    </row>
    <row r="164" spans="1:24" s="31" customFormat="1" ht="51">
      <c r="A164" s="125">
        <f>'Book Details - NO EDIT'!A164</f>
        <v>162</v>
      </c>
      <c r="B164" s="31" t="str">
        <f>'Book Details - NO EDIT'!Y164</f>
        <v>David James LOYD</v>
      </c>
      <c r="C164" s="31" t="str">
        <f>'Book Details - NO EDIT'!V164</f>
        <v>David (1984–)</v>
      </c>
      <c r="D164" s="199">
        <f>'Book Details - NO EDIT'!I164</f>
        <v>30778</v>
      </c>
      <c r="E164" s="31" t="str">
        <f>IF('Book Details - NO EDIT'!K164="Boy","Male","Female")</f>
        <v>Male</v>
      </c>
      <c r="F164" s="31" t="str">
        <f>IF('Book Details - NO EDIT'!T164=1,"First",IF('Book Details - NO EDIT'!T164=2,"Second",IF('Book Details - NO EDIT'!T164=3,"Third",IF('Book Details - NO EDIT'!T164=4,"Fourth",IF('Book Details - NO EDIT'!T164=5,"Fifth",IF('Book Details - NO EDIT'!T164=6,"Sixth",IF('Book Details - NO EDIT'!T164=7,"Seventh",IF('Book Details - NO EDIT'!T164=8,"Eighth",0))))))))</f>
        <v>Seventh</v>
      </c>
      <c r="G164" s="31" t="str">
        <f>'Book Details - NO EDIT'!Z164</f>
        <v>Dominic (1953–: #131)</v>
      </c>
      <c r="H164" s="31" t="str">
        <f>'Book Details - NO EDIT'!AH164</f>
        <v>Karina Lesley BOYCE (b. 22 Apr 1954, )</v>
      </c>
      <c r="I164" s="31" t="str">
        <f>'Book Details - NO EDIT'!AI164</f>
        <v>Laura Mary MUSSELBROOK (b. 23 Sep 1981, )</v>
      </c>
      <c r="J164" s="199">
        <f>'Book Details - NO EDIT'!AJ164</f>
        <v>42567</v>
      </c>
      <c r="K164" s="31" t="str">
        <f>'Book Details - NO EDIT'!AK164</f>
        <v>Married at St  Vedast-elias- Foster Church, City of London, Laura elder daughter of Bob Fredrick (1949 - 2019) and Lynn Mary (1947 - ) MUSSELBROOK.</v>
      </c>
      <c r="L164" s="131" t="str">
        <f>'Book Details - NO EDIT'!AL164</f>
        <v xml:space="preserve">David lives in South London and is the 2nd son of Dominic (1953– : #131) . Born 6 Apr 1984 at St Peter’s Hospital, Chertsey, Surrey. Baptised 29 Jul 1984 at St Andrew’s, Goldsworth Park, Woking, Surrey in the local school. Education: Tower Road Primary 1990-95; Giles School, Old Leeke, Lincolnshire 1995-2002; Kent Institute of Art and Design (KIAD) (BA Hons Architecture 2002-05); Kingston University London (Diploma in Architecture 2007-09); Post Graduate Diploma in Architecture 2010-11). Career: Co-Director Owen Loyd Architects 2021. Chartered Member of the Royal Institute of British Architects (RIBA), 2013. Freeman of the City of London and the Goldsmiths' Company, 2012. Issue: 2 sons. </v>
      </c>
      <c r="M164" s="73" t="str">
        <f>'Book Details - NO EDIT'!AA164</f>
        <v xml:space="preserve">Dominic (1953–: #131) Alwyne (1920–2014: #94) Cecil (1890–1963: #68) Llewellyn (1861–1939: #45) Edward (1820–1890: #22) Edward (1780–1863: #8) William (1729–1800: #1) </v>
      </c>
      <c r="N164" s="197" t="str">
        <f>'Book Details - NO EDIT'!AB164</f>
        <v xml:space="preserve">2 – John (1982–: #160)  Ben (1988–: #167)      </v>
      </c>
      <c r="O164" s="198" t="str">
        <f>'Book Details - NO EDIT'!AC164</f>
        <v>2 - Archie (2017–: #188); Rory (2019–: #189)</v>
      </c>
      <c r="P164" s="198" t="str">
        <f>'Book Details - NO EDIT'!AD164</f>
        <v>-</v>
      </c>
      <c r="Q164" s="191" t="str">
        <f>IF('Book Details - NO EDIT'!J164="",IF(R164=0,"Less than year on 1-Jul-2022",_xlfn.CONCAT("On 1-Jul-2022, age ",R164,'Book Details - NO EDIT'!J164)),IF(LEN(R164)=0,"Died in infancy",_xlfn.CONCAT("Died ",'Book Details - NO EDIT'!J164,","," aged ",R164)))</f>
        <v>On 1-Jul-2022, age 162</v>
      </c>
      <c r="R164" s="73">
        <f>'Book Details - NO EDIT'!AX164</f>
        <v>162</v>
      </c>
      <c r="S164" s="73" t="str">
        <f>'Book Details - NO EDIT'!AY164</f>
        <v>loyddavid@hotmail.co</v>
      </c>
      <c r="T164" s="73" t="str">
        <f>'Book Details - NO EDIT'!AW164</f>
        <v>England</v>
      </c>
      <c r="U164" s="73">
        <f>VLOOKUP(A164,'Book Details - NO EDIT'!$A164:$S$192,13,FALSE)</f>
        <v>94</v>
      </c>
      <c r="V164" s="73">
        <f>VLOOKUP(A164,'Book Details - NO EDIT'!$A164:$S$192,12,FALSE)</f>
        <v>131</v>
      </c>
      <c r="X164" s="31">
        <f>IF(LEN('Book Details - NO EDIT'!J164)=0,0,1)</f>
        <v>0</v>
      </c>
    </row>
    <row r="165" spans="1:24" s="31" customFormat="1" ht="34">
      <c r="A165" s="125">
        <f>'Book Details - NO EDIT'!A165</f>
        <v>163</v>
      </c>
      <c r="B165" s="31" t="str">
        <f>'Book Details - NO EDIT'!Y165</f>
        <v>Harriet Katharine  LOYD</v>
      </c>
      <c r="C165" s="31" t="str">
        <f>'Book Details - NO EDIT'!V165</f>
        <v>Harriet (1984–)</v>
      </c>
      <c r="D165" s="199">
        <f>'Book Details - NO EDIT'!I165</f>
        <v>30820</v>
      </c>
      <c r="E165" s="31" t="str">
        <f>IF('Book Details - NO EDIT'!K165="Boy","Male","Female")</f>
        <v>Female</v>
      </c>
      <c r="F165" s="31" t="str">
        <f>IF('Book Details - NO EDIT'!T165=1,"First",IF('Book Details - NO EDIT'!T165=2,"Second",IF('Book Details - NO EDIT'!T165=3,"Third",IF('Book Details - NO EDIT'!T165=4,"Fourth",IF('Book Details - NO EDIT'!T165=5,"Fifth",IF('Book Details - NO EDIT'!T165=6,"Sixth",IF('Book Details - NO EDIT'!T165=7,"Seventh",IF('Book Details - NO EDIT'!T165=8,"Eighth",0))))))))</f>
        <v>Sixth</v>
      </c>
      <c r="G165" s="31" t="str">
        <f>'Book Details - NO EDIT'!Z165</f>
        <v>Peter (1942–: #119)</v>
      </c>
      <c r="H165" s="31" t="str">
        <f>'Book Details - NO EDIT'!AH165</f>
        <v>Charlotte Ann HEDLEY (b. 13 Sep 1946, )</v>
      </c>
      <c r="I165" s="31" t="str">
        <f>'Book Details - NO EDIT'!AI165</f>
        <v>Simon John DINSMORE (b. 2 Mar 1982, )</v>
      </c>
      <c r="J165" s="199">
        <f>'Book Details - NO EDIT'!AJ165</f>
        <v>39921</v>
      </c>
      <c r="K165" s="125" t="str">
        <f>'Book Details - NO EDIT'!AK165</f>
        <v>Married, at St Oswald's, Bellingham, Northumberland Simon, eldest son of the Reverend Stephen DINSMORE of Samoa.</v>
      </c>
      <c r="L165" s="131" t="str">
        <f>'Book Details - NO EDIT'!AL165</f>
        <v xml:space="preserve">Harriet lives in Low Newton-by-the-Sea, Northumberland and is the 3rd and youngest daughter of Peter (1942– : #119). Born 18 May 1984.  Baptised 21 Jul 1984 at Hesleyside, Bellingham, Northumberland. Education: Queen Margarets, York. </v>
      </c>
      <c r="M165" s="73" t="str">
        <f>'Book Details - NO EDIT'!AA165</f>
        <v xml:space="preserve">Peter (1942–: #119) Eric (1894–1963: #80) Arthur (1845–1930: #29) Thomas (1812–1857: #14) William (1770–1828: #4) William (1729–1800: #1)  </v>
      </c>
      <c r="N165" s="197" t="str">
        <f>'Book Details - NO EDIT'!AB165</f>
        <v xml:space="preserve">3 – William (1973–: #155) Amy (1975–: #156) Molly (1982–: #161)      </v>
      </c>
      <c r="O165" s="198" t="str">
        <f>'Book Details - NO EDIT'!AC165</f>
        <v xml:space="preserve">2 - 
Thomas DINSMORE (2012 - : #163a) Mary DINSMORE (2014 - : #163b)      </v>
      </c>
      <c r="P165" s="198" t="str">
        <f>'Book Details - NO EDIT'!AD165</f>
        <v>-</v>
      </c>
      <c r="Q165" s="191" t="str">
        <f>IF('Book Details - NO EDIT'!J165="",IF(R165=0,"Less than year on 1-Jul-2022",_xlfn.CONCAT("On 1-Jul-2022, age ",R165,'Book Details - NO EDIT'!J165)),IF(LEN(R165)=0,"Died in infancy",_xlfn.CONCAT("Died ",'Book Details - NO EDIT'!J165,","," aged ",R165)))</f>
        <v>On 1-Jul-2022, age 163</v>
      </c>
      <c r="R165" s="73">
        <f>'Book Details - NO EDIT'!AX165</f>
        <v>163</v>
      </c>
      <c r="S165" s="73" t="str">
        <f>'Book Details - NO EDIT'!AY165</f>
        <v>mantlehill@aol.com</v>
      </c>
      <c r="T165" s="73" t="str">
        <f>'Book Details - NO EDIT'!AW165</f>
        <v>England</v>
      </c>
      <c r="U165" s="73">
        <f>VLOOKUP(A165,'Book Details - NO EDIT'!$A165:$S$192,13,FALSE)</f>
        <v>80</v>
      </c>
      <c r="V165" s="73">
        <f>VLOOKUP(A165,'Book Details - NO EDIT'!$A165:$S$192,12,FALSE)</f>
        <v>119</v>
      </c>
      <c r="X165" s="31">
        <f>IF(LEN('Book Details - NO EDIT'!J165)=0,0,1)</f>
        <v>0</v>
      </c>
    </row>
    <row r="166" spans="1:24" s="31" customFormat="1" ht="34">
      <c r="A166" s="125">
        <f>'Book Details - NO EDIT'!A166</f>
        <v>164</v>
      </c>
      <c r="B166" s="31" t="str">
        <f>'Book Details - NO EDIT'!Y166</f>
        <v>Poppy Catherine CORMACK-LOYD</v>
      </c>
      <c r="C166" s="31" t="str">
        <f>'Book Details - NO EDIT'!V166</f>
        <v>Poppy (1984–)</v>
      </c>
      <c r="D166" s="199">
        <f>'Book Details - NO EDIT'!I166</f>
        <v>31032</v>
      </c>
      <c r="E166" s="31" t="str">
        <f>IF('Book Details - NO EDIT'!K166="Boy","Male","Female")</f>
        <v>Female</v>
      </c>
      <c r="F166" s="31" t="str">
        <f>IF('Book Details - NO EDIT'!T166=1,"First",IF('Book Details - NO EDIT'!T166=2,"Second",IF('Book Details - NO EDIT'!T166=3,"Third",IF('Book Details - NO EDIT'!T166=4,"Fourth",IF('Book Details - NO EDIT'!T166=5,"Fifth",IF('Book Details - NO EDIT'!T166=6,"Sixth",IF('Book Details - NO EDIT'!T166=7,"Seventh",IF('Book Details - NO EDIT'!T166=8,"Eighth",0))))))))</f>
        <v>Seventh</v>
      </c>
      <c r="G166" s="31" t="str">
        <f>'Book Details - NO EDIT'!Z166</f>
        <v>Tim (1957–: #136)</v>
      </c>
      <c r="H166" s="31" t="str">
        <f>'Book Details - NO EDIT'!AH166</f>
        <v>Cherry Margaret CORMACK (b. 18 Sep 1956, )</v>
      </c>
      <c r="I166" s="31" t="str">
        <f>'Book Details - NO EDIT'!AI166</f>
        <v>Richard Benjamin LEASK (b. 28 July 1983, )</v>
      </c>
      <c r="J166" s="199">
        <f>'Book Details - NO EDIT'!AJ166</f>
        <v>40789</v>
      </c>
      <c r="K166" s="31" t="str">
        <f>'Book Details - NO EDIT'!AK166</f>
        <v>Married at St Mary the Virgin Church, Iffley, Oxford, Richard younger son of Peter and Christine LEASK.</v>
      </c>
      <c r="L166" s="131" t="str">
        <f>'Book Details - NO EDIT'!AL166</f>
        <v>Poppy lives in Scotland and is the eldest daughter of Tim (1957– : #136).  Born 16 Dec 1984 at Princess Anne Maternity Hospital, Southampton. Education: New Hinksley Primary, Oxford High School GDST, Durham University, St Mary's College (BSc Geography). Northumbrian Universities Air Squadron 2003-2006. Career: RAF - graduated Initial Officer Training Course 2007; Tornado GR4 Weapons Systems Officer 617 Sqn, 12(B) Sqn, 31 Sqn, Served in Afghanistan, Iraq, Syria. RAF 2006- . Issue: 3 sons.</v>
      </c>
      <c r="M166" s="73" t="str">
        <f>'Book Details - NO EDIT'!AA166</f>
        <v xml:space="preserve">Tim (1957–: #136) Alwyne (1920–2014: #94) Cecil (1890–1963: #68) Llewellyn (1861–1939: #45) Edward (1820–1890: #22) Edward (1780–1863: #8) William (1729–1800: #1) </v>
      </c>
      <c r="N166" s="197" t="str">
        <f>'Book Details - NO EDIT'!AB166</f>
        <v xml:space="preserve">2 – Rose (1986–: #165) Florina (1991–: #172)      </v>
      </c>
      <c r="O166" s="198" t="str">
        <f>'Book Details - NO EDIT'!AC166</f>
        <v xml:space="preserve">3 - Freddie LEASK (2016 - : #164a) Hamish LEASK (2018 - : #164b) Otto LEASK (2020 - : #164c)     </v>
      </c>
      <c r="P166" s="198" t="str">
        <f>'Book Details - NO EDIT'!AD166</f>
        <v>-</v>
      </c>
      <c r="Q166" s="191" t="str">
        <f>IF('Book Details - NO EDIT'!J166="",IF(R166=0,"Less than year on 1-Jul-2022",_xlfn.CONCAT("On 1-Jul-2022, age ",R166,'Book Details - NO EDIT'!J166)),IF(LEN(R166)=0,"Died in infancy",_xlfn.CONCAT("Died ",'Book Details - NO EDIT'!J166,","," aged ",R166)))</f>
        <v>On 1-Jul-2022, age 164</v>
      </c>
      <c r="R166" s="73">
        <f>'Book Details - NO EDIT'!AX166</f>
        <v>164</v>
      </c>
      <c r="S166" s="73" t="str">
        <f>'Book Details - NO EDIT'!AY166</f>
        <v>poppycl@hotmail.com</v>
      </c>
      <c r="T166" s="73" t="str">
        <f>'Book Details - NO EDIT'!AW166</f>
        <v>England, Scotland, Afghanistan, Iraq and Syria</v>
      </c>
      <c r="U166" s="73">
        <f>VLOOKUP(A166,'Book Details - NO EDIT'!$A166:$S$192,13,FALSE)</f>
        <v>94</v>
      </c>
      <c r="V166" s="73">
        <f>VLOOKUP(A166,'Book Details - NO EDIT'!$A166:$S$192,12,FALSE)</f>
        <v>136</v>
      </c>
      <c r="X166" s="31">
        <f>IF(LEN('Book Details - NO EDIT'!J166)=0,0,1)</f>
        <v>0</v>
      </c>
    </row>
    <row r="167" spans="1:24" s="31" customFormat="1" ht="17">
      <c r="A167" s="125">
        <f>'Book Details - NO EDIT'!A167</f>
        <v>165</v>
      </c>
      <c r="B167" s="31" t="str">
        <f>'Book Details - NO EDIT'!Y167</f>
        <v>Rose Elizabeth CORMACK-LOYD</v>
      </c>
      <c r="C167" s="31" t="str">
        <f>'Book Details - NO EDIT'!V167</f>
        <v>Rose (1986–)</v>
      </c>
      <c r="D167" s="199">
        <f>'Book Details - NO EDIT'!I167</f>
        <v>31600</v>
      </c>
      <c r="E167" s="31" t="str">
        <f>IF('Book Details - NO EDIT'!K167="Boy","Male","Female")</f>
        <v>Female</v>
      </c>
      <c r="F167" s="31" t="str">
        <f>IF('Book Details - NO EDIT'!T167=1,"First",IF('Book Details - NO EDIT'!T167=2,"Second",IF('Book Details - NO EDIT'!T167=3,"Third",IF('Book Details - NO EDIT'!T167=4,"Fourth",IF('Book Details - NO EDIT'!T167=5,"Fifth",IF('Book Details - NO EDIT'!T167=6,"Sixth",IF('Book Details - NO EDIT'!T167=7,"Seventh",IF('Book Details - NO EDIT'!T167=8,"Eighth",0))))))))</f>
        <v>Seventh</v>
      </c>
      <c r="G167" s="31" t="str">
        <f>'Book Details - NO EDIT'!Z167</f>
        <v>Tim (1957–: #136)</v>
      </c>
      <c r="H167" s="31" t="str">
        <f>'Book Details - NO EDIT'!AH167</f>
        <v>Cherry Margaret CORMACK (b. 18 Sep 1956, )</v>
      </c>
      <c r="I167" s="31" t="str">
        <f>'Book Details - NO EDIT'!AI167</f>
        <v>Roshan PURI (b. 11 Mar 1986, )</v>
      </c>
      <c r="J167" s="199">
        <f>'Book Details - NO EDIT'!AJ167</f>
        <v>41811</v>
      </c>
      <c r="K167" s="31" t="str">
        <f>'Book Details - NO EDIT'!AK167</f>
        <v xml:space="preserve">Married, at Dorchester Abbey, Dorchester on Thames, Oxfordshire, Roshan (Rosh), younger son of Shammy and Sheila PURI. </v>
      </c>
      <c r="L167" s="131" t="str">
        <f>'Book Details - NO EDIT'!AL167</f>
        <v>Rose lives in Kent and is the 2nd daughter of Tim (1957–  :  #136). Born 7 Jul 1986 at Princess Anne Maternity Hospital, Southampton. Education: Headington, Oxford and University of Liverpool (BSc Hons Physiotherapy). Issue: 2 daughters.</v>
      </c>
      <c r="M167" s="73" t="str">
        <f>'Book Details - NO EDIT'!AA167</f>
        <v xml:space="preserve">Tim (1957–: #136) Alwyne (1920–2014: #94) Cecil (1890–1963: #68) Llewellyn (1861–1939: #45) Edward (1820–1890: #22) Edward (1780–1863: #8) William (1729–1800: #1) </v>
      </c>
      <c r="N167" s="197" t="str">
        <f>'Book Details - NO EDIT'!AB167</f>
        <v xml:space="preserve">2 – Poppy (1984–: #164)  Florina (1991–: #172)      </v>
      </c>
      <c r="O167" s="198" t="str">
        <f>'Book Details - NO EDIT'!AC167</f>
        <v xml:space="preserve">2 - Leila PURI (2017 - : #165a) Alana PURI (2019 - : #165b)      </v>
      </c>
      <c r="P167" s="198" t="str">
        <f>'Book Details - NO EDIT'!AD167</f>
        <v>-</v>
      </c>
      <c r="Q167" s="191" t="str">
        <f>IF('Book Details - NO EDIT'!J167="",IF(R167=0,"Less than year on 1-Jul-2022",_xlfn.CONCAT("On 1-Jul-2022, age ",R167,'Book Details - NO EDIT'!J167)),IF(LEN(R167)=0,"Died in infancy",_xlfn.CONCAT("Died ",'Book Details - NO EDIT'!J167,","," aged ",R167)))</f>
        <v>On 1-Jul-2022, age 165</v>
      </c>
      <c r="R167" s="73">
        <f>'Book Details - NO EDIT'!AX167</f>
        <v>165</v>
      </c>
      <c r="S167" s="73" t="str">
        <f>'Book Details - NO EDIT'!AY167</f>
        <v>rosepuri77@gmail.com</v>
      </c>
      <c r="T167" s="73" t="str">
        <f>'Book Details - NO EDIT'!AW167</f>
        <v>England</v>
      </c>
      <c r="U167" s="73">
        <f>VLOOKUP(A167,'Book Details - NO EDIT'!$A167:$S$192,13,FALSE)</f>
        <v>94</v>
      </c>
      <c r="V167" s="73">
        <f>VLOOKUP(A167,'Book Details - NO EDIT'!$A167:$S$192,12,FALSE)</f>
        <v>136</v>
      </c>
      <c r="X167" s="31">
        <f>IF(LEN('Book Details - NO EDIT'!J167)=0,0,1)</f>
        <v>0</v>
      </c>
    </row>
    <row r="168" spans="1:24" s="31" customFormat="1" ht="17">
      <c r="A168" s="125">
        <f>'Book Details - NO EDIT'!A168</f>
        <v>166</v>
      </c>
      <c r="B168" s="31" t="str">
        <f>'Book Details - NO EDIT'!Y168</f>
        <v>Gareth LOYD</v>
      </c>
      <c r="C168" s="31" t="str">
        <f>'Book Details - NO EDIT'!V168</f>
        <v>Gareth (1988–)</v>
      </c>
      <c r="D168" s="199">
        <f>'Book Details - NO EDIT'!I168</f>
        <v>32166</v>
      </c>
      <c r="E168" s="31" t="str">
        <f>IF('Book Details - NO EDIT'!K168="Boy","Male","Female")</f>
        <v>Male</v>
      </c>
      <c r="F168" s="31" t="str">
        <f>IF('Book Details - NO EDIT'!T168=1,"First",IF('Book Details - NO EDIT'!T168=2,"Second",IF('Book Details - NO EDIT'!T168=3,"Third",IF('Book Details - NO EDIT'!T168=4,"Fourth",IF('Book Details - NO EDIT'!T168=5,"Fifth",IF('Book Details - NO EDIT'!T168=6,"Sixth",IF('Book Details - NO EDIT'!T168=7,"Seventh",IF('Book Details - NO EDIT'!T168=8,"Eighth",0))))))))</f>
        <v>Seventh</v>
      </c>
      <c r="G168" s="31" t="str">
        <f>'Book Details - NO EDIT'!Z168</f>
        <v>David (1952–: #130)</v>
      </c>
      <c r="H168" s="31" t="str">
        <f>'Book Details - NO EDIT'!AH168</f>
        <v>Jacqueline Mary HERMAN (b. 4 Nov 1955, )</v>
      </c>
      <c r="I168" s="31" t="str">
        <f>'Book Details - NO EDIT'!AI168</f>
        <v>-</v>
      </c>
      <c r="J168" s="199" t="str">
        <f>'Book Details - NO EDIT'!AJ168</f>
        <v/>
      </c>
      <c r="K168" s="31" t="str">
        <f>'Book Details - NO EDIT'!AK168</f>
        <v xml:space="preserve"> -</v>
      </c>
      <c r="L168" s="131" t="str">
        <f>'Book Details - NO EDIT'!AL168</f>
        <v>Gareth lives in Vancouver and is the only son of David (1952– : #130). Born 24 Jan 1988. Baptised 16 Oct 1988 at Benvoulin Heritage Church. Career: Canada Mortgage and Housing Corp.</v>
      </c>
      <c r="M168" s="73" t="str">
        <f>'Book Details - NO EDIT'!AA168</f>
        <v xml:space="preserve">David (1952–: #130) Peter (1913–2008: #86) Arthur (1890–1974: #71) Ted (1851–1922: #34) Thomas (1812–1857: #14) William (1770–1828: #4) William (1729–1800: #1) </v>
      </c>
      <c r="N168" s="197" t="str">
        <f>'Book Details - NO EDIT'!AB168</f>
        <v>0 – Only chlid</v>
      </c>
      <c r="O168" s="198" t="str">
        <f>'Book Details - NO EDIT'!AC168</f>
        <v/>
      </c>
      <c r="P168" s="198" t="str">
        <f>'Book Details - NO EDIT'!AD168</f>
        <v>-</v>
      </c>
      <c r="Q168" s="191" t="str">
        <f>IF('Book Details - NO EDIT'!J168="",IF(R168=0,"Less than year on 1-Jul-2022",_xlfn.CONCAT("On 1-Jul-2022, age ",R168,'Book Details - NO EDIT'!J168)),IF(LEN(R168)=0,"Died in infancy",_xlfn.CONCAT("Died ",'Book Details - NO EDIT'!J168,","," aged ",R168)))</f>
        <v>On 1-Jul-2022, age 166</v>
      </c>
      <c r="R168" s="73">
        <f>'Book Details - NO EDIT'!AX168</f>
        <v>166</v>
      </c>
      <c r="S168" s="73" t="str">
        <f>'Book Details - NO EDIT'!AY168</f>
        <v>jdloyd1783@gmail.com</v>
      </c>
      <c r="T168" s="73" t="str">
        <f>'Book Details - NO EDIT'!AW168</f>
        <v>Canada</v>
      </c>
      <c r="U168" s="73">
        <f>VLOOKUP(A168,'Book Details - NO EDIT'!$A168:$S$192,13,FALSE)</f>
        <v>86</v>
      </c>
      <c r="V168" s="73">
        <f>VLOOKUP(A168,'Book Details - NO EDIT'!$A168:$S$192,12,FALSE)</f>
        <v>130</v>
      </c>
      <c r="X168" s="31">
        <f>IF(LEN('Book Details - NO EDIT'!J168)=0,0,1)</f>
        <v>0</v>
      </c>
    </row>
    <row r="169" spans="1:24" s="31" customFormat="1" ht="34">
      <c r="A169" s="125">
        <f>'Book Details - NO EDIT'!A169</f>
        <v>167</v>
      </c>
      <c r="B169" s="31" t="str">
        <f>'Book Details - NO EDIT'!Y169</f>
        <v>Benjamin Edward LOYD</v>
      </c>
      <c r="C169" s="31" t="str">
        <f>'Book Details - NO EDIT'!V169</f>
        <v>Ben (1988–)</v>
      </c>
      <c r="D169" s="199">
        <f>'Book Details - NO EDIT'!I169</f>
        <v>32213</v>
      </c>
      <c r="E169" s="31" t="str">
        <f>IF('Book Details - NO EDIT'!K169="Boy","Male","Female")</f>
        <v>Male</v>
      </c>
      <c r="F169" s="31" t="str">
        <f>IF('Book Details - NO EDIT'!T169=1,"First",IF('Book Details - NO EDIT'!T169=2,"Second",IF('Book Details - NO EDIT'!T169=3,"Third",IF('Book Details - NO EDIT'!T169=4,"Fourth",IF('Book Details - NO EDIT'!T169=5,"Fifth",IF('Book Details - NO EDIT'!T169=6,"Sixth",IF('Book Details - NO EDIT'!T169=7,"Seventh",IF('Book Details - NO EDIT'!T169=8,"Eighth",0))))))))</f>
        <v>Seventh</v>
      </c>
      <c r="G169" s="31" t="str">
        <f>'Book Details - NO EDIT'!Z169</f>
        <v>Dominic (1953–: #131)</v>
      </c>
      <c r="H169" s="31" t="str">
        <f>'Book Details - NO EDIT'!AH169</f>
        <v>Karina Lesley BOYCE (b. 22 Apr 1954, )</v>
      </c>
      <c r="I169" s="31" t="str">
        <f>'Book Details - NO EDIT'!AI169</f>
        <v>Holly Kristina TURNER (b. 10 Jan 1988, )</v>
      </c>
      <c r="J169" s="199">
        <f>'Book Details - NO EDIT'!AJ169</f>
        <v>43303</v>
      </c>
      <c r="K169" s="31" t="str">
        <f>'Book Details - NO EDIT'!AK169</f>
        <v xml:space="preserve">Holly, elder daughter of Neil and Kate TURNER of Lincolnshire. </v>
      </c>
      <c r="L169" s="131" t="str">
        <f>'Book Details - NO EDIT'!AL169</f>
        <v>Ben lives in Lincolnshire and is the 3rd and youngest son of Dominic (1953– : #131). Born 11 Mar 1988 at St Peters Hospital, Chertsey, Surrey. Baptised 10 Jul 1988 at St Andrews, Goldsworth Park, Woking, Surrey in the local school. Education: Tower Road Primary, Giles Secondary school, Boston. University of Herfordshire (BA Hons first class) 3D Animation. Career: Civil Service. Issue 2 daughters.</v>
      </c>
      <c r="M169" s="73" t="str">
        <f>'Book Details - NO EDIT'!AA169</f>
        <v xml:space="preserve">Dominic (1953–: #131) Alwyne (1920–2014: #94) Cecil (1890–1963: #68) Llewellyn (1861–1939: #45) Edward (1820–1890: #22) Edward (1780–1863: #8) William (1729–1800: #1) </v>
      </c>
      <c r="N169" s="197" t="str">
        <f>'Book Details - NO EDIT'!AB169</f>
        <v xml:space="preserve">2 – John (1982–: #160) David (1984–: #162)       </v>
      </c>
      <c r="O169" s="198" t="str">
        <f>'Book Details - NO EDIT'!AC169</f>
        <v>2 - Olivia (2014–: #187); Daisy (2021–: #190)</v>
      </c>
      <c r="P169" s="198" t="str">
        <f>'Book Details - NO EDIT'!AD169</f>
        <v>-</v>
      </c>
      <c r="Q169" s="191" t="str">
        <f>IF('Book Details - NO EDIT'!J169="",IF(R169=0,"Less than year on 1-Jul-2022",_xlfn.CONCAT("On 1-Jul-2022, age ",R169,'Book Details - NO EDIT'!J169)),IF(LEN(R169)=0,"Died in infancy",_xlfn.CONCAT("Died ",'Book Details - NO EDIT'!J169,","," aged ",R169)))</f>
        <v>On 1-Jul-2022, age 167</v>
      </c>
      <c r="R169" s="73">
        <f>'Book Details - NO EDIT'!AX169</f>
        <v>167</v>
      </c>
      <c r="S169" s="73" t="str">
        <f>'Book Details - NO EDIT'!AY169</f>
        <v>streetb03@hotmail.com</v>
      </c>
      <c r="T169" s="73" t="str">
        <f>'Book Details - NO EDIT'!AW169</f>
        <v>England</v>
      </c>
      <c r="U169" s="73">
        <f>VLOOKUP(A169,'Book Details - NO EDIT'!$A169:$S$192,13,FALSE)</f>
        <v>94</v>
      </c>
      <c r="V169" s="73">
        <f>VLOOKUP(A169,'Book Details - NO EDIT'!$A169:$S$192,12,FALSE)</f>
        <v>131</v>
      </c>
      <c r="X169" s="31">
        <f>IF(LEN('Book Details - NO EDIT'!J169)=0,0,1)</f>
        <v>0</v>
      </c>
    </row>
    <row r="170" spans="1:24" s="31" customFormat="1" ht="17">
      <c r="A170" s="125">
        <f>'Book Details - NO EDIT'!A170</f>
        <v>168</v>
      </c>
      <c r="B170" s="31" t="str">
        <f>'Book Details - NO EDIT'!Y170</f>
        <v>Camilla Mary LOYD</v>
      </c>
      <c r="C170" s="31" t="str">
        <f>'Book Details - NO EDIT'!V170</f>
        <v>Camilla (1988–)</v>
      </c>
      <c r="D170" s="199">
        <f>'Book Details - NO EDIT'!I170</f>
        <v>32294</v>
      </c>
      <c r="E170" s="31" t="str">
        <f>IF('Book Details - NO EDIT'!K170="Boy","Male","Female")</f>
        <v>Female</v>
      </c>
      <c r="F170" s="31" t="str">
        <f>IF('Book Details - NO EDIT'!T170=1,"First",IF('Book Details - NO EDIT'!T170=2,"Second",IF('Book Details - NO EDIT'!T170=3,"Third",IF('Book Details - NO EDIT'!T170=4,"Fourth",IF('Book Details - NO EDIT'!T170=5,"Fifth",IF('Book Details - NO EDIT'!T170=6,"Sixth",IF('Book Details - NO EDIT'!T170=7,"Seventh",IF('Book Details - NO EDIT'!T170=8,"Eighth",0))))))))</f>
        <v>Seventh</v>
      </c>
      <c r="G170" s="31" t="str">
        <f>'Book Details - NO EDIT'!Z170</f>
        <v>Thomas (1959–: #138)</v>
      </c>
      <c r="H170" s="31" t="str">
        <f>'Book Details - NO EDIT'!AH170</f>
        <v>Kirsten Mary WROUGHTON (b. 12 Dec 1959, )</v>
      </c>
      <c r="I170" s="31" t="str">
        <f>'Book Details - NO EDIT'!AI170</f>
        <v>Benjamin Randulph Berners POWELL (b. , )</v>
      </c>
      <c r="J170" s="199">
        <f>'Book Details - NO EDIT'!AJ170</f>
        <v>43666</v>
      </c>
      <c r="K170" s="31" t="str">
        <f>'Book Details - NO EDIT'!AK170</f>
        <v>Married Benjamin at St Mary's Church Fawley, Hampshire.</v>
      </c>
      <c r="L170" s="131" t="str">
        <f>'Book Details - NO EDIT'!AL170</f>
        <v>Camilla is the elder daughter of Thomas (1959– : #138).  Born 31 May 1988. Baptised at St Mary the Virgin, Fawley, Nr Wantage.  Issue: 1 son, 1 daughter.</v>
      </c>
      <c r="M170" s="73" t="str">
        <f>'Book Details - NO EDIT'!AA170</f>
        <v xml:space="preserve">Thomas (1959–: #138) Christopher (1923–2013: #100) Tommy (1882–1944: #56) The Rev Lewis (1844–1905: #28) Thomas (1812–1857: #14) William (1770–1828: #4) William (1729–1800: #1) </v>
      </c>
      <c r="N170" s="197" t="str">
        <f>'Book Details - NO EDIT'!AB170</f>
        <v xml:space="preserve">2 – Sophie (1989–: #170) Kit (1993–: #175)      </v>
      </c>
      <c r="O170" s="198" t="str">
        <f>'Book Details - NO EDIT'!AC170</f>
        <v xml:space="preserve">2 - Nicholas POWELL (2020 - : #168a) Florence POWELL  (2022 - : #168b)      </v>
      </c>
      <c r="P170" s="198" t="str">
        <f>'Book Details - NO EDIT'!AD170</f>
        <v>-</v>
      </c>
      <c r="Q170" s="191" t="str">
        <f>IF('Book Details - NO EDIT'!J170="",IF(R170=0,"Less than year on 1-Jul-2022",_xlfn.CONCAT("On 1-Jul-2022, age ",R170,'Book Details - NO EDIT'!J170)),IF(LEN(R170)=0,"Died in infancy",_xlfn.CONCAT("Died ",'Book Details - NO EDIT'!J170,","," aged ",R170)))</f>
        <v>On 1-Jul-2022, age 168</v>
      </c>
      <c r="R170" s="73">
        <f>'Book Details - NO EDIT'!AX170</f>
        <v>168</v>
      </c>
      <c r="S170" s="73" t="str">
        <f>'Book Details - NO EDIT'!AY170</f>
        <v>tloyd@lockinge-estate.co.uk</v>
      </c>
      <c r="T170" s="73" t="str">
        <f>'Book Details - NO EDIT'!AW170</f>
        <v>England</v>
      </c>
      <c r="U170" s="73">
        <f>VLOOKUP(A170,'Book Details - NO EDIT'!$A170:$S$192,13,FALSE)</f>
        <v>100</v>
      </c>
      <c r="V170" s="73">
        <f>VLOOKUP(A170,'Book Details - NO EDIT'!$A170:$S$192,12,FALSE)</f>
        <v>138</v>
      </c>
      <c r="X170" s="31">
        <f>IF(LEN('Book Details - NO EDIT'!J170)=0,0,1)</f>
        <v>0</v>
      </c>
    </row>
    <row r="171" spans="1:24" s="31" customFormat="1" ht="34">
      <c r="A171" s="125">
        <f>'Book Details - NO EDIT'!A171</f>
        <v>169</v>
      </c>
      <c r="B171" s="31" t="str">
        <f>'Book Details - NO EDIT'!Y171</f>
        <v>James Canning LOYD</v>
      </c>
      <c r="C171" s="31" t="str">
        <f>'Book Details - NO EDIT'!V171</f>
        <v>James (1988–)</v>
      </c>
      <c r="D171" s="199">
        <f>'Book Details - NO EDIT'!I171</f>
        <v>32387</v>
      </c>
      <c r="E171" s="31" t="str">
        <f>IF('Book Details - NO EDIT'!K171="Boy","Male","Female")</f>
        <v>Male</v>
      </c>
      <c r="F171" s="31" t="str">
        <f>IF('Book Details - NO EDIT'!T171=1,"First",IF('Book Details - NO EDIT'!T171=2,"Second",IF('Book Details - NO EDIT'!T171=3,"Third",IF('Book Details - NO EDIT'!T171=4,"Fourth",IF('Book Details - NO EDIT'!T171=5,"Fifth",IF('Book Details - NO EDIT'!T171=6,"Sixth",IF('Book Details - NO EDIT'!T171=7,"Seventh",IF('Book Details - NO EDIT'!T171=8,"Eighth",0))))))))</f>
        <v>Seventh</v>
      </c>
      <c r="G171" s="31" t="str">
        <f>'Book Details - NO EDIT'!Z171</f>
        <v>David (1949–: #121)</v>
      </c>
      <c r="H171" s="31" t="str">
        <f>'Book Details - NO EDIT'!AH171</f>
        <v>Mrs Anabel Laura Dorothy STAPLETON (b. 31 Dec 1955, )</v>
      </c>
      <c r="I171" s="31" t="str">
        <f>'Book Details - NO EDIT'!AI171</f>
        <v>-</v>
      </c>
      <c r="J171" s="199" t="str">
        <f>'Book Details - NO EDIT'!AJ171</f>
        <v/>
      </c>
      <c r="K171" s="31" t="str">
        <f>'Book Details - NO EDIT'!AK171</f>
        <v xml:space="preserve"> -</v>
      </c>
      <c r="L171" s="131" t="str">
        <f>'Book Details - NO EDIT'!AL171</f>
        <v>Jamie lives in Perth, Australia and is the elder son of David  (1949– : #121) of Mildenhall House, Mildenhall, Marlborough, Wiltshire. Born 1 Sep 1988 at the Portland Hospital, Great Portland Street, London W1. Baptised 26 Jan 1989 at the Guards Chapel, Birdcage Walk, London SW1. Education: Bryanston School and Nottingham University.</v>
      </c>
      <c r="M171" s="73" t="str">
        <f>'Book Details - NO EDIT'!AA171</f>
        <v xml:space="preserve">David (1949–: #121) Edward (1921–1977: #96) William (1889–1947: #66) Harry (1861–1938: #44) William (1821–1885: #23) Edward (1780–1863: #8) William (1729–1800: #1) </v>
      </c>
      <c r="N171" s="197" t="str">
        <f>'Book Details - NO EDIT'!AB171</f>
        <v xml:space="preserve">2 – Rupert (1990–: #171) Tabitha (1992–: #174)      </v>
      </c>
      <c r="O171" s="198" t="str">
        <f>'Book Details - NO EDIT'!AC171</f>
        <v/>
      </c>
      <c r="P171" s="198" t="str">
        <f>'Book Details - NO EDIT'!AD171</f>
        <v>-</v>
      </c>
      <c r="Q171" s="191" t="str">
        <f>IF('Book Details - NO EDIT'!J171="",IF(R171=0,"Less than year on 1-Jul-2022",_xlfn.CONCAT("On 1-Jul-2022, age ",R171,'Book Details - NO EDIT'!J171)),IF(LEN(R171)=0,"Died in infancy",_xlfn.CONCAT("Died ",'Book Details - NO EDIT'!J171,","," aged ",R171)))</f>
        <v>On 1-Jul-2022, age 169</v>
      </c>
      <c r="R171" s="73">
        <f>'Book Details - NO EDIT'!AX171</f>
        <v>169</v>
      </c>
      <c r="S171" s="73" t="str">
        <f>'Book Details - NO EDIT'!AY171</f>
        <v>loydie1988@gmail.com</v>
      </c>
      <c r="T171" s="73" t="str">
        <f>'Book Details - NO EDIT'!AW171</f>
        <v>England &amp; Australia</v>
      </c>
      <c r="U171" s="73">
        <f>VLOOKUP(A171,'Book Details - NO EDIT'!$A171:$S$192,13,FALSE)</f>
        <v>96</v>
      </c>
      <c r="V171" s="73">
        <f>VLOOKUP(A171,'Book Details - NO EDIT'!$A171:$S$192,12,FALSE)</f>
        <v>121</v>
      </c>
      <c r="X171" s="31">
        <f>IF(LEN('Book Details - NO EDIT'!J171)=0,0,1)</f>
        <v>0</v>
      </c>
    </row>
    <row r="172" spans="1:24" s="31" customFormat="1" ht="17">
      <c r="A172" s="125">
        <f>'Book Details - NO EDIT'!A172</f>
        <v>170</v>
      </c>
      <c r="B172" s="31" t="str">
        <f>'Book Details - NO EDIT'!Y172</f>
        <v>Sophie Rose LOYD</v>
      </c>
      <c r="C172" s="31" t="str">
        <f>'Book Details - NO EDIT'!V172</f>
        <v>Sophie (1989–)</v>
      </c>
      <c r="D172" s="199">
        <f>'Book Details - NO EDIT'!I172</f>
        <v>32844</v>
      </c>
      <c r="E172" s="31" t="str">
        <f>IF('Book Details - NO EDIT'!K172="Boy","Male","Female")</f>
        <v>Female</v>
      </c>
      <c r="F172" s="31" t="str">
        <f>IF('Book Details - NO EDIT'!T172=1,"First",IF('Book Details - NO EDIT'!T172=2,"Second",IF('Book Details - NO EDIT'!T172=3,"Third",IF('Book Details - NO EDIT'!T172=4,"Fourth",IF('Book Details - NO EDIT'!T172=5,"Fifth",IF('Book Details - NO EDIT'!T172=6,"Sixth",IF('Book Details - NO EDIT'!T172=7,"Seventh",IF('Book Details - NO EDIT'!T172=8,"Eighth",0))))))))</f>
        <v>Seventh</v>
      </c>
      <c r="G172" s="31" t="str">
        <f>'Book Details - NO EDIT'!Z172</f>
        <v>Thomas (1959–: #138)</v>
      </c>
      <c r="H172" s="31" t="str">
        <f>'Book Details - NO EDIT'!AH172</f>
        <v>Kirsten Mary WROUGHTON (b. 12 Dec 1959, )</v>
      </c>
      <c r="I172" s="31" t="str">
        <f>'Book Details - NO EDIT'!AI172</f>
        <v>Oliver Michael Folliott POWELL (b. , )</v>
      </c>
      <c r="J172" s="199">
        <f>'Book Details - NO EDIT'!AJ172</f>
        <v>44184</v>
      </c>
      <c r="K172" s="31" t="str">
        <f>'Book Details - NO EDIT'!AK172</f>
        <v xml:space="preserve"> Married Oliver at St Mary's Church Fawley, Hampshire.</v>
      </c>
      <c r="L172" s="131" t="str">
        <f>'Book Details - NO EDIT'!AL172</f>
        <v xml:space="preserve">Sophie is the younger daughter of Thomas (1959– : #138). Born 2 Dec 1989. Baptised at All Saints' Lockinge. Issue: 1 son.                                                                          </v>
      </c>
      <c r="M172" s="73" t="str">
        <f>'Book Details - NO EDIT'!AA172</f>
        <v xml:space="preserve">Thomas (1959–: #138) Christopher (1923–2013: #100) Tommy (1882–1944: #56) The Rev Lewis (1844–1905: #28) Thomas (1812–1857: #14) William (1770–1828: #4) William (1729–1800: #1) </v>
      </c>
      <c r="N172" s="197" t="str">
        <f>'Book Details - NO EDIT'!AB172</f>
        <v xml:space="preserve">2 – Camilla (1988–: #168)  Kit (1993–: #175)      </v>
      </c>
      <c r="O172" s="198" t="str">
        <f>'Book Details - NO EDIT'!AC172</f>
        <v xml:space="preserve">1 - Angus POWELL (2021 - : #170a)       </v>
      </c>
      <c r="P172" s="198" t="str">
        <f>'Book Details - NO EDIT'!AD172</f>
        <v>-</v>
      </c>
      <c r="Q172" s="191" t="str">
        <f>IF('Book Details - NO EDIT'!J172="",IF(R172=0,"Less than year on 1-Jul-2022",_xlfn.CONCAT("On 1-Jul-2022, age ",R172,'Book Details - NO EDIT'!J172)),IF(LEN(R172)=0,"Died in infancy",_xlfn.CONCAT("Died ",'Book Details - NO EDIT'!J172,","," aged ",R172)))</f>
        <v>On 1-Jul-2022, age 170</v>
      </c>
      <c r="R172" s="73">
        <f>'Book Details - NO EDIT'!AX172</f>
        <v>170</v>
      </c>
      <c r="S172" s="73" t="str">
        <f>'Book Details - NO EDIT'!AY172</f>
        <v>tloyd@lockinge-estate.co.uk</v>
      </c>
      <c r="T172" s="73" t="str">
        <f>'Book Details - NO EDIT'!AW172</f>
        <v>England</v>
      </c>
      <c r="U172" s="73">
        <f>VLOOKUP(A172,'Book Details - NO EDIT'!$A172:$S$192,13,FALSE)</f>
        <v>100</v>
      </c>
      <c r="V172" s="73">
        <f>VLOOKUP(A172,'Book Details - NO EDIT'!$A172:$S$192,12,FALSE)</f>
        <v>138</v>
      </c>
      <c r="X172" s="31">
        <f>IF(LEN('Book Details - NO EDIT'!J172)=0,0,1)</f>
        <v>0</v>
      </c>
    </row>
    <row r="173" spans="1:24" s="31" customFormat="1" ht="17">
      <c r="A173" s="125">
        <f>'Book Details - NO EDIT'!A173</f>
        <v>171</v>
      </c>
      <c r="B173" s="31" t="str">
        <f>'Book Details - NO EDIT'!Y173</f>
        <v>Rupert Charles Percy LOYD</v>
      </c>
      <c r="C173" s="31" t="str">
        <f>'Book Details - NO EDIT'!V173</f>
        <v>Rupert (1990–)</v>
      </c>
      <c r="D173" s="199">
        <f>'Book Details - NO EDIT'!I173</f>
        <v>32912</v>
      </c>
      <c r="E173" s="31" t="str">
        <f>IF('Book Details - NO EDIT'!K173="Boy","Male","Female")</f>
        <v>Male</v>
      </c>
      <c r="F173" s="31" t="str">
        <f>IF('Book Details - NO EDIT'!T173=1,"First",IF('Book Details - NO EDIT'!T173=2,"Second",IF('Book Details - NO EDIT'!T173=3,"Third",IF('Book Details - NO EDIT'!T173=4,"Fourth",IF('Book Details - NO EDIT'!T173=5,"Fifth",IF('Book Details - NO EDIT'!T173=6,"Sixth",IF('Book Details - NO EDIT'!T173=7,"Seventh",IF('Book Details - NO EDIT'!T173=8,"Eighth",0))))))))</f>
        <v>Seventh</v>
      </c>
      <c r="G173" s="31" t="str">
        <f>'Book Details - NO EDIT'!Z173</f>
        <v>David (1949–: #121)</v>
      </c>
      <c r="H173" s="31" t="str">
        <f>'Book Details - NO EDIT'!AH173</f>
        <v>Mrs Anabel Laura Dorothy STAPLETON (b. 31 Dec 1955, )</v>
      </c>
      <c r="I173" s="31" t="str">
        <f>'Book Details - NO EDIT'!AI173</f>
        <v>-</v>
      </c>
      <c r="J173" s="199" t="str">
        <f>'Book Details - NO EDIT'!AJ173</f>
        <v/>
      </c>
      <c r="K173" s="31" t="str">
        <f>'Book Details - NO EDIT'!AK173</f>
        <v xml:space="preserve"> -</v>
      </c>
      <c r="L173" s="131" t="str">
        <f>'Book Details - NO EDIT'!AL173</f>
        <v xml:space="preserve">Rupert lives in London and is the younger son of David  (1949– : #121). Born 8 Feb 1990 at the Portland Hospital, Great Portland Street, London W1. Baptised 15 Jul 1990 at Wedhampton, Wiltshire. Education: Bryanston School, Nottingham University, University of Law. </v>
      </c>
      <c r="M173" s="73" t="str">
        <f>'Book Details - NO EDIT'!AA173</f>
        <v xml:space="preserve">David (1949–: #121) Edward (1921–1977: #96) William (1889–1947: #66) Harry (1861–1938: #44) William (1821–1885: #23) Edward (1780–1863: #8) William (1729–1800: #1) </v>
      </c>
      <c r="N173" s="197" t="str">
        <f>'Book Details - NO EDIT'!AB173</f>
        <v xml:space="preserve">2 – James (1988–: #169)  Tabitha (1992–: #174)      </v>
      </c>
      <c r="O173" s="198" t="str">
        <f>'Book Details - NO EDIT'!AC173</f>
        <v/>
      </c>
      <c r="P173" s="198" t="str">
        <f>'Book Details - NO EDIT'!AD173</f>
        <v>-</v>
      </c>
      <c r="Q173" s="191" t="str">
        <f>IF('Book Details - NO EDIT'!J173="",IF(R173=0,"Less than year on 1-Jul-2022",_xlfn.CONCAT("On 1-Jul-2022, age ",R173,'Book Details - NO EDIT'!J173)),IF(LEN(R173)=0,"Died in infancy",_xlfn.CONCAT("Died ",'Book Details - NO EDIT'!J173,","," aged ",R173)))</f>
        <v>On 1-Jul-2022, age 171</v>
      </c>
      <c r="R173" s="73">
        <f>'Book Details - NO EDIT'!AX173</f>
        <v>171</v>
      </c>
      <c r="S173" s="73" t="str">
        <f>'Book Details - NO EDIT'!AY173</f>
        <v>rupertloyd@hotmail.co.uk</v>
      </c>
      <c r="T173" s="73" t="str">
        <f>'Book Details - NO EDIT'!AW173</f>
        <v>England</v>
      </c>
      <c r="U173" s="73">
        <f>VLOOKUP(A173,'Book Details - NO EDIT'!$A173:$S$192,13,FALSE)</f>
        <v>96</v>
      </c>
      <c r="V173" s="73">
        <f>VLOOKUP(A173,'Book Details - NO EDIT'!$A173:$S$192,12,FALSE)</f>
        <v>121</v>
      </c>
      <c r="X173" s="31">
        <f>IF(LEN('Book Details - NO EDIT'!J173)=0,0,1)</f>
        <v>0</v>
      </c>
    </row>
    <row r="174" spans="1:24" s="31" customFormat="1" ht="34">
      <c r="A174" s="125">
        <f>'Book Details - NO EDIT'!A174</f>
        <v>172</v>
      </c>
      <c r="B174" s="31" t="str">
        <f>'Book Details - NO EDIT'!Y174</f>
        <v>Florina Helen CORMACK-LOYD</v>
      </c>
      <c r="C174" s="31" t="str">
        <f>'Book Details - NO EDIT'!V174</f>
        <v>Florina (1991–)</v>
      </c>
      <c r="D174" s="199">
        <f>'Book Details - NO EDIT'!I174</f>
        <v>33597</v>
      </c>
      <c r="E174" s="31" t="str">
        <f>IF('Book Details - NO EDIT'!K174="Boy","Male","Female")</f>
        <v>Female</v>
      </c>
      <c r="F174" s="31" t="str">
        <f>IF('Book Details - NO EDIT'!T174=1,"First",IF('Book Details - NO EDIT'!T174=2,"Second",IF('Book Details - NO EDIT'!T174=3,"Third",IF('Book Details - NO EDIT'!T174=4,"Fourth",IF('Book Details - NO EDIT'!T174=5,"Fifth",IF('Book Details - NO EDIT'!T174=6,"Sixth",IF('Book Details - NO EDIT'!T174=7,"Seventh",IF('Book Details - NO EDIT'!T174=8,"Eighth",0))))))))</f>
        <v>Seventh</v>
      </c>
      <c r="G174" s="31" t="str">
        <f>'Book Details - NO EDIT'!Z174</f>
        <v>Tim (1957–: #136)</v>
      </c>
      <c r="H174" s="31" t="str">
        <f>'Book Details - NO EDIT'!AH174</f>
        <v>Cherry Margaret CORMACK (b. 18 Sep 1956, )</v>
      </c>
      <c r="I174" s="31" t="str">
        <f>'Book Details - NO EDIT'!AI174</f>
        <v>-</v>
      </c>
      <c r="J174" s="199" t="str">
        <f>'Book Details - NO EDIT'!AJ174</f>
        <v/>
      </c>
      <c r="K174" s="31" t="str">
        <f>'Book Details - NO EDIT'!AK174</f>
        <v xml:space="preserve"> -</v>
      </c>
      <c r="L174" s="131" t="str">
        <f>'Book Details - NO EDIT'!AL174</f>
        <v>Florina lives in London is the 3rd and youngest daughter of Tim (1957– : #136). Born 25 Dec 1991 at John Radcliffe Hospital, Oxford. Education: Headington School, Oxford and Newcastle University (BA Politics, 2014). Post graduation Florina has worked in PR and communications at various companies in Bristol, London and Edinburgh. Interests: Triathlons and have completed a half ironman.</v>
      </c>
      <c r="M174" s="73" t="str">
        <f>'Book Details - NO EDIT'!AA174</f>
        <v xml:space="preserve">Tim (1957–: #136) Alwyne (1920–2014: #94) Cecil (1890–1963: #68) Llewellyn (1861–1939: #45) Edward (1820–1890: #22) Edward (1780–1863: #8) William (1729–1800: #1) </v>
      </c>
      <c r="N174" s="197" t="str">
        <f>'Book Details - NO EDIT'!AB174</f>
        <v xml:space="preserve">2 – Poppy (1984–: #164) Rose (1986–: #165)       </v>
      </c>
      <c r="O174" s="198" t="str">
        <f>'Book Details - NO EDIT'!AC174</f>
        <v/>
      </c>
      <c r="P174" s="198" t="str">
        <f>'Book Details - NO EDIT'!AD174</f>
        <v>-</v>
      </c>
      <c r="Q174" s="191" t="str">
        <f>IF('Book Details - NO EDIT'!J174="",IF(R174=0,"Less than year on 1-Jul-2022",_xlfn.CONCAT("On 1-Jul-2022, age ",R174,'Book Details - NO EDIT'!J174)),IF(LEN(R174)=0,"Died in infancy",_xlfn.CONCAT("Died ",'Book Details - NO EDIT'!J174,","," aged ",R174)))</f>
        <v>On 1-Jul-2022, age 172</v>
      </c>
      <c r="R174" s="73">
        <f>'Book Details - NO EDIT'!AX174</f>
        <v>172</v>
      </c>
      <c r="S174" s="73" t="str">
        <f>'Book Details - NO EDIT'!AY174</f>
        <v>florina.cl@btinternet.com</v>
      </c>
      <c r="T174" s="73" t="str">
        <f>'Book Details - NO EDIT'!AW174</f>
        <v>England &amp; New Zealand.</v>
      </c>
      <c r="U174" s="73">
        <f>VLOOKUP(A174,'Book Details - NO EDIT'!$A174:$S$192,13,FALSE)</f>
        <v>94</v>
      </c>
      <c r="V174" s="73">
        <f>VLOOKUP(A174,'Book Details - NO EDIT'!$A174:$S$192,12,FALSE)</f>
        <v>136</v>
      </c>
      <c r="X174" s="31">
        <f>IF(LEN('Book Details - NO EDIT'!J174)=0,0,1)</f>
        <v>0</v>
      </c>
    </row>
    <row r="175" spans="1:24" s="31" customFormat="1" ht="17">
      <c r="A175" s="125">
        <f>'Book Details - NO EDIT'!A175</f>
        <v>173</v>
      </c>
      <c r="B175" s="31" t="str">
        <f>'Book Details - NO EDIT'!Y175</f>
        <v>Curtis LOYD</v>
      </c>
      <c r="C175" s="31" t="str">
        <f>'Book Details - NO EDIT'!V175</f>
        <v>Curtis (1992–)</v>
      </c>
      <c r="D175" s="199">
        <f>'Book Details - NO EDIT'!I175</f>
        <v>33607</v>
      </c>
      <c r="E175" s="31" t="str">
        <f>IF('Book Details - NO EDIT'!K175="Boy","Male","Female")</f>
        <v>Male</v>
      </c>
      <c r="F175" s="31" t="str">
        <f>IF('Book Details - NO EDIT'!T175=1,"First",IF('Book Details - NO EDIT'!T175=2,"Second",IF('Book Details - NO EDIT'!T175=3,"Third",IF('Book Details - NO EDIT'!T175=4,"Fourth",IF('Book Details - NO EDIT'!T175=5,"Fifth",IF('Book Details - NO EDIT'!T175=6,"Sixth",IF('Book Details - NO EDIT'!T175=7,"Seventh",IF('Book Details - NO EDIT'!T175=8,"Eighth",0))))))))</f>
        <v>Seventh</v>
      </c>
      <c r="G175" s="31" t="str">
        <f>'Book Details - NO EDIT'!Z175</f>
        <v>Jim (1955–: #135)</v>
      </c>
      <c r="H175" s="31" t="str">
        <f>'Book Details - NO EDIT'!AH175</f>
        <v>Brenda POW (b. 23 Aug 1964, )</v>
      </c>
      <c r="I175" s="31" t="str">
        <f>'Book Details - NO EDIT'!AI175</f>
        <v>Andrea Devan KIRKHAM (b. 11 Nov 1991).</v>
      </c>
      <c r="J175" s="199">
        <f>'Book Details - NO EDIT'!AJ175</f>
        <v>44784</v>
      </c>
      <c r="K175" s="31" t="str">
        <f>'Book Details - NO EDIT'!AK175</f>
        <v>Married in Osoyoos British Columbia.</v>
      </c>
      <c r="L175" s="131" t="str">
        <f>'Book Details - NO EDIT'!AL175</f>
        <v>Curtis lives in Kelowna, British Columbria, Canada and is the elder son of James (1955– : #135). Born 4 Jan 1992.</v>
      </c>
      <c r="M175" s="73" t="str">
        <f>'Book Details - NO EDIT'!AA175</f>
        <v xml:space="preserve">Jim (1955–: #135) Peter (1913–2008: #86) Arthur (1890–1974: #71) Ted (1851–1922: #34) Thomas (1812–1857: #14) William (1770–1828: #4) William (1729–1800: #1) </v>
      </c>
      <c r="N175" s="197" t="str">
        <f>'Book Details - NO EDIT'!AB175</f>
        <v xml:space="preserve">1 – Spencer (1995–: #177)       </v>
      </c>
      <c r="O175" s="198" t="str">
        <f>'Book Details - NO EDIT'!AC175</f>
        <v/>
      </c>
      <c r="P175" s="198" t="str">
        <f>'Book Details - NO EDIT'!AD175</f>
        <v>-</v>
      </c>
      <c r="Q175" s="191" t="str">
        <f>IF('Book Details - NO EDIT'!J175="",IF(R175=0,"Less than year on 1-Jul-2022",_xlfn.CONCAT("On 1-Jul-2022, age ",R175,'Book Details - NO EDIT'!J175)),IF(LEN(R175)=0,"Died in infancy",_xlfn.CONCAT("Died ",'Book Details - NO EDIT'!J175,","," aged ",R175)))</f>
        <v>On 1-Jul-2022, age 173</v>
      </c>
      <c r="R175" s="73">
        <f>'Book Details - NO EDIT'!AX175</f>
        <v>173</v>
      </c>
      <c r="S175" s="73" t="str">
        <f>'Book Details - NO EDIT'!AY175</f>
        <v>jimbrendaloyd1@gmail.com</v>
      </c>
      <c r="T175" s="73" t="str">
        <f>'Book Details - NO EDIT'!AW175</f>
        <v>Canada</v>
      </c>
      <c r="U175" s="73">
        <f>VLOOKUP(A175,'Book Details - NO EDIT'!$A175:$S$192,13,FALSE)</f>
        <v>86</v>
      </c>
      <c r="V175" s="73">
        <f>VLOOKUP(A175,'Book Details - NO EDIT'!$A175:$S$192,12,FALSE)</f>
        <v>135</v>
      </c>
      <c r="X175" s="31">
        <f>IF(LEN('Book Details - NO EDIT'!J175)=0,0,1)</f>
        <v>0</v>
      </c>
    </row>
    <row r="176" spans="1:24" s="31" customFormat="1" ht="17">
      <c r="A176" s="125">
        <f>'Book Details - NO EDIT'!A176</f>
        <v>174</v>
      </c>
      <c r="B176" s="31" t="str">
        <f>'Book Details - NO EDIT'!Y176</f>
        <v>Tabitha Laura Mary LOYD</v>
      </c>
      <c r="C176" s="31" t="str">
        <f>'Book Details - NO EDIT'!V176</f>
        <v>Tabitha (1992–)</v>
      </c>
      <c r="D176" s="199">
        <f>'Book Details - NO EDIT'!I176</f>
        <v>33922</v>
      </c>
      <c r="E176" s="31" t="str">
        <f>IF('Book Details - NO EDIT'!K176="Boy","Male","Female")</f>
        <v>Female</v>
      </c>
      <c r="F176" s="31" t="str">
        <f>IF('Book Details - NO EDIT'!T176=1,"First",IF('Book Details - NO EDIT'!T176=2,"Second",IF('Book Details - NO EDIT'!T176=3,"Third",IF('Book Details - NO EDIT'!T176=4,"Fourth",IF('Book Details - NO EDIT'!T176=5,"Fifth",IF('Book Details - NO EDIT'!T176=6,"Sixth",IF('Book Details - NO EDIT'!T176=7,"Seventh",IF('Book Details - NO EDIT'!T176=8,"Eighth",0))))))))</f>
        <v>Seventh</v>
      </c>
      <c r="G176" s="31" t="str">
        <f>'Book Details - NO EDIT'!Z176</f>
        <v>David (1949–: #121)</v>
      </c>
      <c r="H176" s="31" t="str">
        <f>'Book Details - NO EDIT'!AH176</f>
        <v>Mrs Anabel Laura Dorothy STAPLETON (b. 31 Dec 1955, )</v>
      </c>
      <c r="I176" s="31" t="str">
        <f>'Book Details - NO EDIT'!AI176</f>
        <v xml:space="preserve"> -</v>
      </c>
      <c r="J176" s="199" t="str">
        <f>'Book Details - NO EDIT'!AJ176</f>
        <v/>
      </c>
      <c r="K176" s="31" t="str">
        <f>'Book Details - NO EDIT'!AK176</f>
        <v xml:space="preserve"> -</v>
      </c>
      <c r="L176" s="131" t="str">
        <f>'Book Details - NO EDIT'!AL176</f>
        <v>Tabitha lives in South West London and is the only daughter of David (1949– : #121). Born 14 Nov 1992 in London. Baptised 18 Apr 1993 at St Michael &amp; All Angels’, Urchfont, Wiltshire. Education: Bryanston School and Buckingham University.</v>
      </c>
      <c r="M176" s="73" t="str">
        <f>'Book Details - NO EDIT'!AA176</f>
        <v xml:space="preserve">David (1949–: #121) Edward (1921–1977: #96) William (1889–1947: #66) Harry (1861–1938: #44) William (1821–1885: #23) Edward (1780–1863: #8) William (1729–1800: #1) </v>
      </c>
      <c r="N176" s="197" t="str">
        <f>'Book Details - NO EDIT'!AB176</f>
        <v xml:space="preserve">2 – James (1988–: #169) Rupert (1990–: #171)       </v>
      </c>
      <c r="O176" s="198" t="str">
        <f>'Book Details - NO EDIT'!AC176</f>
        <v/>
      </c>
      <c r="P176" s="198" t="str">
        <f>'Book Details - NO EDIT'!AD176</f>
        <v>-</v>
      </c>
      <c r="Q176" s="191" t="str">
        <f>IF('Book Details - NO EDIT'!J176="",IF(R176=0,"Less than year on 1-Jul-2022",_xlfn.CONCAT("On 1-Jul-2022, age ",R176,'Book Details - NO EDIT'!J176)),IF(LEN(R176)=0,"Died in infancy",_xlfn.CONCAT("Died ",'Book Details - NO EDIT'!J176,","," aged ",R176)))</f>
        <v>On 1-Jul-2022, age 174</v>
      </c>
      <c r="R176" s="73">
        <f>'Book Details - NO EDIT'!AX176</f>
        <v>174</v>
      </c>
      <c r="S176" s="73" t="str">
        <f>'Book Details - NO EDIT'!AY176</f>
        <v>tabsloyd@hotmail.co.uk</v>
      </c>
      <c r="T176" s="73" t="str">
        <f>'Book Details - NO EDIT'!AW176</f>
        <v>England</v>
      </c>
      <c r="U176" s="73">
        <f>VLOOKUP(A176,'Book Details - NO EDIT'!$A176:$S$192,13,FALSE)</f>
        <v>96</v>
      </c>
      <c r="V176" s="73">
        <f>VLOOKUP(A176,'Book Details - NO EDIT'!$A176:$S$192,12,FALSE)</f>
        <v>121</v>
      </c>
      <c r="X176" s="31">
        <f>IF(LEN('Book Details - NO EDIT'!J176)=0,0,1)</f>
        <v>0</v>
      </c>
    </row>
    <row r="177" spans="1:24" s="31" customFormat="1" ht="17">
      <c r="A177" s="125">
        <f>'Book Details - NO EDIT'!A177</f>
        <v>175</v>
      </c>
      <c r="B177" s="31" t="str">
        <f>'Book Details - NO EDIT'!Y177</f>
        <v>Christopher Philip LOYD</v>
      </c>
      <c r="C177" s="31" t="str">
        <f>'Book Details - NO EDIT'!V177</f>
        <v>Kit (1993–)</v>
      </c>
      <c r="D177" s="199">
        <f>'Book Details - NO EDIT'!I177</f>
        <v>33992</v>
      </c>
      <c r="E177" s="31" t="str">
        <f>IF('Book Details - NO EDIT'!K177="Boy","Male","Female")</f>
        <v>Male</v>
      </c>
      <c r="F177" s="31" t="str">
        <f>IF('Book Details - NO EDIT'!T177=1,"First",IF('Book Details - NO EDIT'!T177=2,"Second",IF('Book Details - NO EDIT'!T177=3,"Third",IF('Book Details - NO EDIT'!T177=4,"Fourth",IF('Book Details - NO EDIT'!T177=5,"Fifth",IF('Book Details - NO EDIT'!T177=6,"Sixth",IF('Book Details - NO EDIT'!T177=7,"Seventh",IF('Book Details - NO EDIT'!T177=8,"Eighth",0))))))))</f>
        <v>Seventh</v>
      </c>
      <c r="G177" s="31" t="str">
        <f>'Book Details - NO EDIT'!Z177</f>
        <v>Thomas (1959–: #138)</v>
      </c>
      <c r="H177" s="31" t="str">
        <f>'Book Details - NO EDIT'!AH177</f>
        <v>Kirsten Mary WROUGHTON (b. 12 Dec 1959, )</v>
      </c>
      <c r="I177" s="31" t="str">
        <f>'Book Details - NO EDIT'!AI177</f>
        <v>Engaged to be married to Naomi Lydia NICHOLL in December 2022. Naomi is the daughter of Stephen Nicholl, of London, and his wife Eloise Price.</v>
      </c>
      <c r="J177" s="199" t="str">
        <f>'Book Details - NO EDIT'!AJ177</f>
        <v/>
      </c>
      <c r="K177" s="31" t="str">
        <f>'Book Details - NO EDIT'!AK177</f>
        <v xml:space="preserve"> -</v>
      </c>
      <c r="L177" s="131" t="str">
        <f>'Book Details - NO EDIT'!AL177</f>
        <v>Kit is the only son of Thomas (1959– : #138). Born 23 Jan 1993. Baptised at All Saints’, Lockinge.</v>
      </c>
      <c r="M177" s="73" t="str">
        <f>'Book Details - NO EDIT'!AA177</f>
        <v xml:space="preserve">Thomas (1959–: #138) Christopher (1923–2013: #100) Tommy (1882–1944: #56) The Rev Lewis (1844–1905: #28) Thomas (1812–1857: #14) William (1770–1828: #4) William (1729–1800: #1) </v>
      </c>
      <c r="N177" s="197" t="str">
        <f>'Book Details - NO EDIT'!AB177</f>
        <v xml:space="preserve">2 – Camilla (1988–: #168) Sophie (1989–: #170)       </v>
      </c>
      <c r="O177" s="198" t="str">
        <f>'Book Details - NO EDIT'!AC177</f>
        <v/>
      </c>
      <c r="P177" s="198" t="str">
        <f>'Book Details - NO EDIT'!AD177</f>
        <v>-</v>
      </c>
      <c r="Q177" s="191" t="str">
        <f>IF('Book Details - NO EDIT'!J177="",IF(R177=0,"Less than year on 1-Jul-2022",_xlfn.CONCAT("On 1-Jul-2022, age ",R177,'Book Details - NO EDIT'!J177)),IF(LEN(R177)=0,"Died in infancy",_xlfn.CONCAT("Died ",'Book Details - NO EDIT'!J177,","," aged ",R177)))</f>
        <v>On 1-Jul-2022, age 175</v>
      </c>
      <c r="R177" s="73">
        <f>'Book Details - NO EDIT'!AX177</f>
        <v>175</v>
      </c>
      <c r="S177" s="73" t="str">
        <f>'Book Details - NO EDIT'!AY177</f>
        <v>tloyd@lockinge-estate.co.uk</v>
      </c>
      <c r="T177" s="73" t="str">
        <f>'Book Details - NO EDIT'!AW177</f>
        <v>England</v>
      </c>
      <c r="U177" s="73">
        <f>VLOOKUP(A177,'Book Details - NO EDIT'!$A177:$S$192,13,FALSE)</f>
        <v>100</v>
      </c>
      <c r="V177" s="73">
        <f>VLOOKUP(A177,'Book Details - NO EDIT'!$A177:$S$192,12,FALSE)</f>
        <v>138</v>
      </c>
      <c r="X177" s="31">
        <f>IF(LEN('Book Details - NO EDIT'!J177)=0,0,1)</f>
        <v>0</v>
      </c>
    </row>
    <row r="178" spans="1:24" s="31" customFormat="1" ht="34">
      <c r="A178" s="125">
        <f>'Book Details - NO EDIT'!A178</f>
        <v>176</v>
      </c>
      <c r="B178" s="31" t="str">
        <f>'Book Details - NO EDIT'!Y178</f>
        <v>Samuel Hamilton LOYD</v>
      </c>
      <c r="C178" s="31" t="str">
        <f>'Book Details - NO EDIT'!V178</f>
        <v>Sam (1994–)</v>
      </c>
      <c r="D178" s="199">
        <f>'Book Details - NO EDIT'!I178</f>
        <v>34335</v>
      </c>
      <c r="E178" s="31" t="str">
        <f>IF('Book Details - NO EDIT'!K178="Boy","Male","Female")</f>
        <v>Male</v>
      </c>
      <c r="F178" s="31" t="str">
        <f>IF('Book Details - NO EDIT'!T178=1,"First",IF('Book Details - NO EDIT'!T178=2,"Second",IF('Book Details - NO EDIT'!T178=3,"Third",IF('Book Details - NO EDIT'!T178=4,"Fourth",IF('Book Details - NO EDIT'!T178=5,"Fifth",IF('Book Details - NO EDIT'!T178=6,"Sixth",IF('Book Details - NO EDIT'!T178=7,"Seventh",IF('Book Details - NO EDIT'!T178=8,"Eighth",0))))))))</f>
        <v>Seventh</v>
      </c>
      <c r="G178" s="31" t="str">
        <f>'Book Details - NO EDIT'!Z178</f>
        <v>Rick (1962–: #142)</v>
      </c>
      <c r="H178" s="31" t="str">
        <f>'Book Details - NO EDIT'!AH178</f>
        <v>Lynn HAMILTON (b. 23 Feb 1962, )</v>
      </c>
      <c r="I178" s="31" t="str">
        <f>'Book Details - NO EDIT'!AI178</f>
        <v>Ellie COLLINS (b. 4 Aug 1994, )</v>
      </c>
      <c r="J178" s="199" t="str">
        <f>'Book Details - NO EDIT'!AJ178</f>
        <v/>
      </c>
      <c r="K178" s="31" t="str">
        <f>'Book Details - NO EDIT'!AK178</f>
        <v>Sam and Ellie announced their engagement in August 2022. Ellie is the only daughter of Tim and Sarah COLLINS (neé  NICHOLS) orginally from Poole, Dorset.</v>
      </c>
      <c r="L178" s="131" t="str">
        <f>'Book Details - NO EDIT'!AL178</f>
        <v>Sam lives in Dubai and is the elder son of Rick (1962– : #142). Born at Epsom Hospital, Surrey. Education: Mosman Primary/High NSW, Australia; Esher High &amp; Tiffin School Kingston; University of Exeter (BA Hons Philosophy, 2015). Co-directed a play at Haymarket Theatre, London 2013. Freeman of Goldsmiths 2021. Career: Co-Founder Currikula (2015–2019); Co-Author of "The Ultimate Essay Guide Book 2018"; Founder of Antler Digital (2019– ). </v>
      </c>
      <c r="M178" s="73" t="str">
        <f>'Book Details - NO EDIT'!AA178</f>
        <v xml:space="preserve">Rick (1962–: #142) Alwyne (1920–2014: #94) Cecil (1890–1963: #68) Llewellyn (1861–1939: #45) Edward (1820–1890: #22) Edward (1780–1863: #8) William (1729–1800: #1) </v>
      </c>
      <c r="N178" s="197" t="str">
        <f>'Book Details - NO EDIT'!AB178</f>
        <v xml:space="preserve">1 – Josh (1996–: #179)       </v>
      </c>
      <c r="O178" s="198" t="str">
        <f>'Book Details - NO EDIT'!AC178</f>
        <v/>
      </c>
      <c r="P178" s="198" t="str">
        <f>'Book Details - NO EDIT'!AD178</f>
        <v>-</v>
      </c>
      <c r="Q178" s="191" t="str">
        <f>IF('Book Details - NO EDIT'!J178="",IF(R178=0,"Less than year on 1-Jul-2022",_xlfn.CONCAT("On 1-Jul-2022, age ",R178,'Book Details - NO EDIT'!J178)),IF(LEN(R178)=0,"Died in infancy",_xlfn.CONCAT("Died ",'Book Details - NO EDIT'!J178,","," aged ",R178)))</f>
        <v>On 1-Jul-2022, age 176</v>
      </c>
      <c r="R178" s="73">
        <f>'Book Details - NO EDIT'!AX178</f>
        <v>176</v>
      </c>
      <c r="S178" s="73" t="str">
        <f>'Book Details - NO EDIT'!AY178</f>
        <v>samloyd@hotmail.co.uk</v>
      </c>
      <c r="T178" s="73" t="str">
        <f>'Book Details - NO EDIT'!AW178</f>
        <v>England, Australia &amp; Dubai</v>
      </c>
      <c r="U178" s="73">
        <f>VLOOKUP(A178,'Book Details - NO EDIT'!$A178:$S$192,13,FALSE)</f>
        <v>94</v>
      </c>
      <c r="V178" s="73">
        <f>VLOOKUP(A178,'Book Details - NO EDIT'!$A178:$S$192,12,FALSE)</f>
        <v>142</v>
      </c>
      <c r="X178" s="31">
        <f>IF(LEN('Book Details - NO EDIT'!J178)=0,0,1)</f>
        <v>0</v>
      </c>
    </row>
    <row r="179" spans="1:24" s="31" customFormat="1" ht="17">
      <c r="A179" s="125">
        <f>'Book Details - NO EDIT'!A179</f>
        <v>177</v>
      </c>
      <c r="B179" s="31" t="str">
        <f>'Book Details - NO EDIT'!Y179</f>
        <v>Spencer David LOYD</v>
      </c>
      <c r="C179" s="31" t="str">
        <f>'Book Details - NO EDIT'!V179</f>
        <v>Spencer (1995–)</v>
      </c>
      <c r="D179" s="199">
        <f>'Book Details - NO EDIT'!I179</f>
        <v>34890</v>
      </c>
      <c r="E179" s="31" t="str">
        <f>IF('Book Details - NO EDIT'!K179="Boy","Male","Female")</f>
        <v>Male</v>
      </c>
      <c r="F179" s="31" t="str">
        <f>IF('Book Details - NO EDIT'!T179=1,"First",IF('Book Details - NO EDIT'!T179=2,"Second",IF('Book Details - NO EDIT'!T179=3,"Third",IF('Book Details - NO EDIT'!T179=4,"Fourth",IF('Book Details - NO EDIT'!T179=5,"Fifth",IF('Book Details - NO EDIT'!T179=6,"Sixth",IF('Book Details - NO EDIT'!T179=7,"Seventh",IF('Book Details - NO EDIT'!T179=8,"Eighth",0))))))))</f>
        <v>Seventh</v>
      </c>
      <c r="G179" s="31" t="str">
        <f>'Book Details - NO EDIT'!Z179</f>
        <v>Jim (1955–: #135)</v>
      </c>
      <c r="H179" s="31" t="str">
        <f>'Book Details - NO EDIT'!AH179</f>
        <v>Brenda POW (b. 23 Aug 1964, )</v>
      </c>
      <c r="I179" s="31" t="str">
        <f>'Book Details - NO EDIT'!AI179</f>
        <v xml:space="preserve"> -</v>
      </c>
      <c r="J179" s="199" t="str">
        <f>'Book Details - NO EDIT'!AJ179</f>
        <v/>
      </c>
      <c r="K179" s="31" t="str">
        <f>'Book Details - NO EDIT'!AK179</f>
        <v xml:space="preserve"> -</v>
      </c>
      <c r="L179" s="131" t="str">
        <f>'Book Details - NO EDIT'!AL179</f>
        <v>Spencer lives in Kelowna, British Columbria, Canada and is the younger son of James (1955– : #135)  Born 10 Jul 1995. University Degree in Microbiology.</v>
      </c>
      <c r="M179" s="73" t="str">
        <f>'Book Details - NO EDIT'!AA179</f>
        <v xml:space="preserve">Jim (1955–: #135) Peter (1913–2008: #86) Arthur (1890–1974: #71) Ted (1851–1922: #34) Thomas (1812–1857: #14) William (1770–1828: #4) William (1729–1800: #1) </v>
      </c>
      <c r="N179" s="197" t="str">
        <f>'Book Details - NO EDIT'!AB179</f>
        <v xml:space="preserve">1 – Curtis (1992–: #173)        </v>
      </c>
      <c r="O179" s="198" t="str">
        <f>'Book Details - NO EDIT'!AC179</f>
        <v/>
      </c>
      <c r="P179" s="198" t="str">
        <f>'Book Details - NO EDIT'!AD179</f>
        <v>-</v>
      </c>
      <c r="Q179" s="191" t="str">
        <f>IF('Book Details - NO EDIT'!J179="",IF(R179=0,"Less than year on 1-Jul-2022",_xlfn.CONCAT("On 1-Jul-2022, age ",R179,'Book Details - NO EDIT'!J179)),IF(LEN(R179)=0,"Died in infancy",_xlfn.CONCAT("Died ",'Book Details - NO EDIT'!J179,","," aged ",R179)))</f>
        <v>On 1-Jul-2022, age 177</v>
      </c>
      <c r="R179" s="73">
        <f>'Book Details - NO EDIT'!AX179</f>
        <v>177</v>
      </c>
      <c r="S179" s="73" t="str">
        <f>'Book Details - NO EDIT'!AY179</f>
        <v>jimbrendaloyd1@gmail.com</v>
      </c>
      <c r="T179" s="73" t="str">
        <f>'Book Details - NO EDIT'!AW179</f>
        <v>Canada</v>
      </c>
      <c r="U179" s="73">
        <f>VLOOKUP(A179,'Book Details - NO EDIT'!$A179:$S$192,13,FALSE)</f>
        <v>86</v>
      </c>
      <c r="V179" s="73">
        <f>VLOOKUP(A179,'Book Details - NO EDIT'!$A179:$S$192,12,FALSE)</f>
        <v>135</v>
      </c>
      <c r="X179" s="31">
        <f>IF(LEN('Book Details - NO EDIT'!J179)=0,0,1)</f>
        <v>0</v>
      </c>
    </row>
    <row r="180" spans="1:24" s="31" customFormat="1" ht="17">
      <c r="A180" s="125">
        <f>'Book Details - NO EDIT'!A180</f>
        <v>178</v>
      </c>
      <c r="B180" s="31" t="str">
        <f>'Book Details - NO EDIT'!Y180</f>
        <v>William George LOYD</v>
      </c>
      <c r="C180" s="31" t="str">
        <f>'Book Details - NO EDIT'!V180</f>
        <v>William (1996–)</v>
      </c>
      <c r="D180" s="199">
        <f>'Book Details - NO EDIT'!I180</f>
        <v>35420</v>
      </c>
      <c r="E180" s="31" t="str">
        <f>IF('Book Details - NO EDIT'!K180="Boy","Male","Female")</f>
        <v>Male</v>
      </c>
      <c r="F180" s="31" t="str">
        <f>IF('Book Details - NO EDIT'!T180=1,"First",IF('Book Details - NO EDIT'!T180=2,"Second",IF('Book Details - NO EDIT'!T180=3,"Third",IF('Book Details - NO EDIT'!T180=4,"Fourth",IF('Book Details - NO EDIT'!T180=5,"Fifth",IF('Book Details - NO EDIT'!T180=6,"Sixth",IF('Book Details - NO EDIT'!T180=7,"Seventh",IF('Book Details - NO EDIT'!T180=8,"Eighth",0))))))))</f>
        <v>Seventh</v>
      </c>
      <c r="G180" s="31" t="str">
        <f>'Book Details - NO EDIT'!Z180</f>
        <v>James (1966–: #150)</v>
      </c>
      <c r="H180" s="31" t="str">
        <f>'Book Details - NO EDIT'!AH180</f>
        <v>Lady Tara Guinevere CRICHTON (b. 9 May 1967, )</v>
      </c>
      <c r="I180" s="31" t="str">
        <f>'Book Details - NO EDIT'!AI180</f>
        <v xml:space="preserve"> -</v>
      </c>
      <c r="J180" s="199" t="str">
        <f>'Book Details - NO EDIT'!AJ180</f>
        <v/>
      </c>
      <c r="K180" s="31" t="str">
        <f>'Book Details - NO EDIT'!AK180</f>
        <v xml:space="preserve"> -</v>
      </c>
      <c r="L180" s="131" t="str">
        <f>'Book Details - NO EDIT'!AL180</f>
        <v>William is the only son of James (1966– : #150). Born 21 Dec 1996. Baptised 27 Apr 1997 at All Saints’, Lockinge.</v>
      </c>
      <c r="M180" s="73" t="str">
        <f>'Book Details - NO EDIT'!AA180</f>
        <v xml:space="preserve">James (1966–: #150) Christopher (1923–2013: #100) Tommy (1882–1944: #56) The Rev Lewis (1844–1905: #28) Thomas (1812–1857: #14) William (1770–1828: #4) William (1729–1800: #1) </v>
      </c>
      <c r="N180" s="197" t="str">
        <f>'Book Details - NO EDIT'!AB180</f>
        <v xml:space="preserve">1 – Eliza (1999–: #181)       </v>
      </c>
      <c r="O180" s="198" t="str">
        <f>'Book Details - NO EDIT'!AC180</f>
        <v/>
      </c>
      <c r="P180" s="198" t="str">
        <f>'Book Details - NO EDIT'!AD180</f>
        <v>-</v>
      </c>
      <c r="Q180" s="191" t="str">
        <f>IF('Book Details - NO EDIT'!J180="",IF(R180=0,"Less than year on 1-Jul-2022",_xlfn.CONCAT("On 1-Jul-2022, age ",R180,'Book Details - NO EDIT'!J180)),IF(LEN(R180)=0,"Died in infancy",_xlfn.CONCAT("Died ",'Book Details - NO EDIT'!J180,","," aged ",R180)))</f>
        <v>On 1-Jul-2022, age 178</v>
      </c>
      <c r="R180" s="73">
        <f>'Book Details - NO EDIT'!AX180</f>
        <v>178</v>
      </c>
      <c r="S180" s="73" t="str">
        <f>'Book Details - NO EDIT'!AY180</f>
        <v>tloyd@lockinge-estate.co.uk</v>
      </c>
      <c r="T180" s="73" t="str">
        <f>'Book Details - NO EDIT'!AW180</f>
        <v>England</v>
      </c>
      <c r="U180" s="73">
        <f>VLOOKUP(A180,'Book Details - NO EDIT'!$A180:$S$192,13,FALSE)</f>
        <v>100</v>
      </c>
      <c r="V180" s="73">
        <f>VLOOKUP(A180,'Book Details - NO EDIT'!$A180:$S$192,12,FALSE)</f>
        <v>150</v>
      </c>
      <c r="X180" s="31">
        <f>IF(LEN('Book Details - NO EDIT'!J180)=0,0,1)</f>
        <v>0</v>
      </c>
    </row>
    <row r="181" spans="1:24" s="31" customFormat="1" ht="34">
      <c r="A181" s="125">
        <f>'Book Details - NO EDIT'!A181</f>
        <v>179</v>
      </c>
      <c r="B181" s="31" t="str">
        <f>'Book Details - NO EDIT'!Y181</f>
        <v>Joshua Hamilton LOYD</v>
      </c>
      <c r="C181" s="31" t="str">
        <f>'Book Details - NO EDIT'!V181</f>
        <v>Josh (1996–)</v>
      </c>
      <c r="D181" s="199">
        <f>'Book Details - NO EDIT'!I181</f>
        <v>35427</v>
      </c>
      <c r="E181" s="31" t="str">
        <f>IF('Book Details - NO EDIT'!K181="Boy","Male","Female")</f>
        <v>Male</v>
      </c>
      <c r="F181" s="31" t="str">
        <f>IF('Book Details - NO EDIT'!T181=1,"First",IF('Book Details - NO EDIT'!T181=2,"Second",IF('Book Details - NO EDIT'!T181=3,"Third",IF('Book Details - NO EDIT'!T181=4,"Fourth",IF('Book Details - NO EDIT'!T181=5,"Fifth",IF('Book Details - NO EDIT'!T181=6,"Sixth",IF('Book Details - NO EDIT'!T181=7,"Seventh",IF('Book Details - NO EDIT'!T181=8,"Eighth",0))))))))</f>
        <v>Seventh</v>
      </c>
      <c r="G181" s="31" t="str">
        <f>'Book Details - NO EDIT'!Z181</f>
        <v>Rick (1962–: #142)</v>
      </c>
      <c r="H181" s="31" t="str">
        <f>'Book Details - NO EDIT'!AH181</f>
        <v>Lynn HAMILTON (b. 23 Feb 1962, )</v>
      </c>
      <c r="I181" s="31" t="str">
        <f>'Book Details - NO EDIT'!AI181</f>
        <v xml:space="preserve"> -</v>
      </c>
      <c r="J181" s="199" t="str">
        <f>'Book Details - NO EDIT'!AJ181</f>
        <v/>
      </c>
      <c r="K181" s="31" t="str">
        <f>'Book Details - NO EDIT'!AK181</f>
        <v xml:space="preserve"> -</v>
      </c>
      <c r="L181" s="131" t="str">
        <f>'Book Details - NO EDIT'!AL181</f>
        <v>Josh lives in Brixton, South London and is the younger son of Rick (1962– : #142). Born 28 Dec 1996 at Epsom Hospital, Surrey.  Education: Mosman Primary, NSW Australia; Tiffin School, Kingston-upon-Thames (2008-2015); University of Cambrige, Sidney Sussex College (BA Natural Sciences [Psychology, Neurobiology, Behaviour] 2016-2019]; (MSci Natural Sciences [Systems Biology] 2019/20). Produced of first all-female 'Footlight Presents' 2020 . Operations Associate Beauhurst from 2021.</v>
      </c>
      <c r="M181" s="73" t="str">
        <f>'Book Details - NO EDIT'!AA181</f>
        <v xml:space="preserve">Rick (1962–: #142) Alwyne (1920–2014: #94) Cecil (1890–1963: #68) Llewellyn (1861–1939: #45) Edward (1820–1890: #22) Edward (1780–1863: #8) William (1729–1800: #1) </v>
      </c>
      <c r="N181" s="197" t="str">
        <f>'Book Details - NO EDIT'!AB181</f>
        <v xml:space="preserve">1 – Sam (1994–: #176)        </v>
      </c>
      <c r="O181" s="198" t="str">
        <f>'Book Details - NO EDIT'!AC181</f>
        <v/>
      </c>
      <c r="P181" s="198" t="str">
        <f>'Book Details - NO EDIT'!AD181</f>
        <v>-</v>
      </c>
      <c r="Q181" s="191" t="str">
        <f>IF('Book Details - NO EDIT'!J181="",IF(R181=0,"Less than year on 1-Jul-2022",_xlfn.CONCAT("On 1-Jul-2022, age ",R181,'Book Details - NO EDIT'!J181)),IF(LEN(R181)=0,"Died in infancy",_xlfn.CONCAT("Died ",'Book Details - NO EDIT'!J181,","," aged ",R181)))</f>
        <v>On 1-Jul-2022, age 179</v>
      </c>
      <c r="R181" s="73">
        <f>'Book Details - NO EDIT'!AX181</f>
        <v>179</v>
      </c>
      <c r="S181" s="73" t="str">
        <f>'Book Details - NO EDIT'!AY181</f>
        <v>joshloyd96@gmail.com</v>
      </c>
      <c r="T181" s="73" t="str">
        <f>'Book Details - NO EDIT'!AW181</f>
        <v>England &amp; Australia</v>
      </c>
      <c r="U181" s="73">
        <f>VLOOKUP(A181,'Book Details - NO EDIT'!$A181:$S$192,13,FALSE)</f>
        <v>94</v>
      </c>
      <c r="V181" s="73">
        <f>VLOOKUP(A181,'Book Details - NO EDIT'!$A181:$S$192,12,FALSE)</f>
        <v>142</v>
      </c>
      <c r="X181" s="31">
        <f>IF(LEN('Book Details - NO EDIT'!J181)=0,0,1)</f>
        <v>0</v>
      </c>
    </row>
    <row r="182" spans="1:24" s="31" customFormat="1" ht="34">
      <c r="A182" s="125">
        <f>'Book Details - NO EDIT'!A182</f>
        <v>180</v>
      </c>
      <c r="B182" s="31" t="str">
        <f>'Book Details - NO EDIT'!Y182</f>
        <v>George Julian LOYD</v>
      </c>
      <c r="C182" s="31" t="str">
        <f>'Book Details - NO EDIT'!V182</f>
        <v>George (1998–)</v>
      </c>
      <c r="D182" s="199">
        <f>'Book Details - NO EDIT'!I182</f>
        <v>36118</v>
      </c>
      <c r="E182" s="31" t="str">
        <f>IF('Book Details - NO EDIT'!K182="Boy","Male","Female")</f>
        <v>Male</v>
      </c>
      <c r="F182" s="31" t="str">
        <f>IF('Book Details - NO EDIT'!T182=1,"First",IF('Book Details - NO EDIT'!T182=2,"Second",IF('Book Details - NO EDIT'!T182=3,"Third",IF('Book Details - NO EDIT'!T182=4,"Fourth",IF('Book Details - NO EDIT'!T182=5,"Fifth",IF('Book Details - NO EDIT'!T182=6,"Sixth",IF('Book Details - NO EDIT'!T182=7,"Seventh",IF('Book Details - NO EDIT'!T182=8,"Eighth",0))))))))</f>
        <v>Seventh</v>
      </c>
      <c r="G182" s="31" t="str">
        <f>'Book Details - NO EDIT'!Z182</f>
        <v>Charles (1963–: #146)</v>
      </c>
      <c r="H182" s="31" t="str">
        <f>'Book Details - NO EDIT'!AH182</f>
        <v>Jenny CARTWRIGHT (b. 19 Feb 1967, )</v>
      </c>
      <c r="I182" s="31" t="str">
        <f>'Book Details - NO EDIT'!AI182</f>
        <v xml:space="preserve"> -</v>
      </c>
      <c r="J182" s="199" t="str">
        <f>'Book Details - NO EDIT'!AJ182</f>
        <v/>
      </c>
      <c r="K182" s="31" t="str">
        <f>'Book Details - NO EDIT'!AK182</f>
        <v xml:space="preserve"> -</v>
      </c>
      <c r="L182" s="131" t="str">
        <f>'Book Details - NO EDIT'!AL182</f>
        <v>George is the only son of Charles (1963– : #146). Born 19 Nov 1998 at Ipswich, Suffolk. Baptised 14 Mar 1999 at St Mary of Grace, Aspall, Suffolk. Education: Royal Hospital School, Holbrook; Uppingham School (2012–2017); Oxford Brookes University, BSc Criminology. Interests Cricket, Fishing and Shooting.</v>
      </c>
      <c r="M182" s="73" t="str">
        <f>'Book Details - NO EDIT'!AA182</f>
        <v xml:space="preserve">Charles (1963–: #146) Sir Julian (1926–2018: #104) Charles (1891–1973: #72) Harry (1861–1938: #44) William (1821–1885: #23) Edward (1780–1863: #8) William (1729–1800: #1) </v>
      </c>
      <c r="N182" s="197" t="str">
        <f>'Book Details - NO EDIT'!AB182</f>
        <v xml:space="preserve">1 – Rosanna (2000–: #182)       </v>
      </c>
      <c r="O182" s="198" t="str">
        <f>'Book Details - NO EDIT'!AC182</f>
        <v/>
      </c>
      <c r="P182" s="198" t="str">
        <f>'Book Details - NO EDIT'!AD182</f>
        <v>-</v>
      </c>
      <c r="Q182" s="191" t="str">
        <f>IF('Book Details - NO EDIT'!J182="",IF(R182=0,"Less than year on 1-Jul-2022",_xlfn.CONCAT("On 1-Jul-2022, age ",R182,'Book Details - NO EDIT'!J182)),IF(LEN(R182)=0,"Died in infancy",_xlfn.CONCAT("Died ",'Book Details - NO EDIT'!J182,","," aged ",R182)))</f>
        <v>On 1-Jul-2022, age 180</v>
      </c>
      <c r="R182" s="73">
        <f>'Book Details - NO EDIT'!AX182</f>
        <v>180</v>
      </c>
      <c r="S182" s="73" t="str">
        <f>'Book Details - NO EDIT'!AY182</f>
        <v> c.loyde@icloud.com</v>
      </c>
      <c r="T182" s="73" t="str">
        <f>'Book Details - NO EDIT'!AW182</f>
        <v>England</v>
      </c>
      <c r="U182" s="73">
        <f>VLOOKUP(A182,'Book Details - NO EDIT'!$A182:$S$192,13,FALSE)</f>
        <v>104</v>
      </c>
      <c r="V182" s="73">
        <f>VLOOKUP(A182,'Book Details - NO EDIT'!$A182:$S$192,12,FALSE)</f>
        <v>146</v>
      </c>
      <c r="X182" s="31">
        <f>IF(LEN('Book Details - NO EDIT'!J182)=0,0,1)</f>
        <v>0</v>
      </c>
    </row>
    <row r="183" spans="1:24" s="31" customFormat="1" ht="17">
      <c r="A183" s="125">
        <f>'Book Details - NO EDIT'!A183</f>
        <v>181</v>
      </c>
      <c r="B183" s="31" t="str">
        <f>'Book Details - NO EDIT'!Y183</f>
        <v>Eliza Rose LOYD</v>
      </c>
      <c r="C183" s="31" t="str">
        <f>'Book Details - NO EDIT'!V183</f>
        <v>Eliza (1999–)</v>
      </c>
      <c r="D183" s="199">
        <f>'Book Details - NO EDIT'!I183</f>
        <v>36194</v>
      </c>
      <c r="E183" s="31" t="str">
        <f>IF('Book Details - NO EDIT'!K183="Boy","Male","Female")</f>
        <v>Female</v>
      </c>
      <c r="F183" s="31" t="str">
        <f>IF('Book Details - NO EDIT'!T183=1,"First",IF('Book Details - NO EDIT'!T183=2,"Second",IF('Book Details - NO EDIT'!T183=3,"Third",IF('Book Details - NO EDIT'!T183=4,"Fourth",IF('Book Details - NO EDIT'!T183=5,"Fifth",IF('Book Details - NO EDIT'!T183=6,"Sixth",IF('Book Details - NO EDIT'!T183=7,"Seventh",IF('Book Details - NO EDIT'!T183=8,"Eighth",0))))))))</f>
        <v>Seventh</v>
      </c>
      <c r="G183" s="31" t="str">
        <f>'Book Details - NO EDIT'!Z183</f>
        <v>James (1966–: #150)</v>
      </c>
      <c r="H183" s="31" t="str">
        <f>'Book Details - NO EDIT'!AH183</f>
        <v>Lady Tara Guinevere CRICHTON (b. 9 May 1967, )</v>
      </c>
      <c r="I183" s="31" t="str">
        <f>'Book Details - NO EDIT'!AI183</f>
        <v xml:space="preserve"> -</v>
      </c>
      <c r="J183" s="199" t="str">
        <f>'Book Details - NO EDIT'!AJ183</f>
        <v/>
      </c>
      <c r="K183" s="31" t="str">
        <f>'Book Details - NO EDIT'!AK183</f>
        <v xml:space="preserve"> -</v>
      </c>
      <c r="L183" s="131" t="str">
        <f>'Book Details - NO EDIT'!AL183</f>
        <v xml:space="preserve">Eliza is the only daughter of James (1966– : #150). Born 3 Feb 1999. Baptised 30 May 1999 at All Saints’, Lockinge.                                                                                      </v>
      </c>
      <c r="M183" s="73" t="str">
        <f>'Book Details - NO EDIT'!AA183</f>
        <v xml:space="preserve">James (1966–: #150) Christopher (1923–2013: #100) Tommy (1882–1944: #56) The Rev Lewis (1844–1905: #28) Thomas (1812–1857: #14) William (1770–1828: #4) William (1729–1800: #1) </v>
      </c>
      <c r="N183" s="197" t="str">
        <f>'Book Details - NO EDIT'!AB183</f>
        <v xml:space="preserve">1 – William (1996–: #178)        </v>
      </c>
      <c r="O183" s="198" t="str">
        <f>'Book Details - NO EDIT'!AC183</f>
        <v/>
      </c>
      <c r="P183" s="198" t="str">
        <f>'Book Details - NO EDIT'!AD183</f>
        <v>-</v>
      </c>
      <c r="Q183" s="191" t="str">
        <f>IF('Book Details - NO EDIT'!J183="",IF(R183=0,"Less than year on 1-Jul-2022",_xlfn.CONCAT("On 1-Jul-2022, age ",R183,'Book Details - NO EDIT'!J183)),IF(LEN(R183)=0,"Died in infancy",_xlfn.CONCAT("Died ",'Book Details - NO EDIT'!J183,","," aged ",R183)))</f>
        <v>On 1-Jul-2022, age 181</v>
      </c>
      <c r="R183" s="73">
        <f>'Book Details - NO EDIT'!AX183</f>
        <v>181</v>
      </c>
      <c r="S183" s="73" t="str">
        <f>'Book Details - NO EDIT'!AY183</f>
        <v>tloyd@lockinge-estate.co.uk</v>
      </c>
      <c r="T183" s="73" t="str">
        <f>'Book Details - NO EDIT'!AW183</f>
        <v>England</v>
      </c>
      <c r="U183" s="73">
        <f>VLOOKUP(A183,'Book Details - NO EDIT'!$A183:$S$192,13,FALSE)</f>
        <v>100</v>
      </c>
      <c r="V183" s="73">
        <f>VLOOKUP(A183,'Book Details - NO EDIT'!$A183:$S$192,12,FALSE)</f>
        <v>150</v>
      </c>
      <c r="X183" s="31">
        <f>IF(LEN('Book Details - NO EDIT'!J183)=0,0,1)</f>
        <v>0</v>
      </c>
    </row>
    <row r="184" spans="1:24" s="31" customFormat="1" ht="17">
      <c r="A184" s="125">
        <f>'Book Details - NO EDIT'!A184</f>
        <v>182</v>
      </c>
      <c r="B184" s="31" t="str">
        <f>'Book Details - NO EDIT'!Y184</f>
        <v>Rosanna Kate LOYD</v>
      </c>
      <c r="C184" s="31" t="str">
        <f>'Book Details - NO EDIT'!V184</f>
        <v>Rosanna (2000–)</v>
      </c>
      <c r="D184" s="199">
        <f>'Book Details - NO EDIT'!I184</f>
        <v>36729</v>
      </c>
      <c r="E184" s="31" t="str">
        <f>IF('Book Details - NO EDIT'!K184="Boy","Male","Female")</f>
        <v>Female</v>
      </c>
      <c r="F184" s="31" t="str">
        <f>IF('Book Details - NO EDIT'!T184=1,"First",IF('Book Details - NO EDIT'!T184=2,"Second",IF('Book Details - NO EDIT'!T184=3,"Third",IF('Book Details - NO EDIT'!T184=4,"Fourth",IF('Book Details - NO EDIT'!T184=5,"Fifth",IF('Book Details - NO EDIT'!T184=6,"Sixth",IF('Book Details - NO EDIT'!T184=7,"Seventh",IF('Book Details - NO EDIT'!T184=8,"Eighth",0))))))))</f>
        <v>Seventh</v>
      </c>
      <c r="G184" s="31" t="str">
        <f>'Book Details - NO EDIT'!Z184</f>
        <v>Charles (1963–: #146)</v>
      </c>
      <c r="H184" s="31" t="str">
        <f>'Book Details - NO EDIT'!AH184</f>
        <v>Jenny CARTWRIGHT (b. 19 Feb 1967, )</v>
      </c>
      <c r="I184" s="31" t="str">
        <f>'Book Details - NO EDIT'!AI184</f>
        <v xml:space="preserve"> -</v>
      </c>
      <c r="J184" s="199" t="str">
        <f>'Book Details - NO EDIT'!AJ184</f>
        <v/>
      </c>
      <c r="K184" s="31" t="str">
        <f>'Book Details - NO EDIT'!AK184</f>
        <v xml:space="preserve"> -</v>
      </c>
      <c r="L184" s="131" t="str">
        <f>'Book Details - NO EDIT'!AL184</f>
        <v>Rosie lives in Suffolk and is the only daughter of Charles (1963– : #146). Born 22 Jul 2000. Educated Woodbridge Snr School, Uppingham School (2013-2018); Nottingham University (Studying Spanish and Contemporary Chinese 2019-present). Interests; Tennis, Cricket, Languages, Travelling.</v>
      </c>
      <c r="M184" s="73" t="str">
        <f>'Book Details - NO EDIT'!AA184</f>
        <v xml:space="preserve">Charles (1963–: #146) Sir Julian (1926–2018: #104) Charles (1891–1973: #72) Harry (1861–1938: #44) William (1821–1885: #23) Edward (1780–1863: #8) William (1729–1800: #1) </v>
      </c>
      <c r="N184" s="197" t="str">
        <f>'Book Details - NO EDIT'!AB184</f>
        <v xml:space="preserve">1 – George (1998–: #180)        </v>
      </c>
      <c r="O184" s="198" t="str">
        <f>'Book Details - NO EDIT'!AC184</f>
        <v/>
      </c>
      <c r="P184" s="198" t="str">
        <f>'Book Details - NO EDIT'!AD184</f>
        <v>-</v>
      </c>
      <c r="Q184" s="191" t="str">
        <f>IF('Book Details - NO EDIT'!J184="",IF(R184=0,"Less than year on 1-Jul-2022",_xlfn.CONCAT("On 1-Jul-2022, age ",R184,'Book Details - NO EDIT'!J184)),IF(LEN(R184)=0,"Died in infancy",_xlfn.CONCAT("Died ",'Book Details - NO EDIT'!J184,","," aged ",R184)))</f>
        <v>On 1-Jul-2022, age 182</v>
      </c>
      <c r="R184" s="73">
        <f>'Book Details - NO EDIT'!AX184</f>
        <v>182</v>
      </c>
      <c r="S184" s="73" t="str">
        <f>'Book Details - NO EDIT'!AY184</f>
        <v> c.loyde@icloud.com</v>
      </c>
      <c r="T184" s="73" t="str">
        <f>'Book Details - NO EDIT'!AW184</f>
        <v>England</v>
      </c>
      <c r="U184" s="73">
        <f>VLOOKUP(A184,'Book Details - NO EDIT'!$A184:$S$192,13,FALSE)</f>
        <v>104</v>
      </c>
      <c r="V184" s="73">
        <f>VLOOKUP(A184,'Book Details - NO EDIT'!$A184:$S$192,12,FALSE)</f>
        <v>146</v>
      </c>
      <c r="X184" s="31">
        <f>IF(LEN('Book Details - NO EDIT'!J184)=0,0,1)</f>
        <v>0</v>
      </c>
    </row>
    <row r="185" spans="1:24" s="31" customFormat="1" ht="17">
      <c r="A185" s="125">
        <f>'Book Details - NO EDIT'!A185</f>
        <v>183</v>
      </c>
      <c r="B185" s="31" t="str">
        <f>'Book Details - NO EDIT'!Y185</f>
        <v>Matilda Jennifer (LOYD) CHARLTON</v>
      </c>
      <c r="C185" s="31" t="str">
        <f>'Book Details - NO EDIT'!V185</f>
        <v>Matilda (2006–)</v>
      </c>
      <c r="D185" s="199">
        <f>'Book Details - NO EDIT'!I185</f>
        <v>38760</v>
      </c>
      <c r="E185" s="31" t="str">
        <f>IF('Book Details - NO EDIT'!K185="Boy","Male","Female")</f>
        <v>Female</v>
      </c>
      <c r="F185" s="31" t="str">
        <f>IF('Book Details - NO EDIT'!T185=1,"First",IF('Book Details - NO EDIT'!T185=2,"Second",IF('Book Details - NO EDIT'!T185=3,"Third",IF('Book Details - NO EDIT'!T185=4,"Fourth",IF('Book Details - NO EDIT'!T185=5,"Fifth",IF('Book Details - NO EDIT'!T185=6,"Sixth",IF('Book Details - NO EDIT'!T185=7,"Seventh",IF('Book Details - NO EDIT'!T185=8,"Eighth",0))))))))</f>
        <v>Seventh</v>
      </c>
      <c r="G185" s="31" t="str">
        <f>'Book Details - NO EDIT'!Z185</f>
        <v>William (1973–: #155)</v>
      </c>
      <c r="H185" s="31" t="str">
        <f>'Book Details - NO EDIT'!AH185</f>
        <v>Anna Maria LEES (b. 15 Mar 1972, )</v>
      </c>
      <c r="I185" s="31" t="str">
        <f>'Book Details - NO EDIT'!AI185</f>
        <v xml:space="preserve"> -</v>
      </c>
      <c r="J185" s="199" t="str">
        <f>'Book Details - NO EDIT'!AJ185</f>
        <v/>
      </c>
      <c r="K185" s="31" t="str">
        <f>'Book Details - NO EDIT'!AK185</f>
        <v xml:space="preserve"> -</v>
      </c>
      <c r="L185" s="131" t="str">
        <f>'Book Details - NO EDIT'!AL185</f>
        <v>Matilda is the elder daughter of William (1973– : #155). Born 12 Feb 2006.</v>
      </c>
      <c r="M185" s="73" t="str">
        <f>'Book Details - NO EDIT'!AA185</f>
        <v xml:space="preserve">William (1973–: #155) Peter (1942–: #119) Eric (1894–1963: #80) Arthur (1845–1930: #29) Thomas (1812–1857: #14) William (1770–1828: #4) William (1729–1800: #1) </v>
      </c>
      <c r="N185" s="197" t="str">
        <f>'Book Details - NO EDIT'!AB185</f>
        <v xml:space="preserve">2 – Katherine (2007–: #185) Henry (2010–: #186)      </v>
      </c>
      <c r="O185" s="198" t="str">
        <f>'Book Details - NO EDIT'!AC185</f>
        <v/>
      </c>
      <c r="P185" s="198" t="str">
        <f>'Book Details - NO EDIT'!AD185</f>
        <v>-</v>
      </c>
      <c r="Q185" s="191" t="str">
        <f>IF('Book Details - NO EDIT'!J185="",IF(R185=0,"Less than year on 1-Jul-2022",_xlfn.CONCAT("On 1-Jul-2022, age ",R185,'Book Details - NO EDIT'!J185)),IF(LEN(R185)=0,"Died in infancy",_xlfn.CONCAT("Died ",'Book Details - NO EDIT'!J185,","," aged ",R185)))</f>
        <v>On 1-Jul-2022, age 183</v>
      </c>
      <c r="R185" s="73">
        <f>'Book Details - NO EDIT'!AX185</f>
        <v>183</v>
      </c>
      <c r="S185" s="73" t="str">
        <f>'Book Details - NO EDIT'!AY185</f>
        <v xml:space="preserve"> - </v>
      </c>
      <c r="T185" s="73" t="str">
        <f>'Book Details - NO EDIT'!AW185</f>
        <v>England</v>
      </c>
      <c r="U185" s="73">
        <f>VLOOKUP(A185,'Book Details - NO EDIT'!$A185:$S$192,13,FALSE)</f>
        <v>119</v>
      </c>
      <c r="V185" s="73">
        <f>VLOOKUP(A185,'Book Details - NO EDIT'!$A185:$S$192,12,FALSE)</f>
        <v>155</v>
      </c>
      <c r="X185" s="31">
        <f>IF(LEN('Book Details - NO EDIT'!J185)=0,0,1)</f>
        <v>0</v>
      </c>
    </row>
    <row r="186" spans="1:24" s="31" customFormat="1" ht="17">
      <c r="A186" s="125">
        <f>'Book Details - NO EDIT'!A186</f>
        <v>184</v>
      </c>
      <c r="B186" s="31" t="str">
        <f>'Book Details - NO EDIT'!Y186</f>
        <v>Delilah LOYD</v>
      </c>
      <c r="C186" s="31" t="str">
        <f>'Book Details - NO EDIT'!V186</f>
        <v>Delilah (2006–)</v>
      </c>
      <c r="D186" s="199">
        <f>'Book Details - NO EDIT'!I186</f>
        <v>38930</v>
      </c>
      <c r="E186" s="31" t="str">
        <f>IF('Book Details - NO EDIT'!K186="Boy","Male","Female")</f>
        <v>Female</v>
      </c>
      <c r="F186" s="31" t="str">
        <f>IF('Book Details - NO EDIT'!T186=1,"First",IF('Book Details - NO EDIT'!T186=2,"Second",IF('Book Details - NO EDIT'!T186=3,"Third",IF('Book Details - NO EDIT'!T186=4,"Fourth",IF('Book Details - NO EDIT'!T186=5,"Fifth",IF('Book Details - NO EDIT'!T186=6,"Sixth",IF('Book Details - NO EDIT'!T186=7,"Seventh",IF('Book Details - NO EDIT'!T186=8,"Eighth",0))))))))</f>
        <v>Seventh</v>
      </c>
      <c r="G186" s="31" t="str">
        <f>'Book Details - NO EDIT'!Z186</f>
        <v>Anthony (1966–: #149)</v>
      </c>
      <c r="H186" s="31" t="str">
        <f>'Book Details - NO EDIT'!AH186</f>
        <v>Harriet Louise MELLOR (b. , )</v>
      </c>
      <c r="I186" s="31" t="str">
        <f>'Book Details - NO EDIT'!AI186</f>
        <v xml:space="preserve"> -</v>
      </c>
      <c r="J186" s="199" t="str">
        <f>'Book Details - NO EDIT'!AJ186</f>
        <v/>
      </c>
      <c r="K186" s="31" t="str">
        <f>'Book Details - NO EDIT'!AK186</f>
        <v xml:space="preserve"> -</v>
      </c>
      <c r="L186" s="131" t="str">
        <f>'Book Details - NO EDIT'!AL186</f>
        <v>Delilah is the only daughter of Anthony (1966– : #149). Born 1 Aug 2006.</v>
      </c>
      <c r="M186" s="73" t="str">
        <f>'Book Details - NO EDIT'!AA186</f>
        <v xml:space="preserve">Anthony (1966–: #149) Willie (1937–1994: #113) Vivian (1894–1972: #78) William (1863–1923: #46) William (1821–1885: #23) Edward (1780–1863: #8) William (1729–1800: #1) </v>
      </c>
      <c r="N186" s="197" t="str">
        <f>'Book Details - NO EDIT'!AB186</f>
        <v>0 – Only chlid</v>
      </c>
      <c r="O186" s="198" t="str">
        <f>'Book Details - NO EDIT'!AC186</f>
        <v/>
      </c>
      <c r="P186" s="198" t="str">
        <f>'Book Details - NO EDIT'!AD186</f>
        <v>-</v>
      </c>
      <c r="Q186" s="191" t="str">
        <f>IF('Book Details - NO EDIT'!J186="",IF(R186=0,"Less than year on 1-Jul-2022",_xlfn.CONCAT("On 1-Jul-2022, age ",R186,'Book Details - NO EDIT'!J186)),IF(LEN(R186)=0,"Died in infancy",_xlfn.CONCAT("Died ",'Book Details - NO EDIT'!J186,","," aged ",R186)))</f>
        <v>On 1-Jul-2022, age 184</v>
      </c>
      <c r="R186" s="73">
        <f>'Book Details - NO EDIT'!AX186</f>
        <v>184</v>
      </c>
      <c r="S186" s="73" t="str">
        <f>'Book Details - NO EDIT'!AY186</f>
        <v xml:space="preserve"> - </v>
      </c>
      <c r="T186" s="73" t="str">
        <f>'Book Details - NO EDIT'!AW186</f>
        <v>England</v>
      </c>
      <c r="U186" s="73">
        <f>VLOOKUP(A186,'Book Details - NO EDIT'!$A186:$S$192,13,FALSE)</f>
        <v>113</v>
      </c>
      <c r="V186" s="73">
        <f>VLOOKUP(A186,'Book Details - NO EDIT'!$A186:$S$192,12,FALSE)</f>
        <v>149</v>
      </c>
      <c r="X186" s="31">
        <f>IF(LEN('Book Details - NO EDIT'!J186)=0,0,1)</f>
        <v>0</v>
      </c>
    </row>
    <row r="187" spans="1:24" s="31" customFormat="1" ht="17">
      <c r="A187" s="125">
        <f>'Book Details - NO EDIT'!A187</f>
        <v>185</v>
      </c>
      <c r="B187" s="31" t="str">
        <f>'Book Details - NO EDIT'!Y187</f>
        <v>Katherine Anne (LOYD) CHARLTON</v>
      </c>
      <c r="C187" s="31" t="str">
        <f>'Book Details - NO EDIT'!V187</f>
        <v>Katherine (2007–)</v>
      </c>
      <c r="D187" s="199">
        <f>'Book Details - NO EDIT'!I187</f>
        <v>39268</v>
      </c>
      <c r="E187" s="31" t="str">
        <f>IF('Book Details - NO EDIT'!K187="Boy","Male","Female")</f>
        <v>Female</v>
      </c>
      <c r="F187" s="31" t="str">
        <f>IF('Book Details - NO EDIT'!T187=1,"First",IF('Book Details - NO EDIT'!T187=2,"Second",IF('Book Details - NO EDIT'!T187=3,"Third",IF('Book Details - NO EDIT'!T187=4,"Fourth",IF('Book Details - NO EDIT'!T187=5,"Fifth",IF('Book Details - NO EDIT'!T187=6,"Sixth",IF('Book Details - NO EDIT'!T187=7,"Seventh",IF('Book Details - NO EDIT'!T187=8,"Eighth",0))))))))</f>
        <v>Seventh</v>
      </c>
      <c r="G187" s="31" t="str">
        <f>'Book Details - NO EDIT'!Z187</f>
        <v>William (1973–: #155)</v>
      </c>
      <c r="H187" s="31" t="str">
        <f>'Book Details - NO EDIT'!AH187</f>
        <v>Anna Maria LEES (b. 15 Mar 1972, )</v>
      </c>
      <c r="I187" s="31" t="str">
        <f>'Book Details - NO EDIT'!AI187</f>
        <v xml:space="preserve"> -</v>
      </c>
      <c r="J187" s="199" t="str">
        <f>'Book Details - NO EDIT'!AJ187</f>
        <v/>
      </c>
      <c r="K187" s="31" t="str">
        <f>'Book Details - NO EDIT'!AK187</f>
        <v xml:space="preserve"> -</v>
      </c>
      <c r="L187" s="131" t="str">
        <f>'Book Details - NO EDIT'!AL187</f>
        <v>Katherine is the younger daughter of William (1973– : #155). Born 5 July 2007.</v>
      </c>
      <c r="M187" s="73" t="str">
        <f>'Book Details - NO EDIT'!AA187</f>
        <v xml:space="preserve">William (1973–: #155) Peter (1942–: #119) Eric (1894–1963: #80) Arthur (1845–1930: #29) Thomas (1812–1857: #14) William (1770–1828: #4) William (1729–1800: #1) </v>
      </c>
      <c r="N187" s="197" t="str">
        <f>'Book Details - NO EDIT'!AB187</f>
        <v xml:space="preserve">2 – Matilda (2006–: #183)  Henry (2010–: #186)      </v>
      </c>
      <c r="O187" s="198" t="str">
        <f>'Book Details - NO EDIT'!AC187</f>
        <v/>
      </c>
      <c r="P187" s="198" t="str">
        <f>'Book Details - NO EDIT'!AD187</f>
        <v>-</v>
      </c>
      <c r="Q187" s="191" t="str">
        <f>IF('Book Details - NO EDIT'!J187="",IF(R187=0,"Less than year on 1-Jul-2022",_xlfn.CONCAT("On 1-Jul-2022, age ",R187,'Book Details - NO EDIT'!J187)),IF(LEN(R187)=0,"Died in infancy",_xlfn.CONCAT("Died ",'Book Details - NO EDIT'!J187,","," aged ",R187)))</f>
        <v>On 1-Jul-2022, age 185</v>
      </c>
      <c r="R187" s="73">
        <f>'Book Details - NO EDIT'!AX187</f>
        <v>185</v>
      </c>
      <c r="S187" s="73" t="str">
        <f>'Book Details - NO EDIT'!AY187</f>
        <v xml:space="preserve"> - </v>
      </c>
      <c r="T187" s="73" t="str">
        <f>'Book Details - NO EDIT'!AW187</f>
        <v>England</v>
      </c>
      <c r="U187" s="73">
        <f>VLOOKUP(A187,'Book Details - NO EDIT'!$A187:$S$192,13,FALSE)</f>
        <v>119</v>
      </c>
      <c r="V187" s="73">
        <f>VLOOKUP(A187,'Book Details - NO EDIT'!$A187:$S$192,12,FALSE)</f>
        <v>155</v>
      </c>
      <c r="X187" s="31">
        <f>IF(LEN('Book Details - NO EDIT'!J187)=0,0,1)</f>
        <v>0</v>
      </c>
    </row>
    <row r="188" spans="1:24" s="31" customFormat="1" ht="17">
      <c r="A188" s="125">
        <f>'Book Details - NO EDIT'!A188</f>
        <v>186</v>
      </c>
      <c r="B188" s="31" t="str">
        <f>'Book Details - NO EDIT'!Y188</f>
        <v>Henry John (LOYD) CHARLTON</v>
      </c>
      <c r="C188" s="31" t="str">
        <f>'Book Details - NO EDIT'!V188</f>
        <v>Henry (2010–)</v>
      </c>
      <c r="D188" s="199">
        <f>'Book Details - NO EDIT'!I188</f>
        <v>40184</v>
      </c>
      <c r="E188" s="31" t="str">
        <f>IF('Book Details - NO EDIT'!K188="Boy","Male","Female")</f>
        <v>Male</v>
      </c>
      <c r="F188" s="31" t="str">
        <f>IF('Book Details - NO EDIT'!T188=1,"First",IF('Book Details - NO EDIT'!T188=2,"Second",IF('Book Details - NO EDIT'!T188=3,"Third",IF('Book Details - NO EDIT'!T188=4,"Fourth",IF('Book Details - NO EDIT'!T188=5,"Fifth",IF('Book Details - NO EDIT'!T188=6,"Sixth",IF('Book Details - NO EDIT'!T188=7,"Seventh",IF('Book Details - NO EDIT'!T188=8,"Eighth",0))))))))</f>
        <v>Seventh</v>
      </c>
      <c r="G188" s="31" t="str">
        <f>'Book Details - NO EDIT'!Z188</f>
        <v>William (1973–: #155)</v>
      </c>
      <c r="H188" s="31" t="str">
        <f>'Book Details - NO EDIT'!AH188</f>
        <v>Anna Maria LEES (b. 15 Mar 1972, )</v>
      </c>
      <c r="I188" s="31" t="str">
        <f>'Book Details - NO EDIT'!AI188</f>
        <v xml:space="preserve"> -</v>
      </c>
      <c r="J188" s="199" t="str">
        <f>'Book Details - NO EDIT'!AJ188</f>
        <v/>
      </c>
      <c r="K188" s="31" t="str">
        <f>'Book Details - NO EDIT'!AK188</f>
        <v xml:space="preserve"> -</v>
      </c>
      <c r="L188" s="131" t="str">
        <f>'Book Details - NO EDIT'!AL188</f>
        <v>Henry is the only son of William (1973– : #155). Born 6 Jan 2010.</v>
      </c>
      <c r="M188" s="73" t="str">
        <f>'Book Details - NO EDIT'!AA188</f>
        <v xml:space="preserve">William (1973–: #155) Peter (1942–: #119) Eric (1894–1963: #80) Arthur (1845–1930: #29) Thomas (1812–1857: #14) William (1770–1828: #4) William (1729–1800: #1) </v>
      </c>
      <c r="N188" s="197" t="str">
        <f>'Book Details - NO EDIT'!AB188</f>
        <v xml:space="preserve">2 – Matilda (2006–: #183) Katherine (2007–: #185)       </v>
      </c>
      <c r="O188" s="198" t="str">
        <f>'Book Details - NO EDIT'!AC188</f>
        <v/>
      </c>
      <c r="P188" s="198" t="str">
        <f>'Book Details - NO EDIT'!AD188</f>
        <v>-</v>
      </c>
      <c r="Q188" s="191" t="str">
        <f>IF('Book Details - NO EDIT'!J188="",IF(R188=0,"Less than year on 1-Jul-2022",_xlfn.CONCAT("On 1-Jul-2022, age ",R188,'Book Details - NO EDIT'!J188)),IF(LEN(R188)=0,"Died in infancy",_xlfn.CONCAT("Died ",'Book Details - NO EDIT'!J188,","," aged ",R188)))</f>
        <v>On 1-Jul-2022, age 186</v>
      </c>
      <c r="R188" s="73">
        <f>'Book Details - NO EDIT'!AX188</f>
        <v>186</v>
      </c>
      <c r="S188" s="73" t="str">
        <f>'Book Details - NO EDIT'!AY188</f>
        <v xml:space="preserve"> - </v>
      </c>
      <c r="T188" s="73" t="str">
        <f>'Book Details - NO EDIT'!AW188</f>
        <v>England</v>
      </c>
      <c r="U188" s="73">
        <f>VLOOKUP(A188,'Book Details - NO EDIT'!$A188:$S$192,13,FALSE)</f>
        <v>119</v>
      </c>
      <c r="V188" s="73">
        <f>VLOOKUP(A188,'Book Details - NO EDIT'!$A188:$S$192,12,FALSE)</f>
        <v>155</v>
      </c>
      <c r="X188" s="31">
        <f>IF(LEN('Book Details - NO EDIT'!J188)=0,0,1)</f>
        <v>0</v>
      </c>
    </row>
    <row r="189" spans="1:24" s="31" customFormat="1" ht="34">
      <c r="A189" s="125">
        <f>'Book Details - NO EDIT'!A189</f>
        <v>187</v>
      </c>
      <c r="B189" s="31" t="str">
        <f>'Book Details - NO EDIT'!Y189</f>
        <v>Olivia Catherine LOYD</v>
      </c>
      <c r="C189" s="31" t="str">
        <f>'Book Details - NO EDIT'!V189</f>
        <v>Olivia (2014–)</v>
      </c>
      <c r="D189" s="199">
        <f>'Book Details - NO EDIT'!I189</f>
        <v>41681</v>
      </c>
      <c r="E189" s="31" t="str">
        <f>IF('Book Details - NO EDIT'!K189="Boy","Male","Female")</f>
        <v>Female</v>
      </c>
      <c r="F189" s="31" t="str">
        <f>IF('Book Details - NO EDIT'!T189=1,"First",IF('Book Details - NO EDIT'!T189=2,"Second",IF('Book Details - NO EDIT'!T189=3,"Third",IF('Book Details - NO EDIT'!T189=4,"Fourth",IF('Book Details - NO EDIT'!T189=5,"Fifth",IF('Book Details - NO EDIT'!T189=6,"Sixth",IF('Book Details - NO EDIT'!T189=7,"Seventh",IF('Book Details - NO EDIT'!T189=8,"Eighth",0))))))))</f>
        <v>Eighth</v>
      </c>
      <c r="G189" s="31" t="str">
        <f>'Book Details - NO EDIT'!Z189</f>
        <v>Ben (1988–: #167)</v>
      </c>
      <c r="H189" s="31" t="str">
        <f>'Book Details - NO EDIT'!AH189</f>
        <v>Holly Kristina TURNER (b. 10 Jan 1988, )</v>
      </c>
      <c r="I189" s="31" t="str">
        <f>'Book Details - NO EDIT'!AI189</f>
        <v xml:space="preserve"> -</v>
      </c>
      <c r="J189" s="199" t="str">
        <f>'Book Details - NO EDIT'!AJ189</f>
        <v/>
      </c>
      <c r="K189" s="31" t="str">
        <f>'Book Details - NO EDIT'!AK189</f>
        <v xml:space="preserve"> -</v>
      </c>
      <c r="L189" s="131" t="str">
        <f>'Book Details - NO EDIT'!AL189</f>
        <v>Olivia is the elder daughter of Ben (1988– : #167). Born 11 Feb 2014 at Grimsby Hospital. Baptised 24 Aug 2014 at St Peter's Church, Raithby. Olivia lives in Lincolnshire. Education: Oliva attends primary school and particularly enjoys writing, art, maths and science. Interests: tennis, swimming and reading and would like to be an author as well as a marine biologist when she is older.</v>
      </c>
      <c r="M189" s="73" t="str">
        <f>'Book Details - NO EDIT'!AA189</f>
        <v>Ben (1988–: #167) Dominic (1953–: #131) Alwyne (1920–2014: #94) Cecil (1890–1963: #68) Llewellyn (1861–1939: #45) Edward (1820–1890: #22) Edward (1780–1863: #8) William (1729–1800: #1)</v>
      </c>
      <c r="N189" s="197" t="str">
        <f>'Book Details - NO EDIT'!AB189</f>
        <v xml:space="preserve">1 – Daisy (2021–: #190)       </v>
      </c>
      <c r="O189" s="198" t="str">
        <f>'Book Details - NO EDIT'!AC189</f>
        <v/>
      </c>
      <c r="P189" s="198" t="str">
        <f>'Book Details - NO EDIT'!AD189</f>
        <v>-</v>
      </c>
      <c r="Q189" s="191" t="str">
        <f>IF('Book Details - NO EDIT'!J189="",IF(R189=0,"Less than year on 1-Jul-2022",_xlfn.CONCAT("On 1-Jul-2022, age ",R189,'Book Details - NO EDIT'!J189)),IF(LEN(R189)=0,"Died in infancy",_xlfn.CONCAT("Died ",'Book Details - NO EDIT'!J189,","," aged ",R189)))</f>
        <v>On 1-Jul-2022, age 187</v>
      </c>
      <c r="R189" s="73">
        <f>'Book Details - NO EDIT'!AX189</f>
        <v>187</v>
      </c>
      <c r="S189" s="73" t="str">
        <f>'Book Details - NO EDIT'!AY189</f>
        <v xml:space="preserve"> - </v>
      </c>
      <c r="T189" s="73" t="str">
        <f>'Book Details - NO EDIT'!AW189</f>
        <v>England</v>
      </c>
      <c r="U189" s="73">
        <f>VLOOKUP(A189,'Book Details - NO EDIT'!$A189:$S$192,13,FALSE)</f>
        <v>131</v>
      </c>
      <c r="V189" s="73">
        <f>VLOOKUP(A189,'Book Details - NO EDIT'!$A189:$S$192,12,FALSE)</f>
        <v>167</v>
      </c>
      <c r="X189" s="31">
        <f>IF(LEN('Book Details - NO EDIT'!J189)=0,0,1)</f>
        <v>0</v>
      </c>
    </row>
    <row r="190" spans="1:24" s="31" customFormat="1" ht="17">
      <c r="A190" s="125">
        <f>'Book Details - NO EDIT'!A190</f>
        <v>188</v>
      </c>
      <c r="B190" s="31" t="str">
        <f>'Book Details - NO EDIT'!Y190</f>
        <v>Archibald Albert Musselbrook LOYD</v>
      </c>
      <c r="C190" s="31" t="str">
        <f>'Book Details - NO EDIT'!V190</f>
        <v>Archie (2017–)</v>
      </c>
      <c r="D190" s="199">
        <f>'Book Details - NO EDIT'!I190</f>
        <v>42881</v>
      </c>
      <c r="E190" s="31" t="str">
        <f>IF('Book Details - NO EDIT'!K190="Boy","Male","Female")</f>
        <v>Male</v>
      </c>
      <c r="F190" s="31" t="str">
        <f>IF('Book Details - NO EDIT'!T190=1,"First",IF('Book Details - NO EDIT'!T190=2,"Second",IF('Book Details - NO EDIT'!T190=3,"Third",IF('Book Details - NO EDIT'!T190=4,"Fourth",IF('Book Details - NO EDIT'!T190=5,"Fifth",IF('Book Details - NO EDIT'!T190=6,"Sixth",IF('Book Details - NO EDIT'!T190=7,"Seventh",IF('Book Details - NO EDIT'!T190=8,"Eighth",0))))))))</f>
        <v>Eighth</v>
      </c>
      <c r="G190" s="31" t="str">
        <f>'Book Details - NO EDIT'!Z190</f>
        <v>David (1984–: #162)</v>
      </c>
      <c r="H190" s="31" t="str">
        <f>'Book Details - NO EDIT'!AH190</f>
        <v>Laura Mary MUSSELBROOK (b. 23 Sep 1981, )</v>
      </c>
      <c r="I190" s="31" t="str">
        <f>'Book Details - NO EDIT'!AI190</f>
        <v xml:space="preserve"> -</v>
      </c>
      <c r="J190" s="199" t="str">
        <f>'Book Details - NO EDIT'!AJ190</f>
        <v/>
      </c>
      <c r="K190" s="31" t="str">
        <f>'Book Details - NO EDIT'!AK190</f>
        <v xml:space="preserve"> -</v>
      </c>
      <c r="L190" s="131" t="str">
        <f>'Book Details - NO EDIT'!AL190</f>
        <v>Archie is the elder son of David (1988– : #162). Born 26 May 2017 at Epsom Hospital, Surrey. Baptised 18 Nov 2018 at St Andrew's Church, Coulsdon. Archie lives in South London.</v>
      </c>
      <c r="M190" s="73" t="str">
        <f>'Book Details - NO EDIT'!AA190</f>
        <v>David (1984–: #162) Dominic (1953–: #131) Alwyne (1920–2014: #94) Cecil (1890–1963: #68) Llewellyn (1861–1939: #45) Edward (1820–1890: #22) Edward (1780–1863: #8) William (1729–1800: #1)</v>
      </c>
      <c r="N190" s="197" t="str">
        <f>'Book Details - NO EDIT'!AB190</f>
        <v xml:space="preserve">1 – Rory (2019–: #189)       </v>
      </c>
      <c r="O190" s="198" t="str">
        <f>'Book Details - NO EDIT'!AC190</f>
        <v/>
      </c>
      <c r="P190" s="198" t="str">
        <f>'Book Details - NO EDIT'!AD190</f>
        <v>-</v>
      </c>
      <c r="Q190" s="191" t="str">
        <f>IF('Book Details - NO EDIT'!J190="",IF(R190=0,"Less than year on 1-Jul-2022",_xlfn.CONCAT("On 1-Jul-2022, age ",R190,'Book Details - NO EDIT'!J190)),IF(LEN(R190)=0,"Died in infancy",_xlfn.CONCAT("Died ",'Book Details - NO EDIT'!J190,","," aged ",R190)))</f>
        <v>On 1-Jul-2022, age 188</v>
      </c>
      <c r="R190" s="73">
        <f>'Book Details - NO EDIT'!AX190</f>
        <v>188</v>
      </c>
      <c r="S190" s="73" t="str">
        <f>'Book Details - NO EDIT'!AY190</f>
        <v xml:space="preserve"> - </v>
      </c>
      <c r="T190" s="73" t="str">
        <f>'Book Details - NO EDIT'!AW190</f>
        <v>England</v>
      </c>
      <c r="U190" s="73">
        <f>VLOOKUP(A190,'Book Details - NO EDIT'!$A190:$S$192,13,FALSE)</f>
        <v>131</v>
      </c>
      <c r="V190" s="73">
        <f>VLOOKUP(A190,'Book Details - NO EDIT'!$A190:$S$192,12,FALSE)</f>
        <v>162</v>
      </c>
      <c r="X190" s="31">
        <f>IF(LEN('Book Details - NO EDIT'!J190)=0,0,1)</f>
        <v>0</v>
      </c>
    </row>
    <row r="191" spans="1:24" s="31" customFormat="1" ht="17">
      <c r="A191" s="125">
        <f>'Book Details - NO EDIT'!A191</f>
        <v>189</v>
      </c>
      <c r="B191" s="31" t="str">
        <f>'Book Details - NO EDIT'!Y191</f>
        <v>Rory Alexander Musselbrook LOYD</v>
      </c>
      <c r="C191" s="31" t="str">
        <f>'Book Details - NO EDIT'!V191</f>
        <v>Rory (2019–)</v>
      </c>
      <c r="D191" s="199">
        <f>'Book Details - NO EDIT'!I191</f>
        <v>43751</v>
      </c>
      <c r="E191" s="31" t="str">
        <f>IF('Book Details - NO EDIT'!K191="Boy","Male","Female")</f>
        <v>Male</v>
      </c>
      <c r="F191" s="31" t="str">
        <f>IF('Book Details - NO EDIT'!T191=1,"First",IF('Book Details - NO EDIT'!T191=2,"Second",IF('Book Details - NO EDIT'!T191=3,"Third",IF('Book Details - NO EDIT'!T191=4,"Fourth",IF('Book Details - NO EDIT'!T191=5,"Fifth",IF('Book Details - NO EDIT'!T191=6,"Sixth",IF('Book Details - NO EDIT'!T191=7,"Seventh",IF('Book Details - NO EDIT'!T191=8,"Eighth",0))))))))</f>
        <v>Eighth</v>
      </c>
      <c r="G191" s="31" t="str">
        <f>'Book Details - NO EDIT'!Z191</f>
        <v>David (1984–: #162)</v>
      </c>
      <c r="H191" s="31" t="str">
        <f>'Book Details - NO EDIT'!AH191</f>
        <v>Laura Mary MUSSELBROOK (b. 23 Sep 1981, )</v>
      </c>
      <c r="I191" s="31" t="str">
        <f>'Book Details - NO EDIT'!AI191</f>
        <v xml:space="preserve"> -</v>
      </c>
      <c r="J191" s="199" t="str">
        <f>'Book Details - NO EDIT'!AJ191</f>
        <v/>
      </c>
      <c r="K191" s="31" t="str">
        <f>'Book Details - NO EDIT'!AK191</f>
        <v xml:space="preserve"> -</v>
      </c>
      <c r="L191" s="131" t="str">
        <f>'Book Details - NO EDIT'!AL191</f>
        <v>Rory is the younger son of David (1988– : #162). Born 13 Oct 2019 at Epsom Hospital, Surrey. Baptised 8 May 2022 at St Andrew's Church, Coulsdon. Rory lives in South London.</v>
      </c>
      <c r="M191" s="73" t="str">
        <f>'Book Details - NO EDIT'!AA191</f>
        <v>David (1984–: #162) Dominic (1953–: #131) Alwyne (1920–2014: #94) Cecil (1890–1963: #68) Llewellyn (1861–1939: #45) Edward (1820–1890: #22) Edward (1780–1863: #8) William (1729–1800: #1)</v>
      </c>
      <c r="N191" s="197" t="str">
        <f>'Book Details - NO EDIT'!AB191</f>
        <v xml:space="preserve">1 – Archie (2017–: #188)        </v>
      </c>
      <c r="O191" s="198" t="str">
        <f>'Book Details - NO EDIT'!AC191</f>
        <v/>
      </c>
      <c r="P191" s="198" t="str">
        <f>'Book Details - NO EDIT'!AD191</f>
        <v>-</v>
      </c>
      <c r="Q191" s="191" t="str">
        <f>IF('Book Details - NO EDIT'!J191="",IF(R191=0,"Less than year on 1-Jul-2022",_xlfn.CONCAT("On 1-Jul-2022, age ",R191,'Book Details - NO EDIT'!J191)),IF(LEN(R191)=0,"Died in infancy",_xlfn.CONCAT("Died ",'Book Details - NO EDIT'!J191,","," aged ",R191)))</f>
        <v>On 1-Jul-2022, age 189</v>
      </c>
      <c r="R191" s="73">
        <f>'Book Details - NO EDIT'!AX191</f>
        <v>189</v>
      </c>
      <c r="S191" s="73" t="str">
        <f>'Book Details - NO EDIT'!AY191</f>
        <v xml:space="preserve"> - </v>
      </c>
      <c r="T191" s="73" t="str">
        <f>'Book Details - NO EDIT'!AW191</f>
        <v>England</v>
      </c>
      <c r="U191" s="73">
        <f>VLOOKUP(A191,'Book Details - NO EDIT'!$A191:$S$192,13,FALSE)</f>
        <v>131</v>
      </c>
      <c r="V191" s="73">
        <f>VLOOKUP(A191,'Book Details - NO EDIT'!$A191:$S$192,12,FALSE)</f>
        <v>162</v>
      </c>
      <c r="X191" s="31">
        <f>IF(LEN('Book Details - NO EDIT'!J191)=0,0,1)</f>
        <v>0</v>
      </c>
    </row>
    <row r="192" spans="1:24" s="31" customFormat="1" ht="17">
      <c r="A192" s="125">
        <f>'Book Details - NO EDIT'!A192</f>
        <v>190</v>
      </c>
      <c r="B192" s="31" t="str">
        <f>'Book Details - NO EDIT'!Y192</f>
        <v xml:space="preserve">Daisy Willow LOYD </v>
      </c>
      <c r="C192" s="31" t="str">
        <f>'Book Details - NO EDIT'!V192</f>
        <v>Daisy (2021–)</v>
      </c>
      <c r="D192" s="199">
        <f>'Book Details - NO EDIT'!I192</f>
        <v>44481</v>
      </c>
      <c r="E192" s="31" t="str">
        <f>IF('Book Details - NO EDIT'!K192="Boy","Male","Female")</f>
        <v>Female</v>
      </c>
      <c r="F192" s="31" t="str">
        <f>IF('Book Details - NO EDIT'!T192=1,"First",IF('Book Details - NO EDIT'!T192=2,"Second",IF('Book Details - NO EDIT'!T192=3,"Third",IF('Book Details - NO EDIT'!T192=4,"Fourth",IF('Book Details - NO EDIT'!T192=5,"Fifth",IF('Book Details - NO EDIT'!T192=6,"Sixth",IF('Book Details - NO EDIT'!T192=7,"Seventh",IF('Book Details - NO EDIT'!T192=8,"Eighth",0))))))))</f>
        <v>Eighth</v>
      </c>
      <c r="G192" s="31" t="str">
        <f>'Book Details - NO EDIT'!Z192</f>
        <v>Ben (1988–: #167)</v>
      </c>
      <c r="H192" s="31" t="str">
        <f>'Book Details - NO EDIT'!AH192</f>
        <v>Holly Kristina TURNER (b. 10 Jan 1988, )</v>
      </c>
      <c r="I192" s="31" t="str">
        <f>'Book Details - NO EDIT'!AI192</f>
        <v xml:space="preserve"> -</v>
      </c>
      <c r="J192" s="199" t="str">
        <f>'Book Details - NO EDIT'!AJ192</f>
        <v/>
      </c>
      <c r="K192" s="31" t="str">
        <f>'Book Details - NO EDIT'!AK192</f>
        <v xml:space="preserve"> -</v>
      </c>
      <c r="L192" s="131" t="str">
        <f>'Book Details - NO EDIT'!AL192</f>
        <v>Daisy is the younger daughter of Ben (1988– : #167). Born 12 Oct 2021 at Grimsby Hospital and lives in Lincolshire.</v>
      </c>
      <c r="M192" s="73" t="str">
        <f>'Book Details - NO EDIT'!AA192</f>
        <v>Ben (1988–: #167) Dominic (1953–: #131) Alwyne (1920–2014: #94) Cecil (1890–1963: #68) Llewellyn (1861–1939: #45) Edward (1820–1890: #22) Edward (1780–1863: #8) William (1729–1800: #1)</v>
      </c>
      <c r="N192" s="197" t="str">
        <f>'Book Details - NO EDIT'!AB192</f>
        <v xml:space="preserve">1 – Olivia (2014–: #187)        </v>
      </c>
      <c r="O192" s="198" t="str">
        <f>'Book Details - NO EDIT'!AC192</f>
        <v/>
      </c>
      <c r="P192" s="198" t="str">
        <f>'Book Details - NO EDIT'!AD192</f>
        <v>-</v>
      </c>
      <c r="Q192" s="191" t="str">
        <f>IF('Book Details - NO EDIT'!J192="",IF(R192=0,"Less than year on 1-Jul-2022",_xlfn.CONCAT("On 1-Jul-2022, age ",R192,'Book Details - NO EDIT'!J192)),IF(LEN(R192)=0,"Died in infancy",_xlfn.CONCAT("Died ",'Book Details - NO EDIT'!J192,","," aged ",R192)))</f>
        <v>On 1-Jul-2022, age 190</v>
      </c>
      <c r="R192" s="73">
        <f>'Book Details - NO EDIT'!AX192</f>
        <v>190</v>
      </c>
      <c r="S192" s="73" t="str">
        <f>'Book Details - NO EDIT'!AY192</f>
        <v xml:space="preserve"> - </v>
      </c>
      <c r="T192" s="73" t="str">
        <f>'Book Details - NO EDIT'!AW192</f>
        <v>England</v>
      </c>
      <c r="U192" s="73">
        <f>VLOOKUP(A192,'Book Details - NO EDIT'!$A192:$S$192,13,FALSE)</f>
        <v>131</v>
      </c>
      <c r="V192" s="73">
        <f>VLOOKUP(A192,'Book Details - NO EDIT'!$A192:$S$192,12,FALSE)</f>
        <v>167</v>
      </c>
      <c r="X192" s="31">
        <f>IF(LEN('Book Details - NO EDIT'!J192)=0,0,1)</f>
        <v>0</v>
      </c>
    </row>
    <row r="193" spans="10:10">
      <c r="J193" s="143"/>
    </row>
  </sheetData>
  <autoFilter ref="A2:X192" xr:uid="{4AAF1CA5-4D39-1844-B514-0CC1D5162E54}"/>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E1A0-23ED-354E-B0BA-EE9119529DA7}">
  <dimension ref="A1:CQ384"/>
  <sheetViews>
    <sheetView zoomScale="85" workbookViewId="0">
      <pane xSplit="1" ySplit="1" topLeftCell="AT2" activePane="bottomRight" state="frozen"/>
      <selection pane="topRight" activeCell="B1" sqref="B1"/>
      <selection pane="bottomLeft" activeCell="A2" sqref="A2"/>
      <selection pane="bottomRight" activeCell="AT10" sqref="AT10"/>
    </sheetView>
  </sheetViews>
  <sheetFormatPr baseColWidth="10" defaultRowHeight="19"/>
  <cols>
    <col min="1" max="1" width="11" style="258" bestFit="1" customWidth="1"/>
    <col min="2" max="2" width="17.5" style="258" customWidth="1"/>
    <col min="3" max="3" width="20.6640625" style="258" customWidth="1"/>
    <col min="4" max="4" width="14" style="258" bestFit="1" customWidth="1"/>
    <col min="5" max="5" width="15" style="258" bestFit="1" customWidth="1"/>
    <col min="6" max="6" width="15.33203125" style="258" bestFit="1" customWidth="1"/>
    <col min="7" max="7" width="12.33203125" style="258" bestFit="1" customWidth="1"/>
    <col min="8" max="8" width="13.5" style="258" customWidth="1"/>
    <col min="9" max="9" width="15.6640625" style="258" customWidth="1"/>
    <col min="10" max="10" width="11.1640625" style="258" customWidth="1"/>
    <col min="11" max="11" width="21.33203125" style="258" bestFit="1" customWidth="1"/>
    <col min="12" max="12" width="12.83203125" style="258" bestFit="1" customWidth="1"/>
    <col min="13" max="13" width="15.33203125" style="258" customWidth="1"/>
    <col min="14" max="14" width="25" style="258" customWidth="1"/>
    <col min="15" max="15" width="15.33203125" style="346" customWidth="1"/>
    <col min="16" max="17" width="12.83203125" style="346" customWidth="1"/>
    <col min="18" max="23" width="10.83203125" style="346" customWidth="1"/>
    <col min="24" max="24" width="4" style="346" customWidth="1"/>
    <col min="25" max="25" width="4.5" style="346" customWidth="1"/>
    <col min="26" max="26" width="16.5" style="346" customWidth="1"/>
    <col min="27" max="29" width="16.5" style="258" customWidth="1"/>
    <col min="30" max="30" width="24.5" style="258" customWidth="1"/>
    <col min="31" max="31" width="10.83203125" style="258"/>
    <col min="32" max="32" width="11" style="258" bestFit="1" customWidth="1"/>
    <col min="33" max="34" width="10.83203125" style="258"/>
    <col min="35" max="35" width="27.1640625" style="258" customWidth="1"/>
    <col min="36" max="36" width="30.1640625" style="258" customWidth="1"/>
    <col min="37" max="37" width="7.83203125" style="356" customWidth="1"/>
    <col min="38" max="38" width="17.6640625" style="356" customWidth="1"/>
    <col min="39" max="39" width="13.6640625" style="356" customWidth="1"/>
    <col min="40" max="40" width="20.5" style="356" customWidth="1"/>
    <col min="41" max="41" width="18.5" style="356" customWidth="1"/>
    <col min="42" max="42" width="10.83203125" style="258"/>
    <col min="43" max="43" width="30.1640625" style="258" customWidth="1"/>
    <col min="44" max="44" width="11" style="258" bestFit="1" customWidth="1"/>
    <col min="45" max="45" width="33.5" style="258" customWidth="1"/>
    <col min="46" max="46" width="57.1640625" style="258" bestFit="1" customWidth="1"/>
    <col min="47" max="47" width="10.83203125" style="258"/>
    <col min="48" max="48" width="17.5" style="258" customWidth="1"/>
    <col min="49" max="49" width="74.83203125" style="258" customWidth="1"/>
    <col min="50" max="50" width="10.1640625" style="333" customWidth="1"/>
    <col min="51" max="51" width="34.6640625" style="258" customWidth="1"/>
    <col min="52" max="52" width="17.6640625" style="258" customWidth="1"/>
    <col min="53" max="53" width="28.1640625" style="258" customWidth="1"/>
    <col min="54" max="54" width="23.6640625" style="258" customWidth="1"/>
    <col min="55" max="55" width="43.83203125" style="258" customWidth="1"/>
    <col min="56" max="56" width="28.1640625" style="258" customWidth="1"/>
    <col min="57" max="57" width="10.83203125" style="258"/>
    <col min="58" max="58" width="20.6640625" style="258" customWidth="1"/>
    <col min="59" max="59" width="10.83203125" style="258"/>
    <col min="60" max="60" width="28.33203125" style="258" customWidth="1"/>
    <col min="61" max="61" width="35.6640625" style="258" customWidth="1"/>
    <col min="62" max="62" width="11" style="258" bestFit="1" customWidth="1"/>
    <col min="63" max="63" width="14" style="258" customWidth="1"/>
    <col min="64" max="64" width="33" style="258" customWidth="1"/>
    <col min="65" max="65" width="60.6640625" style="258" customWidth="1"/>
    <col min="66" max="66" width="17.5" style="258" bestFit="1" customWidth="1"/>
    <col min="67" max="67" width="17.6640625" style="258" bestFit="1" customWidth="1"/>
    <col min="68" max="68" width="28.5" style="258" customWidth="1"/>
    <col min="69" max="16384" width="10.83203125" style="258"/>
  </cols>
  <sheetData>
    <row r="1" spans="1:95" s="289" customFormat="1" ht="64" customHeight="1">
      <c r="A1" s="337" t="s">
        <v>4447</v>
      </c>
      <c r="B1" s="310" t="s">
        <v>5723</v>
      </c>
      <c r="C1" s="265" t="s">
        <v>781</v>
      </c>
      <c r="D1" s="310" t="s">
        <v>777</v>
      </c>
      <c r="E1" s="310" t="s">
        <v>778</v>
      </c>
      <c r="F1" s="310" t="s">
        <v>779</v>
      </c>
      <c r="G1" s="310" t="s">
        <v>2957</v>
      </c>
      <c r="H1" s="310" t="s">
        <v>4430</v>
      </c>
      <c r="I1" s="310" t="s">
        <v>1154</v>
      </c>
      <c r="J1" s="310" t="s">
        <v>1177</v>
      </c>
      <c r="K1" s="338" t="s">
        <v>784</v>
      </c>
      <c r="L1" s="338" t="s">
        <v>1138</v>
      </c>
      <c r="M1" s="310" t="s">
        <v>786</v>
      </c>
      <c r="N1" s="310"/>
      <c r="O1" s="339" t="s">
        <v>4576</v>
      </c>
      <c r="P1" s="339" t="s">
        <v>4577</v>
      </c>
      <c r="Q1" s="339" t="s">
        <v>4578</v>
      </c>
      <c r="R1" s="339" t="s">
        <v>4579</v>
      </c>
      <c r="S1" s="339"/>
      <c r="T1" s="339" t="s">
        <v>4581</v>
      </c>
      <c r="U1" s="339" t="s">
        <v>4582</v>
      </c>
      <c r="V1" s="339" t="s">
        <v>4583</v>
      </c>
      <c r="W1" s="339" t="s">
        <v>4584</v>
      </c>
      <c r="X1" s="339"/>
      <c r="Y1" s="339"/>
      <c r="Z1" s="339" t="s">
        <v>4580</v>
      </c>
      <c r="AA1" s="339" t="s">
        <v>4689</v>
      </c>
      <c r="AB1" s="339">
        <v>44743</v>
      </c>
      <c r="AC1" s="340"/>
      <c r="AD1" s="340" t="str">
        <f>_xlfn.CONCAT("LENGTH of LIFE or AGE on 0",AD2,"-0",AC2,"-",AB2)</f>
        <v>LENGTH of LIFE or AGE on 01-07-2022</v>
      </c>
      <c r="AE1" s="311"/>
      <c r="AF1" s="311"/>
      <c r="AG1" s="311"/>
      <c r="AH1" s="311"/>
      <c r="AI1" s="310" t="s">
        <v>785</v>
      </c>
      <c r="AJ1" s="310" t="s">
        <v>785</v>
      </c>
      <c r="AK1" s="340" t="s">
        <v>4690</v>
      </c>
      <c r="AL1" s="340" t="s">
        <v>4691</v>
      </c>
      <c r="AM1" s="340" t="s">
        <v>4692</v>
      </c>
      <c r="AN1" s="340" t="s">
        <v>4693</v>
      </c>
      <c r="AO1" s="340" t="s">
        <v>4694</v>
      </c>
      <c r="AQ1" s="311"/>
      <c r="AR1" s="312" t="s">
        <v>1142</v>
      </c>
      <c r="AS1" s="312" t="s">
        <v>4792</v>
      </c>
      <c r="AT1" s="312" t="s">
        <v>5721</v>
      </c>
      <c r="AU1" s="312" t="s">
        <v>5722</v>
      </c>
      <c r="AV1" s="312" t="s">
        <v>4428</v>
      </c>
      <c r="AW1" s="312" t="s">
        <v>5725</v>
      </c>
      <c r="AX1" s="358" t="s">
        <v>4797</v>
      </c>
      <c r="AY1" s="312" t="s">
        <v>5724</v>
      </c>
      <c r="AZ1" s="312" t="s">
        <v>4798</v>
      </c>
      <c r="BA1" s="312" t="s">
        <v>4799</v>
      </c>
      <c r="BB1" s="312"/>
      <c r="BC1" s="312"/>
      <c r="BD1" s="312"/>
      <c r="BE1" s="310"/>
      <c r="BF1" s="313" t="s">
        <v>5719</v>
      </c>
      <c r="BG1" s="310" t="str">
        <f>A1</f>
        <v>LOYD #</v>
      </c>
      <c r="BH1" s="337" t="s">
        <v>5720</v>
      </c>
      <c r="BI1" s="363" t="str">
        <f>AT1</f>
        <v>KNOWN AS</v>
      </c>
      <c r="BJ1" s="337" t="str">
        <f>AU1</f>
        <v>SEX</v>
      </c>
      <c r="BK1" s="363" t="str">
        <f>B1</f>
        <v>GENERATION</v>
      </c>
      <c r="BL1" s="310" t="str">
        <f>AY1</f>
        <v>FATHER NAME, DATES &amp; LOYD#</v>
      </c>
      <c r="BM1" s="337" t="str">
        <f>AW1</f>
        <v>MOTHER</v>
      </c>
      <c r="BN1" s="366" t="str">
        <f>Z1</f>
        <v>B'DATE DISPLAY</v>
      </c>
      <c r="BO1" s="366" t="str">
        <f>AA1</f>
        <v>D'DATE DISPLAY</v>
      </c>
      <c r="BP1" s="310" t="str">
        <f>AD1</f>
        <v>LENGTH of LIFE or AGE on 01-07-2022</v>
      </c>
    </row>
    <row r="2" spans="1:95" s="289" customFormat="1" ht="34" customHeight="1">
      <c r="A2" s="302">
        <v>-1</v>
      </c>
      <c r="B2" s="364">
        <v>-2</v>
      </c>
      <c r="C2" s="288" t="s">
        <v>955</v>
      </c>
      <c r="D2" s="315" t="s">
        <v>852</v>
      </c>
      <c r="E2" s="310"/>
      <c r="F2" s="310"/>
      <c r="G2" s="310"/>
      <c r="H2" s="329" t="s">
        <v>3245</v>
      </c>
      <c r="I2" s="335">
        <v>1642</v>
      </c>
      <c r="J2" s="335">
        <v>1725</v>
      </c>
      <c r="K2" s="309" t="s">
        <v>5716</v>
      </c>
      <c r="L2" s="311"/>
      <c r="M2" s="329">
        <v>1725</v>
      </c>
      <c r="N2" s="310"/>
      <c r="O2" s="340"/>
      <c r="P2" s="340"/>
      <c r="Q2" s="340" t="s">
        <v>5717</v>
      </c>
      <c r="R2" s="340"/>
      <c r="S2" s="340"/>
      <c r="T2" s="340"/>
      <c r="U2" s="319"/>
      <c r="V2" s="340" t="s">
        <v>5718</v>
      </c>
      <c r="W2" s="340"/>
      <c r="X2" s="340"/>
      <c r="Y2" s="340"/>
      <c r="Z2" s="340"/>
      <c r="AA2" s="311"/>
      <c r="AB2" s="336">
        <f>YEAR(AB1)</f>
        <v>2022</v>
      </c>
      <c r="AC2" s="336">
        <f>MONTH(AB1)</f>
        <v>7</v>
      </c>
      <c r="AD2" s="336">
        <f>DAY(AB1)</f>
        <v>1</v>
      </c>
      <c r="AE2" s="305"/>
      <c r="AF2" s="311"/>
      <c r="AG2" s="311"/>
      <c r="AH2" s="311"/>
      <c r="AI2" s="310"/>
      <c r="AJ2" s="310"/>
      <c r="AK2" s="340"/>
      <c r="AL2" s="340"/>
      <c r="AM2" s="340"/>
      <c r="AN2" s="340"/>
      <c r="AO2" s="340"/>
      <c r="AQ2" s="311"/>
      <c r="AR2" s="350">
        <f>A2</f>
        <v>-1</v>
      </c>
      <c r="AS2" s="351" t="s">
        <v>5715</v>
      </c>
      <c r="AT2" s="351" t="str">
        <f>AS2</f>
        <v>Thomas LLOYD (1642–1725: #-1)</v>
      </c>
      <c r="AU2" s="352" t="str">
        <f>H2</f>
        <v>Male</v>
      </c>
      <c r="AV2" s="312" t="s">
        <v>4795</v>
      </c>
      <c r="AW2" s="312"/>
      <c r="AX2" s="358" t="s">
        <v>4795</v>
      </c>
      <c r="AY2" s="359"/>
      <c r="AZ2" s="312"/>
      <c r="BA2" s="312"/>
      <c r="BB2" s="312"/>
      <c r="BC2" s="312"/>
      <c r="BD2" s="312"/>
      <c r="BE2" s="310"/>
      <c r="BF2" s="313"/>
      <c r="BG2" s="310"/>
    </row>
    <row r="3" spans="1:95" ht="27" customHeight="1">
      <c r="A3" s="302">
        <v>0</v>
      </c>
      <c r="B3" s="364">
        <v>-1</v>
      </c>
      <c r="C3" s="288" t="s">
        <v>955</v>
      </c>
      <c r="D3" s="334" t="s">
        <v>914</v>
      </c>
      <c r="E3" s="317"/>
      <c r="F3" s="317"/>
      <c r="G3" s="317"/>
      <c r="H3" s="329" t="s">
        <v>3245</v>
      </c>
      <c r="I3" s="316">
        <v>1690</v>
      </c>
      <c r="J3" s="316">
        <v>1758</v>
      </c>
      <c r="K3" s="318"/>
      <c r="L3" s="318"/>
      <c r="M3" s="329">
        <f>J3</f>
        <v>1758</v>
      </c>
      <c r="N3" s="317"/>
      <c r="O3" s="341"/>
      <c r="P3" s="342"/>
      <c r="Q3" s="343">
        <v>1690</v>
      </c>
      <c r="R3" s="342"/>
      <c r="S3" s="342"/>
      <c r="T3" s="344"/>
      <c r="U3" s="342"/>
      <c r="V3" s="344">
        <v>1758</v>
      </c>
      <c r="W3" s="342"/>
      <c r="X3" s="342"/>
      <c r="Y3" s="342"/>
      <c r="Z3" s="342"/>
      <c r="AA3" s="318"/>
      <c r="AB3" s="318"/>
      <c r="AC3" s="318"/>
      <c r="AD3" s="318"/>
      <c r="AE3" s="318"/>
      <c r="AF3" s="318"/>
      <c r="AG3" s="318"/>
      <c r="AH3" s="318"/>
      <c r="AI3" s="317"/>
      <c r="AJ3" s="317"/>
      <c r="AK3" s="341"/>
      <c r="AL3" s="341"/>
      <c r="AM3" s="341"/>
      <c r="AN3" s="341"/>
      <c r="AO3" s="341"/>
      <c r="AQ3" s="317"/>
      <c r="AR3" s="350">
        <f>A3</f>
        <v>0</v>
      </c>
      <c r="AS3" s="353" t="s">
        <v>4794</v>
      </c>
      <c r="AT3" s="353" t="s">
        <v>4794</v>
      </c>
      <c r="AU3" s="352" t="str">
        <f t="shared" ref="AU3:AU66" si="0">H3</f>
        <v>Male</v>
      </c>
      <c r="AV3" s="354" t="s">
        <v>4429</v>
      </c>
      <c r="AW3" s="319" t="str">
        <f>VLOOKUP(AV3,'Mums of Loyd Edit&amp;Partner Edit'!$B$3:$C$66,2,FALSE)</f>
        <v>Gwenllian (b. c1693, d. c1774)</v>
      </c>
      <c r="AX3" s="360">
        <v>-1</v>
      </c>
      <c r="AY3" s="355" t="str">
        <f>VLOOKUP(AX3,$AR$1:$AT$200,2,FALSE)</f>
        <v>Thomas LLOYD (1642–1725: #-1)</v>
      </c>
      <c r="AZ3" s="312" t="s">
        <v>3448</v>
      </c>
      <c r="BA3" s="312" t="s">
        <v>3448</v>
      </c>
      <c r="BB3" s="346"/>
      <c r="BC3" s="312"/>
      <c r="BD3" s="312"/>
      <c r="BE3" s="320"/>
      <c r="BF3" s="321"/>
      <c r="BG3" s="317"/>
      <c r="BI3" s="304"/>
      <c r="BJ3" s="322"/>
      <c r="BK3" s="322"/>
    </row>
    <row r="4" spans="1:95" s="289" customFormat="1" ht="40">
      <c r="A4" s="302">
        <v>1</v>
      </c>
      <c r="B4" s="364">
        <v>0</v>
      </c>
      <c r="C4" s="288" t="s">
        <v>955</v>
      </c>
      <c r="D4" s="289" t="s">
        <v>830</v>
      </c>
      <c r="H4" s="304" t="s">
        <v>3245</v>
      </c>
      <c r="I4" s="306" t="s">
        <v>4448</v>
      </c>
      <c r="J4" s="306" t="s">
        <v>4449</v>
      </c>
      <c r="K4" s="308" t="s">
        <v>4483</v>
      </c>
      <c r="L4" s="308" t="s">
        <v>4483</v>
      </c>
      <c r="M4" s="323" t="s">
        <v>957</v>
      </c>
      <c r="N4" s="323"/>
      <c r="O4" s="348">
        <f>(VALUE(LEFT(K4,2)))</f>
        <v>20</v>
      </c>
      <c r="P4" s="345">
        <f t="shared" ref="P4:P35" si="1">VALUE(MID(K4,4,2))</f>
        <v>9</v>
      </c>
      <c r="Q4" s="345">
        <f t="shared" ref="Q4:Q35" si="2">VALUE(RIGHT(K4,4))</f>
        <v>1729</v>
      </c>
      <c r="R4" s="344" t="str">
        <f>VLOOKUP(P4,$CP$4:$CQ$15,2,FALSE)</f>
        <v>Sep</v>
      </c>
      <c r="S4" s="344">
        <f t="shared" ref="S4:S35" si="3">LEN(M4)</f>
        <v>10</v>
      </c>
      <c r="T4" s="344">
        <f t="shared" ref="T4:T35" si="4">IF(M4="","",VALUE(LEFT(M4,2)))</f>
        <v>13</v>
      </c>
      <c r="U4" s="344">
        <f t="shared" ref="U4:U35" si="5">IF(M4="","",VALUE(MID(M4,4,2)))</f>
        <v>5</v>
      </c>
      <c r="V4" s="344">
        <f t="shared" ref="V4:V35" si="6">IF(M4="","",VALUE(RIGHT(M4,4)))</f>
        <v>1800</v>
      </c>
      <c r="W4" s="344" t="str">
        <f>VLOOKUP(U4,$CP$4:$CQ$15,2,FALSE)</f>
        <v>May</v>
      </c>
      <c r="X4" s="344"/>
      <c r="Y4" s="344"/>
      <c r="Z4" s="314" t="str">
        <f>IF(O4&lt;10,_xlfn.CONCAT("0",O4,"-",R4,"-",Q4),_xlfn.CONCAT(O4,"-",R4,"-",Q4))</f>
        <v>20-Sep-1729</v>
      </c>
      <c r="AA4" s="314" t="str">
        <f>IF(M4="","",IF(T4&lt;10,_xlfn.CONCAT("0",T4,"-",W4,"-",V4),_xlfn.CONCAT(T4,"-",W4,"-",V4)))</f>
        <v>13-May-1800</v>
      </c>
      <c r="AB4" s="314">
        <f>IF(AND(V4&gt;0,U4&gt;P4),V4-Q4,IF(AND(V4&gt;0,U4&lt;P4),V4-Q4-1,IF(AND(V4&gt;0,U4=P4,T4&gt;=O4),V4-Q4,V4-Q4-1)))</f>
        <v>70</v>
      </c>
      <c r="AC4" s="314">
        <f>IF(AND(LEN(V4)=0,AC$2&gt;P4),AB$2-Q4,IF(AND(LEN(V4)=0,AC$2&lt;P4),AB$2-Q4-1,IF(AND(LEN(V4)=0,AC$2=P4,AD$2&gt;=O4),AB$2-Q4,AB$2-Q4-1)))</f>
        <v>292</v>
      </c>
      <c r="AD4" s="347" t="str">
        <f>IF(LEN(V4)=0,_xlfn.CONCAT("Aged ",AC4," on 01-Jul-2022."),IF(AND(LEN(V4)&gt;0,AB4&lt;=2),_xlfn.CONCAT("Died in Infancy ",AA4,"."),_xlfn.CONCAT("Died ",AA4,", aged ",AB4,".")))</f>
        <v>Died 13-May-1800, aged 70.</v>
      </c>
      <c r="AE4" s="305"/>
      <c r="AH4" s="303"/>
      <c r="AI4" s="289" t="s">
        <v>956</v>
      </c>
      <c r="AJ4" s="289" t="s">
        <v>956</v>
      </c>
      <c r="AK4" s="344" t="str">
        <f>IF(AJ4=" -",AJ4,LEFT(AJ4,2))</f>
        <v>03</v>
      </c>
      <c r="AL4" s="344">
        <f>IF(AJ4=" -",AJ4,VALUE(MID(AJ4,4,2)))</f>
        <v>1</v>
      </c>
      <c r="AM4" s="344">
        <f>IF(AJ4=" -",AJ4,VALUE(RIGHT(AJ4,4)))</f>
        <v>1765</v>
      </c>
      <c r="AN4" s="344" t="str">
        <f>IF(AJ4=" -",AJ4,VLOOKUP(AL4,$CP$4:$CQ$15,2,FALSE))</f>
        <v>Jan</v>
      </c>
      <c r="AO4" s="344" t="str">
        <f t="shared" ref="AO4:AO35" si="7">IF(AJ4=" -",AJ4,_xlfn.CONCAT(AK4,"-",AN4,"-",AM4))</f>
        <v>03-Jan-1765</v>
      </c>
      <c r="AR4" s="350">
        <f>A4</f>
        <v>1</v>
      </c>
      <c r="AS4" s="353" t="str">
        <f>IF(V4="",_xlfn.CONCAT(IF(G4="",D4,G4)," (",Q4,"–",V4," : #",AR4,")"),_xlfn.CONCAT(IF(G4="",D4,G4)," (",Q4,"–",V4,": #",AR4,")"))</f>
        <v>William (1729–1800: #1)</v>
      </c>
      <c r="AT4" s="353" t="s">
        <v>4793</v>
      </c>
      <c r="AU4" s="352" t="str">
        <f t="shared" si="0"/>
        <v>Male</v>
      </c>
      <c r="AV4" s="355" t="s">
        <v>4366</v>
      </c>
      <c r="AW4" s="319" t="str">
        <f>VLOOKUP(AV4,'Mums of Loyd Edit&amp;Partner Edit'!$B$3:$C$66,2,FALSE)</f>
        <v>Jane (b. , d. 26/11/1761)</v>
      </c>
      <c r="AX4" s="360">
        <v>0</v>
      </c>
      <c r="AY4" s="355" t="str">
        <f t="shared" ref="AY4:AY67" si="8">VLOOKUP(AX4,$AR$1:$AT$200,2,FALSE)</f>
        <v>Lewis LLOYD (1690–1759: #0)</v>
      </c>
      <c r="AZ4" s="312" t="s">
        <v>3448</v>
      </c>
      <c r="BA4" s="312" t="s">
        <v>3448</v>
      </c>
      <c r="BB4" s="368">
        <f>BiographyMarriageDetsCountries!A3</f>
        <v>1</v>
      </c>
      <c r="BC4" s="319"/>
      <c r="BD4" s="312"/>
      <c r="BF4" s="324"/>
      <c r="BG4" s="357">
        <f>A4</f>
        <v>1</v>
      </c>
      <c r="BH4" s="289" t="str">
        <f>IF(E4="",_xlfn.CONCAT(D4," ",C4),IF(F4="",_xlfn.CONCAT(D4," ",E4," ",C4),_xlfn.CONCAT(D4," ",E4," ",F4," ",C4)))</f>
        <v>William LLOYD</v>
      </c>
      <c r="BI4" s="316" t="str">
        <f>AT4</f>
        <v>William LLOYD  (1729–1800) known posthumously as William LOYD</v>
      </c>
      <c r="BJ4" s="304" t="str">
        <f>AU4</f>
        <v>Male</v>
      </c>
      <c r="BK4" s="304">
        <f>B4</f>
        <v>0</v>
      </c>
      <c r="BL4" s="289" t="str">
        <f>AY4</f>
        <v>Lewis LLOYD (1690–1759: #0)</v>
      </c>
      <c r="BM4" s="289" t="str">
        <f>AW4</f>
        <v>Jane (b. , d. 26/11/1761)</v>
      </c>
      <c r="BN4" s="367" t="str">
        <f>Z4</f>
        <v>20-Sep-1729</v>
      </c>
      <c r="BO4" s="367" t="str">
        <f>AA4</f>
        <v>13-May-1800</v>
      </c>
      <c r="BP4" s="365" t="str">
        <f>AD4</f>
        <v>Died 13-May-1800, aged 70.</v>
      </c>
      <c r="CP4" s="303">
        <v>1</v>
      </c>
      <c r="CQ4" s="303" t="s">
        <v>4565</v>
      </c>
    </row>
    <row r="5" spans="1:95" s="289" customFormat="1" ht="40">
      <c r="A5" s="302">
        <v>2</v>
      </c>
      <c r="B5" s="364">
        <v>1</v>
      </c>
      <c r="C5" s="288" t="s">
        <v>955</v>
      </c>
      <c r="D5" s="289" t="s">
        <v>922</v>
      </c>
      <c r="H5" s="304" t="s">
        <v>3244</v>
      </c>
      <c r="I5" s="306" t="s">
        <v>1845</v>
      </c>
      <c r="J5" s="306" t="s">
        <v>1846</v>
      </c>
      <c r="K5" s="308" t="s">
        <v>4484</v>
      </c>
      <c r="L5" s="308" t="s">
        <v>4484</v>
      </c>
      <c r="M5" s="323" t="s">
        <v>960</v>
      </c>
      <c r="N5" s="323"/>
      <c r="O5" s="348">
        <f t="shared" ref="O5:O68" si="9">(VALUE(LEFT(K5,2)))</f>
        <v>29</v>
      </c>
      <c r="P5" s="345">
        <f t="shared" si="1"/>
        <v>10</v>
      </c>
      <c r="Q5" s="345">
        <f t="shared" si="2"/>
        <v>1765</v>
      </c>
      <c r="R5" s="344" t="str">
        <f t="shared" ref="R5:R68" si="10">VLOOKUP(P5,$CP$4:$CQ$15,2,FALSE)</f>
        <v>Oct</v>
      </c>
      <c r="S5" s="344">
        <f t="shared" si="3"/>
        <v>10</v>
      </c>
      <c r="T5" s="344">
        <f t="shared" si="4"/>
        <v>11</v>
      </c>
      <c r="U5" s="344">
        <f t="shared" si="5"/>
        <v>5</v>
      </c>
      <c r="V5" s="344">
        <f t="shared" si="6"/>
        <v>1832</v>
      </c>
      <c r="W5" s="344" t="str">
        <f t="shared" ref="W5:W68" si="11">VLOOKUP(U5,$CP$4:$CQ$15,2,FALSE)</f>
        <v>May</v>
      </c>
      <c r="X5" s="344"/>
      <c r="Y5" s="344"/>
      <c r="Z5" s="314" t="str">
        <f t="shared" ref="Z5:Z6" si="12">IF(O5&lt;10,_xlfn.CONCAT("0",O5,"-",R5,"-",Q5),_xlfn.CONCAT(O5,"-",R5,"-",Q5))</f>
        <v>29-Oct-1765</v>
      </c>
      <c r="AA5" s="314" t="str">
        <f t="shared" ref="AA5:AA68" si="13">IF(M5="","",IF(T5&lt;10,_xlfn.CONCAT("0",T5,"-",W5,"-",V5),_xlfn.CONCAT(T5,"-",W5,"-",V5)))</f>
        <v>11-May-1832</v>
      </c>
      <c r="AB5" s="314">
        <f t="shared" ref="AB5:AB68" si="14">IF(AND(V5&gt;0,U5&gt;P5),V5-Q5,IF(AND(V5&gt;0,U5&lt;P5),V5-Q5-1,IF(AND(V5&gt;0,U5=P5,T5&gt;=O5),V5-Q5,V5-Q5-1)))</f>
        <v>66</v>
      </c>
      <c r="AC5" s="314">
        <f t="shared" ref="AC5:AC68" si="15">IF(AND(LEN(V5)=0,AC$2&gt;P5),AB$2-Q5,IF(AND(LEN(V5)=0,AC$2&lt;P5),AB$2-Q5-1,IF(AND(LEN(V5)=0,AC$2=P5,AD$2&gt;=O5),AB$2-Q5,AB$2-Q5-1)))</f>
        <v>256</v>
      </c>
      <c r="AD5" s="347" t="str">
        <f t="shared" ref="AD5:AD68" si="16">IF(LEN(V5)=0,_xlfn.CONCAT("Aged ",AC5," on 01-Jul-2022."),IF(AND(LEN(V5)&gt;0,AB5&lt;=2),_xlfn.CONCAT("Died in Infancy ",AA5,"."),_xlfn.CONCAT("Died ",AA5,", aged ",AB5,".")))</f>
        <v>Died 11-May-1832, aged 66.</v>
      </c>
      <c r="AE5" s="305"/>
      <c r="AH5" s="303"/>
      <c r="AI5" s="289" t="s">
        <v>959</v>
      </c>
      <c r="AJ5" s="289" t="s">
        <v>959</v>
      </c>
      <c r="AK5" s="344" t="str">
        <f t="shared" ref="AK5:AK68" si="17">IF(AJ5=" -",AJ5,LEFT(AJ5,2))</f>
        <v>03</v>
      </c>
      <c r="AL5" s="344">
        <f t="shared" ref="AL5:AL7" si="18">IF(AJ5=" -",AJ5,VALUE(MID(AJ5,4,2)))</f>
        <v>2</v>
      </c>
      <c r="AM5" s="344">
        <f t="shared" ref="AM5:AM7" si="19">IF(AJ5=" -",AJ5,VALUE(RIGHT(AJ5,4)))</f>
        <v>1795</v>
      </c>
      <c r="AN5" s="344" t="str">
        <f t="shared" ref="AN5:AN68" si="20">IF(AJ5=" -",AJ5,VLOOKUP(AL5,$CP$4:$CQ$15,2,FALSE))</f>
        <v>Feb</v>
      </c>
      <c r="AO5" s="344" t="str">
        <f t="shared" si="7"/>
        <v>03-Feb-1795</v>
      </c>
      <c r="AR5" s="350">
        <f>A5</f>
        <v>2</v>
      </c>
      <c r="AS5" s="353" t="str">
        <f>IF(V5="",_xlfn.CONCAT(IF(G5="",D5,G5)," (",Q5,"–",V5," : #",AR5,")"),_xlfn.CONCAT(IF(G5="",D5,G5)," (",Q5,"–",V5,": #",AR5,")"))</f>
        <v>Jane (1765–1832: #2)</v>
      </c>
      <c r="AT5" s="353" t="str">
        <f>IF(V5="",_xlfn.CONCAT(IF(G5="",D5,G5)," (",Q5,"– ",V5,")"),_xlfn.CONCAT(IF(G5="",D5,G5)," (",Q5,"–",V5,")"))</f>
        <v>Jane (1765–1832)</v>
      </c>
      <c r="AU5" s="352" t="str">
        <f t="shared" si="0"/>
        <v>Female</v>
      </c>
      <c r="AV5" s="355" t="s">
        <v>4367</v>
      </c>
      <c r="AW5" s="319" t="str">
        <f>VLOOKUP(AV5,'Mums of Loyd Edit&amp;Partner Edit'!$B$3:$C$66,2,FALSE)</f>
        <v>Anne WILLIAM (b. 1738, d. 24 May 1801)</v>
      </c>
      <c r="AX5" s="360">
        <v>1</v>
      </c>
      <c r="AY5" s="355" t="str">
        <f t="shared" si="8"/>
        <v>William (1729–1800: #1)</v>
      </c>
      <c r="AZ5" s="361">
        <f>VLOOKUP(AX5,Lineage!$A$1:$C$200,2,FALSE)</f>
        <v>0</v>
      </c>
      <c r="BA5" s="362" t="str">
        <f>VLOOKUP(AZ5,$AR$1:$AT$200,2,FALSE)</f>
        <v>Lewis LLOYD (1690–1759: #0)</v>
      </c>
      <c r="BB5" s="368">
        <f>BiographyMarriageDetsCountries!A4</f>
        <v>2</v>
      </c>
      <c r="BC5" s="319"/>
      <c r="BD5" s="362"/>
      <c r="BF5" s="324"/>
      <c r="BG5" s="357">
        <f t="shared" ref="BG5:BG68" si="21">A5</f>
        <v>2</v>
      </c>
      <c r="BH5" s="289" t="str">
        <f t="shared" ref="BH5:BH68" si="22">IF(E5="",_xlfn.CONCAT(D5," ",C5),IF(F5="",_xlfn.CONCAT(D5," ",E5," ",C5),_xlfn.CONCAT(D5," ",E5," ",F5," ",C5)))</f>
        <v>Jane LLOYD</v>
      </c>
      <c r="BI5" s="289" t="str">
        <f t="shared" ref="BI5:BI68" si="23">AT5</f>
        <v>Jane (1765–1832)</v>
      </c>
      <c r="BJ5" s="304" t="str">
        <f t="shared" ref="BJ5:BJ68" si="24">AU5</f>
        <v>Female</v>
      </c>
      <c r="BK5" s="304">
        <f t="shared" ref="BK5:BK68" si="25">B5</f>
        <v>1</v>
      </c>
      <c r="BL5" s="289" t="str">
        <f t="shared" ref="BL5:BL68" si="26">AY5</f>
        <v>William (1729–1800: #1)</v>
      </c>
      <c r="BM5" s="289" t="str">
        <f t="shared" ref="BM5:BM68" si="27">AW5</f>
        <v>Anne WILLIAM (b. 1738, d. 24 May 1801)</v>
      </c>
      <c r="BN5" s="367" t="str">
        <f t="shared" ref="BN5:BN68" si="28">Z5</f>
        <v>29-Oct-1765</v>
      </c>
      <c r="BO5" s="367" t="str">
        <f t="shared" ref="BO5:BO68" si="29">AA5</f>
        <v>11-May-1832</v>
      </c>
      <c r="BP5" s="365" t="str">
        <f t="shared" ref="BP5:BP68" si="30">AD5</f>
        <v>Died 11-May-1832, aged 66.</v>
      </c>
      <c r="CP5" s="303">
        <v>2</v>
      </c>
      <c r="CQ5" s="303" t="s">
        <v>4566</v>
      </c>
    </row>
    <row r="6" spans="1:95" s="289" customFormat="1" ht="40">
      <c r="A6" s="302">
        <v>3</v>
      </c>
      <c r="B6" s="364">
        <v>1</v>
      </c>
      <c r="C6" s="106" t="s">
        <v>782</v>
      </c>
      <c r="D6" s="326" t="s">
        <v>914</v>
      </c>
      <c r="E6" s="326"/>
      <c r="F6" s="326"/>
      <c r="G6" s="326" t="s">
        <v>4335</v>
      </c>
      <c r="H6" s="304" t="s">
        <v>3245</v>
      </c>
      <c r="I6" s="306" t="s">
        <v>4450</v>
      </c>
      <c r="J6" s="306" t="s">
        <v>1859</v>
      </c>
      <c r="K6" s="308" t="s">
        <v>4485</v>
      </c>
      <c r="L6" s="308" t="s">
        <v>4485</v>
      </c>
      <c r="M6" s="323" t="s">
        <v>963</v>
      </c>
      <c r="N6" s="323"/>
      <c r="O6" s="348">
        <f t="shared" si="9"/>
        <v>1</v>
      </c>
      <c r="P6" s="345">
        <f t="shared" si="1"/>
        <v>1</v>
      </c>
      <c r="Q6" s="345">
        <f t="shared" si="2"/>
        <v>1768</v>
      </c>
      <c r="R6" s="344" t="str">
        <f t="shared" si="10"/>
        <v>Jan</v>
      </c>
      <c r="S6" s="344">
        <f t="shared" si="3"/>
        <v>10</v>
      </c>
      <c r="T6" s="344">
        <f t="shared" si="4"/>
        <v>13</v>
      </c>
      <c r="U6" s="344">
        <f t="shared" si="5"/>
        <v>5</v>
      </c>
      <c r="V6" s="344">
        <f t="shared" si="6"/>
        <v>1858</v>
      </c>
      <c r="W6" s="344" t="str">
        <f t="shared" si="11"/>
        <v>May</v>
      </c>
      <c r="X6" s="344"/>
      <c r="Y6" s="344"/>
      <c r="Z6" s="314" t="str">
        <f t="shared" si="12"/>
        <v>01-Jan-1768</v>
      </c>
      <c r="AA6" s="314" t="str">
        <f t="shared" si="13"/>
        <v>13-May-1858</v>
      </c>
      <c r="AB6" s="314">
        <f t="shared" si="14"/>
        <v>90</v>
      </c>
      <c r="AC6" s="314">
        <f t="shared" si="15"/>
        <v>253</v>
      </c>
      <c r="AD6" s="347" t="str">
        <f t="shared" si="16"/>
        <v>Died 13-May-1858, aged 90.</v>
      </c>
      <c r="AE6" s="305"/>
      <c r="AH6" s="303"/>
      <c r="AI6" s="326" t="s">
        <v>962</v>
      </c>
      <c r="AJ6" s="326" t="s">
        <v>962</v>
      </c>
      <c r="AK6" s="344" t="str">
        <f t="shared" si="17"/>
        <v>11</v>
      </c>
      <c r="AL6" s="344">
        <f t="shared" si="18"/>
        <v>11</v>
      </c>
      <c r="AM6" s="344">
        <f t="shared" si="19"/>
        <v>1793</v>
      </c>
      <c r="AN6" s="344" t="str">
        <f t="shared" si="20"/>
        <v>Nov</v>
      </c>
      <c r="AO6" s="344" t="str">
        <f t="shared" si="7"/>
        <v>11-Nov-1793</v>
      </c>
      <c r="AQ6" s="326"/>
      <c r="AR6" s="350">
        <f>A6</f>
        <v>3</v>
      </c>
      <c r="AS6" s="353" t="str">
        <f>IF(V6="",_xlfn.CONCAT(IF(G6="",D6,G6)," (",Q6,"–",V6," : #",AR6,")"),_xlfn.CONCAT(IF(G6="",D6,G6)," (",Q6,"–",V6,": #",AR6,")"))</f>
        <v>Lewis LOYD (1768–1858: #3)</v>
      </c>
      <c r="AT6" s="353" t="str">
        <f>IF(V6="",_xlfn.CONCAT(IF(G6="",D6,G6)," (",Q6,"– ",V6,")"),_xlfn.CONCAT(IF(G6="",D6,G6)," (",Q6,"–",V6,")"))</f>
        <v>Lewis LOYD (1768–1858)</v>
      </c>
      <c r="AU6" s="352" t="str">
        <f t="shared" si="0"/>
        <v>Male</v>
      </c>
      <c r="AV6" s="355" t="s">
        <v>4367</v>
      </c>
      <c r="AW6" s="319" t="str">
        <f>VLOOKUP(AV6,'Mums of Loyd Edit&amp;Partner Edit'!$B$3:$C$66,2,FALSE)</f>
        <v>Anne WILLIAM (b. 1738, d. 24 May 1801)</v>
      </c>
      <c r="AX6" s="360">
        <v>1</v>
      </c>
      <c r="AY6" s="355" t="str">
        <f t="shared" si="8"/>
        <v>William (1729–1800: #1)</v>
      </c>
      <c r="AZ6" s="361">
        <f>VLOOKUP(AX6,Lineage!$A$1:$C$200,2,FALSE)</f>
        <v>0</v>
      </c>
      <c r="BA6" s="362" t="str">
        <f t="shared" ref="BA6:BA69" si="31">VLOOKUP(AZ6,$AR$1:$AT$200,2,FALSE)</f>
        <v>Lewis LLOYD (1690–1759: #0)</v>
      </c>
      <c r="BB6" s="368">
        <f>BiographyMarriageDetsCountries!A5</f>
        <v>3</v>
      </c>
      <c r="BC6" s="319"/>
      <c r="BD6" s="362"/>
      <c r="BF6" s="324"/>
      <c r="BG6" s="357">
        <f t="shared" si="21"/>
        <v>3</v>
      </c>
      <c r="BH6" s="289" t="str">
        <f t="shared" si="22"/>
        <v>Lewis LOYD</v>
      </c>
      <c r="BI6" s="289" t="str">
        <f t="shared" si="23"/>
        <v>Lewis LOYD (1768–1858)</v>
      </c>
      <c r="BJ6" s="304" t="str">
        <f t="shared" si="24"/>
        <v>Male</v>
      </c>
      <c r="BK6" s="304">
        <f t="shared" si="25"/>
        <v>1</v>
      </c>
      <c r="BL6" s="289" t="str">
        <f t="shared" si="26"/>
        <v>William (1729–1800: #1)</v>
      </c>
      <c r="BM6" s="289" t="str">
        <f t="shared" si="27"/>
        <v>Anne WILLIAM (b. 1738, d. 24 May 1801)</v>
      </c>
      <c r="BN6" s="367" t="str">
        <f t="shared" si="28"/>
        <v>01-Jan-1768</v>
      </c>
      <c r="BO6" s="367" t="str">
        <f t="shared" si="29"/>
        <v>13-May-1858</v>
      </c>
      <c r="BP6" s="365" t="str">
        <f t="shared" si="30"/>
        <v>Died 13-May-1858, aged 90.</v>
      </c>
      <c r="CP6" s="303">
        <v>3</v>
      </c>
      <c r="CQ6" s="303" t="s">
        <v>4567</v>
      </c>
    </row>
    <row r="7" spans="1:95" s="289" customFormat="1" ht="40">
      <c r="A7" s="302">
        <v>4</v>
      </c>
      <c r="B7" s="364">
        <v>1</v>
      </c>
      <c r="C7" s="288" t="s">
        <v>782</v>
      </c>
      <c r="D7" s="289" t="s">
        <v>830</v>
      </c>
      <c r="H7" s="304" t="s">
        <v>3245</v>
      </c>
      <c r="I7" s="306" t="s">
        <v>4451</v>
      </c>
      <c r="J7" s="306" t="s">
        <v>4452</v>
      </c>
      <c r="K7" s="308" t="s">
        <v>4486</v>
      </c>
      <c r="L7" s="308" t="s">
        <v>4486</v>
      </c>
      <c r="M7" s="323" t="s">
        <v>1002</v>
      </c>
      <c r="N7" s="323"/>
      <c r="O7" s="348">
        <f t="shared" si="9"/>
        <v>7</v>
      </c>
      <c r="P7" s="345">
        <f t="shared" si="1"/>
        <v>5</v>
      </c>
      <c r="Q7" s="345">
        <f t="shared" si="2"/>
        <v>1770</v>
      </c>
      <c r="R7" s="344" t="str">
        <f t="shared" si="10"/>
        <v>May</v>
      </c>
      <c r="S7" s="344">
        <f t="shared" si="3"/>
        <v>10</v>
      </c>
      <c r="T7" s="344">
        <f t="shared" si="4"/>
        <v>4</v>
      </c>
      <c r="U7" s="344">
        <f t="shared" si="5"/>
        <v>2</v>
      </c>
      <c r="V7" s="344">
        <f t="shared" si="6"/>
        <v>1828</v>
      </c>
      <c r="W7" s="344" t="str">
        <f t="shared" si="11"/>
        <v>Feb</v>
      </c>
      <c r="X7" s="344"/>
      <c r="Y7" s="344"/>
      <c r="Z7" s="314" t="str">
        <f>IF(O7&lt;10,_xlfn.CONCAT("0",O7,"-",R7,"-",Q7),_xlfn.CONCAT(O7,"-",R7,"-",Q7))</f>
        <v>07-May-1770</v>
      </c>
      <c r="AA7" s="314" t="str">
        <f t="shared" si="13"/>
        <v>04-Feb-1828</v>
      </c>
      <c r="AB7" s="314">
        <f t="shared" si="14"/>
        <v>57</v>
      </c>
      <c r="AC7" s="314">
        <f t="shared" si="15"/>
        <v>251</v>
      </c>
      <c r="AD7" s="347" t="str">
        <f t="shared" si="16"/>
        <v>Died 04-Feb-1828, aged 57.</v>
      </c>
      <c r="AE7" s="305"/>
      <c r="AH7" s="303"/>
      <c r="AI7" s="289" t="s">
        <v>965</v>
      </c>
      <c r="AJ7" s="289" t="s">
        <v>965</v>
      </c>
      <c r="AK7" s="344" t="str">
        <f t="shared" si="17"/>
        <v>05</v>
      </c>
      <c r="AL7" s="344">
        <f t="shared" si="18"/>
        <v>1</v>
      </c>
      <c r="AM7" s="344">
        <f t="shared" si="19"/>
        <v>1809</v>
      </c>
      <c r="AN7" s="344" t="str">
        <f t="shared" si="20"/>
        <v>Jan</v>
      </c>
      <c r="AO7" s="344" t="str">
        <f t="shared" si="7"/>
        <v>05-Jan-1809</v>
      </c>
      <c r="AR7" s="350">
        <f>A7</f>
        <v>4</v>
      </c>
      <c r="AS7" s="353" t="str">
        <f>IF(V7="",_xlfn.CONCAT(IF(G7="",D7,G7)," (",Q7,"–",V7," : #",AR7,")"),_xlfn.CONCAT(IF(G7="",D7,G7)," (",Q7,"–",V7,": #",AR7,")"))</f>
        <v>William (1770–1828: #4)</v>
      </c>
      <c r="AT7" s="353" t="str">
        <f>IF(V7="",_xlfn.CONCAT(IF(G7="",D7,G7)," (",Q7,"– ",V7,")"),_xlfn.CONCAT(IF(G7="",D7,G7)," (",Q7,"–",V7,")"))</f>
        <v>William (1770–1828)</v>
      </c>
      <c r="AU7" s="352" t="str">
        <f t="shared" si="0"/>
        <v>Male</v>
      </c>
      <c r="AV7" s="355" t="s">
        <v>4367</v>
      </c>
      <c r="AW7" s="319" t="str">
        <f>VLOOKUP(AV7,'Mums of Loyd Edit&amp;Partner Edit'!$B$3:$C$66,2,FALSE)</f>
        <v>Anne WILLIAM (b. 1738, d. 24 May 1801)</v>
      </c>
      <c r="AX7" s="360">
        <v>1</v>
      </c>
      <c r="AY7" s="355" t="str">
        <f t="shared" si="8"/>
        <v>William (1729–1800: #1)</v>
      </c>
      <c r="AZ7" s="361">
        <f>VLOOKUP(AX7,Lineage!$A$1:$C$200,2,FALSE)</f>
        <v>0</v>
      </c>
      <c r="BA7" s="362" t="str">
        <f t="shared" si="31"/>
        <v>Lewis LLOYD (1690–1759: #0)</v>
      </c>
      <c r="BB7" s="368">
        <f>BiographyMarriageDetsCountries!A6</f>
        <v>4</v>
      </c>
      <c r="BC7" s="319"/>
      <c r="BD7" s="362"/>
      <c r="BF7" s="324"/>
      <c r="BG7" s="357">
        <f t="shared" si="21"/>
        <v>4</v>
      </c>
      <c r="BH7" s="289" t="str">
        <f t="shared" si="22"/>
        <v>William LOYD</v>
      </c>
      <c r="BI7" s="289" t="str">
        <f t="shared" si="23"/>
        <v>William (1770–1828)</v>
      </c>
      <c r="BJ7" s="304" t="str">
        <f t="shared" si="24"/>
        <v>Male</v>
      </c>
      <c r="BK7" s="304">
        <f t="shared" si="25"/>
        <v>1</v>
      </c>
      <c r="BL7" s="289" t="str">
        <f t="shared" si="26"/>
        <v>William (1729–1800: #1)</v>
      </c>
      <c r="BM7" s="289" t="str">
        <f t="shared" si="27"/>
        <v>Anne WILLIAM (b. 1738, d. 24 May 1801)</v>
      </c>
      <c r="BN7" s="367" t="str">
        <f t="shared" si="28"/>
        <v>07-May-1770</v>
      </c>
      <c r="BO7" s="367" t="str">
        <f t="shared" si="29"/>
        <v>04-Feb-1828</v>
      </c>
      <c r="BP7" s="365" t="str">
        <f t="shared" si="30"/>
        <v>Died 04-Feb-1828, aged 57.</v>
      </c>
      <c r="CP7" s="303">
        <v>4</v>
      </c>
      <c r="CQ7" s="303" t="s">
        <v>4568</v>
      </c>
    </row>
    <row r="8" spans="1:95" s="289" customFormat="1" ht="40">
      <c r="A8" s="302">
        <v>5</v>
      </c>
      <c r="B8" s="364">
        <v>1</v>
      </c>
      <c r="C8" s="288" t="s">
        <v>955</v>
      </c>
      <c r="D8" s="289" t="s">
        <v>867</v>
      </c>
      <c r="H8" s="304" t="s">
        <v>3244</v>
      </c>
      <c r="I8" s="306" t="s">
        <v>1850</v>
      </c>
      <c r="J8" s="306" t="s">
        <v>1851</v>
      </c>
      <c r="K8" s="308" t="s">
        <v>4487</v>
      </c>
      <c r="L8" s="308" t="s">
        <v>4487</v>
      </c>
      <c r="M8" s="323" t="s">
        <v>968</v>
      </c>
      <c r="N8" s="323"/>
      <c r="O8" s="348">
        <f t="shared" si="9"/>
        <v>19</v>
      </c>
      <c r="P8" s="345">
        <f t="shared" si="1"/>
        <v>2</v>
      </c>
      <c r="Q8" s="345">
        <f t="shared" si="2"/>
        <v>1772</v>
      </c>
      <c r="R8" s="344" t="str">
        <f t="shared" si="10"/>
        <v>Feb</v>
      </c>
      <c r="S8" s="344">
        <f t="shared" si="3"/>
        <v>10</v>
      </c>
      <c r="T8" s="344">
        <f t="shared" si="4"/>
        <v>9</v>
      </c>
      <c r="U8" s="344">
        <f t="shared" si="5"/>
        <v>12</v>
      </c>
      <c r="V8" s="344">
        <f t="shared" si="6"/>
        <v>1798</v>
      </c>
      <c r="W8" s="344" t="str">
        <f t="shared" si="11"/>
        <v>Dec</v>
      </c>
      <c r="X8" s="344"/>
      <c r="Y8" s="344"/>
      <c r="Z8" s="314" t="str">
        <f t="shared" ref="Z8:Z71" si="32">IF(O8&lt;10,_xlfn.CONCAT("0",O8,"-",R8,"-",Q8),_xlfn.CONCAT(O8,"-",R8,"-",Q8))</f>
        <v>19-Feb-1772</v>
      </c>
      <c r="AA8" s="314" t="str">
        <f t="shared" si="13"/>
        <v>09-Dec-1798</v>
      </c>
      <c r="AB8" s="314">
        <f t="shared" si="14"/>
        <v>26</v>
      </c>
      <c r="AC8" s="314">
        <f t="shared" si="15"/>
        <v>249</v>
      </c>
      <c r="AD8" s="347" t="str">
        <f t="shared" si="16"/>
        <v>Died 09-Dec-1798, aged 26.</v>
      </c>
      <c r="AE8" s="305"/>
      <c r="AH8" s="303"/>
      <c r="AI8" s="316" t="s">
        <v>2793</v>
      </c>
      <c r="AJ8" s="316" t="s">
        <v>2793</v>
      </c>
      <c r="AK8" s="344" t="str">
        <f t="shared" si="17"/>
        <v xml:space="preserve"> -</v>
      </c>
      <c r="AL8" s="344" t="str">
        <f t="shared" ref="AL8:AL9" si="33">IF(AJ8=" -",AJ8,VALUE(MID(AJ8,4,2)))</f>
        <v xml:space="preserve"> -</v>
      </c>
      <c r="AM8" s="344" t="str">
        <f t="shared" ref="AM8:AM9" si="34">IF(AJ8=" -",AJ8,VALUE(RIGHT(AJ8,4)))</f>
        <v xml:space="preserve"> -</v>
      </c>
      <c r="AN8" s="344" t="str">
        <f t="shared" si="20"/>
        <v xml:space="preserve"> -</v>
      </c>
      <c r="AO8" s="344" t="str">
        <f t="shared" si="7"/>
        <v xml:space="preserve"> -</v>
      </c>
      <c r="AQ8" s="316"/>
      <c r="AR8" s="350">
        <f>A8</f>
        <v>5</v>
      </c>
      <c r="AS8" s="353" t="str">
        <f>IF(V8="",_xlfn.CONCAT(IF(G8="",D8,G8)," (",Q8,"–",V8," : #",AR8,")"),_xlfn.CONCAT(IF(G8="",D8,G8)," (",Q8,"–",V8,": #",AR8,")"))</f>
        <v>Catherine (1772–1798: #5)</v>
      </c>
      <c r="AT8" s="353" t="str">
        <f>IF(V8="",_xlfn.CONCAT(IF(G8="",D8,G8)," (",Q8,"– ",V8,")"),_xlfn.CONCAT(IF(G8="",D8,G8)," (",Q8,"–",V8,")"))</f>
        <v>Catherine (1772–1798)</v>
      </c>
      <c r="AU8" s="352" t="str">
        <f t="shared" si="0"/>
        <v>Female</v>
      </c>
      <c r="AV8" s="355" t="s">
        <v>4367</v>
      </c>
      <c r="AW8" s="319" t="str">
        <f>VLOOKUP(AV8,'Mums of Loyd Edit&amp;Partner Edit'!$B$3:$C$66,2,FALSE)</f>
        <v>Anne WILLIAM (b. 1738, d. 24 May 1801)</v>
      </c>
      <c r="AX8" s="360">
        <v>1</v>
      </c>
      <c r="AY8" s="355" t="str">
        <f t="shared" si="8"/>
        <v>William (1729–1800: #1)</v>
      </c>
      <c r="AZ8" s="361">
        <f>VLOOKUP(AX8,Lineage!$A$1:$C$200,2,FALSE)</f>
        <v>0</v>
      </c>
      <c r="BA8" s="362" t="str">
        <f t="shared" si="31"/>
        <v>Lewis LLOYD (1690–1759: #0)</v>
      </c>
      <c r="BB8" s="368">
        <f>BiographyMarriageDetsCountries!A7</f>
        <v>5</v>
      </c>
      <c r="BC8" s="319"/>
      <c r="BD8" s="362"/>
      <c r="BF8" s="324"/>
      <c r="BG8" s="357">
        <f t="shared" si="21"/>
        <v>5</v>
      </c>
      <c r="BH8" s="289" t="str">
        <f t="shared" si="22"/>
        <v>Catherine LLOYD</v>
      </c>
      <c r="BI8" s="289" t="str">
        <f t="shared" si="23"/>
        <v>Catherine (1772–1798)</v>
      </c>
      <c r="BJ8" s="304" t="str">
        <f t="shared" si="24"/>
        <v>Female</v>
      </c>
      <c r="BK8" s="304">
        <f t="shared" si="25"/>
        <v>1</v>
      </c>
      <c r="BL8" s="289" t="str">
        <f t="shared" si="26"/>
        <v>William (1729–1800: #1)</v>
      </c>
      <c r="BM8" s="289" t="str">
        <f t="shared" si="27"/>
        <v>Anne WILLIAM (b. 1738, d. 24 May 1801)</v>
      </c>
      <c r="BN8" s="367" t="str">
        <f t="shared" si="28"/>
        <v>19-Feb-1772</v>
      </c>
      <c r="BO8" s="367" t="str">
        <f t="shared" si="29"/>
        <v>09-Dec-1798</v>
      </c>
      <c r="BP8" s="365" t="str">
        <f t="shared" si="30"/>
        <v>Died 09-Dec-1798, aged 26.</v>
      </c>
      <c r="CP8" s="303">
        <v>5</v>
      </c>
      <c r="CQ8" s="303" t="s">
        <v>800</v>
      </c>
    </row>
    <row r="9" spans="1:95" s="289" customFormat="1" ht="40">
      <c r="A9" s="302">
        <v>6</v>
      </c>
      <c r="B9" s="364">
        <v>1</v>
      </c>
      <c r="C9" s="288" t="s">
        <v>782</v>
      </c>
      <c r="D9" s="289" t="s">
        <v>852</v>
      </c>
      <c r="H9" s="304" t="s">
        <v>3245</v>
      </c>
      <c r="I9" s="306" t="s">
        <v>4453</v>
      </c>
      <c r="J9" s="306" t="s">
        <v>1892</v>
      </c>
      <c r="K9" s="308" t="s">
        <v>4488</v>
      </c>
      <c r="L9" s="308" t="s">
        <v>4488</v>
      </c>
      <c r="M9" s="323" t="s">
        <v>970</v>
      </c>
      <c r="N9" s="323"/>
      <c r="O9" s="348">
        <f t="shared" si="9"/>
        <v>5</v>
      </c>
      <c r="P9" s="345">
        <f t="shared" si="1"/>
        <v>6</v>
      </c>
      <c r="Q9" s="345">
        <f t="shared" si="2"/>
        <v>1775</v>
      </c>
      <c r="R9" s="344" t="str">
        <f t="shared" si="10"/>
        <v>Jun</v>
      </c>
      <c r="S9" s="344">
        <f t="shared" si="3"/>
        <v>10</v>
      </c>
      <c r="T9" s="344">
        <f t="shared" si="4"/>
        <v>28</v>
      </c>
      <c r="U9" s="344">
        <f t="shared" si="5"/>
        <v>1</v>
      </c>
      <c r="V9" s="344">
        <f t="shared" si="6"/>
        <v>1853</v>
      </c>
      <c r="W9" s="344" t="str">
        <f t="shared" si="11"/>
        <v>Jan</v>
      </c>
      <c r="X9" s="344"/>
      <c r="Y9" s="344"/>
      <c r="Z9" s="314" t="str">
        <f t="shared" si="32"/>
        <v>05-Jun-1775</v>
      </c>
      <c r="AA9" s="314" t="str">
        <f t="shared" si="13"/>
        <v>28-Jan-1853</v>
      </c>
      <c r="AB9" s="314">
        <f t="shared" si="14"/>
        <v>77</v>
      </c>
      <c r="AC9" s="314">
        <f t="shared" si="15"/>
        <v>246</v>
      </c>
      <c r="AD9" s="347" t="str">
        <f t="shared" si="16"/>
        <v>Died 28-Jan-1853, aged 77.</v>
      </c>
      <c r="AE9" s="305"/>
      <c r="AH9" s="303"/>
      <c r="AI9" s="316" t="s">
        <v>2793</v>
      </c>
      <c r="AJ9" s="316" t="s">
        <v>2793</v>
      </c>
      <c r="AK9" s="344" t="str">
        <f t="shared" si="17"/>
        <v xml:space="preserve"> -</v>
      </c>
      <c r="AL9" s="344" t="str">
        <f t="shared" si="33"/>
        <v xml:space="preserve"> -</v>
      </c>
      <c r="AM9" s="344" t="str">
        <f t="shared" si="34"/>
        <v xml:space="preserve"> -</v>
      </c>
      <c r="AN9" s="344" t="str">
        <f t="shared" si="20"/>
        <v xml:space="preserve"> -</v>
      </c>
      <c r="AO9" s="344" t="str">
        <f t="shared" si="7"/>
        <v xml:space="preserve"> -</v>
      </c>
      <c r="AQ9" s="316"/>
      <c r="AR9" s="350">
        <f>A9</f>
        <v>6</v>
      </c>
      <c r="AS9" s="353" t="str">
        <f>IF(V9="",_xlfn.CONCAT(IF(G9="",D9,G9)," (",Q9,"–",V9," : #",AR9,")"),_xlfn.CONCAT(IF(G9="",D9,G9)," (",Q9,"–",V9,": #",AR9,")"))</f>
        <v>Thomas (1775–1853: #6)</v>
      </c>
      <c r="AT9" s="353" t="str">
        <f>IF(V9="",_xlfn.CONCAT(IF(G9="",D9,G9)," (",Q9,"– ",V9,")"),_xlfn.CONCAT(IF(G9="",D9,G9)," (",Q9,"–",V9,")"))</f>
        <v>Thomas (1775–1853)</v>
      </c>
      <c r="AU9" s="352" t="str">
        <f t="shared" si="0"/>
        <v>Male</v>
      </c>
      <c r="AV9" s="355" t="s">
        <v>4367</v>
      </c>
      <c r="AW9" s="319" t="str">
        <f>VLOOKUP(AV9,'Mums of Loyd Edit&amp;Partner Edit'!$B$3:$C$66,2,FALSE)</f>
        <v>Anne WILLIAM (b. 1738, d. 24 May 1801)</v>
      </c>
      <c r="AX9" s="360">
        <v>1</v>
      </c>
      <c r="AY9" s="355" t="str">
        <f t="shared" si="8"/>
        <v>William (1729–1800: #1)</v>
      </c>
      <c r="AZ9" s="361">
        <f>VLOOKUP(AX9,Lineage!$A$1:$C$200,2,FALSE)</f>
        <v>0</v>
      </c>
      <c r="BA9" s="362" t="str">
        <f t="shared" si="31"/>
        <v>Lewis LLOYD (1690–1759: #0)</v>
      </c>
      <c r="BB9" s="368">
        <f>BiographyMarriageDetsCountries!A8</f>
        <v>6</v>
      </c>
      <c r="BC9" s="319"/>
      <c r="BD9" s="362"/>
      <c r="BF9" s="324"/>
      <c r="BG9" s="357">
        <f t="shared" si="21"/>
        <v>6</v>
      </c>
      <c r="BH9" s="289" t="str">
        <f t="shared" si="22"/>
        <v>Thomas LOYD</v>
      </c>
      <c r="BI9" s="289" t="str">
        <f t="shared" si="23"/>
        <v>Thomas (1775–1853)</v>
      </c>
      <c r="BJ9" s="304" t="str">
        <f t="shared" si="24"/>
        <v>Male</v>
      </c>
      <c r="BK9" s="304">
        <f t="shared" si="25"/>
        <v>1</v>
      </c>
      <c r="BL9" s="289" t="str">
        <f t="shared" si="26"/>
        <v>William (1729–1800: #1)</v>
      </c>
      <c r="BM9" s="289" t="str">
        <f t="shared" si="27"/>
        <v>Anne WILLIAM (b. 1738, d. 24 May 1801)</v>
      </c>
      <c r="BN9" s="367" t="str">
        <f t="shared" si="28"/>
        <v>05-Jun-1775</v>
      </c>
      <c r="BO9" s="367" t="str">
        <f t="shared" si="29"/>
        <v>28-Jan-1853</v>
      </c>
      <c r="BP9" s="365" t="str">
        <f t="shared" si="30"/>
        <v>Died 28-Jan-1853, aged 77.</v>
      </c>
      <c r="CP9" s="303">
        <v>6</v>
      </c>
      <c r="CQ9" s="303" t="s">
        <v>4569</v>
      </c>
    </row>
    <row r="10" spans="1:95" s="289" customFormat="1" ht="40">
      <c r="A10" s="302">
        <v>7</v>
      </c>
      <c r="B10" s="364">
        <v>1</v>
      </c>
      <c r="C10" s="288" t="s">
        <v>955</v>
      </c>
      <c r="D10" s="289" t="s">
        <v>987</v>
      </c>
      <c r="H10" s="304" t="s">
        <v>3244</v>
      </c>
      <c r="I10" s="306" t="s">
        <v>1854</v>
      </c>
      <c r="J10" s="306" t="s">
        <v>1855</v>
      </c>
      <c r="K10" s="308" t="s">
        <v>4489</v>
      </c>
      <c r="L10" s="308" t="s">
        <v>4489</v>
      </c>
      <c r="M10" s="323" t="s">
        <v>1197</v>
      </c>
      <c r="N10" s="323"/>
      <c r="O10" s="348">
        <f t="shared" si="9"/>
        <v>19</v>
      </c>
      <c r="P10" s="345">
        <f t="shared" si="1"/>
        <v>10</v>
      </c>
      <c r="Q10" s="345">
        <f t="shared" si="2"/>
        <v>1777</v>
      </c>
      <c r="R10" s="344" t="str">
        <f t="shared" si="10"/>
        <v>Oct</v>
      </c>
      <c r="S10" s="344">
        <f t="shared" si="3"/>
        <v>10</v>
      </c>
      <c r="T10" s="344">
        <f t="shared" si="4"/>
        <v>12</v>
      </c>
      <c r="U10" s="344">
        <f t="shared" si="5"/>
        <v>10</v>
      </c>
      <c r="V10" s="344">
        <f t="shared" si="6"/>
        <v>1779</v>
      </c>
      <c r="W10" s="344" t="str">
        <f t="shared" si="11"/>
        <v>Oct</v>
      </c>
      <c r="X10" s="344"/>
      <c r="Y10" s="344"/>
      <c r="Z10" s="314" t="str">
        <f t="shared" si="32"/>
        <v>19-Oct-1777</v>
      </c>
      <c r="AA10" s="314" t="str">
        <f t="shared" si="13"/>
        <v>12-Oct-1779</v>
      </c>
      <c r="AB10" s="314">
        <f t="shared" si="14"/>
        <v>1</v>
      </c>
      <c r="AC10" s="314">
        <f t="shared" si="15"/>
        <v>244</v>
      </c>
      <c r="AD10" s="347" t="str">
        <f t="shared" si="16"/>
        <v>Died in Infancy 12-Oct-1779.</v>
      </c>
      <c r="AE10" s="305"/>
      <c r="AH10" s="303"/>
      <c r="AI10" s="316" t="s">
        <v>2793</v>
      </c>
      <c r="AJ10" s="316" t="s">
        <v>2793</v>
      </c>
      <c r="AK10" s="344" t="str">
        <f t="shared" si="17"/>
        <v xml:space="preserve"> -</v>
      </c>
      <c r="AL10" s="344" t="str">
        <f t="shared" ref="AL10:AL73" si="35">IF(AJ10=" -",AJ10,VALUE(MID(AJ10,4,2)))</f>
        <v xml:space="preserve"> -</v>
      </c>
      <c r="AM10" s="344" t="str">
        <f t="shared" ref="AM10:AM73" si="36">IF(AJ10=" -",AJ10,VALUE(RIGHT(AJ10,4)))</f>
        <v xml:space="preserve"> -</v>
      </c>
      <c r="AN10" s="344" t="str">
        <f t="shared" si="20"/>
        <v xml:space="preserve"> -</v>
      </c>
      <c r="AO10" s="344" t="str">
        <f t="shared" si="7"/>
        <v xml:space="preserve"> -</v>
      </c>
      <c r="AQ10" s="316"/>
      <c r="AR10" s="350">
        <f>A10</f>
        <v>7</v>
      </c>
      <c r="AS10" s="353" t="str">
        <f>IF(V10="",_xlfn.CONCAT(IF(G10="",D10,G10)," (",Q10,"–",V10," : #",AR10,")"),_xlfn.CONCAT(IF(G10="",D10,G10)," (",Q10,"–",V10,": #",AR10,")"))</f>
        <v>Gwenllian (1777–1779: #7)</v>
      </c>
      <c r="AT10" s="353" t="str">
        <f>IF(V10="",_xlfn.CONCAT(IF(G10="",D10,G10)," (",Q10,"– ",V10,")"),_xlfn.CONCAT(IF(G10="",D10,G10)," (",Q10,"–",V10,")"))</f>
        <v>Gwenllian (1777–1779)</v>
      </c>
      <c r="AU10" s="352" t="str">
        <f t="shared" si="0"/>
        <v>Female</v>
      </c>
      <c r="AV10" s="355" t="s">
        <v>4367</v>
      </c>
      <c r="AW10" s="319" t="str">
        <f>VLOOKUP(AV10,'Mums of Loyd Edit&amp;Partner Edit'!$B$3:$C$66,2,FALSE)</f>
        <v>Anne WILLIAM (b. 1738, d. 24 May 1801)</v>
      </c>
      <c r="AX10" s="360">
        <v>1</v>
      </c>
      <c r="AY10" s="355" t="str">
        <f t="shared" si="8"/>
        <v>William (1729–1800: #1)</v>
      </c>
      <c r="AZ10" s="361">
        <f>VLOOKUP(AX10,Lineage!$A$1:$C$200,2,FALSE)</f>
        <v>0</v>
      </c>
      <c r="BA10" s="362" t="str">
        <f t="shared" si="31"/>
        <v>Lewis LLOYD (1690–1759: #0)</v>
      </c>
      <c r="BB10" s="368">
        <f>BiographyMarriageDetsCountries!A9</f>
        <v>7</v>
      </c>
      <c r="BC10" s="319"/>
      <c r="BD10" s="362"/>
      <c r="BF10" s="324"/>
      <c r="BG10" s="357">
        <f t="shared" si="21"/>
        <v>7</v>
      </c>
      <c r="BH10" s="289" t="str">
        <f t="shared" si="22"/>
        <v>Gwenllian LLOYD</v>
      </c>
      <c r="BI10" s="289" t="str">
        <f t="shared" si="23"/>
        <v>Gwenllian (1777–1779)</v>
      </c>
      <c r="BJ10" s="304" t="str">
        <f t="shared" si="24"/>
        <v>Female</v>
      </c>
      <c r="BK10" s="304">
        <f t="shared" si="25"/>
        <v>1</v>
      </c>
      <c r="BL10" s="289" t="str">
        <f t="shared" si="26"/>
        <v>William (1729–1800: #1)</v>
      </c>
      <c r="BM10" s="289" t="str">
        <f t="shared" si="27"/>
        <v>Anne WILLIAM (b. 1738, d. 24 May 1801)</v>
      </c>
      <c r="BN10" s="367" t="str">
        <f t="shared" si="28"/>
        <v>19-Oct-1777</v>
      </c>
      <c r="BO10" s="367" t="str">
        <f t="shared" si="29"/>
        <v>12-Oct-1779</v>
      </c>
      <c r="BP10" s="365" t="str">
        <f t="shared" si="30"/>
        <v>Died in Infancy 12-Oct-1779.</v>
      </c>
      <c r="CP10" s="303">
        <v>7</v>
      </c>
      <c r="CQ10" s="303" t="s">
        <v>4570</v>
      </c>
    </row>
    <row r="11" spans="1:95" s="289" customFormat="1" ht="40">
      <c r="A11" s="302">
        <v>8</v>
      </c>
      <c r="B11" s="364">
        <v>1</v>
      </c>
      <c r="C11" s="288" t="s">
        <v>782</v>
      </c>
      <c r="D11" s="289" t="s">
        <v>811</v>
      </c>
      <c r="H11" s="304" t="s">
        <v>3245</v>
      </c>
      <c r="I11" s="306" t="s">
        <v>4454</v>
      </c>
      <c r="J11" s="306" t="s">
        <v>4455</v>
      </c>
      <c r="K11" s="308" t="s">
        <v>4490</v>
      </c>
      <c r="L11" s="308" t="s">
        <v>4490</v>
      </c>
      <c r="M11" s="323" t="s">
        <v>991</v>
      </c>
      <c r="N11" s="323"/>
      <c r="O11" s="348">
        <f t="shared" si="9"/>
        <v>30</v>
      </c>
      <c r="P11" s="345">
        <f t="shared" si="1"/>
        <v>1</v>
      </c>
      <c r="Q11" s="345">
        <f t="shared" si="2"/>
        <v>1780</v>
      </c>
      <c r="R11" s="344" t="str">
        <f t="shared" si="10"/>
        <v>Jan</v>
      </c>
      <c r="S11" s="344">
        <f t="shared" si="3"/>
        <v>10</v>
      </c>
      <c r="T11" s="344">
        <f t="shared" si="4"/>
        <v>30</v>
      </c>
      <c r="U11" s="344">
        <f t="shared" si="5"/>
        <v>1</v>
      </c>
      <c r="V11" s="344">
        <f t="shared" si="6"/>
        <v>1863</v>
      </c>
      <c r="W11" s="344" t="str">
        <f t="shared" si="11"/>
        <v>Jan</v>
      </c>
      <c r="X11" s="344"/>
      <c r="Y11" s="344"/>
      <c r="Z11" s="314" t="str">
        <f t="shared" si="32"/>
        <v>30-Jan-1780</v>
      </c>
      <c r="AA11" s="314" t="str">
        <f t="shared" si="13"/>
        <v>30-Jan-1863</v>
      </c>
      <c r="AB11" s="314">
        <f t="shared" si="14"/>
        <v>83</v>
      </c>
      <c r="AC11" s="314">
        <f t="shared" si="15"/>
        <v>241</v>
      </c>
      <c r="AD11" s="347" t="str">
        <f t="shared" si="16"/>
        <v>Died 30-Jan-1863, aged 83.</v>
      </c>
      <c r="AE11" s="305"/>
      <c r="AH11" s="303"/>
      <c r="AI11" s="289" t="s">
        <v>990</v>
      </c>
      <c r="AJ11" s="289" t="s">
        <v>990</v>
      </c>
      <c r="AK11" s="344" t="str">
        <f t="shared" si="17"/>
        <v>17</v>
      </c>
      <c r="AL11" s="344">
        <f t="shared" si="35"/>
        <v>8</v>
      </c>
      <c r="AM11" s="344">
        <f t="shared" si="36"/>
        <v>1809</v>
      </c>
      <c r="AN11" s="344" t="str">
        <f t="shared" si="20"/>
        <v>Aug</v>
      </c>
      <c r="AO11" s="344" t="str">
        <f t="shared" si="7"/>
        <v>17-Aug-1809</v>
      </c>
      <c r="AR11" s="350">
        <f>A11</f>
        <v>8</v>
      </c>
      <c r="AS11" s="353" t="str">
        <f>IF(V11="",_xlfn.CONCAT(IF(G11="",D11,G11)," (",Q11,"–",V11," : #",AR11,")"),_xlfn.CONCAT(IF(G11="",D11,G11)," (",Q11,"–",V11,": #",AR11,")"))</f>
        <v>Edward (1780–1863: #8)</v>
      </c>
      <c r="AT11" s="353" t="str">
        <f>IF(V11="",_xlfn.CONCAT(IF(G11="",D11,G11)," (",Q11,"– ",V11,")"),_xlfn.CONCAT(IF(G11="",D11,G11)," (",Q11,"–",V11,")"))</f>
        <v>Edward (1780–1863)</v>
      </c>
      <c r="AU11" s="352" t="str">
        <f t="shared" si="0"/>
        <v>Male</v>
      </c>
      <c r="AV11" s="355" t="s">
        <v>4367</v>
      </c>
      <c r="AW11" s="319" t="str">
        <f>VLOOKUP(AV11,'Mums of Loyd Edit&amp;Partner Edit'!$B$3:$C$66,2,FALSE)</f>
        <v>Anne WILLIAM (b. 1738, d. 24 May 1801)</v>
      </c>
      <c r="AX11" s="360">
        <v>1</v>
      </c>
      <c r="AY11" s="355" t="str">
        <f t="shared" si="8"/>
        <v>William (1729–1800: #1)</v>
      </c>
      <c r="AZ11" s="361">
        <f>VLOOKUP(AX11,Lineage!$A$1:$C$200,2,FALSE)</f>
        <v>0</v>
      </c>
      <c r="BA11" s="362" t="str">
        <f t="shared" si="31"/>
        <v>Lewis LLOYD (1690–1759: #0)</v>
      </c>
      <c r="BB11" s="368">
        <f>BiographyMarriageDetsCountries!A10</f>
        <v>8</v>
      </c>
      <c r="BC11" s="319"/>
      <c r="BD11" s="362"/>
      <c r="BF11" s="324"/>
      <c r="BG11" s="357">
        <f t="shared" si="21"/>
        <v>8</v>
      </c>
      <c r="BH11" s="289" t="str">
        <f t="shared" si="22"/>
        <v>Edward LOYD</v>
      </c>
      <c r="BI11" s="289" t="str">
        <f t="shared" si="23"/>
        <v>Edward (1780–1863)</v>
      </c>
      <c r="BJ11" s="304" t="str">
        <f t="shared" si="24"/>
        <v>Male</v>
      </c>
      <c r="BK11" s="304">
        <f t="shared" si="25"/>
        <v>1</v>
      </c>
      <c r="BL11" s="289" t="str">
        <f t="shared" si="26"/>
        <v>William (1729–1800: #1)</v>
      </c>
      <c r="BM11" s="289" t="str">
        <f t="shared" si="27"/>
        <v>Anne WILLIAM (b. 1738, d. 24 May 1801)</v>
      </c>
      <c r="BN11" s="367" t="str">
        <f t="shared" si="28"/>
        <v>30-Jan-1780</v>
      </c>
      <c r="BO11" s="367" t="str">
        <f t="shared" si="29"/>
        <v>30-Jan-1863</v>
      </c>
      <c r="BP11" s="365" t="str">
        <f t="shared" si="30"/>
        <v>Died 30-Jan-1863, aged 83.</v>
      </c>
      <c r="CP11" s="303">
        <v>8</v>
      </c>
      <c r="CQ11" s="303" t="s">
        <v>4571</v>
      </c>
    </row>
    <row r="12" spans="1:95" s="289" customFormat="1" ht="40">
      <c r="A12" s="302">
        <v>9</v>
      </c>
      <c r="B12" s="364">
        <v>2</v>
      </c>
      <c r="C12" s="288" t="s">
        <v>782</v>
      </c>
      <c r="D12" s="289" t="s">
        <v>978</v>
      </c>
      <c r="E12" s="289" t="s">
        <v>992</v>
      </c>
      <c r="H12" s="304" t="s">
        <v>3245</v>
      </c>
      <c r="I12" s="306" t="s">
        <v>4456</v>
      </c>
      <c r="J12" s="306" t="s">
        <v>4457</v>
      </c>
      <c r="K12" s="308" t="s">
        <v>4491</v>
      </c>
      <c r="L12" s="308" t="s">
        <v>4491</v>
      </c>
      <c r="M12" s="323" t="s">
        <v>994</v>
      </c>
      <c r="N12" s="323"/>
      <c r="O12" s="348">
        <f t="shared" si="9"/>
        <v>25</v>
      </c>
      <c r="P12" s="345">
        <f t="shared" si="1"/>
        <v>9</v>
      </c>
      <c r="Q12" s="345">
        <f t="shared" si="2"/>
        <v>1796</v>
      </c>
      <c r="R12" s="344" t="str">
        <f t="shared" si="10"/>
        <v>Sep</v>
      </c>
      <c r="S12" s="344">
        <f t="shared" si="3"/>
        <v>10</v>
      </c>
      <c r="T12" s="344">
        <f t="shared" si="4"/>
        <v>17</v>
      </c>
      <c r="U12" s="344">
        <f t="shared" si="5"/>
        <v>11</v>
      </c>
      <c r="V12" s="344">
        <f t="shared" si="6"/>
        <v>1883</v>
      </c>
      <c r="W12" s="344" t="str">
        <f t="shared" si="11"/>
        <v>Nov</v>
      </c>
      <c r="X12" s="344"/>
      <c r="Y12" s="344"/>
      <c r="Z12" s="314" t="str">
        <f t="shared" si="32"/>
        <v>25-Sep-1796</v>
      </c>
      <c r="AA12" s="314" t="str">
        <f t="shared" si="13"/>
        <v>17-Nov-1883</v>
      </c>
      <c r="AB12" s="314">
        <f t="shared" si="14"/>
        <v>87</v>
      </c>
      <c r="AC12" s="314">
        <f t="shared" si="15"/>
        <v>225</v>
      </c>
      <c r="AD12" s="347" t="str">
        <f t="shared" si="16"/>
        <v>Died 17-Nov-1883, aged 87.</v>
      </c>
      <c r="AE12" s="305"/>
      <c r="AH12" s="303"/>
      <c r="AI12" s="289" t="s">
        <v>995</v>
      </c>
      <c r="AJ12" s="289" t="s">
        <v>995</v>
      </c>
      <c r="AK12" s="344" t="str">
        <f t="shared" si="17"/>
        <v>10</v>
      </c>
      <c r="AL12" s="344">
        <f t="shared" si="35"/>
        <v>8</v>
      </c>
      <c r="AM12" s="344">
        <f t="shared" si="36"/>
        <v>1829</v>
      </c>
      <c r="AN12" s="344" t="str">
        <f t="shared" si="20"/>
        <v>Aug</v>
      </c>
      <c r="AO12" s="344" t="str">
        <f t="shared" si="7"/>
        <v>10-Aug-1829</v>
      </c>
      <c r="AR12" s="350">
        <f>A12</f>
        <v>9</v>
      </c>
      <c r="AS12" s="353" t="str">
        <f>IF(V12="",_xlfn.CONCAT(IF(G12="",D12,G12)," (",Q12,"–",V12," : #",AR12,")"),_xlfn.CONCAT(IF(G12="",D12,G12)," (",Q12,"–",V12,": #",AR12,")"))</f>
        <v>Samuel (1796–1883: #9)</v>
      </c>
      <c r="AT12" s="353" t="str">
        <f>IF(V12="",_xlfn.CONCAT(IF(G12="",D12,G12)," (",Q12,"– ",V12,")"),_xlfn.CONCAT(IF(G12="",D12,G12)," (",Q12,"–",V12,")"))</f>
        <v>Samuel (1796–1883)</v>
      </c>
      <c r="AU12" s="352" t="str">
        <f t="shared" si="0"/>
        <v>Male</v>
      </c>
      <c r="AV12" s="355" t="s">
        <v>4368</v>
      </c>
      <c r="AW12" s="319" t="str">
        <f>VLOOKUP(AV12,'Mums of Loyd Edit&amp;Partner Edit'!$B$3:$C$66,2,FALSE)</f>
        <v>Sarah  JONES (b. 9 Sep 1759, d. 1 Oct 1821)</v>
      </c>
      <c r="AX12" s="360">
        <v>3</v>
      </c>
      <c r="AY12" s="355" t="str">
        <f t="shared" si="8"/>
        <v>Lewis LOYD (1768–1858: #3)</v>
      </c>
      <c r="AZ12" s="361">
        <f>VLOOKUP(AX12,Lineage!$A$1:$C$200,2,FALSE)</f>
        <v>1</v>
      </c>
      <c r="BA12" s="362" t="str">
        <f t="shared" si="31"/>
        <v>William (1729–1800: #1)</v>
      </c>
      <c r="BB12" s="368">
        <f>BiographyMarriageDetsCountries!A11</f>
        <v>9</v>
      </c>
      <c r="BC12" s="319"/>
      <c r="BD12" s="362"/>
      <c r="BF12" s="324"/>
      <c r="BG12" s="357">
        <f t="shared" si="21"/>
        <v>9</v>
      </c>
      <c r="BH12" s="289" t="str">
        <f t="shared" si="22"/>
        <v>Samuel Jones LOYD</v>
      </c>
      <c r="BI12" s="289" t="str">
        <f t="shared" si="23"/>
        <v>Samuel (1796–1883)</v>
      </c>
      <c r="BJ12" s="304" t="str">
        <f t="shared" si="24"/>
        <v>Male</v>
      </c>
      <c r="BK12" s="304">
        <f t="shared" si="25"/>
        <v>2</v>
      </c>
      <c r="BL12" s="289" t="str">
        <f t="shared" si="26"/>
        <v>Lewis LOYD (1768–1858: #3)</v>
      </c>
      <c r="BM12" s="289" t="str">
        <f t="shared" si="27"/>
        <v>Sarah  JONES (b. 9 Sep 1759, d. 1 Oct 1821)</v>
      </c>
      <c r="BN12" s="367" t="str">
        <f t="shared" si="28"/>
        <v>25-Sep-1796</v>
      </c>
      <c r="BO12" s="367" t="str">
        <f t="shared" si="29"/>
        <v>17-Nov-1883</v>
      </c>
      <c r="BP12" s="365" t="str">
        <f t="shared" si="30"/>
        <v>Died 17-Nov-1883, aged 87.</v>
      </c>
      <c r="CP12" s="303">
        <v>9</v>
      </c>
      <c r="CQ12" s="303" t="s">
        <v>4572</v>
      </c>
    </row>
    <row r="13" spans="1:95" s="289" customFormat="1" ht="40">
      <c r="A13" s="302">
        <v>10</v>
      </c>
      <c r="B13" s="364">
        <v>2</v>
      </c>
      <c r="C13" s="288" t="s">
        <v>782</v>
      </c>
      <c r="D13" s="289" t="s">
        <v>830</v>
      </c>
      <c r="E13" s="289" t="s">
        <v>819</v>
      </c>
      <c r="H13" s="304" t="s">
        <v>3245</v>
      </c>
      <c r="I13" s="306" t="s">
        <v>4458</v>
      </c>
      <c r="J13" s="306" t="s">
        <v>4459</v>
      </c>
      <c r="K13" s="308" t="s">
        <v>4492</v>
      </c>
      <c r="L13" s="308" t="s">
        <v>4492</v>
      </c>
      <c r="M13" s="323" t="s">
        <v>997</v>
      </c>
      <c r="N13" s="323"/>
      <c r="O13" s="348">
        <f t="shared" si="9"/>
        <v>9</v>
      </c>
      <c r="P13" s="345">
        <f t="shared" si="1"/>
        <v>10</v>
      </c>
      <c r="Q13" s="345">
        <f t="shared" si="2"/>
        <v>1809</v>
      </c>
      <c r="R13" s="344" t="str">
        <f t="shared" si="10"/>
        <v>Oct</v>
      </c>
      <c r="S13" s="344">
        <f t="shared" si="3"/>
        <v>10</v>
      </c>
      <c r="T13" s="344">
        <f t="shared" si="4"/>
        <v>14</v>
      </c>
      <c r="U13" s="344">
        <f t="shared" si="5"/>
        <v>6</v>
      </c>
      <c r="V13" s="344">
        <f t="shared" si="6"/>
        <v>1879</v>
      </c>
      <c r="W13" s="344" t="str">
        <f t="shared" si="11"/>
        <v>Jun</v>
      </c>
      <c r="X13" s="344"/>
      <c r="Y13" s="344"/>
      <c r="Z13" s="314" t="str">
        <f t="shared" si="32"/>
        <v>09-Oct-1809</v>
      </c>
      <c r="AA13" s="314" t="str">
        <f t="shared" si="13"/>
        <v>14-Jun-1879</v>
      </c>
      <c r="AB13" s="314">
        <f t="shared" si="14"/>
        <v>69</v>
      </c>
      <c r="AC13" s="314">
        <f t="shared" si="15"/>
        <v>212</v>
      </c>
      <c r="AD13" s="347" t="str">
        <f t="shared" si="16"/>
        <v>Died 14-Jun-1879, aged 69.</v>
      </c>
      <c r="AE13" s="305"/>
      <c r="AH13" s="303"/>
      <c r="AI13" s="289" t="s">
        <v>2793</v>
      </c>
      <c r="AJ13" s="289" t="s">
        <v>2793</v>
      </c>
      <c r="AK13" s="344" t="str">
        <f t="shared" si="17"/>
        <v xml:space="preserve"> -</v>
      </c>
      <c r="AL13" s="344" t="str">
        <f t="shared" si="35"/>
        <v xml:space="preserve"> -</v>
      </c>
      <c r="AM13" s="344" t="str">
        <f t="shared" si="36"/>
        <v xml:space="preserve"> -</v>
      </c>
      <c r="AN13" s="344" t="str">
        <f t="shared" si="20"/>
        <v xml:space="preserve"> -</v>
      </c>
      <c r="AO13" s="344" t="str">
        <f t="shared" si="7"/>
        <v xml:space="preserve"> -</v>
      </c>
      <c r="AR13" s="350">
        <f>A13</f>
        <v>10</v>
      </c>
      <c r="AS13" s="353" t="str">
        <f>IF(V13="",_xlfn.CONCAT(IF(G13="",D13,G13)," (",Q13,"–",V13," : #",AR13,")"),_xlfn.CONCAT(IF(G13="",D13,G13)," (",Q13,"–",V13,": #",AR13,")"))</f>
        <v>William (1809–1879: #10)</v>
      </c>
      <c r="AT13" s="353" t="str">
        <f>IF(V13="",_xlfn.CONCAT(IF(G13="",D13,G13)," (",Q13,"– ",V13,")"),_xlfn.CONCAT(IF(G13="",D13,G13)," (",Q13,"–",V13,")"))</f>
        <v>William (1809–1879)</v>
      </c>
      <c r="AU13" s="352" t="str">
        <f t="shared" si="0"/>
        <v>Male</v>
      </c>
      <c r="AV13" s="355" t="s">
        <v>4369</v>
      </c>
      <c r="AW13" s="319" t="str">
        <f>VLOOKUP(AV13,'Mums of Loyd Edit&amp;Partner Edit'!$B$3:$C$66,2,FALSE)</f>
        <v>Martha KIRKMAN (b. 17 Nov 1775, d. 4 Feb 1857)</v>
      </c>
      <c r="AX13" s="360">
        <v>4</v>
      </c>
      <c r="AY13" s="355" t="str">
        <f t="shared" si="8"/>
        <v>William (1770–1828: #4)</v>
      </c>
      <c r="AZ13" s="361">
        <f>VLOOKUP(AX13,Lineage!$A$1:$C$200,2,FALSE)</f>
        <v>1</v>
      </c>
      <c r="BA13" s="362" t="str">
        <f t="shared" si="31"/>
        <v>William (1729–1800: #1)</v>
      </c>
      <c r="BB13" s="368">
        <f>BiographyMarriageDetsCountries!A12</f>
        <v>10</v>
      </c>
      <c r="BC13" s="319"/>
      <c r="BD13" s="362"/>
      <c r="BF13" s="324"/>
      <c r="BG13" s="357">
        <f t="shared" si="21"/>
        <v>10</v>
      </c>
      <c r="BH13" s="289" t="str">
        <f t="shared" si="22"/>
        <v>William Kirkman LOYD</v>
      </c>
      <c r="BI13" s="289" t="str">
        <f t="shared" si="23"/>
        <v>William (1809–1879)</v>
      </c>
      <c r="BJ13" s="304" t="str">
        <f t="shared" si="24"/>
        <v>Male</v>
      </c>
      <c r="BK13" s="304">
        <f t="shared" si="25"/>
        <v>2</v>
      </c>
      <c r="BL13" s="289" t="str">
        <f t="shared" si="26"/>
        <v>William (1770–1828: #4)</v>
      </c>
      <c r="BM13" s="289" t="str">
        <f t="shared" si="27"/>
        <v>Martha KIRKMAN (b. 17 Nov 1775, d. 4 Feb 1857)</v>
      </c>
      <c r="BN13" s="367" t="str">
        <f t="shared" si="28"/>
        <v>09-Oct-1809</v>
      </c>
      <c r="BO13" s="367" t="str">
        <f t="shared" si="29"/>
        <v>14-Jun-1879</v>
      </c>
      <c r="BP13" s="365" t="str">
        <f t="shared" si="30"/>
        <v>Died 14-Jun-1879, aged 69.</v>
      </c>
      <c r="CP13" s="303">
        <v>10</v>
      </c>
      <c r="CQ13" s="303" t="s">
        <v>4573</v>
      </c>
    </row>
    <row r="14" spans="1:95" s="289" customFormat="1" ht="40">
      <c r="A14" s="302">
        <v>11</v>
      </c>
      <c r="B14" s="364">
        <v>2</v>
      </c>
      <c r="C14" s="288" t="s">
        <v>782</v>
      </c>
      <c r="D14" s="289" t="s">
        <v>998</v>
      </c>
      <c r="H14" s="304" t="s">
        <v>3244</v>
      </c>
      <c r="I14" s="306" t="s">
        <v>1858</v>
      </c>
      <c r="J14" s="306" t="s">
        <v>1859</v>
      </c>
      <c r="K14" s="308" t="s">
        <v>4493</v>
      </c>
      <c r="L14" s="308" t="s">
        <v>4493</v>
      </c>
      <c r="M14" s="323" t="s">
        <v>1001</v>
      </c>
      <c r="N14" s="323"/>
      <c r="O14" s="348">
        <f t="shared" si="9"/>
        <v>30</v>
      </c>
      <c r="P14" s="345">
        <f t="shared" si="1"/>
        <v>5</v>
      </c>
      <c r="Q14" s="345">
        <f t="shared" si="2"/>
        <v>1810</v>
      </c>
      <c r="R14" s="344" t="str">
        <f t="shared" si="10"/>
        <v>May</v>
      </c>
      <c r="S14" s="344">
        <f t="shared" si="3"/>
        <v>10</v>
      </c>
      <c r="T14" s="344">
        <f t="shared" si="4"/>
        <v>15</v>
      </c>
      <c r="U14" s="344">
        <f t="shared" si="5"/>
        <v>6</v>
      </c>
      <c r="V14" s="344">
        <f t="shared" si="6"/>
        <v>1858</v>
      </c>
      <c r="W14" s="344" t="str">
        <f t="shared" si="11"/>
        <v>Jun</v>
      </c>
      <c r="X14" s="344"/>
      <c r="Y14" s="344"/>
      <c r="Z14" s="314" t="str">
        <f t="shared" si="32"/>
        <v>30-May-1810</v>
      </c>
      <c r="AA14" s="314" t="str">
        <f t="shared" si="13"/>
        <v>15-Jun-1858</v>
      </c>
      <c r="AB14" s="314">
        <f t="shared" si="14"/>
        <v>48</v>
      </c>
      <c r="AC14" s="314">
        <f t="shared" si="15"/>
        <v>211</v>
      </c>
      <c r="AD14" s="347" t="str">
        <f t="shared" si="16"/>
        <v>Died 15-Jun-1858, aged 48.</v>
      </c>
      <c r="AE14" s="305"/>
      <c r="AH14" s="303"/>
      <c r="AI14" s="289" t="s">
        <v>1000</v>
      </c>
      <c r="AJ14" s="289" t="s">
        <v>1000</v>
      </c>
      <c r="AK14" s="344" t="str">
        <f t="shared" si="17"/>
        <v>01</v>
      </c>
      <c r="AL14" s="344">
        <f t="shared" si="35"/>
        <v>10</v>
      </c>
      <c r="AM14" s="344">
        <f t="shared" si="36"/>
        <v>1835</v>
      </c>
      <c r="AN14" s="344" t="str">
        <f t="shared" si="20"/>
        <v>Oct</v>
      </c>
      <c r="AO14" s="344" t="str">
        <f t="shared" si="7"/>
        <v>01-Oct-1835</v>
      </c>
      <c r="AR14" s="350">
        <f>A14</f>
        <v>11</v>
      </c>
      <c r="AS14" s="353" t="str">
        <f>IF(V14="",_xlfn.CONCAT(IF(G14="",D14,G14)," (",Q14,"–",V14," : #",AR14,")"),_xlfn.CONCAT(IF(G14="",D14,G14)," (",Q14,"–",V14,": #",AR14,")"))</f>
        <v>Sarah (1810–1858: #11)</v>
      </c>
      <c r="AT14" s="353" t="str">
        <f>IF(V14="",_xlfn.CONCAT(IF(G14="",D14,G14)," (",Q14,"– ",V14,")"),_xlfn.CONCAT(IF(G14="",D14,G14)," (",Q14,"–",V14,")"))</f>
        <v>Sarah (1810–1858)</v>
      </c>
      <c r="AU14" s="352" t="str">
        <f t="shared" si="0"/>
        <v>Female</v>
      </c>
      <c r="AV14" s="355" t="s">
        <v>4370</v>
      </c>
      <c r="AW14" s="319" t="str">
        <f>VLOOKUP(AV14,'Mums of Loyd Edit&amp;Partner Edit'!$B$3:$C$66,2,FALSE)</f>
        <v>Sarah TAYLOR (b.5 Jul 1785, d. 19 Jan 1863)</v>
      </c>
      <c r="AX14" s="360">
        <v>8</v>
      </c>
      <c r="AY14" s="355" t="str">
        <f t="shared" si="8"/>
        <v>Edward (1780–1863: #8)</v>
      </c>
      <c r="AZ14" s="361">
        <f>VLOOKUP(AX14,Lineage!$A$1:$C$200,2,FALSE)</f>
        <v>1</v>
      </c>
      <c r="BA14" s="362" t="str">
        <f t="shared" si="31"/>
        <v>William (1729–1800: #1)</v>
      </c>
      <c r="BB14" s="368">
        <f>BiographyMarriageDetsCountries!A13</f>
        <v>11</v>
      </c>
      <c r="BC14" s="319"/>
      <c r="BD14" s="362"/>
      <c r="BF14" s="324"/>
      <c r="BG14" s="357">
        <f t="shared" si="21"/>
        <v>11</v>
      </c>
      <c r="BH14" s="289" t="str">
        <f t="shared" si="22"/>
        <v>Sarah LOYD</v>
      </c>
      <c r="BI14" s="289" t="str">
        <f t="shared" si="23"/>
        <v>Sarah (1810–1858)</v>
      </c>
      <c r="BJ14" s="304" t="str">
        <f t="shared" si="24"/>
        <v>Female</v>
      </c>
      <c r="BK14" s="304">
        <f t="shared" si="25"/>
        <v>2</v>
      </c>
      <c r="BL14" s="289" t="str">
        <f t="shared" si="26"/>
        <v>Edward (1780–1863: #8)</v>
      </c>
      <c r="BM14" s="289" t="str">
        <f t="shared" si="27"/>
        <v>Sarah TAYLOR (b.5 Jul 1785, d. 19 Jan 1863)</v>
      </c>
      <c r="BN14" s="367" t="str">
        <f t="shared" si="28"/>
        <v>30-May-1810</v>
      </c>
      <c r="BO14" s="367" t="str">
        <f t="shared" si="29"/>
        <v>15-Jun-1858</v>
      </c>
      <c r="BP14" s="365" t="str">
        <f t="shared" si="30"/>
        <v>Died 15-Jun-1858, aged 48.</v>
      </c>
      <c r="CP14" s="303">
        <v>11</v>
      </c>
      <c r="CQ14" s="303" t="s">
        <v>4574</v>
      </c>
    </row>
    <row r="15" spans="1:95" s="289" customFormat="1" ht="40">
      <c r="A15" s="302">
        <v>12</v>
      </c>
      <c r="B15" s="364">
        <v>2</v>
      </c>
      <c r="C15" s="288" t="s">
        <v>782</v>
      </c>
      <c r="D15" s="289" t="s">
        <v>983</v>
      </c>
      <c r="H15" s="304" t="s">
        <v>3244</v>
      </c>
      <c r="I15" s="306" t="s">
        <v>1858</v>
      </c>
      <c r="J15" s="306" t="s">
        <v>1863</v>
      </c>
      <c r="K15" s="308" t="s">
        <v>4494</v>
      </c>
      <c r="L15" s="308" t="s">
        <v>4494</v>
      </c>
      <c r="M15" s="323" t="s">
        <v>1004</v>
      </c>
      <c r="N15" s="323"/>
      <c r="O15" s="348">
        <f t="shared" si="9"/>
        <v>30</v>
      </c>
      <c r="P15" s="345">
        <f t="shared" si="1"/>
        <v>11</v>
      </c>
      <c r="Q15" s="345">
        <f t="shared" si="2"/>
        <v>1810</v>
      </c>
      <c r="R15" s="344" t="str">
        <f t="shared" si="10"/>
        <v>Nov</v>
      </c>
      <c r="S15" s="344">
        <f t="shared" si="3"/>
        <v>10</v>
      </c>
      <c r="T15" s="344">
        <f t="shared" si="4"/>
        <v>3</v>
      </c>
      <c r="U15" s="344">
        <f t="shared" si="5"/>
        <v>10</v>
      </c>
      <c r="V15" s="344">
        <f t="shared" si="6"/>
        <v>1861</v>
      </c>
      <c r="W15" s="344" t="str">
        <f t="shared" si="11"/>
        <v>Oct</v>
      </c>
      <c r="X15" s="344"/>
      <c r="Y15" s="344"/>
      <c r="Z15" s="314" t="str">
        <f t="shared" si="32"/>
        <v>30-Nov-1810</v>
      </c>
      <c r="AA15" s="314" t="str">
        <f t="shared" si="13"/>
        <v>03-Oct-1861</v>
      </c>
      <c r="AB15" s="314">
        <f t="shared" si="14"/>
        <v>50</v>
      </c>
      <c r="AC15" s="314">
        <f t="shared" si="15"/>
        <v>211</v>
      </c>
      <c r="AD15" s="347" t="str">
        <f t="shared" si="16"/>
        <v>Died 03-Oct-1861, aged 50.</v>
      </c>
      <c r="AE15" s="305"/>
      <c r="AH15" s="303"/>
      <c r="AI15" s="289" t="s">
        <v>2793</v>
      </c>
      <c r="AJ15" s="289" t="s">
        <v>2793</v>
      </c>
      <c r="AK15" s="344" t="str">
        <f t="shared" si="17"/>
        <v xml:space="preserve"> -</v>
      </c>
      <c r="AL15" s="344" t="str">
        <f t="shared" si="35"/>
        <v xml:space="preserve"> -</v>
      </c>
      <c r="AM15" s="344" t="str">
        <f t="shared" si="36"/>
        <v xml:space="preserve"> -</v>
      </c>
      <c r="AN15" s="344" t="str">
        <f t="shared" si="20"/>
        <v xml:space="preserve"> -</v>
      </c>
      <c r="AO15" s="344" t="str">
        <f t="shared" si="7"/>
        <v xml:space="preserve"> -</v>
      </c>
      <c r="AR15" s="350">
        <f>A15</f>
        <v>12</v>
      </c>
      <c r="AS15" s="353" t="str">
        <f>IF(V15="",_xlfn.CONCAT(IF(G15="",D15,G15)," (",Q15,"–",V15," : #",AR15,")"),_xlfn.CONCAT(IF(G15="",D15,G15)," (",Q15,"–",V15,": #",AR15,")"))</f>
        <v>Eliza (1810–1861: #12)</v>
      </c>
      <c r="AT15" s="353" t="str">
        <f>IF(V15="",_xlfn.CONCAT(IF(G15="",D15,G15)," (",Q15,"– ",V15,")"),_xlfn.CONCAT(IF(G15="",D15,G15)," (",Q15,"–",V15,")"))</f>
        <v>Eliza (1810–1861)</v>
      </c>
      <c r="AU15" s="352" t="str">
        <f t="shared" si="0"/>
        <v>Female</v>
      </c>
      <c r="AV15" s="355" t="s">
        <v>4369</v>
      </c>
      <c r="AW15" s="319" t="str">
        <f>VLOOKUP(AV15,'Mums of Loyd Edit&amp;Partner Edit'!$B$3:$C$66,2,FALSE)</f>
        <v>Martha KIRKMAN (b. 17 Nov 1775, d. 4 Feb 1857)</v>
      </c>
      <c r="AX15" s="360">
        <v>4</v>
      </c>
      <c r="AY15" s="355" t="str">
        <f t="shared" si="8"/>
        <v>William (1770–1828: #4)</v>
      </c>
      <c r="AZ15" s="361">
        <f>VLOOKUP(AX15,Lineage!$A$1:$C$200,2,FALSE)</f>
        <v>1</v>
      </c>
      <c r="BA15" s="362" t="str">
        <f t="shared" si="31"/>
        <v>William (1729–1800: #1)</v>
      </c>
      <c r="BB15" s="368">
        <f>BiographyMarriageDetsCountries!A14</f>
        <v>12</v>
      </c>
      <c r="BC15" s="319"/>
      <c r="BD15" s="362"/>
      <c r="BF15" s="324"/>
      <c r="BG15" s="357">
        <f t="shared" si="21"/>
        <v>12</v>
      </c>
      <c r="BH15" s="289" t="str">
        <f t="shared" si="22"/>
        <v>Eliza LOYD</v>
      </c>
      <c r="BI15" s="289" t="str">
        <f t="shared" si="23"/>
        <v>Eliza (1810–1861)</v>
      </c>
      <c r="BJ15" s="304" t="str">
        <f t="shared" si="24"/>
        <v>Female</v>
      </c>
      <c r="BK15" s="304">
        <f t="shared" si="25"/>
        <v>2</v>
      </c>
      <c r="BL15" s="289" t="str">
        <f t="shared" si="26"/>
        <v>William (1770–1828: #4)</v>
      </c>
      <c r="BM15" s="289" t="str">
        <f t="shared" si="27"/>
        <v>Martha KIRKMAN (b. 17 Nov 1775, d. 4 Feb 1857)</v>
      </c>
      <c r="BN15" s="367" t="str">
        <f t="shared" si="28"/>
        <v>30-Nov-1810</v>
      </c>
      <c r="BO15" s="367" t="str">
        <f t="shared" si="29"/>
        <v>03-Oct-1861</v>
      </c>
      <c r="BP15" s="365" t="str">
        <f t="shared" si="30"/>
        <v>Died 03-Oct-1861, aged 50.</v>
      </c>
      <c r="BQ15" s="303"/>
      <c r="BR15" s="303"/>
      <c r="CP15" s="289">
        <v>12</v>
      </c>
      <c r="CQ15" s="303" t="s">
        <v>4575</v>
      </c>
    </row>
    <row r="16" spans="1:95" s="289" customFormat="1" ht="40">
      <c r="A16" s="302">
        <v>13</v>
      </c>
      <c r="B16" s="364">
        <v>2</v>
      </c>
      <c r="C16" s="288" t="s">
        <v>782</v>
      </c>
      <c r="D16" s="289" t="s">
        <v>914</v>
      </c>
      <c r="H16" s="304" t="s">
        <v>3245</v>
      </c>
      <c r="I16" s="306" t="s">
        <v>4460</v>
      </c>
      <c r="J16" s="306" t="s">
        <v>1940</v>
      </c>
      <c r="K16" s="308" t="s">
        <v>4495</v>
      </c>
      <c r="L16" s="308" t="s">
        <v>4495</v>
      </c>
      <c r="M16" s="309" t="s">
        <v>1006</v>
      </c>
      <c r="N16" s="309"/>
      <c r="O16" s="348">
        <f t="shared" si="9"/>
        <v>10</v>
      </c>
      <c r="P16" s="345">
        <f t="shared" si="1"/>
        <v>8</v>
      </c>
      <c r="Q16" s="345">
        <f t="shared" si="2"/>
        <v>1811</v>
      </c>
      <c r="R16" s="344" t="str">
        <f t="shared" si="10"/>
        <v>Aug</v>
      </c>
      <c r="S16" s="344">
        <f t="shared" si="3"/>
        <v>10</v>
      </c>
      <c r="T16" s="344">
        <f t="shared" si="4"/>
        <v>19</v>
      </c>
      <c r="U16" s="344">
        <f t="shared" si="5"/>
        <v>7</v>
      </c>
      <c r="V16" s="344">
        <f t="shared" si="6"/>
        <v>1891</v>
      </c>
      <c r="W16" s="344" t="str">
        <f t="shared" si="11"/>
        <v>Jul</v>
      </c>
      <c r="X16" s="344"/>
      <c r="Y16" s="344"/>
      <c r="Z16" s="314" t="str">
        <f t="shared" si="32"/>
        <v>10-Aug-1811</v>
      </c>
      <c r="AA16" s="314" t="str">
        <f t="shared" si="13"/>
        <v>19-Jul-1891</v>
      </c>
      <c r="AB16" s="314">
        <f t="shared" si="14"/>
        <v>79</v>
      </c>
      <c r="AC16" s="314">
        <f t="shared" si="15"/>
        <v>210</v>
      </c>
      <c r="AD16" s="347" t="str">
        <f t="shared" si="16"/>
        <v>Died 19-Jul-1891, aged 79.</v>
      </c>
      <c r="AE16" s="305"/>
      <c r="AF16" s="303"/>
      <c r="AG16" s="303"/>
      <c r="AH16" s="303"/>
      <c r="AI16" s="327" t="s">
        <v>3584</v>
      </c>
      <c r="AJ16" s="327" t="s">
        <v>3584</v>
      </c>
      <c r="AK16" s="344" t="str">
        <f t="shared" si="17"/>
        <v>19</v>
      </c>
      <c r="AL16" s="344">
        <f t="shared" si="35"/>
        <v>6</v>
      </c>
      <c r="AM16" s="344">
        <f t="shared" si="36"/>
        <v>1845</v>
      </c>
      <c r="AN16" s="344" t="str">
        <f t="shared" si="20"/>
        <v>Jun</v>
      </c>
      <c r="AO16" s="344" t="str">
        <f t="shared" si="7"/>
        <v>19-Jun-1845</v>
      </c>
      <c r="AQ16" s="327"/>
      <c r="AR16" s="350">
        <f>A16</f>
        <v>13</v>
      </c>
      <c r="AS16" s="353" t="str">
        <f>IF(V16="",_xlfn.CONCAT(IF(G16="",D16,G16)," (",Q16,"–",V16," : #",AR16,")"),_xlfn.CONCAT(IF(G16="",D16,G16)," (",Q16,"–",V16,": #",AR16,")"))</f>
        <v>Lewis (1811–1891: #13)</v>
      </c>
      <c r="AT16" s="353" t="str">
        <f>IF(V16="",_xlfn.CONCAT(IF(G16="",D16,G16)," (",Q16,"– ",V16,")"),_xlfn.CONCAT(IF(G16="",D16,G16)," (",Q16,"–",V16,")"))</f>
        <v>Lewis (1811–1891)</v>
      </c>
      <c r="AU16" s="352" t="str">
        <f t="shared" si="0"/>
        <v>Male</v>
      </c>
      <c r="AV16" s="355" t="s">
        <v>4370</v>
      </c>
      <c r="AW16" s="319" t="str">
        <f>VLOOKUP(AV16,'Mums of Loyd Edit&amp;Partner Edit'!$B$3:$C$66,2,FALSE)</f>
        <v>Sarah TAYLOR (b.5 Jul 1785, d. 19 Jan 1863)</v>
      </c>
      <c r="AX16" s="360">
        <v>8</v>
      </c>
      <c r="AY16" s="355" t="str">
        <f t="shared" si="8"/>
        <v>Edward (1780–1863: #8)</v>
      </c>
      <c r="AZ16" s="361">
        <f>VLOOKUP(AX16,Lineage!$A$1:$C$200,2,FALSE)</f>
        <v>1</v>
      </c>
      <c r="BA16" s="362" t="str">
        <f t="shared" si="31"/>
        <v>William (1729–1800: #1)</v>
      </c>
      <c r="BB16" s="368">
        <f>BiographyMarriageDetsCountries!A15</f>
        <v>13</v>
      </c>
      <c r="BC16" s="319"/>
      <c r="BD16" s="362"/>
      <c r="BF16" s="324"/>
      <c r="BG16" s="357">
        <f t="shared" si="21"/>
        <v>13</v>
      </c>
      <c r="BH16" s="289" t="str">
        <f t="shared" si="22"/>
        <v>Lewis LOYD</v>
      </c>
      <c r="BI16" s="289" t="str">
        <f t="shared" si="23"/>
        <v>Lewis (1811–1891)</v>
      </c>
      <c r="BJ16" s="304" t="str">
        <f t="shared" si="24"/>
        <v>Male</v>
      </c>
      <c r="BK16" s="304">
        <f t="shared" si="25"/>
        <v>2</v>
      </c>
      <c r="BL16" s="289" t="str">
        <f t="shared" si="26"/>
        <v>Edward (1780–1863: #8)</v>
      </c>
      <c r="BM16" s="289" t="str">
        <f t="shared" si="27"/>
        <v>Sarah TAYLOR (b.5 Jul 1785, d. 19 Jan 1863)</v>
      </c>
      <c r="BN16" s="367" t="str">
        <f t="shared" si="28"/>
        <v>10-Aug-1811</v>
      </c>
      <c r="BO16" s="367" t="str">
        <f t="shared" si="29"/>
        <v>19-Jul-1891</v>
      </c>
      <c r="BP16" s="365" t="str">
        <f t="shared" si="30"/>
        <v>Died 19-Jul-1891, aged 79.</v>
      </c>
    </row>
    <row r="17" spans="1:68" s="289" customFormat="1" ht="40">
      <c r="A17" s="302">
        <v>14</v>
      </c>
      <c r="B17" s="364">
        <v>2</v>
      </c>
      <c r="C17" s="288" t="s">
        <v>782</v>
      </c>
      <c r="D17" s="289" t="s">
        <v>852</v>
      </c>
      <c r="E17" s="289" t="s">
        <v>819</v>
      </c>
      <c r="H17" s="304" t="s">
        <v>3245</v>
      </c>
      <c r="I17" s="306" t="s">
        <v>4461</v>
      </c>
      <c r="J17" s="306" t="s">
        <v>4462</v>
      </c>
      <c r="K17" s="308" t="s">
        <v>4496</v>
      </c>
      <c r="L17" s="308" t="s">
        <v>4496</v>
      </c>
      <c r="M17" s="323" t="s">
        <v>1009</v>
      </c>
      <c r="N17" s="323"/>
      <c r="O17" s="348">
        <f t="shared" si="9"/>
        <v>10</v>
      </c>
      <c r="P17" s="345">
        <f t="shared" si="1"/>
        <v>10</v>
      </c>
      <c r="Q17" s="345">
        <f t="shared" si="2"/>
        <v>1812</v>
      </c>
      <c r="R17" s="344" t="str">
        <f t="shared" si="10"/>
        <v>Oct</v>
      </c>
      <c r="S17" s="344">
        <f t="shared" si="3"/>
        <v>10</v>
      </c>
      <c r="T17" s="344">
        <f t="shared" si="4"/>
        <v>19</v>
      </c>
      <c r="U17" s="344">
        <f t="shared" si="5"/>
        <v>6</v>
      </c>
      <c r="V17" s="344">
        <f t="shared" si="6"/>
        <v>1857</v>
      </c>
      <c r="W17" s="344" t="str">
        <f t="shared" si="11"/>
        <v>Jun</v>
      </c>
      <c r="X17" s="344"/>
      <c r="Y17" s="344"/>
      <c r="Z17" s="314" t="str">
        <f t="shared" si="32"/>
        <v>10-Oct-1812</v>
      </c>
      <c r="AA17" s="314" t="str">
        <f t="shared" si="13"/>
        <v>19-Jun-1857</v>
      </c>
      <c r="AB17" s="314">
        <f t="shared" si="14"/>
        <v>44</v>
      </c>
      <c r="AC17" s="314">
        <f t="shared" si="15"/>
        <v>209</v>
      </c>
      <c r="AD17" s="347" t="str">
        <f t="shared" si="16"/>
        <v>Died 19-Jun-1857, aged 44.</v>
      </c>
      <c r="AE17" s="305"/>
      <c r="AF17" s="303"/>
      <c r="AG17" s="303"/>
      <c r="AH17" s="303"/>
      <c r="AI17" s="289" t="s">
        <v>1008</v>
      </c>
      <c r="AJ17" s="289" t="s">
        <v>1008</v>
      </c>
      <c r="AK17" s="344" t="str">
        <f t="shared" si="17"/>
        <v>10</v>
      </c>
      <c r="AL17" s="344">
        <f t="shared" si="35"/>
        <v>2</v>
      </c>
      <c r="AM17" s="344">
        <f t="shared" si="36"/>
        <v>1842</v>
      </c>
      <c r="AN17" s="344" t="str">
        <f t="shared" si="20"/>
        <v>Feb</v>
      </c>
      <c r="AO17" s="344" t="str">
        <f t="shared" si="7"/>
        <v>10-Feb-1842</v>
      </c>
      <c r="AR17" s="350">
        <f>A17</f>
        <v>14</v>
      </c>
      <c r="AS17" s="353" t="str">
        <f>IF(V17="",_xlfn.CONCAT(IF(G17="",D17,G17)," (",Q17,"–",V17," : #",AR17,")"),_xlfn.CONCAT(IF(G17="",D17,G17)," (",Q17,"–",V17,": #",AR17,")"))</f>
        <v>Thomas (1812–1857: #14)</v>
      </c>
      <c r="AT17" s="353" t="str">
        <f>IF(V17="",_xlfn.CONCAT(IF(G17="",D17,G17)," (",Q17,"– ",V17,")"),_xlfn.CONCAT(IF(G17="",D17,G17)," (",Q17,"–",V17,")"))</f>
        <v>Thomas (1812–1857)</v>
      </c>
      <c r="AU17" s="352" t="str">
        <f t="shared" si="0"/>
        <v>Male</v>
      </c>
      <c r="AV17" s="355" t="s">
        <v>4369</v>
      </c>
      <c r="AW17" s="319" t="str">
        <f>VLOOKUP(AV17,'Mums of Loyd Edit&amp;Partner Edit'!$B$3:$C$66,2,FALSE)</f>
        <v>Martha KIRKMAN (b. 17 Nov 1775, d. 4 Feb 1857)</v>
      </c>
      <c r="AX17" s="360">
        <v>4</v>
      </c>
      <c r="AY17" s="355" t="str">
        <f t="shared" si="8"/>
        <v>William (1770–1828: #4)</v>
      </c>
      <c r="AZ17" s="361">
        <f>VLOOKUP(AX17,Lineage!$A$1:$C$200,2,FALSE)</f>
        <v>1</v>
      </c>
      <c r="BA17" s="362" t="str">
        <f t="shared" si="31"/>
        <v>William (1729–1800: #1)</v>
      </c>
      <c r="BB17" s="368">
        <f>BiographyMarriageDetsCountries!A16</f>
        <v>14</v>
      </c>
      <c r="BC17" s="319"/>
      <c r="BD17" s="362"/>
      <c r="BF17" s="324"/>
      <c r="BG17" s="357">
        <f t="shared" si="21"/>
        <v>14</v>
      </c>
      <c r="BH17" s="289" t="str">
        <f t="shared" si="22"/>
        <v>Thomas Kirkman LOYD</v>
      </c>
      <c r="BI17" s="289" t="str">
        <f t="shared" si="23"/>
        <v>Thomas (1812–1857)</v>
      </c>
      <c r="BJ17" s="304" t="str">
        <f t="shared" si="24"/>
        <v>Male</v>
      </c>
      <c r="BK17" s="304">
        <f t="shared" si="25"/>
        <v>2</v>
      </c>
      <c r="BL17" s="289" t="str">
        <f t="shared" si="26"/>
        <v>William (1770–1828: #4)</v>
      </c>
      <c r="BM17" s="289" t="str">
        <f t="shared" si="27"/>
        <v>Martha KIRKMAN (b. 17 Nov 1775, d. 4 Feb 1857)</v>
      </c>
      <c r="BN17" s="367" t="str">
        <f t="shared" si="28"/>
        <v>10-Oct-1812</v>
      </c>
      <c r="BO17" s="367" t="str">
        <f t="shared" si="29"/>
        <v>19-Jun-1857</v>
      </c>
      <c r="BP17" s="365" t="str">
        <f t="shared" si="30"/>
        <v>Died 19-Jun-1857, aged 44.</v>
      </c>
    </row>
    <row r="18" spans="1:68" s="289" customFormat="1" ht="40">
      <c r="A18" s="302">
        <v>15</v>
      </c>
      <c r="B18" s="364">
        <v>2</v>
      </c>
      <c r="C18" s="288" t="s">
        <v>782</v>
      </c>
      <c r="D18" s="289" t="s">
        <v>1010</v>
      </c>
      <c r="G18" s="289" t="s">
        <v>1075</v>
      </c>
      <c r="H18" s="304" t="s">
        <v>3244</v>
      </c>
      <c r="I18" s="306" t="s">
        <v>1867</v>
      </c>
      <c r="J18" s="306" t="s">
        <v>1868</v>
      </c>
      <c r="K18" s="308" t="s">
        <v>4497</v>
      </c>
      <c r="L18" s="308" t="s">
        <v>4497</v>
      </c>
      <c r="M18" s="323" t="s">
        <v>1013</v>
      </c>
      <c r="N18" s="323"/>
      <c r="O18" s="348">
        <f t="shared" si="9"/>
        <v>26</v>
      </c>
      <c r="P18" s="345">
        <f t="shared" si="1"/>
        <v>2</v>
      </c>
      <c r="Q18" s="345">
        <f t="shared" si="2"/>
        <v>1813</v>
      </c>
      <c r="R18" s="344" t="str">
        <f t="shared" si="10"/>
        <v>Feb</v>
      </c>
      <c r="S18" s="344">
        <f t="shared" si="3"/>
        <v>10</v>
      </c>
      <c r="T18" s="344">
        <f t="shared" si="4"/>
        <v>10</v>
      </c>
      <c r="U18" s="344">
        <f t="shared" si="5"/>
        <v>9</v>
      </c>
      <c r="V18" s="344">
        <f t="shared" si="6"/>
        <v>1834</v>
      </c>
      <c r="W18" s="344" t="str">
        <f t="shared" si="11"/>
        <v>Sep</v>
      </c>
      <c r="X18" s="344"/>
      <c r="Y18" s="344"/>
      <c r="Z18" s="314" t="str">
        <f t="shared" si="32"/>
        <v>26-Feb-1813</v>
      </c>
      <c r="AA18" s="314" t="str">
        <f t="shared" si="13"/>
        <v>10-Sep-1834</v>
      </c>
      <c r="AB18" s="314">
        <f t="shared" si="14"/>
        <v>21</v>
      </c>
      <c r="AC18" s="314">
        <f t="shared" si="15"/>
        <v>208</v>
      </c>
      <c r="AD18" s="347" t="str">
        <f t="shared" si="16"/>
        <v>Died 10-Sep-1834, aged 21.</v>
      </c>
      <c r="AE18" s="305"/>
      <c r="AF18" s="303"/>
      <c r="AG18" s="303"/>
      <c r="AH18" s="303"/>
      <c r="AI18" s="289" t="s">
        <v>2793</v>
      </c>
      <c r="AJ18" s="289" t="s">
        <v>2793</v>
      </c>
      <c r="AK18" s="344" t="str">
        <f t="shared" si="17"/>
        <v xml:space="preserve"> -</v>
      </c>
      <c r="AL18" s="344" t="str">
        <f t="shared" si="35"/>
        <v xml:space="preserve"> -</v>
      </c>
      <c r="AM18" s="344" t="str">
        <f t="shared" si="36"/>
        <v xml:space="preserve"> -</v>
      </c>
      <c r="AN18" s="344" t="str">
        <f t="shared" si="20"/>
        <v xml:space="preserve"> -</v>
      </c>
      <c r="AO18" s="344" t="str">
        <f t="shared" si="7"/>
        <v xml:space="preserve"> -</v>
      </c>
      <c r="AR18" s="350">
        <f>A18</f>
        <v>15</v>
      </c>
      <c r="AS18" s="353" t="str">
        <f>IF(V18="",_xlfn.CONCAT(IF(G18="",D18,G18)," (",Q18,"–",V18," : #",AR18,")"),_xlfn.CONCAT(IF(G18="",D18,G18)," (",Q18,"–",V18,": #",AR18,")"))</f>
        <v>Annie (1813–1834: #15)</v>
      </c>
      <c r="AT18" s="353" t="str">
        <f>IF(V18="",_xlfn.CONCAT(IF(G18="",D18,G18)," (",Q18,"– ",V18,")"),_xlfn.CONCAT(IF(G18="",D18,G18)," (",Q18,"–",V18,")"))</f>
        <v>Annie (1813–1834)</v>
      </c>
      <c r="AU18" s="352" t="str">
        <f t="shared" si="0"/>
        <v>Female</v>
      </c>
      <c r="AV18" s="355" t="s">
        <v>4370</v>
      </c>
      <c r="AW18" s="319" t="str">
        <f>VLOOKUP(AV18,'Mums of Loyd Edit&amp;Partner Edit'!$B$3:$C$66,2,FALSE)</f>
        <v>Sarah TAYLOR (b.5 Jul 1785, d. 19 Jan 1863)</v>
      </c>
      <c r="AX18" s="360">
        <v>8</v>
      </c>
      <c r="AY18" s="355" t="str">
        <f t="shared" si="8"/>
        <v>Edward (1780–1863: #8)</v>
      </c>
      <c r="AZ18" s="361">
        <f>VLOOKUP(AX18,Lineage!$A$1:$C$200,2,FALSE)</f>
        <v>1</v>
      </c>
      <c r="BA18" s="362" t="str">
        <f t="shared" si="31"/>
        <v>William (1729–1800: #1)</v>
      </c>
      <c r="BB18" s="368">
        <f>BiographyMarriageDetsCountries!A17</f>
        <v>15</v>
      </c>
      <c r="BC18" s="319"/>
      <c r="BD18" s="362"/>
      <c r="BF18" s="324"/>
      <c r="BG18" s="357">
        <f t="shared" si="21"/>
        <v>15</v>
      </c>
      <c r="BH18" s="289" t="str">
        <f t="shared" si="22"/>
        <v>Ann LOYD</v>
      </c>
      <c r="BI18" s="289" t="str">
        <f t="shared" si="23"/>
        <v>Annie (1813–1834)</v>
      </c>
      <c r="BJ18" s="304" t="str">
        <f t="shared" si="24"/>
        <v>Female</v>
      </c>
      <c r="BK18" s="304">
        <f t="shared" si="25"/>
        <v>2</v>
      </c>
      <c r="BL18" s="289" t="str">
        <f t="shared" si="26"/>
        <v>Edward (1780–1863: #8)</v>
      </c>
      <c r="BM18" s="289" t="str">
        <f t="shared" si="27"/>
        <v>Sarah TAYLOR (b.5 Jul 1785, d. 19 Jan 1863)</v>
      </c>
      <c r="BN18" s="367" t="str">
        <f t="shared" si="28"/>
        <v>26-Feb-1813</v>
      </c>
      <c r="BO18" s="367" t="str">
        <f t="shared" si="29"/>
        <v>10-Sep-1834</v>
      </c>
      <c r="BP18" s="365" t="str">
        <f t="shared" si="30"/>
        <v>Died 10-Sep-1834, aged 21.</v>
      </c>
    </row>
    <row r="19" spans="1:68" s="289" customFormat="1" ht="40">
      <c r="A19" s="302">
        <v>16</v>
      </c>
      <c r="B19" s="364">
        <v>2</v>
      </c>
      <c r="C19" s="288" t="s">
        <v>782</v>
      </c>
      <c r="D19" s="289" t="s">
        <v>1014</v>
      </c>
      <c r="H19" s="304" t="s">
        <v>3244</v>
      </c>
      <c r="I19" s="306" t="s">
        <v>1871</v>
      </c>
      <c r="J19" s="306">
        <v>1900</v>
      </c>
      <c r="K19" s="308" t="s">
        <v>4498</v>
      </c>
      <c r="L19" s="308" t="s">
        <v>4498</v>
      </c>
      <c r="M19" s="323" t="s">
        <v>3158</v>
      </c>
      <c r="N19" s="323"/>
      <c r="O19" s="348">
        <f t="shared" si="9"/>
        <v>17</v>
      </c>
      <c r="P19" s="345">
        <f t="shared" si="1"/>
        <v>2</v>
      </c>
      <c r="Q19" s="345">
        <f t="shared" si="2"/>
        <v>1814</v>
      </c>
      <c r="R19" s="344" t="str">
        <f t="shared" si="10"/>
        <v>Feb</v>
      </c>
      <c r="S19" s="344">
        <f t="shared" si="3"/>
        <v>10</v>
      </c>
      <c r="T19" s="344">
        <f t="shared" si="4"/>
        <v>16</v>
      </c>
      <c r="U19" s="344">
        <f t="shared" si="5"/>
        <v>9</v>
      </c>
      <c r="V19" s="344">
        <f t="shared" si="6"/>
        <v>1900</v>
      </c>
      <c r="W19" s="344" t="str">
        <f t="shared" si="11"/>
        <v>Sep</v>
      </c>
      <c r="X19" s="344"/>
      <c r="Y19" s="344"/>
      <c r="Z19" s="314" t="str">
        <f t="shared" si="32"/>
        <v>17-Feb-1814</v>
      </c>
      <c r="AA19" s="314" t="str">
        <f t="shared" si="13"/>
        <v>16-Sep-1900</v>
      </c>
      <c r="AB19" s="314">
        <f t="shared" si="14"/>
        <v>86</v>
      </c>
      <c r="AC19" s="314">
        <f t="shared" si="15"/>
        <v>207</v>
      </c>
      <c r="AD19" s="347" t="str">
        <f t="shared" si="16"/>
        <v>Died 16-Sep-1900, aged 86.</v>
      </c>
      <c r="AE19" s="305"/>
      <c r="AF19" s="303"/>
      <c r="AG19" s="303"/>
      <c r="AH19" s="303"/>
      <c r="AI19" s="289" t="s">
        <v>1016</v>
      </c>
      <c r="AJ19" s="289" t="s">
        <v>1016</v>
      </c>
      <c r="AK19" s="344" t="str">
        <f t="shared" si="17"/>
        <v>18</v>
      </c>
      <c r="AL19" s="344">
        <f t="shared" si="35"/>
        <v>12</v>
      </c>
      <c r="AM19" s="344">
        <f t="shared" si="36"/>
        <v>1847</v>
      </c>
      <c r="AN19" s="344" t="str">
        <f t="shared" si="20"/>
        <v>Dec</v>
      </c>
      <c r="AO19" s="344" t="str">
        <f t="shared" si="7"/>
        <v>18-Dec-1847</v>
      </c>
      <c r="AR19" s="350">
        <f>A19</f>
        <v>16</v>
      </c>
      <c r="AS19" s="353" t="str">
        <f>IF(V19="",_xlfn.CONCAT(IF(G19="",D19,G19)," (",Q19,"–",V19," : #",AR19,")"),_xlfn.CONCAT(IF(G19="",D19,G19)," (",Q19,"–",V19,": #",AR19,")"))</f>
        <v>Maria (1814–1900: #16)</v>
      </c>
      <c r="AT19" s="353" t="str">
        <f>IF(V19="",_xlfn.CONCAT(IF(G19="",D19,G19)," (",Q19,"– ",V19,")"),_xlfn.CONCAT(IF(G19="",D19,G19)," (",Q19,"–",V19,")"))</f>
        <v>Maria (1814–1900)</v>
      </c>
      <c r="AU19" s="352" t="str">
        <f t="shared" si="0"/>
        <v>Female</v>
      </c>
      <c r="AV19" s="355" t="s">
        <v>4369</v>
      </c>
      <c r="AW19" s="319" t="str">
        <f>VLOOKUP(AV19,'Mums of Loyd Edit&amp;Partner Edit'!$B$3:$C$66,2,FALSE)</f>
        <v>Martha KIRKMAN (b. 17 Nov 1775, d. 4 Feb 1857)</v>
      </c>
      <c r="AX19" s="360">
        <v>4</v>
      </c>
      <c r="AY19" s="355" t="str">
        <f t="shared" si="8"/>
        <v>William (1770–1828: #4)</v>
      </c>
      <c r="AZ19" s="361">
        <f>VLOOKUP(AX19,Lineage!$A$1:$C$200,2,FALSE)</f>
        <v>1</v>
      </c>
      <c r="BA19" s="362" t="str">
        <f t="shared" si="31"/>
        <v>William (1729–1800: #1)</v>
      </c>
      <c r="BB19" s="368">
        <f>BiographyMarriageDetsCountries!A18</f>
        <v>16</v>
      </c>
      <c r="BC19" s="319"/>
      <c r="BD19" s="362"/>
      <c r="BF19" s="324"/>
      <c r="BG19" s="357">
        <f t="shared" si="21"/>
        <v>16</v>
      </c>
      <c r="BH19" s="289" t="str">
        <f t="shared" si="22"/>
        <v>Maria LOYD</v>
      </c>
      <c r="BI19" s="289" t="str">
        <f t="shared" si="23"/>
        <v>Maria (1814–1900)</v>
      </c>
      <c r="BJ19" s="304" t="str">
        <f t="shared" si="24"/>
        <v>Female</v>
      </c>
      <c r="BK19" s="304">
        <f t="shared" si="25"/>
        <v>2</v>
      </c>
      <c r="BL19" s="289" t="str">
        <f t="shared" si="26"/>
        <v>William (1770–1828: #4)</v>
      </c>
      <c r="BM19" s="289" t="str">
        <f t="shared" si="27"/>
        <v>Martha KIRKMAN (b. 17 Nov 1775, d. 4 Feb 1857)</v>
      </c>
      <c r="BN19" s="367" t="str">
        <f t="shared" si="28"/>
        <v>17-Feb-1814</v>
      </c>
      <c r="BO19" s="367" t="str">
        <f t="shared" si="29"/>
        <v>16-Sep-1900</v>
      </c>
      <c r="BP19" s="365" t="str">
        <f t="shared" si="30"/>
        <v>Died 16-Sep-1900, aged 86.</v>
      </c>
    </row>
    <row r="20" spans="1:68" s="289" customFormat="1" ht="40">
      <c r="A20" s="302">
        <v>17</v>
      </c>
      <c r="B20" s="364">
        <v>2</v>
      </c>
      <c r="C20" s="288" t="s">
        <v>782</v>
      </c>
      <c r="D20" s="289" t="s">
        <v>811</v>
      </c>
      <c r="E20" s="289" t="s">
        <v>819</v>
      </c>
      <c r="H20" s="304" t="s">
        <v>3245</v>
      </c>
      <c r="I20" s="306" t="s">
        <v>1874</v>
      </c>
      <c r="J20" s="306" t="s">
        <v>1874</v>
      </c>
      <c r="K20" s="308" t="s">
        <v>4499</v>
      </c>
      <c r="L20" s="308" t="s">
        <v>4499</v>
      </c>
      <c r="M20" s="323" t="s">
        <v>1018</v>
      </c>
      <c r="N20" s="323"/>
      <c r="O20" s="348">
        <f t="shared" si="9"/>
        <v>2</v>
      </c>
      <c r="P20" s="345">
        <f t="shared" si="1"/>
        <v>7</v>
      </c>
      <c r="Q20" s="345">
        <f t="shared" si="2"/>
        <v>1815</v>
      </c>
      <c r="R20" s="344" t="str">
        <f t="shared" si="10"/>
        <v>Jul</v>
      </c>
      <c r="S20" s="344">
        <f t="shared" si="3"/>
        <v>10</v>
      </c>
      <c r="T20" s="344">
        <f t="shared" si="4"/>
        <v>23</v>
      </c>
      <c r="U20" s="344">
        <f t="shared" si="5"/>
        <v>7</v>
      </c>
      <c r="V20" s="344">
        <f t="shared" si="6"/>
        <v>1815</v>
      </c>
      <c r="W20" s="344" t="str">
        <f t="shared" si="11"/>
        <v>Jul</v>
      </c>
      <c r="X20" s="344"/>
      <c r="Y20" s="344"/>
      <c r="Z20" s="314" t="str">
        <f t="shared" si="32"/>
        <v>02-Jul-1815</v>
      </c>
      <c r="AA20" s="314" t="str">
        <f t="shared" si="13"/>
        <v>23-Jul-1815</v>
      </c>
      <c r="AB20" s="314">
        <f t="shared" si="14"/>
        <v>0</v>
      </c>
      <c r="AC20" s="314">
        <f t="shared" si="15"/>
        <v>206</v>
      </c>
      <c r="AD20" s="347" t="str">
        <f t="shared" si="16"/>
        <v>Died in Infancy 23-Jul-1815.</v>
      </c>
      <c r="AE20" s="305"/>
      <c r="AF20" s="303"/>
      <c r="AG20" s="303"/>
      <c r="AH20" s="303"/>
      <c r="AI20" s="289" t="s">
        <v>2793</v>
      </c>
      <c r="AJ20" s="289" t="s">
        <v>2793</v>
      </c>
      <c r="AK20" s="344" t="str">
        <f t="shared" si="17"/>
        <v xml:space="preserve"> -</v>
      </c>
      <c r="AL20" s="344" t="str">
        <f t="shared" si="35"/>
        <v xml:space="preserve"> -</v>
      </c>
      <c r="AM20" s="344" t="str">
        <f t="shared" si="36"/>
        <v xml:space="preserve"> -</v>
      </c>
      <c r="AN20" s="344" t="str">
        <f t="shared" si="20"/>
        <v xml:space="preserve"> -</v>
      </c>
      <c r="AO20" s="344" t="str">
        <f t="shared" si="7"/>
        <v xml:space="preserve"> -</v>
      </c>
      <c r="AR20" s="350">
        <f>A20</f>
        <v>17</v>
      </c>
      <c r="AS20" s="353" t="str">
        <f>IF(V20="",_xlfn.CONCAT(IF(G20="",D20,G20)," (",Q20,"–",V20," : #",AR20,")"),_xlfn.CONCAT(IF(G20="",D20,G20)," (",Q20,"–",V20,": #",AR20,")"))</f>
        <v>Edward (1815–1815: #17)</v>
      </c>
      <c r="AT20" s="353" t="str">
        <f>IF(V20="",_xlfn.CONCAT(IF(G20="",D20,G20)," (",Q20,"– ",V20,")"),_xlfn.CONCAT(IF(G20="",D20,G20)," (",Q20,"–",V20,")"))</f>
        <v>Edward (1815–1815)</v>
      </c>
      <c r="AU20" s="352" t="str">
        <f t="shared" si="0"/>
        <v>Male</v>
      </c>
      <c r="AV20" s="355" t="s">
        <v>4369</v>
      </c>
      <c r="AW20" s="319" t="str">
        <f>VLOOKUP(AV20,'Mums of Loyd Edit&amp;Partner Edit'!$B$3:$C$66,2,FALSE)</f>
        <v>Martha KIRKMAN (b. 17 Nov 1775, d. 4 Feb 1857)</v>
      </c>
      <c r="AX20" s="360">
        <v>4</v>
      </c>
      <c r="AY20" s="355" t="str">
        <f t="shared" si="8"/>
        <v>William (1770–1828: #4)</v>
      </c>
      <c r="AZ20" s="361">
        <f>VLOOKUP(AX20,Lineage!$A$1:$C$200,2,FALSE)</f>
        <v>1</v>
      </c>
      <c r="BA20" s="362" t="str">
        <f t="shared" si="31"/>
        <v>William (1729–1800: #1)</v>
      </c>
      <c r="BB20" s="368">
        <f>BiographyMarriageDetsCountries!A19</f>
        <v>17</v>
      </c>
      <c r="BC20" s="319"/>
      <c r="BD20" s="362"/>
      <c r="BF20" s="324"/>
      <c r="BG20" s="357">
        <f t="shared" si="21"/>
        <v>17</v>
      </c>
      <c r="BH20" s="289" t="str">
        <f t="shared" si="22"/>
        <v>Edward Kirkman LOYD</v>
      </c>
      <c r="BI20" s="289" t="str">
        <f t="shared" si="23"/>
        <v>Edward (1815–1815)</v>
      </c>
      <c r="BJ20" s="304" t="str">
        <f t="shared" si="24"/>
        <v>Male</v>
      </c>
      <c r="BK20" s="304">
        <f t="shared" si="25"/>
        <v>2</v>
      </c>
      <c r="BL20" s="289" t="str">
        <f t="shared" si="26"/>
        <v>William (1770–1828: #4)</v>
      </c>
      <c r="BM20" s="289" t="str">
        <f t="shared" si="27"/>
        <v>Martha KIRKMAN (b. 17 Nov 1775, d. 4 Feb 1857)</v>
      </c>
      <c r="BN20" s="367" t="str">
        <f t="shared" si="28"/>
        <v>02-Jul-1815</v>
      </c>
      <c r="BO20" s="367" t="str">
        <f t="shared" si="29"/>
        <v>23-Jul-1815</v>
      </c>
      <c r="BP20" s="365" t="str">
        <f t="shared" si="30"/>
        <v>Died in Infancy 23-Jul-1815.</v>
      </c>
    </row>
    <row r="21" spans="1:68" s="289" customFormat="1" ht="40">
      <c r="A21" s="302">
        <v>18</v>
      </c>
      <c r="B21" s="364">
        <v>2</v>
      </c>
      <c r="C21" s="288" t="s">
        <v>782</v>
      </c>
      <c r="D21" s="289" t="s">
        <v>867</v>
      </c>
      <c r="G21" s="289" t="s">
        <v>985</v>
      </c>
      <c r="H21" s="304" t="s">
        <v>3244</v>
      </c>
      <c r="I21" s="306" t="s">
        <v>1874</v>
      </c>
      <c r="J21" s="306">
        <v>1905</v>
      </c>
      <c r="K21" s="308" t="s">
        <v>4500</v>
      </c>
      <c r="L21" s="308" t="s">
        <v>4500</v>
      </c>
      <c r="M21" s="323" t="s">
        <v>3161</v>
      </c>
      <c r="N21" s="323"/>
      <c r="O21" s="348">
        <f t="shared" si="9"/>
        <v>26</v>
      </c>
      <c r="P21" s="345">
        <f t="shared" si="1"/>
        <v>8</v>
      </c>
      <c r="Q21" s="345">
        <f t="shared" si="2"/>
        <v>1815</v>
      </c>
      <c r="R21" s="344" t="str">
        <f t="shared" si="10"/>
        <v>Aug</v>
      </c>
      <c r="S21" s="344">
        <f t="shared" si="3"/>
        <v>10</v>
      </c>
      <c r="T21" s="344">
        <f t="shared" si="4"/>
        <v>14</v>
      </c>
      <c r="U21" s="344">
        <f t="shared" si="5"/>
        <v>12</v>
      </c>
      <c r="V21" s="344">
        <f t="shared" si="6"/>
        <v>1905</v>
      </c>
      <c r="W21" s="344" t="str">
        <f t="shared" si="11"/>
        <v>Dec</v>
      </c>
      <c r="X21" s="344"/>
      <c r="Y21" s="344"/>
      <c r="Z21" s="314" t="str">
        <f t="shared" si="32"/>
        <v>26-Aug-1815</v>
      </c>
      <c r="AA21" s="314" t="str">
        <f t="shared" si="13"/>
        <v>14-Dec-1905</v>
      </c>
      <c r="AB21" s="314">
        <f t="shared" si="14"/>
        <v>90</v>
      </c>
      <c r="AC21" s="314">
        <f t="shared" si="15"/>
        <v>206</v>
      </c>
      <c r="AD21" s="347" t="str">
        <f t="shared" si="16"/>
        <v>Died 14-Dec-1905, aged 90.</v>
      </c>
      <c r="AE21" s="305"/>
      <c r="AF21" s="303"/>
      <c r="AG21" s="303"/>
      <c r="AH21" s="303"/>
      <c r="AI21" s="289" t="s">
        <v>1021</v>
      </c>
      <c r="AJ21" s="289" t="s">
        <v>1021</v>
      </c>
      <c r="AK21" s="344" t="str">
        <f t="shared" si="17"/>
        <v>14</v>
      </c>
      <c r="AL21" s="344">
        <f t="shared" si="35"/>
        <v>3</v>
      </c>
      <c r="AM21" s="344">
        <f t="shared" si="36"/>
        <v>1844</v>
      </c>
      <c r="AN21" s="344" t="str">
        <f t="shared" si="20"/>
        <v>Mar</v>
      </c>
      <c r="AO21" s="344" t="str">
        <f t="shared" si="7"/>
        <v>14-Mar-1844</v>
      </c>
      <c r="AR21" s="350">
        <f>A21</f>
        <v>18</v>
      </c>
      <c r="AS21" s="353" t="str">
        <f>IF(V21="",_xlfn.CONCAT(IF(G21="",D21,G21)," (",Q21,"–",V21," : #",AR21,")"),_xlfn.CONCAT(IF(G21="",D21,G21)," (",Q21,"–",V21,": #",AR21,")"))</f>
        <v>Kate (1815–1905: #18)</v>
      </c>
      <c r="AT21" s="353" t="str">
        <f>IF(V21="",_xlfn.CONCAT(IF(G21="",D21,G21)," (",Q21,"– ",V21,")"),_xlfn.CONCAT(IF(G21="",D21,G21)," (",Q21,"–",V21,")"))</f>
        <v>Kate (1815–1905)</v>
      </c>
      <c r="AU21" s="352" t="str">
        <f t="shared" si="0"/>
        <v>Female</v>
      </c>
      <c r="AV21" s="355" t="s">
        <v>4370</v>
      </c>
      <c r="AW21" s="319" t="str">
        <f>VLOOKUP(AV21,'Mums of Loyd Edit&amp;Partner Edit'!$B$3:$C$66,2,FALSE)</f>
        <v>Sarah TAYLOR (b.5 Jul 1785, d. 19 Jan 1863)</v>
      </c>
      <c r="AX21" s="360">
        <v>8</v>
      </c>
      <c r="AY21" s="355" t="str">
        <f t="shared" si="8"/>
        <v>Edward (1780–1863: #8)</v>
      </c>
      <c r="AZ21" s="361">
        <f>VLOOKUP(AX21,Lineage!$A$1:$C$200,2,FALSE)</f>
        <v>1</v>
      </c>
      <c r="BA21" s="362" t="str">
        <f t="shared" si="31"/>
        <v>William (1729–1800: #1)</v>
      </c>
      <c r="BB21" s="368">
        <f>BiographyMarriageDetsCountries!A20</f>
        <v>18</v>
      </c>
      <c r="BC21" s="319"/>
      <c r="BD21" s="362"/>
      <c r="BF21" s="324"/>
      <c r="BG21" s="357">
        <f t="shared" si="21"/>
        <v>18</v>
      </c>
      <c r="BH21" s="289" t="str">
        <f t="shared" si="22"/>
        <v>Catherine LOYD</v>
      </c>
      <c r="BI21" s="289" t="str">
        <f t="shared" si="23"/>
        <v>Kate (1815–1905)</v>
      </c>
      <c r="BJ21" s="304" t="str">
        <f t="shared" si="24"/>
        <v>Female</v>
      </c>
      <c r="BK21" s="304">
        <f t="shared" si="25"/>
        <v>2</v>
      </c>
      <c r="BL21" s="289" t="str">
        <f t="shared" si="26"/>
        <v>Edward (1780–1863: #8)</v>
      </c>
      <c r="BM21" s="289" t="str">
        <f t="shared" si="27"/>
        <v>Sarah TAYLOR (b.5 Jul 1785, d. 19 Jan 1863)</v>
      </c>
      <c r="BN21" s="367" t="str">
        <f t="shared" si="28"/>
        <v>26-Aug-1815</v>
      </c>
      <c r="BO21" s="367" t="str">
        <f t="shared" si="29"/>
        <v>14-Dec-1905</v>
      </c>
      <c r="BP21" s="365" t="str">
        <f t="shared" si="30"/>
        <v>Died 14-Dec-1905, aged 90.</v>
      </c>
    </row>
    <row r="22" spans="1:68" s="289" customFormat="1" ht="40">
      <c r="A22" s="302">
        <v>19</v>
      </c>
      <c r="B22" s="364">
        <v>2</v>
      </c>
      <c r="C22" s="288" t="s">
        <v>782</v>
      </c>
      <c r="D22" s="289" t="s">
        <v>1022</v>
      </c>
      <c r="H22" s="304" t="s">
        <v>3244</v>
      </c>
      <c r="I22" s="306" t="s">
        <v>1877</v>
      </c>
      <c r="J22" s="306">
        <v>1907</v>
      </c>
      <c r="K22" s="308" t="s">
        <v>4501</v>
      </c>
      <c r="L22" s="308" t="s">
        <v>4501</v>
      </c>
      <c r="M22" s="323" t="s">
        <v>3162</v>
      </c>
      <c r="N22" s="323"/>
      <c r="O22" s="348">
        <f t="shared" si="9"/>
        <v>9</v>
      </c>
      <c r="P22" s="345">
        <f t="shared" si="1"/>
        <v>2</v>
      </c>
      <c r="Q22" s="345">
        <f t="shared" si="2"/>
        <v>1817</v>
      </c>
      <c r="R22" s="344" t="str">
        <f t="shared" si="10"/>
        <v>Feb</v>
      </c>
      <c r="S22" s="344">
        <f t="shared" si="3"/>
        <v>10</v>
      </c>
      <c r="T22" s="344">
        <f t="shared" si="4"/>
        <v>25</v>
      </c>
      <c r="U22" s="344">
        <f t="shared" si="5"/>
        <v>11</v>
      </c>
      <c r="V22" s="344">
        <f t="shared" si="6"/>
        <v>1907</v>
      </c>
      <c r="W22" s="344" t="str">
        <f t="shared" si="11"/>
        <v>Nov</v>
      </c>
      <c r="X22" s="344"/>
      <c r="Y22" s="344"/>
      <c r="Z22" s="314" t="str">
        <f t="shared" si="32"/>
        <v>09-Feb-1817</v>
      </c>
      <c r="AA22" s="314" t="str">
        <f t="shared" si="13"/>
        <v>25-Nov-1907</v>
      </c>
      <c r="AB22" s="314">
        <f t="shared" si="14"/>
        <v>90</v>
      </c>
      <c r="AC22" s="314">
        <f t="shared" si="15"/>
        <v>204</v>
      </c>
      <c r="AD22" s="347" t="str">
        <f t="shared" si="16"/>
        <v>Died 25-Nov-1907, aged 90.</v>
      </c>
      <c r="AE22" s="305"/>
      <c r="AF22" s="303"/>
      <c r="AG22" s="303"/>
      <c r="AH22" s="303"/>
      <c r="AI22" s="289" t="s">
        <v>1024</v>
      </c>
      <c r="AJ22" s="289" t="s">
        <v>1024</v>
      </c>
      <c r="AK22" s="344" t="str">
        <f t="shared" si="17"/>
        <v>27</v>
      </c>
      <c r="AL22" s="344">
        <f t="shared" si="35"/>
        <v>4</v>
      </c>
      <c r="AM22" s="344">
        <f t="shared" si="36"/>
        <v>1837</v>
      </c>
      <c r="AN22" s="344" t="str">
        <f t="shared" si="20"/>
        <v>Apr</v>
      </c>
      <c r="AO22" s="344" t="str">
        <f t="shared" si="7"/>
        <v>27-Apr-1837</v>
      </c>
      <c r="AR22" s="350">
        <f>A22</f>
        <v>19</v>
      </c>
      <c r="AS22" s="353" t="str">
        <f>IF(V22="",_xlfn.CONCAT(IF(G22="",D22,G22)," (",Q22,"–",V22," : #",AR22,")"),_xlfn.CONCAT(IF(G22="",D22,G22)," (",Q22,"–",V22,": #",AR22,")"))</f>
        <v>Hannah (1817–1907: #19)</v>
      </c>
      <c r="AT22" s="353" t="str">
        <f>IF(V22="",_xlfn.CONCAT(IF(G22="",D22,G22)," (",Q22,"– ",V22,")"),_xlfn.CONCAT(IF(G22="",D22,G22)," (",Q22,"–",V22,")"))</f>
        <v>Hannah (1817–1907)</v>
      </c>
      <c r="AU22" s="352" t="str">
        <f t="shared" si="0"/>
        <v>Female</v>
      </c>
      <c r="AV22" s="355" t="s">
        <v>4370</v>
      </c>
      <c r="AW22" s="319" t="str">
        <f>VLOOKUP(AV22,'Mums of Loyd Edit&amp;Partner Edit'!$B$3:$C$66,2,FALSE)</f>
        <v>Sarah TAYLOR (b.5 Jul 1785, d. 19 Jan 1863)</v>
      </c>
      <c r="AX22" s="360">
        <v>8</v>
      </c>
      <c r="AY22" s="355" t="str">
        <f t="shared" si="8"/>
        <v>Edward (1780–1863: #8)</v>
      </c>
      <c r="AZ22" s="361">
        <f>VLOOKUP(AX22,Lineage!$A$1:$C$200,2,FALSE)</f>
        <v>1</v>
      </c>
      <c r="BA22" s="362" t="str">
        <f t="shared" si="31"/>
        <v>William (1729–1800: #1)</v>
      </c>
      <c r="BB22" s="368">
        <f>BiographyMarriageDetsCountries!A21</f>
        <v>19</v>
      </c>
      <c r="BC22" s="319"/>
      <c r="BD22" s="362"/>
      <c r="BF22" s="324"/>
      <c r="BG22" s="357">
        <f t="shared" si="21"/>
        <v>19</v>
      </c>
      <c r="BH22" s="289" t="str">
        <f t="shared" si="22"/>
        <v>Hannah LOYD</v>
      </c>
      <c r="BI22" s="289" t="str">
        <f t="shared" si="23"/>
        <v>Hannah (1817–1907)</v>
      </c>
      <c r="BJ22" s="304" t="str">
        <f t="shared" si="24"/>
        <v>Female</v>
      </c>
      <c r="BK22" s="304">
        <f t="shared" si="25"/>
        <v>2</v>
      </c>
      <c r="BL22" s="289" t="str">
        <f t="shared" si="26"/>
        <v>Edward (1780–1863: #8)</v>
      </c>
      <c r="BM22" s="289" t="str">
        <f t="shared" si="27"/>
        <v>Sarah TAYLOR (b.5 Jul 1785, d. 19 Jan 1863)</v>
      </c>
      <c r="BN22" s="367" t="str">
        <f t="shared" si="28"/>
        <v>09-Feb-1817</v>
      </c>
      <c r="BO22" s="367" t="str">
        <f t="shared" si="29"/>
        <v>25-Nov-1907</v>
      </c>
      <c r="BP22" s="365" t="str">
        <f t="shared" si="30"/>
        <v>Died 25-Nov-1907, aged 90.</v>
      </c>
    </row>
    <row r="23" spans="1:68" s="289" customFormat="1" ht="40">
      <c r="A23" s="302">
        <v>20</v>
      </c>
      <c r="B23" s="364">
        <v>2</v>
      </c>
      <c r="C23" s="288" t="s">
        <v>782</v>
      </c>
      <c r="D23" s="289" t="s">
        <v>842</v>
      </c>
      <c r="E23" s="289" t="s">
        <v>819</v>
      </c>
      <c r="H23" s="304" t="s">
        <v>3245</v>
      </c>
      <c r="I23" s="306" t="s">
        <v>1877</v>
      </c>
      <c r="J23" s="306" t="s">
        <v>4463</v>
      </c>
      <c r="K23" s="308" t="s">
        <v>4502</v>
      </c>
      <c r="L23" s="308" t="s">
        <v>4502</v>
      </c>
      <c r="M23" s="323" t="s">
        <v>1026</v>
      </c>
      <c r="N23" s="323"/>
      <c r="O23" s="348">
        <f t="shared" si="9"/>
        <v>3</v>
      </c>
      <c r="P23" s="345">
        <f t="shared" si="1"/>
        <v>10</v>
      </c>
      <c r="Q23" s="345">
        <f t="shared" si="2"/>
        <v>1817</v>
      </c>
      <c r="R23" s="344" t="str">
        <f t="shared" si="10"/>
        <v>Oct</v>
      </c>
      <c r="S23" s="344">
        <f t="shared" si="3"/>
        <v>10</v>
      </c>
      <c r="T23" s="344">
        <f t="shared" si="4"/>
        <v>13</v>
      </c>
      <c r="U23" s="344">
        <f t="shared" si="5"/>
        <v>4</v>
      </c>
      <c r="V23" s="344">
        <f t="shared" si="6"/>
        <v>1818</v>
      </c>
      <c r="W23" s="344" t="str">
        <f t="shared" si="11"/>
        <v>Apr</v>
      </c>
      <c r="X23" s="344"/>
      <c r="Y23" s="344"/>
      <c r="Z23" s="314" t="str">
        <f t="shared" si="32"/>
        <v>03-Oct-1817</v>
      </c>
      <c r="AA23" s="314" t="str">
        <f t="shared" si="13"/>
        <v>13-Apr-1818</v>
      </c>
      <c r="AB23" s="314">
        <f t="shared" si="14"/>
        <v>0</v>
      </c>
      <c r="AC23" s="314">
        <f t="shared" si="15"/>
        <v>204</v>
      </c>
      <c r="AD23" s="347" t="str">
        <f t="shared" si="16"/>
        <v>Died in Infancy 13-Apr-1818.</v>
      </c>
      <c r="AE23" s="305"/>
      <c r="AF23" s="303"/>
      <c r="AG23" s="303"/>
      <c r="AH23" s="303"/>
      <c r="AI23" s="289" t="s">
        <v>2793</v>
      </c>
      <c r="AJ23" s="289" t="s">
        <v>2793</v>
      </c>
      <c r="AK23" s="344" t="str">
        <f t="shared" si="17"/>
        <v xml:space="preserve"> -</v>
      </c>
      <c r="AL23" s="344" t="str">
        <f t="shared" si="35"/>
        <v xml:space="preserve"> -</v>
      </c>
      <c r="AM23" s="344" t="str">
        <f t="shared" si="36"/>
        <v xml:space="preserve"> -</v>
      </c>
      <c r="AN23" s="344" t="str">
        <f t="shared" si="20"/>
        <v xml:space="preserve"> -</v>
      </c>
      <c r="AO23" s="344" t="str">
        <f t="shared" si="7"/>
        <v xml:space="preserve"> -</v>
      </c>
      <c r="AR23" s="350">
        <f>A23</f>
        <v>20</v>
      </c>
      <c r="AS23" s="353" t="str">
        <f>IF(V23="",_xlfn.CONCAT(IF(G23="",D23,G23)," (",Q23,"–",V23," : #",AR23,")"),_xlfn.CONCAT(IF(G23="",D23,G23)," (",Q23,"–",V23,": #",AR23,")"))</f>
        <v>John (1817–1818: #20)</v>
      </c>
      <c r="AT23" s="353" t="str">
        <f>IF(V23="",_xlfn.CONCAT(IF(G23="",D23,G23)," (",Q23,"– ",V23,")"),_xlfn.CONCAT(IF(G23="",D23,G23)," (",Q23,"–",V23,")"))</f>
        <v>John (1817–1818)</v>
      </c>
      <c r="AU23" s="352" t="str">
        <f t="shared" si="0"/>
        <v>Male</v>
      </c>
      <c r="AV23" s="355" t="s">
        <v>4369</v>
      </c>
      <c r="AW23" s="319" t="str">
        <f>VLOOKUP(AV23,'Mums of Loyd Edit&amp;Partner Edit'!$B$3:$C$66,2,FALSE)</f>
        <v>Martha KIRKMAN (b. 17 Nov 1775, d. 4 Feb 1857)</v>
      </c>
      <c r="AX23" s="360">
        <v>4</v>
      </c>
      <c r="AY23" s="355" t="str">
        <f t="shared" si="8"/>
        <v>William (1770–1828: #4)</v>
      </c>
      <c r="AZ23" s="361">
        <f>VLOOKUP(AX23,Lineage!$A$1:$C$200,2,FALSE)</f>
        <v>1</v>
      </c>
      <c r="BA23" s="362" t="str">
        <f t="shared" si="31"/>
        <v>William (1729–1800: #1)</v>
      </c>
      <c r="BB23" s="368">
        <f>BiographyMarriageDetsCountries!A22</f>
        <v>20</v>
      </c>
      <c r="BC23" s="319"/>
      <c r="BD23" s="362"/>
      <c r="BF23" s="324"/>
      <c r="BG23" s="357">
        <f t="shared" si="21"/>
        <v>20</v>
      </c>
      <c r="BH23" s="289" t="str">
        <f t="shared" si="22"/>
        <v>John Kirkman LOYD</v>
      </c>
      <c r="BI23" s="289" t="str">
        <f t="shared" si="23"/>
        <v>John (1817–1818)</v>
      </c>
      <c r="BJ23" s="304" t="str">
        <f t="shared" si="24"/>
        <v>Male</v>
      </c>
      <c r="BK23" s="304">
        <f t="shared" si="25"/>
        <v>2</v>
      </c>
      <c r="BL23" s="289" t="str">
        <f t="shared" si="26"/>
        <v>William (1770–1828: #4)</v>
      </c>
      <c r="BM23" s="289" t="str">
        <f t="shared" si="27"/>
        <v>Martha KIRKMAN (b. 17 Nov 1775, d. 4 Feb 1857)</v>
      </c>
      <c r="BN23" s="367" t="str">
        <f t="shared" si="28"/>
        <v>03-Oct-1817</v>
      </c>
      <c r="BO23" s="367" t="str">
        <f t="shared" si="29"/>
        <v>13-Apr-1818</v>
      </c>
      <c r="BP23" s="365" t="str">
        <f t="shared" si="30"/>
        <v>Died in Infancy 13-Apr-1818.</v>
      </c>
    </row>
    <row r="24" spans="1:68" s="289" customFormat="1" ht="40">
      <c r="A24" s="302">
        <v>21</v>
      </c>
      <c r="B24" s="364">
        <v>2</v>
      </c>
      <c r="C24" s="288" t="s">
        <v>782</v>
      </c>
      <c r="D24" s="289" t="s">
        <v>914</v>
      </c>
      <c r="E24" s="289" t="s">
        <v>1027</v>
      </c>
      <c r="H24" s="304" t="s">
        <v>3245</v>
      </c>
      <c r="I24" s="306" t="s">
        <v>4464</v>
      </c>
      <c r="J24" s="306" t="s">
        <v>4465</v>
      </c>
      <c r="K24" s="308" t="s">
        <v>4503</v>
      </c>
      <c r="L24" s="308" t="s">
        <v>4503</v>
      </c>
      <c r="M24" s="323" t="s">
        <v>1029</v>
      </c>
      <c r="N24" s="323"/>
      <c r="O24" s="348">
        <f t="shared" si="9"/>
        <v>29</v>
      </c>
      <c r="P24" s="345">
        <f t="shared" si="1"/>
        <v>4</v>
      </c>
      <c r="Q24" s="345">
        <f t="shared" si="2"/>
        <v>1819</v>
      </c>
      <c r="R24" s="344" t="str">
        <f t="shared" si="10"/>
        <v>Apr</v>
      </c>
      <c r="S24" s="344">
        <f t="shared" si="3"/>
        <v>10</v>
      </c>
      <c r="T24" s="344">
        <f t="shared" si="4"/>
        <v>7</v>
      </c>
      <c r="U24" s="344">
        <f t="shared" si="5"/>
        <v>7</v>
      </c>
      <c r="V24" s="344">
        <f t="shared" si="6"/>
        <v>1841</v>
      </c>
      <c r="W24" s="344" t="str">
        <f t="shared" si="11"/>
        <v>Jul</v>
      </c>
      <c r="X24" s="344"/>
      <c r="Y24" s="344"/>
      <c r="Z24" s="314" t="str">
        <f t="shared" si="32"/>
        <v>29-Apr-1819</v>
      </c>
      <c r="AA24" s="314" t="str">
        <f t="shared" si="13"/>
        <v>07-Jul-1841</v>
      </c>
      <c r="AB24" s="314">
        <f t="shared" si="14"/>
        <v>22</v>
      </c>
      <c r="AC24" s="314">
        <f t="shared" si="15"/>
        <v>202</v>
      </c>
      <c r="AD24" s="347" t="str">
        <f t="shared" si="16"/>
        <v>Died 07-Jul-1841, aged 22.</v>
      </c>
      <c r="AE24" s="305"/>
      <c r="AF24" s="303"/>
      <c r="AG24" s="303"/>
      <c r="AH24" s="303"/>
      <c r="AI24" s="289" t="s">
        <v>2793</v>
      </c>
      <c r="AJ24" s="289" t="s">
        <v>2793</v>
      </c>
      <c r="AK24" s="344" t="str">
        <f t="shared" si="17"/>
        <v xml:space="preserve"> -</v>
      </c>
      <c r="AL24" s="344" t="str">
        <f t="shared" si="35"/>
        <v xml:space="preserve"> -</v>
      </c>
      <c r="AM24" s="344" t="str">
        <f t="shared" si="36"/>
        <v xml:space="preserve"> -</v>
      </c>
      <c r="AN24" s="344" t="str">
        <f t="shared" si="20"/>
        <v xml:space="preserve"> -</v>
      </c>
      <c r="AO24" s="344" t="str">
        <f t="shared" si="7"/>
        <v xml:space="preserve"> -</v>
      </c>
      <c r="AR24" s="350">
        <f>A24</f>
        <v>21</v>
      </c>
      <c r="AS24" s="353" t="str">
        <f>IF(V24="",_xlfn.CONCAT(IF(G24="",D24,G24)," (",Q24,"–",V24," : #",AR24,")"),_xlfn.CONCAT(IF(G24="",D24,G24)," (",Q24,"–",V24,": #",AR24,")"))</f>
        <v>Lewis (1819–1841: #21)</v>
      </c>
      <c r="AT24" s="353" t="str">
        <f>IF(V24="",_xlfn.CONCAT(IF(G24="",D24,G24)," (",Q24,"– ",V24,")"),_xlfn.CONCAT(IF(G24="",D24,G24)," (",Q24,"–",V24,")"))</f>
        <v>Lewis (1819–1841)</v>
      </c>
      <c r="AU24" s="352" t="str">
        <f t="shared" si="0"/>
        <v>Male</v>
      </c>
      <c r="AV24" s="355" t="s">
        <v>4369</v>
      </c>
      <c r="AW24" s="319" t="str">
        <f>VLOOKUP(AV24,'Mums of Loyd Edit&amp;Partner Edit'!$B$3:$C$66,2,FALSE)</f>
        <v>Martha KIRKMAN (b. 17 Nov 1775, d. 4 Feb 1857)</v>
      </c>
      <c r="AX24" s="360">
        <v>4</v>
      </c>
      <c r="AY24" s="355" t="str">
        <f t="shared" si="8"/>
        <v>William (1770–1828: #4)</v>
      </c>
      <c r="AZ24" s="361">
        <f>VLOOKUP(AX24,Lineage!$A$1:$C$200,2,FALSE)</f>
        <v>1</v>
      </c>
      <c r="BA24" s="362" t="str">
        <f t="shared" si="31"/>
        <v>William (1729–1800: #1)</v>
      </c>
      <c r="BB24" s="368">
        <f>BiographyMarriageDetsCountries!A23</f>
        <v>21</v>
      </c>
      <c r="BC24" s="319"/>
      <c r="BD24" s="362"/>
      <c r="BF24" s="324"/>
      <c r="BG24" s="357">
        <f t="shared" si="21"/>
        <v>21</v>
      </c>
      <c r="BH24" s="289" t="str">
        <f t="shared" si="22"/>
        <v>Lewis Kirkman  LOYD</v>
      </c>
      <c r="BI24" s="289" t="str">
        <f t="shared" si="23"/>
        <v>Lewis (1819–1841)</v>
      </c>
      <c r="BJ24" s="304" t="str">
        <f t="shared" si="24"/>
        <v>Male</v>
      </c>
      <c r="BK24" s="304">
        <f t="shared" si="25"/>
        <v>2</v>
      </c>
      <c r="BL24" s="289" t="str">
        <f t="shared" si="26"/>
        <v>William (1770–1828: #4)</v>
      </c>
      <c r="BM24" s="289" t="str">
        <f t="shared" si="27"/>
        <v>Martha KIRKMAN (b. 17 Nov 1775, d. 4 Feb 1857)</v>
      </c>
      <c r="BN24" s="367" t="str">
        <f t="shared" si="28"/>
        <v>29-Apr-1819</v>
      </c>
      <c r="BO24" s="367" t="str">
        <f t="shared" si="29"/>
        <v>07-Jul-1841</v>
      </c>
      <c r="BP24" s="365" t="str">
        <f t="shared" si="30"/>
        <v>Died 07-Jul-1841, aged 22.</v>
      </c>
    </row>
    <row r="25" spans="1:68" s="289" customFormat="1" ht="40">
      <c r="A25" s="302">
        <v>22</v>
      </c>
      <c r="B25" s="364">
        <v>2</v>
      </c>
      <c r="C25" s="288" t="s">
        <v>782</v>
      </c>
      <c r="D25" s="289" t="s">
        <v>811</v>
      </c>
      <c r="H25" s="304" t="s">
        <v>3245</v>
      </c>
      <c r="I25" s="306" t="s">
        <v>4466</v>
      </c>
      <c r="J25" s="306" t="s">
        <v>1936</v>
      </c>
      <c r="K25" s="308" t="s">
        <v>4504</v>
      </c>
      <c r="L25" s="308" t="s">
        <v>4504</v>
      </c>
      <c r="M25" s="323" t="s">
        <v>1032</v>
      </c>
      <c r="N25" s="323"/>
      <c r="O25" s="348">
        <f t="shared" si="9"/>
        <v>19</v>
      </c>
      <c r="P25" s="345">
        <f t="shared" si="1"/>
        <v>4</v>
      </c>
      <c r="Q25" s="345">
        <f t="shared" si="2"/>
        <v>1820</v>
      </c>
      <c r="R25" s="344" t="str">
        <f t="shared" si="10"/>
        <v>Apr</v>
      </c>
      <c r="S25" s="344">
        <f t="shared" si="3"/>
        <v>10</v>
      </c>
      <c r="T25" s="344">
        <f t="shared" si="4"/>
        <v>21</v>
      </c>
      <c r="U25" s="344">
        <f t="shared" si="5"/>
        <v>12</v>
      </c>
      <c r="V25" s="344">
        <f t="shared" si="6"/>
        <v>1890</v>
      </c>
      <c r="W25" s="344" t="str">
        <f t="shared" si="11"/>
        <v>Dec</v>
      </c>
      <c r="X25" s="344"/>
      <c r="Y25" s="344"/>
      <c r="Z25" s="314" t="str">
        <f t="shared" si="32"/>
        <v>19-Apr-1820</v>
      </c>
      <c r="AA25" s="314" t="str">
        <f t="shared" si="13"/>
        <v>21-Dec-1890</v>
      </c>
      <c r="AB25" s="314">
        <f t="shared" si="14"/>
        <v>70</v>
      </c>
      <c r="AC25" s="314">
        <f t="shared" si="15"/>
        <v>201</v>
      </c>
      <c r="AD25" s="347" t="str">
        <f t="shared" si="16"/>
        <v>Died 21-Dec-1890, aged 70.</v>
      </c>
      <c r="AE25" s="305"/>
      <c r="AF25" s="303"/>
      <c r="AG25" s="303"/>
      <c r="AH25" s="303"/>
      <c r="AI25" s="289" t="s">
        <v>1031</v>
      </c>
      <c r="AJ25" s="289" t="s">
        <v>1031</v>
      </c>
      <c r="AK25" s="344" t="str">
        <f t="shared" si="17"/>
        <v>12</v>
      </c>
      <c r="AL25" s="344">
        <f t="shared" si="35"/>
        <v>3</v>
      </c>
      <c r="AM25" s="344">
        <f t="shared" si="36"/>
        <v>1846</v>
      </c>
      <c r="AN25" s="344" t="str">
        <f t="shared" si="20"/>
        <v>Mar</v>
      </c>
      <c r="AO25" s="344" t="str">
        <f t="shared" si="7"/>
        <v>12-Mar-1846</v>
      </c>
      <c r="AR25" s="350">
        <f>A25</f>
        <v>22</v>
      </c>
      <c r="AS25" s="353" t="str">
        <f>IF(V25="",_xlfn.CONCAT(IF(G25="",D25,G25)," (",Q25,"–",V25," : #",AR25,")"),_xlfn.CONCAT(IF(G25="",D25,G25)," (",Q25,"–",V25,": #",AR25,")"))</f>
        <v>Edward (1820–1890: #22)</v>
      </c>
      <c r="AT25" s="353" t="str">
        <f>IF(V25="",_xlfn.CONCAT(IF(G25="",D25,G25)," (",Q25,"– ",V25,")"),_xlfn.CONCAT(IF(G25="",D25,G25)," (",Q25,"–",V25,")"))</f>
        <v>Edward (1820–1890)</v>
      </c>
      <c r="AU25" s="352" t="str">
        <f t="shared" si="0"/>
        <v>Male</v>
      </c>
      <c r="AV25" s="355" t="s">
        <v>4370</v>
      </c>
      <c r="AW25" s="319" t="str">
        <f>VLOOKUP(AV25,'Mums of Loyd Edit&amp;Partner Edit'!$B$3:$C$66,2,FALSE)</f>
        <v>Sarah TAYLOR (b.5 Jul 1785, d. 19 Jan 1863)</v>
      </c>
      <c r="AX25" s="360">
        <v>8</v>
      </c>
      <c r="AY25" s="355" t="str">
        <f t="shared" si="8"/>
        <v>Edward (1780–1863: #8)</v>
      </c>
      <c r="AZ25" s="361">
        <f>VLOOKUP(AX25,Lineage!$A$1:$C$200,2,FALSE)</f>
        <v>1</v>
      </c>
      <c r="BA25" s="362" t="str">
        <f t="shared" si="31"/>
        <v>William (1729–1800: #1)</v>
      </c>
      <c r="BB25" s="368">
        <f>BiographyMarriageDetsCountries!A24</f>
        <v>22</v>
      </c>
      <c r="BC25" s="319"/>
      <c r="BD25" s="362"/>
      <c r="BF25" s="324"/>
      <c r="BG25" s="357">
        <f t="shared" si="21"/>
        <v>22</v>
      </c>
      <c r="BH25" s="289" t="str">
        <f t="shared" si="22"/>
        <v>Edward LOYD</v>
      </c>
      <c r="BI25" s="289" t="str">
        <f t="shared" si="23"/>
        <v>Edward (1820–1890)</v>
      </c>
      <c r="BJ25" s="304" t="str">
        <f t="shared" si="24"/>
        <v>Male</v>
      </c>
      <c r="BK25" s="304">
        <f t="shared" si="25"/>
        <v>2</v>
      </c>
      <c r="BL25" s="289" t="str">
        <f t="shared" si="26"/>
        <v>Edward (1780–1863: #8)</v>
      </c>
      <c r="BM25" s="289" t="str">
        <f t="shared" si="27"/>
        <v>Sarah TAYLOR (b.5 Jul 1785, d. 19 Jan 1863)</v>
      </c>
      <c r="BN25" s="367" t="str">
        <f t="shared" si="28"/>
        <v>19-Apr-1820</v>
      </c>
      <c r="BO25" s="367" t="str">
        <f t="shared" si="29"/>
        <v>21-Dec-1890</v>
      </c>
      <c r="BP25" s="365" t="str">
        <f t="shared" si="30"/>
        <v>Died 21-Dec-1890, aged 70.</v>
      </c>
    </row>
    <row r="26" spans="1:68" s="289" customFormat="1" ht="40">
      <c r="A26" s="302">
        <v>23</v>
      </c>
      <c r="B26" s="364">
        <v>2</v>
      </c>
      <c r="C26" s="288" t="s">
        <v>782</v>
      </c>
      <c r="D26" s="289" t="s">
        <v>830</v>
      </c>
      <c r="E26" s="289" t="s">
        <v>992</v>
      </c>
      <c r="H26" s="304" t="s">
        <v>3245</v>
      </c>
      <c r="I26" s="306" t="s">
        <v>4467</v>
      </c>
      <c r="J26" s="306" t="s">
        <v>1920</v>
      </c>
      <c r="K26" s="308" t="s">
        <v>4505</v>
      </c>
      <c r="L26" s="308" t="s">
        <v>4505</v>
      </c>
      <c r="M26" s="323" t="s">
        <v>1035</v>
      </c>
      <c r="N26" s="323"/>
      <c r="O26" s="348">
        <f t="shared" si="9"/>
        <v>2</v>
      </c>
      <c r="P26" s="345">
        <f t="shared" si="1"/>
        <v>8</v>
      </c>
      <c r="Q26" s="345">
        <f t="shared" si="2"/>
        <v>1821</v>
      </c>
      <c r="R26" s="344" t="str">
        <f t="shared" si="10"/>
        <v>Aug</v>
      </c>
      <c r="S26" s="344">
        <f t="shared" si="3"/>
        <v>10</v>
      </c>
      <c r="T26" s="344">
        <f t="shared" si="4"/>
        <v>28</v>
      </c>
      <c r="U26" s="344">
        <f t="shared" si="5"/>
        <v>8</v>
      </c>
      <c r="V26" s="344">
        <f t="shared" si="6"/>
        <v>1885</v>
      </c>
      <c r="W26" s="344" t="str">
        <f t="shared" si="11"/>
        <v>Aug</v>
      </c>
      <c r="X26" s="344"/>
      <c r="Y26" s="344"/>
      <c r="Z26" s="314" t="str">
        <f t="shared" si="32"/>
        <v>02-Aug-1821</v>
      </c>
      <c r="AA26" s="314" t="str">
        <f t="shared" si="13"/>
        <v>28-Aug-1885</v>
      </c>
      <c r="AB26" s="314">
        <f t="shared" si="14"/>
        <v>64</v>
      </c>
      <c r="AC26" s="314">
        <f t="shared" si="15"/>
        <v>200</v>
      </c>
      <c r="AD26" s="347" t="str">
        <f t="shared" si="16"/>
        <v>Died 28-Aug-1885, aged 64.</v>
      </c>
      <c r="AE26" s="305"/>
      <c r="AF26" s="303"/>
      <c r="AG26" s="303"/>
      <c r="AH26" s="303"/>
      <c r="AI26" s="289" t="s">
        <v>1034</v>
      </c>
      <c r="AJ26" s="289" t="s">
        <v>1034</v>
      </c>
      <c r="AK26" s="344" t="str">
        <f t="shared" si="17"/>
        <v>21</v>
      </c>
      <c r="AL26" s="344">
        <f t="shared" si="35"/>
        <v>6</v>
      </c>
      <c r="AM26" s="344">
        <f t="shared" si="36"/>
        <v>1848</v>
      </c>
      <c r="AN26" s="344" t="str">
        <f t="shared" si="20"/>
        <v>Jun</v>
      </c>
      <c r="AO26" s="344" t="str">
        <f t="shared" si="7"/>
        <v>21-Jun-1848</v>
      </c>
      <c r="AR26" s="350">
        <f>A26</f>
        <v>23</v>
      </c>
      <c r="AS26" s="353" t="str">
        <f>IF(V26="",_xlfn.CONCAT(IF(G26="",D26,G26)," (",Q26,"–",V26," : #",AR26,")"),_xlfn.CONCAT(IF(G26="",D26,G26)," (",Q26,"–",V26,": #",AR26,")"))</f>
        <v>William (1821–1885: #23)</v>
      </c>
      <c r="AT26" s="353" t="str">
        <f>IF(V26="",_xlfn.CONCAT(IF(G26="",D26,G26)," (",Q26,"– ",V26,")"),_xlfn.CONCAT(IF(G26="",D26,G26)," (",Q26,"–",V26,")"))</f>
        <v>William (1821–1885)</v>
      </c>
      <c r="AU26" s="352" t="str">
        <f t="shared" si="0"/>
        <v>Male</v>
      </c>
      <c r="AV26" s="355" t="s">
        <v>4370</v>
      </c>
      <c r="AW26" s="319" t="str">
        <f>VLOOKUP(AV26,'Mums of Loyd Edit&amp;Partner Edit'!$B$3:$C$66,2,FALSE)</f>
        <v>Sarah TAYLOR (b.5 Jul 1785, d. 19 Jan 1863)</v>
      </c>
      <c r="AX26" s="360">
        <v>8</v>
      </c>
      <c r="AY26" s="355" t="str">
        <f t="shared" si="8"/>
        <v>Edward (1780–1863: #8)</v>
      </c>
      <c r="AZ26" s="361">
        <f>VLOOKUP(AX26,Lineage!$A$1:$C$200,2,FALSE)</f>
        <v>1</v>
      </c>
      <c r="BA26" s="362" t="str">
        <f t="shared" si="31"/>
        <v>William (1729–1800: #1)</v>
      </c>
      <c r="BB26" s="368">
        <f>BiographyMarriageDetsCountries!A25</f>
        <v>23</v>
      </c>
      <c r="BC26" s="319"/>
      <c r="BD26" s="362"/>
      <c r="BF26" s="324"/>
      <c r="BG26" s="357">
        <f t="shared" si="21"/>
        <v>23</v>
      </c>
      <c r="BH26" s="289" t="str">
        <f t="shared" si="22"/>
        <v>William Jones LOYD</v>
      </c>
      <c r="BI26" s="289" t="str">
        <f t="shared" si="23"/>
        <v>William (1821–1885)</v>
      </c>
      <c r="BJ26" s="304" t="str">
        <f t="shared" si="24"/>
        <v>Male</v>
      </c>
      <c r="BK26" s="304">
        <f t="shared" si="25"/>
        <v>2</v>
      </c>
      <c r="BL26" s="289" t="str">
        <f t="shared" si="26"/>
        <v>Edward (1780–1863: #8)</v>
      </c>
      <c r="BM26" s="289" t="str">
        <f t="shared" si="27"/>
        <v>Sarah TAYLOR (b.5 Jul 1785, d. 19 Jan 1863)</v>
      </c>
      <c r="BN26" s="367" t="str">
        <f t="shared" si="28"/>
        <v>02-Aug-1821</v>
      </c>
      <c r="BO26" s="367" t="str">
        <f t="shared" si="29"/>
        <v>28-Aug-1885</v>
      </c>
      <c r="BP26" s="365" t="str">
        <f t="shared" si="30"/>
        <v>Died 28-Aug-1885, aged 64.</v>
      </c>
    </row>
    <row r="27" spans="1:68" s="289" customFormat="1" ht="40">
      <c r="A27" s="302">
        <v>24</v>
      </c>
      <c r="B27" s="364">
        <v>2</v>
      </c>
      <c r="C27" s="288" t="s">
        <v>782</v>
      </c>
      <c r="D27" s="289" t="s">
        <v>1036</v>
      </c>
      <c r="G27" s="289" t="s">
        <v>2015</v>
      </c>
      <c r="H27" s="304" t="s">
        <v>3244</v>
      </c>
      <c r="I27" s="306" t="s">
        <v>1880</v>
      </c>
      <c r="J27" s="306" t="s">
        <v>1881</v>
      </c>
      <c r="K27" s="308" t="s">
        <v>4506</v>
      </c>
      <c r="L27" s="308" t="s">
        <v>4506</v>
      </c>
      <c r="M27" s="323" t="s">
        <v>1040</v>
      </c>
      <c r="N27" s="323"/>
      <c r="O27" s="348">
        <f t="shared" si="9"/>
        <v>24</v>
      </c>
      <c r="P27" s="345">
        <f t="shared" si="1"/>
        <v>11</v>
      </c>
      <c r="Q27" s="345">
        <f t="shared" si="2"/>
        <v>1824</v>
      </c>
      <c r="R27" s="344" t="str">
        <f t="shared" si="10"/>
        <v>Nov</v>
      </c>
      <c r="S27" s="344">
        <f t="shared" si="3"/>
        <v>10</v>
      </c>
      <c r="T27" s="344">
        <f t="shared" si="4"/>
        <v>20</v>
      </c>
      <c r="U27" s="344">
        <f t="shared" si="5"/>
        <v>9</v>
      </c>
      <c r="V27" s="344">
        <f t="shared" si="6"/>
        <v>1856</v>
      </c>
      <c r="W27" s="344" t="str">
        <f t="shared" si="11"/>
        <v>Sep</v>
      </c>
      <c r="X27" s="344"/>
      <c r="Y27" s="344"/>
      <c r="Z27" s="314" t="str">
        <f t="shared" si="32"/>
        <v>24-Nov-1824</v>
      </c>
      <c r="AA27" s="314" t="str">
        <f t="shared" si="13"/>
        <v>20-Sep-1856</v>
      </c>
      <c r="AB27" s="314">
        <f t="shared" si="14"/>
        <v>31</v>
      </c>
      <c r="AC27" s="314">
        <f t="shared" si="15"/>
        <v>197</v>
      </c>
      <c r="AD27" s="347" t="str">
        <f t="shared" si="16"/>
        <v>Died 20-Sep-1856, aged 31.</v>
      </c>
      <c r="AE27" s="305"/>
      <c r="AF27" s="303"/>
      <c r="AG27" s="303"/>
      <c r="AH27" s="303"/>
      <c r="AI27" s="289" t="s">
        <v>1039</v>
      </c>
      <c r="AJ27" s="289" t="s">
        <v>1039</v>
      </c>
      <c r="AK27" s="344" t="str">
        <f t="shared" si="17"/>
        <v>16</v>
      </c>
      <c r="AL27" s="344">
        <f t="shared" si="35"/>
        <v>9</v>
      </c>
      <c r="AM27" s="344">
        <f t="shared" si="36"/>
        <v>1847</v>
      </c>
      <c r="AN27" s="344" t="str">
        <f t="shared" si="20"/>
        <v>Sep</v>
      </c>
      <c r="AO27" s="344" t="str">
        <f t="shared" si="7"/>
        <v>16-Sep-1847</v>
      </c>
      <c r="AR27" s="350">
        <f>A27</f>
        <v>24</v>
      </c>
      <c r="AS27" s="353" t="str">
        <f>IF(V27="",_xlfn.CONCAT(IF(G27="",D27,G27)," (",Q27,"–",V27," : #",AR27,")"),_xlfn.CONCAT(IF(G27="",D27,G27)," (",Q27,"–",V27,": #",AR27,")"))</f>
        <v>Fanny (1824–1856: #24)</v>
      </c>
      <c r="AT27" s="353" t="str">
        <f>IF(V27="",_xlfn.CONCAT(IF(G27="",D27,G27)," (",Q27,"– ",V27,")"),_xlfn.CONCAT(IF(G27="",D27,G27)," (",Q27,"–",V27,")"))</f>
        <v>Fanny (1824–1856)</v>
      </c>
      <c r="AU27" s="352" t="str">
        <f t="shared" si="0"/>
        <v>Female</v>
      </c>
      <c r="AV27" s="355" t="s">
        <v>4370</v>
      </c>
      <c r="AW27" s="319" t="str">
        <f>VLOOKUP(AV27,'Mums of Loyd Edit&amp;Partner Edit'!$B$3:$C$66,2,FALSE)</f>
        <v>Sarah TAYLOR (b.5 Jul 1785, d. 19 Jan 1863)</v>
      </c>
      <c r="AX27" s="360">
        <v>8</v>
      </c>
      <c r="AY27" s="355" t="str">
        <f t="shared" si="8"/>
        <v>Edward (1780–1863: #8)</v>
      </c>
      <c r="AZ27" s="361">
        <f>VLOOKUP(AX27,Lineage!$A$1:$C$200,2,FALSE)</f>
        <v>1</v>
      </c>
      <c r="BA27" s="362" t="str">
        <f t="shared" si="31"/>
        <v>William (1729–1800: #1)</v>
      </c>
      <c r="BB27" s="368">
        <f>BiographyMarriageDetsCountries!A26</f>
        <v>24</v>
      </c>
      <c r="BC27" s="319"/>
      <c r="BD27" s="362"/>
      <c r="BF27" s="324"/>
      <c r="BG27" s="357">
        <f t="shared" si="21"/>
        <v>24</v>
      </c>
      <c r="BH27" s="289" t="str">
        <f t="shared" si="22"/>
        <v>Frances LOYD</v>
      </c>
      <c r="BI27" s="289" t="str">
        <f t="shared" si="23"/>
        <v>Fanny (1824–1856)</v>
      </c>
      <c r="BJ27" s="304" t="str">
        <f t="shared" si="24"/>
        <v>Female</v>
      </c>
      <c r="BK27" s="304">
        <f t="shared" si="25"/>
        <v>2</v>
      </c>
      <c r="BL27" s="289" t="str">
        <f t="shared" si="26"/>
        <v>Edward (1780–1863: #8)</v>
      </c>
      <c r="BM27" s="289" t="str">
        <f t="shared" si="27"/>
        <v>Sarah TAYLOR (b.5 Jul 1785, d. 19 Jan 1863)</v>
      </c>
      <c r="BN27" s="367" t="str">
        <f t="shared" si="28"/>
        <v>24-Nov-1824</v>
      </c>
      <c r="BO27" s="367" t="str">
        <f t="shared" si="29"/>
        <v>20-Sep-1856</v>
      </c>
      <c r="BP27" s="365" t="str">
        <f t="shared" si="30"/>
        <v>Died 20-Sep-1856, aged 31.</v>
      </c>
    </row>
    <row r="28" spans="1:68" s="289" customFormat="1" ht="40">
      <c r="A28" s="302">
        <v>25</v>
      </c>
      <c r="B28" s="364">
        <v>3</v>
      </c>
      <c r="C28" s="288" t="s">
        <v>782</v>
      </c>
      <c r="D28" s="289" t="s">
        <v>807</v>
      </c>
      <c r="E28" s="289" t="s">
        <v>992</v>
      </c>
      <c r="H28" s="304" t="s">
        <v>3245</v>
      </c>
      <c r="I28" s="306" t="s">
        <v>1846</v>
      </c>
      <c r="J28" s="306" t="s">
        <v>4468</v>
      </c>
      <c r="K28" s="308" t="s">
        <v>4507</v>
      </c>
      <c r="L28" s="308" t="s">
        <v>4507</v>
      </c>
      <c r="M28" s="323" t="s">
        <v>1042</v>
      </c>
      <c r="N28" s="323"/>
      <c r="O28" s="348">
        <f t="shared" si="9"/>
        <v>20</v>
      </c>
      <c r="P28" s="345">
        <f t="shared" si="1"/>
        <v>12</v>
      </c>
      <c r="Q28" s="345">
        <f t="shared" si="2"/>
        <v>1832</v>
      </c>
      <c r="R28" s="344" t="str">
        <f t="shared" si="10"/>
        <v>Dec</v>
      </c>
      <c r="S28" s="344">
        <f t="shared" si="3"/>
        <v>10</v>
      </c>
      <c r="T28" s="344">
        <f t="shared" si="4"/>
        <v>31</v>
      </c>
      <c r="U28" s="344">
        <f t="shared" si="5"/>
        <v>3</v>
      </c>
      <c r="V28" s="344">
        <f t="shared" si="6"/>
        <v>1833</v>
      </c>
      <c r="W28" s="344" t="str">
        <f t="shared" si="11"/>
        <v>Mar</v>
      </c>
      <c r="X28" s="344"/>
      <c r="Y28" s="344"/>
      <c r="Z28" s="314" t="str">
        <f t="shared" si="32"/>
        <v>20-Dec-1832</v>
      </c>
      <c r="AA28" s="314" t="str">
        <f t="shared" si="13"/>
        <v>31-Mar-1833</v>
      </c>
      <c r="AB28" s="314">
        <f t="shared" si="14"/>
        <v>0</v>
      </c>
      <c r="AC28" s="314">
        <f t="shared" si="15"/>
        <v>189</v>
      </c>
      <c r="AD28" s="347" t="str">
        <f t="shared" si="16"/>
        <v>Died in Infancy 31-Mar-1833.</v>
      </c>
      <c r="AE28" s="305"/>
      <c r="AF28" s="303"/>
      <c r="AG28" s="303"/>
      <c r="AH28" s="303"/>
      <c r="AI28" s="289" t="s">
        <v>2793</v>
      </c>
      <c r="AJ28" s="289" t="s">
        <v>2793</v>
      </c>
      <c r="AK28" s="344" t="str">
        <f t="shared" si="17"/>
        <v xml:space="preserve"> -</v>
      </c>
      <c r="AL28" s="344" t="str">
        <f t="shared" si="35"/>
        <v xml:space="preserve"> -</v>
      </c>
      <c r="AM28" s="344" t="str">
        <f t="shared" si="36"/>
        <v xml:space="preserve"> -</v>
      </c>
      <c r="AN28" s="344" t="str">
        <f t="shared" si="20"/>
        <v xml:space="preserve"> -</v>
      </c>
      <c r="AO28" s="344" t="str">
        <f t="shared" si="7"/>
        <v xml:space="preserve"> -</v>
      </c>
      <c r="AR28" s="350">
        <f>A28</f>
        <v>25</v>
      </c>
      <c r="AS28" s="353" t="str">
        <f>IF(V28="",_xlfn.CONCAT(IF(G28="",D28,G28)," (",Q28,"–",V28," : #",AR28,")"),_xlfn.CONCAT(IF(G28="",D28,G28)," (",Q28,"–",V28,": #",AR28,")"))</f>
        <v>Henry (1832–1833: #25)</v>
      </c>
      <c r="AT28" s="353" t="str">
        <f>IF(V28="",_xlfn.CONCAT(IF(G28="",D28,G28)," (",Q28,"– ",V28,")"),_xlfn.CONCAT(IF(G28="",D28,G28)," (",Q28,"–",V28,")"))</f>
        <v>Henry (1832–1833)</v>
      </c>
      <c r="AU28" s="352" t="str">
        <f t="shared" si="0"/>
        <v>Male</v>
      </c>
      <c r="AV28" s="355" t="s">
        <v>4371</v>
      </c>
      <c r="AW28" s="319" t="str">
        <f>VLOOKUP(AV28,'Mums of Loyd Edit&amp;Partner Edit'!$B$3:$C$66,2,FALSE)</f>
        <v>Harriet  WRIGHT (b. 1798/99, d. 6 Nov 1864)</v>
      </c>
      <c r="AX28" s="360">
        <v>9</v>
      </c>
      <c r="AY28" s="355" t="str">
        <f t="shared" si="8"/>
        <v>Samuel (1796–1883: #9)</v>
      </c>
      <c r="AZ28" s="361">
        <f>VLOOKUP(AX28,Lineage!$A$1:$C$200,2,FALSE)</f>
        <v>3</v>
      </c>
      <c r="BA28" s="362" t="str">
        <f t="shared" si="31"/>
        <v>Lewis LOYD (1768–1858: #3)</v>
      </c>
      <c r="BB28" s="368">
        <f>BiographyMarriageDetsCountries!A27</f>
        <v>25</v>
      </c>
      <c r="BC28" s="319"/>
      <c r="BD28" s="362"/>
      <c r="BF28" s="324"/>
      <c r="BG28" s="357">
        <f t="shared" si="21"/>
        <v>25</v>
      </c>
      <c r="BH28" s="289" t="str">
        <f t="shared" si="22"/>
        <v>Henry Jones LOYD</v>
      </c>
      <c r="BI28" s="289" t="str">
        <f t="shared" si="23"/>
        <v>Henry (1832–1833)</v>
      </c>
      <c r="BJ28" s="304" t="str">
        <f t="shared" si="24"/>
        <v>Male</v>
      </c>
      <c r="BK28" s="304">
        <f t="shared" si="25"/>
        <v>3</v>
      </c>
      <c r="BL28" s="289" t="str">
        <f t="shared" si="26"/>
        <v>Samuel (1796–1883: #9)</v>
      </c>
      <c r="BM28" s="289" t="str">
        <f t="shared" si="27"/>
        <v>Harriet  WRIGHT (b. 1798/99, d. 6 Nov 1864)</v>
      </c>
      <c r="BN28" s="367" t="str">
        <f t="shared" si="28"/>
        <v>20-Dec-1832</v>
      </c>
      <c r="BO28" s="367" t="str">
        <f t="shared" si="29"/>
        <v>31-Mar-1833</v>
      </c>
      <c r="BP28" s="365" t="str">
        <f t="shared" si="30"/>
        <v>Died in Infancy 31-Mar-1833.</v>
      </c>
    </row>
    <row r="29" spans="1:68" s="289" customFormat="1" ht="40">
      <c r="A29" s="302">
        <v>26</v>
      </c>
      <c r="B29" s="364">
        <v>3</v>
      </c>
      <c r="C29" s="288" t="s">
        <v>782</v>
      </c>
      <c r="D29" s="289" t="s">
        <v>2956</v>
      </c>
      <c r="E29" s="289" t="s">
        <v>998</v>
      </c>
      <c r="F29" s="289" t="s">
        <v>992</v>
      </c>
      <c r="H29" s="304" t="s">
        <v>3244</v>
      </c>
      <c r="I29" s="306" t="s">
        <v>1884</v>
      </c>
      <c r="J29" s="306">
        <v>1920</v>
      </c>
      <c r="K29" s="308" t="s">
        <v>4508</v>
      </c>
      <c r="L29" s="308" t="s">
        <v>4508</v>
      </c>
      <c r="M29" s="323" t="s">
        <v>3163</v>
      </c>
      <c r="N29" s="323"/>
      <c r="O29" s="348">
        <f t="shared" si="9"/>
        <v>30</v>
      </c>
      <c r="P29" s="345">
        <f t="shared" si="1"/>
        <v>6</v>
      </c>
      <c r="Q29" s="345">
        <f t="shared" si="2"/>
        <v>1837</v>
      </c>
      <c r="R29" s="344" t="str">
        <f t="shared" si="10"/>
        <v>Jun</v>
      </c>
      <c r="S29" s="344">
        <f t="shared" si="3"/>
        <v>10</v>
      </c>
      <c r="T29" s="344">
        <f t="shared" si="4"/>
        <v>9</v>
      </c>
      <c r="U29" s="344">
        <f t="shared" si="5"/>
        <v>8</v>
      </c>
      <c r="V29" s="344">
        <f t="shared" si="6"/>
        <v>1920</v>
      </c>
      <c r="W29" s="344" t="str">
        <f t="shared" si="11"/>
        <v>Aug</v>
      </c>
      <c r="X29" s="344"/>
      <c r="Y29" s="344"/>
      <c r="Z29" s="314" t="str">
        <f t="shared" si="32"/>
        <v>30-Jun-1837</v>
      </c>
      <c r="AA29" s="314" t="str">
        <f t="shared" si="13"/>
        <v>09-Aug-1920</v>
      </c>
      <c r="AB29" s="314">
        <f t="shared" si="14"/>
        <v>83</v>
      </c>
      <c r="AC29" s="314">
        <f t="shared" si="15"/>
        <v>184</v>
      </c>
      <c r="AD29" s="347" t="str">
        <f t="shared" si="16"/>
        <v>Died 09-Aug-1920, aged 83.</v>
      </c>
      <c r="AE29" s="305"/>
      <c r="AF29" s="303"/>
      <c r="AG29" s="303"/>
      <c r="AH29" s="303"/>
      <c r="AI29" s="289" t="s">
        <v>1045</v>
      </c>
      <c r="AJ29" s="289" t="s">
        <v>1045</v>
      </c>
      <c r="AK29" s="344" t="str">
        <f t="shared" si="17"/>
        <v>17</v>
      </c>
      <c r="AL29" s="344">
        <f t="shared" si="35"/>
        <v>11</v>
      </c>
      <c r="AM29" s="344">
        <f t="shared" si="36"/>
        <v>1858</v>
      </c>
      <c r="AN29" s="344" t="str">
        <f t="shared" si="20"/>
        <v>Nov</v>
      </c>
      <c r="AO29" s="344" t="str">
        <f t="shared" si="7"/>
        <v>17-Nov-1858</v>
      </c>
      <c r="AR29" s="350">
        <f>A29</f>
        <v>26</v>
      </c>
      <c r="AS29" s="353" t="str">
        <f>IF(V29="",_xlfn.CONCAT(IF(G29="",D29,G29)," (",Q29,"–",V29," : #",AR29,")"),_xlfn.CONCAT(IF(G29="",D29,G29)," (",Q29,"–",V29,": #",AR29,")"))</f>
        <v>The Hon Harriet (1837–1920: #26)</v>
      </c>
      <c r="AT29" s="353" t="str">
        <f>IF(V29="",_xlfn.CONCAT(IF(G29="",D29,G29)," (",Q29,"– ",V29,")"),_xlfn.CONCAT(IF(G29="",D29,G29)," (",Q29,"–",V29,")"))</f>
        <v>The Hon Harriet (1837–1920)</v>
      </c>
      <c r="AU29" s="352" t="str">
        <f t="shared" si="0"/>
        <v>Female</v>
      </c>
      <c r="AV29" s="355" t="s">
        <v>4371</v>
      </c>
      <c r="AW29" s="319" t="str">
        <f>VLOOKUP(AV29,'Mums of Loyd Edit&amp;Partner Edit'!$B$3:$C$66,2,FALSE)</f>
        <v>Harriet  WRIGHT (b. 1798/99, d. 6 Nov 1864)</v>
      </c>
      <c r="AX29" s="360">
        <v>9</v>
      </c>
      <c r="AY29" s="355" t="str">
        <f t="shared" si="8"/>
        <v>Samuel (1796–1883: #9)</v>
      </c>
      <c r="AZ29" s="361">
        <f>VLOOKUP(AX29,Lineage!$A$1:$C$200,2,FALSE)</f>
        <v>3</v>
      </c>
      <c r="BA29" s="362" t="str">
        <f t="shared" si="31"/>
        <v>Lewis LOYD (1768–1858: #3)</v>
      </c>
      <c r="BB29" s="368">
        <f>BiographyMarriageDetsCountries!A28</f>
        <v>26</v>
      </c>
      <c r="BC29" s="319"/>
      <c r="BD29" s="362"/>
      <c r="BF29" s="324"/>
      <c r="BG29" s="357">
        <f t="shared" si="21"/>
        <v>26</v>
      </c>
      <c r="BH29" s="289" t="str">
        <f t="shared" si="22"/>
        <v>The Hon Harriet Sarah Jones LOYD</v>
      </c>
      <c r="BI29" s="289" t="str">
        <f t="shared" si="23"/>
        <v>The Hon Harriet (1837–1920)</v>
      </c>
      <c r="BJ29" s="304" t="str">
        <f t="shared" si="24"/>
        <v>Female</v>
      </c>
      <c r="BK29" s="304">
        <f t="shared" si="25"/>
        <v>3</v>
      </c>
      <c r="BL29" s="289" t="str">
        <f t="shared" si="26"/>
        <v>Samuel (1796–1883: #9)</v>
      </c>
      <c r="BM29" s="289" t="str">
        <f t="shared" si="27"/>
        <v>Harriet  WRIGHT (b. 1798/99, d. 6 Nov 1864)</v>
      </c>
      <c r="BN29" s="367" t="str">
        <f t="shared" si="28"/>
        <v>30-Jun-1837</v>
      </c>
      <c r="BO29" s="367" t="str">
        <f t="shared" si="29"/>
        <v>09-Aug-1920</v>
      </c>
      <c r="BP29" s="365" t="str">
        <f t="shared" si="30"/>
        <v>Died 09-Aug-1920, aged 83.</v>
      </c>
    </row>
    <row r="30" spans="1:68" s="289" customFormat="1" ht="40">
      <c r="A30" s="302">
        <v>27</v>
      </c>
      <c r="B30" s="364">
        <v>3</v>
      </c>
      <c r="C30" s="288" t="s">
        <v>782</v>
      </c>
      <c r="D30" s="289" t="s">
        <v>830</v>
      </c>
      <c r="E30" s="289" t="s">
        <v>819</v>
      </c>
      <c r="H30" s="304" t="s">
        <v>3245</v>
      </c>
      <c r="I30" s="306" t="s">
        <v>4469</v>
      </c>
      <c r="J30" s="306" t="s">
        <v>4469</v>
      </c>
      <c r="K30" s="308" t="s">
        <v>4509</v>
      </c>
      <c r="L30" s="308" t="s">
        <v>4509</v>
      </c>
      <c r="M30" s="323" t="s">
        <v>1046</v>
      </c>
      <c r="N30" s="323"/>
      <c r="O30" s="348">
        <f t="shared" si="9"/>
        <v>17</v>
      </c>
      <c r="P30" s="345">
        <f t="shared" si="1"/>
        <v>1</v>
      </c>
      <c r="Q30" s="345">
        <f t="shared" si="2"/>
        <v>1843</v>
      </c>
      <c r="R30" s="344" t="str">
        <f t="shared" si="10"/>
        <v>Jan</v>
      </c>
      <c r="S30" s="344">
        <f t="shared" si="3"/>
        <v>10</v>
      </c>
      <c r="T30" s="344">
        <f t="shared" si="4"/>
        <v>30</v>
      </c>
      <c r="U30" s="344">
        <f t="shared" si="5"/>
        <v>5</v>
      </c>
      <c r="V30" s="344">
        <f t="shared" si="6"/>
        <v>1843</v>
      </c>
      <c r="W30" s="344" t="str">
        <f t="shared" si="11"/>
        <v>May</v>
      </c>
      <c r="X30" s="344"/>
      <c r="Y30" s="344"/>
      <c r="Z30" s="314" t="str">
        <f t="shared" si="32"/>
        <v>17-Jan-1843</v>
      </c>
      <c r="AA30" s="314" t="str">
        <f t="shared" si="13"/>
        <v>30-May-1843</v>
      </c>
      <c r="AB30" s="314">
        <f t="shared" si="14"/>
        <v>0</v>
      </c>
      <c r="AC30" s="314">
        <f t="shared" si="15"/>
        <v>178</v>
      </c>
      <c r="AD30" s="347" t="str">
        <f t="shared" si="16"/>
        <v>Died in Infancy 30-May-1843.</v>
      </c>
      <c r="AE30" s="305"/>
      <c r="AF30" s="303"/>
      <c r="AG30" s="303"/>
      <c r="AH30" s="303"/>
      <c r="AI30" s="289" t="s">
        <v>2793</v>
      </c>
      <c r="AJ30" s="289" t="s">
        <v>2793</v>
      </c>
      <c r="AK30" s="344" t="str">
        <f t="shared" si="17"/>
        <v xml:space="preserve"> -</v>
      </c>
      <c r="AL30" s="344" t="str">
        <f t="shared" si="35"/>
        <v xml:space="preserve"> -</v>
      </c>
      <c r="AM30" s="344" t="str">
        <f t="shared" si="36"/>
        <v xml:space="preserve"> -</v>
      </c>
      <c r="AN30" s="344" t="str">
        <f t="shared" si="20"/>
        <v xml:space="preserve"> -</v>
      </c>
      <c r="AO30" s="344" t="str">
        <f t="shared" si="7"/>
        <v xml:space="preserve"> -</v>
      </c>
      <c r="AR30" s="350">
        <f>A30</f>
        <v>27</v>
      </c>
      <c r="AS30" s="353" t="str">
        <f>IF(V30="",_xlfn.CONCAT(IF(G30="",D30,G30)," (",Q30,"–",V30," : #",AR30,")"),_xlfn.CONCAT(IF(G30="",D30,G30)," (",Q30,"–",V30,": #",AR30,")"))</f>
        <v>William (1843–1843: #27)</v>
      </c>
      <c r="AT30" s="353" t="str">
        <f>IF(V30="",_xlfn.CONCAT(IF(G30="",D30,G30)," (",Q30,"– ",V30,")"),_xlfn.CONCAT(IF(G30="",D30,G30)," (",Q30,"–",V30,")"))</f>
        <v>William (1843–1843)</v>
      </c>
      <c r="AU30" s="352" t="str">
        <f t="shared" si="0"/>
        <v>Male</v>
      </c>
      <c r="AV30" s="355" t="s">
        <v>4372</v>
      </c>
      <c r="AW30" s="319" t="str">
        <f>VLOOKUP(AV30,'Mums of Loyd Edit&amp;Partner Edit'!$B$3:$C$66,2,FALSE)</f>
        <v>Annie Hurst HAIG (b. 3 Oct 1816, d. 28 May 1885)</v>
      </c>
      <c r="AX30" s="360">
        <v>14</v>
      </c>
      <c r="AY30" s="355" t="str">
        <f t="shared" si="8"/>
        <v>Thomas (1812–1857: #14)</v>
      </c>
      <c r="AZ30" s="361">
        <f>VLOOKUP(AX30,Lineage!$A$1:$C$200,2,FALSE)</f>
        <v>4</v>
      </c>
      <c r="BA30" s="362" t="str">
        <f t="shared" si="31"/>
        <v>William (1770–1828: #4)</v>
      </c>
      <c r="BB30" s="368">
        <f>BiographyMarriageDetsCountries!A29</f>
        <v>27</v>
      </c>
      <c r="BC30" s="319"/>
      <c r="BD30" s="362"/>
      <c r="BF30" s="324"/>
      <c r="BG30" s="357">
        <f t="shared" si="21"/>
        <v>27</v>
      </c>
      <c r="BH30" s="289" t="str">
        <f t="shared" si="22"/>
        <v>William Kirkman LOYD</v>
      </c>
      <c r="BI30" s="289" t="str">
        <f t="shared" si="23"/>
        <v>William (1843–1843)</v>
      </c>
      <c r="BJ30" s="304" t="str">
        <f t="shared" si="24"/>
        <v>Male</v>
      </c>
      <c r="BK30" s="304">
        <f t="shared" si="25"/>
        <v>3</v>
      </c>
      <c r="BL30" s="289" t="str">
        <f t="shared" si="26"/>
        <v>Thomas (1812–1857: #14)</v>
      </c>
      <c r="BM30" s="289" t="str">
        <f t="shared" si="27"/>
        <v>Annie Hurst HAIG (b. 3 Oct 1816, d. 28 May 1885)</v>
      </c>
      <c r="BN30" s="367" t="str">
        <f t="shared" si="28"/>
        <v>17-Jan-1843</v>
      </c>
      <c r="BO30" s="367" t="str">
        <f t="shared" si="29"/>
        <v>30-May-1843</v>
      </c>
      <c r="BP30" s="365" t="str">
        <f t="shared" si="30"/>
        <v>Died in Infancy 30-May-1843.</v>
      </c>
    </row>
    <row r="31" spans="1:68" s="289" customFormat="1" ht="40">
      <c r="A31" s="302">
        <v>28</v>
      </c>
      <c r="B31" s="364">
        <v>3</v>
      </c>
      <c r="C31" s="288" t="s">
        <v>782</v>
      </c>
      <c r="D31" s="289" t="s">
        <v>1047</v>
      </c>
      <c r="E31" s="289" t="s">
        <v>1048</v>
      </c>
      <c r="H31" s="304" t="s">
        <v>3245</v>
      </c>
      <c r="I31" s="306" t="s">
        <v>4470</v>
      </c>
      <c r="J31" s="306">
        <v>1905</v>
      </c>
      <c r="K31" s="308" t="s">
        <v>4510</v>
      </c>
      <c r="L31" s="308" t="s">
        <v>4510</v>
      </c>
      <c r="M31" s="323" t="s">
        <v>3164</v>
      </c>
      <c r="N31" s="323"/>
      <c r="O31" s="348">
        <f t="shared" si="9"/>
        <v>28</v>
      </c>
      <c r="P31" s="345">
        <f t="shared" si="1"/>
        <v>3</v>
      </c>
      <c r="Q31" s="345">
        <f t="shared" si="2"/>
        <v>1844</v>
      </c>
      <c r="R31" s="344" t="str">
        <f t="shared" si="10"/>
        <v>Mar</v>
      </c>
      <c r="S31" s="344">
        <f t="shared" si="3"/>
        <v>10</v>
      </c>
      <c r="T31" s="344">
        <f t="shared" si="4"/>
        <v>4</v>
      </c>
      <c r="U31" s="344">
        <f t="shared" si="5"/>
        <v>8</v>
      </c>
      <c r="V31" s="344">
        <f t="shared" si="6"/>
        <v>1905</v>
      </c>
      <c r="W31" s="344" t="str">
        <f t="shared" si="11"/>
        <v>Aug</v>
      </c>
      <c r="X31" s="344"/>
      <c r="Y31" s="344"/>
      <c r="Z31" s="314" t="str">
        <f t="shared" si="32"/>
        <v>28-Mar-1844</v>
      </c>
      <c r="AA31" s="314" t="str">
        <f t="shared" si="13"/>
        <v>04-Aug-1905</v>
      </c>
      <c r="AB31" s="314">
        <f t="shared" si="14"/>
        <v>61</v>
      </c>
      <c r="AC31" s="314">
        <f t="shared" si="15"/>
        <v>177</v>
      </c>
      <c r="AD31" s="347" t="str">
        <f t="shared" si="16"/>
        <v>Died 04-Aug-1905, aged 61.</v>
      </c>
      <c r="AE31" s="305"/>
      <c r="AF31" s="303"/>
      <c r="AG31" s="303"/>
      <c r="AH31" s="303"/>
      <c r="AI31" s="289" t="s">
        <v>1051</v>
      </c>
      <c r="AJ31" s="289" t="s">
        <v>1051</v>
      </c>
      <c r="AK31" s="344" t="str">
        <f t="shared" si="17"/>
        <v>27</v>
      </c>
      <c r="AL31" s="344">
        <f t="shared" si="35"/>
        <v>10</v>
      </c>
      <c r="AM31" s="344">
        <f t="shared" si="36"/>
        <v>1874</v>
      </c>
      <c r="AN31" s="344" t="str">
        <f t="shared" si="20"/>
        <v>Oct</v>
      </c>
      <c r="AO31" s="344" t="str">
        <f t="shared" si="7"/>
        <v>27-Oct-1874</v>
      </c>
      <c r="AR31" s="350">
        <f>A31</f>
        <v>28</v>
      </c>
      <c r="AS31" s="353" t="str">
        <f>IF(V31="",_xlfn.CONCAT(IF(G31="",D31,G31)," (",Q31,"–",V31," : #",AR31,")"),_xlfn.CONCAT(IF(G31="",D31,G31)," (",Q31,"–",V31,": #",AR31,")"))</f>
        <v>The Rev Lewis (1844–1905: #28)</v>
      </c>
      <c r="AT31" s="353" t="str">
        <f>IF(V31="",_xlfn.CONCAT(IF(G31="",D31,G31)," (",Q31,"– ",V31,")"),_xlfn.CONCAT(IF(G31="",D31,G31)," (",Q31,"–",V31,")"))</f>
        <v>The Rev Lewis (1844–1905)</v>
      </c>
      <c r="AU31" s="352" t="str">
        <f t="shared" si="0"/>
        <v>Male</v>
      </c>
      <c r="AV31" s="355" t="s">
        <v>4372</v>
      </c>
      <c r="AW31" s="319" t="str">
        <f>VLOOKUP(AV31,'Mums of Loyd Edit&amp;Partner Edit'!$B$3:$C$66,2,FALSE)</f>
        <v>Annie Hurst HAIG (b. 3 Oct 1816, d. 28 May 1885)</v>
      </c>
      <c r="AX31" s="360">
        <v>14</v>
      </c>
      <c r="AY31" s="355" t="str">
        <f t="shared" si="8"/>
        <v>Thomas (1812–1857: #14)</v>
      </c>
      <c r="AZ31" s="361">
        <f>VLOOKUP(AX31,Lineage!$A$1:$C$200,2,FALSE)</f>
        <v>4</v>
      </c>
      <c r="BA31" s="362" t="str">
        <f t="shared" si="31"/>
        <v>William (1770–1828: #4)</v>
      </c>
      <c r="BB31" s="368">
        <f>BiographyMarriageDetsCountries!A30</f>
        <v>28</v>
      </c>
      <c r="BC31" s="319"/>
      <c r="BD31" s="362"/>
      <c r="BF31" s="324"/>
      <c r="BG31" s="357">
        <f t="shared" si="21"/>
        <v>28</v>
      </c>
      <c r="BH31" s="289" t="str">
        <f t="shared" si="22"/>
        <v>The Rev Lewis Haig  LOYD</v>
      </c>
      <c r="BI31" s="289" t="str">
        <f t="shared" si="23"/>
        <v>The Rev Lewis (1844–1905)</v>
      </c>
      <c r="BJ31" s="304" t="str">
        <f t="shared" si="24"/>
        <v>Male</v>
      </c>
      <c r="BK31" s="304">
        <f t="shared" si="25"/>
        <v>3</v>
      </c>
      <c r="BL31" s="289" t="str">
        <f t="shared" si="26"/>
        <v>Thomas (1812–1857: #14)</v>
      </c>
      <c r="BM31" s="289" t="str">
        <f t="shared" si="27"/>
        <v>Annie Hurst HAIG (b. 3 Oct 1816, d. 28 May 1885)</v>
      </c>
      <c r="BN31" s="367" t="str">
        <f t="shared" si="28"/>
        <v>28-Mar-1844</v>
      </c>
      <c r="BO31" s="367" t="str">
        <f t="shared" si="29"/>
        <v>04-Aug-1905</v>
      </c>
      <c r="BP31" s="365" t="str">
        <f t="shared" si="30"/>
        <v>Died 04-Aug-1905, aged 61.</v>
      </c>
    </row>
    <row r="32" spans="1:68" s="289" customFormat="1" ht="40">
      <c r="A32" s="302">
        <v>29</v>
      </c>
      <c r="B32" s="364">
        <v>3</v>
      </c>
      <c r="C32" s="288" t="s">
        <v>782</v>
      </c>
      <c r="D32" s="289" t="s">
        <v>804</v>
      </c>
      <c r="E32" s="289" t="s">
        <v>1052</v>
      </c>
      <c r="H32" s="304" t="s">
        <v>3245</v>
      </c>
      <c r="I32" s="306" t="s">
        <v>4471</v>
      </c>
      <c r="J32" s="306">
        <v>1930</v>
      </c>
      <c r="K32" s="308" t="s">
        <v>4511</v>
      </c>
      <c r="L32" s="308" t="s">
        <v>4511</v>
      </c>
      <c r="M32" s="323" t="s">
        <v>3170</v>
      </c>
      <c r="N32" s="323"/>
      <c r="O32" s="348">
        <f t="shared" si="9"/>
        <v>28</v>
      </c>
      <c r="P32" s="345">
        <f t="shared" si="1"/>
        <v>9</v>
      </c>
      <c r="Q32" s="345">
        <f t="shared" si="2"/>
        <v>1845</v>
      </c>
      <c r="R32" s="344" t="str">
        <f t="shared" si="10"/>
        <v>Sep</v>
      </c>
      <c r="S32" s="344">
        <f t="shared" si="3"/>
        <v>10</v>
      </c>
      <c r="T32" s="344">
        <f t="shared" si="4"/>
        <v>19</v>
      </c>
      <c r="U32" s="344">
        <f t="shared" si="5"/>
        <v>3</v>
      </c>
      <c r="V32" s="344">
        <f t="shared" si="6"/>
        <v>1930</v>
      </c>
      <c r="W32" s="344" t="str">
        <f t="shared" si="11"/>
        <v>Mar</v>
      </c>
      <c r="X32" s="344"/>
      <c r="Y32" s="344"/>
      <c r="Z32" s="314" t="str">
        <f t="shared" si="32"/>
        <v>28-Sep-1845</v>
      </c>
      <c r="AA32" s="314" t="str">
        <f t="shared" si="13"/>
        <v>19-Mar-1930</v>
      </c>
      <c r="AB32" s="314">
        <f t="shared" si="14"/>
        <v>84</v>
      </c>
      <c r="AC32" s="314">
        <f t="shared" si="15"/>
        <v>176</v>
      </c>
      <c r="AD32" s="347" t="str">
        <f t="shared" si="16"/>
        <v>Died 19-Mar-1930, aged 84.</v>
      </c>
      <c r="AE32" s="305"/>
      <c r="AF32" s="303"/>
      <c r="AG32" s="303"/>
      <c r="AH32" s="303"/>
      <c r="AI32" s="289" t="s">
        <v>1054</v>
      </c>
      <c r="AJ32" s="289" t="s">
        <v>1054</v>
      </c>
      <c r="AK32" s="344" t="str">
        <f t="shared" si="17"/>
        <v>18</v>
      </c>
      <c r="AL32" s="344">
        <f t="shared" si="35"/>
        <v>10</v>
      </c>
      <c r="AM32" s="344">
        <f t="shared" si="36"/>
        <v>1882</v>
      </c>
      <c r="AN32" s="344" t="str">
        <f t="shared" si="20"/>
        <v>Oct</v>
      </c>
      <c r="AO32" s="344" t="str">
        <f t="shared" si="7"/>
        <v>18-Oct-1882</v>
      </c>
      <c r="AR32" s="350">
        <f>A32</f>
        <v>29</v>
      </c>
      <c r="AS32" s="353" t="str">
        <f>IF(V32="",_xlfn.CONCAT(IF(G32="",D32,G32)," (",Q32,"–",V32," : #",AR32,")"),_xlfn.CONCAT(IF(G32="",D32,G32)," (",Q32,"–",V32,": #",AR32,")"))</f>
        <v>Arthur (1845–1930: #29)</v>
      </c>
      <c r="AT32" s="353" t="str">
        <f>IF(V32="",_xlfn.CONCAT(IF(G32="",D32,G32)," (",Q32,"– ",V32,")"),_xlfn.CONCAT(IF(G32="",D32,G32)," (",Q32,"–",V32,")"))</f>
        <v>Arthur (1845–1930)</v>
      </c>
      <c r="AU32" s="352" t="str">
        <f t="shared" si="0"/>
        <v>Male</v>
      </c>
      <c r="AV32" s="355" t="s">
        <v>4372</v>
      </c>
      <c r="AW32" s="319" t="str">
        <f>VLOOKUP(AV32,'Mums of Loyd Edit&amp;Partner Edit'!$B$3:$C$66,2,FALSE)</f>
        <v>Annie Hurst HAIG (b. 3 Oct 1816, d. 28 May 1885)</v>
      </c>
      <c r="AX32" s="360">
        <v>14</v>
      </c>
      <c r="AY32" s="355" t="str">
        <f t="shared" si="8"/>
        <v>Thomas (1812–1857: #14)</v>
      </c>
      <c r="AZ32" s="361">
        <f>VLOOKUP(AX32,Lineage!$A$1:$C$200,2,FALSE)</f>
        <v>4</v>
      </c>
      <c r="BA32" s="362" t="str">
        <f t="shared" si="31"/>
        <v>William (1770–1828: #4)</v>
      </c>
      <c r="BB32" s="368">
        <f>BiographyMarriageDetsCountries!A31</f>
        <v>29</v>
      </c>
      <c r="BC32" s="319"/>
      <c r="BD32" s="362"/>
      <c r="BF32" s="324"/>
      <c r="BG32" s="357">
        <f t="shared" si="21"/>
        <v>29</v>
      </c>
      <c r="BH32" s="289" t="str">
        <f t="shared" si="22"/>
        <v>Arthur Purvis LOYD</v>
      </c>
      <c r="BI32" s="289" t="str">
        <f t="shared" si="23"/>
        <v>Arthur (1845–1930)</v>
      </c>
      <c r="BJ32" s="304" t="str">
        <f t="shared" si="24"/>
        <v>Male</v>
      </c>
      <c r="BK32" s="304">
        <f t="shared" si="25"/>
        <v>3</v>
      </c>
      <c r="BL32" s="289" t="str">
        <f t="shared" si="26"/>
        <v>Thomas (1812–1857: #14)</v>
      </c>
      <c r="BM32" s="289" t="str">
        <f t="shared" si="27"/>
        <v>Annie Hurst HAIG (b. 3 Oct 1816, d. 28 May 1885)</v>
      </c>
      <c r="BN32" s="367" t="str">
        <f t="shared" si="28"/>
        <v>28-Sep-1845</v>
      </c>
      <c r="BO32" s="367" t="str">
        <f t="shared" si="29"/>
        <v>19-Mar-1930</v>
      </c>
      <c r="BP32" s="365" t="str">
        <f t="shared" si="30"/>
        <v>Died 19-Mar-1930, aged 84.</v>
      </c>
    </row>
    <row r="33" spans="1:68" s="289" customFormat="1" ht="40">
      <c r="A33" s="302">
        <v>30</v>
      </c>
      <c r="B33" s="364">
        <v>3</v>
      </c>
      <c r="C33" s="288" t="s">
        <v>782</v>
      </c>
      <c r="D33" s="289" t="s">
        <v>1055</v>
      </c>
      <c r="E33" s="289" t="s">
        <v>819</v>
      </c>
      <c r="H33" s="304" t="s">
        <v>3245</v>
      </c>
      <c r="I33" s="306" t="s">
        <v>4472</v>
      </c>
      <c r="J33" s="306">
        <v>1922</v>
      </c>
      <c r="K33" s="308" t="s">
        <v>4512</v>
      </c>
      <c r="L33" s="308" t="s">
        <v>4512</v>
      </c>
      <c r="M33" s="323" t="s">
        <v>3165</v>
      </c>
      <c r="N33" s="323"/>
      <c r="O33" s="348">
        <f t="shared" si="9"/>
        <v>22</v>
      </c>
      <c r="P33" s="345">
        <f t="shared" si="1"/>
        <v>1</v>
      </c>
      <c r="Q33" s="345">
        <f t="shared" si="2"/>
        <v>1847</v>
      </c>
      <c r="R33" s="344" t="str">
        <f t="shared" si="10"/>
        <v>Jan</v>
      </c>
      <c r="S33" s="344">
        <f t="shared" si="3"/>
        <v>10</v>
      </c>
      <c r="T33" s="344">
        <f t="shared" si="4"/>
        <v>1</v>
      </c>
      <c r="U33" s="344">
        <f t="shared" si="5"/>
        <v>12</v>
      </c>
      <c r="V33" s="344">
        <f t="shared" si="6"/>
        <v>1922</v>
      </c>
      <c r="W33" s="344" t="str">
        <f t="shared" si="11"/>
        <v>Dec</v>
      </c>
      <c r="X33" s="344"/>
      <c r="Y33" s="344"/>
      <c r="Z33" s="314" t="str">
        <f t="shared" si="32"/>
        <v>22-Jan-1847</v>
      </c>
      <c r="AA33" s="314" t="str">
        <f t="shared" si="13"/>
        <v>01-Dec-1922</v>
      </c>
      <c r="AB33" s="314">
        <f t="shared" si="14"/>
        <v>75</v>
      </c>
      <c r="AC33" s="314">
        <f t="shared" si="15"/>
        <v>174</v>
      </c>
      <c r="AD33" s="347" t="str">
        <f t="shared" si="16"/>
        <v>Died 01-Dec-1922, aged 75.</v>
      </c>
      <c r="AE33" s="305"/>
      <c r="AF33" s="303"/>
      <c r="AG33" s="303"/>
      <c r="AH33" s="303"/>
      <c r="AI33" s="289" t="s">
        <v>1057</v>
      </c>
      <c r="AJ33" s="289" t="s">
        <v>1057</v>
      </c>
      <c r="AK33" s="344" t="str">
        <f t="shared" si="17"/>
        <v>24</v>
      </c>
      <c r="AL33" s="344">
        <f t="shared" si="35"/>
        <v>6</v>
      </c>
      <c r="AM33" s="344">
        <f t="shared" si="36"/>
        <v>1885</v>
      </c>
      <c r="AN33" s="344" t="str">
        <f t="shared" si="20"/>
        <v>Jun</v>
      </c>
      <c r="AO33" s="344" t="str">
        <f t="shared" si="7"/>
        <v>24-Jun-1885</v>
      </c>
      <c r="AR33" s="350">
        <f>A33</f>
        <v>30</v>
      </c>
      <c r="AS33" s="353" t="str">
        <f>IF(V33="",_xlfn.CONCAT(IF(G33="",D33,G33)," (",Q33,"–",V33," : #",AR33,")"),_xlfn.CONCAT(IF(G33="",D33,G33)," (",Q33,"–",V33,": #",AR33,")"))</f>
        <v>Archie (1847–1922: #30)</v>
      </c>
      <c r="AT33" s="353" t="str">
        <f>IF(V33="",_xlfn.CONCAT(IF(G33="",D33,G33)," (",Q33,"– ",V33,")"),_xlfn.CONCAT(IF(G33="",D33,G33)," (",Q33,"–",V33,")"))</f>
        <v>Archie (1847–1922)</v>
      </c>
      <c r="AU33" s="352" t="str">
        <f t="shared" si="0"/>
        <v>Male</v>
      </c>
      <c r="AV33" s="355" t="s">
        <v>4372</v>
      </c>
      <c r="AW33" s="319" t="str">
        <f>VLOOKUP(AV33,'Mums of Loyd Edit&amp;Partner Edit'!$B$3:$C$66,2,FALSE)</f>
        <v>Annie Hurst HAIG (b. 3 Oct 1816, d. 28 May 1885)</v>
      </c>
      <c r="AX33" s="360">
        <v>14</v>
      </c>
      <c r="AY33" s="355" t="str">
        <f t="shared" si="8"/>
        <v>Thomas (1812–1857: #14)</v>
      </c>
      <c r="AZ33" s="361">
        <f>VLOOKUP(AX33,Lineage!$A$1:$C$200,2,FALSE)</f>
        <v>4</v>
      </c>
      <c r="BA33" s="362" t="str">
        <f t="shared" si="31"/>
        <v>William (1770–1828: #4)</v>
      </c>
      <c r="BB33" s="368">
        <f>BiographyMarriageDetsCountries!A32</f>
        <v>30</v>
      </c>
      <c r="BC33" s="319"/>
      <c r="BD33" s="362"/>
      <c r="BF33" s="324"/>
      <c r="BG33" s="357">
        <f t="shared" si="21"/>
        <v>30</v>
      </c>
      <c r="BH33" s="289" t="str">
        <f t="shared" si="22"/>
        <v>Archie Kirkman LOYD</v>
      </c>
      <c r="BI33" s="289" t="str">
        <f t="shared" si="23"/>
        <v>Archie (1847–1922)</v>
      </c>
      <c r="BJ33" s="304" t="str">
        <f t="shared" si="24"/>
        <v>Male</v>
      </c>
      <c r="BK33" s="304">
        <f t="shared" si="25"/>
        <v>3</v>
      </c>
      <c r="BL33" s="289" t="str">
        <f t="shared" si="26"/>
        <v>Thomas (1812–1857: #14)</v>
      </c>
      <c r="BM33" s="289" t="str">
        <f t="shared" si="27"/>
        <v>Annie Hurst HAIG (b. 3 Oct 1816, d. 28 May 1885)</v>
      </c>
      <c r="BN33" s="367" t="str">
        <f t="shared" si="28"/>
        <v>22-Jan-1847</v>
      </c>
      <c r="BO33" s="367" t="str">
        <f t="shared" si="29"/>
        <v>01-Dec-1922</v>
      </c>
      <c r="BP33" s="365" t="str">
        <f t="shared" si="30"/>
        <v>Died 01-Dec-1922, aged 75.</v>
      </c>
    </row>
    <row r="34" spans="1:68" s="289" customFormat="1" ht="40">
      <c r="A34" s="302">
        <v>31</v>
      </c>
      <c r="B34" s="364">
        <v>3</v>
      </c>
      <c r="C34" s="288" t="s">
        <v>782</v>
      </c>
      <c r="D34" s="289" t="s">
        <v>870</v>
      </c>
      <c r="E34" s="289" t="s">
        <v>1058</v>
      </c>
      <c r="H34" s="304" t="s">
        <v>3244</v>
      </c>
      <c r="I34" s="306" t="s">
        <v>1888</v>
      </c>
      <c r="J34" s="306">
        <v>1934</v>
      </c>
      <c r="K34" s="308" t="s">
        <v>4513</v>
      </c>
      <c r="L34" s="308" t="s">
        <v>4513</v>
      </c>
      <c r="M34" s="323" t="s">
        <v>3166</v>
      </c>
      <c r="N34" s="323"/>
      <c r="O34" s="348">
        <f t="shared" si="9"/>
        <v>5</v>
      </c>
      <c r="P34" s="345">
        <f t="shared" si="1"/>
        <v>3</v>
      </c>
      <c r="Q34" s="345">
        <f t="shared" si="2"/>
        <v>1848</v>
      </c>
      <c r="R34" s="344" t="str">
        <f t="shared" si="10"/>
        <v>Mar</v>
      </c>
      <c r="S34" s="344">
        <f t="shared" si="3"/>
        <v>10</v>
      </c>
      <c r="T34" s="344">
        <f t="shared" si="4"/>
        <v>9</v>
      </c>
      <c r="U34" s="344">
        <f t="shared" si="5"/>
        <v>8</v>
      </c>
      <c r="V34" s="344">
        <f t="shared" si="6"/>
        <v>1934</v>
      </c>
      <c r="W34" s="344" t="str">
        <f t="shared" si="11"/>
        <v>Aug</v>
      </c>
      <c r="X34" s="344"/>
      <c r="Y34" s="344"/>
      <c r="Z34" s="314" t="str">
        <f t="shared" si="32"/>
        <v>05-Mar-1848</v>
      </c>
      <c r="AA34" s="314" t="str">
        <f t="shared" si="13"/>
        <v>09-Aug-1934</v>
      </c>
      <c r="AB34" s="314">
        <f t="shared" si="14"/>
        <v>86</v>
      </c>
      <c r="AC34" s="314">
        <f t="shared" si="15"/>
        <v>173</v>
      </c>
      <c r="AD34" s="347" t="str">
        <f t="shared" si="16"/>
        <v>Died 09-Aug-1934, aged 86.</v>
      </c>
      <c r="AE34" s="305"/>
      <c r="AF34" s="303"/>
      <c r="AG34" s="303"/>
      <c r="AH34" s="303"/>
      <c r="AI34" s="289" t="s">
        <v>2793</v>
      </c>
      <c r="AJ34" s="289" t="s">
        <v>2793</v>
      </c>
      <c r="AK34" s="344" t="str">
        <f t="shared" si="17"/>
        <v xml:space="preserve"> -</v>
      </c>
      <c r="AL34" s="344" t="str">
        <f t="shared" si="35"/>
        <v xml:space="preserve"> -</v>
      </c>
      <c r="AM34" s="344" t="str">
        <f t="shared" si="36"/>
        <v xml:space="preserve"> -</v>
      </c>
      <c r="AN34" s="344" t="str">
        <f t="shared" si="20"/>
        <v xml:space="preserve"> -</v>
      </c>
      <c r="AO34" s="344" t="str">
        <f t="shared" si="7"/>
        <v xml:space="preserve"> -</v>
      </c>
      <c r="AR34" s="350">
        <f>A34</f>
        <v>31</v>
      </c>
      <c r="AS34" s="353" t="str">
        <f>IF(V34="",_xlfn.CONCAT(IF(G34="",D34,G34)," (",Q34,"–",V34," : #",AR34,")"),_xlfn.CONCAT(IF(G34="",D34,G34)," (",Q34,"–",V34,": #",AR34,")"))</f>
        <v>Mary (1848–1934: #31)</v>
      </c>
      <c r="AT34" s="353" t="str">
        <f>IF(V34="",_xlfn.CONCAT(IF(G34="",D34,G34)," (",Q34,"– ",V34,")"),_xlfn.CONCAT(IF(G34="",D34,G34)," (",Q34,"–",V34,")"))</f>
        <v>Mary (1848–1934)</v>
      </c>
      <c r="AU34" s="352" t="str">
        <f t="shared" si="0"/>
        <v>Female</v>
      </c>
      <c r="AV34" s="355" t="s">
        <v>4373</v>
      </c>
      <c r="AW34" s="319" t="str">
        <f>VLOOKUP(AV34,'Mums of Loyd Edit&amp;Partner Edit'!$B$3:$C$66,2,FALSE)</f>
        <v>Caroline Louisa FOSTER (b. 6 Aug 1825, d. 8 Feb 1900)</v>
      </c>
      <c r="AX34" s="360">
        <v>22</v>
      </c>
      <c r="AY34" s="355" t="str">
        <f t="shared" si="8"/>
        <v>Edward (1820–1890: #22)</v>
      </c>
      <c r="AZ34" s="361">
        <f>VLOOKUP(AX34,Lineage!$A$1:$C$200,2,FALSE)</f>
        <v>8</v>
      </c>
      <c r="BA34" s="362" t="str">
        <f t="shared" si="31"/>
        <v>Edward (1780–1863: #8)</v>
      </c>
      <c r="BB34" s="368">
        <f>BiographyMarriageDetsCountries!A33</f>
        <v>31</v>
      </c>
      <c r="BC34" s="319"/>
      <c r="BD34" s="362"/>
      <c r="BF34" s="324"/>
      <c r="BG34" s="357">
        <f t="shared" si="21"/>
        <v>31</v>
      </c>
      <c r="BH34" s="289" t="str">
        <f t="shared" si="22"/>
        <v>Mary Louisa LOYD</v>
      </c>
      <c r="BI34" s="289" t="str">
        <f t="shared" si="23"/>
        <v>Mary (1848–1934)</v>
      </c>
      <c r="BJ34" s="304" t="str">
        <f t="shared" si="24"/>
        <v>Female</v>
      </c>
      <c r="BK34" s="304">
        <f t="shared" si="25"/>
        <v>3</v>
      </c>
      <c r="BL34" s="289" t="str">
        <f t="shared" si="26"/>
        <v>Edward (1820–1890: #22)</v>
      </c>
      <c r="BM34" s="289" t="str">
        <f t="shared" si="27"/>
        <v>Caroline Louisa FOSTER (b. 6 Aug 1825, d. 8 Feb 1900)</v>
      </c>
      <c r="BN34" s="367" t="str">
        <f t="shared" si="28"/>
        <v>05-Mar-1848</v>
      </c>
      <c r="BO34" s="367" t="str">
        <f t="shared" si="29"/>
        <v>09-Aug-1934</v>
      </c>
      <c r="BP34" s="365" t="str">
        <f t="shared" si="30"/>
        <v>Died 09-Aug-1934, aged 86.</v>
      </c>
    </row>
    <row r="35" spans="1:68" s="289" customFormat="1" ht="40">
      <c r="A35" s="302">
        <v>32</v>
      </c>
      <c r="B35" s="364">
        <v>3</v>
      </c>
      <c r="C35" s="288" t="s">
        <v>782</v>
      </c>
      <c r="D35" s="289" t="s">
        <v>1060</v>
      </c>
      <c r="E35" s="289" t="s">
        <v>819</v>
      </c>
      <c r="H35" s="304" t="s">
        <v>3245</v>
      </c>
      <c r="I35" s="306" t="s">
        <v>1888</v>
      </c>
      <c r="J35" s="306">
        <v>1934</v>
      </c>
      <c r="K35" s="308" t="s">
        <v>4514</v>
      </c>
      <c r="L35" s="308" t="s">
        <v>4514</v>
      </c>
      <c r="M35" s="323" t="s">
        <v>3167</v>
      </c>
      <c r="N35" s="323"/>
      <c r="O35" s="348">
        <f t="shared" si="9"/>
        <v>13</v>
      </c>
      <c r="P35" s="345">
        <f t="shared" si="1"/>
        <v>8</v>
      </c>
      <c r="Q35" s="345">
        <f t="shared" si="2"/>
        <v>1848</v>
      </c>
      <c r="R35" s="344" t="str">
        <f t="shared" si="10"/>
        <v>Aug</v>
      </c>
      <c r="S35" s="344">
        <f t="shared" si="3"/>
        <v>10</v>
      </c>
      <c r="T35" s="344">
        <f t="shared" si="4"/>
        <v>8</v>
      </c>
      <c r="U35" s="344">
        <f t="shared" si="5"/>
        <v>9</v>
      </c>
      <c r="V35" s="344">
        <f t="shared" si="6"/>
        <v>1934</v>
      </c>
      <c r="W35" s="344" t="str">
        <f t="shared" si="11"/>
        <v>Sep</v>
      </c>
      <c r="X35" s="344"/>
      <c r="Y35" s="344"/>
      <c r="Z35" s="314" t="str">
        <f t="shared" si="32"/>
        <v>13-Aug-1848</v>
      </c>
      <c r="AA35" s="314" t="str">
        <f t="shared" si="13"/>
        <v>08-Sep-1934</v>
      </c>
      <c r="AB35" s="314">
        <f t="shared" si="14"/>
        <v>86</v>
      </c>
      <c r="AC35" s="314">
        <f t="shared" si="15"/>
        <v>173</v>
      </c>
      <c r="AD35" s="347" t="str">
        <f t="shared" si="16"/>
        <v>Died 08-Sep-1934, aged 86.</v>
      </c>
      <c r="AE35" s="305"/>
      <c r="AF35" s="303"/>
      <c r="AG35" s="303"/>
      <c r="AH35" s="303"/>
      <c r="AI35" s="289" t="s">
        <v>1062</v>
      </c>
      <c r="AJ35" s="289" t="s">
        <v>1062</v>
      </c>
      <c r="AK35" s="344" t="str">
        <f t="shared" si="17"/>
        <v>06</v>
      </c>
      <c r="AL35" s="344">
        <f t="shared" si="35"/>
        <v>4</v>
      </c>
      <c r="AM35" s="344">
        <f t="shared" si="36"/>
        <v>1880</v>
      </c>
      <c r="AN35" s="344" t="str">
        <f t="shared" si="20"/>
        <v>Apr</v>
      </c>
      <c r="AO35" s="344" t="str">
        <f t="shared" si="7"/>
        <v>06-Apr-1880</v>
      </c>
      <c r="AR35" s="350">
        <f>A35</f>
        <v>32</v>
      </c>
      <c r="AS35" s="353" t="str">
        <f>IF(V35="",_xlfn.CONCAT(IF(G35="",D35,G35)," (",Q35,"–",V35," : #",AR35,")"),_xlfn.CONCAT(IF(G35="",D35,G35)," (",Q35,"–",V35,": #",AR35,")"))</f>
        <v>Frank (1848–1934: #32)</v>
      </c>
      <c r="AT35" s="353" t="str">
        <f>IF(V35="",_xlfn.CONCAT(IF(G35="",D35,G35)," (",Q35,"– ",V35,")"),_xlfn.CONCAT(IF(G35="",D35,G35)," (",Q35,"–",V35,")"))</f>
        <v>Frank (1848–1934)</v>
      </c>
      <c r="AU35" s="352" t="str">
        <f t="shared" si="0"/>
        <v>Male</v>
      </c>
      <c r="AV35" s="355" t="s">
        <v>4372</v>
      </c>
      <c r="AW35" s="319" t="str">
        <f>VLOOKUP(AV35,'Mums of Loyd Edit&amp;Partner Edit'!$B$3:$C$66,2,FALSE)</f>
        <v>Annie Hurst HAIG (b. 3 Oct 1816, d. 28 May 1885)</v>
      </c>
      <c r="AX35" s="360">
        <v>14</v>
      </c>
      <c r="AY35" s="355" t="str">
        <f t="shared" si="8"/>
        <v>Thomas (1812–1857: #14)</v>
      </c>
      <c r="AZ35" s="361">
        <f>VLOOKUP(AX35,Lineage!$A$1:$C$200,2,FALSE)</f>
        <v>4</v>
      </c>
      <c r="BA35" s="362" t="str">
        <f t="shared" si="31"/>
        <v>William (1770–1828: #4)</v>
      </c>
      <c r="BB35" s="368">
        <f>BiographyMarriageDetsCountries!A34</f>
        <v>32</v>
      </c>
      <c r="BC35" s="319"/>
      <c r="BD35" s="362"/>
      <c r="BF35" s="324"/>
      <c r="BG35" s="357">
        <f t="shared" si="21"/>
        <v>32</v>
      </c>
      <c r="BH35" s="289" t="str">
        <f t="shared" si="22"/>
        <v>Frank Kirkman LOYD</v>
      </c>
      <c r="BI35" s="289" t="str">
        <f t="shared" si="23"/>
        <v>Frank (1848–1934)</v>
      </c>
      <c r="BJ35" s="304" t="str">
        <f t="shared" si="24"/>
        <v>Male</v>
      </c>
      <c r="BK35" s="304">
        <f t="shared" si="25"/>
        <v>3</v>
      </c>
      <c r="BL35" s="289" t="str">
        <f t="shared" si="26"/>
        <v>Thomas (1812–1857: #14)</v>
      </c>
      <c r="BM35" s="289" t="str">
        <f t="shared" si="27"/>
        <v>Annie Hurst HAIG (b. 3 Oct 1816, d. 28 May 1885)</v>
      </c>
      <c r="BN35" s="367" t="str">
        <f t="shared" si="28"/>
        <v>13-Aug-1848</v>
      </c>
      <c r="BO35" s="367" t="str">
        <f t="shared" si="29"/>
        <v>08-Sep-1934</v>
      </c>
      <c r="BP35" s="365" t="str">
        <f t="shared" si="30"/>
        <v>Died 08-Sep-1934, aged 86.</v>
      </c>
    </row>
    <row r="36" spans="1:68" s="289" customFormat="1" ht="40">
      <c r="A36" s="302">
        <v>33</v>
      </c>
      <c r="B36" s="364">
        <v>3</v>
      </c>
      <c r="C36" s="288" t="s">
        <v>782</v>
      </c>
      <c r="D36" s="289" t="s">
        <v>1063</v>
      </c>
      <c r="E36" s="289" t="s">
        <v>819</v>
      </c>
      <c r="H36" s="304" t="s">
        <v>3245</v>
      </c>
      <c r="I36" s="306" t="s">
        <v>4473</v>
      </c>
      <c r="J36" s="306" t="s">
        <v>4474</v>
      </c>
      <c r="K36" s="308" t="s">
        <v>4515</v>
      </c>
      <c r="L36" s="308" t="s">
        <v>4515</v>
      </c>
      <c r="M36" s="323" t="s">
        <v>1065</v>
      </c>
      <c r="N36" s="323"/>
      <c r="O36" s="348">
        <f t="shared" si="9"/>
        <v>16</v>
      </c>
      <c r="P36" s="345">
        <f t="shared" ref="P36:P67" si="37">VALUE(MID(K36,4,2))</f>
        <v>10</v>
      </c>
      <c r="Q36" s="345">
        <f t="shared" ref="Q36:Q67" si="38">VALUE(RIGHT(K36,4))</f>
        <v>1849</v>
      </c>
      <c r="R36" s="344" t="str">
        <f t="shared" si="10"/>
        <v>Oct</v>
      </c>
      <c r="S36" s="344">
        <f t="shared" ref="S36:S67" si="39">LEN(M36)</f>
        <v>10</v>
      </c>
      <c r="T36" s="344">
        <f t="shared" ref="T36:T67" si="40">IF(M36="","",VALUE(LEFT(M36,2)))</f>
        <v>20</v>
      </c>
      <c r="U36" s="344">
        <f t="shared" ref="U36:U67" si="41">IF(M36="","",VALUE(MID(M36,4,2)))</f>
        <v>4</v>
      </c>
      <c r="V36" s="344">
        <f t="shared" ref="V36:V67" si="42">IF(M36="","",VALUE(RIGHT(M36,4)))</f>
        <v>1881</v>
      </c>
      <c r="W36" s="344" t="str">
        <f t="shared" si="11"/>
        <v>Apr</v>
      </c>
      <c r="X36" s="344"/>
      <c r="Y36" s="344"/>
      <c r="Z36" s="314" t="str">
        <f t="shared" si="32"/>
        <v>16-Oct-1849</v>
      </c>
      <c r="AA36" s="314" t="str">
        <f t="shared" si="13"/>
        <v>20-Apr-1881</v>
      </c>
      <c r="AB36" s="314">
        <f t="shared" si="14"/>
        <v>31</v>
      </c>
      <c r="AC36" s="314">
        <f t="shared" si="15"/>
        <v>172</v>
      </c>
      <c r="AD36" s="347" t="str">
        <f t="shared" si="16"/>
        <v>Died 20-Apr-1881, aged 31.</v>
      </c>
      <c r="AE36" s="305"/>
      <c r="AF36" s="303"/>
      <c r="AG36" s="303"/>
      <c r="AH36" s="303"/>
      <c r="AI36" s="289" t="s">
        <v>2793</v>
      </c>
      <c r="AJ36" s="289" t="s">
        <v>2793</v>
      </c>
      <c r="AK36" s="344" t="str">
        <f t="shared" si="17"/>
        <v xml:space="preserve"> -</v>
      </c>
      <c r="AL36" s="344" t="str">
        <f t="shared" si="35"/>
        <v xml:space="preserve"> -</v>
      </c>
      <c r="AM36" s="344" t="str">
        <f t="shared" si="36"/>
        <v xml:space="preserve"> -</v>
      </c>
      <c r="AN36" s="344" t="str">
        <f t="shared" si="20"/>
        <v xml:space="preserve"> -</v>
      </c>
      <c r="AO36" s="344" t="str">
        <f t="shared" ref="AO36:AO67" si="43">IF(AJ36=" -",AJ36,_xlfn.CONCAT(AK36,"-",AN36,"-",AM36))</f>
        <v xml:space="preserve"> -</v>
      </c>
      <c r="AR36" s="350">
        <f>A36</f>
        <v>33</v>
      </c>
      <c r="AS36" s="353" t="str">
        <f>IF(V36="",_xlfn.CONCAT(IF(G36="",D36,G36)," (",Q36,"–",V36," : #",AR36,")"),_xlfn.CONCAT(IF(G36="",D36,G36)," (",Q36,"–",V36,": #",AR36,")"))</f>
        <v>Alfred (1849–1881: #33)</v>
      </c>
      <c r="AT36" s="353" t="str">
        <f>IF(V36="",_xlfn.CONCAT(IF(G36="",D36,G36)," (",Q36,"– ",V36,")"),_xlfn.CONCAT(IF(G36="",D36,G36)," (",Q36,"–",V36,")"))</f>
        <v>Alfred (1849–1881)</v>
      </c>
      <c r="AU36" s="352" t="str">
        <f t="shared" si="0"/>
        <v>Male</v>
      </c>
      <c r="AV36" s="355" t="s">
        <v>4372</v>
      </c>
      <c r="AW36" s="319" t="str">
        <f>VLOOKUP(AV36,'Mums of Loyd Edit&amp;Partner Edit'!$B$3:$C$66,2,FALSE)</f>
        <v>Annie Hurst HAIG (b. 3 Oct 1816, d. 28 May 1885)</v>
      </c>
      <c r="AX36" s="360">
        <v>14</v>
      </c>
      <c r="AY36" s="355" t="str">
        <f t="shared" si="8"/>
        <v>Thomas (1812–1857: #14)</v>
      </c>
      <c r="AZ36" s="361">
        <f>VLOOKUP(AX36,Lineage!$A$1:$C$200,2,FALSE)</f>
        <v>4</v>
      </c>
      <c r="BA36" s="362" t="str">
        <f t="shared" si="31"/>
        <v>William (1770–1828: #4)</v>
      </c>
      <c r="BB36" s="368">
        <f>BiographyMarriageDetsCountries!A35</f>
        <v>33</v>
      </c>
      <c r="BC36" s="319"/>
      <c r="BD36" s="362"/>
      <c r="BF36" s="324"/>
      <c r="BG36" s="357">
        <f t="shared" si="21"/>
        <v>33</v>
      </c>
      <c r="BH36" s="289" t="str">
        <f t="shared" si="22"/>
        <v>Alfred Kirkman LOYD</v>
      </c>
      <c r="BI36" s="289" t="str">
        <f t="shared" si="23"/>
        <v>Alfred (1849–1881)</v>
      </c>
      <c r="BJ36" s="304" t="str">
        <f t="shared" si="24"/>
        <v>Male</v>
      </c>
      <c r="BK36" s="304">
        <f t="shared" si="25"/>
        <v>3</v>
      </c>
      <c r="BL36" s="289" t="str">
        <f t="shared" si="26"/>
        <v>Thomas (1812–1857: #14)</v>
      </c>
      <c r="BM36" s="289" t="str">
        <f t="shared" si="27"/>
        <v>Annie Hurst HAIG (b. 3 Oct 1816, d. 28 May 1885)</v>
      </c>
      <c r="BN36" s="367" t="str">
        <f t="shared" si="28"/>
        <v>16-Oct-1849</v>
      </c>
      <c r="BO36" s="367" t="str">
        <f t="shared" si="29"/>
        <v>20-Apr-1881</v>
      </c>
      <c r="BP36" s="365" t="str">
        <f t="shared" si="30"/>
        <v>Died 20-Apr-1881, aged 31.</v>
      </c>
    </row>
    <row r="37" spans="1:68" s="289" customFormat="1" ht="40">
      <c r="A37" s="302">
        <v>34</v>
      </c>
      <c r="B37" s="364">
        <v>3</v>
      </c>
      <c r="C37" s="288" t="s">
        <v>1066</v>
      </c>
      <c r="D37" s="289" t="s">
        <v>811</v>
      </c>
      <c r="E37" s="289" t="s">
        <v>819</v>
      </c>
      <c r="G37" s="289" t="s">
        <v>1179</v>
      </c>
      <c r="H37" s="304" t="s">
        <v>3245</v>
      </c>
      <c r="I37" s="306" t="s">
        <v>4475</v>
      </c>
      <c r="J37" s="306">
        <v>1922</v>
      </c>
      <c r="K37" s="308" t="s">
        <v>4516</v>
      </c>
      <c r="L37" s="308" t="s">
        <v>4516</v>
      </c>
      <c r="M37" s="323" t="s">
        <v>3168</v>
      </c>
      <c r="N37" s="323"/>
      <c r="O37" s="348">
        <f t="shared" si="9"/>
        <v>6</v>
      </c>
      <c r="P37" s="345">
        <f t="shared" si="37"/>
        <v>8</v>
      </c>
      <c r="Q37" s="345">
        <f t="shared" si="38"/>
        <v>1851</v>
      </c>
      <c r="R37" s="344" t="str">
        <f t="shared" si="10"/>
        <v>Aug</v>
      </c>
      <c r="S37" s="344">
        <f t="shared" si="39"/>
        <v>10</v>
      </c>
      <c r="T37" s="344">
        <f t="shared" si="40"/>
        <v>23</v>
      </c>
      <c r="U37" s="344">
        <f t="shared" si="41"/>
        <v>10</v>
      </c>
      <c r="V37" s="344">
        <f t="shared" si="42"/>
        <v>1922</v>
      </c>
      <c r="W37" s="344" t="str">
        <f t="shared" si="11"/>
        <v>Oct</v>
      </c>
      <c r="X37" s="344"/>
      <c r="Y37" s="344"/>
      <c r="Z37" s="314" t="str">
        <f t="shared" si="32"/>
        <v>06-Aug-1851</v>
      </c>
      <c r="AA37" s="314" t="str">
        <f t="shared" si="13"/>
        <v>23-Oct-1922</v>
      </c>
      <c r="AB37" s="314">
        <f t="shared" si="14"/>
        <v>71</v>
      </c>
      <c r="AC37" s="314">
        <f t="shared" si="15"/>
        <v>170</v>
      </c>
      <c r="AD37" s="347" t="str">
        <f t="shared" si="16"/>
        <v>Died 23-Oct-1922, aged 71.</v>
      </c>
      <c r="AE37" s="305"/>
      <c r="AF37" s="303"/>
      <c r="AG37" s="303"/>
      <c r="AH37" s="303"/>
      <c r="AI37" s="289" t="s">
        <v>1068</v>
      </c>
      <c r="AJ37" s="289" t="s">
        <v>1068</v>
      </c>
      <c r="AK37" s="344" t="str">
        <f t="shared" si="17"/>
        <v>11</v>
      </c>
      <c r="AL37" s="344">
        <f t="shared" si="35"/>
        <v>4</v>
      </c>
      <c r="AM37" s="344">
        <f t="shared" si="36"/>
        <v>1888</v>
      </c>
      <c r="AN37" s="344" t="str">
        <f t="shared" si="20"/>
        <v>Apr</v>
      </c>
      <c r="AO37" s="344" t="str">
        <f t="shared" si="43"/>
        <v>11-Apr-1888</v>
      </c>
      <c r="AR37" s="350">
        <f>A37</f>
        <v>34</v>
      </c>
      <c r="AS37" s="353" t="str">
        <f>IF(V37="",_xlfn.CONCAT(IF(G37="",D37,G37)," (",Q37,"–",V37," : #",AR37,")"),_xlfn.CONCAT(IF(G37="",D37,G37)," (",Q37,"–",V37,": #",AR37,")"))</f>
        <v>Ted (1851–1922: #34)</v>
      </c>
      <c r="AT37" s="353" t="str">
        <f>IF(V37="",_xlfn.CONCAT(IF(G37="",D37,G37)," (",Q37,"– ",V37,")"),_xlfn.CONCAT(IF(G37="",D37,G37)," (",Q37,"–",V37,")"))</f>
        <v>Ted (1851–1922)</v>
      </c>
      <c r="AU37" s="352" t="str">
        <f t="shared" si="0"/>
        <v>Male</v>
      </c>
      <c r="AV37" s="355" t="s">
        <v>4372</v>
      </c>
      <c r="AW37" s="319" t="str">
        <f>VLOOKUP(AV37,'Mums of Loyd Edit&amp;Partner Edit'!$B$3:$C$66,2,FALSE)</f>
        <v>Annie Hurst HAIG (b. 3 Oct 1816, d. 28 May 1885)</v>
      </c>
      <c r="AX37" s="360">
        <v>14</v>
      </c>
      <c r="AY37" s="355" t="str">
        <f t="shared" si="8"/>
        <v>Thomas (1812–1857: #14)</v>
      </c>
      <c r="AZ37" s="361">
        <f>VLOOKUP(AX37,Lineage!$A$1:$C$200,2,FALSE)</f>
        <v>4</v>
      </c>
      <c r="BA37" s="362" t="str">
        <f t="shared" si="31"/>
        <v>William (1770–1828: #4)</v>
      </c>
      <c r="BB37" s="368">
        <f>BiographyMarriageDetsCountries!A36</f>
        <v>34</v>
      </c>
      <c r="BC37" s="319"/>
      <c r="BD37" s="362"/>
      <c r="BF37" s="324"/>
      <c r="BG37" s="357">
        <f t="shared" si="21"/>
        <v>34</v>
      </c>
      <c r="BH37" s="289" t="str">
        <f t="shared" si="22"/>
        <v xml:space="preserve">Edward Kirkman LOYD </v>
      </c>
      <c r="BI37" s="289" t="str">
        <f t="shared" si="23"/>
        <v>Ted (1851–1922)</v>
      </c>
      <c r="BJ37" s="304" t="str">
        <f t="shared" si="24"/>
        <v>Male</v>
      </c>
      <c r="BK37" s="304">
        <f t="shared" si="25"/>
        <v>3</v>
      </c>
      <c r="BL37" s="289" t="str">
        <f t="shared" si="26"/>
        <v>Thomas (1812–1857: #14)</v>
      </c>
      <c r="BM37" s="289" t="str">
        <f t="shared" si="27"/>
        <v>Annie Hurst HAIG (b. 3 Oct 1816, d. 28 May 1885)</v>
      </c>
      <c r="BN37" s="367" t="str">
        <f t="shared" si="28"/>
        <v>06-Aug-1851</v>
      </c>
      <c r="BO37" s="367" t="str">
        <f t="shared" si="29"/>
        <v>23-Oct-1922</v>
      </c>
      <c r="BP37" s="365" t="str">
        <f t="shared" si="30"/>
        <v>Died 23-Oct-1922, aged 71.</v>
      </c>
    </row>
    <row r="38" spans="1:68" s="289" customFormat="1" ht="40">
      <c r="A38" s="302">
        <v>35</v>
      </c>
      <c r="B38" s="364">
        <v>3</v>
      </c>
      <c r="C38" s="288" t="s">
        <v>782</v>
      </c>
      <c r="D38" s="289" t="s">
        <v>914</v>
      </c>
      <c r="E38" s="289" t="s">
        <v>824</v>
      </c>
      <c r="H38" s="304" t="s">
        <v>3245</v>
      </c>
      <c r="I38" s="306" t="s">
        <v>3283</v>
      </c>
      <c r="J38" s="306">
        <v>1908</v>
      </c>
      <c r="K38" s="308" t="s">
        <v>4517</v>
      </c>
      <c r="L38" s="308" t="s">
        <v>4517</v>
      </c>
      <c r="M38" s="323" t="s">
        <v>3169</v>
      </c>
      <c r="N38" s="323"/>
      <c r="O38" s="348">
        <f t="shared" si="9"/>
        <v>14</v>
      </c>
      <c r="P38" s="345">
        <f t="shared" si="37"/>
        <v>11</v>
      </c>
      <c r="Q38" s="345">
        <f t="shared" si="38"/>
        <v>1852</v>
      </c>
      <c r="R38" s="344" t="str">
        <f t="shared" si="10"/>
        <v>Nov</v>
      </c>
      <c r="S38" s="344">
        <f t="shared" si="39"/>
        <v>10</v>
      </c>
      <c r="T38" s="344">
        <f t="shared" si="40"/>
        <v>21</v>
      </c>
      <c r="U38" s="344">
        <f t="shared" si="41"/>
        <v>9</v>
      </c>
      <c r="V38" s="344">
        <f t="shared" si="42"/>
        <v>1908</v>
      </c>
      <c r="W38" s="344" t="str">
        <f t="shared" si="11"/>
        <v>Sep</v>
      </c>
      <c r="X38" s="344"/>
      <c r="Y38" s="344"/>
      <c r="Z38" s="314" t="str">
        <f t="shared" si="32"/>
        <v>14-Nov-1852</v>
      </c>
      <c r="AA38" s="314" t="str">
        <f t="shared" si="13"/>
        <v>21-Sep-1908</v>
      </c>
      <c r="AB38" s="314">
        <f t="shared" si="14"/>
        <v>55</v>
      </c>
      <c r="AC38" s="314">
        <f t="shared" si="15"/>
        <v>169</v>
      </c>
      <c r="AD38" s="347" t="str">
        <f t="shared" si="16"/>
        <v>Died 21-Sep-1908, aged 55.</v>
      </c>
      <c r="AE38" s="305"/>
      <c r="AF38" s="303"/>
      <c r="AG38" s="303"/>
      <c r="AH38" s="303"/>
      <c r="AI38" s="289" t="s">
        <v>1070</v>
      </c>
      <c r="AJ38" s="289" t="s">
        <v>1070</v>
      </c>
      <c r="AK38" s="344" t="str">
        <f t="shared" si="17"/>
        <v>14</v>
      </c>
      <c r="AL38" s="344">
        <f t="shared" si="35"/>
        <v>8</v>
      </c>
      <c r="AM38" s="344">
        <f t="shared" si="36"/>
        <v>1879</v>
      </c>
      <c r="AN38" s="344" t="str">
        <f t="shared" si="20"/>
        <v>Aug</v>
      </c>
      <c r="AO38" s="344" t="str">
        <f t="shared" si="43"/>
        <v>14-Aug-1879</v>
      </c>
      <c r="AR38" s="350">
        <f>A38</f>
        <v>35</v>
      </c>
      <c r="AS38" s="353" t="str">
        <f>IF(V38="",_xlfn.CONCAT(IF(G38="",D38,G38)," (",Q38,"–",V38," : #",AR38,")"),_xlfn.CONCAT(IF(G38="",D38,G38)," (",Q38,"–",V38,": #",AR38,")"))</f>
        <v>Lewis (1852–1908: #35)</v>
      </c>
      <c r="AT38" s="353" t="str">
        <f>IF(V38="",_xlfn.CONCAT(IF(G38="",D38,G38)," (",Q38,"– ",V38,")"),_xlfn.CONCAT(IF(G38="",D38,G38)," (",Q38,"–",V38,")"))</f>
        <v>Lewis (1852–1908)</v>
      </c>
      <c r="AU38" s="352" t="str">
        <f t="shared" si="0"/>
        <v>Male</v>
      </c>
      <c r="AV38" s="355" t="s">
        <v>4374</v>
      </c>
      <c r="AW38" s="319" t="str">
        <f>VLOOKUP(AV38,'Mums of Loyd Edit&amp;Partner Edit'!$B$3:$C$66,2,FALSE)</f>
        <v>Caroline Gertrude Walker VIVIAN (b. 1829, d. 28 Nov 1893)</v>
      </c>
      <c r="AX38" s="360">
        <v>23</v>
      </c>
      <c r="AY38" s="355" t="str">
        <f t="shared" si="8"/>
        <v>William (1821–1885: #23)</v>
      </c>
      <c r="AZ38" s="361">
        <f>VLOOKUP(AX38,Lineage!$A$1:$C$200,2,FALSE)</f>
        <v>8</v>
      </c>
      <c r="BA38" s="362" t="str">
        <f t="shared" si="31"/>
        <v>Edward (1780–1863: #8)</v>
      </c>
      <c r="BB38" s="368">
        <f>BiographyMarriageDetsCountries!A37</f>
        <v>35</v>
      </c>
      <c r="BC38" s="319"/>
      <c r="BD38" s="362"/>
      <c r="BF38" s="324"/>
      <c r="BG38" s="357">
        <f t="shared" si="21"/>
        <v>35</v>
      </c>
      <c r="BH38" s="289" t="str">
        <f t="shared" si="22"/>
        <v>Lewis Vivian LOYD</v>
      </c>
      <c r="BI38" s="289" t="str">
        <f t="shared" si="23"/>
        <v>Lewis (1852–1908)</v>
      </c>
      <c r="BJ38" s="304" t="str">
        <f t="shared" si="24"/>
        <v>Male</v>
      </c>
      <c r="BK38" s="304">
        <f t="shared" si="25"/>
        <v>3</v>
      </c>
      <c r="BL38" s="289" t="str">
        <f t="shared" si="26"/>
        <v>William (1821–1885: #23)</v>
      </c>
      <c r="BM38" s="289" t="str">
        <f t="shared" si="27"/>
        <v>Caroline Gertrude Walker VIVIAN (b. 1829, d. 28 Nov 1893)</v>
      </c>
      <c r="BN38" s="367" t="str">
        <f t="shared" si="28"/>
        <v>14-Nov-1852</v>
      </c>
      <c r="BO38" s="367" t="str">
        <f t="shared" si="29"/>
        <v>21-Sep-1908</v>
      </c>
      <c r="BP38" s="365" t="str">
        <f t="shared" si="30"/>
        <v>Died 21-Sep-1908, aged 55.</v>
      </c>
    </row>
    <row r="39" spans="1:68" s="289" customFormat="1" ht="40">
      <c r="A39" s="302">
        <v>36</v>
      </c>
      <c r="B39" s="364">
        <v>3</v>
      </c>
      <c r="C39" s="288" t="s">
        <v>782</v>
      </c>
      <c r="D39" s="289" t="s">
        <v>1071</v>
      </c>
      <c r="E39" s="289" t="s">
        <v>998</v>
      </c>
      <c r="H39" s="304" t="s">
        <v>3244</v>
      </c>
      <c r="I39" s="306" t="s">
        <v>1892</v>
      </c>
      <c r="J39" s="306" t="s">
        <v>1893</v>
      </c>
      <c r="K39" s="308" t="s">
        <v>4564</v>
      </c>
      <c r="L39" s="308" t="s">
        <v>4564</v>
      </c>
      <c r="M39" s="323" t="s">
        <v>1073</v>
      </c>
      <c r="N39" s="323"/>
      <c r="O39" s="348">
        <f t="shared" si="9"/>
        <v>18</v>
      </c>
      <c r="P39" s="345">
        <f t="shared" si="37"/>
        <v>1</v>
      </c>
      <c r="Q39" s="345">
        <f t="shared" si="38"/>
        <v>1853</v>
      </c>
      <c r="R39" s="344" t="str">
        <f t="shared" si="10"/>
        <v>Jan</v>
      </c>
      <c r="S39" s="344">
        <f t="shared" si="39"/>
        <v>10</v>
      </c>
      <c r="T39" s="344">
        <f t="shared" si="40"/>
        <v>25</v>
      </c>
      <c r="U39" s="344">
        <f t="shared" si="41"/>
        <v>12</v>
      </c>
      <c r="V39" s="344">
        <f t="shared" si="42"/>
        <v>1895</v>
      </c>
      <c r="W39" s="344" t="str">
        <f t="shared" si="11"/>
        <v>Dec</v>
      </c>
      <c r="X39" s="344"/>
      <c r="Y39" s="344"/>
      <c r="Z39" s="314" t="str">
        <f t="shared" si="32"/>
        <v>18-Jan-1853</v>
      </c>
      <c r="AA39" s="314" t="str">
        <f t="shared" si="13"/>
        <v>25-Dec-1895</v>
      </c>
      <c r="AB39" s="314">
        <f t="shared" si="14"/>
        <v>42</v>
      </c>
      <c r="AC39" s="314">
        <f t="shared" si="15"/>
        <v>168</v>
      </c>
      <c r="AD39" s="347" t="str">
        <f t="shared" si="16"/>
        <v>Died 25-Dec-1895, aged 42.</v>
      </c>
      <c r="AE39" s="305"/>
      <c r="AF39" s="303"/>
      <c r="AG39" s="303"/>
      <c r="AH39" s="303"/>
      <c r="AI39" s="289" t="s">
        <v>1072</v>
      </c>
      <c r="AJ39" s="289" t="s">
        <v>1072</v>
      </c>
      <c r="AK39" s="344" t="str">
        <f t="shared" si="17"/>
        <v>21</v>
      </c>
      <c r="AL39" s="344">
        <f t="shared" si="35"/>
        <v>9</v>
      </c>
      <c r="AM39" s="344">
        <f t="shared" si="36"/>
        <v>1876</v>
      </c>
      <c r="AN39" s="344" t="str">
        <f t="shared" si="20"/>
        <v>Sep</v>
      </c>
      <c r="AO39" s="344" t="str">
        <f t="shared" si="43"/>
        <v>21-Sep-1876</v>
      </c>
      <c r="AR39" s="350">
        <f>A39</f>
        <v>36</v>
      </c>
      <c r="AS39" s="353" t="str">
        <f>IF(V39="",_xlfn.CONCAT(IF(G39="",D39,G39)," (",Q39,"–",V39," : #",AR39,")"),_xlfn.CONCAT(IF(G39="",D39,G39)," (",Q39,"–",V39,": #",AR39,")"))</f>
        <v>Elinor (1853–1895: #36)</v>
      </c>
      <c r="AT39" s="353" t="str">
        <f>IF(V39="",_xlfn.CONCAT(IF(G39="",D39,G39)," (",Q39,"– ",V39,")"),_xlfn.CONCAT(IF(G39="",D39,G39)," (",Q39,"–",V39,")"))</f>
        <v>Elinor (1853–1895)</v>
      </c>
      <c r="AU39" s="352" t="str">
        <f t="shared" si="0"/>
        <v>Female</v>
      </c>
      <c r="AV39" s="355" t="s">
        <v>4373</v>
      </c>
      <c r="AW39" s="319" t="str">
        <f>VLOOKUP(AV39,'Mums of Loyd Edit&amp;Partner Edit'!$B$3:$C$66,2,FALSE)</f>
        <v>Caroline Louisa FOSTER (b. 6 Aug 1825, d. 8 Feb 1900)</v>
      </c>
      <c r="AX39" s="360">
        <v>22</v>
      </c>
      <c r="AY39" s="355" t="str">
        <f t="shared" si="8"/>
        <v>Edward (1820–1890: #22)</v>
      </c>
      <c r="AZ39" s="361">
        <f>VLOOKUP(AX39,Lineage!$A$1:$C$200,2,FALSE)</f>
        <v>8</v>
      </c>
      <c r="BA39" s="362" t="str">
        <f t="shared" si="31"/>
        <v>Edward (1780–1863: #8)</v>
      </c>
      <c r="BB39" s="368">
        <f>BiographyMarriageDetsCountries!A38</f>
        <v>36</v>
      </c>
      <c r="BC39" s="319"/>
      <c r="BD39" s="362"/>
      <c r="BF39" s="324"/>
      <c r="BG39" s="357">
        <f t="shared" si="21"/>
        <v>36</v>
      </c>
      <c r="BH39" s="289" t="str">
        <f t="shared" si="22"/>
        <v>Elinor Sarah LOYD</v>
      </c>
      <c r="BI39" s="289" t="str">
        <f t="shared" si="23"/>
        <v>Elinor (1853–1895)</v>
      </c>
      <c r="BJ39" s="304" t="str">
        <f t="shared" si="24"/>
        <v>Female</v>
      </c>
      <c r="BK39" s="304">
        <f t="shared" si="25"/>
        <v>3</v>
      </c>
      <c r="BL39" s="289" t="str">
        <f t="shared" si="26"/>
        <v>Edward (1820–1890: #22)</v>
      </c>
      <c r="BM39" s="289" t="str">
        <f t="shared" si="27"/>
        <v>Caroline Louisa FOSTER (b. 6 Aug 1825, d. 8 Feb 1900)</v>
      </c>
      <c r="BN39" s="367" t="str">
        <f t="shared" si="28"/>
        <v>18-Jan-1853</v>
      </c>
      <c r="BO39" s="367" t="str">
        <f t="shared" si="29"/>
        <v>25-Dec-1895</v>
      </c>
      <c r="BP39" s="365" t="str">
        <f t="shared" si="30"/>
        <v>Died 25-Dec-1895, aged 42.</v>
      </c>
    </row>
    <row r="40" spans="1:68" s="289" customFormat="1" ht="40">
      <c r="A40" s="302">
        <v>37</v>
      </c>
      <c r="B40" s="364">
        <v>3</v>
      </c>
      <c r="C40" s="288" t="s">
        <v>782</v>
      </c>
      <c r="D40" s="289" t="s">
        <v>1075</v>
      </c>
      <c r="H40" s="304" t="s">
        <v>3244</v>
      </c>
      <c r="I40" s="306" t="s">
        <v>1892</v>
      </c>
      <c r="J40" s="306">
        <v>1946</v>
      </c>
      <c r="K40" s="308" t="s">
        <v>4518</v>
      </c>
      <c r="L40" s="308" t="s">
        <v>4518</v>
      </c>
      <c r="M40" s="323" t="s">
        <v>3171</v>
      </c>
      <c r="N40" s="323"/>
      <c r="O40" s="348">
        <f t="shared" si="9"/>
        <v>1</v>
      </c>
      <c r="P40" s="345">
        <f t="shared" si="37"/>
        <v>7</v>
      </c>
      <c r="Q40" s="345">
        <f t="shared" si="38"/>
        <v>1853</v>
      </c>
      <c r="R40" s="344" t="str">
        <f t="shared" si="10"/>
        <v>Jul</v>
      </c>
      <c r="S40" s="344">
        <f t="shared" si="39"/>
        <v>10</v>
      </c>
      <c r="T40" s="344">
        <f t="shared" si="40"/>
        <v>17</v>
      </c>
      <c r="U40" s="344">
        <f t="shared" si="41"/>
        <v>9</v>
      </c>
      <c r="V40" s="344">
        <f t="shared" si="42"/>
        <v>1946</v>
      </c>
      <c r="W40" s="344" t="str">
        <f t="shared" si="11"/>
        <v>Sep</v>
      </c>
      <c r="X40" s="344"/>
      <c r="Y40" s="344"/>
      <c r="Z40" s="314" t="str">
        <f t="shared" si="32"/>
        <v>01-Jul-1853</v>
      </c>
      <c r="AA40" s="314" t="str">
        <f t="shared" si="13"/>
        <v>17-Sep-1946</v>
      </c>
      <c r="AB40" s="314">
        <f t="shared" si="14"/>
        <v>93</v>
      </c>
      <c r="AC40" s="314">
        <f t="shared" si="15"/>
        <v>168</v>
      </c>
      <c r="AD40" s="347" t="str">
        <f t="shared" si="16"/>
        <v>Died 17-Sep-1946, aged 93.</v>
      </c>
      <c r="AE40" s="305"/>
      <c r="AF40" s="303"/>
      <c r="AG40" s="303"/>
      <c r="AH40" s="303"/>
      <c r="AI40" s="289" t="s">
        <v>2793</v>
      </c>
      <c r="AJ40" s="289" t="s">
        <v>2793</v>
      </c>
      <c r="AK40" s="344" t="str">
        <f t="shared" si="17"/>
        <v xml:space="preserve"> -</v>
      </c>
      <c r="AL40" s="344" t="str">
        <f t="shared" si="35"/>
        <v xml:space="preserve"> -</v>
      </c>
      <c r="AM40" s="344" t="str">
        <f t="shared" si="36"/>
        <v xml:space="preserve"> -</v>
      </c>
      <c r="AN40" s="344" t="str">
        <f t="shared" si="20"/>
        <v xml:space="preserve"> -</v>
      </c>
      <c r="AO40" s="344" t="str">
        <f t="shared" si="43"/>
        <v xml:space="preserve"> -</v>
      </c>
      <c r="AR40" s="350">
        <f>A40</f>
        <v>37</v>
      </c>
      <c r="AS40" s="353" t="str">
        <f>IF(V40="",_xlfn.CONCAT(IF(G40="",D40,G40)," (",Q40,"–",V40," : #",AR40,")"),_xlfn.CONCAT(IF(G40="",D40,G40)," (",Q40,"–",V40,": #",AR40,")"))</f>
        <v>Annie (1853–1946: #37)</v>
      </c>
      <c r="AT40" s="353" t="str">
        <f>IF(V40="",_xlfn.CONCAT(IF(G40="",D40,G40)," (",Q40,"– ",V40,")"),_xlfn.CONCAT(IF(G40="",D40,G40)," (",Q40,"–",V40,")"))</f>
        <v>Annie (1853–1946)</v>
      </c>
      <c r="AU40" s="352" t="str">
        <f t="shared" si="0"/>
        <v>Female</v>
      </c>
      <c r="AV40" s="355" t="s">
        <v>4372</v>
      </c>
      <c r="AW40" s="319" t="str">
        <f>VLOOKUP(AV40,'Mums of Loyd Edit&amp;Partner Edit'!$B$3:$C$66,2,FALSE)</f>
        <v>Annie Hurst HAIG (b. 3 Oct 1816, d. 28 May 1885)</v>
      </c>
      <c r="AX40" s="360">
        <v>14</v>
      </c>
      <c r="AY40" s="355" t="str">
        <f t="shared" si="8"/>
        <v>Thomas (1812–1857: #14)</v>
      </c>
      <c r="AZ40" s="361">
        <f>VLOOKUP(AX40,Lineage!$A$1:$C$200,2,FALSE)</f>
        <v>4</v>
      </c>
      <c r="BA40" s="362" t="str">
        <f t="shared" si="31"/>
        <v>William (1770–1828: #4)</v>
      </c>
      <c r="BB40" s="368">
        <f>BiographyMarriageDetsCountries!A39</f>
        <v>37</v>
      </c>
      <c r="BC40" s="319"/>
      <c r="BD40" s="362"/>
      <c r="BF40" s="324"/>
      <c r="BG40" s="357">
        <f t="shared" si="21"/>
        <v>37</v>
      </c>
      <c r="BH40" s="289" t="str">
        <f t="shared" si="22"/>
        <v>Annie LOYD</v>
      </c>
      <c r="BI40" s="289" t="str">
        <f t="shared" si="23"/>
        <v>Annie (1853–1946)</v>
      </c>
      <c r="BJ40" s="304" t="str">
        <f t="shared" si="24"/>
        <v>Female</v>
      </c>
      <c r="BK40" s="304">
        <f t="shared" si="25"/>
        <v>3</v>
      </c>
      <c r="BL40" s="289" t="str">
        <f t="shared" si="26"/>
        <v>Thomas (1812–1857: #14)</v>
      </c>
      <c r="BM40" s="289" t="str">
        <f t="shared" si="27"/>
        <v>Annie Hurst HAIG (b. 3 Oct 1816, d. 28 May 1885)</v>
      </c>
      <c r="BN40" s="367" t="str">
        <f t="shared" si="28"/>
        <v>01-Jul-1853</v>
      </c>
      <c r="BO40" s="367" t="str">
        <f t="shared" si="29"/>
        <v>17-Sep-1946</v>
      </c>
      <c r="BP40" s="365" t="str">
        <f t="shared" si="30"/>
        <v>Died 17-Sep-1946, aged 93.</v>
      </c>
    </row>
    <row r="41" spans="1:68" s="289" customFormat="1" ht="40">
      <c r="A41" s="302">
        <v>38</v>
      </c>
      <c r="B41" s="364">
        <v>3</v>
      </c>
      <c r="C41" s="288" t="s">
        <v>782</v>
      </c>
      <c r="D41" s="289" t="s">
        <v>799</v>
      </c>
      <c r="E41" s="289" t="s">
        <v>998</v>
      </c>
      <c r="H41" s="304" t="s">
        <v>3244</v>
      </c>
      <c r="I41" s="306" t="s">
        <v>1899</v>
      </c>
      <c r="J41" s="306">
        <v>1924</v>
      </c>
      <c r="K41" s="308" t="s">
        <v>4519</v>
      </c>
      <c r="L41" s="308" t="s">
        <v>4519</v>
      </c>
      <c r="M41" s="323" t="s">
        <v>3172</v>
      </c>
      <c r="N41" s="323"/>
      <c r="O41" s="348">
        <f t="shared" si="9"/>
        <v>24</v>
      </c>
      <c r="P41" s="345">
        <f t="shared" si="37"/>
        <v>9</v>
      </c>
      <c r="Q41" s="345">
        <f t="shared" si="38"/>
        <v>1854</v>
      </c>
      <c r="R41" s="344" t="str">
        <f t="shared" si="10"/>
        <v>Sep</v>
      </c>
      <c r="S41" s="344">
        <f t="shared" si="39"/>
        <v>10</v>
      </c>
      <c r="T41" s="344">
        <f t="shared" si="40"/>
        <v>30</v>
      </c>
      <c r="U41" s="344">
        <f t="shared" si="41"/>
        <v>6</v>
      </c>
      <c r="V41" s="344">
        <f t="shared" si="42"/>
        <v>1924</v>
      </c>
      <c r="W41" s="344" t="str">
        <f t="shared" si="11"/>
        <v>Jun</v>
      </c>
      <c r="X41" s="344"/>
      <c r="Y41" s="344"/>
      <c r="Z41" s="314" t="str">
        <f t="shared" si="32"/>
        <v>24-Sep-1854</v>
      </c>
      <c r="AA41" s="314" t="str">
        <f t="shared" si="13"/>
        <v>30-Jun-1924</v>
      </c>
      <c r="AB41" s="314">
        <f t="shared" si="14"/>
        <v>69</v>
      </c>
      <c r="AC41" s="314">
        <f t="shared" si="15"/>
        <v>167</v>
      </c>
      <c r="AD41" s="347" t="str">
        <f t="shared" si="16"/>
        <v>Died 30-Jun-1924, aged 69.</v>
      </c>
      <c r="AE41" s="305"/>
      <c r="AF41" s="303"/>
      <c r="AG41" s="303"/>
      <c r="AH41" s="303"/>
      <c r="AI41" s="289" t="s">
        <v>2793</v>
      </c>
      <c r="AJ41" s="289" t="s">
        <v>2793</v>
      </c>
      <c r="AK41" s="344" t="str">
        <f t="shared" si="17"/>
        <v xml:space="preserve"> -</v>
      </c>
      <c r="AL41" s="344" t="str">
        <f t="shared" si="35"/>
        <v xml:space="preserve"> -</v>
      </c>
      <c r="AM41" s="344" t="str">
        <f t="shared" si="36"/>
        <v xml:space="preserve"> -</v>
      </c>
      <c r="AN41" s="344" t="str">
        <f t="shared" si="20"/>
        <v xml:space="preserve"> -</v>
      </c>
      <c r="AO41" s="344" t="str">
        <f t="shared" si="43"/>
        <v xml:space="preserve"> -</v>
      </c>
      <c r="AR41" s="350">
        <f>A41</f>
        <v>38</v>
      </c>
      <c r="AS41" s="353" t="str">
        <f>IF(V41="",_xlfn.CONCAT(IF(G41="",D41,G41)," (",Q41,"–",V41," : #",AR41,")"),_xlfn.CONCAT(IF(G41="",D41,G41)," (",Q41,"–",V41,": #",AR41,")"))</f>
        <v>Gertrude (1854–1924: #38)</v>
      </c>
      <c r="AT41" s="353" t="str">
        <f>IF(V41="",_xlfn.CONCAT(IF(G41="",D41,G41)," (",Q41,"– ",V41,")"),_xlfn.CONCAT(IF(G41="",D41,G41)," (",Q41,"–",V41,")"))</f>
        <v>Gertrude (1854–1924)</v>
      </c>
      <c r="AU41" s="352" t="str">
        <f t="shared" si="0"/>
        <v>Female</v>
      </c>
      <c r="AV41" s="355" t="s">
        <v>4374</v>
      </c>
      <c r="AW41" s="319" t="str">
        <f>VLOOKUP(AV41,'Mums of Loyd Edit&amp;Partner Edit'!$B$3:$C$66,2,FALSE)</f>
        <v>Caroline Gertrude Walker VIVIAN (b. 1829, d. 28 Nov 1893)</v>
      </c>
      <c r="AX41" s="360">
        <v>23</v>
      </c>
      <c r="AY41" s="355" t="str">
        <f t="shared" si="8"/>
        <v>William (1821–1885: #23)</v>
      </c>
      <c r="AZ41" s="361">
        <f>VLOOKUP(AX41,Lineage!$A$1:$C$200,2,FALSE)</f>
        <v>8</v>
      </c>
      <c r="BA41" s="362" t="str">
        <f t="shared" si="31"/>
        <v>Edward (1780–1863: #8)</v>
      </c>
      <c r="BB41" s="368">
        <f>BiographyMarriageDetsCountries!A40</f>
        <v>38</v>
      </c>
      <c r="BC41" s="319"/>
      <c r="BD41" s="362"/>
      <c r="BF41" s="324"/>
      <c r="BG41" s="357">
        <f t="shared" si="21"/>
        <v>38</v>
      </c>
      <c r="BH41" s="289" t="str">
        <f t="shared" si="22"/>
        <v>Gertrude Sarah LOYD</v>
      </c>
      <c r="BI41" s="289" t="str">
        <f t="shared" si="23"/>
        <v>Gertrude (1854–1924)</v>
      </c>
      <c r="BJ41" s="304" t="str">
        <f t="shared" si="24"/>
        <v>Female</v>
      </c>
      <c r="BK41" s="304">
        <f t="shared" si="25"/>
        <v>3</v>
      </c>
      <c r="BL41" s="289" t="str">
        <f t="shared" si="26"/>
        <v>William (1821–1885: #23)</v>
      </c>
      <c r="BM41" s="289" t="str">
        <f t="shared" si="27"/>
        <v>Caroline Gertrude Walker VIVIAN (b. 1829, d. 28 Nov 1893)</v>
      </c>
      <c r="BN41" s="367" t="str">
        <f t="shared" si="28"/>
        <v>24-Sep-1854</v>
      </c>
      <c r="BO41" s="367" t="str">
        <f t="shared" si="29"/>
        <v>30-Jun-1924</v>
      </c>
      <c r="BP41" s="365" t="str">
        <f t="shared" si="30"/>
        <v>Died 30-Jun-1924, aged 69.</v>
      </c>
    </row>
    <row r="42" spans="1:68" s="289" customFormat="1" ht="40">
      <c r="A42" s="302">
        <v>39</v>
      </c>
      <c r="B42" s="364">
        <v>3</v>
      </c>
      <c r="C42" s="288" t="s">
        <v>782</v>
      </c>
      <c r="D42" s="289" t="s">
        <v>1036</v>
      </c>
      <c r="E42" s="289" t="s">
        <v>973</v>
      </c>
      <c r="G42" s="289" t="s">
        <v>2946</v>
      </c>
      <c r="H42" s="304" t="s">
        <v>3244</v>
      </c>
      <c r="I42" s="306" t="s">
        <v>1903</v>
      </c>
      <c r="J42" s="306">
        <v>1927</v>
      </c>
      <c r="K42" s="308" t="s">
        <v>4520</v>
      </c>
      <c r="L42" s="308" t="s">
        <v>4520</v>
      </c>
      <c r="M42" s="323" t="s">
        <v>3173</v>
      </c>
      <c r="N42" s="323"/>
      <c r="O42" s="348">
        <f t="shared" si="9"/>
        <v>8</v>
      </c>
      <c r="P42" s="345">
        <f t="shared" si="37"/>
        <v>2</v>
      </c>
      <c r="Q42" s="345">
        <f t="shared" si="38"/>
        <v>1855</v>
      </c>
      <c r="R42" s="344" t="str">
        <f t="shared" si="10"/>
        <v>Feb</v>
      </c>
      <c r="S42" s="344">
        <f t="shared" si="39"/>
        <v>10</v>
      </c>
      <c r="T42" s="344">
        <f t="shared" si="40"/>
        <v>10</v>
      </c>
      <c r="U42" s="344">
        <f t="shared" si="41"/>
        <v>5</v>
      </c>
      <c r="V42" s="344">
        <f t="shared" si="42"/>
        <v>1927</v>
      </c>
      <c r="W42" s="344" t="str">
        <f t="shared" si="11"/>
        <v>May</v>
      </c>
      <c r="X42" s="344"/>
      <c r="Y42" s="344"/>
      <c r="Z42" s="314" t="str">
        <f t="shared" si="32"/>
        <v>08-Feb-1855</v>
      </c>
      <c r="AA42" s="314" t="str">
        <f t="shared" si="13"/>
        <v>10-May-1927</v>
      </c>
      <c r="AB42" s="314">
        <f t="shared" si="14"/>
        <v>72</v>
      </c>
      <c r="AC42" s="314">
        <f t="shared" si="15"/>
        <v>166</v>
      </c>
      <c r="AD42" s="347" t="str">
        <f t="shared" si="16"/>
        <v>Died 10-May-1927, aged 72.</v>
      </c>
      <c r="AE42" s="305"/>
      <c r="AF42" s="303"/>
      <c r="AG42" s="303"/>
      <c r="AH42" s="303"/>
      <c r="AI42" s="289" t="s">
        <v>2793</v>
      </c>
      <c r="AJ42" s="289" t="s">
        <v>2793</v>
      </c>
      <c r="AK42" s="344" t="str">
        <f t="shared" si="17"/>
        <v xml:space="preserve"> -</v>
      </c>
      <c r="AL42" s="344" t="str">
        <f t="shared" si="35"/>
        <v xml:space="preserve"> -</v>
      </c>
      <c r="AM42" s="344" t="str">
        <f t="shared" si="36"/>
        <v xml:space="preserve"> -</v>
      </c>
      <c r="AN42" s="344" t="str">
        <f t="shared" si="20"/>
        <v xml:space="preserve"> -</v>
      </c>
      <c r="AO42" s="344" t="str">
        <f t="shared" si="43"/>
        <v xml:space="preserve"> -</v>
      </c>
      <c r="AR42" s="350">
        <f>A42</f>
        <v>39</v>
      </c>
      <c r="AS42" s="353" t="str">
        <f>IF(V42="",_xlfn.CONCAT(IF(G42="",D42,G42)," (",Q42,"–",V42," : #",AR42,")"),_xlfn.CONCAT(IF(G42="",D42,G42)," (",Q42,"–",V42,": #",AR42,")"))</f>
        <v>Fa (1855–1927: #39)</v>
      </c>
      <c r="AT42" s="353" t="str">
        <f>IF(V42="",_xlfn.CONCAT(IF(G42="",D42,G42)," (",Q42,"– ",V42,")"),_xlfn.CONCAT(IF(G42="",D42,G42)," (",Q42,"–",V42,")"))</f>
        <v>Fa (1855–1927)</v>
      </c>
      <c r="AU42" s="352" t="str">
        <f t="shared" si="0"/>
        <v>Female</v>
      </c>
      <c r="AV42" s="355" t="s">
        <v>4373</v>
      </c>
      <c r="AW42" s="319" t="str">
        <f>VLOOKUP(AV42,'Mums of Loyd Edit&amp;Partner Edit'!$B$3:$C$66,2,FALSE)</f>
        <v>Caroline Louisa FOSTER (b. 6 Aug 1825, d. 8 Feb 1900)</v>
      </c>
      <c r="AX42" s="360">
        <v>22</v>
      </c>
      <c r="AY42" s="355" t="str">
        <f t="shared" si="8"/>
        <v>Edward (1820–1890: #22)</v>
      </c>
      <c r="AZ42" s="361">
        <f>VLOOKUP(AX42,Lineage!$A$1:$C$200,2,FALSE)</f>
        <v>8</v>
      </c>
      <c r="BA42" s="362" t="str">
        <f t="shared" si="31"/>
        <v>Edward (1780–1863: #8)</v>
      </c>
      <c r="BB42" s="368">
        <f>BiographyMarriageDetsCountries!A41</f>
        <v>39</v>
      </c>
      <c r="BC42" s="319"/>
      <c r="BD42" s="362"/>
      <c r="BF42" s="324"/>
      <c r="BG42" s="357">
        <f t="shared" si="21"/>
        <v>39</v>
      </c>
      <c r="BH42" s="289" t="str">
        <f t="shared" si="22"/>
        <v>Frances Helen LOYD</v>
      </c>
      <c r="BI42" s="289" t="str">
        <f t="shared" si="23"/>
        <v>Fa (1855–1927)</v>
      </c>
      <c r="BJ42" s="304" t="str">
        <f t="shared" si="24"/>
        <v>Female</v>
      </c>
      <c r="BK42" s="304">
        <f t="shared" si="25"/>
        <v>3</v>
      </c>
      <c r="BL42" s="289" t="str">
        <f t="shared" si="26"/>
        <v>Edward (1820–1890: #22)</v>
      </c>
      <c r="BM42" s="289" t="str">
        <f t="shared" si="27"/>
        <v>Caroline Louisa FOSTER (b. 6 Aug 1825, d. 8 Feb 1900)</v>
      </c>
      <c r="BN42" s="367" t="str">
        <f t="shared" si="28"/>
        <v>08-Feb-1855</v>
      </c>
      <c r="BO42" s="367" t="str">
        <f t="shared" si="29"/>
        <v>10-May-1927</v>
      </c>
      <c r="BP42" s="365" t="str">
        <f t="shared" si="30"/>
        <v>Died 10-May-1927, aged 72.</v>
      </c>
    </row>
    <row r="43" spans="1:68" s="289" customFormat="1" ht="40">
      <c r="A43" s="302">
        <v>40</v>
      </c>
      <c r="B43" s="364">
        <v>3</v>
      </c>
      <c r="C43" s="288" t="s">
        <v>782</v>
      </c>
      <c r="D43" s="289" t="s">
        <v>929</v>
      </c>
      <c r="E43" s="289" t="s">
        <v>1081</v>
      </c>
      <c r="H43" s="304" t="s">
        <v>3244</v>
      </c>
      <c r="I43" s="306" t="s">
        <v>1881</v>
      </c>
      <c r="J43" s="306">
        <v>1921</v>
      </c>
      <c r="K43" s="308" t="s">
        <v>4521</v>
      </c>
      <c r="L43" s="308" t="s">
        <v>4521</v>
      </c>
      <c r="M43" s="323" t="s">
        <v>3174</v>
      </c>
      <c r="N43" s="323"/>
      <c r="O43" s="348">
        <f t="shared" si="9"/>
        <v>17</v>
      </c>
      <c r="P43" s="345">
        <f t="shared" si="37"/>
        <v>1</v>
      </c>
      <c r="Q43" s="345">
        <f t="shared" si="38"/>
        <v>1856</v>
      </c>
      <c r="R43" s="344" t="str">
        <f t="shared" si="10"/>
        <v>Jan</v>
      </c>
      <c r="S43" s="344">
        <f t="shared" si="39"/>
        <v>10</v>
      </c>
      <c r="T43" s="344">
        <f t="shared" si="40"/>
        <v>29</v>
      </c>
      <c r="U43" s="344">
        <f t="shared" si="41"/>
        <v>8</v>
      </c>
      <c r="V43" s="344">
        <f t="shared" si="42"/>
        <v>1921</v>
      </c>
      <c r="W43" s="344" t="str">
        <f t="shared" si="11"/>
        <v>Aug</v>
      </c>
      <c r="X43" s="344"/>
      <c r="Y43" s="344"/>
      <c r="Z43" s="314" t="str">
        <f t="shared" si="32"/>
        <v>17-Jan-1856</v>
      </c>
      <c r="AA43" s="314" t="str">
        <f t="shared" si="13"/>
        <v>29-Aug-1921</v>
      </c>
      <c r="AB43" s="314">
        <f t="shared" si="14"/>
        <v>65</v>
      </c>
      <c r="AC43" s="314">
        <f t="shared" si="15"/>
        <v>165</v>
      </c>
      <c r="AD43" s="347" t="str">
        <f t="shared" si="16"/>
        <v>Died 29-Aug-1921, aged 65.</v>
      </c>
      <c r="AE43" s="305"/>
      <c r="AF43" s="303"/>
      <c r="AG43" s="303"/>
      <c r="AH43" s="303"/>
      <c r="AI43" s="289" t="s">
        <v>2793</v>
      </c>
      <c r="AJ43" s="289" t="s">
        <v>2793</v>
      </c>
      <c r="AK43" s="344" t="str">
        <f t="shared" si="17"/>
        <v xml:space="preserve"> -</v>
      </c>
      <c r="AL43" s="344" t="str">
        <f t="shared" si="35"/>
        <v xml:space="preserve"> -</v>
      </c>
      <c r="AM43" s="344" t="str">
        <f t="shared" si="36"/>
        <v xml:space="preserve"> -</v>
      </c>
      <c r="AN43" s="344" t="str">
        <f t="shared" si="20"/>
        <v xml:space="preserve"> -</v>
      </c>
      <c r="AO43" s="344" t="str">
        <f t="shared" si="43"/>
        <v xml:space="preserve"> -</v>
      </c>
      <c r="AR43" s="350">
        <f>A43</f>
        <v>40</v>
      </c>
      <c r="AS43" s="353" t="str">
        <f>IF(V43="",_xlfn.CONCAT(IF(G43="",D43,G43)," (",Q43,"–",V43," : #",AR43,")"),_xlfn.CONCAT(IF(G43="",D43,G43)," (",Q43,"–",V43,": #",AR43,")"))</f>
        <v>Harriet (1856–1921: #40)</v>
      </c>
      <c r="AT43" s="353" t="str">
        <f>IF(V43="",_xlfn.CONCAT(IF(G43="",D43,G43)," (",Q43,"– ",V43,")"),_xlfn.CONCAT(IF(G43="",D43,G43)," (",Q43,"–",V43,")"))</f>
        <v>Harriet (1856–1921)</v>
      </c>
      <c r="AU43" s="352" t="str">
        <f t="shared" si="0"/>
        <v>Female</v>
      </c>
      <c r="AV43" s="355" t="s">
        <v>4374</v>
      </c>
      <c r="AW43" s="319" t="str">
        <f>VLOOKUP(AV43,'Mums of Loyd Edit&amp;Partner Edit'!$B$3:$C$66,2,FALSE)</f>
        <v>Caroline Gertrude Walker VIVIAN (b. 1829, d. 28 Nov 1893)</v>
      </c>
      <c r="AX43" s="360">
        <v>23</v>
      </c>
      <c r="AY43" s="355" t="str">
        <f t="shared" si="8"/>
        <v>William (1821–1885: #23)</v>
      </c>
      <c r="AZ43" s="361">
        <f>VLOOKUP(AX43,Lineage!$A$1:$C$200,2,FALSE)</f>
        <v>8</v>
      </c>
      <c r="BA43" s="362" t="str">
        <f t="shared" si="31"/>
        <v>Edward (1780–1863: #8)</v>
      </c>
      <c r="BB43" s="368">
        <f>BiographyMarriageDetsCountries!A42</f>
        <v>40</v>
      </c>
      <c r="BC43" s="319"/>
      <c r="BD43" s="362"/>
      <c r="BF43" s="324"/>
      <c r="BG43" s="357">
        <f t="shared" si="21"/>
        <v>40</v>
      </c>
      <c r="BH43" s="289" t="str">
        <f t="shared" si="22"/>
        <v>Harriet Edith LOYD</v>
      </c>
      <c r="BI43" s="289" t="str">
        <f t="shared" si="23"/>
        <v>Harriet (1856–1921)</v>
      </c>
      <c r="BJ43" s="304" t="str">
        <f t="shared" si="24"/>
        <v>Female</v>
      </c>
      <c r="BK43" s="304">
        <f t="shared" si="25"/>
        <v>3</v>
      </c>
      <c r="BL43" s="289" t="str">
        <f t="shared" si="26"/>
        <v>William (1821–1885: #23)</v>
      </c>
      <c r="BM43" s="289" t="str">
        <f t="shared" si="27"/>
        <v>Caroline Gertrude Walker VIVIAN (b. 1829, d. 28 Nov 1893)</v>
      </c>
      <c r="BN43" s="367" t="str">
        <f t="shared" si="28"/>
        <v>17-Jan-1856</v>
      </c>
      <c r="BO43" s="367" t="str">
        <f t="shared" si="29"/>
        <v>29-Aug-1921</v>
      </c>
      <c r="BP43" s="365" t="str">
        <f t="shared" si="30"/>
        <v>Died 29-Aug-1921, aged 65.</v>
      </c>
    </row>
    <row r="44" spans="1:68" s="289" customFormat="1" ht="40">
      <c r="A44" s="302">
        <v>41</v>
      </c>
      <c r="B44" s="364">
        <v>3</v>
      </c>
      <c r="C44" s="288" t="s">
        <v>782</v>
      </c>
      <c r="D44" s="289" t="s">
        <v>1083</v>
      </c>
      <c r="E44" s="289" t="s">
        <v>811</v>
      </c>
      <c r="H44" s="304" t="s">
        <v>3245</v>
      </c>
      <c r="I44" s="306" t="s">
        <v>1881</v>
      </c>
      <c r="J44" s="306">
        <v>1936</v>
      </c>
      <c r="K44" s="308" t="s">
        <v>4522</v>
      </c>
      <c r="L44" s="308" t="s">
        <v>4522</v>
      </c>
      <c r="M44" s="323" t="s">
        <v>3175</v>
      </c>
      <c r="N44" s="323"/>
      <c r="O44" s="348">
        <f t="shared" si="9"/>
        <v>26</v>
      </c>
      <c r="P44" s="345">
        <f t="shared" si="37"/>
        <v>4</v>
      </c>
      <c r="Q44" s="345">
        <f t="shared" si="38"/>
        <v>1856</v>
      </c>
      <c r="R44" s="344" t="str">
        <f t="shared" si="10"/>
        <v>Apr</v>
      </c>
      <c r="S44" s="344">
        <f t="shared" si="39"/>
        <v>10</v>
      </c>
      <c r="T44" s="344">
        <f t="shared" si="40"/>
        <v>25</v>
      </c>
      <c r="U44" s="344">
        <f t="shared" si="41"/>
        <v>6</v>
      </c>
      <c r="V44" s="344">
        <f t="shared" si="42"/>
        <v>1936</v>
      </c>
      <c r="W44" s="344" t="str">
        <f t="shared" si="11"/>
        <v>Jun</v>
      </c>
      <c r="X44" s="344"/>
      <c r="Y44" s="344"/>
      <c r="Z44" s="314" t="str">
        <f t="shared" si="32"/>
        <v>26-Apr-1856</v>
      </c>
      <c r="AA44" s="314" t="str">
        <f t="shared" si="13"/>
        <v>25-Jun-1936</v>
      </c>
      <c r="AB44" s="314">
        <f t="shared" si="14"/>
        <v>80</v>
      </c>
      <c r="AC44" s="314">
        <f t="shared" si="15"/>
        <v>165</v>
      </c>
      <c r="AD44" s="347" t="str">
        <f t="shared" si="16"/>
        <v>Died 25-Jun-1936, aged 80.</v>
      </c>
      <c r="AE44" s="305"/>
      <c r="AF44" s="303"/>
      <c r="AG44" s="303"/>
      <c r="AH44" s="303"/>
      <c r="AI44" s="289" t="s">
        <v>1085</v>
      </c>
      <c r="AJ44" s="289" t="s">
        <v>1085</v>
      </c>
      <c r="AK44" s="344" t="str">
        <f t="shared" si="17"/>
        <v>17</v>
      </c>
      <c r="AL44" s="344">
        <f t="shared" si="35"/>
        <v>4</v>
      </c>
      <c r="AM44" s="344">
        <f t="shared" si="36"/>
        <v>1879</v>
      </c>
      <c r="AN44" s="344" t="str">
        <f t="shared" si="20"/>
        <v>Apr</v>
      </c>
      <c r="AO44" s="344" t="str">
        <f t="shared" si="43"/>
        <v>17-Apr-1879</v>
      </c>
      <c r="AR44" s="350">
        <f>A44</f>
        <v>41</v>
      </c>
      <c r="AS44" s="353" t="str">
        <f>IF(V44="",_xlfn.CONCAT(IF(G44="",D44,G44)," (",Q44,"–",V44," : #",AR44,")"),_xlfn.CONCAT(IF(G44="",D44,G44)," (",Q44,"–",V44,": #",AR44,")"))</f>
        <v>Frederic (1856–1936: #41)</v>
      </c>
      <c r="AT44" s="353" t="str">
        <f>IF(V44="",_xlfn.CONCAT(IF(G44="",D44,G44)," (",Q44,"– ",V44,")"),_xlfn.CONCAT(IF(G44="",D44,G44)," (",Q44,"–",V44,")"))</f>
        <v>Frederic (1856–1936)</v>
      </c>
      <c r="AU44" s="352" t="str">
        <f t="shared" si="0"/>
        <v>Male</v>
      </c>
      <c r="AV44" s="355" t="s">
        <v>4373</v>
      </c>
      <c r="AW44" s="319" t="str">
        <f>VLOOKUP(AV44,'Mums of Loyd Edit&amp;Partner Edit'!$B$3:$C$66,2,FALSE)</f>
        <v>Caroline Louisa FOSTER (b. 6 Aug 1825, d. 8 Feb 1900)</v>
      </c>
      <c r="AX44" s="360">
        <v>22</v>
      </c>
      <c r="AY44" s="355" t="str">
        <f t="shared" si="8"/>
        <v>Edward (1820–1890: #22)</v>
      </c>
      <c r="AZ44" s="361">
        <f>VLOOKUP(AX44,Lineage!$A$1:$C$200,2,FALSE)</f>
        <v>8</v>
      </c>
      <c r="BA44" s="362" t="str">
        <f t="shared" si="31"/>
        <v>Edward (1780–1863: #8)</v>
      </c>
      <c r="BB44" s="368">
        <f>BiographyMarriageDetsCountries!A43</f>
        <v>41</v>
      </c>
      <c r="BC44" s="319"/>
      <c r="BD44" s="362"/>
      <c r="BF44" s="324"/>
      <c r="BG44" s="357">
        <f t="shared" si="21"/>
        <v>41</v>
      </c>
      <c r="BH44" s="289" t="str">
        <f t="shared" si="22"/>
        <v>Frederic Edward LOYD</v>
      </c>
      <c r="BI44" s="289" t="str">
        <f t="shared" si="23"/>
        <v>Frederic (1856–1936)</v>
      </c>
      <c r="BJ44" s="304" t="str">
        <f t="shared" si="24"/>
        <v>Male</v>
      </c>
      <c r="BK44" s="304">
        <f t="shared" si="25"/>
        <v>3</v>
      </c>
      <c r="BL44" s="289" t="str">
        <f t="shared" si="26"/>
        <v>Edward (1820–1890: #22)</v>
      </c>
      <c r="BM44" s="289" t="str">
        <f t="shared" si="27"/>
        <v>Caroline Louisa FOSTER (b. 6 Aug 1825, d. 8 Feb 1900)</v>
      </c>
      <c r="BN44" s="367" t="str">
        <f t="shared" si="28"/>
        <v>26-Apr-1856</v>
      </c>
      <c r="BO44" s="367" t="str">
        <f t="shared" si="29"/>
        <v>25-Jun-1936</v>
      </c>
      <c r="BP44" s="365" t="str">
        <f t="shared" si="30"/>
        <v>Died 25-Jun-1936, aged 80.</v>
      </c>
    </row>
    <row r="45" spans="1:68" s="289" customFormat="1" ht="40">
      <c r="A45" s="302">
        <v>42</v>
      </c>
      <c r="B45" s="364">
        <v>3</v>
      </c>
      <c r="C45" s="288" t="s">
        <v>782</v>
      </c>
      <c r="D45" s="289" t="s">
        <v>1086</v>
      </c>
      <c r="E45" s="289" t="s">
        <v>1087</v>
      </c>
      <c r="H45" s="304" t="s">
        <v>3244</v>
      </c>
      <c r="I45" s="306" t="s">
        <v>1859</v>
      </c>
      <c r="J45" s="306">
        <v>1905</v>
      </c>
      <c r="K45" s="308" t="s">
        <v>4523</v>
      </c>
      <c r="L45" s="308" t="s">
        <v>4523</v>
      </c>
      <c r="M45" s="323" t="s">
        <v>3176</v>
      </c>
      <c r="N45" s="323"/>
      <c r="O45" s="348">
        <f t="shared" si="9"/>
        <v>6</v>
      </c>
      <c r="P45" s="345">
        <f t="shared" si="37"/>
        <v>10</v>
      </c>
      <c r="Q45" s="345">
        <f t="shared" si="38"/>
        <v>1858</v>
      </c>
      <c r="R45" s="344" t="str">
        <f t="shared" si="10"/>
        <v>Oct</v>
      </c>
      <c r="S45" s="344">
        <f t="shared" si="39"/>
        <v>10</v>
      </c>
      <c r="T45" s="344">
        <f t="shared" si="40"/>
        <v>8</v>
      </c>
      <c r="U45" s="344">
        <f t="shared" si="41"/>
        <v>7</v>
      </c>
      <c r="V45" s="344">
        <f t="shared" si="42"/>
        <v>1905</v>
      </c>
      <c r="W45" s="344" t="str">
        <f t="shared" si="11"/>
        <v>Jul</v>
      </c>
      <c r="X45" s="344"/>
      <c r="Y45" s="344"/>
      <c r="Z45" s="314" t="str">
        <f t="shared" si="32"/>
        <v>06-Oct-1858</v>
      </c>
      <c r="AA45" s="314" t="str">
        <f t="shared" si="13"/>
        <v>08-Jul-1905</v>
      </c>
      <c r="AB45" s="314">
        <f t="shared" si="14"/>
        <v>46</v>
      </c>
      <c r="AC45" s="314">
        <f t="shared" si="15"/>
        <v>163</v>
      </c>
      <c r="AD45" s="347" t="str">
        <f t="shared" si="16"/>
        <v>Died 08-Jul-1905, aged 46.</v>
      </c>
      <c r="AE45" s="305"/>
      <c r="AF45" s="303"/>
      <c r="AG45" s="303"/>
      <c r="AH45" s="303"/>
      <c r="AI45" s="289" t="s">
        <v>1089</v>
      </c>
      <c r="AJ45" s="289" t="s">
        <v>1089</v>
      </c>
      <c r="AK45" s="344" t="str">
        <f t="shared" si="17"/>
        <v>13</v>
      </c>
      <c r="AL45" s="344">
        <f t="shared" si="35"/>
        <v>4</v>
      </c>
      <c r="AM45" s="344">
        <f t="shared" si="36"/>
        <v>1891</v>
      </c>
      <c r="AN45" s="344" t="str">
        <f t="shared" si="20"/>
        <v>Apr</v>
      </c>
      <c r="AO45" s="344" t="str">
        <f t="shared" si="43"/>
        <v>13-Apr-1891</v>
      </c>
      <c r="AR45" s="350">
        <f>A45</f>
        <v>42</v>
      </c>
      <c r="AS45" s="353" t="str">
        <f>IF(V45="",_xlfn.CONCAT(IF(G45="",D45,G45)," (",Q45,"–",V45," : #",AR45,")"),_xlfn.CONCAT(IF(G45="",D45,G45)," (",Q45,"–",V45,": #",AR45,")"))</f>
        <v>Dulcie (1858–1905: #42)</v>
      </c>
      <c r="AT45" s="353" t="str">
        <f>IF(V45="",_xlfn.CONCAT(IF(G45="",D45,G45)," (",Q45,"– ",V45,")"),_xlfn.CONCAT(IF(G45="",D45,G45)," (",Q45,"–",V45,")"))</f>
        <v>Dulcie (1858–1905)</v>
      </c>
      <c r="AU45" s="352" t="str">
        <f t="shared" si="0"/>
        <v>Female</v>
      </c>
      <c r="AV45" s="355" t="s">
        <v>4374</v>
      </c>
      <c r="AW45" s="319" t="str">
        <f>VLOOKUP(AV45,'Mums of Loyd Edit&amp;Partner Edit'!$B$3:$C$66,2,FALSE)</f>
        <v>Caroline Gertrude Walker VIVIAN (b. 1829, d. 28 Nov 1893)</v>
      </c>
      <c r="AX45" s="360">
        <v>23</v>
      </c>
      <c r="AY45" s="355" t="str">
        <f t="shared" si="8"/>
        <v>William (1821–1885: #23)</v>
      </c>
      <c r="AZ45" s="361">
        <f>VLOOKUP(AX45,Lineage!$A$1:$C$200,2,FALSE)</f>
        <v>8</v>
      </c>
      <c r="BA45" s="362" t="str">
        <f t="shared" si="31"/>
        <v>Edward (1780–1863: #8)</v>
      </c>
      <c r="BB45" s="368">
        <f>BiographyMarriageDetsCountries!A44</f>
        <v>42</v>
      </c>
      <c r="BC45" s="319"/>
      <c r="BD45" s="362"/>
      <c r="BF45" s="324"/>
      <c r="BG45" s="357">
        <f t="shared" si="21"/>
        <v>42</v>
      </c>
      <c r="BH45" s="289" t="str">
        <f t="shared" si="22"/>
        <v>Dulcie Gwendoline LOYD</v>
      </c>
      <c r="BI45" s="289" t="str">
        <f t="shared" si="23"/>
        <v>Dulcie (1858–1905)</v>
      </c>
      <c r="BJ45" s="304" t="str">
        <f t="shared" si="24"/>
        <v>Female</v>
      </c>
      <c r="BK45" s="304">
        <f t="shared" si="25"/>
        <v>3</v>
      </c>
      <c r="BL45" s="289" t="str">
        <f t="shared" si="26"/>
        <v>William (1821–1885: #23)</v>
      </c>
      <c r="BM45" s="289" t="str">
        <f t="shared" si="27"/>
        <v>Caroline Gertrude Walker VIVIAN (b. 1829, d. 28 Nov 1893)</v>
      </c>
      <c r="BN45" s="367" t="str">
        <f t="shared" si="28"/>
        <v>06-Oct-1858</v>
      </c>
      <c r="BO45" s="367" t="str">
        <f t="shared" si="29"/>
        <v>08-Jul-1905</v>
      </c>
      <c r="BP45" s="365" t="str">
        <f t="shared" si="30"/>
        <v>Died 08-Jul-1905, aged 46.</v>
      </c>
    </row>
    <row r="46" spans="1:68" s="289" customFormat="1" ht="40">
      <c r="A46" s="302">
        <v>43</v>
      </c>
      <c r="B46" s="364">
        <v>3</v>
      </c>
      <c r="C46" s="288" t="s">
        <v>782</v>
      </c>
      <c r="D46" s="289" t="s">
        <v>882</v>
      </c>
      <c r="E46" s="289" t="s">
        <v>812</v>
      </c>
      <c r="G46" s="289" t="s">
        <v>2350</v>
      </c>
      <c r="H46" s="304" t="s">
        <v>3244</v>
      </c>
      <c r="I46" s="306" t="s">
        <v>1908</v>
      </c>
      <c r="J46" s="306">
        <v>1936</v>
      </c>
      <c r="K46" s="308" t="s">
        <v>4524</v>
      </c>
      <c r="L46" s="308" t="s">
        <v>4524</v>
      </c>
      <c r="M46" s="323" t="s">
        <v>3177</v>
      </c>
      <c r="N46" s="323"/>
      <c r="O46" s="348">
        <f t="shared" si="9"/>
        <v>2</v>
      </c>
      <c r="P46" s="345">
        <f t="shared" si="37"/>
        <v>8</v>
      </c>
      <c r="Q46" s="345">
        <f t="shared" si="38"/>
        <v>1859</v>
      </c>
      <c r="R46" s="344" t="str">
        <f t="shared" si="10"/>
        <v>Aug</v>
      </c>
      <c r="S46" s="344">
        <f t="shared" si="39"/>
        <v>10</v>
      </c>
      <c r="T46" s="344">
        <f t="shared" si="40"/>
        <v>29</v>
      </c>
      <c r="U46" s="344">
        <f t="shared" si="41"/>
        <v>6</v>
      </c>
      <c r="V46" s="344">
        <f t="shared" si="42"/>
        <v>1936</v>
      </c>
      <c r="W46" s="344" t="str">
        <f t="shared" si="11"/>
        <v>Jun</v>
      </c>
      <c r="X46" s="344"/>
      <c r="Y46" s="344"/>
      <c r="Z46" s="314" t="str">
        <f t="shared" si="32"/>
        <v>02-Aug-1859</v>
      </c>
      <c r="AA46" s="314" t="str">
        <f t="shared" si="13"/>
        <v>29-Jun-1936</v>
      </c>
      <c r="AB46" s="314">
        <f t="shared" si="14"/>
        <v>76</v>
      </c>
      <c r="AC46" s="314">
        <f t="shared" si="15"/>
        <v>162</v>
      </c>
      <c r="AD46" s="347" t="str">
        <f t="shared" si="16"/>
        <v>Died 29-Jun-1936, aged 76.</v>
      </c>
      <c r="AE46" s="305"/>
      <c r="AF46" s="303"/>
      <c r="AG46" s="303"/>
      <c r="AH46" s="303"/>
      <c r="AI46" s="289" t="s">
        <v>2793</v>
      </c>
      <c r="AJ46" s="289" t="s">
        <v>2793</v>
      </c>
      <c r="AK46" s="344" t="str">
        <f t="shared" si="17"/>
        <v xml:space="preserve"> -</v>
      </c>
      <c r="AL46" s="344" t="str">
        <f t="shared" si="35"/>
        <v xml:space="preserve"> -</v>
      </c>
      <c r="AM46" s="344" t="str">
        <f t="shared" si="36"/>
        <v xml:space="preserve"> -</v>
      </c>
      <c r="AN46" s="344" t="str">
        <f t="shared" si="20"/>
        <v xml:space="preserve"> -</v>
      </c>
      <c r="AO46" s="344" t="str">
        <f t="shared" si="43"/>
        <v xml:space="preserve"> -</v>
      </c>
      <c r="AR46" s="350">
        <f>A46</f>
        <v>43</v>
      </c>
      <c r="AS46" s="353" t="str">
        <f>IF(V46="",_xlfn.CONCAT(IF(G46="",D46,G46)," (",Q46,"–",V46," : #",AR46,")"),_xlfn.CONCAT(IF(G46="",D46,G46)," (",Q46,"–",V46,": #",AR46,")"))</f>
        <v>Meg (1859–1936: #43)</v>
      </c>
      <c r="AT46" s="353" t="str">
        <f>IF(V46="",_xlfn.CONCAT(IF(G46="",D46,G46)," (",Q46,"– ",V46,")"),_xlfn.CONCAT(IF(G46="",D46,G46)," (",Q46,"–",V46,")"))</f>
        <v>Meg (1859–1936)</v>
      </c>
      <c r="AU46" s="352" t="str">
        <f t="shared" si="0"/>
        <v>Female</v>
      </c>
      <c r="AV46" s="355" t="s">
        <v>4373</v>
      </c>
      <c r="AW46" s="319" t="str">
        <f>VLOOKUP(AV46,'Mums of Loyd Edit&amp;Partner Edit'!$B$3:$C$66,2,FALSE)</f>
        <v>Caroline Louisa FOSTER (b. 6 Aug 1825, d. 8 Feb 1900)</v>
      </c>
      <c r="AX46" s="360">
        <v>22</v>
      </c>
      <c r="AY46" s="355" t="str">
        <f t="shared" si="8"/>
        <v>Edward (1820–1890: #22)</v>
      </c>
      <c r="AZ46" s="361">
        <f>VLOOKUP(AX46,Lineage!$A$1:$C$200,2,FALSE)</f>
        <v>8</v>
      </c>
      <c r="BA46" s="362" t="str">
        <f t="shared" si="31"/>
        <v>Edward (1780–1863: #8)</v>
      </c>
      <c r="BB46" s="368">
        <f>BiographyMarriageDetsCountries!A45</f>
        <v>43</v>
      </c>
      <c r="BC46" s="319"/>
      <c r="BD46" s="362"/>
      <c r="BF46" s="324"/>
      <c r="BG46" s="357">
        <f t="shared" si="21"/>
        <v>43</v>
      </c>
      <c r="BH46" s="289" t="str">
        <f t="shared" si="22"/>
        <v>Margaret Foster LOYD</v>
      </c>
      <c r="BI46" s="289" t="str">
        <f t="shared" si="23"/>
        <v>Meg (1859–1936)</v>
      </c>
      <c r="BJ46" s="304" t="str">
        <f t="shared" si="24"/>
        <v>Female</v>
      </c>
      <c r="BK46" s="304">
        <f t="shared" si="25"/>
        <v>3</v>
      </c>
      <c r="BL46" s="289" t="str">
        <f t="shared" si="26"/>
        <v>Edward (1820–1890: #22)</v>
      </c>
      <c r="BM46" s="289" t="str">
        <f t="shared" si="27"/>
        <v>Caroline Louisa FOSTER (b. 6 Aug 1825, d. 8 Feb 1900)</v>
      </c>
      <c r="BN46" s="367" t="str">
        <f t="shared" si="28"/>
        <v>02-Aug-1859</v>
      </c>
      <c r="BO46" s="367" t="str">
        <f t="shared" si="29"/>
        <v>29-Jun-1936</v>
      </c>
      <c r="BP46" s="365" t="str">
        <f t="shared" si="30"/>
        <v>Died 29-Jun-1936, aged 76.</v>
      </c>
    </row>
    <row r="47" spans="1:68" s="289" customFormat="1" ht="40">
      <c r="A47" s="302">
        <v>44</v>
      </c>
      <c r="B47" s="364">
        <v>3</v>
      </c>
      <c r="C47" s="288" t="s">
        <v>782</v>
      </c>
      <c r="D47" s="289" t="s">
        <v>811</v>
      </c>
      <c r="E47" s="289" t="s">
        <v>807</v>
      </c>
      <c r="G47" s="289" t="s">
        <v>1635</v>
      </c>
      <c r="H47" s="304" t="s">
        <v>3245</v>
      </c>
      <c r="I47" s="306" t="s">
        <v>1863</v>
      </c>
      <c r="J47" s="306">
        <v>1938</v>
      </c>
      <c r="K47" s="308" t="s">
        <v>4525</v>
      </c>
      <c r="L47" s="308" t="s">
        <v>4525</v>
      </c>
      <c r="M47" s="323" t="s">
        <v>3178</v>
      </c>
      <c r="N47" s="323"/>
      <c r="O47" s="348">
        <f t="shared" si="9"/>
        <v>2</v>
      </c>
      <c r="P47" s="345">
        <f t="shared" si="37"/>
        <v>4</v>
      </c>
      <c r="Q47" s="345">
        <f t="shared" si="38"/>
        <v>1861</v>
      </c>
      <c r="R47" s="344" t="str">
        <f t="shared" si="10"/>
        <v>Apr</v>
      </c>
      <c r="S47" s="344">
        <f t="shared" si="39"/>
        <v>10</v>
      </c>
      <c r="T47" s="344">
        <f t="shared" si="40"/>
        <v>6</v>
      </c>
      <c r="U47" s="344">
        <f t="shared" si="41"/>
        <v>11</v>
      </c>
      <c r="V47" s="344">
        <f t="shared" si="42"/>
        <v>1938</v>
      </c>
      <c r="W47" s="344" t="str">
        <f t="shared" si="11"/>
        <v>Nov</v>
      </c>
      <c r="X47" s="344"/>
      <c r="Y47" s="344"/>
      <c r="Z47" s="314" t="str">
        <f t="shared" si="32"/>
        <v>02-Apr-1861</v>
      </c>
      <c r="AA47" s="314" t="str">
        <f t="shared" si="13"/>
        <v>06-Nov-1938</v>
      </c>
      <c r="AB47" s="314">
        <f t="shared" si="14"/>
        <v>77</v>
      </c>
      <c r="AC47" s="314">
        <f t="shared" si="15"/>
        <v>160</v>
      </c>
      <c r="AD47" s="347" t="str">
        <f t="shared" si="16"/>
        <v>Died 06-Nov-1938, aged 77.</v>
      </c>
      <c r="AE47" s="305"/>
      <c r="AF47" s="303"/>
      <c r="AG47" s="303"/>
      <c r="AH47" s="303"/>
      <c r="AI47" s="289" t="s">
        <v>1093</v>
      </c>
      <c r="AJ47" s="289" t="s">
        <v>1093</v>
      </c>
      <c r="AK47" s="344" t="str">
        <f t="shared" si="17"/>
        <v>26</v>
      </c>
      <c r="AL47" s="344">
        <f t="shared" si="35"/>
        <v>7</v>
      </c>
      <c r="AM47" s="344">
        <f t="shared" si="36"/>
        <v>1888</v>
      </c>
      <c r="AN47" s="344" t="str">
        <f t="shared" si="20"/>
        <v>Jul</v>
      </c>
      <c r="AO47" s="344" t="str">
        <f t="shared" si="43"/>
        <v>26-Jul-1888</v>
      </c>
      <c r="AR47" s="350">
        <f>A47</f>
        <v>44</v>
      </c>
      <c r="AS47" s="353" t="str">
        <f>IF(V47="",_xlfn.CONCAT(IF(G47="",D47,G47)," (",Q47,"–",V47," : #",AR47,")"),_xlfn.CONCAT(IF(G47="",D47,G47)," (",Q47,"–",V47,": #",AR47,")"))</f>
        <v>Harry (1861–1938: #44)</v>
      </c>
      <c r="AT47" s="353" t="str">
        <f>IF(V47="",_xlfn.CONCAT(IF(G47="",D47,G47)," (",Q47,"– ",V47,")"),_xlfn.CONCAT(IF(G47="",D47,G47)," (",Q47,"–",V47,")"))</f>
        <v>Harry (1861–1938)</v>
      </c>
      <c r="AU47" s="352" t="str">
        <f t="shared" si="0"/>
        <v>Male</v>
      </c>
      <c r="AV47" s="355" t="s">
        <v>4374</v>
      </c>
      <c r="AW47" s="319" t="str">
        <f>VLOOKUP(AV47,'Mums of Loyd Edit&amp;Partner Edit'!$B$3:$C$66,2,FALSE)</f>
        <v>Caroline Gertrude Walker VIVIAN (b. 1829, d. 28 Nov 1893)</v>
      </c>
      <c r="AX47" s="360">
        <v>23</v>
      </c>
      <c r="AY47" s="355" t="str">
        <f t="shared" si="8"/>
        <v>William (1821–1885: #23)</v>
      </c>
      <c r="AZ47" s="361">
        <f>VLOOKUP(AX47,Lineage!$A$1:$C$200,2,FALSE)</f>
        <v>8</v>
      </c>
      <c r="BA47" s="362" t="str">
        <f t="shared" si="31"/>
        <v>Edward (1780–1863: #8)</v>
      </c>
      <c r="BB47" s="368">
        <f>BiographyMarriageDetsCountries!A46</f>
        <v>44</v>
      </c>
      <c r="BC47" s="319"/>
      <c r="BD47" s="362"/>
      <c r="BF47" s="324"/>
      <c r="BG47" s="357">
        <f t="shared" si="21"/>
        <v>44</v>
      </c>
      <c r="BH47" s="289" t="str">
        <f t="shared" si="22"/>
        <v>Edward Henry LOYD</v>
      </c>
      <c r="BI47" s="289" t="str">
        <f t="shared" si="23"/>
        <v>Harry (1861–1938)</v>
      </c>
      <c r="BJ47" s="304" t="str">
        <f t="shared" si="24"/>
        <v>Male</v>
      </c>
      <c r="BK47" s="304">
        <f t="shared" si="25"/>
        <v>3</v>
      </c>
      <c r="BL47" s="289" t="str">
        <f t="shared" si="26"/>
        <v>William (1821–1885: #23)</v>
      </c>
      <c r="BM47" s="289" t="str">
        <f t="shared" si="27"/>
        <v>Caroline Gertrude Walker VIVIAN (b. 1829, d. 28 Nov 1893)</v>
      </c>
      <c r="BN47" s="367" t="str">
        <f t="shared" si="28"/>
        <v>02-Apr-1861</v>
      </c>
      <c r="BO47" s="367" t="str">
        <f t="shared" si="29"/>
        <v>06-Nov-1938</v>
      </c>
      <c r="BP47" s="365" t="str">
        <f t="shared" si="30"/>
        <v>Died 06-Nov-1938, aged 77.</v>
      </c>
    </row>
    <row r="48" spans="1:68" s="289" customFormat="1" ht="40">
      <c r="A48" s="302">
        <v>45</v>
      </c>
      <c r="B48" s="364">
        <v>3</v>
      </c>
      <c r="C48" s="288" t="s">
        <v>782</v>
      </c>
      <c r="D48" s="289" t="s">
        <v>1094</v>
      </c>
      <c r="E48" s="289" t="s">
        <v>812</v>
      </c>
      <c r="H48" s="304" t="s">
        <v>3245</v>
      </c>
      <c r="I48" s="306" t="s">
        <v>1863</v>
      </c>
      <c r="J48" s="306">
        <v>1939</v>
      </c>
      <c r="K48" s="308" t="s">
        <v>4526</v>
      </c>
      <c r="L48" s="308" t="s">
        <v>4526</v>
      </c>
      <c r="M48" s="323" t="s">
        <v>3179</v>
      </c>
      <c r="N48" s="323"/>
      <c r="O48" s="348">
        <f t="shared" si="9"/>
        <v>30</v>
      </c>
      <c r="P48" s="345">
        <f t="shared" si="37"/>
        <v>6</v>
      </c>
      <c r="Q48" s="345">
        <f t="shared" si="38"/>
        <v>1861</v>
      </c>
      <c r="R48" s="344" t="str">
        <f t="shared" si="10"/>
        <v>Jun</v>
      </c>
      <c r="S48" s="344">
        <f t="shared" si="39"/>
        <v>10</v>
      </c>
      <c r="T48" s="344">
        <f t="shared" si="40"/>
        <v>27</v>
      </c>
      <c r="U48" s="344">
        <f t="shared" si="41"/>
        <v>12</v>
      </c>
      <c r="V48" s="344">
        <f t="shared" si="42"/>
        <v>1939</v>
      </c>
      <c r="W48" s="344" t="str">
        <f t="shared" si="11"/>
        <v>Dec</v>
      </c>
      <c r="X48" s="344"/>
      <c r="Y48" s="344"/>
      <c r="Z48" s="314" t="str">
        <f t="shared" si="32"/>
        <v>30-Jun-1861</v>
      </c>
      <c r="AA48" s="314" t="str">
        <f t="shared" si="13"/>
        <v>27-Dec-1939</v>
      </c>
      <c r="AB48" s="314">
        <f t="shared" si="14"/>
        <v>78</v>
      </c>
      <c r="AC48" s="314">
        <f t="shared" si="15"/>
        <v>160</v>
      </c>
      <c r="AD48" s="347" t="str">
        <f t="shared" si="16"/>
        <v>Died 27-Dec-1939, aged 78.</v>
      </c>
      <c r="AE48" s="305"/>
      <c r="AF48" s="303"/>
      <c r="AG48" s="303"/>
      <c r="AH48" s="303"/>
      <c r="AI48" s="289" t="s">
        <v>1096</v>
      </c>
      <c r="AJ48" s="289" t="s">
        <v>1096</v>
      </c>
      <c r="AK48" s="344" t="str">
        <f t="shared" si="17"/>
        <v>04</v>
      </c>
      <c r="AL48" s="344">
        <f t="shared" si="35"/>
        <v>2</v>
      </c>
      <c r="AM48" s="344">
        <f t="shared" si="36"/>
        <v>1889</v>
      </c>
      <c r="AN48" s="344" t="str">
        <f t="shared" si="20"/>
        <v>Feb</v>
      </c>
      <c r="AO48" s="344" t="str">
        <f t="shared" si="43"/>
        <v>04-Feb-1889</v>
      </c>
      <c r="AR48" s="350">
        <f>A48</f>
        <v>45</v>
      </c>
      <c r="AS48" s="353" t="str">
        <f>IF(V48="",_xlfn.CONCAT(IF(G48="",D48,G48)," (",Q48,"–",V48," : #",AR48,")"),_xlfn.CONCAT(IF(G48="",D48,G48)," (",Q48,"–",V48,": #",AR48,")"))</f>
        <v>Llewellyn (1861–1939: #45)</v>
      </c>
      <c r="AT48" s="353" t="str">
        <f>IF(V48="",_xlfn.CONCAT(IF(G48="",D48,G48)," (",Q48,"– ",V48,")"),_xlfn.CONCAT(IF(G48="",D48,G48)," (",Q48,"–",V48,")"))</f>
        <v>Llewellyn (1861–1939)</v>
      </c>
      <c r="AU48" s="352" t="str">
        <f t="shared" si="0"/>
        <v>Male</v>
      </c>
      <c r="AV48" s="355" t="s">
        <v>4373</v>
      </c>
      <c r="AW48" s="319" t="str">
        <f>VLOOKUP(AV48,'Mums of Loyd Edit&amp;Partner Edit'!$B$3:$C$66,2,FALSE)</f>
        <v>Caroline Louisa FOSTER (b. 6 Aug 1825, d. 8 Feb 1900)</v>
      </c>
      <c r="AX48" s="360">
        <v>22</v>
      </c>
      <c r="AY48" s="355" t="str">
        <f t="shared" si="8"/>
        <v>Edward (1820–1890: #22)</v>
      </c>
      <c r="AZ48" s="361">
        <f>VLOOKUP(AX48,Lineage!$A$1:$C$200,2,FALSE)</f>
        <v>8</v>
      </c>
      <c r="BA48" s="362" t="str">
        <f t="shared" si="31"/>
        <v>Edward (1780–1863: #8)</v>
      </c>
      <c r="BB48" s="368">
        <f>BiographyMarriageDetsCountries!A47</f>
        <v>45</v>
      </c>
      <c r="BC48" s="319"/>
      <c r="BD48" s="362"/>
      <c r="BF48" s="324"/>
      <c r="BG48" s="357">
        <f t="shared" si="21"/>
        <v>45</v>
      </c>
      <c r="BH48" s="289" t="str">
        <f t="shared" si="22"/>
        <v>Llewellyn Foster LOYD</v>
      </c>
      <c r="BI48" s="289" t="str">
        <f t="shared" si="23"/>
        <v>Llewellyn (1861–1939)</v>
      </c>
      <c r="BJ48" s="304" t="str">
        <f t="shared" si="24"/>
        <v>Male</v>
      </c>
      <c r="BK48" s="304">
        <f t="shared" si="25"/>
        <v>3</v>
      </c>
      <c r="BL48" s="289" t="str">
        <f t="shared" si="26"/>
        <v>Edward (1820–1890: #22)</v>
      </c>
      <c r="BM48" s="289" t="str">
        <f t="shared" si="27"/>
        <v>Caroline Louisa FOSTER (b. 6 Aug 1825, d. 8 Feb 1900)</v>
      </c>
      <c r="BN48" s="367" t="str">
        <f t="shared" si="28"/>
        <v>30-Jun-1861</v>
      </c>
      <c r="BO48" s="367" t="str">
        <f t="shared" si="29"/>
        <v>27-Dec-1939</v>
      </c>
      <c r="BP48" s="365" t="str">
        <f t="shared" si="30"/>
        <v>Died 27-Dec-1939, aged 78.</v>
      </c>
    </row>
    <row r="49" spans="1:68" s="289" customFormat="1" ht="40">
      <c r="A49" s="302">
        <v>46</v>
      </c>
      <c r="B49" s="364">
        <v>3</v>
      </c>
      <c r="C49" s="288" t="s">
        <v>782</v>
      </c>
      <c r="D49" s="289" t="s">
        <v>830</v>
      </c>
      <c r="E49" s="289" t="s">
        <v>825</v>
      </c>
      <c r="H49" s="304" t="s">
        <v>3245</v>
      </c>
      <c r="I49" s="306" t="s">
        <v>4455</v>
      </c>
      <c r="J49" s="306">
        <v>1923</v>
      </c>
      <c r="K49" s="308" t="s">
        <v>4527</v>
      </c>
      <c r="L49" s="308" t="s">
        <v>4527</v>
      </c>
      <c r="M49" s="323" t="s">
        <v>3180</v>
      </c>
      <c r="N49" s="323"/>
      <c r="O49" s="348">
        <f t="shared" si="9"/>
        <v>30</v>
      </c>
      <c r="P49" s="345">
        <f t="shared" si="37"/>
        <v>9</v>
      </c>
      <c r="Q49" s="345">
        <f t="shared" si="38"/>
        <v>1863</v>
      </c>
      <c r="R49" s="344" t="str">
        <f t="shared" si="10"/>
        <v>Sep</v>
      </c>
      <c r="S49" s="344">
        <f t="shared" si="39"/>
        <v>10</v>
      </c>
      <c r="T49" s="344">
        <f t="shared" si="40"/>
        <v>18</v>
      </c>
      <c r="U49" s="344">
        <f t="shared" si="41"/>
        <v>6</v>
      </c>
      <c r="V49" s="344">
        <f t="shared" si="42"/>
        <v>1923</v>
      </c>
      <c r="W49" s="344" t="str">
        <f t="shared" si="11"/>
        <v>Jun</v>
      </c>
      <c r="X49" s="344"/>
      <c r="Y49" s="344"/>
      <c r="Z49" s="314" t="str">
        <f t="shared" si="32"/>
        <v>30-Sep-1863</v>
      </c>
      <c r="AA49" s="314" t="str">
        <f t="shared" si="13"/>
        <v>18-Jun-1923</v>
      </c>
      <c r="AB49" s="314">
        <f t="shared" si="14"/>
        <v>59</v>
      </c>
      <c r="AC49" s="314">
        <f t="shared" si="15"/>
        <v>158</v>
      </c>
      <c r="AD49" s="347" t="str">
        <f t="shared" si="16"/>
        <v>Died 18-Jun-1923, aged 59.</v>
      </c>
      <c r="AE49" s="305"/>
      <c r="AF49" s="303"/>
      <c r="AG49" s="303"/>
      <c r="AH49" s="303"/>
      <c r="AI49" s="289" t="s">
        <v>1098</v>
      </c>
      <c r="AJ49" s="289" t="s">
        <v>1098</v>
      </c>
      <c r="AK49" s="344" t="str">
        <f t="shared" si="17"/>
        <v>14</v>
      </c>
      <c r="AL49" s="344">
        <f t="shared" si="35"/>
        <v>1</v>
      </c>
      <c r="AM49" s="344">
        <f t="shared" si="36"/>
        <v>1888</v>
      </c>
      <c r="AN49" s="344" t="str">
        <f t="shared" si="20"/>
        <v>Jan</v>
      </c>
      <c r="AO49" s="344" t="str">
        <f t="shared" si="43"/>
        <v>14-Jan-1888</v>
      </c>
      <c r="AR49" s="350">
        <f>A49</f>
        <v>46</v>
      </c>
      <c r="AS49" s="353" t="str">
        <f>IF(V49="",_xlfn.CONCAT(IF(G49="",D49,G49)," (",Q49,"–",V49," : #",AR49,")"),_xlfn.CONCAT(IF(G49="",D49,G49)," (",Q49,"–",V49,": #",AR49,")"))</f>
        <v>William (1863–1923: #46)</v>
      </c>
      <c r="AT49" s="353" t="str">
        <f>IF(V49="",_xlfn.CONCAT(IF(G49="",D49,G49)," (",Q49,"– ",V49,")"),_xlfn.CONCAT(IF(G49="",D49,G49)," (",Q49,"–",V49,")"))</f>
        <v>William (1863–1923)</v>
      </c>
      <c r="AU49" s="352" t="str">
        <f t="shared" si="0"/>
        <v>Male</v>
      </c>
      <c r="AV49" s="355" t="s">
        <v>4374</v>
      </c>
      <c r="AW49" s="319" t="str">
        <f>VLOOKUP(AV49,'Mums of Loyd Edit&amp;Partner Edit'!$B$3:$C$66,2,FALSE)</f>
        <v>Caroline Gertrude Walker VIVIAN (b. 1829, d. 28 Nov 1893)</v>
      </c>
      <c r="AX49" s="360">
        <v>23</v>
      </c>
      <c r="AY49" s="355" t="str">
        <f t="shared" si="8"/>
        <v>William (1821–1885: #23)</v>
      </c>
      <c r="AZ49" s="361">
        <f>VLOOKUP(AX49,Lineage!$A$1:$C$200,2,FALSE)</f>
        <v>8</v>
      </c>
      <c r="BA49" s="362" t="str">
        <f t="shared" si="31"/>
        <v>Edward (1780–1863: #8)</v>
      </c>
      <c r="BB49" s="368">
        <f>BiographyMarriageDetsCountries!A48</f>
        <v>46</v>
      </c>
      <c r="BC49" s="319"/>
      <c r="BD49" s="362"/>
      <c r="BF49" s="324"/>
      <c r="BG49" s="357">
        <f t="shared" si="21"/>
        <v>46</v>
      </c>
      <c r="BH49" s="289" t="str">
        <f t="shared" si="22"/>
        <v>William Graham LOYD</v>
      </c>
      <c r="BI49" s="289" t="str">
        <f t="shared" si="23"/>
        <v>William (1863–1923)</v>
      </c>
      <c r="BJ49" s="304" t="str">
        <f t="shared" si="24"/>
        <v>Male</v>
      </c>
      <c r="BK49" s="304">
        <f t="shared" si="25"/>
        <v>3</v>
      </c>
      <c r="BL49" s="289" t="str">
        <f t="shared" si="26"/>
        <v>William (1821–1885: #23)</v>
      </c>
      <c r="BM49" s="289" t="str">
        <f t="shared" si="27"/>
        <v>Caroline Gertrude Walker VIVIAN (b. 1829, d. 28 Nov 1893)</v>
      </c>
      <c r="BN49" s="367" t="str">
        <f t="shared" si="28"/>
        <v>30-Sep-1863</v>
      </c>
      <c r="BO49" s="367" t="str">
        <f t="shared" si="29"/>
        <v>18-Jun-1923</v>
      </c>
      <c r="BP49" s="365" t="str">
        <f t="shared" si="30"/>
        <v>Died 18-Jun-1923, aged 59.</v>
      </c>
    </row>
    <row r="50" spans="1:68" s="289" customFormat="1" ht="40">
      <c r="A50" s="302">
        <v>47</v>
      </c>
      <c r="B50" s="364">
        <v>3</v>
      </c>
      <c r="C50" s="288" t="s">
        <v>782</v>
      </c>
      <c r="D50" s="289" t="s">
        <v>903</v>
      </c>
      <c r="E50" s="289" t="s">
        <v>812</v>
      </c>
      <c r="H50" s="304" t="s">
        <v>3244</v>
      </c>
      <c r="I50" s="306" t="s">
        <v>1911</v>
      </c>
      <c r="J50" s="306">
        <v>1940</v>
      </c>
      <c r="K50" s="308" t="s">
        <v>4528</v>
      </c>
      <c r="L50" s="308" t="s">
        <v>4528</v>
      </c>
      <c r="M50" s="323" t="s">
        <v>3181</v>
      </c>
      <c r="N50" s="323"/>
      <c r="O50" s="348">
        <f t="shared" si="9"/>
        <v>10</v>
      </c>
      <c r="P50" s="345">
        <f t="shared" si="37"/>
        <v>7</v>
      </c>
      <c r="Q50" s="345">
        <f t="shared" si="38"/>
        <v>1864</v>
      </c>
      <c r="R50" s="344" t="str">
        <f t="shared" si="10"/>
        <v>Jul</v>
      </c>
      <c r="S50" s="344">
        <f t="shared" si="39"/>
        <v>10</v>
      </c>
      <c r="T50" s="344">
        <f t="shared" si="40"/>
        <v>3</v>
      </c>
      <c r="U50" s="344">
        <f t="shared" si="41"/>
        <v>12</v>
      </c>
      <c r="V50" s="344">
        <f t="shared" si="42"/>
        <v>1940</v>
      </c>
      <c r="W50" s="344" t="str">
        <f t="shared" si="11"/>
        <v>Dec</v>
      </c>
      <c r="X50" s="344"/>
      <c r="Y50" s="344"/>
      <c r="Z50" s="314" t="str">
        <f t="shared" si="32"/>
        <v>10-Jul-1864</v>
      </c>
      <c r="AA50" s="314" t="str">
        <f t="shared" si="13"/>
        <v>03-Dec-1940</v>
      </c>
      <c r="AB50" s="314">
        <f t="shared" si="14"/>
        <v>76</v>
      </c>
      <c r="AC50" s="314">
        <f t="shared" si="15"/>
        <v>157</v>
      </c>
      <c r="AD50" s="347" t="str">
        <f t="shared" si="16"/>
        <v>Died 03-Dec-1940, aged 76.</v>
      </c>
      <c r="AE50" s="305"/>
      <c r="AF50" s="303"/>
      <c r="AG50" s="303"/>
      <c r="AH50" s="303"/>
      <c r="AI50" s="289" t="s">
        <v>1100</v>
      </c>
      <c r="AJ50" s="289" t="s">
        <v>1100</v>
      </c>
      <c r="AK50" s="344" t="str">
        <f t="shared" si="17"/>
        <v>08</v>
      </c>
      <c r="AL50" s="344">
        <f t="shared" si="35"/>
        <v>3</v>
      </c>
      <c r="AM50" s="344">
        <f t="shared" si="36"/>
        <v>1892</v>
      </c>
      <c r="AN50" s="344" t="str">
        <f t="shared" si="20"/>
        <v>Mar</v>
      </c>
      <c r="AO50" s="344" t="str">
        <f t="shared" si="43"/>
        <v>08-Mar-1892</v>
      </c>
      <c r="AR50" s="350">
        <f>A50</f>
        <v>47</v>
      </c>
      <c r="AS50" s="353" t="str">
        <f>IF(V50="",_xlfn.CONCAT(IF(G50="",D50,G50)," (",Q50,"–",V50," : #",AR50,")"),_xlfn.CONCAT(IF(G50="",D50,G50)," (",Q50,"–",V50,": #",AR50,")"))</f>
        <v>Caroline (1864–1940: #47)</v>
      </c>
      <c r="AT50" s="353" t="str">
        <f>IF(V50="",_xlfn.CONCAT(IF(G50="",D50,G50)," (",Q50,"– ",V50,")"),_xlfn.CONCAT(IF(G50="",D50,G50)," (",Q50,"–",V50,")"))</f>
        <v>Caroline (1864–1940)</v>
      </c>
      <c r="AU50" s="352" t="str">
        <f t="shared" si="0"/>
        <v>Female</v>
      </c>
      <c r="AV50" s="355" t="s">
        <v>4373</v>
      </c>
      <c r="AW50" s="319" t="str">
        <f>VLOOKUP(AV50,'Mums of Loyd Edit&amp;Partner Edit'!$B$3:$C$66,2,FALSE)</f>
        <v>Caroline Louisa FOSTER (b. 6 Aug 1825, d. 8 Feb 1900)</v>
      </c>
      <c r="AX50" s="360">
        <v>22</v>
      </c>
      <c r="AY50" s="355" t="str">
        <f t="shared" si="8"/>
        <v>Edward (1820–1890: #22)</v>
      </c>
      <c r="AZ50" s="361">
        <f>VLOOKUP(AX50,Lineage!$A$1:$C$200,2,FALSE)</f>
        <v>8</v>
      </c>
      <c r="BA50" s="362" t="str">
        <f t="shared" si="31"/>
        <v>Edward (1780–1863: #8)</v>
      </c>
      <c r="BB50" s="368">
        <f>BiographyMarriageDetsCountries!A49</f>
        <v>47</v>
      </c>
      <c r="BC50" s="319"/>
      <c r="BD50" s="362"/>
      <c r="BF50" s="324"/>
      <c r="BG50" s="357">
        <f t="shared" si="21"/>
        <v>47</v>
      </c>
      <c r="BH50" s="289" t="str">
        <f t="shared" si="22"/>
        <v>Caroline Foster LOYD</v>
      </c>
      <c r="BI50" s="289" t="str">
        <f t="shared" si="23"/>
        <v>Caroline (1864–1940)</v>
      </c>
      <c r="BJ50" s="304" t="str">
        <f t="shared" si="24"/>
        <v>Female</v>
      </c>
      <c r="BK50" s="304">
        <f t="shared" si="25"/>
        <v>3</v>
      </c>
      <c r="BL50" s="289" t="str">
        <f t="shared" si="26"/>
        <v>Edward (1820–1890: #22)</v>
      </c>
      <c r="BM50" s="289" t="str">
        <f t="shared" si="27"/>
        <v>Caroline Louisa FOSTER (b. 6 Aug 1825, d. 8 Feb 1900)</v>
      </c>
      <c r="BN50" s="367" t="str">
        <f t="shared" si="28"/>
        <v>10-Jul-1864</v>
      </c>
      <c r="BO50" s="367" t="str">
        <f t="shared" si="29"/>
        <v>03-Dec-1940</v>
      </c>
      <c r="BP50" s="365" t="str">
        <f t="shared" si="30"/>
        <v>Died 03-Dec-1940, aged 76.</v>
      </c>
    </row>
    <row r="51" spans="1:68" s="289" customFormat="1" ht="40">
      <c r="A51" s="302">
        <v>48</v>
      </c>
      <c r="B51" s="364">
        <v>3</v>
      </c>
      <c r="C51" s="288" t="s">
        <v>782</v>
      </c>
      <c r="D51" s="289" t="s">
        <v>903</v>
      </c>
      <c r="E51" s="289" t="s">
        <v>1101</v>
      </c>
      <c r="H51" s="304" t="s">
        <v>3244</v>
      </c>
      <c r="I51" s="306" t="s">
        <v>1914</v>
      </c>
      <c r="J51" s="306">
        <v>1938</v>
      </c>
      <c r="K51" s="308" t="s">
        <v>4529</v>
      </c>
      <c r="L51" s="308" t="s">
        <v>4529</v>
      </c>
      <c r="M51" s="323" t="s">
        <v>3182</v>
      </c>
      <c r="N51" s="323"/>
      <c r="O51" s="348">
        <f t="shared" si="9"/>
        <v>2</v>
      </c>
      <c r="P51" s="345">
        <f t="shared" si="37"/>
        <v>4</v>
      </c>
      <c r="Q51" s="345">
        <f t="shared" si="38"/>
        <v>1865</v>
      </c>
      <c r="R51" s="344" t="str">
        <f t="shared" si="10"/>
        <v>Apr</v>
      </c>
      <c r="S51" s="344">
        <f t="shared" si="39"/>
        <v>10</v>
      </c>
      <c r="T51" s="344">
        <f t="shared" si="40"/>
        <v>21</v>
      </c>
      <c r="U51" s="344">
        <f t="shared" si="41"/>
        <v>2</v>
      </c>
      <c r="V51" s="344">
        <f t="shared" si="42"/>
        <v>1938</v>
      </c>
      <c r="W51" s="344" t="str">
        <f t="shared" si="11"/>
        <v>Feb</v>
      </c>
      <c r="X51" s="344"/>
      <c r="Y51" s="344"/>
      <c r="Z51" s="314" t="str">
        <f t="shared" si="32"/>
        <v>02-Apr-1865</v>
      </c>
      <c r="AA51" s="314" t="str">
        <f t="shared" si="13"/>
        <v>21-Feb-1938</v>
      </c>
      <c r="AB51" s="314">
        <f t="shared" si="14"/>
        <v>72</v>
      </c>
      <c r="AC51" s="314">
        <f t="shared" si="15"/>
        <v>156</v>
      </c>
      <c r="AD51" s="347" t="str">
        <f t="shared" si="16"/>
        <v>Died 21-Feb-1938, aged 72.</v>
      </c>
      <c r="AE51" s="305"/>
      <c r="AF51" s="303"/>
      <c r="AG51" s="303"/>
      <c r="AH51" s="303"/>
      <c r="AI51" s="327">
        <v>557</v>
      </c>
      <c r="AJ51" s="328" t="s">
        <v>4695</v>
      </c>
      <c r="AK51" s="344" t="str">
        <f t="shared" si="17"/>
        <v>10</v>
      </c>
      <c r="AL51" s="344">
        <f t="shared" si="35"/>
        <v>7</v>
      </c>
      <c r="AM51" s="344">
        <f t="shared" si="36"/>
        <v>1901</v>
      </c>
      <c r="AN51" s="344" t="str">
        <f t="shared" si="20"/>
        <v>Jul</v>
      </c>
      <c r="AO51" s="344" t="str">
        <f t="shared" si="43"/>
        <v>10-Jul-1901</v>
      </c>
      <c r="AQ51" s="322">
        <f>LEN(AI51)</f>
        <v>3</v>
      </c>
      <c r="AR51" s="350">
        <f>A51</f>
        <v>48</v>
      </c>
      <c r="AS51" s="353" t="str">
        <f>IF(V51="",_xlfn.CONCAT(IF(G51="",D51,G51)," (",Q51,"–",V51," : #",AR51,")"),_xlfn.CONCAT(IF(G51="",D51,G51)," (",Q51,"–",V51,": #",AR51,")"))</f>
        <v>Caroline (1865–1938: #48)</v>
      </c>
      <c r="AT51" s="353" t="str">
        <f>IF(V51="",_xlfn.CONCAT(IF(G51="",D51,G51)," (",Q51,"– ",V51,")"),_xlfn.CONCAT(IF(G51="",D51,G51)," (",Q51,"–",V51,")"))</f>
        <v>Caroline (1865–1938)</v>
      </c>
      <c r="AU51" s="352" t="str">
        <f t="shared" si="0"/>
        <v>Female</v>
      </c>
      <c r="AV51" s="355" t="s">
        <v>4374</v>
      </c>
      <c r="AW51" s="319" t="str">
        <f>VLOOKUP(AV51,'Mums of Loyd Edit&amp;Partner Edit'!$B$3:$C$66,2,FALSE)</f>
        <v>Caroline Gertrude Walker VIVIAN (b. 1829, d. 28 Nov 1893)</v>
      </c>
      <c r="AX51" s="360">
        <v>23</v>
      </c>
      <c r="AY51" s="355" t="str">
        <f t="shared" si="8"/>
        <v>William (1821–1885: #23)</v>
      </c>
      <c r="AZ51" s="361">
        <f>VLOOKUP(AX51,Lineage!$A$1:$C$200,2,FALSE)</f>
        <v>8</v>
      </c>
      <c r="BA51" s="362" t="str">
        <f t="shared" si="31"/>
        <v>Edward (1780–1863: #8)</v>
      </c>
      <c r="BB51" s="368">
        <f>BiographyMarriageDetsCountries!A50</f>
        <v>48</v>
      </c>
      <c r="BC51" s="319"/>
      <c r="BD51" s="362"/>
      <c r="BF51" s="324"/>
      <c r="BG51" s="357">
        <f t="shared" si="21"/>
        <v>48</v>
      </c>
      <c r="BH51" s="289" t="str">
        <f t="shared" si="22"/>
        <v>Caroline Beatrice LOYD</v>
      </c>
      <c r="BI51" s="289" t="str">
        <f t="shared" si="23"/>
        <v>Caroline (1865–1938)</v>
      </c>
      <c r="BJ51" s="304" t="str">
        <f t="shared" si="24"/>
        <v>Female</v>
      </c>
      <c r="BK51" s="304">
        <f t="shared" si="25"/>
        <v>3</v>
      </c>
      <c r="BL51" s="289" t="str">
        <f t="shared" si="26"/>
        <v>William (1821–1885: #23)</v>
      </c>
      <c r="BM51" s="289" t="str">
        <f t="shared" si="27"/>
        <v>Caroline Gertrude Walker VIVIAN (b. 1829, d. 28 Nov 1893)</v>
      </c>
      <c r="BN51" s="367" t="str">
        <f t="shared" si="28"/>
        <v>02-Apr-1865</v>
      </c>
      <c r="BO51" s="367" t="str">
        <f t="shared" si="29"/>
        <v>21-Feb-1938</v>
      </c>
      <c r="BP51" s="365" t="str">
        <f t="shared" si="30"/>
        <v>Died 21-Feb-1938, aged 72.</v>
      </c>
    </row>
    <row r="52" spans="1:68" s="289" customFormat="1" ht="40">
      <c r="A52" s="302">
        <v>49</v>
      </c>
      <c r="B52" s="364">
        <v>3</v>
      </c>
      <c r="C52" s="288" t="s">
        <v>782</v>
      </c>
      <c r="D52" s="289" t="s">
        <v>870</v>
      </c>
      <c r="E52" s="289" t="s">
        <v>1103</v>
      </c>
      <c r="H52" s="311" t="s">
        <v>3244</v>
      </c>
      <c r="I52" s="306" t="s">
        <v>1917</v>
      </c>
      <c r="J52" s="306" t="s">
        <v>1917</v>
      </c>
      <c r="K52" s="308" t="s">
        <v>4530</v>
      </c>
      <c r="L52" s="308" t="s">
        <v>4530</v>
      </c>
      <c r="M52" s="323" t="s">
        <v>1104</v>
      </c>
      <c r="N52" s="323"/>
      <c r="O52" s="348">
        <f t="shared" si="9"/>
        <v>19</v>
      </c>
      <c r="P52" s="345">
        <f t="shared" si="37"/>
        <v>1</v>
      </c>
      <c r="Q52" s="345">
        <f t="shared" si="38"/>
        <v>1867</v>
      </c>
      <c r="R52" s="344" t="str">
        <f t="shared" si="10"/>
        <v>Jan</v>
      </c>
      <c r="S52" s="344">
        <f t="shared" si="39"/>
        <v>10</v>
      </c>
      <c r="T52" s="344">
        <f t="shared" si="40"/>
        <v>19</v>
      </c>
      <c r="U52" s="344">
        <f t="shared" si="41"/>
        <v>1</v>
      </c>
      <c r="V52" s="344">
        <f t="shared" si="42"/>
        <v>1867</v>
      </c>
      <c r="W52" s="344" t="str">
        <f t="shared" si="11"/>
        <v>Jan</v>
      </c>
      <c r="X52" s="344"/>
      <c r="Y52" s="344"/>
      <c r="Z52" s="314" t="str">
        <f t="shared" si="32"/>
        <v>19-Jan-1867</v>
      </c>
      <c r="AA52" s="314" t="str">
        <f t="shared" si="13"/>
        <v>19-Jan-1867</v>
      </c>
      <c r="AB52" s="314">
        <f t="shared" si="14"/>
        <v>0</v>
      </c>
      <c r="AC52" s="314">
        <f t="shared" si="15"/>
        <v>154</v>
      </c>
      <c r="AD52" s="347" t="str">
        <f t="shared" si="16"/>
        <v>Died in Infancy 19-Jan-1867.</v>
      </c>
      <c r="AE52" s="305"/>
      <c r="AF52" s="303"/>
      <c r="AG52" s="303"/>
      <c r="AH52" s="303"/>
      <c r="AI52" s="289" t="s">
        <v>2793</v>
      </c>
      <c r="AJ52" s="289" t="s">
        <v>2793</v>
      </c>
      <c r="AK52" s="344" t="str">
        <f t="shared" si="17"/>
        <v xml:space="preserve"> -</v>
      </c>
      <c r="AL52" s="344" t="str">
        <f t="shared" si="35"/>
        <v xml:space="preserve"> -</v>
      </c>
      <c r="AM52" s="344" t="str">
        <f t="shared" si="36"/>
        <v xml:space="preserve"> -</v>
      </c>
      <c r="AN52" s="344" t="str">
        <f t="shared" si="20"/>
        <v xml:space="preserve"> -</v>
      </c>
      <c r="AO52" s="344" t="str">
        <f t="shared" si="43"/>
        <v xml:space="preserve"> -</v>
      </c>
      <c r="AR52" s="350">
        <f>A52</f>
        <v>49</v>
      </c>
      <c r="AS52" s="353" t="str">
        <f>IF(V52="",_xlfn.CONCAT(IF(G52="",D52,G52)," (",Q52,"–",V52," : #",AR52,")"),_xlfn.CONCAT(IF(G52="",D52,G52)," (",Q52,"–",V52,": #",AR52,")"))</f>
        <v>Mary (1867–1867: #49)</v>
      </c>
      <c r="AT52" s="353" t="str">
        <f>IF(V52="",_xlfn.CONCAT(IF(G52="",D52,G52)," (",Q52,"– ",V52,")"),_xlfn.CONCAT(IF(G52="",D52,G52)," (",Q52,"–",V52,")"))</f>
        <v>Mary (1867–1867)</v>
      </c>
      <c r="AU52" s="352" t="str">
        <f t="shared" si="0"/>
        <v>Female</v>
      </c>
      <c r="AV52" s="355" t="s">
        <v>4374</v>
      </c>
      <c r="AW52" s="319" t="str">
        <f>VLOOKUP(AV52,'Mums of Loyd Edit&amp;Partner Edit'!$B$3:$C$66,2,FALSE)</f>
        <v>Caroline Gertrude Walker VIVIAN (b. 1829, d. 28 Nov 1893)</v>
      </c>
      <c r="AX52" s="360">
        <v>23</v>
      </c>
      <c r="AY52" s="355" t="str">
        <f t="shared" si="8"/>
        <v>William (1821–1885: #23)</v>
      </c>
      <c r="AZ52" s="361">
        <f>VLOOKUP(AX52,Lineage!$A$1:$C$200,2,FALSE)</f>
        <v>8</v>
      </c>
      <c r="BA52" s="362" t="str">
        <f t="shared" si="31"/>
        <v>Edward (1780–1863: #8)</v>
      </c>
      <c r="BB52" s="368">
        <f>BiographyMarriageDetsCountries!A51</f>
        <v>49</v>
      </c>
      <c r="BC52" s="319"/>
      <c r="BD52" s="362"/>
      <c r="BF52" s="324"/>
      <c r="BG52" s="357">
        <f t="shared" si="21"/>
        <v>49</v>
      </c>
      <c r="BH52" s="289" t="str">
        <f t="shared" si="22"/>
        <v>Mary Winifrid LOYD</v>
      </c>
      <c r="BI52" s="289" t="str">
        <f t="shared" si="23"/>
        <v>Mary (1867–1867)</v>
      </c>
      <c r="BJ52" s="304" t="str">
        <f t="shared" si="24"/>
        <v>Female</v>
      </c>
      <c r="BK52" s="304">
        <f t="shared" si="25"/>
        <v>3</v>
      </c>
      <c r="BL52" s="289" t="str">
        <f t="shared" si="26"/>
        <v>William (1821–1885: #23)</v>
      </c>
      <c r="BM52" s="289" t="str">
        <f t="shared" si="27"/>
        <v>Caroline Gertrude Walker VIVIAN (b. 1829, d. 28 Nov 1893)</v>
      </c>
      <c r="BN52" s="367" t="str">
        <f t="shared" si="28"/>
        <v>19-Jan-1867</v>
      </c>
      <c r="BO52" s="367" t="str">
        <f t="shared" si="29"/>
        <v>19-Jan-1867</v>
      </c>
      <c r="BP52" s="365" t="str">
        <f t="shared" si="30"/>
        <v>Died in Infancy 19-Jan-1867.</v>
      </c>
    </row>
    <row r="53" spans="1:68" s="289" customFormat="1" ht="40">
      <c r="A53" s="302">
        <v>50</v>
      </c>
      <c r="B53" s="364">
        <v>3</v>
      </c>
      <c r="C53" s="288" t="s">
        <v>782</v>
      </c>
      <c r="D53" s="289" t="s">
        <v>804</v>
      </c>
      <c r="E53" s="289" t="s">
        <v>1105</v>
      </c>
      <c r="H53" s="304" t="s">
        <v>3245</v>
      </c>
      <c r="I53" s="306" t="s">
        <v>4476</v>
      </c>
      <c r="J53" s="306">
        <v>1911</v>
      </c>
      <c r="K53" s="308" t="s">
        <v>4531</v>
      </c>
      <c r="L53" s="308" t="s">
        <v>4531</v>
      </c>
      <c r="M53" s="323" t="s">
        <v>3183</v>
      </c>
      <c r="N53" s="323"/>
      <c r="O53" s="348">
        <f t="shared" si="9"/>
        <v>20</v>
      </c>
      <c r="P53" s="345">
        <f t="shared" si="37"/>
        <v>7</v>
      </c>
      <c r="Q53" s="345">
        <f t="shared" si="38"/>
        <v>1868</v>
      </c>
      <c r="R53" s="344" t="str">
        <f t="shared" si="10"/>
        <v>Jul</v>
      </c>
      <c r="S53" s="344">
        <f t="shared" si="39"/>
        <v>10</v>
      </c>
      <c r="T53" s="344">
        <f t="shared" si="40"/>
        <v>21</v>
      </c>
      <c r="U53" s="344">
        <f t="shared" si="41"/>
        <v>6</v>
      </c>
      <c r="V53" s="344">
        <f t="shared" si="42"/>
        <v>1911</v>
      </c>
      <c r="W53" s="344" t="str">
        <f t="shared" si="11"/>
        <v>Jun</v>
      </c>
      <c r="X53" s="344"/>
      <c r="Y53" s="344"/>
      <c r="Z53" s="314" t="str">
        <f t="shared" si="32"/>
        <v>20-Jul-1868</v>
      </c>
      <c r="AA53" s="314" t="str">
        <f t="shared" si="13"/>
        <v>21-Jun-1911</v>
      </c>
      <c r="AB53" s="314">
        <f t="shared" si="14"/>
        <v>42</v>
      </c>
      <c r="AC53" s="314">
        <f t="shared" si="15"/>
        <v>153</v>
      </c>
      <c r="AD53" s="347" t="str">
        <f t="shared" si="16"/>
        <v>Died 21-Jun-1911, aged 42.</v>
      </c>
      <c r="AE53" s="305"/>
      <c r="AF53" s="303"/>
      <c r="AG53" s="303"/>
      <c r="AH53" s="303"/>
      <c r="AI53" s="289" t="s">
        <v>1107</v>
      </c>
      <c r="AJ53" s="289" t="s">
        <v>1107</v>
      </c>
      <c r="AK53" s="344" t="str">
        <f t="shared" si="17"/>
        <v>06</v>
      </c>
      <c r="AL53" s="344">
        <f t="shared" si="35"/>
        <v>3</v>
      </c>
      <c r="AM53" s="344">
        <f t="shared" si="36"/>
        <v>1894</v>
      </c>
      <c r="AN53" s="344" t="str">
        <f t="shared" si="20"/>
        <v>Mar</v>
      </c>
      <c r="AO53" s="344" t="str">
        <f t="shared" si="43"/>
        <v>06-Mar-1894</v>
      </c>
      <c r="AR53" s="350">
        <f>A53</f>
        <v>50</v>
      </c>
      <c r="AS53" s="353" t="str">
        <f>IF(V53="",_xlfn.CONCAT(IF(G53="",D53,G53)," (",Q53,"–",V53," : #",AR53,")"),_xlfn.CONCAT(IF(G53="",D53,G53)," (",Q53,"–",V53,": #",AR53,")"))</f>
        <v>Arthur (1868–1911: #50)</v>
      </c>
      <c r="AT53" s="353" t="str">
        <f>IF(V53="",_xlfn.CONCAT(IF(G53="",D53,G53)," (",Q53,"– ",V53,")"),_xlfn.CONCAT(IF(G53="",D53,G53)," (",Q53,"–",V53,")"))</f>
        <v>Arthur (1868–1911)</v>
      </c>
      <c r="AU53" s="352" t="str">
        <f t="shared" si="0"/>
        <v>Male</v>
      </c>
      <c r="AV53" s="355" t="s">
        <v>4374</v>
      </c>
      <c r="AW53" s="319" t="str">
        <f>VLOOKUP(AV53,'Mums of Loyd Edit&amp;Partner Edit'!$B$3:$C$66,2,FALSE)</f>
        <v>Caroline Gertrude Walker VIVIAN (b. 1829, d. 28 Nov 1893)</v>
      </c>
      <c r="AX53" s="360">
        <v>23</v>
      </c>
      <c r="AY53" s="355" t="str">
        <f t="shared" si="8"/>
        <v>William (1821–1885: #23)</v>
      </c>
      <c r="AZ53" s="361">
        <f>VLOOKUP(AX53,Lineage!$A$1:$C$200,2,FALSE)</f>
        <v>8</v>
      </c>
      <c r="BA53" s="362" t="str">
        <f t="shared" si="31"/>
        <v>Edward (1780–1863: #8)</v>
      </c>
      <c r="BB53" s="368">
        <f>BiographyMarriageDetsCountries!A52</f>
        <v>50</v>
      </c>
      <c r="BC53" s="319"/>
      <c r="BD53" s="362"/>
      <c r="BF53" s="324"/>
      <c r="BG53" s="357">
        <f t="shared" si="21"/>
        <v>50</v>
      </c>
      <c r="BH53" s="289" t="str">
        <f t="shared" si="22"/>
        <v>Arthur Heneage LOYD</v>
      </c>
      <c r="BI53" s="289" t="str">
        <f t="shared" si="23"/>
        <v>Arthur (1868–1911)</v>
      </c>
      <c r="BJ53" s="304" t="str">
        <f t="shared" si="24"/>
        <v>Male</v>
      </c>
      <c r="BK53" s="304">
        <f t="shared" si="25"/>
        <v>3</v>
      </c>
      <c r="BL53" s="289" t="str">
        <f t="shared" si="26"/>
        <v>William (1821–1885: #23)</v>
      </c>
      <c r="BM53" s="289" t="str">
        <f t="shared" si="27"/>
        <v>Caroline Gertrude Walker VIVIAN (b. 1829, d. 28 Nov 1893)</v>
      </c>
      <c r="BN53" s="367" t="str">
        <f t="shared" si="28"/>
        <v>20-Jul-1868</v>
      </c>
      <c r="BO53" s="367" t="str">
        <f t="shared" si="29"/>
        <v>21-Jun-1911</v>
      </c>
      <c r="BP53" s="365" t="str">
        <f t="shared" si="30"/>
        <v>Died 21-Jun-1911, aged 42.</v>
      </c>
    </row>
    <row r="54" spans="1:68" s="289" customFormat="1" ht="40">
      <c r="A54" s="302">
        <v>51</v>
      </c>
      <c r="B54" s="364">
        <v>4</v>
      </c>
      <c r="C54" s="288" t="s">
        <v>782</v>
      </c>
      <c r="D54" s="289" t="s">
        <v>914</v>
      </c>
      <c r="E54" s="289" t="s">
        <v>1108</v>
      </c>
      <c r="H54" s="304" t="s">
        <v>3245</v>
      </c>
      <c r="I54" s="306" t="s">
        <v>4477</v>
      </c>
      <c r="J54" s="306">
        <v>1947</v>
      </c>
      <c r="K54" s="308" t="s">
        <v>4532</v>
      </c>
      <c r="L54" s="308" t="s">
        <v>4532</v>
      </c>
      <c r="M54" s="323" t="s">
        <v>3184</v>
      </c>
      <c r="N54" s="323"/>
      <c r="O54" s="348">
        <f t="shared" si="9"/>
        <v>27</v>
      </c>
      <c r="P54" s="345">
        <f t="shared" si="37"/>
        <v>9</v>
      </c>
      <c r="Q54" s="345">
        <f t="shared" si="38"/>
        <v>1875</v>
      </c>
      <c r="R54" s="344" t="str">
        <f t="shared" si="10"/>
        <v>Sep</v>
      </c>
      <c r="S54" s="344">
        <f t="shared" si="39"/>
        <v>10</v>
      </c>
      <c r="T54" s="344">
        <f t="shared" si="40"/>
        <v>17</v>
      </c>
      <c r="U54" s="344">
        <f t="shared" si="41"/>
        <v>8</v>
      </c>
      <c r="V54" s="344">
        <f t="shared" si="42"/>
        <v>1947</v>
      </c>
      <c r="W54" s="344" t="str">
        <f t="shared" si="11"/>
        <v>Aug</v>
      </c>
      <c r="X54" s="344"/>
      <c r="Y54" s="344"/>
      <c r="Z54" s="314" t="str">
        <f t="shared" si="32"/>
        <v>27-Sep-1875</v>
      </c>
      <c r="AA54" s="314" t="str">
        <f t="shared" si="13"/>
        <v>17-Aug-1947</v>
      </c>
      <c r="AB54" s="314">
        <f t="shared" si="14"/>
        <v>71</v>
      </c>
      <c r="AC54" s="314">
        <f t="shared" si="15"/>
        <v>146</v>
      </c>
      <c r="AD54" s="347" t="str">
        <f t="shared" si="16"/>
        <v>Died 17-Aug-1947, aged 71.</v>
      </c>
      <c r="AE54" s="305"/>
      <c r="AF54" s="303"/>
      <c r="AG54" s="303"/>
      <c r="AH54" s="303"/>
      <c r="AI54" s="289" t="s">
        <v>2793</v>
      </c>
      <c r="AJ54" s="289" t="s">
        <v>2793</v>
      </c>
      <c r="AK54" s="344" t="str">
        <f t="shared" si="17"/>
        <v xml:space="preserve"> -</v>
      </c>
      <c r="AL54" s="344" t="str">
        <f t="shared" si="35"/>
        <v xml:space="preserve"> -</v>
      </c>
      <c r="AM54" s="344" t="str">
        <f t="shared" si="36"/>
        <v xml:space="preserve"> -</v>
      </c>
      <c r="AN54" s="344" t="str">
        <f t="shared" si="20"/>
        <v xml:space="preserve"> -</v>
      </c>
      <c r="AO54" s="344" t="str">
        <f t="shared" si="43"/>
        <v xml:space="preserve"> -</v>
      </c>
      <c r="AR54" s="350">
        <f>A54</f>
        <v>51</v>
      </c>
      <c r="AS54" s="353" t="str">
        <f>IF(V54="",_xlfn.CONCAT(IF(G54="",D54,G54)," (",Q54,"–",V54," : #",AR54,")"),_xlfn.CONCAT(IF(G54="",D54,G54)," (",Q54,"–",V54,": #",AR54,")"))</f>
        <v>Lewis (1875–1947: #51)</v>
      </c>
      <c r="AT54" s="353" t="str">
        <f>IF(V54="",_xlfn.CONCAT(IF(G54="",D54,G54)," (",Q54,"– ",V54,")"),_xlfn.CONCAT(IF(G54="",D54,G54)," (",Q54,"–",V54,")"))</f>
        <v>Lewis (1875–1947)</v>
      </c>
      <c r="AU54" s="352" t="str">
        <f t="shared" si="0"/>
        <v>Male</v>
      </c>
      <c r="AV54" s="355" t="s">
        <v>4375</v>
      </c>
      <c r="AW54" s="319" t="str">
        <f>VLOOKUP(AV54,'Mums of Loyd Edit&amp;Partner Edit'!$B$3:$C$66,2,FALSE)</f>
        <v xml:space="preserve">Emily Harriet (Milly) SMYTH (b. 30 Aug 1852, d. 25 Feb 1911) </v>
      </c>
      <c r="AX54" s="360">
        <v>28</v>
      </c>
      <c r="AY54" s="355" t="str">
        <f t="shared" si="8"/>
        <v>The Rev Lewis (1844–1905: #28)</v>
      </c>
      <c r="AZ54" s="361">
        <f>VLOOKUP(AX54,Lineage!$A$1:$C$200,2,FALSE)</f>
        <v>14</v>
      </c>
      <c r="BA54" s="362" t="str">
        <f t="shared" si="31"/>
        <v>Thomas (1812–1857: #14)</v>
      </c>
      <c r="BB54" s="368">
        <f>BiographyMarriageDetsCountries!A53</f>
        <v>51</v>
      </c>
      <c r="BC54" s="319"/>
      <c r="BD54" s="362"/>
      <c r="BF54" s="324"/>
      <c r="BG54" s="357">
        <f t="shared" si="21"/>
        <v>51</v>
      </c>
      <c r="BH54" s="289" t="str">
        <f t="shared" si="22"/>
        <v>Lewis Christopher  LOYD</v>
      </c>
      <c r="BI54" s="289" t="str">
        <f t="shared" si="23"/>
        <v>Lewis (1875–1947)</v>
      </c>
      <c r="BJ54" s="304" t="str">
        <f t="shared" si="24"/>
        <v>Male</v>
      </c>
      <c r="BK54" s="304">
        <f t="shared" si="25"/>
        <v>4</v>
      </c>
      <c r="BL54" s="289" t="str">
        <f t="shared" si="26"/>
        <v>The Rev Lewis (1844–1905: #28)</v>
      </c>
      <c r="BM54" s="289" t="str">
        <f t="shared" si="27"/>
        <v xml:space="preserve">Emily Harriet (Milly) SMYTH (b. 30 Aug 1852, d. 25 Feb 1911) </v>
      </c>
      <c r="BN54" s="367" t="str">
        <f t="shared" si="28"/>
        <v>27-Sep-1875</v>
      </c>
      <c r="BO54" s="367" t="str">
        <f t="shared" si="29"/>
        <v>17-Aug-1947</v>
      </c>
      <c r="BP54" s="365" t="str">
        <f t="shared" si="30"/>
        <v>Died 17-Aug-1947, aged 71.</v>
      </c>
    </row>
    <row r="55" spans="1:68" s="289" customFormat="1" ht="40">
      <c r="A55" s="302">
        <v>52</v>
      </c>
      <c r="B55" s="364">
        <v>4</v>
      </c>
      <c r="C55" s="288" t="s">
        <v>782</v>
      </c>
      <c r="D55" s="289" t="s">
        <v>914</v>
      </c>
      <c r="E55" s="289" t="s">
        <v>1083</v>
      </c>
      <c r="F55" s="289" t="s">
        <v>850</v>
      </c>
      <c r="H55" s="304" t="s">
        <v>3245</v>
      </c>
      <c r="I55" s="306" t="s">
        <v>4478</v>
      </c>
      <c r="J55" s="306">
        <v>1918</v>
      </c>
      <c r="K55" s="308" t="s">
        <v>4533</v>
      </c>
      <c r="L55" s="308" t="s">
        <v>4533</v>
      </c>
      <c r="M55" s="323" t="s">
        <v>3185</v>
      </c>
      <c r="N55" s="323"/>
      <c r="O55" s="348">
        <f t="shared" si="9"/>
        <v>6</v>
      </c>
      <c r="P55" s="345">
        <f t="shared" si="37"/>
        <v>10</v>
      </c>
      <c r="Q55" s="345">
        <f t="shared" si="38"/>
        <v>1880</v>
      </c>
      <c r="R55" s="344" t="str">
        <f t="shared" si="10"/>
        <v>Oct</v>
      </c>
      <c r="S55" s="344">
        <f t="shared" si="39"/>
        <v>10</v>
      </c>
      <c r="T55" s="344">
        <f t="shared" si="40"/>
        <v>21</v>
      </c>
      <c r="U55" s="344">
        <f t="shared" si="41"/>
        <v>9</v>
      </c>
      <c r="V55" s="344">
        <f t="shared" si="42"/>
        <v>1918</v>
      </c>
      <c r="W55" s="344" t="str">
        <f t="shared" si="11"/>
        <v>Sep</v>
      </c>
      <c r="X55" s="344"/>
      <c r="Y55" s="344"/>
      <c r="Z55" s="314" t="str">
        <f t="shared" si="32"/>
        <v>06-Oct-1880</v>
      </c>
      <c r="AA55" s="314" t="str">
        <f t="shared" si="13"/>
        <v>21-Sep-1918</v>
      </c>
      <c r="AB55" s="314">
        <f t="shared" si="14"/>
        <v>37</v>
      </c>
      <c r="AC55" s="314">
        <f t="shared" si="15"/>
        <v>141</v>
      </c>
      <c r="AD55" s="347" t="str">
        <f t="shared" si="16"/>
        <v>Died 21-Sep-1918, aged 37.</v>
      </c>
      <c r="AE55" s="305"/>
      <c r="AF55" s="303"/>
      <c r="AG55" s="303"/>
      <c r="AH55" s="303"/>
      <c r="AI55" s="327">
        <v>5407</v>
      </c>
      <c r="AJ55" s="328" t="s">
        <v>4696</v>
      </c>
      <c r="AK55" s="344" t="str">
        <f t="shared" si="17"/>
        <v>20</v>
      </c>
      <c r="AL55" s="344">
        <f t="shared" si="35"/>
        <v>10</v>
      </c>
      <c r="AM55" s="344">
        <f t="shared" si="36"/>
        <v>1914</v>
      </c>
      <c r="AN55" s="344" t="str">
        <f t="shared" si="20"/>
        <v>Oct</v>
      </c>
      <c r="AO55" s="344" t="str">
        <f t="shared" si="43"/>
        <v>20-Oct-1914</v>
      </c>
      <c r="AQ55" s="327"/>
      <c r="AR55" s="350">
        <f>A55</f>
        <v>52</v>
      </c>
      <c r="AS55" s="353" t="str">
        <f>IF(V55="",_xlfn.CONCAT(IF(G55="",D55,G55)," (",Q55,"–",V55," : #",AR55,")"),_xlfn.CONCAT(IF(G55="",D55,G55)," (",Q55,"–",V55,": #",AR55,")"))</f>
        <v>Lewis (1880–1918: #52)</v>
      </c>
      <c r="AT55" s="353" t="str">
        <f>IF(V55="",_xlfn.CONCAT(IF(G55="",D55,G55)," (",Q55,"– ",V55,")"),_xlfn.CONCAT(IF(G55="",D55,G55)," (",Q55,"–",V55,")"))</f>
        <v>Lewis (1880–1918)</v>
      </c>
      <c r="AU55" s="352" t="str">
        <f t="shared" si="0"/>
        <v>Male</v>
      </c>
      <c r="AV55" s="355" t="s">
        <v>4376</v>
      </c>
      <c r="AW55" s="319" t="str">
        <f>VLOOKUP(AV55,'Mums of Loyd Edit&amp;Partner Edit'!$B$3:$C$66,2,FALSE)</f>
        <v>Isabella (Isabel) CURREY (b. 26 Apr 1855, d. 16 Jan 1926)</v>
      </c>
      <c r="AX55" s="360">
        <v>41</v>
      </c>
      <c r="AY55" s="355" t="str">
        <f t="shared" si="8"/>
        <v>Frederic (1856–1936: #41)</v>
      </c>
      <c r="AZ55" s="361">
        <f>VLOOKUP(AX55,Lineage!$A$1:$C$200,2,FALSE)</f>
        <v>22</v>
      </c>
      <c r="BA55" s="362" t="str">
        <f t="shared" si="31"/>
        <v>Edward (1820–1890: #22)</v>
      </c>
      <c r="BB55" s="368">
        <f>BiographyMarriageDetsCountries!A54</f>
        <v>52</v>
      </c>
      <c r="BC55" s="319"/>
      <c r="BD55" s="362"/>
      <c r="BF55" s="324"/>
      <c r="BG55" s="357">
        <f t="shared" si="21"/>
        <v>52</v>
      </c>
      <c r="BH55" s="289" t="str">
        <f t="shared" si="22"/>
        <v>Lewis Frederic Innes LOYD</v>
      </c>
      <c r="BI55" s="289" t="str">
        <f t="shared" si="23"/>
        <v>Lewis (1880–1918)</v>
      </c>
      <c r="BJ55" s="304" t="str">
        <f t="shared" si="24"/>
        <v>Male</v>
      </c>
      <c r="BK55" s="304">
        <f t="shared" si="25"/>
        <v>4</v>
      </c>
      <c r="BL55" s="289" t="str">
        <f t="shared" si="26"/>
        <v>Frederic (1856–1936: #41)</v>
      </c>
      <c r="BM55" s="289" t="str">
        <f t="shared" si="27"/>
        <v>Isabella (Isabel) CURREY (b. 26 Apr 1855, d. 16 Jan 1926)</v>
      </c>
      <c r="BN55" s="367" t="str">
        <f t="shared" si="28"/>
        <v>06-Oct-1880</v>
      </c>
      <c r="BO55" s="367" t="str">
        <f t="shared" si="29"/>
        <v>21-Sep-1918</v>
      </c>
      <c r="BP55" s="365" t="str">
        <f t="shared" si="30"/>
        <v>Died 21-Sep-1918, aged 37.</v>
      </c>
    </row>
    <row r="56" spans="1:68" s="289" customFormat="1" ht="40">
      <c r="A56" s="302">
        <v>53</v>
      </c>
      <c r="B56" s="364">
        <v>4</v>
      </c>
      <c r="C56" s="288" t="s">
        <v>782</v>
      </c>
      <c r="D56" s="289" t="s">
        <v>811</v>
      </c>
      <c r="E56" s="289" t="s">
        <v>1111</v>
      </c>
      <c r="F56" s="289" t="s">
        <v>1112</v>
      </c>
      <c r="H56" s="304" t="s">
        <v>3245</v>
      </c>
      <c r="I56" s="306" t="s">
        <v>4474</v>
      </c>
      <c r="J56" s="306">
        <v>1962</v>
      </c>
      <c r="K56" s="308" t="s">
        <v>4534</v>
      </c>
      <c r="L56" s="308" t="s">
        <v>4534</v>
      </c>
      <c r="M56" s="323" t="s">
        <v>3186</v>
      </c>
      <c r="N56" s="323"/>
      <c r="O56" s="348">
        <f t="shared" si="9"/>
        <v>23</v>
      </c>
      <c r="P56" s="345">
        <f t="shared" si="37"/>
        <v>12</v>
      </c>
      <c r="Q56" s="345">
        <f t="shared" si="38"/>
        <v>1881</v>
      </c>
      <c r="R56" s="344" t="str">
        <f t="shared" si="10"/>
        <v>Dec</v>
      </c>
      <c r="S56" s="344">
        <f t="shared" si="39"/>
        <v>10</v>
      </c>
      <c r="T56" s="344">
        <f t="shared" si="40"/>
        <v>6</v>
      </c>
      <c r="U56" s="344">
        <f t="shared" si="41"/>
        <v>2</v>
      </c>
      <c r="V56" s="344">
        <f t="shared" si="42"/>
        <v>1962</v>
      </c>
      <c r="W56" s="344" t="str">
        <f t="shared" si="11"/>
        <v>Feb</v>
      </c>
      <c r="X56" s="344"/>
      <c r="Y56" s="344"/>
      <c r="Z56" s="314" t="str">
        <f t="shared" si="32"/>
        <v>23-Dec-1881</v>
      </c>
      <c r="AA56" s="314" t="str">
        <f t="shared" si="13"/>
        <v>06-Feb-1962</v>
      </c>
      <c r="AB56" s="314">
        <f t="shared" si="14"/>
        <v>80</v>
      </c>
      <c r="AC56" s="314">
        <f t="shared" si="15"/>
        <v>140</v>
      </c>
      <c r="AD56" s="347" t="str">
        <f t="shared" si="16"/>
        <v>Died 06-Feb-1962, aged 80.</v>
      </c>
      <c r="AE56" s="305"/>
      <c r="AF56" s="303"/>
      <c r="AG56" s="303"/>
      <c r="AH56" s="303"/>
      <c r="AI56" s="327">
        <v>7126</v>
      </c>
      <c r="AJ56" s="328" t="s">
        <v>4697</v>
      </c>
      <c r="AK56" s="344" t="str">
        <f t="shared" si="17"/>
        <v>05</v>
      </c>
      <c r="AL56" s="344">
        <f t="shared" si="35"/>
        <v>7</v>
      </c>
      <c r="AM56" s="344">
        <f t="shared" si="36"/>
        <v>1919</v>
      </c>
      <c r="AN56" s="344" t="str">
        <f t="shared" si="20"/>
        <v>Jul</v>
      </c>
      <c r="AO56" s="344" t="str">
        <f t="shared" si="43"/>
        <v>05-Jul-1919</v>
      </c>
      <c r="AQ56" s="327"/>
      <c r="AR56" s="350">
        <f>A56</f>
        <v>53</v>
      </c>
      <c r="AS56" s="353" t="str">
        <f>IF(V56="",_xlfn.CONCAT(IF(G56="",D56,G56)," (",Q56,"–",V56," : #",AR56,")"),_xlfn.CONCAT(IF(G56="",D56,G56)," (",Q56,"–",V56,": #",AR56,")"))</f>
        <v>Edward (1881–1962: #53)</v>
      </c>
      <c r="AT56" s="353" t="str">
        <f>IF(V56="",_xlfn.CONCAT(IF(G56="",D56,G56)," (",Q56,"– ",V56,")"),_xlfn.CONCAT(IF(G56="",D56,G56)," (",Q56,"–",V56,")"))</f>
        <v>Edward (1881–1962)</v>
      </c>
      <c r="AU56" s="352" t="str">
        <f t="shared" si="0"/>
        <v>Male</v>
      </c>
      <c r="AV56" s="355" t="s">
        <v>4376</v>
      </c>
      <c r="AW56" s="319" t="str">
        <f>VLOOKUP(AV56,'Mums of Loyd Edit&amp;Partner Edit'!$B$3:$C$66,2,FALSE)</f>
        <v>Isabella (Isabel) CURREY (b. 26 Apr 1855, d. 16 Jan 1926)</v>
      </c>
      <c r="AX56" s="360">
        <v>41</v>
      </c>
      <c r="AY56" s="355" t="str">
        <f t="shared" si="8"/>
        <v>Frederic (1856–1936: #41)</v>
      </c>
      <c r="AZ56" s="361">
        <f>VLOOKUP(AX56,Lineage!$A$1:$C$200,2,FALSE)</f>
        <v>22</v>
      </c>
      <c r="BA56" s="362" t="str">
        <f t="shared" si="31"/>
        <v>Edward (1820–1890: #22)</v>
      </c>
      <c r="BB56" s="368">
        <f>BiographyMarriageDetsCountries!A55</f>
        <v>53</v>
      </c>
      <c r="BC56" s="319"/>
      <c r="BD56" s="362"/>
      <c r="BF56" s="324"/>
      <c r="BG56" s="357">
        <f t="shared" si="21"/>
        <v>53</v>
      </c>
      <c r="BH56" s="289" t="str">
        <f t="shared" si="22"/>
        <v>Edward Noel Farnham LOYD</v>
      </c>
      <c r="BI56" s="289" t="str">
        <f t="shared" si="23"/>
        <v>Edward (1881–1962)</v>
      </c>
      <c r="BJ56" s="304" t="str">
        <f t="shared" si="24"/>
        <v>Male</v>
      </c>
      <c r="BK56" s="304">
        <f t="shared" si="25"/>
        <v>4</v>
      </c>
      <c r="BL56" s="289" t="str">
        <f t="shared" si="26"/>
        <v>Frederic (1856–1936: #41)</v>
      </c>
      <c r="BM56" s="289" t="str">
        <f t="shared" si="27"/>
        <v>Isabella (Isabel) CURREY (b. 26 Apr 1855, d. 16 Jan 1926)</v>
      </c>
      <c r="BN56" s="367" t="str">
        <f t="shared" si="28"/>
        <v>23-Dec-1881</v>
      </c>
      <c r="BO56" s="367" t="str">
        <f t="shared" si="29"/>
        <v>06-Feb-1962</v>
      </c>
      <c r="BP56" s="365" t="str">
        <f t="shared" si="30"/>
        <v>Died 06-Feb-1962, aged 80.</v>
      </c>
    </row>
    <row r="57" spans="1:68" s="289" customFormat="1" ht="40">
      <c r="A57" s="302">
        <v>54</v>
      </c>
      <c r="B57" s="364">
        <v>4</v>
      </c>
      <c r="C57" s="288" t="s">
        <v>782</v>
      </c>
      <c r="D57" s="289" t="s">
        <v>1063</v>
      </c>
      <c r="E57" s="289" t="s">
        <v>830</v>
      </c>
      <c r="F57" s="289" t="s">
        <v>819</v>
      </c>
      <c r="H57" s="304" t="s">
        <v>3245</v>
      </c>
      <c r="I57" s="306" t="s">
        <v>4479</v>
      </c>
      <c r="J57" s="306">
        <v>1919</v>
      </c>
      <c r="K57" s="308" t="s">
        <v>4535</v>
      </c>
      <c r="L57" s="308" t="s">
        <v>4535</v>
      </c>
      <c r="M57" s="323" t="s">
        <v>3187</v>
      </c>
      <c r="N57" s="323"/>
      <c r="O57" s="348">
        <f t="shared" si="9"/>
        <v>10</v>
      </c>
      <c r="P57" s="345">
        <f t="shared" si="37"/>
        <v>2</v>
      </c>
      <c r="Q57" s="345">
        <f t="shared" si="38"/>
        <v>1882</v>
      </c>
      <c r="R57" s="344" t="str">
        <f t="shared" si="10"/>
        <v>Feb</v>
      </c>
      <c r="S57" s="344">
        <f t="shared" si="39"/>
        <v>10</v>
      </c>
      <c r="T57" s="344">
        <f t="shared" si="40"/>
        <v>13</v>
      </c>
      <c r="U57" s="344">
        <f t="shared" si="41"/>
        <v>2</v>
      </c>
      <c r="V57" s="344">
        <f t="shared" si="42"/>
        <v>1919</v>
      </c>
      <c r="W57" s="344" t="str">
        <f t="shared" si="11"/>
        <v>Feb</v>
      </c>
      <c r="X57" s="344"/>
      <c r="Y57" s="344"/>
      <c r="Z57" s="314" t="str">
        <f t="shared" si="32"/>
        <v>10-Feb-1882</v>
      </c>
      <c r="AA57" s="314" t="str">
        <f t="shared" si="13"/>
        <v>13-Feb-1919</v>
      </c>
      <c r="AB57" s="314">
        <f t="shared" si="14"/>
        <v>37</v>
      </c>
      <c r="AC57" s="314">
        <f t="shared" si="15"/>
        <v>139</v>
      </c>
      <c r="AD57" s="347" t="str">
        <f t="shared" si="16"/>
        <v>Died 13-Feb-1919, aged 37.</v>
      </c>
      <c r="AE57" s="305"/>
      <c r="AF57" s="303"/>
      <c r="AG57" s="303"/>
      <c r="AH57" s="303"/>
      <c r="AI57" s="327">
        <v>5509</v>
      </c>
      <c r="AJ57" s="328" t="s">
        <v>4698</v>
      </c>
      <c r="AK57" s="344" t="str">
        <f t="shared" si="17"/>
        <v>30</v>
      </c>
      <c r="AL57" s="344">
        <f t="shared" si="35"/>
        <v>1</v>
      </c>
      <c r="AM57" s="344">
        <f t="shared" si="36"/>
        <v>1915</v>
      </c>
      <c r="AN57" s="344" t="str">
        <f t="shared" si="20"/>
        <v>Jan</v>
      </c>
      <c r="AO57" s="344" t="str">
        <f t="shared" si="43"/>
        <v>30-Jan-1915</v>
      </c>
      <c r="AQ57" s="327"/>
      <c r="AR57" s="350">
        <f>A57</f>
        <v>54</v>
      </c>
      <c r="AS57" s="353" t="str">
        <f>IF(V57="",_xlfn.CONCAT(IF(G57="",D57,G57)," (",Q57,"–",V57," : #",AR57,")"),_xlfn.CONCAT(IF(G57="",D57,G57)," (",Q57,"–",V57,": #",AR57,")"))</f>
        <v>Alfred (1882–1919: #54)</v>
      </c>
      <c r="AT57" s="353" t="str">
        <f>IF(V57="",_xlfn.CONCAT(IF(G57="",D57,G57)," (",Q57,"– ",V57,")"),_xlfn.CONCAT(IF(G57="",D57,G57)," (",Q57,"–",V57,")"))</f>
        <v>Alfred (1882–1919)</v>
      </c>
      <c r="AU57" s="352" t="str">
        <f t="shared" si="0"/>
        <v>Male</v>
      </c>
      <c r="AV57" s="355" t="s">
        <v>4377</v>
      </c>
      <c r="AW57" s="319" t="str">
        <f>VLOOKUP(AV57,'Mums of Loyd Edit&amp;Partner Edit'!$B$3:$C$66,2,FALSE)</f>
        <v>Frances Maria Jane FETHERSTONHAUGH (b. 10 Feb 1855, d. 6 May 1929)</v>
      </c>
      <c r="AX57" s="360">
        <v>32</v>
      </c>
      <c r="AY57" s="355" t="str">
        <f t="shared" si="8"/>
        <v>Frank (1848–1934: #32)</v>
      </c>
      <c r="AZ57" s="361">
        <f>VLOOKUP(AX57,Lineage!$A$1:$C$200,2,FALSE)</f>
        <v>14</v>
      </c>
      <c r="BA57" s="362" t="str">
        <f t="shared" si="31"/>
        <v>Thomas (1812–1857: #14)</v>
      </c>
      <c r="BB57" s="368">
        <f>BiographyMarriageDetsCountries!A56</f>
        <v>54</v>
      </c>
      <c r="BC57" s="319"/>
      <c r="BD57" s="362"/>
      <c r="BF57" s="324"/>
      <c r="BG57" s="357">
        <f t="shared" si="21"/>
        <v>54</v>
      </c>
      <c r="BH57" s="289" t="str">
        <f t="shared" si="22"/>
        <v>Alfred William Kirkman LOYD</v>
      </c>
      <c r="BI57" s="289" t="str">
        <f t="shared" si="23"/>
        <v>Alfred (1882–1919)</v>
      </c>
      <c r="BJ57" s="304" t="str">
        <f t="shared" si="24"/>
        <v>Male</v>
      </c>
      <c r="BK57" s="304">
        <f t="shared" si="25"/>
        <v>4</v>
      </c>
      <c r="BL57" s="289" t="str">
        <f t="shared" si="26"/>
        <v>Frank (1848–1934: #32)</v>
      </c>
      <c r="BM57" s="289" t="str">
        <f t="shared" si="27"/>
        <v>Frances Maria Jane FETHERSTONHAUGH (b. 10 Feb 1855, d. 6 May 1929)</v>
      </c>
      <c r="BN57" s="367" t="str">
        <f t="shared" si="28"/>
        <v>10-Feb-1882</v>
      </c>
      <c r="BO57" s="367" t="str">
        <f t="shared" si="29"/>
        <v>13-Feb-1919</v>
      </c>
      <c r="BP57" s="365" t="str">
        <f t="shared" si="30"/>
        <v>Died 13-Feb-1919, aged 37.</v>
      </c>
    </row>
    <row r="58" spans="1:68" s="289" customFormat="1" ht="40">
      <c r="A58" s="302">
        <v>55</v>
      </c>
      <c r="B58" s="364">
        <v>4</v>
      </c>
      <c r="C58" s="288" t="s">
        <v>782</v>
      </c>
      <c r="D58" s="289" t="s">
        <v>914</v>
      </c>
      <c r="E58" s="289" t="s">
        <v>928</v>
      </c>
      <c r="F58" s="289" t="s">
        <v>830</v>
      </c>
      <c r="G58" s="289" t="s">
        <v>1180</v>
      </c>
      <c r="H58" s="304" t="s">
        <v>3245</v>
      </c>
      <c r="I58" s="306" t="s">
        <v>4479</v>
      </c>
      <c r="J58" s="306">
        <v>1950</v>
      </c>
      <c r="K58" s="308" t="s">
        <v>4536</v>
      </c>
      <c r="L58" s="308" t="s">
        <v>4536</v>
      </c>
      <c r="M58" s="323" t="s">
        <v>3188</v>
      </c>
      <c r="N58" s="323"/>
      <c r="O58" s="348">
        <f t="shared" si="9"/>
        <v>17</v>
      </c>
      <c r="P58" s="345">
        <f t="shared" si="37"/>
        <v>4</v>
      </c>
      <c r="Q58" s="345">
        <f t="shared" si="38"/>
        <v>1882</v>
      </c>
      <c r="R58" s="344" t="str">
        <f t="shared" si="10"/>
        <v>Apr</v>
      </c>
      <c r="S58" s="344">
        <f t="shared" si="39"/>
        <v>10</v>
      </c>
      <c r="T58" s="344">
        <f t="shared" si="40"/>
        <v>1</v>
      </c>
      <c r="U58" s="344">
        <f t="shared" si="41"/>
        <v>2</v>
      </c>
      <c r="V58" s="344">
        <f t="shared" si="42"/>
        <v>1950</v>
      </c>
      <c r="W58" s="344" t="str">
        <f t="shared" si="11"/>
        <v>Feb</v>
      </c>
      <c r="X58" s="344"/>
      <c r="Y58" s="344"/>
      <c r="Z58" s="314" t="str">
        <f t="shared" si="32"/>
        <v>17-Apr-1882</v>
      </c>
      <c r="AA58" s="314" t="str">
        <f t="shared" si="13"/>
        <v>01-Feb-1950</v>
      </c>
      <c r="AB58" s="314">
        <f t="shared" si="14"/>
        <v>67</v>
      </c>
      <c r="AC58" s="314">
        <f t="shared" si="15"/>
        <v>139</v>
      </c>
      <c r="AD58" s="347" t="str">
        <f t="shared" si="16"/>
        <v>Died 01-Feb-1950, aged 67.</v>
      </c>
      <c r="AE58" s="305"/>
      <c r="AF58" s="303"/>
      <c r="AG58" s="303"/>
      <c r="AH58" s="303"/>
      <c r="AI58" s="327">
        <v>720</v>
      </c>
      <c r="AJ58" s="328" t="s">
        <v>4699</v>
      </c>
      <c r="AK58" s="344" t="str">
        <f t="shared" si="17"/>
        <v>20</v>
      </c>
      <c r="AL58" s="344">
        <f t="shared" si="35"/>
        <v>12</v>
      </c>
      <c r="AM58" s="344">
        <f t="shared" si="36"/>
        <v>1901</v>
      </c>
      <c r="AN58" s="344" t="str">
        <f t="shared" si="20"/>
        <v>Dec</v>
      </c>
      <c r="AO58" s="344" t="str">
        <f t="shared" si="43"/>
        <v>20-Dec-1901</v>
      </c>
      <c r="AQ58" s="304">
        <f>LEN(AJ58)</f>
        <v>10</v>
      </c>
      <c r="AR58" s="350">
        <f>A58</f>
        <v>55</v>
      </c>
      <c r="AS58" s="353" t="str">
        <f>IF(V58="",_xlfn.CONCAT(IF(G58="",D58,G58)," (",Q58,"–",V58," : #",AR58,")"),_xlfn.CONCAT(IF(G58="",D58,G58)," (",Q58,"–",V58,": #",AR58,")"))</f>
        <v>Dick (1882–1950: #55)</v>
      </c>
      <c r="AT58" s="353" t="str">
        <f>IF(V58="",_xlfn.CONCAT(IF(G58="",D58,G58)," (",Q58,"– ",V58,")"),_xlfn.CONCAT(IF(G58="",D58,G58)," (",Q58,"–",V58,")"))</f>
        <v>Dick (1882–1950)</v>
      </c>
      <c r="AU58" s="352" t="str">
        <f t="shared" si="0"/>
        <v>Male</v>
      </c>
      <c r="AV58" s="355" t="s">
        <v>4378</v>
      </c>
      <c r="AW58" s="319" t="str">
        <f>VLOOKUP(AV58,'Mums of Loyd Edit&amp;Partner Edit'!$B$3:$C$66,2,FALSE)</f>
        <v>Lady Mary Sophia HELY-HUTCHINSON (b. 22 Sep 1853, d. 30 Jul 1936)</v>
      </c>
      <c r="AX58" s="360">
        <v>35</v>
      </c>
      <c r="AY58" s="355" t="str">
        <f t="shared" si="8"/>
        <v>Lewis (1852–1908: #35)</v>
      </c>
      <c r="AZ58" s="361">
        <f>VLOOKUP(AX58,Lineage!$A$1:$C$200,2,FALSE)</f>
        <v>23</v>
      </c>
      <c r="BA58" s="362" t="str">
        <f t="shared" si="31"/>
        <v>William (1821–1885: #23)</v>
      </c>
      <c r="BB58" s="368">
        <f>BiographyMarriageDetsCountries!A57</f>
        <v>55</v>
      </c>
      <c r="BC58" s="319"/>
      <c r="BD58" s="362"/>
      <c r="BF58" s="324"/>
      <c r="BG58" s="357">
        <f t="shared" si="21"/>
        <v>55</v>
      </c>
      <c r="BH58" s="289" t="str">
        <f t="shared" si="22"/>
        <v>Lewis Richard William LOYD</v>
      </c>
      <c r="BI58" s="289" t="str">
        <f t="shared" si="23"/>
        <v>Dick (1882–1950)</v>
      </c>
      <c r="BJ58" s="304" t="str">
        <f t="shared" si="24"/>
        <v>Male</v>
      </c>
      <c r="BK58" s="304">
        <f t="shared" si="25"/>
        <v>4</v>
      </c>
      <c r="BL58" s="289" t="str">
        <f t="shared" si="26"/>
        <v>Lewis (1852–1908: #35)</v>
      </c>
      <c r="BM58" s="289" t="str">
        <f t="shared" si="27"/>
        <v>Lady Mary Sophia HELY-HUTCHINSON (b. 22 Sep 1853, d. 30 Jul 1936)</v>
      </c>
      <c r="BN58" s="367" t="str">
        <f t="shared" si="28"/>
        <v>17-Apr-1882</v>
      </c>
      <c r="BO58" s="367" t="str">
        <f t="shared" si="29"/>
        <v>01-Feb-1950</v>
      </c>
      <c r="BP58" s="365" t="str">
        <f t="shared" si="30"/>
        <v>Died 01-Feb-1950, aged 67.</v>
      </c>
    </row>
    <row r="59" spans="1:68" s="289" customFormat="1" ht="40">
      <c r="A59" s="302">
        <v>56</v>
      </c>
      <c r="B59" s="364">
        <v>4</v>
      </c>
      <c r="C59" s="288" t="s">
        <v>782</v>
      </c>
      <c r="D59" s="289" t="s">
        <v>804</v>
      </c>
      <c r="E59" s="289" t="s">
        <v>852</v>
      </c>
      <c r="G59" s="289" t="s">
        <v>1181</v>
      </c>
      <c r="H59" s="304" t="s">
        <v>3245</v>
      </c>
      <c r="I59" s="306" t="s">
        <v>4479</v>
      </c>
      <c r="J59" s="306">
        <v>1944</v>
      </c>
      <c r="K59" s="308" t="s">
        <v>4537</v>
      </c>
      <c r="L59" s="308" t="s">
        <v>4537</v>
      </c>
      <c r="M59" s="323" t="s">
        <v>3189</v>
      </c>
      <c r="N59" s="323"/>
      <c r="O59" s="348">
        <f t="shared" si="9"/>
        <v>19</v>
      </c>
      <c r="P59" s="345">
        <f t="shared" si="37"/>
        <v>4</v>
      </c>
      <c r="Q59" s="345">
        <f t="shared" si="38"/>
        <v>1882</v>
      </c>
      <c r="R59" s="344" t="str">
        <f t="shared" si="10"/>
        <v>Apr</v>
      </c>
      <c r="S59" s="344">
        <f t="shared" si="39"/>
        <v>10</v>
      </c>
      <c r="T59" s="344">
        <f t="shared" si="40"/>
        <v>4</v>
      </c>
      <c r="U59" s="344">
        <f t="shared" si="41"/>
        <v>11</v>
      </c>
      <c r="V59" s="344">
        <f t="shared" si="42"/>
        <v>1944</v>
      </c>
      <c r="W59" s="344" t="str">
        <f t="shared" si="11"/>
        <v>Nov</v>
      </c>
      <c r="X59" s="344"/>
      <c r="Y59" s="344"/>
      <c r="Z59" s="314" t="str">
        <f t="shared" si="32"/>
        <v>19-Apr-1882</v>
      </c>
      <c r="AA59" s="314" t="str">
        <f t="shared" si="13"/>
        <v>04-Nov-1944</v>
      </c>
      <c r="AB59" s="314">
        <f t="shared" si="14"/>
        <v>62</v>
      </c>
      <c r="AC59" s="314">
        <f t="shared" si="15"/>
        <v>139</v>
      </c>
      <c r="AD59" s="347" t="str">
        <f t="shared" si="16"/>
        <v>Died 04-Nov-1944, aged 62.</v>
      </c>
      <c r="AE59" s="305"/>
      <c r="AF59" s="303"/>
      <c r="AG59" s="303"/>
      <c r="AH59" s="303"/>
      <c r="AI59" s="327">
        <v>4223</v>
      </c>
      <c r="AJ59" s="328" t="s">
        <v>4700</v>
      </c>
      <c r="AK59" s="344" t="str">
        <f t="shared" si="17"/>
        <v>24</v>
      </c>
      <c r="AL59" s="344">
        <f t="shared" si="35"/>
        <v>7</v>
      </c>
      <c r="AM59" s="344">
        <f t="shared" si="36"/>
        <v>1911</v>
      </c>
      <c r="AN59" s="344" t="str">
        <f t="shared" si="20"/>
        <v>Jul</v>
      </c>
      <c r="AO59" s="344" t="str">
        <f t="shared" si="43"/>
        <v>24-Jul-1911</v>
      </c>
      <c r="AQ59" s="304">
        <f t="shared" ref="AQ59:AQ60" si="44">LEN(AJ59)</f>
        <v>10</v>
      </c>
      <c r="AR59" s="350">
        <f>A59</f>
        <v>56</v>
      </c>
      <c r="AS59" s="353" t="str">
        <f>IF(V59="",_xlfn.CONCAT(IF(G59="",D59,G59)," (",Q59,"–",V59," : #",AR59,")"),_xlfn.CONCAT(IF(G59="",D59,G59)," (",Q59,"–",V59,": #",AR59,")"))</f>
        <v>Tommy (1882–1944: #56)</v>
      </c>
      <c r="AT59" s="353" t="str">
        <f>IF(V59="",_xlfn.CONCAT(IF(G59="",D59,G59)," (",Q59,"– ",V59,")"),_xlfn.CONCAT(IF(G59="",D59,G59)," (",Q59,"–",V59,")"))</f>
        <v>Tommy (1882–1944)</v>
      </c>
      <c r="AU59" s="352" t="str">
        <f t="shared" si="0"/>
        <v>Male</v>
      </c>
      <c r="AV59" s="355" t="s">
        <v>4375</v>
      </c>
      <c r="AW59" s="319" t="str">
        <f>VLOOKUP(AV59,'Mums of Loyd Edit&amp;Partner Edit'!$B$3:$C$66,2,FALSE)</f>
        <v xml:space="preserve">Emily Harriet (Milly) SMYTH (b. 30 Aug 1852, d. 25 Feb 1911) </v>
      </c>
      <c r="AX59" s="360">
        <v>28</v>
      </c>
      <c r="AY59" s="355" t="str">
        <f t="shared" si="8"/>
        <v>The Rev Lewis (1844–1905: #28)</v>
      </c>
      <c r="AZ59" s="361">
        <f>VLOOKUP(AX59,Lineage!$A$1:$C$200,2,FALSE)</f>
        <v>14</v>
      </c>
      <c r="BA59" s="362" t="str">
        <f t="shared" si="31"/>
        <v>Thomas (1812–1857: #14)</v>
      </c>
      <c r="BB59" s="368">
        <f>BiographyMarriageDetsCountries!A58</f>
        <v>56</v>
      </c>
      <c r="BC59" s="319"/>
      <c r="BD59" s="362"/>
      <c r="BF59" s="324"/>
      <c r="BG59" s="357">
        <f t="shared" si="21"/>
        <v>56</v>
      </c>
      <c r="BH59" s="289" t="str">
        <f t="shared" si="22"/>
        <v>Arthur Thomas LOYD</v>
      </c>
      <c r="BI59" s="289" t="str">
        <f t="shared" si="23"/>
        <v>Tommy (1882–1944)</v>
      </c>
      <c r="BJ59" s="304" t="str">
        <f t="shared" si="24"/>
        <v>Male</v>
      </c>
      <c r="BK59" s="304">
        <f t="shared" si="25"/>
        <v>4</v>
      </c>
      <c r="BL59" s="289" t="str">
        <f t="shared" si="26"/>
        <v>The Rev Lewis (1844–1905: #28)</v>
      </c>
      <c r="BM59" s="289" t="str">
        <f t="shared" si="27"/>
        <v xml:space="preserve">Emily Harriet (Milly) SMYTH (b. 30 Aug 1852, d. 25 Feb 1911) </v>
      </c>
      <c r="BN59" s="367" t="str">
        <f t="shared" si="28"/>
        <v>19-Apr-1882</v>
      </c>
      <c r="BO59" s="367" t="str">
        <f t="shared" si="29"/>
        <v>04-Nov-1944</v>
      </c>
      <c r="BP59" s="365" t="str">
        <f t="shared" si="30"/>
        <v>Died 04-Nov-1944, aged 62.</v>
      </c>
    </row>
    <row r="60" spans="1:68" s="289" customFormat="1" ht="40">
      <c r="A60" s="302">
        <v>57</v>
      </c>
      <c r="B60" s="364">
        <v>4</v>
      </c>
      <c r="C60" s="288" t="s">
        <v>782</v>
      </c>
      <c r="D60" s="289" t="s">
        <v>902</v>
      </c>
      <c r="E60" s="289" t="s">
        <v>842</v>
      </c>
      <c r="F60" s="289" t="s">
        <v>1117</v>
      </c>
      <c r="H60" s="304" t="s">
        <v>3245</v>
      </c>
      <c r="I60" s="306" t="s">
        <v>4480</v>
      </c>
      <c r="J60" s="306">
        <v>1917</v>
      </c>
      <c r="K60" s="308" t="s">
        <v>4538</v>
      </c>
      <c r="L60" s="308" t="s">
        <v>4538</v>
      </c>
      <c r="M60" s="323" t="s">
        <v>3190</v>
      </c>
      <c r="N60" s="323"/>
      <c r="O60" s="348">
        <f t="shared" si="9"/>
        <v>11</v>
      </c>
      <c r="P60" s="345">
        <f t="shared" si="37"/>
        <v>5</v>
      </c>
      <c r="Q60" s="345">
        <f t="shared" si="38"/>
        <v>1884</v>
      </c>
      <c r="R60" s="344" t="str">
        <f t="shared" si="10"/>
        <v>May</v>
      </c>
      <c r="S60" s="344">
        <f t="shared" si="39"/>
        <v>10</v>
      </c>
      <c r="T60" s="344">
        <f t="shared" si="40"/>
        <v>23</v>
      </c>
      <c r="U60" s="344">
        <f t="shared" si="41"/>
        <v>9</v>
      </c>
      <c r="V60" s="344">
        <f t="shared" si="42"/>
        <v>1917</v>
      </c>
      <c r="W60" s="344" t="str">
        <f t="shared" si="11"/>
        <v>Sep</v>
      </c>
      <c r="X60" s="344"/>
      <c r="Y60" s="344"/>
      <c r="Z60" s="314" t="str">
        <f t="shared" si="32"/>
        <v>11-May-1884</v>
      </c>
      <c r="AA60" s="314" t="str">
        <f t="shared" si="13"/>
        <v>23-Sep-1917</v>
      </c>
      <c r="AB60" s="314">
        <f t="shared" si="14"/>
        <v>33</v>
      </c>
      <c r="AC60" s="314">
        <f t="shared" si="15"/>
        <v>137</v>
      </c>
      <c r="AD60" s="347" t="str">
        <f t="shared" si="16"/>
        <v>Died 23-Sep-1917, aged 33.</v>
      </c>
      <c r="AE60" s="305"/>
      <c r="AF60" s="303"/>
      <c r="AG60" s="303"/>
      <c r="AH60" s="303"/>
      <c r="AI60" s="289" t="s">
        <v>2793</v>
      </c>
      <c r="AJ60" s="328" t="s">
        <v>2793</v>
      </c>
      <c r="AK60" s="344" t="str">
        <f t="shared" si="17"/>
        <v xml:space="preserve"> -</v>
      </c>
      <c r="AL60" s="344" t="str">
        <f t="shared" si="35"/>
        <v xml:space="preserve"> -</v>
      </c>
      <c r="AM60" s="344" t="str">
        <f t="shared" si="36"/>
        <v xml:space="preserve"> -</v>
      </c>
      <c r="AN60" s="344" t="str">
        <f t="shared" si="20"/>
        <v xml:space="preserve"> -</v>
      </c>
      <c r="AO60" s="344" t="str">
        <f t="shared" si="43"/>
        <v xml:space="preserve"> -</v>
      </c>
      <c r="AQ60" s="304">
        <f t="shared" si="44"/>
        <v>2</v>
      </c>
      <c r="AR60" s="350">
        <f>A60</f>
        <v>57</v>
      </c>
      <c r="AS60" s="353" t="str">
        <f>IF(V60="",_xlfn.CONCAT(IF(G60="",D60,G60)," (",Q60,"–",V60," : #",AR60,")"),_xlfn.CONCAT(IF(G60="",D60,G60)," (",Q60,"–",V60,": #",AR60,")"))</f>
        <v>Robert (1884–1917: #57)</v>
      </c>
      <c r="AT60" s="353" t="str">
        <f>IF(V60="",_xlfn.CONCAT(IF(G60="",D60,G60)," (",Q60,"– ",V60,")"),_xlfn.CONCAT(IF(G60="",D60,G60)," (",Q60,"–",V60,")"))</f>
        <v>Robert (1884–1917)</v>
      </c>
      <c r="AU60" s="352" t="str">
        <f t="shared" si="0"/>
        <v>Male</v>
      </c>
      <c r="AV60" s="355" t="s">
        <v>4378</v>
      </c>
      <c r="AW60" s="319" t="str">
        <f>VLOOKUP(AV60,'Mums of Loyd Edit&amp;Partner Edit'!$B$3:$C$66,2,FALSE)</f>
        <v>Lady Mary Sophia HELY-HUTCHINSON (b. 22 Sep 1853, d. 30 Jul 1936)</v>
      </c>
      <c r="AX60" s="360">
        <v>35</v>
      </c>
      <c r="AY60" s="355" t="str">
        <f t="shared" si="8"/>
        <v>Lewis (1852–1908: #35)</v>
      </c>
      <c r="AZ60" s="361">
        <f>VLOOKUP(AX60,Lineage!$A$1:$C$200,2,FALSE)</f>
        <v>23</v>
      </c>
      <c r="BA60" s="362" t="str">
        <f t="shared" si="31"/>
        <v>William (1821–1885: #23)</v>
      </c>
      <c r="BB60" s="368">
        <f>BiographyMarriageDetsCountries!A59</f>
        <v>57</v>
      </c>
      <c r="BC60" s="319"/>
      <c r="BD60" s="362"/>
      <c r="BF60" s="324"/>
      <c r="BG60" s="357">
        <f t="shared" si="21"/>
        <v>57</v>
      </c>
      <c r="BH60" s="289" t="str">
        <f t="shared" si="22"/>
        <v>Robert John Henry  LOYD</v>
      </c>
      <c r="BI60" s="289" t="str">
        <f t="shared" si="23"/>
        <v>Robert (1884–1917)</v>
      </c>
      <c r="BJ60" s="304" t="str">
        <f t="shared" si="24"/>
        <v>Male</v>
      </c>
      <c r="BK60" s="304">
        <f t="shared" si="25"/>
        <v>4</v>
      </c>
      <c r="BL60" s="289" t="str">
        <f t="shared" si="26"/>
        <v>Lewis (1852–1908: #35)</v>
      </c>
      <c r="BM60" s="289" t="str">
        <f t="shared" si="27"/>
        <v>Lady Mary Sophia HELY-HUTCHINSON (b. 22 Sep 1853, d. 30 Jul 1936)</v>
      </c>
      <c r="BN60" s="367" t="str">
        <f t="shared" si="28"/>
        <v>11-May-1884</v>
      </c>
      <c r="BO60" s="367" t="str">
        <f t="shared" si="29"/>
        <v>23-Sep-1917</v>
      </c>
      <c r="BP60" s="365" t="str">
        <f t="shared" si="30"/>
        <v>Died 23-Sep-1917, aged 33.</v>
      </c>
    </row>
    <row r="61" spans="1:68" s="289" customFormat="1" ht="40">
      <c r="A61" s="302">
        <v>58</v>
      </c>
      <c r="B61" s="364">
        <v>4</v>
      </c>
      <c r="C61" s="288" t="s">
        <v>782</v>
      </c>
      <c r="D61" s="289" t="s">
        <v>1119</v>
      </c>
      <c r="E61" s="289" t="s">
        <v>807</v>
      </c>
      <c r="H61" s="304" t="s">
        <v>3245</v>
      </c>
      <c r="I61" s="306" t="s">
        <v>4480</v>
      </c>
      <c r="J61" s="306">
        <v>1952</v>
      </c>
      <c r="K61" s="308" t="s">
        <v>4539</v>
      </c>
      <c r="L61" s="308" t="s">
        <v>4539</v>
      </c>
      <c r="M61" s="323" t="s">
        <v>3191</v>
      </c>
      <c r="N61" s="323"/>
      <c r="O61" s="348">
        <f t="shared" si="9"/>
        <v>8</v>
      </c>
      <c r="P61" s="345">
        <f t="shared" si="37"/>
        <v>7</v>
      </c>
      <c r="Q61" s="345">
        <f t="shared" si="38"/>
        <v>1884</v>
      </c>
      <c r="R61" s="344" t="str">
        <f t="shared" si="10"/>
        <v>Jul</v>
      </c>
      <c r="S61" s="344">
        <f t="shared" si="39"/>
        <v>10</v>
      </c>
      <c r="T61" s="344">
        <f t="shared" si="40"/>
        <v>11</v>
      </c>
      <c r="U61" s="344">
        <f t="shared" si="41"/>
        <v>1</v>
      </c>
      <c r="V61" s="344">
        <f t="shared" si="42"/>
        <v>1952</v>
      </c>
      <c r="W61" s="344" t="str">
        <f t="shared" si="11"/>
        <v>Jan</v>
      </c>
      <c r="X61" s="344"/>
      <c r="Y61" s="344"/>
      <c r="Z61" s="314" t="str">
        <f t="shared" si="32"/>
        <v>08-Jul-1884</v>
      </c>
      <c r="AA61" s="314" t="str">
        <f t="shared" si="13"/>
        <v>11-Jan-1952</v>
      </c>
      <c r="AB61" s="314">
        <f t="shared" si="14"/>
        <v>67</v>
      </c>
      <c r="AC61" s="314">
        <f t="shared" si="15"/>
        <v>137</v>
      </c>
      <c r="AD61" s="347" t="str">
        <f t="shared" si="16"/>
        <v>Died 11-Jan-1952, aged 67.</v>
      </c>
      <c r="AE61" s="305"/>
      <c r="AF61" s="303"/>
      <c r="AG61" s="303"/>
      <c r="AH61" s="303"/>
      <c r="AI61" s="289" t="s">
        <v>2793</v>
      </c>
      <c r="AJ61" s="328" t="s">
        <v>2793</v>
      </c>
      <c r="AK61" s="344" t="str">
        <f t="shared" si="17"/>
        <v xml:space="preserve"> -</v>
      </c>
      <c r="AL61" s="344" t="str">
        <f t="shared" si="35"/>
        <v xml:space="preserve"> -</v>
      </c>
      <c r="AM61" s="344" t="str">
        <f t="shared" si="36"/>
        <v xml:space="preserve"> -</v>
      </c>
      <c r="AN61" s="344" t="str">
        <f t="shared" si="20"/>
        <v xml:space="preserve"> -</v>
      </c>
      <c r="AO61" s="344" t="str">
        <f t="shared" si="43"/>
        <v xml:space="preserve"> -</v>
      </c>
      <c r="AR61" s="350">
        <f>A61</f>
        <v>58</v>
      </c>
      <c r="AS61" s="353" t="str">
        <f>IF(V61="",_xlfn.CONCAT(IF(G61="",D61,G61)," (",Q61,"–",V61," : #",AR61,")"),_xlfn.CONCAT(IF(G61="",D61,G61)," (",Q61,"–",V61,": #",AR61,")"))</f>
        <v>Rt Rev Philip (1884–1952: #58)</v>
      </c>
      <c r="AT61" s="353" t="str">
        <f>IF(V61="",_xlfn.CONCAT(IF(G61="",D61,G61)," (",Q61,"– ",V61,")"),_xlfn.CONCAT(IF(G61="",D61,G61)," (",Q61,"–",V61,")"))</f>
        <v>Rt Rev Philip (1884–1952)</v>
      </c>
      <c r="AU61" s="352" t="str">
        <f t="shared" si="0"/>
        <v>Male</v>
      </c>
      <c r="AV61" s="355" t="s">
        <v>4375</v>
      </c>
      <c r="AW61" s="319" t="str">
        <f>VLOOKUP(AV61,'Mums of Loyd Edit&amp;Partner Edit'!$B$3:$C$66,2,FALSE)</f>
        <v xml:space="preserve">Emily Harriet (Milly) SMYTH (b. 30 Aug 1852, d. 25 Feb 1911) </v>
      </c>
      <c r="AX61" s="360">
        <v>28</v>
      </c>
      <c r="AY61" s="355" t="str">
        <f t="shared" si="8"/>
        <v>The Rev Lewis (1844–1905: #28)</v>
      </c>
      <c r="AZ61" s="361">
        <f>VLOOKUP(AX61,Lineage!$A$1:$C$200,2,FALSE)</f>
        <v>14</v>
      </c>
      <c r="BA61" s="362" t="str">
        <f t="shared" si="31"/>
        <v>Thomas (1812–1857: #14)</v>
      </c>
      <c r="BB61" s="368">
        <f>BiographyMarriageDetsCountries!A60</f>
        <v>58</v>
      </c>
      <c r="BC61" s="319"/>
      <c r="BD61" s="362"/>
      <c r="BF61" s="324"/>
      <c r="BG61" s="357">
        <f t="shared" si="21"/>
        <v>58</v>
      </c>
      <c r="BH61" s="289" t="str">
        <f t="shared" si="22"/>
        <v>Rt Rev Philip Henry LOYD</v>
      </c>
      <c r="BI61" s="289" t="str">
        <f t="shared" si="23"/>
        <v>Rt Rev Philip (1884–1952)</v>
      </c>
      <c r="BJ61" s="304" t="str">
        <f t="shared" si="24"/>
        <v>Male</v>
      </c>
      <c r="BK61" s="304">
        <f t="shared" si="25"/>
        <v>4</v>
      </c>
      <c r="BL61" s="289" t="str">
        <f t="shared" si="26"/>
        <v>The Rev Lewis (1844–1905: #28)</v>
      </c>
      <c r="BM61" s="289" t="str">
        <f t="shared" si="27"/>
        <v xml:space="preserve">Emily Harriet (Milly) SMYTH (b. 30 Aug 1852, d. 25 Feb 1911) </v>
      </c>
      <c r="BN61" s="367" t="str">
        <f t="shared" si="28"/>
        <v>08-Jul-1884</v>
      </c>
      <c r="BO61" s="367" t="str">
        <f t="shared" si="29"/>
        <v>11-Jan-1952</v>
      </c>
      <c r="BP61" s="365" t="str">
        <f t="shared" si="30"/>
        <v>Died 11-Jan-1952, aged 67.</v>
      </c>
    </row>
    <row r="62" spans="1:68" s="289" customFormat="1" ht="40">
      <c r="A62" s="302">
        <v>59</v>
      </c>
      <c r="B62" s="364">
        <v>4</v>
      </c>
      <c r="C62" s="288" t="s">
        <v>782</v>
      </c>
      <c r="D62" s="289" t="s">
        <v>904</v>
      </c>
      <c r="E62" s="289" t="s">
        <v>998</v>
      </c>
      <c r="H62" s="304" t="s">
        <v>3244</v>
      </c>
      <c r="I62" s="306" t="s">
        <v>1920</v>
      </c>
      <c r="J62" s="306">
        <v>1962</v>
      </c>
      <c r="K62" s="308" t="s">
        <v>4540</v>
      </c>
      <c r="L62" s="308" t="s">
        <v>4540</v>
      </c>
      <c r="M62" s="323" t="s">
        <v>3192</v>
      </c>
      <c r="N62" s="323"/>
      <c r="O62" s="348">
        <f t="shared" si="9"/>
        <v>17</v>
      </c>
      <c r="P62" s="345">
        <f t="shared" si="37"/>
        <v>4</v>
      </c>
      <c r="Q62" s="345">
        <f t="shared" si="38"/>
        <v>1885</v>
      </c>
      <c r="R62" s="344" t="str">
        <f t="shared" si="10"/>
        <v>Apr</v>
      </c>
      <c r="S62" s="344">
        <f t="shared" si="39"/>
        <v>10</v>
      </c>
      <c r="T62" s="344">
        <f t="shared" si="40"/>
        <v>9</v>
      </c>
      <c r="U62" s="344">
        <f t="shared" si="41"/>
        <v>8</v>
      </c>
      <c r="V62" s="344">
        <f t="shared" si="42"/>
        <v>1962</v>
      </c>
      <c r="W62" s="344" t="str">
        <f t="shared" si="11"/>
        <v>Aug</v>
      </c>
      <c r="X62" s="344"/>
      <c r="Y62" s="344"/>
      <c r="Z62" s="314" t="str">
        <f t="shared" si="32"/>
        <v>17-Apr-1885</v>
      </c>
      <c r="AA62" s="314" t="str">
        <f t="shared" si="13"/>
        <v>09-Aug-1962</v>
      </c>
      <c r="AB62" s="314">
        <f t="shared" si="14"/>
        <v>77</v>
      </c>
      <c r="AC62" s="314">
        <f t="shared" si="15"/>
        <v>136</v>
      </c>
      <c r="AD62" s="347" t="str">
        <f t="shared" si="16"/>
        <v>Died 09-Aug-1962, aged 77.</v>
      </c>
      <c r="AE62" s="305"/>
      <c r="AF62" s="303"/>
      <c r="AG62" s="303"/>
      <c r="AH62" s="303"/>
      <c r="AI62" s="289" t="s">
        <v>2793</v>
      </c>
      <c r="AJ62" s="328" t="s">
        <v>2793</v>
      </c>
      <c r="AK62" s="344" t="str">
        <f t="shared" si="17"/>
        <v xml:space="preserve"> -</v>
      </c>
      <c r="AL62" s="344" t="str">
        <f t="shared" si="35"/>
        <v xml:space="preserve"> -</v>
      </c>
      <c r="AM62" s="344" t="str">
        <f t="shared" si="36"/>
        <v xml:space="preserve"> -</v>
      </c>
      <c r="AN62" s="344" t="str">
        <f t="shared" si="20"/>
        <v xml:space="preserve"> -</v>
      </c>
      <c r="AO62" s="344" t="str">
        <f t="shared" si="43"/>
        <v xml:space="preserve"> -</v>
      </c>
      <c r="AR62" s="350">
        <f>A62</f>
        <v>59</v>
      </c>
      <c r="AS62" s="353" t="str">
        <f>IF(V62="",_xlfn.CONCAT(IF(G62="",D62,G62)," (",Q62,"–",V62," : #",AR62,")"),_xlfn.CONCAT(IF(G62="",D62,G62)," (",Q62,"–",V62,": #",AR62,")"))</f>
        <v>Evelyn (1885–1962: #59)</v>
      </c>
      <c r="AT62" s="353" t="str">
        <f>IF(V62="",_xlfn.CONCAT(IF(G62="",D62,G62)," (",Q62,"– ",V62,")"),_xlfn.CONCAT(IF(G62="",D62,G62)," (",Q62,"–",V62,")"))</f>
        <v>Evelyn (1885–1962)</v>
      </c>
      <c r="AU62" s="352" t="str">
        <f t="shared" si="0"/>
        <v>Female</v>
      </c>
      <c r="AV62" s="355" t="s">
        <v>4376</v>
      </c>
      <c r="AW62" s="319" t="str">
        <f>VLOOKUP(AV62,'Mums of Loyd Edit&amp;Partner Edit'!$B$3:$C$66,2,FALSE)</f>
        <v>Isabella (Isabel) CURREY (b. 26 Apr 1855, d. 16 Jan 1926)</v>
      </c>
      <c r="AX62" s="360">
        <v>41</v>
      </c>
      <c r="AY62" s="355" t="str">
        <f t="shared" si="8"/>
        <v>Frederic (1856–1936: #41)</v>
      </c>
      <c r="AZ62" s="361">
        <f>VLOOKUP(AX62,Lineage!$A$1:$C$200,2,FALSE)</f>
        <v>22</v>
      </c>
      <c r="BA62" s="362" t="str">
        <f t="shared" si="31"/>
        <v>Edward (1820–1890: #22)</v>
      </c>
      <c r="BB62" s="368">
        <f>BiographyMarriageDetsCountries!A61</f>
        <v>59</v>
      </c>
      <c r="BC62" s="319"/>
      <c r="BD62" s="362"/>
      <c r="BF62" s="324"/>
      <c r="BG62" s="357">
        <f t="shared" si="21"/>
        <v>59</v>
      </c>
      <c r="BH62" s="289" t="str">
        <f t="shared" si="22"/>
        <v>Evelyn Sarah LOYD</v>
      </c>
      <c r="BI62" s="289" t="str">
        <f t="shared" si="23"/>
        <v>Evelyn (1885–1962)</v>
      </c>
      <c r="BJ62" s="304" t="str">
        <f t="shared" si="24"/>
        <v>Female</v>
      </c>
      <c r="BK62" s="304">
        <f t="shared" si="25"/>
        <v>4</v>
      </c>
      <c r="BL62" s="289" t="str">
        <f t="shared" si="26"/>
        <v>Frederic (1856–1936: #41)</v>
      </c>
      <c r="BM62" s="289" t="str">
        <f t="shared" si="27"/>
        <v>Isabella (Isabel) CURREY (b. 26 Apr 1855, d. 16 Jan 1926)</v>
      </c>
      <c r="BN62" s="367" t="str">
        <f t="shared" si="28"/>
        <v>17-Apr-1885</v>
      </c>
      <c r="BO62" s="367" t="str">
        <f t="shared" si="29"/>
        <v>09-Aug-1962</v>
      </c>
      <c r="BP62" s="365" t="str">
        <f t="shared" si="30"/>
        <v>Died 09-Aug-1962, aged 77.</v>
      </c>
    </row>
    <row r="63" spans="1:68" s="289" customFormat="1" ht="40">
      <c r="A63" s="302">
        <v>60</v>
      </c>
      <c r="B63" s="364">
        <v>4</v>
      </c>
      <c r="C63" s="288" t="s">
        <v>782</v>
      </c>
      <c r="D63" s="289" t="s">
        <v>870</v>
      </c>
      <c r="E63" s="289" t="s">
        <v>883</v>
      </c>
      <c r="G63" s="289" t="s">
        <v>1182</v>
      </c>
      <c r="H63" s="304" t="s">
        <v>3244</v>
      </c>
      <c r="I63" s="306" t="s">
        <v>1920</v>
      </c>
      <c r="J63" s="306">
        <v>1989</v>
      </c>
      <c r="K63" s="308" t="s">
        <v>4541</v>
      </c>
      <c r="L63" s="308" t="s">
        <v>4541</v>
      </c>
      <c r="M63" s="323" t="s">
        <v>3193</v>
      </c>
      <c r="N63" s="323"/>
      <c r="O63" s="348">
        <f t="shared" si="9"/>
        <v>26</v>
      </c>
      <c r="P63" s="345">
        <f t="shared" si="37"/>
        <v>10</v>
      </c>
      <c r="Q63" s="345">
        <f t="shared" si="38"/>
        <v>1885</v>
      </c>
      <c r="R63" s="344" t="str">
        <f t="shared" si="10"/>
        <v>Oct</v>
      </c>
      <c r="S63" s="344">
        <f t="shared" si="39"/>
        <v>10</v>
      </c>
      <c r="T63" s="344">
        <f t="shared" si="40"/>
        <v>2</v>
      </c>
      <c r="U63" s="344">
        <f t="shared" si="41"/>
        <v>2</v>
      </c>
      <c r="V63" s="344">
        <f t="shared" si="42"/>
        <v>1989</v>
      </c>
      <c r="W63" s="344" t="str">
        <f t="shared" si="11"/>
        <v>Feb</v>
      </c>
      <c r="X63" s="344"/>
      <c r="Y63" s="344"/>
      <c r="Z63" s="314" t="str">
        <f t="shared" si="32"/>
        <v>26-Oct-1885</v>
      </c>
      <c r="AA63" s="314" t="str">
        <f t="shared" si="13"/>
        <v>02-Feb-1989</v>
      </c>
      <c r="AB63" s="314">
        <f t="shared" si="14"/>
        <v>103</v>
      </c>
      <c r="AC63" s="314">
        <f t="shared" si="15"/>
        <v>136</v>
      </c>
      <c r="AD63" s="347" t="str">
        <f t="shared" si="16"/>
        <v>Died 02-Feb-1989, aged 103.</v>
      </c>
      <c r="AE63" s="305"/>
      <c r="AF63" s="303"/>
      <c r="AG63" s="303"/>
      <c r="AH63" s="303"/>
      <c r="AI63" s="327">
        <v>6845</v>
      </c>
      <c r="AJ63" s="328" t="s">
        <v>4701</v>
      </c>
      <c r="AK63" s="344" t="str">
        <f t="shared" si="17"/>
        <v>27</v>
      </c>
      <c r="AL63" s="344">
        <f t="shared" si="35"/>
        <v>9</v>
      </c>
      <c r="AM63" s="344">
        <f t="shared" si="36"/>
        <v>1918</v>
      </c>
      <c r="AN63" s="344" t="str">
        <f t="shared" si="20"/>
        <v>Sep</v>
      </c>
      <c r="AO63" s="344" t="str">
        <f t="shared" si="43"/>
        <v>27-Sep-1918</v>
      </c>
      <c r="AQ63" s="327"/>
      <c r="AR63" s="350">
        <f>A63</f>
        <v>60</v>
      </c>
      <c r="AS63" s="353" t="str">
        <f>IF(V63="",_xlfn.CONCAT(IF(G63="",D63,G63)," (",Q63,"–",V63," : #",AR63,")"),_xlfn.CONCAT(IF(G63="",D63,G63)," (",Q63,"–",V63,": #",AR63,")"))</f>
        <v>Kitty (1885–1989: #60)</v>
      </c>
      <c r="AT63" s="353" t="str">
        <f>IF(V63="",_xlfn.CONCAT(IF(G63="",D63,G63)," (",Q63,"– ",V63,")"),_xlfn.CONCAT(IF(G63="",D63,G63)," (",Q63,"–",V63,")"))</f>
        <v>Kitty (1885–1989)</v>
      </c>
      <c r="AU63" s="352" t="str">
        <f t="shared" si="0"/>
        <v>Female</v>
      </c>
      <c r="AV63" s="355" t="s">
        <v>4375</v>
      </c>
      <c r="AW63" s="319" t="str">
        <f>VLOOKUP(AV63,'Mums of Loyd Edit&amp;Partner Edit'!$B$3:$C$66,2,FALSE)</f>
        <v xml:space="preserve">Emily Harriet (Milly) SMYTH (b. 30 Aug 1852, d. 25 Feb 1911) </v>
      </c>
      <c r="AX63" s="360">
        <v>28</v>
      </c>
      <c r="AY63" s="355" t="str">
        <f t="shared" si="8"/>
        <v>The Rev Lewis (1844–1905: #28)</v>
      </c>
      <c r="AZ63" s="361">
        <f>VLOOKUP(AX63,Lineage!$A$1:$C$200,2,FALSE)</f>
        <v>14</v>
      </c>
      <c r="BA63" s="362" t="str">
        <f t="shared" si="31"/>
        <v>Thomas (1812–1857: #14)</v>
      </c>
      <c r="BB63" s="368">
        <f>BiographyMarriageDetsCountries!A62</f>
        <v>60</v>
      </c>
      <c r="BC63" s="319"/>
      <c r="BD63" s="362"/>
      <c r="BF63" s="324"/>
      <c r="BG63" s="357">
        <f t="shared" si="21"/>
        <v>60</v>
      </c>
      <c r="BH63" s="289" t="str">
        <f t="shared" si="22"/>
        <v>Mary Beatrix LOYD</v>
      </c>
      <c r="BI63" s="289" t="str">
        <f t="shared" si="23"/>
        <v>Kitty (1885–1989)</v>
      </c>
      <c r="BJ63" s="304" t="str">
        <f t="shared" si="24"/>
        <v>Female</v>
      </c>
      <c r="BK63" s="304">
        <f t="shared" si="25"/>
        <v>4</v>
      </c>
      <c r="BL63" s="289" t="str">
        <f t="shared" si="26"/>
        <v>The Rev Lewis (1844–1905: #28)</v>
      </c>
      <c r="BM63" s="289" t="str">
        <f t="shared" si="27"/>
        <v xml:space="preserve">Emily Harriet (Milly) SMYTH (b. 30 Aug 1852, d. 25 Feb 1911) </v>
      </c>
      <c r="BN63" s="367" t="str">
        <f t="shared" si="28"/>
        <v>26-Oct-1885</v>
      </c>
      <c r="BO63" s="367" t="str">
        <f t="shared" si="29"/>
        <v>02-Feb-1989</v>
      </c>
      <c r="BP63" s="365" t="str">
        <f t="shared" si="30"/>
        <v>Died 02-Feb-1989, aged 103.</v>
      </c>
    </row>
    <row r="64" spans="1:68" s="289" customFormat="1" ht="40">
      <c r="A64" s="302">
        <v>61</v>
      </c>
      <c r="B64" s="364">
        <v>4</v>
      </c>
      <c r="C64" s="288" t="s">
        <v>782</v>
      </c>
      <c r="D64" s="289" t="s">
        <v>832</v>
      </c>
      <c r="E64" s="289" t="s">
        <v>804</v>
      </c>
      <c r="G64" s="289" t="s">
        <v>1183</v>
      </c>
      <c r="H64" s="304" t="s">
        <v>3245</v>
      </c>
      <c r="I64" s="306" t="s">
        <v>3288</v>
      </c>
      <c r="J64" s="306">
        <v>1961</v>
      </c>
      <c r="K64" s="308" t="s">
        <v>4542</v>
      </c>
      <c r="L64" s="308" t="s">
        <v>4542</v>
      </c>
      <c r="M64" s="323" t="s">
        <v>3194</v>
      </c>
      <c r="N64" s="323"/>
      <c r="O64" s="348">
        <f t="shared" si="9"/>
        <v>21</v>
      </c>
      <c r="P64" s="345">
        <f t="shared" si="37"/>
        <v>5</v>
      </c>
      <c r="Q64" s="345">
        <f t="shared" si="38"/>
        <v>1886</v>
      </c>
      <c r="R64" s="344" t="str">
        <f t="shared" si="10"/>
        <v>May</v>
      </c>
      <c r="S64" s="344">
        <f t="shared" si="39"/>
        <v>10</v>
      </c>
      <c r="T64" s="344">
        <f t="shared" si="40"/>
        <v>12</v>
      </c>
      <c r="U64" s="344">
        <f t="shared" si="41"/>
        <v>3</v>
      </c>
      <c r="V64" s="344">
        <f t="shared" si="42"/>
        <v>1961</v>
      </c>
      <c r="W64" s="344" t="str">
        <f t="shared" si="11"/>
        <v>Mar</v>
      </c>
      <c r="X64" s="344"/>
      <c r="Y64" s="344"/>
      <c r="Z64" s="314" t="str">
        <f t="shared" si="32"/>
        <v>21-May-1886</v>
      </c>
      <c r="AA64" s="314" t="str">
        <f t="shared" si="13"/>
        <v>12-Mar-1961</v>
      </c>
      <c r="AB64" s="314">
        <f t="shared" si="14"/>
        <v>74</v>
      </c>
      <c r="AC64" s="314">
        <f t="shared" si="15"/>
        <v>135</v>
      </c>
      <c r="AD64" s="347" t="str">
        <f t="shared" si="16"/>
        <v>Died 12-Mar-1961, aged 74.</v>
      </c>
      <c r="AE64" s="305"/>
      <c r="AF64" s="303"/>
      <c r="AG64" s="303"/>
      <c r="AH64" s="303"/>
      <c r="AI64" s="289" t="s">
        <v>2793</v>
      </c>
      <c r="AJ64" s="289" t="s">
        <v>2793</v>
      </c>
      <c r="AK64" s="344" t="str">
        <f t="shared" si="17"/>
        <v xml:space="preserve"> -</v>
      </c>
      <c r="AL64" s="344" t="str">
        <f t="shared" si="35"/>
        <v xml:space="preserve"> -</v>
      </c>
      <c r="AM64" s="344" t="str">
        <f t="shared" si="36"/>
        <v xml:space="preserve"> -</v>
      </c>
      <c r="AN64" s="344" t="str">
        <f t="shared" si="20"/>
        <v xml:space="preserve"> -</v>
      </c>
      <c r="AO64" s="344" t="str">
        <f t="shared" si="43"/>
        <v xml:space="preserve"> -</v>
      </c>
      <c r="AR64" s="350">
        <f>A64</f>
        <v>61</v>
      </c>
      <c r="AS64" s="353" t="str">
        <f>IF(V64="",_xlfn.CONCAT(IF(G64="",D64,G64)," (",Q64,"–",V64," : #",AR64,")"),_xlfn.CONCAT(IF(G64="",D64,G64)," (",Q64,"–",V64,": #",AR64,")"))</f>
        <v>Reggie (1886–1961: #61)</v>
      </c>
      <c r="AT64" s="353" t="str">
        <f>IF(V64="",_xlfn.CONCAT(IF(G64="",D64,G64)," (",Q64,"– ",V64,")"),_xlfn.CONCAT(IF(G64="",D64,G64)," (",Q64,"–",V64,")"))</f>
        <v>Reggie (1886–1961)</v>
      </c>
      <c r="AU64" s="352" t="str">
        <f t="shared" si="0"/>
        <v>Male</v>
      </c>
      <c r="AV64" s="355" t="s">
        <v>4379</v>
      </c>
      <c r="AW64" s="319" t="str">
        <f>VLOOKUP(AV64,'Mums of Loyd Edit&amp;Partner Edit'!$B$3:$C$66,2,FALSE)</f>
        <v>Henrietta Louisa CLUTTERBUCK (b. 23 Jan 1856, d. 14 Jan 1931)</v>
      </c>
      <c r="AX64" s="360">
        <v>30</v>
      </c>
      <c r="AY64" s="355" t="str">
        <f t="shared" si="8"/>
        <v>Archie (1847–1922: #30)</v>
      </c>
      <c r="AZ64" s="361">
        <f>VLOOKUP(AX64,Lineage!$A$1:$C$200,2,FALSE)</f>
        <v>14</v>
      </c>
      <c r="BA64" s="362" t="str">
        <f t="shared" si="31"/>
        <v>Thomas (1812–1857: #14)</v>
      </c>
      <c r="BB64" s="368">
        <f>BiographyMarriageDetsCountries!A63</f>
        <v>61</v>
      </c>
      <c r="BC64" s="319"/>
      <c r="BD64" s="362"/>
      <c r="BF64" s="324"/>
      <c r="BG64" s="357">
        <f t="shared" si="21"/>
        <v>61</v>
      </c>
      <c r="BH64" s="289" t="str">
        <f t="shared" si="22"/>
        <v>Reginald Arthur LOYD</v>
      </c>
      <c r="BI64" s="289" t="str">
        <f t="shared" si="23"/>
        <v>Reggie (1886–1961)</v>
      </c>
      <c r="BJ64" s="304" t="str">
        <f t="shared" si="24"/>
        <v>Male</v>
      </c>
      <c r="BK64" s="304">
        <f t="shared" si="25"/>
        <v>4</v>
      </c>
      <c r="BL64" s="289" t="str">
        <f t="shared" si="26"/>
        <v>Archie (1847–1922: #30)</v>
      </c>
      <c r="BM64" s="289" t="str">
        <f t="shared" si="27"/>
        <v>Henrietta Louisa CLUTTERBUCK (b. 23 Jan 1856, d. 14 Jan 1931)</v>
      </c>
      <c r="BN64" s="367" t="str">
        <f t="shared" si="28"/>
        <v>21-May-1886</v>
      </c>
      <c r="BO64" s="367" t="str">
        <f t="shared" si="29"/>
        <v>12-Mar-1961</v>
      </c>
      <c r="BP64" s="365" t="str">
        <f t="shared" si="30"/>
        <v>Died 12-Mar-1961, aged 74.</v>
      </c>
    </row>
    <row r="65" spans="1:68" s="289" customFormat="1" ht="40">
      <c r="A65" s="302">
        <v>62</v>
      </c>
      <c r="B65" s="364">
        <v>4</v>
      </c>
      <c r="C65" s="288" t="s">
        <v>782</v>
      </c>
      <c r="D65" s="289" t="s">
        <v>902</v>
      </c>
      <c r="E65" s="289" t="s">
        <v>843</v>
      </c>
      <c r="G65" s="289" t="s">
        <v>1184</v>
      </c>
      <c r="H65" s="304" t="s">
        <v>3245</v>
      </c>
      <c r="I65" s="306" t="s">
        <v>1926</v>
      </c>
      <c r="J65" s="306">
        <v>1977</v>
      </c>
      <c r="K65" s="308" t="s">
        <v>4543</v>
      </c>
      <c r="L65" s="308" t="s">
        <v>4543</v>
      </c>
      <c r="M65" s="323" t="s">
        <v>3195</v>
      </c>
      <c r="N65" s="323"/>
      <c r="O65" s="348">
        <f t="shared" si="9"/>
        <v>16</v>
      </c>
      <c r="P65" s="345">
        <f t="shared" si="37"/>
        <v>9</v>
      </c>
      <c r="Q65" s="345">
        <f t="shared" si="38"/>
        <v>1887</v>
      </c>
      <c r="R65" s="344" t="str">
        <f t="shared" si="10"/>
        <v>Sep</v>
      </c>
      <c r="S65" s="344">
        <f t="shared" si="39"/>
        <v>10</v>
      </c>
      <c r="T65" s="344">
        <f t="shared" si="40"/>
        <v>25</v>
      </c>
      <c r="U65" s="344">
        <f t="shared" si="41"/>
        <v>6</v>
      </c>
      <c r="V65" s="344">
        <f t="shared" si="42"/>
        <v>1977</v>
      </c>
      <c r="W65" s="344" t="str">
        <f t="shared" si="11"/>
        <v>Jun</v>
      </c>
      <c r="X65" s="344"/>
      <c r="Y65" s="344"/>
      <c r="Z65" s="314" t="str">
        <f t="shared" si="32"/>
        <v>16-Sep-1887</v>
      </c>
      <c r="AA65" s="314" t="str">
        <f t="shared" si="13"/>
        <v>25-Jun-1977</v>
      </c>
      <c r="AB65" s="314">
        <f t="shared" si="14"/>
        <v>89</v>
      </c>
      <c r="AC65" s="314">
        <f t="shared" si="15"/>
        <v>134</v>
      </c>
      <c r="AD65" s="347" t="str">
        <f t="shared" si="16"/>
        <v>Died 25-Jun-1977, aged 89.</v>
      </c>
      <c r="AE65" s="305"/>
      <c r="AF65" s="303"/>
      <c r="AG65" s="303"/>
      <c r="AH65" s="303"/>
      <c r="AI65" s="327">
        <v>7017</v>
      </c>
      <c r="AJ65" s="328" t="s">
        <v>4702</v>
      </c>
      <c r="AK65" s="344" t="str">
        <f t="shared" si="17"/>
        <v>18</v>
      </c>
      <c r="AL65" s="344">
        <f t="shared" si="35"/>
        <v>3</v>
      </c>
      <c r="AM65" s="344">
        <f t="shared" si="36"/>
        <v>1919</v>
      </c>
      <c r="AN65" s="344" t="str">
        <f t="shared" si="20"/>
        <v>Mar</v>
      </c>
      <c r="AO65" s="344" t="str">
        <f t="shared" si="43"/>
        <v>18-Mar-1919</v>
      </c>
      <c r="AQ65" s="327"/>
      <c r="AR65" s="350">
        <f>A65</f>
        <v>62</v>
      </c>
      <c r="AS65" s="353" t="str">
        <f>IF(V65="",_xlfn.CONCAT(IF(G65="",D65,G65)," (",Q65,"–",V65," : #",AR65,")"),_xlfn.CONCAT(IF(G65="",D65,G65)," (",Q65,"–",V65,": #",AR65,")"))</f>
        <v>Bobby (1887–1977: #62)</v>
      </c>
      <c r="AT65" s="353" t="str">
        <f>IF(V65="",_xlfn.CONCAT(IF(G65="",D65,G65)," (",Q65,"– ",V65,")"),_xlfn.CONCAT(IF(G65="",D65,G65)," (",Q65,"–",V65,")"))</f>
        <v>Bobby (1887–1977)</v>
      </c>
      <c r="AU65" s="352" t="str">
        <f t="shared" si="0"/>
        <v>Male</v>
      </c>
      <c r="AV65" s="355" t="s">
        <v>4379</v>
      </c>
      <c r="AW65" s="319" t="str">
        <f>VLOOKUP(AV65,'Mums of Loyd Edit&amp;Partner Edit'!$B$3:$C$66,2,FALSE)</f>
        <v>Henrietta Louisa CLUTTERBUCK (b. 23 Jan 1856, d. 14 Jan 1931)</v>
      </c>
      <c r="AX65" s="360">
        <v>30</v>
      </c>
      <c r="AY65" s="355" t="str">
        <f t="shared" si="8"/>
        <v>Archie (1847–1922: #30)</v>
      </c>
      <c r="AZ65" s="361">
        <f>VLOOKUP(AX65,Lineage!$A$1:$C$200,2,FALSE)</f>
        <v>14</v>
      </c>
      <c r="BA65" s="362" t="str">
        <f t="shared" si="31"/>
        <v>Thomas (1812–1857: #14)</v>
      </c>
      <c r="BB65" s="368">
        <f>BiographyMarriageDetsCountries!A64</f>
        <v>62</v>
      </c>
      <c r="BC65" s="319"/>
      <c r="BD65" s="362"/>
      <c r="BF65" s="324"/>
      <c r="BG65" s="357">
        <f t="shared" si="21"/>
        <v>62</v>
      </c>
      <c r="BH65" s="289" t="str">
        <f t="shared" si="22"/>
        <v>Robert Lindsay LOYD</v>
      </c>
      <c r="BI65" s="289" t="str">
        <f t="shared" si="23"/>
        <v>Bobby (1887–1977)</v>
      </c>
      <c r="BJ65" s="304" t="str">
        <f t="shared" si="24"/>
        <v>Male</v>
      </c>
      <c r="BK65" s="304">
        <f t="shared" si="25"/>
        <v>4</v>
      </c>
      <c r="BL65" s="289" t="str">
        <f t="shared" si="26"/>
        <v>Archie (1847–1922: #30)</v>
      </c>
      <c r="BM65" s="289" t="str">
        <f t="shared" si="27"/>
        <v>Henrietta Louisa CLUTTERBUCK (b. 23 Jan 1856, d. 14 Jan 1931)</v>
      </c>
      <c r="BN65" s="367" t="str">
        <f t="shared" si="28"/>
        <v>16-Sep-1887</v>
      </c>
      <c r="BO65" s="367" t="str">
        <f t="shared" si="29"/>
        <v>25-Jun-1977</v>
      </c>
      <c r="BP65" s="365" t="str">
        <f t="shared" si="30"/>
        <v>Died 25-Jun-1977, aged 89.</v>
      </c>
    </row>
    <row r="66" spans="1:68" s="289" customFormat="1" ht="40">
      <c r="A66" s="302">
        <v>63</v>
      </c>
      <c r="B66" s="364">
        <v>4</v>
      </c>
      <c r="C66" s="288" t="s">
        <v>782</v>
      </c>
      <c r="D66" s="289" t="s">
        <v>870</v>
      </c>
      <c r="E66" s="289" t="s">
        <v>850</v>
      </c>
      <c r="F66" s="289" t="s">
        <v>812</v>
      </c>
      <c r="H66" s="304" t="s">
        <v>3244</v>
      </c>
      <c r="I66" s="306" t="s">
        <v>1926</v>
      </c>
      <c r="J66" s="306">
        <v>1968</v>
      </c>
      <c r="K66" s="308" t="s">
        <v>4544</v>
      </c>
      <c r="L66" s="308" t="s">
        <v>4544</v>
      </c>
      <c r="M66" s="323" t="s">
        <v>3196</v>
      </c>
      <c r="N66" s="323"/>
      <c r="O66" s="348">
        <f t="shared" si="9"/>
        <v>23</v>
      </c>
      <c r="P66" s="345">
        <f t="shared" si="37"/>
        <v>11</v>
      </c>
      <c r="Q66" s="345">
        <f t="shared" si="38"/>
        <v>1887</v>
      </c>
      <c r="R66" s="344" t="str">
        <f t="shared" si="10"/>
        <v>Nov</v>
      </c>
      <c r="S66" s="344">
        <f t="shared" si="39"/>
        <v>10</v>
      </c>
      <c r="T66" s="344">
        <f t="shared" si="40"/>
        <v>25</v>
      </c>
      <c r="U66" s="344">
        <f t="shared" si="41"/>
        <v>9</v>
      </c>
      <c r="V66" s="344">
        <f t="shared" si="42"/>
        <v>1968</v>
      </c>
      <c r="W66" s="344" t="str">
        <f t="shared" si="11"/>
        <v>Sep</v>
      </c>
      <c r="X66" s="344"/>
      <c r="Y66" s="344"/>
      <c r="Z66" s="314" t="str">
        <f t="shared" si="32"/>
        <v>23-Nov-1887</v>
      </c>
      <c r="AA66" s="314" t="str">
        <f t="shared" si="13"/>
        <v>25-Sep-1968</v>
      </c>
      <c r="AB66" s="314">
        <f t="shared" si="14"/>
        <v>80</v>
      </c>
      <c r="AC66" s="314">
        <f t="shared" si="15"/>
        <v>134</v>
      </c>
      <c r="AD66" s="347" t="str">
        <f t="shared" si="16"/>
        <v>Died 25-Sep-1968, aged 80.</v>
      </c>
      <c r="AE66" s="305"/>
      <c r="AF66" s="303"/>
      <c r="AG66" s="303"/>
      <c r="AH66" s="303"/>
      <c r="AI66" s="327">
        <v>9298</v>
      </c>
      <c r="AJ66" s="328" t="s">
        <v>4703</v>
      </c>
      <c r="AK66" s="344" t="str">
        <f t="shared" si="17"/>
        <v>15</v>
      </c>
      <c r="AL66" s="344">
        <f t="shared" si="35"/>
        <v>6</v>
      </c>
      <c r="AM66" s="344">
        <f t="shared" si="36"/>
        <v>1925</v>
      </c>
      <c r="AN66" s="344" t="str">
        <f t="shared" si="20"/>
        <v>Jun</v>
      </c>
      <c r="AO66" s="344" t="str">
        <f t="shared" si="43"/>
        <v>15-Jun-1925</v>
      </c>
      <c r="AQ66" s="327"/>
      <c r="AR66" s="350">
        <f>A66</f>
        <v>63</v>
      </c>
      <c r="AS66" s="353" t="str">
        <f>IF(V66="",_xlfn.CONCAT(IF(G66="",D66,G66)," (",Q66,"–",V66," : #",AR66,")"),_xlfn.CONCAT(IF(G66="",D66,G66)," (",Q66,"–",V66,": #",AR66,")"))</f>
        <v>Mary (1887–1968: #63)</v>
      </c>
      <c r="AT66" s="353" t="str">
        <f>IF(V66="",_xlfn.CONCAT(IF(G66="",D66,G66)," (",Q66,"– ",V66,")"),_xlfn.CONCAT(IF(G66="",D66,G66)," (",Q66,"–",V66,")"))</f>
        <v>Mary (1887–1968)</v>
      </c>
      <c r="AU66" s="352" t="str">
        <f t="shared" si="0"/>
        <v>Female</v>
      </c>
      <c r="AV66" s="355" t="s">
        <v>4376</v>
      </c>
      <c r="AW66" s="319" t="str">
        <f>VLOOKUP(AV66,'Mums of Loyd Edit&amp;Partner Edit'!$B$3:$C$66,2,FALSE)</f>
        <v>Isabella (Isabel) CURREY (b. 26 Apr 1855, d. 16 Jan 1926)</v>
      </c>
      <c r="AX66" s="360">
        <v>41</v>
      </c>
      <c r="AY66" s="355" t="str">
        <f t="shared" si="8"/>
        <v>Frederic (1856–1936: #41)</v>
      </c>
      <c r="AZ66" s="361">
        <f>VLOOKUP(AX66,Lineage!$A$1:$C$200,2,FALSE)</f>
        <v>22</v>
      </c>
      <c r="BA66" s="362" t="str">
        <f t="shared" si="31"/>
        <v>Edward (1820–1890: #22)</v>
      </c>
      <c r="BB66" s="368">
        <f>BiographyMarriageDetsCountries!A65</f>
        <v>63</v>
      </c>
      <c r="BC66" s="319"/>
      <c r="BD66" s="362"/>
      <c r="BF66" s="324"/>
      <c r="BG66" s="357">
        <f t="shared" si="21"/>
        <v>63</v>
      </c>
      <c r="BH66" s="289" t="str">
        <f t="shared" si="22"/>
        <v>Mary Innes Foster LOYD</v>
      </c>
      <c r="BI66" s="289" t="str">
        <f t="shared" si="23"/>
        <v>Mary (1887–1968)</v>
      </c>
      <c r="BJ66" s="304" t="str">
        <f t="shared" si="24"/>
        <v>Female</v>
      </c>
      <c r="BK66" s="304">
        <f t="shared" si="25"/>
        <v>4</v>
      </c>
      <c r="BL66" s="289" t="str">
        <f t="shared" si="26"/>
        <v>Frederic (1856–1936: #41)</v>
      </c>
      <c r="BM66" s="289" t="str">
        <f t="shared" si="27"/>
        <v>Isabella (Isabel) CURREY (b. 26 Apr 1855, d. 16 Jan 1926)</v>
      </c>
      <c r="BN66" s="367" t="str">
        <f t="shared" si="28"/>
        <v>23-Nov-1887</v>
      </c>
      <c r="BO66" s="367" t="str">
        <f t="shared" si="29"/>
        <v>25-Sep-1968</v>
      </c>
      <c r="BP66" s="365" t="str">
        <f t="shared" si="30"/>
        <v>Died 25-Sep-1968, aged 80.</v>
      </c>
    </row>
    <row r="67" spans="1:68" s="289" customFormat="1" ht="40">
      <c r="A67" s="302">
        <v>64</v>
      </c>
      <c r="B67" s="364">
        <v>4</v>
      </c>
      <c r="C67" s="288" t="s">
        <v>782</v>
      </c>
      <c r="D67" s="289" t="s">
        <v>799</v>
      </c>
      <c r="E67" s="289" t="s">
        <v>929</v>
      </c>
      <c r="F67" s="289" t="s">
        <v>1127</v>
      </c>
      <c r="H67" s="304" t="s">
        <v>3244</v>
      </c>
      <c r="I67" s="306" t="s">
        <v>1926</v>
      </c>
      <c r="J67" s="306">
        <v>1917</v>
      </c>
      <c r="K67" s="308" t="s">
        <v>4545</v>
      </c>
      <c r="L67" s="308" t="s">
        <v>4545</v>
      </c>
      <c r="M67" s="323" t="s">
        <v>3197</v>
      </c>
      <c r="N67" s="323"/>
      <c r="O67" s="348">
        <f t="shared" si="9"/>
        <v>22</v>
      </c>
      <c r="P67" s="345">
        <f t="shared" si="37"/>
        <v>12</v>
      </c>
      <c r="Q67" s="345">
        <f t="shared" si="38"/>
        <v>1887</v>
      </c>
      <c r="R67" s="344" t="str">
        <f t="shared" si="10"/>
        <v>Dec</v>
      </c>
      <c r="S67" s="344">
        <f t="shared" si="39"/>
        <v>10</v>
      </c>
      <c r="T67" s="344">
        <f t="shared" si="40"/>
        <v>13</v>
      </c>
      <c r="U67" s="344">
        <f t="shared" si="41"/>
        <v>6</v>
      </c>
      <c r="V67" s="344">
        <f t="shared" si="42"/>
        <v>1917</v>
      </c>
      <c r="W67" s="344" t="str">
        <f t="shared" si="11"/>
        <v>Jun</v>
      </c>
      <c r="X67" s="344"/>
      <c r="Y67" s="344"/>
      <c r="Z67" s="314" t="str">
        <f t="shared" si="32"/>
        <v>22-Dec-1887</v>
      </c>
      <c r="AA67" s="314" t="str">
        <f t="shared" si="13"/>
        <v>13-Jun-1917</v>
      </c>
      <c r="AB67" s="314">
        <f t="shared" si="14"/>
        <v>29</v>
      </c>
      <c r="AC67" s="314">
        <f t="shared" si="15"/>
        <v>134</v>
      </c>
      <c r="AD67" s="347" t="str">
        <f t="shared" si="16"/>
        <v>Died 13-Jun-1917, aged 29.</v>
      </c>
      <c r="AE67" s="305"/>
      <c r="AF67" s="303"/>
      <c r="AG67" s="303"/>
      <c r="AH67" s="303"/>
      <c r="AI67" s="327">
        <v>2663</v>
      </c>
      <c r="AJ67" s="328" t="s">
        <v>4777</v>
      </c>
      <c r="AK67" s="344" t="str">
        <f t="shared" si="17"/>
        <v>16</v>
      </c>
      <c r="AL67" s="344">
        <f t="shared" si="35"/>
        <v>4</v>
      </c>
      <c r="AM67" s="344">
        <f t="shared" si="36"/>
        <v>1907</v>
      </c>
      <c r="AN67" s="344" t="str">
        <f t="shared" si="20"/>
        <v>Apr</v>
      </c>
      <c r="AO67" s="344" t="str">
        <f t="shared" si="43"/>
        <v>16-Apr-1907</v>
      </c>
      <c r="AQ67" s="327"/>
      <c r="AR67" s="350">
        <f>A67</f>
        <v>64</v>
      </c>
      <c r="AS67" s="353" t="str">
        <f>IF(V67="",_xlfn.CONCAT(IF(G67="",D67,G67)," (",Q67,"–",V67," : #",AR67,")"),_xlfn.CONCAT(IF(G67="",D67,G67)," (",Q67,"–",V67,": #",AR67,")"))</f>
        <v>Gertrude (1887–1917: #64)</v>
      </c>
      <c r="AT67" s="353" t="str">
        <f>IF(V67="",_xlfn.CONCAT(IF(G67="",D67,G67)," (",Q67,"– ",V67,")"),_xlfn.CONCAT(IF(G67="",D67,G67)," (",Q67,"–",V67,")"))</f>
        <v>Gertrude (1887–1917)</v>
      </c>
      <c r="AU67" s="352" t="str">
        <f t="shared" ref="AU67:AU130" si="45">H67</f>
        <v>Female</v>
      </c>
      <c r="AV67" s="355" t="s">
        <v>4378</v>
      </c>
      <c r="AW67" s="319" t="str">
        <f>VLOOKUP(AV67,'Mums of Loyd Edit&amp;Partner Edit'!$B$3:$C$66,2,FALSE)</f>
        <v>Lady Mary Sophia HELY-HUTCHINSON (b. 22 Sep 1853, d. 30 Jul 1936)</v>
      </c>
      <c r="AX67" s="360">
        <v>35</v>
      </c>
      <c r="AY67" s="355" t="str">
        <f t="shared" si="8"/>
        <v>Lewis (1852–1908: #35)</v>
      </c>
      <c r="AZ67" s="361">
        <f>VLOOKUP(AX67,Lineage!$A$1:$C$200,2,FALSE)</f>
        <v>23</v>
      </c>
      <c r="BA67" s="362" t="str">
        <f t="shared" si="31"/>
        <v>William (1821–1885: #23)</v>
      </c>
      <c r="BB67" s="368">
        <f>BiographyMarriageDetsCountries!A66</f>
        <v>64</v>
      </c>
      <c r="BC67" s="319"/>
      <c r="BD67" s="362"/>
      <c r="BF67" s="324"/>
      <c r="BG67" s="357">
        <f t="shared" si="21"/>
        <v>64</v>
      </c>
      <c r="BH67" s="289" t="str">
        <f t="shared" si="22"/>
        <v>Gertrude Harriet Joselyn LOYD</v>
      </c>
      <c r="BI67" s="289" t="str">
        <f t="shared" si="23"/>
        <v>Gertrude (1887–1917)</v>
      </c>
      <c r="BJ67" s="304" t="str">
        <f t="shared" si="24"/>
        <v>Female</v>
      </c>
      <c r="BK67" s="304">
        <f t="shared" si="25"/>
        <v>4</v>
      </c>
      <c r="BL67" s="289" t="str">
        <f t="shared" si="26"/>
        <v>Lewis (1852–1908: #35)</v>
      </c>
      <c r="BM67" s="289" t="str">
        <f t="shared" si="27"/>
        <v>Lady Mary Sophia HELY-HUTCHINSON (b. 22 Sep 1853, d. 30 Jul 1936)</v>
      </c>
      <c r="BN67" s="367" t="str">
        <f t="shared" si="28"/>
        <v>22-Dec-1887</v>
      </c>
      <c r="BO67" s="367" t="str">
        <f t="shared" si="29"/>
        <v>13-Jun-1917</v>
      </c>
      <c r="BP67" s="365" t="str">
        <f t="shared" si="30"/>
        <v>Died 13-Jun-1917, aged 29.</v>
      </c>
    </row>
    <row r="68" spans="1:68" s="289" customFormat="1" ht="40">
      <c r="A68" s="302">
        <v>65</v>
      </c>
      <c r="B68" s="364">
        <v>4</v>
      </c>
      <c r="C68" s="288" t="s">
        <v>782</v>
      </c>
      <c r="D68" s="289" t="s">
        <v>1129</v>
      </c>
      <c r="E68" s="289" t="s">
        <v>1075</v>
      </c>
      <c r="F68" s="289" t="s">
        <v>819</v>
      </c>
      <c r="G68" s="289" t="s">
        <v>2262</v>
      </c>
      <c r="H68" s="304" t="s">
        <v>3244</v>
      </c>
      <c r="I68" s="306" t="s">
        <v>1932</v>
      </c>
      <c r="J68" s="306">
        <v>1967</v>
      </c>
      <c r="K68" s="308" t="s">
        <v>4546</v>
      </c>
      <c r="L68" s="308" t="s">
        <v>4546</v>
      </c>
      <c r="M68" s="323" t="s">
        <v>3198</v>
      </c>
      <c r="N68" s="323"/>
      <c r="O68" s="348">
        <f t="shared" si="9"/>
        <v>4</v>
      </c>
      <c r="P68" s="345">
        <f t="shared" ref="P68:P99" si="46">VALUE(MID(K68,4,2))</f>
        <v>2</v>
      </c>
      <c r="Q68" s="345">
        <f t="shared" ref="Q68:Q99" si="47">VALUE(RIGHT(K68,4))</f>
        <v>1889</v>
      </c>
      <c r="R68" s="344" t="str">
        <f t="shared" si="10"/>
        <v>Feb</v>
      </c>
      <c r="S68" s="344">
        <f t="shared" ref="S68:S99" si="48">LEN(M68)</f>
        <v>10</v>
      </c>
      <c r="T68" s="344">
        <f t="shared" ref="T68:T99" si="49">IF(M68="","",VALUE(LEFT(M68,2)))</f>
        <v>14</v>
      </c>
      <c r="U68" s="344">
        <f t="shared" ref="U68:U99" si="50">IF(M68="","",VALUE(MID(M68,4,2)))</f>
        <v>4</v>
      </c>
      <c r="V68" s="344">
        <f t="shared" ref="V68:V99" si="51">IF(M68="","",VALUE(RIGHT(M68,4)))</f>
        <v>1967</v>
      </c>
      <c r="W68" s="344" t="str">
        <f t="shared" si="11"/>
        <v>Apr</v>
      </c>
      <c r="X68" s="344"/>
      <c r="Y68" s="344"/>
      <c r="Z68" s="314" t="str">
        <f t="shared" si="32"/>
        <v>04-Feb-1889</v>
      </c>
      <c r="AA68" s="314" t="str">
        <f t="shared" si="13"/>
        <v>14-Apr-1967</v>
      </c>
      <c r="AB68" s="314">
        <f t="shared" si="14"/>
        <v>78</v>
      </c>
      <c r="AC68" s="314">
        <f t="shared" si="15"/>
        <v>132</v>
      </c>
      <c r="AD68" s="347" t="str">
        <f t="shared" si="16"/>
        <v>Died 14-Apr-1967, aged 78.</v>
      </c>
      <c r="AE68" s="305"/>
      <c r="AF68" s="303"/>
      <c r="AG68" s="303"/>
      <c r="AH68" s="303"/>
      <c r="AI68" s="327">
        <v>4554</v>
      </c>
      <c r="AJ68" s="328" t="s">
        <v>4704</v>
      </c>
      <c r="AK68" s="344" t="str">
        <f t="shared" si="17"/>
        <v>19</v>
      </c>
      <c r="AL68" s="344">
        <f t="shared" si="35"/>
        <v>6</v>
      </c>
      <c r="AM68" s="344">
        <f t="shared" si="36"/>
        <v>1912</v>
      </c>
      <c r="AN68" s="344" t="str">
        <f t="shared" si="20"/>
        <v>Jun</v>
      </c>
      <c r="AO68" s="344" t="str">
        <f t="shared" ref="AO68:AO99" si="52">IF(AJ68=" -",AJ68,_xlfn.CONCAT(AK68,"-",AN68,"-",AM68))</f>
        <v>19-Jun-1912</v>
      </c>
      <c r="AQ68" s="327"/>
      <c r="AR68" s="350">
        <f>A68</f>
        <v>65</v>
      </c>
      <c r="AS68" s="353" t="str">
        <f>IF(V68="",_xlfn.CONCAT(IF(G68="",D68,G68)," (",Q68,"–",V68," : #",AR68,")"),_xlfn.CONCAT(IF(G68="",D68,G68)," (",Q68,"–",V68,": #",AR68,")"))</f>
        <v>Nan (1889–1967: #65)</v>
      </c>
      <c r="AT68" s="353" t="str">
        <f>IF(V68="",_xlfn.CONCAT(IF(G68="",D68,G68)," (",Q68,"– ",V68,")"),_xlfn.CONCAT(IF(G68="",D68,G68)," (",Q68,"–",V68,")"))</f>
        <v>Nan (1889–1967)</v>
      </c>
      <c r="AU68" s="352" t="str">
        <f t="shared" si="45"/>
        <v>Female</v>
      </c>
      <c r="AV68" s="355" t="s">
        <v>4380</v>
      </c>
      <c r="AW68" s="319" t="str">
        <f>VLOOKUP(AV68,'Mums of Loyd Edit&amp;Partner Edit'!$B$3:$C$66,2,FALSE)</f>
        <v>Millicent Blandinah KESTEVEN (b. 1850/51, d. 22 Jun 1945)</v>
      </c>
      <c r="AX68" s="360">
        <v>34</v>
      </c>
      <c r="AY68" s="355" t="str">
        <f t="shared" ref="AY68:AY131" si="53">VLOOKUP(AX68,$AR$1:$AT$200,2,FALSE)</f>
        <v>Ted (1851–1922: #34)</v>
      </c>
      <c r="AZ68" s="361">
        <f>VLOOKUP(AX68,Lineage!$A$1:$C$200,2,FALSE)</f>
        <v>14</v>
      </c>
      <c r="BA68" s="362" t="str">
        <f t="shared" si="31"/>
        <v>Thomas (1812–1857: #14)</v>
      </c>
      <c r="BB68" s="368">
        <f>BiographyMarriageDetsCountries!A67</f>
        <v>65</v>
      </c>
      <c r="BC68" s="319"/>
      <c r="BD68" s="362"/>
      <c r="BF68" s="324"/>
      <c r="BG68" s="357">
        <f t="shared" si="21"/>
        <v>65</v>
      </c>
      <c r="BH68" s="289" t="str">
        <f t="shared" si="22"/>
        <v>Melicent Annie Kirkman LOYD</v>
      </c>
      <c r="BI68" s="289" t="str">
        <f t="shared" si="23"/>
        <v>Nan (1889–1967)</v>
      </c>
      <c r="BJ68" s="304" t="str">
        <f t="shared" si="24"/>
        <v>Female</v>
      </c>
      <c r="BK68" s="304">
        <f t="shared" si="25"/>
        <v>4</v>
      </c>
      <c r="BL68" s="289" t="str">
        <f t="shared" si="26"/>
        <v>Ted (1851–1922: #34)</v>
      </c>
      <c r="BM68" s="289" t="str">
        <f t="shared" si="27"/>
        <v>Millicent Blandinah KESTEVEN (b. 1850/51, d. 22 Jun 1945)</v>
      </c>
      <c r="BN68" s="367" t="str">
        <f t="shared" si="28"/>
        <v>04-Feb-1889</v>
      </c>
      <c r="BO68" s="367" t="str">
        <f t="shared" si="29"/>
        <v>14-Apr-1967</v>
      </c>
      <c r="BP68" s="365" t="str">
        <f t="shared" si="30"/>
        <v>Died 14-Apr-1967, aged 78.</v>
      </c>
    </row>
    <row r="69" spans="1:68" s="289" customFormat="1" ht="40">
      <c r="A69" s="302">
        <v>66</v>
      </c>
      <c r="B69" s="364">
        <v>4</v>
      </c>
      <c r="C69" s="288" t="s">
        <v>782</v>
      </c>
      <c r="D69" s="289" t="s">
        <v>830</v>
      </c>
      <c r="E69" s="289" t="s">
        <v>914</v>
      </c>
      <c r="F69" s="289" t="s">
        <v>1132</v>
      </c>
      <c r="H69" s="304" t="s">
        <v>3245</v>
      </c>
      <c r="I69" s="306" t="s">
        <v>1932</v>
      </c>
      <c r="J69" s="306">
        <v>1947</v>
      </c>
      <c r="K69" s="308" t="s">
        <v>4547</v>
      </c>
      <c r="L69" s="308" t="s">
        <v>4547</v>
      </c>
      <c r="M69" s="323" t="s">
        <v>3199</v>
      </c>
      <c r="N69" s="323"/>
      <c r="O69" s="348">
        <f t="shared" ref="O69:O132" si="54">(VALUE(LEFT(K69,2)))</f>
        <v>7</v>
      </c>
      <c r="P69" s="345">
        <f t="shared" si="46"/>
        <v>5</v>
      </c>
      <c r="Q69" s="345">
        <f t="shared" si="47"/>
        <v>1889</v>
      </c>
      <c r="R69" s="344" t="str">
        <f t="shared" ref="R69:R132" si="55">VLOOKUP(P69,$CP$4:$CQ$15,2,FALSE)</f>
        <v>May</v>
      </c>
      <c r="S69" s="344">
        <f t="shared" si="48"/>
        <v>10</v>
      </c>
      <c r="T69" s="344">
        <f t="shared" si="49"/>
        <v>27</v>
      </c>
      <c r="U69" s="344">
        <f t="shared" si="50"/>
        <v>10</v>
      </c>
      <c r="V69" s="344">
        <f t="shared" si="51"/>
        <v>1947</v>
      </c>
      <c r="W69" s="344" t="str">
        <f t="shared" ref="W69:W132" si="56">VLOOKUP(U69,$CP$4:$CQ$15,2,FALSE)</f>
        <v>Oct</v>
      </c>
      <c r="X69" s="344"/>
      <c r="Y69" s="344"/>
      <c r="Z69" s="314" t="str">
        <f t="shared" si="32"/>
        <v>07-May-1889</v>
      </c>
      <c r="AA69" s="314" t="str">
        <f t="shared" ref="AA69:AA132" si="57">IF(M69="","",IF(T69&lt;10,_xlfn.CONCAT("0",T69,"-",W69,"-",V69),_xlfn.CONCAT(T69,"-",W69,"-",V69)))</f>
        <v>27-Oct-1947</v>
      </c>
      <c r="AB69" s="314">
        <f t="shared" ref="AB69:AB132" si="58">IF(AND(V69&gt;0,U69&gt;P69),V69-Q69,IF(AND(V69&gt;0,U69&lt;P69),V69-Q69-1,IF(AND(V69&gt;0,U69=P69,T69&gt;=O69),V69-Q69,V69-Q69-1)))</f>
        <v>58</v>
      </c>
      <c r="AC69" s="314">
        <f t="shared" ref="AC69:AC132" si="59">IF(AND(LEN(V69)=0,AC$2&gt;P69),AB$2-Q69,IF(AND(LEN(V69)=0,AC$2&lt;P69),AB$2-Q69-1,IF(AND(LEN(V69)=0,AC$2=P69,AD$2&gt;=O69),AB$2-Q69,AB$2-Q69-1)))</f>
        <v>132</v>
      </c>
      <c r="AD69" s="347" t="str">
        <f t="shared" ref="AD69:AD132" si="60">IF(LEN(V69)=0,_xlfn.CONCAT("Aged ",AC69," on 01-Jul-2022."),IF(AND(LEN(V69)&gt;0,AB69&lt;=2),_xlfn.CONCAT("Died in Infancy ",AA69,"."),_xlfn.CONCAT("Died ",AA69,", aged ",AB69,".")))</f>
        <v>Died 27-Oct-1947, aged 58.</v>
      </c>
      <c r="AE69" s="305"/>
      <c r="AF69" s="303"/>
      <c r="AG69" s="303"/>
      <c r="AH69" s="303"/>
      <c r="AI69" s="327">
        <v>4515</v>
      </c>
      <c r="AJ69" s="328" t="s">
        <v>4705</v>
      </c>
      <c r="AK69" s="344" t="str">
        <f t="shared" ref="AK69:AK132" si="61">IF(AJ69=" -",AJ69,LEFT(AJ69,2))</f>
        <v>11</v>
      </c>
      <c r="AL69" s="344">
        <f t="shared" si="35"/>
        <v>5</v>
      </c>
      <c r="AM69" s="344">
        <f t="shared" si="36"/>
        <v>1912</v>
      </c>
      <c r="AN69" s="344" t="str">
        <f t="shared" ref="AN69:AN132" si="62">IF(AJ69=" -",AJ69,VLOOKUP(AL69,$CP$4:$CQ$15,2,FALSE))</f>
        <v>May</v>
      </c>
      <c r="AO69" s="344" t="str">
        <f t="shared" si="52"/>
        <v>11-May-1912</v>
      </c>
      <c r="AQ69" s="327"/>
      <c r="AR69" s="350">
        <f>A69</f>
        <v>66</v>
      </c>
      <c r="AS69" s="353" t="str">
        <f>IF(V69="",_xlfn.CONCAT(IF(G69="",D69,G69)," (",Q69,"–",V69," : #",AR69,")"),_xlfn.CONCAT(IF(G69="",D69,G69)," (",Q69,"–",V69,": #",AR69,")"))</f>
        <v>William (1889–1947: #66)</v>
      </c>
      <c r="AT69" s="353" t="str">
        <f>IF(V69="",_xlfn.CONCAT(IF(G69="",D69,G69)," (",Q69,"– ",V69,")"),_xlfn.CONCAT(IF(G69="",D69,G69)," (",Q69,"–",V69,")"))</f>
        <v>William (1889–1947)</v>
      </c>
      <c r="AU69" s="352" t="str">
        <f t="shared" si="45"/>
        <v>Male</v>
      </c>
      <c r="AV69" s="355" t="s">
        <v>4381</v>
      </c>
      <c r="AW69" s="319" t="str">
        <f>VLOOKUP(AV69,'Mums of Loyd Edit&amp;Partner Edit'!$B$3:$C$66,2,FALSE)</f>
        <v>The Hon Clementina Georgina BROWNLOW (b. 13 Jan 1868, d. 1 Sep 1929)</v>
      </c>
      <c r="AX69" s="360">
        <v>44</v>
      </c>
      <c r="AY69" s="355" t="str">
        <f t="shared" si="53"/>
        <v>Harry (1861–1938: #44)</v>
      </c>
      <c r="AZ69" s="361">
        <f>VLOOKUP(AX69,Lineage!$A$1:$C$200,2,FALSE)</f>
        <v>23</v>
      </c>
      <c r="BA69" s="362" t="str">
        <f t="shared" si="31"/>
        <v>William (1821–1885: #23)</v>
      </c>
      <c r="BB69" s="368">
        <f>BiographyMarriageDetsCountries!A68</f>
        <v>66</v>
      </c>
      <c r="BC69" s="319"/>
      <c r="BD69" s="362"/>
      <c r="BF69" s="324"/>
      <c r="BG69" s="357">
        <f t="shared" ref="BG69:BG132" si="63">A69</f>
        <v>66</v>
      </c>
      <c r="BH69" s="289" t="str">
        <f t="shared" ref="BH69:BH132" si="64">IF(E69="",_xlfn.CONCAT(D69," ",C69),IF(F69="",_xlfn.CONCAT(D69," ",E69," ",C69),_xlfn.CONCAT(D69," ",E69," ",F69," ",C69)))</f>
        <v>William Lewis Brownlow LOYD</v>
      </c>
      <c r="BI69" s="289" t="str">
        <f t="shared" ref="BI69:BI132" si="65">AT69</f>
        <v>William (1889–1947)</v>
      </c>
      <c r="BJ69" s="304" t="str">
        <f t="shared" ref="BJ69:BJ132" si="66">AU69</f>
        <v>Male</v>
      </c>
      <c r="BK69" s="304">
        <f t="shared" ref="BK69:BK132" si="67">B69</f>
        <v>4</v>
      </c>
      <c r="BL69" s="289" t="str">
        <f t="shared" ref="BL69:BL132" si="68">AY69</f>
        <v>Harry (1861–1938: #44)</v>
      </c>
      <c r="BM69" s="289" t="str">
        <f t="shared" ref="BM69:BM132" si="69">AW69</f>
        <v>The Hon Clementina Georgina BROWNLOW (b. 13 Jan 1868, d. 1 Sep 1929)</v>
      </c>
      <c r="BN69" s="367" t="str">
        <f t="shared" ref="BN69:BN132" si="70">Z69</f>
        <v>07-May-1889</v>
      </c>
      <c r="BO69" s="367" t="str">
        <f t="shared" ref="BO69:BO132" si="71">AA69</f>
        <v>27-Oct-1947</v>
      </c>
      <c r="BP69" s="365" t="str">
        <f t="shared" ref="BP69:BP132" si="72">AD69</f>
        <v>Died 27-Oct-1947, aged 58.</v>
      </c>
    </row>
    <row r="70" spans="1:68" s="289" customFormat="1" ht="40">
      <c r="A70" s="302">
        <v>67</v>
      </c>
      <c r="B70" s="364">
        <v>4</v>
      </c>
      <c r="C70" s="288" t="s">
        <v>782</v>
      </c>
      <c r="D70" s="289" t="s">
        <v>848</v>
      </c>
      <c r="E70" s="289" t="s">
        <v>2948</v>
      </c>
      <c r="G70" s="289" t="s">
        <v>2947</v>
      </c>
      <c r="H70" s="304" t="s">
        <v>3245</v>
      </c>
      <c r="I70" s="306" t="s">
        <v>1932</v>
      </c>
      <c r="J70" s="306">
        <v>1956</v>
      </c>
      <c r="K70" s="308" t="s">
        <v>4548</v>
      </c>
      <c r="L70" s="308" t="s">
        <v>4548</v>
      </c>
      <c r="M70" s="323" t="s">
        <v>3200</v>
      </c>
      <c r="N70" s="323"/>
      <c r="O70" s="348">
        <f t="shared" si="54"/>
        <v>26</v>
      </c>
      <c r="P70" s="345">
        <f t="shared" si="46"/>
        <v>5</v>
      </c>
      <c r="Q70" s="345">
        <f t="shared" si="47"/>
        <v>1889</v>
      </c>
      <c r="R70" s="344" t="str">
        <f t="shared" si="55"/>
        <v>May</v>
      </c>
      <c r="S70" s="344">
        <f t="shared" si="48"/>
        <v>10</v>
      </c>
      <c r="T70" s="344">
        <f t="shared" si="49"/>
        <v>18</v>
      </c>
      <c r="U70" s="344">
        <f t="shared" si="50"/>
        <v>1</v>
      </c>
      <c r="V70" s="344">
        <f t="shared" si="51"/>
        <v>1956</v>
      </c>
      <c r="W70" s="344" t="str">
        <f t="shared" si="56"/>
        <v>Jan</v>
      </c>
      <c r="X70" s="344"/>
      <c r="Y70" s="344"/>
      <c r="Z70" s="314" t="str">
        <f t="shared" si="32"/>
        <v>26-May-1889</v>
      </c>
      <c r="AA70" s="314" t="str">
        <f t="shared" si="57"/>
        <v>18-Jan-1956</v>
      </c>
      <c r="AB70" s="314">
        <f t="shared" si="58"/>
        <v>66</v>
      </c>
      <c r="AC70" s="314">
        <f t="shared" si="59"/>
        <v>132</v>
      </c>
      <c r="AD70" s="347" t="str">
        <f t="shared" si="60"/>
        <v>Died 18-Jan-1956, aged 66.</v>
      </c>
      <c r="AE70" s="305"/>
      <c r="AF70" s="303"/>
      <c r="AG70" s="303"/>
      <c r="AH70" s="303"/>
      <c r="AI70" s="289" t="s">
        <v>2793</v>
      </c>
      <c r="AJ70" s="289" t="s">
        <v>2793</v>
      </c>
      <c r="AK70" s="344" t="str">
        <f t="shared" si="61"/>
        <v xml:space="preserve"> -</v>
      </c>
      <c r="AL70" s="344" t="str">
        <f t="shared" si="35"/>
        <v xml:space="preserve"> -</v>
      </c>
      <c r="AM70" s="344" t="str">
        <f t="shared" si="36"/>
        <v xml:space="preserve"> -</v>
      </c>
      <c r="AN70" s="344" t="str">
        <f t="shared" si="62"/>
        <v xml:space="preserve"> -</v>
      </c>
      <c r="AO70" s="344" t="str">
        <f t="shared" si="52"/>
        <v xml:space="preserve"> -</v>
      </c>
      <c r="AR70" s="350">
        <f>A70</f>
        <v>67</v>
      </c>
      <c r="AS70" s="353" t="str">
        <f>IF(V70="",_xlfn.CONCAT(IF(G70="",D70,G70)," (",Q70,"–",V70," : #",AR70,")"),_xlfn.CONCAT(IF(G70="",D70,G70)," (",Q70,"–",V70,": #",AR70,")"))</f>
        <v>Tony/Dodo (1889–1956: #67)</v>
      </c>
      <c r="AT70" s="353" t="str">
        <f>IF(V70="",_xlfn.CONCAT(IF(G70="",D70,G70)," (",Q70,"– ",V70,")"),_xlfn.CONCAT(IF(G70="",D70,G70)," (",Q70,"–",V70,")"))</f>
        <v>Tony/Dodo (1889–1956)</v>
      </c>
      <c r="AU70" s="352" t="str">
        <f t="shared" si="45"/>
        <v>Male</v>
      </c>
      <c r="AV70" s="355" t="s">
        <v>4377</v>
      </c>
      <c r="AW70" s="319" t="str">
        <f>VLOOKUP(AV70,'Mums of Loyd Edit&amp;Partner Edit'!$B$3:$C$66,2,FALSE)</f>
        <v>Frances Maria Jane FETHERSTONHAUGH (b. 10 Feb 1855, d. 6 May 1929)</v>
      </c>
      <c r="AX70" s="360">
        <v>32</v>
      </c>
      <c r="AY70" s="355" t="str">
        <f t="shared" si="53"/>
        <v>Frank (1848–1934: #32)</v>
      </c>
      <c r="AZ70" s="361">
        <f>VLOOKUP(AX70,Lineage!$A$1:$C$200,2,FALSE)</f>
        <v>14</v>
      </c>
      <c r="BA70" s="362" t="str">
        <f t="shared" ref="BA70:BA133" si="73">VLOOKUP(AZ70,$AR$1:$AT$200,2,FALSE)</f>
        <v>Thomas (1812–1857: #14)</v>
      </c>
      <c r="BB70" s="368">
        <f>BiographyMarriageDetsCountries!A69</f>
        <v>67</v>
      </c>
      <c r="BC70" s="319"/>
      <c r="BD70" s="362"/>
      <c r="BF70" s="324"/>
      <c r="BG70" s="357">
        <f t="shared" si="63"/>
        <v>67</v>
      </c>
      <c r="BH70" s="289" t="str">
        <f t="shared" si="64"/>
        <v>Francis Fetherstonhaugh LOYD</v>
      </c>
      <c r="BI70" s="289" t="str">
        <f t="shared" si="65"/>
        <v>Tony/Dodo (1889–1956)</v>
      </c>
      <c r="BJ70" s="304" t="str">
        <f t="shared" si="66"/>
        <v>Male</v>
      </c>
      <c r="BK70" s="304">
        <f t="shared" si="67"/>
        <v>4</v>
      </c>
      <c r="BL70" s="289" t="str">
        <f t="shared" si="68"/>
        <v>Frank (1848–1934: #32)</v>
      </c>
      <c r="BM70" s="289" t="str">
        <f t="shared" si="69"/>
        <v>Frances Maria Jane FETHERSTONHAUGH (b. 10 Feb 1855, d. 6 May 1929)</v>
      </c>
      <c r="BN70" s="367" t="str">
        <f t="shared" si="70"/>
        <v>26-May-1889</v>
      </c>
      <c r="BO70" s="367" t="str">
        <f t="shared" si="71"/>
        <v>18-Jan-1956</v>
      </c>
      <c r="BP70" s="365" t="str">
        <f t="shared" si="72"/>
        <v>Died 18-Jan-1956, aged 66.</v>
      </c>
    </row>
    <row r="71" spans="1:68" s="289" customFormat="1" ht="40">
      <c r="A71" s="302">
        <v>68</v>
      </c>
      <c r="B71" s="364">
        <v>4</v>
      </c>
      <c r="C71" s="165" t="s">
        <v>782</v>
      </c>
      <c r="D71" s="316" t="s">
        <v>783</v>
      </c>
      <c r="E71" s="316" t="s">
        <v>787</v>
      </c>
      <c r="F71" s="316"/>
      <c r="G71" s="316"/>
      <c r="H71" s="329" t="s">
        <v>3245</v>
      </c>
      <c r="I71" s="306" t="s">
        <v>1936</v>
      </c>
      <c r="J71" s="306">
        <v>1963</v>
      </c>
      <c r="K71" s="308" t="s">
        <v>4549</v>
      </c>
      <c r="L71" s="308" t="s">
        <v>4549</v>
      </c>
      <c r="M71" s="323" t="s">
        <v>3201</v>
      </c>
      <c r="N71" s="323"/>
      <c r="O71" s="348">
        <f t="shared" si="54"/>
        <v>20</v>
      </c>
      <c r="P71" s="345">
        <f t="shared" si="46"/>
        <v>1</v>
      </c>
      <c r="Q71" s="345">
        <f t="shared" si="47"/>
        <v>1890</v>
      </c>
      <c r="R71" s="344" t="str">
        <f t="shared" si="55"/>
        <v>Jan</v>
      </c>
      <c r="S71" s="344">
        <f t="shared" si="48"/>
        <v>10</v>
      </c>
      <c r="T71" s="344">
        <f t="shared" si="49"/>
        <v>17</v>
      </c>
      <c r="U71" s="344">
        <f t="shared" si="50"/>
        <v>1</v>
      </c>
      <c r="V71" s="344">
        <f t="shared" si="51"/>
        <v>1963</v>
      </c>
      <c r="W71" s="344" t="str">
        <f t="shared" si="56"/>
        <v>Jan</v>
      </c>
      <c r="X71" s="344"/>
      <c r="Y71" s="344"/>
      <c r="Z71" s="314" t="str">
        <f t="shared" si="32"/>
        <v>20-Jan-1890</v>
      </c>
      <c r="AA71" s="314" t="str">
        <f t="shared" si="57"/>
        <v>17-Jan-1963</v>
      </c>
      <c r="AB71" s="314">
        <f t="shared" si="58"/>
        <v>72</v>
      </c>
      <c r="AC71" s="314">
        <f t="shared" si="59"/>
        <v>131</v>
      </c>
      <c r="AD71" s="347" t="str">
        <f t="shared" si="60"/>
        <v>Died 17-Jan-1963, aged 72.</v>
      </c>
      <c r="AE71" s="305"/>
      <c r="AF71" s="303"/>
      <c r="AG71" s="303"/>
      <c r="AH71" s="303"/>
      <c r="AI71" s="308">
        <v>7089</v>
      </c>
      <c r="AJ71" s="330" t="s">
        <v>4706</v>
      </c>
      <c r="AK71" s="344" t="str">
        <f t="shared" si="61"/>
        <v>29</v>
      </c>
      <c r="AL71" s="344">
        <f t="shared" si="35"/>
        <v>5</v>
      </c>
      <c r="AM71" s="344">
        <f t="shared" si="36"/>
        <v>1919</v>
      </c>
      <c r="AN71" s="344" t="str">
        <f t="shared" si="62"/>
        <v>May</v>
      </c>
      <c r="AO71" s="344" t="str">
        <f t="shared" si="52"/>
        <v>29-May-1919</v>
      </c>
      <c r="AQ71" s="308"/>
      <c r="AR71" s="350">
        <f>A71</f>
        <v>68</v>
      </c>
      <c r="AS71" s="353" t="str">
        <f>IF(V71="",_xlfn.CONCAT(IF(G71="",D71,G71)," (",Q71,"–",V71," : #",AR71,")"),_xlfn.CONCAT(IF(G71="",D71,G71)," (",Q71,"–",V71,": #",AR71,")"))</f>
        <v>Cecil (1890–1963: #68)</v>
      </c>
      <c r="AT71" s="353" t="str">
        <f>IF(V71="",_xlfn.CONCAT(IF(G71="",D71,G71)," (",Q71,"– ",V71,")"),_xlfn.CONCAT(IF(G71="",D71,G71)," (",Q71,"–",V71,")"))</f>
        <v>Cecil (1890–1963)</v>
      </c>
      <c r="AU71" s="352" t="str">
        <f t="shared" si="45"/>
        <v>Male</v>
      </c>
      <c r="AV71" s="355" t="s">
        <v>4382</v>
      </c>
      <c r="AW71" s="319" t="str">
        <f>VLOOKUP(AV71,'Mums of Loyd Edit&amp;Partner Edit'!$B$3:$C$66,2,FALSE)</f>
        <v>Rebecca Olivia LEWIS (b.13 Aug 1860, d. 18 Mar 1927)</v>
      </c>
      <c r="AX71" s="360">
        <v>45</v>
      </c>
      <c r="AY71" s="355" t="str">
        <f t="shared" si="53"/>
        <v>Llewellyn (1861–1939: #45)</v>
      </c>
      <c r="AZ71" s="361">
        <f>VLOOKUP(AX71,Lineage!$A$1:$C$200,2,FALSE)</f>
        <v>22</v>
      </c>
      <c r="BA71" s="362" t="str">
        <f t="shared" si="73"/>
        <v>Edward (1820–1890: #22)</v>
      </c>
      <c r="BB71" s="368">
        <f>BiographyMarriageDetsCountries!A70</f>
        <v>68</v>
      </c>
      <c r="BC71" s="319"/>
      <c r="BD71" s="362"/>
      <c r="BF71" s="324"/>
      <c r="BG71" s="357">
        <f t="shared" si="63"/>
        <v>68</v>
      </c>
      <c r="BH71" s="289" t="str">
        <f t="shared" si="64"/>
        <v>Cecil Lewellyn LOYD</v>
      </c>
      <c r="BI71" s="289" t="str">
        <f t="shared" si="65"/>
        <v>Cecil (1890–1963)</v>
      </c>
      <c r="BJ71" s="304" t="str">
        <f t="shared" si="66"/>
        <v>Male</v>
      </c>
      <c r="BK71" s="304">
        <f t="shared" si="67"/>
        <v>4</v>
      </c>
      <c r="BL71" s="289" t="str">
        <f t="shared" si="68"/>
        <v>Llewellyn (1861–1939: #45)</v>
      </c>
      <c r="BM71" s="289" t="str">
        <f t="shared" si="69"/>
        <v>Rebecca Olivia LEWIS (b.13 Aug 1860, d. 18 Mar 1927)</v>
      </c>
      <c r="BN71" s="367" t="str">
        <f t="shared" si="70"/>
        <v>20-Jan-1890</v>
      </c>
      <c r="BO71" s="367" t="str">
        <f t="shared" si="71"/>
        <v>17-Jan-1963</v>
      </c>
      <c r="BP71" s="365" t="str">
        <f t="shared" si="72"/>
        <v>Died 17-Jan-1963, aged 72.</v>
      </c>
    </row>
    <row r="72" spans="1:68" s="289" customFormat="1" ht="40">
      <c r="A72" s="302">
        <v>69</v>
      </c>
      <c r="B72" s="364">
        <v>4</v>
      </c>
      <c r="C72" s="288" t="s">
        <v>782</v>
      </c>
      <c r="D72" s="289" t="s">
        <v>795</v>
      </c>
      <c r="E72" s="289" t="s">
        <v>796</v>
      </c>
      <c r="H72" s="304" t="s">
        <v>3245</v>
      </c>
      <c r="I72" s="306" t="s">
        <v>1936</v>
      </c>
      <c r="J72" s="306">
        <v>1914</v>
      </c>
      <c r="K72" s="308" t="s">
        <v>4550</v>
      </c>
      <c r="L72" s="308" t="s">
        <v>4550</v>
      </c>
      <c r="M72" s="323" t="s">
        <v>3202</v>
      </c>
      <c r="N72" s="323"/>
      <c r="O72" s="348">
        <f t="shared" si="54"/>
        <v>1</v>
      </c>
      <c r="P72" s="345">
        <f t="shared" si="46"/>
        <v>5</v>
      </c>
      <c r="Q72" s="345">
        <f t="shared" si="47"/>
        <v>1890</v>
      </c>
      <c r="R72" s="344" t="str">
        <f t="shared" si="55"/>
        <v>May</v>
      </c>
      <c r="S72" s="344">
        <f t="shared" si="48"/>
        <v>10</v>
      </c>
      <c r="T72" s="344">
        <f t="shared" si="49"/>
        <v>14</v>
      </c>
      <c r="U72" s="344">
        <f t="shared" si="50"/>
        <v>11</v>
      </c>
      <c r="V72" s="344">
        <f t="shared" si="51"/>
        <v>1914</v>
      </c>
      <c r="W72" s="344" t="str">
        <f t="shared" si="56"/>
        <v>Nov</v>
      </c>
      <c r="X72" s="344"/>
      <c r="Y72" s="344"/>
      <c r="Z72" s="314" t="str">
        <f t="shared" ref="Z72:Z135" si="74">IF(O72&lt;10,_xlfn.CONCAT("0",O72,"-",R72,"-",Q72),_xlfn.CONCAT(O72,"-",R72,"-",Q72))</f>
        <v>01-May-1890</v>
      </c>
      <c r="AA72" s="314" t="str">
        <f t="shared" si="57"/>
        <v>14-Nov-1914</v>
      </c>
      <c r="AB72" s="314">
        <f t="shared" si="58"/>
        <v>24</v>
      </c>
      <c r="AC72" s="314">
        <f t="shared" si="59"/>
        <v>131</v>
      </c>
      <c r="AD72" s="347" t="str">
        <f t="shared" si="60"/>
        <v>Died 14-Nov-1914, aged 24.</v>
      </c>
      <c r="AE72" s="305"/>
      <c r="AF72" s="303"/>
      <c r="AG72" s="303"/>
      <c r="AH72" s="303"/>
      <c r="AI72" s="289" t="s">
        <v>2793</v>
      </c>
      <c r="AJ72" s="289" t="s">
        <v>2793</v>
      </c>
      <c r="AK72" s="344" t="str">
        <f t="shared" si="61"/>
        <v xml:space="preserve"> -</v>
      </c>
      <c r="AL72" s="344" t="str">
        <f t="shared" si="35"/>
        <v xml:space="preserve"> -</v>
      </c>
      <c r="AM72" s="344" t="str">
        <f t="shared" si="36"/>
        <v xml:space="preserve"> -</v>
      </c>
      <c r="AN72" s="344" t="str">
        <f t="shared" si="62"/>
        <v xml:space="preserve"> -</v>
      </c>
      <c r="AO72" s="344" t="str">
        <f t="shared" si="52"/>
        <v xml:space="preserve"> -</v>
      </c>
      <c r="AR72" s="350">
        <f>A72</f>
        <v>69</v>
      </c>
      <c r="AS72" s="353" t="str">
        <f>IF(V72="",_xlfn.CONCAT(IF(G72="",D72,G72)," (",Q72,"–",V72," : #",AR72,")"),_xlfn.CONCAT(IF(G72="",D72,G72)," (",Q72,"–",V72,": #",AR72,")"))</f>
        <v>Geoffrey (1890–1914: #69)</v>
      </c>
      <c r="AT72" s="353" t="str">
        <f>IF(V72="",_xlfn.CONCAT(IF(G72="",D72,G72)," (",Q72,"– ",V72,")"),_xlfn.CONCAT(IF(G72="",D72,G72)," (",Q72,"–",V72,")"))</f>
        <v>Geoffrey (1890–1914)</v>
      </c>
      <c r="AU72" s="352" t="str">
        <f t="shared" si="45"/>
        <v>Male</v>
      </c>
      <c r="AV72" s="355" t="s">
        <v>4379</v>
      </c>
      <c r="AW72" s="319" t="str">
        <f>VLOOKUP(AV72,'Mums of Loyd Edit&amp;Partner Edit'!$B$3:$C$66,2,FALSE)</f>
        <v>Henrietta Louisa CLUTTERBUCK (b. 23 Jan 1856, d. 14 Jan 1931)</v>
      </c>
      <c r="AX72" s="360">
        <v>30</v>
      </c>
      <c r="AY72" s="355" t="str">
        <f t="shared" si="53"/>
        <v>Archie (1847–1922: #30)</v>
      </c>
      <c r="AZ72" s="361">
        <f>VLOOKUP(AX72,Lineage!$A$1:$C$200,2,FALSE)</f>
        <v>14</v>
      </c>
      <c r="BA72" s="362" t="str">
        <f t="shared" si="73"/>
        <v>Thomas (1812–1857: #14)</v>
      </c>
      <c r="BB72" s="368">
        <f>BiographyMarriageDetsCountries!A71</f>
        <v>69</v>
      </c>
      <c r="BC72" s="319"/>
      <c r="BD72" s="362"/>
      <c r="BF72" s="324"/>
      <c r="BG72" s="357">
        <f t="shared" si="63"/>
        <v>69</v>
      </c>
      <c r="BH72" s="289" t="str">
        <f t="shared" si="64"/>
        <v>Geoffrey Archibald LOYD</v>
      </c>
      <c r="BI72" s="289" t="str">
        <f t="shared" si="65"/>
        <v>Geoffrey (1890–1914)</v>
      </c>
      <c r="BJ72" s="304" t="str">
        <f t="shared" si="66"/>
        <v>Male</v>
      </c>
      <c r="BK72" s="304">
        <f t="shared" si="67"/>
        <v>4</v>
      </c>
      <c r="BL72" s="289" t="str">
        <f t="shared" si="68"/>
        <v>Archie (1847–1922: #30)</v>
      </c>
      <c r="BM72" s="289" t="str">
        <f t="shared" si="69"/>
        <v>Henrietta Louisa CLUTTERBUCK (b. 23 Jan 1856, d. 14 Jan 1931)</v>
      </c>
      <c r="BN72" s="367" t="str">
        <f t="shared" si="70"/>
        <v>01-May-1890</v>
      </c>
      <c r="BO72" s="367" t="str">
        <f t="shared" si="71"/>
        <v>14-Nov-1914</v>
      </c>
      <c r="BP72" s="365" t="str">
        <f t="shared" si="72"/>
        <v>Died 14-Nov-1914, aged 24.</v>
      </c>
    </row>
    <row r="73" spans="1:68" s="289" customFormat="1" ht="40">
      <c r="A73" s="302">
        <v>70</v>
      </c>
      <c r="B73" s="364">
        <v>4</v>
      </c>
      <c r="C73" s="288" t="s">
        <v>782</v>
      </c>
      <c r="D73" s="289" t="s">
        <v>798</v>
      </c>
      <c r="E73" s="289" t="s">
        <v>799</v>
      </c>
      <c r="F73" s="289" t="s">
        <v>800</v>
      </c>
      <c r="H73" s="304" t="s">
        <v>3244</v>
      </c>
      <c r="I73" s="306" t="s">
        <v>1936</v>
      </c>
      <c r="J73" s="306">
        <v>1963</v>
      </c>
      <c r="K73" s="308" t="s">
        <v>4550</v>
      </c>
      <c r="L73" s="308" t="s">
        <v>4550</v>
      </c>
      <c r="M73" s="323" t="s">
        <v>3203</v>
      </c>
      <c r="N73" s="323"/>
      <c r="O73" s="348">
        <f t="shared" si="54"/>
        <v>1</v>
      </c>
      <c r="P73" s="345">
        <f t="shared" si="46"/>
        <v>5</v>
      </c>
      <c r="Q73" s="345">
        <f t="shared" si="47"/>
        <v>1890</v>
      </c>
      <c r="R73" s="344" t="str">
        <f t="shared" si="55"/>
        <v>May</v>
      </c>
      <c r="S73" s="344">
        <f t="shared" si="48"/>
        <v>10</v>
      </c>
      <c r="T73" s="344">
        <f t="shared" si="49"/>
        <v>1</v>
      </c>
      <c r="U73" s="344">
        <f t="shared" si="50"/>
        <v>7</v>
      </c>
      <c r="V73" s="344">
        <f t="shared" si="51"/>
        <v>1963</v>
      </c>
      <c r="W73" s="344" t="str">
        <f t="shared" si="56"/>
        <v>Jul</v>
      </c>
      <c r="X73" s="344"/>
      <c r="Y73" s="344"/>
      <c r="Z73" s="314" t="str">
        <f t="shared" si="74"/>
        <v>01-May-1890</v>
      </c>
      <c r="AA73" s="314" t="str">
        <f t="shared" si="57"/>
        <v>01-Jul-1963</v>
      </c>
      <c r="AB73" s="314">
        <f t="shared" si="58"/>
        <v>73</v>
      </c>
      <c r="AC73" s="314">
        <f t="shared" si="59"/>
        <v>131</v>
      </c>
      <c r="AD73" s="347" t="str">
        <f t="shared" si="60"/>
        <v>Died 01-Jul-1963, aged 73.</v>
      </c>
      <c r="AE73" s="305"/>
      <c r="AF73" s="303"/>
      <c r="AG73" s="303"/>
      <c r="AH73" s="303"/>
      <c r="AI73" s="327">
        <v>7620</v>
      </c>
      <c r="AJ73" s="328" t="s">
        <v>4707</v>
      </c>
      <c r="AK73" s="344" t="str">
        <f t="shared" si="61"/>
        <v>10</v>
      </c>
      <c r="AL73" s="344">
        <f t="shared" si="35"/>
        <v>11</v>
      </c>
      <c r="AM73" s="344">
        <f t="shared" si="36"/>
        <v>1920</v>
      </c>
      <c r="AN73" s="344" t="str">
        <f t="shared" si="62"/>
        <v>Nov</v>
      </c>
      <c r="AO73" s="344" t="str">
        <f t="shared" si="52"/>
        <v>10-Nov-1920</v>
      </c>
      <c r="AQ73" s="327"/>
      <c r="AR73" s="350">
        <f>A73</f>
        <v>70</v>
      </c>
      <c r="AS73" s="353" t="str">
        <f>IF(V73="",_xlfn.CONCAT(IF(G73="",D73,G73)," (",Q73,"–",V73," : #",AR73,")"),_xlfn.CONCAT(IF(G73="",D73,G73)," (",Q73,"–",V73,": #",AR73,")"))</f>
        <v>Diana (1890–1963: #70)</v>
      </c>
      <c r="AT73" s="353" t="str">
        <f>IF(V73="",_xlfn.CONCAT(IF(G73="",D73,G73)," (",Q73,"– ",V73,")"),_xlfn.CONCAT(IF(G73="",D73,G73)," (",Q73,"–",V73,")"))</f>
        <v>Diana (1890–1963)</v>
      </c>
      <c r="AU73" s="352" t="str">
        <f t="shared" si="45"/>
        <v>Female</v>
      </c>
      <c r="AV73" s="355" t="s">
        <v>4383</v>
      </c>
      <c r="AW73" s="319" t="str">
        <f>VLOOKUP(AV73,'Mums of Loyd Edit&amp;Partner Edit'!$B$3:$C$66,2,FALSE)</f>
        <v xml:space="preserve">Emily Diana Maria BEAUMONT (b. 25 Dec 1860, d. 4 Jul 1956) </v>
      </c>
      <c r="AX73" s="360">
        <v>46</v>
      </c>
      <c r="AY73" s="355" t="str">
        <f t="shared" si="53"/>
        <v>William (1863–1923: #46)</v>
      </c>
      <c r="AZ73" s="361">
        <f>VLOOKUP(AX73,Lineage!$A$1:$C$200,2,FALSE)</f>
        <v>23</v>
      </c>
      <c r="BA73" s="362" t="str">
        <f t="shared" si="73"/>
        <v>William (1821–1885: #23)</v>
      </c>
      <c r="BB73" s="368">
        <f>BiographyMarriageDetsCountries!A72</f>
        <v>70</v>
      </c>
      <c r="BC73" s="319"/>
      <c r="BD73" s="362"/>
      <c r="BF73" s="324"/>
      <c r="BG73" s="357">
        <f t="shared" si="63"/>
        <v>70</v>
      </c>
      <c r="BH73" s="289" t="str">
        <f t="shared" si="64"/>
        <v>Diana Gertrude May LOYD</v>
      </c>
      <c r="BI73" s="289" t="str">
        <f t="shared" si="65"/>
        <v>Diana (1890–1963)</v>
      </c>
      <c r="BJ73" s="304" t="str">
        <f t="shared" si="66"/>
        <v>Female</v>
      </c>
      <c r="BK73" s="304">
        <f t="shared" si="67"/>
        <v>4</v>
      </c>
      <c r="BL73" s="289" t="str">
        <f t="shared" si="68"/>
        <v>William (1863–1923: #46)</v>
      </c>
      <c r="BM73" s="289" t="str">
        <f t="shared" si="69"/>
        <v xml:space="preserve">Emily Diana Maria BEAUMONT (b. 25 Dec 1860, d. 4 Jul 1956) </v>
      </c>
      <c r="BN73" s="367" t="str">
        <f t="shared" si="70"/>
        <v>01-May-1890</v>
      </c>
      <c r="BO73" s="367" t="str">
        <f t="shared" si="71"/>
        <v>01-Jul-1963</v>
      </c>
      <c r="BP73" s="365" t="str">
        <f t="shared" si="72"/>
        <v>Died 01-Jul-1963, aged 73.</v>
      </c>
    </row>
    <row r="74" spans="1:68" s="289" customFormat="1" ht="40">
      <c r="A74" s="302">
        <v>71</v>
      </c>
      <c r="B74" s="364">
        <v>4</v>
      </c>
      <c r="C74" s="288" t="s">
        <v>782</v>
      </c>
      <c r="D74" s="289" t="s">
        <v>804</v>
      </c>
      <c r="E74" s="289" t="s">
        <v>805</v>
      </c>
      <c r="H74" s="304" t="s">
        <v>3245</v>
      </c>
      <c r="I74" s="306" t="s">
        <v>1936</v>
      </c>
      <c r="J74" s="306">
        <v>1974</v>
      </c>
      <c r="K74" s="308" t="s">
        <v>4551</v>
      </c>
      <c r="L74" s="308" t="s">
        <v>4551</v>
      </c>
      <c r="M74" s="323" t="s">
        <v>3204</v>
      </c>
      <c r="N74" s="323"/>
      <c r="O74" s="348">
        <f t="shared" si="54"/>
        <v>16</v>
      </c>
      <c r="P74" s="345">
        <f t="shared" si="46"/>
        <v>11</v>
      </c>
      <c r="Q74" s="345">
        <f t="shared" si="47"/>
        <v>1890</v>
      </c>
      <c r="R74" s="344" t="str">
        <f t="shared" si="55"/>
        <v>Nov</v>
      </c>
      <c r="S74" s="344">
        <f t="shared" si="48"/>
        <v>10</v>
      </c>
      <c r="T74" s="344">
        <f t="shared" si="49"/>
        <v>11</v>
      </c>
      <c r="U74" s="344">
        <f t="shared" si="50"/>
        <v>9</v>
      </c>
      <c r="V74" s="344">
        <f t="shared" si="51"/>
        <v>1974</v>
      </c>
      <c r="W74" s="344" t="str">
        <f t="shared" si="56"/>
        <v>Sep</v>
      </c>
      <c r="X74" s="344"/>
      <c r="Y74" s="344"/>
      <c r="Z74" s="314" t="str">
        <f t="shared" si="74"/>
        <v>16-Nov-1890</v>
      </c>
      <c r="AA74" s="314" t="str">
        <f t="shared" si="57"/>
        <v>11-Sep-1974</v>
      </c>
      <c r="AB74" s="314">
        <f t="shared" si="58"/>
        <v>83</v>
      </c>
      <c r="AC74" s="314">
        <f t="shared" si="59"/>
        <v>131</v>
      </c>
      <c r="AD74" s="347" t="str">
        <f t="shared" si="60"/>
        <v>Died 11-Sep-1974, aged 83.</v>
      </c>
      <c r="AE74" s="305"/>
      <c r="AF74" s="303"/>
      <c r="AG74" s="303"/>
      <c r="AH74" s="303"/>
      <c r="AI74" s="327">
        <v>4658</v>
      </c>
      <c r="AJ74" s="328" t="s">
        <v>4708</v>
      </c>
      <c r="AK74" s="344" t="str">
        <f t="shared" si="61"/>
        <v>01</v>
      </c>
      <c r="AL74" s="344">
        <f t="shared" ref="AL74:AL130" si="75">IF(AJ74=" -",AJ74,VALUE(MID(AJ74,4,2)))</f>
        <v>10</v>
      </c>
      <c r="AM74" s="344">
        <f t="shared" ref="AM74:AM130" si="76">IF(AJ74=" -",AJ74,VALUE(RIGHT(AJ74,4)))</f>
        <v>1912</v>
      </c>
      <c r="AN74" s="344" t="str">
        <f t="shared" si="62"/>
        <v>Oct</v>
      </c>
      <c r="AO74" s="344" t="str">
        <f t="shared" si="52"/>
        <v>01-Oct-1912</v>
      </c>
      <c r="AQ74" s="327"/>
      <c r="AR74" s="350">
        <f>A74</f>
        <v>71</v>
      </c>
      <c r="AS74" s="353" t="str">
        <f>IF(V74="",_xlfn.CONCAT(IF(G74="",D74,G74)," (",Q74,"–",V74," : #",AR74,")"),_xlfn.CONCAT(IF(G74="",D74,G74)," (",Q74,"–",V74,": #",AR74,")"))</f>
        <v>Arthur (1890–1974: #71)</v>
      </c>
      <c r="AT74" s="353" t="str">
        <f>IF(V74="",_xlfn.CONCAT(IF(G74="",D74,G74)," (",Q74,"– ",V74,")"),_xlfn.CONCAT(IF(G74="",D74,G74)," (",Q74,"–",V74,")"))</f>
        <v>Arthur (1890–1974)</v>
      </c>
      <c r="AU74" s="352" t="str">
        <f t="shared" si="45"/>
        <v>Male</v>
      </c>
      <c r="AV74" s="355" t="s">
        <v>4380</v>
      </c>
      <c r="AW74" s="319" t="str">
        <f>VLOOKUP(AV74,'Mums of Loyd Edit&amp;Partner Edit'!$B$3:$C$66,2,FALSE)</f>
        <v>Millicent Blandinah KESTEVEN (b. 1850/51, d. 22 Jun 1945)</v>
      </c>
      <c r="AX74" s="360">
        <v>34</v>
      </c>
      <c r="AY74" s="355" t="str">
        <f t="shared" si="53"/>
        <v>Ted (1851–1922: #34)</v>
      </c>
      <c r="AZ74" s="361">
        <f>VLOOKUP(AX74,Lineage!$A$1:$C$200,2,FALSE)</f>
        <v>14</v>
      </c>
      <c r="BA74" s="362" t="str">
        <f t="shared" si="73"/>
        <v>Thomas (1812–1857: #14)</v>
      </c>
      <c r="BB74" s="368">
        <f>BiographyMarriageDetsCountries!A73</f>
        <v>71</v>
      </c>
      <c r="BC74" s="319"/>
      <c r="BD74" s="362"/>
      <c r="BF74" s="324"/>
      <c r="BG74" s="357">
        <f t="shared" si="63"/>
        <v>71</v>
      </c>
      <c r="BH74" s="289" t="str">
        <f t="shared" si="64"/>
        <v>Arthur Kesteven LOYD</v>
      </c>
      <c r="BI74" s="289" t="str">
        <f t="shared" si="65"/>
        <v>Arthur (1890–1974)</v>
      </c>
      <c r="BJ74" s="304" t="str">
        <f t="shared" si="66"/>
        <v>Male</v>
      </c>
      <c r="BK74" s="304">
        <f t="shared" si="67"/>
        <v>4</v>
      </c>
      <c r="BL74" s="289" t="str">
        <f t="shared" si="68"/>
        <v>Ted (1851–1922: #34)</v>
      </c>
      <c r="BM74" s="289" t="str">
        <f t="shared" si="69"/>
        <v>Millicent Blandinah KESTEVEN (b. 1850/51, d. 22 Jun 1945)</v>
      </c>
      <c r="BN74" s="367" t="str">
        <f t="shared" si="70"/>
        <v>16-Nov-1890</v>
      </c>
      <c r="BO74" s="367" t="str">
        <f t="shared" si="71"/>
        <v>11-Sep-1974</v>
      </c>
      <c r="BP74" s="365" t="str">
        <f t="shared" si="72"/>
        <v>Died 11-Sep-1974, aged 83.</v>
      </c>
    </row>
    <row r="75" spans="1:68" s="289" customFormat="1" ht="40">
      <c r="A75" s="302">
        <v>72</v>
      </c>
      <c r="B75" s="364">
        <v>4</v>
      </c>
      <c r="C75" s="288" t="s">
        <v>782</v>
      </c>
      <c r="D75" s="289" t="s">
        <v>807</v>
      </c>
      <c r="E75" s="289" t="s">
        <v>917</v>
      </c>
      <c r="G75" s="289" t="s">
        <v>917</v>
      </c>
      <c r="H75" s="304" t="s">
        <v>3245</v>
      </c>
      <c r="I75" s="306" t="s">
        <v>1940</v>
      </c>
      <c r="J75" s="306">
        <v>1973</v>
      </c>
      <c r="K75" s="308" t="s">
        <v>4552</v>
      </c>
      <c r="L75" s="308" t="s">
        <v>4552</v>
      </c>
      <c r="M75" s="323" t="s">
        <v>3205</v>
      </c>
      <c r="N75" s="323"/>
      <c r="O75" s="348">
        <f t="shared" si="54"/>
        <v>21</v>
      </c>
      <c r="P75" s="345">
        <f t="shared" si="46"/>
        <v>2</v>
      </c>
      <c r="Q75" s="345">
        <f t="shared" si="47"/>
        <v>1891</v>
      </c>
      <c r="R75" s="344" t="str">
        <f t="shared" si="55"/>
        <v>Feb</v>
      </c>
      <c r="S75" s="344">
        <f t="shared" si="48"/>
        <v>10</v>
      </c>
      <c r="T75" s="344">
        <f t="shared" si="49"/>
        <v>11</v>
      </c>
      <c r="U75" s="344">
        <f t="shared" si="50"/>
        <v>11</v>
      </c>
      <c r="V75" s="344">
        <f t="shared" si="51"/>
        <v>1973</v>
      </c>
      <c r="W75" s="344" t="str">
        <f t="shared" si="56"/>
        <v>Nov</v>
      </c>
      <c r="X75" s="344"/>
      <c r="Y75" s="344"/>
      <c r="Z75" s="314" t="str">
        <f t="shared" si="74"/>
        <v>21-Feb-1891</v>
      </c>
      <c r="AA75" s="314" t="str">
        <f t="shared" si="57"/>
        <v>11-Nov-1973</v>
      </c>
      <c r="AB75" s="314">
        <f t="shared" si="58"/>
        <v>82</v>
      </c>
      <c r="AC75" s="314">
        <f t="shared" si="59"/>
        <v>130</v>
      </c>
      <c r="AD75" s="347" t="str">
        <f t="shared" si="60"/>
        <v>Died 11-Nov-1973, aged 82.</v>
      </c>
      <c r="AE75" s="305"/>
      <c r="AF75" s="303"/>
      <c r="AG75" s="303"/>
      <c r="AH75" s="303"/>
      <c r="AI75" s="327">
        <v>8246</v>
      </c>
      <c r="AJ75" s="328" t="s">
        <v>4709</v>
      </c>
      <c r="AK75" s="344" t="str">
        <f t="shared" si="61"/>
        <v>29</v>
      </c>
      <c r="AL75" s="344">
        <f t="shared" si="75"/>
        <v>7</v>
      </c>
      <c r="AM75" s="344">
        <f t="shared" si="76"/>
        <v>1922</v>
      </c>
      <c r="AN75" s="344" t="str">
        <f t="shared" si="62"/>
        <v>Jul</v>
      </c>
      <c r="AO75" s="344" t="str">
        <f t="shared" si="52"/>
        <v>29-Jul-1922</v>
      </c>
      <c r="AQ75" s="327"/>
      <c r="AR75" s="350">
        <f>A75</f>
        <v>72</v>
      </c>
      <c r="AS75" s="353" t="str">
        <f>IF(V75="",_xlfn.CONCAT(IF(G75="",D75,G75)," (",Q75,"–",V75," : #",AR75,")"),_xlfn.CONCAT(IF(G75="",D75,G75)," (",Q75,"–",V75,": #",AR75,")"))</f>
        <v>Charles (1891–1973: #72)</v>
      </c>
      <c r="AT75" s="353" t="str">
        <f>IF(V75="",_xlfn.CONCAT(IF(G75="",D75,G75)," (",Q75,"– ",V75,")"),_xlfn.CONCAT(IF(G75="",D75,G75)," (",Q75,"–",V75,")"))</f>
        <v>Charles (1891–1973)</v>
      </c>
      <c r="AU75" s="352" t="str">
        <f t="shared" si="45"/>
        <v>Male</v>
      </c>
      <c r="AV75" s="355" t="s">
        <v>4381</v>
      </c>
      <c r="AW75" s="319" t="str">
        <f>VLOOKUP(AV75,'Mums of Loyd Edit&amp;Partner Edit'!$B$3:$C$66,2,FALSE)</f>
        <v>The Hon Clementina Georgina BROWNLOW (b. 13 Jan 1868, d. 1 Sep 1929)</v>
      </c>
      <c r="AX75" s="360">
        <v>44</v>
      </c>
      <c r="AY75" s="355" t="str">
        <f t="shared" si="53"/>
        <v>Harry (1861–1938: #44)</v>
      </c>
      <c r="AZ75" s="361">
        <f>VLOOKUP(AX75,Lineage!$A$1:$C$200,2,FALSE)</f>
        <v>23</v>
      </c>
      <c r="BA75" s="362" t="str">
        <f t="shared" si="73"/>
        <v>William (1821–1885: #23)</v>
      </c>
      <c r="BB75" s="368">
        <f>BiographyMarriageDetsCountries!A74</f>
        <v>72</v>
      </c>
      <c r="BC75" s="319"/>
      <c r="BD75" s="362"/>
      <c r="BF75" s="324"/>
      <c r="BG75" s="357">
        <f t="shared" si="63"/>
        <v>72</v>
      </c>
      <c r="BH75" s="289" t="str">
        <f t="shared" si="64"/>
        <v>Henry Charles LOYD</v>
      </c>
      <c r="BI75" s="289" t="str">
        <f t="shared" si="65"/>
        <v>Charles (1891–1973)</v>
      </c>
      <c r="BJ75" s="304" t="str">
        <f t="shared" si="66"/>
        <v>Male</v>
      </c>
      <c r="BK75" s="304">
        <f t="shared" si="67"/>
        <v>4</v>
      </c>
      <c r="BL75" s="289" t="str">
        <f t="shared" si="68"/>
        <v>Harry (1861–1938: #44)</v>
      </c>
      <c r="BM75" s="289" t="str">
        <f t="shared" si="69"/>
        <v>The Hon Clementina Georgina BROWNLOW (b. 13 Jan 1868, d. 1 Sep 1929)</v>
      </c>
      <c r="BN75" s="367" t="str">
        <f t="shared" si="70"/>
        <v>21-Feb-1891</v>
      </c>
      <c r="BO75" s="367" t="str">
        <f t="shared" si="71"/>
        <v>11-Nov-1973</v>
      </c>
      <c r="BP75" s="365" t="str">
        <f t="shared" si="72"/>
        <v>Died 11-Nov-1973, aged 82.</v>
      </c>
    </row>
    <row r="76" spans="1:68" s="289" customFormat="1" ht="40">
      <c r="A76" s="302">
        <v>73</v>
      </c>
      <c r="B76" s="364">
        <v>4</v>
      </c>
      <c r="C76" s="288" t="s">
        <v>782</v>
      </c>
      <c r="D76" s="289" t="s">
        <v>810</v>
      </c>
      <c r="E76" s="289" t="s">
        <v>811</v>
      </c>
      <c r="F76" s="289" t="s">
        <v>812</v>
      </c>
      <c r="H76" s="304" t="s">
        <v>3245</v>
      </c>
      <c r="I76" s="306" t="s">
        <v>1940</v>
      </c>
      <c r="J76" s="306">
        <v>1967</v>
      </c>
      <c r="K76" s="308" t="s">
        <v>4553</v>
      </c>
      <c r="L76" s="308" t="s">
        <v>4553</v>
      </c>
      <c r="M76" s="323" t="s">
        <v>3206</v>
      </c>
      <c r="N76" s="323"/>
      <c r="O76" s="348">
        <f t="shared" si="54"/>
        <v>26</v>
      </c>
      <c r="P76" s="345">
        <f t="shared" si="46"/>
        <v>4</v>
      </c>
      <c r="Q76" s="345">
        <f t="shared" si="47"/>
        <v>1891</v>
      </c>
      <c r="R76" s="344" t="str">
        <f t="shared" si="55"/>
        <v>Apr</v>
      </c>
      <c r="S76" s="344">
        <f t="shared" si="48"/>
        <v>10</v>
      </c>
      <c r="T76" s="344">
        <f t="shared" si="49"/>
        <v>12</v>
      </c>
      <c r="U76" s="344">
        <f t="shared" si="50"/>
        <v>11</v>
      </c>
      <c r="V76" s="344">
        <f t="shared" si="51"/>
        <v>1967</v>
      </c>
      <c r="W76" s="344" t="str">
        <f t="shared" si="56"/>
        <v>Nov</v>
      </c>
      <c r="X76" s="344"/>
      <c r="Y76" s="344"/>
      <c r="Z76" s="314" t="str">
        <f t="shared" si="74"/>
        <v>26-Apr-1891</v>
      </c>
      <c r="AA76" s="314" t="str">
        <f t="shared" si="57"/>
        <v>12-Nov-1967</v>
      </c>
      <c r="AB76" s="314">
        <f t="shared" si="58"/>
        <v>76</v>
      </c>
      <c r="AC76" s="314">
        <f t="shared" si="59"/>
        <v>130</v>
      </c>
      <c r="AD76" s="347" t="str">
        <f t="shared" si="60"/>
        <v>Died 12-Nov-1967, aged 76.</v>
      </c>
      <c r="AE76" s="305"/>
      <c r="AF76" s="303"/>
      <c r="AG76" s="303"/>
      <c r="AH76" s="303"/>
      <c r="AI76" s="327">
        <v>8553</v>
      </c>
      <c r="AJ76" s="328" t="s">
        <v>4710</v>
      </c>
      <c r="AK76" s="344" t="str">
        <f t="shared" si="61"/>
        <v>01</v>
      </c>
      <c r="AL76" s="344">
        <f t="shared" si="75"/>
        <v>6</v>
      </c>
      <c r="AM76" s="344">
        <f t="shared" si="76"/>
        <v>1923</v>
      </c>
      <c r="AN76" s="344" t="str">
        <f t="shared" si="62"/>
        <v>Jun</v>
      </c>
      <c r="AO76" s="344" t="str">
        <f t="shared" si="52"/>
        <v>01-Jun-1923</v>
      </c>
      <c r="AQ76" s="327"/>
      <c r="AR76" s="350">
        <f>A76</f>
        <v>73</v>
      </c>
      <c r="AS76" s="353" t="str">
        <f>IF(V76="",_xlfn.CONCAT(IF(G76="",D76,G76)," (",Q76,"–",V76," : #",AR76,")"),_xlfn.CONCAT(IF(G76="",D76,G76)," (",Q76,"–",V76,": #",AR76,")"))</f>
        <v>Eric (1891–1967: #73)</v>
      </c>
      <c r="AT76" s="353" t="str">
        <f>IF(V76="",_xlfn.CONCAT(IF(G76="",D76,G76)," (",Q76,"– ",V76,")"),_xlfn.CONCAT(IF(G76="",D76,G76)," (",Q76,"–",V76,")"))</f>
        <v>Eric (1891–1967)</v>
      </c>
      <c r="AU76" s="352" t="str">
        <f t="shared" si="45"/>
        <v>Male</v>
      </c>
      <c r="AV76" s="355" t="s">
        <v>4382</v>
      </c>
      <c r="AW76" s="319" t="str">
        <f>VLOOKUP(AV76,'Mums of Loyd Edit&amp;Partner Edit'!$B$3:$C$66,2,FALSE)</f>
        <v>Rebecca Olivia LEWIS (b.13 Aug 1860, d. 18 Mar 1927)</v>
      </c>
      <c r="AX76" s="360">
        <v>45</v>
      </c>
      <c r="AY76" s="355" t="str">
        <f t="shared" si="53"/>
        <v>Llewellyn (1861–1939: #45)</v>
      </c>
      <c r="AZ76" s="361">
        <f>VLOOKUP(AX76,Lineage!$A$1:$C$200,2,FALSE)</f>
        <v>22</v>
      </c>
      <c r="BA76" s="362" t="str">
        <f t="shared" si="73"/>
        <v>Edward (1820–1890: #22)</v>
      </c>
      <c r="BB76" s="368">
        <f>BiographyMarriageDetsCountries!A75</f>
        <v>73</v>
      </c>
      <c r="BC76" s="319"/>
      <c r="BD76" s="362"/>
      <c r="BF76" s="324"/>
      <c r="BG76" s="357">
        <f t="shared" si="63"/>
        <v>73</v>
      </c>
      <c r="BH76" s="289" t="str">
        <f t="shared" si="64"/>
        <v>Eric Edward Foster LOYD</v>
      </c>
      <c r="BI76" s="289" t="str">
        <f t="shared" si="65"/>
        <v>Eric (1891–1967)</v>
      </c>
      <c r="BJ76" s="304" t="str">
        <f t="shared" si="66"/>
        <v>Male</v>
      </c>
      <c r="BK76" s="304">
        <f t="shared" si="67"/>
        <v>4</v>
      </c>
      <c r="BL76" s="289" t="str">
        <f t="shared" si="68"/>
        <v>Llewellyn (1861–1939: #45)</v>
      </c>
      <c r="BM76" s="289" t="str">
        <f t="shared" si="69"/>
        <v>Rebecca Olivia LEWIS (b.13 Aug 1860, d. 18 Mar 1927)</v>
      </c>
      <c r="BN76" s="367" t="str">
        <f t="shared" si="70"/>
        <v>26-Apr-1891</v>
      </c>
      <c r="BO76" s="367" t="str">
        <f t="shared" si="71"/>
        <v>12-Nov-1967</v>
      </c>
      <c r="BP76" s="365" t="str">
        <f t="shared" si="72"/>
        <v>Died 12-Nov-1967, aged 76.</v>
      </c>
    </row>
    <row r="77" spans="1:68" s="289" customFormat="1" ht="40">
      <c r="A77" s="302">
        <v>74</v>
      </c>
      <c r="B77" s="364">
        <v>4</v>
      </c>
      <c r="C77" s="288" t="s">
        <v>782</v>
      </c>
      <c r="D77" s="289" t="s">
        <v>813</v>
      </c>
      <c r="H77" s="304" t="s">
        <v>3244</v>
      </c>
      <c r="I77" s="306" t="s">
        <v>1940</v>
      </c>
      <c r="J77" s="306" t="s">
        <v>1940</v>
      </c>
      <c r="K77" s="308" t="s">
        <v>4554</v>
      </c>
      <c r="L77" s="308" t="s">
        <v>4554</v>
      </c>
      <c r="M77" s="323" t="s">
        <v>814</v>
      </c>
      <c r="N77" s="323"/>
      <c r="O77" s="348">
        <f t="shared" si="54"/>
        <v>3</v>
      </c>
      <c r="P77" s="345">
        <f t="shared" si="46"/>
        <v>6</v>
      </c>
      <c r="Q77" s="345">
        <f t="shared" si="47"/>
        <v>1891</v>
      </c>
      <c r="R77" s="344" t="str">
        <f t="shared" si="55"/>
        <v>Jun</v>
      </c>
      <c r="S77" s="344">
        <f t="shared" si="48"/>
        <v>10</v>
      </c>
      <c r="T77" s="344">
        <f t="shared" si="49"/>
        <v>3</v>
      </c>
      <c r="U77" s="344">
        <f t="shared" si="50"/>
        <v>6</v>
      </c>
      <c r="V77" s="344">
        <f t="shared" si="51"/>
        <v>1891</v>
      </c>
      <c r="W77" s="344" t="str">
        <f t="shared" si="56"/>
        <v>Jun</v>
      </c>
      <c r="X77" s="344"/>
      <c r="Y77" s="344"/>
      <c r="Z77" s="314" t="str">
        <f t="shared" si="74"/>
        <v>03-Jun-1891</v>
      </c>
      <c r="AA77" s="314" t="str">
        <f t="shared" si="57"/>
        <v>03-Jun-1891</v>
      </c>
      <c r="AB77" s="314">
        <f t="shared" si="58"/>
        <v>0</v>
      </c>
      <c r="AC77" s="314">
        <f t="shared" si="59"/>
        <v>130</v>
      </c>
      <c r="AD77" s="347" t="str">
        <f t="shared" si="60"/>
        <v>Died in Infancy 03-Jun-1891.</v>
      </c>
      <c r="AE77" s="305"/>
      <c r="AF77" s="303"/>
      <c r="AG77" s="303"/>
      <c r="AH77" s="303"/>
      <c r="AI77" s="289" t="s">
        <v>2793</v>
      </c>
      <c r="AJ77" s="289" t="s">
        <v>2793</v>
      </c>
      <c r="AK77" s="344" t="str">
        <f t="shared" si="61"/>
        <v xml:space="preserve"> -</v>
      </c>
      <c r="AL77" s="344" t="str">
        <f t="shared" si="75"/>
        <v xml:space="preserve"> -</v>
      </c>
      <c r="AM77" s="344" t="str">
        <f t="shared" si="76"/>
        <v xml:space="preserve"> -</v>
      </c>
      <c r="AN77" s="344" t="str">
        <f t="shared" si="62"/>
        <v xml:space="preserve"> -</v>
      </c>
      <c r="AO77" s="344" t="str">
        <f t="shared" si="52"/>
        <v xml:space="preserve"> -</v>
      </c>
      <c r="AR77" s="350">
        <f>A77</f>
        <v>74</v>
      </c>
      <c r="AS77" s="353" t="str">
        <f>IF(V77="",_xlfn.CONCAT(IF(G77="",D77,G77)," (",Q77,"–",V77," : #",AR77,")"),_xlfn.CONCAT(IF(G77="",D77,G77)," (",Q77,"–",V77,": #",AR77,")"))</f>
        <v>Cecily (1891–1891: #74)</v>
      </c>
      <c r="AT77" s="353" t="str">
        <f>IF(V77="",_xlfn.CONCAT(IF(G77="",D77,G77)," (",Q77,"– ",V77,")"),_xlfn.CONCAT(IF(G77="",D77,G77)," (",Q77,"–",V77,")"))</f>
        <v>Cecily (1891–1891)</v>
      </c>
      <c r="AU77" s="352" t="str">
        <f t="shared" si="45"/>
        <v>Female</v>
      </c>
      <c r="AV77" s="355" t="s">
        <v>4376</v>
      </c>
      <c r="AW77" s="319" t="str">
        <f>VLOOKUP(AV77,'Mums of Loyd Edit&amp;Partner Edit'!$B$3:$C$66,2,FALSE)</f>
        <v>Isabella (Isabel) CURREY (b. 26 Apr 1855, d. 16 Jan 1926)</v>
      </c>
      <c r="AX77" s="360">
        <v>41</v>
      </c>
      <c r="AY77" s="355" t="str">
        <f t="shared" si="53"/>
        <v>Frederic (1856–1936: #41)</v>
      </c>
      <c r="AZ77" s="361">
        <f>VLOOKUP(AX77,Lineage!$A$1:$C$200,2,FALSE)</f>
        <v>22</v>
      </c>
      <c r="BA77" s="362" t="str">
        <f t="shared" si="73"/>
        <v>Edward (1820–1890: #22)</v>
      </c>
      <c r="BB77" s="368">
        <f>BiographyMarriageDetsCountries!A76</f>
        <v>74</v>
      </c>
      <c r="BC77" s="319"/>
      <c r="BD77" s="362"/>
      <c r="BF77" s="324"/>
      <c r="BG77" s="357">
        <f t="shared" si="63"/>
        <v>74</v>
      </c>
      <c r="BH77" s="289" t="str">
        <f t="shared" si="64"/>
        <v>Cecily LOYD</v>
      </c>
      <c r="BI77" s="289" t="str">
        <f t="shared" si="65"/>
        <v>Cecily (1891–1891)</v>
      </c>
      <c r="BJ77" s="304" t="str">
        <f t="shared" si="66"/>
        <v>Female</v>
      </c>
      <c r="BK77" s="304">
        <f t="shared" si="67"/>
        <v>4</v>
      </c>
      <c r="BL77" s="289" t="str">
        <f t="shared" si="68"/>
        <v>Frederic (1856–1936: #41)</v>
      </c>
      <c r="BM77" s="289" t="str">
        <f t="shared" si="69"/>
        <v>Isabella (Isabel) CURREY (b. 26 Apr 1855, d. 16 Jan 1926)</v>
      </c>
      <c r="BN77" s="367" t="str">
        <f t="shared" si="70"/>
        <v>03-Jun-1891</v>
      </c>
      <c r="BO77" s="367" t="str">
        <f t="shared" si="71"/>
        <v>03-Jun-1891</v>
      </c>
      <c r="BP77" s="365" t="str">
        <f t="shared" si="72"/>
        <v>Died in Infancy 03-Jun-1891.</v>
      </c>
    </row>
    <row r="78" spans="1:68" s="289" customFormat="1" ht="40">
      <c r="A78" s="302">
        <v>75</v>
      </c>
      <c r="B78" s="364">
        <v>4</v>
      </c>
      <c r="C78" s="288" t="s">
        <v>782</v>
      </c>
      <c r="D78" s="289" t="s">
        <v>815</v>
      </c>
      <c r="E78" s="289" t="s">
        <v>816</v>
      </c>
      <c r="H78" s="304" t="s">
        <v>3245</v>
      </c>
      <c r="I78" s="306" t="s">
        <v>4481</v>
      </c>
      <c r="J78" s="306">
        <v>1917</v>
      </c>
      <c r="K78" s="308" t="s">
        <v>4555</v>
      </c>
      <c r="L78" s="308" t="s">
        <v>4555</v>
      </c>
      <c r="M78" s="323" t="s">
        <v>3207</v>
      </c>
      <c r="N78" s="323"/>
      <c r="O78" s="348">
        <f t="shared" si="54"/>
        <v>10</v>
      </c>
      <c r="P78" s="345">
        <f t="shared" si="46"/>
        <v>3</v>
      </c>
      <c r="Q78" s="345">
        <f t="shared" si="47"/>
        <v>1893</v>
      </c>
      <c r="R78" s="344" t="str">
        <f t="shared" si="55"/>
        <v>Mar</v>
      </c>
      <c r="S78" s="344">
        <f t="shared" si="48"/>
        <v>10</v>
      </c>
      <c r="T78" s="344">
        <f t="shared" si="49"/>
        <v>1</v>
      </c>
      <c r="U78" s="344">
        <f t="shared" si="50"/>
        <v>12</v>
      </c>
      <c r="V78" s="344">
        <f t="shared" si="51"/>
        <v>1917</v>
      </c>
      <c r="W78" s="344" t="str">
        <f t="shared" si="56"/>
        <v>Dec</v>
      </c>
      <c r="X78" s="344"/>
      <c r="Y78" s="344"/>
      <c r="Z78" s="314" t="str">
        <f t="shared" si="74"/>
        <v>10-Mar-1893</v>
      </c>
      <c r="AA78" s="314" t="str">
        <f t="shared" si="57"/>
        <v>01-Dec-1917</v>
      </c>
      <c r="AB78" s="314">
        <f t="shared" si="58"/>
        <v>24</v>
      </c>
      <c r="AC78" s="314">
        <f t="shared" si="59"/>
        <v>128</v>
      </c>
      <c r="AD78" s="347" t="str">
        <f t="shared" si="60"/>
        <v>Died 01-Dec-1917, aged 24.</v>
      </c>
      <c r="AE78" s="305"/>
      <c r="AF78" s="303"/>
      <c r="AG78" s="303"/>
      <c r="AH78" s="303"/>
      <c r="AI78" s="289" t="s">
        <v>2793</v>
      </c>
      <c r="AJ78" s="289" t="s">
        <v>2793</v>
      </c>
      <c r="AK78" s="344" t="str">
        <f t="shared" si="61"/>
        <v xml:space="preserve"> -</v>
      </c>
      <c r="AL78" s="344" t="str">
        <f t="shared" si="75"/>
        <v xml:space="preserve"> -</v>
      </c>
      <c r="AM78" s="344" t="str">
        <f t="shared" si="76"/>
        <v xml:space="preserve"> -</v>
      </c>
      <c r="AN78" s="344" t="str">
        <f t="shared" si="62"/>
        <v xml:space="preserve"> -</v>
      </c>
      <c r="AO78" s="344" t="str">
        <f t="shared" si="52"/>
        <v xml:space="preserve"> -</v>
      </c>
      <c r="AR78" s="350">
        <f>A78</f>
        <v>75</v>
      </c>
      <c r="AS78" s="353" t="str">
        <f>IF(V78="",_xlfn.CONCAT(IF(G78="",D78,G78)," (",Q78,"–",V78," : #",AR78,")"),_xlfn.CONCAT(IF(G78="",D78,G78)," (",Q78,"–",V78,": #",AR78,")"))</f>
        <v>Godfrey (1893–1917: #75)</v>
      </c>
      <c r="AT78" s="353" t="str">
        <f>IF(V78="",_xlfn.CONCAT(IF(G78="",D78,G78)," (",Q78,"– ",V78,")"),_xlfn.CONCAT(IF(G78="",D78,G78)," (",Q78,"–",V78,")"))</f>
        <v>Godfrey (1893–1917)</v>
      </c>
      <c r="AU78" s="352" t="str">
        <f t="shared" si="45"/>
        <v>Male</v>
      </c>
      <c r="AV78" s="355" t="s">
        <v>4383</v>
      </c>
      <c r="AW78" s="319" t="str">
        <f>VLOOKUP(AV78,'Mums of Loyd Edit&amp;Partner Edit'!$B$3:$C$66,2,FALSE)</f>
        <v xml:space="preserve">Emily Diana Maria BEAUMONT (b. 25 Dec 1860, d. 4 Jul 1956) </v>
      </c>
      <c r="AX78" s="360">
        <v>46</v>
      </c>
      <c r="AY78" s="355" t="str">
        <f t="shared" si="53"/>
        <v>William (1863–1923: #46)</v>
      </c>
      <c r="AZ78" s="361">
        <f>VLOOKUP(AX78,Lineage!$A$1:$C$200,2,FALSE)</f>
        <v>23</v>
      </c>
      <c r="BA78" s="362" t="str">
        <f t="shared" si="73"/>
        <v>William (1821–1885: #23)</v>
      </c>
      <c r="BB78" s="368">
        <f>BiographyMarriageDetsCountries!A77</f>
        <v>75</v>
      </c>
      <c r="BC78" s="319"/>
      <c r="BD78" s="362"/>
      <c r="BF78" s="324"/>
      <c r="BG78" s="357">
        <f t="shared" si="63"/>
        <v>75</v>
      </c>
      <c r="BH78" s="289" t="str">
        <f t="shared" si="64"/>
        <v>Godfrey Beaumont LOYD</v>
      </c>
      <c r="BI78" s="289" t="str">
        <f t="shared" si="65"/>
        <v>Godfrey (1893–1917)</v>
      </c>
      <c r="BJ78" s="304" t="str">
        <f t="shared" si="66"/>
        <v>Male</v>
      </c>
      <c r="BK78" s="304">
        <f t="shared" si="67"/>
        <v>4</v>
      </c>
      <c r="BL78" s="289" t="str">
        <f t="shared" si="68"/>
        <v>William (1863–1923: #46)</v>
      </c>
      <c r="BM78" s="289" t="str">
        <f t="shared" si="69"/>
        <v xml:space="preserve">Emily Diana Maria BEAUMONT (b. 25 Dec 1860, d. 4 Jul 1956) </v>
      </c>
      <c r="BN78" s="367" t="str">
        <f t="shared" si="70"/>
        <v>10-Mar-1893</v>
      </c>
      <c r="BO78" s="367" t="str">
        <f t="shared" si="71"/>
        <v>01-Dec-1917</v>
      </c>
      <c r="BP78" s="365" t="str">
        <f t="shared" si="72"/>
        <v>Died 01-Dec-1917, aged 24.</v>
      </c>
    </row>
    <row r="79" spans="1:68" s="289" customFormat="1" ht="40">
      <c r="A79" s="302">
        <v>76</v>
      </c>
      <c r="B79" s="364">
        <v>4</v>
      </c>
      <c r="C79" s="288" t="s">
        <v>782</v>
      </c>
      <c r="D79" s="289" t="s">
        <v>811</v>
      </c>
      <c r="E79" s="289" t="s">
        <v>818</v>
      </c>
      <c r="F79" s="289" t="s">
        <v>819</v>
      </c>
      <c r="H79" s="304" t="s">
        <v>3245</v>
      </c>
      <c r="I79" s="306" t="s">
        <v>4481</v>
      </c>
      <c r="J79" s="306">
        <v>1932</v>
      </c>
      <c r="K79" s="308" t="s">
        <v>4556</v>
      </c>
      <c r="L79" s="308" t="s">
        <v>4556</v>
      </c>
      <c r="M79" s="323" t="s">
        <v>3208</v>
      </c>
      <c r="N79" s="323"/>
      <c r="O79" s="348">
        <f t="shared" si="54"/>
        <v>14</v>
      </c>
      <c r="P79" s="345">
        <f t="shared" si="46"/>
        <v>3</v>
      </c>
      <c r="Q79" s="345">
        <f t="shared" si="47"/>
        <v>1893</v>
      </c>
      <c r="R79" s="344" t="str">
        <f t="shared" si="55"/>
        <v>Mar</v>
      </c>
      <c r="S79" s="344">
        <f t="shared" si="48"/>
        <v>10</v>
      </c>
      <c r="T79" s="344">
        <f t="shared" si="49"/>
        <v>25</v>
      </c>
      <c r="U79" s="344">
        <f t="shared" si="50"/>
        <v>5</v>
      </c>
      <c r="V79" s="344">
        <f t="shared" si="51"/>
        <v>1932</v>
      </c>
      <c r="W79" s="344" t="str">
        <f t="shared" si="56"/>
        <v>May</v>
      </c>
      <c r="X79" s="344"/>
      <c r="Y79" s="344"/>
      <c r="Z79" s="314" t="str">
        <f t="shared" si="74"/>
        <v>14-Mar-1893</v>
      </c>
      <c r="AA79" s="314" t="str">
        <f t="shared" si="57"/>
        <v>25-May-1932</v>
      </c>
      <c r="AB79" s="314">
        <f t="shared" si="58"/>
        <v>39</v>
      </c>
      <c r="AC79" s="314">
        <f t="shared" si="59"/>
        <v>128</v>
      </c>
      <c r="AD79" s="347" t="str">
        <f t="shared" si="60"/>
        <v>Died 25-May-1932, aged 39.</v>
      </c>
      <c r="AE79" s="305"/>
      <c r="AF79" s="303"/>
      <c r="AG79" s="303"/>
      <c r="AH79" s="303"/>
      <c r="AI79" s="327">
        <v>9681</v>
      </c>
      <c r="AJ79" s="328" t="s">
        <v>4711</v>
      </c>
      <c r="AK79" s="344" t="str">
        <f t="shared" si="61"/>
        <v>03</v>
      </c>
      <c r="AL79" s="344">
        <f t="shared" si="75"/>
        <v>7</v>
      </c>
      <c r="AM79" s="344">
        <f t="shared" si="76"/>
        <v>1926</v>
      </c>
      <c r="AN79" s="344" t="str">
        <f t="shared" si="62"/>
        <v>Jul</v>
      </c>
      <c r="AO79" s="344" t="str">
        <f t="shared" si="52"/>
        <v>03-Jul-1926</v>
      </c>
      <c r="AQ79" s="327"/>
      <c r="AR79" s="350">
        <f>A79</f>
        <v>76</v>
      </c>
      <c r="AS79" s="353" t="str">
        <f>IF(V79="",_xlfn.CONCAT(IF(G79="",D79,G79)," (",Q79,"–",V79," : #",AR79,")"),_xlfn.CONCAT(IF(G79="",D79,G79)," (",Q79,"–",V79,": #",AR79,")"))</f>
        <v>Edward (1893–1932: #76)</v>
      </c>
      <c r="AT79" s="353" t="str">
        <f>IF(V79="",_xlfn.CONCAT(IF(G79="",D79,G79)," (",Q79,"– ",V79,")"),_xlfn.CONCAT(IF(G79="",D79,G79)," (",Q79,"–",V79,")"))</f>
        <v>Edward (1893–1932)</v>
      </c>
      <c r="AU79" s="352" t="str">
        <f t="shared" si="45"/>
        <v>Male</v>
      </c>
      <c r="AV79" s="355" t="s">
        <v>4380</v>
      </c>
      <c r="AW79" s="319" t="str">
        <f>VLOOKUP(AV79,'Mums of Loyd Edit&amp;Partner Edit'!$B$3:$C$66,2,FALSE)</f>
        <v>Millicent Blandinah KESTEVEN (b. 1850/51, d. 22 Jun 1945)</v>
      </c>
      <c r="AX79" s="360">
        <v>34</v>
      </c>
      <c r="AY79" s="355" t="str">
        <f t="shared" si="53"/>
        <v>Ted (1851–1922: #34)</v>
      </c>
      <c r="AZ79" s="361">
        <f>VLOOKUP(AX79,Lineage!$A$1:$C$200,2,FALSE)</f>
        <v>14</v>
      </c>
      <c r="BA79" s="362" t="str">
        <f t="shared" si="73"/>
        <v>Thomas (1812–1857: #14)</v>
      </c>
      <c r="BB79" s="368">
        <f>BiographyMarriageDetsCountries!A78</f>
        <v>76</v>
      </c>
      <c r="BC79" s="319"/>
      <c r="BD79" s="362"/>
      <c r="BF79" s="324"/>
      <c r="BG79" s="357">
        <f t="shared" si="63"/>
        <v>76</v>
      </c>
      <c r="BH79" s="289" t="str">
        <f t="shared" si="64"/>
        <v>Edward Basil Kirkman LOYD</v>
      </c>
      <c r="BI79" s="289" t="str">
        <f t="shared" si="65"/>
        <v>Edward (1893–1932)</v>
      </c>
      <c r="BJ79" s="304" t="str">
        <f t="shared" si="66"/>
        <v>Male</v>
      </c>
      <c r="BK79" s="304">
        <f t="shared" si="67"/>
        <v>4</v>
      </c>
      <c r="BL79" s="289" t="str">
        <f t="shared" si="68"/>
        <v>Ted (1851–1922: #34)</v>
      </c>
      <c r="BM79" s="289" t="str">
        <f t="shared" si="69"/>
        <v>Millicent Blandinah KESTEVEN (b. 1850/51, d. 22 Jun 1945)</v>
      </c>
      <c r="BN79" s="367" t="str">
        <f t="shared" si="70"/>
        <v>14-Mar-1893</v>
      </c>
      <c r="BO79" s="367" t="str">
        <f t="shared" si="71"/>
        <v>25-May-1932</v>
      </c>
      <c r="BP79" s="365" t="str">
        <f t="shared" si="72"/>
        <v>Died 25-May-1932, aged 39.</v>
      </c>
    </row>
    <row r="80" spans="1:68" s="289" customFormat="1" ht="40">
      <c r="A80" s="302">
        <v>77</v>
      </c>
      <c r="B80" s="364">
        <v>4</v>
      </c>
      <c r="C80" s="288" t="s">
        <v>782</v>
      </c>
      <c r="D80" s="289" t="s">
        <v>821</v>
      </c>
      <c r="E80" s="289" t="s">
        <v>822</v>
      </c>
      <c r="H80" s="304" t="s">
        <v>3245</v>
      </c>
      <c r="I80" s="306" t="s">
        <v>4481</v>
      </c>
      <c r="J80" s="306">
        <v>1971</v>
      </c>
      <c r="K80" s="308" t="s">
        <v>4557</v>
      </c>
      <c r="L80" s="308" t="s">
        <v>4557</v>
      </c>
      <c r="M80" s="323" t="s">
        <v>3209</v>
      </c>
      <c r="N80" s="323"/>
      <c r="O80" s="348">
        <f t="shared" si="54"/>
        <v>13</v>
      </c>
      <c r="P80" s="345">
        <f t="shared" si="46"/>
        <v>9</v>
      </c>
      <c r="Q80" s="345">
        <f t="shared" si="47"/>
        <v>1893</v>
      </c>
      <c r="R80" s="344" t="str">
        <f t="shared" si="55"/>
        <v>Sep</v>
      </c>
      <c r="S80" s="344">
        <f t="shared" si="48"/>
        <v>10</v>
      </c>
      <c r="T80" s="344">
        <f t="shared" si="49"/>
        <v>17</v>
      </c>
      <c r="U80" s="344">
        <f t="shared" si="50"/>
        <v>9</v>
      </c>
      <c r="V80" s="344">
        <f t="shared" si="51"/>
        <v>1971</v>
      </c>
      <c r="W80" s="344" t="str">
        <f t="shared" si="56"/>
        <v>Sep</v>
      </c>
      <c r="X80" s="344"/>
      <c r="Y80" s="344"/>
      <c r="Z80" s="314" t="str">
        <f t="shared" si="74"/>
        <v>13-Sep-1893</v>
      </c>
      <c r="AA80" s="314" t="str">
        <f t="shared" si="57"/>
        <v>17-Sep-1971</v>
      </c>
      <c r="AB80" s="314">
        <f t="shared" si="58"/>
        <v>78</v>
      </c>
      <c r="AC80" s="314">
        <f t="shared" si="59"/>
        <v>128</v>
      </c>
      <c r="AD80" s="347" t="str">
        <f t="shared" si="60"/>
        <v>Died 17-Sep-1971, aged 78.</v>
      </c>
      <c r="AE80" s="305"/>
      <c r="AF80" s="303"/>
      <c r="AG80" s="303"/>
      <c r="AH80" s="303"/>
      <c r="AI80" s="327">
        <v>8036</v>
      </c>
      <c r="AJ80" s="328" t="s">
        <v>4712</v>
      </c>
      <c r="AK80" s="344" t="str">
        <f t="shared" si="61"/>
        <v>31</v>
      </c>
      <c r="AL80" s="344">
        <f t="shared" si="75"/>
        <v>12</v>
      </c>
      <c r="AM80" s="344">
        <f t="shared" si="76"/>
        <v>1921</v>
      </c>
      <c r="AN80" s="344" t="str">
        <f t="shared" si="62"/>
        <v>Dec</v>
      </c>
      <c r="AO80" s="344" t="str">
        <f t="shared" si="52"/>
        <v>31-Dec-1921</v>
      </c>
      <c r="AQ80" s="327"/>
      <c r="AR80" s="350">
        <f>A80</f>
        <v>77</v>
      </c>
      <c r="AS80" s="353" t="str">
        <f>IF(V80="",_xlfn.CONCAT(IF(G80="",D80,G80)," (",Q80,"–",V80," : #",AR80,")"),_xlfn.CONCAT(IF(G80="",D80,G80)," (",Q80,"–",V80,": #",AR80,")"))</f>
        <v>Wilfrid (1893–1971: #77)</v>
      </c>
      <c r="AT80" s="353" t="str">
        <f>IF(V80="",_xlfn.CONCAT(IF(G80="",D80,G80)," (",Q80,"– ",V80,")"),_xlfn.CONCAT(IF(G80="",D80,G80)," (",Q80,"–",V80,")"))</f>
        <v>Wilfrid (1893–1971)</v>
      </c>
      <c r="AU80" s="352" t="str">
        <f t="shared" si="45"/>
        <v>Male</v>
      </c>
      <c r="AV80" s="355" t="s">
        <v>4379</v>
      </c>
      <c r="AW80" s="319" t="str">
        <f>VLOOKUP(AV80,'Mums of Loyd Edit&amp;Partner Edit'!$B$3:$C$66,2,FALSE)</f>
        <v>Henrietta Louisa CLUTTERBUCK (b. 23 Jan 1856, d. 14 Jan 1931)</v>
      </c>
      <c r="AX80" s="360">
        <v>30</v>
      </c>
      <c r="AY80" s="355" t="str">
        <f t="shared" si="53"/>
        <v>Archie (1847–1922: #30)</v>
      </c>
      <c r="AZ80" s="361">
        <f>VLOOKUP(AX80,Lineage!$A$1:$C$200,2,FALSE)</f>
        <v>14</v>
      </c>
      <c r="BA80" s="362" t="str">
        <f t="shared" si="73"/>
        <v>Thomas (1812–1857: #14)</v>
      </c>
      <c r="BB80" s="368">
        <f>BiographyMarriageDetsCountries!A79</f>
        <v>77</v>
      </c>
      <c r="BC80" s="319"/>
      <c r="BD80" s="362"/>
      <c r="BF80" s="324"/>
      <c r="BG80" s="357">
        <f t="shared" si="63"/>
        <v>77</v>
      </c>
      <c r="BH80" s="289" t="str">
        <f t="shared" si="64"/>
        <v>Wilfrid Haig LOYD</v>
      </c>
      <c r="BI80" s="289" t="str">
        <f t="shared" si="65"/>
        <v>Wilfrid (1893–1971)</v>
      </c>
      <c r="BJ80" s="304" t="str">
        <f t="shared" si="66"/>
        <v>Male</v>
      </c>
      <c r="BK80" s="304">
        <f t="shared" si="67"/>
        <v>4</v>
      </c>
      <c r="BL80" s="289" t="str">
        <f t="shared" si="68"/>
        <v>Archie (1847–1922: #30)</v>
      </c>
      <c r="BM80" s="289" t="str">
        <f t="shared" si="69"/>
        <v>Henrietta Louisa CLUTTERBUCK (b. 23 Jan 1856, d. 14 Jan 1931)</v>
      </c>
      <c r="BN80" s="367" t="str">
        <f t="shared" si="70"/>
        <v>13-Sep-1893</v>
      </c>
      <c r="BO80" s="367" t="str">
        <f t="shared" si="71"/>
        <v>17-Sep-1971</v>
      </c>
      <c r="BP80" s="365" t="str">
        <f t="shared" si="72"/>
        <v>Died 17-Sep-1971, aged 78.</v>
      </c>
    </row>
    <row r="81" spans="1:68" s="289" customFormat="1" ht="40">
      <c r="A81" s="302">
        <v>78</v>
      </c>
      <c r="B81" s="364">
        <v>4</v>
      </c>
      <c r="C81" s="288" t="s">
        <v>782</v>
      </c>
      <c r="D81" s="289" t="s">
        <v>824</v>
      </c>
      <c r="E81" s="289" t="s">
        <v>825</v>
      </c>
      <c r="H81" s="304" t="s">
        <v>3245</v>
      </c>
      <c r="I81" s="306" t="s">
        <v>1974</v>
      </c>
      <c r="J81" s="306">
        <v>1972</v>
      </c>
      <c r="K81" s="308" t="s">
        <v>4558</v>
      </c>
      <c r="L81" s="308" t="s">
        <v>4558</v>
      </c>
      <c r="M81" s="323" t="s">
        <v>3210</v>
      </c>
      <c r="N81" s="323"/>
      <c r="O81" s="348">
        <f t="shared" si="54"/>
        <v>13</v>
      </c>
      <c r="P81" s="345">
        <f t="shared" si="46"/>
        <v>5</v>
      </c>
      <c r="Q81" s="345">
        <f t="shared" si="47"/>
        <v>1894</v>
      </c>
      <c r="R81" s="344" t="str">
        <f t="shared" si="55"/>
        <v>May</v>
      </c>
      <c r="S81" s="344">
        <f t="shared" si="48"/>
        <v>10</v>
      </c>
      <c r="T81" s="344">
        <f t="shared" si="49"/>
        <v>19</v>
      </c>
      <c r="U81" s="344">
        <f t="shared" si="50"/>
        <v>3</v>
      </c>
      <c r="V81" s="344">
        <f t="shared" si="51"/>
        <v>1972</v>
      </c>
      <c r="W81" s="344" t="str">
        <f t="shared" si="56"/>
        <v>Mar</v>
      </c>
      <c r="X81" s="344"/>
      <c r="Y81" s="344"/>
      <c r="Z81" s="314" t="str">
        <f t="shared" si="74"/>
        <v>13-May-1894</v>
      </c>
      <c r="AA81" s="314" t="str">
        <f t="shared" si="57"/>
        <v>19-Mar-1972</v>
      </c>
      <c r="AB81" s="314">
        <f t="shared" si="58"/>
        <v>77</v>
      </c>
      <c r="AC81" s="314">
        <f t="shared" si="59"/>
        <v>127</v>
      </c>
      <c r="AD81" s="347" t="str">
        <f t="shared" si="60"/>
        <v>Died 19-Mar-1972, aged 77.</v>
      </c>
      <c r="AE81" s="305"/>
      <c r="AF81" s="303"/>
      <c r="AG81" s="303"/>
      <c r="AH81" s="303"/>
      <c r="AI81" s="327">
        <v>9090</v>
      </c>
      <c r="AJ81" s="328" t="s">
        <v>4713</v>
      </c>
      <c r="AK81" s="344" t="str">
        <f t="shared" si="61"/>
        <v>19</v>
      </c>
      <c r="AL81" s="344">
        <f t="shared" si="75"/>
        <v>11</v>
      </c>
      <c r="AM81" s="344">
        <f t="shared" si="76"/>
        <v>1924</v>
      </c>
      <c r="AN81" s="344" t="str">
        <f t="shared" si="62"/>
        <v>Nov</v>
      </c>
      <c r="AO81" s="344" t="str">
        <f t="shared" si="52"/>
        <v>19-Nov-1924</v>
      </c>
      <c r="AQ81" s="327"/>
      <c r="AR81" s="350">
        <f>A81</f>
        <v>78</v>
      </c>
      <c r="AS81" s="353" t="str">
        <f>IF(V81="",_xlfn.CONCAT(IF(G81="",D81,G81)," (",Q81,"–",V81," : #",AR81,")"),_xlfn.CONCAT(IF(G81="",D81,G81)," (",Q81,"–",V81,": #",AR81,")"))</f>
        <v>Vivian (1894–1972: #78)</v>
      </c>
      <c r="AT81" s="353" t="str">
        <f>IF(V81="",_xlfn.CONCAT(IF(G81="",D81,G81)," (",Q81,"– ",V81,")"),_xlfn.CONCAT(IF(G81="",D81,G81)," (",Q81,"–",V81,")"))</f>
        <v>Vivian (1894–1972)</v>
      </c>
      <c r="AU81" s="352" t="str">
        <f t="shared" si="45"/>
        <v>Male</v>
      </c>
      <c r="AV81" s="355" t="s">
        <v>4383</v>
      </c>
      <c r="AW81" s="319" t="str">
        <f>VLOOKUP(AV81,'Mums of Loyd Edit&amp;Partner Edit'!$B$3:$C$66,2,FALSE)</f>
        <v xml:space="preserve">Emily Diana Maria BEAUMONT (b. 25 Dec 1860, d. 4 Jul 1956) </v>
      </c>
      <c r="AX81" s="360">
        <v>46</v>
      </c>
      <c r="AY81" s="355" t="str">
        <f t="shared" si="53"/>
        <v>William (1863–1923: #46)</v>
      </c>
      <c r="AZ81" s="361">
        <f>VLOOKUP(AX81,Lineage!$A$1:$C$200,2,FALSE)</f>
        <v>23</v>
      </c>
      <c r="BA81" s="362" t="str">
        <f t="shared" si="73"/>
        <v>William (1821–1885: #23)</v>
      </c>
      <c r="BB81" s="368">
        <f>BiographyMarriageDetsCountries!A80</f>
        <v>78</v>
      </c>
      <c r="BC81" s="319"/>
      <c r="BD81" s="362"/>
      <c r="BF81" s="324"/>
      <c r="BG81" s="357">
        <f t="shared" si="63"/>
        <v>78</v>
      </c>
      <c r="BH81" s="289" t="str">
        <f t="shared" si="64"/>
        <v>Vivian Graham LOYD</v>
      </c>
      <c r="BI81" s="289" t="str">
        <f t="shared" si="65"/>
        <v>Vivian (1894–1972)</v>
      </c>
      <c r="BJ81" s="304" t="str">
        <f t="shared" si="66"/>
        <v>Male</v>
      </c>
      <c r="BK81" s="304">
        <f t="shared" si="67"/>
        <v>4</v>
      </c>
      <c r="BL81" s="289" t="str">
        <f t="shared" si="68"/>
        <v>William (1863–1923: #46)</v>
      </c>
      <c r="BM81" s="289" t="str">
        <f t="shared" si="69"/>
        <v xml:space="preserve">Emily Diana Maria BEAUMONT (b. 25 Dec 1860, d. 4 Jul 1956) </v>
      </c>
      <c r="BN81" s="367" t="str">
        <f t="shared" si="70"/>
        <v>13-May-1894</v>
      </c>
      <c r="BO81" s="367" t="str">
        <f t="shared" si="71"/>
        <v>19-Mar-1972</v>
      </c>
      <c r="BP81" s="365" t="str">
        <f t="shared" si="72"/>
        <v>Died 19-Mar-1972, aged 77.</v>
      </c>
    </row>
    <row r="82" spans="1:68" s="289" customFormat="1" ht="40">
      <c r="A82" s="302">
        <v>79</v>
      </c>
      <c r="B82" s="364">
        <v>4</v>
      </c>
      <c r="C82" s="288" t="s">
        <v>782</v>
      </c>
      <c r="D82" s="289" t="s">
        <v>827</v>
      </c>
      <c r="E82" s="289" t="s">
        <v>828</v>
      </c>
      <c r="H82" s="304" t="s">
        <v>3245</v>
      </c>
      <c r="I82" s="306" t="s">
        <v>1974</v>
      </c>
      <c r="J82" s="306">
        <v>1917</v>
      </c>
      <c r="K82" s="308" t="s">
        <v>4559</v>
      </c>
      <c r="L82" s="308" t="s">
        <v>4559</v>
      </c>
      <c r="M82" s="323" t="s">
        <v>3211</v>
      </c>
      <c r="N82" s="323"/>
      <c r="O82" s="348">
        <f t="shared" si="54"/>
        <v>12</v>
      </c>
      <c r="P82" s="345">
        <f t="shared" si="46"/>
        <v>7</v>
      </c>
      <c r="Q82" s="345">
        <f t="shared" si="47"/>
        <v>1894</v>
      </c>
      <c r="R82" s="344" t="str">
        <f t="shared" si="55"/>
        <v>Jul</v>
      </c>
      <c r="S82" s="344">
        <f t="shared" si="48"/>
        <v>10</v>
      </c>
      <c r="T82" s="344">
        <f t="shared" si="49"/>
        <v>28</v>
      </c>
      <c r="U82" s="344">
        <f t="shared" si="50"/>
        <v>9</v>
      </c>
      <c r="V82" s="344">
        <f t="shared" si="51"/>
        <v>1917</v>
      </c>
      <c r="W82" s="344" t="str">
        <f t="shared" si="56"/>
        <v>Sep</v>
      </c>
      <c r="X82" s="344"/>
      <c r="Y82" s="344"/>
      <c r="Z82" s="314" t="str">
        <f t="shared" si="74"/>
        <v>12-Jul-1894</v>
      </c>
      <c r="AA82" s="314" t="str">
        <f t="shared" si="57"/>
        <v>28-Sep-1917</v>
      </c>
      <c r="AB82" s="314">
        <f t="shared" si="58"/>
        <v>23</v>
      </c>
      <c r="AC82" s="314">
        <f t="shared" si="59"/>
        <v>127</v>
      </c>
      <c r="AD82" s="347" t="str">
        <f t="shared" si="60"/>
        <v>Died 28-Sep-1917, aged 23.</v>
      </c>
      <c r="AE82" s="305"/>
      <c r="AF82" s="303"/>
      <c r="AG82" s="303"/>
      <c r="AH82" s="303"/>
      <c r="AI82" s="289" t="s">
        <v>2793</v>
      </c>
      <c r="AJ82" s="289" t="s">
        <v>2793</v>
      </c>
      <c r="AK82" s="344" t="str">
        <f t="shared" si="61"/>
        <v xml:space="preserve"> -</v>
      </c>
      <c r="AL82" s="344" t="str">
        <f t="shared" si="75"/>
        <v xml:space="preserve"> -</v>
      </c>
      <c r="AM82" s="344" t="str">
        <f t="shared" si="76"/>
        <v xml:space="preserve"> -</v>
      </c>
      <c r="AN82" s="344" t="str">
        <f t="shared" si="62"/>
        <v xml:space="preserve"> -</v>
      </c>
      <c r="AO82" s="344" t="str">
        <f t="shared" si="52"/>
        <v xml:space="preserve"> -</v>
      </c>
      <c r="AR82" s="350">
        <f>A82</f>
        <v>79</v>
      </c>
      <c r="AS82" s="353" t="str">
        <f>IF(V82="",_xlfn.CONCAT(IF(G82="",D82,G82)," (",Q82,"–",V82," : #",AR82,")"),_xlfn.CONCAT(IF(G82="",D82,G82)," (",Q82,"–",V82,": #",AR82,")"))</f>
        <v>Alwyne (1894–1917: #79)</v>
      </c>
      <c r="AT82" s="353" t="str">
        <f>IF(V82="",_xlfn.CONCAT(IF(G82="",D82,G82)," (",Q82,"– ",V82,")"),_xlfn.CONCAT(IF(G82="",D82,G82)," (",Q82,"–",V82,")"))</f>
        <v>Alwyne (1894–1917)</v>
      </c>
      <c r="AU82" s="352" t="str">
        <f t="shared" si="45"/>
        <v>Male</v>
      </c>
      <c r="AV82" s="355" t="s">
        <v>4382</v>
      </c>
      <c r="AW82" s="319" t="str">
        <f>VLOOKUP(AV82,'Mums of Loyd Edit&amp;Partner Edit'!$B$3:$C$66,2,FALSE)</f>
        <v>Rebecca Olivia LEWIS (b.13 Aug 1860, d. 18 Mar 1927)</v>
      </c>
      <c r="AX82" s="360">
        <v>45</v>
      </c>
      <c r="AY82" s="355" t="str">
        <f t="shared" si="53"/>
        <v>Llewellyn (1861–1939: #45)</v>
      </c>
      <c r="AZ82" s="361">
        <f>VLOOKUP(AX82,Lineage!$A$1:$C$200,2,FALSE)</f>
        <v>22</v>
      </c>
      <c r="BA82" s="362" t="str">
        <f t="shared" si="73"/>
        <v>Edward (1820–1890: #22)</v>
      </c>
      <c r="BB82" s="368">
        <f>BiographyMarriageDetsCountries!A81</f>
        <v>79</v>
      </c>
      <c r="BC82" s="319"/>
      <c r="BD82" s="362"/>
      <c r="BF82" s="324"/>
      <c r="BG82" s="357">
        <f t="shared" si="63"/>
        <v>79</v>
      </c>
      <c r="BH82" s="289" t="str">
        <f t="shared" si="64"/>
        <v>Alwyne Travers LOYD</v>
      </c>
      <c r="BI82" s="289" t="str">
        <f t="shared" si="65"/>
        <v>Alwyne (1894–1917)</v>
      </c>
      <c r="BJ82" s="304" t="str">
        <f t="shared" si="66"/>
        <v>Male</v>
      </c>
      <c r="BK82" s="304">
        <f t="shared" si="67"/>
        <v>4</v>
      </c>
      <c r="BL82" s="289" t="str">
        <f t="shared" si="68"/>
        <v>Llewellyn (1861–1939: #45)</v>
      </c>
      <c r="BM82" s="289" t="str">
        <f t="shared" si="69"/>
        <v>Rebecca Olivia LEWIS (b.13 Aug 1860, d. 18 Mar 1927)</v>
      </c>
      <c r="BN82" s="367" t="str">
        <f t="shared" si="70"/>
        <v>12-Jul-1894</v>
      </c>
      <c r="BO82" s="367" t="str">
        <f t="shared" si="71"/>
        <v>28-Sep-1917</v>
      </c>
      <c r="BP82" s="365" t="str">
        <f t="shared" si="72"/>
        <v>Died 28-Sep-1917, aged 23.</v>
      </c>
    </row>
    <row r="83" spans="1:68" s="289" customFormat="1" ht="40">
      <c r="A83" s="302">
        <v>80</v>
      </c>
      <c r="B83" s="364">
        <v>4</v>
      </c>
      <c r="C83" s="288" t="s">
        <v>782</v>
      </c>
      <c r="D83" s="289" t="s">
        <v>810</v>
      </c>
      <c r="E83" s="289" t="s">
        <v>830</v>
      </c>
      <c r="H83" s="304" t="s">
        <v>3245</v>
      </c>
      <c r="I83" s="306" t="s">
        <v>1974</v>
      </c>
      <c r="J83" s="306">
        <v>1963</v>
      </c>
      <c r="K83" s="308" t="s">
        <v>4560</v>
      </c>
      <c r="L83" s="308" t="s">
        <v>4560</v>
      </c>
      <c r="M83" s="323" t="s">
        <v>3212</v>
      </c>
      <c r="N83" s="323"/>
      <c r="O83" s="348">
        <f t="shared" si="54"/>
        <v>28</v>
      </c>
      <c r="P83" s="345">
        <f t="shared" si="46"/>
        <v>9</v>
      </c>
      <c r="Q83" s="345">
        <f t="shared" si="47"/>
        <v>1894</v>
      </c>
      <c r="R83" s="344" t="str">
        <f t="shared" si="55"/>
        <v>Sep</v>
      </c>
      <c r="S83" s="344">
        <f t="shared" si="48"/>
        <v>10</v>
      </c>
      <c r="T83" s="344">
        <f t="shared" si="49"/>
        <v>19</v>
      </c>
      <c r="U83" s="344">
        <f t="shared" si="50"/>
        <v>4</v>
      </c>
      <c r="V83" s="344">
        <f t="shared" si="51"/>
        <v>1963</v>
      </c>
      <c r="W83" s="344" t="str">
        <f t="shared" si="56"/>
        <v>Apr</v>
      </c>
      <c r="X83" s="344"/>
      <c r="Y83" s="344"/>
      <c r="Z83" s="314" t="str">
        <f t="shared" si="74"/>
        <v>28-Sep-1894</v>
      </c>
      <c r="AA83" s="314" t="str">
        <f t="shared" si="57"/>
        <v>19-Apr-1963</v>
      </c>
      <c r="AB83" s="314">
        <f t="shared" si="58"/>
        <v>68</v>
      </c>
      <c r="AC83" s="314">
        <f t="shared" si="59"/>
        <v>127</v>
      </c>
      <c r="AD83" s="347" t="str">
        <f t="shared" si="60"/>
        <v>Died 19-Apr-1963, aged 68.</v>
      </c>
      <c r="AE83" s="305"/>
      <c r="AF83" s="303"/>
      <c r="AG83" s="303"/>
      <c r="AH83" s="303"/>
      <c r="AI83" s="327">
        <v>11471</v>
      </c>
      <c r="AJ83" s="328" t="s">
        <v>4714</v>
      </c>
      <c r="AK83" s="344" t="str">
        <f t="shared" si="61"/>
        <v>28</v>
      </c>
      <c r="AL83" s="344">
        <f t="shared" si="75"/>
        <v>5</v>
      </c>
      <c r="AM83" s="344">
        <f t="shared" si="76"/>
        <v>1931</v>
      </c>
      <c r="AN83" s="344" t="str">
        <f t="shared" si="62"/>
        <v>May</v>
      </c>
      <c r="AO83" s="344" t="str">
        <f t="shared" si="52"/>
        <v>28-May-1931</v>
      </c>
      <c r="AQ83" s="327"/>
      <c r="AR83" s="350">
        <f>A83</f>
        <v>80</v>
      </c>
      <c r="AS83" s="353" t="str">
        <f>IF(V83="",_xlfn.CONCAT(IF(G83="",D83,G83)," (",Q83,"–",V83," : #",AR83,")"),_xlfn.CONCAT(IF(G83="",D83,G83)," (",Q83,"–",V83,": #",AR83,")"))</f>
        <v>Eric (1894–1963: #80)</v>
      </c>
      <c r="AT83" s="353" t="str">
        <f>IF(V83="",_xlfn.CONCAT(IF(G83="",D83,G83)," (",Q83,"– ",V83,")"),_xlfn.CONCAT(IF(G83="",D83,G83)," (",Q83,"–",V83,")"))</f>
        <v>Eric (1894–1963)</v>
      </c>
      <c r="AU83" s="352" t="str">
        <f t="shared" si="45"/>
        <v>Male</v>
      </c>
      <c r="AV83" s="355" t="s">
        <v>4384</v>
      </c>
      <c r="AW83" s="319" t="str">
        <f>VLOOKUP(AV83,'Mums of Loyd Edit&amp;Partner Edit'!$B$3:$C$66,2,FALSE)</f>
        <v>Mary Douglas Reid (Minnie) AULD (b. 3 Aug 1850, d. May 1938)</v>
      </c>
      <c r="AX83" s="360">
        <v>29</v>
      </c>
      <c r="AY83" s="355" t="str">
        <f t="shared" si="53"/>
        <v>Arthur (1845–1930: #29)</v>
      </c>
      <c r="AZ83" s="361">
        <f>VLOOKUP(AX83,Lineage!$A$1:$C$200,2,FALSE)</f>
        <v>14</v>
      </c>
      <c r="BA83" s="362" t="str">
        <f t="shared" si="73"/>
        <v>Thomas (1812–1857: #14)</v>
      </c>
      <c r="BB83" s="368">
        <f>BiographyMarriageDetsCountries!A82</f>
        <v>80</v>
      </c>
      <c r="BC83" s="319"/>
      <c r="BD83" s="362"/>
      <c r="BF83" s="324"/>
      <c r="BG83" s="357">
        <f t="shared" si="63"/>
        <v>80</v>
      </c>
      <c r="BH83" s="289" t="str">
        <f t="shared" si="64"/>
        <v>Eric William LOYD</v>
      </c>
      <c r="BI83" s="289" t="str">
        <f t="shared" si="65"/>
        <v>Eric (1894–1963)</v>
      </c>
      <c r="BJ83" s="304" t="str">
        <f t="shared" si="66"/>
        <v>Male</v>
      </c>
      <c r="BK83" s="304">
        <f t="shared" si="67"/>
        <v>4</v>
      </c>
      <c r="BL83" s="289" t="str">
        <f t="shared" si="68"/>
        <v>Arthur (1845–1930: #29)</v>
      </c>
      <c r="BM83" s="289" t="str">
        <f t="shared" si="69"/>
        <v>Mary Douglas Reid (Minnie) AULD (b. 3 Aug 1850, d. May 1938)</v>
      </c>
      <c r="BN83" s="367" t="str">
        <f t="shared" si="70"/>
        <v>28-Sep-1894</v>
      </c>
      <c r="BO83" s="367" t="str">
        <f t="shared" si="71"/>
        <v>19-Apr-1963</v>
      </c>
      <c r="BP83" s="365" t="str">
        <f t="shared" si="72"/>
        <v>Died 19-Apr-1963, aged 68.</v>
      </c>
    </row>
    <row r="84" spans="1:68" s="289" customFormat="1" ht="40">
      <c r="A84" s="302">
        <v>81</v>
      </c>
      <c r="B84" s="364">
        <v>4</v>
      </c>
      <c r="C84" s="288" t="s">
        <v>782</v>
      </c>
      <c r="D84" s="289" t="s">
        <v>832</v>
      </c>
      <c r="E84" s="289" t="s">
        <v>833</v>
      </c>
      <c r="H84" s="304" t="s">
        <v>3245</v>
      </c>
      <c r="I84" s="306" t="s">
        <v>1920</v>
      </c>
      <c r="J84" s="306">
        <v>1917</v>
      </c>
      <c r="K84" s="308" t="s">
        <v>4561</v>
      </c>
      <c r="L84" s="308" t="s">
        <v>4561</v>
      </c>
      <c r="M84" s="323" t="s">
        <v>3207</v>
      </c>
      <c r="N84" s="323"/>
      <c r="O84" s="348">
        <f t="shared" si="54"/>
        <v>20</v>
      </c>
      <c r="P84" s="345">
        <f t="shared" si="46"/>
        <v>6</v>
      </c>
      <c r="Q84" s="345">
        <f t="shared" si="47"/>
        <v>1885</v>
      </c>
      <c r="R84" s="344" t="str">
        <f t="shared" si="55"/>
        <v>Jun</v>
      </c>
      <c r="S84" s="344">
        <f t="shared" si="48"/>
        <v>10</v>
      </c>
      <c r="T84" s="344">
        <f t="shared" si="49"/>
        <v>1</v>
      </c>
      <c r="U84" s="344">
        <f t="shared" si="50"/>
        <v>12</v>
      </c>
      <c r="V84" s="344">
        <f t="shared" si="51"/>
        <v>1917</v>
      </c>
      <c r="W84" s="344" t="str">
        <f t="shared" si="56"/>
        <v>Dec</v>
      </c>
      <c r="X84" s="344"/>
      <c r="Y84" s="344"/>
      <c r="Z84" s="314" t="str">
        <f t="shared" si="74"/>
        <v>20-Jun-1885</v>
      </c>
      <c r="AA84" s="314" t="str">
        <f t="shared" si="57"/>
        <v>01-Dec-1917</v>
      </c>
      <c r="AB84" s="314">
        <f t="shared" si="58"/>
        <v>32</v>
      </c>
      <c r="AC84" s="314">
        <f t="shared" si="59"/>
        <v>136</v>
      </c>
      <c r="AD84" s="347" t="str">
        <f t="shared" si="60"/>
        <v>Died 01-Dec-1917, aged 32.</v>
      </c>
      <c r="AE84" s="305"/>
      <c r="AF84" s="303"/>
      <c r="AG84" s="303"/>
      <c r="AH84" s="303"/>
      <c r="AI84" s="289" t="s">
        <v>2793</v>
      </c>
      <c r="AJ84" s="289" t="s">
        <v>2793</v>
      </c>
      <c r="AK84" s="344" t="str">
        <f t="shared" si="61"/>
        <v xml:space="preserve"> -</v>
      </c>
      <c r="AL84" s="344" t="str">
        <f t="shared" si="75"/>
        <v xml:space="preserve"> -</v>
      </c>
      <c r="AM84" s="344" t="str">
        <f t="shared" si="76"/>
        <v xml:space="preserve"> -</v>
      </c>
      <c r="AN84" s="344" t="str">
        <f t="shared" si="62"/>
        <v xml:space="preserve"> -</v>
      </c>
      <c r="AO84" s="344" t="str">
        <f t="shared" si="52"/>
        <v xml:space="preserve"> -</v>
      </c>
      <c r="AR84" s="350">
        <f>A84</f>
        <v>81</v>
      </c>
      <c r="AS84" s="353" t="str">
        <f>IF(V84="",_xlfn.CONCAT(IF(G84="",D84,G84)," (",Q84,"–",V84," : #",AR84,")"),_xlfn.CONCAT(IF(G84="",D84,G84)," (",Q84,"–",V84,": #",AR84,")"))</f>
        <v>Reginald (1885–1917: #81)</v>
      </c>
      <c r="AT84" s="353" t="str">
        <f>IF(V84="",_xlfn.CONCAT(IF(G84="",D84,G84)," (",Q84,"– ",V84,")"),_xlfn.CONCAT(IF(G84="",D84,G84)," (",Q84,"–",V84,")"))</f>
        <v>Reginald (1885–1917)</v>
      </c>
      <c r="AU84" s="352" t="str">
        <f t="shared" si="45"/>
        <v>Male</v>
      </c>
      <c r="AV84" s="355" t="s">
        <v>4381</v>
      </c>
      <c r="AW84" s="319" t="str">
        <f>VLOOKUP(AV84,'Mums of Loyd Edit&amp;Partner Edit'!$B$3:$C$66,2,FALSE)</f>
        <v>The Hon Clementina Georgina BROWNLOW (b. 13 Jan 1868, d. 1 Sep 1929)</v>
      </c>
      <c r="AX84" s="360">
        <v>44</v>
      </c>
      <c r="AY84" s="355" t="str">
        <f t="shared" si="53"/>
        <v>Harry (1861–1938: #44)</v>
      </c>
      <c r="AZ84" s="361">
        <f>VLOOKUP(AX84,Lineage!$A$1:$C$200,2,FALSE)</f>
        <v>23</v>
      </c>
      <c r="BA84" s="362" t="str">
        <f t="shared" si="73"/>
        <v>William (1821–1885: #23)</v>
      </c>
      <c r="BB84" s="368">
        <f>BiographyMarriageDetsCountries!A83</f>
        <v>81</v>
      </c>
      <c r="BC84" s="319"/>
      <c r="BD84" s="362"/>
      <c r="BF84" s="324"/>
      <c r="BG84" s="357">
        <f t="shared" si="63"/>
        <v>81</v>
      </c>
      <c r="BH84" s="289" t="str">
        <f t="shared" si="64"/>
        <v>Reginald Percy LOYD</v>
      </c>
      <c r="BI84" s="289" t="str">
        <f t="shared" si="65"/>
        <v>Reginald (1885–1917)</v>
      </c>
      <c r="BJ84" s="304" t="str">
        <f t="shared" si="66"/>
        <v>Male</v>
      </c>
      <c r="BK84" s="304">
        <f t="shared" si="67"/>
        <v>4</v>
      </c>
      <c r="BL84" s="289" t="str">
        <f t="shared" si="68"/>
        <v>Harry (1861–1938: #44)</v>
      </c>
      <c r="BM84" s="289" t="str">
        <f t="shared" si="69"/>
        <v>The Hon Clementina Georgina BROWNLOW (b. 13 Jan 1868, d. 1 Sep 1929)</v>
      </c>
      <c r="BN84" s="367" t="str">
        <f t="shared" si="70"/>
        <v>20-Jun-1885</v>
      </c>
      <c r="BO84" s="367" t="str">
        <f t="shared" si="71"/>
        <v>01-Dec-1917</v>
      </c>
      <c r="BP84" s="365" t="str">
        <f t="shared" si="72"/>
        <v>Died 01-Dec-1917, aged 32.</v>
      </c>
    </row>
    <row r="85" spans="1:68" s="289" customFormat="1" ht="40">
      <c r="A85" s="302">
        <v>82</v>
      </c>
      <c r="B85" s="364">
        <v>4</v>
      </c>
      <c r="C85" s="288" t="s">
        <v>782</v>
      </c>
      <c r="D85" s="289" t="s">
        <v>834</v>
      </c>
      <c r="E85" s="289" t="s">
        <v>835</v>
      </c>
      <c r="H85" s="304" t="s">
        <v>3245</v>
      </c>
      <c r="I85" s="306" t="s">
        <v>4482</v>
      </c>
      <c r="J85" s="306">
        <v>1955</v>
      </c>
      <c r="K85" s="308" t="s">
        <v>4562</v>
      </c>
      <c r="L85" s="308" t="s">
        <v>4562</v>
      </c>
      <c r="M85" s="323" t="s">
        <v>3213</v>
      </c>
      <c r="N85" s="323"/>
      <c r="O85" s="348">
        <f t="shared" si="54"/>
        <v>14</v>
      </c>
      <c r="P85" s="345">
        <f t="shared" si="46"/>
        <v>7</v>
      </c>
      <c r="Q85" s="345">
        <f t="shared" si="47"/>
        <v>1896</v>
      </c>
      <c r="R85" s="344" t="str">
        <f t="shared" si="55"/>
        <v>Jul</v>
      </c>
      <c r="S85" s="344">
        <f t="shared" si="48"/>
        <v>10</v>
      </c>
      <c r="T85" s="344">
        <f t="shared" si="49"/>
        <v>11</v>
      </c>
      <c r="U85" s="344">
        <f t="shared" si="50"/>
        <v>10</v>
      </c>
      <c r="V85" s="344">
        <f t="shared" si="51"/>
        <v>1955</v>
      </c>
      <c r="W85" s="344" t="str">
        <f t="shared" si="56"/>
        <v>Oct</v>
      </c>
      <c r="X85" s="344"/>
      <c r="Y85" s="344"/>
      <c r="Z85" s="314" t="str">
        <f t="shared" si="74"/>
        <v>14-Jul-1896</v>
      </c>
      <c r="AA85" s="314" t="str">
        <f t="shared" si="57"/>
        <v>11-Oct-1955</v>
      </c>
      <c r="AB85" s="314">
        <f t="shared" si="58"/>
        <v>59</v>
      </c>
      <c r="AC85" s="314">
        <f t="shared" si="59"/>
        <v>125</v>
      </c>
      <c r="AD85" s="347" t="str">
        <f t="shared" si="60"/>
        <v>Died 11-Oct-1955, aged 59.</v>
      </c>
      <c r="AE85" s="305"/>
      <c r="AF85" s="303"/>
      <c r="AG85" s="303"/>
      <c r="AH85" s="303"/>
      <c r="AI85" s="289" t="s">
        <v>2793</v>
      </c>
      <c r="AJ85" s="289" t="s">
        <v>2793</v>
      </c>
      <c r="AK85" s="344" t="str">
        <f t="shared" si="61"/>
        <v xml:space="preserve"> -</v>
      </c>
      <c r="AL85" s="344" t="str">
        <f t="shared" si="75"/>
        <v xml:space="preserve"> -</v>
      </c>
      <c r="AM85" s="344" t="str">
        <f t="shared" si="76"/>
        <v xml:space="preserve"> -</v>
      </c>
      <c r="AN85" s="344" t="str">
        <f t="shared" si="62"/>
        <v xml:space="preserve"> -</v>
      </c>
      <c r="AO85" s="344" t="str">
        <f t="shared" si="52"/>
        <v xml:space="preserve"> -</v>
      </c>
      <c r="AR85" s="350">
        <f>A85</f>
        <v>82</v>
      </c>
      <c r="AS85" s="353" t="str">
        <f>IF(V85="",_xlfn.CONCAT(IF(G85="",D85,G85)," (",Q85,"–",V85," : #",AR85,")"),_xlfn.CONCAT(IF(G85="",D85,G85)," (",Q85,"–",V85,": #",AR85,")"))</f>
        <v>Wilfred (1896–1955: #82)</v>
      </c>
      <c r="AT85" s="353" t="str">
        <f>IF(V85="",_xlfn.CONCAT(IF(G85="",D85,G85)," (",Q85,"– ",V85,")"),_xlfn.CONCAT(IF(G85="",D85,G85)," (",Q85,"–",V85,")"))</f>
        <v>Wilfred (1896–1955)</v>
      </c>
      <c r="AU85" s="352" t="str">
        <f t="shared" si="45"/>
        <v>Male</v>
      </c>
      <c r="AV85" s="355" t="s">
        <v>4383</v>
      </c>
      <c r="AW85" s="319" t="str">
        <f>VLOOKUP(AV85,'Mums of Loyd Edit&amp;Partner Edit'!$B$3:$C$66,2,FALSE)</f>
        <v xml:space="preserve">Emily Diana Maria BEAUMONT (b. 25 Dec 1860, d. 4 Jul 1956) </v>
      </c>
      <c r="AX85" s="360">
        <v>46</v>
      </c>
      <c r="AY85" s="355" t="str">
        <f t="shared" si="53"/>
        <v>William (1863–1923: #46)</v>
      </c>
      <c r="AZ85" s="361">
        <f>VLOOKUP(AX85,Lineage!$A$1:$C$200,2,FALSE)</f>
        <v>23</v>
      </c>
      <c r="BA85" s="362" t="str">
        <f t="shared" si="73"/>
        <v>William (1821–1885: #23)</v>
      </c>
      <c r="BB85" s="368">
        <f>BiographyMarriageDetsCountries!A84</f>
        <v>82</v>
      </c>
      <c r="BC85" s="319"/>
      <c r="BD85" s="362"/>
      <c r="BF85" s="324"/>
      <c r="BG85" s="357">
        <f t="shared" si="63"/>
        <v>82</v>
      </c>
      <c r="BH85" s="289" t="str">
        <f t="shared" si="64"/>
        <v>Wilfred Everard LOYD</v>
      </c>
      <c r="BI85" s="289" t="str">
        <f t="shared" si="65"/>
        <v>Wilfred (1896–1955)</v>
      </c>
      <c r="BJ85" s="304" t="str">
        <f t="shared" si="66"/>
        <v>Male</v>
      </c>
      <c r="BK85" s="304">
        <f t="shared" si="67"/>
        <v>4</v>
      </c>
      <c r="BL85" s="289" t="str">
        <f t="shared" si="68"/>
        <v>William (1863–1923: #46)</v>
      </c>
      <c r="BM85" s="289" t="str">
        <f t="shared" si="69"/>
        <v xml:space="preserve">Emily Diana Maria BEAUMONT (b. 25 Dec 1860, d. 4 Jul 1956) </v>
      </c>
      <c r="BN85" s="367" t="str">
        <f t="shared" si="70"/>
        <v>14-Jul-1896</v>
      </c>
      <c r="BO85" s="367" t="str">
        <f t="shared" si="71"/>
        <v>11-Oct-1955</v>
      </c>
      <c r="BP85" s="365" t="str">
        <f t="shared" si="72"/>
        <v>Died 11-Oct-1955, aged 59.</v>
      </c>
    </row>
    <row r="86" spans="1:68" s="289" customFormat="1" ht="40">
      <c r="A86" s="302">
        <v>83</v>
      </c>
      <c r="B86" s="364">
        <v>4</v>
      </c>
      <c r="C86" s="288" t="s">
        <v>782</v>
      </c>
      <c r="D86" s="289" t="s">
        <v>837</v>
      </c>
      <c r="E86" s="289" t="s">
        <v>800</v>
      </c>
      <c r="H86" s="304" t="s">
        <v>3244</v>
      </c>
      <c r="I86" s="306" t="s">
        <v>1943</v>
      </c>
      <c r="J86" s="306">
        <v>1977</v>
      </c>
      <c r="K86" s="308" t="s">
        <v>4563</v>
      </c>
      <c r="L86" s="308" t="s">
        <v>4563</v>
      </c>
      <c r="M86" s="323" t="s">
        <v>3214</v>
      </c>
      <c r="N86" s="323"/>
      <c r="O86" s="348">
        <f t="shared" si="54"/>
        <v>11</v>
      </c>
      <c r="P86" s="345">
        <f t="shared" si="46"/>
        <v>5</v>
      </c>
      <c r="Q86" s="345">
        <f t="shared" si="47"/>
        <v>1898</v>
      </c>
      <c r="R86" s="344" t="str">
        <f t="shared" si="55"/>
        <v>May</v>
      </c>
      <c r="S86" s="344">
        <f t="shared" si="48"/>
        <v>10</v>
      </c>
      <c r="T86" s="344">
        <f t="shared" si="49"/>
        <v>4</v>
      </c>
      <c r="U86" s="344">
        <f t="shared" si="50"/>
        <v>6</v>
      </c>
      <c r="V86" s="344">
        <f t="shared" si="51"/>
        <v>1977</v>
      </c>
      <c r="W86" s="344" t="str">
        <f t="shared" si="56"/>
        <v>Jun</v>
      </c>
      <c r="X86" s="344"/>
      <c r="Y86" s="344"/>
      <c r="Z86" s="314" t="str">
        <f t="shared" si="74"/>
        <v>11-May-1898</v>
      </c>
      <c r="AA86" s="314" t="str">
        <f t="shared" si="57"/>
        <v>04-Jun-1977</v>
      </c>
      <c r="AB86" s="314">
        <f t="shared" si="58"/>
        <v>79</v>
      </c>
      <c r="AC86" s="314">
        <f t="shared" si="59"/>
        <v>123</v>
      </c>
      <c r="AD86" s="347" t="str">
        <f t="shared" si="60"/>
        <v>Died 04-Jun-1977, aged 79.</v>
      </c>
      <c r="AE86" s="305"/>
      <c r="AF86" s="303"/>
      <c r="AG86" s="303"/>
      <c r="AH86" s="303"/>
      <c r="AI86" s="289" t="s">
        <v>2793</v>
      </c>
      <c r="AJ86" s="289" t="s">
        <v>2793</v>
      </c>
      <c r="AK86" s="344" t="str">
        <f t="shared" si="61"/>
        <v xml:space="preserve"> -</v>
      </c>
      <c r="AL86" s="344" t="str">
        <f t="shared" si="75"/>
        <v xml:space="preserve"> -</v>
      </c>
      <c r="AM86" s="344" t="str">
        <f t="shared" si="76"/>
        <v xml:space="preserve"> -</v>
      </c>
      <c r="AN86" s="344" t="str">
        <f t="shared" si="62"/>
        <v xml:space="preserve"> -</v>
      </c>
      <c r="AO86" s="344" t="str">
        <f t="shared" si="52"/>
        <v xml:space="preserve"> -</v>
      </c>
      <c r="AR86" s="350">
        <f>A86</f>
        <v>83</v>
      </c>
      <c r="AS86" s="353" t="str">
        <f>IF(V86="",_xlfn.CONCAT(IF(G86="",D86,G86)," (",Q86,"–",V86," : #",AR86,")"),_xlfn.CONCAT(IF(G86="",D86,G86)," (",Q86,"–",V86,": #",AR86,")"))</f>
        <v>Ruby (1898–1977: #83)</v>
      </c>
      <c r="AT86" s="353" t="str">
        <f>IF(V86="",_xlfn.CONCAT(IF(G86="",D86,G86)," (",Q86,"– ",V86,")"),_xlfn.CONCAT(IF(G86="",D86,G86)," (",Q86,"–",V86,")"))</f>
        <v>Ruby (1898–1977)</v>
      </c>
      <c r="AU86" s="352" t="str">
        <f t="shared" si="45"/>
        <v>Female</v>
      </c>
      <c r="AV86" s="355" t="s">
        <v>4382</v>
      </c>
      <c r="AW86" s="319" t="str">
        <f>VLOOKUP(AV86,'Mums of Loyd Edit&amp;Partner Edit'!$B$3:$C$66,2,FALSE)</f>
        <v>Rebecca Olivia LEWIS (b.13 Aug 1860, d. 18 Mar 1927)</v>
      </c>
      <c r="AX86" s="360">
        <v>45</v>
      </c>
      <c r="AY86" s="355" t="str">
        <f t="shared" si="53"/>
        <v>Llewellyn (1861–1939: #45)</v>
      </c>
      <c r="AZ86" s="361">
        <f>VLOOKUP(AX86,Lineage!$A$1:$C$200,2,FALSE)</f>
        <v>22</v>
      </c>
      <c r="BA86" s="362" t="str">
        <f t="shared" si="73"/>
        <v>Edward (1820–1890: #22)</v>
      </c>
      <c r="BB86" s="368">
        <f>BiographyMarriageDetsCountries!A85</f>
        <v>83</v>
      </c>
      <c r="BC86" s="319"/>
      <c r="BD86" s="362"/>
      <c r="BF86" s="324"/>
      <c r="BG86" s="357">
        <f t="shared" si="63"/>
        <v>83</v>
      </c>
      <c r="BH86" s="289" t="str">
        <f t="shared" si="64"/>
        <v>Ruby May LOYD</v>
      </c>
      <c r="BI86" s="289" t="str">
        <f t="shared" si="65"/>
        <v>Ruby (1898–1977)</v>
      </c>
      <c r="BJ86" s="304" t="str">
        <f t="shared" si="66"/>
        <v>Female</v>
      </c>
      <c r="BK86" s="304">
        <f t="shared" si="67"/>
        <v>4</v>
      </c>
      <c r="BL86" s="289" t="str">
        <f t="shared" si="68"/>
        <v>Llewellyn (1861–1939: #45)</v>
      </c>
      <c r="BM86" s="289" t="str">
        <f t="shared" si="69"/>
        <v>Rebecca Olivia LEWIS (b.13 Aug 1860, d. 18 Mar 1927)</v>
      </c>
      <c r="BN86" s="367" t="str">
        <f t="shared" si="70"/>
        <v>11-May-1898</v>
      </c>
      <c r="BO86" s="367" t="str">
        <f t="shared" si="71"/>
        <v>04-Jun-1977</v>
      </c>
      <c r="BP86" s="365" t="str">
        <f t="shared" si="72"/>
        <v>Died 04-Jun-1977, aged 79.</v>
      </c>
    </row>
    <row r="87" spans="1:68" s="289" customFormat="1" ht="40">
      <c r="A87" s="302">
        <v>84</v>
      </c>
      <c r="B87" s="364">
        <v>4</v>
      </c>
      <c r="C87" s="288" t="s">
        <v>782</v>
      </c>
      <c r="D87" s="289" t="s">
        <v>811</v>
      </c>
      <c r="E87" s="289" t="s">
        <v>2949</v>
      </c>
      <c r="G87" s="289" t="s">
        <v>1404</v>
      </c>
      <c r="H87" s="304" t="s">
        <v>3245</v>
      </c>
      <c r="I87" s="306">
        <v>1902</v>
      </c>
      <c r="J87" s="306">
        <v>1942</v>
      </c>
      <c r="K87" s="307" t="s">
        <v>4585</v>
      </c>
      <c r="L87" s="308">
        <v>873</v>
      </c>
      <c r="M87" s="323" t="s">
        <v>3159</v>
      </c>
      <c r="N87" s="323"/>
      <c r="O87" s="348">
        <f t="shared" si="54"/>
        <v>22</v>
      </c>
      <c r="P87" s="345">
        <f t="shared" si="46"/>
        <v>5</v>
      </c>
      <c r="Q87" s="345">
        <f t="shared" si="47"/>
        <v>1902</v>
      </c>
      <c r="R87" s="344" t="str">
        <f t="shared" si="55"/>
        <v>May</v>
      </c>
      <c r="S87" s="344">
        <f t="shared" si="48"/>
        <v>10</v>
      </c>
      <c r="T87" s="344">
        <f t="shared" si="49"/>
        <v>12</v>
      </c>
      <c r="U87" s="344">
        <f t="shared" si="50"/>
        <v>12</v>
      </c>
      <c r="V87" s="344">
        <f t="shared" si="51"/>
        <v>1942</v>
      </c>
      <c r="W87" s="344" t="str">
        <f t="shared" si="56"/>
        <v>Dec</v>
      </c>
      <c r="X87" s="344"/>
      <c r="Y87" s="344"/>
      <c r="Z87" s="314" t="str">
        <f t="shared" si="74"/>
        <v>22-May-1902</v>
      </c>
      <c r="AA87" s="314" t="str">
        <f t="shared" si="57"/>
        <v>12-Dec-1942</v>
      </c>
      <c r="AB87" s="314">
        <f t="shared" si="58"/>
        <v>40</v>
      </c>
      <c r="AC87" s="314">
        <f t="shared" si="59"/>
        <v>119</v>
      </c>
      <c r="AD87" s="347" t="str">
        <f t="shared" si="60"/>
        <v>Died 12-Dec-1942, aged 40.</v>
      </c>
      <c r="AE87" s="305"/>
      <c r="AF87" s="303"/>
      <c r="AG87" s="303"/>
      <c r="AH87" s="303"/>
      <c r="AI87" s="289" t="s">
        <v>2793</v>
      </c>
      <c r="AJ87" s="289" t="s">
        <v>2793</v>
      </c>
      <c r="AK87" s="344" t="str">
        <f t="shared" si="61"/>
        <v xml:space="preserve"> -</v>
      </c>
      <c r="AL87" s="344" t="str">
        <f t="shared" si="75"/>
        <v xml:space="preserve"> -</v>
      </c>
      <c r="AM87" s="344" t="str">
        <f t="shared" si="76"/>
        <v xml:space="preserve"> -</v>
      </c>
      <c r="AN87" s="344" t="str">
        <f t="shared" si="62"/>
        <v xml:space="preserve"> -</v>
      </c>
      <c r="AO87" s="344" t="str">
        <f t="shared" si="52"/>
        <v xml:space="preserve"> -</v>
      </c>
      <c r="AR87" s="350">
        <f>A87</f>
        <v>84</v>
      </c>
      <c r="AS87" s="353" t="str">
        <f>IF(V87="",_xlfn.CONCAT(IF(G87="",D87,G87)," (",Q87,"–",V87," : #",AR87,")"),_xlfn.CONCAT(IF(G87="",D87,G87)," (",Q87,"–",V87,": #",AR87,")"))</f>
        <v>Eddie (1902–1942: #84)</v>
      </c>
      <c r="AT87" s="353" t="str">
        <f>IF(V87="",_xlfn.CONCAT(IF(G87="",D87,G87)," (",Q87,"– ",V87,")"),_xlfn.CONCAT(IF(G87="",D87,G87)," (",Q87,"–",V87,")"))</f>
        <v>Eddie (1902–1942)</v>
      </c>
      <c r="AU87" s="352" t="str">
        <f t="shared" si="45"/>
        <v>Male</v>
      </c>
      <c r="AV87" s="355" t="s">
        <v>4383</v>
      </c>
      <c r="AW87" s="319" t="str">
        <f>VLOOKUP(AV87,'Mums of Loyd Edit&amp;Partner Edit'!$B$3:$C$66,2,FALSE)</f>
        <v xml:space="preserve">Emily Diana Maria BEAUMONT (b. 25 Dec 1860, d. 4 Jul 1956) </v>
      </c>
      <c r="AX87" s="360">
        <v>46</v>
      </c>
      <c r="AY87" s="355" t="str">
        <f t="shared" si="53"/>
        <v>William (1863–1923: #46)</v>
      </c>
      <c r="AZ87" s="361">
        <f>VLOOKUP(AX87,Lineage!$A$1:$C$200,2,FALSE)</f>
        <v>23</v>
      </c>
      <c r="BA87" s="362" t="str">
        <f t="shared" si="73"/>
        <v>William (1821–1885: #23)</v>
      </c>
      <c r="BB87" s="368">
        <f>BiographyMarriageDetsCountries!A86</f>
        <v>84</v>
      </c>
      <c r="BC87" s="319"/>
      <c r="BD87" s="362"/>
      <c r="BF87" s="324"/>
      <c r="BG87" s="357">
        <f t="shared" si="63"/>
        <v>84</v>
      </c>
      <c r="BH87" s="289" t="str">
        <f t="shared" si="64"/>
        <v>Edward Ernest LOYD</v>
      </c>
      <c r="BI87" s="289" t="str">
        <f t="shared" si="65"/>
        <v>Eddie (1902–1942)</v>
      </c>
      <c r="BJ87" s="304" t="str">
        <f t="shared" si="66"/>
        <v>Male</v>
      </c>
      <c r="BK87" s="304">
        <f t="shared" si="67"/>
        <v>4</v>
      </c>
      <c r="BL87" s="289" t="str">
        <f t="shared" si="68"/>
        <v>William (1863–1923: #46)</v>
      </c>
      <c r="BM87" s="289" t="str">
        <f t="shared" si="69"/>
        <v xml:space="preserve">Emily Diana Maria BEAUMONT (b. 25 Dec 1860, d. 4 Jul 1956) </v>
      </c>
      <c r="BN87" s="367" t="str">
        <f t="shared" si="70"/>
        <v>22-May-1902</v>
      </c>
      <c r="BO87" s="367" t="str">
        <f t="shared" si="71"/>
        <v>12-Dec-1942</v>
      </c>
      <c r="BP87" s="365" t="str">
        <f t="shared" si="72"/>
        <v>Died 12-Dec-1942, aged 40.</v>
      </c>
    </row>
    <row r="88" spans="1:68" s="289" customFormat="1" ht="40">
      <c r="A88" s="302">
        <v>85</v>
      </c>
      <c r="B88" s="364">
        <v>5</v>
      </c>
      <c r="C88" s="288" t="s">
        <v>782</v>
      </c>
      <c r="D88" s="289" t="s">
        <v>839</v>
      </c>
      <c r="H88" s="304" t="s">
        <v>3244</v>
      </c>
      <c r="I88" s="306">
        <v>1912</v>
      </c>
      <c r="J88" s="306">
        <v>2004</v>
      </c>
      <c r="K88" s="307" t="s">
        <v>4586</v>
      </c>
      <c r="L88" s="308">
        <v>4671</v>
      </c>
      <c r="M88" s="323" t="s">
        <v>3215</v>
      </c>
      <c r="N88" s="323"/>
      <c r="O88" s="348">
        <f t="shared" si="54"/>
        <v>14</v>
      </c>
      <c r="P88" s="345">
        <f t="shared" si="46"/>
        <v>10</v>
      </c>
      <c r="Q88" s="345">
        <f t="shared" si="47"/>
        <v>1912</v>
      </c>
      <c r="R88" s="344" t="str">
        <f t="shared" si="55"/>
        <v>Oct</v>
      </c>
      <c r="S88" s="344">
        <f t="shared" si="48"/>
        <v>10</v>
      </c>
      <c r="T88" s="344">
        <f t="shared" si="49"/>
        <v>2</v>
      </c>
      <c r="U88" s="344">
        <f t="shared" si="50"/>
        <v>9</v>
      </c>
      <c r="V88" s="344">
        <f t="shared" si="51"/>
        <v>2004</v>
      </c>
      <c r="W88" s="344" t="str">
        <f t="shared" si="56"/>
        <v>Sep</v>
      </c>
      <c r="X88" s="344"/>
      <c r="Y88" s="344"/>
      <c r="Z88" s="314" t="str">
        <f t="shared" si="74"/>
        <v>14-Oct-1912</v>
      </c>
      <c r="AA88" s="314" t="str">
        <f t="shared" si="57"/>
        <v>02-Sep-2004</v>
      </c>
      <c r="AB88" s="314">
        <f t="shared" si="58"/>
        <v>91</v>
      </c>
      <c r="AC88" s="314">
        <f t="shared" si="59"/>
        <v>109</v>
      </c>
      <c r="AD88" s="347" t="str">
        <f t="shared" si="60"/>
        <v>Died 02-Sep-2004, aged 91.</v>
      </c>
      <c r="AE88" s="305"/>
      <c r="AF88" s="303"/>
      <c r="AG88" s="303"/>
      <c r="AH88" s="303"/>
      <c r="AI88" s="327">
        <v>13527</v>
      </c>
      <c r="AJ88" s="328" t="s">
        <v>4715</v>
      </c>
      <c r="AK88" s="344" t="str">
        <f t="shared" si="61"/>
        <v>12</v>
      </c>
      <c r="AL88" s="344">
        <f t="shared" si="75"/>
        <v>1</v>
      </c>
      <c r="AM88" s="344">
        <f t="shared" si="76"/>
        <v>1937</v>
      </c>
      <c r="AN88" s="344" t="str">
        <f t="shared" si="62"/>
        <v>Jan</v>
      </c>
      <c r="AO88" s="344" t="str">
        <f t="shared" si="52"/>
        <v>12-Jan-1937</v>
      </c>
      <c r="AQ88" s="327"/>
      <c r="AR88" s="350">
        <f>A88</f>
        <v>85</v>
      </c>
      <c r="AS88" s="353" t="str">
        <f>IF(V88="",_xlfn.CONCAT(IF(G88="",D88,G88)," (",Q88,"–",V88," : #",AR88,")"),_xlfn.CONCAT(IF(G88="",D88,G88)," (",Q88,"–",V88,": #",AR88,")"))</f>
        <v>Anne (1912–2004: #85)</v>
      </c>
      <c r="AT88" s="353" t="str">
        <f>IF(V88="",_xlfn.CONCAT(IF(G88="",D88,G88)," (",Q88,"– ",V88,")"),_xlfn.CONCAT(IF(G88="",D88,G88)," (",Q88,"–",V88,")"))</f>
        <v>Anne (1912–2004)</v>
      </c>
      <c r="AU88" s="352" t="str">
        <f t="shared" si="45"/>
        <v>Female</v>
      </c>
      <c r="AV88" s="355" t="s">
        <v>4385</v>
      </c>
      <c r="AW88" s="319" t="str">
        <f>VLOOKUP(AV88,'Mums of Loyd Edit&amp;Partner Edit'!$B$3:$C$66,2,FALSE)</f>
        <v>Dorothy WILLERT (b. 19 Jan 1886, d. 15 Jan 1966)</v>
      </c>
      <c r="AX88" s="360">
        <v>56</v>
      </c>
      <c r="AY88" s="355" t="str">
        <f t="shared" si="53"/>
        <v>Tommy (1882–1944: #56)</v>
      </c>
      <c r="AZ88" s="361">
        <f>VLOOKUP(AX88,Lineage!$A$1:$C$200,2,FALSE)</f>
        <v>28</v>
      </c>
      <c r="BA88" s="362" t="str">
        <f t="shared" si="73"/>
        <v>The Rev Lewis (1844–1905: #28)</v>
      </c>
      <c r="BB88" s="368">
        <f>BiographyMarriageDetsCountries!A87</f>
        <v>85</v>
      </c>
      <c r="BC88" s="319"/>
      <c r="BD88" s="362"/>
      <c r="BF88" s="324"/>
      <c r="BG88" s="357">
        <f t="shared" si="63"/>
        <v>85</v>
      </c>
      <c r="BH88" s="289" t="str">
        <f t="shared" si="64"/>
        <v>Anne LOYD</v>
      </c>
      <c r="BI88" s="289" t="str">
        <f t="shared" si="65"/>
        <v>Anne (1912–2004)</v>
      </c>
      <c r="BJ88" s="304" t="str">
        <f t="shared" si="66"/>
        <v>Female</v>
      </c>
      <c r="BK88" s="304">
        <f t="shared" si="67"/>
        <v>5</v>
      </c>
      <c r="BL88" s="289" t="str">
        <f t="shared" si="68"/>
        <v>Tommy (1882–1944: #56)</v>
      </c>
      <c r="BM88" s="289" t="str">
        <f t="shared" si="69"/>
        <v>Dorothy WILLERT (b. 19 Jan 1886, d. 15 Jan 1966)</v>
      </c>
      <c r="BN88" s="367" t="str">
        <f t="shared" si="70"/>
        <v>14-Oct-1912</v>
      </c>
      <c r="BO88" s="367" t="str">
        <f t="shared" si="71"/>
        <v>02-Sep-2004</v>
      </c>
      <c r="BP88" s="365" t="str">
        <f t="shared" si="72"/>
        <v>Died 02-Sep-2004, aged 91.</v>
      </c>
    </row>
    <row r="89" spans="1:68" s="289" customFormat="1" ht="40">
      <c r="A89" s="302">
        <v>86</v>
      </c>
      <c r="B89" s="364">
        <v>5</v>
      </c>
      <c r="C89" s="288" t="s">
        <v>782</v>
      </c>
      <c r="D89" s="289" t="s">
        <v>841</v>
      </c>
      <c r="E89" s="289" t="s">
        <v>805</v>
      </c>
      <c r="G89" s="289" t="s">
        <v>865</v>
      </c>
      <c r="H89" s="304" t="s">
        <v>3245</v>
      </c>
      <c r="I89" s="306">
        <v>1913</v>
      </c>
      <c r="J89" s="306">
        <v>2008</v>
      </c>
      <c r="K89" s="307" t="s">
        <v>4587</v>
      </c>
      <c r="L89" s="308">
        <v>4973</v>
      </c>
      <c r="M89" s="323" t="s">
        <v>3216</v>
      </c>
      <c r="N89" s="323"/>
      <c r="O89" s="348">
        <f t="shared" si="54"/>
        <v>12</v>
      </c>
      <c r="P89" s="345">
        <f t="shared" si="46"/>
        <v>8</v>
      </c>
      <c r="Q89" s="345">
        <f t="shared" si="47"/>
        <v>1913</v>
      </c>
      <c r="R89" s="344" t="str">
        <f t="shared" si="55"/>
        <v>Aug</v>
      </c>
      <c r="S89" s="344">
        <f t="shared" si="48"/>
        <v>10</v>
      </c>
      <c r="T89" s="344">
        <f t="shared" si="49"/>
        <v>2</v>
      </c>
      <c r="U89" s="344">
        <f t="shared" si="50"/>
        <v>7</v>
      </c>
      <c r="V89" s="344">
        <f t="shared" si="51"/>
        <v>2008</v>
      </c>
      <c r="W89" s="344" t="str">
        <f t="shared" si="56"/>
        <v>Jul</v>
      </c>
      <c r="X89" s="344"/>
      <c r="Y89" s="344"/>
      <c r="Z89" s="314" t="str">
        <f t="shared" si="74"/>
        <v>12-Aug-1913</v>
      </c>
      <c r="AA89" s="314" t="str">
        <f t="shared" si="57"/>
        <v>02-Jul-2008</v>
      </c>
      <c r="AB89" s="314">
        <f t="shared" si="58"/>
        <v>94</v>
      </c>
      <c r="AC89" s="314">
        <f t="shared" si="59"/>
        <v>108</v>
      </c>
      <c r="AD89" s="347" t="str">
        <f t="shared" si="60"/>
        <v>Died 02-Jul-2008, aged 94.</v>
      </c>
      <c r="AE89" s="305"/>
      <c r="AF89" s="303"/>
      <c r="AG89" s="303"/>
      <c r="AH89" s="303"/>
      <c r="AI89" s="327">
        <v>18368</v>
      </c>
      <c r="AJ89" s="328" t="s">
        <v>4716</v>
      </c>
      <c r="AK89" s="344" t="str">
        <f t="shared" si="61"/>
        <v>15</v>
      </c>
      <c r="AL89" s="344">
        <f t="shared" si="75"/>
        <v>4</v>
      </c>
      <c r="AM89" s="344">
        <f t="shared" si="76"/>
        <v>1950</v>
      </c>
      <c r="AN89" s="344" t="str">
        <f t="shared" si="62"/>
        <v>Apr</v>
      </c>
      <c r="AO89" s="344" t="str">
        <f t="shared" si="52"/>
        <v>15-Apr-1950</v>
      </c>
      <c r="AQ89" s="327"/>
      <c r="AR89" s="350">
        <f>A89</f>
        <v>86</v>
      </c>
      <c r="AS89" s="353" t="str">
        <f>IF(V89="",_xlfn.CONCAT(IF(G89="",D89,G89)," (",Q89,"–",V89," : #",AR89,")"),_xlfn.CONCAT(IF(G89="",D89,G89)," (",Q89,"–",V89,": #",AR89,")"))</f>
        <v>Peter (1913–2008: #86)</v>
      </c>
      <c r="AT89" s="353" t="str">
        <f>IF(V89="",_xlfn.CONCAT(IF(G89="",D89,G89)," (",Q89,"– ",V89,")"),_xlfn.CONCAT(IF(G89="",D89,G89)," (",Q89,"–",V89,")"))</f>
        <v>Peter (1913–2008)</v>
      </c>
      <c r="AU89" s="352" t="str">
        <f t="shared" si="45"/>
        <v>Male</v>
      </c>
      <c r="AV89" s="355" t="s">
        <v>4386</v>
      </c>
      <c r="AW89" s="319" t="str">
        <f>VLOOKUP(AV89,'Mums of Loyd Edit&amp;Partner Edit'!$B$3:$C$66,2,FALSE)</f>
        <v>Ivy Nina TWINING (b. 2 Aug 1884, d. 12 Jul 1950)</v>
      </c>
      <c r="AX89" s="360">
        <v>71</v>
      </c>
      <c r="AY89" s="355" t="str">
        <f t="shared" si="53"/>
        <v>Arthur (1890–1974: #71)</v>
      </c>
      <c r="AZ89" s="361">
        <f>VLOOKUP(AX89,Lineage!$A$1:$C$200,2,FALSE)</f>
        <v>34</v>
      </c>
      <c r="BA89" s="362" t="str">
        <f t="shared" si="73"/>
        <v>Ted (1851–1922: #34)</v>
      </c>
      <c r="BB89" s="368">
        <f>BiographyMarriageDetsCountries!A88</f>
        <v>86</v>
      </c>
      <c r="BC89" s="319"/>
      <c r="BD89" s="362"/>
      <c r="BF89" s="324"/>
      <c r="BG89" s="357">
        <f t="shared" si="63"/>
        <v>86</v>
      </c>
      <c r="BH89" s="289" t="str">
        <f t="shared" si="64"/>
        <v>Norman Kesteven LOYD</v>
      </c>
      <c r="BI89" s="289" t="str">
        <f t="shared" si="65"/>
        <v>Peter (1913–2008)</v>
      </c>
      <c r="BJ89" s="304" t="str">
        <f t="shared" si="66"/>
        <v>Male</v>
      </c>
      <c r="BK89" s="304">
        <f t="shared" si="67"/>
        <v>5</v>
      </c>
      <c r="BL89" s="289" t="str">
        <f t="shared" si="68"/>
        <v>Arthur (1890–1974: #71)</v>
      </c>
      <c r="BM89" s="289" t="str">
        <f t="shared" si="69"/>
        <v>Ivy Nina TWINING (b. 2 Aug 1884, d. 12 Jul 1950)</v>
      </c>
      <c r="BN89" s="367" t="str">
        <f t="shared" si="70"/>
        <v>12-Aug-1913</v>
      </c>
      <c r="BO89" s="367" t="str">
        <f t="shared" si="71"/>
        <v>02-Jul-2008</v>
      </c>
      <c r="BP89" s="365" t="str">
        <f t="shared" si="72"/>
        <v>Died 02-Jul-2008, aged 94.</v>
      </c>
    </row>
    <row r="90" spans="1:68" s="289" customFormat="1" ht="40">
      <c r="A90" s="302">
        <v>87</v>
      </c>
      <c r="B90" s="364">
        <v>5</v>
      </c>
      <c r="C90" s="288" t="s">
        <v>782</v>
      </c>
      <c r="D90" s="289" t="s">
        <v>842</v>
      </c>
      <c r="E90" s="289" t="s">
        <v>843</v>
      </c>
      <c r="H90" s="304" t="s">
        <v>3245</v>
      </c>
      <c r="I90" s="306">
        <v>1913</v>
      </c>
      <c r="J90" s="306">
        <v>1943</v>
      </c>
      <c r="K90" s="307" t="s">
        <v>4588</v>
      </c>
      <c r="L90" s="308">
        <v>5039</v>
      </c>
      <c r="M90" s="323" t="s">
        <v>3819</v>
      </c>
      <c r="N90" s="323"/>
      <c r="O90" s="348">
        <f t="shared" si="54"/>
        <v>17</v>
      </c>
      <c r="P90" s="345">
        <f t="shared" si="46"/>
        <v>10</v>
      </c>
      <c r="Q90" s="345">
        <f t="shared" si="47"/>
        <v>1913</v>
      </c>
      <c r="R90" s="344" t="str">
        <f t="shared" si="55"/>
        <v>Oct</v>
      </c>
      <c r="S90" s="344">
        <f t="shared" si="48"/>
        <v>10</v>
      </c>
      <c r="T90" s="344">
        <f t="shared" si="49"/>
        <v>3</v>
      </c>
      <c r="U90" s="344">
        <f t="shared" si="50"/>
        <v>10</v>
      </c>
      <c r="V90" s="344">
        <f t="shared" si="51"/>
        <v>1943</v>
      </c>
      <c r="W90" s="344" t="str">
        <f t="shared" si="56"/>
        <v>Oct</v>
      </c>
      <c r="X90" s="344"/>
      <c r="Y90" s="344"/>
      <c r="Z90" s="314" t="str">
        <f t="shared" si="74"/>
        <v>17-Oct-1913</v>
      </c>
      <c r="AA90" s="314" t="str">
        <f t="shared" si="57"/>
        <v>03-Oct-1943</v>
      </c>
      <c r="AB90" s="314">
        <f t="shared" si="58"/>
        <v>29</v>
      </c>
      <c r="AC90" s="314">
        <f t="shared" si="59"/>
        <v>108</v>
      </c>
      <c r="AD90" s="347" t="str">
        <f t="shared" si="60"/>
        <v>Died 03-Oct-1943, aged 29.</v>
      </c>
      <c r="AE90" s="305"/>
      <c r="AF90" s="303"/>
      <c r="AG90" s="303"/>
      <c r="AH90" s="303"/>
      <c r="AI90" s="289" t="s">
        <v>2793</v>
      </c>
      <c r="AJ90" s="289" t="s">
        <v>2793</v>
      </c>
      <c r="AK90" s="344" t="str">
        <f t="shared" si="61"/>
        <v xml:space="preserve"> -</v>
      </c>
      <c r="AL90" s="344" t="str">
        <f t="shared" si="75"/>
        <v xml:space="preserve"> -</v>
      </c>
      <c r="AM90" s="344" t="str">
        <f t="shared" si="76"/>
        <v xml:space="preserve"> -</v>
      </c>
      <c r="AN90" s="344" t="str">
        <f t="shared" si="62"/>
        <v xml:space="preserve"> -</v>
      </c>
      <c r="AO90" s="344" t="str">
        <f t="shared" si="52"/>
        <v xml:space="preserve"> -</v>
      </c>
      <c r="AR90" s="350">
        <f>A90</f>
        <v>87</v>
      </c>
      <c r="AS90" s="353" t="str">
        <f>IF(V90="",_xlfn.CONCAT(IF(G90="",D90,G90)," (",Q90,"–",V90," : #",AR90,")"),_xlfn.CONCAT(IF(G90="",D90,G90)," (",Q90,"–",V90,": #",AR90,")"))</f>
        <v>John (1913–1943: #87)</v>
      </c>
      <c r="AT90" s="353" t="str">
        <f>IF(V90="",_xlfn.CONCAT(IF(G90="",D90,G90)," (",Q90,"– ",V90,")"),_xlfn.CONCAT(IF(G90="",D90,G90)," (",Q90,"–",V90,")"))</f>
        <v>John (1913–1943)</v>
      </c>
      <c r="AU90" s="352" t="str">
        <f t="shared" si="45"/>
        <v>Male</v>
      </c>
      <c r="AV90" s="355" t="s">
        <v>4385</v>
      </c>
      <c r="AW90" s="319" t="str">
        <f>VLOOKUP(AV90,'Mums of Loyd Edit&amp;Partner Edit'!$B$3:$C$66,2,FALSE)</f>
        <v>Dorothy WILLERT (b. 19 Jan 1886, d. 15 Jan 1966)</v>
      </c>
      <c r="AX90" s="360">
        <v>56</v>
      </c>
      <c r="AY90" s="355" t="str">
        <f t="shared" si="53"/>
        <v>Tommy (1882–1944: #56)</v>
      </c>
      <c r="AZ90" s="361">
        <f>VLOOKUP(AX90,Lineage!$A$1:$C$200,2,FALSE)</f>
        <v>28</v>
      </c>
      <c r="BA90" s="362" t="str">
        <f t="shared" si="73"/>
        <v>The Rev Lewis (1844–1905: #28)</v>
      </c>
      <c r="BB90" s="368">
        <f>BiographyMarriageDetsCountries!A89</f>
        <v>87</v>
      </c>
      <c r="BC90" s="319"/>
      <c r="BD90" s="362"/>
      <c r="BF90" s="324"/>
      <c r="BG90" s="357">
        <f t="shared" si="63"/>
        <v>87</v>
      </c>
      <c r="BH90" s="289" t="str">
        <f t="shared" si="64"/>
        <v>John Lindsay LOYD</v>
      </c>
      <c r="BI90" s="289" t="str">
        <f t="shared" si="65"/>
        <v>John (1913–1943)</v>
      </c>
      <c r="BJ90" s="304" t="str">
        <f t="shared" si="66"/>
        <v>Male</v>
      </c>
      <c r="BK90" s="304">
        <f t="shared" si="67"/>
        <v>5</v>
      </c>
      <c r="BL90" s="289" t="str">
        <f t="shared" si="68"/>
        <v>Tommy (1882–1944: #56)</v>
      </c>
      <c r="BM90" s="289" t="str">
        <f t="shared" si="69"/>
        <v>Dorothy WILLERT (b. 19 Jan 1886, d. 15 Jan 1966)</v>
      </c>
      <c r="BN90" s="367" t="str">
        <f t="shared" si="70"/>
        <v>17-Oct-1913</v>
      </c>
      <c r="BO90" s="367" t="str">
        <f t="shared" si="71"/>
        <v>03-Oct-1943</v>
      </c>
      <c r="BP90" s="365" t="str">
        <f t="shared" si="72"/>
        <v>Died 03-Oct-1943, aged 29.</v>
      </c>
    </row>
    <row r="91" spans="1:68" s="289" customFormat="1" ht="40">
      <c r="A91" s="302">
        <v>88</v>
      </c>
      <c r="B91" s="364">
        <v>5</v>
      </c>
      <c r="C91" s="288" t="s">
        <v>782</v>
      </c>
      <c r="D91" s="289" t="s">
        <v>844</v>
      </c>
      <c r="E91" s="289" t="s">
        <v>845</v>
      </c>
      <c r="F91" s="289" t="s">
        <v>846</v>
      </c>
      <c r="H91" s="304" t="s">
        <v>3244</v>
      </c>
      <c r="I91" s="306">
        <v>1915</v>
      </c>
      <c r="J91" s="306">
        <v>2007</v>
      </c>
      <c r="K91" s="307" t="s">
        <v>4589</v>
      </c>
      <c r="L91" s="308">
        <v>5734</v>
      </c>
      <c r="M91" s="323" t="s">
        <v>3218</v>
      </c>
      <c r="N91" s="323"/>
      <c r="O91" s="348">
        <f t="shared" si="54"/>
        <v>12</v>
      </c>
      <c r="P91" s="345">
        <f t="shared" si="46"/>
        <v>9</v>
      </c>
      <c r="Q91" s="345">
        <f t="shared" si="47"/>
        <v>1915</v>
      </c>
      <c r="R91" s="344" t="str">
        <f t="shared" si="55"/>
        <v>Sep</v>
      </c>
      <c r="S91" s="344">
        <f t="shared" si="48"/>
        <v>10</v>
      </c>
      <c r="T91" s="344">
        <f t="shared" si="49"/>
        <v>10</v>
      </c>
      <c r="U91" s="344">
        <f t="shared" si="50"/>
        <v>1</v>
      </c>
      <c r="V91" s="344">
        <f t="shared" si="51"/>
        <v>2007</v>
      </c>
      <c r="W91" s="344" t="str">
        <f t="shared" si="56"/>
        <v>Jan</v>
      </c>
      <c r="X91" s="344"/>
      <c r="Y91" s="344"/>
      <c r="Z91" s="314" t="str">
        <f t="shared" si="74"/>
        <v>12-Sep-1915</v>
      </c>
      <c r="AA91" s="314" t="str">
        <f t="shared" si="57"/>
        <v>10-Jan-2007</v>
      </c>
      <c r="AB91" s="314">
        <f t="shared" si="58"/>
        <v>91</v>
      </c>
      <c r="AC91" s="314">
        <f t="shared" si="59"/>
        <v>106</v>
      </c>
      <c r="AD91" s="347" t="str">
        <f t="shared" si="60"/>
        <v>Died 10-Jan-2007, aged 91.</v>
      </c>
      <c r="AE91" s="305"/>
      <c r="AF91" s="303"/>
      <c r="AG91" s="303"/>
      <c r="AH91" s="303"/>
      <c r="AI91" s="327">
        <v>12848</v>
      </c>
      <c r="AJ91" s="328" t="s">
        <v>4717</v>
      </c>
      <c r="AK91" s="344" t="str">
        <f t="shared" si="61"/>
        <v>05</v>
      </c>
      <c r="AL91" s="344">
        <f t="shared" si="75"/>
        <v>3</v>
      </c>
      <c r="AM91" s="344">
        <f t="shared" si="76"/>
        <v>1935</v>
      </c>
      <c r="AN91" s="344" t="str">
        <f t="shared" si="62"/>
        <v>Mar</v>
      </c>
      <c r="AO91" s="344" t="str">
        <f t="shared" si="52"/>
        <v>05-Mar-1935</v>
      </c>
      <c r="AQ91" s="327"/>
      <c r="AR91" s="350">
        <f>A91</f>
        <v>88</v>
      </c>
      <c r="AS91" s="353" t="str">
        <f>IF(V91="",_xlfn.CONCAT(IF(G91="",D91,G91)," (",Q91,"–",V91," : #",AR91,")"),_xlfn.CONCAT(IF(G91="",D91,G91)," (",Q91,"–",V91,": #",AR91,")"))</f>
        <v>Delia (1915–2007: #88)</v>
      </c>
      <c r="AT91" s="353" t="str">
        <f>IF(V91="",_xlfn.CONCAT(IF(G91="",D91,G91)," (",Q91,"– ",V91,")"),_xlfn.CONCAT(IF(G91="",D91,G91)," (",Q91,"–",V91,")"))</f>
        <v>Delia (1915–2007)</v>
      </c>
      <c r="AU91" s="352" t="str">
        <f t="shared" si="45"/>
        <v>Female</v>
      </c>
      <c r="AV91" s="355" t="s">
        <v>4387</v>
      </c>
      <c r="AW91" s="319" t="str">
        <f>VLOOKUP(AV91,'Mums of Loyd Edit&amp;Partner Edit'!$B$3:$C$66,2,FALSE)</f>
        <v>The Hon Bettine Henrietta KNATCHBULL-HUGESSEN (b. 15 Sep 1888, d. 9 Aug 1967)</v>
      </c>
      <c r="AX91" s="360">
        <v>66</v>
      </c>
      <c r="AY91" s="355" t="str">
        <f t="shared" si="53"/>
        <v>William (1889–1947: #66)</v>
      </c>
      <c r="AZ91" s="361">
        <f>VLOOKUP(AX91,Lineage!$A$1:$C$200,2,FALSE)</f>
        <v>44</v>
      </c>
      <c r="BA91" s="362" t="str">
        <f t="shared" si="73"/>
        <v>Harry (1861–1938: #44)</v>
      </c>
      <c r="BB91" s="368">
        <f>BiographyMarriageDetsCountries!A90</f>
        <v>88</v>
      </c>
      <c r="BC91" s="319"/>
      <c r="BD91" s="362"/>
      <c r="BF91" s="324"/>
      <c r="BG91" s="357">
        <f t="shared" si="63"/>
        <v>88</v>
      </c>
      <c r="BH91" s="289" t="str">
        <f t="shared" si="64"/>
        <v>Delia Virginia Georgina LOYD</v>
      </c>
      <c r="BI91" s="289" t="str">
        <f t="shared" si="65"/>
        <v>Delia (1915–2007)</v>
      </c>
      <c r="BJ91" s="304" t="str">
        <f t="shared" si="66"/>
        <v>Female</v>
      </c>
      <c r="BK91" s="304">
        <f t="shared" si="67"/>
        <v>5</v>
      </c>
      <c r="BL91" s="289" t="str">
        <f t="shared" si="68"/>
        <v>William (1889–1947: #66)</v>
      </c>
      <c r="BM91" s="289" t="str">
        <f t="shared" si="69"/>
        <v>The Hon Bettine Henrietta KNATCHBULL-HUGESSEN (b. 15 Sep 1888, d. 9 Aug 1967)</v>
      </c>
      <c r="BN91" s="367" t="str">
        <f t="shared" si="70"/>
        <v>12-Sep-1915</v>
      </c>
      <c r="BO91" s="367" t="str">
        <f t="shared" si="71"/>
        <v>10-Jan-2007</v>
      </c>
      <c r="BP91" s="365" t="str">
        <f t="shared" si="72"/>
        <v>Died 10-Jan-2007, aged 91.</v>
      </c>
    </row>
    <row r="92" spans="1:68" s="289" customFormat="1" ht="40">
      <c r="A92" s="302">
        <v>89</v>
      </c>
      <c r="B92" s="364">
        <v>5</v>
      </c>
      <c r="C92" s="288" t="s">
        <v>782</v>
      </c>
      <c r="D92" s="289" t="s">
        <v>848</v>
      </c>
      <c r="E92" s="289" t="s">
        <v>1063</v>
      </c>
      <c r="G92" s="289" t="s">
        <v>3042</v>
      </c>
      <c r="H92" s="304" t="s">
        <v>3245</v>
      </c>
      <c r="I92" s="306">
        <v>1916</v>
      </c>
      <c r="J92" s="306">
        <v>2006</v>
      </c>
      <c r="K92" s="307" t="s">
        <v>4590</v>
      </c>
      <c r="L92" s="308">
        <v>6093</v>
      </c>
      <c r="M92" s="323" t="s">
        <v>3219</v>
      </c>
      <c r="N92" s="323"/>
      <c r="O92" s="348">
        <f t="shared" si="54"/>
        <v>15</v>
      </c>
      <c r="P92" s="345">
        <f t="shared" si="46"/>
        <v>9</v>
      </c>
      <c r="Q92" s="345">
        <f t="shared" si="47"/>
        <v>1916</v>
      </c>
      <c r="R92" s="344" t="str">
        <f t="shared" si="55"/>
        <v>Sep</v>
      </c>
      <c r="S92" s="344">
        <f t="shared" si="48"/>
        <v>10</v>
      </c>
      <c r="T92" s="344">
        <f t="shared" si="49"/>
        <v>13</v>
      </c>
      <c r="U92" s="344">
        <f t="shared" si="50"/>
        <v>12</v>
      </c>
      <c r="V92" s="344">
        <f t="shared" si="51"/>
        <v>2006</v>
      </c>
      <c r="W92" s="344" t="str">
        <f t="shared" si="56"/>
        <v>Dec</v>
      </c>
      <c r="X92" s="344"/>
      <c r="Y92" s="344"/>
      <c r="Z92" s="314" t="str">
        <f t="shared" si="74"/>
        <v>15-Sep-1916</v>
      </c>
      <c r="AA92" s="314" t="str">
        <f t="shared" si="57"/>
        <v>13-Dec-2006</v>
      </c>
      <c r="AB92" s="314">
        <f t="shared" si="58"/>
        <v>90</v>
      </c>
      <c r="AC92" s="314">
        <f t="shared" si="59"/>
        <v>105</v>
      </c>
      <c r="AD92" s="347" t="str">
        <f t="shared" si="60"/>
        <v>Died 13-Dec-2006, aged 90.</v>
      </c>
      <c r="AE92" s="305"/>
      <c r="AF92" s="303"/>
      <c r="AG92" s="303"/>
      <c r="AH92" s="303"/>
      <c r="AI92" s="327">
        <v>16877</v>
      </c>
      <c r="AJ92" s="328" t="s">
        <v>4718</v>
      </c>
      <c r="AK92" s="344" t="str">
        <f t="shared" si="61"/>
        <v>16</v>
      </c>
      <c r="AL92" s="344">
        <f t="shared" si="75"/>
        <v>3</v>
      </c>
      <c r="AM92" s="344">
        <f t="shared" si="76"/>
        <v>1946</v>
      </c>
      <c r="AN92" s="344" t="str">
        <f t="shared" si="62"/>
        <v>Mar</v>
      </c>
      <c r="AO92" s="344" t="str">
        <f t="shared" si="52"/>
        <v>16-Mar-1946</v>
      </c>
      <c r="AQ92" s="327"/>
      <c r="AR92" s="350">
        <f>A92</f>
        <v>89</v>
      </c>
      <c r="AS92" s="353" t="str">
        <f>IF(V92="",_xlfn.CONCAT(IF(G92="",D92,G92)," (",Q92,"–",V92," : #",AR92,")"),_xlfn.CONCAT(IF(G92="",D92,G92)," (",Q92,"–",V92,": #",AR92,")"))</f>
        <v>Sir Francis/Frank (1916–2006: #89)</v>
      </c>
      <c r="AT92" s="353" t="str">
        <f>IF(V92="",_xlfn.CONCAT(IF(G92="",D92,G92)," (",Q92,"– ",V92,")"),_xlfn.CONCAT(IF(G92="",D92,G92)," (",Q92,"–",V92,")"))</f>
        <v>Sir Francis/Frank (1916–2006)</v>
      </c>
      <c r="AU92" s="352" t="str">
        <f t="shared" si="45"/>
        <v>Male</v>
      </c>
      <c r="AV92" s="355" t="s">
        <v>4388</v>
      </c>
      <c r="AW92" s="319" t="str">
        <f>VLOOKUP(AV92,'Mums of Loyd Edit&amp;Partner Edit'!$B$3:$C$66,2,FALSE)</f>
        <v>Ada Maud Keele GILES (b. 11 Apr 1884, d. 19 Jul 1955)</v>
      </c>
      <c r="AX92" s="360">
        <v>54</v>
      </c>
      <c r="AY92" s="355" t="str">
        <f t="shared" si="53"/>
        <v>Alfred (1882–1919: #54)</v>
      </c>
      <c r="AZ92" s="361">
        <f>VLOOKUP(AX92,Lineage!$A$1:$C$200,2,FALSE)</f>
        <v>32</v>
      </c>
      <c r="BA92" s="362" t="str">
        <f t="shared" si="73"/>
        <v>Frank (1848–1934: #32)</v>
      </c>
      <c r="BB92" s="368">
        <f>BiographyMarriageDetsCountries!A91</f>
        <v>89</v>
      </c>
      <c r="BC92" s="319"/>
      <c r="BD92" s="362"/>
      <c r="BF92" s="324"/>
      <c r="BG92" s="357">
        <f t="shared" si="63"/>
        <v>89</v>
      </c>
      <c r="BH92" s="289" t="str">
        <f t="shared" si="64"/>
        <v>Francis Alfred LOYD</v>
      </c>
      <c r="BI92" s="289" t="str">
        <f t="shared" si="65"/>
        <v>Sir Francis/Frank (1916–2006)</v>
      </c>
      <c r="BJ92" s="304" t="str">
        <f t="shared" si="66"/>
        <v>Male</v>
      </c>
      <c r="BK92" s="304">
        <f t="shared" si="67"/>
        <v>5</v>
      </c>
      <c r="BL92" s="289" t="str">
        <f t="shared" si="68"/>
        <v>Alfred (1882–1919: #54)</v>
      </c>
      <c r="BM92" s="289" t="str">
        <f t="shared" si="69"/>
        <v>Ada Maud Keele GILES (b. 11 Apr 1884, d. 19 Jul 1955)</v>
      </c>
      <c r="BN92" s="367" t="str">
        <f t="shared" si="70"/>
        <v>15-Sep-1916</v>
      </c>
      <c r="BO92" s="367" t="str">
        <f t="shared" si="71"/>
        <v>13-Dec-2006</v>
      </c>
      <c r="BP92" s="365" t="str">
        <f t="shared" si="72"/>
        <v>Died 13-Dec-2006, aged 90.</v>
      </c>
    </row>
    <row r="93" spans="1:68" s="289" customFormat="1" ht="40">
      <c r="A93" s="302">
        <v>90</v>
      </c>
      <c r="B93" s="364">
        <v>5</v>
      </c>
      <c r="C93" s="288" t="s">
        <v>782</v>
      </c>
      <c r="D93" s="289" t="s">
        <v>849</v>
      </c>
      <c r="E93" s="289" t="s">
        <v>850</v>
      </c>
      <c r="H93" s="304" t="s">
        <v>3244</v>
      </c>
      <c r="I93" s="306">
        <v>1917</v>
      </c>
      <c r="J93" s="306">
        <v>1993</v>
      </c>
      <c r="K93" s="307" t="s">
        <v>4591</v>
      </c>
      <c r="L93" s="308">
        <v>6293</v>
      </c>
      <c r="M93" s="323" t="s">
        <v>3220</v>
      </c>
      <c r="N93" s="323"/>
      <c r="O93" s="348">
        <f t="shared" si="54"/>
        <v>24</v>
      </c>
      <c r="P93" s="345">
        <f t="shared" si="46"/>
        <v>3</v>
      </c>
      <c r="Q93" s="345">
        <f t="shared" si="47"/>
        <v>1917</v>
      </c>
      <c r="R93" s="344" t="str">
        <f t="shared" si="55"/>
        <v>Mar</v>
      </c>
      <c r="S93" s="344">
        <f t="shared" si="48"/>
        <v>10</v>
      </c>
      <c r="T93" s="344">
        <f t="shared" si="49"/>
        <v>21</v>
      </c>
      <c r="U93" s="344">
        <f t="shared" si="50"/>
        <v>8</v>
      </c>
      <c r="V93" s="344">
        <f t="shared" si="51"/>
        <v>1993</v>
      </c>
      <c r="W93" s="344" t="str">
        <f t="shared" si="56"/>
        <v>Aug</v>
      </c>
      <c r="X93" s="344"/>
      <c r="Y93" s="344"/>
      <c r="Z93" s="314" t="str">
        <f t="shared" si="74"/>
        <v>24-Mar-1917</v>
      </c>
      <c r="AA93" s="314" t="str">
        <f t="shared" si="57"/>
        <v>21-Aug-1993</v>
      </c>
      <c r="AB93" s="314">
        <f t="shared" si="58"/>
        <v>76</v>
      </c>
      <c r="AC93" s="314">
        <f t="shared" si="59"/>
        <v>104</v>
      </c>
      <c r="AD93" s="347" t="str">
        <f t="shared" si="60"/>
        <v>Died 21-Aug-1993, aged 76.</v>
      </c>
      <c r="AE93" s="305"/>
      <c r="AF93" s="303"/>
      <c r="AG93" s="303"/>
      <c r="AH93" s="303"/>
      <c r="AI93" s="327">
        <v>14632</v>
      </c>
      <c r="AJ93" s="328" t="s">
        <v>4719</v>
      </c>
      <c r="AK93" s="344" t="str">
        <f t="shared" si="61"/>
        <v>22</v>
      </c>
      <c r="AL93" s="344">
        <f t="shared" si="75"/>
        <v>1</v>
      </c>
      <c r="AM93" s="344">
        <f t="shared" si="76"/>
        <v>1940</v>
      </c>
      <c r="AN93" s="344" t="str">
        <f t="shared" si="62"/>
        <v>Jan</v>
      </c>
      <c r="AO93" s="344" t="str">
        <f t="shared" si="52"/>
        <v>22-Jan-1940</v>
      </c>
      <c r="AQ93" s="327"/>
      <c r="AR93" s="350">
        <f>A93</f>
        <v>90</v>
      </c>
      <c r="AS93" s="353" t="str">
        <f>IF(V93="",_xlfn.CONCAT(IF(G93="",D93,G93)," (",Q93,"–",V93," : #",AR93,")"),_xlfn.CONCAT(IF(G93="",D93,G93)," (",Q93,"–",V93,": #",AR93,")"))</f>
        <v>Averil (1917–1993: #90)</v>
      </c>
      <c r="AT93" s="353" t="str">
        <f>IF(V93="",_xlfn.CONCAT(IF(G93="",D93,G93)," (",Q93,"– ",V93,")"),_xlfn.CONCAT(IF(G93="",D93,G93)," (",Q93,"–",V93,")"))</f>
        <v>Averil (1917–1993)</v>
      </c>
      <c r="AU93" s="352" t="str">
        <f t="shared" si="45"/>
        <v>Female</v>
      </c>
      <c r="AV93" s="355" t="s">
        <v>4389</v>
      </c>
      <c r="AW93" s="319" t="str">
        <f>VLOOKUP(AV93,'Mums of Loyd Edit&amp;Partner Edit'!$B$3:$C$66,2,FALSE)</f>
        <v>Mary Christobel CHARRINGTON (b. 18 Nov 1894, d. 9 Jan 1977)</v>
      </c>
      <c r="AX93" s="360">
        <v>52</v>
      </c>
      <c r="AY93" s="355" t="str">
        <f t="shared" si="53"/>
        <v>Lewis (1880–1918: #52)</v>
      </c>
      <c r="AZ93" s="361">
        <f>VLOOKUP(AX93,Lineage!$A$1:$C$200,2,FALSE)</f>
        <v>41</v>
      </c>
      <c r="BA93" s="362" t="str">
        <f t="shared" si="73"/>
        <v>Frederic (1856–1936: #41)</v>
      </c>
      <c r="BB93" s="368">
        <f>BiographyMarriageDetsCountries!A92</f>
        <v>90</v>
      </c>
      <c r="BC93" s="319"/>
      <c r="BD93" s="362"/>
      <c r="BF93" s="324"/>
      <c r="BG93" s="357">
        <f t="shared" si="63"/>
        <v>90</v>
      </c>
      <c r="BH93" s="289" t="str">
        <f t="shared" si="64"/>
        <v>Averil Innes LOYD</v>
      </c>
      <c r="BI93" s="289" t="str">
        <f t="shared" si="65"/>
        <v>Averil (1917–1993)</v>
      </c>
      <c r="BJ93" s="304" t="str">
        <f t="shared" si="66"/>
        <v>Female</v>
      </c>
      <c r="BK93" s="304">
        <f t="shared" si="67"/>
        <v>5</v>
      </c>
      <c r="BL93" s="289" t="str">
        <f t="shared" si="68"/>
        <v>Lewis (1880–1918: #52)</v>
      </c>
      <c r="BM93" s="289" t="str">
        <f t="shared" si="69"/>
        <v>Mary Christobel CHARRINGTON (b. 18 Nov 1894, d. 9 Jan 1977)</v>
      </c>
      <c r="BN93" s="367" t="str">
        <f t="shared" si="70"/>
        <v>24-Mar-1917</v>
      </c>
      <c r="BO93" s="367" t="str">
        <f t="shared" si="71"/>
        <v>21-Aug-1993</v>
      </c>
      <c r="BP93" s="365" t="str">
        <f t="shared" si="72"/>
        <v>Died 21-Aug-1993, aged 76.</v>
      </c>
    </row>
    <row r="94" spans="1:68" s="289" customFormat="1" ht="40">
      <c r="A94" s="302">
        <v>91</v>
      </c>
      <c r="B94" s="364">
        <v>5</v>
      </c>
      <c r="C94" s="288" t="s">
        <v>782</v>
      </c>
      <c r="D94" s="289" t="s">
        <v>851</v>
      </c>
      <c r="E94" s="289" t="s">
        <v>852</v>
      </c>
      <c r="H94" s="304" t="s">
        <v>3245</v>
      </c>
      <c r="I94" s="306">
        <v>1917</v>
      </c>
      <c r="J94" s="306">
        <v>1926</v>
      </c>
      <c r="K94" s="307" t="s">
        <v>4592</v>
      </c>
      <c r="L94" s="308">
        <v>6439</v>
      </c>
      <c r="M94" s="323" t="s">
        <v>3221</v>
      </c>
      <c r="N94" s="323"/>
      <c r="O94" s="348">
        <f t="shared" si="54"/>
        <v>17</v>
      </c>
      <c r="P94" s="345">
        <f t="shared" si="46"/>
        <v>8</v>
      </c>
      <c r="Q94" s="345">
        <f t="shared" si="47"/>
        <v>1917</v>
      </c>
      <c r="R94" s="344" t="str">
        <f t="shared" si="55"/>
        <v>Aug</v>
      </c>
      <c r="S94" s="344">
        <f t="shared" si="48"/>
        <v>10</v>
      </c>
      <c r="T94" s="344">
        <f t="shared" si="49"/>
        <v>27</v>
      </c>
      <c r="U94" s="344">
        <f t="shared" si="50"/>
        <v>10</v>
      </c>
      <c r="V94" s="344">
        <f t="shared" si="51"/>
        <v>1926</v>
      </c>
      <c r="W94" s="344" t="str">
        <f t="shared" si="56"/>
        <v>Oct</v>
      </c>
      <c r="X94" s="344"/>
      <c r="Y94" s="344"/>
      <c r="Z94" s="314" t="str">
        <f t="shared" si="74"/>
        <v>17-Aug-1917</v>
      </c>
      <c r="AA94" s="314" t="str">
        <f t="shared" si="57"/>
        <v>27-Oct-1926</v>
      </c>
      <c r="AB94" s="314">
        <f t="shared" si="58"/>
        <v>9</v>
      </c>
      <c r="AC94" s="314">
        <f t="shared" si="59"/>
        <v>104</v>
      </c>
      <c r="AD94" s="347" t="str">
        <f t="shared" si="60"/>
        <v>Died 27-Oct-1926, aged 9.</v>
      </c>
      <c r="AE94" s="305"/>
      <c r="AF94" s="303"/>
      <c r="AG94" s="303"/>
      <c r="AH94" s="303"/>
      <c r="AI94" s="289" t="s">
        <v>2793</v>
      </c>
      <c r="AJ94" s="289" t="s">
        <v>2793</v>
      </c>
      <c r="AK94" s="344" t="str">
        <f t="shared" si="61"/>
        <v xml:space="preserve"> -</v>
      </c>
      <c r="AL94" s="344" t="str">
        <f t="shared" si="75"/>
        <v xml:space="preserve"> -</v>
      </c>
      <c r="AM94" s="344" t="str">
        <f t="shared" si="76"/>
        <v xml:space="preserve"> -</v>
      </c>
      <c r="AN94" s="344" t="str">
        <f t="shared" si="62"/>
        <v xml:space="preserve"> -</v>
      </c>
      <c r="AO94" s="344" t="str">
        <f t="shared" si="52"/>
        <v xml:space="preserve"> -</v>
      </c>
      <c r="AR94" s="350">
        <f>A94</f>
        <v>91</v>
      </c>
      <c r="AS94" s="353" t="str">
        <f>IF(V94="",_xlfn.CONCAT(IF(G94="",D94,G94)," (",Q94,"–",V94," : #",AR94,")"),_xlfn.CONCAT(IF(G94="",D94,G94)," (",Q94,"–",V94,": #",AR94,")"))</f>
        <v>Martin (1917–1926: #91)</v>
      </c>
      <c r="AT94" s="353" t="str">
        <f>IF(V94="",_xlfn.CONCAT(IF(G94="",D94,G94)," (",Q94,"– ",V94,")"),_xlfn.CONCAT(IF(G94="",D94,G94)," (",Q94,"–",V94,")"))</f>
        <v>Martin (1917–1926)</v>
      </c>
      <c r="AU94" s="352" t="str">
        <f t="shared" si="45"/>
        <v>Male</v>
      </c>
      <c r="AV94" s="355" t="s">
        <v>4385</v>
      </c>
      <c r="AW94" s="319" t="str">
        <f>VLOOKUP(AV94,'Mums of Loyd Edit&amp;Partner Edit'!$B$3:$C$66,2,FALSE)</f>
        <v>Dorothy WILLERT (b. 19 Jan 1886, d. 15 Jan 1966)</v>
      </c>
      <c r="AX94" s="360">
        <v>56</v>
      </c>
      <c r="AY94" s="355" t="str">
        <f t="shared" si="53"/>
        <v>Tommy (1882–1944: #56)</v>
      </c>
      <c r="AZ94" s="361">
        <f>VLOOKUP(AX94,Lineage!$A$1:$C$200,2,FALSE)</f>
        <v>28</v>
      </c>
      <c r="BA94" s="362" t="str">
        <f t="shared" si="73"/>
        <v>The Rev Lewis (1844–1905: #28)</v>
      </c>
      <c r="BB94" s="368">
        <f>BiographyMarriageDetsCountries!A93</f>
        <v>91</v>
      </c>
      <c r="BC94" s="319"/>
      <c r="BD94" s="362"/>
      <c r="BF94" s="324"/>
      <c r="BG94" s="357">
        <f t="shared" si="63"/>
        <v>91</v>
      </c>
      <c r="BH94" s="289" t="str">
        <f t="shared" si="64"/>
        <v>Martin Thomas LOYD</v>
      </c>
      <c r="BI94" s="289" t="str">
        <f t="shared" si="65"/>
        <v>Martin (1917–1926)</v>
      </c>
      <c r="BJ94" s="304" t="str">
        <f t="shared" si="66"/>
        <v>Male</v>
      </c>
      <c r="BK94" s="304">
        <f t="shared" si="67"/>
        <v>5</v>
      </c>
      <c r="BL94" s="289" t="str">
        <f t="shared" si="68"/>
        <v>Tommy (1882–1944: #56)</v>
      </c>
      <c r="BM94" s="289" t="str">
        <f t="shared" si="69"/>
        <v>Dorothy WILLERT (b. 19 Jan 1886, d. 15 Jan 1966)</v>
      </c>
      <c r="BN94" s="367" t="str">
        <f t="shared" si="70"/>
        <v>17-Aug-1917</v>
      </c>
      <c r="BO94" s="367" t="str">
        <f t="shared" si="71"/>
        <v>27-Oct-1926</v>
      </c>
      <c r="BP94" s="365" t="str">
        <f t="shared" si="72"/>
        <v>Died 27-Oct-1926, aged 9.</v>
      </c>
    </row>
    <row r="95" spans="1:68" s="289" customFormat="1" ht="40">
      <c r="A95" s="302">
        <v>92</v>
      </c>
      <c r="B95" s="364">
        <v>5</v>
      </c>
      <c r="C95" s="288" t="s">
        <v>782</v>
      </c>
      <c r="D95" s="289" t="s">
        <v>853</v>
      </c>
      <c r="E95" s="289" t="s">
        <v>854</v>
      </c>
      <c r="F95" s="289" t="s">
        <v>855</v>
      </c>
      <c r="H95" s="304" t="s">
        <v>3244</v>
      </c>
      <c r="I95" s="306">
        <v>1917</v>
      </c>
      <c r="J95" s="306">
        <v>1992</v>
      </c>
      <c r="K95" s="307" t="s">
        <v>4593</v>
      </c>
      <c r="L95" s="308">
        <v>6540</v>
      </c>
      <c r="M95" s="323" t="s">
        <v>3222</v>
      </c>
      <c r="N95" s="323"/>
      <c r="O95" s="348">
        <f t="shared" si="54"/>
        <v>26</v>
      </c>
      <c r="P95" s="345">
        <f t="shared" si="46"/>
        <v>11</v>
      </c>
      <c r="Q95" s="345">
        <f t="shared" si="47"/>
        <v>1917</v>
      </c>
      <c r="R95" s="344" t="str">
        <f t="shared" si="55"/>
        <v>Nov</v>
      </c>
      <c r="S95" s="344">
        <f t="shared" si="48"/>
        <v>10</v>
      </c>
      <c r="T95" s="344">
        <f t="shared" si="49"/>
        <v>22</v>
      </c>
      <c r="U95" s="344">
        <f t="shared" si="50"/>
        <v>7</v>
      </c>
      <c r="V95" s="344">
        <f t="shared" si="51"/>
        <v>1992</v>
      </c>
      <c r="W95" s="344" t="str">
        <f t="shared" si="56"/>
        <v>Jul</v>
      </c>
      <c r="X95" s="344"/>
      <c r="Y95" s="344"/>
      <c r="Z95" s="314" t="str">
        <f t="shared" si="74"/>
        <v>26-Nov-1917</v>
      </c>
      <c r="AA95" s="314" t="str">
        <f t="shared" si="57"/>
        <v>22-Jul-1992</v>
      </c>
      <c r="AB95" s="314">
        <f t="shared" si="58"/>
        <v>74</v>
      </c>
      <c r="AC95" s="314">
        <f t="shared" si="59"/>
        <v>104</v>
      </c>
      <c r="AD95" s="347" t="str">
        <f t="shared" si="60"/>
        <v>Died 22-Jul-1992, aged 74.</v>
      </c>
      <c r="AE95" s="305"/>
      <c r="AF95" s="303"/>
      <c r="AG95" s="303"/>
      <c r="AH95" s="303"/>
      <c r="AI95" s="327">
        <v>16674</v>
      </c>
      <c r="AJ95" s="328" t="s">
        <v>4720</v>
      </c>
      <c r="AK95" s="344" t="str">
        <f t="shared" si="61"/>
        <v>25</v>
      </c>
      <c r="AL95" s="344">
        <f t="shared" si="75"/>
        <v>8</v>
      </c>
      <c r="AM95" s="344">
        <f t="shared" si="76"/>
        <v>1945</v>
      </c>
      <c r="AN95" s="344" t="str">
        <f t="shared" si="62"/>
        <v>Aug</v>
      </c>
      <c r="AO95" s="344" t="str">
        <f t="shared" si="52"/>
        <v>25-Aug-1945</v>
      </c>
      <c r="AQ95" s="327"/>
      <c r="AR95" s="350">
        <f>A95</f>
        <v>92</v>
      </c>
      <c r="AS95" s="353" t="str">
        <f>IF(V95="",_xlfn.CONCAT(IF(G95="",D95,G95)," (",Q95,"–",V95," : #",AR95,")"),_xlfn.CONCAT(IF(G95="",D95,G95)," (",Q95,"–",V95,": #",AR95,")"))</f>
        <v>Daphne (1917–1992: #92)</v>
      </c>
      <c r="AT95" s="353" t="str">
        <f>IF(V95="",_xlfn.CONCAT(IF(G95="",D95,G95)," (",Q95,"– ",V95,")"),_xlfn.CONCAT(IF(G95="",D95,G95)," (",Q95,"–",V95,")"))</f>
        <v>Daphne (1917–1992)</v>
      </c>
      <c r="AU95" s="352" t="str">
        <f t="shared" si="45"/>
        <v>Female</v>
      </c>
      <c r="AV95" s="355" t="s">
        <v>4388</v>
      </c>
      <c r="AW95" s="319" t="str">
        <f>VLOOKUP(AV95,'Mums of Loyd Edit&amp;Partner Edit'!$B$3:$C$66,2,FALSE)</f>
        <v>Ada Maud Keele GILES (b. 11 Apr 1884, d. 19 Jul 1955)</v>
      </c>
      <c r="AX95" s="360">
        <v>54</v>
      </c>
      <c r="AY95" s="355" t="str">
        <f t="shared" si="53"/>
        <v>Alfred (1882–1919: #54)</v>
      </c>
      <c r="AZ95" s="361">
        <f>VLOOKUP(AX95,Lineage!$A$1:$C$200,2,FALSE)</f>
        <v>32</v>
      </c>
      <c r="BA95" s="362" t="str">
        <f t="shared" si="73"/>
        <v>Frank (1848–1934: #32)</v>
      </c>
      <c r="BB95" s="368">
        <f>BiographyMarriageDetsCountries!A94</f>
        <v>92</v>
      </c>
      <c r="BC95" s="319"/>
      <c r="BD95" s="362"/>
      <c r="BF95" s="324"/>
      <c r="BG95" s="357">
        <f t="shared" si="63"/>
        <v>92</v>
      </c>
      <c r="BH95" s="289" t="str">
        <f t="shared" si="64"/>
        <v>Daphne Maud Trelawny LOYD</v>
      </c>
      <c r="BI95" s="289" t="str">
        <f t="shared" si="65"/>
        <v>Daphne (1917–1992)</v>
      </c>
      <c r="BJ95" s="304" t="str">
        <f t="shared" si="66"/>
        <v>Female</v>
      </c>
      <c r="BK95" s="304">
        <f t="shared" si="67"/>
        <v>5</v>
      </c>
      <c r="BL95" s="289" t="str">
        <f t="shared" si="68"/>
        <v>Alfred (1882–1919: #54)</v>
      </c>
      <c r="BM95" s="289" t="str">
        <f t="shared" si="69"/>
        <v>Ada Maud Keele GILES (b. 11 Apr 1884, d. 19 Jul 1955)</v>
      </c>
      <c r="BN95" s="367" t="str">
        <f t="shared" si="70"/>
        <v>26-Nov-1917</v>
      </c>
      <c r="BO95" s="367" t="str">
        <f t="shared" si="71"/>
        <v>22-Jul-1992</v>
      </c>
      <c r="BP95" s="365" t="str">
        <f t="shared" si="72"/>
        <v>Died 22-Jul-1992, aged 74.</v>
      </c>
    </row>
    <row r="96" spans="1:68" s="289" customFormat="1" ht="40">
      <c r="A96" s="302">
        <v>93</v>
      </c>
      <c r="B96" s="364">
        <v>5</v>
      </c>
      <c r="C96" s="288" t="s">
        <v>782</v>
      </c>
      <c r="D96" s="289" t="s">
        <v>856</v>
      </c>
      <c r="E96" s="289" t="s">
        <v>853</v>
      </c>
      <c r="G96" s="289" t="s">
        <v>1186</v>
      </c>
      <c r="H96" s="304" t="s">
        <v>3244</v>
      </c>
      <c r="I96" s="306">
        <v>1920</v>
      </c>
      <c r="J96" s="306">
        <v>2002</v>
      </c>
      <c r="K96" s="307" t="s">
        <v>4594</v>
      </c>
      <c r="L96" s="308">
        <v>7391</v>
      </c>
      <c r="M96" s="323" t="s">
        <v>3223</v>
      </c>
      <c r="N96" s="323"/>
      <c r="O96" s="348">
        <f t="shared" si="54"/>
        <v>26</v>
      </c>
      <c r="P96" s="345">
        <f t="shared" si="46"/>
        <v>3</v>
      </c>
      <c r="Q96" s="345">
        <f t="shared" si="47"/>
        <v>1920</v>
      </c>
      <c r="R96" s="344" t="str">
        <f t="shared" si="55"/>
        <v>Mar</v>
      </c>
      <c r="S96" s="344">
        <f t="shared" si="48"/>
        <v>10</v>
      </c>
      <c r="T96" s="344">
        <f t="shared" si="49"/>
        <v>10</v>
      </c>
      <c r="U96" s="344">
        <f t="shared" si="50"/>
        <v>4</v>
      </c>
      <c r="V96" s="344">
        <f t="shared" si="51"/>
        <v>2002</v>
      </c>
      <c r="W96" s="344" t="str">
        <f t="shared" si="56"/>
        <v>Apr</v>
      </c>
      <c r="X96" s="344"/>
      <c r="Y96" s="344"/>
      <c r="Z96" s="314" t="str">
        <f t="shared" si="74"/>
        <v>26-Mar-1920</v>
      </c>
      <c r="AA96" s="314" t="str">
        <f t="shared" si="57"/>
        <v>10-Apr-2002</v>
      </c>
      <c r="AB96" s="314">
        <f t="shared" si="58"/>
        <v>82</v>
      </c>
      <c r="AC96" s="314">
        <f t="shared" si="59"/>
        <v>101</v>
      </c>
      <c r="AD96" s="347" t="str">
        <f t="shared" si="60"/>
        <v>Died 10-Apr-2002, aged 82.</v>
      </c>
      <c r="AE96" s="305"/>
      <c r="AF96" s="303"/>
      <c r="AG96" s="303"/>
      <c r="AH96" s="303"/>
      <c r="AI96" s="289" t="s">
        <v>2793</v>
      </c>
      <c r="AJ96" s="289" t="s">
        <v>2793</v>
      </c>
      <c r="AK96" s="344" t="str">
        <f t="shared" si="61"/>
        <v xml:space="preserve"> -</v>
      </c>
      <c r="AL96" s="344" t="str">
        <f t="shared" si="75"/>
        <v xml:space="preserve"> -</v>
      </c>
      <c r="AM96" s="344" t="str">
        <f t="shared" si="76"/>
        <v xml:space="preserve"> -</v>
      </c>
      <c r="AN96" s="344" t="str">
        <f t="shared" si="62"/>
        <v xml:space="preserve"> -</v>
      </c>
      <c r="AO96" s="344" t="str">
        <f t="shared" si="52"/>
        <v xml:space="preserve"> -</v>
      </c>
      <c r="AR96" s="350">
        <f>A96</f>
        <v>93</v>
      </c>
      <c r="AS96" s="353" t="str">
        <f>IF(V96="",_xlfn.CONCAT(IF(G96="",D96,G96)," (",Q96,"–",V96," : #",AR96,")"),_xlfn.CONCAT(IF(G96="",D96,G96)," (",Q96,"–",V96,": #",AR96,")"))</f>
        <v>Jill (1920–2002: #93)</v>
      </c>
      <c r="AT96" s="353" t="str">
        <f>IF(V96="",_xlfn.CONCAT(IF(G96="",D96,G96)," (",Q96,"– ",V96,")"),_xlfn.CONCAT(IF(G96="",D96,G96)," (",Q96,"–",V96,")"))</f>
        <v>Jill (1920–2002)</v>
      </c>
      <c r="AU96" s="352" t="str">
        <f t="shared" si="45"/>
        <v>Female</v>
      </c>
      <c r="AV96" s="355" t="s">
        <v>4390</v>
      </c>
      <c r="AW96" s="319" t="str">
        <f>VLOOKUP(AV96,'Mums of Loyd Edit&amp;Partner Edit'!$B$3:$C$66,2,FALSE)</f>
        <v>Mrs. Phyllis Marie ARCHER (nee ETESON) (b.3 Aug 1889, d. 29 Mar 1932)</v>
      </c>
      <c r="AX96" s="360">
        <v>68</v>
      </c>
      <c r="AY96" s="355" t="str">
        <f t="shared" si="53"/>
        <v>Cecil (1890–1963: #68)</v>
      </c>
      <c r="AZ96" s="361">
        <f>VLOOKUP(AX96,Lineage!$A$1:$C$200,2,FALSE)</f>
        <v>45</v>
      </c>
      <c r="BA96" s="362" t="str">
        <f t="shared" si="73"/>
        <v>Llewellyn (1861–1939: #45)</v>
      </c>
      <c r="BB96" s="368">
        <f>BiographyMarriageDetsCountries!A95</f>
        <v>93</v>
      </c>
      <c r="BC96" s="319"/>
      <c r="BD96" s="362"/>
      <c r="BF96" s="324"/>
      <c r="BG96" s="357">
        <f t="shared" si="63"/>
        <v>93</v>
      </c>
      <c r="BH96" s="289" t="str">
        <f t="shared" si="64"/>
        <v>Iris Daphne LOYD</v>
      </c>
      <c r="BI96" s="289" t="str">
        <f t="shared" si="65"/>
        <v>Jill (1920–2002)</v>
      </c>
      <c r="BJ96" s="304" t="str">
        <f t="shared" si="66"/>
        <v>Female</v>
      </c>
      <c r="BK96" s="304">
        <f t="shared" si="67"/>
        <v>5</v>
      </c>
      <c r="BL96" s="289" t="str">
        <f t="shared" si="68"/>
        <v>Cecil (1890–1963: #68)</v>
      </c>
      <c r="BM96" s="289" t="str">
        <f t="shared" si="69"/>
        <v>Mrs. Phyllis Marie ARCHER (nee ETESON) (b.3 Aug 1889, d. 29 Mar 1932)</v>
      </c>
      <c r="BN96" s="367" t="str">
        <f t="shared" si="70"/>
        <v>26-Mar-1920</v>
      </c>
      <c r="BO96" s="367" t="str">
        <f t="shared" si="71"/>
        <v>10-Apr-2002</v>
      </c>
      <c r="BP96" s="365" t="str">
        <f t="shared" si="72"/>
        <v>Died 10-Apr-2002, aged 82.</v>
      </c>
    </row>
    <row r="97" spans="1:68" s="289" customFormat="1" ht="40">
      <c r="A97" s="302">
        <v>94</v>
      </c>
      <c r="B97" s="364">
        <v>5</v>
      </c>
      <c r="C97" s="288" t="s">
        <v>782</v>
      </c>
      <c r="D97" s="289" t="s">
        <v>827</v>
      </c>
      <c r="E97" s="289" t="s">
        <v>858</v>
      </c>
      <c r="H97" s="304" t="s">
        <v>3245</v>
      </c>
      <c r="I97" s="306">
        <v>1920</v>
      </c>
      <c r="J97" s="306">
        <v>2014</v>
      </c>
      <c r="K97" s="307" t="s">
        <v>4594</v>
      </c>
      <c r="L97" s="308">
        <v>7391</v>
      </c>
      <c r="M97" s="323" t="s">
        <v>3224</v>
      </c>
      <c r="N97" s="323"/>
      <c r="O97" s="348">
        <f t="shared" si="54"/>
        <v>26</v>
      </c>
      <c r="P97" s="345">
        <f t="shared" si="46"/>
        <v>3</v>
      </c>
      <c r="Q97" s="345">
        <f t="shared" si="47"/>
        <v>1920</v>
      </c>
      <c r="R97" s="344" t="str">
        <f t="shared" si="55"/>
        <v>Mar</v>
      </c>
      <c r="S97" s="344">
        <f t="shared" si="48"/>
        <v>10</v>
      </c>
      <c r="T97" s="344">
        <f t="shared" si="49"/>
        <v>10</v>
      </c>
      <c r="U97" s="344">
        <f t="shared" si="50"/>
        <v>5</v>
      </c>
      <c r="V97" s="344">
        <f t="shared" si="51"/>
        <v>2014</v>
      </c>
      <c r="W97" s="344" t="str">
        <f t="shared" si="56"/>
        <v>May</v>
      </c>
      <c r="X97" s="344"/>
      <c r="Y97" s="344"/>
      <c r="Z97" s="314" t="str">
        <f t="shared" si="74"/>
        <v>26-Mar-1920</v>
      </c>
      <c r="AA97" s="314" t="str">
        <f t="shared" si="57"/>
        <v>10-May-2014</v>
      </c>
      <c r="AB97" s="314">
        <f t="shared" si="58"/>
        <v>94</v>
      </c>
      <c r="AC97" s="314">
        <f t="shared" si="59"/>
        <v>101</v>
      </c>
      <c r="AD97" s="347" t="str">
        <f t="shared" si="60"/>
        <v>Died 10-May-2014, aged 94.</v>
      </c>
      <c r="AE97" s="305"/>
      <c r="AF97" s="303"/>
      <c r="AG97" s="303"/>
      <c r="AH97" s="303"/>
      <c r="AI97" s="327">
        <v>17702</v>
      </c>
      <c r="AJ97" s="328" t="s">
        <v>4778</v>
      </c>
      <c r="AK97" s="344" t="str">
        <f t="shared" si="61"/>
        <v>18</v>
      </c>
      <c r="AL97" s="344">
        <f t="shared" si="75"/>
        <v>6</v>
      </c>
      <c r="AM97" s="344">
        <f t="shared" si="76"/>
        <v>1948</v>
      </c>
      <c r="AN97" s="344" t="str">
        <f t="shared" si="62"/>
        <v>Jun</v>
      </c>
      <c r="AO97" s="344" t="str">
        <f t="shared" si="52"/>
        <v>18-Jun-1948</v>
      </c>
      <c r="AQ97" s="327"/>
      <c r="AR97" s="350">
        <f>A97</f>
        <v>94</v>
      </c>
      <c r="AS97" s="353" t="str">
        <f>IF(V97="",_xlfn.CONCAT(IF(G97="",D97,G97)," (",Q97,"–",V97," : #",AR97,")"),_xlfn.CONCAT(IF(G97="",D97,G97)," (",Q97,"–",V97,": #",AR97,")"))</f>
        <v>Alwyne (1920–2014: #94)</v>
      </c>
      <c r="AT97" s="353" t="str">
        <f>IF(V97="",_xlfn.CONCAT(IF(G97="",D97,G97)," (",Q97,"– ",V97,")"),_xlfn.CONCAT(IF(G97="",D97,G97)," (",Q97,"–",V97,")"))</f>
        <v>Alwyne (1920–2014)</v>
      </c>
      <c r="AU97" s="352" t="str">
        <f t="shared" si="45"/>
        <v>Male</v>
      </c>
      <c r="AV97" s="355" t="s">
        <v>4390</v>
      </c>
      <c r="AW97" s="319" t="str">
        <f>VLOOKUP(AV97,'Mums of Loyd Edit&amp;Partner Edit'!$B$3:$C$66,2,FALSE)</f>
        <v>Mrs. Phyllis Marie ARCHER (nee ETESON) (b.3 Aug 1889, d. 29 Mar 1932)</v>
      </c>
      <c r="AX97" s="360">
        <v>68</v>
      </c>
      <c r="AY97" s="355" t="str">
        <f t="shared" si="53"/>
        <v>Cecil (1890–1963: #68)</v>
      </c>
      <c r="AZ97" s="361">
        <f>VLOOKUP(AX97,Lineage!$A$1:$C$200,2,FALSE)</f>
        <v>45</v>
      </c>
      <c r="BA97" s="362" t="str">
        <f t="shared" si="73"/>
        <v>Llewellyn (1861–1939: #45)</v>
      </c>
      <c r="BB97" s="368">
        <f>BiographyMarriageDetsCountries!A96</f>
        <v>94</v>
      </c>
      <c r="BC97" s="319"/>
      <c r="BD97" s="362"/>
      <c r="BF97" s="324"/>
      <c r="BG97" s="357">
        <f t="shared" si="63"/>
        <v>94</v>
      </c>
      <c r="BH97" s="289" t="str">
        <f t="shared" si="64"/>
        <v>Alwyne Eteson LOYD</v>
      </c>
      <c r="BI97" s="289" t="str">
        <f t="shared" si="65"/>
        <v>Alwyne (1920–2014)</v>
      </c>
      <c r="BJ97" s="304" t="str">
        <f t="shared" si="66"/>
        <v>Male</v>
      </c>
      <c r="BK97" s="304">
        <f t="shared" si="67"/>
        <v>5</v>
      </c>
      <c r="BL97" s="289" t="str">
        <f t="shared" si="68"/>
        <v>Cecil (1890–1963: #68)</v>
      </c>
      <c r="BM97" s="289" t="str">
        <f t="shared" si="69"/>
        <v>Mrs. Phyllis Marie ARCHER (nee ETESON) (b.3 Aug 1889, d. 29 Mar 1932)</v>
      </c>
      <c r="BN97" s="367" t="str">
        <f t="shared" si="70"/>
        <v>26-Mar-1920</v>
      </c>
      <c r="BO97" s="367" t="str">
        <f t="shared" si="71"/>
        <v>10-May-2014</v>
      </c>
      <c r="BP97" s="365" t="str">
        <f t="shared" si="72"/>
        <v>Died 10-May-2014, aged 94.</v>
      </c>
    </row>
    <row r="98" spans="1:68" s="289" customFormat="1" ht="40">
      <c r="A98" s="302">
        <v>95</v>
      </c>
      <c r="B98" s="364">
        <v>5</v>
      </c>
      <c r="C98" s="288" t="s">
        <v>782</v>
      </c>
      <c r="D98" s="289" t="s">
        <v>859</v>
      </c>
      <c r="H98" s="304" t="s">
        <v>3244</v>
      </c>
      <c r="I98" s="306">
        <v>1920</v>
      </c>
      <c r="J98" s="306">
        <v>2002</v>
      </c>
      <c r="K98" s="307" t="s">
        <v>4595</v>
      </c>
      <c r="L98" s="308">
        <v>7641</v>
      </c>
      <c r="M98" s="323" t="s">
        <v>3225</v>
      </c>
      <c r="N98" s="323"/>
      <c r="O98" s="348">
        <f t="shared" si="54"/>
        <v>1</v>
      </c>
      <c r="P98" s="345">
        <f t="shared" si="46"/>
        <v>12</v>
      </c>
      <c r="Q98" s="345">
        <f t="shared" si="47"/>
        <v>1920</v>
      </c>
      <c r="R98" s="344" t="str">
        <f t="shared" si="55"/>
        <v>Dec</v>
      </c>
      <c r="S98" s="344">
        <f t="shared" si="48"/>
        <v>10</v>
      </c>
      <c r="T98" s="344">
        <f t="shared" si="49"/>
        <v>1</v>
      </c>
      <c r="U98" s="344">
        <f t="shared" si="50"/>
        <v>1</v>
      </c>
      <c r="V98" s="344">
        <f t="shared" si="51"/>
        <v>2002</v>
      </c>
      <c r="W98" s="344" t="str">
        <f t="shared" si="56"/>
        <v>Jan</v>
      </c>
      <c r="X98" s="344"/>
      <c r="Y98" s="344"/>
      <c r="Z98" s="314" t="str">
        <f t="shared" si="74"/>
        <v>01-Dec-1920</v>
      </c>
      <c r="AA98" s="314" t="str">
        <f t="shared" si="57"/>
        <v>01-Jan-2002</v>
      </c>
      <c r="AB98" s="314">
        <f t="shared" si="58"/>
        <v>81</v>
      </c>
      <c r="AC98" s="314">
        <f t="shared" si="59"/>
        <v>101</v>
      </c>
      <c r="AD98" s="347" t="str">
        <f t="shared" si="60"/>
        <v>Died 01-Jan-2002, aged 81.</v>
      </c>
      <c r="AE98" s="305"/>
      <c r="AF98" s="303"/>
      <c r="AG98" s="303"/>
      <c r="AH98" s="303"/>
      <c r="AI98" s="327">
        <v>16261</v>
      </c>
      <c r="AJ98" s="328" t="s">
        <v>4721</v>
      </c>
      <c r="AK98" s="344" t="str">
        <f t="shared" si="61"/>
        <v>08</v>
      </c>
      <c r="AL98" s="344">
        <f t="shared" si="75"/>
        <v>7</v>
      </c>
      <c r="AM98" s="344">
        <f t="shared" si="76"/>
        <v>1944</v>
      </c>
      <c r="AN98" s="344" t="str">
        <f t="shared" si="62"/>
        <v>Jul</v>
      </c>
      <c r="AO98" s="344" t="str">
        <f t="shared" si="52"/>
        <v>08-Jul-1944</v>
      </c>
      <c r="AQ98" s="327"/>
      <c r="AR98" s="350">
        <f>A98</f>
        <v>95</v>
      </c>
      <c r="AS98" s="353" t="str">
        <f>IF(V98="",_xlfn.CONCAT(IF(G98="",D98,G98)," (",Q98,"–",V98," : #",AR98,")"),_xlfn.CONCAT(IF(G98="",D98,G98)," (",Q98,"–",V98,": #",AR98,")"))</f>
        <v>Hester (1920–2002: #95)</v>
      </c>
      <c r="AT98" s="353" t="str">
        <f>IF(V98="",_xlfn.CONCAT(IF(G98="",D98,G98)," (",Q98,"– ",V98,")"),_xlfn.CONCAT(IF(G98="",D98,G98)," (",Q98,"–",V98,")"))</f>
        <v>Hester (1920–2002)</v>
      </c>
      <c r="AU98" s="352" t="str">
        <f t="shared" si="45"/>
        <v>Female</v>
      </c>
      <c r="AV98" s="355" t="s">
        <v>4385</v>
      </c>
      <c r="AW98" s="319" t="str">
        <f>VLOOKUP(AV98,'Mums of Loyd Edit&amp;Partner Edit'!$B$3:$C$66,2,FALSE)</f>
        <v>Dorothy WILLERT (b. 19 Jan 1886, d. 15 Jan 1966)</v>
      </c>
      <c r="AX98" s="360">
        <v>56</v>
      </c>
      <c r="AY98" s="355" t="str">
        <f t="shared" si="53"/>
        <v>Tommy (1882–1944: #56)</v>
      </c>
      <c r="AZ98" s="361">
        <f>VLOOKUP(AX98,Lineage!$A$1:$C$200,2,FALSE)</f>
        <v>28</v>
      </c>
      <c r="BA98" s="362" t="str">
        <f t="shared" si="73"/>
        <v>The Rev Lewis (1844–1905: #28)</v>
      </c>
      <c r="BB98" s="368">
        <f>BiographyMarriageDetsCountries!A97</f>
        <v>95</v>
      </c>
      <c r="BC98" s="319"/>
      <c r="BD98" s="362"/>
      <c r="BF98" s="324"/>
      <c r="BG98" s="357">
        <f t="shared" si="63"/>
        <v>95</v>
      </c>
      <c r="BH98" s="289" t="str">
        <f t="shared" si="64"/>
        <v>Hester LOYD</v>
      </c>
      <c r="BI98" s="289" t="str">
        <f t="shared" si="65"/>
        <v>Hester (1920–2002)</v>
      </c>
      <c r="BJ98" s="304" t="str">
        <f t="shared" si="66"/>
        <v>Female</v>
      </c>
      <c r="BK98" s="304">
        <f t="shared" si="67"/>
        <v>5</v>
      </c>
      <c r="BL98" s="289" t="str">
        <f t="shared" si="68"/>
        <v>Tommy (1882–1944: #56)</v>
      </c>
      <c r="BM98" s="289" t="str">
        <f t="shared" si="69"/>
        <v>Dorothy WILLERT (b. 19 Jan 1886, d. 15 Jan 1966)</v>
      </c>
      <c r="BN98" s="367" t="str">
        <f t="shared" si="70"/>
        <v>01-Dec-1920</v>
      </c>
      <c r="BO98" s="367" t="str">
        <f t="shared" si="71"/>
        <v>01-Jan-2002</v>
      </c>
      <c r="BP98" s="365" t="str">
        <f t="shared" si="72"/>
        <v>Died 01-Jan-2002, aged 81.</v>
      </c>
    </row>
    <row r="99" spans="1:68" s="289" customFormat="1" ht="40">
      <c r="A99" s="302">
        <v>96</v>
      </c>
      <c r="B99" s="364">
        <v>5</v>
      </c>
      <c r="C99" s="288" t="s">
        <v>782</v>
      </c>
      <c r="D99" s="289" t="s">
        <v>811</v>
      </c>
      <c r="E99" s="289" t="s">
        <v>833</v>
      </c>
      <c r="F99" s="289" t="s">
        <v>860</v>
      </c>
      <c r="H99" s="304" t="s">
        <v>3245</v>
      </c>
      <c r="I99" s="306">
        <v>1921</v>
      </c>
      <c r="J99" s="306">
        <v>1977</v>
      </c>
      <c r="K99" s="307" t="s">
        <v>4596</v>
      </c>
      <c r="L99" s="308">
        <v>7723</v>
      </c>
      <c r="M99" s="323" t="s">
        <v>3226</v>
      </c>
      <c r="N99" s="323"/>
      <c r="O99" s="348">
        <f t="shared" si="54"/>
        <v>21</v>
      </c>
      <c r="P99" s="345">
        <f t="shared" si="46"/>
        <v>2</v>
      </c>
      <c r="Q99" s="345">
        <f t="shared" si="47"/>
        <v>1921</v>
      </c>
      <c r="R99" s="344" t="str">
        <f t="shared" si="55"/>
        <v>Feb</v>
      </c>
      <c r="S99" s="344">
        <f t="shared" si="48"/>
        <v>10</v>
      </c>
      <c r="T99" s="344">
        <f t="shared" si="49"/>
        <v>7</v>
      </c>
      <c r="U99" s="344">
        <f t="shared" si="50"/>
        <v>1</v>
      </c>
      <c r="V99" s="344">
        <f t="shared" si="51"/>
        <v>1977</v>
      </c>
      <c r="W99" s="344" t="str">
        <f t="shared" si="56"/>
        <v>Jan</v>
      </c>
      <c r="X99" s="344"/>
      <c r="Y99" s="344"/>
      <c r="Z99" s="314" t="str">
        <f t="shared" si="74"/>
        <v>21-Feb-1921</v>
      </c>
      <c r="AA99" s="314" t="str">
        <f t="shared" si="57"/>
        <v>07-Jan-1977</v>
      </c>
      <c r="AB99" s="314">
        <f t="shared" si="58"/>
        <v>55</v>
      </c>
      <c r="AC99" s="314">
        <f t="shared" si="59"/>
        <v>100</v>
      </c>
      <c r="AD99" s="347" t="str">
        <f t="shared" si="60"/>
        <v>Died 07-Jan-1977, aged 55.</v>
      </c>
      <c r="AE99" s="305"/>
      <c r="AF99" s="303"/>
      <c r="AG99" s="303"/>
      <c r="AH99" s="303"/>
      <c r="AI99" s="327">
        <v>16839</v>
      </c>
      <c r="AJ99" s="328" t="s">
        <v>4722</v>
      </c>
      <c r="AK99" s="344" t="str">
        <f t="shared" si="61"/>
        <v>06</v>
      </c>
      <c r="AL99" s="344">
        <f t="shared" si="75"/>
        <v>2</v>
      </c>
      <c r="AM99" s="344">
        <f t="shared" si="76"/>
        <v>1946</v>
      </c>
      <c r="AN99" s="344" t="str">
        <f t="shared" si="62"/>
        <v>Feb</v>
      </c>
      <c r="AO99" s="344" t="str">
        <f t="shared" si="52"/>
        <v>06-Feb-1946</v>
      </c>
      <c r="AQ99" s="327"/>
      <c r="AR99" s="350">
        <f>A99</f>
        <v>96</v>
      </c>
      <c r="AS99" s="353" t="str">
        <f>IF(V99="",_xlfn.CONCAT(IF(G99="",D99,G99)," (",Q99,"–",V99," : #",AR99,")"),_xlfn.CONCAT(IF(G99="",D99,G99)," (",Q99,"–",V99,": #",AR99,")"))</f>
        <v>Edward (1921–1977: #96)</v>
      </c>
      <c r="AT99" s="353" t="str">
        <f>IF(V99="",_xlfn.CONCAT(IF(G99="",D99,G99)," (",Q99,"– ",V99,")"),_xlfn.CONCAT(IF(G99="",D99,G99)," (",Q99,"–",V99,")"))</f>
        <v>Edward (1921–1977)</v>
      </c>
      <c r="AU99" s="352" t="str">
        <f t="shared" si="45"/>
        <v>Male</v>
      </c>
      <c r="AV99" s="355" t="s">
        <v>4387</v>
      </c>
      <c r="AW99" s="319" t="str">
        <f>VLOOKUP(AV99,'Mums of Loyd Edit&amp;Partner Edit'!$B$3:$C$66,2,FALSE)</f>
        <v>The Hon Bettine Henrietta KNATCHBULL-HUGESSEN (b. 15 Sep 1888, d. 9 Aug 1967)</v>
      </c>
      <c r="AX99" s="360">
        <v>66</v>
      </c>
      <c r="AY99" s="355" t="str">
        <f t="shared" si="53"/>
        <v>William (1889–1947: #66)</v>
      </c>
      <c r="AZ99" s="361">
        <f>VLOOKUP(AX99,Lineage!$A$1:$C$200,2,FALSE)</f>
        <v>44</v>
      </c>
      <c r="BA99" s="362" t="str">
        <f t="shared" si="73"/>
        <v>Harry (1861–1938: #44)</v>
      </c>
      <c r="BB99" s="368">
        <f>BiographyMarriageDetsCountries!A98</f>
        <v>96</v>
      </c>
      <c r="BC99" s="319"/>
      <c r="BD99" s="362"/>
      <c r="BF99" s="324"/>
      <c r="BG99" s="357">
        <f t="shared" si="63"/>
        <v>96</v>
      </c>
      <c r="BH99" s="289" t="str">
        <f t="shared" si="64"/>
        <v>Edward Percy Canning LOYD</v>
      </c>
      <c r="BI99" s="289" t="str">
        <f t="shared" si="65"/>
        <v>Edward (1921–1977)</v>
      </c>
      <c r="BJ99" s="304" t="str">
        <f t="shared" si="66"/>
        <v>Male</v>
      </c>
      <c r="BK99" s="304">
        <f t="shared" si="67"/>
        <v>5</v>
      </c>
      <c r="BL99" s="289" t="str">
        <f t="shared" si="68"/>
        <v>William (1889–1947: #66)</v>
      </c>
      <c r="BM99" s="289" t="str">
        <f t="shared" si="69"/>
        <v>The Hon Bettine Henrietta KNATCHBULL-HUGESSEN (b. 15 Sep 1888, d. 9 Aug 1967)</v>
      </c>
      <c r="BN99" s="367" t="str">
        <f t="shared" si="70"/>
        <v>21-Feb-1921</v>
      </c>
      <c r="BO99" s="367" t="str">
        <f t="shared" si="71"/>
        <v>07-Jan-1977</v>
      </c>
      <c r="BP99" s="365" t="str">
        <f t="shared" si="72"/>
        <v>Died 07-Jan-1977, aged 55.</v>
      </c>
    </row>
    <row r="100" spans="1:68" s="289" customFormat="1" ht="40">
      <c r="A100" s="302">
        <v>97</v>
      </c>
      <c r="B100" s="364">
        <v>5</v>
      </c>
      <c r="C100" s="288" t="s">
        <v>782</v>
      </c>
      <c r="D100" s="289" t="s">
        <v>861</v>
      </c>
      <c r="E100" s="289" t="s">
        <v>862</v>
      </c>
      <c r="F100" s="289" t="s">
        <v>863</v>
      </c>
      <c r="H100" s="304" t="s">
        <v>3244</v>
      </c>
      <c r="I100" s="306">
        <v>1922</v>
      </c>
      <c r="J100" s="306">
        <v>2005</v>
      </c>
      <c r="K100" s="307" t="s">
        <v>4597</v>
      </c>
      <c r="L100" s="308">
        <v>8184</v>
      </c>
      <c r="M100" s="323" t="s">
        <v>3227</v>
      </c>
      <c r="N100" s="323"/>
      <c r="O100" s="348">
        <f t="shared" si="54"/>
        <v>28</v>
      </c>
      <c r="P100" s="345">
        <f t="shared" ref="P100:P131" si="77">VALUE(MID(K100,4,2))</f>
        <v>5</v>
      </c>
      <c r="Q100" s="345">
        <f t="shared" ref="Q100:Q131" si="78">VALUE(RIGHT(K100,4))</f>
        <v>1922</v>
      </c>
      <c r="R100" s="344" t="str">
        <f t="shared" si="55"/>
        <v>May</v>
      </c>
      <c r="S100" s="344">
        <f t="shared" ref="S100:S131" si="79">LEN(M100)</f>
        <v>10</v>
      </c>
      <c r="T100" s="344">
        <f t="shared" ref="T100:T131" si="80">IF(M100="","",VALUE(LEFT(M100,2)))</f>
        <v>4</v>
      </c>
      <c r="U100" s="344">
        <f t="shared" ref="U100:U131" si="81">IF(M100="","",VALUE(MID(M100,4,2)))</f>
        <v>10</v>
      </c>
      <c r="V100" s="344">
        <f t="shared" ref="V100:V131" si="82">IF(M100="","",VALUE(RIGHT(M100,4)))</f>
        <v>2005</v>
      </c>
      <c r="W100" s="344" t="str">
        <f t="shared" si="56"/>
        <v>Oct</v>
      </c>
      <c r="X100" s="344"/>
      <c r="Y100" s="344"/>
      <c r="Z100" s="314" t="str">
        <f t="shared" si="74"/>
        <v>28-May-1922</v>
      </c>
      <c r="AA100" s="314" t="str">
        <f t="shared" si="57"/>
        <v>04-Oct-2005</v>
      </c>
      <c r="AB100" s="314">
        <f t="shared" si="58"/>
        <v>83</v>
      </c>
      <c r="AC100" s="314">
        <f t="shared" si="59"/>
        <v>99</v>
      </c>
      <c r="AD100" s="347" t="str">
        <f t="shared" si="60"/>
        <v>Died 04-Oct-2005, aged 83.</v>
      </c>
      <c r="AE100" s="305"/>
      <c r="AF100" s="303"/>
      <c r="AG100" s="303"/>
      <c r="AH100" s="303"/>
      <c r="AI100" s="327">
        <v>18753</v>
      </c>
      <c r="AJ100" s="328" t="s">
        <v>4723</v>
      </c>
      <c r="AK100" s="344" t="str">
        <f t="shared" si="61"/>
        <v>05</v>
      </c>
      <c r="AL100" s="344">
        <f t="shared" si="75"/>
        <v>5</v>
      </c>
      <c r="AM100" s="344">
        <f t="shared" si="76"/>
        <v>1951</v>
      </c>
      <c r="AN100" s="344" t="str">
        <f t="shared" si="62"/>
        <v>May</v>
      </c>
      <c r="AO100" s="344" t="str">
        <f t="shared" ref="AO100:AO131" si="83">IF(AJ100=" -",AJ100,_xlfn.CONCAT(AK100,"-",AN100,"-",AM100))</f>
        <v>05-May-1951</v>
      </c>
      <c r="AQ100" s="327"/>
      <c r="AR100" s="350">
        <f>A100</f>
        <v>97</v>
      </c>
      <c r="AS100" s="353" t="str">
        <f>IF(V100="",_xlfn.CONCAT(IF(G100="",D100,G100)," (",Q100,"–",V100," : #",AR100,")"),_xlfn.CONCAT(IF(G100="",D100,G100)," (",Q100,"–",V100,": #",AR100,")"))</f>
        <v>Audrey (1922–2005: #97)</v>
      </c>
      <c r="AT100" s="353" t="str">
        <f>IF(V100="",_xlfn.CONCAT(IF(G100="",D100,G100)," (",Q100,"– ",V100,")"),_xlfn.CONCAT(IF(G100="",D100,G100)," (",Q100,"–",V100,")"))</f>
        <v>Audrey (1922–2005)</v>
      </c>
      <c r="AU100" s="352" t="str">
        <f t="shared" si="45"/>
        <v>Female</v>
      </c>
      <c r="AV100" s="355" t="s">
        <v>4391</v>
      </c>
      <c r="AW100" s="319" t="str">
        <f>VLOOKUP(AV100,'Mums of Loyd Edit&amp;Partner Edit'!$B$3:$C$66,2,FALSE)</f>
        <v>Kathleen Elizabeth Lilian DONOVAN (b. 21 Mar 1896, d. 7 Dec 1983)</v>
      </c>
      <c r="AX100" s="360">
        <v>53</v>
      </c>
      <c r="AY100" s="355" t="str">
        <f t="shared" si="53"/>
        <v>Edward (1881–1962: #53)</v>
      </c>
      <c r="AZ100" s="361">
        <f>VLOOKUP(AX100,Lineage!$A$1:$C$200,2,FALSE)</f>
        <v>41</v>
      </c>
      <c r="BA100" s="362" t="str">
        <f t="shared" si="73"/>
        <v>Frederic (1856–1936: #41)</v>
      </c>
      <c r="BB100" s="368">
        <f>BiographyMarriageDetsCountries!A99</f>
        <v>97</v>
      </c>
      <c r="BC100" s="319"/>
      <c r="BD100" s="362"/>
      <c r="BF100" s="324"/>
      <c r="BG100" s="357">
        <f t="shared" si="63"/>
        <v>97</v>
      </c>
      <c r="BH100" s="289" t="str">
        <f t="shared" si="64"/>
        <v>Audrey Janet Isabel LOYD</v>
      </c>
      <c r="BI100" s="289" t="str">
        <f t="shared" si="65"/>
        <v>Audrey (1922–2005)</v>
      </c>
      <c r="BJ100" s="304" t="str">
        <f t="shared" si="66"/>
        <v>Female</v>
      </c>
      <c r="BK100" s="304">
        <f t="shared" si="67"/>
        <v>5</v>
      </c>
      <c r="BL100" s="289" t="str">
        <f t="shared" si="68"/>
        <v>Edward (1881–1962: #53)</v>
      </c>
      <c r="BM100" s="289" t="str">
        <f t="shared" si="69"/>
        <v>Kathleen Elizabeth Lilian DONOVAN (b. 21 Mar 1896, d. 7 Dec 1983)</v>
      </c>
      <c r="BN100" s="367" t="str">
        <f t="shared" si="70"/>
        <v>28-May-1922</v>
      </c>
      <c r="BO100" s="367" t="str">
        <f t="shared" si="71"/>
        <v>04-Oct-2005</v>
      </c>
      <c r="BP100" s="365" t="str">
        <f t="shared" si="72"/>
        <v>Died 04-Oct-2005, aged 83.</v>
      </c>
    </row>
    <row r="101" spans="1:68" s="289" customFormat="1" ht="40">
      <c r="A101" s="302">
        <v>98</v>
      </c>
      <c r="B101" s="364">
        <v>5</v>
      </c>
      <c r="C101" s="288" t="s">
        <v>782</v>
      </c>
      <c r="D101" s="289" t="s">
        <v>865</v>
      </c>
      <c r="E101" s="289" t="s">
        <v>822</v>
      </c>
      <c r="H101" s="304" t="s">
        <v>3245</v>
      </c>
      <c r="I101" s="306">
        <v>1922</v>
      </c>
      <c r="J101" s="306">
        <v>2022</v>
      </c>
      <c r="K101" s="307" t="s">
        <v>4598</v>
      </c>
      <c r="L101" s="308">
        <v>8318</v>
      </c>
      <c r="M101" s="328" t="s">
        <v>3820</v>
      </c>
      <c r="N101" s="328"/>
      <c r="O101" s="348">
        <f t="shared" si="54"/>
        <v>9</v>
      </c>
      <c r="P101" s="345">
        <f t="shared" si="77"/>
        <v>10</v>
      </c>
      <c r="Q101" s="345">
        <f t="shared" si="78"/>
        <v>1922</v>
      </c>
      <c r="R101" s="344" t="str">
        <f t="shared" si="55"/>
        <v>Oct</v>
      </c>
      <c r="S101" s="344">
        <f t="shared" si="79"/>
        <v>10</v>
      </c>
      <c r="T101" s="344">
        <f t="shared" si="80"/>
        <v>13</v>
      </c>
      <c r="U101" s="344">
        <f t="shared" si="81"/>
        <v>5</v>
      </c>
      <c r="V101" s="344">
        <f t="shared" si="82"/>
        <v>2022</v>
      </c>
      <c r="W101" s="344" t="str">
        <f t="shared" si="56"/>
        <v>May</v>
      </c>
      <c r="X101" s="344"/>
      <c r="Y101" s="344"/>
      <c r="Z101" s="314" t="str">
        <f t="shared" si="74"/>
        <v>09-Oct-1922</v>
      </c>
      <c r="AA101" s="314" t="str">
        <f t="shared" si="57"/>
        <v>13-May-2022</v>
      </c>
      <c r="AB101" s="314">
        <f t="shared" si="58"/>
        <v>99</v>
      </c>
      <c r="AC101" s="314">
        <f t="shared" si="59"/>
        <v>99</v>
      </c>
      <c r="AD101" s="347" t="str">
        <f t="shared" si="60"/>
        <v>Died 13-May-2022, aged 99.</v>
      </c>
      <c r="AE101" s="305"/>
      <c r="AF101" s="303"/>
      <c r="AG101" s="303"/>
      <c r="AH101" s="303"/>
      <c r="AI101" s="327">
        <v>18361</v>
      </c>
      <c r="AJ101" s="328" t="s">
        <v>4724</v>
      </c>
      <c r="AK101" s="344" t="str">
        <f t="shared" si="61"/>
        <v>08</v>
      </c>
      <c r="AL101" s="344">
        <f t="shared" si="75"/>
        <v>4</v>
      </c>
      <c r="AM101" s="344">
        <f t="shared" si="76"/>
        <v>1950</v>
      </c>
      <c r="AN101" s="344" t="str">
        <f t="shared" si="62"/>
        <v>Apr</v>
      </c>
      <c r="AO101" s="344" t="str">
        <f t="shared" si="83"/>
        <v>08-Apr-1950</v>
      </c>
      <c r="AQ101" s="327"/>
      <c r="AR101" s="350">
        <f>A101</f>
        <v>98</v>
      </c>
      <c r="AS101" s="353" t="str">
        <f>IF(V101="",_xlfn.CONCAT(IF(G101="",D101,G101)," (",Q101,"–",V101," : #",AR101,")"),_xlfn.CONCAT(IF(G101="",D101,G101)," (",Q101,"–",V101,": #",AR101,")"))</f>
        <v>Peter (1922–2022: #98)</v>
      </c>
      <c r="AT101" s="353" t="str">
        <f>IF(V101="",_xlfn.CONCAT(IF(G101="",D101,G101)," (",Q101,"– ",V101,")"),_xlfn.CONCAT(IF(G101="",D101,G101)," (",Q101,"–",V101,")"))</f>
        <v>Peter (1922–2022)</v>
      </c>
      <c r="AU101" s="352" t="str">
        <f t="shared" si="45"/>
        <v>Male</v>
      </c>
      <c r="AV101" s="355" t="s">
        <v>4392</v>
      </c>
      <c r="AW101" s="319" t="str">
        <f>VLOOKUP(AV101,'Mums of Loyd Edit&amp;Partner Edit'!$B$3:$C$66,2,FALSE)</f>
        <v>Emily Charlotte Eileen OAKELEY (b. 28 Jan 1896, d. 8 May 1978)</v>
      </c>
      <c r="AX101" s="360">
        <v>77</v>
      </c>
      <c r="AY101" s="355" t="str">
        <f t="shared" si="53"/>
        <v>Wilfrid (1893–1971: #77)</v>
      </c>
      <c r="AZ101" s="361">
        <f>VLOOKUP(AX101,Lineage!$A$1:$C$200,2,FALSE)</f>
        <v>30</v>
      </c>
      <c r="BA101" s="362" t="str">
        <f t="shared" si="73"/>
        <v>Archie (1847–1922: #30)</v>
      </c>
      <c r="BB101" s="368">
        <f>BiographyMarriageDetsCountries!A100</f>
        <v>98</v>
      </c>
      <c r="BC101" s="319"/>
      <c r="BD101" s="362"/>
      <c r="BF101" s="324"/>
      <c r="BG101" s="357">
        <f t="shared" si="63"/>
        <v>98</v>
      </c>
      <c r="BH101" s="289" t="str">
        <f t="shared" si="64"/>
        <v>Peter Haig LOYD</v>
      </c>
      <c r="BI101" s="289" t="str">
        <f t="shared" si="65"/>
        <v>Peter (1922–2022)</v>
      </c>
      <c r="BJ101" s="304" t="str">
        <f t="shared" si="66"/>
        <v>Male</v>
      </c>
      <c r="BK101" s="304">
        <f t="shared" si="67"/>
        <v>5</v>
      </c>
      <c r="BL101" s="289" t="str">
        <f t="shared" si="68"/>
        <v>Wilfrid (1893–1971: #77)</v>
      </c>
      <c r="BM101" s="289" t="str">
        <f t="shared" si="69"/>
        <v>Emily Charlotte Eileen OAKELEY (b. 28 Jan 1896, d. 8 May 1978)</v>
      </c>
      <c r="BN101" s="367" t="str">
        <f t="shared" si="70"/>
        <v>09-Oct-1922</v>
      </c>
      <c r="BO101" s="367" t="str">
        <f t="shared" si="71"/>
        <v>13-May-2022</v>
      </c>
      <c r="BP101" s="365" t="str">
        <f t="shared" si="72"/>
        <v>Died 13-May-2022, aged 99.</v>
      </c>
    </row>
    <row r="102" spans="1:68" s="289" customFormat="1" ht="40">
      <c r="A102" s="302">
        <v>99</v>
      </c>
      <c r="B102" s="364">
        <v>5</v>
      </c>
      <c r="C102" s="288" t="s">
        <v>782</v>
      </c>
      <c r="D102" s="289" t="s">
        <v>865</v>
      </c>
      <c r="E102" s="289" t="s">
        <v>886</v>
      </c>
      <c r="H102" s="304" t="s">
        <v>3245</v>
      </c>
      <c r="I102" s="306">
        <v>1923</v>
      </c>
      <c r="J102" s="306">
        <v>1974</v>
      </c>
      <c r="K102" s="307" t="s">
        <v>4599</v>
      </c>
      <c r="L102" s="308">
        <v>8509</v>
      </c>
      <c r="M102" s="323" t="s">
        <v>3229</v>
      </c>
      <c r="N102" s="323"/>
      <c r="O102" s="348">
        <f t="shared" si="54"/>
        <v>18</v>
      </c>
      <c r="P102" s="345">
        <f t="shared" si="77"/>
        <v>4</v>
      </c>
      <c r="Q102" s="345">
        <f t="shared" si="78"/>
        <v>1923</v>
      </c>
      <c r="R102" s="344" t="str">
        <f t="shared" si="55"/>
        <v>Apr</v>
      </c>
      <c r="S102" s="344">
        <f t="shared" si="79"/>
        <v>10</v>
      </c>
      <c r="T102" s="344">
        <f t="shared" si="80"/>
        <v>12</v>
      </c>
      <c r="U102" s="344">
        <f t="shared" si="81"/>
        <v>6</v>
      </c>
      <c r="V102" s="344">
        <f t="shared" si="82"/>
        <v>1974</v>
      </c>
      <c r="W102" s="344" t="str">
        <f t="shared" si="56"/>
        <v>Jun</v>
      </c>
      <c r="X102" s="344"/>
      <c r="Y102" s="344"/>
      <c r="Z102" s="314" t="str">
        <f t="shared" si="74"/>
        <v>18-Apr-1923</v>
      </c>
      <c r="AA102" s="314" t="str">
        <f t="shared" si="57"/>
        <v>12-Jun-1974</v>
      </c>
      <c r="AB102" s="314">
        <f t="shared" si="58"/>
        <v>51</v>
      </c>
      <c r="AC102" s="314">
        <f t="shared" si="59"/>
        <v>98</v>
      </c>
      <c r="AD102" s="347" t="str">
        <f t="shared" si="60"/>
        <v>Died 12-Jun-1974, aged 51.</v>
      </c>
      <c r="AE102" s="305"/>
      <c r="AF102" s="303"/>
      <c r="AG102" s="303"/>
      <c r="AH102" s="303"/>
      <c r="AI102" s="327">
        <v>21248</v>
      </c>
      <c r="AJ102" s="328" t="s">
        <v>4725</v>
      </c>
      <c r="AK102" s="344" t="str">
        <f t="shared" si="61"/>
        <v>04</v>
      </c>
      <c r="AL102" s="344">
        <f t="shared" si="75"/>
        <v>3</v>
      </c>
      <c r="AM102" s="344">
        <f t="shared" si="76"/>
        <v>1958</v>
      </c>
      <c r="AN102" s="344" t="str">
        <f t="shared" si="62"/>
        <v>Mar</v>
      </c>
      <c r="AO102" s="344" t="str">
        <f t="shared" si="83"/>
        <v>04-Mar-1958</v>
      </c>
      <c r="AQ102" s="327"/>
      <c r="AR102" s="350">
        <f>A102</f>
        <v>99</v>
      </c>
      <c r="AS102" s="353" t="str">
        <f>IF(V102="",_xlfn.CONCAT(IF(G102="",D102,G102)," (",Q102,"–",V102," : #",AR102,")"),_xlfn.CONCAT(IF(G102="",D102,G102)," (",Q102,"–",V102,": #",AR102,")"))</f>
        <v>Peter (1923–1974: #99)</v>
      </c>
      <c r="AT102" s="353" t="str">
        <f>IF(V102="",_xlfn.CONCAT(IF(G102="",D102,G102)," (",Q102,"– ",V102,")"),_xlfn.CONCAT(IF(G102="",D102,G102)," (",Q102,"–",V102,")"))</f>
        <v>Peter (1923–1974)</v>
      </c>
      <c r="AU102" s="352" t="str">
        <f t="shared" si="45"/>
        <v>Male</v>
      </c>
      <c r="AV102" s="355" t="s">
        <v>4387</v>
      </c>
      <c r="AW102" s="319" t="str">
        <f>VLOOKUP(AV102,'Mums of Loyd Edit&amp;Partner Edit'!$B$3:$C$66,2,FALSE)</f>
        <v>The Hon Bettine Henrietta KNATCHBULL-HUGESSEN (b. 15 Sep 1888, d. 9 Aug 1967)</v>
      </c>
      <c r="AX102" s="360">
        <v>66</v>
      </c>
      <c r="AY102" s="355" t="str">
        <f t="shared" si="53"/>
        <v>William (1889–1947: #66)</v>
      </c>
      <c r="AZ102" s="361">
        <f>VLOOKUP(AX102,Lineage!$A$1:$C$200,2,FALSE)</f>
        <v>44</v>
      </c>
      <c r="BA102" s="362" t="str">
        <f t="shared" si="73"/>
        <v>Harry (1861–1938: #44)</v>
      </c>
      <c r="BB102" s="368">
        <f>BiographyMarriageDetsCountries!A101</f>
        <v>99</v>
      </c>
      <c r="BC102" s="319"/>
      <c r="BD102" s="362"/>
      <c r="BF102" s="324"/>
      <c r="BG102" s="357">
        <f t="shared" si="63"/>
        <v>99</v>
      </c>
      <c r="BH102" s="289" t="str">
        <f t="shared" si="64"/>
        <v>Peter Wyndham LOYD</v>
      </c>
      <c r="BI102" s="289" t="str">
        <f t="shared" si="65"/>
        <v>Peter (1923–1974)</v>
      </c>
      <c r="BJ102" s="304" t="str">
        <f t="shared" si="66"/>
        <v>Male</v>
      </c>
      <c r="BK102" s="304">
        <f t="shared" si="67"/>
        <v>5</v>
      </c>
      <c r="BL102" s="289" t="str">
        <f t="shared" si="68"/>
        <v>William (1889–1947: #66)</v>
      </c>
      <c r="BM102" s="289" t="str">
        <f t="shared" si="69"/>
        <v>The Hon Bettine Henrietta KNATCHBULL-HUGESSEN (b. 15 Sep 1888, d. 9 Aug 1967)</v>
      </c>
      <c r="BN102" s="367" t="str">
        <f t="shared" si="70"/>
        <v>18-Apr-1923</v>
      </c>
      <c r="BO102" s="367" t="str">
        <f t="shared" si="71"/>
        <v>12-Jun-1974</v>
      </c>
      <c r="BP102" s="365" t="str">
        <f t="shared" si="72"/>
        <v>Died 12-Jun-1974, aged 51.</v>
      </c>
    </row>
    <row r="103" spans="1:68" s="289" customFormat="1" ht="40">
      <c r="A103" s="302">
        <v>100</v>
      </c>
      <c r="B103" s="364">
        <v>5</v>
      </c>
      <c r="C103" s="288" t="s">
        <v>782</v>
      </c>
      <c r="D103" s="289" t="s">
        <v>866</v>
      </c>
      <c r="E103" s="289" t="s">
        <v>914</v>
      </c>
      <c r="H103" s="304" t="s">
        <v>3245</v>
      </c>
      <c r="I103" s="306">
        <v>1923</v>
      </c>
      <c r="J103" s="306">
        <v>2013</v>
      </c>
      <c r="K103" s="307" t="s">
        <v>4600</v>
      </c>
      <c r="L103" s="308">
        <v>8553</v>
      </c>
      <c r="M103" s="323" t="s">
        <v>3230</v>
      </c>
      <c r="N103" s="323"/>
      <c r="O103" s="348">
        <f t="shared" si="54"/>
        <v>1</v>
      </c>
      <c r="P103" s="345">
        <f t="shared" si="77"/>
        <v>6</v>
      </c>
      <c r="Q103" s="345">
        <f t="shared" si="78"/>
        <v>1923</v>
      </c>
      <c r="R103" s="344" t="str">
        <f t="shared" si="55"/>
        <v>Jun</v>
      </c>
      <c r="S103" s="344">
        <f t="shared" si="79"/>
        <v>10</v>
      </c>
      <c r="T103" s="344">
        <f t="shared" si="80"/>
        <v>14</v>
      </c>
      <c r="U103" s="344">
        <f t="shared" si="81"/>
        <v>7</v>
      </c>
      <c r="V103" s="344">
        <f t="shared" si="82"/>
        <v>2013</v>
      </c>
      <c r="W103" s="344" t="str">
        <f t="shared" si="56"/>
        <v>Jul</v>
      </c>
      <c r="X103" s="344"/>
      <c r="Y103" s="344"/>
      <c r="Z103" s="314" t="str">
        <f t="shared" si="74"/>
        <v>01-Jun-1923</v>
      </c>
      <c r="AA103" s="314" t="str">
        <f t="shared" si="57"/>
        <v>14-Jul-2013</v>
      </c>
      <c r="AB103" s="314">
        <f t="shared" si="58"/>
        <v>90</v>
      </c>
      <c r="AC103" s="314">
        <f t="shared" si="59"/>
        <v>98</v>
      </c>
      <c r="AD103" s="347" t="str">
        <f t="shared" si="60"/>
        <v>Died 14-Jul-2013, aged 90.</v>
      </c>
      <c r="AE103" s="305"/>
      <c r="AF103" s="303"/>
      <c r="AG103" s="303"/>
      <c r="AH103" s="303"/>
      <c r="AI103" s="327">
        <v>21171</v>
      </c>
      <c r="AJ103" s="328" t="s">
        <v>4726</v>
      </c>
      <c r="AK103" s="344" t="str">
        <f t="shared" si="61"/>
        <v>17</v>
      </c>
      <c r="AL103" s="344">
        <f t="shared" si="75"/>
        <v>12</v>
      </c>
      <c r="AM103" s="344">
        <f t="shared" si="76"/>
        <v>1957</v>
      </c>
      <c r="AN103" s="344" t="str">
        <f t="shared" si="62"/>
        <v>Dec</v>
      </c>
      <c r="AO103" s="344" t="str">
        <f t="shared" si="83"/>
        <v>17-Dec-1957</v>
      </c>
      <c r="AQ103" s="327"/>
      <c r="AR103" s="350">
        <f>A103</f>
        <v>100</v>
      </c>
      <c r="AS103" s="353" t="str">
        <f>IF(V103="",_xlfn.CONCAT(IF(G103="",D103,G103)," (",Q103,"–",V103," : #",AR103,")"),_xlfn.CONCAT(IF(G103="",D103,G103)," (",Q103,"–",V103,": #",AR103,")"))</f>
        <v>Christopher (1923–2013: #100)</v>
      </c>
      <c r="AT103" s="353" t="str">
        <f>IF(V103="",_xlfn.CONCAT(IF(G103="",D103,G103)," (",Q103,"– ",V103,")"),_xlfn.CONCAT(IF(G103="",D103,G103)," (",Q103,"–",V103,")"))</f>
        <v>Christopher (1923–2013)</v>
      </c>
      <c r="AU103" s="352" t="str">
        <f t="shared" si="45"/>
        <v>Male</v>
      </c>
      <c r="AV103" s="355" t="s">
        <v>4385</v>
      </c>
      <c r="AW103" s="319" t="str">
        <f>VLOOKUP(AV103,'Mums of Loyd Edit&amp;Partner Edit'!$B$3:$C$66,2,FALSE)</f>
        <v>Dorothy WILLERT (b. 19 Jan 1886, d. 15 Jan 1966)</v>
      </c>
      <c r="AX103" s="360">
        <v>56</v>
      </c>
      <c r="AY103" s="355" t="str">
        <f t="shared" si="53"/>
        <v>Tommy (1882–1944: #56)</v>
      </c>
      <c r="AZ103" s="361">
        <f>VLOOKUP(AX103,Lineage!$A$1:$C$200,2,FALSE)</f>
        <v>28</v>
      </c>
      <c r="BA103" s="362" t="str">
        <f t="shared" si="73"/>
        <v>The Rev Lewis (1844–1905: #28)</v>
      </c>
      <c r="BB103" s="368">
        <f>BiographyMarriageDetsCountries!A102</f>
        <v>100</v>
      </c>
      <c r="BC103" s="319"/>
      <c r="BD103" s="362"/>
      <c r="BF103" s="324"/>
      <c r="BG103" s="357">
        <f t="shared" si="63"/>
        <v>100</v>
      </c>
      <c r="BH103" s="289" t="str">
        <f t="shared" si="64"/>
        <v>Christopher Lewis LOYD</v>
      </c>
      <c r="BI103" s="289" t="str">
        <f t="shared" si="65"/>
        <v>Christopher (1923–2013)</v>
      </c>
      <c r="BJ103" s="304" t="str">
        <f t="shared" si="66"/>
        <v>Male</v>
      </c>
      <c r="BK103" s="304">
        <f t="shared" si="67"/>
        <v>5</v>
      </c>
      <c r="BL103" s="289" t="str">
        <f t="shared" si="68"/>
        <v>Tommy (1882–1944: #56)</v>
      </c>
      <c r="BM103" s="289" t="str">
        <f t="shared" si="69"/>
        <v>Dorothy WILLERT (b. 19 Jan 1886, d. 15 Jan 1966)</v>
      </c>
      <c r="BN103" s="367" t="str">
        <f t="shared" si="70"/>
        <v>01-Jun-1923</v>
      </c>
      <c r="BO103" s="367" t="str">
        <f t="shared" si="71"/>
        <v>14-Jul-2013</v>
      </c>
      <c r="BP103" s="365" t="str">
        <f t="shared" si="72"/>
        <v>Died 14-Jul-2013, aged 90.</v>
      </c>
    </row>
    <row r="104" spans="1:68" s="289" customFormat="1" ht="40">
      <c r="A104" s="302">
        <v>101</v>
      </c>
      <c r="B104" s="364">
        <v>5</v>
      </c>
      <c r="C104" s="288" t="s">
        <v>782</v>
      </c>
      <c r="D104" s="289" t="s">
        <v>867</v>
      </c>
      <c r="H104" s="304" t="s">
        <v>3244</v>
      </c>
      <c r="I104" s="306">
        <v>1923</v>
      </c>
      <c r="J104" s="306">
        <v>2014</v>
      </c>
      <c r="K104" s="307" t="s">
        <v>4600</v>
      </c>
      <c r="L104" s="308">
        <v>8553</v>
      </c>
      <c r="M104" s="323" t="s">
        <v>3231</v>
      </c>
      <c r="N104" s="323"/>
      <c r="O104" s="348">
        <f t="shared" si="54"/>
        <v>1</v>
      </c>
      <c r="P104" s="345">
        <f t="shared" si="77"/>
        <v>6</v>
      </c>
      <c r="Q104" s="345">
        <f t="shared" si="78"/>
        <v>1923</v>
      </c>
      <c r="R104" s="344" t="str">
        <f t="shared" si="55"/>
        <v>Jun</v>
      </c>
      <c r="S104" s="344">
        <f t="shared" si="79"/>
        <v>10</v>
      </c>
      <c r="T104" s="344">
        <f t="shared" si="80"/>
        <v>22</v>
      </c>
      <c r="U104" s="344">
        <f t="shared" si="81"/>
        <v>1</v>
      </c>
      <c r="V104" s="344">
        <f t="shared" si="82"/>
        <v>2014</v>
      </c>
      <c r="W104" s="344" t="str">
        <f t="shared" si="56"/>
        <v>Jan</v>
      </c>
      <c r="X104" s="344"/>
      <c r="Y104" s="344"/>
      <c r="Z104" s="314" t="str">
        <f t="shared" si="74"/>
        <v>01-Jun-1923</v>
      </c>
      <c r="AA104" s="314" t="str">
        <f t="shared" si="57"/>
        <v>22-Jan-2014</v>
      </c>
      <c r="AB104" s="314">
        <f t="shared" si="58"/>
        <v>90</v>
      </c>
      <c r="AC104" s="314">
        <f t="shared" si="59"/>
        <v>98</v>
      </c>
      <c r="AD104" s="347" t="str">
        <f t="shared" si="60"/>
        <v>Died 22-Jan-2014, aged 90.</v>
      </c>
      <c r="AE104" s="305"/>
      <c r="AF104" s="303"/>
      <c r="AG104" s="303"/>
      <c r="AH104" s="303"/>
      <c r="AI104" s="327">
        <v>17868</v>
      </c>
      <c r="AJ104" s="328" t="s">
        <v>4727</v>
      </c>
      <c r="AK104" s="344" t="str">
        <f t="shared" si="61"/>
        <v>01</v>
      </c>
      <c r="AL104" s="344">
        <f t="shared" si="75"/>
        <v>12</v>
      </c>
      <c r="AM104" s="344">
        <f t="shared" si="76"/>
        <v>1948</v>
      </c>
      <c r="AN104" s="344" t="str">
        <f t="shared" si="62"/>
        <v>Dec</v>
      </c>
      <c r="AO104" s="344" t="str">
        <f t="shared" si="83"/>
        <v>01-Dec-1948</v>
      </c>
      <c r="AQ104" s="327"/>
      <c r="AR104" s="350">
        <f>A104</f>
        <v>101</v>
      </c>
      <c r="AS104" s="353" t="str">
        <f>IF(V104="",_xlfn.CONCAT(IF(G104="",D104,G104)," (",Q104,"–",V104," : #",AR104,")"),_xlfn.CONCAT(IF(G104="",D104,G104)," (",Q104,"–",V104,": #",AR104,")"))</f>
        <v>Catherine (1923–2014: #101)</v>
      </c>
      <c r="AT104" s="353" t="str">
        <f>IF(V104="",_xlfn.CONCAT(IF(G104="",D104,G104)," (",Q104,"– ",V104,")"),_xlfn.CONCAT(IF(G104="",D104,G104)," (",Q104,"–",V104,")"))</f>
        <v>Catherine (1923–2014)</v>
      </c>
      <c r="AU104" s="352" t="str">
        <f t="shared" si="45"/>
        <v>Female</v>
      </c>
      <c r="AV104" s="355" t="s">
        <v>4385</v>
      </c>
      <c r="AW104" s="319" t="str">
        <f>VLOOKUP(AV104,'Mums of Loyd Edit&amp;Partner Edit'!$B$3:$C$66,2,FALSE)</f>
        <v>Dorothy WILLERT (b. 19 Jan 1886, d. 15 Jan 1966)</v>
      </c>
      <c r="AX104" s="360">
        <v>56</v>
      </c>
      <c r="AY104" s="355" t="str">
        <f t="shared" si="53"/>
        <v>Tommy (1882–1944: #56)</v>
      </c>
      <c r="AZ104" s="361">
        <f>VLOOKUP(AX104,Lineage!$A$1:$C$200,2,FALSE)</f>
        <v>28</v>
      </c>
      <c r="BA104" s="362" t="str">
        <f t="shared" si="73"/>
        <v>The Rev Lewis (1844–1905: #28)</v>
      </c>
      <c r="BB104" s="368">
        <f>BiographyMarriageDetsCountries!A103</f>
        <v>101</v>
      </c>
      <c r="BC104" s="319"/>
      <c r="BD104" s="362"/>
      <c r="BF104" s="324"/>
      <c r="BG104" s="357">
        <f t="shared" si="63"/>
        <v>101</v>
      </c>
      <c r="BH104" s="289" t="str">
        <f t="shared" si="64"/>
        <v>Catherine LOYD</v>
      </c>
      <c r="BI104" s="289" t="str">
        <f t="shared" si="65"/>
        <v>Catherine (1923–2014)</v>
      </c>
      <c r="BJ104" s="304" t="str">
        <f t="shared" si="66"/>
        <v>Female</v>
      </c>
      <c r="BK104" s="304">
        <f t="shared" si="67"/>
        <v>5</v>
      </c>
      <c r="BL104" s="289" t="str">
        <f t="shared" si="68"/>
        <v>Tommy (1882–1944: #56)</v>
      </c>
      <c r="BM104" s="289" t="str">
        <f t="shared" si="69"/>
        <v>Dorothy WILLERT (b. 19 Jan 1886, d. 15 Jan 1966)</v>
      </c>
      <c r="BN104" s="367" t="str">
        <f t="shared" si="70"/>
        <v>01-Jun-1923</v>
      </c>
      <c r="BO104" s="367" t="str">
        <f t="shared" si="71"/>
        <v>22-Jan-2014</v>
      </c>
      <c r="BP104" s="365" t="str">
        <f t="shared" si="72"/>
        <v>Died 22-Jan-2014, aged 90.</v>
      </c>
    </row>
    <row r="105" spans="1:68" s="289" customFormat="1" ht="40">
      <c r="A105" s="302">
        <v>102</v>
      </c>
      <c r="B105" s="364">
        <v>5</v>
      </c>
      <c r="C105" s="288" t="s">
        <v>782</v>
      </c>
      <c r="D105" s="289" t="s">
        <v>869</v>
      </c>
      <c r="E105" s="289" t="s">
        <v>870</v>
      </c>
      <c r="H105" s="304" t="s">
        <v>3244</v>
      </c>
      <c r="I105" s="306">
        <v>1923</v>
      </c>
      <c r="J105" s="306">
        <v>2014</v>
      </c>
      <c r="K105" s="307" t="s">
        <v>4601</v>
      </c>
      <c r="L105" s="308">
        <v>8745</v>
      </c>
      <c r="M105" s="323" t="s">
        <v>3232</v>
      </c>
      <c r="N105" s="323"/>
      <c r="O105" s="348">
        <f t="shared" si="54"/>
        <v>10</v>
      </c>
      <c r="P105" s="345">
        <f t="shared" si="77"/>
        <v>12</v>
      </c>
      <c r="Q105" s="345">
        <f t="shared" si="78"/>
        <v>1923</v>
      </c>
      <c r="R105" s="344" t="str">
        <f t="shared" si="55"/>
        <v>Dec</v>
      </c>
      <c r="S105" s="344">
        <f t="shared" si="79"/>
        <v>10</v>
      </c>
      <c r="T105" s="344">
        <f t="shared" si="80"/>
        <v>30</v>
      </c>
      <c r="U105" s="344">
        <f t="shared" si="81"/>
        <v>4</v>
      </c>
      <c r="V105" s="344">
        <f t="shared" si="82"/>
        <v>2014</v>
      </c>
      <c r="W105" s="344" t="str">
        <f t="shared" si="56"/>
        <v>Apr</v>
      </c>
      <c r="X105" s="344"/>
      <c r="Y105" s="344"/>
      <c r="Z105" s="314" t="str">
        <f t="shared" si="74"/>
        <v>10-Dec-1923</v>
      </c>
      <c r="AA105" s="314" t="str">
        <f t="shared" si="57"/>
        <v>30-Apr-2014</v>
      </c>
      <c r="AB105" s="314">
        <f t="shared" si="58"/>
        <v>90</v>
      </c>
      <c r="AC105" s="314">
        <f t="shared" si="59"/>
        <v>98</v>
      </c>
      <c r="AD105" s="347" t="str">
        <f t="shared" si="60"/>
        <v>Died 30-Apr-2014, aged 90.</v>
      </c>
      <c r="AE105" s="305"/>
      <c r="AF105" s="303"/>
      <c r="AG105" s="303"/>
      <c r="AH105" s="303"/>
      <c r="AI105" s="327">
        <v>19810</v>
      </c>
      <c r="AJ105" s="328" t="s">
        <v>4779</v>
      </c>
      <c r="AK105" s="344" t="str">
        <f t="shared" si="61"/>
        <v>27</v>
      </c>
      <c r="AL105" s="344">
        <f t="shared" si="75"/>
        <v>3</v>
      </c>
      <c r="AM105" s="344">
        <f t="shared" si="76"/>
        <v>1954</v>
      </c>
      <c r="AN105" s="344" t="str">
        <f t="shared" si="62"/>
        <v>Mar</v>
      </c>
      <c r="AO105" s="344" t="str">
        <f t="shared" si="83"/>
        <v>27-Mar-1954</v>
      </c>
      <c r="AQ105" s="327"/>
      <c r="AR105" s="350">
        <f>A105</f>
        <v>102</v>
      </c>
      <c r="AS105" s="353" t="str">
        <f>IF(V105="",_xlfn.CONCAT(IF(G105="",D105,G105)," (",Q105,"–",V105," : #",AR105,")"),_xlfn.CONCAT(IF(G105="",D105,G105)," (",Q105,"–",V105,": #",AR105,")"))</f>
        <v>Zelda (1923–2014: #102)</v>
      </c>
      <c r="AT105" s="353" t="str">
        <f>IF(V105="",_xlfn.CONCAT(IF(G105="",D105,G105)," (",Q105,"– ",V105,")"),_xlfn.CONCAT(IF(G105="",D105,G105)," (",Q105,"–",V105,")"))</f>
        <v>Zelda (1923–2014)</v>
      </c>
      <c r="AU105" s="352" t="str">
        <f t="shared" si="45"/>
        <v>Female</v>
      </c>
      <c r="AV105" s="355" t="s">
        <v>4393</v>
      </c>
      <c r="AW105" s="319" t="str">
        <f>VLOOKUP(AV105,'Mums of Loyd Edit&amp;Partner Edit'!$B$3:$C$66,2,FALSE)</f>
        <v>Olive Mary GLADSTONE (b. 7 May 1893, d. 7 Aug 1977)</v>
      </c>
      <c r="AX105" s="360">
        <v>62</v>
      </c>
      <c r="AY105" s="355" t="str">
        <f t="shared" si="53"/>
        <v>Bobby (1887–1977: #62)</v>
      </c>
      <c r="AZ105" s="361">
        <f>VLOOKUP(AX105,Lineage!$A$1:$C$200,2,FALSE)</f>
        <v>30</v>
      </c>
      <c r="BA105" s="362" t="str">
        <f t="shared" si="73"/>
        <v>Archie (1847–1922: #30)</v>
      </c>
      <c r="BB105" s="368">
        <f>BiographyMarriageDetsCountries!A104</f>
        <v>102</v>
      </c>
      <c r="BC105" s="319"/>
      <c r="BD105" s="362"/>
      <c r="BF105" s="324"/>
      <c r="BG105" s="357">
        <f t="shared" si="63"/>
        <v>102</v>
      </c>
      <c r="BH105" s="289" t="str">
        <f t="shared" si="64"/>
        <v>Zelda Mary LOYD</v>
      </c>
      <c r="BI105" s="289" t="str">
        <f t="shared" si="65"/>
        <v>Zelda (1923–2014)</v>
      </c>
      <c r="BJ105" s="304" t="str">
        <f t="shared" si="66"/>
        <v>Female</v>
      </c>
      <c r="BK105" s="304">
        <f t="shared" si="67"/>
        <v>5</v>
      </c>
      <c r="BL105" s="289" t="str">
        <f t="shared" si="68"/>
        <v>Bobby (1887–1977: #62)</v>
      </c>
      <c r="BM105" s="289" t="str">
        <f t="shared" si="69"/>
        <v>Olive Mary GLADSTONE (b. 7 May 1893, d. 7 Aug 1977)</v>
      </c>
      <c r="BN105" s="367" t="str">
        <f t="shared" si="70"/>
        <v>10-Dec-1923</v>
      </c>
      <c r="BO105" s="367" t="str">
        <f t="shared" si="71"/>
        <v>30-Apr-2014</v>
      </c>
      <c r="BP105" s="365" t="str">
        <f t="shared" si="72"/>
        <v>Died 30-Apr-2014, aged 90.</v>
      </c>
    </row>
    <row r="106" spans="1:68" s="289" customFormat="1" ht="40">
      <c r="A106" s="302">
        <v>103</v>
      </c>
      <c r="B106" s="364">
        <v>5</v>
      </c>
      <c r="C106" s="288" t="s">
        <v>782</v>
      </c>
      <c r="D106" s="289" t="s">
        <v>871</v>
      </c>
      <c r="E106" s="289" t="s">
        <v>799</v>
      </c>
      <c r="F106" s="289" t="s">
        <v>846</v>
      </c>
      <c r="H106" s="304" t="s">
        <v>3244</v>
      </c>
      <c r="I106" s="306">
        <v>1923</v>
      </c>
      <c r="J106" s="306">
        <v>1995</v>
      </c>
      <c r="K106" s="307" t="s">
        <v>4602</v>
      </c>
      <c r="L106" s="308">
        <v>8756</v>
      </c>
      <c r="M106" s="323" t="s">
        <v>3233</v>
      </c>
      <c r="N106" s="323"/>
      <c r="O106" s="348">
        <f t="shared" si="54"/>
        <v>21</v>
      </c>
      <c r="P106" s="345">
        <f t="shared" si="77"/>
        <v>12</v>
      </c>
      <c r="Q106" s="345">
        <f t="shared" si="78"/>
        <v>1923</v>
      </c>
      <c r="R106" s="344" t="str">
        <f t="shared" si="55"/>
        <v>Dec</v>
      </c>
      <c r="S106" s="344">
        <f t="shared" si="79"/>
        <v>10</v>
      </c>
      <c r="T106" s="344">
        <f t="shared" si="80"/>
        <v>12</v>
      </c>
      <c r="U106" s="344">
        <f t="shared" si="81"/>
        <v>12</v>
      </c>
      <c r="V106" s="344">
        <f t="shared" si="82"/>
        <v>1995</v>
      </c>
      <c r="W106" s="344" t="str">
        <f t="shared" si="56"/>
        <v>Dec</v>
      </c>
      <c r="X106" s="344"/>
      <c r="Y106" s="344"/>
      <c r="Z106" s="314" t="str">
        <f t="shared" si="74"/>
        <v>21-Dec-1923</v>
      </c>
      <c r="AA106" s="314" t="str">
        <f t="shared" si="57"/>
        <v>12-Dec-1995</v>
      </c>
      <c r="AB106" s="314">
        <f t="shared" si="58"/>
        <v>71</v>
      </c>
      <c r="AC106" s="314">
        <f t="shared" si="59"/>
        <v>98</v>
      </c>
      <c r="AD106" s="347" t="str">
        <f t="shared" si="60"/>
        <v>Died 12-Dec-1995, aged 71.</v>
      </c>
      <c r="AE106" s="305"/>
      <c r="AF106" s="303"/>
      <c r="AG106" s="303"/>
      <c r="AH106" s="303"/>
      <c r="AI106" s="327">
        <v>16805</v>
      </c>
      <c r="AJ106" s="328" t="s">
        <v>4780</v>
      </c>
      <c r="AK106" s="344" t="str">
        <f t="shared" si="61"/>
        <v>03</v>
      </c>
      <c r="AL106" s="344">
        <f t="shared" si="75"/>
        <v>1</v>
      </c>
      <c r="AM106" s="344">
        <f t="shared" si="76"/>
        <v>1946</v>
      </c>
      <c r="AN106" s="344" t="str">
        <f t="shared" si="62"/>
        <v>Jan</v>
      </c>
      <c r="AO106" s="344" t="str">
        <f t="shared" si="83"/>
        <v>03-Jan-1946</v>
      </c>
      <c r="AQ106" s="327"/>
      <c r="AR106" s="350">
        <f>A106</f>
        <v>103</v>
      </c>
      <c r="AS106" s="353" t="str">
        <f>IF(V106="",_xlfn.CONCAT(IF(G106="",D106,G106)," (",Q106,"–",V106," : #",AR106,")"),_xlfn.CONCAT(IF(G106="",D106,G106)," (",Q106,"–",V106,": #",AR106,")"))</f>
        <v>Lavinia (1923–1995: #103)</v>
      </c>
      <c r="AT106" s="353" t="str">
        <f>IF(V106="",_xlfn.CONCAT(IF(G106="",D106,G106)," (",Q106,"– ",V106,")"),_xlfn.CONCAT(IF(G106="",D106,G106)," (",Q106,"–",V106,")"))</f>
        <v>Lavinia (1923–1995)</v>
      </c>
      <c r="AU106" s="352" t="str">
        <f t="shared" si="45"/>
        <v>Female</v>
      </c>
      <c r="AV106" s="355" t="s">
        <v>4394</v>
      </c>
      <c r="AW106" s="319" t="str">
        <f>VLOOKUP(AV106,'Mums of Loyd Edit&amp;Partner Edit'!$B$3:$C$66,2,FALSE)</f>
        <v>Lady Moyra BRODRICK (b.11 Jan 1897, d. 1 Apr 1982)</v>
      </c>
      <c r="AX106" s="360">
        <v>72</v>
      </c>
      <c r="AY106" s="355" t="str">
        <f t="shared" si="53"/>
        <v>Charles (1891–1973: #72)</v>
      </c>
      <c r="AZ106" s="361">
        <f>VLOOKUP(AX106,Lineage!$A$1:$C$200,2,FALSE)</f>
        <v>44</v>
      </c>
      <c r="BA106" s="362" t="str">
        <f t="shared" si="73"/>
        <v>Harry (1861–1938: #44)</v>
      </c>
      <c r="BB106" s="368">
        <f>BiographyMarriageDetsCountries!A105</f>
        <v>103</v>
      </c>
      <c r="BC106" s="319"/>
      <c r="BD106" s="362"/>
      <c r="BF106" s="324"/>
      <c r="BG106" s="357">
        <f t="shared" si="63"/>
        <v>103</v>
      </c>
      <c r="BH106" s="289" t="str">
        <f t="shared" si="64"/>
        <v>Lavinia Gertrude Georgina LOYD</v>
      </c>
      <c r="BI106" s="289" t="str">
        <f t="shared" si="65"/>
        <v>Lavinia (1923–1995)</v>
      </c>
      <c r="BJ106" s="304" t="str">
        <f t="shared" si="66"/>
        <v>Female</v>
      </c>
      <c r="BK106" s="304">
        <f t="shared" si="67"/>
        <v>5</v>
      </c>
      <c r="BL106" s="289" t="str">
        <f t="shared" si="68"/>
        <v>Charles (1891–1973: #72)</v>
      </c>
      <c r="BM106" s="289" t="str">
        <f t="shared" si="69"/>
        <v>Lady Moyra BRODRICK (b.11 Jan 1897, d. 1 Apr 1982)</v>
      </c>
      <c r="BN106" s="367" t="str">
        <f t="shared" si="70"/>
        <v>21-Dec-1923</v>
      </c>
      <c r="BO106" s="367" t="str">
        <f t="shared" si="71"/>
        <v>12-Dec-1995</v>
      </c>
      <c r="BP106" s="365" t="str">
        <f t="shared" si="72"/>
        <v>Died 12-Dec-1995, aged 71.</v>
      </c>
    </row>
    <row r="107" spans="1:68" s="289" customFormat="1" ht="40">
      <c r="A107" s="302">
        <v>104</v>
      </c>
      <c r="B107" s="364">
        <v>5</v>
      </c>
      <c r="C107" s="288" t="s">
        <v>782</v>
      </c>
      <c r="D107" s="289" t="s">
        <v>872</v>
      </c>
      <c r="E107" s="289" t="s">
        <v>873</v>
      </c>
      <c r="G107" s="289" t="s">
        <v>872</v>
      </c>
      <c r="H107" s="304" t="s">
        <v>3245</v>
      </c>
      <c r="I107" s="306">
        <v>1926</v>
      </c>
      <c r="J107" s="306">
        <v>2018</v>
      </c>
      <c r="K107" s="307" t="s">
        <v>4603</v>
      </c>
      <c r="L107" s="308">
        <v>9642</v>
      </c>
      <c r="M107" s="323" t="s">
        <v>3234</v>
      </c>
      <c r="N107" s="323"/>
      <c r="O107" s="348">
        <f t="shared" si="54"/>
        <v>25</v>
      </c>
      <c r="P107" s="345">
        <f t="shared" si="77"/>
        <v>5</v>
      </c>
      <c r="Q107" s="345">
        <f t="shared" si="78"/>
        <v>1926</v>
      </c>
      <c r="R107" s="344" t="str">
        <f t="shared" si="55"/>
        <v>May</v>
      </c>
      <c r="S107" s="344">
        <f t="shared" si="79"/>
        <v>10</v>
      </c>
      <c r="T107" s="344">
        <f t="shared" si="80"/>
        <v>7</v>
      </c>
      <c r="U107" s="344">
        <f t="shared" si="81"/>
        <v>2</v>
      </c>
      <c r="V107" s="344">
        <f t="shared" si="82"/>
        <v>2018</v>
      </c>
      <c r="W107" s="344" t="str">
        <f t="shared" si="56"/>
        <v>Feb</v>
      </c>
      <c r="X107" s="344"/>
      <c r="Y107" s="344"/>
      <c r="Z107" s="314" t="str">
        <f t="shared" si="74"/>
        <v>25-May-1926</v>
      </c>
      <c r="AA107" s="314" t="str">
        <f t="shared" si="57"/>
        <v>07-Feb-2018</v>
      </c>
      <c r="AB107" s="314">
        <f t="shared" si="58"/>
        <v>91</v>
      </c>
      <c r="AC107" s="314">
        <f t="shared" si="59"/>
        <v>95</v>
      </c>
      <c r="AD107" s="347" t="str">
        <f t="shared" si="60"/>
        <v>Died 07-Feb-2018, aged 91.</v>
      </c>
      <c r="AE107" s="305"/>
      <c r="AF107" s="303"/>
      <c r="AG107" s="303"/>
      <c r="AH107" s="303"/>
      <c r="AI107" s="327">
        <v>22209</v>
      </c>
      <c r="AJ107" s="328" t="s">
        <v>4781</v>
      </c>
      <c r="AK107" s="344" t="str">
        <f t="shared" si="61"/>
        <v>20</v>
      </c>
      <c r="AL107" s="344">
        <f t="shared" si="75"/>
        <v>10</v>
      </c>
      <c r="AM107" s="344">
        <f t="shared" si="76"/>
        <v>1960</v>
      </c>
      <c r="AN107" s="344" t="str">
        <f t="shared" si="62"/>
        <v>Oct</v>
      </c>
      <c r="AO107" s="344" t="str">
        <f t="shared" si="83"/>
        <v>20-Oct-1960</v>
      </c>
      <c r="AQ107" s="327"/>
      <c r="AR107" s="350">
        <f>A107</f>
        <v>104</v>
      </c>
      <c r="AS107" s="353" t="str">
        <f>IF(V107="",_xlfn.CONCAT(IF(G107="",D107,G107)," (",Q107,"–",V107," : #",AR107,")"),_xlfn.CONCAT(IF(G107="",D107,G107)," (",Q107,"–",V107,": #",AR107,")"))</f>
        <v>Sir Julian (1926–2018: #104)</v>
      </c>
      <c r="AT107" s="353" t="str">
        <f>IF(V107="",_xlfn.CONCAT(IF(G107="",D107,G107)," (",Q107,"– ",V107,")"),_xlfn.CONCAT(IF(G107="",D107,G107)," (",Q107,"–",V107,")"))</f>
        <v>Sir Julian (1926–2018)</v>
      </c>
      <c r="AU107" s="352" t="str">
        <f t="shared" si="45"/>
        <v>Male</v>
      </c>
      <c r="AV107" s="355" t="s">
        <v>4394</v>
      </c>
      <c r="AW107" s="319" t="str">
        <f>VLOOKUP(AV107,'Mums of Loyd Edit&amp;Partner Edit'!$B$3:$C$66,2,FALSE)</f>
        <v>Lady Moyra BRODRICK (b.11 Jan 1897, d. 1 Apr 1982)</v>
      </c>
      <c r="AX107" s="360">
        <v>72</v>
      </c>
      <c r="AY107" s="355" t="str">
        <f t="shared" si="53"/>
        <v>Charles (1891–1973: #72)</v>
      </c>
      <c r="AZ107" s="361">
        <f>VLOOKUP(AX107,Lineage!$A$1:$C$200,2,FALSE)</f>
        <v>44</v>
      </c>
      <c r="BA107" s="362" t="str">
        <f t="shared" si="73"/>
        <v>Harry (1861–1938: #44)</v>
      </c>
      <c r="BB107" s="368">
        <f>BiographyMarriageDetsCountries!A106</f>
        <v>104</v>
      </c>
      <c r="BC107" s="319"/>
      <c r="BD107" s="362"/>
      <c r="BF107" s="324"/>
      <c r="BG107" s="357">
        <f t="shared" si="63"/>
        <v>104</v>
      </c>
      <c r="BH107" s="289" t="str">
        <f t="shared" si="64"/>
        <v>Sir Julian St. John LOYD</v>
      </c>
      <c r="BI107" s="289" t="str">
        <f t="shared" si="65"/>
        <v>Sir Julian (1926–2018)</v>
      </c>
      <c r="BJ107" s="304" t="str">
        <f t="shared" si="66"/>
        <v>Male</v>
      </c>
      <c r="BK107" s="304">
        <f t="shared" si="67"/>
        <v>5</v>
      </c>
      <c r="BL107" s="289" t="str">
        <f t="shared" si="68"/>
        <v>Charles (1891–1973: #72)</v>
      </c>
      <c r="BM107" s="289" t="str">
        <f t="shared" si="69"/>
        <v>Lady Moyra BRODRICK (b.11 Jan 1897, d. 1 Apr 1982)</v>
      </c>
      <c r="BN107" s="367" t="str">
        <f t="shared" si="70"/>
        <v>25-May-1926</v>
      </c>
      <c r="BO107" s="367" t="str">
        <f t="shared" si="71"/>
        <v>07-Feb-2018</v>
      </c>
      <c r="BP107" s="365" t="str">
        <f t="shared" si="72"/>
        <v>Died 07-Feb-2018, aged 91.</v>
      </c>
    </row>
    <row r="108" spans="1:68" s="289" customFormat="1" ht="40">
      <c r="A108" s="302">
        <v>105</v>
      </c>
      <c r="B108" s="364">
        <v>5</v>
      </c>
      <c r="C108" s="288" t="s">
        <v>782</v>
      </c>
      <c r="D108" s="289" t="s">
        <v>795</v>
      </c>
      <c r="E108" s="289" t="s">
        <v>822</v>
      </c>
      <c r="H108" s="304" t="s">
        <v>3245</v>
      </c>
      <c r="I108" s="306">
        <v>1926</v>
      </c>
      <c r="J108" s="306">
        <v>2018</v>
      </c>
      <c r="K108" s="307" t="s">
        <v>4604</v>
      </c>
      <c r="L108" s="308">
        <v>9665</v>
      </c>
      <c r="M108" s="323" t="s">
        <v>3235</v>
      </c>
      <c r="N108" s="323"/>
      <c r="O108" s="348">
        <f t="shared" si="54"/>
        <v>17</v>
      </c>
      <c r="P108" s="345">
        <f t="shared" si="77"/>
        <v>6</v>
      </c>
      <c r="Q108" s="345">
        <f t="shared" si="78"/>
        <v>1926</v>
      </c>
      <c r="R108" s="344" t="str">
        <f t="shared" si="55"/>
        <v>Jun</v>
      </c>
      <c r="S108" s="344">
        <f t="shared" si="79"/>
        <v>10</v>
      </c>
      <c r="T108" s="344">
        <f t="shared" si="80"/>
        <v>22</v>
      </c>
      <c r="U108" s="344">
        <f t="shared" si="81"/>
        <v>8</v>
      </c>
      <c r="V108" s="344">
        <f t="shared" si="82"/>
        <v>2018</v>
      </c>
      <c r="W108" s="344" t="str">
        <f t="shared" si="56"/>
        <v>Aug</v>
      </c>
      <c r="X108" s="344"/>
      <c r="Y108" s="344"/>
      <c r="Z108" s="314" t="str">
        <f t="shared" si="74"/>
        <v>17-Jun-1926</v>
      </c>
      <c r="AA108" s="314" t="str">
        <f t="shared" si="57"/>
        <v>22-Aug-2018</v>
      </c>
      <c r="AB108" s="314">
        <f t="shared" si="58"/>
        <v>92</v>
      </c>
      <c r="AC108" s="314">
        <f t="shared" si="59"/>
        <v>95</v>
      </c>
      <c r="AD108" s="347" t="str">
        <f t="shared" si="60"/>
        <v>Died 22-Aug-2018, aged 92.</v>
      </c>
      <c r="AE108" s="305"/>
      <c r="AF108" s="303"/>
      <c r="AG108" s="303"/>
      <c r="AH108" s="303"/>
      <c r="AI108" s="327">
        <v>17742</v>
      </c>
      <c r="AJ108" s="328" t="s">
        <v>4728</v>
      </c>
      <c r="AK108" s="344" t="str">
        <f t="shared" si="61"/>
        <v>28</v>
      </c>
      <c r="AL108" s="344">
        <f t="shared" si="75"/>
        <v>7</v>
      </c>
      <c r="AM108" s="344">
        <f t="shared" si="76"/>
        <v>1948</v>
      </c>
      <c r="AN108" s="344" t="str">
        <f t="shared" si="62"/>
        <v>Jul</v>
      </c>
      <c r="AO108" s="344" t="str">
        <f t="shared" si="83"/>
        <v>28-Jul-1948</v>
      </c>
      <c r="AQ108" s="327"/>
      <c r="AR108" s="350">
        <f>A108</f>
        <v>105</v>
      </c>
      <c r="AS108" s="353" t="str">
        <f>IF(V108="",_xlfn.CONCAT(IF(G108="",D108,G108)," (",Q108,"–",V108," : #",AR108,")"),_xlfn.CONCAT(IF(G108="",D108,G108)," (",Q108,"–",V108,": #",AR108,")"))</f>
        <v>Geoffrey (1926–2018: #105)</v>
      </c>
      <c r="AT108" s="353" t="str">
        <f>IF(V108="",_xlfn.CONCAT(IF(G108="",D108,G108)," (",Q108,"– ",V108,")"),_xlfn.CONCAT(IF(G108="",D108,G108)," (",Q108,"–",V108,")"))</f>
        <v>Geoffrey (1926–2018)</v>
      </c>
      <c r="AU108" s="352" t="str">
        <f t="shared" si="45"/>
        <v>Male</v>
      </c>
      <c r="AV108" s="355" t="s">
        <v>4392</v>
      </c>
      <c r="AW108" s="319" t="str">
        <f>VLOOKUP(AV108,'Mums of Loyd Edit&amp;Partner Edit'!$B$3:$C$66,2,FALSE)</f>
        <v>Emily Charlotte Eileen OAKELEY (b. 28 Jan 1896, d. 8 May 1978)</v>
      </c>
      <c r="AX108" s="360">
        <v>77</v>
      </c>
      <c r="AY108" s="355" t="str">
        <f t="shared" si="53"/>
        <v>Wilfrid (1893–1971: #77)</v>
      </c>
      <c r="AZ108" s="361">
        <f>VLOOKUP(AX108,Lineage!$A$1:$C$200,2,FALSE)</f>
        <v>30</v>
      </c>
      <c r="BA108" s="362" t="str">
        <f t="shared" si="73"/>
        <v>Archie (1847–1922: #30)</v>
      </c>
      <c r="BB108" s="368">
        <f>BiographyMarriageDetsCountries!A107</f>
        <v>105</v>
      </c>
      <c r="BC108" s="319"/>
      <c r="BD108" s="362"/>
      <c r="BF108" s="324"/>
      <c r="BG108" s="357">
        <f t="shared" si="63"/>
        <v>105</v>
      </c>
      <c r="BH108" s="289" t="str">
        <f t="shared" si="64"/>
        <v>Geoffrey Haig LOYD</v>
      </c>
      <c r="BI108" s="289" t="str">
        <f t="shared" si="65"/>
        <v>Geoffrey (1926–2018)</v>
      </c>
      <c r="BJ108" s="304" t="str">
        <f t="shared" si="66"/>
        <v>Male</v>
      </c>
      <c r="BK108" s="304">
        <f t="shared" si="67"/>
        <v>5</v>
      </c>
      <c r="BL108" s="289" t="str">
        <f t="shared" si="68"/>
        <v>Wilfrid (1893–1971: #77)</v>
      </c>
      <c r="BM108" s="289" t="str">
        <f t="shared" si="69"/>
        <v>Emily Charlotte Eileen OAKELEY (b. 28 Jan 1896, d. 8 May 1978)</v>
      </c>
      <c r="BN108" s="367" t="str">
        <f t="shared" si="70"/>
        <v>17-Jun-1926</v>
      </c>
      <c r="BO108" s="367" t="str">
        <f t="shared" si="71"/>
        <v>22-Aug-2018</v>
      </c>
      <c r="BP108" s="365" t="str">
        <f t="shared" si="72"/>
        <v>Died 22-Aug-2018, aged 92.</v>
      </c>
    </row>
    <row r="109" spans="1:68" s="289" customFormat="1" ht="20">
      <c r="A109" s="302">
        <v>106</v>
      </c>
      <c r="B109" s="364">
        <v>5</v>
      </c>
      <c r="C109" s="288" t="s">
        <v>782</v>
      </c>
      <c r="D109" s="289" t="s">
        <v>874</v>
      </c>
      <c r="E109" s="289" t="s">
        <v>875</v>
      </c>
      <c r="F109" s="289" t="s">
        <v>876</v>
      </c>
      <c r="H109" s="304" t="s">
        <v>3244</v>
      </c>
      <c r="I109" s="306">
        <v>1928</v>
      </c>
      <c r="J109" s="306" t="s">
        <v>3228</v>
      </c>
      <c r="K109" s="307" t="s">
        <v>4630</v>
      </c>
      <c r="L109" s="308">
        <v>10547</v>
      </c>
      <c r="M109" s="309"/>
      <c r="N109" s="309"/>
      <c r="O109" s="348">
        <f t="shared" si="54"/>
        <v>15</v>
      </c>
      <c r="P109" s="345">
        <f t="shared" si="77"/>
        <v>11</v>
      </c>
      <c r="Q109" s="345">
        <f t="shared" si="78"/>
        <v>1928</v>
      </c>
      <c r="R109" s="344" t="str">
        <f t="shared" si="55"/>
        <v>Nov</v>
      </c>
      <c r="S109" s="344">
        <f t="shared" si="79"/>
        <v>0</v>
      </c>
      <c r="T109" s="344" t="str">
        <f t="shared" si="80"/>
        <v/>
      </c>
      <c r="U109" s="344" t="str">
        <f t="shared" si="81"/>
        <v/>
      </c>
      <c r="V109" s="344" t="str">
        <f t="shared" si="82"/>
        <v/>
      </c>
      <c r="W109" s="344" t="e">
        <f t="shared" si="56"/>
        <v>#N/A</v>
      </c>
      <c r="X109" s="344"/>
      <c r="Y109" s="344"/>
      <c r="Z109" s="314" t="str">
        <f t="shared" si="74"/>
        <v>15-Nov-1928</v>
      </c>
      <c r="AA109" s="314" t="str">
        <f t="shared" si="57"/>
        <v/>
      </c>
      <c r="AB109" s="314" t="e">
        <f t="shared" si="58"/>
        <v>#VALUE!</v>
      </c>
      <c r="AC109" s="314">
        <f t="shared" si="59"/>
        <v>93</v>
      </c>
      <c r="AD109" s="347" t="str">
        <f t="shared" si="60"/>
        <v>Aged 93 on 01-Jul-2022.</v>
      </c>
      <c r="AE109" s="305"/>
      <c r="AF109" s="303"/>
      <c r="AG109" s="303"/>
      <c r="AH109" s="303"/>
      <c r="AI109" s="327">
        <v>19885</v>
      </c>
      <c r="AJ109" s="328" t="s">
        <v>4729</v>
      </c>
      <c r="AK109" s="344" t="str">
        <f t="shared" si="61"/>
        <v>10</v>
      </c>
      <c r="AL109" s="344">
        <f t="shared" si="75"/>
        <v>6</v>
      </c>
      <c r="AM109" s="344">
        <f t="shared" si="76"/>
        <v>1954</v>
      </c>
      <c r="AN109" s="344" t="str">
        <f t="shared" si="62"/>
        <v>Jun</v>
      </c>
      <c r="AO109" s="344" t="str">
        <f t="shared" si="83"/>
        <v>10-Jun-1954</v>
      </c>
      <c r="AQ109" s="327"/>
      <c r="AR109" s="350">
        <f>A109</f>
        <v>106</v>
      </c>
      <c r="AS109" s="353" t="str">
        <f>IF(V109="",_xlfn.CONCAT(IF(G109="",D109,G109)," (",Q109,"–",V109," : #",AR109,")"),_xlfn.CONCAT(IF(G109="",D109,G109)," (",Q109,"–",V109,": #",AR109,")"))</f>
        <v>Denise (1928– : #106)</v>
      </c>
      <c r="AT109" s="353" t="str">
        <f>IF(V109="",_xlfn.CONCAT(IF(G109="",D109,G109)," (",Q109,"– ",V109,")"),_xlfn.CONCAT(IF(G109="",D109,G109)," (",Q109,"–",V109,")"))</f>
        <v>Denise (1928– )</v>
      </c>
      <c r="AU109" s="352" t="str">
        <f t="shared" si="45"/>
        <v>Female</v>
      </c>
      <c r="AV109" s="355" t="s">
        <v>4392</v>
      </c>
      <c r="AW109" s="319" t="str">
        <f>VLOOKUP(AV109,'Mums of Loyd Edit&amp;Partner Edit'!$B$3:$C$66,2,FALSE)</f>
        <v>Emily Charlotte Eileen OAKELEY (b. 28 Jan 1896, d. 8 May 1978)</v>
      </c>
      <c r="AX109" s="360">
        <v>77</v>
      </c>
      <c r="AY109" s="355" t="str">
        <f t="shared" si="53"/>
        <v>Wilfrid (1893–1971: #77)</v>
      </c>
      <c r="AZ109" s="361">
        <f>VLOOKUP(AX109,Lineage!$A$1:$C$200,2,FALSE)</f>
        <v>30</v>
      </c>
      <c r="BA109" s="362" t="str">
        <f t="shared" si="73"/>
        <v>Archie (1847–1922: #30)</v>
      </c>
      <c r="BB109" s="368">
        <f>BiographyMarriageDetsCountries!A108</f>
        <v>106</v>
      </c>
      <c r="BC109" s="319"/>
      <c r="BD109" s="362"/>
      <c r="BF109" s="324"/>
      <c r="BG109" s="357">
        <f t="shared" si="63"/>
        <v>106</v>
      </c>
      <c r="BH109" s="289" t="str">
        <f t="shared" si="64"/>
        <v>Denise Eileen Charlotte LOYD</v>
      </c>
      <c r="BI109" s="289" t="str">
        <f t="shared" si="65"/>
        <v>Denise (1928– )</v>
      </c>
      <c r="BJ109" s="304" t="str">
        <f t="shared" si="66"/>
        <v>Female</v>
      </c>
      <c r="BK109" s="304">
        <f t="shared" si="67"/>
        <v>5</v>
      </c>
      <c r="BL109" s="289" t="str">
        <f t="shared" si="68"/>
        <v>Wilfrid (1893–1971: #77)</v>
      </c>
      <c r="BM109" s="289" t="str">
        <f t="shared" si="69"/>
        <v>Emily Charlotte Eileen OAKELEY (b. 28 Jan 1896, d. 8 May 1978)</v>
      </c>
      <c r="BN109" s="367" t="str">
        <f t="shared" si="70"/>
        <v>15-Nov-1928</v>
      </c>
      <c r="BO109" s="367" t="str">
        <f t="shared" si="71"/>
        <v/>
      </c>
      <c r="BP109" s="365" t="str">
        <f t="shared" si="72"/>
        <v>Aged 93 on 01-Jul-2022.</v>
      </c>
    </row>
    <row r="110" spans="1:68" s="289" customFormat="1" ht="40">
      <c r="A110" s="302">
        <v>107</v>
      </c>
      <c r="B110" s="364">
        <v>5</v>
      </c>
      <c r="C110" s="288" t="s">
        <v>782</v>
      </c>
      <c r="D110" s="289" t="s">
        <v>877</v>
      </c>
      <c r="E110" s="289" t="s">
        <v>819</v>
      </c>
      <c r="F110" s="289" t="s">
        <v>2950</v>
      </c>
      <c r="G110" s="289" t="s">
        <v>1679</v>
      </c>
      <c r="H110" s="304" t="s">
        <v>3244</v>
      </c>
      <c r="I110" s="306">
        <v>1928</v>
      </c>
      <c r="J110" s="306">
        <v>1996</v>
      </c>
      <c r="K110" s="307" t="s">
        <v>4631</v>
      </c>
      <c r="L110" s="308">
        <v>10559</v>
      </c>
      <c r="M110" s="323" t="s">
        <v>3236</v>
      </c>
      <c r="N110" s="323"/>
      <c r="O110" s="348">
        <f t="shared" si="54"/>
        <v>27</v>
      </c>
      <c r="P110" s="345">
        <f t="shared" si="77"/>
        <v>11</v>
      </c>
      <c r="Q110" s="345">
        <f t="shared" si="78"/>
        <v>1928</v>
      </c>
      <c r="R110" s="344" t="str">
        <f t="shared" si="55"/>
        <v>Nov</v>
      </c>
      <c r="S110" s="344">
        <f t="shared" si="79"/>
        <v>10</v>
      </c>
      <c r="T110" s="344">
        <f t="shared" si="80"/>
        <v>11</v>
      </c>
      <c r="U110" s="344">
        <f t="shared" si="81"/>
        <v>9</v>
      </c>
      <c r="V110" s="344">
        <f t="shared" si="82"/>
        <v>1996</v>
      </c>
      <c r="W110" s="344" t="str">
        <f t="shared" si="56"/>
        <v>Sep</v>
      </c>
      <c r="X110" s="344"/>
      <c r="Y110" s="344"/>
      <c r="Z110" s="314" t="str">
        <f t="shared" si="74"/>
        <v>27-Nov-1928</v>
      </c>
      <c r="AA110" s="314" t="str">
        <f t="shared" si="57"/>
        <v>11-Sep-1996</v>
      </c>
      <c r="AB110" s="314">
        <f t="shared" si="58"/>
        <v>67</v>
      </c>
      <c r="AC110" s="314">
        <f t="shared" si="59"/>
        <v>93</v>
      </c>
      <c r="AD110" s="347" t="str">
        <f t="shared" si="60"/>
        <v>Died 11-Sep-1996, aged 67.</v>
      </c>
      <c r="AE110" s="305"/>
      <c r="AF110" s="303"/>
      <c r="AG110" s="303"/>
      <c r="AH110" s="303"/>
      <c r="AI110" s="327">
        <v>17647</v>
      </c>
      <c r="AJ110" s="328" t="s">
        <v>4730</v>
      </c>
      <c r="AK110" s="344" t="str">
        <f t="shared" si="61"/>
        <v>24</v>
      </c>
      <c r="AL110" s="344">
        <f t="shared" si="75"/>
        <v>4</v>
      </c>
      <c r="AM110" s="344">
        <f t="shared" si="76"/>
        <v>1948</v>
      </c>
      <c r="AN110" s="344" t="str">
        <f t="shared" si="62"/>
        <v>Apr</v>
      </c>
      <c r="AO110" s="344" t="str">
        <f t="shared" si="83"/>
        <v>24-Apr-1948</v>
      </c>
      <c r="AQ110" s="327"/>
      <c r="AR110" s="350">
        <f>A110</f>
        <v>107</v>
      </c>
      <c r="AS110" s="353" t="str">
        <f>IF(V110="",_xlfn.CONCAT(IF(G110="",D110,G110)," (",Q110,"–",V110," : #",AR110,")"),_xlfn.CONCAT(IF(G110="",D110,G110)," (",Q110,"–",V110,": #",AR110,")"))</f>
        <v>Wooie (1928–1996: #107)</v>
      </c>
      <c r="AT110" s="353" t="str">
        <f>IF(V110="",_xlfn.CONCAT(IF(G110="",D110,G110)," (",Q110,"– ",V110,")"),_xlfn.CONCAT(IF(G110="",D110,G110)," (",Q110,"–",V110,")"))</f>
        <v>Wooie (1928–1996)</v>
      </c>
      <c r="AU110" s="352" t="str">
        <f t="shared" si="45"/>
        <v>Female</v>
      </c>
      <c r="AV110" s="355" t="s">
        <v>4395</v>
      </c>
      <c r="AW110" s="319" t="str">
        <f>VLOOKUP(AV110,'Mums of Loyd Edit&amp;Partner Edit'!$B$3:$C$66,2,FALSE)</f>
        <v xml:space="preserve">Nora CARRUTHERS (b. 31 Mar 1907, ) </v>
      </c>
      <c r="AX110" s="360">
        <v>76</v>
      </c>
      <c r="AY110" s="355" t="str">
        <f t="shared" si="53"/>
        <v>Edward (1893–1932: #76)</v>
      </c>
      <c r="AZ110" s="361">
        <f>VLOOKUP(AX110,Lineage!$A$1:$C$200,2,FALSE)</f>
        <v>34</v>
      </c>
      <c r="BA110" s="362" t="str">
        <f t="shared" si="73"/>
        <v>Ted (1851–1922: #34)</v>
      </c>
      <c r="BB110" s="368">
        <f>BiographyMarriageDetsCountries!A109</f>
        <v>107</v>
      </c>
      <c r="BC110" s="319"/>
      <c r="BD110" s="362"/>
      <c r="BF110" s="324"/>
      <c r="BG110" s="357">
        <f t="shared" si="63"/>
        <v>107</v>
      </c>
      <c r="BH110" s="289" t="str">
        <f t="shared" si="64"/>
        <v>Brenda Kirkman Valerie LOYD</v>
      </c>
      <c r="BI110" s="289" t="str">
        <f t="shared" si="65"/>
        <v>Wooie (1928–1996)</v>
      </c>
      <c r="BJ110" s="304" t="str">
        <f t="shared" si="66"/>
        <v>Female</v>
      </c>
      <c r="BK110" s="304">
        <f t="shared" si="67"/>
        <v>5</v>
      </c>
      <c r="BL110" s="289" t="str">
        <f t="shared" si="68"/>
        <v>Edward (1893–1932: #76)</v>
      </c>
      <c r="BM110" s="289" t="str">
        <f t="shared" si="69"/>
        <v xml:space="preserve">Nora CARRUTHERS (b. 31 Mar 1907, ) </v>
      </c>
      <c r="BN110" s="367" t="str">
        <f t="shared" si="70"/>
        <v>27-Nov-1928</v>
      </c>
      <c r="BO110" s="367" t="str">
        <f t="shared" si="71"/>
        <v>11-Sep-1996</v>
      </c>
      <c r="BP110" s="365" t="str">
        <f t="shared" si="72"/>
        <v>Died 11-Sep-1996, aged 67.</v>
      </c>
    </row>
    <row r="111" spans="1:68" s="289" customFormat="1" ht="20">
      <c r="A111" s="302">
        <v>108</v>
      </c>
      <c r="B111" s="364">
        <v>5</v>
      </c>
      <c r="C111" s="288" t="s">
        <v>782</v>
      </c>
      <c r="D111" s="289" t="s">
        <v>879</v>
      </c>
      <c r="E111" s="289" t="s">
        <v>880</v>
      </c>
      <c r="F111" s="289" t="s">
        <v>1563</v>
      </c>
      <c r="G111" s="289" t="s">
        <v>2951</v>
      </c>
      <c r="H111" s="304" t="s">
        <v>3244</v>
      </c>
      <c r="I111" s="306">
        <v>1931</v>
      </c>
      <c r="J111" s="306" t="s">
        <v>3228</v>
      </c>
      <c r="K111" s="307" t="s">
        <v>4632</v>
      </c>
      <c r="L111" s="308">
        <v>11658</v>
      </c>
      <c r="M111" s="309"/>
      <c r="N111" s="309"/>
      <c r="O111" s="348">
        <f t="shared" si="54"/>
        <v>1</v>
      </c>
      <c r="P111" s="345">
        <f t="shared" si="77"/>
        <v>12</v>
      </c>
      <c r="Q111" s="345">
        <f t="shared" si="78"/>
        <v>1931</v>
      </c>
      <c r="R111" s="344" t="str">
        <f t="shared" si="55"/>
        <v>Dec</v>
      </c>
      <c r="S111" s="344">
        <f t="shared" si="79"/>
        <v>0</v>
      </c>
      <c r="T111" s="344" t="str">
        <f t="shared" si="80"/>
        <v/>
      </c>
      <c r="U111" s="344" t="str">
        <f t="shared" si="81"/>
        <v/>
      </c>
      <c r="V111" s="344" t="str">
        <f t="shared" si="82"/>
        <v/>
      </c>
      <c r="W111" s="344" t="e">
        <f t="shared" si="56"/>
        <v>#N/A</v>
      </c>
      <c r="X111" s="344"/>
      <c r="Y111" s="344"/>
      <c r="Z111" s="314" t="str">
        <f t="shared" si="74"/>
        <v>01-Dec-1931</v>
      </c>
      <c r="AA111" s="314" t="str">
        <f t="shared" si="57"/>
        <v/>
      </c>
      <c r="AB111" s="314" t="e">
        <f t="shared" si="58"/>
        <v>#VALUE!</v>
      </c>
      <c r="AC111" s="314">
        <f t="shared" si="59"/>
        <v>90</v>
      </c>
      <c r="AD111" s="347" t="str">
        <f t="shared" si="60"/>
        <v>Aged 90 on 01-Jul-2022.</v>
      </c>
      <c r="AE111" s="305"/>
      <c r="AF111" s="303"/>
      <c r="AG111" s="303"/>
      <c r="AH111" s="303"/>
      <c r="AI111" s="327">
        <v>18653</v>
      </c>
      <c r="AJ111" s="328" t="s">
        <v>4731</v>
      </c>
      <c r="AK111" s="344" t="str">
        <f t="shared" si="61"/>
        <v>25</v>
      </c>
      <c r="AL111" s="344">
        <f t="shared" si="75"/>
        <v>1</v>
      </c>
      <c r="AM111" s="344">
        <f t="shared" si="76"/>
        <v>1951</v>
      </c>
      <c r="AN111" s="344" t="str">
        <f t="shared" si="62"/>
        <v>Jan</v>
      </c>
      <c r="AO111" s="344" t="str">
        <f t="shared" si="83"/>
        <v>25-Jan-1951</v>
      </c>
      <c r="AQ111" s="327"/>
      <c r="AR111" s="350">
        <f>A111</f>
        <v>108</v>
      </c>
      <c r="AS111" s="353" t="str">
        <f>IF(V111="",_xlfn.CONCAT(IF(G111="",D111,G111)," (",Q111,"–",V111," : #",AR111,")"),_xlfn.CONCAT(IF(G111="",D111,G111)," (",Q111,"–",V111,": #",AR111,")"))</f>
        <v>Jos (1931– : #108)</v>
      </c>
      <c r="AT111" s="353" t="str">
        <f>IF(V111="",_xlfn.CONCAT(IF(G111="",D111,G111)," (",Q111,"– ",V111,")"),_xlfn.CONCAT(IF(G111="",D111,G111)," (",Q111,"–",V111,")"))</f>
        <v>Jos (1931– )</v>
      </c>
      <c r="AU111" s="352" t="str">
        <f t="shared" si="45"/>
        <v>Female</v>
      </c>
      <c r="AV111" s="355" t="s">
        <v>4396</v>
      </c>
      <c r="AW111" s="319" t="str">
        <f>VLOOKUP(AV111,'Mums of Loyd Edit&amp;Partner Edit'!$B$3:$C$66,2,FALSE)</f>
        <v>Alice Selina (Lovely) MYHILL (b. 1 Nov 1909, )</v>
      </c>
      <c r="AX111" s="360">
        <v>55</v>
      </c>
      <c r="AY111" s="355" t="str">
        <f t="shared" si="53"/>
        <v>Dick (1882–1950: #55)</v>
      </c>
      <c r="AZ111" s="361">
        <f>VLOOKUP(AX111,Lineage!$A$1:$C$200,2,FALSE)</f>
        <v>35</v>
      </c>
      <c r="BA111" s="362" t="str">
        <f t="shared" si="73"/>
        <v>Lewis (1852–1908: #35)</v>
      </c>
      <c r="BB111" s="368">
        <f>BiographyMarriageDetsCountries!A110</f>
        <v>108</v>
      </c>
      <c r="BC111" s="319"/>
      <c r="BD111" s="362"/>
      <c r="BF111" s="324"/>
      <c r="BG111" s="357">
        <f t="shared" si="63"/>
        <v>108</v>
      </c>
      <c r="BH111" s="289" t="str">
        <f t="shared" si="64"/>
        <v>Joscelyn Moira Selina LOYD</v>
      </c>
      <c r="BI111" s="289" t="str">
        <f t="shared" si="65"/>
        <v>Jos (1931– )</v>
      </c>
      <c r="BJ111" s="304" t="str">
        <f t="shared" si="66"/>
        <v>Female</v>
      </c>
      <c r="BK111" s="304">
        <f t="shared" si="67"/>
        <v>5</v>
      </c>
      <c r="BL111" s="289" t="str">
        <f t="shared" si="68"/>
        <v>Dick (1882–1950: #55)</v>
      </c>
      <c r="BM111" s="289" t="str">
        <f t="shared" si="69"/>
        <v>Alice Selina (Lovely) MYHILL (b. 1 Nov 1909, )</v>
      </c>
      <c r="BN111" s="367" t="str">
        <f t="shared" si="70"/>
        <v>01-Dec-1931</v>
      </c>
      <c r="BO111" s="367" t="str">
        <f t="shared" si="71"/>
        <v/>
      </c>
      <c r="BP111" s="365" t="str">
        <f t="shared" si="72"/>
        <v>Aged 90 on 01-Jul-2022.</v>
      </c>
    </row>
    <row r="112" spans="1:68" s="289" customFormat="1" ht="20">
      <c r="A112" s="302">
        <v>109</v>
      </c>
      <c r="B112" s="364">
        <v>5</v>
      </c>
      <c r="C112" s="288" t="s">
        <v>782</v>
      </c>
      <c r="D112" s="289" t="s">
        <v>882</v>
      </c>
      <c r="E112" s="289" t="s">
        <v>883</v>
      </c>
      <c r="F112" s="289" t="s">
        <v>870</v>
      </c>
      <c r="H112" s="304" t="s">
        <v>3244</v>
      </c>
      <c r="I112" s="306">
        <v>1932</v>
      </c>
      <c r="J112" s="306" t="s">
        <v>3228</v>
      </c>
      <c r="K112" s="307" t="s">
        <v>4633</v>
      </c>
      <c r="L112" s="308">
        <v>11749</v>
      </c>
      <c r="M112" s="309"/>
      <c r="N112" s="309"/>
      <c r="O112" s="348">
        <f t="shared" si="54"/>
        <v>1</v>
      </c>
      <c r="P112" s="345">
        <f t="shared" si="77"/>
        <v>3</v>
      </c>
      <c r="Q112" s="345">
        <f t="shared" si="78"/>
        <v>1932</v>
      </c>
      <c r="R112" s="344" t="str">
        <f t="shared" si="55"/>
        <v>Mar</v>
      </c>
      <c r="S112" s="344">
        <f t="shared" si="79"/>
        <v>0</v>
      </c>
      <c r="T112" s="344" t="str">
        <f t="shared" si="80"/>
        <v/>
      </c>
      <c r="U112" s="344" t="str">
        <f t="shared" si="81"/>
        <v/>
      </c>
      <c r="V112" s="344" t="str">
        <f t="shared" si="82"/>
        <v/>
      </c>
      <c r="W112" s="344" t="e">
        <f t="shared" si="56"/>
        <v>#N/A</v>
      </c>
      <c r="X112" s="344"/>
      <c r="Y112" s="344"/>
      <c r="Z112" s="314" t="str">
        <f t="shared" si="74"/>
        <v>01-Mar-1932</v>
      </c>
      <c r="AA112" s="314" t="str">
        <f t="shared" si="57"/>
        <v/>
      </c>
      <c r="AB112" s="314" t="e">
        <f t="shared" si="58"/>
        <v>#VALUE!</v>
      </c>
      <c r="AC112" s="314">
        <f t="shared" si="59"/>
        <v>90</v>
      </c>
      <c r="AD112" s="347" t="str">
        <f t="shared" si="60"/>
        <v>Aged 90 on 01-Jul-2022.</v>
      </c>
      <c r="AE112" s="305"/>
      <c r="AF112" s="303"/>
      <c r="AG112" s="303"/>
      <c r="AH112" s="303"/>
      <c r="AI112" s="327">
        <v>23364</v>
      </c>
      <c r="AJ112" s="328" t="s">
        <v>4732</v>
      </c>
      <c r="AK112" s="344" t="str">
        <f t="shared" si="61"/>
        <v>19</v>
      </c>
      <c r="AL112" s="344">
        <f t="shared" si="75"/>
        <v>12</v>
      </c>
      <c r="AM112" s="344">
        <f t="shared" si="76"/>
        <v>1963</v>
      </c>
      <c r="AN112" s="344" t="str">
        <f t="shared" si="62"/>
        <v>Dec</v>
      </c>
      <c r="AO112" s="344" t="str">
        <f t="shared" si="83"/>
        <v>19-Dec-1963</v>
      </c>
      <c r="AQ112" s="327"/>
      <c r="AR112" s="350">
        <f>A112</f>
        <v>109</v>
      </c>
      <c r="AS112" s="353" t="str">
        <f>IF(V112="",_xlfn.CONCAT(IF(G112="",D112,G112)," (",Q112,"–",V112," : #",AR112,")"),_xlfn.CONCAT(IF(G112="",D112,G112)," (",Q112,"–",V112,": #",AR112,")"))</f>
        <v>Margaret (1932– : #109)</v>
      </c>
      <c r="AT112" s="353" t="str">
        <f>IF(V112="",_xlfn.CONCAT(IF(G112="",D112,G112)," (",Q112,"– ",V112,")"),_xlfn.CONCAT(IF(G112="",D112,G112)," (",Q112,"–",V112,")"))</f>
        <v>Margaret (1932– )</v>
      </c>
      <c r="AU112" s="352" t="str">
        <f t="shared" si="45"/>
        <v>Female</v>
      </c>
      <c r="AV112" s="355" t="s">
        <v>4397</v>
      </c>
      <c r="AW112" s="319" t="str">
        <f>VLOOKUP(AV112,'Mums of Loyd Edit&amp;Partner Edit'!$B$3:$C$66,2,FALSE)</f>
        <v>Isabel Mary Beatrix PARKER (b. 22 Feb 1903, d. 13 Jan 1992)</v>
      </c>
      <c r="AX112" s="360">
        <v>80</v>
      </c>
      <c r="AY112" s="355" t="str">
        <f t="shared" si="53"/>
        <v>Eric (1894–1963: #80)</v>
      </c>
      <c r="AZ112" s="361">
        <f>VLOOKUP(AX112,Lineage!$A$1:$C$200,2,FALSE)</f>
        <v>29</v>
      </c>
      <c r="BA112" s="362" t="str">
        <f t="shared" si="73"/>
        <v>Arthur (1845–1930: #29)</v>
      </c>
      <c r="BB112" s="368">
        <f>BiographyMarriageDetsCountries!A111</f>
        <v>109</v>
      </c>
      <c r="BC112" s="319"/>
      <c r="BD112" s="362"/>
      <c r="BF112" s="324"/>
      <c r="BG112" s="357">
        <f t="shared" si="63"/>
        <v>109</v>
      </c>
      <c r="BH112" s="289" t="str">
        <f t="shared" si="64"/>
        <v>Margaret Beatrix Mary LOYD</v>
      </c>
      <c r="BI112" s="289" t="str">
        <f t="shared" si="65"/>
        <v>Margaret (1932– )</v>
      </c>
      <c r="BJ112" s="304" t="str">
        <f t="shared" si="66"/>
        <v>Female</v>
      </c>
      <c r="BK112" s="304">
        <f t="shared" si="67"/>
        <v>5</v>
      </c>
      <c r="BL112" s="289" t="str">
        <f t="shared" si="68"/>
        <v>Eric (1894–1963: #80)</v>
      </c>
      <c r="BM112" s="289" t="str">
        <f t="shared" si="69"/>
        <v>Isabel Mary Beatrix PARKER (b. 22 Feb 1903, d. 13 Jan 1992)</v>
      </c>
      <c r="BN112" s="367" t="str">
        <f t="shared" si="70"/>
        <v>01-Mar-1932</v>
      </c>
      <c r="BO112" s="367" t="str">
        <f t="shared" si="71"/>
        <v/>
      </c>
      <c r="BP112" s="365" t="str">
        <f t="shared" si="72"/>
        <v>Aged 90 on 01-Jul-2022.</v>
      </c>
    </row>
    <row r="113" spans="1:68" s="289" customFormat="1" ht="20">
      <c r="A113" s="302">
        <v>110</v>
      </c>
      <c r="B113" s="364">
        <v>5</v>
      </c>
      <c r="C113" s="288" t="s">
        <v>782</v>
      </c>
      <c r="D113" s="289" t="s">
        <v>884</v>
      </c>
      <c r="E113" s="289" t="s">
        <v>863</v>
      </c>
      <c r="H113" s="304" t="s">
        <v>3244</v>
      </c>
      <c r="I113" s="306">
        <v>1933</v>
      </c>
      <c r="J113" s="306" t="s">
        <v>3228</v>
      </c>
      <c r="K113" s="307" t="s">
        <v>4634</v>
      </c>
      <c r="L113" s="308">
        <v>12297</v>
      </c>
      <c r="M113" s="309"/>
      <c r="N113" s="309"/>
      <c r="O113" s="348">
        <f t="shared" si="54"/>
        <v>31</v>
      </c>
      <c r="P113" s="345">
        <f t="shared" si="77"/>
        <v>8</v>
      </c>
      <c r="Q113" s="345">
        <f t="shared" si="78"/>
        <v>1933</v>
      </c>
      <c r="R113" s="344" t="str">
        <f t="shared" si="55"/>
        <v>Aug</v>
      </c>
      <c r="S113" s="344">
        <f t="shared" si="79"/>
        <v>0</v>
      </c>
      <c r="T113" s="344" t="str">
        <f t="shared" si="80"/>
        <v/>
      </c>
      <c r="U113" s="344" t="str">
        <f t="shared" si="81"/>
        <v/>
      </c>
      <c r="V113" s="344" t="str">
        <f t="shared" si="82"/>
        <v/>
      </c>
      <c r="W113" s="344" t="e">
        <f t="shared" si="56"/>
        <v>#N/A</v>
      </c>
      <c r="X113" s="344"/>
      <c r="Y113" s="344"/>
      <c r="Z113" s="314" t="str">
        <f t="shared" si="74"/>
        <v>31-Aug-1933</v>
      </c>
      <c r="AA113" s="314" t="str">
        <f t="shared" si="57"/>
        <v/>
      </c>
      <c r="AB113" s="314" t="e">
        <f t="shared" si="58"/>
        <v>#VALUE!</v>
      </c>
      <c r="AC113" s="314">
        <f t="shared" si="59"/>
        <v>88</v>
      </c>
      <c r="AD113" s="347" t="str">
        <f t="shared" si="60"/>
        <v>Aged 88 on 01-Jul-2022.</v>
      </c>
      <c r="AE113" s="305"/>
      <c r="AF113" s="303"/>
      <c r="AG113" s="303"/>
      <c r="AH113" s="303"/>
      <c r="AI113" s="327">
        <v>21801</v>
      </c>
      <c r="AJ113" s="328" t="s">
        <v>4786</v>
      </c>
      <c r="AK113" s="344" t="str">
        <f t="shared" si="61"/>
        <v>08</v>
      </c>
      <c r="AL113" s="344">
        <f t="shared" si="75"/>
        <v>9</v>
      </c>
      <c r="AM113" s="344">
        <f t="shared" si="76"/>
        <v>1959</v>
      </c>
      <c r="AN113" s="344" t="str">
        <f t="shared" si="62"/>
        <v>Sep</v>
      </c>
      <c r="AO113" s="344" t="str">
        <f t="shared" si="83"/>
        <v>08-Sep-1959</v>
      </c>
      <c r="AQ113" s="327"/>
      <c r="AR113" s="350">
        <f>A113</f>
        <v>110</v>
      </c>
      <c r="AS113" s="353" t="str">
        <f>IF(V113="",_xlfn.CONCAT(IF(G113="",D113,G113)," (",Q113,"–",V113," : #",AR113,")"),_xlfn.CONCAT(IF(G113="",D113,G113)," (",Q113,"–",V113,": #",AR113,")"))</f>
        <v>Jean (1933– : #110)</v>
      </c>
      <c r="AT113" s="353" t="str">
        <f>IF(V113="",_xlfn.CONCAT(IF(G113="",D113,G113)," (",Q113,"– ",V113,")"),_xlfn.CONCAT(IF(G113="",D113,G113)," (",Q113,"–",V113,")"))</f>
        <v>Jean (1933– )</v>
      </c>
      <c r="AU113" s="352" t="str">
        <f t="shared" si="45"/>
        <v>Female</v>
      </c>
      <c r="AV113" s="355" t="s">
        <v>4397</v>
      </c>
      <c r="AW113" s="319" t="str">
        <f>VLOOKUP(AV113,'Mums of Loyd Edit&amp;Partner Edit'!$B$3:$C$66,2,FALSE)</f>
        <v>Isabel Mary Beatrix PARKER (b. 22 Feb 1903, d. 13 Jan 1992)</v>
      </c>
      <c r="AX113" s="360">
        <v>80</v>
      </c>
      <c r="AY113" s="355" t="str">
        <f t="shared" si="53"/>
        <v>Eric (1894–1963: #80)</v>
      </c>
      <c r="AZ113" s="361">
        <f>VLOOKUP(AX113,Lineage!$A$1:$C$200,2,FALSE)</f>
        <v>29</v>
      </c>
      <c r="BA113" s="362" t="str">
        <f t="shared" si="73"/>
        <v>Arthur (1845–1930: #29)</v>
      </c>
      <c r="BB113" s="368">
        <f>BiographyMarriageDetsCountries!A112</f>
        <v>110</v>
      </c>
      <c r="BC113" s="319"/>
      <c r="BD113" s="362"/>
      <c r="BF113" s="324"/>
      <c r="BG113" s="357">
        <f t="shared" si="63"/>
        <v>110</v>
      </c>
      <c r="BH113" s="289" t="str">
        <f t="shared" si="64"/>
        <v>Jean Isabel LOYD</v>
      </c>
      <c r="BI113" s="289" t="str">
        <f t="shared" si="65"/>
        <v>Jean (1933– )</v>
      </c>
      <c r="BJ113" s="304" t="str">
        <f t="shared" si="66"/>
        <v>Female</v>
      </c>
      <c r="BK113" s="304">
        <f t="shared" si="67"/>
        <v>5</v>
      </c>
      <c r="BL113" s="289" t="str">
        <f t="shared" si="68"/>
        <v>Eric (1894–1963: #80)</v>
      </c>
      <c r="BM113" s="289" t="str">
        <f t="shared" si="69"/>
        <v>Isabel Mary Beatrix PARKER (b. 22 Feb 1903, d. 13 Jan 1992)</v>
      </c>
      <c r="BN113" s="367" t="str">
        <f t="shared" si="70"/>
        <v>31-Aug-1933</v>
      </c>
      <c r="BO113" s="367" t="str">
        <f t="shared" si="71"/>
        <v/>
      </c>
      <c r="BP113" s="365" t="str">
        <f t="shared" si="72"/>
        <v>Aged 88 on 01-Jul-2022.</v>
      </c>
    </row>
    <row r="114" spans="1:68" s="289" customFormat="1" ht="40">
      <c r="A114" s="302">
        <v>111</v>
      </c>
      <c r="B114" s="364">
        <v>5</v>
      </c>
      <c r="C114" s="288" t="s">
        <v>782</v>
      </c>
      <c r="D114" s="289" t="s">
        <v>885</v>
      </c>
      <c r="E114" s="289" t="s">
        <v>822</v>
      </c>
      <c r="H114" s="304" t="s">
        <v>3245</v>
      </c>
      <c r="I114" s="306">
        <v>1934</v>
      </c>
      <c r="J114" s="306">
        <v>1975</v>
      </c>
      <c r="K114" s="307" t="s">
        <v>4635</v>
      </c>
      <c r="L114" s="308">
        <v>12643</v>
      </c>
      <c r="M114" s="323" t="s">
        <v>3237</v>
      </c>
      <c r="N114" s="323"/>
      <c r="O114" s="348">
        <f t="shared" si="54"/>
        <v>12</v>
      </c>
      <c r="P114" s="345">
        <f t="shared" si="77"/>
        <v>8</v>
      </c>
      <c r="Q114" s="345">
        <f t="shared" si="78"/>
        <v>1934</v>
      </c>
      <c r="R114" s="344" t="str">
        <f t="shared" si="55"/>
        <v>Aug</v>
      </c>
      <c r="S114" s="344">
        <f t="shared" si="79"/>
        <v>10</v>
      </c>
      <c r="T114" s="344">
        <f t="shared" si="80"/>
        <v>7</v>
      </c>
      <c r="U114" s="344">
        <f t="shared" si="81"/>
        <v>3</v>
      </c>
      <c r="V114" s="344">
        <f t="shared" si="82"/>
        <v>1975</v>
      </c>
      <c r="W114" s="344" t="str">
        <f t="shared" si="56"/>
        <v>Mar</v>
      </c>
      <c r="X114" s="344"/>
      <c r="Y114" s="344"/>
      <c r="Z114" s="314" t="str">
        <f t="shared" si="74"/>
        <v>12-Aug-1934</v>
      </c>
      <c r="AA114" s="314" t="str">
        <f t="shared" si="57"/>
        <v>07-Mar-1975</v>
      </c>
      <c r="AB114" s="314">
        <f t="shared" si="58"/>
        <v>40</v>
      </c>
      <c r="AC114" s="314">
        <f t="shared" si="59"/>
        <v>87</v>
      </c>
      <c r="AD114" s="347" t="str">
        <f t="shared" si="60"/>
        <v>Died 07-Mar-1975, aged 40.</v>
      </c>
      <c r="AE114" s="305"/>
      <c r="AF114" s="303"/>
      <c r="AG114" s="303"/>
      <c r="AH114" s="303"/>
      <c r="AI114" s="289" t="s">
        <v>2793</v>
      </c>
      <c r="AJ114" s="289" t="s">
        <v>2793</v>
      </c>
      <c r="AK114" s="344" t="str">
        <f t="shared" si="61"/>
        <v xml:space="preserve"> -</v>
      </c>
      <c r="AL114" s="344" t="str">
        <f t="shared" si="75"/>
        <v xml:space="preserve"> -</v>
      </c>
      <c r="AM114" s="344" t="str">
        <f t="shared" si="76"/>
        <v xml:space="preserve"> -</v>
      </c>
      <c r="AN114" s="344" t="str">
        <f t="shared" si="62"/>
        <v xml:space="preserve"> -</v>
      </c>
      <c r="AO114" s="344" t="str">
        <f t="shared" si="83"/>
        <v xml:space="preserve"> -</v>
      </c>
      <c r="AR114" s="350">
        <f>A114</f>
        <v>111</v>
      </c>
      <c r="AS114" s="353" t="str">
        <f>IF(V114="",_xlfn.CONCAT(IF(G114="",D114,G114)," (",Q114,"–",V114," : #",AR114,")"),_xlfn.CONCAT(IF(G114="",D114,G114)," (",Q114,"–",V114,": #",AR114,")"))</f>
        <v>Andrew (1934–1975: #111)</v>
      </c>
      <c r="AT114" s="353" t="str">
        <f>IF(V114="",_xlfn.CONCAT(IF(G114="",D114,G114)," (",Q114,"– ",V114,")"),_xlfn.CONCAT(IF(G114="",D114,G114)," (",Q114,"–",V114,")"))</f>
        <v>Andrew (1934–1975)</v>
      </c>
      <c r="AU114" s="352" t="str">
        <f t="shared" si="45"/>
        <v>Male</v>
      </c>
      <c r="AV114" s="355" t="s">
        <v>4392</v>
      </c>
      <c r="AW114" s="319" t="str">
        <f>VLOOKUP(AV114,'Mums of Loyd Edit&amp;Partner Edit'!$B$3:$C$66,2,FALSE)</f>
        <v>Emily Charlotte Eileen OAKELEY (b. 28 Jan 1896, d. 8 May 1978)</v>
      </c>
      <c r="AX114" s="360">
        <v>77</v>
      </c>
      <c r="AY114" s="355" t="str">
        <f t="shared" si="53"/>
        <v>Wilfrid (1893–1971: #77)</v>
      </c>
      <c r="AZ114" s="361">
        <f>VLOOKUP(AX114,Lineage!$A$1:$C$200,2,FALSE)</f>
        <v>30</v>
      </c>
      <c r="BA114" s="362" t="str">
        <f t="shared" si="73"/>
        <v>Archie (1847–1922: #30)</v>
      </c>
      <c r="BB114" s="368">
        <f>BiographyMarriageDetsCountries!A113</f>
        <v>111</v>
      </c>
      <c r="BC114" s="319"/>
      <c r="BD114" s="362"/>
      <c r="BF114" s="324"/>
      <c r="BG114" s="357">
        <f t="shared" si="63"/>
        <v>111</v>
      </c>
      <c r="BH114" s="289" t="str">
        <f t="shared" si="64"/>
        <v>Andrew Haig LOYD</v>
      </c>
      <c r="BI114" s="289" t="str">
        <f t="shared" si="65"/>
        <v>Andrew (1934–1975)</v>
      </c>
      <c r="BJ114" s="304" t="str">
        <f t="shared" si="66"/>
        <v>Male</v>
      </c>
      <c r="BK114" s="304">
        <f t="shared" si="67"/>
        <v>5</v>
      </c>
      <c r="BL114" s="289" t="str">
        <f t="shared" si="68"/>
        <v>Wilfrid (1893–1971: #77)</v>
      </c>
      <c r="BM114" s="289" t="str">
        <f t="shared" si="69"/>
        <v>Emily Charlotte Eileen OAKELEY (b. 28 Jan 1896, d. 8 May 1978)</v>
      </c>
      <c r="BN114" s="367" t="str">
        <f t="shared" si="70"/>
        <v>12-Aug-1934</v>
      </c>
      <c r="BO114" s="367" t="str">
        <f t="shared" si="71"/>
        <v>07-Mar-1975</v>
      </c>
      <c r="BP114" s="365" t="str">
        <f t="shared" si="72"/>
        <v>Died 07-Mar-1975, aged 40.</v>
      </c>
    </row>
    <row r="115" spans="1:68" s="289" customFormat="1" ht="40">
      <c r="A115" s="302">
        <v>112</v>
      </c>
      <c r="B115" s="364">
        <v>5</v>
      </c>
      <c r="C115" s="288" t="s">
        <v>782</v>
      </c>
      <c r="D115" s="289" t="s">
        <v>887</v>
      </c>
      <c r="E115" s="289" t="s">
        <v>888</v>
      </c>
      <c r="F115" s="289" t="s">
        <v>2952</v>
      </c>
      <c r="G115" s="289" t="s">
        <v>1736</v>
      </c>
      <c r="H115" s="304" t="s">
        <v>3244</v>
      </c>
      <c r="I115" s="306">
        <v>1936</v>
      </c>
      <c r="J115" s="306">
        <v>2016</v>
      </c>
      <c r="K115" s="307" t="s">
        <v>4683</v>
      </c>
      <c r="L115" s="308">
        <v>13204</v>
      </c>
      <c r="M115" s="323" t="s">
        <v>3238</v>
      </c>
      <c r="N115" s="323"/>
      <c r="O115" s="348">
        <f t="shared" si="54"/>
        <v>24</v>
      </c>
      <c r="P115" s="345">
        <f t="shared" si="77"/>
        <v>2</v>
      </c>
      <c r="Q115" s="345">
        <f t="shared" si="78"/>
        <v>1936</v>
      </c>
      <c r="R115" s="344" t="str">
        <f t="shared" si="55"/>
        <v>Feb</v>
      </c>
      <c r="S115" s="344">
        <f t="shared" si="79"/>
        <v>10</v>
      </c>
      <c r="T115" s="344">
        <f t="shared" si="80"/>
        <v>1</v>
      </c>
      <c r="U115" s="344">
        <f t="shared" si="81"/>
        <v>5</v>
      </c>
      <c r="V115" s="344">
        <f t="shared" si="82"/>
        <v>2016</v>
      </c>
      <c r="W115" s="344" t="str">
        <f t="shared" si="56"/>
        <v>May</v>
      </c>
      <c r="X115" s="344"/>
      <c r="Y115" s="344"/>
      <c r="Z115" s="314" t="str">
        <f t="shared" si="74"/>
        <v>24-Feb-1936</v>
      </c>
      <c r="AA115" s="314" t="str">
        <f t="shared" si="57"/>
        <v>01-May-2016</v>
      </c>
      <c r="AB115" s="314">
        <f t="shared" si="58"/>
        <v>80</v>
      </c>
      <c r="AC115" s="314">
        <f t="shared" si="59"/>
        <v>85</v>
      </c>
      <c r="AD115" s="347" t="str">
        <f t="shared" si="60"/>
        <v>Died 01-May-2016, aged 80.</v>
      </c>
      <c r="AE115" s="305"/>
      <c r="AF115" s="303"/>
      <c r="AG115" s="303"/>
      <c r="AH115" s="303"/>
      <c r="AI115" s="327">
        <v>24181</v>
      </c>
      <c r="AJ115" s="328" t="s">
        <v>4733</v>
      </c>
      <c r="AK115" s="344" t="str">
        <f t="shared" si="61"/>
        <v>15</v>
      </c>
      <c r="AL115" s="344">
        <f t="shared" si="75"/>
        <v>3</v>
      </c>
      <c r="AM115" s="344">
        <f t="shared" si="76"/>
        <v>1966</v>
      </c>
      <c r="AN115" s="344" t="str">
        <f t="shared" si="62"/>
        <v>Mar</v>
      </c>
      <c r="AO115" s="344" t="str">
        <f t="shared" si="83"/>
        <v>15-Mar-1966</v>
      </c>
      <c r="AQ115" s="327"/>
      <c r="AR115" s="350">
        <f>A115</f>
        <v>112</v>
      </c>
      <c r="AS115" s="353" t="str">
        <f>IF(V115="",_xlfn.CONCAT(IF(G115="",D115,G115)," (",Q115,"–",V115," : #",AR115,")"),_xlfn.CONCAT(IF(G115="",D115,G115)," (",Q115,"–",V115,": #",AR115,")"))</f>
        <v>Deen (1936–2016: #112)</v>
      </c>
      <c r="AT115" s="353" t="str">
        <f>IF(V115="",_xlfn.CONCAT(IF(G115="",D115,G115)," (",Q115,"– ",V115,")"),_xlfn.CONCAT(IF(G115="",D115,G115)," (",Q115,"–",V115,")"))</f>
        <v>Deen (1936–2016)</v>
      </c>
      <c r="AU115" s="352" t="str">
        <f t="shared" si="45"/>
        <v>Female</v>
      </c>
      <c r="AV115" s="355" t="s">
        <v>4396</v>
      </c>
      <c r="AW115" s="319" t="str">
        <f>VLOOKUP(AV115,'Mums of Loyd Edit&amp;Partner Edit'!$B$3:$C$66,2,FALSE)</f>
        <v>Alice Selina (Lovely) MYHILL (b. 1 Nov 1909, )</v>
      </c>
      <c r="AX115" s="360">
        <v>55</v>
      </c>
      <c r="AY115" s="355" t="str">
        <f t="shared" si="53"/>
        <v>Dick (1882–1950: #55)</v>
      </c>
      <c r="AZ115" s="361">
        <f>VLOOKUP(AX115,Lineage!$A$1:$C$200,2,FALSE)</f>
        <v>35</v>
      </c>
      <c r="BA115" s="362" t="str">
        <f t="shared" si="73"/>
        <v>Lewis (1852–1908: #35)</v>
      </c>
      <c r="BB115" s="368">
        <f>BiographyMarriageDetsCountries!A114</f>
        <v>112</v>
      </c>
      <c r="BC115" s="319"/>
      <c r="BD115" s="362"/>
      <c r="BF115" s="324"/>
      <c r="BG115" s="357">
        <f t="shared" si="63"/>
        <v>112</v>
      </c>
      <c r="BH115" s="289" t="str">
        <f t="shared" si="64"/>
        <v>Una Alys Doreen LOYD</v>
      </c>
      <c r="BI115" s="289" t="str">
        <f t="shared" si="65"/>
        <v>Deen (1936–2016)</v>
      </c>
      <c r="BJ115" s="304" t="str">
        <f t="shared" si="66"/>
        <v>Female</v>
      </c>
      <c r="BK115" s="304">
        <f t="shared" si="67"/>
        <v>5</v>
      </c>
      <c r="BL115" s="289" t="str">
        <f t="shared" si="68"/>
        <v>Dick (1882–1950: #55)</v>
      </c>
      <c r="BM115" s="289" t="str">
        <f t="shared" si="69"/>
        <v>Alice Selina (Lovely) MYHILL (b. 1 Nov 1909, )</v>
      </c>
      <c r="BN115" s="367" t="str">
        <f t="shared" si="70"/>
        <v>24-Feb-1936</v>
      </c>
      <c r="BO115" s="367" t="str">
        <f t="shared" si="71"/>
        <v>01-May-2016</v>
      </c>
      <c r="BP115" s="365" t="str">
        <f t="shared" si="72"/>
        <v>Died 01-May-2016, aged 80.</v>
      </c>
    </row>
    <row r="116" spans="1:68" s="289" customFormat="1" ht="40">
      <c r="A116" s="302">
        <v>113</v>
      </c>
      <c r="B116" s="364">
        <v>5</v>
      </c>
      <c r="C116" s="288" t="s">
        <v>782</v>
      </c>
      <c r="D116" s="289" t="s">
        <v>830</v>
      </c>
      <c r="E116" s="289" t="s">
        <v>890</v>
      </c>
      <c r="F116" s="289" t="s">
        <v>824</v>
      </c>
      <c r="G116" s="289" t="s">
        <v>1187</v>
      </c>
      <c r="H116" s="304" t="s">
        <v>3245</v>
      </c>
      <c r="I116" s="306">
        <v>1937</v>
      </c>
      <c r="J116" s="306">
        <v>1994</v>
      </c>
      <c r="K116" s="307" t="s">
        <v>4636</v>
      </c>
      <c r="L116" s="308">
        <v>13872</v>
      </c>
      <c r="M116" s="323" t="s">
        <v>3239</v>
      </c>
      <c r="N116" s="323"/>
      <c r="O116" s="348">
        <f t="shared" si="54"/>
        <v>23</v>
      </c>
      <c r="P116" s="345">
        <f t="shared" si="77"/>
        <v>12</v>
      </c>
      <c r="Q116" s="345">
        <f t="shared" si="78"/>
        <v>1937</v>
      </c>
      <c r="R116" s="344" t="str">
        <f t="shared" si="55"/>
        <v>Dec</v>
      </c>
      <c r="S116" s="344">
        <f t="shared" si="79"/>
        <v>10</v>
      </c>
      <c r="T116" s="344">
        <f t="shared" si="80"/>
        <v>8</v>
      </c>
      <c r="U116" s="344">
        <f t="shared" si="81"/>
        <v>7</v>
      </c>
      <c r="V116" s="344">
        <f t="shared" si="82"/>
        <v>1994</v>
      </c>
      <c r="W116" s="344" t="str">
        <f t="shared" si="56"/>
        <v>Jul</v>
      </c>
      <c r="X116" s="344"/>
      <c r="Y116" s="344"/>
      <c r="Z116" s="314" t="str">
        <f t="shared" si="74"/>
        <v>23-Dec-1937</v>
      </c>
      <c r="AA116" s="314" t="str">
        <f t="shared" si="57"/>
        <v>08-Jul-1994</v>
      </c>
      <c r="AB116" s="314">
        <f t="shared" si="58"/>
        <v>56</v>
      </c>
      <c r="AC116" s="314">
        <f t="shared" si="59"/>
        <v>84</v>
      </c>
      <c r="AD116" s="347" t="str">
        <f t="shared" si="60"/>
        <v>Died 08-Jul-1994, aged 56.</v>
      </c>
      <c r="AE116" s="305"/>
      <c r="AF116" s="303"/>
      <c r="AG116" s="303"/>
      <c r="AH116" s="303"/>
      <c r="AI116" s="327">
        <v>22929</v>
      </c>
      <c r="AJ116" s="328" t="s">
        <v>4734</v>
      </c>
      <c r="AK116" s="344" t="str">
        <f t="shared" si="61"/>
        <v>10</v>
      </c>
      <c r="AL116" s="344">
        <f t="shared" si="75"/>
        <v>10</v>
      </c>
      <c r="AM116" s="344">
        <f t="shared" si="76"/>
        <v>1962</v>
      </c>
      <c r="AN116" s="344" t="str">
        <f t="shared" si="62"/>
        <v>Oct</v>
      </c>
      <c r="AO116" s="344" t="str">
        <f t="shared" si="83"/>
        <v>10-Oct-1962</v>
      </c>
      <c r="AQ116" s="327"/>
      <c r="AR116" s="350">
        <f>A116</f>
        <v>113</v>
      </c>
      <c r="AS116" s="353" t="str">
        <f>IF(V116="",_xlfn.CONCAT(IF(G116="",D116,G116)," (",Q116,"–",V116," : #",AR116,")"),_xlfn.CONCAT(IF(G116="",D116,G116)," (",Q116,"–",V116,": #",AR116,")"))</f>
        <v>Willie (1937–1994: #113)</v>
      </c>
      <c r="AT116" s="353" t="str">
        <f>IF(V116="",_xlfn.CONCAT(IF(G116="",D116,G116)," (",Q116,"– ",V116,")"),_xlfn.CONCAT(IF(G116="",D116,G116)," (",Q116,"–",V116,")"))</f>
        <v>Willie (1937–1994)</v>
      </c>
      <c r="AU116" s="352" t="str">
        <f t="shared" si="45"/>
        <v>Male</v>
      </c>
      <c r="AV116" s="355" t="s">
        <v>4398</v>
      </c>
      <c r="AW116" s="319" t="str">
        <f>VLOOKUP(AV116,'Mums of Loyd Edit&amp;Partner Edit'!$B$3:$C$66,2,FALSE)</f>
        <v>Phyllis Mary Porter TRINGHAM (b. 17 Sep 1907, )</v>
      </c>
      <c r="AX116" s="360">
        <v>78</v>
      </c>
      <c r="AY116" s="355" t="str">
        <f t="shared" si="53"/>
        <v>Vivian (1894–1972: #78)</v>
      </c>
      <c r="AZ116" s="361">
        <f>VLOOKUP(AX116,Lineage!$A$1:$C$200,2,FALSE)</f>
        <v>46</v>
      </c>
      <c r="BA116" s="362" t="str">
        <f t="shared" si="73"/>
        <v>William (1863–1923: #46)</v>
      </c>
      <c r="BB116" s="368">
        <f>BiographyMarriageDetsCountries!A115</f>
        <v>113</v>
      </c>
      <c r="BC116" s="319"/>
      <c r="BD116" s="362"/>
      <c r="BF116" s="324"/>
      <c r="BG116" s="357">
        <f t="shared" si="63"/>
        <v>113</v>
      </c>
      <c r="BH116" s="289" t="str">
        <f t="shared" si="64"/>
        <v>William Tetbert Vivian LOYD</v>
      </c>
      <c r="BI116" s="289" t="str">
        <f t="shared" si="65"/>
        <v>Willie (1937–1994)</v>
      </c>
      <c r="BJ116" s="304" t="str">
        <f t="shared" si="66"/>
        <v>Male</v>
      </c>
      <c r="BK116" s="304">
        <f t="shared" si="67"/>
        <v>5</v>
      </c>
      <c r="BL116" s="289" t="str">
        <f t="shared" si="68"/>
        <v>Vivian (1894–1972: #78)</v>
      </c>
      <c r="BM116" s="289" t="str">
        <f t="shared" si="69"/>
        <v>Phyllis Mary Porter TRINGHAM (b. 17 Sep 1907, )</v>
      </c>
      <c r="BN116" s="367" t="str">
        <f t="shared" si="70"/>
        <v>23-Dec-1937</v>
      </c>
      <c r="BO116" s="367" t="str">
        <f t="shared" si="71"/>
        <v>08-Jul-1994</v>
      </c>
      <c r="BP116" s="365" t="str">
        <f t="shared" si="72"/>
        <v>Died 08-Jul-1994, aged 56.</v>
      </c>
    </row>
    <row r="117" spans="1:68" s="289" customFormat="1" ht="20">
      <c r="A117" s="302">
        <v>114</v>
      </c>
      <c r="B117" s="364">
        <v>5</v>
      </c>
      <c r="C117" s="288" t="s">
        <v>782</v>
      </c>
      <c r="D117" s="289" t="s">
        <v>842</v>
      </c>
      <c r="E117" s="289" t="s">
        <v>891</v>
      </c>
      <c r="G117" s="289" t="s">
        <v>891</v>
      </c>
      <c r="H117" s="304" t="s">
        <v>3245</v>
      </c>
      <c r="I117" s="306">
        <v>1938</v>
      </c>
      <c r="J117" s="306" t="s">
        <v>3228</v>
      </c>
      <c r="K117" s="307" t="s">
        <v>4637</v>
      </c>
      <c r="L117" s="308">
        <v>14120</v>
      </c>
      <c r="M117" s="309"/>
      <c r="N117" s="309"/>
      <c r="O117" s="348">
        <f t="shared" si="54"/>
        <v>28</v>
      </c>
      <c r="P117" s="345">
        <f t="shared" si="77"/>
        <v>8</v>
      </c>
      <c r="Q117" s="345">
        <f t="shared" si="78"/>
        <v>1938</v>
      </c>
      <c r="R117" s="344" t="str">
        <f t="shared" si="55"/>
        <v>Aug</v>
      </c>
      <c r="S117" s="344">
        <f t="shared" si="79"/>
        <v>0</v>
      </c>
      <c r="T117" s="344" t="str">
        <f t="shared" si="80"/>
        <v/>
      </c>
      <c r="U117" s="344" t="str">
        <f t="shared" si="81"/>
        <v/>
      </c>
      <c r="V117" s="344" t="str">
        <f t="shared" si="82"/>
        <v/>
      </c>
      <c r="W117" s="344" t="e">
        <f t="shared" si="56"/>
        <v>#N/A</v>
      </c>
      <c r="X117" s="344"/>
      <c r="Y117" s="344"/>
      <c r="Z117" s="314" t="str">
        <f t="shared" si="74"/>
        <v>28-Aug-1938</v>
      </c>
      <c r="AA117" s="314" t="str">
        <f t="shared" si="57"/>
        <v/>
      </c>
      <c r="AB117" s="314" t="e">
        <f t="shared" si="58"/>
        <v>#VALUE!</v>
      </c>
      <c r="AC117" s="314">
        <f t="shared" si="59"/>
        <v>83</v>
      </c>
      <c r="AD117" s="347" t="str">
        <f t="shared" si="60"/>
        <v>Aged 83 on 01-Jul-2022.</v>
      </c>
      <c r="AE117" s="305"/>
      <c r="AF117" s="303"/>
      <c r="AG117" s="303"/>
      <c r="AH117" s="303"/>
      <c r="AI117" s="327">
        <v>26915</v>
      </c>
      <c r="AJ117" s="328" t="s">
        <v>4735</v>
      </c>
      <c r="AK117" s="344" t="str">
        <f t="shared" si="61"/>
        <v>08</v>
      </c>
      <c r="AL117" s="344">
        <f t="shared" si="75"/>
        <v>9</v>
      </c>
      <c r="AM117" s="344">
        <f t="shared" si="76"/>
        <v>1973</v>
      </c>
      <c r="AN117" s="344" t="str">
        <f t="shared" si="62"/>
        <v>Sep</v>
      </c>
      <c r="AO117" s="344" t="str">
        <f t="shared" si="83"/>
        <v>08-Sep-1973</v>
      </c>
      <c r="AQ117" s="327"/>
      <c r="AR117" s="350">
        <f>A117</f>
        <v>114</v>
      </c>
      <c r="AS117" s="353" t="str">
        <f>IF(V117="",_xlfn.CONCAT(IF(G117="",D117,G117)," (",Q117,"–",V117," : #",AR117,")"),_xlfn.CONCAT(IF(G117="",D117,G117)," (",Q117,"–",V117,": #",AR117,")"))</f>
        <v>Michael (1938– : #114)</v>
      </c>
      <c r="AT117" s="353" t="str">
        <f>IF(V117="",_xlfn.CONCAT(IF(G117="",D117,G117)," (",Q117,"– ",V117,")"),_xlfn.CONCAT(IF(G117="",D117,G117)," (",Q117,"–",V117,")"))</f>
        <v>Michael (1938– )</v>
      </c>
      <c r="AU117" s="352" t="str">
        <f t="shared" si="45"/>
        <v>Male</v>
      </c>
      <c r="AV117" s="355" t="s">
        <v>4397</v>
      </c>
      <c r="AW117" s="319" t="str">
        <f>VLOOKUP(AV117,'Mums of Loyd Edit&amp;Partner Edit'!$B$3:$C$66,2,FALSE)</f>
        <v>Isabel Mary Beatrix PARKER (b. 22 Feb 1903, d. 13 Jan 1992)</v>
      </c>
      <c r="AX117" s="360">
        <v>80</v>
      </c>
      <c r="AY117" s="355" t="str">
        <f t="shared" si="53"/>
        <v>Eric (1894–1963: #80)</v>
      </c>
      <c r="AZ117" s="361">
        <f>VLOOKUP(AX117,Lineage!$A$1:$C$200,2,FALSE)</f>
        <v>29</v>
      </c>
      <c r="BA117" s="362" t="str">
        <f t="shared" si="73"/>
        <v>Arthur (1845–1930: #29)</v>
      </c>
      <c r="BB117" s="368">
        <f>BiographyMarriageDetsCountries!A116</f>
        <v>114</v>
      </c>
      <c r="BC117" s="319"/>
      <c r="BD117" s="362"/>
      <c r="BF117" s="324"/>
      <c r="BG117" s="357">
        <f t="shared" si="63"/>
        <v>114</v>
      </c>
      <c r="BH117" s="289" t="str">
        <f t="shared" si="64"/>
        <v>John Michael LOYD</v>
      </c>
      <c r="BI117" s="289" t="str">
        <f t="shared" si="65"/>
        <v>Michael (1938– )</v>
      </c>
      <c r="BJ117" s="304" t="str">
        <f t="shared" si="66"/>
        <v>Male</v>
      </c>
      <c r="BK117" s="304">
        <f t="shared" si="67"/>
        <v>5</v>
      </c>
      <c r="BL117" s="289" t="str">
        <f t="shared" si="68"/>
        <v>Eric (1894–1963: #80)</v>
      </c>
      <c r="BM117" s="289" t="str">
        <f t="shared" si="69"/>
        <v>Isabel Mary Beatrix PARKER (b. 22 Feb 1903, d. 13 Jan 1992)</v>
      </c>
      <c r="BN117" s="367" t="str">
        <f t="shared" si="70"/>
        <v>28-Aug-1938</v>
      </c>
      <c r="BO117" s="367" t="str">
        <f t="shared" si="71"/>
        <v/>
      </c>
      <c r="BP117" s="365" t="str">
        <f t="shared" si="72"/>
        <v>Aged 83 on 01-Jul-2022.</v>
      </c>
    </row>
    <row r="118" spans="1:68" s="289" customFormat="1" ht="40">
      <c r="A118" s="302">
        <v>115</v>
      </c>
      <c r="B118" s="364">
        <v>5</v>
      </c>
      <c r="C118" s="288" t="s">
        <v>782</v>
      </c>
      <c r="D118" s="289" t="s">
        <v>892</v>
      </c>
      <c r="E118" s="289" t="s">
        <v>893</v>
      </c>
      <c r="H118" s="304" t="s">
        <v>3244</v>
      </c>
      <c r="I118" s="306">
        <v>1939</v>
      </c>
      <c r="J118" s="306">
        <v>2018</v>
      </c>
      <c r="K118" s="307" t="s">
        <v>4638</v>
      </c>
      <c r="L118" s="308">
        <v>14432</v>
      </c>
      <c r="M118" s="323" t="s">
        <v>3240</v>
      </c>
      <c r="N118" s="323"/>
      <c r="O118" s="348">
        <f t="shared" si="54"/>
        <v>6</v>
      </c>
      <c r="P118" s="345">
        <f t="shared" si="77"/>
        <v>7</v>
      </c>
      <c r="Q118" s="345">
        <f t="shared" si="78"/>
        <v>1939</v>
      </c>
      <c r="R118" s="344" t="str">
        <f t="shared" si="55"/>
        <v>Jul</v>
      </c>
      <c r="S118" s="344">
        <f t="shared" si="79"/>
        <v>10</v>
      </c>
      <c r="T118" s="344">
        <f t="shared" si="80"/>
        <v>1</v>
      </c>
      <c r="U118" s="344">
        <f t="shared" si="81"/>
        <v>12</v>
      </c>
      <c r="V118" s="344">
        <f t="shared" si="82"/>
        <v>2018</v>
      </c>
      <c r="W118" s="344" t="str">
        <f t="shared" si="56"/>
        <v>Dec</v>
      </c>
      <c r="X118" s="344"/>
      <c r="Y118" s="344"/>
      <c r="Z118" s="314" t="str">
        <f t="shared" si="74"/>
        <v>06-Jul-1939</v>
      </c>
      <c r="AA118" s="314" t="str">
        <f t="shared" si="57"/>
        <v>01-Dec-2018</v>
      </c>
      <c r="AB118" s="314">
        <f t="shared" si="58"/>
        <v>79</v>
      </c>
      <c r="AC118" s="314">
        <f t="shared" si="59"/>
        <v>82</v>
      </c>
      <c r="AD118" s="347" t="str">
        <f t="shared" si="60"/>
        <v>Died 01-Dec-2018, aged 79.</v>
      </c>
      <c r="AE118" s="305"/>
      <c r="AF118" s="303"/>
      <c r="AG118" s="303"/>
      <c r="AH118" s="303"/>
      <c r="AI118" s="327">
        <v>23298</v>
      </c>
      <c r="AJ118" s="328" t="s">
        <v>4736</v>
      </c>
      <c r="AK118" s="344" t="str">
        <f t="shared" si="61"/>
        <v>14</v>
      </c>
      <c r="AL118" s="344">
        <f t="shared" si="75"/>
        <v>10</v>
      </c>
      <c r="AM118" s="344">
        <f t="shared" si="76"/>
        <v>1963</v>
      </c>
      <c r="AN118" s="344" t="str">
        <f t="shared" si="62"/>
        <v>Oct</v>
      </c>
      <c r="AO118" s="344" t="str">
        <f t="shared" si="83"/>
        <v>14-Oct-1963</v>
      </c>
      <c r="AQ118" s="327"/>
      <c r="AR118" s="350">
        <f>A118</f>
        <v>115</v>
      </c>
      <c r="AS118" s="353" t="str">
        <f>IF(V118="",_xlfn.CONCAT(IF(G118="",D118,G118)," (",Q118,"–",V118," : #",AR118,")"),_xlfn.CONCAT(IF(G118="",D118,G118)," (",Q118,"–",V118,": #",AR118,")"))</f>
        <v>Belinda (1939–2018: #115)</v>
      </c>
      <c r="AT118" s="353" t="str">
        <f>IF(V118="",_xlfn.CONCAT(IF(G118="",D118,G118)," (",Q118,"– ",V118,")"),_xlfn.CONCAT(IF(G118="",D118,G118)," (",Q118,"–",V118,")"))</f>
        <v>Belinda (1939–2018)</v>
      </c>
      <c r="AU118" s="352" t="str">
        <f t="shared" si="45"/>
        <v>Female</v>
      </c>
      <c r="AV118" s="355" t="s">
        <v>4398</v>
      </c>
      <c r="AW118" s="319" t="str">
        <f>VLOOKUP(AV118,'Mums of Loyd Edit&amp;Partner Edit'!$B$3:$C$66,2,FALSE)</f>
        <v>Phyllis Mary Porter TRINGHAM (b. 17 Sep 1907, )</v>
      </c>
      <c r="AX118" s="360">
        <v>78</v>
      </c>
      <c r="AY118" s="355" t="str">
        <f t="shared" si="53"/>
        <v>Vivian (1894–1972: #78)</v>
      </c>
      <c r="AZ118" s="361">
        <f>VLOOKUP(AX118,Lineage!$A$1:$C$200,2,FALSE)</f>
        <v>46</v>
      </c>
      <c r="BA118" s="362" t="str">
        <f t="shared" si="73"/>
        <v>William (1863–1923: #46)</v>
      </c>
      <c r="BB118" s="368">
        <f>BiographyMarriageDetsCountries!A117</f>
        <v>115</v>
      </c>
      <c r="BC118" s="319"/>
      <c r="BD118" s="362"/>
      <c r="BF118" s="324"/>
      <c r="BG118" s="357">
        <f t="shared" si="63"/>
        <v>115</v>
      </c>
      <c r="BH118" s="289" t="str">
        <f t="shared" si="64"/>
        <v>Belinda Maris LOYD</v>
      </c>
      <c r="BI118" s="289" t="str">
        <f t="shared" si="65"/>
        <v>Belinda (1939–2018)</v>
      </c>
      <c r="BJ118" s="304" t="str">
        <f t="shared" si="66"/>
        <v>Female</v>
      </c>
      <c r="BK118" s="304">
        <f t="shared" si="67"/>
        <v>5</v>
      </c>
      <c r="BL118" s="289" t="str">
        <f t="shared" si="68"/>
        <v>Vivian (1894–1972: #78)</v>
      </c>
      <c r="BM118" s="289" t="str">
        <f t="shared" si="69"/>
        <v>Phyllis Mary Porter TRINGHAM (b. 17 Sep 1907, )</v>
      </c>
      <c r="BN118" s="367" t="str">
        <f t="shared" si="70"/>
        <v>06-Jul-1939</v>
      </c>
      <c r="BO118" s="367" t="str">
        <f t="shared" si="71"/>
        <v>01-Dec-2018</v>
      </c>
      <c r="BP118" s="365" t="str">
        <f t="shared" si="72"/>
        <v>Died 01-Dec-2018, aged 79.</v>
      </c>
    </row>
    <row r="119" spans="1:68" s="289" customFormat="1" ht="20">
      <c r="A119" s="302">
        <v>116</v>
      </c>
      <c r="B119" s="364">
        <v>5</v>
      </c>
      <c r="C119" s="288" t="s">
        <v>782</v>
      </c>
      <c r="D119" s="289" t="s">
        <v>882</v>
      </c>
      <c r="E119" s="289" t="s">
        <v>894</v>
      </c>
      <c r="F119" s="289" t="s">
        <v>875</v>
      </c>
      <c r="G119" s="289" t="s">
        <v>1735</v>
      </c>
      <c r="H119" s="304" t="s">
        <v>3244</v>
      </c>
      <c r="I119" s="306">
        <v>1939</v>
      </c>
      <c r="J119" s="306" t="s">
        <v>3228</v>
      </c>
      <c r="K119" s="307" t="s">
        <v>4639</v>
      </c>
      <c r="L119" s="308">
        <v>14567</v>
      </c>
      <c r="M119" s="309"/>
      <c r="N119" s="309"/>
      <c r="O119" s="348">
        <f t="shared" si="54"/>
        <v>18</v>
      </c>
      <c r="P119" s="345">
        <f t="shared" si="77"/>
        <v>11</v>
      </c>
      <c r="Q119" s="345">
        <f t="shared" si="78"/>
        <v>1939</v>
      </c>
      <c r="R119" s="344" t="str">
        <f t="shared" si="55"/>
        <v>Nov</v>
      </c>
      <c r="S119" s="344">
        <f t="shared" si="79"/>
        <v>0</v>
      </c>
      <c r="T119" s="344" t="str">
        <f t="shared" si="80"/>
        <v/>
      </c>
      <c r="U119" s="344" t="str">
        <f t="shared" si="81"/>
        <v/>
      </c>
      <c r="V119" s="344" t="str">
        <f>IF(M119="","",VALUE(RIGHT(M119,4)))</f>
        <v/>
      </c>
      <c r="W119" s="344" t="e">
        <f t="shared" si="56"/>
        <v>#N/A</v>
      </c>
      <c r="X119" s="344"/>
      <c r="Y119" s="344"/>
      <c r="Z119" s="314" t="str">
        <f t="shared" si="74"/>
        <v>18-Nov-1939</v>
      </c>
      <c r="AA119" s="314" t="str">
        <f t="shared" si="57"/>
        <v/>
      </c>
      <c r="AB119" s="314" t="e">
        <f t="shared" si="58"/>
        <v>#VALUE!</v>
      </c>
      <c r="AC119" s="314">
        <f t="shared" si="59"/>
        <v>82</v>
      </c>
      <c r="AD119" s="347" t="str">
        <f t="shared" si="60"/>
        <v>Aged 82 on 01-Jul-2022.</v>
      </c>
      <c r="AE119" s="305"/>
      <c r="AF119" s="303"/>
      <c r="AG119" s="303"/>
      <c r="AH119" s="303"/>
      <c r="AI119" s="327">
        <v>25312</v>
      </c>
      <c r="AJ119" s="328" t="s">
        <v>4782</v>
      </c>
      <c r="AK119" s="344" t="str">
        <f t="shared" si="61"/>
        <v>19</v>
      </c>
      <c r="AL119" s="344">
        <f t="shared" si="75"/>
        <v>4</v>
      </c>
      <c r="AM119" s="344">
        <f t="shared" si="76"/>
        <v>1969</v>
      </c>
      <c r="AN119" s="344" t="str">
        <f t="shared" si="62"/>
        <v>Apr</v>
      </c>
      <c r="AO119" s="344" t="str">
        <f t="shared" si="83"/>
        <v>19-Apr-1969</v>
      </c>
      <c r="AQ119" s="327"/>
      <c r="AR119" s="350">
        <f>A119</f>
        <v>116</v>
      </c>
      <c r="AS119" s="353" t="str">
        <f>IF(V119="",_xlfn.CONCAT(IF(G119="",D119,G119)," (",Q119,"–",V119," : #",AR119,")"),_xlfn.CONCAT(IF(G119="",D119,G119)," (",Q119,"–",V119,": #",AR119,")"))</f>
        <v>Peggy (1939– : #116)</v>
      </c>
      <c r="AT119" s="353" t="str">
        <f>IF(V119="",_xlfn.CONCAT(IF(G119="",D119,G119)," (",Q119,"– ",V119,")"),_xlfn.CONCAT(IF(G119="",D119,G119)," (",Q119,"–",V119,")"))</f>
        <v>Peggy (1939– )</v>
      </c>
      <c r="AU119" s="352" t="str">
        <f t="shared" si="45"/>
        <v>Female</v>
      </c>
      <c r="AV119" s="355" t="s">
        <v>4396</v>
      </c>
      <c r="AW119" s="319" t="str">
        <f>VLOOKUP(AV119,'Mums of Loyd Edit&amp;Partner Edit'!$B$3:$C$66,2,FALSE)</f>
        <v>Alice Selina (Lovely) MYHILL (b. 1 Nov 1909, )</v>
      </c>
      <c r="AX119" s="360">
        <v>55</v>
      </c>
      <c r="AY119" s="355" t="str">
        <f t="shared" si="53"/>
        <v>Dick (1882–1950: #55)</v>
      </c>
      <c r="AZ119" s="361">
        <f>VLOOKUP(AX119,Lineage!$A$1:$C$200,2,FALSE)</f>
        <v>35</v>
      </c>
      <c r="BA119" s="362" t="str">
        <f t="shared" si="73"/>
        <v>Lewis (1852–1908: #35)</v>
      </c>
      <c r="BB119" s="368">
        <f>BiographyMarriageDetsCountries!A118</f>
        <v>116</v>
      </c>
      <c r="BC119" s="319"/>
      <c r="BD119" s="362"/>
      <c r="BF119" s="324"/>
      <c r="BG119" s="357">
        <f t="shared" si="63"/>
        <v>116</v>
      </c>
      <c r="BH119" s="289" t="str">
        <f t="shared" si="64"/>
        <v>Margaret Sheila Eileen LOYD</v>
      </c>
      <c r="BI119" s="289" t="str">
        <f t="shared" si="65"/>
        <v>Peggy (1939– )</v>
      </c>
      <c r="BJ119" s="304" t="str">
        <f t="shared" si="66"/>
        <v>Female</v>
      </c>
      <c r="BK119" s="304">
        <f t="shared" si="67"/>
        <v>5</v>
      </c>
      <c r="BL119" s="289" t="str">
        <f t="shared" si="68"/>
        <v>Dick (1882–1950: #55)</v>
      </c>
      <c r="BM119" s="289" t="str">
        <f t="shared" si="69"/>
        <v>Alice Selina (Lovely) MYHILL (b. 1 Nov 1909, )</v>
      </c>
      <c r="BN119" s="367" t="str">
        <f t="shared" si="70"/>
        <v>18-Nov-1939</v>
      </c>
      <c r="BO119" s="367" t="str">
        <f t="shared" si="71"/>
        <v/>
      </c>
      <c r="BP119" s="365" t="str">
        <f t="shared" si="72"/>
        <v>Aged 82 on 01-Jul-2022.</v>
      </c>
    </row>
    <row r="120" spans="1:68" s="289" customFormat="1" ht="20">
      <c r="A120" s="302">
        <v>117</v>
      </c>
      <c r="B120" s="364">
        <v>5</v>
      </c>
      <c r="C120" s="288" t="s">
        <v>782</v>
      </c>
      <c r="D120" s="289" t="s">
        <v>896</v>
      </c>
      <c r="E120" s="289" t="s">
        <v>866</v>
      </c>
      <c r="F120" s="289" t="s">
        <v>897</v>
      </c>
      <c r="H120" s="304" t="s">
        <v>3245</v>
      </c>
      <c r="I120" s="306">
        <v>1942</v>
      </c>
      <c r="J120" s="306" t="s">
        <v>3228</v>
      </c>
      <c r="K120" s="307" t="s">
        <v>4640</v>
      </c>
      <c r="L120" s="308">
        <v>15429</v>
      </c>
      <c r="M120" s="309"/>
      <c r="N120" s="309"/>
      <c r="O120" s="348">
        <f t="shared" si="54"/>
        <v>29</v>
      </c>
      <c r="P120" s="345">
        <f t="shared" si="77"/>
        <v>3</v>
      </c>
      <c r="Q120" s="345">
        <f t="shared" si="78"/>
        <v>1942</v>
      </c>
      <c r="R120" s="344" t="str">
        <f t="shared" si="55"/>
        <v>Mar</v>
      </c>
      <c r="S120" s="344">
        <f t="shared" si="79"/>
        <v>0</v>
      </c>
      <c r="T120" s="344" t="str">
        <f t="shared" si="80"/>
        <v/>
      </c>
      <c r="U120" s="344" t="str">
        <f t="shared" si="81"/>
        <v/>
      </c>
      <c r="V120" s="344" t="str">
        <f t="shared" si="82"/>
        <v/>
      </c>
      <c r="W120" s="344" t="e">
        <f t="shared" si="56"/>
        <v>#N/A</v>
      </c>
      <c r="X120" s="344"/>
      <c r="Y120" s="344"/>
      <c r="Z120" s="314" t="str">
        <f t="shared" si="74"/>
        <v>29-Mar-1942</v>
      </c>
      <c r="AA120" s="314" t="str">
        <f t="shared" si="57"/>
        <v/>
      </c>
      <c r="AB120" s="314" t="e">
        <f t="shared" si="58"/>
        <v>#VALUE!</v>
      </c>
      <c r="AC120" s="314">
        <f t="shared" si="59"/>
        <v>80</v>
      </c>
      <c r="AD120" s="347" t="str">
        <f t="shared" si="60"/>
        <v>Aged 80 on 01-Jul-2022.</v>
      </c>
      <c r="AE120" s="305"/>
      <c r="AF120" s="303"/>
      <c r="AG120" s="303"/>
      <c r="AH120" s="303"/>
      <c r="AI120" s="327">
        <v>23652</v>
      </c>
      <c r="AJ120" s="328" t="s">
        <v>4737</v>
      </c>
      <c r="AK120" s="344" t="str">
        <f t="shared" si="61"/>
        <v>02</v>
      </c>
      <c r="AL120" s="344">
        <f t="shared" si="75"/>
        <v>10</v>
      </c>
      <c r="AM120" s="344">
        <f t="shared" si="76"/>
        <v>1964</v>
      </c>
      <c r="AN120" s="344" t="str">
        <f t="shared" si="62"/>
        <v>Oct</v>
      </c>
      <c r="AO120" s="344" t="str">
        <f t="shared" si="83"/>
        <v>02-Oct-1964</v>
      </c>
      <c r="AQ120" s="327"/>
      <c r="AR120" s="350">
        <f>A120</f>
        <v>117</v>
      </c>
      <c r="AS120" s="353" t="str">
        <f>IF(V120="",_xlfn.CONCAT(IF(G120="",D120,G120)," (",Q120,"–",V120," : #",AR120,")"),_xlfn.CONCAT(IF(G120="",D120,G120)," (",Q120,"–",V120,": #",AR120,")"))</f>
        <v>Patrick (1942– : #117)</v>
      </c>
      <c r="AT120" s="353" t="str">
        <f>IF(V120="",_xlfn.CONCAT(IF(G120="",D120,G120)," (",Q120,"– ",V120,")"),_xlfn.CONCAT(IF(G120="",D120,G120)," (",Q120,"–",V120,")"))</f>
        <v>Patrick (1942– )</v>
      </c>
      <c r="AU120" s="352" t="str">
        <f t="shared" si="45"/>
        <v>Male</v>
      </c>
      <c r="AV120" s="355" t="s">
        <v>4396</v>
      </c>
      <c r="AW120" s="319" t="str">
        <f>VLOOKUP(AV120,'Mums of Loyd Edit&amp;Partner Edit'!$B$3:$C$66,2,FALSE)</f>
        <v>Alice Selina (Lovely) MYHILL (b. 1 Nov 1909, )</v>
      </c>
      <c r="AX120" s="360">
        <v>55</v>
      </c>
      <c r="AY120" s="355" t="str">
        <f t="shared" si="53"/>
        <v>Dick (1882–1950: #55)</v>
      </c>
      <c r="AZ120" s="361">
        <f>VLOOKUP(AX120,Lineage!$A$1:$C$200,2,FALSE)</f>
        <v>35</v>
      </c>
      <c r="BA120" s="362" t="str">
        <f t="shared" si="73"/>
        <v>Lewis (1852–1908: #35)</v>
      </c>
      <c r="BB120" s="368">
        <f>BiographyMarriageDetsCountries!A119</f>
        <v>117</v>
      </c>
      <c r="BC120" s="319"/>
      <c r="BD120" s="362"/>
      <c r="BF120" s="324"/>
      <c r="BG120" s="357">
        <f t="shared" si="63"/>
        <v>117</v>
      </c>
      <c r="BH120" s="289" t="str">
        <f t="shared" si="64"/>
        <v>Patrick Christopher Robin LOYD</v>
      </c>
      <c r="BI120" s="289" t="str">
        <f t="shared" si="65"/>
        <v>Patrick (1942– )</v>
      </c>
      <c r="BJ120" s="304" t="str">
        <f t="shared" si="66"/>
        <v>Male</v>
      </c>
      <c r="BK120" s="304">
        <f t="shared" si="67"/>
        <v>5</v>
      </c>
      <c r="BL120" s="289" t="str">
        <f t="shared" si="68"/>
        <v>Dick (1882–1950: #55)</v>
      </c>
      <c r="BM120" s="289" t="str">
        <f t="shared" si="69"/>
        <v>Alice Selina (Lovely) MYHILL (b. 1 Nov 1909, )</v>
      </c>
      <c r="BN120" s="367" t="str">
        <f t="shared" si="70"/>
        <v>29-Mar-1942</v>
      </c>
      <c r="BO120" s="367" t="str">
        <f t="shared" si="71"/>
        <v/>
      </c>
      <c r="BP120" s="365" t="str">
        <f t="shared" si="72"/>
        <v>Aged 80 on 01-Jul-2022.</v>
      </c>
    </row>
    <row r="121" spans="1:68" s="289" customFormat="1" ht="40">
      <c r="A121" s="302">
        <v>118</v>
      </c>
      <c r="B121" s="364">
        <v>5</v>
      </c>
      <c r="C121" s="288" t="s">
        <v>782</v>
      </c>
      <c r="D121" s="289" t="s">
        <v>899</v>
      </c>
      <c r="E121" s="289" t="s">
        <v>900</v>
      </c>
      <c r="F121" s="289" t="s">
        <v>901</v>
      </c>
      <c r="H121" s="304" t="s">
        <v>3244</v>
      </c>
      <c r="I121" s="306">
        <v>1942</v>
      </c>
      <c r="J121" s="306">
        <v>1942</v>
      </c>
      <c r="K121" s="307" t="s">
        <v>4640</v>
      </c>
      <c r="L121" s="308">
        <v>15429</v>
      </c>
      <c r="M121" s="323" t="s">
        <v>3241</v>
      </c>
      <c r="N121" s="323"/>
      <c r="O121" s="348">
        <f t="shared" si="54"/>
        <v>29</v>
      </c>
      <c r="P121" s="345">
        <f t="shared" si="77"/>
        <v>3</v>
      </c>
      <c r="Q121" s="345">
        <f t="shared" si="78"/>
        <v>1942</v>
      </c>
      <c r="R121" s="344" t="str">
        <f t="shared" si="55"/>
        <v>Mar</v>
      </c>
      <c r="S121" s="344">
        <f t="shared" si="79"/>
        <v>10</v>
      </c>
      <c r="T121" s="344">
        <f t="shared" si="80"/>
        <v>2</v>
      </c>
      <c r="U121" s="344">
        <f t="shared" si="81"/>
        <v>4</v>
      </c>
      <c r="V121" s="344">
        <f t="shared" si="82"/>
        <v>1942</v>
      </c>
      <c r="W121" s="344" t="str">
        <f t="shared" si="56"/>
        <v>Apr</v>
      </c>
      <c r="X121" s="344"/>
      <c r="Y121" s="344"/>
      <c r="Z121" s="314" t="str">
        <f t="shared" si="74"/>
        <v>29-Mar-1942</v>
      </c>
      <c r="AA121" s="314" t="str">
        <f t="shared" si="57"/>
        <v>02-Apr-1942</v>
      </c>
      <c r="AB121" s="314">
        <f t="shared" si="58"/>
        <v>0</v>
      </c>
      <c r="AC121" s="314">
        <f t="shared" si="59"/>
        <v>79</v>
      </c>
      <c r="AD121" s="347" t="str">
        <f t="shared" si="60"/>
        <v>Died in Infancy 02-Apr-1942.</v>
      </c>
      <c r="AE121" s="305"/>
      <c r="AF121" s="303"/>
      <c r="AG121" s="303"/>
      <c r="AH121" s="303"/>
      <c r="AI121" s="289" t="s">
        <v>2793</v>
      </c>
      <c r="AJ121" s="289" t="s">
        <v>2793</v>
      </c>
      <c r="AK121" s="344" t="str">
        <f t="shared" si="61"/>
        <v xml:space="preserve"> -</v>
      </c>
      <c r="AL121" s="344" t="str">
        <f t="shared" si="75"/>
        <v xml:space="preserve"> -</v>
      </c>
      <c r="AM121" s="344" t="str">
        <f t="shared" si="76"/>
        <v xml:space="preserve"> -</v>
      </c>
      <c r="AN121" s="344" t="str">
        <f t="shared" si="62"/>
        <v xml:space="preserve"> -</v>
      </c>
      <c r="AO121" s="344" t="str">
        <f t="shared" si="83"/>
        <v xml:space="preserve"> -</v>
      </c>
      <c r="AR121" s="350">
        <f>A121</f>
        <v>118</v>
      </c>
      <c r="AS121" s="353" t="str">
        <f>IF(V121="",_xlfn.CONCAT(IF(G121="",D121,G121)," (",Q121,"–",V121," : #",AR121,")"),_xlfn.CONCAT(IF(G121="",D121,G121)," (",Q121,"–",V121,": #",AR121,")"))</f>
        <v>Patricia (1942–1942: #118)</v>
      </c>
      <c r="AT121" s="353" t="str">
        <f>IF(V121="",_xlfn.CONCAT(IF(G121="",D121,G121)," (",Q121,"– ",V121,")"),_xlfn.CONCAT(IF(G121="",D121,G121)," (",Q121,"–",V121,")"))</f>
        <v>Patricia (1942–1942)</v>
      </c>
      <c r="AU121" s="352" t="str">
        <f t="shared" si="45"/>
        <v>Female</v>
      </c>
      <c r="AV121" s="355" t="s">
        <v>4396</v>
      </c>
      <c r="AW121" s="319" t="str">
        <f>VLOOKUP(AV121,'Mums of Loyd Edit&amp;Partner Edit'!$B$3:$C$66,2,FALSE)</f>
        <v>Alice Selina (Lovely) MYHILL (b. 1 Nov 1909, )</v>
      </c>
      <c r="AX121" s="360">
        <v>55</v>
      </c>
      <c r="AY121" s="355" t="str">
        <f t="shared" si="53"/>
        <v>Dick (1882–1950: #55)</v>
      </c>
      <c r="AZ121" s="361">
        <f>VLOOKUP(AX121,Lineage!$A$1:$C$200,2,FALSE)</f>
        <v>35</v>
      </c>
      <c r="BA121" s="362" t="str">
        <f t="shared" si="73"/>
        <v>Lewis (1852–1908: #35)</v>
      </c>
      <c r="BB121" s="368">
        <f>BiographyMarriageDetsCountries!A120</f>
        <v>118</v>
      </c>
      <c r="BC121" s="319"/>
      <c r="BD121" s="362"/>
      <c r="BF121" s="324"/>
      <c r="BG121" s="357">
        <f t="shared" si="63"/>
        <v>118</v>
      </c>
      <c r="BH121" s="289" t="str">
        <f t="shared" si="64"/>
        <v>Patricia Doris Irene LOYD</v>
      </c>
      <c r="BI121" s="289" t="str">
        <f t="shared" si="65"/>
        <v>Patricia (1942–1942)</v>
      </c>
      <c r="BJ121" s="304" t="str">
        <f t="shared" si="66"/>
        <v>Female</v>
      </c>
      <c r="BK121" s="304">
        <f t="shared" si="67"/>
        <v>5</v>
      </c>
      <c r="BL121" s="289" t="str">
        <f t="shared" si="68"/>
        <v>Dick (1882–1950: #55)</v>
      </c>
      <c r="BM121" s="289" t="str">
        <f t="shared" si="69"/>
        <v>Alice Selina (Lovely) MYHILL (b. 1 Nov 1909, )</v>
      </c>
      <c r="BN121" s="367" t="str">
        <f t="shared" si="70"/>
        <v>29-Mar-1942</v>
      </c>
      <c r="BO121" s="367" t="str">
        <f t="shared" si="71"/>
        <v>02-Apr-1942</v>
      </c>
      <c r="BP121" s="365" t="str">
        <f t="shared" si="72"/>
        <v>Died in Infancy 02-Apr-1942.</v>
      </c>
    </row>
    <row r="122" spans="1:68" s="289" customFormat="1" ht="20">
      <c r="A122" s="302">
        <v>119</v>
      </c>
      <c r="B122" s="364">
        <v>5</v>
      </c>
      <c r="C122" s="288" t="s">
        <v>782</v>
      </c>
      <c r="D122" s="289" t="s">
        <v>865</v>
      </c>
      <c r="E122" s="289" t="s">
        <v>902</v>
      </c>
      <c r="H122" s="304" t="s">
        <v>3245</v>
      </c>
      <c r="I122" s="306">
        <v>1942</v>
      </c>
      <c r="J122" s="306" t="s">
        <v>3228</v>
      </c>
      <c r="K122" s="307" t="s">
        <v>4641</v>
      </c>
      <c r="L122" s="308">
        <v>15592</v>
      </c>
      <c r="M122" s="309"/>
      <c r="N122" s="309"/>
      <c r="O122" s="348">
        <f t="shared" si="54"/>
        <v>8</v>
      </c>
      <c r="P122" s="345">
        <f t="shared" si="77"/>
        <v>9</v>
      </c>
      <c r="Q122" s="345">
        <f t="shared" si="78"/>
        <v>1942</v>
      </c>
      <c r="R122" s="344" t="str">
        <f t="shared" si="55"/>
        <v>Sep</v>
      </c>
      <c r="S122" s="344">
        <f t="shared" si="79"/>
        <v>0</v>
      </c>
      <c r="T122" s="344" t="str">
        <f t="shared" si="80"/>
        <v/>
      </c>
      <c r="U122" s="344" t="str">
        <f t="shared" si="81"/>
        <v/>
      </c>
      <c r="V122" s="344" t="str">
        <f t="shared" si="82"/>
        <v/>
      </c>
      <c r="W122" s="344" t="e">
        <f t="shared" si="56"/>
        <v>#N/A</v>
      </c>
      <c r="X122" s="344"/>
      <c r="Y122" s="344"/>
      <c r="Z122" s="314" t="str">
        <f t="shared" si="74"/>
        <v>08-Sep-1942</v>
      </c>
      <c r="AA122" s="314" t="str">
        <f t="shared" si="57"/>
        <v/>
      </c>
      <c r="AB122" s="314" t="e">
        <f t="shared" si="58"/>
        <v>#VALUE!</v>
      </c>
      <c r="AC122" s="314">
        <f t="shared" si="59"/>
        <v>79</v>
      </c>
      <c r="AD122" s="347" t="str">
        <f t="shared" si="60"/>
        <v>Aged 79 on 01-Jul-2022.</v>
      </c>
      <c r="AE122" s="305"/>
      <c r="AF122" s="303"/>
      <c r="AG122" s="303"/>
      <c r="AH122" s="303"/>
      <c r="AI122" s="327">
        <v>25942</v>
      </c>
      <c r="AJ122" s="328" t="s">
        <v>4738</v>
      </c>
      <c r="AK122" s="344" t="str">
        <f t="shared" si="61"/>
        <v>09</v>
      </c>
      <c r="AL122" s="344">
        <f t="shared" si="75"/>
        <v>1</v>
      </c>
      <c r="AM122" s="344">
        <f t="shared" si="76"/>
        <v>1971</v>
      </c>
      <c r="AN122" s="344" t="str">
        <f t="shared" si="62"/>
        <v>Jan</v>
      </c>
      <c r="AO122" s="344" t="str">
        <f t="shared" si="83"/>
        <v>09-Jan-1971</v>
      </c>
      <c r="AQ122" s="327"/>
      <c r="AR122" s="350">
        <f>A122</f>
        <v>119</v>
      </c>
      <c r="AS122" s="353" t="str">
        <f>IF(V122="",_xlfn.CONCAT(IF(G122="",D122,G122)," (",Q122,"–",V122," : #",AR122,")"),_xlfn.CONCAT(IF(G122="",D122,G122)," (",Q122,"–",V122,": #",AR122,")"))</f>
        <v>Peter (1942– : #119)</v>
      </c>
      <c r="AT122" s="353" t="str">
        <f>IF(V122="",_xlfn.CONCAT(IF(G122="",D122,G122)," (",Q122,"– ",V122,")"),_xlfn.CONCAT(IF(G122="",D122,G122)," (",Q122,"–",V122,")"))</f>
        <v>Peter (1942– )</v>
      </c>
      <c r="AU122" s="352" t="str">
        <f t="shared" si="45"/>
        <v>Male</v>
      </c>
      <c r="AV122" s="355" t="s">
        <v>4397</v>
      </c>
      <c r="AW122" s="319" t="str">
        <f>VLOOKUP(AV122,'Mums of Loyd Edit&amp;Partner Edit'!$B$3:$C$66,2,FALSE)</f>
        <v>Isabel Mary Beatrix PARKER (b. 22 Feb 1903, d. 13 Jan 1992)</v>
      </c>
      <c r="AX122" s="360">
        <v>80</v>
      </c>
      <c r="AY122" s="355" t="str">
        <f t="shared" si="53"/>
        <v>Eric (1894–1963: #80)</v>
      </c>
      <c r="AZ122" s="361">
        <f>VLOOKUP(AX122,Lineage!$A$1:$C$200,2,FALSE)</f>
        <v>29</v>
      </c>
      <c r="BA122" s="362" t="str">
        <f t="shared" si="73"/>
        <v>Arthur (1845–1930: #29)</v>
      </c>
      <c r="BB122" s="368">
        <f>BiographyMarriageDetsCountries!A121</f>
        <v>119</v>
      </c>
      <c r="BC122" s="319"/>
      <c r="BD122" s="362"/>
      <c r="BF122" s="324"/>
      <c r="BG122" s="357">
        <f t="shared" si="63"/>
        <v>119</v>
      </c>
      <c r="BH122" s="289" t="str">
        <f t="shared" si="64"/>
        <v>Peter Robert LOYD</v>
      </c>
      <c r="BI122" s="289" t="str">
        <f t="shared" si="65"/>
        <v>Peter (1942– )</v>
      </c>
      <c r="BJ122" s="304" t="str">
        <f t="shared" si="66"/>
        <v>Male</v>
      </c>
      <c r="BK122" s="304">
        <f t="shared" si="67"/>
        <v>5</v>
      </c>
      <c r="BL122" s="289" t="str">
        <f t="shared" si="68"/>
        <v>Eric (1894–1963: #80)</v>
      </c>
      <c r="BM122" s="289" t="str">
        <f t="shared" si="69"/>
        <v>Isabel Mary Beatrix PARKER (b. 22 Feb 1903, d. 13 Jan 1992)</v>
      </c>
      <c r="BN122" s="367" t="str">
        <f t="shared" si="70"/>
        <v>08-Sep-1942</v>
      </c>
      <c r="BO122" s="367" t="str">
        <f t="shared" si="71"/>
        <v/>
      </c>
      <c r="BP122" s="365" t="str">
        <f t="shared" si="72"/>
        <v>Aged 79 on 01-Jul-2022.</v>
      </c>
    </row>
    <row r="123" spans="1:68" s="289" customFormat="1" ht="40">
      <c r="A123" s="302">
        <v>120</v>
      </c>
      <c r="B123" s="364">
        <v>6</v>
      </c>
      <c r="C123" s="288" t="s">
        <v>782</v>
      </c>
      <c r="D123" s="289" t="s">
        <v>903</v>
      </c>
      <c r="E123" s="289" t="s">
        <v>904</v>
      </c>
      <c r="H123" s="304" t="s">
        <v>3244</v>
      </c>
      <c r="I123" s="306">
        <v>1947</v>
      </c>
      <c r="J123" s="306">
        <v>2022</v>
      </c>
      <c r="K123" s="307" t="s">
        <v>4642</v>
      </c>
      <c r="L123" s="308">
        <v>17183</v>
      </c>
      <c r="M123" s="328" t="s">
        <v>4268</v>
      </c>
      <c r="N123" s="328"/>
      <c r="O123" s="348">
        <f t="shared" si="54"/>
        <v>16</v>
      </c>
      <c r="P123" s="345">
        <f t="shared" si="77"/>
        <v>1</v>
      </c>
      <c r="Q123" s="345">
        <f t="shared" si="78"/>
        <v>1947</v>
      </c>
      <c r="R123" s="344" t="str">
        <f t="shared" si="55"/>
        <v>Jan</v>
      </c>
      <c r="S123" s="344">
        <f t="shared" si="79"/>
        <v>10</v>
      </c>
      <c r="T123" s="344">
        <f t="shared" si="80"/>
        <v>13</v>
      </c>
      <c r="U123" s="344">
        <f t="shared" si="81"/>
        <v>6</v>
      </c>
      <c r="V123" s="344">
        <f t="shared" si="82"/>
        <v>2022</v>
      </c>
      <c r="W123" s="344" t="str">
        <f t="shared" si="56"/>
        <v>Jun</v>
      </c>
      <c r="X123" s="344"/>
      <c r="Y123" s="344"/>
      <c r="Z123" s="314" t="str">
        <f t="shared" si="74"/>
        <v>16-Jan-1947</v>
      </c>
      <c r="AA123" s="314" t="str">
        <f t="shared" si="57"/>
        <v>13-Jun-2022</v>
      </c>
      <c r="AB123" s="314">
        <f t="shared" si="58"/>
        <v>75</v>
      </c>
      <c r="AC123" s="314">
        <f t="shared" si="59"/>
        <v>74</v>
      </c>
      <c r="AD123" s="347" t="str">
        <f t="shared" si="60"/>
        <v>Died 13-Jun-2022, aged 75.</v>
      </c>
      <c r="AE123" s="305"/>
      <c r="AF123" s="303"/>
      <c r="AG123" s="303"/>
      <c r="AH123" s="303"/>
      <c r="AI123" s="327">
        <v>24960</v>
      </c>
      <c r="AJ123" s="328" t="s">
        <v>4739</v>
      </c>
      <c r="AK123" s="344" t="str">
        <f t="shared" si="61"/>
        <v>02</v>
      </c>
      <c r="AL123" s="344">
        <f t="shared" si="75"/>
        <v>5</v>
      </c>
      <c r="AM123" s="344">
        <f t="shared" si="76"/>
        <v>1968</v>
      </c>
      <c r="AN123" s="344" t="str">
        <f t="shared" si="62"/>
        <v>May</v>
      </c>
      <c r="AO123" s="344" t="str">
        <f t="shared" si="83"/>
        <v>02-May-1968</v>
      </c>
      <c r="AQ123" s="327"/>
      <c r="AR123" s="350">
        <f>A123</f>
        <v>120</v>
      </c>
      <c r="AS123" s="353" t="str">
        <f>IF(V123="",_xlfn.CONCAT(IF(G123="",D123,G123)," (",Q123,"–",V123," : #",AR123,")"),_xlfn.CONCAT(IF(G123="",D123,G123)," (",Q123,"–",V123,": #",AR123,")"))</f>
        <v>Caroline (1947–2022: #120)</v>
      </c>
      <c r="AT123" s="353" t="str">
        <f>IF(V123="",_xlfn.CONCAT(IF(G123="",D123,G123)," (",Q123,"– ",V123,")"),_xlfn.CONCAT(IF(G123="",D123,G123)," (",Q123,"–",V123,")"))</f>
        <v>Caroline (1947–2022)</v>
      </c>
      <c r="AU123" s="352" t="str">
        <f t="shared" si="45"/>
        <v>Female</v>
      </c>
      <c r="AV123" s="355" t="s">
        <v>4399</v>
      </c>
      <c r="AW123" s="319" t="str">
        <f>VLOOKUP(AV123,'Mums of Loyd Edit&amp;Partner Edit'!$B$3:$C$66,2,FALSE)</f>
        <v>June Cecilia KEPPEL (b. 19 Jun 1924, d. 7 May 2008)</v>
      </c>
      <c r="AX123" s="360">
        <v>96</v>
      </c>
      <c r="AY123" s="355" t="str">
        <f t="shared" si="53"/>
        <v>Edward (1921–1977: #96)</v>
      </c>
      <c r="AZ123" s="361">
        <f>VLOOKUP(AX123,Lineage!$A$1:$C$200,2,FALSE)</f>
        <v>66</v>
      </c>
      <c r="BA123" s="362" t="str">
        <f t="shared" si="73"/>
        <v>William (1889–1947: #66)</v>
      </c>
      <c r="BB123" s="368">
        <f>BiographyMarriageDetsCountries!A122</f>
        <v>120</v>
      </c>
      <c r="BC123" s="319"/>
      <c r="BD123" s="362"/>
      <c r="BF123" s="324"/>
      <c r="BG123" s="357">
        <f t="shared" si="63"/>
        <v>120</v>
      </c>
      <c r="BH123" s="289" t="str">
        <f t="shared" si="64"/>
        <v>Caroline Evelyn LOYD</v>
      </c>
      <c r="BI123" s="289" t="str">
        <f t="shared" si="65"/>
        <v>Caroline (1947–2022)</v>
      </c>
      <c r="BJ123" s="304" t="str">
        <f t="shared" si="66"/>
        <v>Female</v>
      </c>
      <c r="BK123" s="304">
        <f t="shared" si="67"/>
        <v>6</v>
      </c>
      <c r="BL123" s="289" t="str">
        <f t="shared" si="68"/>
        <v>Edward (1921–1977: #96)</v>
      </c>
      <c r="BM123" s="289" t="str">
        <f t="shared" si="69"/>
        <v>June Cecilia KEPPEL (b. 19 Jun 1924, d. 7 May 2008)</v>
      </c>
      <c r="BN123" s="367" t="str">
        <f t="shared" si="70"/>
        <v>16-Jan-1947</v>
      </c>
      <c r="BO123" s="367" t="str">
        <f t="shared" si="71"/>
        <v>13-Jun-2022</v>
      </c>
      <c r="BP123" s="365" t="str">
        <f t="shared" si="72"/>
        <v>Died 13-Jun-2022, aged 75.</v>
      </c>
    </row>
    <row r="124" spans="1:68" s="289" customFormat="1" ht="20">
      <c r="A124" s="302">
        <v>121</v>
      </c>
      <c r="B124" s="364">
        <v>6</v>
      </c>
      <c r="C124" s="288" t="s">
        <v>782</v>
      </c>
      <c r="D124" s="289" t="s">
        <v>905</v>
      </c>
      <c r="E124" s="289" t="s">
        <v>830</v>
      </c>
      <c r="F124" s="289" t="s">
        <v>906</v>
      </c>
      <c r="H124" s="304" t="s">
        <v>3245</v>
      </c>
      <c r="I124" s="306">
        <v>1949</v>
      </c>
      <c r="J124" s="306" t="s">
        <v>3228</v>
      </c>
      <c r="K124" s="307" t="s">
        <v>4684</v>
      </c>
      <c r="L124" s="308">
        <v>17902</v>
      </c>
      <c r="M124" s="309"/>
      <c r="N124" s="309"/>
      <c r="O124" s="348">
        <f t="shared" si="54"/>
        <v>4</v>
      </c>
      <c r="P124" s="345">
        <f t="shared" si="77"/>
        <v>1</v>
      </c>
      <c r="Q124" s="345">
        <f t="shared" si="78"/>
        <v>1949</v>
      </c>
      <c r="R124" s="344" t="str">
        <f t="shared" si="55"/>
        <v>Jan</v>
      </c>
      <c r="S124" s="344">
        <f t="shared" si="79"/>
        <v>0</v>
      </c>
      <c r="T124" s="344" t="str">
        <f t="shared" si="80"/>
        <v/>
      </c>
      <c r="U124" s="344" t="str">
        <f t="shared" si="81"/>
        <v/>
      </c>
      <c r="V124" s="344" t="str">
        <f t="shared" si="82"/>
        <v/>
      </c>
      <c r="W124" s="344" t="e">
        <f t="shared" si="56"/>
        <v>#N/A</v>
      </c>
      <c r="X124" s="344"/>
      <c r="Y124" s="344"/>
      <c r="Z124" s="314" t="str">
        <f t="shared" si="74"/>
        <v>04-Jan-1949</v>
      </c>
      <c r="AA124" s="314" t="str">
        <f t="shared" si="57"/>
        <v/>
      </c>
      <c r="AB124" s="314" t="e">
        <f t="shared" si="58"/>
        <v>#VALUE!</v>
      </c>
      <c r="AC124" s="314">
        <f t="shared" si="59"/>
        <v>73</v>
      </c>
      <c r="AD124" s="347" t="str">
        <f t="shared" si="60"/>
        <v>Aged 73 on 01-Jul-2022.</v>
      </c>
      <c r="AE124" s="305"/>
      <c r="AF124" s="303"/>
      <c r="AG124" s="303"/>
      <c r="AH124" s="303"/>
      <c r="AI124" s="327">
        <v>31353</v>
      </c>
      <c r="AJ124" s="328" t="s">
        <v>4740</v>
      </c>
      <c r="AK124" s="344" t="str">
        <f t="shared" si="61"/>
        <v>02</v>
      </c>
      <c r="AL124" s="344">
        <f t="shared" si="75"/>
        <v>11</v>
      </c>
      <c r="AM124" s="344">
        <f t="shared" si="76"/>
        <v>1985</v>
      </c>
      <c r="AN124" s="344" t="str">
        <f t="shared" si="62"/>
        <v>Nov</v>
      </c>
      <c r="AO124" s="344" t="str">
        <f t="shared" si="83"/>
        <v>02-Nov-1985</v>
      </c>
      <c r="AQ124" s="327"/>
      <c r="AR124" s="350">
        <f>A124</f>
        <v>121</v>
      </c>
      <c r="AS124" s="353" t="str">
        <f>IF(V124="",_xlfn.CONCAT(IF(G124="",D124,G124)," (",Q124,"–",V124," : #",AR124,")"),_xlfn.CONCAT(IF(G124="",D124,G124)," (",Q124,"–",V124,": #",AR124,")"))</f>
        <v>David (1949– : #121)</v>
      </c>
      <c r="AT124" s="353" t="str">
        <f>IF(V124="",_xlfn.CONCAT(IF(G124="",D124,G124)," (",Q124,"– ",V124,")"),_xlfn.CONCAT(IF(G124="",D124,G124)," (",Q124,"–",V124,")"))</f>
        <v>David (1949– )</v>
      </c>
      <c r="AU124" s="352" t="str">
        <f t="shared" si="45"/>
        <v>Male</v>
      </c>
      <c r="AV124" s="355" t="s">
        <v>4399</v>
      </c>
      <c r="AW124" s="319" t="str">
        <f>VLOOKUP(AV124,'Mums of Loyd Edit&amp;Partner Edit'!$B$3:$C$66,2,FALSE)</f>
        <v>June Cecilia KEPPEL (b. 19 Jun 1924, d. 7 May 2008)</v>
      </c>
      <c r="AX124" s="360">
        <v>96</v>
      </c>
      <c r="AY124" s="355" t="str">
        <f t="shared" si="53"/>
        <v>Edward (1921–1977: #96)</v>
      </c>
      <c r="AZ124" s="361">
        <f>VLOOKUP(AX124,Lineage!$A$1:$C$200,2,FALSE)</f>
        <v>66</v>
      </c>
      <c r="BA124" s="362" t="str">
        <f t="shared" si="73"/>
        <v>William (1889–1947: #66)</v>
      </c>
      <c r="BB124" s="368">
        <f>BiographyMarriageDetsCountries!A123</f>
        <v>121</v>
      </c>
      <c r="BC124" s="319"/>
      <c r="BD124" s="362"/>
      <c r="BF124" s="324"/>
      <c r="BG124" s="357">
        <f t="shared" si="63"/>
        <v>121</v>
      </c>
      <c r="BH124" s="289" t="str">
        <f t="shared" si="64"/>
        <v>David William Arnold LOYD</v>
      </c>
      <c r="BI124" s="289" t="str">
        <f t="shared" si="65"/>
        <v>David (1949– )</v>
      </c>
      <c r="BJ124" s="304" t="str">
        <f t="shared" si="66"/>
        <v>Male</v>
      </c>
      <c r="BK124" s="304">
        <f t="shared" si="67"/>
        <v>6</v>
      </c>
      <c r="BL124" s="289" t="str">
        <f t="shared" si="68"/>
        <v>Edward (1921–1977: #96)</v>
      </c>
      <c r="BM124" s="289" t="str">
        <f t="shared" si="69"/>
        <v>June Cecilia KEPPEL (b. 19 Jun 1924, d. 7 May 2008)</v>
      </c>
      <c r="BN124" s="367" t="str">
        <f t="shared" si="70"/>
        <v>04-Jan-1949</v>
      </c>
      <c r="BO124" s="367" t="str">
        <f t="shared" si="71"/>
        <v/>
      </c>
      <c r="BP124" s="365" t="str">
        <f t="shared" si="72"/>
        <v>Aged 73 on 01-Jul-2022.</v>
      </c>
    </row>
    <row r="125" spans="1:68" s="289" customFormat="1" ht="20">
      <c r="A125" s="302">
        <v>122</v>
      </c>
      <c r="B125" s="364">
        <v>6</v>
      </c>
      <c r="C125" s="288" t="s">
        <v>782</v>
      </c>
      <c r="D125" s="289" t="s">
        <v>851</v>
      </c>
      <c r="E125" s="289" t="s">
        <v>885</v>
      </c>
      <c r="F125" s="289" t="s">
        <v>822</v>
      </c>
      <c r="H125" s="304" t="s">
        <v>3245</v>
      </c>
      <c r="I125" s="306">
        <v>1949</v>
      </c>
      <c r="J125" s="306" t="s">
        <v>3228</v>
      </c>
      <c r="K125" s="307" t="s">
        <v>4643</v>
      </c>
      <c r="L125" s="308">
        <v>17947</v>
      </c>
      <c r="M125" s="309"/>
      <c r="N125" s="309"/>
      <c r="O125" s="348">
        <f t="shared" si="54"/>
        <v>18</v>
      </c>
      <c r="P125" s="345">
        <f t="shared" si="77"/>
        <v>2</v>
      </c>
      <c r="Q125" s="345">
        <f t="shared" si="78"/>
        <v>1949</v>
      </c>
      <c r="R125" s="344" t="str">
        <f t="shared" si="55"/>
        <v>Feb</v>
      </c>
      <c r="S125" s="344">
        <f t="shared" si="79"/>
        <v>0</v>
      </c>
      <c r="T125" s="344" t="str">
        <f t="shared" si="80"/>
        <v/>
      </c>
      <c r="U125" s="344" t="str">
        <f t="shared" si="81"/>
        <v/>
      </c>
      <c r="V125" s="344" t="str">
        <f t="shared" si="82"/>
        <v/>
      </c>
      <c r="W125" s="344" t="e">
        <f t="shared" si="56"/>
        <v>#N/A</v>
      </c>
      <c r="X125" s="344"/>
      <c r="Y125" s="344"/>
      <c r="Z125" s="314" t="str">
        <f t="shared" si="74"/>
        <v>18-Feb-1949</v>
      </c>
      <c r="AA125" s="314" t="str">
        <f t="shared" si="57"/>
        <v/>
      </c>
      <c r="AB125" s="314" t="e">
        <f t="shared" si="58"/>
        <v>#VALUE!</v>
      </c>
      <c r="AC125" s="314">
        <f t="shared" si="59"/>
        <v>73</v>
      </c>
      <c r="AD125" s="347" t="str">
        <f t="shared" si="60"/>
        <v>Aged 73 on 01-Jul-2022.</v>
      </c>
      <c r="AE125" s="305"/>
      <c r="AF125" s="303"/>
      <c r="AG125" s="303"/>
      <c r="AH125" s="303"/>
      <c r="AI125" s="327">
        <v>27382</v>
      </c>
      <c r="AJ125" s="328" t="s">
        <v>4741</v>
      </c>
      <c r="AK125" s="344" t="str">
        <f t="shared" si="61"/>
        <v>19</v>
      </c>
      <c r="AL125" s="344">
        <f t="shared" si="75"/>
        <v>12</v>
      </c>
      <c r="AM125" s="344">
        <f t="shared" si="76"/>
        <v>1974</v>
      </c>
      <c r="AN125" s="344" t="str">
        <f t="shared" si="62"/>
        <v>Dec</v>
      </c>
      <c r="AO125" s="344" t="str">
        <f t="shared" si="83"/>
        <v>19-Dec-1974</v>
      </c>
      <c r="AQ125" s="327"/>
      <c r="AR125" s="350">
        <f>A125</f>
        <v>122</v>
      </c>
      <c r="AS125" s="353" t="str">
        <f>IF(V125="",_xlfn.CONCAT(IF(G125="",D125,G125)," (",Q125,"–",V125," : #",AR125,")"),_xlfn.CONCAT(IF(G125="",D125,G125)," (",Q125,"–",V125,": #",AR125,")"))</f>
        <v>Martin (1949– : #122)</v>
      </c>
      <c r="AT125" s="353" t="str">
        <f>IF(V125="",_xlfn.CONCAT(IF(G125="",D125,G125)," (",Q125,"– ",V125,")"),_xlfn.CONCAT(IF(G125="",D125,G125)," (",Q125,"–",V125,")"))</f>
        <v>Martin (1949– )</v>
      </c>
      <c r="AU125" s="352" t="str">
        <f t="shared" si="45"/>
        <v>Male</v>
      </c>
      <c r="AV125" s="355" t="s">
        <v>4400</v>
      </c>
      <c r="AW125" s="319" t="str">
        <f>VLOOKUP(AV125,'Mums of Loyd Edit&amp;Partner Edit'!$B$3:$C$66,2,FALSE)</f>
        <v>Patricia Mary MACLEAN (b. 11 Feb 1929, )</v>
      </c>
      <c r="AX125" s="360">
        <v>105</v>
      </c>
      <c r="AY125" s="355" t="str">
        <f t="shared" si="53"/>
        <v>Geoffrey (1926–2018: #105)</v>
      </c>
      <c r="AZ125" s="361">
        <f>VLOOKUP(AX125,Lineage!$A$1:$C$200,2,FALSE)</f>
        <v>77</v>
      </c>
      <c r="BA125" s="362" t="str">
        <f t="shared" si="73"/>
        <v>Wilfrid (1893–1971: #77)</v>
      </c>
      <c r="BB125" s="368">
        <f>BiographyMarriageDetsCountries!A124</f>
        <v>122</v>
      </c>
      <c r="BC125" s="319"/>
      <c r="BD125" s="362"/>
      <c r="BF125" s="324"/>
      <c r="BG125" s="357">
        <f t="shared" si="63"/>
        <v>122</v>
      </c>
      <c r="BH125" s="289" t="str">
        <f t="shared" si="64"/>
        <v>Martin Andrew Haig LOYD</v>
      </c>
      <c r="BI125" s="289" t="str">
        <f t="shared" si="65"/>
        <v>Martin (1949– )</v>
      </c>
      <c r="BJ125" s="304" t="str">
        <f t="shared" si="66"/>
        <v>Male</v>
      </c>
      <c r="BK125" s="304">
        <f t="shared" si="67"/>
        <v>6</v>
      </c>
      <c r="BL125" s="289" t="str">
        <f t="shared" si="68"/>
        <v>Geoffrey (1926–2018: #105)</v>
      </c>
      <c r="BM125" s="289" t="str">
        <f t="shared" si="69"/>
        <v>Patricia Mary MACLEAN (b. 11 Feb 1929, )</v>
      </c>
      <c r="BN125" s="367" t="str">
        <f t="shared" si="70"/>
        <v>18-Feb-1949</v>
      </c>
      <c r="BO125" s="367" t="str">
        <f t="shared" si="71"/>
        <v/>
      </c>
      <c r="BP125" s="365" t="str">
        <f t="shared" si="72"/>
        <v>Aged 73 on 01-Jul-2022.</v>
      </c>
    </row>
    <row r="126" spans="1:68" s="289" customFormat="1" ht="40">
      <c r="A126" s="302">
        <v>123</v>
      </c>
      <c r="B126" s="364">
        <v>6</v>
      </c>
      <c r="C126" s="288" t="s">
        <v>782</v>
      </c>
      <c r="D126" s="289" t="s">
        <v>862</v>
      </c>
      <c r="E126" s="289" t="s">
        <v>907</v>
      </c>
      <c r="H126" s="304" t="s">
        <v>3244</v>
      </c>
      <c r="I126" s="306">
        <v>1949</v>
      </c>
      <c r="J126" s="306" t="s">
        <v>3228</v>
      </c>
      <c r="K126" s="307" t="s">
        <v>4644</v>
      </c>
      <c r="L126" s="308">
        <v>18019</v>
      </c>
      <c r="M126" s="309"/>
      <c r="N126" s="309"/>
      <c r="O126" s="348">
        <f t="shared" si="54"/>
        <v>1</v>
      </c>
      <c r="P126" s="345">
        <f t="shared" si="77"/>
        <v>5</v>
      </c>
      <c r="Q126" s="345">
        <f t="shared" si="78"/>
        <v>1949</v>
      </c>
      <c r="R126" s="344" t="str">
        <f t="shared" si="55"/>
        <v>May</v>
      </c>
      <c r="S126" s="344">
        <f t="shared" si="79"/>
        <v>0</v>
      </c>
      <c r="T126" s="344" t="str">
        <f t="shared" si="80"/>
        <v/>
      </c>
      <c r="U126" s="344" t="str">
        <f t="shared" si="81"/>
        <v/>
      </c>
      <c r="V126" s="344" t="str">
        <f t="shared" si="82"/>
        <v/>
      </c>
      <c r="W126" s="344" t="e">
        <f t="shared" si="56"/>
        <v>#N/A</v>
      </c>
      <c r="X126" s="344"/>
      <c r="Y126" s="344"/>
      <c r="Z126" s="314" t="str">
        <f t="shared" si="74"/>
        <v>01-May-1949</v>
      </c>
      <c r="AA126" s="314" t="str">
        <f t="shared" si="57"/>
        <v/>
      </c>
      <c r="AB126" s="314" t="e">
        <f t="shared" si="58"/>
        <v>#VALUE!</v>
      </c>
      <c r="AC126" s="314">
        <f t="shared" si="59"/>
        <v>73</v>
      </c>
      <c r="AD126" s="347" t="str">
        <f t="shared" si="60"/>
        <v>Aged 73 on 01-Jul-2022.</v>
      </c>
      <c r="AE126" s="305"/>
      <c r="AF126" s="303"/>
      <c r="AG126" s="303"/>
      <c r="AH126" s="303"/>
      <c r="AI126" s="327">
        <v>26992</v>
      </c>
      <c r="AJ126" s="328" t="s">
        <v>4742</v>
      </c>
      <c r="AK126" s="344" t="str">
        <f t="shared" si="61"/>
        <v>24</v>
      </c>
      <c r="AL126" s="344">
        <f t="shared" si="75"/>
        <v>11</v>
      </c>
      <c r="AM126" s="344">
        <f t="shared" si="76"/>
        <v>1973</v>
      </c>
      <c r="AN126" s="344" t="str">
        <f t="shared" si="62"/>
        <v>Nov</v>
      </c>
      <c r="AO126" s="344" t="str">
        <f t="shared" si="83"/>
        <v>24-Nov-1973</v>
      </c>
      <c r="AQ126" s="327"/>
      <c r="AR126" s="350">
        <f>A126</f>
        <v>123</v>
      </c>
      <c r="AS126" s="353" t="str">
        <f>IF(V126="",_xlfn.CONCAT(IF(G126="",D126,G126)," (",Q126,"–",V126," : #",AR126,")"),_xlfn.CONCAT(IF(G126="",D126,G126)," (",Q126,"–",V126,": #",AR126,")"))</f>
        <v>Janet (1949– : #123)</v>
      </c>
      <c r="AT126" s="353" t="str">
        <f>IF(V126="",_xlfn.CONCAT(IF(G126="",D126,G126)," (",Q126,"– ",V126,")"),_xlfn.CONCAT(IF(G126="",D126,G126)," (",Q126,"–",V126,")"))</f>
        <v>Janet (1949– )</v>
      </c>
      <c r="AU126" s="352" t="str">
        <f t="shared" si="45"/>
        <v>Female</v>
      </c>
      <c r="AV126" s="355" t="s">
        <v>4401</v>
      </c>
      <c r="AW126" s="319" t="str">
        <f>VLOOKUP(AV126,'Mums of Loyd Edit&amp;Partner Edit'!$B$3:$C$66,2,FALSE)</f>
        <v>Katharine Layzell (b. 13 Mar 1924, d. 26 Oct 1981)</v>
      </c>
      <c r="AX126" s="360">
        <v>89</v>
      </c>
      <c r="AY126" s="355" t="str">
        <f t="shared" si="53"/>
        <v>Sir Francis/Frank (1916–2006: #89)</v>
      </c>
      <c r="AZ126" s="361">
        <f>VLOOKUP(AX126,Lineage!$A$1:$C$200,2,FALSE)</f>
        <v>54</v>
      </c>
      <c r="BA126" s="362" t="str">
        <f t="shared" si="73"/>
        <v>Alfred (1882–1919: #54)</v>
      </c>
      <c r="BB126" s="368">
        <f>BiographyMarriageDetsCountries!A125</f>
        <v>123</v>
      </c>
      <c r="BC126" s="319"/>
      <c r="BD126" s="362"/>
      <c r="BF126" s="324"/>
      <c r="BG126" s="357">
        <f t="shared" si="63"/>
        <v>123</v>
      </c>
      <c r="BH126" s="289" t="str">
        <f t="shared" si="64"/>
        <v>Janet Katharine LOYD</v>
      </c>
      <c r="BI126" s="289" t="str">
        <f t="shared" si="65"/>
        <v>Janet (1949– )</v>
      </c>
      <c r="BJ126" s="304" t="str">
        <f t="shared" si="66"/>
        <v>Female</v>
      </c>
      <c r="BK126" s="304">
        <f t="shared" si="67"/>
        <v>6</v>
      </c>
      <c r="BL126" s="289" t="str">
        <f t="shared" si="68"/>
        <v>Sir Francis/Frank (1916–2006: #89)</v>
      </c>
      <c r="BM126" s="289" t="str">
        <f t="shared" si="69"/>
        <v>Katharine Layzell (b. 13 Mar 1924, d. 26 Oct 1981)</v>
      </c>
      <c r="BN126" s="367" t="str">
        <f t="shared" si="70"/>
        <v>01-May-1949</v>
      </c>
      <c r="BO126" s="367" t="str">
        <f t="shared" si="71"/>
        <v/>
      </c>
      <c r="BP126" s="365" t="str">
        <f t="shared" si="72"/>
        <v>Aged 73 on 01-Jul-2022.</v>
      </c>
    </row>
    <row r="127" spans="1:68" s="289" customFormat="1" ht="20">
      <c r="A127" s="302">
        <v>124</v>
      </c>
      <c r="B127" s="364">
        <v>6</v>
      </c>
      <c r="C127" s="288" t="s">
        <v>782</v>
      </c>
      <c r="D127" s="289" t="s">
        <v>827</v>
      </c>
      <c r="E127" s="289" t="s">
        <v>811</v>
      </c>
      <c r="F127" s="289" t="s">
        <v>902</v>
      </c>
      <c r="G127" s="289" t="s">
        <v>1188</v>
      </c>
      <c r="H127" s="304" t="s">
        <v>3245</v>
      </c>
      <c r="I127" s="306">
        <v>1949</v>
      </c>
      <c r="J127" s="306" t="s">
        <v>3228</v>
      </c>
      <c r="K127" s="307" t="s">
        <v>4645</v>
      </c>
      <c r="L127" s="308">
        <v>18084</v>
      </c>
      <c r="M127" s="309"/>
      <c r="N127" s="309"/>
      <c r="O127" s="348">
        <f t="shared" si="54"/>
        <v>5</v>
      </c>
      <c r="P127" s="345">
        <f t="shared" si="77"/>
        <v>7</v>
      </c>
      <c r="Q127" s="345">
        <f t="shared" si="78"/>
        <v>1949</v>
      </c>
      <c r="R127" s="344" t="str">
        <f t="shared" si="55"/>
        <v>Jul</v>
      </c>
      <c r="S127" s="344">
        <f t="shared" si="79"/>
        <v>0</v>
      </c>
      <c r="T127" s="344" t="str">
        <f t="shared" si="80"/>
        <v/>
      </c>
      <c r="U127" s="344" t="str">
        <f t="shared" si="81"/>
        <v/>
      </c>
      <c r="V127" s="344" t="str">
        <f t="shared" si="82"/>
        <v/>
      </c>
      <c r="W127" s="344" t="e">
        <f t="shared" si="56"/>
        <v>#N/A</v>
      </c>
      <c r="X127" s="344"/>
      <c r="Y127" s="344"/>
      <c r="Z127" s="314" t="str">
        <f t="shared" si="74"/>
        <v>05-Jul-1949</v>
      </c>
      <c r="AA127" s="314" t="str">
        <f t="shared" si="57"/>
        <v/>
      </c>
      <c r="AB127" s="314" t="e">
        <f t="shared" si="58"/>
        <v>#VALUE!</v>
      </c>
      <c r="AC127" s="314">
        <f t="shared" si="59"/>
        <v>72</v>
      </c>
      <c r="AD127" s="347" t="str">
        <f t="shared" si="60"/>
        <v>Aged 72 on 01-Jul-2022.</v>
      </c>
      <c r="AE127" s="305"/>
      <c r="AF127" s="303"/>
      <c r="AG127" s="303"/>
      <c r="AH127" s="303"/>
      <c r="AI127" s="327">
        <v>28579</v>
      </c>
      <c r="AJ127" s="328" t="s">
        <v>4743</v>
      </c>
      <c r="AK127" s="344" t="str">
        <f t="shared" si="61"/>
        <v>30</v>
      </c>
      <c r="AL127" s="344">
        <f t="shared" si="75"/>
        <v>3</v>
      </c>
      <c r="AM127" s="344">
        <f t="shared" si="76"/>
        <v>1978</v>
      </c>
      <c r="AN127" s="344" t="str">
        <f t="shared" si="62"/>
        <v>Mar</v>
      </c>
      <c r="AO127" s="344" t="str">
        <f t="shared" si="83"/>
        <v>30-Mar-1978</v>
      </c>
      <c r="AQ127" s="327"/>
      <c r="AR127" s="350">
        <f>A127</f>
        <v>124</v>
      </c>
      <c r="AS127" s="353" t="str">
        <f>IF(V127="",_xlfn.CONCAT(IF(G127="",D127,G127)," (",Q127,"–",V127," : #",AR127,")"),_xlfn.CONCAT(IF(G127="",D127,G127)," (",Q127,"–",V127,": #",AR127,")"))</f>
        <v>Rob (1949– : #124)</v>
      </c>
      <c r="AT127" s="353" t="str">
        <f>IF(V127="",_xlfn.CONCAT(IF(G127="",D127,G127)," (",Q127,"– ",V127,")"),_xlfn.CONCAT(IF(G127="",D127,G127)," (",Q127,"–",V127,")"))</f>
        <v>Rob (1949– )</v>
      </c>
      <c r="AU127" s="352" t="str">
        <f t="shared" si="45"/>
        <v>Male</v>
      </c>
      <c r="AV127" s="355" t="s">
        <v>4402</v>
      </c>
      <c r="AW127" s="319" t="str">
        <f>VLOOKUP(AV127,'Mums of Loyd Edit&amp;Partner Edit'!$B$3:$C$66,2,FALSE)</f>
        <v>Alison Fraser PORTER (b. 21 Feb 1920, d. 6 Sep 2003)</v>
      </c>
      <c r="AX127" s="360">
        <v>94</v>
      </c>
      <c r="AY127" s="355" t="str">
        <f t="shared" si="53"/>
        <v>Alwyne (1920–2014: #94)</v>
      </c>
      <c r="AZ127" s="361">
        <f>VLOOKUP(AX127,Lineage!$A$1:$C$200,2,FALSE)</f>
        <v>68</v>
      </c>
      <c r="BA127" s="362" t="str">
        <f t="shared" si="73"/>
        <v>Cecil (1890–1963: #68)</v>
      </c>
      <c r="BB127" s="368">
        <f>BiographyMarriageDetsCountries!A126</f>
        <v>124</v>
      </c>
      <c r="BC127" s="319"/>
      <c r="BD127" s="362"/>
      <c r="BF127" s="324"/>
      <c r="BG127" s="357">
        <f t="shared" si="63"/>
        <v>124</v>
      </c>
      <c r="BH127" s="289" t="str">
        <f t="shared" si="64"/>
        <v>Alwyne Edward Robert LOYD</v>
      </c>
      <c r="BI127" s="289" t="str">
        <f t="shared" si="65"/>
        <v>Rob (1949– )</v>
      </c>
      <c r="BJ127" s="304" t="str">
        <f t="shared" si="66"/>
        <v>Male</v>
      </c>
      <c r="BK127" s="304">
        <f t="shared" si="67"/>
        <v>6</v>
      </c>
      <c r="BL127" s="289" t="str">
        <f t="shared" si="68"/>
        <v>Alwyne (1920–2014: #94)</v>
      </c>
      <c r="BM127" s="289" t="str">
        <f t="shared" si="69"/>
        <v>Alison Fraser PORTER (b. 21 Feb 1920, d. 6 Sep 2003)</v>
      </c>
      <c r="BN127" s="367" t="str">
        <f t="shared" si="70"/>
        <v>05-Jul-1949</v>
      </c>
      <c r="BO127" s="367" t="str">
        <f t="shared" si="71"/>
        <v/>
      </c>
      <c r="BP127" s="365" t="str">
        <f t="shared" si="72"/>
        <v>Aged 72 on 01-Jul-2022.</v>
      </c>
    </row>
    <row r="128" spans="1:68" s="289" customFormat="1" ht="20">
      <c r="A128" s="302">
        <v>125</v>
      </c>
      <c r="B128" s="364">
        <v>6</v>
      </c>
      <c r="C128" s="288" t="s">
        <v>782</v>
      </c>
      <c r="D128" s="289" t="s">
        <v>908</v>
      </c>
      <c r="E128" s="289" t="s">
        <v>870</v>
      </c>
      <c r="H128" s="304" t="s">
        <v>3244</v>
      </c>
      <c r="I128" s="306">
        <v>1951</v>
      </c>
      <c r="J128" s="306" t="s">
        <v>3228</v>
      </c>
      <c r="K128" s="307" t="s">
        <v>4646</v>
      </c>
      <c r="L128" s="308">
        <v>18683</v>
      </c>
      <c r="M128" s="309"/>
      <c r="N128" s="309"/>
      <c r="O128" s="348">
        <f t="shared" si="54"/>
        <v>24</v>
      </c>
      <c r="P128" s="345">
        <f t="shared" si="77"/>
        <v>2</v>
      </c>
      <c r="Q128" s="345">
        <f t="shared" si="78"/>
        <v>1951</v>
      </c>
      <c r="R128" s="344" t="str">
        <f t="shared" si="55"/>
        <v>Feb</v>
      </c>
      <c r="S128" s="344">
        <f t="shared" si="79"/>
        <v>0</v>
      </c>
      <c r="T128" s="344" t="str">
        <f t="shared" si="80"/>
        <v/>
      </c>
      <c r="U128" s="344" t="str">
        <f t="shared" si="81"/>
        <v/>
      </c>
      <c r="V128" s="344" t="str">
        <f t="shared" si="82"/>
        <v/>
      </c>
      <c r="W128" s="344" t="e">
        <f t="shared" si="56"/>
        <v>#N/A</v>
      </c>
      <c r="X128" s="344"/>
      <c r="Y128" s="344"/>
      <c r="Z128" s="314" t="str">
        <f t="shared" si="74"/>
        <v>24-Feb-1951</v>
      </c>
      <c r="AA128" s="314" t="str">
        <f t="shared" si="57"/>
        <v/>
      </c>
      <c r="AB128" s="314" t="e">
        <f t="shared" si="58"/>
        <v>#VALUE!</v>
      </c>
      <c r="AC128" s="314">
        <f t="shared" si="59"/>
        <v>71</v>
      </c>
      <c r="AD128" s="347" t="str">
        <f t="shared" si="60"/>
        <v>Aged 71 on 01-Jul-2022.</v>
      </c>
      <c r="AE128" s="305"/>
      <c r="AF128" s="303"/>
      <c r="AG128" s="303"/>
      <c r="AH128" s="303"/>
      <c r="AI128" s="327">
        <v>26173</v>
      </c>
      <c r="AJ128" s="328" t="s">
        <v>4744</v>
      </c>
      <c r="AK128" s="344" t="str">
        <f t="shared" si="61"/>
        <v>28</v>
      </c>
      <c r="AL128" s="344">
        <f t="shared" si="75"/>
        <v>8</v>
      </c>
      <c r="AM128" s="344">
        <f t="shared" si="76"/>
        <v>1971</v>
      </c>
      <c r="AN128" s="344" t="str">
        <f t="shared" si="62"/>
        <v>Aug</v>
      </c>
      <c r="AO128" s="344" t="str">
        <f t="shared" si="83"/>
        <v>28-Aug-1971</v>
      </c>
      <c r="AQ128" s="327"/>
      <c r="AR128" s="350">
        <f>A128</f>
        <v>125</v>
      </c>
      <c r="AS128" s="353" t="str">
        <f>IF(V128="",_xlfn.CONCAT(IF(G128="",D128,G128)," (",Q128,"–",V128," : #",AR128,")"),_xlfn.CONCAT(IF(G128="",D128,G128)," (",Q128,"–",V128,": #",AR128,")"))</f>
        <v>Rona (1951– : #125)</v>
      </c>
      <c r="AT128" s="353" t="str">
        <f>IF(V128="",_xlfn.CONCAT(IF(G128="",D128,G128)," (",Q128,"– ",V128,")"),_xlfn.CONCAT(IF(G128="",D128,G128)," (",Q128,"–",V128,")"))</f>
        <v>Rona (1951– )</v>
      </c>
      <c r="AU128" s="352" t="str">
        <f t="shared" si="45"/>
        <v>Female</v>
      </c>
      <c r="AV128" s="355" t="s">
        <v>4403</v>
      </c>
      <c r="AW128" s="319" t="str">
        <f>VLOOKUP(AV128,'Mums of Loyd Edit&amp;Partner Edit'!$B$3:$C$66,2,FALSE)</f>
        <v xml:space="preserve">Anne SMITHELLS (b. 12 Mar 1921, d. 3 Aug 2010) </v>
      </c>
      <c r="AX128" s="360">
        <v>86</v>
      </c>
      <c r="AY128" s="355" t="str">
        <f t="shared" si="53"/>
        <v>Peter (1913–2008: #86)</v>
      </c>
      <c r="AZ128" s="361">
        <f>VLOOKUP(AX128,Lineage!$A$1:$C$200,2,FALSE)</f>
        <v>71</v>
      </c>
      <c r="BA128" s="362" t="str">
        <f t="shared" si="73"/>
        <v>Arthur (1890–1974: #71)</v>
      </c>
      <c r="BB128" s="368">
        <f>BiographyMarriageDetsCountries!A127</f>
        <v>125</v>
      </c>
      <c r="BC128" s="319"/>
      <c r="BD128" s="362"/>
      <c r="BF128" s="324"/>
      <c r="BG128" s="357">
        <f t="shared" si="63"/>
        <v>125</v>
      </c>
      <c r="BH128" s="289" t="str">
        <f t="shared" si="64"/>
        <v>Rona Mary LOYD</v>
      </c>
      <c r="BI128" s="289" t="str">
        <f t="shared" si="65"/>
        <v>Rona (1951– )</v>
      </c>
      <c r="BJ128" s="304" t="str">
        <f t="shared" si="66"/>
        <v>Female</v>
      </c>
      <c r="BK128" s="304">
        <f t="shared" si="67"/>
        <v>6</v>
      </c>
      <c r="BL128" s="289" t="str">
        <f t="shared" si="68"/>
        <v>Peter (1913–2008: #86)</v>
      </c>
      <c r="BM128" s="289" t="str">
        <f t="shared" si="69"/>
        <v xml:space="preserve">Anne SMITHELLS (b. 12 Mar 1921, d. 3 Aug 2010) </v>
      </c>
      <c r="BN128" s="367" t="str">
        <f t="shared" si="70"/>
        <v>24-Feb-1951</v>
      </c>
      <c r="BO128" s="367" t="str">
        <f t="shared" si="71"/>
        <v/>
      </c>
      <c r="BP128" s="365" t="str">
        <f t="shared" si="72"/>
        <v>Aged 71 on 01-Jul-2022.</v>
      </c>
    </row>
    <row r="129" spans="1:68" s="289" customFormat="1" ht="20">
      <c r="A129" s="302">
        <v>126</v>
      </c>
      <c r="B129" s="364">
        <v>6</v>
      </c>
      <c r="C129" s="288" t="s">
        <v>782</v>
      </c>
      <c r="D129" s="289" t="s">
        <v>896</v>
      </c>
      <c r="E129" s="289" t="s">
        <v>830</v>
      </c>
      <c r="F129" s="289" t="s">
        <v>2953</v>
      </c>
      <c r="G129" s="289" t="s">
        <v>1189</v>
      </c>
      <c r="H129" s="304" t="s">
        <v>3245</v>
      </c>
      <c r="I129" s="306">
        <v>1951</v>
      </c>
      <c r="J129" s="306" t="s">
        <v>3228</v>
      </c>
      <c r="K129" s="307" t="s">
        <v>4647</v>
      </c>
      <c r="L129" s="308">
        <v>18784</v>
      </c>
      <c r="M129" s="309"/>
      <c r="N129" s="309"/>
      <c r="O129" s="348">
        <f t="shared" si="54"/>
        <v>5</v>
      </c>
      <c r="P129" s="345">
        <f t="shared" si="77"/>
        <v>6</v>
      </c>
      <c r="Q129" s="345">
        <f t="shared" si="78"/>
        <v>1951</v>
      </c>
      <c r="R129" s="344" t="str">
        <f t="shared" si="55"/>
        <v>Jun</v>
      </c>
      <c r="S129" s="344">
        <f t="shared" si="79"/>
        <v>0</v>
      </c>
      <c r="T129" s="344" t="str">
        <f t="shared" si="80"/>
        <v/>
      </c>
      <c r="U129" s="344" t="str">
        <f t="shared" si="81"/>
        <v/>
      </c>
      <c r="V129" s="344" t="str">
        <f t="shared" si="82"/>
        <v/>
      </c>
      <c r="W129" s="344" t="e">
        <f t="shared" si="56"/>
        <v>#N/A</v>
      </c>
      <c r="X129" s="344"/>
      <c r="Y129" s="344"/>
      <c r="Z129" s="314" t="str">
        <f t="shared" si="74"/>
        <v>05-Jun-1951</v>
      </c>
      <c r="AA129" s="314" t="str">
        <f t="shared" si="57"/>
        <v/>
      </c>
      <c r="AB129" s="314" t="e">
        <f t="shared" si="58"/>
        <v>#VALUE!</v>
      </c>
      <c r="AC129" s="314">
        <f t="shared" si="59"/>
        <v>71</v>
      </c>
      <c r="AD129" s="347" t="str">
        <f t="shared" si="60"/>
        <v>Aged 71 on 01-Jul-2022.</v>
      </c>
      <c r="AE129" s="305"/>
      <c r="AF129" s="303"/>
      <c r="AG129" s="303"/>
      <c r="AH129" s="303"/>
      <c r="AI129" s="289" t="s">
        <v>2793</v>
      </c>
      <c r="AJ129" s="289" t="s">
        <v>2793</v>
      </c>
      <c r="AK129" s="344" t="str">
        <f t="shared" si="61"/>
        <v xml:space="preserve"> -</v>
      </c>
      <c r="AL129" s="344" t="str">
        <f t="shared" si="75"/>
        <v xml:space="preserve"> -</v>
      </c>
      <c r="AM129" s="344" t="str">
        <f t="shared" si="76"/>
        <v xml:space="preserve"> -</v>
      </c>
      <c r="AN129" s="344" t="str">
        <f t="shared" si="62"/>
        <v xml:space="preserve"> -</v>
      </c>
      <c r="AO129" s="344" t="str">
        <f t="shared" si="83"/>
        <v xml:space="preserve"> -</v>
      </c>
      <c r="AR129" s="350">
        <f>A129</f>
        <v>126</v>
      </c>
      <c r="AS129" s="353" t="str">
        <f>IF(V129="",_xlfn.CONCAT(IF(G129="",D129,G129)," (",Q129,"–",V129," : #",AR129,")"),_xlfn.CONCAT(IF(G129="",D129,G129)," (",Q129,"–",V129,": #",AR129,")"))</f>
        <v>Paddy (1951– : #126)</v>
      </c>
      <c r="AT129" s="353" t="str">
        <f>IF(V129="",_xlfn.CONCAT(IF(G129="",D129,G129)," (",Q129,"– ",V129,")"),_xlfn.CONCAT(IF(G129="",D129,G129)," (",Q129,"–",V129,")"))</f>
        <v>Paddy (1951– )</v>
      </c>
      <c r="AU129" s="352" t="str">
        <f t="shared" si="45"/>
        <v>Male</v>
      </c>
      <c r="AV129" s="355" t="s">
        <v>4402</v>
      </c>
      <c r="AW129" s="319" t="str">
        <f>VLOOKUP(AV129,'Mums of Loyd Edit&amp;Partner Edit'!$B$3:$C$66,2,FALSE)</f>
        <v>Alison Fraser PORTER (b. 21 Feb 1920, d. 6 Sep 2003)</v>
      </c>
      <c r="AX129" s="360">
        <v>94</v>
      </c>
      <c r="AY129" s="355" t="str">
        <f t="shared" si="53"/>
        <v>Alwyne (1920–2014: #94)</v>
      </c>
      <c r="AZ129" s="361">
        <f>VLOOKUP(AX129,Lineage!$A$1:$C$200,2,FALSE)</f>
        <v>68</v>
      </c>
      <c r="BA129" s="362" t="str">
        <f t="shared" si="73"/>
        <v>Cecil (1890–1963: #68)</v>
      </c>
      <c r="BB129" s="368">
        <f>BiographyMarriageDetsCountries!A128</f>
        <v>126</v>
      </c>
      <c r="BC129" s="319"/>
      <c r="BD129" s="362"/>
      <c r="BF129" s="324"/>
      <c r="BG129" s="357">
        <f t="shared" si="63"/>
        <v>126</v>
      </c>
      <c r="BH129" s="289" t="str">
        <f t="shared" si="64"/>
        <v>Patrick William Geale LOYD</v>
      </c>
      <c r="BI129" s="289" t="str">
        <f t="shared" si="65"/>
        <v>Paddy (1951– )</v>
      </c>
      <c r="BJ129" s="304" t="str">
        <f t="shared" si="66"/>
        <v>Male</v>
      </c>
      <c r="BK129" s="304">
        <f t="shared" si="67"/>
        <v>6</v>
      </c>
      <c r="BL129" s="289" t="str">
        <f t="shared" si="68"/>
        <v>Alwyne (1920–2014: #94)</v>
      </c>
      <c r="BM129" s="289" t="str">
        <f t="shared" si="69"/>
        <v>Alison Fraser PORTER (b. 21 Feb 1920, d. 6 Sep 2003)</v>
      </c>
      <c r="BN129" s="367" t="str">
        <f t="shared" si="70"/>
        <v>05-Jun-1951</v>
      </c>
      <c r="BO129" s="367" t="str">
        <f t="shared" si="71"/>
        <v/>
      </c>
      <c r="BP129" s="365" t="str">
        <f t="shared" si="72"/>
        <v>Aged 71 on 01-Jul-2022.</v>
      </c>
    </row>
    <row r="130" spans="1:68" s="289" customFormat="1" ht="20">
      <c r="A130" s="302">
        <v>127</v>
      </c>
      <c r="B130" s="364">
        <v>5</v>
      </c>
      <c r="C130" s="288" t="s">
        <v>782</v>
      </c>
      <c r="D130" s="289" t="s">
        <v>824</v>
      </c>
      <c r="E130" s="289" t="s">
        <v>909</v>
      </c>
      <c r="H130" s="304" t="s">
        <v>3245</v>
      </c>
      <c r="I130" s="306">
        <v>1951</v>
      </c>
      <c r="J130" s="306" t="s">
        <v>3228</v>
      </c>
      <c r="K130" s="307" t="s">
        <v>4648</v>
      </c>
      <c r="L130" s="308">
        <v>18943</v>
      </c>
      <c r="M130" s="309"/>
      <c r="N130" s="309"/>
      <c r="O130" s="348">
        <f t="shared" si="54"/>
        <v>11</v>
      </c>
      <c r="P130" s="345">
        <f t="shared" si="77"/>
        <v>11</v>
      </c>
      <c r="Q130" s="345">
        <f t="shared" si="78"/>
        <v>1951</v>
      </c>
      <c r="R130" s="344" t="str">
        <f t="shared" si="55"/>
        <v>Nov</v>
      </c>
      <c r="S130" s="344">
        <f t="shared" si="79"/>
        <v>0</v>
      </c>
      <c r="T130" s="344" t="str">
        <f t="shared" si="80"/>
        <v/>
      </c>
      <c r="U130" s="344" t="str">
        <f t="shared" si="81"/>
        <v/>
      </c>
      <c r="V130" s="344" t="str">
        <f t="shared" si="82"/>
        <v/>
      </c>
      <c r="W130" s="344" t="e">
        <f t="shared" si="56"/>
        <v>#N/A</v>
      </c>
      <c r="X130" s="344"/>
      <c r="Y130" s="344"/>
      <c r="Z130" s="314" t="str">
        <f t="shared" si="74"/>
        <v>11-Nov-1951</v>
      </c>
      <c r="AA130" s="314" t="str">
        <f t="shared" si="57"/>
        <v/>
      </c>
      <c r="AB130" s="314" t="e">
        <f t="shared" si="58"/>
        <v>#VALUE!</v>
      </c>
      <c r="AC130" s="314">
        <f t="shared" si="59"/>
        <v>70</v>
      </c>
      <c r="AD130" s="347" t="str">
        <f t="shared" si="60"/>
        <v>Aged 70 on 01-Jul-2022.</v>
      </c>
      <c r="AE130" s="305"/>
      <c r="AF130" s="303"/>
      <c r="AG130" s="303"/>
      <c r="AH130" s="303"/>
      <c r="AJ130" s="289" t="s">
        <v>2793</v>
      </c>
      <c r="AK130" s="319" t="str">
        <f t="shared" si="61"/>
        <v xml:space="preserve"> -</v>
      </c>
      <c r="AL130" s="319" t="str">
        <f t="shared" si="75"/>
        <v xml:space="preserve"> -</v>
      </c>
      <c r="AM130" s="319" t="str">
        <f t="shared" si="76"/>
        <v xml:space="preserve"> -</v>
      </c>
      <c r="AN130" s="344" t="str">
        <f t="shared" si="62"/>
        <v xml:space="preserve"> -</v>
      </c>
      <c r="AO130" s="344" t="str">
        <f t="shared" si="83"/>
        <v xml:space="preserve"> -</v>
      </c>
      <c r="AR130" s="350">
        <f>A130</f>
        <v>127</v>
      </c>
      <c r="AS130" s="353" t="str">
        <f>IF(V130="",_xlfn.CONCAT(IF(G130="",D130,G130)," (",Q130,"–",V130," : #",AR130,")"),_xlfn.CONCAT(IF(G130="",D130,G130)," (",Q130,"–",V130,": #",AR130,")"))</f>
        <v>Vivian (1951– : #127)</v>
      </c>
      <c r="AT130" s="353" t="str">
        <f>IF(V130="",_xlfn.CONCAT(IF(G130="",D130,G130)," (",Q130,"– ",V130,")"),_xlfn.CONCAT(IF(G130="",D130,G130)," (",Q130,"–",V130,")"))</f>
        <v>Vivian (1951– )</v>
      </c>
      <c r="AU130" s="352" t="str">
        <f t="shared" si="45"/>
        <v>Male</v>
      </c>
      <c r="AV130" s="355" t="s">
        <v>4404</v>
      </c>
      <c r="AW130" s="319" t="str">
        <f>VLOOKUP(AV130,'Mums of Loyd Edit&amp;Partner Edit'!$B$3:$C$66,2,FALSE)</f>
        <v>Veronica Elizabeth HAYNES (b. 4 Dec 1926, )</v>
      </c>
      <c r="AX130" s="360">
        <v>78</v>
      </c>
      <c r="AY130" s="355" t="str">
        <f t="shared" si="53"/>
        <v>Vivian (1894–1972: #78)</v>
      </c>
      <c r="AZ130" s="361">
        <f>VLOOKUP(AX130,Lineage!$A$1:$C$200,2,FALSE)</f>
        <v>46</v>
      </c>
      <c r="BA130" s="362" t="str">
        <f t="shared" si="73"/>
        <v>William (1863–1923: #46)</v>
      </c>
      <c r="BB130" s="368">
        <f>BiographyMarriageDetsCountries!A129</f>
        <v>127</v>
      </c>
      <c r="BC130" s="319"/>
      <c r="BD130" s="362"/>
      <c r="BF130" s="324"/>
      <c r="BG130" s="357">
        <f t="shared" si="63"/>
        <v>127</v>
      </c>
      <c r="BH130" s="289" t="str">
        <f t="shared" si="64"/>
        <v>Vivian Algernon LOYD</v>
      </c>
      <c r="BI130" s="289" t="str">
        <f t="shared" si="65"/>
        <v>Vivian (1951– )</v>
      </c>
      <c r="BJ130" s="304" t="str">
        <f t="shared" si="66"/>
        <v>Male</v>
      </c>
      <c r="BK130" s="304">
        <f t="shared" si="67"/>
        <v>5</v>
      </c>
      <c r="BL130" s="289" t="str">
        <f t="shared" si="68"/>
        <v>Vivian (1894–1972: #78)</v>
      </c>
      <c r="BM130" s="289" t="str">
        <f t="shared" si="69"/>
        <v>Veronica Elizabeth HAYNES (b. 4 Dec 1926, )</v>
      </c>
      <c r="BN130" s="367" t="str">
        <f t="shared" si="70"/>
        <v>11-Nov-1951</v>
      </c>
      <c r="BO130" s="367" t="str">
        <f t="shared" si="71"/>
        <v/>
      </c>
      <c r="BP130" s="365" t="str">
        <f t="shared" si="72"/>
        <v>Aged 70 on 01-Jul-2022.</v>
      </c>
    </row>
    <row r="131" spans="1:68" s="289" customFormat="1" ht="20">
      <c r="A131" s="302">
        <v>128</v>
      </c>
      <c r="B131" s="364">
        <v>6</v>
      </c>
      <c r="C131" s="288" t="s">
        <v>782</v>
      </c>
      <c r="D131" s="289" t="s">
        <v>910</v>
      </c>
      <c r="E131" s="289" t="s">
        <v>903</v>
      </c>
      <c r="H131" s="304" t="s">
        <v>3244</v>
      </c>
      <c r="I131" s="306">
        <v>1952</v>
      </c>
      <c r="J131" s="306" t="s">
        <v>3228</v>
      </c>
      <c r="K131" s="307" t="s">
        <v>4649</v>
      </c>
      <c r="L131" s="308">
        <v>19114</v>
      </c>
      <c r="M131" s="309"/>
      <c r="N131" s="309"/>
      <c r="O131" s="348">
        <f t="shared" si="54"/>
        <v>30</v>
      </c>
      <c r="P131" s="345">
        <f t="shared" si="77"/>
        <v>4</v>
      </c>
      <c r="Q131" s="345">
        <f t="shared" si="78"/>
        <v>1952</v>
      </c>
      <c r="R131" s="344" t="str">
        <f t="shared" si="55"/>
        <v>Apr</v>
      </c>
      <c r="S131" s="344">
        <f t="shared" si="79"/>
        <v>0</v>
      </c>
      <c r="T131" s="344" t="str">
        <f t="shared" si="80"/>
        <v/>
      </c>
      <c r="U131" s="344" t="str">
        <f t="shared" si="81"/>
        <v/>
      </c>
      <c r="V131" s="344" t="str">
        <f t="shared" si="82"/>
        <v/>
      </c>
      <c r="W131" s="344" t="e">
        <f t="shared" si="56"/>
        <v>#N/A</v>
      </c>
      <c r="X131" s="344"/>
      <c r="Y131" s="344"/>
      <c r="Z131" s="314" t="str">
        <f t="shared" si="74"/>
        <v>30-Apr-1952</v>
      </c>
      <c r="AA131" s="314" t="str">
        <f t="shared" si="57"/>
        <v/>
      </c>
      <c r="AB131" s="314" t="e">
        <f t="shared" si="58"/>
        <v>#VALUE!</v>
      </c>
      <c r="AC131" s="314">
        <f t="shared" si="59"/>
        <v>70</v>
      </c>
      <c r="AD131" s="347" t="str">
        <f t="shared" si="60"/>
        <v>Aged 70 on 01-Jul-2022.</v>
      </c>
      <c r="AE131" s="305"/>
      <c r="AF131" s="303"/>
      <c r="AG131" s="303"/>
      <c r="AH131" s="303"/>
      <c r="AI131" s="327">
        <v>32402</v>
      </c>
      <c r="AJ131" s="328" t="s">
        <v>4745</v>
      </c>
      <c r="AK131" s="319" t="str">
        <f t="shared" si="61"/>
        <v>16</v>
      </c>
      <c r="AL131" s="319">
        <f t="shared" ref="AL131:AL193" si="84">IF(AJ131=" -",AJ131,VALUE(MID(AJ131,4,2)))</f>
        <v>9</v>
      </c>
      <c r="AM131" s="319">
        <f t="shared" ref="AM131:AM193" si="85">IF(AJ131=" -",AJ131,VALUE(RIGHT(AJ131,4)))</f>
        <v>1988</v>
      </c>
      <c r="AN131" s="344" t="str">
        <f t="shared" si="62"/>
        <v>Sep</v>
      </c>
      <c r="AO131" s="344" t="str">
        <f t="shared" si="83"/>
        <v>16-Sep-1988</v>
      </c>
      <c r="AQ131" s="327"/>
      <c r="AR131" s="350">
        <f>A131</f>
        <v>128</v>
      </c>
      <c r="AS131" s="353" t="str">
        <f>IF(V131="",_xlfn.CONCAT(IF(G131="",D131,G131)," (",Q131,"–",V131," : #",AR131,")"),_xlfn.CONCAT(IF(G131="",D131,G131)," (",Q131,"–",V131,": #",AR131,")"))</f>
        <v>Julie (1952– : #128)</v>
      </c>
      <c r="AT131" s="353" t="str">
        <f>IF(V131="",_xlfn.CONCAT(IF(G131="",D131,G131)," (",Q131,"– ",V131,")"),_xlfn.CONCAT(IF(G131="",D131,G131)," (",Q131,"–",V131,")"))</f>
        <v>Julie (1952– )</v>
      </c>
      <c r="AU131" s="352" t="str">
        <f t="shared" ref="AU131:AU193" si="86">H131</f>
        <v>Female</v>
      </c>
      <c r="AV131" s="355" t="s">
        <v>4405</v>
      </c>
      <c r="AW131" s="319" t="str">
        <f>VLOOKUP(AV131,'Mums of Loyd Edit&amp;Partner Edit'!$B$3:$C$66,2,FALSE)</f>
        <v>Suzanne DUNCAN (b. 25 Aug 1928, )</v>
      </c>
      <c r="AX131" s="360">
        <v>98</v>
      </c>
      <c r="AY131" s="355" t="str">
        <f t="shared" si="53"/>
        <v>Peter (1922–2022: #98)</v>
      </c>
      <c r="AZ131" s="361">
        <f>VLOOKUP(AX131,Lineage!$A$1:$C$200,2,FALSE)</f>
        <v>77</v>
      </c>
      <c r="BA131" s="362" t="str">
        <f t="shared" si="73"/>
        <v>Wilfrid (1893–1971: #77)</v>
      </c>
      <c r="BB131" s="368">
        <f>BiographyMarriageDetsCountries!A130</f>
        <v>128</v>
      </c>
      <c r="BC131" s="319"/>
      <c r="BD131" s="362"/>
      <c r="BF131" s="324"/>
      <c r="BG131" s="357">
        <f t="shared" si="63"/>
        <v>128</v>
      </c>
      <c r="BH131" s="289" t="str">
        <f t="shared" si="64"/>
        <v>Julie Caroline LOYD</v>
      </c>
      <c r="BI131" s="289" t="str">
        <f t="shared" si="65"/>
        <v>Julie (1952– )</v>
      </c>
      <c r="BJ131" s="304" t="str">
        <f t="shared" si="66"/>
        <v>Female</v>
      </c>
      <c r="BK131" s="304">
        <f t="shared" si="67"/>
        <v>6</v>
      </c>
      <c r="BL131" s="289" t="str">
        <f t="shared" si="68"/>
        <v>Peter (1922–2022: #98)</v>
      </c>
      <c r="BM131" s="289" t="str">
        <f t="shared" si="69"/>
        <v>Suzanne DUNCAN (b. 25 Aug 1928, )</v>
      </c>
      <c r="BN131" s="367" t="str">
        <f t="shared" si="70"/>
        <v>30-Apr-1952</v>
      </c>
      <c r="BO131" s="367" t="str">
        <f t="shared" si="71"/>
        <v/>
      </c>
      <c r="BP131" s="365" t="str">
        <f t="shared" si="72"/>
        <v>Aged 70 on 01-Jul-2022.</v>
      </c>
    </row>
    <row r="132" spans="1:68" s="289" customFormat="1" ht="40">
      <c r="A132" s="302">
        <v>129</v>
      </c>
      <c r="B132" s="364">
        <v>6</v>
      </c>
      <c r="C132" s="288" t="s">
        <v>782</v>
      </c>
      <c r="D132" s="289" t="s">
        <v>798</v>
      </c>
      <c r="E132" s="289" t="s">
        <v>882</v>
      </c>
      <c r="H132" s="304" t="s">
        <v>3244</v>
      </c>
      <c r="I132" s="306">
        <v>1952</v>
      </c>
      <c r="J132" s="306" t="s">
        <v>3228</v>
      </c>
      <c r="K132" s="307" t="s">
        <v>4650</v>
      </c>
      <c r="L132" s="308">
        <v>19127</v>
      </c>
      <c r="M132" s="309"/>
      <c r="N132" s="309"/>
      <c r="O132" s="348">
        <f t="shared" si="54"/>
        <v>13</v>
      </c>
      <c r="P132" s="345">
        <f t="shared" ref="P132:P163" si="87">VALUE(MID(K132,4,2))</f>
        <v>5</v>
      </c>
      <c r="Q132" s="345">
        <f t="shared" ref="Q132:Q163" si="88">VALUE(RIGHT(K132,4))</f>
        <v>1952</v>
      </c>
      <c r="R132" s="344" t="str">
        <f t="shared" si="55"/>
        <v>May</v>
      </c>
      <c r="S132" s="344">
        <f t="shared" ref="S132:S163" si="89">LEN(M132)</f>
        <v>0</v>
      </c>
      <c r="T132" s="344" t="str">
        <f t="shared" ref="T132:T163" si="90">IF(M132="","",VALUE(LEFT(M132,2)))</f>
        <v/>
      </c>
      <c r="U132" s="344" t="str">
        <f t="shared" ref="U132:U163" si="91">IF(M132="","",VALUE(MID(M132,4,2)))</f>
        <v/>
      </c>
      <c r="V132" s="344" t="str">
        <f t="shared" ref="V132:V163" si="92">IF(M132="","",VALUE(RIGHT(M132,4)))</f>
        <v/>
      </c>
      <c r="W132" s="344" t="e">
        <f t="shared" si="56"/>
        <v>#N/A</v>
      </c>
      <c r="X132" s="344"/>
      <c r="Y132" s="344"/>
      <c r="Z132" s="314" t="str">
        <f t="shared" si="74"/>
        <v>13-May-1952</v>
      </c>
      <c r="AA132" s="314" t="str">
        <f t="shared" si="57"/>
        <v/>
      </c>
      <c r="AB132" s="314" t="e">
        <f t="shared" si="58"/>
        <v>#VALUE!</v>
      </c>
      <c r="AC132" s="314">
        <f t="shared" si="59"/>
        <v>70</v>
      </c>
      <c r="AD132" s="347" t="str">
        <f t="shared" si="60"/>
        <v>Aged 70 on 01-Jul-2022.</v>
      </c>
      <c r="AE132" s="305"/>
      <c r="AF132" s="303"/>
      <c r="AG132" s="303"/>
      <c r="AH132" s="303"/>
      <c r="AI132" s="327">
        <v>30506</v>
      </c>
      <c r="AJ132" s="328" t="s">
        <v>4746</v>
      </c>
      <c r="AK132" s="319" t="str">
        <f t="shared" si="61"/>
        <v>09</v>
      </c>
      <c r="AL132" s="319">
        <f t="shared" si="84"/>
        <v>7</v>
      </c>
      <c r="AM132" s="319">
        <f t="shared" si="85"/>
        <v>1983</v>
      </c>
      <c r="AN132" s="344" t="str">
        <f t="shared" si="62"/>
        <v>Jul</v>
      </c>
      <c r="AO132" s="344" t="str">
        <f t="shared" ref="AO132:AO151" si="93">IF(AJ132=" -",AJ132,_xlfn.CONCAT(AK132,"-",AN132,"-",AM132))</f>
        <v>09-Jul-1983</v>
      </c>
      <c r="AQ132" s="327"/>
      <c r="AR132" s="350">
        <f>A132</f>
        <v>129</v>
      </c>
      <c r="AS132" s="353" t="str">
        <f>IF(V132="",_xlfn.CONCAT(IF(G132="",D132,G132)," (",Q132,"–",V132," : #",AR132,")"),_xlfn.CONCAT(IF(G132="",D132,G132)," (",Q132,"–",V132,": #",AR132,")"))</f>
        <v>Diana (1952– : #129)</v>
      </c>
      <c r="AT132" s="353" t="str">
        <f>IF(V132="",_xlfn.CONCAT(IF(G132="",D132,G132)," (",Q132,"– ",V132,")"),_xlfn.CONCAT(IF(G132="",D132,G132)," (",Q132,"–",V132,")"))</f>
        <v>Diana (1952– )</v>
      </c>
      <c r="AU132" s="352" t="str">
        <f t="shared" si="86"/>
        <v>Female</v>
      </c>
      <c r="AV132" s="355" t="s">
        <v>4401</v>
      </c>
      <c r="AW132" s="319" t="str">
        <f>VLOOKUP(AV132,'Mums of Loyd Edit&amp;Partner Edit'!$B$3:$C$66,2,FALSE)</f>
        <v>Katharine Layzell (b. 13 Mar 1924, d. 26 Oct 1981)</v>
      </c>
      <c r="AX132" s="360">
        <v>89</v>
      </c>
      <c r="AY132" s="355" t="str">
        <f t="shared" ref="AY132:AY193" si="94">VLOOKUP(AX132,$AR$1:$AT$200,2,FALSE)</f>
        <v>Sir Francis/Frank (1916–2006: #89)</v>
      </c>
      <c r="AZ132" s="361">
        <f>VLOOKUP(AX132,Lineage!$A$1:$C$200,2,FALSE)</f>
        <v>54</v>
      </c>
      <c r="BA132" s="362" t="str">
        <f t="shared" si="73"/>
        <v>Alfred (1882–1919: #54)</v>
      </c>
      <c r="BB132" s="368">
        <f>BiographyMarriageDetsCountries!A131</f>
        <v>129</v>
      </c>
      <c r="BC132" s="319"/>
      <c r="BD132" s="362"/>
      <c r="BF132" s="324"/>
      <c r="BG132" s="357">
        <f t="shared" si="63"/>
        <v>129</v>
      </c>
      <c r="BH132" s="289" t="str">
        <f t="shared" si="64"/>
        <v>Diana Margaret LOYD</v>
      </c>
      <c r="BI132" s="289" t="str">
        <f t="shared" si="65"/>
        <v>Diana (1952– )</v>
      </c>
      <c r="BJ132" s="304" t="str">
        <f t="shared" si="66"/>
        <v>Female</v>
      </c>
      <c r="BK132" s="304">
        <f t="shared" si="67"/>
        <v>6</v>
      </c>
      <c r="BL132" s="289" t="str">
        <f t="shared" si="68"/>
        <v>Sir Francis/Frank (1916–2006: #89)</v>
      </c>
      <c r="BM132" s="289" t="str">
        <f t="shared" si="69"/>
        <v>Katharine Layzell (b. 13 Mar 1924, d. 26 Oct 1981)</v>
      </c>
      <c r="BN132" s="367" t="str">
        <f t="shared" si="70"/>
        <v>13-May-1952</v>
      </c>
      <c r="BO132" s="367" t="str">
        <f t="shared" si="71"/>
        <v/>
      </c>
      <c r="BP132" s="365" t="str">
        <f t="shared" si="72"/>
        <v>Aged 70 on 01-Jul-2022.</v>
      </c>
    </row>
    <row r="133" spans="1:68" s="289" customFormat="1" ht="20">
      <c r="A133" s="302">
        <v>130</v>
      </c>
      <c r="B133" s="364">
        <v>6</v>
      </c>
      <c r="C133" s="288" t="s">
        <v>782</v>
      </c>
      <c r="D133" s="289" t="s">
        <v>905</v>
      </c>
      <c r="E133" s="289" t="s">
        <v>804</v>
      </c>
      <c r="H133" s="304" t="s">
        <v>3245</v>
      </c>
      <c r="I133" s="306">
        <v>1952</v>
      </c>
      <c r="J133" s="306" t="s">
        <v>3228</v>
      </c>
      <c r="K133" s="307" t="s">
        <v>4651</v>
      </c>
      <c r="L133" s="308">
        <v>19171</v>
      </c>
      <c r="M133" s="309"/>
      <c r="N133" s="309"/>
      <c r="O133" s="348">
        <f t="shared" ref="O133:O194" si="95">(VALUE(LEFT(K133,2)))</f>
        <v>26</v>
      </c>
      <c r="P133" s="345">
        <f t="shared" si="87"/>
        <v>6</v>
      </c>
      <c r="Q133" s="345">
        <f t="shared" si="88"/>
        <v>1952</v>
      </c>
      <c r="R133" s="344" t="str">
        <f t="shared" ref="R133:R193" si="96">VLOOKUP(P133,$CP$4:$CQ$15,2,FALSE)</f>
        <v>Jun</v>
      </c>
      <c r="S133" s="344">
        <f t="shared" si="89"/>
        <v>0</v>
      </c>
      <c r="T133" s="344" t="str">
        <f t="shared" si="90"/>
        <v/>
      </c>
      <c r="U133" s="344" t="str">
        <f t="shared" si="91"/>
        <v/>
      </c>
      <c r="V133" s="344" t="str">
        <f t="shared" si="92"/>
        <v/>
      </c>
      <c r="W133" s="344" t="e">
        <f t="shared" ref="W133:W194" si="97">VLOOKUP(U133,$CP$4:$CQ$15,2,FALSE)</f>
        <v>#N/A</v>
      </c>
      <c r="X133" s="344"/>
      <c r="Y133" s="344"/>
      <c r="Z133" s="314" t="str">
        <f t="shared" si="74"/>
        <v>26-Jun-1952</v>
      </c>
      <c r="AA133" s="314" t="str">
        <f t="shared" ref="AA133:AA194" si="98">IF(M133="","",IF(T133&lt;10,_xlfn.CONCAT("0",T133,"-",W133,"-",V133),_xlfn.CONCAT(T133,"-",W133,"-",V133)))</f>
        <v/>
      </c>
      <c r="AB133" s="314" t="e">
        <f t="shared" ref="AB133:AB193" si="99">IF(AND(V133&gt;0,U133&gt;P133),V133-Q133,IF(AND(V133&gt;0,U133&lt;P133),V133-Q133-1,IF(AND(V133&gt;0,U133=P133,T133&gt;=O133),V133-Q133,V133-Q133-1)))</f>
        <v>#VALUE!</v>
      </c>
      <c r="AC133" s="314">
        <f t="shared" ref="AC133:AC193" si="100">IF(AND(LEN(V133)=0,AC$2&gt;P133),AB$2-Q133,IF(AND(LEN(V133)=0,AC$2&lt;P133),AB$2-Q133-1,IF(AND(LEN(V133)=0,AC$2=P133,AD$2&gt;=O133),AB$2-Q133,AB$2-Q133-1)))</f>
        <v>70</v>
      </c>
      <c r="AD133" s="347" t="str">
        <f t="shared" ref="AD133:AD193" si="101">IF(LEN(V133)=0,_xlfn.CONCAT("Aged ",AC133," on 01-Jul-2022."),IF(AND(LEN(V133)&gt;0,AB133&lt;=2),_xlfn.CONCAT("Died in Infancy ",AA133,"."),_xlfn.CONCAT("Died ",AA133,", aged ",AB133,".")))</f>
        <v>Aged 70 on 01-Jul-2022.</v>
      </c>
      <c r="AE133" s="305"/>
      <c r="AF133" s="303"/>
      <c r="AG133" s="303"/>
      <c r="AH133" s="303"/>
      <c r="AI133" s="327">
        <v>30506</v>
      </c>
      <c r="AJ133" s="331" t="s">
        <v>4746</v>
      </c>
      <c r="AK133" s="319" t="str">
        <f t="shared" ref="AK133:AK193" si="102">IF(AJ133=" -",AJ133,LEFT(AJ133,2))</f>
        <v>09</v>
      </c>
      <c r="AL133" s="319">
        <f t="shared" si="84"/>
        <v>7</v>
      </c>
      <c r="AM133" s="319">
        <f t="shared" si="85"/>
        <v>1983</v>
      </c>
      <c r="AN133" s="344" t="str">
        <f t="shared" ref="AN133:AN151" si="103">IF(AJ133=" -",AJ133,VLOOKUP(AL133,$CP$4:$CQ$15,2,FALSE))</f>
        <v>Jul</v>
      </c>
      <c r="AO133" s="344" t="str">
        <f t="shared" si="93"/>
        <v>09-Jul-1983</v>
      </c>
      <c r="AR133" s="350">
        <f>A133</f>
        <v>130</v>
      </c>
      <c r="AS133" s="353" t="str">
        <f>IF(V133="",_xlfn.CONCAT(IF(G133="",D133,G133)," (",Q133,"–",V133," : #",AR133,")"),_xlfn.CONCAT(IF(G133="",D133,G133)," (",Q133,"–",V133,": #",AR133,")"))</f>
        <v>David (1952– : #130)</v>
      </c>
      <c r="AT133" s="353" t="str">
        <f>IF(V133="",_xlfn.CONCAT(IF(G133="",D133,G133)," (",Q133,"– ",V133,")"),_xlfn.CONCAT(IF(G133="",D133,G133)," (",Q133,"–",V133,")"))</f>
        <v>David (1952– )</v>
      </c>
      <c r="AU133" s="352" t="str">
        <f t="shared" si="86"/>
        <v>Male</v>
      </c>
      <c r="AV133" s="355" t="s">
        <v>4403</v>
      </c>
      <c r="AW133" s="319" t="str">
        <f>VLOOKUP(AV133,'Mums of Loyd Edit&amp;Partner Edit'!$B$3:$C$66,2,FALSE)</f>
        <v xml:space="preserve">Anne SMITHELLS (b. 12 Mar 1921, d. 3 Aug 2010) </v>
      </c>
      <c r="AX133" s="360">
        <v>86</v>
      </c>
      <c r="AY133" s="355" t="str">
        <f t="shared" si="94"/>
        <v>Peter (1913–2008: #86)</v>
      </c>
      <c r="AZ133" s="361">
        <f>VLOOKUP(AX133,Lineage!$A$1:$C$200,2,FALSE)</f>
        <v>71</v>
      </c>
      <c r="BA133" s="362" t="str">
        <f t="shared" si="73"/>
        <v>Arthur (1890–1974: #71)</v>
      </c>
      <c r="BB133" s="368">
        <f>BiographyMarriageDetsCountries!A132</f>
        <v>130</v>
      </c>
      <c r="BC133" s="319"/>
      <c r="BD133" s="362"/>
      <c r="BF133" s="324"/>
      <c r="BG133" s="357">
        <f t="shared" ref="BG133:BG194" si="104">A133</f>
        <v>130</v>
      </c>
      <c r="BH133" s="289" t="str">
        <f t="shared" ref="BH133:BH194" si="105">IF(E133="",_xlfn.CONCAT(D133," ",C133),IF(F133="",_xlfn.CONCAT(D133," ",E133," ",C133),_xlfn.CONCAT(D133," ",E133," ",F133," ",C133)))</f>
        <v>David Arthur LOYD</v>
      </c>
      <c r="BI133" s="289" t="str">
        <f t="shared" ref="BI133:BI194" si="106">AT133</f>
        <v>David (1952– )</v>
      </c>
      <c r="BJ133" s="304" t="str">
        <f t="shared" ref="BJ133:BJ194" si="107">AU133</f>
        <v>Male</v>
      </c>
      <c r="BK133" s="304">
        <f t="shared" ref="BK133:BK194" si="108">B133</f>
        <v>6</v>
      </c>
      <c r="BL133" s="289" t="str">
        <f t="shared" ref="BL133:BL194" si="109">AY133</f>
        <v>Peter (1913–2008: #86)</v>
      </c>
      <c r="BM133" s="289" t="str">
        <f t="shared" ref="BM133:BM194" si="110">AW133</f>
        <v xml:space="preserve">Anne SMITHELLS (b. 12 Mar 1921, d. 3 Aug 2010) </v>
      </c>
      <c r="BN133" s="367" t="str">
        <f t="shared" ref="BN133:BN194" si="111">Z133</f>
        <v>26-Jun-1952</v>
      </c>
      <c r="BO133" s="367" t="str">
        <f t="shared" ref="BO133:BO194" si="112">AA133</f>
        <v/>
      </c>
      <c r="BP133" s="365" t="str">
        <f t="shared" ref="BP133:BP194" si="113">AD133</f>
        <v>Aged 70 on 01-Jul-2022.</v>
      </c>
    </row>
    <row r="134" spans="1:68" s="289" customFormat="1" ht="20">
      <c r="A134" s="302">
        <v>131</v>
      </c>
      <c r="B134" s="364">
        <v>6</v>
      </c>
      <c r="C134" s="288" t="s">
        <v>782</v>
      </c>
      <c r="D134" s="289" t="s">
        <v>912</v>
      </c>
      <c r="E134" s="289" t="s">
        <v>913</v>
      </c>
      <c r="F134" s="289" t="s">
        <v>914</v>
      </c>
      <c r="H134" s="304" t="s">
        <v>3245</v>
      </c>
      <c r="I134" s="306">
        <v>1953</v>
      </c>
      <c r="J134" s="306" t="s">
        <v>3228</v>
      </c>
      <c r="K134" s="307" t="s">
        <v>4652</v>
      </c>
      <c r="L134" s="308">
        <v>19435</v>
      </c>
      <c r="M134" s="309"/>
      <c r="N134" s="309"/>
      <c r="O134" s="348">
        <f t="shared" si="95"/>
        <v>17</v>
      </c>
      <c r="P134" s="345">
        <f t="shared" si="87"/>
        <v>3</v>
      </c>
      <c r="Q134" s="345">
        <f t="shared" si="88"/>
        <v>1953</v>
      </c>
      <c r="R134" s="344" t="str">
        <f t="shared" si="96"/>
        <v>Mar</v>
      </c>
      <c r="S134" s="344">
        <f t="shared" si="89"/>
        <v>0</v>
      </c>
      <c r="T134" s="344" t="str">
        <f t="shared" si="90"/>
        <v/>
      </c>
      <c r="U134" s="344" t="str">
        <f t="shared" si="91"/>
        <v/>
      </c>
      <c r="V134" s="344" t="str">
        <f t="shared" si="92"/>
        <v/>
      </c>
      <c r="W134" s="344" t="e">
        <f t="shared" si="97"/>
        <v>#N/A</v>
      </c>
      <c r="X134" s="344"/>
      <c r="Y134" s="344"/>
      <c r="Z134" s="314" t="str">
        <f t="shared" si="74"/>
        <v>17-Mar-1953</v>
      </c>
      <c r="AA134" s="314" t="str">
        <f t="shared" si="98"/>
        <v/>
      </c>
      <c r="AB134" s="314" t="e">
        <f t="shared" si="99"/>
        <v>#VALUE!</v>
      </c>
      <c r="AC134" s="314">
        <f t="shared" si="100"/>
        <v>69</v>
      </c>
      <c r="AD134" s="347" t="str">
        <f t="shared" si="101"/>
        <v>Aged 69 on 01-Jul-2022.</v>
      </c>
      <c r="AE134" s="305"/>
      <c r="AF134" s="303"/>
      <c r="AG134" s="303"/>
      <c r="AH134" s="303"/>
      <c r="AI134" s="327">
        <v>27965</v>
      </c>
      <c r="AJ134" s="328" t="s">
        <v>4747</v>
      </c>
      <c r="AK134" s="319" t="str">
        <f t="shared" si="102"/>
        <v>24</v>
      </c>
      <c r="AL134" s="319">
        <f t="shared" si="84"/>
        <v>7</v>
      </c>
      <c r="AM134" s="319">
        <f t="shared" si="85"/>
        <v>1976</v>
      </c>
      <c r="AN134" s="344" t="str">
        <f t="shared" si="103"/>
        <v>Jul</v>
      </c>
      <c r="AO134" s="344" t="str">
        <f t="shared" si="93"/>
        <v>24-Jul-1976</v>
      </c>
      <c r="AQ134" s="327"/>
      <c r="AR134" s="350">
        <f>A134</f>
        <v>131</v>
      </c>
      <c r="AS134" s="353" t="str">
        <f>IF(V134="",_xlfn.CONCAT(IF(G134="",D134,G134)," (",Q134,"–",V134," : #",AR134,")"),_xlfn.CONCAT(IF(G134="",D134,G134)," (",Q134,"–",V134,": #",AR134,")"))</f>
        <v>Dominic (1953– : #131)</v>
      </c>
      <c r="AT134" s="353" t="str">
        <f>IF(V134="",_xlfn.CONCAT(IF(G134="",D134,G134)," (",Q134,"– ",V134,")"),_xlfn.CONCAT(IF(G134="",D134,G134)," (",Q134,"–",V134,")"))</f>
        <v>Dominic (1953– )</v>
      </c>
      <c r="AU134" s="352" t="str">
        <f t="shared" si="86"/>
        <v>Male</v>
      </c>
      <c r="AV134" s="355" t="s">
        <v>4402</v>
      </c>
      <c r="AW134" s="319" t="str">
        <f>VLOOKUP(AV134,'Mums of Loyd Edit&amp;Partner Edit'!$B$3:$C$66,2,FALSE)</f>
        <v>Alison Fraser PORTER (b. 21 Feb 1920, d. 6 Sep 2003)</v>
      </c>
      <c r="AX134" s="360">
        <v>94</v>
      </c>
      <c r="AY134" s="355" t="str">
        <f t="shared" si="94"/>
        <v>Alwyne (1920–2014: #94)</v>
      </c>
      <c r="AZ134" s="361">
        <f>VLOOKUP(AX134,Lineage!$A$1:$C$200,2,FALSE)</f>
        <v>68</v>
      </c>
      <c r="BA134" s="362" t="str">
        <f t="shared" ref="BA134:BA193" si="114">VLOOKUP(AZ134,$AR$1:$AT$200,2,FALSE)</f>
        <v>Cecil (1890–1963: #68)</v>
      </c>
      <c r="BB134" s="368">
        <f>BiographyMarriageDetsCountries!A133</f>
        <v>131</v>
      </c>
      <c r="BC134" s="319"/>
      <c r="BD134" s="362"/>
      <c r="BF134" s="324"/>
      <c r="BG134" s="357">
        <f t="shared" si="104"/>
        <v>131</v>
      </c>
      <c r="BH134" s="289" t="str">
        <f t="shared" si="105"/>
        <v>Dominic George Lewis LOYD</v>
      </c>
      <c r="BI134" s="289" t="str">
        <f t="shared" si="106"/>
        <v>Dominic (1953– )</v>
      </c>
      <c r="BJ134" s="304" t="str">
        <f t="shared" si="107"/>
        <v>Male</v>
      </c>
      <c r="BK134" s="304">
        <f t="shared" si="108"/>
        <v>6</v>
      </c>
      <c r="BL134" s="289" t="str">
        <f t="shared" si="109"/>
        <v>Alwyne (1920–2014: #94)</v>
      </c>
      <c r="BM134" s="289" t="str">
        <f t="shared" si="110"/>
        <v>Alison Fraser PORTER (b. 21 Feb 1920, d. 6 Sep 2003)</v>
      </c>
      <c r="BN134" s="367" t="str">
        <f t="shared" si="111"/>
        <v>17-Mar-1953</v>
      </c>
      <c r="BO134" s="367" t="str">
        <f t="shared" si="112"/>
        <v/>
      </c>
      <c r="BP134" s="365" t="str">
        <f t="shared" si="113"/>
        <v>Aged 69 on 01-Jul-2022.</v>
      </c>
    </row>
    <row r="135" spans="1:68" s="289" customFormat="1" ht="40">
      <c r="A135" s="302">
        <v>132</v>
      </c>
      <c r="B135" s="364">
        <v>6</v>
      </c>
      <c r="C135" s="288" t="s">
        <v>782</v>
      </c>
      <c r="D135" s="289" t="s">
        <v>915</v>
      </c>
      <c r="H135" s="304" t="s">
        <v>3245</v>
      </c>
      <c r="I135" s="306">
        <v>1954</v>
      </c>
      <c r="J135" s="306">
        <v>1954</v>
      </c>
      <c r="K135" s="307" t="s">
        <v>4653</v>
      </c>
      <c r="L135" s="308">
        <v>19852</v>
      </c>
      <c r="M135" s="323" t="s">
        <v>3242</v>
      </c>
      <c r="N135" s="323"/>
      <c r="O135" s="348">
        <f t="shared" si="95"/>
        <v>8</v>
      </c>
      <c r="P135" s="345">
        <f t="shared" si="87"/>
        <v>5</v>
      </c>
      <c r="Q135" s="345">
        <f t="shared" si="88"/>
        <v>1954</v>
      </c>
      <c r="R135" s="344" t="str">
        <f t="shared" si="96"/>
        <v>May</v>
      </c>
      <c r="S135" s="344">
        <f t="shared" si="89"/>
        <v>10</v>
      </c>
      <c r="T135" s="344">
        <f t="shared" si="90"/>
        <v>8</v>
      </c>
      <c r="U135" s="344">
        <f t="shared" si="91"/>
        <v>5</v>
      </c>
      <c r="V135" s="344">
        <f t="shared" si="92"/>
        <v>1954</v>
      </c>
      <c r="W135" s="344" t="str">
        <f t="shared" si="97"/>
        <v>May</v>
      </c>
      <c r="X135" s="344"/>
      <c r="Y135" s="344"/>
      <c r="Z135" s="314" t="str">
        <f t="shared" si="74"/>
        <v>08-May-1954</v>
      </c>
      <c r="AA135" s="314" t="str">
        <f t="shared" si="98"/>
        <v>08-May-1954</v>
      </c>
      <c r="AB135" s="314">
        <f t="shared" si="99"/>
        <v>0</v>
      </c>
      <c r="AC135" s="314">
        <f t="shared" si="100"/>
        <v>67</v>
      </c>
      <c r="AD135" s="347" t="str">
        <f t="shared" si="101"/>
        <v>Died in Infancy 08-May-1954.</v>
      </c>
      <c r="AE135" s="305"/>
      <c r="AF135" s="303"/>
      <c r="AG135" s="303"/>
      <c r="AH135" s="303"/>
      <c r="AI135" s="289" t="s">
        <v>2793</v>
      </c>
      <c r="AJ135" s="289" t="s">
        <v>2793</v>
      </c>
      <c r="AK135" s="319" t="str">
        <f t="shared" si="102"/>
        <v xml:space="preserve"> -</v>
      </c>
      <c r="AL135" s="319" t="str">
        <f t="shared" si="84"/>
        <v xml:space="preserve"> -</v>
      </c>
      <c r="AM135" s="319" t="str">
        <f t="shared" si="85"/>
        <v xml:space="preserve"> -</v>
      </c>
      <c r="AN135" s="344" t="str">
        <f t="shared" si="103"/>
        <v xml:space="preserve"> -</v>
      </c>
      <c r="AO135" s="344" t="str">
        <f t="shared" si="93"/>
        <v xml:space="preserve"> -</v>
      </c>
      <c r="AR135" s="350">
        <f>A135</f>
        <v>132</v>
      </c>
      <c r="AS135" s="353" t="str">
        <f>IF(V135="",_xlfn.CONCAT(IF(G135="",D135,G135)," (",Q135,"–",V135," : #",AR135,")"),_xlfn.CONCAT(IF(G135="",D135,G135)," (",Q135,"–",V135,": #",AR135,")"))</f>
        <v>Penelope (1954–1954: #132)</v>
      </c>
      <c r="AT135" s="353" t="str">
        <f>IF(V135="",_xlfn.CONCAT(IF(G135="",D135,G135)," (",Q135,"– ",V135,")"),_xlfn.CONCAT(IF(G135="",D135,G135)," (",Q135,"–",V135,")"))</f>
        <v>Penelope (1954–1954)</v>
      </c>
      <c r="AU135" s="352" t="str">
        <f t="shared" si="86"/>
        <v>Male</v>
      </c>
      <c r="AV135" s="355" t="s">
        <v>4405</v>
      </c>
      <c r="AW135" s="319" t="str">
        <f>VLOOKUP(AV135,'Mums of Loyd Edit&amp;Partner Edit'!$B$3:$C$66,2,FALSE)</f>
        <v>Suzanne DUNCAN (b. 25 Aug 1928, )</v>
      </c>
      <c r="AX135" s="360">
        <v>98</v>
      </c>
      <c r="AY135" s="355" t="str">
        <f t="shared" si="94"/>
        <v>Peter (1922–2022: #98)</v>
      </c>
      <c r="AZ135" s="361">
        <f>VLOOKUP(AX135,Lineage!$A$1:$C$200,2,FALSE)</f>
        <v>77</v>
      </c>
      <c r="BA135" s="362" t="str">
        <f t="shared" si="114"/>
        <v>Wilfrid (1893–1971: #77)</v>
      </c>
      <c r="BB135" s="368">
        <f>BiographyMarriageDetsCountries!A134</f>
        <v>132</v>
      </c>
      <c r="BC135" s="319"/>
      <c r="BD135" s="362"/>
      <c r="BF135" s="324"/>
      <c r="BG135" s="357">
        <f t="shared" si="104"/>
        <v>132</v>
      </c>
      <c r="BH135" s="289" t="str">
        <f t="shared" si="105"/>
        <v>Penelope LOYD</v>
      </c>
      <c r="BI135" s="289" t="str">
        <f t="shared" si="106"/>
        <v>Penelope (1954–1954)</v>
      </c>
      <c r="BJ135" s="304" t="str">
        <f t="shared" si="107"/>
        <v>Male</v>
      </c>
      <c r="BK135" s="304">
        <f t="shared" si="108"/>
        <v>6</v>
      </c>
      <c r="BL135" s="289" t="str">
        <f t="shared" si="109"/>
        <v>Peter (1922–2022: #98)</v>
      </c>
      <c r="BM135" s="289" t="str">
        <f t="shared" si="110"/>
        <v>Suzanne DUNCAN (b. 25 Aug 1928, )</v>
      </c>
      <c r="BN135" s="367" t="str">
        <f t="shared" si="111"/>
        <v>08-May-1954</v>
      </c>
      <c r="BO135" s="367" t="str">
        <f t="shared" si="112"/>
        <v>08-May-1954</v>
      </c>
      <c r="BP135" s="365" t="str">
        <f t="shared" si="113"/>
        <v>Died in Infancy 08-May-1954.</v>
      </c>
    </row>
    <row r="136" spans="1:68" s="289" customFormat="1" ht="20">
      <c r="A136" s="302">
        <v>133</v>
      </c>
      <c r="B136" s="364">
        <v>6</v>
      </c>
      <c r="C136" s="288" t="s">
        <v>782</v>
      </c>
      <c r="D136" s="289" t="s">
        <v>916</v>
      </c>
      <c r="E136" s="289" t="s">
        <v>917</v>
      </c>
      <c r="F136" s="289" t="s">
        <v>822</v>
      </c>
      <c r="H136" s="304" t="s">
        <v>3245</v>
      </c>
      <c r="I136" s="306">
        <v>1954</v>
      </c>
      <c r="J136" s="306" t="s">
        <v>3228</v>
      </c>
      <c r="K136" s="307" t="s">
        <v>4685</v>
      </c>
      <c r="L136" s="308">
        <v>19909</v>
      </c>
      <c r="M136" s="309"/>
      <c r="N136" s="309"/>
      <c r="O136" s="348">
        <f t="shared" si="95"/>
        <v>4</v>
      </c>
      <c r="P136" s="345">
        <f t="shared" si="87"/>
        <v>7</v>
      </c>
      <c r="Q136" s="345">
        <f t="shared" si="88"/>
        <v>1954</v>
      </c>
      <c r="R136" s="344" t="str">
        <f t="shared" si="96"/>
        <v>Jul</v>
      </c>
      <c r="S136" s="344">
        <f t="shared" si="89"/>
        <v>0</v>
      </c>
      <c r="T136" s="344" t="str">
        <f t="shared" si="90"/>
        <v/>
      </c>
      <c r="U136" s="344" t="str">
        <f t="shared" si="91"/>
        <v/>
      </c>
      <c r="V136" s="344" t="str">
        <f t="shared" si="92"/>
        <v/>
      </c>
      <c r="W136" s="344" t="e">
        <f t="shared" si="97"/>
        <v>#N/A</v>
      </c>
      <c r="X136" s="344"/>
      <c r="Y136" s="344"/>
      <c r="Z136" s="314" t="str">
        <f t="shared" ref="Z136:Z193" si="115">IF(O136&lt;10,_xlfn.CONCAT("0",O136,"-",R136,"-",Q136),_xlfn.CONCAT(O136,"-",R136,"-",Q136))</f>
        <v>04-Jul-1954</v>
      </c>
      <c r="AA136" s="314" t="str">
        <f t="shared" si="98"/>
        <v/>
      </c>
      <c r="AB136" s="314" t="e">
        <f t="shared" si="99"/>
        <v>#VALUE!</v>
      </c>
      <c r="AC136" s="314">
        <f t="shared" si="100"/>
        <v>67</v>
      </c>
      <c r="AD136" s="347" t="str">
        <f t="shared" si="101"/>
        <v>Aged 67 on 01-Jul-2022.</v>
      </c>
      <c r="AE136" s="305"/>
      <c r="AF136" s="303"/>
      <c r="AG136" s="303"/>
      <c r="AH136" s="303"/>
      <c r="AI136" s="308">
        <v>30595</v>
      </c>
      <c r="AJ136" s="330" t="s">
        <v>4748</v>
      </c>
      <c r="AK136" s="319" t="str">
        <f t="shared" si="102"/>
        <v>06</v>
      </c>
      <c r="AL136" s="319">
        <f t="shared" si="84"/>
        <v>10</v>
      </c>
      <c r="AM136" s="319">
        <f t="shared" si="85"/>
        <v>1983</v>
      </c>
      <c r="AN136" s="344" t="str">
        <f t="shared" si="103"/>
        <v>Oct</v>
      </c>
      <c r="AO136" s="344" t="str">
        <f t="shared" si="93"/>
        <v>06-Oct-1983</v>
      </c>
      <c r="AQ136" s="308"/>
      <c r="AR136" s="350">
        <f>A136</f>
        <v>133</v>
      </c>
      <c r="AS136" s="353" t="str">
        <f>IF(V136="",_xlfn.CONCAT(IF(G136="",D136,G136)," (",Q136,"–",V136," : #",AR136,")"),_xlfn.CONCAT(IF(G136="",D136,G136)," (",Q136,"–",V136,": #",AR136,")"))</f>
        <v>Jeremy (1954– : #133)</v>
      </c>
      <c r="AT136" s="353" t="str">
        <f>IF(V136="",_xlfn.CONCAT(IF(G136="",D136,G136)," (",Q136,"– ",V136,")"),_xlfn.CONCAT(IF(G136="",D136,G136)," (",Q136,"–",V136,")"))</f>
        <v>Jeremy (1954– )</v>
      </c>
      <c r="AU136" s="352" t="str">
        <f t="shared" si="86"/>
        <v>Male</v>
      </c>
      <c r="AV136" s="355" t="s">
        <v>4400</v>
      </c>
      <c r="AW136" s="319" t="str">
        <f>VLOOKUP(AV136,'Mums of Loyd Edit&amp;Partner Edit'!$B$3:$C$66,2,FALSE)</f>
        <v>Patricia Mary MACLEAN (b. 11 Feb 1929, )</v>
      </c>
      <c r="AX136" s="360">
        <v>105</v>
      </c>
      <c r="AY136" s="355" t="str">
        <f t="shared" si="94"/>
        <v>Geoffrey (1926–2018: #105)</v>
      </c>
      <c r="AZ136" s="361">
        <f>VLOOKUP(AX136,Lineage!$A$1:$C$200,2,FALSE)</f>
        <v>77</v>
      </c>
      <c r="BA136" s="362" t="str">
        <f t="shared" si="114"/>
        <v>Wilfrid (1893–1971: #77)</v>
      </c>
      <c r="BB136" s="368">
        <f>BiographyMarriageDetsCountries!A135</f>
        <v>133</v>
      </c>
      <c r="BC136" s="319"/>
      <c r="BD136" s="362"/>
      <c r="BF136" s="324"/>
      <c r="BG136" s="357">
        <f t="shared" si="104"/>
        <v>133</v>
      </c>
      <c r="BH136" s="289" t="str">
        <f t="shared" si="105"/>
        <v>Jeremy Charles Haig LOYD</v>
      </c>
      <c r="BI136" s="289" t="str">
        <f t="shared" si="106"/>
        <v>Jeremy (1954– )</v>
      </c>
      <c r="BJ136" s="304" t="str">
        <f t="shared" si="107"/>
        <v>Male</v>
      </c>
      <c r="BK136" s="304">
        <f t="shared" si="108"/>
        <v>6</v>
      </c>
      <c r="BL136" s="289" t="str">
        <f t="shared" si="109"/>
        <v>Geoffrey (1926–2018: #105)</v>
      </c>
      <c r="BM136" s="289" t="str">
        <f t="shared" si="110"/>
        <v>Patricia Mary MACLEAN (b. 11 Feb 1929, )</v>
      </c>
      <c r="BN136" s="367" t="str">
        <f t="shared" si="111"/>
        <v>04-Jul-1954</v>
      </c>
      <c r="BO136" s="367" t="str">
        <f t="shared" si="112"/>
        <v/>
      </c>
      <c r="BP136" s="365" t="str">
        <f t="shared" si="113"/>
        <v>Aged 67 on 01-Jul-2022.</v>
      </c>
    </row>
    <row r="137" spans="1:68" s="289" customFormat="1" ht="20">
      <c r="A137" s="302">
        <v>134</v>
      </c>
      <c r="B137" s="364">
        <v>6</v>
      </c>
      <c r="C137" s="288" t="s">
        <v>782</v>
      </c>
      <c r="D137" s="289" t="s">
        <v>830</v>
      </c>
      <c r="E137" s="289" t="s">
        <v>822</v>
      </c>
      <c r="H137" s="304" t="s">
        <v>3245</v>
      </c>
      <c r="I137" s="306">
        <v>1955</v>
      </c>
      <c r="J137" s="306" t="s">
        <v>3228</v>
      </c>
      <c r="K137" s="307" t="s">
        <v>4654</v>
      </c>
      <c r="L137" s="308">
        <v>20246</v>
      </c>
      <c r="M137" s="309"/>
      <c r="N137" s="309"/>
      <c r="O137" s="348">
        <f t="shared" si="95"/>
        <v>6</v>
      </c>
      <c r="P137" s="345">
        <f t="shared" si="87"/>
        <v>6</v>
      </c>
      <c r="Q137" s="345">
        <f t="shared" si="88"/>
        <v>1955</v>
      </c>
      <c r="R137" s="344" t="str">
        <f t="shared" si="96"/>
        <v>Jun</v>
      </c>
      <c r="S137" s="344">
        <f t="shared" si="89"/>
        <v>0</v>
      </c>
      <c r="T137" s="344" t="str">
        <f t="shared" si="90"/>
        <v/>
      </c>
      <c r="U137" s="344" t="str">
        <f t="shared" si="91"/>
        <v/>
      </c>
      <c r="V137" s="344" t="str">
        <f t="shared" si="92"/>
        <v/>
      </c>
      <c r="W137" s="344" t="e">
        <f t="shared" si="97"/>
        <v>#N/A</v>
      </c>
      <c r="X137" s="344"/>
      <c r="Y137" s="344"/>
      <c r="Z137" s="314" t="str">
        <f t="shared" si="115"/>
        <v>06-Jun-1955</v>
      </c>
      <c r="AA137" s="314" t="str">
        <f t="shared" si="98"/>
        <v/>
      </c>
      <c r="AB137" s="314" t="e">
        <f t="shared" si="99"/>
        <v>#VALUE!</v>
      </c>
      <c r="AC137" s="314">
        <f t="shared" si="100"/>
        <v>67</v>
      </c>
      <c r="AD137" s="347" t="str">
        <f t="shared" si="101"/>
        <v>Aged 67 on 01-Jul-2022.</v>
      </c>
      <c r="AE137" s="305"/>
      <c r="AF137" s="303"/>
      <c r="AG137" s="303"/>
      <c r="AH137" s="303"/>
      <c r="AI137" s="289" t="s">
        <v>2793</v>
      </c>
      <c r="AJ137" s="289" t="s">
        <v>2793</v>
      </c>
      <c r="AK137" s="319" t="str">
        <f t="shared" si="102"/>
        <v xml:space="preserve"> -</v>
      </c>
      <c r="AL137" s="319" t="str">
        <f t="shared" si="84"/>
        <v xml:space="preserve"> -</v>
      </c>
      <c r="AM137" s="319" t="str">
        <f t="shared" si="85"/>
        <v xml:space="preserve"> -</v>
      </c>
      <c r="AN137" s="344" t="str">
        <f t="shared" si="103"/>
        <v xml:space="preserve"> -</v>
      </c>
      <c r="AO137" s="344" t="str">
        <f t="shared" si="93"/>
        <v xml:space="preserve"> -</v>
      </c>
      <c r="AR137" s="350">
        <f>A137</f>
        <v>134</v>
      </c>
      <c r="AS137" s="353" t="str">
        <f>IF(V137="",_xlfn.CONCAT(IF(G137="",D137,G137)," (",Q137,"–",V137," : #",AR137,")"),_xlfn.CONCAT(IF(G137="",D137,G137)," (",Q137,"–",V137,": #",AR137,")"))</f>
        <v>William (1955– : #134)</v>
      </c>
      <c r="AT137" s="353" t="str">
        <f>IF(V137="",_xlfn.CONCAT(IF(G137="",D137,G137)," (",Q137,"– ",V137,")"),_xlfn.CONCAT(IF(G137="",D137,G137)," (",Q137,"–",V137,")"))</f>
        <v>William (1955– )</v>
      </c>
      <c r="AU137" s="352" t="str">
        <f t="shared" si="86"/>
        <v>Male</v>
      </c>
      <c r="AV137" s="355" t="s">
        <v>4405</v>
      </c>
      <c r="AW137" s="319" t="str">
        <f>VLOOKUP(AV137,'Mums of Loyd Edit&amp;Partner Edit'!$B$3:$C$66,2,FALSE)</f>
        <v>Suzanne DUNCAN (b. 25 Aug 1928, )</v>
      </c>
      <c r="AX137" s="360">
        <v>98</v>
      </c>
      <c r="AY137" s="355" t="str">
        <f t="shared" si="94"/>
        <v>Peter (1922–2022: #98)</v>
      </c>
      <c r="AZ137" s="361">
        <f>VLOOKUP(AX137,Lineage!$A$1:$C$200,2,FALSE)</f>
        <v>77</v>
      </c>
      <c r="BA137" s="362" t="str">
        <f t="shared" si="114"/>
        <v>Wilfrid (1893–1971: #77)</v>
      </c>
      <c r="BB137" s="368">
        <f>BiographyMarriageDetsCountries!A136</f>
        <v>134</v>
      </c>
      <c r="BC137" s="319"/>
      <c r="BD137" s="362"/>
      <c r="BF137" s="324"/>
      <c r="BG137" s="357">
        <f t="shared" si="104"/>
        <v>134</v>
      </c>
      <c r="BH137" s="289" t="str">
        <f t="shared" si="105"/>
        <v>William Haig LOYD</v>
      </c>
      <c r="BI137" s="289" t="str">
        <f t="shared" si="106"/>
        <v>William (1955– )</v>
      </c>
      <c r="BJ137" s="304" t="str">
        <f t="shared" si="107"/>
        <v>Male</v>
      </c>
      <c r="BK137" s="304">
        <f t="shared" si="108"/>
        <v>6</v>
      </c>
      <c r="BL137" s="289" t="str">
        <f t="shared" si="109"/>
        <v>Peter (1922–2022: #98)</v>
      </c>
      <c r="BM137" s="289" t="str">
        <f t="shared" si="110"/>
        <v>Suzanne DUNCAN (b. 25 Aug 1928, )</v>
      </c>
      <c r="BN137" s="367" t="str">
        <f t="shared" si="111"/>
        <v>06-Jun-1955</v>
      </c>
      <c r="BO137" s="367" t="str">
        <f t="shared" si="112"/>
        <v/>
      </c>
      <c r="BP137" s="365" t="str">
        <f t="shared" si="113"/>
        <v>Aged 67 on 01-Jul-2022.</v>
      </c>
    </row>
    <row r="138" spans="1:68" s="289" customFormat="1" ht="20">
      <c r="A138" s="302">
        <v>135</v>
      </c>
      <c r="B138" s="364">
        <v>6</v>
      </c>
      <c r="C138" s="288" t="s">
        <v>782</v>
      </c>
      <c r="D138" s="289" t="s">
        <v>918</v>
      </c>
      <c r="E138" s="289" t="s">
        <v>811</v>
      </c>
      <c r="G138" s="289" t="s">
        <v>2954</v>
      </c>
      <c r="H138" s="304" t="s">
        <v>3245</v>
      </c>
      <c r="I138" s="306">
        <v>1955</v>
      </c>
      <c r="J138" s="306" t="s">
        <v>3228</v>
      </c>
      <c r="K138" s="307" t="s">
        <v>4655</v>
      </c>
      <c r="L138" s="308">
        <v>20324</v>
      </c>
      <c r="M138" s="309"/>
      <c r="N138" s="309"/>
      <c r="O138" s="348">
        <f t="shared" si="95"/>
        <v>23</v>
      </c>
      <c r="P138" s="345">
        <f t="shared" si="87"/>
        <v>8</v>
      </c>
      <c r="Q138" s="345">
        <f t="shared" si="88"/>
        <v>1955</v>
      </c>
      <c r="R138" s="344" t="str">
        <f t="shared" si="96"/>
        <v>Aug</v>
      </c>
      <c r="S138" s="344">
        <f t="shared" si="89"/>
        <v>0</v>
      </c>
      <c r="T138" s="344" t="str">
        <f t="shared" si="90"/>
        <v/>
      </c>
      <c r="U138" s="344" t="str">
        <f t="shared" si="91"/>
        <v/>
      </c>
      <c r="V138" s="344" t="str">
        <f t="shared" si="92"/>
        <v/>
      </c>
      <c r="W138" s="344" t="e">
        <f t="shared" si="97"/>
        <v>#N/A</v>
      </c>
      <c r="X138" s="344"/>
      <c r="Y138" s="344"/>
      <c r="Z138" s="314" t="str">
        <f t="shared" si="115"/>
        <v>23-Aug-1955</v>
      </c>
      <c r="AA138" s="314" t="str">
        <f t="shared" si="98"/>
        <v/>
      </c>
      <c r="AB138" s="314" t="e">
        <f t="shared" si="99"/>
        <v>#VALUE!</v>
      </c>
      <c r="AC138" s="314">
        <f t="shared" si="100"/>
        <v>66</v>
      </c>
      <c r="AD138" s="347" t="str">
        <f t="shared" si="101"/>
        <v>Aged 66 on 01-Jul-2022.</v>
      </c>
      <c r="AE138" s="305"/>
      <c r="AF138" s="303"/>
      <c r="AG138" s="303"/>
      <c r="AH138" s="303"/>
      <c r="AI138" s="327">
        <v>33348</v>
      </c>
      <c r="AJ138" s="328" t="s">
        <v>4756</v>
      </c>
      <c r="AK138" s="319" t="str">
        <f t="shared" si="102"/>
        <v>20</v>
      </c>
      <c r="AL138" s="319">
        <f t="shared" si="84"/>
        <v>4</v>
      </c>
      <c r="AM138" s="319">
        <f t="shared" si="85"/>
        <v>1991</v>
      </c>
      <c r="AN138" s="344" t="str">
        <f t="shared" si="103"/>
        <v>Apr</v>
      </c>
      <c r="AO138" s="344" t="str">
        <f t="shared" si="93"/>
        <v>20-Apr-1991</v>
      </c>
      <c r="AQ138" s="327"/>
      <c r="AR138" s="350">
        <f>A138</f>
        <v>135</v>
      </c>
      <c r="AS138" s="353" t="str">
        <f>IF(V138="",_xlfn.CONCAT(IF(G138="",D138,G138)," (",Q138,"–",V138," : #",AR138,")"),_xlfn.CONCAT(IF(G138="",D138,G138)," (",Q138,"–",V138,": #",AR138,")"))</f>
        <v>Jim (1955– : #135)</v>
      </c>
      <c r="AT138" s="353" t="str">
        <f>IF(V138="",_xlfn.CONCAT(IF(G138="",D138,G138)," (",Q138,"– ",V138,")"),_xlfn.CONCAT(IF(G138="",D138,G138)," (",Q138,"–",V138,")"))</f>
        <v>Jim (1955– )</v>
      </c>
      <c r="AU138" s="352" t="str">
        <f t="shared" si="86"/>
        <v>Male</v>
      </c>
      <c r="AV138" s="355" t="s">
        <v>4403</v>
      </c>
      <c r="AW138" s="319" t="str">
        <f>VLOOKUP(AV138,'Mums of Loyd Edit&amp;Partner Edit'!$B$3:$C$66,2,FALSE)</f>
        <v xml:space="preserve">Anne SMITHELLS (b. 12 Mar 1921, d. 3 Aug 2010) </v>
      </c>
      <c r="AX138" s="360">
        <v>86</v>
      </c>
      <c r="AY138" s="355" t="str">
        <f t="shared" si="94"/>
        <v>Peter (1913–2008: #86)</v>
      </c>
      <c r="AZ138" s="361">
        <f>VLOOKUP(AX138,Lineage!$A$1:$C$200,2,FALSE)</f>
        <v>71</v>
      </c>
      <c r="BA138" s="362" t="str">
        <f t="shared" si="114"/>
        <v>Arthur (1890–1974: #71)</v>
      </c>
      <c r="BB138" s="368">
        <f>BiographyMarriageDetsCountries!A137</f>
        <v>135</v>
      </c>
      <c r="BC138" s="319"/>
      <c r="BD138" s="362"/>
      <c r="BF138" s="324"/>
      <c r="BG138" s="357">
        <f t="shared" si="104"/>
        <v>135</v>
      </c>
      <c r="BH138" s="289" t="str">
        <f t="shared" si="105"/>
        <v>James Edward LOYD</v>
      </c>
      <c r="BI138" s="289" t="str">
        <f t="shared" si="106"/>
        <v>Jim (1955– )</v>
      </c>
      <c r="BJ138" s="304" t="str">
        <f t="shared" si="107"/>
        <v>Male</v>
      </c>
      <c r="BK138" s="304">
        <f t="shared" si="108"/>
        <v>6</v>
      </c>
      <c r="BL138" s="289" t="str">
        <f t="shared" si="109"/>
        <v>Peter (1913–2008: #86)</v>
      </c>
      <c r="BM138" s="289" t="str">
        <f t="shared" si="110"/>
        <v xml:space="preserve">Anne SMITHELLS (b. 12 Mar 1921, d. 3 Aug 2010) </v>
      </c>
      <c r="BN138" s="367" t="str">
        <f t="shared" si="111"/>
        <v>23-Aug-1955</v>
      </c>
      <c r="BO138" s="367" t="str">
        <f t="shared" si="112"/>
        <v/>
      </c>
      <c r="BP138" s="365" t="str">
        <f t="shared" si="113"/>
        <v>Aged 66 on 01-Jul-2022.</v>
      </c>
    </row>
    <row r="139" spans="1:68" s="289" customFormat="1" ht="20">
      <c r="A139" s="302">
        <v>136</v>
      </c>
      <c r="B139" s="364">
        <v>6</v>
      </c>
      <c r="C139" s="288" t="s">
        <v>782</v>
      </c>
      <c r="D139" s="289" t="s">
        <v>919</v>
      </c>
      <c r="E139" s="289" t="s">
        <v>920</v>
      </c>
      <c r="F139" s="289" t="s">
        <v>2955</v>
      </c>
      <c r="G139" s="289" t="s">
        <v>1190</v>
      </c>
      <c r="H139" s="304" t="s">
        <v>3245</v>
      </c>
      <c r="I139" s="306">
        <v>1957</v>
      </c>
      <c r="J139" s="306" t="s">
        <v>3228</v>
      </c>
      <c r="K139" s="307" t="s">
        <v>4656</v>
      </c>
      <c r="L139" s="308">
        <v>20975</v>
      </c>
      <c r="M139" s="309"/>
      <c r="N139" s="309"/>
      <c r="O139" s="348">
        <f t="shared" si="95"/>
        <v>4</v>
      </c>
      <c r="P139" s="345">
        <f t="shared" si="87"/>
        <v>6</v>
      </c>
      <c r="Q139" s="345">
        <f t="shared" si="88"/>
        <v>1957</v>
      </c>
      <c r="R139" s="344" t="str">
        <f t="shared" si="96"/>
        <v>Jun</v>
      </c>
      <c r="S139" s="344">
        <f t="shared" si="89"/>
        <v>0</v>
      </c>
      <c r="T139" s="344" t="str">
        <f t="shared" si="90"/>
        <v/>
      </c>
      <c r="U139" s="344" t="str">
        <f t="shared" si="91"/>
        <v/>
      </c>
      <c r="V139" s="344" t="str">
        <f t="shared" si="92"/>
        <v/>
      </c>
      <c r="W139" s="344" t="e">
        <f t="shared" si="97"/>
        <v>#N/A</v>
      </c>
      <c r="X139" s="344"/>
      <c r="Y139" s="344"/>
      <c r="Z139" s="314" t="str">
        <f t="shared" si="115"/>
        <v>04-Jun-1957</v>
      </c>
      <c r="AA139" s="314" t="str">
        <f t="shared" si="98"/>
        <v/>
      </c>
      <c r="AB139" s="314" t="e">
        <f t="shared" si="99"/>
        <v>#VALUE!</v>
      </c>
      <c r="AC139" s="314">
        <f t="shared" si="100"/>
        <v>65</v>
      </c>
      <c r="AD139" s="347" t="str">
        <f t="shared" si="101"/>
        <v>Aged 65 on 01-Jul-2022.</v>
      </c>
      <c r="AE139" s="305"/>
      <c r="AF139" s="303"/>
      <c r="AG139" s="303"/>
      <c r="AH139" s="303"/>
      <c r="AI139" s="327">
        <v>29715</v>
      </c>
      <c r="AJ139" s="328" t="s">
        <v>4757</v>
      </c>
      <c r="AK139" s="319" t="str">
        <f t="shared" si="102"/>
        <v>09</v>
      </c>
      <c r="AL139" s="319">
        <f t="shared" si="84"/>
        <v>5</v>
      </c>
      <c r="AM139" s="319">
        <f t="shared" si="85"/>
        <v>1981</v>
      </c>
      <c r="AN139" s="344" t="str">
        <f t="shared" si="103"/>
        <v>May</v>
      </c>
      <c r="AO139" s="344" t="str">
        <f t="shared" si="93"/>
        <v>09-May-1981</v>
      </c>
      <c r="AQ139" s="327"/>
      <c r="AR139" s="350">
        <f>A139</f>
        <v>136</v>
      </c>
      <c r="AS139" s="353" t="str">
        <f>IF(V139="",_xlfn.CONCAT(IF(G139="",D139,G139)," (",Q139,"–",V139," : #",AR139,")"),_xlfn.CONCAT(IF(G139="",D139,G139)," (",Q139,"–",V139,": #",AR139,")"))</f>
        <v>Tim (1957– : #136)</v>
      </c>
      <c r="AT139" s="353" t="str">
        <f>IF(V139="",_xlfn.CONCAT(IF(G139="",D139,G139)," (",Q139,"– ",V139,")"),_xlfn.CONCAT(IF(G139="",D139,G139)," (",Q139,"–",V139,")"))</f>
        <v>Tim (1957– )</v>
      </c>
      <c r="AU139" s="352" t="str">
        <f t="shared" si="86"/>
        <v>Male</v>
      </c>
      <c r="AV139" s="355" t="s">
        <v>4402</v>
      </c>
      <c r="AW139" s="319" t="str">
        <f>VLOOKUP(AV139,'Mums of Loyd Edit&amp;Partner Edit'!$B$3:$C$66,2,FALSE)</f>
        <v>Alison Fraser PORTER (b. 21 Feb 1920, d. 6 Sep 2003)</v>
      </c>
      <c r="AX139" s="360">
        <v>94</v>
      </c>
      <c r="AY139" s="355" t="str">
        <f t="shared" si="94"/>
        <v>Alwyne (1920–2014: #94)</v>
      </c>
      <c r="AZ139" s="361">
        <f>VLOOKUP(AX139,Lineage!$A$1:$C$200,2,FALSE)</f>
        <v>68</v>
      </c>
      <c r="BA139" s="362" t="str">
        <f t="shared" si="114"/>
        <v>Cecil (1890–1963: #68)</v>
      </c>
      <c r="BB139" s="368">
        <f>BiographyMarriageDetsCountries!A138</f>
        <v>136</v>
      </c>
      <c r="BC139" s="319"/>
      <c r="BD139" s="362"/>
      <c r="BF139" s="324"/>
      <c r="BG139" s="357">
        <f t="shared" si="104"/>
        <v>136</v>
      </c>
      <c r="BH139" s="289" t="str">
        <f t="shared" si="105"/>
        <v>Timothy Bryan Porter LOYD</v>
      </c>
      <c r="BI139" s="289" t="str">
        <f t="shared" si="106"/>
        <v>Tim (1957– )</v>
      </c>
      <c r="BJ139" s="304" t="str">
        <f t="shared" si="107"/>
        <v>Male</v>
      </c>
      <c r="BK139" s="304">
        <f t="shared" si="108"/>
        <v>6</v>
      </c>
      <c r="BL139" s="289" t="str">
        <f t="shared" si="109"/>
        <v>Alwyne (1920–2014: #94)</v>
      </c>
      <c r="BM139" s="289" t="str">
        <f t="shared" si="110"/>
        <v>Alison Fraser PORTER (b. 21 Feb 1920, d. 6 Sep 2003)</v>
      </c>
      <c r="BN139" s="367" t="str">
        <f t="shared" si="111"/>
        <v>04-Jun-1957</v>
      </c>
      <c r="BO139" s="367" t="str">
        <f t="shared" si="112"/>
        <v/>
      </c>
      <c r="BP139" s="365" t="str">
        <f t="shared" si="113"/>
        <v>Aged 65 on 01-Jul-2022.</v>
      </c>
    </row>
    <row r="140" spans="1:68" s="289" customFormat="1" ht="20">
      <c r="A140" s="302">
        <v>137</v>
      </c>
      <c r="B140" s="364">
        <v>6</v>
      </c>
      <c r="C140" s="288" t="s">
        <v>782</v>
      </c>
      <c r="D140" s="289" t="s">
        <v>921</v>
      </c>
      <c r="E140" s="289" t="s">
        <v>922</v>
      </c>
      <c r="F140" s="289" t="s">
        <v>923</v>
      </c>
      <c r="H140" s="304" t="s">
        <v>3244</v>
      </c>
      <c r="I140" s="306">
        <v>1959</v>
      </c>
      <c r="J140" s="306" t="s">
        <v>3228</v>
      </c>
      <c r="K140" s="307" t="s">
        <v>4657</v>
      </c>
      <c r="L140" s="308">
        <v>21581</v>
      </c>
      <c r="M140" s="309"/>
      <c r="N140" s="309"/>
      <c r="O140" s="348">
        <f t="shared" si="95"/>
        <v>31</v>
      </c>
      <c r="P140" s="345">
        <f t="shared" si="87"/>
        <v>1</v>
      </c>
      <c r="Q140" s="345">
        <f t="shared" si="88"/>
        <v>1959</v>
      </c>
      <c r="R140" s="344" t="str">
        <f t="shared" si="96"/>
        <v>Jan</v>
      </c>
      <c r="S140" s="344">
        <f t="shared" si="89"/>
        <v>0</v>
      </c>
      <c r="T140" s="344" t="str">
        <f t="shared" si="90"/>
        <v/>
      </c>
      <c r="U140" s="344" t="str">
        <f t="shared" si="91"/>
        <v/>
      </c>
      <c r="V140" s="344" t="str">
        <f t="shared" si="92"/>
        <v/>
      </c>
      <c r="W140" s="344" t="e">
        <f t="shared" si="97"/>
        <v>#N/A</v>
      </c>
      <c r="X140" s="344"/>
      <c r="Y140" s="344"/>
      <c r="Z140" s="314" t="str">
        <f t="shared" si="115"/>
        <v>31-Jan-1959</v>
      </c>
      <c r="AA140" s="314" t="str">
        <f t="shared" si="98"/>
        <v/>
      </c>
      <c r="AB140" s="314" t="e">
        <f t="shared" si="99"/>
        <v>#VALUE!</v>
      </c>
      <c r="AC140" s="314">
        <f t="shared" si="100"/>
        <v>63</v>
      </c>
      <c r="AD140" s="347" t="str">
        <f t="shared" si="101"/>
        <v>Aged 63 on 01-Jul-2022.</v>
      </c>
      <c r="AE140" s="305"/>
      <c r="AF140" s="303"/>
      <c r="AG140" s="303"/>
      <c r="AH140" s="303"/>
      <c r="AI140" s="327">
        <v>34853</v>
      </c>
      <c r="AJ140" s="328" t="s">
        <v>4758</v>
      </c>
      <c r="AK140" s="319" t="str">
        <f t="shared" si="102"/>
        <v>03</v>
      </c>
      <c r="AL140" s="319">
        <f t="shared" si="84"/>
        <v>6</v>
      </c>
      <c r="AM140" s="319">
        <f t="shared" si="85"/>
        <v>1995</v>
      </c>
      <c r="AN140" s="344" t="str">
        <f t="shared" si="103"/>
        <v>Jun</v>
      </c>
      <c r="AO140" s="344" t="str">
        <f t="shared" si="93"/>
        <v>03-Jun-1995</v>
      </c>
      <c r="AQ140" s="327"/>
      <c r="AR140" s="350">
        <f>A140</f>
        <v>137</v>
      </c>
      <c r="AS140" s="353" t="str">
        <f>IF(V140="",_xlfn.CONCAT(IF(G140="",D140,G140)," (",Q140,"–",V140," : #",AR140,")"),_xlfn.CONCAT(IF(G140="",D140,G140)," (",Q140,"–",V140,": #",AR140,")"))</f>
        <v>Henrietta (1959– : #137)</v>
      </c>
      <c r="AT140" s="353" t="str">
        <f>IF(V140="",_xlfn.CONCAT(IF(G140="",D140,G140)," (",Q140,"– ",V140,")"),_xlfn.CONCAT(IF(G140="",D140,G140)," (",Q140,"–",V140,")"))</f>
        <v>Henrietta (1959– )</v>
      </c>
      <c r="AU140" s="352" t="str">
        <f t="shared" si="86"/>
        <v>Female</v>
      </c>
      <c r="AV140" s="355" t="s">
        <v>4406</v>
      </c>
      <c r="AW140" s="319" t="str">
        <f>VLOOKUP(AV140,'Mums of Loyd Edit&amp;Partner Edit'!$B$3:$C$66,2,FALSE)</f>
        <v>Sally Elizabeth Jane INGLIS (b. 18 Jan 1931, d. 27 Aug 2020)</v>
      </c>
      <c r="AX140" s="360">
        <v>99</v>
      </c>
      <c r="AY140" s="355" t="str">
        <f t="shared" si="94"/>
        <v>Peter (1923–1974: #99)</v>
      </c>
      <c r="AZ140" s="361">
        <f>VLOOKUP(AX140,Lineage!$A$1:$C$200,2,FALSE)</f>
        <v>66</v>
      </c>
      <c r="BA140" s="362" t="str">
        <f t="shared" si="114"/>
        <v>William (1889–1947: #66)</v>
      </c>
      <c r="BB140" s="368">
        <f>BiographyMarriageDetsCountries!A139</f>
        <v>137</v>
      </c>
      <c r="BC140" s="319"/>
      <c r="BD140" s="362"/>
      <c r="BF140" s="324"/>
      <c r="BG140" s="357">
        <f t="shared" si="104"/>
        <v>137</v>
      </c>
      <c r="BH140" s="289" t="str">
        <f t="shared" si="105"/>
        <v>Henrietta Jane Rachel LOYD</v>
      </c>
      <c r="BI140" s="289" t="str">
        <f t="shared" si="106"/>
        <v>Henrietta (1959– )</v>
      </c>
      <c r="BJ140" s="304" t="str">
        <f t="shared" si="107"/>
        <v>Female</v>
      </c>
      <c r="BK140" s="304">
        <f t="shared" si="108"/>
        <v>6</v>
      </c>
      <c r="BL140" s="289" t="str">
        <f t="shared" si="109"/>
        <v>Peter (1923–1974: #99)</v>
      </c>
      <c r="BM140" s="289" t="str">
        <f t="shared" si="110"/>
        <v>Sally Elizabeth Jane INGLIS (b. 18 Jan 1931, d. 27 Aug 2020)</v>
      </c>
      <c r="BN140" s="367" t="str">
        <f t="shared" si="111"/>
        <v>31-Jan-1959</v>
      </c>
      <c r="BO140" s="367" t="str">
        <f t="shared" si="112"/>
        <v/>
      </c>
      <c r="BP140" s="365" t="str">
        <f t="shared" si="113"/>
        <v>Aged 63 on 01-Jul-2022.</v>
      </c>
    </row>
    <row r="141" spans="1:68" s="289" customFormat="1" ht="20">
      <c r="A141" s="302">
        <v>138</v>
      </c>
      <c r="B141" s="364">
        <v>6</v>
      </c>
      <c r="C141" s="288" t="s">
        <v>782</v>
      </c>
      <c r="D141" s="289" t="s">
        <v>852</v>
      </c>
      <c r="E141" s="289" t="s">
        <v>866</v>
      </c>
      <c r="H141" s="304" t="s">
        <v>3245</v>
      </c>
      <c r="I141" s="306">
        <v>1959</v>
      </c>
      <c r="J141" s="306" t="s">
        <v>3228</v>
      </c>
      <c r="K141" s="307" t="s">
        <v>4686</v>
      </c>
      <c r="L141" s="308">
        <v>21602</v>
      </c>
      <c r="M141" s="309"/>
      <c r="N141" s="309"/>
      <c r="O141" s="348">
        <f t="shared" si="95"/>
        <v>21</v>
      </c>
      <c r="P141" s="345">
        <f t="shared" si="87"/>
        <v>2</v>
      </c>
      <c r="Q141" s="345">
        <f t="shared" si="88"/>
        <v>1959</v>
      </c>
      <c r="R141" s="344" t="str">
        <f t="shared" si="96"/>
        <v>Feb</v>
      </c>
      <c r="S141" s="344">
        <f t="shared" si="89"/>
        <v>0</v>
      </c>
      <c r="T141" s="344" t="str">
        <f t="shared" si="90"/>
        <v/>
      </c>
      <c r="U141" s="344" t="str">
        <f t="shared" si="91"/>
        <v/>
      </c>
      <c r="V141" s="344" t="str">
        <f t="shared" si="92"/>
        <v/>
      </c>
      <c r="W141" s="344" t="e">
        <f t="shared" si="97"/>
        <v>#N/A</v>
      </c>
      <c r="X141" s="344"/>
      <c r="Y141" s="344"/>
      <c r="Z141" s="314" t="str">
        <f t="shared" si="115"/>
        <v>21-Feb-1959</v>
      </c>
      <c r="AA141" s="314" t="str">
        <f t="shared" si="98"/>
        <v/>
      </c>
      <c r="AB141" s="314" t="e">
        <f t="shared" si="99"/>
        <v>#VALUE!</v>
      </c>
      <c r="AC141" s="314">
        <f t="shared" si="100"/>
        <v>63</v>
      </c>
      <c r="AD141" s="347" t="str">
        <f t="shared" si="101"/>
        <v>Aged 63 on 01-Jul-2022.</v>
      </c>
      <c r="AE141" s="305"/>
      <c r="AF141" s="303"/>
      <c r="AG141" s="303"/>
      <c r="AH141" s="303"/>
      <c r="AI141" s="327">
        <v>31031</v>
      </c>
      <c r="AJ141" s="328" t="s">
        <v>4763</v>
      </c>
      <c r="AK141" s="319" t="str">
        <f t="shared" si="102"/>
        <v>15</v>
      </c>
      <c r="AL141" s="319">
        <f t="shared" si="84"/>
        <v>12</v>
      </c>
      <c r="AM141" s="319">
        <f t="shared" si="85"/>
        <v>1984</v>
      </c>
      <c r="AN141" s="344" t="str">
        <f t="shared" si="103"/>
        <v>Dec</v>
      </c>
      <c r="AO141" s="344" t="str">
        <f t="shared" si="93"/>
        <v>15-Dec-1984</v>
      </c>
      <c r="AQ141" s="327"/>
      <c r="AR141" s="350">
        <f>A141</f>
        <v>138</v>
      </c>
      <c r="AS141" s="353" t="str">
        <f>IF(V141="",_xlfn.CONCAT(IF(G141="",D141,G141)," (",Q141,"–",V141," : #",AR141,")"),_xlfn.CONCAT(IF(G141="",D141,G141)," (",Q141,"–",V141,": #",AR141,")"))</f>
        <v>Thomas (1959– : #138)</v>
      </c>
      <c r="AT141" s="353" t="str">
        <f>IF(V141="",_xlfn.CONCAT(IF(G141="",D141,G141)," (",Q141,"– ",V141,")"),_xlfn.CONCAT(IF(G141="",D141,G141)," (",Q141,"–",V141,")"))</f>
        <v>Thomas (1959– )</v>
      </c>
      <c r="AU141" s="352" t="str">
        <f t="shared" si="86"/>
        <v>Male</v>
      </c>
      <c r="AV141" s="355" t="s">
        <v>4407</v>
      </c>
      <c r="AW141" s="319" t="str">
        <f>VLOOKUP(AV141,'Mums of Loyd Edit&amp;Partner Edit'!$B$3:$C$66,2,FALSE)</f>
        <v>Joanna SMITH-BINGHAM (b. 17 Nov 1935, )</v>
      </c>
      <c r="AX141" s="360">
        <v>100</v>
      </c>
      <c r="AY141" s="355" t="str">
        <f t="shared" si="94"/>
        <v>Christopher (1923–2013: #100)</v>
      </c>
      <c r="AZ141" s="361">
        <f>VLOOKUP(AX141,Lineage!$A$1:$C$200,2,FALSE)</f>
        <v>56</v>
      </c>
      <c r="BA141" s="362" t="str">
        <f t="shared" si="114"/>
        <v>Tommy (1882–1944: #56)</v>
      </c>
      <c r="BB141" s="368">
        <f>BiographyMarriageDetsCountries!A140</f>
        <v>138</v>
      </c>
      <c r="BC141" s="319"/>
      <c r="BD141" s="362"/>
      <c r="BF141" s="324"/>
      <c r="BG141" s="357">
        <f t="shared" si="104"/>
        <v>138</v>
      </c>
      <c r="BH141" s="289" t="str">
        <f t="shared" si="105"/>
        <v>Thomas Christopher LOYD</v>
      </c>
      <c r="BI141" s="289" t="str">
        <f t="shared" si="106"/>
        <v>Thomas (1959– )</v>
      </c>
      <c r="BJ141" s="304" t="str">
        <f t="shared" si="107"/>
        <v>Male</v>
      </c>
      <c r="BK141" s="304">
        <f t="shared" si="108"/>
        <v>6</v>
      </c>
      <c r="BL141" s="289" t="str">
        <f t="shared" si="109"/>
        <v>Christopher (1923–2013: #100)</v>
      </c>
      <c r="BM141" s="289" t="str">
        <f t="shared" si="110"/>
        <v>Joanna SMITH-BINGHAM (b. 17 Nov 1935, )</v>
      </c>
      <c r="BN141" s="367" t="str">
        <f t="shared" si="111"/>
        <v>21-Feb-1959</v>
      </c>
      <c r="BO141" s="367" t="str">
        <f t="shared" si="112"/>
        <v/>
      </c>
      <c r="BP141" s="365" t="str">
        <f t="shared" si="113"/>
        <v>Aged 63 on 01-Jul-2022.</v>
      </c>
    </row>
    <row r="142" spans="1:68" s="289" customFormat="1" ht="20">
      <c r="A142" s="302">
        <v>139</v>
      </c>
      <c r="B142" s="364">
        <v>6</v>
      </c>
      <c r="C142" s="288" t="s">
        <v>782</v>
      </c>
      <c r="D142" s="289" t="s">
        <v>924</v>
      </c>
      <c r="E142" s="289" t="s">
        <v>925</v>
      </c>
      <c r="F142" s="289" t="s">
        <v>858</v>
      </c>
      <c r="G142" s="289" t="s">
        <v>1191</v>
      </c>
      <c r="H142" s="304" t="s">
        <v>3245</v>
      </c>
      <c r="I142" s="306">
        <v>1959</v>
      </c>
      <c r="J142" s="306" t="s">
        <v>3228</v>
      </c>
      <c r="K142" s="307" t="s">
        <v>4658</v>
      </c>
      <c r="L142" s="308">
        <v>21628</v>
      </c>
      <c r="M142" s="309"/>
      <c r="N142" s="309"/>
      <c r="O142" s="348">
        <f t="shared" si="95"/>
        <v>19</v>
      </c>
      <c r="P142" s="345">
        <f t="shared" si="87"/>
        <v>3</v>
      </c>
      <c r="Q142" s="345">
        <f t="shared" si="88"/>
        <v>1959</v>
      </c>
      <c r="R142" s="344" t="str">
        <f t="shared" si="96"/>
        <v>Mar</v>
      </c>
      <c r="S142" s="344">
        <f t="shared" si="89"/>
        <v>0</v>
      </c>
      <c r="T142" s="344" t="str">
        <f t="shared" si="90"/>
        <v/>
      </c>
      <c r="U142" s="344" t="str">
        <f t="shared" si="91"/>
        <v/>
      </c>
      <c r="V142" s="344" t="str">
        <f t="shared" si="92"/>
        <v/>
      </c>
      <c r="W142" s="344" t="e">
        <f t="shared" si="97"/>
        <v>#N/A</v>
      </c>
      <c r="X142" s="344"/>
      <c r="Y142" s="344"/>
      <c r="Z142" s="314" t="str">
        <f t="shared" si="115"/>
        <v>19-Mar-1959</v>
      </c>
      <c r="AA142" s="314" t="str">
        <f t="shared" si="98"/>
        <v/>
      </c>
      <c r="AB142" s="314" t="e">
        <f t="shared" si="99"/>
        <v>#VALUE!</v>
      </c>
      <c r="AC142" s="314">
        <f t="shared" si="100"/>
        <v>63</v>
      </c>
      <c r="AD142" s="347" t="str">
        <f t="shared" si="101"/>
        <v>Aged 63 on 01-Jul-2022.</v>
      </c>
      <c r="AE142" s="305"/>
      <c r="AF142" s="303"/>
      <c r="AG142" s="303"/>
      <c r="AH142" s="303"/>
      <c r="AI142" s="327">
        <v>35423</v>
      </c>
      <c r="AJ142" s="328" t="s">
        <v>4764</v>
      </c>
      <c r="AK142" s="319" t="str">
        <f t="shared" si="102"/>
        <v>24</v>
      </c>
      <c r="AL142" s="319">
        <f t="shared" si="84"/>
        <v>12</v>
      </c>
      <c r="AM142" s="319">
        <f t="shared" si="85"/>
        <v>1996</v>
      </c>
      <c r="AN142" s="344" t="str">
        <f t="shared" si="103"/>
        <v>Dec</v>
      </c>
      <c r="AO142" s="344" t="str">
        <f t="shared" si="93"/>
        <v>24-Dec-1996</v>
      </c>
      <c r="AQ142" s="327"/>
      <c r="AR142" s="350">
        <f>A142</f>
        <v>139</v>
      </c>
      <c r="AS142" s="353" t="str">
        <f>IF(V142="",_xlfn.CONCAT(IF(G142="",D142,G142)," (",Q142,"–",V142," : #",AR142,")"),_xlfn.CONCAT(IF(G142="",D142,G142)," (",Q142,"–",V142,": #",AR142,")"))</f>
        <v>Alex (1959– : #139)</v>
      </c>
      <c r="AT142" s="353" t="str">
        <f>IF(V142="",_xlfn.CONCAT(IF(G142="",D142,G142)," (",Q142,"– ",V142,")"),_xlfn.CONCAT(IF(G142="",D142,G142)," (",Q142,"–",V142,")"))</f>
        <v>Alex (1959– )</v>
      </c>
      <c r="AU142" s="352" t="str">
        <f t="shared" si="86"/>
        <v>Male</v>
      </c>
      <c r="AV142" s="355" t="s">
        <v>4402</v>
      </c>
      <c r="AW142" s="319" t="str">
        <f>VLOOKUP(AV142,'Mums of Loyd Edit&amp;Partner Edit'!$B$3:$C$66,2,FALSE)</f>
        <v>Alison Fraser PORTER (b. 21 Feb 1920, d. 6 Sep 2003)</v>
      </c>
      <c r="AX142" s="360">
        <v>94</v>
      </c>
      <c r="AY142" s="355" t="str">
        <f t="shared" si="94"/>
        <v>Alwyne (1920–2014: #94)</v>
      </c>
      <c r="AZ142" s="361">
        <f>VLOOKUP(AX142,Lineage!$A$1:$C$200,2,FALSE)</f>
        <v>68</v>
      </c>
      <c r="BA142" s="362" t="str">
        <f t="shared" si="114"/>
        <v>Cecil (1890–1963: #68)</v>
      </c>
      <c r="BB142" s="368">
        <f>BiographyMarriageDetsCountries!A141</f>
        <v>139</v>
      </c>
      <c r="BC142" s="319"/>
      <c r="BD142" s="362"/>
      <c r="BF142" s="324"/>
      <c r="BG142" s="357">
        <f t="shared" si="104"/>
        <v>139</v>
      </c>
      <c r="BH142" s="289" t="str">
        <f t="shared" si="105"/>
        <v>Alexander Benjamin Eteson LOYD</v>
      </c>
      <c r="BI142" s="289" t="str">
        <f t="shared" si="106"/>
        <v>Alex (1959– )</v>
      </c>
      <c r="BJ142" s="304" t="str">
        <f t="shared" si="107"/>
        <v>Male</v>
      </c>
      <c r="BK142" s="304">
        <f t="shared" si="108"/>
        <v>6</v>
      </c>
      <c r="BL142" s="289" t="str">
        <f t="shared" si="109"/>
        <v>Alwyne (1920–2014: #94)</v>
      </c>
      <c r="BM142" s="289" t="str">
        <f t="shared" si="110"/>
        <v>Alison Fraser PORTER (b. 21 Feb 1920, d. 6 Sep 2003)</v>
      </c>
      <c r="BN142" s="367" t="str">
        <f t="shared" si="111"/>
        <v>19-Mar-1959</v>
      </c>
      <c r="BO142" s="367" t="str">
        <f t="shared" si="112"/>
        <v/>
      </c>
      <c r="BP142" s="365" t="str">
        <f t="shared" si="113"/>
        <v>Aged 63 on 01-Jul-2022.</v>
      </c>
    </row>
    <row r="143" spans="1:68" s="289" customFormat="1" ht="20">
      <c r="A143" s="302">
        <v>140</v>
      </c>
      <c r="B143" s="364">
        <v>5</v>
      </c>
      <c r="C143" s="288" t="s">
        <v>782</v>
      </c>
      <c r="D143" s="289" t="s">
        <v>845</v>
      </c>
      <c r="E143" s="289" t="s">
        <v>798</v>
      </c>
      <c r="F143" s="289" t="s">
        <v>926</v>
      </c>
      <c r="G143" s="289" t="s">
        <v>3587</v>
      </c>
      <c r="H143" s="304" t="s">
        <v>3244</v>
      </c>
      <c r="I143" s="306">
        <v>1961</v>
      </c>
      <c r="J143" s="306" t="s">
        <v>3228</v>
      </c>
      <c r="K143" s="307" t="s">
        <v>4659</v>
      </c>
      <c r="L143" s="308">
        <v>22520</v>
      </c>
      <c r="M143" s="309"/>
      <c r="N143" s="309"/>
      <c r="O143" s="348">
        <f t="shared" si="95"/>
        <v>27</v>
      </c>
      <c r="P143" s="345">
        <f t="shared" si="87"/>
        <v>8</v>
      </c>
      <c r="Q143" s="345">
        <f t="shared" si="88"/>
        <v>1961</v>
      </c>
      <c r="R143" s="344" t="str">
        <f t="shared" si="96"/>
        <v>Aug</v>
      </c>
      <c r="S143" s="344">
        <f t="shared" si="89"/>
        <v>0</v>
      </c>
      <c r="T143" s="344" t="str">
        <f t="shared" si="90"/>
        <v/>
      </c>
      <c r="U143" s="344" t="str">
        <f t="shared" si="91"/>
        <v/>
      </c>
      <c r="V143" s="344" t="str">
        <f t="shared" si="92"/>
        <v/>
      </c>
      <c r="W143" s="344" t="e">
        <f t="shared" si="97"/>
        <v>#N/A</v>
      </c>
      <c r="X143" s="344"/>
      <c r="Y143" s="344"/>
      <c r="Z143" s="314" t="str">
        <f t="shared" si="115"/>
        <v>27-Aug-1961</v>
      </c>
      <c r="AA143" s="314" t="str">
        <f t="shared" si="98"/>
        <v/>
      </c>
      <c r="AB143" s="314" t="e">
        <f t="shared" si="99"/>
        <v>#VALUE!</v>
      </c>
      <c r="AC143" s="314">
        <f t="shared" si="100"/>
        <v>60</v>
      </c>
      <c r="AD143" s="347" t="str">
        <f t="shared" si="101"/>
        <v>Aged 60 on 01-Jul-2022.</v>
      </c>
      <c r="AE143" s="305"/>
      <c r="AF143" s="303"/>
      <c r="AG143" s="303"/>
      <c r="AH143" s="303"/>
      <c r="AI143" s="327">
        <v>33684</v>
      </c>
      <c r="AJ143" s="328" t="s">
        <v>4765</v>
      </c>
      <c r="AK143" s="319" t="str">
        <f t="shared" si="102"/>
        <v>21</v>
      </c>
      <c r="AL143" s="319">
        <f t="shared" si="84"/>
        <v>3</v>
      </c>
      <c r="AM143" s="319">
        <f t="shared" si="85"/>
        <v>1992</v>
      </c>
      <c r="AN143" s="344" t="str">
        <f t="shared" si="103"/>
        <v>Mar</v>
      </c>
      <c r="AO143" s="344" t="str">
        <f t="shared" si="93"/>
        <v>21-Mar-1992</v>
      </c>
      <c r="AQ143" s="327"/>
      <c r="AR143" s="350">
        <f>A143</f>
        <v>140</v>
      </c>
      <c r="AS143" s="353" t="str">
        <f>IF(V143="",_xlfn.CONCAT(IF(G143="",D143,G143)," (",Q143,"–",V143," : #",AR143,")"),_xlfn.CONCAT(IF(G143="",D143,G143)," (",Q143,"–",V143,": #",AR143,")"))</f>
        <v>Ginie (1961– : #140)</v>
      </c>
      <c r="AT143" s="353" t="str">
        <f>IF(V143="",_xlfn.CONCAT(IF(G143="",D143,G143)," (",Q143,"– ",V143,")"),_xlfn.CONCAT(IF(G143="",D143,G143)," (",Q143,"–",V143,")"))</f>
        <v>Ginie (1961– )</v>
      </c>
      <c r="AU143" s="352" t="str">
        <f t="shared" si="86"/>
        <v>Female</v>
      </c>
      <c r="AV143" s="355" t="s">
        <v>4404</v>
      </c>
      <c r="AW143" s="319" t="str">
        <f>VLOOKUP(AV143,'Mums of Loyd Edit&amp;Partner Edit'!$B$3:$C$66,2,FALSE)</f>
        <v>Veronica Elizabeth HAYNES (b. 4 Dec 1926, )</v>
      </c>
      <c r="AX143" s="360">
        <v>78</v>
      </c>
      <c r="AY143" s="355" t="str">
        <f t="shared" si="94"/>
        <v>Vivian (1894–1972: #78)</v>
      </c>
      <c r="AZ143" s="361">
        <f>VLOOKUP(AX143,Lineage!$A$1:$C$200,2,FALSE)</f>
        <v>46</v>
      </c>
      <c r="BA143" s="362" t="str">
        <f t="shared" si="114"/>
        <v>William (1863–1923: #46)</v>
      </c>
      <c r="BB143" s="368">
        <f>BiographyMarriageDetsCountries!A142</f>
        <v>140</v>
      </c>
      <c r="BC143" s="319"/>
      <c r="BD143" s="362"/>
      <c r="BF143" s="324"/>
      <c r="BG143" s="357">
        <f t="shared" si="104"/>
        <v>140</v>
      </c>
      <c r="BH143" s="289" t="str">
        <f t="shared" si="105"/>
        <v>Virginia Diana Jemima LOYD</v>
      </c>
      <c r="BI143" s="289" t="str">
        <f t="shared" si="106"/>
        <v>Ginie (1961– )</v>
      </c>
      <c r="BJ143" s="304" t="str">
        <f t="shared" si="107"/>
        <v>Female</v>
      </c>
      <c r="BK143" s="304">
        <f t="shared" si="108"/>
        <v>5</v>
      </c>
      <c r="BL143" s="289" t="str">
        <f t="shared" si="109"/>
        <v>Vivian (1894–1972: #78)</v>
      </c>
      <c r="BM143" s="289" t="str">
        <f t="shared" si="110"/>
        <v>Veronica Elizabeth HAYNES (b. 4 Dec 1926, )</v>
      </c>
      <c r="BN143" s="367" t="str">
        <f t="shared" si="111"/>
        <v>27-Aug-1961</v>
      </c>
      <c r="BO143" s="367" t="str">
        <f t="shared" si="112"/>
        <v/>
      </c>
      <c r="BP143" s="365" t="str">
        <f t="shared" si="113"/>
        <v>Aged 60 on 01-Jul-2022.</v>
      </c>
    </row>
    <row r="144" spans="1:68" s="289" customFormat="1" ht="20">
      <c r="A144" s="302">
        <v>141</v>
      </c>
      <c r="B144" s="364">
        <v>6</v>
      </c>
      <c r="C144" s="288" t="s">
        <v>782</v>
      </c>
      <c r="D144" s="289" t="s">
        <v>927</v>
      </c>
      <c r="E144" s="289" t="s">
        <v>870</v>
      </c>
      <c r="H144" s="304" t="s">
        <v>3244</v>
      </c>
      <c r="I144" s="306">
        <v>1961</v>
      </c>
      <c r="J144" s="306" t="s">
        <v>3228</v>
      </c>
      <c r="K144" s="307" t="s">
        <v>4660</v>
      </c>
      <c r="L144" s="308">
        <v>22568</v>
      </c>
      <c r="M144" s="309"/>
      <c r="N144" s="309"/>
      <c r="O144" s="348">
        <f t="shared" si="95"/>
        <v>14</v>
      </c>
      <c r="P144" s="345">
        <f t="shared" si="87"/>
        <v>10</v>
      </c>
      <c r="Q144" s="345">
        <f t="shared" si="88"/>
        <v>1961</v>
      </c>
      <c r="R144" s="344" t="str">
        <f t="shared" si="96"/>
        <v>Oct</v>
      </c>
      <c r="S144" s="344">
        <f t="shared" si="89"/>
        <v>0</v>
      </c>
      <c r="T144" s="344" t="str">
        <f t="shared" si="90"/>
        <v/>
      </c>
      <c r="U144" s="344" t="str">
        <f t="shared" si="91"/>
        <v/>
      </c>
      <c r="V144" s="344" t="str">
        <f t="shared" si="92"/>
        <v/>
      </c>
      <c r="W144" s="344" t="e">
        <f t="shared" si="97"/>
        <v>#N/A</v>
      </c>
      <c r="X144" s="344"/>
      <c r="Y144" s="344"/>
      <c r="Z144" s="314" t="str">
        <f t="shared" si="115"/>
        <v>14-Oct-1961</v>
      </c>
      <c r="AA144" s="314" t="str">
        <f t="shared" si="98"/>
        <v/>
      </c>
      <c r="AB144" s="314" t="e">
        <f t="shared" si="99"/>
        <v>#VALUE!</v>
      </c>
      <c r="AC144" s="314">
        <f t="shared" si="100"/>
        <v>60</v>
      </c>
      <c r="AD144" s="347" t="str">
        <f t="shared" si="101"/>
        <v>Aged 60 on 01-Jul-2022.</v>
      </c>
      <c r="AE144" s="305"/>
      <c r="AF144" s="303"/>
      <c r="AG144" s="303"/>
      <c r="AH144" s="303"/>
      <c r="AI144" s="327">
        <v>34741</v>
      </c>
      <c r="AJ144" s="328" t="s">
        <v>4766</v>
      </c>
      <c r="AK144" s="319" t="str">
        <f t="shared" si="102"/>
        <v>11</v>
      </c>
      <c r="AL144" s="319">
        <f t="shared" si="84"/>
        <v>2</v>
      </c>
      <c r="AM144" s="319">
        <f t="shared" si="85"/>
        <v>1995</v>
      </c>
      <c r="AN144" s="344" t="str">
        <f t="shared" si="103"/>
        <v>Feb</v>
      </c>
      <c r="AO144" s="344" t="str">
        <f t="shared" si="93"/>
        <v>11-Feb-1995</v>
      </c>
      <c r="AQ144" s="327"/>
      <c r="AR144" s="350">
        <f>A144</f>
        <v>141</v>
      </c>
      <c r="AS144" s="353" t="str">
        <f>IF(V144="",_xlfn.CONCAT(IF(G144="",D144,G144)," (",Q144,"–",V144," : #",AR144,")"),_xlfn.CONCAT(IF(G144="",D144,G144)," (",Q144,"–",V144,": #",AR144,")"))</f>
        <v>Alexandra (1961– : #141)</v>
      </c>
      <c r="AT144" s="353" t="str">
        <f>IF(V144="",_xlfn.CONCAT(IF(G144="",D144,G144)," (",Q144,"– ",V144,")"),_xlfn.CONCAT(IF(G144="",D144,G144)," (",Q144,"–",V144,")"))</f>
        <v>Alexandra (1961– )</v>
      </c>
      <c r="AU144" s="352" t="str">
        <f t="shared" si="86"/>
        <v>Female</v>
      </c>
      <c r="AV144" s="355" t="s">
        <v>4408</v>
      </c>
      <c r="AW144" s="319" t="str">
        <f>VLOOKUP(AV144,'Mums of Loyd Edit&amp;Partner Edit'!$B$3:$C$66,2,FALSE)</f>
        <v>Philippa Mary Emma STEEL (b. 5 Dec 1932, d. 27 Oct 2020)</v>
      </c>
      <c r="AX144" s="360">
        <v>104</v>
      </c>
      <c r="AY144" s="355" t="str">
        <f t="shared" si="94"/>
        <v>Sir Julian (1926–2018: #104)</v>
      </c>
      <c r="AZ144" s="361">
        <f>VLOOKUP(AX144,Lineage!$A$1:$C$200,2,FALSE)</f>
        <v>72</v>
      </c>
      <c r="BA144" s="362" t="str">
        <f t="shared" si="114"/>
        <v>Charles (1891–1973: #72)</v>
      </c>
      <c r="BB144" s="368">
        <f>BiographyMarriageDetsCountries!A143</f>
        <v>141</v>
      </c>
      <c r="BC144" s="319"/>
      <c r="BD144" s="362"/>
      <c r="BF144" s="324"/>
      <c r="BG144" s="357">
        <f t="shared" si="104"/>
        <v>141</v>
      </c>
      <c r="BH144" s="289" t="str">
        <f t="shared" si="105"/>
        <v>Alexandra Mary LOYD</v>
      </c>
      <c r="BI144" s="289" t="str">
        <f t="shared" si="106"/>
        <v>Alexandra (1961– )</v>
      </c>
      <c r="BJ144" s="304" t="str">
        <f t="shared" si="107"/>
        <v>Female</v>
      </c>
      <c r="BK144" s="304">
        <f t="shared" si="108"/>
        <v>6</v>
      </c>
      <c r="BL144" s="289" t="str">
        <f t="shared" si="109"/>
        <v>Sir Julian (1926–2018: #104)</v>
      </c>
      <c r="BM144" s="289" t="str">
        <f t="shared" si="110"/>
        <v>Philippa Mary Emma STEEL (b. 5 Dec 1932, d. 27 Oct 2020)</v>
      </c>
      <c r="BN144" s="367" t="str">
        <f t="shared" si="111"/>
        <v>14-Oct-1961</v>
      </c>
      <c r="BO144" s="367" t="str">
        <f t="shared" si="112"/>
        <v/>
      </c>
      <c r="BP144" s="365" t="str">
        <f t="shared" si="113"/>
        <v>Aged 60 on 01-Jul-2022.</v>
      </c>
    </row>
    <row r="145" spans="1:68" s="289" customFormat="1" ht="20">
      <c r="A145" s="302">
        <v>142</v>
      </c>
      <c r="B145" s="364">
        <v>6</v>
      </c>
      <c r="C145" s="288" t="s">
        <v>782</v>
      </c>
      <c r="D145" s="289" t="s">
        <v>928</v>
      </c>
      <c r="E145" s="289" t="s">
        <v>842</v>
      </c>
      <c r="F145" s="289" t="s">
        <v>828</v>
      </c>
      <c r="G145" s="289" t="s">
        <v>1192</v>
      </c>
      <c r="H145" s="304" t="s">
        <v>3245</v>
      </c>
      <c r="I145" s="306">
        <v>1962</v>
      </c>
      <c r="J145" s="306" t="s">
        <v>3228</v>
      </c>
      <c r="K145" s="307" t="s">
        <v>4661</v>
      </c>
      <c r="L145" s="308">
        <v>22731</v>
      </c>
      <c r="M145" s="323"/>
      <c r="N145" s="323"/>
      <c r="O145" s="348">
        <f t="shared" si="95"/>
        <v>26</v>
      </c>
      <c r="P145" s="345">
        <f t="shared" si="87"/>
        <v>3</v>
      </c>
      <c r="Q145" s="345">
        <f t="shared" si="88"/>
        <v>1962</v>
      </c>
      <c r="R145" s="344" t="str">
        <f t="shared" si="96"/>
        <v>Mar</v>
      </c>
      <c r="S145" s="344">
        <f t="shared" si="89"/>
        <v>0</v>
      </c>
      <c r="T145" s="344" t="str">
        <f t="shared" si="90"/>
        <v/>
      </c>
      <c r="U145" s="344" t="str">
        <f t="shared" si="91"/>
        <v/>
      </c>
      <c r="V145" s="344" t="str">
        <f t="shared" si="92"/>
        <v/>
      </c>
      <c r="W145" s="344" t="e">
        <f t="shared" si="97"/>
        <v>#N/A</v>
      </c>
      <c r="X145" s="344"/>
      <c r="Y145" s="344"/>
      <c r="Z145" s="314" t="str">
        <f t="shared" si="115"/>
        <v>26-Mar-1962</v>
      </c>
      <c r="AA145" s="314" t="str">
        <f t="shared" si="98"/>
        <v/>
      </c>
      <c r="AB145" s="314" t="e">
        <f t="shared" si="99"/>
        <v>#VALUE!</v>
      </c>
      <c r="AC145" s="314">
        <f t="shared" si="100"/>
        <v>60</v>
      </c>
      <c r="AD145" s="347" t="str">
        <f t="shared" si="101"/>
        <v>Aged 60 on 01-Jul-2022.</v>
      </c>
      <c r="AE145" s="305"/>
      <c r="AF145" s="303"/>
      <c r="AG145" s="303"/>
      <c r="AH145" s="303"/>
      <c r="AI145" s="327">
        <v>32760</v>
      </c>
      <c r="AJ145" s="328" t="s">
        <v>4759</v>
      </c>
      <c r="AK145" s="319" t="str">
        <f t="shared" si="102"/>
        <v>09</v>
      </c>
      <c r="AL145" s="319">
        <f t="shared" si="84"/>
        <v>9</v>
      </c>
      <c r="AM145" s="319">
        <f t="shared" si="85"/>
        <v>1989</v>
      </c>
      <c r="AN145" s="344" t="str">
        <f t="shared" si="103"/>
        <v>Sep</v>
      </c>
      <c r="AO145" s="344" t="str">
        <f t="shared" si="93"/>
        <v>09-Sep-1989</v>
      </c>
      <c r="AQ145" s="327"/>
      <c r="AR145" s="350">
        <f>A145</f>
        <v>142</v>
      </c>
      <c r="AS145" s="353" t="str">
        <f>IF(V145="",_xlfn.CONCAT(IF(G145="",D145,G145)," (",Q145,"–",V145," : #",AR145,")"),_xlfn.CONCAT(IF(G145="",D145,G145)," (",Q145,"–",V145,": #",AR145,")"))</f>
        <v>Rick (1962– : #142)</v>
      </c>
      <c r="AT145" s="353" t="str">
        <f>IF(V145="",_xlfn.CONCAT(IF(G145="",D145,G145)," (",Q145,"– ",V145,")"),_xlfn.CONCAT(IF(G145="",D145,G145)," (",Q145,"–",V145,")"))</f>
        <v>Rick (1962– )</v>
      </c>
      <c r="AU145" s="352" t="str">
        <f t="shared" si="86"/>
        <v>Male</v>
      </c>
      <c r="AV145" s="355" t="s">
        <v>4402</v>
      </c>
      <c r="AW145" s="319" t="str">
        <f>VLOOKUP(AV145,'Mums of Loyd Edit&amp;Partner Edit'!$B$3:$C$66,2,FALSE)</f>
        <v>Alison Fraser PORTER (b. 21 Feb 1920, d. 6 Sep 2003)</v>
      </c>
      <c r="AX145" s="360">
        <v>94</v>
      </c>
      <c r="AY145" s="355" t="str">
        <f t="shared" si="94"/>
        <v>Alwyne (1920–2014: #94)</v>
      </c>
      <c r="AZ145" s="361">
        <f>VLOOKUP(AX145,Lineage!$A$1:$C$200,2,FALSE)</f>
        <v>68</v>
      </c>
      <c r="BA145" s="362" t="str">
        <f t="shared" si="114"/>
        <v>Cecil (1890–1963: #68)</v>
      </c>
      <c r="BB145" s="368">
        <f>BiographyMarriageDetsCountries!A144</f>
        <v>142</v>
      </c>
      <c r="BC145" s="319"/>
      <c r="BD145" s="362"/>
      <c r="BF145" s="324"/>
      <c r="BG145" s="357">
        <f t="shared" si="104"/>
        <v>142</v>
      </c>
      <c r="BH145" s="289" t="str">
        <f t="shared" si="105"/>
        <v>Richard John Travers LOYD</v>
      </c>
      <c r="BI145" s="289" t="str">
        <f t="shared" si="106"/>
        <v>Rick (1962– )</v>
      </c>
      <c r="BJ145" s="304" t="str">
        <f t="shared" si="107"/>
        <v>Male</v>
      </c>
      <c r="BK145" s="304">
        <f t="shared" si="108"/>
        <v>6</v>
      </c>
      <c r="BL145" s="289" t="str">
        <f t="shared" si="109"/>
        <v>Alwyne (1920–2014: #94)</v>
      </c>
      <c r="BM145" s="289" t="str">
        <f t="shared" si="110"/>
        <v>Alison Fraser PORTER (b. 21 Feb 1920, d. 6 Sep 2003)</v>
      </c>
      <c r="BN145" s="367" t="str">
        <f t="shared" si="111"/>
        <v>26-Mar-1962</v>
      </c>
      <c r="BO145" s="367" t="str">
        <f t="shared" si="112"/>
        <v/>
      </c>
      <c r="BP145" s="365" t="str">
        <f t="shared" si="113"/>
        <v>Aged 60 on 01-Jul-2022.</v>
      </c>
    </row>
    <row r="146" spans="1:68" s="289" customFormat="1" ht="20">
      <c r="A146" s="302">
        <v>143</v>
      </c>
      <c r="B146" s="364">
        <v>6</v>
      </c>
      <c r="C146" s="288" t="s">
        <v>782</v>
      </c>
      <c r="D146" s="289" t="s">
        <v>929</v>
      </c>
      <c r="E146" s="289" t="s">
        <v>930</v>
      </c>
      <c r="H146" s="304" t="s">
        <v>3244</v>
      </c>
      <c r="I146" s="306">
        <v>1962</v>
      </c>
      <c r="J146" s="306" t="s">
        <v>3228</v>
      </c>
      <c r="K146" s="307" t="s">
        <v>4662</v>
      </c>
      <c r="L146" s="308">
        <v>22817</v>
      </c>
      <c r="M146" s="309"/>
      <c r="N146" s="309"/>
      <c r="O146" s="348">
        <f t="shared" si="95"/>
        <v>20</v>
      </c>
      <c r="P146" s="345">
        <f t="shared" si="87"/>
        <v>6</v>
      </c>
      <c r="Q146" s="345">
        <f t="shared" si="88"/>
        <v>1962</v>
      </c>
      <c r="R146" s="344" t="str">
        <f t="shared" si="96"/>
        <v>Jun</v>
      </c>
      <c r="S146" s="344">
        <f t="shared" si="89"/>
        <v>0</v>
      </c>
      <c r="T146" s="344" t="str">
        <f t="shared" si="90"/>
        <v/>
      </c>
      <c r="U146" s="344" t="str">
        <f t="shared" si="91"/>
        <v/>
      </c>
      <c r="V146" s="344" t="str">
        <f t="shared" si="92"/>
        <v/>
      </c>
      <c r="W146" s="344" t="e">
        <f t="shared" si="97"/>
        <v>#N/A</v>
      </c>
      <c r="X146" s="344"/>
      <c r="Y146" s="344"/>
      <c r="Z146" s="314" t="str">
        <f t="shared" si="115"/>
        <v>20-Jun-1962</v>
      </c>
      <c r="AA146" s="314" t="str">
        <f t="shared" si="98"/>
        <v/>
      </c>
      <c r="AB146" s="314" t="e">
        <f t="shared" si="99"/>
        <v>#VALUE!</v>
      </c>
      <c r="AC146" s="314">
        <f t="shared" si="100"/>
        <v>60</v>
      </c>
      <c r="AD146" s="347" t="str">
        <f t="shared" si="101"/>
        <v>Aged 60 on 01-Jul-2022.</v>
      </c>
      <c r="AE146" s="305"/>
      <c r="AF146" s="303"/>
      <c r="AG146" s="303"/>
      <c r="AH146" s="303"/>
      <c r="AI146" s="327">
        <v>31339</v>
      </c>
      <c r="AJ146" s="328" t="s">
        <v>4760</v>
      </c>
      <c r="AK146" s="319" t="str">
        <f t="shared" si="102"/>
        <v>19</v>
      </c>
      <c r="AL146" s="319">
        <f t="shared" si="84"/>
        <v>10</v>
      </c>
      <c r="AM146" s="319">
        <f t="shared" si="85"/>
        <v>1985</v>
      </c>
      <c r="AN146" s="344" t="str">
        <f t="shared" si="103"/>
        <v>Oct</v>
      </c>
      <c r="AO146" s="344" t="str">
        <f t="shared" si="93"/>
        <v>19-Oct-1985</v>
      </c>
      <c r="AQ146" s="327"/>
      <c r="AR146" s="350">
        <f>A146</f>
        <v>143</v>
      </c>
      <c r="AS146" s="353" t="str">
        <f>IF(V146="",_xlfn.CONCAT(IF(G146="",D146,G146)," (",Q146,"–",V146," : #",AR146,")"),_xlfn.CONCAT(IF(G146="",D146,G146)," (",Q146,"–",V146,": #",AR146,")"))</f>
        <v>Harriet (1962– : #143)</v>
      </c>
      <c r="AT146" s="353" t="str">
        <f>IF(V146="",_xlfn.CONCAT(IF(G146="",D146,G146)," (",Q146,"– ",V146,")"),_xlfn.CONCAT(IF(G146="",D146,G146)," (",Q146,"–",V146,")"))</f>
        <v>Harriet (1962– )</v>
      </c>
      <c r="AU146" s="352" t="str">
        <f t="shared" si="86"/>
        <v>Female</v>
      </c>
      <c r="AV146" s="355" t="s">
        <v>4407</v>
      </c>
      <c r="AW146" s="319" t="str">
        <f>VLOOKUP(AV146,'Mums of Loyd Edit&amp;Partner Edit'!$B$3:$C$66,2,FALSE)</f>
        <v>Joanna SMITH-BINGHAM (b. 17 Nov 1935, )</v>
      </c>
      <c r="AX146" s="360">
        <v>100</v>
      </c>
      <c r="AY146" s="355" t="str">
        <f t="shared" si="94"/>
        <v>Christopher (1923–2013: #100)</v>
      </c>
      <c r="AZ146" s="361">
        <f>VLOOKUP(AX146,Lineage!$A$1:$C$200,2,FALSE)</f>
        <v>56</v>
      </c>
      <c r="BA146" s="362" t="str">
        <f t="shared" si="114"/>
        <v>Tommy (1882–1944: #56)</v>
      </c>
      <c r="BB146" s="368">
        <f>BiographyMarriageDetsCountries!A145</f>
        <v>143</v>
      </c>
      <c r="BC146" s="319"/>
      <c r="BD146" s="362"/>
      <c r="BF146" s="324"/>
      <c r="BG146" s="357">
        <f t="shared" si="104"/>
        <v>143</v>
      </c>
      <c r="BH146" s="289" t="str">
        <f t="shared" si="105"/>
        <v>Harriet Sara LOYD</v>
      </c>
      <c r="BI146" s="289" t="str">
        <f t="shared" si="106"/>
        <v>Harriet (1962– )</v>
      </c>
      <c r="BJ146" s="304" t="str">
        <f t="shared" si="107"/>
        <v>Female</v>
      </c>
      <c r="BK146" s="304">
        <f t="shared" si="108"/>
        <v>6</v>
      </c>
      <c r="BL146" s="289" t="str">
        <f t="shared" si="109"/>
        <v>Christopher (1923–2013: #100)</v>
      </c>
      <c r="BM146" s="289" t="str">
        <f t="shared" si="110"/>
        <v>Joanna SMITH-BINGHAM (b. 17 Nov 1935, )</v>
      </c>
      <c r="BN146" s="367" t="str">
        <f t="shared" si="111"/>
        <v>20-Jun-1962</v>
      </c>
      <c r="BO146" s="367" t="str">
        <f t="shared" si="112"/>
        <v/>
      </c>
      <c r="BP146" s="365" t="str">
        <f t="shared" si="113"/>
        <v>Aged 60 on 01-Jul-2022.</v>
      </c>
    </row>
    <row r="147" spans="1:68" s="289" customFormat="1" ht="20">
      <c r="A147" s="302">
        <v>144</v>
      </c>
      <c r="B147" s="364">
        <v>6</v>
      </c>
      <c r="C147" s="288" t="s">
        <v>782</v>
      </c>
      <c r="D147" s="289" t="s">
        <v>885</v>
      </c>
      <c r="E147" s="289" t="s">
        <v>886</v>
      </c>
      <c r="H147" s="304" t="s">
        <v>3245</v>
      </c>
      <c r="I147" s="306">
        <v>1962</v>
      </c>
      <c r="J147" s="306" t="s">
        <v>3228</v>
      </c>
      <c r="K147" s="307" t="s">
        <v>4663</v>
      </c>
      <c r="L147" s="308">
        <v>22951</v>
      </c>
      <c r="M147" s="309"/>
      <c r="N147" s="309"/>
      <c r="O147" s="348">
        <f t="shared" si="95"/>
        <v>1</v>
      </c>
      <c r="P147" s="345">
        <f t="shared" si="87"/>
        <v>11</v>
      </c>
      <c r="Q147" s="345">
        <f t="shared" si="88"/>
        <v>1962</v>
      </c>
      <c r="R147" s="344" t="str">
        <f t="shared" si="96"/>
        <v>Nov</v>
      </c>
      <c r="S147" s="344">
        <f t="shared" si="89"/>
        <v>0</v>
      </c>
      <c r="T147" s="344" t="str">
        <f t="shared" si="90"/>
        <v/>
      </c>
      <c r="U147" s="344" t="str">
        <f t="shared" si="91"/>
        <v/>
      </c>
      <c r="V147" s="344" t="str">
        <f t="shared" si="92"/>
        <v/>
      </c>
      <c r="W147" s="344" t="e">
        <f t="shared" si="97"/>
        <v>#N/A</v>
      </c>
      <c r="X147" s="344"/>
      <c r="Y147" s="344"/>
      <c r="Z147" s="314" t="str">
        <f t="shared" si="115"/>
        <v>01-Nov-1962</v>
      </c>
      <c r="AA147" s="314" t="str">
        <f t="shared" si="98"/>
        <v/>
      </c>
      <c r="AB147" s="314" t="e">
        <f t="shared" si="99"/>
        <v>#VALUE!</v>
      </c>
      <c r="AC147" s="314">
        <f t="shared" si="100"/>
        <v>59</v>
      </c>
      <c r="AD147" s="347" t="str">
        <f t="shared" si="101"/>
        <v>Aged 59 on 01-Jul-2022.</v>
      </c>
      <c r="AE147" s="305"/>
      <c r="AF147" s="303"/>
      <c r="AG147" s="303"/>
      <c r="AH147" s="303"/>
      <c r="AI147" s="289" t="s">
        <v>2793</v>
      </c>
      <c r="AJ147" s="289" t="s">
        <v>2793</v>
      </c>
      <c r="AK147" s="319" t="str">
        <f t="shared" si="102"/>
        <v xml:space="preserve"> -</v>
      </c>
      <c r="AL147" s="319" t="str">
        <f t="shared" si="84"/>
        <v xml:space="preserve"> -</v>
      </c>
      <c r="AM147" s="319" t="str">
        <f t="shared" si="85"/>
        <v xml:space="preserve"> -</v>
      </c>
      <c r="AN147" s="344" t="str">
        <f t="shared" si="103"/>
        <v xml:space="preserve"> -</v>
      </c>
      <c r="AO147" s="344" t="str">
        <f t="shared" si="93"/>
        <v xml:space="preserve"> -</v>
      </c>
      <c r="AR147" s="350">
        <f>A147</f>
        <v>144</v>
      </c>
      <c r="AS147" s="353" t="str">
        <f>IF(V147="",_xlfn.CONCAT(IF(G147="",D147,G147)," (",Q147,"–",V147," : #",AR147,")"),_xlfn.CONCAT(IF(G147="",D147,G147)," (",Q147,"–",V147,": #",AR147,")"))</f>
        <v>Andrew (1962– : #144)</v>
      </c>
      <c r="AT147" s="353" t="str">
        <f>IF(V147="",_xlfn.CONCAT(IF(G147="",D147,G147)," (",Q147,"– ",V147,")"),_xlfn.CONCAT(IF(G147="",D147,G147)," (",Q147,"–",V147,")"))</f>
        <v>Andrew (1962– )</v>
      </c>
      <c r="AU147" s="352" t="str">
        <f t="shared" si="86"/>
        <v>Male</v>
      </c>
      <c r="AV147" s="355" t="s">
        <v>4406</v>
      </c>
      <c r="AW147" s="319" t="str">
        <f>VLOOKUP(AV147,'Mums of Loyd Edit&amp;Partner Edit'!$B$3:$C$66,2,FALSE)</f>
        <v>Sally Elizabeth Jane INGLIS (b. 18 Jan 1931, d. 27 Aug 2020)</v>
      </c>
      <c r="AX147" s="360">
        <v>99</v>
      </c>
      <c r="AY147" s="355" t="str">
        <f t="shared" si="94"/>
        <v>Peter (1923–1974: #99)</v>
      </c>
      <c r="AZ147" s="361">
        <f>VLOOKUP(AX147,Lineage!$A$1:$C$200,2,FALSE)</f>
        <v>66</v>
      </c>
      <c r="BA147" s="362" t="str">
        <f t="shared" si="114"/>
        <v>William (1889–1947: #66)</v>
      </c>
      <c r="BB147" s="368">
        <f>BiographyMarriageDetsCountries!A146</f>
        <v>144</v>
      </c>
      <c r="BC147" s="319"/>
      <c r="BD147" s="362"/>
      <c r="BF147" s="324"/>
      <c r="BG147" s="357">
        <f t="shared" si="104"/>
        <v>144</v>
      </c>
      <c r="BH147" s="289" t="str">
        <f t="shared" si="105"/>
        <v>Andrew Wyndham LOYD</v>
      </c>
      <c r="BI147" s="289" t="str">
        <f t="shared" si="106"/>
        <v>Andrew (1962– )</v>
      </c>
      <c r="BJ147" s="304" t="str">
        <f t="shared" si="107"/>
        <v>Male</v>
      </c>
      <c r="BK147" s="304">
        <f t="shared" si="108"/>
        <v>6</v>
      </c>
      <c r="BL147" s="289" t="str">
        <f t="shared" si="109"/>
        <v>Peter (1923–1974: #99)</v>
      </c>
      <c r="BM147" s="289" t="str">
        <f t="shared" si="110"/>
        <v>Sally Elizabeth Jane INGLIS (b. 18 Jan 1931, d. 27 Aug 2020)</v>
      </c>
      <c r="BN147" s="367" t="str">
        <f t="shared" si="111"/>
        <v>01-Nov-1962</v>
      </c>
      <c r="BO147" s="367" t="str">
        <f t="shared" si="112"/>
        <v/>
      </c>
      <c r="BP147" s="365" t="str">
        <f t="shared" si="113"/>
        <v>Aged 59 on 01-Jul-2022.</v>
      </c>
    </row>
    <row r="148" spans="1:68" s="289" customFormat="1" ht="20">
      <c r="A148" s="302">
        <v>145</v>
      </c>
      <c r="B148" s="364">
        <v>6</v>
      </c>
      <c r="C148" s="288" t="s">
        <v>782</v>
      </c>
      <c r="D148" s="289" t="s">
        <v>931</v>
      </c>
      <c r="E148" s="289" t="s">
        <v>932</v>
      </c>
      <c r="F148" s="289" t="s">
        <v>822</v>
      </c>
      <c r="G148" s="289" t="s">
        <v>1185</v>
      </c>
      <c r="H148" s="304" t="s">
        <v>3245</v>
      </c>
      <c r="I148" s="306">
        <v>1963</v>
      </c>
      <c r="J148" s="306" t="s">
        <v>3228</v>
      </c>
      <c r="K148" s="307" t="s">
        <v>4664</v>
      </c>
      <c r="L148" s="308">
        <v>23047</v>
      </c>
      <c r="M148" s="309"/>
      <c r="N148" s="309"/>
      <c r="O148" s="348">
        <f t="shared" si="95"/>
        <v>5</v>
      </c>
      <c r="P148" s="345">
        <f t="shared" si="87"/>
        <v>2</v>
      </c>
      <c r="Q148" s="345">
        <f t="shared" si="88"/>
        <v>1963</v>
      </c>
      <c r="R148" s="344" t="str">
        <f t="shared" si="96"/>
        <v>Feb</v>
      </c>
      <c r="S148" s="344">
        <f t="shared" si="89"/>
        <v>0</v>
      </c>
      <c r="T148" s="344" t="str">
        <f t="shared" si="90"/>
        <v/>
      </c>
      <c r="U148" s="344" t="str">
        <f t="shared" si="91"/>
        <v/>
      </c>
      <c r="V148" s="344" t="str">
        <f t="shared" si="92"/>
        <v/>
      </c>
      <c r="W148" s="344" t="e">
        <f t="shared" si="97"/>
        <v>#N/A</v>
      </c>
      <c r="X148" s="344"/>
      <c r="Y148" s="344"/>
      <c r="Z148" s="314" t="str">
        <f t="shared" si="115"/>
        <v>05-Feb-1963</v>
      </c>
      <c r="AA148" s="314" t="str">
        <f t="shared" si="98"/>
        <v/>
      </c>
      <c r="AB148" s="314" t="e">
        <f t="shared" si="99"/>
        <v>#VALUE!</v>
      </c>
      <c r="AC148" s="314">
        <f t="shared" si="100"/>
        <v>59</v>
      </c>
      <c r="AD148" s="347" t="str">
        <f t="shared" si="101"/>
        <v>Aged 59 on 01-Jul-2022.</v>
      </c>
      <c r="AE148" s="305"/>
      <c r="AF148" s="303"/>
      <c r="AG148" s="303"/>
      <c r="AH148" s="303"/>
      <c r="AI148" s="327">
        <v>36805</v>
      </c>
      <c r="AJ148" s="328" t="s">
        <v>4783</v>
      </c>
      <c r="AK148" s="319" t="str">
        <f t="shared" si="102"/>
        <v>06</v>
      </c>
      <c r="AL148" s="319">
        <f t="shared" si="84"/>
        <v>10</v>
      </c>
      <c r="AM148" s="319">
        <f t="shared" si="85"/>
        <v>2000</v>
      </c>
      <c r="AN148" s="344" t="str">
        <f t="shared" si="103"/>
        <v>Oct</v>
      </c>
      <c r="AO148" s="344" t="str">
        <f t="shared" si="93"/>
        <v>06-Oct-2000</v>
      </c>
      <c r="AQ148" s="327"/>
      <c r="AR148" s="350">
        <f>A148</f>
        <v>145</v>
      </c>
      <c r="AS148" s="353" t="str">
        <f>IF(V148="",_xlfn.CONCAT(IF(G148="",D148,G148)," (",Q148,"–",V148," : #",AR148,")"),_xlfn.CONCAT(IF(G148="",D148,G148)," (",Q148,"–",V148,": #",AR148,")"))</f>
        <v>Tony (1963– : #145)</v>
      </c>
      <c r="AT148" s="353" t="str">
        <f>IF(V148="",_xlfn.CONCAT(IF(G148="",D148,G148)," (",Q148,"– ",V148,")"),_xlfn.CONCAT(IF(G148="",D148,G148)," (",Q148,"–",V148,")"))</f>
        <v>Tony (1963– )</v>
      </c>
      <c r="AU148" s="352" t="str">
        <f t="shared" si="86"/>
        <v>Male</v>
      </c>
      <c r="AV148" s="355" t="s">
        <v>4409</v>
      </c>
      <c r="AW148" s="319" t="str">
        <f>VLOOKUP(AV148,'Mums of Loyd Edit&amp;Partner Edit'!$B$3:$C$66,2,FALSE)</f>
        <v>Rosemary Joan (Rosie) MOIR (b. 23 Feb 1942, d. 12 Mar 1997)</v>
      </c>
      <c r="AX148" s="360">
        <v>98</v>
      </c>
      <c r="AY148" s="355" t="str">
        <f t="shared" si="94"/>
        <v>Peter (1922–2022: #98)</v>
      </c>
      <c r="AZ148" s="361">
        <f>VLOOKUP(AX148,Lineage!$A$1:$C$200,2,FALSE)</f>
        <v>77</v>
      </c>
      <c r="BA148" s="362" t="str">
        <f t="shared" si="114"/>
        <v>Wilfrid (1893–1971: #77)</v>
      </c>
      <c r="BB148" s="368">
        <f>BiographyMarriageDetsCountries!A147</f>
        <v>145</v>
      </c>
      <c r="BC148" s="319"/>
      <c r="BD148" s="362"/>
      <c r="BF148" s="324"/>
      <c r="BG148" s="357">
        <f t="shared" si="104"/>
        <v>145</v>
      </c>
      <c r="BH148" s="289" t="str">
        <f t="shared" si="105"/>
        <v>Anthony Simon Haig LOYD</v>
      </c>
      <c r="BI148" s="289" t="str">
        <f t="shared" si="106"/>
        <v>Tony (1963– )</v>
      </c>
      <c r="BJ148" s="304" t="str">
        <f t="shared" si="107"/>
        <v>Male</v>
      </c>
      <c r="BK148" s="304">
        <f t="shared" si="108"/>
        <v>6</v>
      </c>
      <c r="BL148" s="289" t="str">
        <f t="shared" si="109"/>
        <v>Peter (1922–2022: #98)</v>
      </c>
      <c r="BM148" s="289" t="str">
        <f t="shared" si="110"/>
        <v>Rosemary Joan (Rosie) MOIR (b. 23 Feb 1942, d. 12 Mar 1997)</v>
      </c>
      <c r="BN148" s="367" t="str">
        <f t="shared" si="111"/>
        <v>05-Feb-1963</v>
      </c>
      <c r="BO148" s="367" t="str">
        <f t="shared" si="112"/>
        <v/>
      </c>
      <c r="BP148" s="365" t="str">
        <f t="shared" si="113"/>
        <v>Aged 59 on 01-Jul-2022.</v>
      </c>
    </row>
    <row r="149" spans="1:68" s="289" customFormat="1" ht="20">
      <c r="A149" s="302">
        <v>146</v>
      </c>
      <c r="B149" s="364">
        <v>6</v>
      </c>
      <c r="C149" s="288" t="s">
        <v>782</v>
      </c>
      <c r="D149" s="289" t="s">
        <v>917</v>
      </c>
      <c r="E149" s="289" t="s">
        <v>931</v>
      </c>
      <c r="H149" s="304" t="s">
        <v>3245</v>
      </c>
      <c r="I149" s="306">
        <v>1963</v>
      </c>
      <c r="J149" s="306" t="s">
        <v>3228</v>
      </c>
      <c r="K149" s="307" t="s">
        <v>4665</v>
      </c>
      <c r="L149" s="308">
        <v>23090</v>
      </c>
      <c r="M149" s="309"/>
      <c r="N149" s="309"/>
      <c r="O149" s="348">
        <f t="shared" si="95"/>
        <v>20</v>
      </c>
      <c r="P149" s="345">
        <f t="shared" si="87"/>
        <v>3</v>
      </c>
      <c r="Q149" s="345">
        <f t="shared" si="88"/>
        <v>1963</v>
      </c>
      <c r="R149" s="344" t="str">
        <f t="shared" si="96"/>
        <v>Mar</v>
      </c>
      <c r="S149" s="344">
        <f t="shared" si="89"/>
        <v>0</v>
      </c>
      <c r="T149" s="344" t="str">
        <f t="shared" si="90"/>
        <v/>
      </c>
      <c r="U149" s="344" t="str">
        <f t="shared" si="91"/>
        <v/>
      </c>
      <c r="V149" s="344" t="str">
        <f t="shared" si="92"/>
        <v/>
      </c>
      <c r="W149" s="344" t="e">
        <f t="shared" si="97"/>
        <v>#N/A</v>
      </c>
      <c r="X149" s="344"/>
      <c r="Y149" s="344"/>
      <c r="Z149" s="314" t="str">
        <f t="shared" si="115"/>
        <v>20-Mar-1963</v>
      </c>
      <c r="AA149" s="314" t="str">
        <f t="shared" si="98"/>
        <v/>
      </c>
      <c r="AB149" s="314" t="e">
        <f t="shared" si="99"/>
        <v>#VALUE!</v>
      </c>
      <c r="AC149" s="314">
        <f t="shared" si="100"/>
        <v>59</v>
      </c>
      <c r="AD149" s="347" t="str">
        <f t="shared" si="101"/>
        <v>Aged 59 on 01-Jul-2022.</v>
      </c>
      <c r="AE149" s="305"/>
      <c r="AF149" s="303"/>
      <c r="AG149" s="303"/>
      <c r="AH149" s="303"/>
      <c r="AI149" s="327">
        <v>35322</v>
      </c>
      <c r="AJ149" s="328" t="s">
        <v>4767</v>
      </c>
      <c r="AK149" s="319" t="str">
        <f t="shared" si="102"/>
        <v>14</v>
      </c>
      <c r="AL149" s="319">
        <f t="shared" si="84"/>
        <v>9</v>
      </c>
      <c r="AM149" s="319">
        <f t="shared" si="85"/>
        <v>1996</v>
      </c>
      <c r="AN149" s="344" t="str">
        <f t="shared" si="103"/>
        <v>Sep</v>
      </c>
      <c r="AO149" s="344" t="str">
        <f t="shared" si="93"/>
        <v>14-Sep-1996</v>
      </c>
      <c r="AQ149" s="327"/>
      <c r="AR149" s="350">
        <f>A149</f>
        <v>146</v>
      </c>
      <c r="AS149" s="353" t="str">
        <f>IF(V149="",_xlfn.CONCAT(IF(G149="",D149,G149)," (",Q149,"–",V149," : #",AR149,")"),_xlfn.CONCAT(IF(G149="",D149,G149)," (",Q149,"–",V149,": #",AR149,")"))</f>
        <v>Charles (1963– : #146)</v>
      </c>
      <c r="AT149" s="353" t="str">
        <f>IF(V149="",_xlfn.CONCAT(IF(G149="",D149,G149)," (",Q149,"– ",V149,")"),_xlfn.CONCAT(IF(G149="",D149,G149)," (",Q149,"–",V149,")"))</f>
        <v>Charles (1963– )</v>
      </c>
      <c r="AU149" s="352" t="str">
        <f t="shared" si="86"/>
        <v>Male</v>
      </c>
      <c r="AV149" s="355" t="s">
        <v>4408</v>
      </c>
      <c r="AW149" s="319" t="str">
        <f>VLOOKUP(AV149,'Mums of Loyd Edit&amp;Partner Edit'!$B$3:$C$66,2,FALSE)</f>
        <v>Philippa Mary Emma STEEL (b. 5 Dec 1932, d. 27 Oct 2020)</v>
      </c>
      <c r="AX149" s="360">
        <v>104</v>
      </c>
      <c r="AY149" s="355" t="str">
        <f t="shared" si="94"/>
        <v>Sir Julian (1926–2018: #104)</v>
      </c>
      <c r="AZ149" s="361">
        <f>VLOOKUP(AX149,Lineage!$A$1:$C$200,2,FALSE)</f>
        <v>72</v>
      </c>
      <c r="BA149" s="362" t="str">
        <f t="shared" si="114"/>
        <v>Charles (1891–1973: #72)</v>
      </c>
      <c r="BB149" s="368">
        <f>BiographyMarriageDetsCountries!A148</f>
        <v>146</v>
      </c>
      <c r="BC149" s="319"/>
      <c r="BD149" s="362"/>
      <c r="BF149" s="324"/>
      <c r="BG149" s="357">
        <f t="shared" si="104"/>
        <v>146</v>
      </c>
      <c r="BH149" s="289" t="str">
        <f t="shared" si="105"/>
        <v>Charles Anthony LOYD</v>
      </c>
      <c r="BI149" s="289" t="str">
        <f t="shared" si="106"/>
        <v>Charles (1963– )</v>
      </c>
      <c r="BJ149" s="304" t="str">
        <f t="shared" si="107"/>
        <v>Male</v>
      </c>
      <c r="BK149" s="304">
        <f t="shared" si="108"/>
        <v>6</v>
      </c>
      <c r="BL149" s="289" t="str">
        <f t="shared" si="109"/>
        <v>Sir Julian (1926–2018: #104)</v>
      </c>
      <c r="BM149" s="289" t="str">
        <f t="shared" si="110"/>
        <v>Philippa Mary Emma STEEL (b. 5 Dec 1932, d. 27 Oct 2020)</v>
      </c>
      <c r="BN149" s="367" t="str">
        <f t="shared" si="111"/>
        <v>20-Mar-1963</v>
      </c>
      <c r="BO149" s="367" t="str">
        <f t="shared" si="112"/>
        <v/>
      </c>
      <c r="BP149" s="365" t="str">
        <f t="shared" si="113"/>
        <v>Aged 59 on 01-Jul-2022.</v>
      </c>
    </row>
    <row r="150" spans="1:68" s="289" customFormat="1" ht="20">
      <c r="A150" s="302">
        <v>147</v>
      </c>
      <c r="B150" s="364">
        <v>6</v>
      </c>
      <c r="C150" s="288" t="s">
        <v>782</v>
      </c>
      <c r="D150" s="289" t="s">
        <v>933</v>
      </c>
      <c r="E150" s="289" t="s">
        <v>870</v>
      </c>
      <c r="H150" s="304" t="s">
        <v>3244</v>
      </c>
      <c r="I150" s="306">
        <v>1965</v>
      </c>
      <c r="J150" s="306" t="s">
        <v>3228</v>
      </c>
      <c r="K150" s="307" t="s">
        <v>4666</v>
      </c>
      <c r="L150" s="308">
        <v>24014</v>
      </c>
      <c r="M150" s="309"/>
      <c r="N150" s="309"/>
      <c r="O150" s="348">
        <f t="shared" si="95"/>
        <v>29</v>
      </c>
      <c r="P150" s="345">
        <f t="shared" si="87"/>
        <v>9</v>
      </c>
      <c r="Q150" s="345">
        <f t="shared" si="88"/>
        <v>1965</v>
      </c>
      <c r="R150" s="344" t="str">
        <f t="shared" si="96"/>
        <v>Sep</v>
      </c>
      <c r="S150" s="344">
        <f t="shared" si="89"/>
        <v>0</v>
      </c>
      <c r="T150" s="344" t="str">
        <f t="shared" si="90"/>
        <v/>
      </c>
      <c r="U150" s="344" t="str">
        <f t="shared" si="91"/>
        <v/>
      </c>
      <c r="V150" s="344" t="str">
        <f t="shared" si="92"/>
        <v/>
      </c>
      <c r="W150" s="344" t="e">
        <f t="shared" si="97"/>
        <v>#N/A</v>
      </c>
      <c r="X150" s="344"/>
      <c r="Y150" s="344"/>
      <c r="Z150" s="314" t="str">
        <f t="shared" si="115"/>
        <v>29-Sep-1965</v>
      </c>
      <c r="AA150" s="314" t="str">
        <f t="shared" si="98"/>
        <v/>
      </c>
      <c r="AB150" s="314" t="e">
        <f t="shared" si="99"/>
        <v>#VALUE!</v>
      </c>
      <c r="AC150" s="314">
        <f t="shared" si="100"/>
        <v>56</v>
      </c>
      <c r="AD150" s="347" t="str">
        <f t="shared" si="101"/>
        <v>Aged 56 on 01-Jul-2022.</v>
      </c>
      <c r="AE150" s="305"/>
      <c r="AF150" s="303"/>
      <c r="AG150" s="303"/>
      <c r="AH150" s="303"/>
      <c r="AI150" s="327">
        <v>38849</v>
      </c>
      <c r="AJ150" s="328" t="s">
        <v>4768</v>
      </c>
      <c r="AK150" s="319" t="str">
        <f t="shared" si="102"/>
        <v>12</v>
      </c>
      <c r="AL150" s="319">
        <f t="shared" si="84"/>
        <v>5</v>
      </c>
      <c r="AM150" s="319">
        <f t="shared" si="85"/>
        <v>2006</v>
      </c>
      <c r="AN150" s="344" t="str">
        <f t="shared" si="103"/>
        <v>May</v>
      </c>
      <c r="AO150" s="344" t="str">
        <f t="shared" si="93"/>
        <v>12-May-2006</v>
      </c>
      <c r="AQ150" s="327"/>
      <c r="AR150" s="350">
        <f>A150</f>
        <v>147</v>
      </c>
      <c r="AS150" s="353" t="str">
        <f>IF(V150="",_xlfn.CONCAT(IF(G150="",D150,G150)," (",Q150,"–",V150," : #",AR150,")"),_xlfn.CONCAT(IF(G150="",D150,G150)," (",Q150,"–",V150,": #",AR150,")"))</f>
        <v>Susannah (1965– : #147)</v>
      </c>
      <c r="AT150" s="353" t="str">
        <f>IF(V150="",_xlfn.CONCAT(IF(G150="",D150,G150)," (",Q150,"– ",V150,")"),_xlfn.CONCAT(IF(G150="",D150,G150)," (",Q150,"–",V150,")"))</f>
        <v>Susannah (1965– )</v>
      </c>
      <c r="AU150" s="352" t="str">
        <f t="shared" si="86"/>
        <v>Female</v>
      </c>
      <c r="AV150" s="355" t="s">
        <v>4410</v>
      </c>
      <c r="AW150" s="319" t="str">
        <f>VLOOKUP(AV150,'Mums of Loyd Edit&amp;Partner Edit'!$B$3:$C$66,2,FALSE)</f>
        <v>Mary DAVIES (b. 6 Aug 1939, d. 17 Feb 1997)</v>
      </c>
      <c r="AX150" s="360">
        <v>117</v>
      </c>
      <c r="AY150" s="355" t="str">
        <f t="shared" si="94"/>
        <v>Patrick (1942– : #117)</v>
      </c>
      <c r="AZ150" s="361">
        <f>VLOOKUP(AX150,Lineage!$A$1:$C$200,2,FALSE)</f>
        <v>55</v>
      </c>
      <c r="BA150" s="362" t="str">
        <f t="shared" si="114"/>
        <v>Dick (1882–1950: #55)</v>
      </c>
      <c r="BB150" s="368">
        <f>BiographyMarriageDetsCountries!A149</f>
        <v>147</v>
      </c>
      <c r="BC150" s="319"/>
      <c r="BD150" s="362"/>
      <c r="BF150" s="324"/>
      <c r="BG150" s="357">
        <f t="shared" si="104"/>
        <v>147</v>
      </c>
      <c r="BH150" s="289" t="str">
        <f t="shared" si="105"/>
        <v>Susannah Mary LOYD</v>
      </c>
      <c r="BI150" s="289" t="str">
        <f t="shared" si="106"/>
        <v>Susannah (1965– )</v>
      </c>
      <c r="BJ150" s="304" t="str">
        <f t="shared" si="107"/>
        <v>Female</v>
      </c>
      <c r="BK150" s="304">
        <f t="shared" si="108"/>
        <v>6</v>
      </c>
      <c r="BL150" s="289" t="str">
        <f t="shared" si="109"/>
        <v>Patrick (1942– : #117)</v>
      </c>
      <c r="BM150" s="289" t="str">
        <f t="shared" si="110"/>
        <v>Mary DAVIES (b. 6 Aug 1939, d. 17 Feb 1997)</v>
      </c>
      <c r="BN150" s="367" t="str">
        <f t="shared" si="111"/>
        <v>29-Sep-1965</v>
      </c>
      <c r="BO150" s="367" t="str">
        <f t="shared" si="112"/>
        <v/>
      </c>
      <c r="BP150" s="365" t="str">
        <f t="shared" si="113"/>
        <v>Aged 56 on 01-Jul-2022.</v>
      </c>
    </row>
    <row r="151" spans="1:68" s="289" customFormat="1" ht="40">
      <c r="A151" s="302">
        <v>148</v>
      </c>
      <c r="B151" s="364">
        <v>6</v>
      </c>
      <c r="C151" s="288" t="s">
        <v>782</v>
      </c>
      <c r="D151" s="289" t="s">
        <v>848</v>
      </c>
      <c r="E151" s="289" t="s">
        <v>934</v>
      </c>
      <c r="G151" s="289" t="s">
        <v>934</v>
      </c>
      <c r="H151" s="304" t="s">
        <v>3245</v>
      </c>
      <c r="I151" s="306">
        <v>1966</v>
      </c>
      <c r="J151" s="306">
        <v>1966</v>
      </c>
      <c r="K151" s="307" t="s">
        <v>4667</v>
      </c>
      <c r="L151" s="308">
        <v>24197</v>
      </c>
      <c r="M151" s="323" t="s">
        <v>3818</v>
      </c>
      <c r="N151" s="323"/>
      <c r="O151" s="348">
        <f t="shared" si="95"/>
        <v>31</v>
      </c>
      <c r="P151" s="345">
        <f t="shared" si="87"/>
        <v>3</v>
      </c>
      <c r="Q151" s="345">
        <f t="shared" si="88"/>
        <v>1966</v>
      </c>
      <c r="R151" s="344" t="str">
        <f t="shared" si="96"/>
        <v>Mar</v>
      </c>
      <c r="S151" s="344">
        <f t="shared" si="89"/>
        <v>10</v>
      </c>
      <c r="T151" s="344">
        <f t="shared" si="90"/>
        <v>1</v>
      </c>
      <c r="U151" s="344">
        <f t="shared" si="91"/>
        <v>4</v>
      </c>
      <c r="V151" s="344">
        <f t="shared" si="92"/>
        <v>1966</v>
      </c>
      <c r="W151" s="344" t="str">
        <f t="shared" si="97"/>
        <v>Apr</v>
      </c>
      <c r="X151" s="344"/>
      <c r="Y151" s="344"/>
      <c r="Z151" s="314" t="str">
        <f t="shared" si="115"/>
        <v>31-Mar-1966</v>
      </c>
      <c r="AA151" s="314" t="str">
        <f t="shared" si="98"/>
        <v>01-Apr-1966</v>
      </c>
      <c r="AB151" s="314">
        <f t="shared" si="99"/>
        <v>0</v>
      </c>
      <c r="AC151" s="314">
        <f t="shared" si="100"/>
        <v>55</v>
      </c>
      <c r="AD151" s="347" t="str">
        <f t="shared" si="101"/>
        <v>Died in Infancy 01-Apr-1966.</v>
      </c>
      <c r="AE151" s="305"/>
      <c r="AF151" s="303"/>
      <c r="AG151" s="303"/>
      <c r="AH151" s="303"/>
      <c r="AI151" s="289" t="s">
        <v>2793</v>
      </c>
      <c r="AJ151" s="289" t="s">
        <v>2793</v>
      </c>
      <c r="AK151" s="319" t="str">
        <f t="shared" si="102"/>
        <v xml:space="preserve"> -</v>
      </c>
      <c r="AL151" s="319" t="str">
        <f t="shared" si="84"/>
        <v xml:space="preserve"> -</v>
      </c>
      <c r="AM151" s="319" t="str">
        <f t="shared" si="85"/>
        <v xml:space="preserve"> -</v>
      </c>
      <c r="AN151" s="344" t="str">
        <f t="shared" si="103"/>
        <v xml:space="preserve"> -</v>
      </c>
      <c r="AO151" s="344" t="str">
        <f t="shared" si="93"/>
        <v xml:space="preserve"> -</v>
      </c>
      <c r="AR151" s="350">
        <f>A151</f>
        <v>148</v>
      </c>
      <c r="AS151" s="353" t="str">
        <f>IF(V151="",_xlfn.CONCAT(IF(G151="",D151,G151)," (",Q151,"–",V151," : #",AR151,")"),_xlfn.CONCAT(IF(G151="",D151,G151)," (",Q151,"–",V151,": #",AR151,")"))</f>
        <v>Toby (1966–1966: #148)</v>
      </c>
      <c r="AT151" s="353" t="str">
        <f>IF(V151="",_xlfn.CONCAT(IF(G151="",D151,G151)," (",Q151,"– ",V151,")"),_xlfn.CONCAT(IF(G151="",D151,G151)," (",Q151,"–",V151,")"))</f>
        <v>Toby (1966–1966)</v>
      </c>
      <c r="AU151" s="352" t="str">
        <f t="shared" si="86"/>
        <v>Male</v>
      </c>
      <c r="AV151" s="355" t="s">
        <v>4408</v>
      </c>
      <c r="AW151" s="319" t="str">
        <f>VLOOKUP(AV151,'Mums of Loyd Edit&amp;Partner Edit'!$B$3:$C$66,2,FALSE)</f>
        <v>Philippa Mary Emma STEEL (b. 5 Dec 1932, d. 27 Oct 2020)</v>
      </c>
      <c r="AX151" s="360">
        <v>104</v>
      </c>
      <c r="AY151" s="355" t="str">
        <f t="shared" si="94"/>
        <v>Sir Julian (1926–2018: #104)</v>
      </c>
      <c r="AZ151" s="361">
        <f>VLOOKUP(AX151,Lineage!$A$1:$C$200,2,FALSE)</f>
        <v>72</v>
      </c>
      <c r="BA151" s="362" t="str">
        <f t="shared" si="114"/>
        <v>Charles (1891–1973: #72)</v>
      </c>
      <c r="BB151" s="368">
        <f>BiographyMarriageDetsCountries!A150</f>
        <v>148</v>
      </c>
      <c r="BC151" s="319"/>
      <c r="BD151" s="362"/>
      <c r="BF151" s="324"/>
      <c r="BG151" s="357">
        <f t="shared" si="104"/>
        <v>148</v>
      </c>
      <c r="BH151" s="289" t="str">
        <f t="shared" si="105"/>
        <v>Francis Toby LOYD</v>
      </c>
      <c r="BI151" s="289" t="str">
        <f t="shared" si="106"/>
        <v>Toby (1966–1966)</v>
      </c>
      <c r="BJ151" s="304" t="str">
        <f t="shared" si="107"/>
        <v>Male</v>
      </c>
      <c r="BK151" s="304">
        <f t="shared" si="108"/>
        <v>6</v>
      </c>
      <c r="BL151" s="289" t="str">
        <f t="shared" si="109"/>
        <v>Sir Julian (1926–2018: #104)</v>
      </c>
      <c r="BM151" s="289" t="str">
        <f t="shared" si="110"/>
        <v>Philippa Mary Emma STEEL (b. 5 Dec 1932, d. 27 Oct 2020)</v>
      </c>
      <c r="BN151" s="367" t="str">
        <f t="shared" si="111"/>
        <v>31-Mar-1966</v>
      </c>
      <c r="BO151" s="367" t="str">
        <f t="shared" si="112"/>
        <v>01-Apr-1966</v>
      </c>
      <c r="BP151" s="365" t="str">
        <f t="shared" si="113"/>
        <v>Died in Infancy 01-Apr-1966.</v>
      </c>
    </row>
    <row r="152" spans="1:68" s="289" customFormat="1" ht="20">
      <c r="A152" s="302">
        <v>149</v>
      </c>
      <c r="B152" s="364">
        <v>6</v>
      </c>
      <c r="C152" s="288" t="s">
        <v>782</v>
      </c>
      <c r="D152" s="289" t="s">
        <v>931</v>
      </c>
      <c r="E152" s="289" t="s">
        <v>830</v>
      </c>
      <c r="F152" s="289" t="s">
        <v>824</v>
      </c>
      <c r="H152" s="304" t="s">
        <v>3245</v>
      </c>
      <c r="I152" s="306">
        <v>1966</v>
      </c>
      <c r="J152" s="306" t="s">
        <v>3228</v>
      </c>
      <c r="K152" s="307" t="s">
        <v>4668</v>
      </c>
      <c r="L152" s="308">
        <v>24362</v>
      </c>
      <c r="M152" s="309"/>
      <c r="N152" s="309"/>
      <c r="O152" s="348">
        <f t="shared" si="95"/>
        <v>12</v>
      </c>
      <c r="P152" s="345">
        <f t="shared" si="87"/>
        <v>9</v>
      </c>
      <c r="Q152" s="345">
        <f t="shared" si="88"/>
        <v>1966</v>
      </c>
      <c r="R152" s="344" t="str">
        <f t="shared" si="96"/>
        <v>Sep</v>
      </c>
      <c r="S152" s="344">
        <f t="shared" si="89"/>
        <v>0</v>
      </c>
      <c r="T152" s="344" t="str">
        <f t="shared" si="90"/>
        <v/>
      </c>
      <c r="U152" s="344" t="str">
        <f t="shared" si="91"/>
        <v/>
      </c>
      <c r="V152" s="344" t="str">
        <f t="shared" si="92"/>
        <v/>
      </c>
      <c r="W152" s="344" t="e">
        <f t="shared" si="97"/>
        <v>#N/A</v>
      </c>
      <c r="X152" s="344"/>
      <c r="Y152" s="344"/>
      <c r="Z152" s="314" t="str">
        <f t="shared" si="115"/>
        <v>12-Sep-1966</v>
      </c>
      <c r="AA152" s="314" t="str">
        <f t="shared" si="98"/>
        <v/>
      </c>
      <c r="AB152" s="314" t="e">
        <f t="shared" si="99"/>
        <v>#VALUE!</v>
      </c>
      <c r="AC152" s="314">
        <f t="shared" si="100"/>
        <v>55</v>
      </c>
      <c r="AD152" s="347" t="str">
        <f t="shared" si="101"/>
        <v>Aged 55 on 01-Jul-2022.</v>
      </c>
      <c r="AE152" s="305"/>
      <c r="AF152" s="303"/>
      <c r="AG152" s="303"/>
      <c r="AH152" s="303"/>
      <c r="AI152" s="328" t="s">
        <v>3043</v>
      </c>
      <c r="AJ152" s="328" t="s">
        <v>3043</v>
      </c>
      <c r="AK152" s="319"/>
      <c r="AL152" s="319"/>
      <c r="AM152" s="319">
        <f t="shared" si="85"/>
        <v>2002</v>
      </c>
      <c r="AN152" s="344"/>
      <c r="AO152" s="349" t="str">
        <f>AJ152</f>
        <v>2002</v>
      </c>
      <c r="AQ152" s="328"/>
      <c r="AR152" s="350">
        <f>A152</f>
        <v>149</v>
      </c>
      <c r="AS152" s="353" t="str">
        <f>IF(V152="",_xlfn.CONCAT(IF(G152="",D152,G152)," (",Q152,"–",V152," : #",AR152,")"),_xlfn.CONCAT(IF(G152="",D152,G152)," (",Q152,"–",V152,": #",AR152,")"))</f>
        <v>Anthony (1966– : #149)</v>
      </c>
      <c r="AT152" s="353" t="str">
        <f>IF(V152="",_xlfn.CONCAT(IF(G152="",D152,G152)," (",Q152,"– ",V152,")"),_xlfn.CONCAT(IF(G152="",D152,G152)," (",Q152,"–",V152,")"))</f>
        <v>Anthony (1966– )</v>
      </c>
      <c r="AU152" s="352" t="str">
        <f t="shared" si="86"/>
        <v>Male</v>
      </c>
      <c r="AV152" s="355" t="s">
        <v>4411</v>
      </c>
      <c r="AW152" s="319" t="str">
        <f>VLOOKUP(AV152,'Mums of Loyd Edit&amp;Partner Edit'!$B$3:$C$66,2,FALSE)</f>
        <v>Deirdre THOMPSON (b. 11 Apr 1936, d. 2004)</v>
      </c>
      <c r="AX152" s="360">
        <v>113</v>
      </c>
      <c r="AY152" s="355" t="str">
        <f t="shared" si="94"/>
        <v>Willie (1937–1994: #113)</v>
      </c>
      <c r="AZ152" s="361">
        <f>VLOOKUP(AX152,Lineage!$A$1:$C$200,2,FALSE)</f>
        <v>78</v>
      </c>
      <c r="BA152" s="362" t="str">
        <f t="shared" si="114"/>
        <v>Vivian (1894–1972: #78)</v>
      </c>
      <c r="BB152" s="368">
        <f>BiographyMarriageDetsCountries!A151</f>
        <v>149</v>
      </c>
      <c r="BC152" s="319"/>
      <c r="BD152" s="362"/>
      <c r="BF152" s="324"/>
      <c r="BG152" s="357">
        <f t="shared" si="104"/>
        <v>149</v>
      </c>
      <c r="BH152" s="289" t="str">
        <f t="shared" si="105"/>
        <v>Anthony William Vivian LOYD</v>
      </c>
      <c r="BI152" s="289" t="str">
        <f t="shared" si="106"/>
        <v>Anthony (1966– )</v>
      </c>
      <c r="BJ152" s="304" t="str">
        <f t="shared" si="107"/>
        <v>Male</v>
      </c>
      <c r="BK152" s="304">
        <f t="shared" si="108"/>
        <v>6</v>
      </c>
      <c r="BL152" s="289" t="str">
        <f t="shared" si="109"/>
        <v>Willie (1937–1994: #113)</v>
      </c>
      <c r="BM152" s="289" t="str">
        <f t="shared" si="110"/>
        <v>Deirdre THOMPSON (b. 11 Apr 1936, d. 2004)</v>
      </c>
      <c r="BN152" s="367" t="str">
        <f t="shared" si="111"/>
        <v>12-Sep-1966</v>
      </c>
      <c r="BO152" s="367" t="str">
        <f t="shared" si="112"/>
        <v/>
      </c>
      <c r="BP152" s="365" t="str">
        <f t="shared" si="113"/>
        <v>Aged 55 on 01-Jul-2022.</v>
      </c>
    </row>
    <row r="153" spans="1:68" s="289" customFormat="1" ht="20">
      <c r="A153" s="302">
        <v>150</v>
      </c>
      <c r="B153" s="364">
        <v>6</v>
      </c>
      <c r="C153" s="288" t="s">
        <v>782</v>
      </c>
      <c r="D153" s="289" t="s">
        <v>918</v>
      </c>
      <c r="E153" s="289" t="s">
        <v>830</v>
      </c>
      <c r="H153" s="304" t="s">
        <v>3245</v>
      </c>
      <c r="I153" s="306">
        <v>1966</v>
      </c>
      <c r="J153" s="306" t="s">
        <v>3228</v>
      </c>
      <c r="K153" s="307" t="s">
        <v>4669</v>
      </c>
      <c r="L153" s="308">
        <v>24365</v>
      </c>
      <c r="M153" s="309"/>
      <c r="N153" s="309"/>
      <c r="O153" s="348">
        <f t="shared" si="95"/>
        <v>15</v>
      </c>
      <c r="P153" s="345">
        <f t="shared" si="87"/>
        <v>9</v>
      </c>
      <c r="Q153" s="345">
        <f t="shared" si="88"/>
        <v>1966</v>
      </c>
      <c r="R153" s="344" t="str">
        <f t="shared" si="96"/>
        <v>Sep</v>
      </c>
      <c r="S153" s="344">
        <f t="shared" si="89"/>
        <v>0</v>
      </c>
      <c r="T153" s="344" t="str">
        <f t="shared" si="90"/>
        <v/>
      </c>
      <c r="U153" s="344" t="str">
        <f t="shared" si="91"/>
        <v/>
      </c>
      <c r="V153" s="344" t="str">
        <f t="shared" si="92"/>
        <v/>
      </c>
      <c r="W153" s="344" t="e">
        <f t="shared" si="97"/>
        <v>#N/A</v>
      </c>
      <c r="X153" s="344"/>
      <c r="Y153" s="344"/>
      <c r="Z153" s="314" t="str">
        <f t="shared" si="115"/>
        <v>15-Sep-1966</v>
      </c>
      <c r="AA153" s="314" t="str">
        <f t="shared" si="98"/>
        <v/>
      </c>
      <c r="AB153" s="314" t="e">
        <f t="shared" si="99"/>
        <v>#VALUE!</v>
      </c>
      <c r="AC153" s="314">
        <f t="shared" si="100"/>
        <v>55</v>
      </c>
      <c r="AD153" s="347" t="str">
        <f t="shared" si="101"/>
        <v>Aged 55 on 01-Jul-2022.</v>
      </c>
      <c r="AE153" s="305"/>
      <c r="AF153" s="303"/>
      <c r="AG153" s="303"/>
      <c r="AH153" s="303"/>
      <c r="AI153" s="327">
        <v>34300</v>
      </c>
      <c r="AJ153" s="328" t="s">
        <v>4753</v>
      </c>
      <c r="AK153" s="319" t="str">
        <f t="shared" si="102"/>
        <v>27</v>
      </c>
      <c r="AL153" s="319">
        <f t="shared" si="84"/>
        <v>11</v>
      </c>
      <c r="AM153" s="319">
        <f t="shared" si="85"/>
        <v>1993</v>
      </c>
      <c r="AN153" s="344" t="e">
        <f>IF(AJ153=" -",AJ153,VLOOKUP(AL153,$BQ$4:$BR$15,2,FALSE))</f>
        <v>#N/A</v>
      </c>
      <c r="AO153" s="344" t="e">
        <f t="shared" ref="AO153:AO193" si="116">IF(AJ153=" -",AJ153,_xlfn.CONCAT(AK153,"-",AN153,"-",AM153))</f>
        <v>#N/A</v>
      </c>
      <c r="AQ153" s="327"/>
      <c r="AR153" s="350">
        <f>A153</f>
        <v>150</v>
      </c>
      <c r="AS153" s="353" t="str">
        <f>IF(V153="",_xlfn.CONCAT(IF(G153="",D153,G153)," (",Q153,"–",V153," : #",AR153,")"),_xlfn.CONCAT(IF(G153="",D153,G153)," (",Q153,"–",V153,": #",AR153,")"))</f>
        <v>James (1966– : #150)</v>
      </c>
      <c r="AT153" s="353" t="str">
        <f>IF(V153="",_xlfn.CONCAT(IF(G153="",D153,G153)," (",Q153,"– ",V153,")"),_xlfn.CONCAT(IF(G153="",D153,G153)," (",Q153,"–",V153,")"))</f>
        <v>James (1966– )</v>
      </c>
      <c r="AU153" s="352" t="str">
        <f t="shared" si="86"/>
        <v>Male</v>
      </c>
      <c r="AV153" s="355" t="s">
        <v>4407</v>
      </c>
      <c r="AW153" s="319" t="str">
        <f>VLOOKUP(AV153,'Mums of Loyd Edit&amp;Partner Edit'!$B$3:$C$66,2,FALSE)</f>
        <v>Joanna SMITH-BINGHAM (b. 17 Nov 1935, )</v>
      </c>
      <c r="AX153" s="360">
        <v>100</v>
      </c>
      <c r="AY153" s="355" t="str">
        <f t="shared" si="94"/>
        <v>Christopher (1923–2013: #100)</v>
      </c>
      <c r="AZ153" s="361">
        <f>VLOOKUP(AX153,Lineage!$A$1:$C$200,2,FALSE)</f>
        <v>56</v>
      </c>
      <c r="BA153" s="362" t="str">
        <f t="shared" si="114"/>
        <v>Tommy (1882–1944: #56)</v>
      </c>
      <c r="BB153" s="368">
        <f>BiographyMarriageDetsCountries!A152</f>
        <v>150</v>
      </c>
      <c r="BC153" s="319"/>
      <c r="BD153" s="362"/>
      <c r="BF153" s="324"/>
      <c r="BG153" s="357">
        <f t="shared" si="104"/>
        <v>150</v>
      </c>
      <c r="BH153" s="289" t="str">
        <f t="shared" si="105"/>
        <v>James William LOYD</v>
      </c>
      <c r="BI153" s="289" t="str">
        <f t="shared" si="106"/>
        <v>James (1966– )</v>
      </c>
      <c r="BJ153" s="304" t="str">
        <f t="shared" si="107"/>
        <v>Male</v>
      </c>
      <c r="BK153" s="304">
        <f t="shared" si="108"/>
        <v>6</v>
      </c>
      <c r="BL153" s="289" t="str">
        <f t="shared" si="109"/>
        <v>Christopher (1923–2013: #100)</v>
      </c>
      <c r="BM153" s="289" t="str">
        <f t="shared" si="110"/>
        <v>Joanna SMITH-BINGHAM (b. 17 Nov 1935, )</v>
      </c>
      <c r="BN153" s="367" t="str">
        <f t="shared" si="111"/>
        <v>15-Sep-1966</v>
      </c>
      <c r="BO153" s="367" t="str">
        <f t="shared" si="112"/>
        <v/>
      </c>
      <c r="BP153" s="365" t="str">
        <f t="shared" si="113"/>
        <v>Aged 55 on 01-Jul-2022.</v>
      </c>
    </row>
    <row r="154" spans="1:68" s="289" customFormat="1" ht="20">
      <c r="A154" s="302">
        <v>151</v>
      </c>
      <c r="B154" s="364">
        <v>6</v>
      </c>
      <c r="C154" s="288" t="s">
        <v>782</v>
      </c>
      <c r="D154" s="289" t="s">
        <v>935</v>
      </c>
      <c r="E154" s="289" t="s">
        <v>936</v>
      </c>
      <c r="H154" s="304" t="s">
        <v>3244</v>
      </c>
      <c r="I154" s="306">
        <v>1967</v>
      </c>
      <c r="J154" s="306" t="s">
        <v>3228</v>
      </c>
      <c r="K154" s="307" t="s">
        <v>4670</v>
      </c>
      <c r="L154" s="308">
        <v>24623</v>
      </c>
      <c r="M154" s="309"/>
      <c r="N154" s="309"/>
      <c r="O154" s="348">
        <f t="shared" si="95"/>
        <v>31</v>
      </c>
      <c r="P154" s="345">
        <f t="shared" si="87"/>
        <v>5</v>
      </c>
      <c r="Q154" s="345">
        <f t="shared" si="88"/>
        <v>1967</v>
      </c>
      <c r="R154" s="344" t="str">
        <f t="shared" si="96"/>
        <v>May</v>
      </c>
      <c r="S154" s="344">
        <f t="shared" si="89"/>
        <v>0</v>
      </c>
      <c r="T154" s="344" t="str">
        <f t="shared" si="90"/>
        <v/>
      </c>
      <c r="U154" s="344" t="str">
        <f t="shared" si="91"/>
        <v/>
      </c>
      <c r="V154" s="344" t="str">
        <f t="shared" si="92"/>
        <v/>
      </c>
      <c r="W154" s="344" t="e">
        <f t="shared" si="97"/>
        <v>#N/A</v>
      </c>
      <c r="X154" s="344"/>
      <c r="Y154" s="344"/>
      <c r="Z154" s="314" t="str">
        <f t="shared" si="115"/>
        <v>31-May-1967</v>
      </c>
      <c r="AA154" s="314" t="str">
        <f t="shared" si="98"/>
        <v/>
      </c>
      <c r="AB154" s="314" t="e">
        <f t="shared" si="99"/>
        <v>#VALUE!</v>
      </c>
      <c r="AC154" s="314">
        <f t="shared" si="100"/>
        <v>55</v>
      </c>
      <c r="AD154" s="347" t="str">
        <f t="shared" si="101"/>
        <v>Aged 55 on 01-Jul-2022.</v>
      </c>
      <c r="AE154" s="305"/>
      <c r="AF154" s="303"/>
      <c r="AG154" s="303"/>
      <c r="AH154" s="303"/>
      <c r="AI154" s="327">
        <v>37520</v>
      </c>
      <c r="AJ154" s="328" t="s">
        <v>4754</v>
      </c>
      <c r="AK154" s="319" t="str">
        <f t="shared" si="102"/>
        <v>21</v>
      </c>
      <c r="AL154" s="319">
        <f t="shared" si="84"/>
        <v>9</v>
      </c>
      <c r="AM154" s="319">
        <f t="shared" si="85"/>
        <v>2002</v>
      </c>
      <c r="AN154" s="344" t="e">
        <f>IF(AJ154=" -",AJ154,VLOOKUP(AL154,$BQ$4:$BR$15,2,FALSE))</f>
        <v>#N/A</v>
      </c>
      <c r="AO154" s="344" t="e">
        <f t="shared" si="116"/>
        <v>#N/A</v>
      </c>
      <c r="AQ154" s="327"/>
      <c r="AR154" s="350">
        <f>A154</f>
        <v>151</v>
      </c>
      <c r="AS154" s="353" t="str">
        <f>IF(V154="",_xlfn.CONCAT(IF(G154="",D154,G154)," (",Q154,"–",V154," : #",AR154,")"),_xlfn.CONCAT(IF(G154="",D154,G154)," (",Q154,"–",V154,": #",AR154,")"))</f>
        <v>Elspeth (1967– : #151)</v>
      </c>
      <c r="AT154" s="353" t="str">
        <f>IF(V154="",_xlfn.CONCAT(IF(G154="",D154,G154)," (",Q154,"– ",V154,")"),_xlfn.CONCAT(IF(G154="",D154,G154)," (",Q154,"–",V154,")"))</f>
        <v>Elspeth (1967– )</v>
      </c>
      <c r="AU154" s="352" t="str">
        <f t="shared" si="86"/>
        <v>Female</v>
      </c>
      <c r="AV154" s="355" t="s">
        <v>4410</v>
      </c>
      <c r="AW154" s="319" t="str">
        <f>VLOOKUP(AV154,'Mums of Loyd Edit&amp;Partner Edit'!$B$3:$C$66,2,FALSE)</f>
        <v>Mary DAVIES (b. 6 Aug 1939, d. 17 Feb 1997)</v>
      </c>
      <c r="AX154" s="360">
        <v>117</v>
      </c>
      <c r="AY154" s="355" t="str">
        <f t="shared" si="94"/>
        <v>Patrick (1942– : #117)</v>
      </c>
      <c r="AZ154" s="361">
        <f>VLOOKUP(AX154,Lineage!$A$1:$C$200,2,FALSE)</f>
        <v>55</v>
      </c>
      <c r="BA154" s="362" t="str">
        <f t="shared" si="114"/>
        <v>Dick (1882–1950: #55)</v>
      </c>
      <c r="BB154" s="368">
        <f>BiographyMarriageDetsCountries!A153</f>
        <v>151</v>
      </c>
      <c r="BC154" s="319"/>
      <c r="BD154" s="362"/>
      <c r="BF154" s="324"/>
      <c r="BG154" s="357">
        <f t="shared" si="104"/>
        <v>151</v>
      </c>
      <c r="BH154" s="289" t="str">
        <f t="shared" si="105"/>
        <v>Elspeth Joanna LOYD</v>
      </c>
      <c r="BI154" s="289" t="str">
        <f t="shared" si="106"/>
        <v>Elspeth (1967– )</v>
      </c>
      <c r="BJ154" s="304" t="str">
        <f t="shared" si="107"/>
        <v>Female</v>
      </c>
      <c r="BK154" s="304">
        <f t="shared" si="108"/>
        <v>6</v>
      </c>
      <c r="BL154" s="289" t="str">
        <f t="shared" si="109"/>
        <v>Patrick (1942– : #117)</v>
      </c>
      <c r="BM154" s="289" t="str">
        <f t="shared" si="110"/>
        <v>Mary DAVIES (b. 6 Aug 1939, d. 17 Feb 1997)</v>
      </c>
      <c r="BN154" s="367" t="str">
        <f t="shared" si="111"/>
        <v>31-May-1967</v>
      </c>
      <c r="BO154" s="367" t="str">
        <f t="shared" si="112"/>
        <v/>
      </c>
      <c r="BP154" s="365" t="str">
        <f t="shared" si="113"/>
        <v>Aged 55 on 01-Jul-2022.</v>
      </c>
    </row>
    <row r="155" spans="1:68" s="289" customFormat="1" ht="20">
      <c r="A155" s="302">
        <v>152</v>
      </c>
      <c r="B155" s="364">
        <v>6</v>
      </c>
      <c r="C155" s="288" t="s">
        <v>782</v>
      </c>
      <c r="D155" s="289" t="s">
        <v>870</v>
      </c>
      <c r="E155" s="289" t="s">
        <v>937</v>
      </c>
      <c r="G155" s="289" t="s">
        <v>3625</v>
      </c>
      <c r="H155" s="304" t="s">
        <v>3244</v>
      </c>
      <c r="I155" s="306">
        <v>1967</v>
      </c>
      <c r="J155" s="306" t="s">
        <v>3228</v>
      </c>
      <c r="K155" s="307" t="s">
        <v>4671</v>
      </c>
      <c r="L155" s="308">
        <v>24631</v>
      </c>
      <c r="M155" s="309"/>
      <c r="N155" s="309"/>
      <c r="O155" s="348">
        <f t="shared" si="95"/>
        <v>8</v>
      </c>
      <c r="P155" s="345">
        <f t="shared" si="87"/>
        <v>6</v>
      </c>
      <c r="Q155" s="345">
        <f t="shared" si="88"/>
        <v>1967</v>
      </c>
      <c r="R155" s="344" t="str">
        <f t="shared" si="96"/>
        <v>Jun</v>
      </c>
      <c r="S155" s="344">
        <f t="shared" si="89"/>
        <v>0</v>
      </c>
      <c r="T155" s="344" t="str">
        <f t="shared" si="90"/>
        <v/>
      </c>
      <c r="U155" s="344" t="str">
        <f t="shared" si="91"/>
        <v/>
      </c>
      <c r="V155" s="344" t="str">
        <f t="shared" si="92"/>
        <v/>
      </c>
      <c r="W155" s="344" t="e">
        <f t="shared" si="97"/>
        <v>#N/A</v>
      </c>
      <c r="X155" s="344"/>
      <c r="Y155" s="344"/>
      <c r="Z155" s="314" t="str">
        <f t="shared" si="115"/>
        <v>08-Jun-1967</v>
      </c>
      <c r="AA155" s="314" t="str">
        <f t="shared" si="98"/>
        <v/>
      </c>
      <c r="AB155" s="314" t="e">
        <f t="shared" si="99"/>
        <v>#VALUE!</v>
      </c>
      <c r="AC155" s="314">
        <f t="shared" si="100"/>
        <v>55</v>
      </c>
      <c r="AD155" s="347" t="str">
        <f t="shared" si="101"/>
        <v>Aged 55 on 01-Jul-2022.</v>
      </c>
      <c r="AE155" s="305"/>
      <c r="AF155" s="303"/>
      <c r="AG155" s="303"/>
      <c r="AH155" s="303"/>
      <c r="AI155" s="327">
        <v>34818</v>
      </c>
      <c r="AJ155" s="328" t="s">
        <v>4755</v>
      </c>
      <c r="AK155" s="319" t="str">
        <f t="shared" si="102"/>
        <v>29</v>
      </c>
      <c r="AL155" s="319">
        <f t="shared" si="84"/>
        <v>4</v>
      </c>
      <c r="AM155" s="319">
        <f t="shared" si="85"/>
        <v>1995</v>
      </c>
      <c r="AN155" s="344" t="e">
        <f>IF(AJ155=" -",AJ155,VLOOKUP(AL155,$BQ$4:$BR$15,2,FALSE))</f>
        <v>#N/A</v>
      </c>
      <c r="AO155" s="344" t="e">
        <f t="shared" si="116"/>
        <v>#N/A</v>
      </c>
      <c r="AQ155" s="327"/>
      <c r="AR155" s="350">
        <f>A155</f>
        <v>152</v>
      </c>
      <c r="AS155" s="353" t="str">
        <f>IF(V155="",_xlfn.CONCAT(IF(G155="",D155,G155)," (",Q155,"–",V155," : #",AR155,")"),_xlfn.CONCAT(IF(G155="",D155,G155)," (",Q155,"–",V155,": #",AR155,")"))</f>
        <v>Mary Rose (1967– : #152)</v>
      </c>
      <c r="AT155" s="353" t="str">
        <f>IF(V155="",_xlfn.CONCAT(IF(G155="",D155,G155)," (",Q155,"– ",V155,")"),_xlfn.CONCAT(IF(G155="",D155,G155)," (",Q155,"–",V155,")"))</f>
        <v>Mary Rose (1967– )</v>
      </c>
      <c r="AU155" s="352" t="str">
        <f t="shared" si="86"/>
        <v>Female</v>
      </c>
      <c r="AV155" s="355" t="s">
        <v>4408</v>
      </c>
      <c r="AW155" s="319" t="str">
        <f>VLOOKUP(AV155,'Mums of Loyd Edit&amp;Partner Edit'!$B$3:$C$66,2,FALSE)</f>
        <v>Philippa Mary Emma STEEL (b. 5 Dec 1932, d. 27 Oct 2020)</v>
      </c>
      <c r="AX155" s="360">
        <v>104</v>
      </c>
      <c r="AY155" s="355" t="str">
        <f t="shared" si="94"/>
        <v>Sir Julian (1926–2018: #104)</v>
      </c>
      <c r="AZ155" s="361">
        <f>VLOOKUP(AX155,Lineage!$A$1:$C$200,2,FALSE)</f>
        <v>72</v>
      </c>
      <c r="BA155" s="362" t="str">
        <f t="shared" si="114"/>
        <v>Charles (1891–1973: #72)</v>
      </c>
      <c r="BB155" s="368">
        <f>BiographyMarriageDetsCountries!A154</f>
        <v>152</v>
      </c>
      <c r="BC155" s="319"/>
      <c r="BD155" s="362"/>
      <c r="BF155" s="324"/>
      <c r="BG155" s="357">
        <f t="shared" si="104"/>
        <v>152</v>
      </c>
      <c r="BH155" s="289" t="str">
        <f t="shared" si="105"/>
        <v>Mary Rose LOYD</v>
      </c>
      <c r="BI155" s="289" t="str">
        <f t="shared" si="106"/>
        <v>Mary Rose (1967– )</v>
      </c>
      <c r="BJ155" s="304" t="str">
        <f t="shared" si="107"/>
        <v>Female</v>
      </c>
      <c r="BK155" s="304">
        <f t="shared" si="108"/>
        <v>6</v>
      </c>
      <c r="BL155" s="289" t="str">
        <f t="shared" si="109"/>
        <v>Sir Julian (1926–2018: #104)</v>
      </c>
      <c r="BM155" s="289" t="str">
        <f t="shared" si="110"/>
        <v>Philippa Mary Emma STEEL (b. 5 Dec 1932, d. 27 Oct 2020)</v>
      </c>
      <c r="BN155" s="367" t="str">
        <f t="shared" si="111"/>
        <v>08-Jun-1967</v>
      </c>
      <c r="BO155" s="367" t="str">
        <f t="shared" si="112"/>
        <v/>
      </c>
      <c r="BP155" s="365" t="str">
        <f t="shared" si="113"/>
        <v>Aged 55 on 01-Jul-2022.</v>
      </c>
    </row>
    <row r="156" spans="1:68" s="289" customFormat="1" ht="20">
      <c r="A156" s="302">
        <v>153</v>
      </c>
      <c r="B156" s="364">
        <v>6</v>
      </c>
      <c r="C156" s="288" t="s">
        <v>782</v>
      </c>
      <c r="D156" s="289" t="s">
        <v>928</v>
      </c>
      <c r="E156" s="289" t="s">
        <v>842</v>
      </c>
      <c r="F156" s="289" t="s">
        <v>896</v>
      </c>
      <c r="H156" s="304" t="s">
        <v>3245</v>
      </c>
      <c r="I156" s="306">
        <v>1968</v>
      </c>
      <c r="J156" s="306" t="s">
        <v>3228</v>
      </c>
      <c r="K156" s="307" t="s">
        <v>4672</v>
      </c>
      <c r="L156" s="308">
        <v>25015</v>
      </c>
      <c r="M156" s="309"/>
      <c r="N156" s="309"/>
      <c r="O156" s="348">
        <f t="shared" si="95"/>
        <v>26</v>
      </c>
      <c r="P156" s="345">
        <f t="shared" si="87"/>
        <v>6</v>
      </c>
      <c r="Q156" s="345">
        <f t="shared" si="88"/>
        <v>1968</v>
      </c>
      <c r="R156" s="344" t="str">
        <f t="shared" si="96"/>
        <v>Jun</v>
      </c>
      <c r="S156" s="344">
        <f t="shared" si="89"/>
        <v>0</v>
      </c>
      <c r="T156" s="344" t="str">
        <f t="shared" si="90"/>
        <v/>
      </c>
      <c r="U156" s="344" t="str">
        <f t="shared" si="91"/>
        <v/>
      </c>
      <c r="V156" s="344" t="str">
        <f t="shared" si="92"/>
        <v/>
      </c>
      <c r="W156" s="344" t="e">
        <f t="shared" si="97"/>
        <v>#N/A</v>
      </c>
      <c r="X156" s="344"/>
      <c r="Y156" s="344"/>
      <c r="Z156" s="314" t="str">
        <f t="shared" si="115"/>
        <v>26-Jun-1968</v>
      </c>
      <c r="AA156" s="314" t="str">
        <f t="shared" si="98"/>
        <v/>
      </c>
      <c r="AB156" s="314" t="e">
        <f t="shared" si="99"/>
        <v>#VALUE!</v>
      </c>
      <c r="AC156" s="314">
        <f t="shared" si="100"/>
        <v>54</v>
      </c>
      <c r="AD156" s="347" t="str">
        <f t="shared" si="101"/>
        <v>Aged 54 on 01-Jul-2022.</v>
      </c>
      <c r="AE156" s="305"/>
      <c r="AF156" s="303"/>
      <c r="AG156" s="303"/>
      <c r="AH156" s="303"/>
      <c r="AI156" s="327">
        <v>35350</v>
      </c>
      <c r="AJ156" s="328" t="s">
        <v>4769</v>
      </c>
      <c r="AK156" s="319" t="str">
        <f t="shared" si="102"/>
        <v>12</v>
      </c>
      <c r="AL156" s="319">
        <f t="shared" si="84"/>
        <v>10</v>
      </c>
      <c r="AM156" s="319">
        <f t="shared" si="85"/>
        <v>1996</v>
      </c>
      <c r="AN156" s="344" t="e">
        <f>IF(AJ156=" -",AJ156,VLOOKUP(AL156,$BQ$4:$BR$15,2,FALSE))</f>
        <v>#N/A</v>
      </c>
      <c r="AO156" s="344" t="e">
        <f t="shared" si="116"/>
        <v>#N/A</v>
      </c>
      <c r="AQ156" s="327"/>
      <c r="AR156" s="350">
        <f>A156</f>
        <v>153</v>
      </c>
      <c r="AS156" s="353" t="str">
        <f>IF(V156="",_xlfn.CONCAT(IF(G156="",D156,G156)," (",Q156,"–",V156," : #",AR156,")"),_xlfn.CONCAT(IF(G156="",D156,G156)," (",Q156,"–",V156,": #",AR156,")"))</f>
        <v>Richard (1968– : #153)</v>
      </c>
      <c r="AT156" s="353" t="str">
        <f>IF(V156="",_xlfn.CONCAT(IF(G156="",D156,G156)," (",Q156,"– ",V156,")"),_xlfn.CONCAT(IF(G156="",D156,G156)," (",Q156,"–",V156,")"))</f>
        <v>Richard (1968– )</v>
      </c>
      <c r="AU156" s="352" t="str">
        <f t="shared" si="86"/>
        <v>Male</v>
      </c>
      <c r="AV156" s="355" t="s">
        <v>4410</v>
      </c>
      <c r="AW156" s="319" t="str">
        <f>VLOOKUP(AV156,'Mums of Loyd Edit&amp;Partner Edit'!$B$3:$C$66,2,FALSE)</f>
        <v>Mary DAVIES (b. 6 Aug 1939, d. 17 Feb 1997)</v>
      </c>
      <c r="AX156" s="360">
        <v>117</v>
      </c>
      <c r="AY156" s="355" t="str">
        <f t="shared" si="94"/>
        <v>Patrick (1942– : #117)</v>
      </c>
      <c r="AZ156" s="361">
        <f>VLOOKUP(AX156,Lineage!$A$1:$C$200,2,FALSE)</f>
        <v>55</v>
      </c>
      <c r="BA156" s="362" t="str">
        <f t="shared" si="114"/>
        <v>Dick (1882–1950: #55)</v>
      </c>
      <c r="BB156" s="368">
        <f>BiographyMarriageDetsCountries!A155</f>
        <v>153</v>
      </c>
      <c r="BC156" s="319"/>
      <c r="BD156" s="362"/>
      <c r="BF156" s="324"/>
      <c r="BG156" s="357">
        <f t="shared" si="104"/>
        <v>153</v>
      </c>
      <c r="BH156" s="289" t="str">
        <f t="shared" si="105"/>
        <v>Richard John Patrick LOYD</v>
      </c>
      <c r="BI156" s="289" t="str">
        <f t="shared" si="106"/>
        <v>Richard (1968– )</v>
      </c>
      <c r="BJ156" s="304" t="str">
        <f t="shared" si="107"/>
        <v>Male</v>
      </c>
      <c r="BK156" s="304">
        <f t="shared" si="108"/>
        <v>6</v>
      </c>
      <c r="BL156" s="289" t="str">
        <f t="shared" si="109"/>
        <v>Patrick (1942– : #117)</v>
      </c>
      <c r="BM156" s="289" t="str">
        <f t="shared" si="110"/>
        <v>Mary DAVIES (b. 6 Aug 1939, d. 17 Feb 1997)</v>
      </c>
      <c r="BN156" s="367" t="str">
        <f t="shared" si="111"/>
        <v>26-Jun-1968</v>
      </c>
      <c r="BO156" s="367" t="str">
        <f t="shared" si="112"/>
        <v/>
      </c>
      <c r="BP156" s="365" t="str">
        <f t="shared" si="113"/>
        <v>Aged 54 on 01-Jul-2022.</v>
      </c>
    </row>
    <row r="157" spans="1:68" s="289" customFormat="1" ht="20">
      <c r="A157" s="302">
        <v>154</v>
      </c>
      <c r="B157" s="364">
        <v>6</v>
      </c>
      <c r="C157" s="288" t="s">
        <v>782</v>
      </c>
      <c r="D157" s="289" t="s">
        <v>938</v>
      </c>
      <c r="E157" s="289" t="s">
        <v>939</v>
      </c>
      <c r="H157" s="304" t="s">
        <v>3244</v>
      </c>
      <c r="I157" s="306">
        <v>1969</v>
      </c>
      <c r="J157" s="306" t="s">
        <v>3228</v>
      </c>
      <c r="K157" s="307" t="s">
        <v>4673</v>
      </c>
      <c r="L157" s="308">
        <v>25364</v>
      </c>
      <c r="M157" s="309"/>
      <c r="N157" s="309"/>
      <c r="O157" s="348">
        <f t="shared" si="95"/>
        <v>10</v>
      </c>
      <c r="P157" s="345">
        <f t="shared" si="87"/>
        <v>6</v>
      </c>
      <c r="Q157" s="345">
        <f t="shared" si="88"/>
        <v>1969</v>
      </c>
      <c r="R157" s="344" t="str">
        <f t="shared" si="96"/>
        <v>Jun</v>
      </c>
      <c r="S157" s="344">
        <f t="shared" si="89"/>
        <v>0</v>
      </c>
      <c r="T157" s="344" t="str">
        <f t="shared" si="90"/>
        <v/>
      </c>
      <c r="U157" s="344" t="str">
        <f t="shared" si="91"/>
        <v/>
      </c>
      <c r="V157" s="344" t="str">
        <f t="shared" si="92"/>
        <v/>
      </c>
      <c r="W157" s="344" t="e">
        <f t="shared" si="97"/>
        <v>#N/A</v>
      </c>
      <c r="X157" s="344"/>
      <c r="Y157" s="344"/>
      <c r="Z157" s="314" t="str">
        <f t="shared" si="115"/>
        <v>10-Jun-1969</v>
      </c>
      <c r="AA157" s="314" t="str">
        <f t="shared" si="98"/>
        <v/>
      </c>
      <c r="AB157" s="314" t="e">
        <f t="shared" si="99"/>
        <v>#VALUE!</v>
      </c>
      <c r="AC157" s="314">
        <f t="shared" si="100"/>
        <v>53</v>
      </c>
      <c r="AD157" s="347" t="str">
        <f t="shared" si="101"/>
        <v>Aged 53 on 01-Jul-2022.</v>
      </c>
      <c r="AE157" s="305"/>
      <c r="AF157" s="303"/>
      <c r="AG157" s="303"/>
      <c r="AH157" s="303"/>
      <c r="AI157" s="327">
        <v>37821</v>
      </c>
      <c r="AJ157" s="328" t="s">
        <v>4770</v>
      </c>
      <c r="AK157" s="319" t="str">
        <f t="shared" si="102"/>
        <v>19</v>
      </c>
      <c r="AL157" s="319">
        <f t="shared" si="84"/>
        <v>7</v>
      </c>
      <c r="AM157" s="319">
        <f t="shared" si="85"/>
        <v>2003</v>
      </c>
      <c r="AN157" s="344" t="e">
        <f>IF(AJ157=" -",AJ157,VLOOKUP(AL157,$BQ$4:$BR$15,2,FALSE))</f>
        <v>#N/A</v>
      </c>
      <c r="AO157" s="344" t="e">
        <f t="shared" si="116"/>
        <v>#N/A</v>
      </c>
      <c r="AQ157" s="327"/>
      <c r="AR157" s="350">
        <f>A157</f>
        <v>154</v>
      </c>
      <c r="AS157" s="353" t="str">
        <f>IF(V157="",_xlfn.CONCAT(IF(G157="",D157,G157)," (",Q157,"–",V157," : #",AR157,")"),_xlfn.CONCAT(IF(G157="",D157,G157)," (",Q157,"–",V157,": #",AR157,")"))</f>
        <v>Sophie (1969– : #154)</v>
      </c>
      <c r="AT157" s="353" t="str">
        <f>IF(V157="",_xlfn.CONCAT(IF(G157="",D157,G157)," (",Q157,"– ",V157,")"),_xlfn.CONCAT(IF(G157="",D157,G157)," (",Q157,"–",V157,")"))</f>
        <v>Sophie (1969– )</v>
      </c>
      <c r="AU157" s="352" t="str">
        <f t="shared" si="86"/>
        <v>Female</v>
      </c>
      <c r="AV157" s="355" t="s">
        <v>4409</v>
      </c>
      <c r="AW157" s="319" t="str">
        <f>VLOOKUP(AV157,'Mums of Loyd Edit&amp;Partner Edit'!$B$3:$C$66,2,FALSE)</f>
        <v>Rosemary Joan (Rosie) MOIR (b. 23 Feb 1942, d. 12 Mar 1997)</v>
      </c>
      <c r="AX157" s="360">
        <v>98</v>
      </c>
      <c r="AY157" s="355" t="str">
        <f t="shared" si="94"/>
        <v>Peter (1922–2022: #98)</v>
      </c>
      <c r="AZ157" s="361">
        <f>VLOOKUP(AX157,Lineage!$A$1:$C$200,2,FALSE)</f>
        <v>77</v>
      </c>
      <c r="BA157" s="362" t="str">
        <f t="shared" si="114"/>
        <v>Wilfrid (1893–1971: #77)</v>
      </c>
      <c r="BB157" s="368">
        <f>BiographyMarriageDetsCountries!A156</f>
        <v>154</v>
      </c>
      <c r="BC157" s="319"/>
      <c r="BD157" s="362"/>
      <c r="BF157" s="324"/>
      <c r="BG157" s="357">
        <f t="shared" si="104"/>
        <v>154</v>
      </c>
      <c r="BH157" s="289" t="str">
        <f t="shared" si="105"/>
        <v>Sophie Katherine LOYD</v>
      </c>
      <c r="BI157" s="289" t="str">
        <f t="shared" si="106"/>
        <v>Sophie (1969– )</v>
      </c>
      <c r="BJ157" s="304" t="str">
        <f t="shared" si="107"/>
        <v>Female</v>
      </c>
      <c r="BK157" s="304">
        <f t="shared" si="108"/>
        <v>6</v>
      </c>
      <c r="BL157" s="289" t="str">
        <f t="shared" si="109"/>
        <v>Peter (1922–2022: #98)</v>
      </c>
      <c r="BM157" s="289" t="str">
        <f t="shared" si="110"/>
        <v>Rosemary Joan (Rosie) MOIR (b. 23 Feb 1942, d. 12 Mar 1997)</v>
      </c>
      <c r="BN157" s="367" t="str">
        <f t="shared" si="111"/>
        <v>10-Jun-1969</v>
      </c>
      <c r="BO157" s="367" t="str">
        <f t="shared" si="112"/>
        <v/>
      </c>
      <c r="BP157" s="365" t="str">
        <f t="shared" si="113"/>
        <v>Aged 53 on 01-Jul-2022.</v>
      </c>
    </row>
    <row r="158" spans="1:68" s="289" customFormat="1" ht="20">
      <c r="A158" s="302">
        <v>155</v>
      </c>
      <c r="B158" s="364">
        <v>6</v>
      </c>
      <c r="C158" s="288" t="s">
        <v>3065</v>
      </c>
      <c r="D158" s="289" t="s">
        <v>830</v>
      </c>
      <c r="E158" s="289" t="s">
        <v>842</v>
      </c>
      <c r="F158" s="289" t="s">
        <v>940</v>
      </c>
      <c r="H158" s="304" t="s">
        <v>3245</v>
      </c>
      <c r="I158" s="306">
        <v>1973</v>
      </c>
      <c r="J158" s="306" t="s">
        <v>3228</v>
      </c>
      <c r="K158" s="307" t="s">
        <v>4674</v>
      </c>
      <c r="L158" s="308">
        <v>26769</v>
      </c>
      <c r="M158" s="309"/>
      <c r="N158" s="309"/>
      <c r="O158" s="348">
        <f t="shared" si="95"/>
        <v>15</v>
      </c>
      <c r="P158" s="345">
        <f t="shared" si="87"/>
        <v>4</v>
      </c>
      <c r="Q158" s="345">
        <f t="shared" si="88"/>
        <v>1973</v>
      </c>
      <c r="R158" s="344" t="str">
        <f t="shared" si="96"/>
        <v>Apr</v>
      </c>
      <c r="S158" s="344">
        <f t="shared" si="89"/>
        <v>0</v>
      </c>
      <c r="T158" s="344" t="str">
        <f t="shared" si="90"/>
        <v/>
      </c>
      <c r="U158" s="344" t="str">
        <f t="shared" si="91"/>
        <v/>
      </c>
      <c r="V158" s="344" t="str">
        <f t="shared" si="92"/>
        <v/>
      </c>
      <c r="W158" s="344" t="e">
        <f t="shared" si="97"/>
        <v>#N/A</v>
      </c>
      <c r="X158" s="344"/>
      <c r="Y158" s="344"/>
      <c r="Z158" s="314" t="str">
        <f t="shared" si="115"/>
        <v>15-Apr-1973</v>
      </c>
      <c r="AA158" s="314" t="str">
        <f t="shared" si="98"/>
        <v/>
      </c>
      <c r="AB158" s="314" t="e">
        <f t="shared" si="99"/>
        <v>#VALUE!</v>
      </c>
      <c r="AC158" s="314">
        <f t="shared" si="100"/>
        <v>49</v>
      </c>
      <c r="AD158" s="347" t="str">
        <f t="shared" si="101"/>
        <v>Aged 49 on 01-Jul-2022.</v>
      </c>
      <c r="AE158" s="305"/>
      <c r="AF158" s="303"/>
      <c r="AG158" s="303"/>
      <c r="AH158" s="303"/>
      <c r="AI158" s="327">
        <v>38605</v>
      </c>
      <c r="AJ158" s="328" t="s">
        <v>4784</v>
      </c>
      <c r="AK158" s="319" t="str">
        <f t="shared" si="102"/>
        <v>10</v>
      </c>
      <c r="AL158" s="319">
        <f t="shared" si="84"/>
        <v>9</v>
      </c>
      <c r="AM158" s="319">
        <f t="shared" si="85"/>
        <v>2005</v>
      </c>
      <c r="AN158" s="344" t="e">
        <f>IF(AJ158=" -",AJ158,VLOOKUP(AL158,$BQ$4:$BR$15,2,FALSE))</f>
        <v>#N/A</v>
      </c>
      <c r="AO158" s="344" t="e">
        <f t="shared" si="116"/>
        <v>#N/A</v>
      </c>
      <c r="AQ158" s="327"/>
      <c r="AR158" s="350">
        <f>A158</f>
        <v>155</v>
      </c>
      <c r="AS158" s="353" t="str">
        <f>IF(V158="",_xlfn.CONCAT(IF(G158="",D158,G158)," (",Q158,"–",V158," : #",AR158,")"),_xlfn.CONCAT(IF(G158="",D158,G158)," (",Q158,"–",V158,": #",AR158,")"))</f>
        <v>William (1973– : #155)</v>
      </c>
      <c r="AT158" s="353" t="str">
        <f>IF(V158="",_xlfn.CONCAT(IF(G158="",D158,G158)," (",Q158,"– ",V158,")"),_xlfn.CONCAT(IF(G158="",D158,G158)," (",Q158,"–",V158,")"))</f>
        <v>William (1973– )</v>
      </c>
      <c r="AU158" s="352" t="str">
        <f t="shared" si="86"/>
        <v>Male</v>
      </c>
      <c r="AV158" s="355" t="s">
        <v>4412</v>
      </c>
      <c r="AW158" s="319" t="str">
        <f>VLOOKUP(AV158,'Mums of Loyd Edit&amp;Partner Edit'!$B$3:$C$66,2,FALSE)</f>
        <v>Mary Jennifer CHARLTON (b. 15 Jul 1946, d. 10 Oct 1976)</v>
      </c>
      <c r="AX158" s="360">
        <v>119</v>
      </c>
      <c r="AY158" s="355" t="str">
        <f t="shared" si="94"/>
        <v>Peter (1942– : #119)</v>
      </c>
      <c r="AZ158" s="361">
        <f>VLOOKUP(AX158,Lineage!$A$1:$C$200,2,FALSE)</f>
        <v>80</v>
      </c>
      <c r="BA158" s="362" t="str">
        <f t="shared" si="114"/>
        <v>Eric (1894–1963: #80)</v>
      </c>
      <c r="BB158" s="368">
        <f>BiographyMarriageDetsCountries!A157</f>
        <v>155</v>
      </c>
      <c r="BC158" s="319"/>
      <c r="BD158" s="362"/>
      <c r="BF158" s="324"/>
      <c r="BG158" s="357">
        <f t="shared" si="104"/>
        <v>155</v>
      </c>
      <c r="BH158" s="289" t="str">
        <f t="shared" si="105"/>
        <v>William John Charlton LOYD (CHARLTON)</v>
      </c>
      <c r="BI158" s="289" t="str">
        <f t="shared" si="106"/>
        <v>William (1973– )</v>
      </c>
      <c r="BJ158" s="304" t="str">
        <f t="shared" si="107"/>
        <v>Male</v>
      </c>
      <c r="BK158" s="304">
        <f t="shared" si="108"/>
        <v>6</v>
      </c>
      <c r="BL158" s="289" t="str">
        <f t="shared" si="109"/>
        <v>Peter (1942– : #119)</v>
      </c>
      <c r="BM158" s="289" t="str">
        <f t="shared" si="110"/>
        <v>Mary Jennifer CHARLTON (b. 15 Jul 1946, d. 10 Oct 1976)</v>
      </c>
      <c r="BN158" s="367" t="str">
        <f t="shared" si="111"/>
        <v>15-Apr-1973</v>
      </c>
      <c r="BO158" s="367" t="str">
        <f t="shared" si="112"/>
        <v/>
      </c>
      <c r="BP158" s="365" t="str">
        <f t="shared" si="113"/>
        <v>Aged 49 on 01-Jul-2022.</v>
      </c>
    </row>
    <row r="159" spans="1:68" s="289" customFormat="1" ht="20">
      <c r="A159" s="302">
        <v>156</v>
      </c>
      <c r="B159" s="364">
        <v>6</v>
      </c>
      <c r="C159" s="288" t="s">
        <v>782</v>
      </c>
      <c r="D159" s="289" t="s">
        <v>941</v>
      </c>
      <c r="E159" s="289" t="s">
        <v>942</v>
      </c>
      <c r="H159" s="304" t="s">
        <v>3244</v>
      </c>
      <c r="I159" s="306">
        <v>1975</v>
      </c>
      <c r="J159" s="306" t="s">
        <v>3228</v>
      </c>
      <c r="K159" s="307" t="s">
        <v>4675</v>
      </c>
      <c r="L159" s="308">
        <v>27457</v>
      </c>
      <c r="M159" s="309"/>
      <c r="N159" s="309"/>
      <c r="O159" s="348">
        <f t="shared" si="95"/>
        <v>4</v>
      </c>
      <c r="P159" s="345">
        <f t="shared" si="87"/>
        <v>3</v>
      </c>
      <c r="Q159" s="345">
        <f t="shared" si="88"/>
        <v>1975</v>
      </c>
      <c r="R159" s="344" t="str">
        <f t="shared" si="96"/>
        <v>Mar</v>
      </c>
      <c r="S159" s="344">
        <f t="shared" si="89"/>
        <v>0</v>
      </c>
      <c r="T159" s="344" t="str">
        <f t="shared" si="90"/>
        <v/>
      </c>
      <c r="U159" s="344" t="str">
        <f t="shared" si="91"/>
        <v/>
      </c>
      <c r="V159" s="344" t="str">
        <f t="shared" si="92"/>
        <v/>
      </c>
      <c r="W159" s="344" t="e">
        <f t="shared" si="97"/>
        <v>#N/A</v>
      </c>
      <c r="X159" s="344"/>
      <c r="Y159" s="344"/>
      <c r="Z159" s="314" t="str">
        <f t="shared" si="115"/>
        <v>04-Mar-1975</v>
      </c>
      <c r="AA159" s="314" t="str">
        <f t="shared" si="98"/>
        <v/>
      </c>
      <c r="AB159" s="314" t="e">
        <f t="shared" si="99"/>
        <v>#VALUE!</v>
      </c>
      <c r="AC159" s="314">
        <f t="shared" si="100"/>
        <v>47</v>
      </c>
      <c r="AD159" s="347" t="str">
        <f t="shared" si="101"/>
        <v>Aged 47 on 01-Jul-2022.</v>
      </c>
      <c r="AE159" s="305"/>
      <c r="AF159" s="303"/>
      <c r="AG159" s="303"/>
      <c r="AH159" s="303"/>
      <c r="AI159" s="327">
        <v>41250</v>
      </c>
      <c r="AJ159" s="328" t="s">
        <v>4771</v>
      </c>
      <c r="AK159" s="319" t="str">
        <f t="shared" si="102"/>
        <v>07</v>
      </c>
      <c r="AL159" s="319">
        <f t="shared" si="84"/>
        <v>12</v>
      </c>
      <c r="AM159" s="319">
        <f t="shared" si="85"/>
        <v>2012</v>
      </c>
      <c r="AN159" s="344" t="e">
        <f>IF(AJ159=" -",AJ159,VLOOKUP(AL159,$BQ$4:$BR$15,2,FALSE))</f>
        <v>#N/A</v>
      </c>
      <c r="AO159" s="344" t="e">
        <f t="shared" si="116"/>
        <v>#N/A</v>
      </c>
      <c r="AQ159" s="327"/>
      <c r="AR159" s="350">
        <f>A159</f>
        <v>156</v>
      </c>
      <c r="AS159" s="353" t="str">
        <f>IF(V159="",_xlfn.CONCAT(IF(G159="",D159,G159)," (",Q159,"–",V159," : #",AR159,")"),_xlfn.CONCAT(IF(G159="",D159,G159)," (",Q159,"–",V159,": #",AR159,")"))</f>
        <v>Amy (1975– : #156)</v>
      </c>
      <c r="AT159" s="353" t="str">
        <f>IF(V159="",_xlfn.CONCAT(IF(G159="",D159,G159)," (",Q159,"– ",V159,")"),_xlfn.CONCAT(IF(G159="",D159,G159)," (",Q159,"–",V159,")"))</f>
        <v>Amy (1975– )</v>
      </c>
      <c r="AU159" s="352" t="str">
        <f t="shared" si="86"/>
        <v>Female</v>
      </c>
      <c r="AV159" s="355" t="s">
        <v>4412</v>
      </c>
      <c r="AW159" s="319" t="str">
        <f>VLOOKUP(AV159,'Mums of Loyd Edit&amp;Partner Edit'!$B$3:$C$66,2,FALSE)</f>
        <v>Mary Jennifer CHARLTON (b. 15 Jul 1946, d. 10 Oct 1976)</v>
      </c>
      <c r="AX159" s="360">
        <v>119</v>
      </c>
      <c r="AY159" s="355" t="str">
        <f t="shared" si="94"/>
        <v>Peter (1942– : #119)</v>
      </c>
      <c r="AZ159" s="361">
        <f>VLOOKUP(AX159,Lineage!$A$1:$C$200,2,FALSE)</f>
        <v>80</v>
      </c>
      <c r="BA159" s="362" t="str">
        <f t="shared" si="114"/>
        <v>Eric (1894–1963: #80)</v>
      </c>
      <c r="BB159" s="368">
        <f>BiographyMarriageDetsCountries!A158</f>
        <v>156</v>
      </c>
      <c r="BC159" s="319"/>
      <c r="BD159" s="362"/>
      <c r="BF159" s="324"/>
      <c r="BG159" s="357">
        <f t="shared" si="104"/>
        <v>156</v>
      </c>
      <c r="BH159" s="289" t="str">
        <f t="shared" si="105"/>
        <v>Amy Lucia LOYD</v>
      </c>
      <c r="BI159" s="289" t="str">
        <f t="shared" si="106"/>
        <v>Amy (1975– )</v>
      </c>
      <c r="BJ159" s="304" t="str">
        <f t="shared" si="107"/>
        <v>Female</v>
      </c>
      <c r="BK159" s="304">
        <f t="shared" si="108"/>
        <v>6</v>
      </c>
      <c r="BL159" s="289" t="str">
        <f t="shared" si="109"/>
        <v>Peter (1942– : #119)</v>
      </c>
      <c r="BM159" s="289" t="str">
        <f t="shared" si="110"/>
        <v>Mary Jennifer CHARLTON (b. 15 Jul 1946, d. 10 Oct 1976)</v>
      </c>
      <c r="BN159" s="367" t="str">
        <f t="shared" si="111"/>
        <v>04-Mar-1975</v>
      </c>
      <c r="BO159" s="367" t="str">
        <f t="shared" si="112"/>
        <v/>
      </c>
      <c r="BP159" s="365" t="str">
        <f t="shared" si="113"/>
        <v>Aged 47 on 01-Jul-2022.</v>
      </c>
    </row>
    <row r="160" spans="1:68" s="289" customFormat="1" ht="20">
      <c r="A160" s="302">
        <v>157</v>
      </c>
      <c r="B160" s="364">
        <v>6</v>
      </c>
      <c r="C160" s="288" t="s">
        <v>782</v>
      </c>
      <c r="D160" s="289" t="s">
        <v>943</v>
      </c>
      <c r="E160" s="289" t="s">
        <v>922</v>
      </c>
      <c r="G160" s="289" t="s">
        <v>3681</v>
      </c>
      <c r="H160" s="304" t="s">
        <v>3244</v>
      </c>
      <c r="I160" s="306">
        <v>1975</v>
      </c>
      <c r="J160" s="306" t="s">
        <v>3228</v>
      </c>
      <c r="K160" s="307" t="s">
        <v>4687</v>
      </c>
      <c r="L160" s="308">
        <v>27606</v>
      </c>
      <c r="M160" s="309"/>
      <c r="N160" s="309"/>
      <c r="O160" s="348">
        <f t="shared" si="95"/>
        <v>31</v>
      </c>
      <c r="P160" s="345">
        <f t="shared" si="87"/>
        <v>7</v>
      </c>
      <c r="Q160" s="345">
        <f t="shared" si="88"/>
        <v>1975</v>
      </c>
      <c r="R160" s="344" t="str">
        <f t="shared" si="96"/>
        <v>Jul</v>
      </c>
      <c r="S160" s="344">
        <f t="shared" si="89"/>
        <v>0</v>
      </c>
      <c r="T160" s="344" t="str">
        <f t="shared" si="90"/>
        <v/>
      </c>
      <c r="U160" s="344" t="str">
        <f t="shared" si="91"/>
        <v/>
      </c>
      <c r="V160" s="344" t="str">
        <f t="shared" si="92"/>
        <v/>
      </c>
      <c r="W160" s="344" t="e">
        <f t="shared" si="97"/>
        <v>#N/A</v>
      </c>
      <c r="X160" s="344"/>
      <c r="Y160" s="344"/>
      <c r="Z160" s="314" t="str">
        <f t="shared" si="115"/>
        <v>31-Jul-1975</v>
      </c>
      <c r="AA160" s="314" t="str">
        <f t="shared" si="98"/>
        <v/>
      </c>
      <c r="AB160" s="314" t="e">
        <f t="shared" si="99"/>
        <v>#VALUE!</v>
      </c>
      <c r="AC160" s="314">
        <f t="shared" si="100"/>
        <v>46</v>
      </c>
      <c r="AD160" s="347" t="str">
        <f t="shared" si="101"/>
        <v>Aged 46 on 01-Jul-2022.</v>
      </c>
      <c r="AE160" s="305"/>
      <c r="AF160" s="303"/>
      <c r="AG160" s="303"/>
      <c r="AH160" s="303"/>
      <c r="AI160" s="327">
        <v>40761</v>
      </c>
      <c r="AJ160" s="328" t="s">
        <v>4761</v>
      </c>
      <c r="AK160" s="319" t="str">
        <f t="shared" si="102"/>
        <v>06</v>
      </c>
      <c r="AL160" s="319">
        <f t="shared" si="84"/>
        <v>8</v>
      </c>
      <c r="AM160" s="319">
        <f t="shared" si="85"/>
        <v>2011</v>
      </c>
      <c r="AN160" s="344" t="e">
        <f>IF(AJ160=" -",AJ160,VLOOKUP(AL160,$BQ$4:$BR$15,2,FALSE))</f>
        <v>#N/A</v>
      </c>
      <c r="AO160" s="344" t="e">
        <f t="shared" si="116"/>
        <v>#N/A</v>
      </c>
      <c r="AQ160" s="327"/>
      <c r="AR160" s="350">
        <f>A160</f>
        <v>157</v>
      </c>
      <c r="AS160" s="353" t="str">
        <f>IF(V160="",_xlfn.CONCAT(IF(G160="",D160,G160)," (",Q160,"–",V160," : #",AR160,")"),_xlfn.CONCAT(IF(G160="",D160,G160)," (",Q160,"–",V160,": #",AR160,")"))</f>
        <v>Tess (1975– : #157)</v>
      </c>
      <c r="AT160" s="353" t="str">
        <f>IF(V160="",_xlfn.CONCAT(IF(G160="",D160,G160)," (",Q160,"– ",V160,")"),_xlfn.CONCAT(IF(G160="",D160,G160)," (",Q160,"–",V160,")"))</f>
        <v>Tess (1975– )</v>
      </c>
      <c r="AU160" s="352" t="str">
        <f t="shared" si="86"/>
        <v>Female</v>
      </c>
      <c r="AV160" s="355" t="s">
        <v>4413</v>
      </c>
      <c r="AW160" s="319" t="str">
        <f>VLOOKUP(AV160,'Mums of Loyd Edit&amp;Partner Edit'!$B$3:$C$66,2,FALSE)</f>
        <v>Rosemary (Rosie) STRAKER (b. 19 Jan 1945, )</v>
      </c>
      <c r="AX160" s="360">
        <v>114</v>
      </c>
      <c r="AY160" s="355" t="str">
        <f t="shared" si="94"/>
        <v>Michael (1938– : #114)</v>
      </c>
      <c r="AZ160" s="361">
        <f>VLOOKUP(AX160,Lineage!$A$1:$C$200,2,FALSE)</f>
        <v>80</v>
      </c>
      <c r="BA160" s="362" t="str">
        <f t="shared" si="114"/>
        <v>Eric (1894–1963: #80)</v>
      </c>
      <c r="BB160" s="368">
        <f>BiographyMarriageDetsCountries!A159</f>
        <v>157</v>
      </c>
      <c r="BC160" s="319"/>
      <c r="BD160" s="362"/>
      <c r="BF160" s="324"/>
      <c r="BG160" s="357">
        <f t="shared" si="104"/>
        <v>157</v>
      </c>
      <c r="BH160" s="289" t="str">
        <f t="shared" si="105"/>
        <v>Tessa Jane LOYD</v>
      </c>
      <c r="BI160" s="289" t="str">
        <f t="shared" si="106"/>
        <v>Tess (1975– )</v>
      </c>
      <c r="BJ160" s="304" t="str">
        <f t="shared" si="107"/>
        <v>Female</v>
      </c>
      <c r="BK160" s="304">
        <f t="shared" si="108"/>
        <v>6</v>
      </c>
      <c r="BL160" s="289" t="str">
        <f t="shared" si="109"/>
        <v>Michael (1938– : #114)</v>
      </c>
      <c r="BM160" s="289" t="str">
        <f t="shared" si="110"/>
        <v>Rosemary (Rosie) STRAKER (b. 19 Jan 1945, )</v>
      </c>
      <c r="BN160" s="367" t="str">
        <f t="shared" si="111"/>
        <v>31-Jul-1975</v>
      </c>
      <c r="BO160" s="367" t="str">
        <f t="shared" si="112"/>
        <v/>
      </c>
      <c r="BP160" s="365" t="str">
        <f t="shared" si="113"/>
        <v>Aged 46 on 01-Jul-2022.</v>
      </c>
    </row>
    <row r="161" spans="1:68" s="289" customFormat="1" ht="20">
      <c r="A161" s="302">
        <v>158</v>
      </c>
      <c r="B161" s="364">
        <v>6</v>
      </c>
      <c r="C161" s="288" t="s">
        <v>782</v>
      </c>
      <c r="D161" s="289" t="s">
        <v>944</v>
      </c>
      <c r="E161" s="289" t="s">
        <v>945</v>
      </c>
      <c r="H161" s="304" t="s">
        <v>3244</v>
      </c>
      <c r="I161" s="306">
        <v>1977</v>
      </c>
      <c r="J161" s="306" t="s">
        <v>3228</v>
      </c>
      <c r="K161" s="307" t="s">
        <v>4676</v>
      </c>
      <c r="L161" s="308">
        <v>28368</v>
      </c>
      <c r="M161" s="309"/>
      <c r="N161" s="309"/>
      <c r="O161" s="348">
        <f t="shared" si="95"/>
        <v>31</v>
      </c>
      <c r="P161" s="345">
        <f t="shared" si="87"/>
        <v>8</v>
      </c>
      <c r="Q161" s="345">
        <f t="shared" si="88"/>
        <v>1977</v>
      </c>
      <c r="R161" s="344" t="str">
        <f t="shared" si="96"/>
        <v>Aug</v>
      </c>
      <c r="S161" s="344">
        <f t="shared" si="89"/>
        <v>0</v>
      </c>
      <c r="T161" s="344" t="str">
        <f t="shared" si="90"/>
        <v/>
      </c>
      <c r="U161" s="344" t="str">
        <f t="shared" si="91"/>
        <v/>
      </c>
      <c r="V161" s="344" t="str">
        <f t="shared" si="92"/>
        <v/>
      </c>
      <c r="W161" s="344" t="e">
        <f t="shared" si="97"/>
        <v>#N/A</v>
      </c>
      <c r="X161" s="344"/>
      <c r="Y161" s="344"/>
      <c r="Z161" s="314" t="str">
        <f t="shared" si="115"/>
        <v>31-Aug-1977</v>
      </c>
      <c r="AA161" s="314" t="str">
        <f t="shared" si="98"/>
        <v/>
      </c>
      <c r="AB161" s="314" t="e">
        <f t="shared" si="99"/>
        <v>#VALUE!</v>
      </c>
      <c r="AC161" s="314">
        <f t="shared" si="100"/>
        <v>44</v>
      </c>
      <c r="AD161" s="347" t="str">
        <f t="shared" si="101"/>
        <v>Aged 44 on 01-Jul-2022.</v>
      </c>
      <c r="AE161" s="305"/>
      <c r="AF161" s="303"/>
      <c r="AG161" s="303"/>
      <c r="AH161" s="303"/>
      <c r="AI161" s="327">
        <v>39599</v>
      </c>
      <c r="AJ161" s="328" t="s">
        <v>4772</v>
      </c>
      <c r="AK161" s="319" t="str">
        <f t="shared" si="102"/>
        <v>31</v>
      </c>
      <c r="AL161" s="319">
        <f t="shared" si="84"/>
        <v>5</v>
      </c>
      <c r="AM161" s="319">
        <f t="shared" si="85"/>
        <v>2008</v>
      </c>
      <c r="AN161" s="344" t="e">
        <f>IF(AJ161=" -",AJ161,VLOOKUP(AL161,$BQ$4:$BR$15,2,FALSE))</f>
        <v>#N/A</v>
      </c>
      <c r="AO161" s="344" t="e">
        <f t="shared" si="116"/>
        <v>#N/A</v>
      </c>
      <c r="AQ161" s="327"/>
      <c r="AR161" s="350">
        <f>A161</f>
        <v>158</v>
      </c>
      <c r="AS161" s="353" t="str">
        <f>IF(V161="",_xlfn.CONCAT(IF(G161="",D161,G161)," (",Q161,"–",V161," : #",AR161,")"),_xlfn.CONCAT(IF(G161="",D161,G161)," (",Q161,"–",V161,": #",AR161,")"))</f>
        <v>Chloe (1977– : #158)</v>
      </c>
      <c r="AT161" s="353" t="str">
        <f>IF(V161="",_xlfn.CONCAT(IF(G161="",D161,G161)," (",Q161,"– ",V161,")"),_xlfn.CONCAT(IF(G161="",D161,G161)," (",Q161,"–",V161,")"))</f>
        <v>Chloe (1977– )</v>
      </c>
      <c r="AU161" s="352" t="str">
        <f t="shared" si="86"/>
        <v>Female</v>
      </c>
      <c r="AV161" s="355" t="s">
        <v>4413</v>
      </c>
      <c r="AW161" s="319" t="str">
        <f>VLOOKUP(AV161,'Mums of Loyd Edit&amp;Partner Edit'!$B$3:$C$66,2,FALSE)</f>
        <v>Rosemary (Rosie) STRAKER (b. 19 Jan 1945, )</v>
      </c>
      <c r="AX161" s="360">
        <v>114</v>
      </c>
      <c r="AY161" s="355" t="str">
        <f t="shared" si="94"/>
        <v>Michael (1938– : #114)</v>
      </c>
      <c r="AZ161" s="361">
        <f>VLOOKUP(AX161,Lineage!$A$1:$C$200,2,FALSE)</f>
        <v>80</v>
      </c>
      <c r="BA161" s="362" t="str">
        <f t="shared" si="114"/>
        <v>Eric (1894–1963: #80)</v>
      </c>
      <c r="BB161" s="368">
        <f>BiographyMarriageDetsCountries!A160</f>
        <v>158</v>
      </c>
      <c r="BC161" s="319"/>
      <c r="BD161" s="362"/>
      <c r="BF161" s="324"/>
      <c r="BG161" s="357">
        <f t="shared" si="104"/>
        <v>158</v>
      </c>
      <c r="BH161" s="289" t="str">
        <f t="shared" si="105"/>
        <v>Chloe Victoria LOYD</v>
      </c>
      <c r="BI161" s="289" t="str">
        <f t="shared" si="106"/>
        <v>Chloe (1977– )</v>
      </c>
      <c r="BJ161" s="304" t="str">
        <f t="shared" si="107"/>
        <v>Female</v>
      </c>
      <c r="BK161" s="304">
        <f t="shared" si="108"/>
        <v>6</v>
      </c>
      <c r="BL161" s="289" t="str">
        <f t="shared" si="109"/>
        <v>Michael (1938– : #114)</v>
      </c>
      <c r="BM161" s="289" t="str">
        <f t="shared" si="110"/>
        <v>Rosemary (Rosie) STRAKER (b. 19 Jan 1945, )</v>
      </c>
      <c r="BN161" s="367" t="str">
        <f t="shared" si="111"/>
        <v>31-Aug-1977</v>
      </c>
      <c r="BO161" s="367" t="str">
        <f t="shared" si="112"/>
        <v/>
      </c>
      <c r="BP161" s="365" t="str">
        <f t="shared" si="113"/>
        <v>Aged 44 on 01-Jul-2022.</v>
      </c>
    </row>
    <row r="162" spans="1:68" s="289" customFormat="1" ht="20">
      <c r="A162" s="302">
        <v>159</v>
      </c>
      <c r="B162" s="364">
        <v>6</v>
      </c>
      <c r="C162" s="288" t="s">
        <v>782</v>
      </c>
      <c r="D162" s="289" t="s">
        <v>946</v>
      </c>
      <c r="E162" s="289" t="s">
        <v>839</v>
      </c>
      <c r="H162" s="304" t="s">
        <v>3244</v>
      </c>
      <c r="I162" s="306">
        <v>1979</v>
      </c>
      <c r="J162" s="306" t="s">
        <v>3228</v>
      </c>
      <c r="K162" s="307" t="s">
        <v>4677</v>
      </c>
      <c r="L162" s="308">
        <v>29086</v>
      </c>
      <c r="M162" s="309"/>
      <c r="N162" s="309"/>
      <c r="O162" s="348">
        <f t="shared" si="95"/>
        <v>19</v>
      </c>
      <c r="P162" s="345">
        <f t="shared" si="87"/>
        <v>8</v>
      </c>
      <c r="Q162" s="345">
        <f t="shared" si="88"/>
        <v>1979</v>
      </c>
      <c r="R162" s="344" t="str">
        <f t="shared" si="96"/>
        <v>Aug</v>
      </c>
      <c r="S162" s="344">
        <f t="shared" si="89"/>
        <v>0</v>
      </c>
      <c r="T162" s="344" t="str">
        <f t="shared" si="90"/>
        <v/>
      </c>
      <c r="U162" s="344" t="str">
        <f t="shared" si="91"/>
        <v/>
      </c>
      <c r="V162" s="344" t="str">
        <f t="shared" si="92"/>
        <v/>
      </c>
      <c r="W162" s="344" t="e">
        <f t="shared" si="97"/>
        <v>#N/A</v>
      </c>
      <c r="X162" s="344"/>
      <c r="Y162" s="344"/>
      <c r="Z162" s="314" t="str">
        <f t="shared" si="115"/>
        <v>19-Aug-1979</v>
      </c>
      <c r="AA162" s="314" t="str">
        <f t="shared" si="98"/>
        <v/>
      </c>
      <c r="AB162" s="314" t="e">
        <f t="shared" si="99"/>
        <v>#VALUE!</v>
      </c>
      <c r="AC162" s="314">
        <f t="shared" si="100"/>
        <v>42</v>
      </c>
      <c r="AD162" s="347" t="str">
        <f t="shared" si="101"/>
        <v>Aged 42 on 01-Jul-2022.</v>
      </c>
      <c r="AE162" s="305"/>
      <c r="AF162" s="303"/>
      <c r="AG162" s="303"/>
      <c r="AH162" s="303"/>
      <c r="AI162" s="327">
        <v>39424</v>
      </c>
      <c r="AJ162" s="328" t="s">
        <v>4773</v>
      </c>
      <c r="AK162" s="319" t="str">
        <f t="shared" si="102"/>
        <v>08</v>
      </c>
      <c r="AL162" s="319">
        <f t="shared" si="84"/>
        <v>12</v>
      </c>
      <c r="AM162" s="319">
        <f t="shared" si="85"/>
        <v>2007</v>
      </c>
      <c r="AN162" s="344" t="e">
        <f>IF(AJ162=" -",AJ162,VLOOKUP(AL162,$BQ$4:$BR$15,2,FALSE))</f>
        <v>#N/A</v>
      </c>
      <c r="AO162" s="344" t="e">
        <f t="shared" si="116"/>
        <v>#N/A</v>
      </c>
      <c r="AQ162" s="327"/>
      <c r="AR162" s="350">
        <f>A162</f>
        <v>159</v>
      </c>
      <c r="AS162" s="353" t="str">
        <f>IF(V162="",_xlfn.CONCAT(IF(G162="",D162,G162)," (",Q162,"–",V162," : #",AR162,")"),_xlfn.CONCAT(IF(G162="",D162,G162)," (",Q162,"–",V162,": #",AR162,")"))</f>
        <v>Daisy (1979– : #159)</v>
      </c>
      <c r="AT162" s="353" t="str">
        <f>IF(V162="",_xlfn.CONCAT(IF(G162="",D162,G162)," (",Q162,"– ",V162,")"),_xlfn.CONCAT(IF(G162="",D162,G162)," (",Q162,"–",V162,")"))</f>
        <v>Daisy (1979– )</v>
      </c>
      <c r="AU162" s="352" t="str">
        <f t="shared" si="86"/>
        <v>Female</v>
      </c>
      <c r="AV162" s="355" t="s">
        <v>4413</v>
      </c>
      <c r="AW162" s="319" t="str">
        <f>VLOOKUP(AV162,'Mums of Loyd Edit&amp;Partner Edit'!$B$3:$C$66,2,FALSE)</f>
        <v>Rosemary (Rosie) STRAKER (b. 19 Jan 1945, )</v>
      </c>
      <c r="AX162" s="360">
        <v>114</v>
      </c>
      <c r="AY162" s="355" t="str">
        <f t="shared" si="94"/>
        <v>Michael (1938– : #114)</v>
      </c>
      <c r="AZ162" s="361">
        <f>VLOOKUP(AX162,Lineage!$A$1:$C$200,2,FALSE)</f>
        <v>80</v>
      </c>
      <c r="BA162" s="362" t="str">
        <f t="shared" si="114"/>
        <v>Eric (1894–1963: #80)</v>
      </c>
      <c r="BB162" s="368">
        <f>BiographyMarriageDetsCountries!A161</f>
        <v>159</v>
      </c>
      <c r="BC162" s="319"/>
      <c r="BD162" s="362"/>
      <c r="BF162" s="324"/>
      <c r="BG162" s="357">
        <f t="shared" si="104"/>
        <v>159</v>
      </c>
      <c r="BH162" s="289" t="str">
        <f t="shared" si="105"/>
        <v>Daisy Anne LOYD</v>
      </c>
      <c r="BI162" s="289" t="str">
        <f t="shared" si="106"/>
        <v>Daisy (1979– )</v>
      </c>
      <c r="BJ162" s="304" t="str">
        <f t="shared" si="107"/>
        <v>Female</v>
      </c>
      <c r="BK162" s="304">
        <f t="shared" si="108"/>
        <v>6</v>
      </c>
      <c r="BL162" s="289" t="str">
        <f t="shared" si="109"/>
        <v>Michael (1938– : #114)</v>
      </c>
      <c r="BM162" s="289" t="str">
        <f t="shared" si="110"/>
        <v>Rosemary (Rosie) STRAKER (b. 19 Jan 1945, )</v>
      </c>
      <c r="BN162" s="367" t="str">
        <f t="shared" si="111"/>
        <v>19-Aug-1979</v>
      </c>
      <c r="BO162" s="367" t="str">
        <f t="shared" si="112"/>
        <v/>
      </c>
      <c r="BP162" s="365" t="str">
        <f t="shared" si="113"/>
        <v>Aged 42 on 01-Jul-2022.</v>
      </c>
    </row>
    <row r="163" spans="1:68" s="289" customFormat="1" ht="20">
      <c r="A163" s="302">
        <v>160</v>
      </c>
      <c r="B163" s="364">
        <v>7</v>
      </c>
      <c r="C163" s="288" t="s">
        <v>782</v>
      </c>
      <c r="D163" s="289" t="s">
        <v>842</v>
      </c>
      <c r="E163" s="289" t="s">
        <v>947</v>
      </c>
      <c r="H163" s="304" t="s">
        <v>3245</v>
      </c>
      <c r="I163" s="306">
        <v>1982</v>
      </c>
      <c r="J163" s="306" t="s">
        <v>3228</v>
      </c>
      <c r="K163" s="307" t="s">
        <v>4678</v>
      </c>
      <c r="L163" s="308">
        <v>29969</v>
      </c>
      <c r="M163" s="309"/>
      <c r="N163" s="309"/>
      <c r="O163" s="348">
        <f t="shared" si="95"/>
        <v>18</v>
      </c>
      <c r="P163" s="345">
        <f t="shared" si="87"/>
        <v>1</v>
      </c>
      <c r="Q163" s="345">
        <f t="shared" si="88"/>
        <v>1982</v>
      </c>
      <c r="R163" s="344" t="str">
        <f t="shared" si="96"/>
        <v>Jan</v>
      </c>
      <c r="S163" s="344">
        <f t="shared" si="89"/>
        <v>0</v>
      </c>
      <c r="T163" s="344" t="str">
        <f t="shared" si="90"/>
        <v/>
      </c>
      <c r="U163" s="344" t="str">
        <f t="shared" si="91"/>
        <v/>
      </c>
      <c r="V163" s="344" t="str">
        <f t="shared" si="92"/>
        <v/>
      </c>
      <c r="W163" s="344" t="e">
        <f t="shared" si="97"/>
        <v>#N/A</v>
      </c>
      <c r="X163" s="344"/>
      <c r="Y163" s="344"/>
      <c r="Z163" s="314" t="str">
        <f t="shared" si="115"/>
        <v>18-Jan-1982</v>
      </c>
      <c r="AA163" s="314" t="str">
        <f t="shared" si="98"/>
        <v/>
      </c>
      <c r="AB163" s="314" t="e">
        <f t="shared" si="99"/>
        <v>#VALUE!</v>
      </c>
      <c r="AC163" s="314">
        <f t="shared" si="100"/>
        <v>40</v>
      </c>
      <c r="AD163" s="347" t="str">
        <f t="shared" si="101"/>
        <v>Aged 40 on 01-Jul-2022.</v>
      </c>
      <c r="AE163" s="305"/>
      <c r="AF163" s="303"/>
      <c r="AG163" s="303"/>
      <c r="AH163" s="303"/>
      <c r="AI163" s="289" t="s">
        <v>2793</v>
      </c>
      <c r="AJ163" s="289" t="s">
        <v>2793</v>
      </c>
      <c r="AK163" s="319" t="str">
        <f t="shared" si="102"/>
        <v xml:space="preserve"> -</v>
      </c>
      <c r="AL163" s="319" t="str">
        <f t="shared" si="84"/>
        <v xml:space="preserve"> -</v>
      </c>
      <c r="AM163" s="319" t="str">
        <f t="shared" si="85"/>
        <v xml:space="preserve"> -</v>
      </c>
      <c r="AN163" s="344" t="str">
        <f>IF(AJ163=" -",AJ163,VLOOKUP(AL163,$BQ$4:$BR$15,2,FALSE))</f>
        <v xml:space="preserve"> -</v>
      </c>
      <c r="AO163" s="344" t="str">
        <f t="shared" si="116"/>
        <v xml:space="preserve"> -</v>
      </c>
      <c r="AR163" s="350">
        <f>A163</f>
        <v>160</v>
      </c>
      <c r="AS163" s="353" t="str">
        <f>IF(V163="",_xlfn.CONCAT(IF(G163="",D163,G163)," (",Q163,"–",V163," : #",AR163,")"),_xlfn.CONCAT(IF(G163="",D163,G163)," (",Q163,"–",V163,": #",AR163,")"))</f>
        <v>John (1982– : #160)</v>
      </c>
      <c r="AT163" s="353" t="str">
        <f>IF(V163="",_xlfn.CONCAT(IF(G163="",D163,G163)," (",Q163,"– ",V163,")"),_xlfn.CONCAT(IF(G163="",D163,G163)," (",Q163,"–",V163,")"))</f>
        <v>John (1982– )</v>
      </c>
      <c r="AU163" s="352" t="str">
        <f t="shared" si="86"/>
        <v>Male</v>
      </c>
      <c r="AV163" s="355" t="s">
        <v>4414</v>
      </c>
      <c r="AW163" s="319" t="str">
        <f>VLOOKUP(AV163,'Mums of Loyd Edit&amp;Partner Edit'!$B$3:$C$66,2,FALSE)</f>
        <v>Karina Lesley BOYCE (b. 22 Apr 1954, )</v>
      </c>
      <c r="AX163" s="360">
        <v>131</v>
      </c>
      <c r="AY163" s="355" t="str">
        <f t="shared" si="94"/>
        <v>Dominic (1953– : #131)</v>
      </c>
      <c r="AZ163" s="361">
        <f>VLOOKUP(AX163,Lineage!$A$1:$C$200,2,FALSE)</f>
        <v>94</v>
      </c>
      <c r="BA163" s="362" t="str">
        <f t="shared" si="114"/>
        <v>Alwyne (1920–2014: #94)</v>
      </c>
      <c r="BB163" s="368">
        <f>BiographyMarriageDetsCountries!A162</f>
        <v>160</v>
      </c>
      <c r="BC163" s="319"/>
      <c r="BD163" s="362"/>
      <c r="BF163" s="324"/>
      <c r="BG163" s="357">
        <f t="shared" si="104"/>
        <v>160</v>
      </c>
      <c r="BH163" s="289" t="str">
        <f t="shared" si="105"/>
        <v>John Stewart LOYD</v>
      </c>
      <c r="BI163" s="289" t="str">
        <f t="shared" si="106"/>
        <v>John (1982– )</v>
      </c>
      <c r="BJ163" s="304" t="str">
        <f t="shared" si="107"/>
        <v>Male</v>
      </c>
      <c r="BK163" s="304">
        <f t="shared" si="108"/>
        <v>7</v>
      </c>
      <c r="BL163" s="289" t="str">
        <f t="shared" si="109"/>
        <v>Dominic (1953– : #131)</v>
      </c>
      <c r="BM163" s="289" t="str">
        <f t="shared" si="110"/>
        <v>Karina Lesley BOYCE (b. 22 Apr 1954, )</v>
      </c>
      <c r="BN163" s="367" t="str">
        <f t="shared" si="111"/>
        <v>18-Jan-1982</v>
      </c>
      <c r="BO163" s="367" t="str">
        <f t="shared" si="112"/>
        <v/>
      </c>
      <c r="BP163" s="365" t="str">
        <f t="shared" si="113"/>
        <v>Aged 40 on 01-Jul-2022.</v>
      </c>
    </row>
    <row r="164" spans="1:68" s="289" customFormat="1" ht="20">
      <c r="A164" s="302">
        <v>161</v>
      </c>
      <c r="B164" s="364">
        <v>6</v>
      </c>
      <c r="C164" s="288" t="s">
        <v>782</v>
      </c>
      <c r="D164" s="289" t="s">
        <v>948</v>
      </c>
      <c r="E164" s="289" t="s">
        <v>863</v>
      </c>
      <c r="H164" s="304" t="s">
        <v>3244</v>
      </c>
      <c r="I164" s="306">
        <v>1982</v>
      </c>
      <c r="J164" s="306" t="s">
        <v>3228</v>
      </c>
      <c r="K164" s="307" t="s">
        <v>4679</v>
      </c>
      <c r="L164" s="308">
        <v>30048</v>
      </c>
      <c r="M164" s="309"/>
      <c r="N164" s="309"/>
      <c r="O164" s="348">
        <f t="shared" si="95"/>
        <v>7</v>
      </c>
      <c r="P164" s="345">
        <f t="shared" ref="P164:P193" si="117">VALUE(MID(K164,4,2))</f>
        <v>4</v>
      </c>
      <c r="Q164" s="345">
        <f t="shared" ref="Q164:Q193" si="118">VALUE(RIGHT(K164,4))</f>
        <v>1982</v>
      </c>
      <c r="R164" s="344" t="str">
        <f t="shared" si="96"/>
        <v>Apr</v>
      </c>
      <c r="S164" s="344">
        <f t="shared" ref="S164:S193" si="119">LEN(M164)</f>
        <v>0</v>
      </c>
      <c r="T164" s="344" t="str">
        <f t="shared" ref="T164:T194" si="120">IF(M164="","",VALUE(LEFT(M164,2)))</f>
        <v/>
      </c>
      <c r="U164" s="344" t="str">
        <f t="shared" ref="U164:U194" si="121">IF(M164="","",VALUE(MID(M164,4,2)))</f>
        <v/>
      </c>
      <c r="V164" s="344" t="str">
        <f t="shared" ref="V164:V194" si="122">IF(M164="","",VALUE(RIGHT(M164,4)))</f>
        <v/>
      </c>
      <c r="W164" s="344" t="e">
        <f t="shared" si="97"/>
        <v>#N/A</v>
      </c>
      <c r="X164" s="344"/>
      <c r="Y164" s="344"/>
      <c r="Z164" s="314" t="str">
        <f t="shared" si="115"/>
        <v>07-Apr-1982</v>
      </c>
      <c r="AA164" s="314" t="str">
        <f t="shared" si="98"/>
        <v/>
      </c>
      <c r="AB164" s="314" t="e">
        <f t="shared" si="99"/>
        <v>#VALUE!</v>
      </c>
      <c r="AC164" s="314">
        <f t="shared" si="100"/>
        <v>40</v>
      </c>
      <c r="AD164" s="347" t="str">
        <f t="shared" si="101"/>
        <v>Aged 40 on 01-Jul-2022.</v>
      </c>
      <c r="AE164" s="305"/>
      <c r="AF164" s="303"/>
      <c r="AG164" s="303"/>
      <c r="AH164" s="303"/>
      <c r="AI164" s="327">
        <v>41139</v>
      </c>
      <c r="AJ164" s="328" t="s">
        <v>4762</v>
      </c>
      <c r="AK164" s="319" t="str">
        <f t="shared" si="102"/>
        <v>18</v>
      </c>
      <c r="AL164" s="319">
        <f t="shared" si="84"/>
        <v>8</v>
      </c>
      <c r="AM164" s="319">
        <f t="shared" si="85"/>
        <v>2012</v>
      </c>
      <c r="AN164" s="344" t="e">
        <f>IF(AJ164=" -",AJ164,VLOOKUP(AL164,$BQ$4:$BR$15,2,FALSE))</f>
        <v>#N/A</v>
      </c>
      <c r="AO164" s="344" t="e">
        <f t="shared" si="116"/>
        <v>#N/A</v>
      </c>
      <c r="AQ164" s="327"/>
      <c r="AR164" s="350">
        <f>A164</f>
        <v>161</v>
      </c>
      <c r="AS164" s="353" t="str">
        <f>IF(V164="",_xlfn.CONCAT(IF(G164="",D164,G164)," (",Q164,"–",V164," : #",AR164,")"),_xlfn.CONCAT(IF(G164="",D164,G164)," (",Q164,"–",V164,": #",AR164,")"))</f>
        <v>Molly (1982– : #161)</v>
      </c>
      <c r="AT164" s="353" t="str">
        <f>IF(V164="",_xlfn.CONCAT(IF(G164="",D164,G164)," (",Q164,"– ",V164,")"),_xlfn.CONCAT(IF(G164="",D164,G164)," (",Q164,"–",V164,")"))</f>
        <v>Molly (1982– )</v>
      </c>
      <c r="AU164" s="352" t="str">
        <f t="shared" si="86"/>
        <v>Female</v>
      </c>
      <c r="AV164" s="355" t="s">
        <v>4415</v>
      </c>
      <c r="AW164" s="319" t="str">
        <f>VLOOKUP(AV164,'Mums of Loyd Edit&amp;Partner Edit'!$B$3:$C$66,2,FALSE)</f>
        <v>Charlotte Ann HEDLEY (b. 13 Sep 1946, )</v>
      </c>
      <c r="AX164" s="360">
        <v>119</v>
      </c>
      <c r="AY164" s="355" t="str">
        <f t="shared" si="94"/>
        <v>Peter (1942– : #119)</v>
      </c>
      <c r="AZ164" s="361">
        <f>VLOOKUP(AX164,Lineage!$A$1:$C$200,2,FALSE)</f>
        <v>80</v>
      </c>
      <c r="BA164" s="362" t="str">
        <f t="shared" si="114"/>
        <v>Eric (1894–1963: #80)</v>
      </c>
      <c r="BB164" s="368">
        <f>BiographyMarriageDetsCountries!A163</f>
        <v>161</v>
      </c>
      <c r="BC164" s="319"/>
      <c r="BD164" s="362"/>
      <c r="BF164" s="324"/>
      <c r="BG164" s="357">
        <f t="shared" si="104"/>
        <v>161</v>
      </c>
      <c r="BH164" s="289" t="str">
        <f t="shared" si="105"/>
        <v>Molly Isabel LOYD</v>
      </c>
      <c r="BI164" s="289" t="str">
        <f t="shared" si="106"/>
        <v>Molly (1982– )</v>
      </c>
      <c r="BJ164" s="304" t="str">
        <f t="shared" si="107"/>
        <v>Female</v>
      </c>
      <c r="BK164" s="304">
        <f t="shared" si="108"/>
        <v>6</v>
      </c>
      <c r="BL164" s="289" t="str">
        <f t="shared" si="109"/>
        <v>Peter (1942– : #119)</v>
      </c>
      <c r="BM164" s="289" t="str">
        <f t="shared" si="110"/>
        <v>Charlotte Ann HEDLEY (b. 13 Sep 1946, )</v>
      </c>
      <c r="BN164" s="367" t="str">
        <f t="shared" si="111"/>
        <v>07-Apr-1982</v>
      </c>
      <c r="BO164" s="367" t="str">
        <f t="shared" si="112"/>
        <v/>
      </c>
      <c r="BP164" s="365" t="str">
        <f t="shared" si="113"/>
        <v>Aged 40 on 01-Jul-2022.</v>
      </c>
    </row>
    <row r="165" spans="1:68" s="289" customFormat="1" ht="20">
      <c r="A165" s="302">
        <v>162</v>
      </c>
      <c r="B165" s="364">
        <v>7</v>
      </c>
      <c r="C165" s="288" t="s">
        <v>782</v>
      </c>
      <c r="D165" s="289" t="s">
        <v>905</v>
      </c>
      <c r="E165" s="289" t="s">
        <v>918</v>
      </c>
      <c r="H165" s="304" t="s">
        <v>3245</v>
      </c>
      <c r="I165" s="306">
        <v>1984</v>
      </c>
      <c r="J165" s="306" t="s">
        <v>3228</v>
      </c>
      <c r="K165" s="307" t="s">
        <v>4680</v>
      </c>
      <c r="L165" s="308">
        <v>30778</v>
      </c>
      <c r="M165" s="309"/>
      <c r="N165" s="309"/>
      <c r="O165" s="348">
        <f t="shared" si="95"/>
        <v>6</v>
      </c>
      <c r="P165" s="345">
        <f t="shared" si="117"/>
        <v>4</v>
      </c>
      <c r="Q165" s="345">
        <f t="shared" si="118"/>
        <v>1984</v>
      </c>
      <c r="R165" s="344" t="str">
        <f t="shared" si="96"/>
        <v>Apr</v>
      </c>
      <c r="S165" s="344">
        <f t="shared" si="119"/>
        <v>0</v>
      </c>
      <c r="T165" s="344" t="str">
        <f t="shared" si="120"/>
        <v/>
      </c>
      <c r="U165" s="344" t="str">
        <f t="shared" si="121"/>
        <v/>
      </c>
      <c r="V165" s="344" t="str">
        <f t="shared" si="122"/>
        <v/>
      </c>
      <c r="W165" s="344" t="e">
        <f t="shared" si="97"/>
        <v>#N/A</v>
      </c>
      <c r="X165" s="344"/>
      <c r="Y165" s="344"/>
      <c r="Z165" s="314" t="str">
        <f t="shared" si="115"/>
        <v>06-Apr-1984</v>
      </c>
      <c r="AA165" s="314" t="str">
        <f t="shared" si="98"/>
        <v/>
      </c>
      <c r="AB165" s="314" t="e">
        <f t="shared" si="99"/>
        <v>#VALUE!</v>
      </c>
      <c r="AC165" s="314">
        <f t="shared" si="100"/>
        <v>38</v>
      </c>
      <c r="AD165" s="347" t="str">
        <f t="shared" si="101"/>
        <v>Aged 38 on 01-Jul-2022.</v>
      </c>
      <c r="AE165" s="305"/>
      <c r="AF165" s="303"/>
      <c r="AG165" s="303"/>
      <c r="AH165" s="303"/>
      <c r="AI165" s="327">
        <v>42567</v>
      </c>
      <c r="AJ165" s="328" t="s">
        <v>4774</v>
      </c>
      <c r="AK165" s="319" t="str">
        <f t="shared" si="102"/>
        <v>16</v>
      </c>
      <c r="AL165" s="319">
        <f t="shared" si="84"/>
        <v>7</v>
      </c>
      <c r="AM165" s="319">
        <f t="shared" si="85"/>
        <v>2016</v>
      </c>
      <c r="AN165" s="344" t="e">
        <f>IF(AJ165=" -",AJ165,VLOOKUP(AL165,$BQ$4:$BR$15,2,FALSE))</f>
        <v>#N/A</v>
      </c>
      <c r="AO165" s="344" t="e">
        <f t="shared" si="116"/>
        <v>#N/A</v>
      </c>
      <c r="AQ165" s="327"/>
      <c r="AR165" s="350">
        <f>A165</f>
        <v>162</v>
      </c>
      <c r="AS165" s="353" t="str">
        <f>IF(V165="",_xlfn.CONCAT(IF(G165="",D165,G165)," (",Q165,"–",V165," : #",AR165,")"),_xlfn.CONCAT(IF(G165="",D165,G165)," (",Q165,"–",V165,": #",AR165,")"))</f>
        <v>David (1984– : #162)</v>
      </c>
      <c r="AT165" s="353" t="str">
        <f>IF(V165="",_xlfn.CONCAT(IF(G165="",D165,G165)," (",Q165,"– ",V165,")"),_xlfn.CONCAT(IF(G165="",D165,G165)," (",Q165,"–",V165,")"))</f>
        <v>David (1984– )</v>
      </c>
      <c r="AU165" s="352" t="str">
        <f t="shared" si="86"/>
        <v>Male</v>
      </c>
      <c r="AV165" s="355" t="s">
        <v>4414</v>
      </c>
      <c r="AW165" s="319" t="str">
        <f>VLOOKUP(AV165,'Mums of Loyd Edit&amp;Partner Edit'!$B$3:$C$66,2,FALSE)</f>
        <v>Karina Lesley BOYCE (b. 22 Apr 1954, )</v>
      </c>
      <c r="AX165" s="360">
        <v>131</v>
      </c>
      <c r="AY165" s="355" t="str">
        <f t="shared" si="94"/>
        <v>Dominic (1953– : #131)</v>
      </c>
      <c r="AZ165" s="361">
        <f>VLOOKUP(AX165,Lineage!$A$1:$C$200,2,FALSE)</f>
        <v>94</v>
      </c>
      <c r="BA165" s="362" t="str">
        <f t="shared" si="114"/>
        <v>Alwyne (1920–2014: #94)</v>
      </c>
      <c r="BB165" s="368">
        <f>BiographyMarriageDetsCountries!A164</f>
        <v>162</v>
      </c>
      <c r="BC165" s="319"/>
      <c r="BD165" s="362"/>
      <c r="BF165" s="324"/>
      <c r="BG165" s="357">
        <f t="shared" si="104"/>
        <v>162</v>
      </c>
      <c r="BH165" s="289" t="str">
        <f t="shared" si="105"/>
        <v>David James LOYD</v>
      </c>
      <c r="BI165" s="289" t="str">
        <f t="shared" si="106"/>
        <v>David (1984– )</v>
      </c>
      <c r="BJ165" s="304" t="str">
        <f t="shared" si="107"/>
        <v>Male</v>
      </c>
      <c r="BK165" s="304">
        <f t="shared" si="108"/>
        <v>7</v>
      </c>
      <c r="BL165" s="289" t="str">
        <f t="shared" si="109"/>
        <v>Dominic (1953– : #131)</v>
      </c>
      <c r="BM165" s="289" t="str">
        <f t="shared" si="110"/>
        <v>Karina Lesley BOYCE (b. 22 Apr 1954, )</v>
      </c>
      <c r="BN165" s="367" t="str">
        <f t="shared" si="111"/>
        <v>06-Apr-1984</v>
      </c>
      <c r="BO165" s="367" t="str">
        <f t="shared" si="112"/>
        <v/>
      </c>
      <c r="BP165" s="365" t="str">
        <f t="shared" si="113"/>
        <v>Aged 38 on 01-Jul-2022.</v>
      </c>
    </row>
    <row r="166" spans="1:68" s="289" customFormat="1" ht="20">
      <c r="A166" s="302">
        <v>163</v>
      </c>
      <c r="B166" s="364">
        <v>6</v>
      </c>
      <c r="C166" s="288" t="s">
        <v>782</v>
      </c>
      <c r="D166" s="289" t="s">
        <v>929</v>
      </c>
      <c r="E166" s="289" t="s">
        <v>949</v>
      </c>
      <c r="H166" s="304" t="s">
        <v>3244</v>
      </c>
      <c r="I166" s="306">
        <v>1984</v>
      </c>
      <c r="J166" s="306" t="s">
        <v>3228</v>
      </c>
      <c r="K166" s="307" t="s">
        <v>4681</v>
      </c>
      <c r="L166" s="308">
        <v>30820</v>
      </c>
      <c r="M166" s="309"/>
      <c r="N166" s="309"/>
      <c r="O166" s="348">
        <f t="shared" si="95"/>
        <v>18</v>
      </c>
      <c r="P166" s="345">
        <f t="shared" si="117"/>
        <v>5</v>
      </c>
      <c r="Q166" s="345">
        <f t="shared" si="118"/>
        <v>1984</v>
      </c>
      <c r="R166" s="344" t="str">
        <f t="shared" si="96"/>
        <v>May</v>
      </c>
      <c r="S166" s="344">
        <f t="shared" si="119"/>
        <v>0</v>
      </c>
      <c r="T166" s="344" t="str">
        <f t="shared" si="120"/>
        <v/>
      </c>
      <c r="U166" s="344" t="str">
        <f t="shared" si="121"/>
        <v/>
      </c>
      <c r="V166" s="344" t="str">
        <f t="shared" si="122"/>
        <v/>
      </c>
      <c r="W166" s="344" t="e">
        <f t="shared" si="97"/>
        <v>#N/A</v>
      </c>
      <c r="X166" s="344"/>
      <c r="Y166" s="344"/>
      <c r="Z166" s="314" t="str">
        <f t="shared" si="115"/>
        <v>18-May-1984</v>
      </c>
      <c r="AA166" s="314" t="str">
        <f t="shared" si="98"/>
        <v/>
      </c>
      <c r="AB166" s="314" t="e">
        <f t="shared" si="99"/>
        <v>#VALUE!</v>
      </c>
      <c r="AC166" s="314">
        <f t="shared" si="100"/>
        <v>38</v>
      </c>
      <c r="AD166" s="347" t="str">
        <f t="shared" si="101"/>
        <v>Aged 38 on 01-Jul-2022.</v>
      </c>
      <c r="AE166" s="305"/>
      <c r="AF166" s="303"/>
      <c r="AG166" s="303"/>
      <c r="AH166" s="303"/>
      <c r="AI166" s="327">
        <v>39921</v>
      </c>
      <c r="AJ166" s="328" t="s">
        <v>4775</v>
      </c>
      <c r="AK166" s="319" t="str">
        <f t="shared" si="102"/>
        <v>18</v>
      </c>
      <c r="AL166" s="319">
        <f t="shared" si="84"/>
        <v>4</v>
      </c>
      <c r="AM166" s="319">
        <f t="shared" si="85"/>
        <v>2009</v>
      </c>
      <c r="AN166" s="344" t="e">
        <f>IF(AJ166=" -",AJ166,VLOOKUP(AL166,$BQ$4:$BR$15,2,FALSE))</f>
        <v>#N/A</v>
      </c>
      <c r="AO166" s="344" t="e">
        <f t="shared" si="116"/>
        <v>#N/A</v>
      </c>
      <c r="AQ166" s="327"/>
      <c r="AR166" s="350">
        <f>A166</f>
        <v>163</v>
      </c>
      <c r="AS166" s="353" t="str">
        <f>IF(V166="",_xlfn.CONCAT(IF(G166="",D166,G166)," (",Q166,"–",V166," : #",AR166,")"),_xlfn.CONCAT(IF(G166="",D166,G166)," (",Q166,"–",V166,": #",AR166,")"))</f>
        <v>Harriet (1984– : #163)</v>
      </c>
      <c r="AT166" s="353" t="str">
        <f>IF(V166="",_xlfn.CONCAT(IF(G166="",D166,G166)," (",Q166,"– ",V166,")"),_xlfn.CONCAT(IF(G166="",D166,G166)," (",Q166,"–",V166,")"))</f>
        <v>Harriet (1984– )</v>
      </c>
      <c r="AU166" s="352" t="str">
        <f t="shared" si="86"/>
        <v>Female</v>
      </c>
      <c r="AV166" s="355" t="s">
        <v>4415</v>
      </c>
      <c r="AW166" s="319" t="str">
        <f>VLOOKUP(AV166,'Mums of Loyd Edit&amp;Partner Edit'!$B$3:$C$66,2,FALSE)</f>
        <v>Charlotte Ann HEDLEY (b. 13 Sep 1946, )</v>
      </c>
      <c r="AX166" s="360">
        <v>119</v>
      </c>
      <c r="AY166" s="355" t="str">
        <f t="shared" si="94"/>
        <v>Peter (1942– : #119)</v>
      </c>
      <c r="AZ166" s="361">
        <f>VLOOKUP(AX166,Lineage!$A$1:$C$200,2,FALSE)</f>
        <v>80</v>
      </c>
      <c r="BA166" s="362" t="str">
        <f t="shared" si="114"/>
        <v>Eric (1894–1963: #80)</v>
      </c>
      <c r="BB166" s="368">
        <f>BiographyMarriageDetsCountries!A165</f>
        <v>163</v>
      </c>
      <c r="BC166" s="319"/>
      <c r="BD166" s="362"/>
      <c r="BF166" s="324"/>
      <c r="BG166" s="357">
        <f t="shared" si="104"/>
        <v>163</v>
      </c>
      <c r="BH166" s="289" t="str">
        <f t="shared" si="105"/>
        <v>Harriet Katharine  LOYD</v>
      </c>
      <c r="BI166" s="289" t="str">
        <f t="shared" si="106"/>
        <v>Harriet (1984– )</v>
      </c>
      <c r="BJ166" s="304" t="str">
        <f t="shared" si="107"/>
        <v>Female</v>
      </c>
      <c r="BK166" s="304">
        <f t="shared" si="108"/>
        <v>6</v>
      </c>
      <c r="BL166" s="289" t="str">
        <f t="shared" si="109"/>
        <v>Peter (1942– : #119)</v>
      </c>
      <c r="BM166" s="289" t="str">
        <f t="shared" si="110"/>
        <v>Charlotte Ann HEDLEY (b. 13 Sep 1946, )</v>
      </c>
      <c r="BN166" s="367" t="str">
        <f t="shared" si="111"/>
        <v>18-May-1984</v>
      </c>
      <c r="BO166" s="367" t="str">
        <f t="shared" si="112"/>
        <v/>
      </c>
      <c r="BP166" s="365" t="str">
        <f t="shared" si="113"/>
        <v>Aged 38 on 01-Jul-2022.</v>
      </c>
    </row>
    <row r="167" spans="1:68" s="289" customFormat="1" ht="20">
      <c r="A167" s="302">
        <v>164</v>
      </c>
      <c r="B167" s="364">
        <v>7</v>
      </c>
      <c r="C167" s="288" t="s">
        <v>950</v>
      </c>
      <c r="D167" s="289" t="s">
        <v>951</v>
      </c>
      <c r="E167" s="289" t="s">
        <v>867</v>
      </c>
      <c r="H167" s="304" t="s">
        <v>3244</v>
      </c>
      <c r="I167" s="306">
        <v>1984</v>
      </c>
      <c r="J167" s="306" t="s">
        <v>3228</v>
      </c>
      <c r="K167" s="307" t="s">
        <v>4682</v>
      </c>
      <c r="L167" s="308">
        <v>31032</v>
      </c>
      <c r="M167" s="309"/>
      <c r="N167" s="309"/>
      <c r="O167" s="348">
        <f t="shared" si="95"/>
        <v>16</v>
      </c>
      <c r="P167" s="345">
        <f t="shared" si="117"/>
        <v>12</v>
      </c>
      <c r="Q167" s="345">
        <f t="shared" si="118"/>
        <v>1984</v>
      </c>
      <c r="R167" s="344" t="str">
        <f t="shared" si="96"/>
        <v>Dec</v>
      </c>
      <c r="S167" s="344">
        <f t="shared" si="119"/>
        <v>0</v>
      </c>
      <c r="T167" s="344" t="str">
        <f t="shared" si="120"/>
        <v/>
      </c>
      <c r="U167" s="344" t="str">
        <f t="shared" si="121"/>
        <v/>
      </c>
      <c r="V167" s="344" t="str">
        <f t="shared" si="122"/>
        <v/>
      </c>
      <c r="W167" s="344" t="e">
        <f t="shared" si="97"/>
        <v>#N/A</v>
      </c>
      <c r="X167" s="344"/>
      <c r="Y167" s="344"/>
      <c r="Z167" s="314" t="str">
        <f t="shared" si="115"/>
        <v>16-Dec-1984</v>
      </c>
      <c r="AA167" s="314" t="str">
        <f t="shared" si="98"/>
        <v/>
      </c>
      <c r="AB167" s="314" t="e">
        <f t="shared" si="99"/>
        <v>#VALUE!</v>
      </c>
      <c r="AC167" s="314">
        <f t="shared" si="100"/>
        <v>37</v>
      </c>
      <c r="AD167" s="347" t="str">
        <f t="shared" si="101"/>
        <v>Aged 37 on 01-Jul-2022.</v>
      </c>
      <c r="AE167" s="305"/>
      <c r="AF167" s="303"/>
      <c r="AG167" s="303"/>
      <c r="AH167" s="303"/>
      <c r="AI167" s="327">
        <v>40789</v>
      </c>
      <c r="AJ167" s="328" t="s">
        <v>4776</v>
      </c>
      <c r="AK167" s="319" t="str">
        <f t="shared" si="102"/>
        <v>03</v>
      </c>
      <c r="AL167" s="319">
        <f t="shared" si="84"/>
        <v>9</v>
      </c>
      <c r="AM167" s="319">
        <f t="shared" si="85"/>
        <v>2011</v>
      </c>
      <c r="AN167" s="344" t="e">
        <f>IF(AJ167=" -",AJ167,VLOOKUP(AL167,$BQ$4:$BR$15,2,FALSE))</f>
        <v>#N/A</v>
      </c>
      <c r="AO167" s="344" t="e">
        <f t="shared" si="116"/>
        <v>#N/A</v>
      </c>
      <c r="AQ167" s="327"/>
      <c r="AR167" s="350">
        <f>A167</f>
        <v>164</v>
      </c>
      <c r="AS167" s="353" t="str">
        <f>IF(V167="",_xlfn.CONCAT(IF(G167="",D167,G167)," (",Q167,"–",V167," : #",AR167,")"),_xlfn.CONCAT(IF(G167="",D167,G167)," (",Q167,"–",V167,": #",AR167,")"))</f>
        <v>Poppy (1984– : #164)</v>
      </c>
      <c r="AT167" s="353" t="str">
        <f>IF(V167="",_xlfn.CONCAT(IF(G167="",D167,G167)," (",Q167,"– ",V167,")"),_xlfn.CONCAT(IF(G167="",D167,G167)," (",Q167,"–",V167,")"))</f>
        <v>Poppy (1984– )</v>
      </c>
      <c r="AU167" s="352" t="str">
        <f t="shared" si="86"/>
        <v>Female</v>
      </c>
      <c r="AV167" s="355" t="s">
        <v>4416</v>
      </c>
      <c r="AW167" s="319" t="str">
        <f>VLOOKUP(AV167,'Mums of Loyd Edit&amp;Partner Edit'!$B$3:$C$66,2,FALSE)</f>
        <v>Cherry Margaret CORMACK (b. 18 Sep 1956, )</v>
      </c>
      <c r="AX167" s="360">
        <v>136</v>
      </c>
      <c r="AY167" s="355" t="str">
        <f t="shared" si="94"/>
        <v>Tim (1957– : #136)</v>
      </c>
      <c r="AZ167" s="361">
        <f>VLOOKUP(AX167,Lineage!$A$1:$C$200,2,FALSE)</f>
        <v>94</v>
      </c>
      <c r="BA167" s="362" t="str">
        <f t="shared" si="114"/>
        <v>Alwyne (1920–2014: #94)</v>
      </c>
      <c r="BB167" s="368">
        <f>BiographyMarriageDetsCountries!A166</f>
        <v>164</v>
      </c>
      <c r="BC167" s="319"/>
      <c r="BD167" s="362"/>
      <c r="BF167" s="324"/>
      <c r="BG167" s="357">
        <f t="shared" si="104"/>
        <v>164</v>
      </c>
      <c r="BH167" s="289" t="str">
        <f t="shared" si="105"/>
        <v>Poppy Catherine CORMACK-LOYD</v>
      </c>
      <c r="BI167" s="289" t="str">
        <f t="shared" si="106"/>
        <v>Poppy (1984– )</v>
      </c>
      <c r="BJ167" s="304" t="str">
        <f t="shared" si="107"/>
        <v>Female</v>
      </c>
      <c r="BK167" s="304">
        <f t="shared" si="108"/>
        <v>7</v>
      </c>
      <c r="BL167" s="289" t="str">
        <f t="shared" si="109"/>
        <v>Tim (1957– : #136)</v>
      </c>
      <c r="BM167" s="289" t="str">
        <f t="shared" si="110"/>
        <v>Cherry Margaret CORMACK (b. 18 Sep 1956, )</v>
      </c>
      <c r="BN167" s="367" t="str">
        <f t="shared" si="111"/>
        <v>16-Dec-1984</v>
      </c>
      <c r="BO167" s="367" t="str">
        <f t="shared" si="112"/>
        <v/>
      </c>
      <c r="BP167" s="365" t="str">
        <f t="shared" si="113"/>
        <v>Aged 37 on 01-Jul-2022.</v>
      </c>
    </row>
    <row r="168" spans="1:68" s="289" customFormat="1" ht="20">
      <c r="A168" s="302">
        <v>165</v>
      </c>
      <c r="B168" s="364">
        <v>7</v>
      </c>
      <c r="C168" s="288" t="s">
        <v>950</v>
      </c>
      <c r="D168" s="289" t="s">
        <v>937</v>
      </c>
      <c r="E168" s="289" t="s">
        <v>952</v>
      </c>
      <c r="H168" s="304" t="s">
        <v>3244</v>
      </c>
      <c r="I168" s="306">
        <v>1986</v>
      </c>
      <c r="J168" s="306" t="s">
        <v>3228</v>
      </c>
      <c r="K168" s="307" t="s">
        <v>4688</v>
      </c>
      <c r="L168" s="308">
        <v>31600</v>
      </c>
      <c r="M168" s="309"/>
      <c r="N168" s="309"/>
      <c r="O168" s="348">
        <f t="shared" si="95"/>
        <v>7</v>
      </c>
      <c r="P168" s="345">
        <f t="shared" si="117"/>
        <v>7</v>
      </c>
      <c r="Q168" s="345">
        <f t="shared" si="118"/>
        <v>1986</v>
      </c>
      <c r="R168" s="344" t="str">
        <f t="shared" si="96"/>
        <v>Jul</v>
      </c>
      <c r="S168" s="344">
        <f t="shared" si="119"/>
        <v>0</v>
      </c>
      <c r="T168" s="344" t="str">
        <f t="shared" si="120"/>
        <v/>
      </c>
      <c r="U168" s="344" t="str">
        <f t="shared" si="121"/>
        <v/>
      </c>
      <c r="V168" s="344" t="str">
        <f t="shared" si="122"/>
        <v/>
      </c>
      <c r="W168" s="344" t="e">
        <f t="shared" si="97"/>
        <v>#N/A</v>
      </c>
      <c r="X168" s="344"/>
      <c r="Y168" s="344"/>
      <c r="Z168" s="314" t="str">
        <f t="shared" si="115"/>
        <v>07-Jul-1986</v>
      </c>
      <c r="AA168" s="314" t="str">
        <f t="shared" si="98"/>
        <v/>
      </c>
      <c r="AB168" s="314" t="e">
        <f t="shared" si="99"/>
        <v>#VALUE!</v>
      </c>
      <c r="AC168" s="314">
        <f t="shared" si="100"/>
        <v>35</v>
      </c>
      <c r="AD168" s="347" t="str">
        <f t="shared" si="101"/>
        <v>Aged 35 on 01-Jul-2022.</v>
      </c>
      <c r="AE168" s="305"/>
      <c r="AF168" s="303"/>
      <c r="AG168" s="303"/>
      <c r="AH168" s="303"/>
      <c r="AI168" s="327">
        <v>41811</v>
      </c>
      <c r="AJ168" s="328" t="s">
        <v>4785</v>
      </c>
      <c r="AK168" s="319" t="str">
        <f t="shared" si="102"/>
        <v>21</v>
      </c>
      <c r="AL168" s="319">
        <f t="shared" si="84"/>
        <v>6</v>
      </c>
      <c r="AM168" s="319">
        <f t="shared" si="85"/>
        <v>2014</v>
      </c>
      <c r="AN168" s="344" t="e">
        <f>IF(AJ168=" -",AJ168,VLOOKUP(AL168,$BQ$4:$BR$15,2,FALSE))</f>
        <v>#N/A</v>
      </c>
      <c r="AO168" s="344" t="e">
        <f t="shared" si="116"/>
        <v>#N/A</v>
      </c>
      <c r="AQ168" s="327"/>
      <c r="AR168" s="350">
        <f>A168</f>
        <v>165</v>
      </c>
      <c r="AS168" s="353" t="str">
        <f>IF(V168="",_xlfn.CONCAT(IF(G168="",D168,G168)," (",Q168,"–",V168," : #",AR168,")"),_xlfn.CONCAT(IF(G168="",D168,G168)," (",Q168,"–",V168,": #",AR168,")"))</f>
        <v>Rose (1986– : #165)</v>
      </c>
      <c r="AT168" s="353" t="str">
        <f>IF(V168="",_xlfn.CONCAT(IF(G168="",D168,G168)," (",Q168,"– ",V168,")"),_xlfn.CONCAT(IF(G168="",D168,G168)," (",Q168,"–",V168,")"))</f>
        <v>Rose (1986– )</v>
      </c>
      <c r="AU168" s="352" t="str">
        <f t="shared" si="86"/>
        <v>Female</v>
      </c>
      <c r="AV168" s="355" t="s">
        <v>4416</v>
      </c>
      <c r="AW168" s="319" t="str">
        <f>VLOOKUP(AV168,'Mums of Loyd Edit&amp;Partner Edit'!$B$3:$C$66,2,FALSE)</f>
        <v>Cherry Margaret CORMACK (b. 18 Sep 1956, )</v>
      </c>
      <c r="AX168" s="360">
        <v>136</v>
      </c>
      <c r="AY168" s="355" t="str">
        <f t="shared" si="94"/>
        <v>Tim (1957– : #136)</v>
      </c>
      <c r="AZ168" s="361">
        <f>VLOOKUP(AX168,Lineage!$A$1:$C$200,2,FALSE)</f>
        <v>94</v>
      </c>
      <c r="BA168" s="362" t="str">
        <f t="shared" si="114"/>
        <v>Alwyne (1920–2014: #94)</v>
      </c>
      <c r="BB168" s="368">
        <f>BiographyMarriageDetsCountries!A167</f>
        <v>165</v>
      </c>
      <c r="BC168" s="319"/>
      <c r="BD168" s="362"/>
      <c r="BF168" s="324"/>
      <c r="BG168" s="357">
        <f t="shared" si="104"/>
        <v>165</v>
      </c>
      <c r="BH168" s="289" t="str">
        <f t="shared" si="105"/>
        <v>Rose Elizabeth CORMACK-LOYD</v>
      </c>
      <c r="BI168" s="289" t="str">
        <f t="shared" si="106"/>
        <v>Rose (1986– )</v>
      </c>
      <c r="BJ168" s="304" t="str">
        <f t="shared" si="107"/>
        <v>Female</v>
      </c>
      <c r="BK168" s="304">
        <f t="shared" si="108"/>
        <v>7</v>
      </c>
      <c r="BL168" s="289" t="str">
        <f t="shared" si="109"/>
        <v>Tim (1957– : #136)</v>
      </c>
      <c r="BM168" s="289" t="str">
        <f t="shared" si="110"/>
        <v>Cherry Margaret CORMACK (b. 18 Sep 1956, )</v>
      </c>
      <c r="BN168" s="367" t="str">
        <f t="shared" si="111"/>
        <v>07-Jul-1986</v>
      </c>
      <c r="BO168" s="367" t="str">
        <f t="shared" si="112"/>
        <v/>
      </c>
      <c r="BP168" s="365" t="str">
        <f t="shared" si="113"/>
        <v>Aged 35 on 01-Jul-2022.</v>
      </c>
    </row>
    <row r="169" spans="1:68" s="289" customFormat="1" ht="20">
      <c r="A169" s="302">
        <v>166</v>
      </c>
      <c r="B169" s="364">
        <v>7</v>
      </c>
      <c r="C169" s="288" t="s">
        <v>782</v>
      </c>
      <c r="D169" s="289" t="s">
        <v>953</v>
      </c>
      <c r="H169" s="304" t="s">
        <v>3245</v>
      </c>
      <c r="I169" s="306">
        <v>1988</v>
      </c>
      <c r="J169" s="306" t="s">
        <v>3228</v>
      </c>
      <c r="K169" s="307" t="s">
        <v>4605</v>
      </c>
      <c r="L169" s="308">
        <v>32166</v>
      </c>
      <c r="M169" s="309"/>
      <c r="N169" s="309"/>
      <c r="O169" s="348">
        <f t="shared" si="95"/>
        <v>24</v>
      </c>
      <c r="P169" s="345">
        <f t="shared" si="117"/>
        <v>1</v>
      </c>
      <c r="Q169" s="345">
        <f t="shared" si="118"/>
        <v>1988</v>
      </c>
      <c r="R169" s="344" t="str">
        <f t="shared" si="96"/>
        <v>Jan</v>
      </c>
      <c r="S169" s="344">
        <f t="shared" si="119"/>
        <v>0</v>
      </c>
      <c r="T169" s="344" t="str">
        <f t="shared" si="120"/>
        <v/>
      </c>
      <c r="U169" s="344" t="str">
        <f t="shared" si="121"/>
        <v/>
      </c>
      <c r="V169" s="344" t="str">
        <f t="shared" si="122"/>
        <v/>
      </c>
      <c r="W169" s="344" t="e">
        <f t="shared" si="97"/>
        <v>#N/A</v>
      </c>
      <c r="X169" s="344"/>
      <c r="Y169" s="344"/>
      <c r="Z169" s="314" t="str">
        <f t="shared" si="115"/>
        <v>24-Jan-1988</v>
      </c>
      <c r="AA169" s="314" t="str">
        <f t="shared" si="98"/>
        <v/>
      </c>
      <c r="AB169" s="314" t="e">
        <f t="shared" si="99"/>
        <v>#VALUE!</v>
      </c>
      <c r="AC169" s="314">
        <f t="shared" si="100"/>
        <v>34</v>
      </c>
      <c r="AD169" s="347" t="str">
        <f t="shared" si="101"/>
        <v>Aged 34 on 01-Jul-2022.</v>
      </c>
      <c r="AE169" s="305"/>
      <c r="AF169" s="303"/>
      <c r="AG169" s="303"/>
      <c r="AH169" s="303"/>
      <c r="AI169" s="289" t="s">
        <v>2793</v>
      </c>
      <c r="AJ169" s="289" t="s">
        <v>2793</v>
      </c>
      <c r="AK169" s="319" t="str">
        <f t="shared" si="102"/>
        <v xml:space="preserve"> -</v>
      </c>
      <c r="AL169" s="319" t="str">
        <f t="shared" si="84"/>
        <v xml:space="preserve"> -</v>
      </c>
      <c r="AM169" s="319" t="str">
        <f t="shared" si="85"/>
        <v xml:space="preserve"> -</v>
      </c>
      <c r="AN169" s="344" t="str">
        <f>IF(AJ169=" -",AJ169,VLOOKUP(AL169,$BQ$4:$BR$15,2,FALSE))</f>
        <v xml:space="preserve"> -</v>
      </c>
      <c r="AO169" s="344" t="str">
        <f t="shared" si="116"/>
        <v xml:space="preserve"> -</v>
      </c>
      <c r="AR169" s="350">
        <f>A169</f>
        <v>166</v>
      </c>
      <c r="AS169" s="353" t="str">
        <f>IF(V169="",_xlfn.CONCAT(IF(G169="",D169,G169)," (",Q169,"–",V169," : #",AR169,")"),_xlfn.CONCAT(IF(G169="",D169,G169)," (",Q169,"–",V169,": #",AR169,")"))</f>
        <v>Gareth (1988– : #166)</v>
      </c>
      <c r="AT169" s="353" t="str">
        <f>IF(V169="",_xlfn.CONCAT(IF(G169="",D169,G169)," (",Q169,"– ",V169,")"),_xlfn.CONCAT(IF(G169="",D169,G169)," (",Q169,"–",V169,")"))</f>
        <v>Gareth (1988– )</v>
      </c>
      <c r="AU169" s="352" t="str">
        <f t="shared" si="86"/>
        <v>Male</v>
      </c>
      <c r="AV169" s="355" t="s">
        <v>4417</v>
      </c>
      <c r="AW169" s="319" t="str">
        <f>VLOOKUP(AV169,'Mums of Loyd Edit&amp;Partner Edit'!$B$3:$C$66,2,FALSE)</f>
        <v>Jacqueline Mary HERMAN (b. 4 Nov 1955, )</v>
      </c>
      <c r="AX169" s="360">
        <v>130</v>
      </c>
      <c r="AY169" s="355" t="str">
        <f t="shared" si="94"/>
        <v>David (1952– : #130)</v>
      </c>
      <c r="AZ169" s="361">
        <f>VLOOKUP(AX169,Lineage!$A$1:$C$200,2,FALSE)</f>
        <v>86</v>
      </c>
      <c r="BA169" s="362" t="str">
        <f t="shared" si="114"/>
        <v>Peter (1913–2008: #86)</v>
      </c>
      <c r="BB169" s="368">
        <f>BiographyMarriageDetsCountries!A168</f>
        <v>166</v>
      </c>
      <c r="BC169" s="319"/>
      <c r="BD169" s="362"/>
      <c r="BF169" s="324"/>
      <c r="BG169" s="357">
        <f t="shared" si="104"/>
        <v>166</v>
      </c>
      <c r="BH169" s="289" t="str">
        <f t="shared" si="105"/>
        <v>Gareth LOYD</v>
      </c>
      <c r="BI169" s="289" t="str">
        <f t="shared" si="106"/>
        <v>Gareth (1988– )</v>
      </c>
      <c r="BJ169" s="304" t="str">
        <f t="shared" si="107"/>
        <v>Male</v>
      </c>
      <c r="BK169" s="304">
        <f t="shared" si="108"/>
        <v>7</v>
      </c>
      <c r="BL169" s="289" t="str">
        <f t="shared" si="109"/>
        <v>David (1952– : #130)</v>
      </c>
      <c r="BM169" s="289" t="str">
        <f t="shared" si="110"/>
        <v>Jacqueline Mary HERMAN (b. 4 Nov 1955, )</v>
      </c>
      <c r="BN169" s="367" t="str">
        <f t="shared" si="111"/>
        <v>24-Jan-1988</v>
      </c>
      <c r="BO169" s="367" t="str">
        <f t="shared" si="112"/>
        <v/>
      </c>
      <c r="BP169" s="365" t="str">
        <f t="shared" si="113"/>
        <v>Aged 34 on 01-Jul-2022.</v>
      </c>
    </row>
    <row r="170" spans="1:68" s="289" customFormat="1" ht="20">
      <c r="A170" s="302">
        <v>167</v>
      </c>
      <c r="B170" s="364">
        <v>7</v>
      </c>
      <c r="C170" s="288" t="s">
        <v>782</v>
      </c>
      <c r="D170" s="289" t="s">
        <v>925</v>
      </c>
      <c r="E170" s="289" t="s">
        <v>811</v>
      </c>
      <c r="G170" s="289" t="s">
        <v>1196</v>
      </c>
      <c r="H170" s="304" t="s">
        <v>3245</v>
      </c>
      <c r="I170" s="306">
        <v>1988</v>
      </c>
      <c r="J170" s="306" t="s">
        <v>3228</v>
      </c>
      <c r="K170" s="307" t="s">
        <v>4606</v>
      </c>
      <c r="L170" s="308">
        <v>32213</v>
      </c>
      <c r="M170" s="309"/>
      <c r="N170" s="309"/>
      <c r="O170" s="348">
        <f t="shared" si="95"/>
        <v>11</v>
      </c>
      <c r="P170" s="345">
        <f t="shared" si="117"/>
        <v>3</v>
      </c>
      <c r="Q170" s="345">
        <f t="shared" si="118"/>
        <v>1988</v>
      </c>
      <c r="R170" s="344" t="str">
        <f t="shared" si="96"/>
        <v>Mar</v>
      </c>
      <c r="S170" s="344">
        <f t="shared" si="119"/>
        <v>0</v>
      </c>
      <c r="T170" s="344" t="str">
        <f t="shared" si="120"/>
        <v/>
      </c>
      <c r="U170" s="344" t="str">
        <f t="shared" si="121"/>
        <v/>
      </c>
      <c r="V170" s="344" t="str">
        <f t="shared" si="122"/>
        <v/>
      </c>
      <c r="W170" s="344" t="e">
        <f t="shared" si="97"/>
        <v>#N/A</v>
      </c>
      <c r="X170" s="344"/>
      <c r="Y170" s="344"/>
      <c r="Z170" s="314" t="str">
        <f t="shared" si="115"/>
        <v>11-Mar-1988</v>
      </c>
      <c r="AA170" s="314" t="str">
        <f t="shared" si="98"/>
        <v/>
      </c>
      <c r="AB170" s="314" t="e">
        <f t="shared" si="99"/>
        <v>#VALUE!</v>
      </c>
      <c r="AC170" s="314">
        <f t="shared" si="100"/>
        <v>34</v>
      </c>
      <c r="AD170" s="347" t="str">
        <f t="shared" si="101"/>
        <v>Aged 34 on 01-Jul-2022.</v>
      </c>
      <c r="AE170" s="305"/>
      <c r="AF170" s="303"/>
      <c r="AG170" s="303"/>
      <c r="AH170" s="303"/>
      <c r="AI170" s="327">
        <v>43303</v>
      </c>
      <c r="AJ170" s="328" t="s">
        <v>4749</v>
      </c>
      <c r="AK170" s="319" t="str">
        <f t="shared" si="102"/>
        <v>22</v>
      </c>
      <c r="AL170" s="319">
        <f t="shared" si="84"/>
        <v>7</v>
      </c>
      <c r="AM170" s="319">
        <f t="shared" si="85"/>
        <v>2018</v>
      </c>
      <c r="AN170" s="344" t="e">
        <f>IF(AJ170=" -",AJ170,VLOOKUP(AL170,$BQ$4:$BR$15,2,FALSE))</f>
        <v>#N/A</v>
      </c>
      <c r="AO170" s="344" t="e">
        <f t="shared" si="116"/>
        <v>#N/A</v>
      </c>
      <c r="AQ170" s="327"/>
      <c r="AR170" s="350">
        <f>A170</f>
        <v>167</v>
      </c>
      <c r="AS170" s="353" t="str">
        <f>IF(V170="",_xlfn.CONCAT(IF(G170="",D170,G170)," (",Q170,"–",V170," : #",AR170,")"),_xlfn.CONCAT(IF(G170="",D170,G170)," (",Q170,"–",V170,": #",AR170,")"))</f>
        <v>Ben (1988– : #167)</v>
      </c>
      <c r="AT170" s="353" t="str">
        <f>IF(V170="",_xlfn.CONCAT(IF(G170="",D170,G170)," (",Q170,"– ",V170,")"),_xlfn.CONCAT(IF(G170="",D170,G170)," (",Q170,"–",V170,")"))</f>
        <v>Ben (1988– )</v>
      </c>
      <c r="AU170" s="352" t="str">
        <f t="shared" si="86"/>
        <v>Male</v>
      </c>
      <c r="AV170" s="355" t="s">
        <v>4414</v>
      </c>
      <c r="AW170" s="319" t="str">
        <f>VLOOKUP(AV170,'Mums of Loyd Edit&amp;Partner Edit'!$B$3:$C$66,2,FALSE)</f>
        <v>Karina Lesley BOYCE (b. 22 Apr 1954, )</v>
      </c>
      <c r="AX170" s="360">
        <v>131</v>
      </c>
      <c r="AY170" s="355" t="str">
        <f t="shared" si="94"/>
        <v>Dominic (1953– : #131)</v>
      </c>
      <c r="AZ170" s="361">
        <f>VLOOKUP(AX170,Lineage!$A$1:$C$200,2,FALSE)</f>
        <v>94</v>
      </c>
      <c r="BA170" s="362" t="str">
        <f t="shared" si="114"/>
        <v>Alwyne (1920–2014: #94)</v>
      </c>
      <c r="BB170" s="368">
        <f>BiographyMarriageDetsCountries!A169</f>
        <v>167</v>
      </c>
      <c r="BC170" s="319"/>
      <c r="BD170" s="362"/>
      <c r="BF170" s="324"/>
      <c r="BG170" s="357">
        <f t="shared" si="104"/>
        <v>167</v>
      </c>
      <c r="BH170" s="289" t="str">
        <f t="shared" si="105"/>
        <v>Benjamin Edward LOYD</v>
      </c>
      <c r="BI170" s="289" t="str">
        <f t="shared" si="106"/>
        <v>Ben (1988– )</v>
      </c>
      <c r="BJ170" s="304" t="str">
        <f t="shared" si="107"/>
        <v>Male</v>
      </c>
      <c r="BK170" s="304">
        <f t="shared" si="108"/>
        <v>7</v>
      </c>
      <c r="BL170" s="289" t="str">
        <f t="shared" si="109"/>
        <v>Dominic (1953– : #131)</v>
      </c>
      <c r="BM170" s="289" t="str">
        <f t="shared" si="110"/>
        <v>Karina Lesley BOYCE (b. 22 Apr 1954, )</v>
      </c>
      <c r="BN170" s="367" t="str">
        <f t="shared" si="111"/>
        <v>11-Mar-1988</v>
      </c>
      <c r="BO170" s="367" t="str">
        <f t="shared" si="112"/>
        <v/>
      </c>
      <c r="BP170" s="365" t="str">
        <f t="shared" si="113"/>
        <v>Aged 34 on 01-Jul-2022.</v>
      </c>
    </row>
    <row r="171" spans="1:68" s="289" customFormat="1" ht="40">
      <c r="A171" s="302">
        <v>168</v>
      </c>
      <c r="B171" s="364">
        <v>7</v>
      </c>
      <c r="C171" s="288" t="s">
        <v>782</v>
      </c>
      <c r="D171" s="289" t="s">
        <v>954</v>
      </c>
      <c r="E171" s="289" t="s">
        <v>870</v>
      </c>
      <c r="H171" s="304" t="s">
        <v>3244</v>
      </c>
      <c r="I171" s="306">
        <v>1988</v>
      </c>
      <c r="J171" s="306" t="s">
        <v>3228</v>
      </c>
      <c r="K171" s="307" t="s">
        <v>4607</v>
      </c>
      <c r="L171" s="308">
        <v>32294</v>
      </c>
      <c r="M171" s="309"/>
      <c r="N171" s="309"/>
      <c r="O171" s="348">
        <f t="shared" si="95"/>
        <v>31</v>
      </c>
      <c r="P171" s="345">
        <f t="shared" si="117"/>
        <v>5</v>
      </c>
      <c r="Q171" s="345">
        <f t="shared" si="118"/>
        <v>1988</v>
      </c>
      <c r="R171" s="344" t="str">
        <f t="shared" si="96"/>
        <v>May</v>
      </c>
      <c r="S171" s="344">
        <f t="shared" si="119"/>
        <v>0</v>
      </c>
      <c r="T171" s="344" t="str">
        <f t="shared" si="120"/>
        <v/>
      </c>
      <c r="U171" s="344" t="str">
        <f t="shared" si="121"/>
        <v/>
      </c>
      <c r="V171" s="344" t="str">
        <f t="shared" si="122"/>
        <v/>
      </c>
      <c r="W171" s="344" t="e">
        <f t="shared" si="97"/>
        <v>#N/A</v>
      </c>
      <c r="X171" s="344"/>
      <c r="Y171" s="344"/>
      <c r="Z171" s="314" t="str">
        <f t="shared" si="115"/>
        <v>31-May-1988</v>
      </c>
      <c r="AA171" s="314" t="str">
        <f t="shared" si="98"/>
        <v/>
      </c>
      <c r="AB171" s="314" t="e">
        <f t="shared" si="99"/>
        <v>#VALUE!</v>
      </c>
      <c r="AC171" s="314">
        <f t="shared" si="100"/>
        <v>34</v>
      </c>
      <c r="AD171" s="347" t="str">
        <f t="shared" si="101"/>
        <v>Aged 34 on 01-Jul-2022.</v>
      </c>
      <c r="AE171" s="305"/>
      <c r="AF171" s="303"/>
      <c r="AG171" s="303"/>
      <c r="AH171" s="303"/>
      <c r="AI171" s="327">
        <v>43666</v>
      </c>
      <c r="AJ171" s="328" t="s">
        <v>4750</v>
      </c>
      <c r="AK171" s="319" t="str">
        <f t="shared" si="102"/>
        <v>20</v>
      </c>
      <c r="AL171" s="319">
        <f t="shared" si="84"/>
        <v>7</v>
      </c>
      <c r="AM171" s="319">
        <f t="shared" si="85"/>
        <v>2019</v>
      </c>
      <c r="AN171" s="344" t="e">
        <f>IF(AJ171=" -",AJ171,VLOOKUP(AL171,$BQ$4:$BR$15,2,FALSE))</f>
        <v>#N/A</v>
      </c>
      <c r="AO171" s="344" t="e">
        <f t="shared" si="116"/>
        <v>#N/A</v>
      </c>
      <c r="AQ171" s="327"/>
      <c r="AR171" s="350">
        <f>A171</f>
        <v>168</v>
      </c>
      <c r="AS171" s="353" t="str">
        <f>IF(V171="",_xlfn.CONCAT(IF(G171="",D171,G171)," (",Q171,"–",V171," : #",AR171,")"),_xlfn.CONCAT(IF(G171="",D171,G171)," (",Q171,"–",V171,": #",AR171,")"))</f>
        <v>Camilla (1988– : #168)</v>
      </c>
      <c r="AT171" s="353" t="str">
        <f>IF(V171="",_xlfn.CONCAT(IF(G171="",D171,G171)," (",Q171,"– ",V171,")"),_xlfn.CONCAT(IF(G171="",D171,G171)," (",Q171,"–",V171,")"))</f>
        <v>Camilla (1988– )</v>
      </c>
      <c r="AU171" s="352" t="str">
        <f t="shared" si="86"/>
        <v>Female</v>
      </c>
      <c r="AV171" s="355" t="s">
        <v>4418</v>
      </c>
      <c r="AW171" s="319" t="str">
        <f>VLOOKUP(AV171,'Mums of Loyd Edit&amp;Partner Edit'!$B$3:$C$66,2,FALSE)</f>
        <v>Kirsten Mary WROUGHTON (b. 12 Dec 1959, )</v>
      </c>
      <c r="AX171" s="360">
        <v>138</v>
      </c>
      <c r="AY171" s="355" t="str">
        <f t="shared" si="94"/>
        <v>Thomas (1959– : #138)</v>
      </c>
      <c r="AZ171" s="361">
        <f>VLOOKUP(AX171,Lineage!$A$1:$C$200,2,FALSE)</f>
        <v>100</v>
      </c>
      <c r="BA171" s="362" t="str">
        <f t="shared" si="114"/>
        <v>Christopher (1923–2013: #100)</v>
      </c>
      <c r="BB171" s="368">
        <f>BiographyMarriageDetsCountries!A170</f>
        <v>168</v>
      </c>
      <c r="BC171" s="319"/>
      <c r="BD171" s="362"/>
      <c r="BF171" s="324"/>
      <c r="BG171" s="357">
        <f t="shared" si="104"/>
        <v>168</v>
      </c>
      <c r="BH171" s="289" t="str">
        <f t="shared" si="105"/>
        <v>Camilla Mary LOYD</v>
      </c>
      <c r="BI171" s="289" t="str">
        <f t="shared" si="106"/>
        <v>Camilla (1988– )</v>
      </c>
      <c r="BJ171" s="304" t="str">
        <f t="shared" si="107"/>
        <v>Female</v>
      </c>
      <c r="BK171" s="304">
        <f t="shared" si="108"/>
        <v>7</v>
      </c>
      <c r="BL171" s="289" t="str">
        <f t="shared" si="109"/>
        <v>Thomas (1959– : #138)</v>
      </c>
      <c r="BM171" s="289" t="str">
        <f t="shared" si="110"/>
        <v>Kirsten Mary WROUGHTON (b. 12 Dec 1959, )</v>
      </c>
      <c r="BN171" s="367" t="str">
        <f t="shared" si="111"/>
        <v>31-May-1988</v>
      </c>
      <c r="BO171" s="367" t="str">
        <f t="shared" si="112"/>
        <v/>
      </c>
      <c r="BP171" s="365" t="str">
        <f t="shared" si="113"/>
        <v>Aged 34 on 01-Jul-2022.</v>
      </c>
    </row>
    <row r="172" spans="1:68" s="289" customFormat="1" ht="20">
      <c r="A172" s="302">
        <v>169</v>
      </c>
      <c r="B172" s="364">
        <v>7</v>
      </c>
      <c r="C172" s="288" t="s">
        <v>782</v>
      </c>
      <c r="D172" s="289" t="s">
        <v>918</v>
      </c>
      <c r="E172" s="289" t="s">
        <v>860</v>
      </c>
      <c r="H172" s="304" t="s">
        <v>3245</v>
      </c>
      <c r="I172" s="306">
        <v>1988</v>
      </c>
      <c r="J172" s="306" t="s">
        <v>3228</v>
      </c>
      <c r="K172" s="307" t="s">
        <v>4608</v>
      </c>
      <c r="L172" s="308">
        <v>32387</v>
      </c>
      <c r="M172" s="309"/>
      <c r="N172" s="309"/>
      <c r="O172" s="348">
        <f t="shared" si="95"/>
        <v>1</v>
      </c>
      <c r="P172" s="345">
        <f t="shared" si="117"/>
        <v>9</v>
      </c>
      <c r="Q172" s="345">
        <f t="shared" si="118"/>
        <v>1988</v>
      </c>
      <c r="R172" s="344" t="str">
        <f t="shared" si="96"/>
        <v>Sep</v>
      </c>
      <c r="S172" s="344">
        <f t="shared" si="119"/>
        <v>0</v>
      </c>
      <c r="T172" s="344" t="str">
        <f t="shared" si="120"/>
        <v/>
      </c>
      <c r="U172" s="344" t="str">
        <f t="shared" si="121"/>
        <v/>
      </c>
      <c r="V172" s="344" t="str">
        <f t="shared" si="122"/>
        <v/>
      </c>
      <c r="W172" s="344" t="e">
        <f t="shared" si="97"/>
        <v>#N/A</v>
      </c>
      <c r="X172" s="344"/>
      <c r="Y172" s="344"/>
      <c r="Z172" s="314" t="str">
        <f t="shared" si="115"/>
        <v>01-Sep-1988</v>
      </c>
      <c r="AA172" s="314" t="str">
        <f t="shared" si="98"/>
        <v/>
      </c>
      <c r="AB172" s="314" t="e">
        <f t="shared" si="99"/>
        <v>#VALUE!</v>
      </c>
      <c r="AC172" s="314">
        <f t="shared" si="100"/>
        <v>33</v>
      </c>
      <c r="AD172" s="347" t="str">
        <f t="shared" si="101"/>
        <v>Aged 33 on 01-Jul-2022.</v>
      </c>
      <c r="AE172" s="305"/>
      <c r="AF172" s="303"/>
      <c r="AG172" s="303"/>
      <c r="AH172" s="303"/>
      <c r="AI172" s="289" t="s">
        <v>2793</v>
      </c>
      <c r="AJ172" s="289" t="s">
        <v>2793</v>
      </c>
      <c r="AK172" s="319" t="str">
        <f t="shared" si="102"/>
        <v xml:space="preserve"> -</v>
      </c>
      <c r="AL172" s="319" t="str">
        <f t="shared" si="84"/>
        <v xml:space="preserve"> -</v>
      </c>
      <c r="AM172" s="319" t="str">
        <f t="shared" si="85"/>
        <v xml:space="preserve"> -</v>
      </c>
      <c r="AN172" s="344" t="str">
        <f>IF(AJ172=" -",AJ172,VLOOKUP(AL172,$BQ$4:$BR$15,2,FALSE))</f>
        <v xml:space="preserve"> -</v>
      </c>
      <c r="AO172" s="344" t="str">
        <f t="shared" si="116"/>
        <v xml:space="preserve"> -</v>
      </c>
      <c r="AR172" s="350">
        <f>A172</f>
        <v>169</v>
      </c>
      <c r="AS172" s="353" t="str">
        <f>IF(V172="",_xlfn.CONCAT(IF(G172="",D172,G172)," (",Q172,"–",V172," : #",AR172,")"),_xlfn.CONCAT(IF(G172="",D172,G172)," (",Q172,"–",V172,": #",AR172,")"))</f>
        <v>James (1988– : #169)</v>
      </c>
      <c r="AT172" s="353" t="str">
        <f>IF(V172="",_xlfn.CONCAT(IF(G172="",D172,G172)," (",Q172,"– ",V172,")"),_xlfn.CONCAT(IF(G172="",D172,G172)," (",Q172,"–",V172,")"))</f>
        <v>James (1988– )</v>
      </c>
      <c r="AU172" s="352" t="str">
        <f t="shared" si="86"/>
        <v>Male</v>
      </c>
      <c r="AV172" s="355" t="s">
        <v>4419</v>
      </c>
      <c r="AW172" s="319" t="str">
        <f>VLOOKUP(AV172,'Mums of Loyd Edit&amp;Partner Edit'!$B$3:$C$66,2,FALSE)</f>
        <v>Mrs Anabel Laura Dorothy STAPLETON (b. 31 Dec 1955, )</v>
      </c>
      <c r="AX172" s="360">
        <v>121</v>
      </c>
      <c r="AY172" s="355" t="str">
        <f t="shared" si="94"/>
        <v>David (1949– : #121)</v>
      </c>
      <c r="AZ172" s="361">
        <f>VLOOKUP(AX172,Lineage!$A$1:$C$200,2,FALSE)</f>
        <v>96</v>
      </c>
      <c r="BA172" s="362" t="str">
        <f t="shared" si="114"/>
        <v>Edward (1921–1977: #96)</v>
      </c>
      <c r="BB172" s="368">
        <f>BiographyMarriageDetsCountries!A171</f>
        <v>169</v>
      </c>
      <c r="BC172" s="319"/>
      <c r="BD172" s="362"/>
      <c r="BF172" s="324"/>
      <c r="BG172" s="357">
        <f t="shared" si="104"/>
        <v>169</v>
      </c>
      <c r="BH172" s="289" t="str">
        <f t="shared" si="105"/>
        <v>James Canning LOYD</v>
      </c>
      <c r="BI172" s="289" t="str">
        <f t="shared" si="106"/>
        <v>James (1988– )</v>
      </c>
      <c r="BJ172" s="304" t="str">
        <f t="shared" si="107"/>
        <v>Male</v>
      </c>
      <c r="BK172" s="304">
        <f t="shared" si="108"/>
        <v>7</v>
      </c>
      <c r="BL172" s="289" t="str">
        <f t="shared" si="109"/>
        <v>David (1949– : #121)</v>
      </c>
      <c r="BM172" s="289" t="str">
        <f t="shared" si="110"/>
        <v>Mrs Anabel Laura Dorothy STAPLETON (b. 31 Dec 1955, )</v>
      </c>
      <c r="BN172" s="367" t="str">
        <f t="shared" si="111"/>
        <v>01-Sep-1988</v>
      </c>
      <c r="BO172" s="367" t="str">
        <f t="shared" si="112"/>
        <v/>
      </c>
      <c r="BP172" s="365" t="str">
        <f t="shared" si="113"/>
        <v>Aged 33 on 01-Jul-2022.</v>
      </c>
    </row>
    <row r="173" spans="1:68" s="289" customFormat="1" ht="40">
      <c r="A173" s="302">
        <v>170</v>
      </c>
      <c r="B173" s="364">
        <v>7</v>
      </c>
      <c r="C173" s="288" t="s">
        <v>782</v>
      </c>
      <c r="D173" s="289" t="s">
        <v>938</v>
      </c>
      <c r="E173" s="289" t="s">
        <v>937</v>
      </c>
      <c r="H173" s="304" t="s">
        <v>3244</v>
      </c>
      <c r="I173" s="306">
        <v>1989</v>
      </c>
      <c r="J173" s="306" t="s">
        <v>3228</v>
      </c>
      <c r="K173" s="307" t="s">
        <v>4609</v>
      </c>
      <c r="L173" s="308">
        <v>32844</v>
      </c>
      <c r="M173" s="309"/>
      <c r="N173" s="309"/>
      <c r="O173" s="348">
        <f t="shared" si="95"/>
        <v>2</v>
      </c>
      <c r="P173" s="345">
        <f t="shared" si="117"/>
        <v>12</v>
      </c>
      <c r="Q173" s="345">
        <f t="shared" si="118"/>
        <v>1989</v>
      </c>
      <c r="R173" s="344" t="str">
        <f t="shared" si="96"/>
        <v>Dec</v>
      </c>
      <c r="S173" s="344">
        <f t="shared" si="119"/>
        <v>0</v>
      </c>
      <c r="T173" s="344" t="str">
        <f t="shared" si="120"/>
        <v/>
      </c>
      <c r="U173" s="344" t="str">
        <f t="shared" si="121"/>
        <v/>
      </c>
      <c r="V173" s="344" t="str">
        <f t="shared" si="122"/>
        <v/>
      </c>
      <c r="W173" s="344" t="e">
        <f t="shared" si="97"/>
        <v>#N/A</v>
      </c>
      <c r="X173" s="344"/>
      <c r="Y173" s="344"/>
      <c r="Z173" s="314" t="str">
        <f t="shared" si="115"/>
        <v>02-Dec-1989</v>
      </c>
      <c r="AA173" s="314" t="str">
        <f t="shared" si="98"/>
        <v/>
      </c>
      <c r="AB173" s="314" t="e">
        <f t="shared" si="99"/>
        <v>#VALUE!</v>
      </c>
      <c r="AC173" s="314">
        <f t="shared" si="100"/>
        <v>32</v>
      </c>
      <c r="AD173" s="347" t="str">
        <f t="shared" si="101"/>
        <v>Aged 32 on 01-Jul-2022.</v>
      </c>
      <c r="AE173" s="305"/>
      <c r="AF173" s="303"/>
      <c r="AG173" s="303"/>
      <c r="AH173" s="303"/>
      <c r="AI173" s="327">
        <v>44184</v>
      </c>
      <c r="AJ173" s="328" t="s">
        <v>4751</v>
      </c>
      <c r="AK173" s="319" t="str">
        <f t="shared" si="102"/>
        <v>19</v>
      </c>
      <c r="AL173" s="319">
        <f t="shared" si="84"/>
        <v>12</v>
      </c>
      <c r="AM173" s="319">
        <f t="shared" si="85"/>
        <v>2020</v>
      </c>
      <c r="AN173" s="344" t="e">
        <f>IF(AJ173=" -",AJ173,VLOOKUP(AL173,$BQ$4:$BR$15,2,FALSE))</f>
        <v>#N/A</v>
      </c>
      <c r="AO173" s="344" t="e">
        <f t="shared" si="116"/>
        <v>#N/A</v>
      </c>
      <c r="AQ173" s="327"/>
      <c r="AR173" s="350">
        <f>A173</f>
        <v>170</v>
      </c>
      <c r="AS173" s="353" t="str">
        <f>IF(V173="",_xlfn.CONCAT(IF(G173="",D173,G173)," (",Q173,"–",V173," : #",AR173,")"),_xlfn.CONCAT(IF(G173="",D173,G173)," (",Q173,"–",V173,": #",AR173,")"))</f>
        <v>Sophie (1989– : #170)</v>
      </c>
      <c r="AT173" s="353" t="str">
        <f>IF(V173="",_xlfn.CONCAT(IF(G173="",D173,G173)," (",Q173,"– ",V173,")"),_xlfn.CONCAT(IF(G173="",D173,G173)," (",Q173,"–",V173,")"))</f>
        <v>Sophie (1989– )</v>
      </c>
      <c r="AU173" s="352" t="str">
        <f t="shared" si="86"/>
        <v>Female</v>
      </c>
      <c r="AV173" s="355" t="s">
        <v>4418</v>
      </c>
      <c r="AW173" s="319" t="str">
        <f>VLOOKUP(AV173,'Mums of Loyd Edit&amp;Partner Edit'!$B$3:$C$66,2,FALSE)</f>
        <v>Kirsten Mary WROUGHTON (b. 12 Dec 1959, )</v>
      </c>
      <c r="AX173" s="360">
        <v>138</v>
      </c>
      <c r="AY173" s="355" t="str">
        <f t="shared" si="94"/>
        <v>Thomas (1959– : #138)</v>
      </c>
      <c r="AZ173" s="361">
        <f>VLOOKUP(AX173,Lineage!$A$1:$C$200,2,FALSE)</f>
        <v>100</v>
      </c>
      <c r="BA173" s="362" t="str">
        <f t="shared" si="114"/>
        <v>Christopher (1923–2013: #100)</v>
      </c>
      <c r="BB173" s="368">
        <f>BiographyMarriageDetsCountries!A172</f>
        <v>170</v>
      </c>
      <c r="BC173" s="319"/>
      <c r="BD173" s="362"/>
      <c r="BF173" s="324"/>
      <c r="BG173" s="357">
        <f t="shared" si="104"/>
        <v>170</v>
      </c>
      <c r="BH173" s="289" t="str">
        <f t="shared" si="105"/>
        <v>Sophie Rose LOYD</v>
      </c>
      <c r="BI173" s="289" t="str">
        <f t="shared" si="106"/>
        <v>Sophie (1989– )</v>
      </c>
      <c r="BJ173" s="304" t="str">
        <f t="shared" si="107"/>
        <v>Female</v>
      </c>
      <c r="BK173" s="304">
        <f t="shared" si="108"/>
        <v>7</v>
      </c>
      <c r="BL173" s="289" t="str">
        <f t="shared" si="109"/>
        <v>Thomas (1959– : #138)</v>
      </c>
      <c r="BM173" s="289" t="str">
        <f t="shared" si="110"/>
        <v>Kirsten Mary WROUGHTON (b. 12 Dec 1959, )</v>
      </c>
      <c r="BN173" s="367" t="str">
        <f t="shared" si="111"/>
        <v>02-Dec-1989</v>
      </c>
      <c r="BO173" s="367" t="str">
        <f t="shared" si="112"/>
        <v/>
      </c>
      <c r="BP173" s="365" t="str">
        <f t="shared" si="113"/>
        <v>Aged 32 on 01-Jul-2022.</v>
      </c>
    </row>
    <row r="174" spans="1:68" s="289" customFormat="1" ht="20">
      <c r="A174" s="302">
        <v>171</v>
      </c>
      <c r="B174" s="364">
        <v>7</v>
      </c>
      <c r="C174" s="288" t="s">
        <v>782</v>
      </c>
      <c r="D174" s="289" t="s">
        <v>971</v>
      </c>
      <c r="E174" s="289" t="s">
        <v>917</v>
      </c>
      <c r="F174" s="289" t="s">
        <v>833</v>
      </c>
      <c r="H174" s="304" t="s">
        <v>3245</v>
      </c>
      <c r="I174" s="306">
        <v>1990</v>
      </c>
      <c r="J174" s="306" t="s">
        <v>3228</v>
      </c>
      <c r="K174" s="307" t="s">
        <v>4610</v>
      </c>
      <c r="L174" s="308">
        <v>32912</v>
      </c>
      <c r="M174" s="309"/>
      <c r="N174" s="309"/>
      <c r="O174" s="348">
        <f t="shared" si="95"/>
        <v>8</v>
      </c>
      <c r="P174" s="345">
        <f t="shared" si="117"/>
        <v>2</v>
      </c>
      <c r="Q174" s="345">
        <f t="shared" si="118"/>
        <v>1990</v>
      </c>
      <c r="R174" s="344" t="str">
        <f t="shared" si="96"/>
        <v>Feb</v>
      </c>
      <c r="S174" s="344">
        <f t="shared" si="119"/>
        <v>0</v>
      </c>
      <c r="T174" s="344" t="str">
        <f t="shared" si="120"/>
        <v/>
      </c>
      <c r="U174" s="344" t="str">
        <f t="shared" si="121"/>
        <v/>
      </c>
      <c r="V174" s="344" t="str">
        <f t="shared" si="122"/>
        <v/>
      </c>
      <c r="W174" s="344" t="e">
        <f t="shared" si="97"/>
        <v>#N/A</v>
      </c>
      <c r="X174" s="344"/>
      <c r="Y174" s="344"/>
      <c r="Z174" s="314" t="str">
        <f t="shared" si="115"/>
        <v>08-Feb-1990</v>
      </c>
      <c r="AA174" s="314" t="str">
        <f t="shared" si="98"/>
        <v/>
      </c>
      <c r="AB174" s="314" t="e">
        <f t="shared" si="99"/>
        <v>#VALUE!</v>
      </c>
      <c r="AC174" s="314">
        <f t="shared" si="100"/>
        <v>32</v>
      </c>
      <c r="AD174" s="347" t="str">
        <f t="shared" si="101"/>
        <v>Aged 32 on 01-Jul-2022.</v>
      </c>
      <c r="AE174" s="305"/>
      <c r="AF174" s="303"/>
      <c r="AG174" s="303"/>
      <c r="AH174" s="303"/>
      <c r="AI174" s="289" t="s">
        <v>2793</v>
      </c>
      <c r="AJ174" s="289" t="s">
        <v>2793</v>
      </c>
      <c r="AK174" s="319" t="str">
        <f t="shared" si="102"/>
        <v xml:space="preserve"> -</v>
      </c>
      <c r="AL174" s="319" t="str">
        <f t="shared" ref="AL174:AL175" si="123">IF(AJ174=" -",AJ174,VALUE(MID(AJ174,4,2)))</f>
        <v xml:space="preserve"> -</v>
      </c>
      <c r="AM174" s="319" t="str">
        <f t="shared" ref="AM174:AM175" si="124">IF(AJ174=" -",AJ174,VALUE(RIGHT(AJ174,4)))</f>
        <v xml:space="preserve"> -</v>
      </c>
      <c r="AN174" s="344" t="str">
        <f>IF(AJ174=" -",AJ174,VLOOKUP(AL174,$BQ$4:$BR$15,2,FALSE))</f>
        <v xml:space="preserve"> -</v>
      </c>
      <c r="AO174" s="344" t="str">
        <f t="shared" si="116"/>
        <v xml:space="preserve"> -</v>
      </c>
      <c r="AR174" s="350">
        <f>A174</f>
        <v>171</v>
      </c>
      <c r="AS174" s="353" t="str">
        <f>IF(V174="",_xlfn.CONCAT(IF(G174="",D174,G174)," (",Q174,"–",V174," : #",AR174,")"),_xlfn.CONCAT(IF(G174="",D174,G174)," (",Q174,"–",V174,": #",AR174,")"))</f>
        <v>Rupert (1990– : #171)</v>
      </c>
      <c r="AT174" s="353" t="str">
        <f>IF(V174="",_xlfn.CONCAT(IF(G174="",D174,G174)," (",Q174,"– ",V174,")"),_xlfn.CONCAT(IF(G174="",D174,G174)," (",Q174,"–",V174,")"))</f>
        <v>Rupert (1990– )</v>
      </c>
      <c r="AU174" s="352" t="str">
        <f t="shared" si="86"/>
        <v>Male</v>
      </c>
      <c r="AV174" s="355" t="s">
        <v>4419</v>
      </c>
      <c r="AW174" s="319" t="str">
        <f>VLOOKUP(AV174,'Mums of Loyd Edit&amp;Partner Edit'!$B$3:$C$66,2,FALSE)</f>
        <v>Mrs Anabel Laura Dorothy STAPLETON (b. 31 Dec 1955, )</v>
      </c>
      <c r="AX174" s="360">
        <v>121</v>
      </c>
      <c r="AY174" s="355" t="str">
        <f t="shared" si="94"/>
        <v>David (1949– : #121)</v>
      </c>
      <c r="AZ174" s="361">
        <f>VLOOKUP(AX174,Lineage!$A$1:$C$200,2,FALSE)</f>
        <v>96</v>
      </c>
      <c r="BA174" s="362" t="str">
        <f t="shared" si="114"/>
        <v>Edward (1921–1977: #96)</v>
      </c>
      <c r="BB174" s="368">
        <f>BiographyMarriageDetsCountries!A173</f>
        <v>171</v>
      </c>
      <c r="BC174" s="319"/>
      <c r="BD174" s="362"/>
      <c r="BF174" s="324"/>
      <c r="BG174" s="357">
        <f t="shared" si="104"/>
        <v>171</v>
      </c>
      <c r="BH174" s="289" t="str">
        <f t="shared" si="105"/>
        <v>Rupert Charles Percy LOYD</v>
      </c>
      <c r="BI174" s="289" t="str">
        <f t="shared" si="106"/>
        <v>Rupert (1990– )</v>
      </c>
      <c r="BJ174" s="304" t="str">
        <f t="shared" si="107"/>
        <v>Male</v>
      </c>
      <c r="BK174" s="304">
        <f t="shared" si="108"/>
        <v>7</v>
      </c>
      <c r="BL174" s="289" t="str">
        <f t="shared" si="109"/>
        <v>David (1949– : #121)</v>
      </c>
      <c r="BM174" s="289" t="str">
        <f t="shared" si="110"/>
        <v>Mrs Anabel Laura Dorothy STAPLETON (b. 31 Dec 1955, )</v>
      </c>
      <c r="BN174" s="367" t="str">
        <f t="shared" si="111"/>
        <v>08-Feb-1990</v>
      </c>
      <c r="BO174" s="367" t="str">
        <f t="shared" si="112"/>
        <v/>
      </c>
      <c r="BP174" s="365" t="str">
        <f t="shared" si="113"/>
        <v>Aged 32 on 01-Jul-2022.</v>
      </c>
    </row>
    <row r="175" spans="1:68" s="289" customFormat="1" ht="20">
      <c r="A175" s="302">
        <v>172</v>
      </c>
      <c r="B175" s="364">
        <v>7</v>
      </c>
      <c r="C175" s="288" t="s">
        <v>950</v>
      </c>
      <c r="D175" s="289" t="s">
        <v>972</v>
      </c>
      <c r="E175" s="289" t="s">
        <v>973</v>
      </c>
      <c r="H175" s="304" t="s">
        <v>3244</v>
      </c>
      <c r="I175" s="306">
        <v>1991</v>
      </c>
      <c r="J175" s="306" t="s">
        <v>3228</v>
      </c>
      <c r="K175" s="307" t="s">
        <v>4611</v>
      </c>
      <c r="L175" s="308">
        <v>33597</v>
      </c>
      <c r="M175" s="309"/>
      <c r="N175" s="309"/>
      <c r="O175" s="348">
        <f t="shared" si="95"/>
        <v>25</v>
      </c>
      <c r="P175" s="345">
        <f t="shared" si="117"/>
        <v>12</v>
      </c>
      <c r="Q175" s="345">
        <f t="shared" si="118"/>
        <v>1991</v>
      </c>
      <c r="R175" s="344" t="str">
        <f t="shared" si="96"/>
        <v>Dec</v>
      </c>
      <c r="S175" s="344">
        <f t="shared" si="119"/>
        <v>0</v>
      </c>
      <c r="T175" s="344" t="str">
        <f t="shared" si="120"/>
        <v/>
      </c>
      <c r="U175" s="344" t="str">
        <f t="shared" si="121"/>
        <v/>
      </c>
      <c r="V175" s="344" t="str">
        <f t="shared" si="122"/>
        <v/>
      </c>
      <c r="W175" s="344" t="e">
        <f t="shared" si="97"/>
        <v>#N/A</v>
      </c>
      <c r="X175" s="344"/>
      <c r="Y175" s="344"/>
      <c r="Z175" s="314" t="str">
        <f t="shared" si="115"/>
        <v>25-Dec-1991</v>
      </c>
      <c r="AA175" s="314" t="str">
        <f t="shared" si="98"/>
        <v/>
      </c>
      <c r="AB175" s="314" t="e">
        <f t="shared" si="99"/>
        <v>#VALUE!</v>
      </c>
      <c r="AC175" s="314">
        <f t="shared" si="100"/>
        <v>30</v>
      </c>
      <c r="AD175" s="347" t="str">
        <f t="shared" si="101"/>
        <v>Aged 30 on 01-Jul-2022.</v>
      </c>
      <c r="AE175" s="305"/>
      <c r="AF175" s="303"/>
      <c r="AG175" s="303"/>
      <c r="AH175" s="303"/>
      <c r="AI175" s="289" t="s">
        <v>2793</v>
      </c>
      <c r="AJ175" s="289" t="s">
        <v>2793</v>
      </c>
      <c r="AK175" s="319" t="str">
        <f t="shared" si="102"/>
        <v xml:space="preserve"> -</v>
      </c>
      <c r="AL175" s="319" t="str">
        <f t="shared" si="123"/>
        <v xml:space="preserve"> -</v>
      </c>
      <c r="AM175" s="319" t="str">
        <f t="shared" si="124"/>
        <v xml:space="preserve"> -</v>
      </c>
      <c r="AN175" s="344" t="str">
        <f>IF(AJ175=" -",AJ175,VLOOKUP(AL175,$BQ$4:$BR$15,2,FALSE))</f>
        <v xml:space="preserve"> -</v>
      </c>
      <c r="AO175" s="344" t="str">
        <f t="shared" si="116"/>
        <v xml:space="preserve"> -</v>
      </c>
      <c r="AR175" s="350">
        <f>A175</f>
        <v>172</v>
      </c>
      <c r="AS175" s="353" t="str">
        <f>IF(V175="",_xlfn.CONCAT(IF(G175="",D175,G175)," (",Q175,"–",V175," : #",AR175,")"),_xlfn.CONCAT(IF(G175="",D175,G175)," (",Q175,"–",V175,": #",AR175,")"))</f>
        <v>Florina (1991– : #172)</v>
      </c>
      <c r="AT175" s="353" t="str">
        <f>IF(V175="",_xlfn.CONCAT(IF(G175="",D175,G175)," (",Q175,"– ",V175,")"),_xlfn.CONCAT(IF(G175="",D175,G175)," (",Q175,"–",V175,")"))</f>
        <v>Florina (1991– )</v>
      </c>
      <c r="AU175" s="352" t="str">
        <f t="shared" si="86"/>
        <v>Female</v>
      </c>
      <c r="AV175" s="355" t="s">
        <v>4416</v>
      </c>
      <c r="AW175" s="319" t="str">
        <f>VLOOKUP(AV175,'Mums of Loyd Edit&amp;Partner Edit'!$B$3:$C$66,2,FALSE)</f>
        <v>Cherry Margaret CORMACK (b. 18 Sep 1956, )</v>
      </c>
      <c r="AX175" s="360">
        <v>136</v>
      </c>
      <c r="AY175" s="355" t="str">
        <f t="shared" si="94"/>
        <v>Tim (1957– : #136)</v>
      </c>
      <c r="AZ175" s="361">
        <f>VLOOKUP(AX175,Lineage!$A$1:$C$200,2,FALSE)</f>
        <v>94</v>
      </c>
      <c r="BA175" s="362" t="str">
        <f t="shared" si="114"/>
        <v>Alwyne (1920–2014: #94)</v>
      </c>
      <c r="BB175" s="368">
        <f>BiographyMarriageDetsCountries!A174</f>
        <v>172</v>
      </c>
      <c r="BC175" s="319"/>
      <c r="BD175" s="362"/>
      <c r="BF175" s="324"/>
      <c r="BG175" s="357">
        <f t="shared" si="104"/>
        <v>172</v>
      </c>
      <c r="BH175" s="289" t="str">
        <f t="shared" si="105"/>
        <v>Florina Helen CORMACK-LOYD</v>
      </c>
      <c r="BI175" s="289" t="str">
        <f t="shared" si="106"/>
        <v>Florina (1991– )</v>
      </c>
      <c r="BJ175" s="304" t="str">
        <f t="shared" si="107"/>
        <v>Female</v>
      </c>
      <c r="BK175" s="304">
        <f t="shared" si="108"/>
        <v>7</v>
      </c>
      <c r="BL175" s="289" t="str">
        <f t="shared" si="109"/>
        <v>Tim (1957– : #136)</v>
      </c>
      <c r="BM175" s="289" t="str">
        <f t="shared" si="110"/>
        <v>Cherry Margaret CORMACK (b. 18 Sep 1956, )</v>
      </c>
      <c r="BN175" s="367" t="str">
        <f t="shared" si="111"/>
        <v>25-Dec-1991</v>
      </c>
      <c r="BO175" s="367" t="str">
        <f t="shared" si="112"/>
        <v/>
      </c>
      <c r="BP175" s="365" t="str">
        <f t="shared" si="113"/>
        <v>Aged 30 on 01-Jul-2022.</v>
      </c>
    </row>
    <row r="176" spans="1:68" s="289" customFormat="1" ht="20">
      <c r="A176" s="302">
        <v>173</v>
      </c>
      <c r="B176" s="364">
        <v>7</v>
      </c>
      <c r="C176" s="288" t="s">
        <v>782</v>
      </c>
      <c r="D176" s="289" t="s">
        <v>974</v>
      </c>
      <c r="H176" s="304" t="s">
        <v>3245</v>
      </c>
      <c r="I176" s="306">
        <v>1992</v>
      </c>
      <c r="J176" s="306" t="s">
        <v>3228</v>
      </c>
      <c r="K176" s="307" t="s">
        <v>4612</v>
      </c>
      <c r="L176" s="308">
        <v>33607</v>
      </c>
      <c r="M176" s="309"/>
      <c r="N176" s="309"/>
      <c r="O176" s="348">
        <f t="shared" si="95"/>
        <v>4</v>
      </c>
      <c r="P176" s="345">
        <f t="shared" si="117"/>
        <v>1</v>
      </c>
      <c r="Q176" s="345">
        <f t="shared" si="118"/>
        <v>1992</v>
      </c>
      <c r="R176" s="344" t="str">
        <f t="shared" si="96"/>
        <v>Jan</v>
      </c>
      <c r="S176" s="344">
        <f t="shared" si="119"/>
        <v>0</v>
      </c>
      <c r="T176" s="344" t="str">
        <f t="shared" si="120"/>
        <v/>
      </c>
      <c r="U176" s="344" t="str">
        <f t="shared" si="121"/>
        <v/>
      </c>
      <c r="V176" s="344" t="str">
        <f t="shared" si="122"/>
        <v/>
      </c>
      <c r="W176" s="344" t="e">
        <f t="shared" si="97"/>
        <v>#N/A</v>
      </c>
      <c r="X176" s="344"/>
      <c r="Y176" s="344"/>
      <c r="Z176" s="314" t="str">
        <f t="shared" si="115"/>
        <v>04-Jan-1992</v>
      </c>
      <c r="AA176" s="314" t="str">
        <f t="shared" si="98"/>
        <v/>
      </c>
      <c r="AB176" s="314" t="e">
        <f t="shared" si="99"/>
        <v>#VALUE!</v>
      </c>
      <c r="AC176" s="314">
        <f t="shared" si="100"/>
        <v>30</v>
      </c>
      <c r="AD176" s="347" t="str">
        <f t="shared" si="101"/>
        <v>Aged 30 on 01-Jul-2022.</v>
      </c>
      <c r="AE176" s="305"/>
      <c r="AF176" s="303"/>
      <c r="AG176" s="303"/>
      <c r="AH176" s="303"/>
      <c r="AI176" s="327">
        <v>44784</v>
      </c>
      <c r="AJ176" s="328" t="s">
        <v>4752</v>
      </c>
      <c r="AK176" s="319" t="str">
        <f t="shared" si="102"/>
        <v>11</v>
      </c>
      <c r="AL176" s="319">
        <f t="shared" si="84"/>
        <v>8</v>
      </c>
      <c r="AM176" s="319">
        <f t="shared" si="85"/>
        <v>2022</v>
      </c>
      <c r="AN176" s="344" t="e">
        <f>IF(AJ176=" -",AJ176,VLOOKUP(AL176,$BQ$4:$BR$15,2,FALSE))</f>
        <v>#N/A</v>
      </c>
      <c r="AO176" s="344" t="e">
        <f t="shared" si="116"/>
        <v>#N/A</v>
      </c>
      <c r="AQ176" s="327"/>
      <c r="AR176" s="350">
        <f>A176</f>
        <v>173</v>
      </c>
      <c r="AS176" s="353" t="str">
        <f>IF(V176="",_xlfn.CONCAT(IF(G176="",D176,G176)," (",Q176,"–",V176," : #",AR176,")"),_xlfn.CONCAT(IF(G176="",D176,G176)," (",Q176,"–",V176,": #",AR176,")"))</f>
        <v>Curtis (1992– : #173)</v>
      </c>
      <c r="AT176" s="353" t="str">
        <f>IF(V176="",_xlfn.CONCAT(IF(G176="",D176,G176)," (",Q176,"– ",V176,")"),_xlfn.CONCAT(IF(G176="",D176,G176)," (",Q176,"–",V176,")"))</f>
        <v>Curtis (1992– )</v>
      </c>
      <c r="AU176" s="352" t="str">
        <f t="shared" si="86"/>
        <v>Male</v>
      </c>
      <c r="AV176" s="355" t="s">
        <v>4420</v>
      </c>
      <c r="AW176" s="319" t="str">
        <f>VLOOKUP(AV176,'Mums of Loyd Edit&amp;Partner Edit'!$B$3:$C$66,2,FALSE)</f>
        <v>Brenda POW (b. 23 Aug 1964, )</v>
      </c>
      <c r="AX176" s="360">
        <v>135</v>
      </c>
      <c r="AY176" s="355" t="str">
        <f t="shared" si="94"/>
        <v>Jim (1955– : #135)</v>
      </c>
      <c r="AZ176" s="361">
        <f>VLOOKUP(AX176,Lineage!$A$1:$C$200,2,FALSE)</f>
        <v>86</v>
      </c>
      <c r="BA176" s="362" t="str">
        <f t="shared" si="114"/>
        <v>Peter (1913–2008: #86)</v>
      </c>
      <c r="BB176" s="368">
        <f>BiographyMarriageDetsCountries!A175</f>
        <v>173</v>
      </c>
      <c r="BC176" s="319"/>
      <c r="BD176" s="362"/>
      <c r="BF176" s="324"/>
      <c r="BG176" s="357">
        <f t="shared" si="104"/>
        <v>173</v>
      </c>
      <c r="BH176" s="289" t="str">
        <f t="shared" si="105"/>
        <v>Curtis LOYD</v>
      </c>
      <c r="BI176" s="289" t="str">
        <f t="shared" si="106"/>
        <v>Curtis (1992– )</v>
      </c>
      <c r="BJ176" s="304" t="str">
        <f t="shared" si="107"/>
        <v>Male</v>
      </c>
      <c r="BK176" s="304">
        <f t="shared" si="108"/>
        <v>7</v>
      </c>
      <c r="BL176" s="289" t="str">
        <f t="shared" si="109"/>
        <v>Jim (1955– : #135)</v>
      </c>
      <c r="BM176" s="289" t="str">
        <f t="shared" si="110"/>
        <v>Brenda POW (b. 23 Aug 1964, )</v>
      </c>
      <c r="BN176" s="367" t="str">
        <f t="shared" si="111"/>
        <v>04-Jan-1992</v>
      </c>
      <c r="BO176" s="367" t="str">
        <f t="shared" si="112"/>
        <v/>
      </c>
      <c r="BP176" s="365" t="str">
        <f t="shared" si="113"/>
        <v>Aged 30 on 01-Jul-2022.</v>
      </c>
    </row>
    <row r="177" spans="1:68" s="289" customFormat="1" ht="20">
      <c r="A177" s="302">
        <v>174</v>
      </c>
      <c r="B177" s="364">
        <v>7</v>
      </c>
      <c r="C177" s="288" t="s">
        <v>782</v>
      </c>
      <c r="D177" s="289" t="s">
        <v>975</v>
      </c>
      <c r="E177" s="289" t="s">
        <v>976</v>
      </c>
      <c r="F177" s="289" t="s">
        <v>870</v>
      </c>
      <c r="H177" s="304" t="s">
        <v>3244</v>
      </c>
      <c r="I177" s="306">
        <v>1992</v>
      </c>
      <c r="J177" s="306" t="s">
        <v>3228</v>
      </c>
      <c r="K177" s="307" t="s">
        <v>4613</v>
      </c>
      <c r="L177" s="308">
        <v>33922</v>
      </c>
      <c r="M177" s="309"/>
      <c r="N177" s="309"/>
      <c r="O177" s="348">
        <f t="shared" si="95"/>
        <v>14</v>
      </c>
      <c r="P177" s="345">
        <f t="shared" si="117"/>
        <v>11</v>
      </c>
      <c r="Q177" s="345">
        <f t="shared" si="118"/>
        <v>1992</v>
      </c>
      <c r="R177" s="344" t="str">
        <f t="shared" si="96"/>
        <v>Nov</v>
      </c>
      <c r="S177" s="344">
        <f t="shared" si="119"/>
        <v>0</v>
      </c>
      <c r="T177" s="344" t="str">
        <f t="shared" si="120"/>
        <v/>
      </c>
      <c r="U177" s="344" t="str">
        <f t="shared" si="121"/>
        <v/>
      </c>
      <c r="V177" s="344" t="str">
        <f t="shared" si="122"/>
        <v/>
      </c>
      <c r="W177" s="344" t="e">
        <f t="shared" si="97"/>
        <v>#N/A</v>
      </c>
      <c r="X177" s="344"/>
      <c r="Y177" s="344"/>
      <c r="Z177" s="314" t="str">
        <f t="shared" si="115"/>
        <v>14-Nov-1992</v>
      </c>
      <c r="AA177" s="314" t="str">
        <f t="shared" si="98"/>
        <v/>
      </c>
      <c r="AB177" s="314" t="e">
        <f t="shared" si="99"/>
        <v>#VALUE!</v>
      </c>
      <c r="AC177" s="314">
        <f t="shared" si="100"/>
        <v>29</v>
      </c>
      <c r="AD177" s="347" t="str">
        <f t="shared" si="101"/>
        <v>Aged 29 on 01-Jul-2022.</v>
      </c>
      <c r="AE177" s="305"/>
      <c r="AF177" s="303"/>
      <c r="AG177" s="303"/>
      <c r="AH177" s="303"/>
      <c r="AI177" s="289" t="s">
        <v>2793</v>
      </c>
      <c r="AJ177" s="289" t="s">
        <v>2793</v>
      </c>
      <c r="AK177" s="319" t="str">
        <f t="shared" si="102"/>
        <v xml:space="preserve"> -</v>
      </c>
      <c r="AL177" s="319" t="str">
        <f t="shared" si="84"/>
        <v xml:space="preserve"> -</v>
      </c>
      <c r="AM177" s="319" t="str">
        <f t="shared" si="85"/>
        <v xml:space="preserve"> -</v>
      </c>
      <c r="AN177" s="344" t="str">
        <f>IF(AJ177=" -",AJ177,VLOOKUP(AL177,$BQ$4:$BR$15,2,FALSE))</f>
        <v xml:space="preserve"> -</v>
      </c>
      <c r="AO177" s="344" t="str">
        <f t="shared" si="116"/>
        <v xml:space="preserve"> -</v>
      </c>
      <c r="AR177" s="350">
        <f>A177</f>
        <v>174</v>
      </c>
      <c r="AS177" s="353" t="str">
        <f>IF(V177="",_xlfn.CONCAT(IF(G177="",D177,G177)," (",Q177,"–",V177," : #",AR177,")"),_xlfn.CONCAT(IF(G177="",D177,G177)," (",Q177,"–",V177,": #",AR177,")"))</f>
        <v>Tabitha (1992– : #174)</v>
      </c>
      <c r="AT177" s="353" t="str">
        <f>IF(V177="",_xlfn.CONCAT(IF(G177="",D177,G177)," (",Q177,"– ",V177,")"),_xlfn.CONCAT(IF(G177="",D177,G177)," (",Q177,"–",V177,")"))</f>
        <v>Tabitha (1992– )</v>
      </c>
      <c r="AU177" s="352" t="str">
        <f t="shared" si="86"/>
        <v>Female</v>
      </c>
      <c r="AV177" s="355" t="s">
        <v>4419</v>
      </c>
      <c r="AW177" s="319" t="str">
        <f>VLOOKUP(AV177,'Mums of Loyd Edit&amp;Partner Edit'!$B$3:$C$66,2,FALSE)</f>
        <v>Mrs Anabel Laura Dorothy STAPLETON (b. 31 Dec 1955, )</v>
      </c>
      <c r="AX177" s="360">
        <v>121</v>
      </c>
      <c r="AY177" s="355" t="str">
        <f t="shared" si="94"/>
        <v>David (1949– : #121)</v>
      </c>
      <c r="AZ177" s="361">
        <f>VLOOKUP(AX177,Lineage!$A$1:$C$200,2,FALSE)</f>
        <v>96</v>
      </c>
      <c r="BA177" s="362" t="str">
        <f t="shared" si="114"/>
        <v>Edward (1921–1977: #96)</v>
      </c>
      <c r="BB177" s="368">
        <f>BiographyMarriageDetsCountries!A176</f>
        <v>174</v>
      </c>
      <c r="BC177" s="319"/>
      <c r="BD177" s="362"/>
      <c r="BF177" s="324"/>
      <c r="BG177" s="357">
        <f t="shared" si="104"/>
        <v>174</v>
      </c>
      <c r="BH177" s="289" t="str">
        <f t="shared" si="105"/>
        <v>Tabitha Laura Mary LOYD</v>
      </c>
      <c r="BI177" s="289" t="str">
        <f t="shared" si="106"/>
        <v>Tabitha (1992– )</v>
      </c>
      <c r="BJ177" s="304" t="str">
        <f t="shared" si="107"/>
        <v>Female</v>
      </c>
      <c r="BK177" s="304">
        <f t="shared" si="108"/>
        <v>7</v>
      </c>
      <c r="BL177" s="289" t="str">
        <f t="shared" si="109"/>
        <v>David (1949– : #121)</v>
      </c>
      <c r="BM177" s="289" t="str">
        <f t="shared" si="110"/>
        <v>Mrs Anabel Laura Dorothy STAPLETON (b. 31 Dec 1955, )</v>
      </c>
      <c r="BN177" s="367" t="str">
        <f t="shared" si="111"/>
        <v>14-Nov-1992</v>
      </c>
      <c r="BO177" s="367" t="str">
        <f t="shared" si="112"/>
        <v/>
      </c>
      <c r="BP177" s="365" t="str">
        <f t="shared" si="113"/>
        <v>Aged 29 on 01-Jul-2022.</v>
      </c>
    </row>
    <row r="178" spans="1:68" s="289" customFormat="1" ht="40">
      <c r="A178" s="302">
        <v>175</v>
      </c>
      <c r="B178" s="364">
        <v>7</v>
      </c>
      <c r="C178" s="288" t="s">
        <v>782</v>
      </c>
      <c r="D178" s="289" t="s">
        <v>866</v>
      </c>
      <c r="E178" s="289" t="s">
        <v>977</v>
      </c>
      <c r="G178" s="289" t="s">
        <v>3154</v>
      </c>
      <c r="H178" s="304" t="s">
        <v>3245</v>
      </c>
      <c r="I178" s="306">
        <v>1993</v>
      </c>
      <c r="J178" s="306" t="s">
        <v>3228</v>
      </c>
      <c r="K178" s="307" t="s">
        <v>4614</v>
      </c>
      <c r="L178" s="308">
        <v>33992</v>
      </c>
      <c r="M178" s="309"/>
      <c r="N178" s="309"/>
      <c r="O178" s="348">
        <f t="shared" si="95"/>
        <v>23</v>
      </c>
      <c r="P178" s="345">
        <f t="shared" si="117"/>
        <v>1</v>
      </c>
      <c r="Q178" s="345">
        <f t="shared" si="118"/>
        <v>1993</v>
      </c>
      <c r="R178" s="344" t="str">
        <f t="shared" si="96"/>
        <v>Jan</v>
      </c>
      <c r="S178" s="344">
        <f t="shared" si="119"/>
        <v>0</v>
      </c>
      <c r="T178" s="344" t="str">
        <f t="shared" si="120"/>
        <v/>
      </c>
      <c r="U178" s="344" t="str">
        <f t="shared" si="121"/>
        <v/>
      </c>
      <c r="V178" s="344" t="str">
        <f t="shared" si="122"/>
        <v/>
      </c>
      <c r="W178" s="344" t="e">
        <f t="shared" si="97"/>
        <v>#N/A</v>
      </c>
      <c r="X178" s="344"/>
      <c r="Y178" s="344"/>
      <c r="Z178" s="314" t="str">
        <f t="shared" si="115"/>
        <v>23-Jan-1993</v>
      </c>
      <c r="AA178" s="314" t="str">
        <f t="shared" si="98"/>
        <v/>
      </c>
      <c r="AB178" s="314" t="e">
        <f t="shared" si="99"/>
        <v>#VALUE!</v>
      </c>
      <c r="AC178" s="314">
        <f t="shared" si="100"/>
        <v>29</v>
      </c>
      <c r="AD178" s="347" t="str">
        <f t="shared" si="101"/>
        <v>Aged 29 on 01-Jul-2022.</v>
      </c>
      <c r="AE178" s="305"/>
      <c r="AF178" s="303"/>
      <c r="AG178" s="303"/>
      <c r="AH178" s="303"/>
      <c r="AI178" s="289" t="s">
        <v>2793</v>
      </c>
      <c r="AJ178" s="289" t="s">
        <v>2793</v>
      </c>
      <c r="AK178" s="319" t="str">
        <f t="shared" si="102"/>
        <v xml:space="preserve"> -</v>
      </c>
      <c r="AL178" s="319" t="str">
        <f t="shared" si="84"/>
        <v xml:space="preserve"> -</v>
      </c>
      <c r="AM178" s="319" t="str">
        <f t="shared" si="85"/>
        <v xml:space="preserve"> -</v>
      </c>
      <c r="AN178" s="344" t="str">
        <f>IF(AJ178=" -",AJ178,VLOOKUP(AL178,$BQ$4:$BR$15,2,FALSE))</f>
        <v xml:space="preserve"> -</v>
      </c>
      <c r="AO178" s="344" t="str">
        <f t="shared" si="116"/>
        <v xml:space="preserve"> -</v>
      </c>
      <c r="AR178" s="350">
        <f>A178</f>
        <v>175</v>
      </c>
      <c r="AS178" s="353" t="str">
        <f>IF(V178="",_xlfn.CONCAT(IF(G178="",D178,G178)," (",Q178,"–",V178," : #",AR178,")"),_xlfn.CONCAT(IF(G178="",D178,G178)," (",Q178,"–",V178,": #",AR178,")"))</f>
        <v>Kit (1993– : #175)</v>
      </c>
      <c r="AT178" s="353" t="str">
        <f>IF(V178="",_xlfn.CONCAT(IF(G178="",D178,G178)," (",Q178,"– ",V178,")"),_xlfn.CONCAT(IF(G178="",D178,G178)," (",Q178,"–",V178,")"))</f>
        <v>Kit (1993– )</v>
      </c>
      <c r="AU178" s="352" t="str">
        <f t="shared" si="86"/>
        <v>Male</v>
      </c>
      <c r="AV178" s="355" t="s">
        <v>4418</v>
      </c>
      <c r="AW178" s="319" t="str">
        <f>VLOOKUP(AV178,'Mums of Loyd Edit&amp;Partner Edit'!$B$3:$C$66,2,FALSE)</f>
        <v>Kirsten Mary WROUGHTON (b. 12 Dec 1959, )</v>
      </c>
      <c r="AX178" s="360">
        <v>138</v>
      </c>
      <c r="AY178" s="355" t="str">
        <f t="shared" si="94"/>
        <v>Thomas (1959– : #138)</v>
      </c>
      <c r="AZ178" s="361">
        <f>VLOOKUP(AX178,Lineage!$A$1:$C$200,2,FALSE)</f>
        <v>100</v>
      </c>
      <c r="BA178" s="362" t="str">
        <f t="shared" si="114"/>
        <v>Christopher (1923–2013: #100)</v>
      </c>
      <c r="BB178" s="368">
        <f>BiographyMarriageDetsCountries!A177</f>
        <v>175</v>
      </c>
      <c r="BC178" s="319"/>
      <c r="BD178" s="362"/>
      <c r="BF178" s="324"/>
      <c r="BG178" s="357">
        <f t="shared" si="104"/>
        <v>175</v>
      </c>
      <c r="BH178" s="289" t="str">
        <f t="shared" si="105"/>
        <v>Christopher Philip LOYD</v>
      </c>
      <c r="BI178" s="289" t="str">
        <f t="shared" si="106"/>
        <v>Kit (1993– )</v>
      </c>
      <c r="BJ178" s="304" t="str">
        <f t="shared" si="107"/>
        <v>Male</v>
      </c>
      <c r="BK178" s="304">
        <f t="shared" si="108"/>
        <v>7</v>
      </c>
      <c r="BL178" s="289" t="str">
        <f t="shared" si="109"/>
        <v>Thomas (1959– : #138)</v>
      </c>
      <c r="BM178" s="289" t="str">
        <f t="shared" si="110"/>
        <v>Kirsten Mary WROUGHTON (b. 12 Dec 1959, )</v>
      </c>
      <c r="BN178" s="367" t="str">
        <f t="shared" si="111"/>
        <v>23-Jan-1993</v>
      </c>
      <c r="BO178" s="367" t="str">
        <f t="shared" si="112"/>
        <v/>
      </c>
      <c r="BP178" s="365" t="str">
        <f t="shared" si="113"/>
        <v>Aged 29 on 01-Jul-2022.</v>
      </c>
    </row>
    <row r="179" spans="1:68" s="289" customFormat="1" ht="20">
      <c r="A179" s="302">
        <v>176</v>
      </c>
      <c r="B179" s="364">
        <v>7</v>
      </c>
      <c r="C179" s="288" t="s">
        <v>782</v>
      </c>
      <c r="D179" s="289" t="s">
        <v>978</v>
      </c>
      <c r="E179" s="289" t="s">
        <v>979</v>
      </c>
      <c r="G179" s="289" t="s">
        <v>1193</v>
      </c>
      <c r="H179" s="304" t="s">
        <v>3245</v>
      </c>
      <c r="I179" s="306">
        <v>1994</v>
      </c>
      <c r="J179" s="306" t="s">
        <v>3228</v>
      </c>
      <c r="K179" s="307" t="s">
        <v>4615</v>
      </c>
      <c r="L179" s="308">
        <v>34335</v>
      </c>
      <c r="M179" s="309"/>
      <c r="N179" s="309"/>
      <c r="O179" s="348">
        <f t="shared" si="95"/>
        <v>1</v>
      </c>
      <c r="P179" s="345">
        <f t="shared" si="117"/>
        <v>1</v>
      </c>
      <c r="Q179" s="345">
        <f t="shared" si="118"/>
        <v>1994</v>
      </c>
      <c r="R179" s="344" t="str">
        <f t="shared" si="96"/>
        <v>Jan</v>
      </c>
      <c r="S179" s="344">
        <f t="shared" si="119"/>
        <v>0</v>
      </c>
      <c r="T179" s="344" t="str">
        <f t="shared" si="120"/>
        <v/>
      </c>
      <c r="U179" s="344" t="str">
        <f t="shared" si="121"/>
        <v/>
      </c>
      <c r="V179" s="344" t="str">
        <f t="shared" si="122"/>
        <v/>
      </c>
      <c r="W179" s="344" t="e">
        <f t="shared" si="97"/>
        <v>#N/A</v>
      </c>
      <c r="X179" s="344"/>
      <c r="Y179" s="344"/>
      <c r="Z179" s="314" t="str">
        <f t="shared" si="115"/>
        <v>01-Jan-1994</v>
      </c>
      <c r="AA179" s="314" t="str">
        <f t="shared" si="98"/>
        <v/>
      </c>
      <c r="AB179" s="314" t="e">
        <f t="shared" si="99"/>
        <v>#VALUE!</v>
      </c>
      <c r="AC179" s="314">
        <f t="shared" si="100"/>
        <v>28</v>
      </c>
      <c r="AD179" s="347" t="str">
        <f t="shared" si="101"/>
        <v>Aged 28 on 01-Jul-2022.</v>
      </c>
      <c r="AE179" s="305"/>
      <c r="AF179" s="303"/>
      <c r="AG179" s="303"/>
      <c r="AH179" s="303"/>
      <c r="AI179" s="289" t="s">
        <v>2793</v>
      </c>
      <c r="AJ179" s="289" t="s">
        <v>2793</v>
      </c>
      <c r="AK179" s="319" t="str">
        <f t="shared" si="102"/>
        <v xml:space="preserve"> -</v>
      </c>
      <c r="AL179" s="319" t="str">
        <f t="shared" si="84"/>
        <v xml:space="preserve"> -</v>
      </c>
      <c r="AM179" s="319" t="str">
        <f t="shared" si="85"/>
        <v xml:space="preserve"> -</v>
      </c>
      <c r="AN179" s="344" t="str">
        <f>IF(AJ179=" -",AJ179,VLOOKUP(AL179,$BQ$4:$BR$15,2,FALSE))</f>
        <v xml:space="preserve"> -</v>
      </c>
      <c r="AO179" s="344" t="str">
        <f t="shared" si="116"/>
        <v xml:space="preserve"> -</v>
      </c>
      <c r="AR179" s="350">
        <f>A179</f>
        <v>176</v>
      </c>
      <c r="AS179" s="353" t="str">
        <f>IF(V179="",_xlfn.CONCAT(IF(G179="",D179,G179)," (",Q179,"–",V179," : #",AR179,")"),_xlfn.CONCAT(IF(G179="",D179,G179)," (",Q179,"–",V179,": #",AR179,")"))</f>
        <v>Sam (1994– : #176)</v>
      </c>
      <c r="AT179" s="353" t="str">
        <f>IF(V179="",_xlfn.CONCAT(IF(G179="",D179,G179)," (",Q179,"– ",V179,")"),_xlfn.CONCAT(IF(G179="",D179,G179)," (",Q179,"–",V179,")"))</f>
        <v>Sam (1994– )</v>
      </c>
      <c r="AU179" s="352" t="str">
        <f t="shared" si="86"/>
        <v>Male</v>
      </c>
      <c r="AV179" s="355" t="s">
        <v>4421</v>
      </c>
      <c r="AW179" s="319" t="str">
        <f>VLOOKUP(AV179,'Mums of Loyd Edit&amp;Partner Edit'!$B$3:$C$66,2,FALSE)</f>
        <v>Lynn HAMILTON (b. 23 Feb 1962, )</v>
      </c>
      <c r="AX179" s="360">
        <v>142</v>
      </c>
      <c r="AY179" s="355" t="str">
        <f t="shared" si="94"/>
        <v>Rick (1962– : #142)</v>
      </c>
      <c r="AZ179" s="361">
        <f>VLOOKUP(AX179,Lineage!$A$1:$C$200,2,FALSE)</f>
        <v>94</v>
      </c>
      <c r="BA179" s="362" t="str">
        <f t="shared" si="114"/>
        <v>Alwyne (1920–2014: #94)</v>
      </c>
      <c r="BB179" s="368">
        <f>BiographyMarriageDetsCountries!A178</f>
        <v>176</v>
      </c>
      <c r="BC179" s="319"/>
      <c r="BD179" s="362"/>
      <c r="BF179" s="324"/>
      <c r="BG179" s="357">
        <f t="shared" si="104"/>
        <v>176</v>
      </c>
      <c r="BH179" s="289" t="str">
        <f t="shared" si="105"/>
        <v>Samuel Hamilton LOYD</v>
      </c>
      <c r="BI179" s="289" t="str">
        <f t="shared" si="106"/>
        <v>Sam (1994– )</v>
      </c>
      <c r="BJ179" s="304" t="str">
        <f t="shared" si="107"/>
        <v>Male</v>
      </c>
      <c r="BK179" s="304">
        <f t="shared" si="108"/>
        <v>7</v>
      </c>
      <c r="BL179" s="289" t="str">
        <f t="shared" si="109"/>
        <v>Rick (1962– : #142)</v>
      </c>
      <c r="BM179" s="289" t="str">
        <f t="shared" si="110"/>
        <v>Lynn HAMILTON (b. 23 Feb 1962, )</v>
      </c>
      <c r="BN179" s="367" t="str">
        <f t="shared" si="111"/>
        <v>01-Jan-1994</v>
      </c>
      <c r="BO179" s="367" t="str">
        <f t="shared" si="112"/>
        <v/>
      </c>
      <c r="BP179" s="365" t="str">
        <f t="shared" si="113"/>
        <v>Aged 28 on 01-Jul-2022.</v>
      </c>
    </row>
    <row r="180" spans="1:68" s="289" customFormat="1" ht="20">
      <c r="A180" s="302">
        <v>177</v>
      </c>
      <c r="B180" s="364">
        <v>7</v>
      </c>
      <c r="C180" s="288" t="s">
        <v>782</v>
      </c>
      <c r="D180" s="289" t="s">
        <v>980</v>
      </c>
      <c r="E180" s="289" t="s">
        <v>905</v>
      </c>
      <c r="H180" s="304" t="s">
        <v>3245</v>
      </c>
      <c r="I180" s="306">
        <v>1995</v>
      </c>
      <c r="J180" s="306" t="s">
        <v>3228</v>
      </c>
      <c r="K180" s="307" t="s">
        <v>4616</v>
      </c>
      <c r="L180" s="308">
        <v>34890</v>
      </c>
      <c r="M180" s="309"/>
      <c r="N180" s="309"/>
      <c r="O180" s="348">
        <f t="shared" si="95"/>
        <v>10</v>
      </c>
      <c r="P180" s="345">
        <f t="shared" si="117"/>
        <v>7</v>
      </c>
      <c r="Q180" s="345">
        <f t="shared" si="118"/>
        <v>1995</v>
      </c>
      <c r="R180" s="344" t="str">
        <f t="shared" si="96"/>
        <v>Jul</v>
      </c>
      <c r="S180" s="344">
        <f t="shared" si="119"/>
        <v>0</v>
      </c>
      <c r="T180" s="344" t="str">
        <f t="shared" si="120"/>
        <v/>
      </c>
      <c r="U180" s="344" t="str">
        <f t="shared" si="121"/>
        <v/>
      </c>
      <c r="V180" s="344" t="str">
        <f t="shared" si="122"/>
        <v/>
      </c>
      <c r="W180" s="344" t="e">
        <f t="shared" si="97"/>
        <v>#N/A</v>
      </c>
      <c r="X180" s="344"/>
      <c r="Y180" s="344"/>
      <c r="Z180" s="314" t="str">
        <f t="shared" si="115"/>
        <v>10-Jul-1995</v>
      </c>
      <c r="AA180" s="314" t="str">
        <f t="shared" si="98"/>
        <v/>
      </c>
      <c r="AB180" s="314" t="e">
        <f t="shared" si="99"/>
        <v>#VALUE!</v>
      </c>
      <c r="AC180" s="314">
        <f t="shared" si="100"/>
        <v>26</v>
      </c>
      <c r="AD180" s="347" t="str">
        <f t="shared" si="101"/>
        <v>Aged 26 on 01-Jul-2022.</v>
      </c>
      <c r="AE180" s="305"/>
      <c r="AF180" s="303"/>
      <c r="AG180" s="303"/>
      <c r="AH180" s="303"/>
      <c r="AI180" s="289" t="s">
        <v>2793</v>
      </c>
      <c r="AJ180" s="289" t="s">
        <v>2793</v>
      </c>
      <c r="AK180" s="319" t="str">
        <f t="shared" si="102"/>
        <v xml:space="preserve"> -</v>
      </c>
      <c r="AL180" s="319" t="str">
        <f t="shared" si="84"/>
        <v xml:space="preserve"> -</v>
      </c>
      <c r="AM180" s="319" t="str">
        <f t="shared" si="85"/>
        <v xml:space="preserve"> -</v>
      </c>
      <c r="AN180" s="344" t="str">
        <f>IF(AJ180=" -",AJ180,VLOOKUP(AL180,$BQ$4:$BR$15,2,FALSE))</f>
        <v xml:space="preserve"> -</v>
      </c>
      <c r="AO180" s="344" t="str">
        <f t="shared" si="116"/>
        <v xml:space="preserve"> -</v>
      </c>
      <c r="AR180" s="350">
        <f>A180</f>
        <v>177</v>
      </c>
      <c r="AS180" s="353" t="str">
        <f>IF(V180="",_xlfn.CONCAT(IF(G180="",D180,G180)," (",Q180,"–",V180," : #",AR180,")"),_xlfn.CONCAT(IF(G180="",D180,G180)," (",Q180,"–",V180,": #",AR180,")"))</f>
        <v>Spencer (1995– : #177)</v>
      </c>
      <c r="AT180" s="353" t="str">
        <f>IF(V180="",_xlfn.CONCAT(IF(G180="",D180,G180)," (",Q180,"– ",V180,")"),_xlfn.CONCAT(IF(G180="",D180,G180)," (",Q180,"–",V180,")"))</f>
        <v>Spencer (1995– )</v>
      </c>
      <c r="AU180" s="352" t="str">
        <f t="shared" si="86"/>
        <v>Male</v>
      </c>
      <c r="AV180" s="355" t="s">
        <v>4420</v>
      </c>
      <c r="AW180" s="319" t="str">
        <f>VLOOKUP(AV180,'Mums of Loyd Edit&amp;Partner Edit'!$B$3:$C$66,2,FALSE)</f>
        <v>Brenda POW (b. 23 Aug 1964, )</v>
      </c>
      <c r="AX180" s="360">
        <v>135</v>
      </c>
      <c r="AY180" s="355" t="str">
        <f t="shared" si="94"/>
        <v>Jim (1955– : #135)</v>
      </c>
      <c r="AZ180" s="361">
        <f>VLOOKUP(AX180,Lineage!$A$1:$C$200,2,FALSE)</f>
        <v>86</v>
      </c>
      <c r="BA180" s="362" t="str">
        <f t="shared" si="114"/>
        <v>Peter (1913–2008: #86)</v>
      </c>
      <c r="BB180" s="368">
        <f>BiographyMarriageDetsCountries!A179</f>
        <v>177</v>
      </c>
      <c r="BC180" s="319"/>
      <c r="BD180" s="362"/>
      <c r="BF180" s="324"/>
      <c r="BG180" s="357">
        <f t="shared" si="104"/>
        <v>177</v>
      </c>
      <c r="BH180" s="289" t="str">
        <f t="shared" si="105"/>
        <v>Spencer David LOYD</v>
      </c>
      <c r="BI180" s="289" t="str">
        <f t="shared" si="106"/>
        <v>Spencer (1995– )</v>
      </c>
      <c r="BJ180" s="304" t="str">
        <f t="shared" si="107"/>
        <v>Male</v>
      </c>
      <c r="BK180" s="304">
        <f t="shared" si="108"/>
        <v>7</v>
      </c>
      <c r="BL180" s="289" t="str">
        <f t="shared" si="109"/>
        <v>Jim (1955– : #135)</v>
      </c>
      <c r="BM180" s="289" t="str">
        <f t="shared" si="110"/>
        <v>Brenda POW (b. 23 Aug 1964, )</v>
      </c>
      <c r="BN180" s="367" t="str">
        <f t="shared" si="111"/>
        <v>10-Jul-1995</v>
      </c>
      <c r="BO180" s="367" t="str">
        <f t="shared" si="112"/>
        <v/>
      </c>
      <c r="BP180" s="365" t="str">
        <f t="shared" si="113"/>
        <v>Aged 26 on 01-Jul-2022.</v>
      </c>
    </row>
    <row r="181" spans="1:68" s="289" customFormat="1" ht="40">
      <c r="A181" s="302">
        <v>178</v>
      </c>
      <c r="B181" s="364">
        <v>7</v>
      </c>
      <c r="C181" s="288" t="s">
        <v>782</v>
      </c>
      <c r="D181" s="289" t="s">
        <v>830</v>
      </c>
      <c r="E181" s="289" t="s">
        <v>913</v>
      </c>
      <c r="H181" s="304" t="s">
        <v>3245</v>
      </c>
      <c r="I181" s="306">
        <v>1996</v>
      </c>
      <c r="J181" s="306" t="s">
        <v>3228</v>
      </c>
      <c r="K181" s="307" t="s">
        <v>4617</v>
      </c>
      <c r="L181" s="308">
        <v>35420</v>
      </c>
      <c r="M181" s="309"/>
      <c r="N181" s="309"/>
      <c r="O181" s="348">
        <f t="shared" si="95"/>
        <v>21</v>
      </c>
      <c r="P181" s="345">
        <f t="shared" si="117"/>
        <v>12</v>
      </c>
      <c r="Q181" s="345">
        <f t="shared" si="118"/>
        <v>1996</v>
      </c>
      <c r="R181" s="344" t="str">
        <f t="shared" si="96"/>
        <v>Dec</v>
      </c>
      <c r="S181" s="344">
        <f t="shared" si="119"/>
        <v>0</v>
      </c>
      <c r="T181" s="344" t="str">
        <f t="shared" si="120"/>
        <v/>
      </c>
      <c r="U181" s="344" t="str">
        <f t="shared" si="121"/>
        <v/>
      </c>
      <c r="V181" s="344" t="str">
        <f t="shared" si="122"/>
        <v/>
      </c>
      <c r="W181" s="344" t="e">
        <f t="shared" si="97"/>
        <v>#N/A</v>
      </c>
      <c r="X181" s="344"/>
      <c r="Y181" s="344"/>
      <c r="Z181" s="314" t="str">
        <f t="shared" si="115"/>
        <v>21-Dec-1996</v>
      </c>
      <c r="AA181" s="314" t="str">
        <f t="shared" si="98"/>
        <v/>
      </c>
      <c r="AB181" s="314" t="e">
        <f t="shared" si="99"/>
        <v>#VALUE!</v>
      </c>
      <c r="AC181" s="314">
        <f t="shared" si="100"/>
        <v>25</v>
      </c>
      <c r="AD181" s="347" t="str">
        <f t="shared" si="101"/>
        <v>Aged 25 on 01-Jul-2022.</v>
      </c>
      <c r="AE181" s="305"/>
      <c r="AF181" s="303"/>
      <c r="AG181" s="303"/>
      <c r="AH181" s="303"/>
      <c r="AI181" s="289" t="s">
        <v>2793</v>
      </c>
      <c r="AJ181" s="289" t="s">
        <v>2793</v>
      </c>
      <c r="AK181" s="319" t="str">
        <f t="shared" si="102"/>
        <v xml:space="preserve"> -</v>
      </c>
      <c r="AL181" s="319" t="str">
        <f t="shared" si="84"/>
        <v xml:space="preserve"> -</v>
      </c>
      <c r="AM181" s="319" t="str">
        <f t="shared" si="85"/>
        <v xml:space="preserve"> -</v>
      </c>
      <c r="AN181" s="344" t="str">
        <f>IF(AJ181=" -",AJ181,VLOOKUP(AL181,$BQ$4:$BR$15,2,FALSE))</f>
        <v xml:space="preserve"> -</v>
      </c>
      <c r="AO181" s="344" t="str">
        <f t="shared" si="116"/>
        <v xml:space="preserve"> -</v>
      </c>
      <c r="AR181" s="350">
        <f>A181</f>
        <v>178</v>
      </c>
      <c r="AS181" s="353" t="str">
        <f>IF(V181="",_xlfn.CONCAT(IF(G181="",D181,G181)," (",Q181,"–",V181," : #",AR181,")"),_xlfn.CONCAT(IF(G181="",D181,G181)," (",Q181,"–",V181,": #",AR181,")"))</f>
        <v>William (1996– : #178)</v>
      </c>
      <c r="AT181" s="353" t="str">
        <f>IF(V181="",_xlfn.CONCAT(IF(G181="",D181,G181)," (",Q181,"– ",V181,")"),_xlfn.CONCAT(IF(G181="",D181,G181)," (",Q181,"–",V181,")"))</f>
        <v>William (1996– )</v>
      </c>
      <c r="AU181" s="352" t="str">
        <f t="shared" si="86"/>
        <v>Male</v>
      </c>
      <c r="AV181" s="355" t="s">
        <v>4422</v>
      </c>
      <c r="AW181" s="319" t="str">
        <f>VLOOKUP(AV181,'Mums of Loyd Edit&amp;Partner Edit'!$B$3:$C$66,2,FALSE)</f>
        <v>Lady Tara Guinevere CRICHTON (b. 9 May 1967, )</v>
      </c>
      <c r="AX181" s="360">
        <v>150</v>
      </c>
      <c r="AY181" s="355" t="str">
        <f t="shared" si="94"/>
        <v>James (1966– : #150)</v>
      </c>
      <c r="AZ181" s="361">
        <f>VLOOKUP(AX181,Lineage!$A$1:$C$200,2,FALSE)</f>
        <v>100</v>
      </c>
      <c r="BA181" s="362" t="str">
        <f t="shared" si="114"/>
        <v>Christopher (1923–2013: #100)</v>
      </c>
      <c r="BB181" s="368">
        <f>BiographyMarriageDetsCountries!A180</f>
        <v>178</v>
      </c>
      <c r="BC181" s="319"/>
      <c r="BD181" s="362"/>
      <c r="BF181" s="324"/>
      <c r="BG181" s="357">
        <f t="shared" si="104"/>
        <v>178</v>
      </c>
      <c r="BH181" s="289" t="str">
        <f t="shared" si="105"/>
        <v>William George LOYD</v>
      </c>
      <c r="BI181" s="289" t="str">
        <f t="shared" si="106"/>
        <v>William (1996– )</v>
      </c>
      <c r="BJ181" s="304" t="str">
        <f t="shared" si="107"/>
        <v>Male</v>
      </c>
      <c r="BK181" s="304">
        <f t="shared" si="108"/>
        <v>7</v>
      </c>
      <c r="BL181" s="289" t="str">
        <f t="shared" si="109"/>
        <v>James (1966– : #150)</v>
      </c>
      <c r="BM181" s="289" t="str">
        <f t="shared" si="110"/>
        <v>Lady Tara Guinevere CRICHTON (b. 9 May 1967, )</v>
      </c>
      <c r="BN181" s="367" t="str">
        <f t="shared" si="111"/>
        <v>21-Dec-1996</v>
      </c>
      <c r="BO181" s="367" t="str">
        <f t="shared" si="112"/>
        <v/>
      </c>
      <c r="BP181" s="365" t="str">
        <f t="shared" si="113"/>
        <v>Aged 25 on 01-Jul-2022.</v>
      </c>
    </row>
    <row r="182" spans="1:68" s="289" customFormat="1" ht="20">
      <c r="A182" s="302">
        <v>179</v>
      </c>
      <c r="B182" s="364">
        <v>7</v>
      </c>
      <c r="C182" s="288" t="s">
        <v>782</v>
      </c>
      <c r="D182" s="289" t="s">
        <v>981</v>
      </c>
      <c r="E182" s="289" t="s">
        <v>979</v>
      </c>
      <c r="G182" s="289" t="s">
        <v>1194</v>
      </c>
      <c r="H182" s="304" t="s">
        <v>3245</v>
      </c>
      <c r="I182" s="306">
        <v>1996</v>
      </c>
      <c r="J182" s="306" t="s">
        <v>3228</v>
      </c>
      <c r="K182" s="307" t="s">
        <v>4618</v>
      </c>
      <c r="L182" s="308">
        <v>35427</v>
      </c>
      <c r="M182" s="309"/>
      <c r="N182" s="309"/>
      <c r="O182" s="348">
        <f t="shared" si="95"/>
        <v>28</v>
      </c>
      <c r="P182" s="345">
        <f t="shared" si="117"/>
        <v>12</v>
      </c>
      <c r="Q182" s="345">
        <f t="shared" si="118"/>
        <v>1996</v>
      </c>
      <c r="R182" s="344" t="str">
        <f t="shared" si="96"/>
        <v>Dec</v>
      </c>
      <c r="S182" s="344">
        <f t="shared" si="119"/>
        <v>0</v>
      </c>
      <c r="T182" s="344" t="str">
        <f t="shared" si="120"/>
        <v/>
      </c>
      <c r="U182" s="344" t="str">
        <f t="shared" si="121"/>
        <v/>
      </c>
      <c r="V182" s="344" t="str">
        <f t="shared" si="122"/>
        <v/>
      </c>
      <c r="W182" s="344" t="e">
        <f t="shared" si="97"/>
        <v>#N/A</v>
      </c>
      <c r="X182" s="344"/>
      <c r="Y182" s="344"/>
      <c r="Z182" s="314" t="str">
        <f t="shared" si="115"/>
        <v>28-Dec-1996</v>
      </c>
      <c r="AA182" s="314" t="str">
        <f t="shared" si="98"/>
        <v/>
      </c>
      <c r="AB182" s="314" t="e">
        <f t="shared" si="99"/>
        <v>#VALUE!</v>
      </c>
      <c r="AC182" s="314">
        <f t="shared" si="100"/>
        <v>25</v>
      </c>
      <c r="AD182" s="347" t="str">
        <f t="shared" si="101"/>
        <v>Aged 25 on 01-Jul-2022.</v>
      </c>
      <c r="AE182" s="305"/>
      <c r="AF182" s="303"/>
      <c r="AG182" s="303"/>
      <c r="AH182" s="303"/>
      <c r="AI182" s="289" t="s">
        <v>2793</v>
      </c>
      <c r="AJ182" s="289" t="s">
        <v>2793</v>
      </c>
      <c r="AK182" s="319" t="str">
        <f t="shared" si="102"/>
        <v xml:space="preserve"> -</v>
      </c>
      <c r="AL182" s="319" t="str">
        <f t="shared" si="84"/>
        <v xml:space="preserve"> -</v>
      </c>
      <c r="AM182" s="319" t="str">
        <f t="shared" si="85"/>
        <v xml:space="preserve"> -</v>
      </c>
      <c r="AN182" s="344" t="str">
        <f>IF(AJ182=" -",AJ182,VLOOKUP(AL182,$BQ$4:$BR$15,2,FALSE))</f>
        <v xml:space="preserve"> -</v>
      </c>
      <c r="AO182" s="344" t="str">
        <f t="shared" si="116"/>
        <v xml:space="preserve"> -</v>
      </c>
      <c r="AR182" s="350">
        <f>A182</f>
        <v>179</v>
      </c>
      <c r="AS182" s="353" t="str">
        <f>IF(V182="",_xlfn.CONCAT(IF(G182="",D182,G182)," (",Q182,"–",V182," : #",AR182,")"),_xlfn.CONCAT(IF(G182="",D182,G182)," (",Q182,"–",V182,": #",AR182,")"))</f>
        <v>Josh (1996– : #179)</v>
      </c>
      <c r="AT182" s="353" t="str">
        <f>IF(V182="",_xlfn.CONCAT(IF(G182="",D182,G182)," (",Q182,"– ",V182,")"),_xlfn.CONCAT(IF(G182="",D182,G182)," (",Q182,"–",V182,")"))</f>
        <v>Josh (1996– )</v>
      </c>
      <c r="AU182" s="352" t="str">
        <f t="shared" si="86"/>
        <v>Male</v>
      </c>
      <c r="AV182" s="355" t="s">
        <v>4421</v>
      </c>
      <c r="AW182" s="319" t="str">
        <f>VLOOKUP(AV182,'Mums of Loyd Edit&amp;Partner Edit'!$B$3:$C$66,2,FALSE)</f>
        <v>Lynn HAMILTON (b. 23 Feb 1962, )</v>
      </c>
      <c r="AX182" s="360">
        <v>142</v>
      </c>
      <c r="AY182" s="355" t="str">
        <f t="shared" si="94"/>
        <v>Rick (1962– : #142)</v>
      </c>
      <c r="AZ182" s="361">
        <f>VLOOKUP(AX182,Lineage!$A$1:$C$200,2,FALSE)</f>
        <v>94</v>
      </c>
      <c r="BA182" s="362" t="str">
        <f t="shared" si="114"/>
        <v>Alwyne (1920–2014: #94)</v>
      </c>
      <c r="BB182" s="368">
        <f>BiographyMarriageDetsCountries!A181</f>
        <v>179</v>
      </c>
      <c r="BC182" s="319"/>
      <c r="BD182" s="362"/>
      <c r="BF182" s="324"/>
      <c r="BG182" s="357">
        <f t="shared" si="104"/>
        <v>179</v>
      </c>
      <c r="BH182" s="289" t="str">
        <f t="shared" si="105"/>
        <v>Joshua Hamilton LOYD</v>
      </c>
      <c r="BI182" s="289" t="str">
        <f t="shared" si="106"/>
        <v>Josh (1996– )</v>
      </c>
      <c r="BJ182" s="304" t="str">
        <f t="shared" si="107"/>
        <v>Male</v>
      </c>
      <c r="BK182" s="304">
        <f t="shared" si="108"/>
        <v>7</v>
      </c>
      <c r="BL182" s="289" t="str">
        <f t="shared" si="109"/>
        <v>Rick (1962– : #142)</v>
      </c>
      <c r="BM182" s="289" t="str">
        <f t="shared" si="110"/>
        <v>Lynn HAMILTON (b. 23 Feb 1962, )</v>
      </c>
      <c r="BN182" s="367" t="str">
        <f t="shared" si="111"/>
        <v>28-Dec-1996</v>
      </c>
      <c r="BO182" s="367" t="str">
        <f t="shared" si="112"/>
        <v/>
      </c>
      <c r="BP182" s="365" t="str">
        <f t="shared" si="113"/>
        <v>Aged 25 on 01-Jul-2022.</v>
      </c>
    </row>
    <row r="183" spans="1:68" s="289" customFormat="1" ht="40">
      <c r="A183" s="302">
        <v>180</v>
      </c>
      <c r="B183" s="364">
        <v>7</v>
      </c>
      <c r="C183" s="288" t="s">
        <v>782</v>
      </c>
      <c r="D183" s="289" t="s">
        <v>913</v>
      </c>
      <c r="E183" s="289" t="s">
        <v>982</v>
      </c>
      <c r="H183" s="304" t="s">
        <v>3245</v>
      </c>
      <c r="I183" s="306">
        <v>1998</v>
      </c>
      <c r="J183" s="306" t="s">
        <v>3228</v>
      </c>
      <c r="K183" s="307" t="s">
        <v>4619</v>
      </c>
      <c r="L183" s="308">
        <v>36118</v>
      </c>
      <c r="M183" s="309"/>
      <c r="N183" s="309"/>
      <c r="O183" s="348">
        <f t="shared" si="95"/>
        <v>19</v>
      </c>
      <c r="P183" s="345">
        <f t="shared" si="117"/>
        <v>11</v>
      </c>
      <c r="Q183" s="345">
        <f t="shared" si="118"/>
        <v>1998</v>
      </c>
      <c r="R183" s="344" t="str">
        <f t="shared" si="96"/>
        <v>Nov</v>
      </c>
      <c r="S183" s="344">
        <f t="shared" si="119"/>
        <v>0</v>
      </c>
      <c r="T183" s="344" t="str">
        <f t="shared" si="120"/>
        <v/>
      </c>
      <c r="U183" s="344" t="str">
        <f t="shared" si="121"/>
        <v/>
      </c>
      <c r="V183" s="344" t="str">
        <f t="shared" si="122"/>
        <v/>
      </c>
      <c r="W183" s="344" t="e">
        <f t="shared" si="97"/>
        <v>#N/A</v>
      </c>
      <c r="X183" s="344"/>
      <c r="Y183" s="344"/>
      <c r="Z183" s="314" t="str">
        <f t="shared" si="115"/>
        <v>19-Nov-1998</v>
      </c>
      <c r="AA183" s="314" t="str">
        <f t="shared" si="98"/>
        <v/>
      </c>
      <c r="AB183" s="314" t="e">
        <f t="shared" si="99"/>
        <v>#VALUE!</v>
      </c>
      <c r="AC183" s="314">
        <f t="shared" si="100"/>
        <v>23</v>
      </c>
      <c r="AD183" s="347" t="str">
        <f t="shared" si="101"/>
        <v>Aged 23 on 01-Jul-2022.</v>
      </c>
      <c r="AE183" s="305"/>
      <c r="AF183" s="303"/>
      <c r="AG183" s="303"/>
      <c r="AH183" s="303"/>
      <c r="AI183" s="289" t="s">
        <v>2793</v>
      </c>
      <c r="AJ183" s="289" t="s">
        <v>2793</v>
      </c>
      <c r="AK183" s="319" t="str">
        <f t="shared" si="102"/>
        <v xml:space="preserve"> -</v>
      </c>
      <c r="AL183" s="319" t="str">
        <f t="shared" si="84"/>
        <v xml:space="preserve"> -</v>
      </c>
      <c r="AM183" s="319" t="str">
        <f t="shared" si="85"/>
        <v xml:space="preserve"> -</v>
      </c>
      <c r="AN183" s="344" t="str">
        <f>IF(AJ183=" -",AJ183,VLOOKUP(AL183,$BQ$4:$BR$15,2,FALSE))</f>
        <v xml:space="preserve"> -</v>
      </c>
      <c r="AO183" s="344" t="str">
        <f t="shared" si="116"/>
        <v xml:space="preserve"> -</v>
      </c>
      <c r="AR183" s="350">
        <f>A183</f>
        <v>180</v>
      </c>
      <c r="AS183" s="353" t="str">
        <f>IF(V183="",_xlfn.CONCAT(IF(G183="",D183,G183)," (",Q183,"–",V183," : #",AR183,")"),_xlfn.CONCAT(IF(G183="",D183,G183)," (",Q183,"–",V183,": #",AR183,")"))</f>
        <v>George (1998– : #180)</v>
      </c>
      <c r="AT183" s="353" t="str">
        <f>IF(V183="",_xlfn.CONCAT(IF(G183="",D183,G183)," (",Q183,"– ",V183,")"),_xlfn.CONCAT(IF(G183="",D183,G183)," (",Q183,"–",V183,")"))</f>
        <v>George (1998– )</v>
      </c>
      <c r="AU183" s="352" t="str">
        <f t="shared" si="86"/>
        <v>Male</v>
      </c>
      <c r="AV183" s="355" t="s">
        <v>4423</v>
      </c>
      <c r="AW183" s="319" t="str">
        <f>VLOOKUP(AV183,'Mums of Loyd Edit&amp;Partner Edit'!$B$3:$C$66,2,FALSE)</f>
        <v>Jenny CARTWRIGHT (b. 19 Feb 1967, )</v>
      </c>
      <c r="AX183" s="360">
        <v>146</v>
      </c>
      <c r="AY183" s="355" t="str">
        <f t="shared" si="94"/>
        <v>Charles (1963– : #146)</v>
      </c>
      <c r="AZ183" s="361">
        <f>VLOOKUP(AX183,Lineage!$A$1:$C$200,2,FALSE)</f>
        <v>104</v>
      </c>
      <c r="BA183" s="362" t="str">
        <f t="shared" si="114"/>
        <v>Sir Julian (1926–2018: #104)</v>
      </c>
      <c r="BB183" s="368">
        <f>BiographyMarriageDetsCountries!A182</f>
        <v>180</v>
      </c>
      <c r="BC183" s="319"/>
      <c r="BD183" s="362"/>
      <c r="BF183" s="324"/>
      <c r="BG183" s="357">
        <f t="shared" si="104"/>
        <v>180</v>
      </c>
      <c r="BH183" s="289" t="str">
        <f t="shared" si="105"/>
        <v>George Julian LOYD</v>
      </c>
      <c r="BI183" s="289" t="str">
        <f t="shared" si="106"/>
        <v>George (1998– )</v>
      </c>
      <c r="BJ183" s="304" t="str">
        <f t="shared" si="107"/>
        <v>Male</v>
      </c>
      <c r="BK183" s="304">
        <f t="shared" si="108"/>
        <v>7</v>
      </c>
      <c r="BL183" s="289" t="str">
        <f t="shared" si="109"/>
        <v>Charles (1963– : #146)</v>
      </c>
      <c r="BM183" s="289" t="str">
        <f t="shared" si="110"/>
        <v>Jenny CARTWRIGHT (b. 19 Feb 1967, )</v>
      </c>
      <c r="BN183" s="367" t="str">
        <f t="shared" si="111"/>
        <v>19-Nov-1998</v>
      </c>
      <c r="BO183" s="367" t="str">
        <f t="shared" si="112"/>
        <v/>
      </c>
      <c r="BP183" s="365" t="str">
        <f t="shared" si="113"/>
        <v>Aged 23 on 01-Jul-2022.</v>
      </c>
    </row>
    <row r="184" spans="1:68" s="289" customFormat="1" ht="40">
      <c r="A184" s="302">
        <v>181</v>
      </c>
      <c r="B184" s="364">
        <v>7</v>
      </c>
      <c r="C184" s="288" t="s">
        <v>782</v>
      </c>
      <c r="D184" s="289" t="s">
        <v>983</v>
      </c>
      <c r="E184" s="289" t="s">
        <v>937</v>
      </c>
      <c r="H184" s="304" t="s">
        <v>3244</v>
      </c>
      <c r="I184" s="306">
        <v>1999</v>
      </c>
      <c r="J184" s="306" t="s">
        <v>3228</v>
      </c>
      <c r="K184" s="307" t="s">
        <v>4620</v>
      </c>
      <c r="L184" s="308">
        <v>36194</v>
      </c>
      <c r="M184" s="309"/>
      <c r="N184" s="309"/>
      <c r="O184" s="348">
        <f t="shared" si="95"/>
        <v>3</v>
      </c>
      <c r="P184" s="345">
        <f t="shared" si="117"/>
        <v>2</v>
      </c>
      <c r="Q184" s="345">
        <f t="shared" si="118"/>
        <v>1999</v>
      </c>
      <c r="R184" s="344" t="str">
        <f t="shared" si="96"/>
        <v>Feb</v>
      </c>
      <c r="S184" s="344">
        <f t="shared" si="119"/>
        <v>0</v>
      </c>
      <c r="T184" s="344" t="str">
        <f t="shared" si="120"/>
        <v/>
      </c>
      <c r="U184" s="344" t="str">
        <f t="shared" si="121"/>
        <v/>
      </c>
      <c r="V184" s="344" t="str">
        <f t="shared" si="122"/>
        <v/>
      </c>
      <c r="W184" s="344" t="e">
        <f t="shared" si="97"/>
        <v>#N/A</v>
      </c>
      <c r="X184" s="344"/>
      <c r="Y184" s="344"/>
      <c r="Z184" s="314" t="str">
        <f t="shared" si="115"/>
        <v>03-Feb-1999</v>
      </c>
      <c r="AA184" s="314" t="str">
        <f t="shared" si="98"/>
        <v/>
      </c>
      <c r="AB184" s="314" t="e">
        <f t="shared" si="99"/>
        <v>#VALUE!</v>
      </c>
      <c r="AC184" s="314">
        <f t="shared" si="100"/>
        <v>23</v>
      </c>
      <c r="AD184" s="347" t="str">
        <f t="shared" si="101"/>
        <v>Aged 23 on 01-Jul-2022.</v>
      </c>
      <c r="AE184" s="305"/>
      <c r="AF184" s="303"/>
      <c r="AG184" s="303"/>
      <c r="AH184" s="303"/>
      <c r="AI184" s="289" t="s">
        <v>2793</v>
      </c>
      <c r="AJ184" s="289" t="s">
        <v>2793</v>
      </c>
      <c r="AK184" s="319" t="str">
        <f t="shared" si="102"/>
        <v xml:space="preserve"> -</v>
      </c>
      <c r="AL184" s="319" t="str">
        <f t="shared" si="84"/>
        <v xml:space="preserve"> -</v>
      </c>
      <c r="AM184" s="319" t="str">
        <f t="shared" si="85"/>
        <v xml:space="preserve"> -</v>
      </c>
      <c r="AN184" s="344" t="str">
        <f>IF(AJ184=" -",AJ184,VLOOKUP(AL184,$BQ$4:$BR$15,2,FALSE))</f>
        <v xml:space="preserve"> -</v>
      </c>
      <c r="AO184" s="344" t="str">
        <f t="shared" si="116"/>
        <v xml:space="preserve"> -</v>
      </c>
      <c r="AR184" s="350">
        <f>A184</f>
        <v>181</v>
      </c>
      <c r="AS184" s="353" t="str">
        <f>IF(V184="",_xlfn.CONCAT(IF(G184="",D184,G184)," (",Q184,"–",V184," : #",AR184,")"),_xlfn.CONCAT(IF(G184="",D184,G184)," (",Q184,"–",V184,": #",AR184,")"))</f>
        <v>Eliza (1999– : #181)</v>
      </c>
      <c r="AT184" s="353" t="str">
        <f>IF(V184="",_xlfn.CONCAT(IF(G184="",D184,G184)," (",Q184,"– ",V184,")"),_xlfn.CONCAT(IF(G184="",D184,G184)," (",Q184,"–",V184,")"))</f>
        <v>Eliza (1999– )</v>
      </c>
      <c r="AU184" s="352" t="str">
        <f t="shared" si="86"/>
        <v>Female</v>
      </c>
      <c r="AV184" s="355" t="s">
        <v>4422</v>
      </c>
      <c r="AW184" s="319" t="str">
        <f>VLOOKUP(AV184,'Mums of Loyd Edit&amp;Partner Edit'!$B$3:$C$66,2,FALSE)</f>
        <v>Lady Tara Guinevere CRICHTON (b. 9 May 1967, )</v>
      </c>
      <c r="AX184" s="360">
        <v>150</v>
      </c>
      <c r="AY184" s="355" t="str">
        <f t="shared" si="94"/>
        <v>James (1966– : #150)</v>
      </c>
      <c r="AZ184" s="361">
        <f>VLOOKUP(AX184,Lineage!$A$1:$C$200,2,FALSE)</f>
        <v>100</v>
      </c>
      <c r="BA184" s="362" t="str">
        <f t="shared" si="114"/>
        <v>Christopher (1923–2013: #100)</v>
      </c>
      <c r="BB184" s="368">
        <f>BiographyMarriageDetsCountries!A183</f>
        <v>181</v>
      </c>
      <c r="BC184" s="319"/>
      <c r="BD184" s="362"/>
      <c r="BF184" s="324"/>
      <c r="BG184" s="357">
        <f t="shared" si="104"/>
        <v>181</v>
      </c>
      <c r="BH184" s="289" t="str">
        <f t="shared" si="105"/>
        <v>Eliza Rose LOYD</v>
      </c>
      <c r="BI184" s="289" t="str">
        <f t="shared" si="106"/>
        <v>Eliza (1999– )</v>
      </c>
      <c r="BJ184" s="304" t="str">
        <f t="shared" si="107"/>
        <v>Female</v>
      </c>
      <c r="BK184" s="304">
        <f t="shared" si="108"/>
        <v>7</v>
      </c>
      <c r="BL184" s="289" t="str">
        <f t="shared" si="109"/>
        <v>James (1966– : #150)</v>
      </c>
      <c r="BM184" s="289" t="str">
        <f t="shared" si="110"/>
        <v>Lady Tara Guinevere CRICHTON (b. 9 May 1967, )</v>
      </c>
      <c r="BN184" s="367" t="str">
        <f t="shared" si="111"/>
        <v>03-Feb-1999</v>
      </c>
      <c r="BO184" s="367" t="str">
        <f t="shared" si="112"/>
        <v/>
      </c>
      <c r="BP184" s="365" t="str">
        <f t="shared" si="113"/>
        <v>Aged 23 on 01-Jul-2022.</v>
      </c>
    </row>
    <row r="185" spans="1:68" s="289" customFormat="1" ht="40">
      <c r="A185" s="302">
        <v>182</v>
      </c>
      <c r="B185" s="364">
        <v>7</v>
      </c>
      <c r="C185" s="288" t="s">
        <v>782</v>
      </c>
      <c r="D185" s="289" t="s">
        <v>984</v>
      </c>
      <c r="E185" s="289" t="s">
        <v>985</v>
      </c>
      <c r="H185" s="304" t="s">
        <v>3244</v>
      </c>
      <c r="I185" s="306">
        <v>2000</v>
      </c>
      <c r="J185" s="306" t="s">
        <v>3228</v>
      </c>
      <c r="K185" s="307" t="s">
        <v>4621</v>
      </c>
      <c r="L185" s="308">
        <v>36729</v>
      </c>
      <c r="M185" s="309"/>
      <c r="N185" s="309"/>
      <c r="O185" s="348">
        <f t="shared" si="95"/>
        <v>22</v>
      </c>
      <c r="P185" s="345">
        <f t="shared" si="117"/>
        <v>7</v>
      </c>
      <c r="Q185" s="345">
        <f t="shared" si="118"/>
        <v>2000</v>
      </c>
      <c r="R185" s="344" t="str">
        <f t="shared" si="96"/>
        <v>Jul</v>
      </c>
      <c r="S185" s="344">
        <f t="shared" si="119"/>
        <v>0</v>
      </c>
      <c r="T185" s="344" t="str">
        <f t="shared" si="120"/>
        <v/>
      </c>
      <c r="U185" s="344" t="str">
        <f t="shared" si="121"/>
        <v/>
      </c>
      <c r="V185" s="344" t="str">
        <f t="shared" si="122"/>
        <v/>
      </c>
      <c r="W185" s="344" t="e">
        <f t="shared" si="97"/>
        <v>#N/A</v>
      </c>
      <c r="X185" s="344"/>
      <c r="Y185" s="344"/>
      <c r="Z185" s="314" t="str">
        <f t="shared" si="115"/>
        <v>22-Jul-2000</v>
      </c>
      <c r="AA185" s="314" t="str">
        <f t="shared" si="98"/>
        <v/>
      </c>
      <c r="AB185" s="314" t="e">
        <f t="shared" si="99"/>
        <v>#VALUE!</v>
      </c>
      <c r="AC185" s="314">
        <f t="shared" si="100"/>
        <v>21</v>
      </c>
      <c r="AD185" s="347" t="str">
        <f t="shared" si="101"/>
        <v>Aged 21 on 01-Jul-2022.</v>
      </c>
      <c r="AE185" s="305"/>
      <c r="AF185" s="303"/>
      <c r="AG185" s="303"/>
      <c r="AH185" s="303"/>
      <c r="AI185" s="289" t="s">
        <v>2793</v>
      </c>
      <c r="AJ185" s="289" t="s">
        <v>2793</v>
      </c>
      <c r="AK185" s="319" t="str">
        <f t="shared" si="102"/>
        <v xml:space="preserve"> -</v>
      </c>
      <c r="AL185" s="319" t="str">
        <f t="shared" si="84"/>
        <v xml:space="preserve"> -</v>
      </c>
      <c r="AM185" s="319" t="str">
        <f t="shared" si="85"/>
        <v xml:space="preserve"> -</v>
      </c>
      <c r="AN185" s="344" t="str">
        <f>IF(AJ185=" -",AJ185,VLOOKUP(AL185,$BQ$4:$BR$15,2,FALSE))</f>
        <v xml:space="preserve"> -</v>
      </c>
      <c r="AO185" s="344" t="str">
        <f t="shared" si="116"/>
        <v xml:space="preserve"> -</v>
      </c>
      <c r="AR185" s="350">
        <f>A185</f>
        <v>182</v>
      </c>
      <c r="AS185" s="353" t="str">
        <f>IF(V185="",_xlfn.CONCAT(IF(G185="",D185,G185)," (",Q185,"–",V185," : #",AR185,")"),_xlfn.CONCAT(IF(G185="",D185,G185)," (",Q185,"–",V185,": #",AR185,")"))</f>
        <v>Rosanna (2000– : #182)</v>
      </c>
      <c r="AT185" s="353" t="str">
        <f>IF(V185="",_xlfn.CONCAT(IF(G185="",D185,G185)," (",Q185,"– ",V185,")"),_xlfn.CONCAT(IF(G185="",D185,G185)," (",Q185,"–",V185,")"))</f>
        <v>Rosanna (2000– )</v>
      </c>
      <c r="AU185" s="352" t="str">
        <f t="shared" si="86"/>
        <v>Female</v>
      </c>
      <c r="AV185" s="355" t="s">
        <v>4423</v>
      </c>
      <c r="AW185" s="319" t="str">
        <f>VLOOKUP(AV185,'Mums of Loyd Edit&amp;Partner Edit'!$B$3:$C$66,2,FALSE)</f>
        <v>Jenny CARTWRIGHT (b. 19 Feb 1967, )</v>
      </c>
      <c r="AX185" s="360">
        <v>146</v>
      </c>
      <c r="AY185" s="355" t="str">
        <f t="shared" si="94"/>
        <v>Charles (1963– : #146)</v>
      </c>
      <c r="AZ185" s="361">
        <f>VLOOKUP(AX185,Lineage!$A$1:$C$200,2,FALSE)</f>
        <v>104</v>
      </c>
      <c r="BA185" s="362" t="str">
        <f t="shared" si="114"/>
        <v>Sir Julian (1926–2018: #104)</v>
      </c>
      <c r="BB185" s="368">
        <f>BiographyMarriageDetsCountries!A184</f>
        <v>182</v>
      </c>
      <c r="BC185" s="319"/>
      <c r="BD185" s="362"/>
      <c r="BF185" s="324"/>
      <c r="BG185" s="357">
        <f t="shared" si="104"/>
        <v>182</v>
      </c>
      <c r="BH185" s="289" t="str">
        <f t="shared" si="105"/>
        <v>Rosanna Kate LOYD</v>
      </c>
      <c r="BI185" s="289" t="str">
        <f t="shared" si="106"/>
        <v>Rosanna (2000– )</v>
      </c>
      <c r="BJ185" s="304" t="str">
        <f t="shared" si="107"/>
        <v>Female</v>
      </c>
      <c r="BK185" s="304">
        <f t="shared" si="108"/>
        <v>7</v>
      </c>
      <c r="BL185" s="289" t="str">
        <f t="shared" si="109"/>
        <v>Charles (1963– : #146)</v>
      </c>
      <c r="BM185" s="289" t="str">
        <f t="shared" si="110"/>
        <v>Jenny CARTWRIGHT (b. 19 Feb 1967, )</v>
      </c>
      <c r="BN185" s="367" t="str">
        <f t="shared" si="111"/>
        <v>22-Jul-2000</v>
      </c>
      <c r="BO185" s="367" t="str">
        <f t="shared" si="112"/>
        <v/>
      </c>
      <c r="BP185" s="365" t="str">
        <f t="shared" si="113"/>
        <v>Aged 21 on 01-Jul-2022.</v>
      </c>
    </row>
    <row r="186" spans="1:68" s="289" customFormat="1" ht="20">
      <c r="A186" s="302">
        <v>183</v>
      </c>
      <c r="B186" s="364">
        <v>7</v>
      </c>
      <c r="C186" s="289" t="s">
        <v>3802</v>
      </c>
      <c r="D186" s="289" t="s">
        <v>1362</v>
      </c>
      <c r="E186" s="289" t="s">
        <v>2080</v>
      </c>
      <c r="F186" s="289" t="s">
        <v>3801</v>
      </c>
      <c r="H186" s="304" t="s">
        <v>3244</v>
      </c>
      <c r="I186" s="306">
        <v>2006</v>
      </c>
      <c r="J186" s="306"/>
      <c r="K186" s="307" t="s">
        <v>4622</v>
      </c>
      <c r="L186" s="308">
        <v>38760</v>
      </c>
      <c r="M186" s="309"/>
      <c r="N186" s="309"/>
      <c r="O186" s="348">
        <f t="shared" si="95"/>
        <v>13</v>
      </c>
      <c r="P186" s="345">
        <f t="shared" si="117"/>
        <v>2</v>
      </c>
      <c r="Q186" s="345">
        <f t="shared" si="118"/>
        <v>2006</v>
      </c>
      <c r="R186" s="344" t="str">
        <f t="shared" si="96"/>
        <v>Feb</v>
      </c>
      <c r="S186" s="344">
        <f t="shared" si="119"/>
        <v>0</v>
      </c>
      <c r="T186" s="344" t="str">
        <f t="shared" si="120"/>
        <v/>
      </c>
      <c r="U186" s="344" t="str">
        <f t="shared" si="121"/>
        <v/>
      </c>
      <c r="V186" s="344" t="str">
        <f t="shared" si="122"/>
        <v/>
      </c>
      <c r="W186" s="344" t="e">
        <f t="shared" si="97"/>
        <v>#N/A</v>
      </c>
      <c r="X186" s="344"/>
      <c r="Y186" s="344"/>
      <c r="Z186" s="314" t="str">
        <f t="shared" si="115"/>
        <v>13-Feb-2006</v>
      </c>
      <c r="AA186" s="314" t="str">
        <f t="shared" si="98"/>
        <v/>
      </c>
      <c r="AB186" s="314" t="e">
        <f t="shared" si="99"/>
        <v>#VALUE!</v>
      </c>
      <c r="AC186" s="314">
        <f t="shared" si="100"/>
        <v>16</v>
      </c>
      <c r="AD186" s="347" t="str">
        <f t="shared" si="101"/>
        <v>Aged 16 on 01-Jul-2022.</v>
      </c>
      <c r="AE186" s="305"/>
      <c r="AF186" s="303"/>
      <c r="AG186" s="303"/>
      <c r="AH186" s="303"/>
      <c r="AI186" s="289" t="s">
        <v>2793</v>
      </c>
      <c r="AJ186" s="289" t="s">
        <v>2793</v>
      </c>
      <c r="AK186" s="319" t="str">
        <f t="shared" si="102"/>
        <v xml:space="preserve"> -</v>
      </c>
      <c r="AL186" s="319" t="str">
        <f t="shared" si="84"/>
        <v xml:space="preserve"> -</v>
      </c>
      <c r="AM186" s="319" t="str">
        <f t="shared" si="85"/>
        <v xml:space="preserve"> -</v>
      </c>
      <c r="AN186" s="344" t="str">
        <f>IF(AJ186=" -",AJ186,VLOOKUP(AL186,$BQ$4:$BR$15,2,FALSE))</f>
        <v xml:space="preserve"> -</v>
      </c>
      <c r="AO186" s="344" t="str">
        <f t="shared" si="116"/>
        <v xml:space="preserve"> -</v>
      </c>
      <c r="AR186" s="350">
        <f>A186</f>
        <v>183</v>
      </c>
      <c r="AS186" s="353" t="str">
        <f>IF(V186="",_xlfn.CONCAT(IF(G186="",D186,G186)," (",Q186,"–",V186," : #",AR186,")"),_xlfn.CONCAT(IF(G186="",D186,G186)," (",Q186,"–",V186,": #",AR186,")"))</f>
        <v>Matilda (2006– : #183)</v>
      </c>
      <c r="AT186" s="353" t="str">
        <f>IF(V186="",_xlfn.CONCAT(IF(G186="",D186,G186)," (",Q186,"– ",V186,")"),_xlfn.CONCAT(IF(G186="",D186,G186)," (",Q186,"–",V186,")"))</f>
        <v>Matilda (2006– )</v>
      </c>
      <c r="AU186" s="352" t="str">
        <f t="shared" si="86"/>
        <v>Female</v>
      </c>
      <c r="AV186" s="355" t="s">
        <v>4424</v>
      </c>
      <c r="AW186" s="319" t="str">
        <f>VLOOKUP(AV186,'Mums of Loyd Edit&amp;Partner Edit'!$B$3:$C$66,2,FALSE)</f>
        <v>Anna Maria LEES (b. 15 Mar 1972, )</v>
      </c>
      <c r="AX186" s="360">
        <v>155</v>
      </c>
      <c r="AY186" s="355" t="str">
        <f t="shared" si="94"/>
        <v>William (1973– : #155)</v>
      </c>
      <c r="AZ186" s="361">
        <f>VLOOKUP(AX186,Lineage!$A$1:$C$200,2,FALSE)</f>
        <v>119</v>
      </c>
      <c r="BA186" s="362" t="str">
        <f t="shared" si="114"/>
        <v>Peter (1942– : #119)</v>
      </c>
      <c r="BB186" s="368">
        <f>BiographyMarriageDetsCountries!A185</f>
        <v>183</v>
      </c>
      <c r="BC186" s="319"/>
      <c r="BD186" s="362"/>
      <c r="BF186" s="324"/>
      <c r="BG186" s="357">
        <f t="shared" si="104"/>
        <v>183</v>
      </c>
      <c r="BH186" s="289" t="str">
        <f t="shared" si="105"/>
        <v>Matilda Jennifer (LOYD) CHARLTON</v>
      </c>
      <c r="BI186" s="289" t="str">
        <f t="shared" si="106"/>
        <v>Matilda (2006– )</v>
      </c>
      <c r="BJ186" s="304" t="str">
        <f t="shared" si="107"/>
        <v>Female</v>
      </c>
      <c r="BK186" s="304">
        <f t="shared" si="108"/>
        <v>7</v>
      </c>
      <c r="BL186" s="289" t="str">
        <f t="shared" si="109"/>
        <v>William (1973– : #155)</v>
      </c>
      <c r="BM186" s="289" t="str">
        <f t="shared" si="110"/>
        <v>Anna Maria LEES (b. 15 Mar 1972, )</v>
      </c>
      <c r="BN186" s="367" t="str">
        <f t="shared" si="111"/>
        <v>13-Feb-2006</v>
      </c>
      <c r="BO186" s="367" t="str">
        <f t="shared" si="112"/>
        <v/>
      </c>
      <c r="BP186" s="365" t="str">
        <f t="shared" si="113"/>
        <v>Aged 16 on 01-Jul-2022.</v>
      </c>
    </row>
    <row r="187" spans="1:68" s="289" customFormat="1" ht="20">
      <c r="A187" s="302">
        <v>184</v>
      </c>
      <c r="B187" s="364">
        <v>7</v>
      </c>
      <c r="C187" s="288" t="s">
        <v>782</v>
      </c>
      <c r="D187" s="289" t="s">
        <v>3054</v>
      </c>
      <c r="H187" s="304" t="s">
        <v>3244</v>
      </c>
      <c r="I187" s="306">
        <v>2006</v>
      </c>
      <c r="J187" s="306"/>
      <c r="K187" s="307" t="s">
        <v>4623</v>
      </c>
      <c r="L187" s="308">
        <v>38930</v>
      </c>
      <c r="M187" s="309"/>
      <c r="N187" s="309"/>
      <c r="O187" s="348">
        <f t="shared" si="95"/>
        <v>1</v>
      </c>
      <c r="P187" s="345">
        <f t="shared" si="117"/>
        <v>8</v>
      </c>
      <c r="Q187" s="345">
        <f t="shared" si="118"/>
        <v>2006</v>
      </c>
      <c r="R187" s="344" t="str">
        <f t="shared" si="96"/>
        <v>Aug</v>
      </c>
      <c r="S187" s="344">
        <f t="shared" si="119"/>
        <v>0</v>
      </c>
      <c r="T187" s="344" t="str">
        <f t="shared" si="120"/>
        <v/>
      </c>
      <c r="U187" s="344" t="str">
        <f t="shared" si="121"/>
        <v/>
      </c>
      <c r="V187" s="344" t="str">
        <f t="shared" si="122"/>
        <v/>
      </c>
      <c r="W187" s="344" t="e">
        <f t="shared" si="97"/>
        <v>#N/A</v>
      </c>
      <c r="X187" s="344"/>
      <c r="Y187" s="344"/>
      <c r="Z187" s="314" t="str">
        <f t="shared" si="115"/>
        <v>01-Aug-2006</v>
      </c>
      <c r="AA187" s="314" t="str">
        <f t="shared" si="98"/>
        <v/>
      </c>
      <c r="AB187" s="314" t="e">
        <f t="shared" si="99"/>
        <v>#VALUE!</v>
      </c>
      <c r="AC187" s="314">
        <f t="shared" si="100"/>
        <v>15</v>
      </c>
      <c r="AD187" s="347" t="str">
        <f t="shared" si="101"/>
        <v>Aged 15 on 01-Jul-2022.</v>
      </c>
      <c r="AE187" s="305"/>
      <c r="AF187" s="303"/>
      <c r="AG187" s="303"/>
      <c r="AH187" s="303"/>
      <c r="AI187" s="289" t="s">
        <v>2793</v>
      </c>
      <c r="AJ187" s="289" t="s">
        <v>2793</v>
      </c>
      <c r="AK187" s="319" t="str">
        <f t="shared" si="102"/>
        <v xml:space="preserve"> -</v>
      </c>
      <c r="AL187" s="319" t="str">
        <f t="shared" si="84"/>
        <v xml:space="preserve"> -</v>
      </c>
      <c r="AM187" s="319" t="str">
        <f t="shared" si="85"/>
        <v xml:space="preserve"> -</v>
      </c>
      <c r="AN187" s="344" t="str">
        <f>IF(AJ187=" -",AJ187,VLOOKUP(AL187,$BQ$4:$BR$15,2,FALSE))</f>
        <v xml:space="preserve"> -</v>
      </c>
      <c r="AO187" s="344" t="str">
        <f t="shared" si="116"/>
        <v xml:space="preserve"> -</v>
      </c>
      <c r="AR187" s="350">
        <f>A187</f>
        <v>184</v>
      </c>
      <c r="AS187" s="353" t="str">
        <f>IF(V187="",_xlfn.CONCAT(IF(G187="",D187,G187)," (",Q187,"–",V187," : #",AR187,")"),_xlfn.CONCAT(IF(G187="",D187,G187)," (",Q187,"–",V187,": #",AR187,")"))</f>
        <v>Delilah (2006– : #184)</v>
      </c>
      <c r="AT187" s="353" t="str">
        <f>IF(V187="",_xlfn.CONCAT(IF(G187="",D187,G187)," (",Q187,"– ",V187,")"),_xlfn.CONCAT(IF(G187="",D187,G187)," (",Q187,"–",V187,")"))</f>
        <v>Delilah (2006– )</v>
      </c>
      <c r="AU187" s="352" t="str">
        <f t="shared" si="86"/>
        <v>Female</v>
      </c>
      <c r="AV187" s="355" t="s">
        <v>4425</v>
      </c>
      <c r="AW187" s="319" t="str">
        <f>VLOOKUP(AV187,'Mums of Loyd Edit&amp;Partner Edit'!$B$3:$C$66,2,FALSE)</f>
        <v>Harriet Louise MELLOR (b. , )</v>
      </c>
      <c r="AX187" s="360">
        <v>149</v>
      </c>
      <c r="AY187" s="355" t="str">
        <f t="shared" si="94"/>
        <v>Anthony (1966– : #149)</v>
      </c>
      <c r="AZ187" s="361">
        <f>VLOOKUP(AX187,Lineage!$A$1:$C$200,2,FALSE)</f>
        <v>113</v>
      </c>
      <c r="BA187" s="362" t="str">
        <f t="shared" si="114"/>
        <v>Willie (1937–1994: #113)</v>
      </c>
      <c r="BB187" s="368">
        <f>BiographyMarriageDetsCountries!A186</f>
        <v>184</v>
      </c>
      <c r="BC187" s="319"/>
      <c r="BD187" s="362"/>
      <c r="BF187" s="324"/>
      <c r="BG187" s="357">
        <f t="shared" si="104"/>
        <v>184</v>
      </c>
      <c r="BH187" s="289" t="str">
        <f t="shared" si="105"/>
        <v>Delilah LOYD</v>
      </c>
      <c r="BI187" s="289" t="str">
        <f t="shared" si="106"/>
        <v>Delilah (2006– )</v>
      </c>
      <c r="BJ187" s="304" t="str">
        <f t="shared" si="107"/>
        <v>Female</v>
      </c>
      <c r="BK187" s="304">
        <f t="shared" si="108"/>
        <v>7</v>
      </c>
      <c r="BL187" s="289" t="str">
        <f t="shared" si="109"/>
        <v>Anthony (1966– : #149)</v>
      </c>
      <c r="BM187" s="289" t="str">
        <f t="shared" si="110"/>
        <v>Harriet Louise MELLOR (b. , )</v>
      </c>
      <c r="BN187" s="367" t="str">
        <f t="shared" si="111"/>
        <v>01-Aug-2006</v>
      </c>
      <c r="BO187" s="367" t="str">
        <f t="shared" si="112"/>
        <v/>
      </c>
      <c r="BP187" s="365" t="str">
        <f t="shared" si="113"/>
        <v>Aged 15 on 01-Jul-2022.</v>
      </c>
    </row>
    <row r="188" spans="1:68" s="289" customFormat="1" ht="20">
      <c r="A188" s="302">
        <v>185</v>
      </c>
      <c r="B188" s="364">
        <v>7</v>
      </c>
      <c r="C188" s="289" t="s">
        <v>3802</v>
      </c>
      <c r="D188" s="289" t="s">
        <v>939</v>
      </c>
      <c r="E188" s="289" t="s">
        <v>839</v>
      </c>
      <c r="F188" s="289" t="s">
        <v>3801</v>
      </c>
      <c r="H188" s="304" t="s">
        <v>3244</v>
      </c>
      <c r="I188" s="306">
        <v>2007</v>
      </c>
      <c r="J188" s="306"/>
      <c r="K188" s="307" t="s">
        <v>4624</v>
      </c>
      <c r="L188" s="308">
        <v>39268</v>
      </c>
      <c r="M188" s="309"/>
      <c r="N188" s="309"/>
      <c r="O188" s="348">
        <f t="shared" si="95"/>
        <v>5</v>
      </c>
      <c r="P188" s="345">
        <f t="shared" si="117"/>
        <v>7</v>
      </c>
      <c r="Q188" s="345">
        <f t="shared" si="118"/>
        <v>2007</v>
      </c>
      <c r="R188" s="344" t="str">
        <f t="shared" si="96"/>
        <v>Jul</v>
      </c>
      <c r="S188" s="344">
        <f t="shared" si="119"/>
        <v>0</v>
      </c>
      <c r="T188" s="344" t="str">
        <f t="shared" si="120"/>
        <v/>
      </c>
      <c r="U188" s="344" t="str">
        <f t="shared" si="121"/>
        <v/>
      </c>
      <c r="V188" s="344" t="str">
        <f t="shared" si="122"/>
        <v/>
      </c>
      <c r="W188" s="344" t="e">
        <f t="shared" si="97"/>
        <v>#N/A</v>
      </c>
      <c r="X188" s="344"/>
      <c r="Y188" s="344"/>
      <c r="Z188" s="314" t="str">
        <f t="shared" si="115"/>
        <v>05-Jul-2007</v>
      </c>
      <c r="AA188" s="314" t="str">
        <f t="shared" si="98"/>
        <v/>
      </c>
      <c r="AB188" s="314" t="e">
        <f t="shared" si="99"/>
        <v>#VALUE!</v>
      </c>
      <c r="AC188" s="314">
        <f t="shared" si="100"/>
        <v>14</v>
      </c>
      <c r="AD188" s="347" t="str">
        <f t="shared" si="101"/>
        <v>Aged 14 on 01-Jul-2022.</v>
      </c>
      <c r="AE188" s="305"/>
      <c r="AF188" s="303"/>
      <c r="AG188" s="303"/>
      <c r="AH188" s="303"/>
      <c r="AI188" s="289" t="s">
        <v>2793</v>
      </c>
      <c r="AJ188" s="289" t="s">
        <v>2793</v>
      </c>
      <c r="AK188" s="319" t="str">
        <f t="shared" si="102"/>
        <v xml:space="preserve"> -</v>
      </c>
      <c r="AL188" s="319" t="str">
        <f t="shared" si="84"/>
        <v xml:space="preserve"> -</v>
      </c>
      <c r="AM188" s="319" t="str">
        <f t="shared" si="85"/>
        <v xml:space="preserve"> -</v>
      </c>
      <c r="AN188" s="344" t="str">
        <f>IF(AJ188=" -",AJ188,VLOOKUP(AL188,$BQ$4:$BR$15,2,FALSE))</f>
        <v xml:space="preserve"> -</v>
      </c>
      <c r="AO188" s="344" t="str">
        <f t="shared" si="116"/>
        <v xml:space="preserve"> -</v>
      </c>
      <c r="AR188" s="350">
        <f>A188</f>
        <v>185</v>
      </c>
      <c r="AS188" s="353" t="str">
        <f>IF(V188="",_xlfn.CONCAT(IF(G188="",D188,G188)," (",Q188,"–",V188," : #",AR188,")"),_xlfn.CONCAT(IF(G188="",D188,G188)," (",Q188,"–",V188,": #",AR188,")"))</f>
        <v>Katherine (2007– : #185)</v>
      </c>
      <c r="AT188" s="353" t="str">
        <f>IF(V188="",_xlfn.CONCAT(IF(G188="",D188,G188)," (",Q188,"– ",V188,")"),_xlfn.CONCAT(IF(G188="",D188,G188)," (",Q188,"–",V188,")"))</f>
        <v>Katherine (2007– )</v>
      </c>
      <c r="AU188" s="352" t="str">
        <f t="shared" si="86"/>
        <v>Female</v>
      </c>
      <c r="AV188" s="355" t="s">
        <v>4424</v>
      </c>
      <c r="AW188" s="319" t="str">
        <f>VLOOKUP(AV188,'Mums of Loyd Edit&amp;Partner Edit'!$B$3:$C$66,2,FALSE)</f>
        <v>Anna Maria LEES (b. 15 Mar 1972, )</v>
      </c>
      <c r="AX188" s="360">
        <v>155</v>
      </c>
      <c r="AY188" s="355" t="str">
        <f t="shared" si="94"/>
        <v>William (1973– : #155)</v>
      </c>
      <c r="AZ188" s="361">
        <f>VLOOKUP(AX188,Lineage!$A$1:$C$200,2,FALSE)</f>
        <v>119</v>
      </c>
      <c r="BA188" s="362" t="str">
        <f t="shared" si="114"/>
        <v>Peter (1942– : #119)</v>
      </c>
      <c r="BB188" s="368">
        <f>BiographyMarriageDetsCountries!A187</f>
        <v>185</v>
      </c>
      <c r="BC188" s="319"/>
      <c r="BD188" s="362"/>
      <c r="BF188" s="324"/>
      <c r="BG188" s="357">
        <f t="shared" si="104"/>
        <v>185</v>
      </c>
      <c r="BH188" s="289" t="str">
        <f t="shared" si="105"/>
        <v>Katherine Anne (LOYD) CHARLTON</v>
      </c>
      <c r="BI188" s="289" t="str">
        <f t="shared" si="106"/>
        <v>Katherine (2007– )</v>
      </c>
      <c r="BJ188" s="304" t="str">
        <f t="shared" si="107"/>
        <v>Female</v>
      </c>
      <c r="BK188" s="304">
        <f t="shared" si="108"/>
        <v>7</v>
      </c>
      <c r="BL188" s="289" t="str">
        <f t="shared" si="109"/>
        <v>William (1973– : #155)</v>
      </c>
      <c r="BM188" s="289" t="str">
        <f t="shared" si="110"/>
        <v>Anna Maria LEES (b. 15 Mar 1972, )</v>
      </c>
      <c r="BN188" s="367" t="str">
        <f t="shared" si="111"/>
        <v>05-Jul-2007</v>
      </c>
      <c r="BO188" s="367" t="str">
        <f t="shared" si="112"/>
        <v/>
      </c>
      <c r="BP188" s="365" t="str">
        <f t="shared" si="113"/>
        <v>Aged 14 on 01-Jul-2022.</v>
      </c>
    </row>
    <row r="189" spans="1:68" s="289" customFormat="1" ht="20">
      <c r="A189" s="302">
        <v>186</v>
      </c>
      <c r="B189" s="364">
        <v>7</v>
      </c>
      <c r="C189" s="289" t="s">
        <v>3802</v>
      </c>
      <c r="D189" s="289" t="s">
        <v>807</v>
      </c>
      <c r="E189" s="289" t="s">
        <v>842</v>
      </c>
      <c r="F189" s="289" t="s">
        <v>3801</v>
      </c>
      <c r="H189" s="304" t="s">
        <v>3245</v>
      </c>
      <c r="I189" s="306">
        <v>2010</v>
      </c>
      <c r="J189" s="306"/>
      <c r="K189" s="307" t="s">
        <v>4625</v>
      </c>
      <c r="L189" s="308">
        <v>40184</v>
      </c>
      <c r="M189" s="309"/>
      <c r="N189" s="309"/>
      <c r="O189" s="348">
        <f t="shared" si="95"/>
        <v>6</v>
      </c>
      <c r="P189" s="345">
        <f t="shared" si="117"/>
        <v>1</v>
      </c>
      <c r="Q189" s="345">
        <f t="shared" si="118"/>
        <v>2010</v>
      </c>
      <c r="R189" s="344" t="str">
        <f t="shared" si="96"/>
        <v>Jan</v>
      </c>
      <c r="S189" s="344">
        <f t="shared" si="119"/>
        <v>0</v>
      </c>
      <c r="T189" s="344" t="str">
        <f t="shared" si="120"/>
        <v/>
      </c>
      <c r="U189" s="344" t="str">
        <f t="shared" si="121"/>
        <v/>
      </c>
      <c r="V189" s="344" t="str">
        <f t="shared" si="122"/>
        <v/>
      </c>
      <c r="W189" s="344" t="e">
        <f t="shared" si="97"/>
        <v>#N/A</v>
      </c>
      <c r="X189" s="344"/>
      <c r="Y189" s="344"/>
      <c r="Z189" s="314" t="str">
        <f t="shared" si="115"/>
        <v>06-Jan-2010</v>
      </c>
      <c r="AA189" s="314" t="str">
        <f t="shared" si="98"/>
        <v/>
      </c>
      <c r="AB189" s="314" t="e">
        <f t="shared" si="99"/>
        <v>#VALUE!</v>
      </c>
      <c r="AC189" s="314">
        <f t="shared" si="100"/>
        <v>12</v>
      </c>
      <c r="AD189" s="347" t="str">
        <f t="shared" si="101"/>
        <v>Aged 12 on 01-Jul-2022.</v>
      </c>
      <c r="AE189" s="305"/>
      <c r="AF189" s="303"/>
      <c r="AG189" s="303"/>
      <c r="AH189" s="303"/>
      <c r="AI189" s="289" t="s">
        <v>2793</v>
      </c>
      <c r="AJ189" s="289" t="s">
        <v>2793</v>
      </c>
      <c r="AK189" s="319" t="str">
        <f t="shared" si="102"/>
        <v xml:space="preserve"> -</v>
      </c>
      <c r="AL189" s="319" t="str">
        <f t="shared" si="84"/>
        <v xml:space="preserve"> -</v>
      </c>
      <c r="AM189" s="319" t="str">
        <f t="shared" si="85"/>
        <v xml:space="preserve"> -</v>
      </c>
      <c r="AN189" s="344" t="str">
        <f>IF(AJ189=" -",AJ189,VLOOKUP(AL189,$BQ$4:$BR$15,2,FALSE))</f>
        <v xml:space="preserve"> -</v>
      </c>
      <c r="AO189" s="344" t="str">
        <f t="shared" si="116"/>
        <v xml:space="preserve"> -</v>
      </c>
      <c r="AR189" s="350">
        <f>A189</f>
        <v>186</v>
      </c>
      <c r="AS189" s="353" t="str">
        <f>IF(V189="",_xlfn.CONCAT(IF(G189="",D189,G189)," (",Q189,"–",V189," : #",AR189,")"),_xlfn.CONCAT(IF(G189="",D189,G189)," (",Q189,"–",V189,": #",AR189,")"))</f>
        <v>Henry (2010– : #186)</v>
      </c>
      <c r="AT189" s="353" t="str">
        <f>IF(V189="",_xlfn.CONCAT(IF(G189="",D189,G189)," (",Q189,"– ",V189,")"),_xlfn.CONCAT(IF(G189="",D189,G189)," (",Q189,"–",V189,")"))</f>
        <v>Henry (2010– )</v>
      </c>
      <c r="AU189" s="352" t="str">
        <f t="shared" si="86"/>
        <v>Male</v>
      </c>
      <c r="AV189" s="355" t="s">
        <v>4424</v>
      </c>
      <c r="AW189" s="319" t="str">
        <f>VLOOKUP(AV189,'Mums of Loyd Edit&amp;Partner Edit'!$B$3:$C$66,2,FALSE)</f>
        <v>Anna Maria LEES (b. 15 Mar 1972, )</v>
      </c>
      <c r="AX189" s="360">
        <v>155</v>
      </c>
      <c r="AY189" s="355" t="str">
        <f t="shared" si="94"/>
        <v>William (1973– : #155)</v>
      </c>
      <c r="AZ189" s="361">
        <f>VLOOKUP(AX189,Lineage!$A$1:$C$200,2,FALSE)</f>
        <v>119</v>
      </c>
      <c r="BA189" s="362" t="str">
        <f t="shared" si="114"/>
        <v>Peter (1942– : #119)</v>
      </c>
      <c r="BB189" s="368">
        <f>BiographyMarriageDetsCountries!A188</f>
        <v>186</v>
      </c>
      <c r="BC189" s="319"/>
      <c r="BD189" s="362"/>
      <c r="BF189" s="324"/>
      <c r="BG189" s="357">
        <f t="shared" si="104"/>
        <v>186</v>
      </c>
      <c r="BH189" s="289" t="str">
        <f t="shared" si="105"/>
        <v>Henry John (LOYD) CHARLTON</v>
      </c>
      <c r="BI189" s="289" t="str">
        <f t="shared" si="106"/>
        <v>Henry (2010– )</v>
      </c>
      <c r="BJ189" s="304" t="str">
        <f t="shared" si="107"/>
        <v>Male</v>
      </c>
      <c r="BK189" s="304">
        <f t="shared" si="108"/>
        <v>7</v>
      </c>
      <c r="BL189" s="289" t="str">
        <f t="shared" si="109"/>
        <v>William (1973– : #155)</v>
      </c>
      <c r="BM189" s="289" t="str">
        <f t="shared" si="110"/>
        <v>Anna Maria LEES (b. 15 Mar 1972, )</v>
      </c>
      <c r="BN189" s="367" t="str">
        <f t="shared" si="111"/>
        <v>06-Jan-2010</v>
      </c>
      <c r="BO189" s="367" t="str">
        <f t="shared" si="112"/>
        <v/>
      </c>
      <c r="BP189" s="365" t="str">
        <f t="shared" si="113"/>
        <v>Aged 12 on 01-Jul-2022.</v>
      </c>
    </row>
    <row r="190" spans="1:68" s="289" customFormat="1" ht="20">
      <c r="A190" s="302">
        <v>187</v>
      </c>
      <c r="B190" s="364">
        <v>8</v>
      </c>
      <c r="C190" s="289" t="s">
        <v>782</v>
      </c>
      <c r="D190" s="289" t="s">
        <v>1510</v>
      </c>
      <c r="E190" s="289" t="s">
        <v>867</v>
      </c>
      <c r="H190" s="304" t="s">
        <v>3244</v>
      </c>
      <c r="I190" s="306">
        <v>2014</v>
      </c>
      <c r="J190" s="306"/>
      <c r="K190" s="307" t="s">
        <v>4626</v>
      </c>
      <c r="L190" s="308">
        <v>41681</v>
      </c>
      <c r="M190" s="309"/>
      <c r="N190" s="309"/>
      <c r="O190" s="348">
        <f t="shared" si="95"/>
        <v>11</v>
      </c>
      <c r="P190" s="345">
        <f t="shared" si="117"/>
        <v>2</v>
      </c>
      <c r="Q190" s="345">
        <f t="shared" si="118"/>
        <v>2014</v>
      </c>
      <c r="R190" s="344" t="str">
        <f t="shared" si="96"/>
        <v>Feb</v>
      </c>
      <c r="S190" s="344">
        <f t="shared" si="119"/>
        <v>0</v>
      </c>
      <c r="T190" s="344" t="str">
        <f t="shared" si="120"/>
        <v/>
      </c>
      <c r="U190" s="344" t="str">
        <f t="shared" si="121"/>
        <v/>
      </c>
      <c r="V190" s="344" t="str">
        <f t="shared" si="122"/>
        <v/>
      </c>
      <c r="W190" s="344" t="e">
        <f t="shared" si="97"/>
        <v>#N/A</v>
      </c>
      <c r="X190" s="344"/>
      <c r="Y190" s="344"/>
      <c r="Z190" s="314" t="str">
        <f t="shared" si="115"/>
        <v>11-Feb-2014</v>
      </c>
      <c r="AA190" s="314" t="str">
        <f t="shared" si="98"/>
        <v/>
      </c>
      <c r="AB190" s="314" t="e">
        <f t="shared" si="99"/>
        <v>#VALUE!</v>
      </c>
      <c r="AC190" s="314">
        <f t="shared" si="100"/>
        <v>8</v>
      </c>
      <c r="AD190" s="314" t="str">
        <f t="shared" si="101"/>
        <v>Aged 8 on 01-Jul-2022.</v>
      </c>
      <c r="AE190" s="305"/>
      <c r="AF190" s="303"/>
      <c r="AG190" s="303"/>
      <c r="AH190" s="303"/>
      <c r="AI190" s="289" t="s">
        <v>2793</v>
      </c>
      <c r="AJ190" s="289" t="s">
        <v>2793</v>
      </c>
      <c r="AK190" s="319" t="str">
        <f t="shared" si="102"/>
        <v xml:space="preserve"> -</v>
      </c>
      <c r="AL190" s="319" t="str">
        <f t="shared" si="84"/>
        <v xml:space="preserve"> -</v>
      </c>
      <c r="AM190" s="319" t="str">
        <f t="shared" si="85"/>
        <v xml:space="preserve"> -</v>
      </c>
      <c r="AN190" s="344" t="str">
        <f>IF(AJ190=" -",AJ190,VLOOKUP(AL190,$BQ$4:$BR$15,2,FALSE))</f>
        <v xml:space="preserve"> -</v>
      </c>
      <c r="AO190" s="344" t="str">
        <f t="shared" si="116"/>
        <v xml:space="preserve"> -</v>
      </c>
      <c r="AR190" s="350">
        <f>A190</f>
        <v>187</v>
      </c>
      <c r="AS190" s="353" t="str">
        <f>IF(V190="",_xlfn.CONCAT(IF(G190="",D190,G190)," (",Q190,"–",V190," : #",AR190,")"),_xlfn.CONCAT(IF(G190="",D190,G190)," (",Q190,"–",V190,": #",AR190,")"))</f>
        <v>Olivia (2014– : #187)</v>
      </c>
      <c r="AT190" s="353" t="str">
        <f>IF(V190="",_xlfn.CONCAT(IF(G190="",D190,G190)," (",Q190,"– ",V190,")"),_xlfn.CONCAT(IF(G190="",D190,G190)," (",Q190,"–",V190,")"))</f>
        <v>Olivia (2014– )</v>
      </c>
      <c r="AU190" s="352" t="str">
        <f t="shared" si="86"/>
        <v>Female</v>
      </c>
      <c r="AV190" s="355" t="s">
        <v>4426</v>
      </c>
      <c r="AW190" s="319" t="str">
        <f>VLOOKUP(AV190,'Mums of Loyd Edit&amp;Partner Edit'!$B$3:$C$66,2,FALSE)</f>
        <v>Holly Kristina TURNER (b. 10 Jan 1988, )</v>
      </c>
      <c r="AX190" s="360">
        <v>167</v>
      </c>
      <c r="AY190" s="355" t="str">
        <f t="shared" si="94"/>
        <v>Ben (1988– : #167)</v>
      </c>
      <c r="AZ190" s="361">
        <f>VLOOKUP(AX190,Lineage!$A$1:$C$200,2,FALSE)</f>
        <v>131</v>
      </c>
      <c r="BA190" s="362" t="str">
        <f t="shared" si="114"/>
        <v>Dominic (1953– : #131)</v>
      </c>
      <c r="BB190" s="368">
        <f>BiographyMarriageDetsCountries!A189</f>
        <v>187</v>
      </c>
      <c r="BC190" s="319"/>
      <c r="BD190" s="362"/>
      <c r="BF190" s="324"/>
      <c r="BG190" s="357">
        <f t="shared" si="104"/>
        <v>187</v>
      </c>
      <c r="BH190" s="289" t="str">
        <f t="shared" si="105"/>
        <v>Olivia Catherine LOYD</v>
      </c>
      <c r="BI190" s="289" t="str">
        <f t="shared" si="106"/>
        <v>Olivia (2014– )</v>
      </c>
      <c r="BJ190" s="304" t="str">
        <f t="shared" si="107"/>
        <v>Female</v>
      </c>
      <c r="BK190" s="304">
        <f t="shared" si="108"/>
        <v>8</v>
      </c>
      <c r="BL190" s="289" t="str">
        <f t="shared" si="109"/>
        <v>Ben (1988– : #167)</v>
      </c>
      <c r="BM190" s="289" t="str">
        <f t="shared" si="110"/>
        <v>Holly Kristina TURNER (b. 10 Jan 1988, )</v>
      </c>
      <c r="BN190" s="367" t="str">
        <f t="shared" si="111"/>
        <v>11-Feb-2014</v>
      </c>
      <c r="BO190" s="367" t="str">
        <f t="shared" si="112"/>
        <v/>
      </c>
      <c r="BP190" s="365" t="str">
        <f t="shared" si="113"/>
        <v>Aged 8 on 01-Jul-2022.</v>
      </c>
    </row>
    <row r="191" spans="1:68" s="289" customFormat="1" ht="20">
      <c r="A191" s="302">
        <v>188</v>
      </c>
      <c r="B191" s="364">
        <v>8</v>
      </c>
      <c r="C191" s="289" t="s">
        <v>782</v>
      </c>
      <c r="D191" s="289" t="s">
        <v>796</v>
      </c>
      <c r="E191" s="289" t="s">
        <v>3064</v>
      </c>
      <c r="F191" s="289" t="s">
        <v>3090</v>
      </c>
      <c r="G191" s="289" t="s">
        <v>1055</v>
      </c>
      <c r="H191" s="304" t="s">
        <v>3245</v>
      </c>
      <c r="I191" s="306">
        <v>2017</v>
      </c>
      <c r="J191" s="306"/>
      <c r="K191" s="307" t="s">
        <v>4627</v>
      </c>
      <c r="L191" s="308">
        <v>42881</v>
      </c>
      <c r="M191" s="309"/>
      <c r="N191" s="309"/>
      <c r="O191" s="348">
        <f t="shared" si="95"/>
        <v>26</v>
      </c>
      <c r="P191" s="345">
        <f t="shared" si="117"/>
        <v>5</v>
      </c>
      <c r="Q191" s="345">
        <f t="shared" si="118"/>
        <v>2017</v>
      </c>
      <c r="R191" s="344" t="str">
        <f t="shared" si="96"/>
        <v>May</v>
      </c>
      <c r="S191" s="344">
        <f t="shared" si="119"/>
        <v>0</v>
      </c>
      <c r="T191" s="344" t="str">
        <f t="shared" si="120"/>
        <v/>
      </c>
      <c r="U191" s="344" t="str">
        <f t="shared" si="121"/>
        <v/>
      </c>
      <c r="V191" s="344" t="str">
        <f t="shared" si="122"/>
        <v/>
      </c>
      <c r="W191" s="344" t="e">
        <f t="shared" si="97"/>
        <v>#N/A</v>
      </c>
      <c r="X191" s="344"/>
      <c r="Y191" s="344"/>
      <c r="Z191" s="314" t="str">
        <f t="shared" si="115"/>
        <v>26-May-2017</v>
      </c>
      <c r="AA191" s="314" t="str">
        <f t="shared" si="98"/>
        <v/>
      </c>
      <c r="AB191" s="314" t="e">
        <f t="shared" si="99"/>
        <v>#VALUE!</v>
      </c>
      <c r="AC191" s="314">
        <f t="shared" si="100"/>
        <v>5</v>
      </c>
      <c r="AD191" s="314" t="str">
        <f t="shared" si="101"/>
        <v>Aged 5 on 01-Jul-2022.</v>
      </c>
      <c r="AE191" s="305"/>
      <c r="AF191" s="303"/>
      <c r="AG191" s="303"/>
      <c r="AH191" s="303"/>
      <c r="AI191" s="289" t="s">
        <v>2793</v>
      </c>
      <c r="AJ191" s="289" t="s">
        <v>2793</v>
      </c>
      <c r="AK191" s="319" t="str">
        <f t="shared" si="102"/>
        <v xml:space="preserve"> -</v>
      </c>
      <c r="AL191" s="319" t="str">
        <f t="shared" si="84"/>
        <v xml:space="preserve"> -</v>
      </c>
      <c r="AM191" s="319" t="str">
        <f t="shared" si="85"/>
        <v xml:space="preserve"> -</v>
      </c>
      <c r="AN191" s="344" t="str">
        <f>IF(AJ191=" -",AJ191,VLOOKUP(AL191,$BQ$4:$BR$15,2,FALSE))</f>
        <v xml:space="preserve"> -</v>
      </c>
      <c r="AO191" s="344" t="str">
        <f t="shared" si="116"/>
        <v xml:space="preserve"> -</v>
      </c>
      <c r="AR191" s="350">
        <f>A191</f>
        <v>188</v>
      </c>
      <c r="AS191" s="353" t="str">
        <f>IF(V191="",_xlfn.CONCAT(IF(G191="",D191,G191)," (",Q191,"–",V191," : #",AR191,")"),_xlfn.CONCAT(IF(G191="",D191,G191)," (",Q191,"–",V191,": #",AR191,")"))</f>
        <v>Archie (2017– : #188)</v>
      </c>
      <c r="AT191" s="353" t="str">
        <f>IF(V191="",_xlfn.CONCAT(IF(G191="",D191,G191)," (",Q191,"– ",V191,")"),_xlfn.CONCAT(IF(G191="",D191,G191)," (",Q191,"–",V191,")"))</f>
        <v>Archie (2017– )</v>
      </c>
      <c r="AU191" s="352" t="str">
        <f t="shared" si="86"/>
        <v>Male</v>
      </c>
      <c r="AV191" s="355" t="s">
        <v>4427</v>
      </c>
      <c r="AW191" s="319" t="str">
        <f>VLOOKUP(AV191,'Mums of Loyd Edit&amp;Partner Edit'!$B$3:$C$66,2,FALSE)</f>
        <v>Laura Mary MUSSELBROOK (b. 23 Sep 1981, )</v>
      </c>
      <c r="AX191" s="360">
        <v>162</v>
      </c>
      <c r="AY191" s="355" t="str">
        <f t="shared" si="94"/>
        <v>David (1984– : #162)</v>
      </c>
      <c r="AZ191" s="361">
        <f>VLOOKUP(AX191,Lineage!$A$1:$C$200,2,FALSE)</f>
        <v>131</v>
      </c>
      <c r="BA191" s="362" t="str">
        <f t="shared" si="114"/>
        <v>Dominic (1953– : #131)</v>
      </c>
      <c r="BB191" s="368">
        <f>BiographyMarriageDetsCountries!A190</f>
        <v>188</v>
      </c>
      <c r="BC191" s="319"/>
      <c r="BD191" s="362"/>
      <c r="BF191" s="324"/>
      <c r="BG191" s="357">
        <f t="shared" si="104"/>
        <v>188</v>
      </c>
      <c r="BH191" s="289" t="str">
        <f t="shared" si="105"/>
        <v>Archibald Albert Musselbrook LOYD</v>
      </c>
      <c r="BI191" s="289" t="str">
        <f t="shared" si="106"/>
        <v>Archie (2017– )</v>
      </c>
      <c r="BJ191" s="304" t="str">
        <f t="shared" si="107"/>
        <v>Male</v>
      </c>
      <c r="BK191" s="304">
        <f t="shared" si="108"/>
        <v>8</v>
      </c>
      <c r="BL191" s="289" t="str">
        <f t="shared" si="109"/>
        <v>David (1984– : #162)</v>
      </c>
      <c r="BM191" s="289" t="str">
        <f t="shared" si="110"/>
        <v>Laura Mary MUSSELBROOK (b. 23 Sep 1981, )</v>
      </c>
      <c r="BN191" s="367" t="str">
        <f t="shared" si="111"/>
        <v>26-May-2017</v>
      </c>
      <c r="BO191" s="367" t="str">
        <f t="shared" si="112"/>
        <v/>
      </c>
      <c r="BP191" s="365" t="str">
        <f t="shared" si="113"/>
        <v>Aged 5 on 01-Jul-2022.</v>
      </c>
    </row>
    <row r="192" spans="1:68" s="289" customFormat="1" ht="20">
      <c r="A192" s="302">
        <v>189</v>
      </c>
      <c r="B192" s="364">
        <v>8</v>
      </c>
      <c r="C192" s="289" t="s">
        <v>782</v>
      </c>
      <c r="D192" s="289" t="s">
        <v>3091</v>
      </c>
      <c r="E192" s="289" t="s">
        <v>924</v>
      </c>
      <c r="F192" s="289" t="s">
        <v>3090</v>
      </c>
      <c r="H192" s="304" t="s">
        <v>3245</v>
      </c>
      <c r="I192" s="306">
        <v>2019</v>
      </c>
      <c r="J192" s="306"/>
      <c r="K192" s="307" t="s">
        <v>4628</v>
      </c>
      <c r="L192" s="308">
        <v>43751</v>
      </c>
      <c r="M192" s="309"/>
      <c r="N192" s="309"/>
      <c r="O192" s="348">
        <f t="shared" si="95"/>
        <v>13</v>
      </c>
      <c r="P192" s="345">
        <f t="shared" si="117"/>
        <v>10</v>
      </c>
      <c r="Q192" s="345">
        <f t="shared" si="118"/>
        <v>2019</v>
      </c>
      <c r="R192" s="344" t="str">
        <f t="shared" si="96"/>
        <v>Oct</v>
      </c>
      <c r="S192" s="344">
        <f t="shared" si="119"/>
        <v>0</v>
      </c>
      <c r="T192" s="344" t="str">
        <f t="shared" si="120"/>
        <v/>
      </c>
      <c r="U192" s="344" t="str">
        <f t="shared" si="121"/>
        <v/>
      </c>
      <c r="V192" s="344" t="str">
        <f t="shared" si="122"/>
        <v/>
      </c>
      <c r="W192" s="344" t="e">
        <f t="shared" si="97"/>
        <v>#N/A</v>
      </c>
      <c r="X192" s="344"/>
      <c r="Y192" s="344"/>
      <c r="Z192" s="314" t="str">
        <f t="shared" si="115"/>
        <v>13-Oct-2019</v>
      </c>
      <c r="AA192" s="314" t="str">
        <f t="shared" si="98"/>
        <v/>
      </c>
      <c r="AB192" s="314" t="e">
        <f t="shared" si="99"/>
        <v>#VALUE!</v>
      </c>
      <c r="AC192" s="314">
        <f t="shared" si="100"/>
        <v>2</v>
      </c>
      <c r="AD192" s="314" t="str">
        <f t="shared" si="101"/>
        <v>Aged 2 on 01-Jul-2022.</v>
      </c>
      <c r="AE192" s="305"/>
      <c r="AF192" s="303"/>
      <c r="AG192" s="303"/>
      <c r="AH192" s="303"/>
      <c r="AI192" s="289" t="s">
        <v>2793</v>
      </c>
      <c r="AJ192" s="289" t="s">
        <v>2793</v>
      </c>
      <c r="AK192" s="319" t="str">
        <f t="shared" si="102"/>
        <v xml:space="preserve"> -</v>
      </c>
      <c r="AL192" s="319" t="str">
        <f t="shared" si="84"/>
        <v xml:space="preserve"> -</v>
      </c>
      <c r="AM192" s="319" t="str">
        <f t="shared" si="85"/>
        <v xml:space="preserve"> -</v>
      </c>
      <c r="AN192" s="344" t="str">
        <f>IF(AJ192=" -",AJ192,VLOOKUP(AL192,$BQ$4:$BR$15,2,FALSE))</f>
        <v xml:space="preserve"> -</v>
      </c>
      <c r="AO192" s="344" t="str">
        <f t="shared" si="116"/>
        <v xml:space="preserve"> -</v>
      </c>
      <c r="AR192" s="350">
        <f>A192</f>
        <v>189</v>
      </c>
      <c r="AS192" s="353" t="str">
        <f>IF(V192="",_xlfn.CONCAT(IF(G192="",D192,G192)," (",Q192,"–",V192," : #",AR192,")"),_xlfn.CONCAT(IF(G192="",D192,G192)," (",Q192,"–",V192,": #",AR192,")"))</f>
        <v>Rory (2019– : #189)</v>
      </c>
      <c r="AT192" s="353" t="str">
        <f>IF(V192="",_xlfn.CONCAT(IF(G192="",D192,G192)," (",Q192,"– ",V192,")"),_xlfn.CONCAT(IF(G192="",D192,G192)," (",Q192,"–",V192,")"))</f>
        <v>Rory (2019– )</v>
      </c>
      <c r="AU192" s="352" t="str">
        <f t="shared" si="86"/>
        <v>Male</v>
      </c>
      <c r="AV192" s="355" t="s">
        <v>4427</v>
      </c>
      <c r="AW192" s="319" t="str">
        <f>VLOOKUP(AV192,'Mums of Loyd Edit&amp;Partner Edit'!$B$3:$C$66,2,FALSE)</f>
        <v>Laura Mary MUSSELBROOK (b. 23 Sep 1981, )</v>
      </c>
      <c r="AX192" s="360">
        <v>162</v>
      </c>
      <c r="AY192" s="355" t="str">
        <f t="shared" si="94"/>
        <v>David (1984– : #162)</v>
      </c>
      <c r="AZ192" s="361">
        <f>VLOOKUP(AX192,Lineage!$A$1:$C$200,2,FALSE)</f>
        <v>131</v>
      </c>
      <c r="BA192" s="362" t="str">
        <f t="shared" si="114"/>
        <v>Dominic (1953– : #131)</v>
      </c>
      <c r="BB192" s="368">
        <f>BiographyMarriageDetsCountries!A191</f>
        <v>189</v>
      </c>
      <c r="BC192" s="319"/>
      <c r="BD192" s="362"/>
      <c r="BF192" s="324"/>
      <c r="BG192" s="357">
        <f t="shared" si="104"/>
        <v>189</v>
      </c>
      <c r="BH192" s="289" t="str">
        <f t="shared" si="105"/>
        <v>Rory Alexander Musselbrook LOYD</v>
      </c>
      <c r="BI192" s="289" t="str">
        <f t="shared" si="106"/>
        <v>Rory (2019– )</v>
      </c>
      <c r="BJ192" s="304" t="str">
        <f t="shared" si="107"/>
        <v>Male</v>
      </c>
      <c r="BK192" s="304">
        <f t="shared" si="108"/>
        <v>8</v>
      </c>
      <c r="BL192" s="289" t="str">
        <f t="shared" si="109"/>
        <v>David (1984– : #162)</v>
      </c>
      <c r="BM192" s="289" t="str">
        <f t="shared" si="110"/>
        <v>Laura Mary MUSSELBROOK (b. 23 Sep 1981, )</v>
      </c>
      <c r="BN192" s="367" t="str">
        <f t="shared" si="111"/>
        <v>13-Oct-2019</v>
      </c>
      <c r="BO192" s="367" t="str">
        <f t="shared" si="112"/>
        <v/>
      </c>
      <c r="BP192" s="365" t="str">
        <f t="shared" si="113"/>
        <v>Aged 2 on 01-Jul-2022.</v>
      </c>
    </row>
    <row r="193" spans="1:68" s="289" customFormat="1" ht="20">
      <c r="A193" s="302">
        <v>190</v>
      </c>
      <c r="B193" s="364">
        <v>8</v>
      </c>
      <c r="C193" s="289" t="s">
        <v>1066</v>
      </c>
      <c r="D193" s="289" t="s">
        <v>946</v>
      </c>
      <c r="E193" s="289" t="s">
        <v>3113</v>
      </c>
      <c r="H193" s="304" t="s">
        <v>3244</v>
      </c>
      <c r="I193" s="306">
        <v>2021</v>
      </c>
      <c r="J193" s="306"/>
      <c r="K193" s="307" t="s">
        <v>4629</v>
      </c>
      <c r="L193" s="308">
        <v>44481</v>
      </c>
      <c r="M193" s="309"/>
      <c r="N193" s="309"/>
      <c r="O193" s="348">
        <f t="shared" si="95"/>
        <v>12</v>
      </c>
      <c r="P193" s="345">
        <f t="shared" si="117"/>
        <v>10</v>
      </c>
      <c r="Q193" s="345">
        <f t="shared" si="118"/>
        <v>2021</v>
      </c>
      <c r="R193" s="344" t="str">
        <f t="shared" si="96"/>
        <v>Oct</v>
      </c>
      <c r="S193" s="344">
        <f t="shared" si="119"/>
        <v>0</v>
      </c>
      <c r="T193" s="344" t="str">
        <f t="shared" si="120"/>
        <v/>
      </c>
      <c r="U193" s="344" t="str">
        <f t="shared" si="121"/>
        <v/>
      </c>
      <c r="V193" s="344" t="str">
        <f t="shared" si="122"/>
        <v/>
      </c>
      <c r="W193" s="344" t="e">
        <f t="shared" si="97"/>
        <v>#N/A</v>
      </c>
      <c r="X193" s="344"/>
      <c r="Y193" s="344"/>
      <c r="Z193" s="314" t="str">
        <f t="shared" si="115"/>
        <v>12-Oct-2021</v>
      </c>
      <c r="AA193" s="314" t="str">
        <f t="shared" si="98"/>
        <v/>
      </c>
      <c r="AB193" s="314" t="e">
        <f t="shared" si="99"/>
        <v>#VALUE!</v>
      </c>
      <c r="AC193" s="314">
        <f t="shared" si="100"/>
        <v>0</v>
      </c>
      <c r="AD193" s="314" t="str">
        <f t="shared" si="101"/>
        <v>Aged 0 on 01-Jul-2022.</v>
      </c>
      <c r="AE193" s="305"/>
      <c r="AF193" s="303"/>
      <c r="AG193" s="303"/>
      <c r="AH193" s="303"/>
      <c r="AI193" s="289" t="s">
        <v>2793</v>
      </c>
      <c r="AJ193" s="289" t="s">
        <v>2793</v>
      </c>
      <c r="AK193" s="319" t="str">
        <f t="shared" si="102"/>
        <v xml:space="preserve"> -</v>
      </c>
      <c r="AL193" s="319" t="str">
        <f t="shared" si="84"/>
        <v xml:space="preserve"> -</v>
      </c>
      <c r="AM193" s="319" t="str">
        <f t="shared" si="85"/>
        <v xml:space="preserve"> -</v>
      </c>
      <c r="AN193" s="344" t="str">
        <f>IF(AJ193=" -",AJ193,VLOOKUP(AL193,$BQ$4:$BR$15,2,FALSE))</f>
        <v xml:space="preserve"> -</v>
      </c>
      <c r="AO193" s="344" t="str">
        <f t="shared" si="116"/>
        <v xml:space="preserve"> -</v>
      </c>
      <c r="AR193" s="350">
        <f>A193</f>
        <v>190</v>
      </c>
      <c r="AS193" s="353" t="str">
        <f>IF(V193="",_xlfn.CONCAT(IF(G193="",D193,G193)," (",Q193,"–",V193," : #",AR193,")"),_xlfn.CONCAT(IF(G193="",D193,G193)," (",Q193,"–",V193,": #",AR193,")"))</f>
        <v>Daisy (2021– : #190)</v>
      </c>
      <c r="AT193" s="353" t="str">
        <f>IF(V193="",_xlfn.CONCAT(IF(G193="",D193,G193)," (",Q193,"– ",V193,")"),_xlfn.CONCAT(IF(G193="",D193,G193)," (",Q193,"–",V193,")"))</f>
        <v>Daisy (2021– )</v>
      </c>
      <c r="AU193" s="352" t="str">
        <f t="shared" si="86"/>
        <v>Female</v>
      </c>
      <c r="AV193" s="355" t="s">
        <v>4426</v>
      </c>
      <c r="AW193" s="319" t="str">
        <f>VLOOKUP(AV193,'Mums of Loyd Edit&amp;Partner Edit'!$B$3:$C$66,2,FALSE)</f>
        <v>Holly Kristina TURNER (b. 10 Jan 1988, )</v>
      </c>
      <c r="AX193" s="360">
        <v>167</v>
      </c>
      <c r="AY193" s="355" t="str">
        <f t="shared" si="94"/>
        <v>Ben (1988– : #167)</v>
      </c>
      <c r="AZ193" s="361">
        <f>VLOOKUP(AX193,Lineage!$A$1:$C$200,2,FALSE)</f>
        <v>131</v>
      </c>
      <c r="BA193" s="362" t="str">
        <f t="shared" si="114"/>
        <v>Dominic (1953– : #131)</v>
      </c>
      <c r="BB193" s="368">
        <f>BiographyMarriageDetsCountries!A192</f>
        <v>190</v>
      </c>
      <c r="BC193" s="319"/>
      <c r="BD193" s="362"/>
      <c r="BF193" s="324"/>
      <c r="BG193" s="357">
        <f t="shared" si="104"/>
        <v>190</v>
      </c>
      <c r="BH193" s="289" t="str">
        <f t="shared" si="105"/>
        <v xml:space="preserve">Daisy Willow LOYD </v>
      </c>
      <c r="BI193" s="289" t="str">
        <f t="shared" si="106"/>
        <v>Daisy (2021– )</v>
      </c>
      <c r="BJ193" s="304" t="str">
        <f t="shared" si="107"/>
        <v>Female</v>
      </c>
      <c r="BK193" s="304">
        <f t="shared" si="108"/>
        <v>8</v>
      </c>
      <c r="BL193" s="289" t="str">
        <f t="shared" si="109"/>
        <v>Ben (1988– : #167)</v>
      </c>
      <c r="BM193" s="289" t="str">
        <f t="shared" si="110"/>
        <v>Holly Kristina TURNER (b. 10 Jan 1988, )</v>
      </c>
      <c r="BN193" s="367" t="str">
        <f t="shared" si="111"/>
        <v>12-Oct-2021</v>
      </c>
      <c r="BO193" s="367" t="str">
        <f t="shared" si="112"/>
        <v/>
      </c>
      <c r="BP193" s="365" t="str">
        <f t="shared" si="113"/>
        <v>Aged 0 on 01-Jul-2022.</v>
      </c>
    </row>
    <row r="194" spans="1:68" s="289" customFormat="1" ht="35" customHeight="1">
      <c r="A194" s="302">
        <v>191</v>
      </c>
      <c r="B194" s="302"/>
      <c r="H194" s="304"/>
      <c r="I194" s="306"/>
      <c r="J194" s="306"/>
      <c r="K194" s="307"/>
      <c r="L194" s="308"/>
      <c r="M194" s="309"/>
      <c r="N194" s="309"/>
      <c r="O194" s="348" t="e">
        <f t="shared" si="95"/>
        <v>#VALUE!</v>
      </c>
      <c r="P194" s="345"/>
      <c r="Q194" s="345"/>
      <c r="R194" s="344"/>
      <c r="S194" s="344"/>
      <c r="T194" s="344" t="str">
        <f t="shared" si="120"/>
        <v/>
      </c>
      <c r="U194" s="344" t="str">
        <f t="shared" si="121"/>
        <v/>
      </c>
      <c r="V194" s="344" t="str">
        <f t="shared" si="122"/>
        <v/>
      </c>
      <c r="W194" s="344" t="e">
        <f t="shared" si="97"/>
        <v>#N/A</v>
      </c>
      <c r="X194" s="344"/>
      <c r="Y194" s="344"/>
      <c r="Z194" s="314"/>
      <c r="AA194" s="314" t="str">
        <f t="shared" si="98"/>
        <v/>
      </c>
      <c r="AB194" s="314"/>
      <c r="AC194" s="314"/>
      <c r="AD194" s="314"/>
      <c r="AE194" s="305"/>
      <c r="AF194" s="303"/>
      <c r="AG194" s="303"/>
      <c r="AH194" s="303"/>
      <c r="AK194" s="319"/>
      <c r="AL194" s="319"/>
      <c r="AM194" s="319"/>
      <c r="AN194" s="344"/>
      <c r="AO194" s="344"/>
      <c r="AR194" s="350"/>
      <c r="AS194" s="353"/>
      <c r="AT194" s="353"/>
      <c r="AU194" s="319"/>
      <c r="AV194" s="355"/>
      <c r="AW194" s="319"/>
      <c r="AX194" s="360"/>
      <c r="AY194" s="355"/>
      <c r="AZ194" s="361"/>
      <c r="BA194" s="362"/>
      <c r="BB194" s="362"/>
      <c r="BC194" s="362"/>
      <c r="BD194" s="362"/>
      <c r="BG194" s="357">
        <f t="shared" si="104"/>
        <v>191</v>
      </c>
      <c r="BH194" s="289" t="str">
        <f t="shared" si="105"/>
        <v xml:space="preserve"> </v>
      </c>
      <c r="BI194" s="289">
        <f t="shared" si="106"/>
        <v>0</v>
      </c>
      <c r="BJ194" s="304">
        <f t="shared" si="107"/>
        <v>0</v>
      </c>
      <c r="BK194" s="304">
        <f t="shared" si="108"/>
        <v>0</v>
      </c>
      <c r="BL194" s="289">
        <f t="shared" si="109"/>
        <v>0</v>
      </c>
      <c r="BM194" s="289">
        <f t="shared" si="110"/>
        <v>0</v>
      </c>
      <c r="BN194" s="367">
        <f t="shared" si="111"/>
        <v>0</v>
      </c>
      <c r="BO194" s="367" t="str">
        <f t="shared" si="112"/>
        <v/>
      </c>
      <c r="BP194" s="365">
        <f t="shared" si="113"/>
        <v>0</v>
      </c>
    </row>
    <row r="195" spans="1:68">
      <c r="I195" s="332"/>
      <c r="J195" s="332"/>
      <c r="BG195" s="325"/>
    </row>
    <row r="196" spans="1:68">
      <c r="I196" s="332"/>
      <c r="J196" s="332"/>
      <c r="BG196" s="325"/>
    </row>
    <row r="197" spans="1:68">
      <c r="I197" s="332"/>
      <c r="J197" s="332"/>
      <c r="BG197" s="325"/>
    </row>
    <row r="198" spans="1:68">
      <c r="I198" s="332"/>
      <c r="J198" s="332"/>
      <c r="BG198" s="325"/>
    </row>
    <row r="199" spans="1:68">
      <c r="I199" s="332"/>
      <c r="J199" s="332"/>
      <c r="BG199" s="325"/>
    </row>
    <row r="200" spans="1:68">
      <c r="I200" s="332"/>
      <c r="J200" s="332"/>
      <c r="BG200" s="325"/>
    </row>
    <row r="201" spans="1:68">
      <c r="I201" s="332"/>
      <c r="BG201" s="325"/>
    </row>
    <row r="202" spans="1:68">
      <c r="I202" s="332"/>
      <c r="BG202" s="325"/>
    </row>
    <row r="203" spans="1:68">
      <c r="I203" s="332"/>
      <c r="BG203" s="325"/>
    </row>
    <row r="204" spans="1:68">
      <c r="I204" s="332"/>
      <c r="BG204" s="325"/>
    </row>
    <row r="205" spans="1:68">
      <c r="I205" s="332"/>
      <c r="BG205" s="325"/>
    </row>
    <row r="206" spans="1:68">
      <c r="I206" s="332"/>
      <c r="BG206" s="325"/>
    </row>
    <row r="207" spans="1:68">
      <c r="I207" s="332"/>
    </row>
    <row r="208" spans="1:68">
      <c r="I208" s="332"/>
    </row>
    <row r="209" spans="9:9">
      <c r="I209" s="332"/>
    </row>
    <row r="210" spans="9:9">
      <c r="I210" s="332"/>
    </row>
    <row r="211" spans="9:9">
      <c r="I211" s="332"/>
    </row>
    <row r="212" spans="9:9">
      <c r="I212" s="332"/>
    </row>
    <row r="213" spans="9:9">
      <c r="I213" s="332"/>
    </row>
    <row r="214" spans="9:9">
      <c r="I214" s="332"/>
    </row>
    <row r="215" spans="9:9">
      <c r="I215" s="332"/>
    </row>
    <row r="216" spans="9:9">
      <c r="I216" s="332"/>
    </row>
    <row r="217" spans="9:9">
      <c r="I217" s="332"/>
    </row>
    <row r="218" spans="9:9">
      <c r="I218" s="332"/>
    </row>
    <row r="219" spans="9:9">
      <c r="I219" s="332"/>
    </row>
    <row r="220" spans="9:9">
      <c r="I220" s="332"/>
    </row>
    <row r="221" spans="9:9">
      <c r="I221" s="332"/>
    </row>
    <row r="222" spans="9:9">
      <c r="I222" s="332"/>
    </row>
    <row r="223" spans="9:9">
      <c r="I223" s="332"/>
    </row>
    <row r="224" spans="9:9">
      <c r="I224" s="332"/>
    </row>
    <row r="225" spans="9:9">
      <c r="I225" s="332"/>
    </row>
    <row r="226" spans="9:9">
      <c r="I226" s="332"/>
    </row>
    <row r="227" spans="9:9">
      <c r="I227" s="332"/>
    </row>
    <row r="228" spans="9:9">
      <c r="I228" s="332"/>
    </row>
    <row r="229" spans="9:9">
      <c r="I229" s="332"/>
    </row>
    <row r="230" spans="9:9">
      <c r="I230" s="332"/>
    </row>
    <row r="231" spans="9:9">
      <c r="I231" s="332"/>
    </row>
    <row r="232" spans="9:9">
      <c r="I232" s="332"/>
    </row>
    <row r="233" spans="9:9">
      <c r="I233" s="332"/>
    </row>
    <row r="234" spans="9:9">
      <c r="I234" s="332"/>
    </row>
    <row r="235" spans="9:9">
      <c r="I235" s="332"/>
    </row>
    <row r="236" spans="9:9">
      <c r="I236" s="332"/>
    </row>
    <row r="237" spans="9:9">
      <c r="I237" s="332"/>
    </row>
    <row r="238" spans="9:9">
      <c r="I238" s="332"/>
    </row>
    <row r="239" spans="9:9">
      <c r="I239" s="332"/>
    </row>
    <row r="240" spans="9:9">
      <c r="I240" s="332"/>
    </row>
    <row r="241" spans="9:9">
      <c r="I241" s="332"/>
    </row>
    <row r="242" spans="9:9">
      <c r="I242" s="332"/>
    </row>
    <row r="243" spans="9:9">
      <c r="I243" s="332"/>
    </row>
    <row r="244" spans="9:9">
      <c r="I244" s="332"/>
    </row>
    <row r="245" spans="9:9">
      <c r="I245" s="332"/>
    </row>
    <row r="246" spans="9:9">
      <c r="I246" s="332"/>
    </row>
    <row r="247" spans="9:9">
      <c r="I247" s="332"/>
    </row>
    <row r="248" spans="9:9">
      <c r="I248" s="332"/>
    </row>
    <row r="249" spans="9:9">
      <c r="I249" s="332"/>
    </row>
    <row r="250" spans="9:9">
      <c r="I250" s="332"/>
    </row>
    <row r="251" spans="9:9">
      <c r="I251" s="332"/>
    </row>
    <row r="252" spans="9:9">
      <c r="I252" s="332"/>
    </row>
    <row r="253" spans="9:9">
      <c r="I253" s="332"/>
    </row>
    <row r="254" spans="9:9">
      <c r="I254" s="332"/>
    </row>
    <row r="255" spans="9:9">
      <c r="I255" s="332"/>
    </row>
    <row r="256" spans="9:9">
      <c r="I256" s="332"/>
    </row>
    <row r="257" spans="9:9">
      <c r="I257" s="332"/>
    </row>
    <row r="258" spans="9:9">
      <c r="I258" s="332"/>
    </row>
    <row r="259" spans="9:9">
      <c r="I259" s="332"/>
    </row>
    <row r="260" spans="9:9">
      <c r="I260" s="332"/>
    </row>
    <row r="261" spans="9:9">
      <c r="I261" s="332"/>
    </row>
    <row r="262" spans="9:9">
      <c r="I262" s="332"/>
    </row>
    <row r="263" spans="9:9">
      <c r="I263" s="332"/>
    </row>
    <row r="264" spans="9:9">
      <c r="I264" s="332"/>
    </row>
    <row r="265" spans="9:9">
      <c r="I265" s="332"/>
    </row>
    <row r="266" spans="9:9">
      <c r="I266" s="332"/>
    </row>
    <row r="267" spans="9:9">
      <c r="I267" s="332"/>
    </row>
    <row r="268" spans="9:9">
      <c r="I268" s="332"/>
    </row>
    <row r="269" spans="9:9">
      <c r="I269" s="332"/>
    </row>
    <row r="270" spans="9:9">
      <c r="I270" s="332"/>
    </row>
    <row r="271" spans="9:9">
      <c r="I271" s="332"/>
    </row>
    <row r="272" spans="9:9">
      <c r="I272" s="332"/>
    </row>
    <row r="273" spans="9:9">
      <c r="I273" s="332"/>
    </row>
    <row r="274" spans="9:9">
      <c r="I274" s="332"/>
    </row>
    <row r="275" spans="9:9">
      <c r="I275" s="332"/>
    </row>
    <row r="276" spans="9:9">
      <c r="I276" s="332"/>
    </row>
    <row r="277" spans="9:9">
      <c r="I277" s="332"/>
    </row>
    <row r="278" spans="9:9">
      <c r="I278" s="332"/>
    </row>
    <row r="279" spans="9:9">
      <c r="I279" s="332"/>
    </row>
    <row r="280" spans="9:9">
      <c r="I280" s="332"/>
    </row>
    <row r="281" spans="9:9">
      <c r="I281" s="332"/>
    </row>
    <row r="282" spans="9:9">
      <c r="I282" s="332"/>
    </row>
    <row r="283" spans="9:9">
      <c r="I283" s="332"/>
    </row>
    <row r="284" spans="9:9">
      <c r="I284" s="332"/>
    </row>
    <row r="285" spans="9:9">
      <c r="I285" s="332"/>
    </row>
    <row r="286" spans="9:9">
      <c r="I286" s="332"/>
    </row>
    <row r="287" spans="9:9">
      <c r="I287" s="332"/>
    </row>
    <row r="288" spans="9:9">
      <c r="I288" s="332"/>
    </row>
    <row r="289" spans="9:9">
      <c r="I289" s="332"/>
    </row>
    <row r="290" spans="9:9">
      <c r="I290" s="332"/>
    </row>
    <row r="291" spans="9:9">
      <c r="I291" s="332"/>
    </row>
    <row r="292" spans="9:9">
      <c r="I292" s="332"/>
    </row>
    <row r="293" spans="9:9">
      <c r="I293" s="332"/>
    </row>
    <row r="294" spans="9:9">
      <c r="I294" s="332"/>
    </row>
    <row r="295" spans="9:9">
      <c r="I295" s="332"/>
    </row>
    <row r="296" spans="9:9">
      <c r="I296" s="332"/>
    </row>
    <row r="297" spans="9:9">
      <c r="I297" s="332"/>
    </row>
    <row r="298" spans="9:9">
      <c r="I298" s="332"/>
    </row>
    <row r="299" spans="9:9">
      <c r="I299" s="332"/>
    </row>
    <row r="300" spans="9:9">
      <c r="I300" s="332"/>
    </row>
    <row r="301" spans="9:9">
      <c r="I301" s="332"/>
    </row>
    <row r="302" spans="9:9">
      <c r="I302" s="332"/>
    </row>
    <row r="303" spans="9:9">
      <c r="I303" s="332"/>
    </row>
    <row r="304" spans="9:9">
      <c r="I304" s="332"/>
    </row>
    <row r="305" spans="9:9">
      <c r="I305" s="332"/>
    </row>
    <row r="306" spans="9:9">
      <c r="I306" s="332"/>
    </row>
    <row r="307" spans="9:9">
      <c r="I307" s="332"/>
    </row>
    <row r="308" spans="9:9">
      <c r="I308" s="332"/>
    </row>
    <row r="309" spans="9:9">
      <c r="I309" s="332"/>
    </row>
    <row r="310" spans="9:9">
      <c r="I310" s="332"/>
    </row>
    <row r="311" spans="9:9">
      <c r="I311" s="332"/>
    </row>
    <row r="312" spans="9:9">
      <c r="I312" s="332"/>
    </row>
    <row r="313" spans="9:9">
      <c r="I313" s="332"/>
    </row>
    <row r="314" spans="9:9">
      <c r="I314" s="332"/>
    </row>
    <row r="315" spans="9:9">
      <c r="I315" s="332"/>
    </row>
    <row r="316" spans="9:9">
      <c r="I316" s="332"/>
    </row>
    <row r="317" spans="9:9">
      <c r="I317" s="332"/>
    </row>
    <row r="318" spans="9:9">
      <c r="I318" s="332"/>
    </row>
    <row r="319" spans="9:9">
      <c r="I319" s="332"/>
    </row>
    <row r="320" spans="9:9">
      <c r="I320" s="332"/>
    </row>
    <row r="321" spans="9:9">
      <c r="I321" s="332"/>
    </row>
    <row r="322" spans="9:9">
      <c r="I322" s="332"/>
    </row>
    <row r="323" spans="9:9">
      <c r="I323" s="332"/>
    </row>
    <row r="324" spans="9:9">
      <c r="I324" s="332"/>
    </row>
    <row r="325" spans="9:9">
      <c r="I325" s="332"/>
    </row>
    <row r="326" spans="9:9">
      <c r="I326" s="332"/>
    </row>
    <row r="327" spans="9:9">
      <c r="I327" s="332"/>
    </row>
    <row r="328" spans="9:9">
      <c r="I328" s="332"/>
    </row>
    <row r="329" spans="9:9">
      <c r="I329" s="332"/>
    </row>
    <row r="330" spans="9:9">
      <c r="I330" s="332"/>
    </row>
    <row r="331" spans="9:9">
      <c r="I331" s="332"/>
    </row>
    <row r="332" spans="9:9">
      <c r="I332" s="332"/>
    </row>
    <row r="333" spans="9:9">
      <c r="I333" s="332"/>
    </row>
    <row r="334" spans="9:9">
      <c r="I334" s="332"/>
    </row>
    <row r="335" spans="9:9">
      <c r="I335" s="332"/>
    </row>
    <row r="336" spans="9:9">
      <c r="I336" s="332"/>
    </row>
    <row r="337" spans="9:9">
      <c r="I337" s="332"/>
    </row>
    <row r="338" spans="9:9">
      <c r="I338" s="332"/>
    </row>
    <row r="339" spans="9:9">
      <c r="I339" s="332"/>
    </row>
    <row r="340" spans="9:9">
      <c r="I340" s="332"/>
    </row>
    <row r="341" spans="9:9">
      <c r="I341" s="332"/>
    </row>
    <row r="342" spans="9:9">
      <c r="I342" s="332"/>
    </row>
    <row r="343" spans="9:9">
      <c r="I343" s="332"/>
    </row>
    <row r="344" spans="9:9">
      <c r="I344" s="332"/>
    </row>
    <row r="345" spans="9:9">
      <c r="I345" s="332"/>
    </row>
    <row r="346" spans="9:9">
      <c r="I346" s="332"/>
    </row>
    <row r="347" spans="9:9">
      <c r="I347" s="332"/>
    </row>
    <row r="348" spans="9:9">
      <c r="I348" s="332"/>
    </row>
    <row r="349" spans="9:9">
      <c r="I349" s="332"/>
    </row>
    <row r="350" spans="9:9">
      <c r="I350" s="332"/>
    </row>
    <row r="351" spans="9:9">
      <c r="I351" s="332"/>
    </row>
    <row r="352" spans="9:9">
      <c r="I352" s="332"/>
    </row>
    <row r="353" spans="9:9">
      <c r="I353" s="332"/>
    </row>
    <row r="354" spans="9:9">
      <c r="I354" s="332"/>
    </row>
    <row r="355" spans="9:9">
      <c r="I355" s="332"/>
    </row>
    <row r="356" spans="9:9">
      <c r="I356" s="332"/>
    </row>
    <row r="357" spans="9:9">
      <c r="I357" s="332"/>
    </row>
    <row r="358" spans="9:9">
      <c r="I358" s="332"/>
    </row>
    <row r="359" spans="9:9">
      <c r="I359" s="332"/>
    </row>
    <row r="360" spans="9:9">
      <c r="I360" s="332"/>
    </row>
    <row r="361" spans="9:9">
      <c r="I361" s="332"/>
    </row>
    <row r="362" spans="9:9">
      <c r="I362" s="332"/>
    </row>
    <row r="363" spans="9:9">
      <c r="I363" s="332"/>
    </row>
    <row r="364" spans="9:9">
      <c r="I364" s="332"/>
    </row>
    <row r="365" spans="9:9">
      <c r="I365" s="332"/>
    </row>
    <row r="366" spans="9:9">
      <c r="I366" s="332"/>
    </row>
    <row r="367" spans="9:9">
      <c r="I367" s="332"/>
    </row>
    <row r="368" spans="9:9">
      <c r="I368" s="332"/>
    </row>
    <row r="369" spans="9:9">
      <c r="I369" s="332"/>
    </row>
    <row r="370" spans="9:9">
      <c r="I370" s="332"/>
    </row>
    <row r="371" spans="9:9">
      <c r="I371" s="332"/>
    </row>
    <row r="372" spans="9:9">
      <c r="I372" s="332"/>
    </row>
    <row r="373" spans="9:9">
      <c r="I373" s="332"/>
    </row>
    <row r="374" spans="9:9">
      <c r="I374" s="332"/>
    </row>
    <row r="375" spans="9:9">
      <c r="I375" s="332"/>
    </row>
    <row r="376" spans="9:9">
      <c r="I376" s="332"/>
    </row>
    <row r="377" spans="9:9">
      <c r="I377" s="332"/>
    </row>
    <row r="378" spans="9:9">
      <c r="I378" s="332"/>
    </row>
    <row r="379" spans="9:9">
      <c r="I379" s="332"/>
    </row>
    <row r="380" spans="9:9">
      <c r="I380" s="332"/>
    </row>
    <row r="381" spans="9:9">
      <c r="I381" s="332"/>
    </row>
    <row r="382" spans="9:9">
      <c r="I382" s="332"/>
    </row>
    <row r="383" spans="9:9">
      <c r="I383" s="332"/>
    </row>
    <row r="384" spans="9:9">
      <c r="I384" s="332"/>
    </row>
  </sheetData>
  <autoFilter ref="A1:AN194" xr:uid="{3FF4E1A0-23ED-354E-B0BA-EE9119529DA7}"/>
  <phoneticPr fontId="10"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5BAD-E3A7-254D-9099-CBC2BD4155EF}">
  <dimension ref="A1:J194"/>
  <sheetViews>
    <sheetView workbookViewId="0">
      <pane xSplit="1" ySplit="1" topLeftCell="C5" activePane="bottomRight" state="frozen"/>
      <selection pane="topRight" activeCell="B1" sqref="B1"/>
      <selection pane="bottomLeft" activeCell="A2" sqref="A2"/>
      <selection pane="bottomRight" activeCell="C5" sqref="C5"/>
    </sheetView>
  </sheetViews>
  <sheetFormatPr baseColWidth="10" defaultRowHeight="16"/>
  <cols>
    <col min="1" max="1" width="10.83203125" style="172"/>
    <col min="2" max="2" width="10.83203125" style="293"/>
    <col min="3" max="3" width="159.83203125" style="211" customWidth="1"/>
    <col min="4" max="4" width="46" style="172" customWidth="1"/>
    <col min="5" max="5" width="54.83203125" style="172" customWidth="1"/>
    <col min="6" max="6" width="88.83203125" style="172" customWidth="1"/>
    <col min="7" max="7" width="59.83203125" style="172" customWidth="1"/>
    <col min="8" max="8" width="83.1640625" style="172" customWidth="1"/>
    <col min="9" max="9" width="40" style="172" customWidth="1"/>
    <col min="10" max="16384" width="10.83203125" style="172"/>
  </cols>
  <sheetData>
    <row r="1" spans="1:10" ht="17">
      <c r="A1" s="292" t="s">
        <v>780</v>
      </c>
      <c r="B1" s="292" t="s">
        <v>966</v>
      </c>
      <c r="C1" s="239" t="s">
        <v>3302</v>
      </c>
      <c r="D1" s="240" t="s">
        <v>3303</v>
      </c>
      <c r="E1" s="240" t="s">
        <v>2794</v>
      </c>
      <c r="F1" s="240" t="s">
        <v>1381</v>
      </c>
    </row>
    <row r="2" spans="1:10">
      <c r="A2" s="291">
        <v>0</v>
      </c>
      <c r="B2" s="290" t="s">
        <v>2815</v>
      </c>
      <c r="C2" s="241"/>
      <c r="D2" s="242" t="s">
        <v>3440</v>
      </c>
      <c r="E2" s="242">
        <v>0</v>
      </c>
      <c r="F2" s="252">
        <v>0</v>
      </c>
      <c r="G2" s="205"/>
      <c r="H2" s="206"/>
      <c r="I2" s="206"/>
      <c r="J2" s="207"/>
    </row>
    <row r="3" spans="1:10" s="173" customFormat="1" ht="81">
      <c r="A3" s="291">
        <v>1</v>
      </c>
      <c r="B3" s="290" t="s">
        <v>2815</v>
      </c>
      <c r="C3" s="243" t="s">
        <v>4250</v>
      </c>
      <c r="D3" s="244" t="s">
        <v>3440</v>
      </c>
      <c r="E3" s="242" t="s">
        <v>3775</v>
      </c>
      <c r="F3" s="252" t="s">
        <v>2795</v>
      </c>
      <c r="G3" s="208"/>
      <c r="H3" s="209"/>
      <c r="I3" s="209"/>
    </row>
    <row r="4" spans="1:10" s="173" customFormat="1" ht="34">
      <c r="A4" s="291">
        <v>2</v>
      </c>
      <c r="B4" s="290" t="s">
        <v>2814</v>
      </c>
      <c r="C4" s="243" t="s">
        <v>4180</v>
      </c>
      <c r="D4" s="244" t="s">
        <v>3440</v>
      </c>
      <c r="E4" s="242" t="s">
        <v>1947</v>
      </c>
      <c r="F4" s="252" t="s">
        <v>2796</v>
      </c>
      <c r="G4" s="208"/>
      <c r="H4" s="209"/>
      <c r="I4" s="209"/>
    </row>
    <row r="5" spans="1:10" s="173" customFormat="1" ht="336">
      <c r="A5" s="291">
        <v>3</v>
      </c>
      <c r="B5" s="290" t="s">
        <v>2815</v>
      </c>
      <c r="C5" s="243" t="s">
        <v>4251</v>
      </c>
      <c r="D5" s="244" t="s">
        <v>3441</v>
      </c>
      <c r="E5" s="242" t="s">
        <v>3937</v>
      </c>
      <c r="F5" s="252" t="s">
        <v>3938</v>
      </c>
      <c r="G5" s="208"/>
      <c r="H5" s="209"/>
      <c r="I5" s="209"/>
    </row>
    <row r="6" spans="1:10" s="173" customFormat="1" ht="130">
      <c r="A6" s="291">
        <v>4</v>
      </c>
      <c r="B6" s="290" t="s">
        <v>2815</v>
      </c>
      <c r="C6" s="243" t="s">
        <v>4181</v>
      </c>
      <c r="D6" s="244" t="s">
        <v>3441</v>
      </c>
      <c r="E6" s="242" t="s">
        <v>3861</v>
      </c>
      <c r="F6" s="252" t="s">
        <v>2797</v>
      </c>
      <c r="G6" s="208"/>
      <c r="H6" s="209"/>
      <c r="I6" s="209"/>
    </row>
    <row r="7" spans="1:10" s="173" customFormat="1" ht="34">
      <c r="A7" s="291">
        <v>5</v>
      </c>
      <c r="B7" s="290" t="s">
        <v>2814</v>
      </c>
      <c r="C7" s="243" t="s">
        <v>4289</v>
      </c>
      <c r="D7" s="244" t="s">
        <v>3440</v>
      </c>
      <c r="E7" s="242" t="s">
        <v>1797</v>
      </c>
      <c r="F7" s="252" t="s">
        <v>2793</v>
      </c>
      <c r="G7" s="208"/>
      <c r="H7" s="209"/>
      <c r="I7" s="209"/>
    </row>
    <row r="8" spans="1:10" s="173" customFormat="1" ht="85">
      <c r="A8" s="291">
        <v>6</v>
      </c>
      <c r="B8" s="290" t="s">
        <v>2815</v>
      </c>
      <c r="C8" s="243" t="s">
        <v>4182</v>
      </c>
      <c r="D8" s="244" t="s">
        <v>3441</v>
      </c>
      <c r="E8" s="242" t="s">
        <v>1797</v>
      </c>
      <c r="F8" s="252" t="s">
        <v>2793</v>
      </c>
      <c r="G8" s="208"/>
      <c r="H8" s="209"/>
      <c r="I8" s="209"/>
    </row>
    <row r="9" spans="1:10" s="173" customFormat="1" ht="34">
      <c r="A9" s="291">
        <v>7</v>
      </c>
      <c r="B9" s="290" t="s">
        <v>2814</v>
      </c>
      <c r="C9" s="243" t="s">
        <v>4252</v>
      </c>
      <c r="D9" s="244" t="s">
        <v>3440</v>
      </c>
      <c r="E9" s="242" t="s">
        <v>1797</v>
      </c>
      <c r="F9" s="252" t="s">
        <v>2793</v>
      </c>
      <c r="G9" s="208"/>
      <c r="H9" s="209"/>
      <c r="I9" s="209"/>
    </row>
    <row r="10" spans="1:10" s="173" customFormat="1" ht="409.6">
      <c r="A10" s="291">
        <v>8</v>
      </c>
      <c r="B10" s="290" t="s">
        <v>2815</v>
      </c>
      <c r="C10" s="243" t="s">
        <v>4253</v>
      </c>
      <c r="D10" s="244" t="s">
        <v>3441</v>
      </c>
      <c r="E10" s="242" t="s">
        <v>2798</v>
      </c>
      <c r="F10" s="252" t="s">
        <v>3862</v>
      </c>
      <c r="G10" s="208"/>
      <c r="H10" s="209"/>
      <c r="I10" s="209"/>
    </row>
    <row r="11" spans="1:10" s="173" customFormat="1" ht="332">
      <c r="A11" s="291">
        <v>9</v>
      </c>
      <c r="B11" s="290" t="s">
        <v>2815</v>
      </c>
      <c r="C11" s="243" t="s">
        <v>4261</v>
      </c>
      <c r="D11" s="244" t="s">
        <v>3156</v>
      </c>
      <c r="E11" s="242" t="s">
        <v>2799</v>
      </c>
      <c r="F11" s="252" t="s">
        <v>3805</v>
      </c>
      <c r="G11" s="208"/>
      <c r="H11" s="209"/>
      <c r="I11" s="209"/>
    </row>
    <row r="12" spans="1:10" s="173" customFormat="1" ht="409.6">
      <c r="A12" s="291">
        <v>10</v>
      </c>
      <c r="B12" s="290" t="s">
        <v>2815</v>
      </c>
      <c r="C12" s="243" t="s">
        <v>4290</v>
      </c>
      <c r="D12" s="244" t="s">
        <v>3806</v>
      </c>
      <c r="E12" s="242" t="s">
        <v>1797</v>
      </c>
      <c r="F12" s="252" t="s">
        <v>2793</v>
      </c>
      <c r="G12" s="208"/>
      <c r="H12" s="209"/>
      <c r="I12" s="209"/>
    </row>
    <row r="13" spans="1:10" s="173" customFormat="1" ht="34">
      <c r="A13" s="291">
        <v>11</v>
      </c>
      <c r="B13" s="290" t="s">
        <v>2814</v>
      </c>
      <c r="C13" s="243" t="s">
        <v>4185</v>
      </c>
      <c r="D13" s="244" t="s">
        <v>3156</v>
      </c>
      <c r="E13" s="242" t="s">
        <v>2800</v>
      </c>
      <c r="F13" s="252" t="s">
        <v>2801</v>
      </c>
      <c r="G13" s="208"/>
      <c r="H13" s="209"/>
      <c r="I13" s="209"/>
    </row>
    <row r="14" spans="1:10" s="173" customFormat="1" ht="17">
      <c r="A14" s="291">
        <v>12</v>
      </c>
      <c r="B14" s="290" t="s">
        <v>2814</v>
      </c>
      <c r="C14" s="243" t="s">
        <v>4291</v>
      </c>
      <c r="D14" s="244" t="s">
        <v>3156</v>
      </c>
      <c r="E14" s="242" t="s">
        <v>1797</v>
      </c>
      <c r="F14" s="252" t="s">
        <v>2793</v>
      </c>
      <c r="G14" s="208"/>
      <c r="H14" s="209"/>
      <c r="I14" s="209"/>
    </row>
    <row r="15" spans="1:10" s="173" customFormat="1" ht="102">
      <c r="A15" s="291">
        <v>13</v>
      </c>
      <c r="B15" s="290" t="s">
        <v>2815</v>
      </c>
      <c r="C15" s="243" t="s">
        <v>4292</v>
      </c>
      <c r="D15" s="244" t="s">
        <v>3156</v>
      </c>
      <c r="E15" s="242" t="s">
        <v>2802</v>
      </c>
      <c r="F15" s="252" t="s">
        <v>2804</v>
      </c>
      <c r="G15" s="208"/>
      <c r="H15" s="209"/>
      <c r="I15" s="209"/>
    </row>
    <row r="16" spans="1:10" s="173" customFormat="1" ht="245">
      <c r="A16" s="291">
        <v>14</v>
      </c>
      <c r="B16" s="290" t="s">
        <v>2815</v>
      </c>
      <c r="C16" s="243" t="s">
        <v>4186</v>
      </c>
      <c r="D16" s="244" t="s">
        <v>3806</v>
      </c>
      <c r="E16" s="242" t="s">
        <v>2803</v>
      </c>
      <c r="F16" s="252" t="s">
        <v>3863</v>
      </c>
      <c r="G16" s="208"/>
      <c r="H16" s="209"/>
      <c r="I16" s="209"/>
    </row>
    <row r="17" spans="1:9" s="173" customFormat="1" ht="17">
      <c r="A17" s="291">
        <v>15</v>
      </c>
      <c r="B17" s="290" t="s">
        <v>2814</v>
      </c>
      <c r="C17" s="243" t="s">
        <v>4293</v>
      </c>
      <c r="D17" s="244" t="s">
        <v>3156</v>
      </c>
      <c r="E17" s="242" t="s">
        <v>2791</v>
      </c>
      <c r="F17" s="252" t="s">
        <v>3792</v>
      </c>
      <c r="G17" s="208"/>
      <c r="H17" s="209"/>
      <c r="I17" s="209"/>
    </row>
    <row r="18" spans="1:9" s="173" customFormat="1" ht="34">
      <c r="A18" s="291">
        <v>16</v>
      </c>
      <c r="B18" s="290" t="s">
        <v>2814</v>
      </c>
      <c r="C18" s="243" t="s">
        <v>4294</v>
      </c>
      <c r="D18" s="244" t="s">
        <v>3156</v>
      </c>
      <c r="E18" s="242" t="s">
        <v>2805</v>
      </c>
      <c r="F18" s="252" t="s">
        <v>3765</v>
      </c>
      <c r="G18" s="208"/>
      <c r="H18" s="209"/>
      <c r="I18" s="209"/>
    </row>
    <row r="19" spans="1:9" s="173" customFormat="1" ht="34">
      <c r="A19" s="291">
        <v>17</v>
      </c>
      <c r="B19" s="290" t="s">
        <v>2815</v>
      </c>
      <c r="C19" s="243" t="s">
        <v>4110</v>
      </c>
      <c r="D19" s="244" t="s">
        <v>3156</v>
      </c>
      <c r="E19" s="242" t="s">
        <v>2791</v>
      </c>
      <c r="F19" s="252" t="s">
        <v>3792</v>
      </c>
      <c r="G19" s="208"/>
      <c r="H19" s="209"/>
      <c r="I19" s="209"/>
    </row>
    <row r="20" spans="1:9" s="173" customFormat="1" ht="17">
      <c r="A20" s="291">
        <v>18</v>
      </c>
      <c r="B20" s="290" t="s">
        <v>2814</v>
      </c>
      <c r="C20" s="243" t="s">
        <v>4187</v>
      </c>
      <c r="D20" s="244" t="s">
        <v>3156</v>
      </c>
      <c r="E20" s="242" t="s">
        <v>2806</v>
      </c>
      <c r="F20" s="252" t="s">
        <v>2807</v>
      </c>
      <c r="G20" s="208"/>
      <c r="H20" s="209"/>
      <c r="I20" s="209"/>
    </row>
    <row r="21" spans="1:9" s="173" customFormat="1" ht="68">
      <c r="A21" s="291">
        <v>19</v>
      </c>
      <c r="B21" s="290" t="s">
        <v>2814</v>
      </c>
      <c r="C21" s="243" t="s">
        <v>4189</v>
      </c>
      <c r="D21" s="244" t="s">
        <v>3156</v>
      </c>
      <c r="E21" s="242" t="s">
        <v>2808</v>
      </c>
      <c r="F21" s="245" t="s">
        <v>4188</v>
      </c>
      <c r="G21" s="208"/>
      <c r="H21" s="209"/>
      <c r="I21" s="209"/>
    </row>
    <row r="22" spans="1:9" s="173" customFormat="1" ht="34">
      <c r="A22" s="291">
        <v>20</v>
      </c>
      <c r="B22" s="290" t="s">
        <v>2815</v>
      </c>
      <c r="C22" s="243" t="s">
        <v>4242</v>
      </c>
      <c r="D22" s="244" t="s">
        <v>3156</v>
      </c>
      <c r="E22" s="242" t="s">
        <v>2791</v>
      </c>
      <c r="F22" s="252" t="s">
        <v>3792</v>
      </c>
      <c r="G22" s="208"/>
      <c r="H22" s="209"/>
      <c r="I22" s="209"/>
    </row>
    <row r="23" spans="1:9" s="173" customFormat="1" ht="51">
      <c r="A23" s="291">
        <v>21</v>
      </c>
      <c r="B23" s="290" t="s">
        <v>2815</v>
      </c>
      <c r="C23" s="243" t="s">
        <v>4295</v>
      </c>
      <c r="D23" s="244" t="s">
        <v>3156</v>
      </c>
      <c r="E23" s="242" t="s">
        <v>1797</v>
      </c>
      <c r="F23" s="252" t="s">
        <v>3792</v>
      </c>
      <c r="G23" s="208"/>
      <c r="H23" s="209"/>
      <c r="I23" s="209"/>
    </row>
    <row r="24" spans="1:9" s="173" customFormat="1" ht="299">
      <c r="A24" s="291">
        <v>22</v>
      </c>
      <c r="B24" s="290" t="s">
        <v>2815</v>
      </c>
      <c r="C24" s="243" t="s">
        <v>4262</v>
      </c>
      <c r="D24" s="244" t="s">
        <v>3156</v>
      </c>
      <c r="E24" s="242" t="s">
        <v>2809</v>
      </c>
      <c r="F24" s="252" t="s">
        <v>2810</v>
      </c>
      <c r="G24" s="208"/>
      <c r="H24" s="209"/>
      <c r="I24" s="209"/>
    </row>
    <row r="25" spans="1:9" s="173" customFormat="1" ht="51">
      <c r="A25" s="291">
        <v>23</v>
      </c>
      <c r="B25" s="290" t="s">
        <v>2815</v>
      </c>
      <c r="C25" s="243" t="s">
        <v>4190</v>
      </c>
      <c r="D25" s="244" t="s">
        <v>3156</v>
      </c>
      <c r="E25" s="242" t="s">
        <v>2821</v>
      </c>
      <c r="F25" s="252" t="s">
        <v>2822</v>
      </c>
      <c r="G25" s="208"/>
      <c r="H25" s="209"/>
      <c r="I25" s="209"/>
    </row>
    <row r="26" spans="1:9" s="173" customFormat="1" ht="51">
      <c r="A26" s="291">
        <v>24</v>
      </c>
      <c r="B26" s="290" t="s">
        <v>2814</v>
      </c>
      <c r="C26" s="243" t="s">
        <v>4296</v>
      </c>
      <c r="D26" s="244" t="s">
        <v>3156</v>
      </c>
      <c r="E26" s="242" t="s">
        <v>2823</v>
      </c>
      <c r="F26" s="252" t="s">
        <v>3807</v>
      </c>
      <c r="G26" s="208"/>
      <c r="H26" s="209"/>
      <c r="I26" s="209"/>
    </row>
    <row r="27" spans="1:9" s="173" customFormat="1" ht="17">
      <c r="A27" s="291">
        <v>25</v>
      </c>
      <c r="B27" s="290" t="s">
        <v>2815</v>
      </c>
      <c r="C27" s="243" t="s">
        <v>4243</v>
      </c>
      <c r="D27" s="244" t="s">
        <v>3156</v>
      </c>
      <c r="E27" s="242" t="s">
        <v>2791</v>
      </c>
      <c r="F27" s="252" t="s">
        <v>3792</v>
      </c>
      <c r="G27" s="208"/>
      <c r="H27" s="209"/>
      <c r="I27" s="209"/>
    </row>
    <row r="28" spans="1:9" s="173" customFormat="1" ht="204">
      <c r="A28" s="291">
        <v>26</v>
      </c>
      <c r="B28" s="290" t="s">
        <v>2814</v>
      </c>
      <c r="C28" s="243" t="s">
        <v>4297</v>
      </c>
      <c r="D28" s="244" t="s">
        <v>3156</v>
      </c>
      <c r="E28" s="242" t="s">
        <v>3864</v>
      </c>
      <c r="F28" s="252" t="s">
        <v>3865</v>
      </c>
      <c r="G28" s="208"/>
      <c r="H28" s="209"/>
      <c r="I28" s="209"/>
    </row>
    <row r="29" spans="1:9" s="173" customFormat="1" ht="17">
      <c r="A29" s="291">
        <v>27</v>
      </c>
      <c r="B29" s="290" t="s">
        <v>2815</v>
      </c>
      <c r="C29" s="243" t="s">
        <v>4263</v>
      </c>
      <c r="D29" s="244" t="s">
        <v>3156</v>
      </c>
      <c r="E29" s="242" t="s">
        <v>2791</v>
      </c>
      <c r="F29" s="252" t="s">
        <v>3792</v>
      </c>
      <c r="G29" s="208"/>
      <c r="H29" s="209"/>
      <c r="I29" s="209"/>
    </row>
    <row r="30" spans="1:9" s="173" customFormat="1" ht="51">
      <c r="A30" s="291">
        <v>28</v>
      </c>
      <c r="B30" s="290" t="s">
        <v>2815</v>
      </c>
      <c r="C30" s="243" t="s">
        <v>4111</v>
      </c>
      <c r="D30" s="244" t="s">
        <v>3156</v>
      </c>
      <c r="E30" s="242" t="s">
        <v>3866</v>
      </c>
      <c r="F30" s="252" t="s">
        <v>2824</v>
      </c>
      <c r="G30" s="208"/>
      <c r="H30" s="209"/>
      <c r="I30" s="209"/>
    </row>
    <row r="31" spans="1:9" s="173" customFormat="1" ht="221">
      <c r="A31" s="291">
        <v>29</v>
      </c>
      <c r="B31" s="290" t="s">
        <v>2815</v>
      </c>
      <c r="C31" s="243" t="s">
        <v>4254</v>
      </c>
      <c r="D31" s="244" t="s">
        <v>3808</v>
      </c>
      <c r="E31" s="242" t="s">
        <v>2825</v>
      </c>
      <c r="F31" s="252" t="s">
        <v>2826</v>
      </c>
      <c r="G31" s="208"/>
      <c r="H31" s="209"/>
      <c r="I31" s="209"/>
    </row>
    <row r="32" spans="1:9" s="173" customFormat="1" ht="238">
      <c r="A32" s="291">
        <v>30</v>
      </c>
      <c r="B32" s="290" t="s">
        <v>2815</v>
      </c>
      <c r="C32" s="243" t="s">
        <v>4255</v>
      </c>
      <c r="D32" s="244" t="s">
        <v>3809</v>
      </c>
      <c r="E32" s="242" t="s">
        <v>2827</v>
      </c>
      <c r="F32" s="252" t="s">
        <v>2828</v>
      </c>
      <c r="G32" s="208"/>
      <c r="H32" s="209"/>
      <c r="I32" s="209"/>
    </row>
    <row r="33" spans="1:9" s="173" customFormat="1" ht="34">
      <c r="A33" s="291">
        <v>31</v>
      </c>
      <c r="B33" s="290" t="s">
        <v>2814</v>
      </c>
      <c r="C33" s="243" t="s">
        <v>4191</v>
      </c>
      <c r="D33" s="244" t="s">
        <v>3156</v>
      </c>
      <c r="E33" s="242" t="s">
        <v>1797</v>
      </c>
      <c r="F33" s="252" t="s">
        <v>3792</v>
      </c>
      <c r="G33" s="208"/>
      <c r="H33" s="209"/>
      <c r="I33" s="209"/>
    </row>
    <row r="34" spans="1:9" s="173" customFormat="1" ht="51">
      <c r="A34" s="291">
        <v>32</v>
      </c>
      <c r="B34" s="290" t="s">
        <v>2815</v>
      </c>
      <c r="C34" s="243" t="s">
        <v>4112</v>
      </c>
      <c r="D34" s="244" t="s">
        <v>3810</v>
      </c>
      <c r="E34" s="242" t="s">
        <v>2829</v>
      </c>
      <c r="F34" s="252" t="s">
        <v>2830</v>
      </c>
      <c r="G34" s="208"/>
      <c r="H34" s="209"/>
      <c r="I34" s="209"/>
    </row>
    <row r="35" spans="1:9" s="173" customFormat="1" ht="34">
      <c r="A35" s="291">
        <v>33</v>
      </c>
      <c r="B35" s="290" t="s">
        <v>2815</v>
      </c>
      <c r="C35" s="243" t="s">
        <v>4298</v>
      </c>
      <c r="D35" s="244" t="s">
        <v>3810</v>
      </c>
      <c r="E35" s="242" t="s">
        <v>1797</v>
      </c>
      <c r="F35" s="252" t="s">
        <v>3792</v>
      </c>
      <c r="G35" s="208"/>
      <c r="H35" s="209"/>
      <c r="I35" s="209"/>
    </row>
    <row r="36" spans="1:9" s="173" customFormat="1" ht="34">
      <c r="A36" s="291">
        <v>34</v>
      </c>
      <c r="B36" s="290" t="s">
        <v>2815</v>
      </c>
      <c r="C36" s="243" t="s">
        <v>4113</v>
      </c>
      <c r="D36" s="244" t="s">
        <v>3156</v>
      </c>
      <c r="E36" s="242" t="s">
        <v>2831</v>
      </c>
      <c r="F36" s="252" t="s">
        <v>2832</v>
      </c>
      <c r="G36" s="208"/>
      <c r="H36" s="209"/>
      <c r="I36" s="209"/>
    </row>
    <row r="37" spans="1:9" s="173" customFormat="1" ht="85">
      <c r="A37" s="291">
        <v>35</v>
      </c>
      <c r="B37" s="290" t="s">
        <v>2815</v>
      </c>
      <c r="C37" s="243" t="s">
        <v>4141</v>
      </c>
      <c r="D37" s="244" t="s">
        <v>3811</v>
      </c>
      <c r="E37" s="242" t="s">
        <v>3867</v>
      </c>
      <c r="F37" s="252" t="s">
        <v>3868</v>
      </c>
      <c r="G37" s="208"/>
      <c r="H37" s="209"/>
      <c r="I37" s="209"/>
    </row>
    <row r="38" spans="1:9" s="173" customFormat="1" ht="85">
      <c r="A38" s="291">
        <v>36</v>
      </c>
      <c r="B38" s="290" t="s">
        <v>2814</v>
      </c>
      <c r="C38" s="243" t="s">
        <v>4256</v>
      </c>
      <c r="D38" s="244" t="s">
        <v>3156</v>
      </c>
      <c r="E38" s="242" t="s">
        <v>2833</v>
      </c>
      <c r="F38" s="252" t="s">
        <v>2834</v>
      </c>
      <c r="G38" s="208"/>
      <c r="H38" s="209"/>
      <c r="I38" s="209"/>
    </row>
    <row r="39" spans="1:9" s="173" customFormat="1" ht="51">
      <c r="A39" s="291">
        <v>37</v>
      </c>
      <c r="B39" s="290" t="s">
        <v>2814</v>
      </c>
      <c r="C39" s="243" t="s">
        <v>4299</v>
      </c>
      <c r="D39" s="244" t="s">
        <v>3156</v>
      </c>
      <c r="E39" s="242" t="s">
        <v>1797</v>
      </c>
      <c r="F39" s="252" t="s">
        <v>3792</v>
      </c>
      <c r="G39" s="208"/>
      <c r="H39" s="209"/>
      <c r="I39" s="209"/>
    </row>
    <row r="40" spans="1:9" s="173" customFormat="1" ht="34">
      <c r="A40" s="291">
        <v>38</v>
      </c>
      <c r="B40" s="290" t="s">
        <v>2814</v>
      </c>
      <c r="C40" s="243" t="s">
        <v>4300</v>
      </c>
      <c r="D40" s="244" t="s">
        <v>3156</v>
      </c>
      <c r="E40" s="242" t="s">
        <v>1797</v>
      </c>
      <c r="F40" s="252" t="s">
        <v>3792</v>
      </c>
      <c r="G40" s="208"/>
      <c r="H40" s="209"/>
      <c r="I40" s="209"/>
    </row>
    <row r="41" spans="1:9" s="173" customFormat="1" ht="34">
      <c r="A41" s="291">
        <v>39</v>
      </c>
      <c r="B41" s="290" t="s">
        <v>2814</v>
      </c>
      <c r="C41" s="243" t="s">
        <v>4301</v>
      </c>
      <c r="D41" s="244" t="s">
        <v>3156</v>
      </c>
      <c r="E41" s="242" t="s">
        <v>1797</v>
      </c>
      <c r="F41" s="252" t="s">
        <v>3792</v>
      </c>
      <c r="G41" s="208"/>
      <c r="H41" s="209"/>
      <c r="I41" s="209"/>
    </row>
    <row r="42" spans="1:9" s="173" customFormat="1" ht="34">
      <c r="A42" s="291">
        <v>40</v>
      </c>
      <c r="B42" s="290" t="s">
        <v>2814</v>
      </c>
      <c r="C42" s="243" t="s">
        <v>4302</v>
      </c>
      <c r="D42" s="244" t="s">
        <v>3156</v>
      </c>
      <c r="E42" s="242" t="s">
        <v>1797</v>
      </c>
      <c r="F42" s="252" t="s">
        <v>3792</v>
      </c>
      <c r="G42" s="208"/>
      <c r="H42" s="209"/>
      <c r="I42" s="209"/>
    </row>
    <row r="43" spans="1:9" s="173" customFormat="1" ht="85">
      <c r="A43" s="291">
        <v>41</v>
      </c>
      <c r="B43" s="290" t="s">
        <v>2815</v>
      </c>
      <c r="C43" s="243" t="s">
        <v>4257</v>
      </c>
      <c r="D43" s="244" t="s">
        <v>3156</v>
      </c>
      <c r="E43" s="242" t="s">
        <v>2835</v>
      </c>
      <c r="F43" s="252" t="s">
        <v>3869</v>
      </c>
      <c r="G43" s="208"/>
      <c r="H43" s="209"/>
      <c r="I43" s="209"/>
    </row>
    <row r="44" spans="1:9" s="173" customFormat="1" ht="17">
      <c r="A44" s="291">
        <v>42</v>
      </c>
      <c r="B44" s="290" t="s">
        <v>2814</v>
      </c>
      <c r="C44" s="243" t="s">
        <v>4114</v>
      </c>
      <c r="D44" s="244" t="s">
        <v>3156</v>
      </c>
      <c r="E44" s="242" t="s">
        <v>2836</v>
      </c>
      <c r="F44" s="252" t="s">
        <v>2837</v>
      </c>
      <c r="G44" s="208"/>
      <c r="H44" s="209"/>
      <c r="I44" s="209"/>
    </row>
    <row r="45" spans="1:9" s="173" customFormat="1" ht="51">
      <c r="A45" s="291">
        <v>43</v>
      </c>
      <c r="B45" s="290" t="s">
        <v>2814</v>
      </c>
      <c r="C45" s="243" t="s">
        <v>4192</v>
      </c>
      <c r="D45" s="244" t="s">
        <v>3156</v>
      </c>
      <c r="E45" s="242" t="s">
        <v>1797</v>
      </c>
      <c r="F45" s="252" t="s">
        <v>3792</v>
      </c>
      <c r="G45" s="208"/>
      <c r="H45" s="209"/>
      <c r="I45" s="209"/>
    </row>
    <row r="46" spans="1:9" s="173" customFormat="1" ht="119">
      <c r="A46" s="291">
        <v>44</v>
      </c>
      <c r="B46" s="290" t="s">
        <v>2815</v>
      </c>
      <c r="C46" s="243" t="s">
        <v>4193</v>
      </c>
      <c r="D46" s="244" t="s">
        <v>3156</v>
      </c>
      <c r="E46" s="242" t="s">
        <v>3939</v>
      </c>
      <c r="F46" s="252" t="s">
        <v>3870</v>
      </c>
      <c r="G46" s="208"/>
      <c r="H46" s="209"/>
      <c r="I46" s="209"/>
    </row>
    <row r="47" spans="1:9" s="173" customFormat="1" ht="119">
      <c r="A47" s="291">
        <v>45</v>
      </c>
      <c r="B47" s="290" t="s">
        <v>2815</v>
      </c>
      <c r="C47" s="243" t="s">
        <v>4194</v>
      </c>
      <c r="D47" s="244" t="s">
        <v>3156</v>
      </c>
      <c r="E47" s="242" t="s">
        <v>2838</v>
      </c>
      <c r="F47" s="252" t="s">
        <v>2839</v>
      </c>
      <c r="G47" s="208"/>
      <c r="H47" s="209"/>
      <c r="I47" s="209"/>
    </row>
    <row r="48" spans="1:9" s="173" customFormat="1" ht="34">
      <c r="A48" s="291">
        <v>46</v>
      </c>
      <c r="B48" s="290" t="s">
        <v>2815</v>
      </c>
      <c r="C48" s="243" t="s">
        <v>4115</v>
      </c>
      <c r="D48" s="244" t="s">
        <v>3156</v>
      </c>
      <c r="E48" s="242" t="s">
        <v>2840</v>
      </c>
      <c r="F48" s="252" t="s">
        <v>3871</v>
      </c>
      <c r="G48" s="208"/>
      <c r="H48" s="209"/>
      <c r="I48" s="209"/>
    </row>
    <row r="49" spans="1:9" s="173" customFormat="1" ht="34">
      <c r="A49" s="291">
        <v>47</v>
      </c>
      <c r="B49" s="290" t="s">
        <v>2814</v>
      </c>
      <c r="C49" s="243" t="s">
        <v>4195</v>
      </c>
      <c r="D49" s="244" t="s">
        <v>3156</v>
      </c>
      <c r="E49" s="242" t="s">
        <v>2841</v>
      </c>
      <c r="F49" s="252" t="s">
        <v>2842</v>
      </c>
      <c r="G49" s="208"/>
      <c r="H49" s="209"/>
      <c r="I49" s="209"/>
    </row>
    <row r="50" spans="1:9" s="173" customFormat="1" ht="34">
      <c r="A50" s="291">
        <v>48</v>
      </c>
      <c r="B50" s="290" t="s">
        <v>2814</v>
      </c>
      <c r="C50" s="243" t="s">
        <v>4116</v>
      </c>
      <c r="D50" s="244" t="s">
        <v>3156</v>
      </c>
      <c r="E50" s="242" t="s">
        <v>2843</v>
      </c>
      <c r="F50" s="252" t="s">
        <v>3872</v>
      </c>
      <c r="G50" s="208"/>
      <c r="H50" s="209"/>
      <c r="I50" s="209"/>
    </row>
    <row r="51" spans="1:9" s="173" customFormat="1" ht="17">
      <c r="A51" s="291">
        <v>49</v>
      </c>
      <c r="B51" s="290" t="s">
        <v>2814</v>
      </c>
      <c r="C51" s="243" t="s">
        <v>4244</v>
      </c>
      <c r="D51" s="244" t="s">
        <v>3156</v>
      </c>
      <c r="E51" s="242" t="s">
        <v>2791</v>
      </c>
      <c r="F51" s="252" t="s">
        <v>3792</v>
      </c>
      <c r="G51" s="208"/>
      <c r="H51" s="209"/>
      <c r="I51" s="209"/>
    </row>
    <row r="52" spans="1:9" s="173" customFormat="1" ht="51">
      <c r="A52" s="291">
        <v>50</v>
      </c>
      <c r="B52" s="290" t="s">
        <v>2815</v>
      </c>
      <c r="C52" s="243" t="s">
        <v>4303</v>
      </c>
      <c r="D52" s="244" t="s">
        <v>3825</v>
      </c>
      <c r="E52" s="242" t="s">
        <v>3873</v>
      </c>
      <c r="F52" s="252" t="s">
        <v>3874</v>
      </c>
      <c r="G52" s="208"/>
      <c r="H52" s="209"/>
      <c r="I52" s="209"/>
    </row>
    <row r="53" spans="1:9" s="173" customFormat="1" ht="102">
      <c r="A53" s="291">
        <v>51</v>
      </c>
      <c r="B53" s="290" t="s">
        <v>2815</v>
      </c>
      <c r="C53" s="243" t="s">
        <v>4304</v>
      </c>
      <c r="D53" s="244" t="s">
        <v>3156</v>
      </c>
      <c r="E53" s="242" t="s">
        <v>1797</v>
      </c>
      <c r="F53" s="252" t="s">
        <v>3792</v>
      </c>
      <c r="G53" s="208"/>
      <c r="H53" s="209"/>
      <c r="I53" s="209"/>
    </row>
    <row r="54" spans="1:9" s="173" customFormat="1" ht="102">
      <c r="A54" s="291">
        <v>52</v>
      </c>
      <c r="B54" s="290" t="s">
        <v>2815</v>
      </c>
      <c r="C54" s="243" t="s">
        <v>4196</v>
      </c>
      <c r="D54" s="244" t="s">
        <v>3156</v>
      </c>
      <c r="E54" s="242" t="s">
        <v>2844</v>
      </c>
      <c r="F54" s="252" t="s">
        <v>3875</v>
      </c>
      <c r="G54" s="208"/>
      <c r="H54" s="209"/>
      <c r="I54" s="209"/>
    </row>
    <row r="55" spans="1:9" s="173" customFormat="1" ht="51">
      <c r="A55" s="291">
        <v>53</v>
      </c>
      <c r="B55" s="290" t="s">
        <v>2815</v>
      </c>
      <c r="C55" s="243" t="s">
        <v>4117</v>
      </c>
      <c r="D55" s="244" t="s">
        <v>3156</v>
      </c>
      <c r="E55" s="242" t="s">
        <v>2845</v>
      </c>
      <c r="F55" s="252" t="s">
        <v>2846</v>
      </c>
      <c r="G55" s="208"/>
      <c r="H55" s="209"/>
      <c r="I55" s="209"/>
    </row>
    <row r="56" spans="1:9" s="173" customFormat="1" ht="51">
      <c r="A56" s="291">
        <v>54</v>
      </c>
      <c r="B56" s="290" t="s">
        <v>2815</v>
      </c>
      <c r="C56" s="243" t="s">
        <v>4197</v>
      </c>
      <c r="D56" s="244" t="s">
        <v>3156</v>
      </c>
      <c r="E56" s="242" t="s">
        <v>2847</v>
      </c>
      <c r="F56" s="252" t="s">
        <v>2848</v>
      </c>
      <c r="G56" s="208"/>
      <c r="H56" s="209"/>
      <c r="I56" s="209"/>
    </row>
    <row r="57" spans="1:9" s="173" customFormat="1" ht="85">
      <c r="A57" s="291">
        <v>55</v>
      </c>
      <c r="B57" s="290" t="s">
        <v>2815</v>
      </c>
      <c r="C57" s="243" t="s">
        <v>4258</v>
      </c>
      <c r="D57" s="244" t="s">
        <v>3826</v>
      </c>
      <c r="E57" s="242" t="s">
        <v>3876</v>
      </c>
      <c r="F57" s="252" t="s">
        <v>3877</v>
      </c>
      <c r="G57" s="208"/>
      <c r="H57" s="209"/>
      <c r="I57" s="209"/>
    </row>
    <row r="58" spans="1:9" s="173" customFormat="1" ht="68">
      <c r="A58" s="291">
        <v>56</v>
      </c>
      <c r="B58" s="290" t="s">
        <v>2815</v>
      </c>
      <c r="C58" s="243" t="s">
        <v>4099</v>
      </c>
      <c r="D58" s="244" t="s">
        <v>3811</v>
      </c>
      <c r="E58" s="242" t="s">
        <v>2849</v>
      </c>
      <c r="F58" s="252" t="s">
        <v>2850</v>
      </c>
      <c r="G58" s="208"/>
      <c r="H58" s="209"/>
      <c r="I58" s="209"/>
    </row>
    <row r="59" spans="1:9" s="173" customFormat="1" ht="17">
      <c r="A59" s="291">
        <v>57</v>
      </c>
      <c r="B59" s="290" t="s">
        <v>2815</v>
      </c>
      <c r="C59" s="243" t="s">
        <v>4305</v>
      </c>
      <c r="D59" s="244" t="s">
        <v>3156</v>
      </c>
      <c r="E59" s="242" t="s">
        <v>1797</v>
      </c>
      <c r="F59" s="252" t="s">
        <v>3792</v>
      </c>
      <c r="G59" s="208"/>
      <c r="H59" s="209"/>
      <c r="I59" s="209"/>
    </row>
    <row r="60" spans="1:9" s="173" customFormat="1" ht="102">
      <c r="A60" s="291">
        <v>58</v>
      </c>
      <c r="B60" s="290" t="s">
        <v>2815</v>
      </c>
      <c r="C60" s="243" t="s">
        <v>4306</v>
      </c>
      <c r="D60" s="244" t="s">
        <v>3827</v>
      </c>
      <c r="E60" s="242" t="s">
        <v>1797</v>
      </c>
      <c r="F60" s="252" t="s">
        <v>3792</v>
      </c>
      <c r="G60" s="208"/>
      <c r="H60" s="209"/>
      <c r="I60" s="209"/>
    </row>
    <row r="61" spans="1:9" s="173" customFormat="1" ht="17">
      <c r="A61" s="291">
        <v>59</v>
      </c>
      <c r="B61" s="290" t="s">
        <v>2814</v>
      </c>
      <c r="C61" s="243" t="s">
        <v>4307</v>
      </c>
      <c r="D61" s="244" t="s">
        <v>3442</v>
      </c>
      <c r="E61" s="242" t="s">
        <v>1797</v>
      </c>
      <c r="F61" s="252" t="s">
        <v>3792</v>
      </c>
      <c r="G61" s="208"/>
      <c r="H61" s="209"/>
      <c r="I61" s="209"/>
    </row>
    <row r="62" spans="1:9" s="173" customFormat="1" ht="51">
      <c r="A62" s="291">
        <v>60</v>
      </c>
      <c r="B62" s="290" t="s">
        <v>2814</v>
      </c>
      <c r="C62" s="243" t="s">
        <v>4308</v>
      </c>
      <c r="D62" s="244" t="s">
        <v>3156</v>
      </c>
      <c r="E62" s="242" t="s">
        <v>2851</v>
      </c>
      <c r="F62" s="252" t="s">
        <v>3878</v>
      </c>
      <c r="G62" s="208"/>
      <c r="H62" s="209"/>
      <c r="I62" s="209"/>
    </row>
    <row r="63" spans="1:9" s="173" customFormat="1" ht="102">
      <c r="A63" s="291">
        <v>61</v>
      </c>
      <c r="B63" s="290" t="s">
        <v>2815</v>
      </c>
      <c r="C63" s="243" t="s">
        <v>4198</v>
      </c>
      <c r="D63" s="244" t="s">
        <v>3828</v>
      </c>
      <c r="E63" s="242" t="s">
        <v>1797</v>
      </c>
      <c r="F63" s="252" t="s">
        <v>3792</v>
      </c>
      <c r="G63" s="208"/>
      <c r="H63" s="209"/>
      <c r="I63" s="209"/>
    </row>
    <row r="64" spans="1:9" s="173" customFormat="1" ht="136">
      <c r="A64" s="291">
        <v>62</v>
      </c>
      <c r="B64" s="290" t="s">
        <v>2815</v>
      </c>
      <c r="C64" s="243" t="s">
        <v>4199</v>
      </c>
      <c r="D64" s="244" t="s">
        <v>3828</v>
      </c>
      <c r="E64" s="242" t="s">
        <v>2852</v>
      </c>
      <c r="F64" s="252" t="s">
        <v>4075</v>
      </c>
      <c r="G64" s="208"/>
      <c r="H64" s="209"/>
      <c r="I64" s="209"/>
    </row>
    <row r="65" spans="1:9" s="173" customFormat="1" ht="34">
      <c r="A65" s="291">
        <v>63</v>
      </c>
      <c r="B65" s="290" t="s">
        <v>2814</v>
      </c>
      <c r="C65" s="243" t="s">
        <v>4200</v>
      </c>
      <c r="D65" s="244" t="s">
        <v>3829</v>
      </c>
      <c r="E65" s="242" t="s">
        <v>2853</v>
      </c>
      <c r="F65" s="252" t="s">
        <v>2854</v>
      </c>
      <c r="G65" s="208"/>
      <c r="H65" s="209"/>
      <c r="I65" s="209"/>
    </row>
    <row r="66" spans="1:9" s="173" customFormat="1" ht="17">
      <c r="A66" s="291">
        <v>64</v>
      </c>
      <c r="B66" s="290" t="s">
        <v>2814</v>
      </c>
      <c r="C66" s="243" t="s">
        <v>4309</v>
      </c>
      <c r="D66" s="244" t="s">
        <v>3156</v>
      </c>
      <c r="E66" s="242" t="s">
        <v>2261</v>
      </c>
      <c r="F66" s="252" t="s">
        <v>2855</v>
      </c>
      <c r="G66" s="208"/>
      <c r="H66" s="209"/>
      <c r="I66" s="209"/>
    </row>
    <row r="67" spans="1:9" s="173" customFormat="1" ht="51">
      <c r="A67" s="291">
        <v>65</v>
      </c>
      <c r="B67" s="290" t="s">
        <v>2814</v>
      </c>
      <c r="C67" s="243" t="s">
        <v>4201</v>
      </c>
      <c r="D67" s="244" t="s">
        <v>3156</v>
      </c>
      <c r="E67" s="242" t="s">
        <v>2856</v>
      </c>
      <c r="F67" s="252" t="s">
        <v>2857</v>
      </c>
      <c r="G67" s="208"/>
      <c r="H67" s="209"/>
      <c r="I67" s="209"/>
    </row>
    <row r="68" spans="1:9" s="173" customFormat="1" ht="17">
      <c r="A68" s="291">
        <v>66</v>
      </c>
      <c r="B68" s="290" t="s">
        <v>2815</v>
      </c>
      <c r="C68" s="243" t="s">
        <v>4118</v>
      </c>
      <c r="D68" s="244" t="s">
        <v>3156</v>
      </c>
      <c r="E68" s="242" t="s">
        <v>3122</v>
      </c>
      <c r="F68" s="252" t="s">
        <v>3879</v>
      </c>
      <c r="G68" s="208"/>
      <c r="H68" s="209"/>
      <c r="I68" s="209"/>
    </row>
    <row r="69" spans="1:9" s="173" customFormat="1" ht="170">
      <c r="A69" s="291">
        <v>67</v>
      </c>
      <c r="B69" s="290" t="s">
        <v>2815</v>
      </c>
      <c r="C69" s="243" t="s">
        <v>4310</v>
      </c>
      <c r="D69" s="244" t="s">
        <v>3830</v>
      </c>
      <c r="E69" s="242" t="s">
        <v>1797</v>
      </c>
      <c r="F69" s="252" t="s">
        <v>3792</v>
      </c>
      <c r="G69" s="208"/>
      <c r="H69" s="209"/>
      <c r="I69" s="209"/>
    </row>
    <row r="70" spans="1:9" s="173" customFormat="1" ht="68">
      <c r="A70" s="291">
        <v>68</v>
      </c>
      <c r="B70" s="290" t="s">
        <v>2815</v>
      </c>
      <c r="C70" s="243" t="s">
        <v>4119</v>
      </c>
      <c r="D70" s="244" t="s">
        <v>3156</v>
      </c>
      <c r="E70" s="242" t="s">
        <v>2858</v>
      </c>
      <c r="F70" s="252" t="s">
        <v>3880</v>
      </c>
      <c r="G70" s="208"/>
      <c r="H70" s="209"/>
      <c r="I70" s="209"/>
    </row>
    <row r="71" spans="1:9" s="173" customFormat="1" ht="153">
      <c r="A71" s="291">
        <v>69</v>
      </c>
      <c r="B71" s="290" t="s">
        <v>2815</v>
      </c>
      <c r="C71" s="243" t="s">
        <v>4259</v>
      </c>
      <c r="D71" s="244" t="s">
        <v>3156</v>
      </c>
      <c r="E71" s="242" t="s">
        <v>1797</v>
      </c>
      <c r="F71" s="252" t="s">
        <v>3792</v>
      </c>
      <c r="G71" s="208"/>
      <c r="H71" s="209"/>
      <c r="I71" s="209"/>
    </row>
    <row r="72" spans="1:9" s="173" customFormat="1" ht="51">
      <c r="A72" s="291">
        <v>70</v>
      </c>
      <c r="B72" s="290" t="s">
        <v>2814</v>
      </c>
      <c r="C72" s="243" t="s">
        <v>4245</v>
      </c>
      <c r="D72" s="244" t="s">
        <v>3156</v>
      </c>
      <c r="E72" s="242" t="s">
        <v>2859</v>
      </c>
      <c r="F72" s="252" t="s">
        <v>2860</v>
      </c>
      <c r="G72" s="208"/>
      <c r="H72" s="209"/>
      <c r="I72" s="209"/>
    </row>
    <row r="73" spans="1:9" s="173" customFormat="1" ht="51">
      <c r="A73" s="291">
        <v>71</v>
      </c>
      <c r="B73" s="290" t="s">
        <v>2815</v>
      </c>
      <c r="C73" s="243" t="s">
        <v>4120</v>
      </c>
      <c r="D73" s="244" t="s">
        <v>3831</v>
      </c>
      <c r="E73" s="242" t="s">
        <v>3940</v>
      </c>
      <c r="F73" s="252" t="s">
        <v>3881</v>
      </c>
      <c r="G73" s="208"/>
      <c r="H73" s="209"/>
      <c r="I73" s="209"/>
    </row>
    <row r="74" spans="1:9" s="173" customFormat="1" ht="102">
      <c r="A74" s="291">
        <v>72</v>
      </c>
      <c r="B74" s="290" t="s">
        <v>2815</v>
      </c>
      <c r="C74" s="243" t="s">
        <v>4121</v>
      </c>
      <c r="D74" s="244" t="s">
        <v>3826</v>
      </c>
      <c r="E74" s="242" t="s">
        <v>2862</v>
      </c>
      <c r="F74" s="252" t="s">
        <v>2861</v>
      </c>
      <c r="G74" s="208"/>
      <c r="H74" s="209"/>
      <c r="I74" s="209"/>
    </row>
    <row r="75" spans="1:9" s="173" customFormat="1" ht="85">
      <c r="A75" s="291">
        <v>73</v>
      </c>
      <c r="B75" s="290" t="s">
        <v>2815</v>
      </c>
      <c r="C75" s="243" t="s">
        <v>4311</v>
      </c>
      <c r="D75" s="244" t="s">
        <v>3832</v>
      </c>
      <c r="E75" s="242" t="s">
        <v>3934</v>
      </c>
      <c r="F75" s="252" t="s">
        <v>3882</v>
      </c>
      <c r="G75" s="208"/>
      <c r="H75" s="209"/>
      <c r="I75" s="209"/>
    </row>
    <row r="76" spans="1:9" s="173" customFormat="1" ht="17">
      <c r="A76" s="291">
        <v>74</v>
      </c>
      <c r="B76" s="290" t="s">
        <v>2814</v>
      </c>
      <c r="C76" s="246" t="s">
        <v>4246</v>
      </c>
      <c r="D76" s="244" t="s">
        <v>3156</v>
      </c>
      <c r="E76" s="242" t="s">
        <v>2791</v>
      </c>
      <c r="F76" s="252" t="s">
        <v>3792</v>
      </c>
      <c r="G76" s="208"/>
      <c r="H76" s="209"/>
      <c r="I76" s="209"/>
    </row>
    <row r="77" spans="1:9" s="173" customFormat="1" ht="34">
      <c r="A77" s="291">
        <v>75</v>
      </c>
      <c r="B77" s="290" t="s">
        <v>2815</v>
      </c>
      <c r="C77" s="243" t="s">
        <v>4312</v>
      </c>
      <c r="D77" s="244" t="s">
        <v>3828</v>
      </c>
      <c r="E77" s="242" t="s">
        <v>1797</v>
      </c>
      <c r="F77" s="252" t="s">
        <v>3792</v>
      </c>
      <c r="G77" s="208"/>
      <c r="H77" s="209"/>
      <c r="I77" s="209"/>
    </row>
    <row r="78" spans="1:9" s="173" customFormat="1" ht="51">
      <c r="A78" s="291">
        <v>76</v>
      </c>
      <c r="B78" s="290" t="s">
        <v>2815</v>
      </c>
      <c r="C78" s="243" t="s">
        <v>4122</v>
      </c>
      <c r="D78" s="244" t="s">
        <v>3832</v>
      </c>
      <c r="E78" s="242" t="s">
        <v>2863</v>
      </c>
      <c r="F78" s="252" t="s">
        <v>2864</v>
      </c>
      <c r="G78" s="208"/>
      <c r="H78" s="209"/>
      <c r="I78" s="209"/>
    </row>
    <row r="79" spans="1:9" s="173" customFormat="1" ht="68">
      <c r="A79" s="291">
        <v>77</v>
      </c>
      <c r="B79" s="290" t="s">
        <v>2815</v>
      </c>
      <c r="C79" s="243" t="s">
        <v>4123</v>
      </c>
      <c r="D79" s="244" t="s">
        <v>3828</v>
      </c>
      <c r="E79" s="242" t="s">
        <v>2865</v>
      </c>
      <c r="F79" s="252" t="s">
        <v>2866</v>
      </c>
      <c r="G79" s="208"/>
      <c r="H79" s="209"/>
      <c r="I79" s="209"/>
    </row>
    <row r="80" spans="1:9" s="173" customFormat="1" ht="119">
      <c r="A80" s="291">
        <v>78</v>
      </c>
      <c r="B80" s="290" t="s">
        <v>2815</v>
      </c>
      <c r="C80" s="243" t="s">
        <v>4282</v>
      </c>
      <c r="D80" s="244" t="s">
        <v>3156</v>
      </c>
      <c r="E80" s="242" t="s">
        <v>3935</v>
      </c>
      <c r="F80" s="252" t="s">
        <v>3883</v>
      </c>
      <c r="G80" s="208"/>
      <c r="H80" s="209"/>
      <c r="I80" s="209"/>
    </row>
    <row r="81" spans="1:9" s="173" customFormat="1" ht="168">
      <c r="A81" s="291">
        <v>79</v>
      </c>
      <c r="B81" s="290" t="s">
        <v>2815</v>
      </c>
      <c r="C81" s="243" t="s">
        <v>4276</v>
      </c>
      <c r="D81" s="244" t="s">
        <v>3828</v>
      </c>
      <c r="E81" s="242" t="s">
        <v>1797</v>
      </c>
      <c r="F81" s="252" t="s">
        <v>3792</v>
      </c>
      <c r="G81" s="208"/>
      <c r="H81" s="209"/>
      <c r="I81" s="209"/>
    </row>
    <row r="82" spans="1:9" s="173" customFormat="1" ht="68">
      <c r="A82" s="291">
        <v>80</v>
      </c>
      <c r="B82" s="290" t="s">
        <v>2815</v>
      </c>
      <c r="C82" s="243" t="s">
        <v>4124</v>
      </c>
      <c r="D82" s="244" t="s">
        <v>3833</v>
      </c>
      <c r="E82" s="242" t="s">
        <v>3579</v>
      </c>
      <c r="F82" s="252" t="s">
        <v>2867</v>
      </c>
      <c r="G82" s="208"/>
      <c r="H82" s="209"/>
      <c r="I82" s="209"/>
    </row>
    <row r="83" spans="1:9" s="173" customFormat="1" ht="34">
      <c r="A83" s="291">
        <v>81</v>
      </c>
      <c r="B83" s="290" t="s">
        <v>2815</v>
      </c>
      <c r="C83" s="243" t="s">
        <v>4313</v>
      </c>
      <c r="D83" s="244" t="s">
        <v>3156</v>
      </c>
      <c r="E83" s="242" t="s">
        <v>1797</v>
      </c>
      <c r="F83" s="252" t="s">
        <v>3792</v>
      </c>
      <c r="G83" s="208"/>
      <c r="H83" s="209"/>
      <c r="I83" s="209"/>
    </row>
    <row r="84" spans="1:9" s="173" customFormat="1" ht="68">
      <c r="A84" s="291">
        <v>82</v>
      </c>
      <c r="B84" s="290" t="s">
        <v>2815</v>
      </c>
      <c r="C84" s="243" t="s">
        <v>4314</v>
      </c>
      <c r="D84" s="244" t="s">
        <v>3156</v>
      </c>
      <c r="E84" s="242" t="s">
        <v>1797</v>
      </c>
      <c r="F84" s="252" t="s">
        <v>3792</v>
      </c>
      <c r="G84" s="208"/>
      <c r="H84" s="209"/>
      <c r="I84" s="209"/>
    </row>
    <row r="85" spans="1:9" s="173" customFormat="1" ht="85">
      <c r="A85" s="291">
        <v>83</v>
      </c>
      <c r="B85" s="290" t="s">
        <v>2814</v>
      </c>
      <c r="C85" s="243" t="s">
        <v>4315</v>
      </c>
      <c r="D85" s="244" t="s">
        <v>3156</v>
      </c>
      <c r="E85" s="242" t="s">
        <v>1797</v>
      </c>
      <c r="F85" s="252" t="s">
        <v>3792</v>
      </c>
      <c r="G85" s="208"/>
      <c r="H85" s="209"/>
      <c r="I85" s="209"/>
    </row>
    <row r="86" spans="1:9" s="173" customFormat="1" ht="17">
      <c r="A86" s="291">
        <v>84</v>
      </c>
      <c r="B86" s="290" t="s">
        <v>2815</v>
      </c>
      <c r="C86" s="243" t="s">
        <v>4316</v>
      </c>
      <c r="D86" s="244" t="s">
        <v>3156</v>
      </c>
      <c r="E86" s="242" t="s">
        <v>1797</v>
      </c>
      <c r="F86" s="252" t="s">
        <v>3792</v>
      </c>
      <c r="G86" s="208"/>
      <c r="H86" s="209"/>
      <c r="I86" s="209"/>
    </row>
    <row r="87" spans="1:9" s="173" customFormat="1" ht="51">
      <c r="A87" s="291">
        <v>85</v>
      </c>
      <c r="B87" s="290" t="s">
        <v>2814</v>
      </c>
      <c r="C87" s="243" t="s">
        <v>4202</v>
      </c>
      <c r="D87" s="244" t="s">
        <v>3156</v>
      </c>
      <c r="E87" s="242" t="s">
        <v>3884</v>
      </c>
      <c r="F87" s="252" t="s">
        <v>3885</v>
      </c>
      <c r="G87" s="208"/>
      <c r="H87" s="209"/>
      <c r="I87" s="209"/>
    </row>
    <row r="88" spans="1:9" s="173" customFormat="1" ht="51">
      <c r="A88" s="291">
        <v>86</v>
      </c>
      <c r="B88" s="290" t="s">
        <v>2815</v>
      </c>
      <c r="C88" s="243" t="s">
        <v>4125</v>
      </c>
      <c r="D88" s="244" t="s">
        <v>3834</v>
      </c>
      <c r="E88" s="242" t="s">
        <v>3047</v>
      </c>
      <c r="F88" s="252" t="s">
        <v>2868</v>
      </c>
      <c r="G88" s="208"/>
      <c r="H88" s="209"/>
      <c r="I88" s="209"/>
    </row>
    <row r="89" spans="1:9" s="173" customFormat="1" ht="34">
      <c r="A89" s="291">
        <v>87</v>
      </c>
      <c r="B89" s="290" t="s">
        <v>2815</v>
      </c>
      <c r="C89" s="243" t="s">
        <v>4317</v>
      </c>
      <c r="D89" s="244" t="s">
        <v>3835</v>
      </c>
      <c r="E89" s="242" t="s">
        <v>1797</v>
      </c>
      <c r="F89" s="252" t="s">
        <v>3792</v>
      </c>
      <c r="G89" s="208"/>
      <c r="H89" s="209"/>
      <c r="I89" s="209"/>
    </row>
    <row r="90" spans="1:9" s="173" customFormat="1" ht="85">
      <c r="A90" s="291">
        <v>88</v>
      </c>
      <c r="B90" s="290" t="s">
        <v>2814</v>
      </c>
      <c r="C90" s="243" t="s">
        <v>4203</v>
      </c>
      <c r="D90" s="244" t="s">
        <v>3829</v>
      </c>
      <c r="E90" s="242" t="s">
        <v>2869</v>
      </c>
      <c r="F90" s="252" t="s">
        <v>2870</v>
      </c>
      <c r="G90" s="208"/>
      <c r="H90" s="209"/>
      <c r="I90" s="209"/>
    </row>
    <row r="91" spans="1:9" s="173" customFormat="1" ht="85">
      <c r="A91" s="291">
        <v>89</v>
      </c>
      <c r="B91" s="290" t="s">
        <v>2815</v>
      </c>
      <c r="C91" s="243" t="s">
        <v>4126</v>
      </c>
      <c r="D91" s="244" t="s">
        <v>4073</v>
      </c>
      <c r="E91" s="242" t="s">
        <v>3936</v>
      </c>
      <c r="F91" s="252" t="s">
        <v>4353</v>
      </c>
      <c r="G91" s="208"/>
      <c r="H91" s="209"/>
      <c r="I91" s="209"/>
    </row>
    <row r="92" spans="1:9" s="173" customFormat="1" ht="102">
      <c r="A92" s="291">
        <v>90</v>
      </c>
      <c r="B92" s="290" t="s">
        <v>2814</v>
      </c>
      <c r="C92" s="243" t="s">
        <v>4248</v>
      </c>
      <c r="D92" s="244" t="s">
        <v>3156</v>
      </c>
      <c r="E92" s="242" t="s">
        <v>4357</v>
      </c>
      <c r="F92" s="252" t="s">
        <v>3886</v>
      </c>
      <c r="G92" s="208"/>
      <c r="H92" s="209"/>
      <c r="I92" s="209"/>
    </row>
    <row r="93" spans="1:9" s="173" customFormat="1" ht="17">
      <c r="A93" s="291">
        <v>91</v>
      </c>
      <c r="B93" s="290" t="s">
        <v>2815</v>
      </c>
      <c r="C93" s="243" t="s">
        <v>4127</v>
      </c>
      <c r="D93" s="244" t="s">
        <v>3156</v>
      </c>
      <c r="E93" s="242" t="s">
        <v>3793</v>
      </c>
      <c r="F93" s="252" t="s">
        <v>3792</v>
      </c>
      <c r="G93" s="208"/>
      <c r="H93" s="209"/>
      <c r="I93" s="209"/>
    </row>
    <row r="94" spans="1:9" s="173" customFormat="1" ht="34">
      <c r="A94" s="291">
        <v>92</v>
      </c>
      <c r="B94" s="290" t="s">
        <v>2814</v>
      </c>
      <c r="C94" s="243" t="s">
        <v>4204</v>
      </c>
      <c r="D94" s="244" t="s">
        <v>3627</v>
      </c>
      <c r="E94" s="242" t="s">
        <v>2871</v>
      </c>
      <c r="F94" s="252" t="s">
        <v>2872</v>
      </c>
      <c r="G94" s="208"/>
      <c r="H94" s="209"/>
      <c r="I94" s="209"/>
    </row>
    <row r="95" spans="1:9" s="173" customFormat="1" ht="119">
      <c r="A95" s="291">
        <v>93</v>
      </c>
      <c r="B95" s="290" t="s">
        <v>2814</v>
      </c>
      <c r="C95" s="243" t="s">
        <v>4318</v>
      </c>
      <c r="D95" s="244" t="s">
        <v>3439</v>
      </c>
      <c r="E95" s="242" t="s">
        <v>1797</v>
      </c>
      <c r="F95" s="252" t="s">
        <v>3792</v>
      </c>
      <c r="G95" s="208"/>
      <c r="H95" s="209"/>
      <c r="I95" s="209"/>
    </row>
    <row r="96" spans="1:9" s="173" customFormat="1" ht="238">
      <c r="A96" s="291">
        <v>94</v>
      </c>
      <c r="B96" s="290" t="s">
        <v>2815</v>
      </c>
      <c r="C96" s="243" t="s">
        <v>4206</v>
      </c>
      <c r="D96" s="244" t="s">
        <v>3443</v>
      </c>
      <c r="E96" s="242" t="s">
        <v>2873</v>
      </c>
      <c r="F96" s="252" t="s">
        <v>3887</v>
      </c>
      <c r="G96" s="208"/>
      <c r="H96" s="209"/>
      <c r="I96" s="209"/>
    </row>
    <row r="97" spans="1:9" s="173" customFormat="1" ht="34">
      <c r="A97" s="291">
        <v>95</v>
      </c>
      <c r="B97" s="290" t="s">
        <v>2814</v>
      </c>
      <c r="C97" s="243" t="s">
        <v>4207</v>
      </c>
      <c r="D97" s="244" t="s">
        <v>3156</v>
      </c>
      <c r="E97" s="242" t="s">
        <v>2874</v>
      </c>
      <c r="F97" s="252" t="s">
        <v>3888</v>
      </c>
      <c r="G97" s="208"/>
      <c r="H97" s="209"/>
      <c r="I97" s="209"/>
    </row>
    <row r="98" spans="1:9" s="173" customFormat="1" ht="51">
      <c r="A98" s="291">
        <v>96</v>
      </c>
      <c r="B98" s="290" t="s">
        <v>2815</v>
      </c>
      <c r="C98" s="243" t="s">
        <v>4128</v>
      </c>
      <c r="D98" s="244" t="s">
        <v>3835</v>
      </c>
      <c r="E98" s="242" t="s">
        <v>2875</v>
      </c>
      <c r="F98" s="252" t="s">
        <v>3766</v>
      </c>
      <c r="G98" s="208"/>
      <c r="H98" s="209"/>
      <c r="I98" s="209"/>
    </row>
    <row r="99" spans="1:9" s="173" customFormat="1" ht="68">
      <c r="A99" s="291">
        <v>97</v>
      </c>
      <c r="B99" s="290" t="s">
        <v>2814</v>
      </c>
      <c r="C99" s="243" t="s">
        <v>4205</v>
      </c>
      <c r="D99" s="244" t="s">
        <v>3156</v>
      </c>
      <c r="E99" s="242" t="s">
        <v>2876</v>
      </c>
      <c r="F99" s="252" t="s">
        <v>3889</v>
      </c>
      <c r="G99" s="208"/>
      <c r="H99" s="209"/>
      <c r="I99" s="209"/>
    </row>
    <row r="100" spans="1:9" s="173" customFormat="1" ht="119">
      <c r="A100" s="291">
        <v>98</v>
      </c>
      <c r="B100" s="290" t="s">
        <v>2815</v>
      </c>
      <c r="C100" s="243" t="s">
        <v>4358</v>
      </c>
      <c r="D100" s="244" t="s">
        <v>3843</v>
      </c>
      <c r="E100" s="242" t="s">
        <v>3941</v>
      </c>
      <c r="F100" s="252" t="s">
        <v>3890</v>
      </c>
      <c r="G100" s="208"/>
      <c r="H100" s="209"/>
      <c r="I100" s="209"/>
    </row>
    <row r="101" spans="1:9" s="173" customFormat="1" ht="34">
      <c r="A101" s="291">
        <v>99</v>
      </c>
      <c r="B101" s="290" t="s">
        <v>2815</v>
      </c>
      <c r="C101" s="243" t="s">
        <v>4129</v>
      </c>
      <c r="D101" s="244" t="s">
        <v>3156</v>
      </c>
      <c r="E101" s="242" t="s">
        <v>3048</v>
      </c>
      <c r="F101" s="252" t="s">
        <v>2915</v>
      </c>
      <c r="G101" s="208"/>
      <c r="H101" s="209"/>
      <c r="I101" s="209"/>
    </row>
    <row r="102" spans="1:9" s="173" customFormat="1" ht="51">
      <c r="A102" s="291">
        <v>100</v>
      </c>
      <c r="B102" s="290" t="s">
        <v>2815</v>
      </c>
      <c r="C102" s="243" t="s">
        <v>4130</v>
      </c>
      <c r="D102" s="244" t="s">
        <v>3156</v>
      </c>
      <c r="E102" s="242" t="s">
        <v>3153</v>
      </c>
      <c r="F102" s="252" t="s">
        <v>2916</v>
      </c>
      <c r="G102" s="208"/>
      <c r="H102" s="209"/>
      <c r="I102" s="209"/>
    </row>
    <row r="103" spans="1:9" s="173" customFormat="1" ht="34">
      <c r="A103" s="291">
        <v>101</v>
      </c>
      <c r="B103" s="290" t="s">
        <v>2814</v>
      </c>
      <c r="C103" s="243" t="s">
        <v>4131</v>
      </c>
      <c r="D103" s="244" t="s">
        <v>3156</v>
      </c>
      <c r="E103" s="242" t="s">
        <v>3891</v>
      </c>
      <c r="F103" s="252" t="s">
        <v>2917</v>
      </c>
      <c r="G103" s="208"/>
      <c r="H103" s="209"/>
      <c r="I103" s="209"/>
    </row>
    <row r="104" spans="1:9" s="173" customFormat="1" ht="102">
      <c r="A104" s="291">
        <v>102</v>
      </c>
      <c r="B104" s="290" t="s">
        <v>2814</v>
      </c>
      <c r="C104" s="243" t="s">
        <v>4265</v>
      </c>
      <c r="D104" s="244" t="s">
        <v>3156</v>
      </c>
      <c r="E104" s="242" t="s">
        <v>3152</v>
      </c>
      <c r="F104" s="252" t="s">
        <v>4264</v>
      </c>
      <c r="G104" s="208"/>
      <c r="H104" s="209"/>
      <c r="I104" s="209"/>
    </row>
    <row r="105" spans="1:9" s="173" customFormat="1" ht="51">
      <c r="A105" s="291">
        <v>103</v>
      </c>
      <c r="B105" s="290" t="s">
        <v>2814</v>
      </c>
      <c r="C105" s="243" t="s">
        <v>4208</v>
      </c>
      <c r="D105" s="244" t="s">
        <v>3156</v>
      </c>
      <c r="E105" s="242" t="s">
        <v>3592</v>
      </c>
      <c r="F105" s="252" t="s">
        <v>3892</v>
      </c>
      <c r="G105" s="208"/>
      <c r="H105" s="209"/>
      <c r="I105" s="209"/>
    </row>
    <row r="106" spans="1:9" s="173" customFormat="1" ht="68">
      <c r="A106" s="291">
        <v>104</v>
      </c>
      <c r="B106" s="290" t="s">
        <v>2815</v>
      </c>
      <c r="C106" s="243" t="s">
        <v>4209</v>
      </c>
      <c r="D106" s="244" t="s">
        <v>3156</v>
      </c>
      <c r="E106" s="242" t="s">
        <v>3049</v>
      </c>
      <c r="F106" s="252" t="s">
        <v>2918</v>
      </c>
      <c r="G106" s="208"/>
      <c r="H106" s="209"/>
      <c r="I106" s="209"/>
    </row>
    <row r="107" spans="1:9" s="173" customFormat="1" ht="85">
      <c r="A107" s="291">
        <v>105</v>
      </c>
      <c r="B107" s="290" t="s">
        <v>2815</v>
      </c>
      <c r="C107" s="243" t="s">
        <v>4132</v>
      </c>
      <c r="D107" s="244" t="s">
        <v>3156</v>
      </c>
      <c r="E107" s="242" t="s">
        <v>3893</v>
      </c>
      <c r="F107" s="252" t="s">
        <v>3894</v>
      </c>
      <c r="G107" s="208"/>
      <c r="H107" s="209"/>
      <c r="I107" s="209"/>
    </row>
    <row r="108" spans="1:9" s="173" customFormat="1" ht="34">
      <c r="A108" s="291">
        <v>106</v>
      </c>
      <c r="B108" s="290" t="s">
        <v>2814</v>
      </c>
      <c r="C108" s="243" t="s">
        <v>4210</v>
      </c>
      <c r="D108" s="244" t="s">
        <v>3156</v>
      </c>
      <c r="E108" s="242" t="s">
        <v>2920</v>
      </c>
      <c r="F108" s="252" t="s">
        <v>2921</v>
      </c>
      <c r="G108" s="208"/>
      <c r="H108" s="209"/>
      <c r="I108" s="209"/>
    </row>
    <row r="109" spans="1:9" s="173" customFormat="1" ht="51">
      <c r="A109" s="291">
        <v>107</v>
      </c>
      <c r="B109" s="290" t="s">
        <v>2814</v>
      </c>
      <c r="C109" s="243" t="s">
        <v>4249</v>
      </c>
      <c r="D109" s="244" t="s">
        <v>3837</v>
      </c>
      <c r="E109" s="242" t="s">
        <v>3151</v>
      </c>
      <c r="F109" s="252" t="s">
        <v>3895</v>
      </c>
      <c r="G109" s="208"/>
      <c r="H109" s="209"/>
      <c r="I109" s="209"/>
    </row>
    <row r="110" spans="1:9" s="173" customFormat="1" ht="17">
      <c r="A110" s="291">
        <v>108</v>
      </c>
      <c r="B110" s="290" t="s">
        <v>2814</v>
      </c>
      <c r="C110" s="243" t="s">
        <v>4211</v>
      </c>
      <c r="D110" s="244" t="s">
        <v>3838</v>
      </c>
      <c r="E110" s="242" t="s">
        <v>3044</v>
      </c>
      <c r="F110" s="252" t="s">
        <v>3896</v>
      </c>
      <c r="G110" s="208"/>
      <c r="H110" s="209"/>
      <c r="I110" s="209"/>
    </row>
    <row r="111" spans="1:9" s="173" customFormat="1" ht="34">
      <c r="A111" s="291">
        <v>109</v>
      </c>
      <c r="B111" s="290" t="s">
        <v>2814</v>
      </c>
      <c r="C111" s="243" t="s">
        <v>4212</v>
      </c>
      <c r="D111" s="244" t="s">
        <v>3156</v>
      </c>
      <c r="E111" s="242" t="s">
        <v>2922</v>
      </c>
      <c r="F111" s="252" t="s">
        <v>3897</v>
      </c>
      <c r="G111" s="208"/>
      <c r="H111" s="209"/>
      <c r="I111" s="209"/>
    </row>
    <row r="112" spans="1:9" s="173" customFormat="1" ht="34">
      <c r="A112" s="291">
        <v>110</v>
      </c>
      <c r="B112" s="290" t="s">
        <v>2814</v>
      </c>
      <c r="C112" s="243" t="s">
        <v>4213</v>
      </c>
      <c r="D112" s="244" t="s">
        <v>3156</v>
      </c>
      <c r="E112" s="242" t="s">
        <v>3045</v>
      </c>
      <c r="F112" s="252" t="s">
        <v>2923</v>
      </c>
      <c r="G112" s="208"/>
      <c r="H112" s="209"/>
      <c r="I112" s="209"/>
    </row>
    <row r="113" spans="1:9" s="173" customFormat="1" ht="34">
      <c r="A113" s="291">
        <v>111</v>
      </c>
      <c r="B113" s="290" t="s">
        <v>2815</v>
      </c>
      <c r="C113" s="243" t="s">
        <v>4319</v>
      </c>
      <c r="D113" s="244" t="s">
        <v>3156</v>
      </c>
      <c r="E113" s="242" t="s">
        <v>1797</v>
      </c>
      <c r="F113" s="252" t="s">
        <v>3792</v>
      </c>
      <c r="G113" s="208"/>
      <c r="H113" s="209"/>
      <c r="I113" s="209"/>
    </row>
    <row r="114" spans="1:9" s="173" customFormat="1" ht="34">
      <c r="A114" s="291">
        <v>112</v>
      </c>
      <c r="B114" s="290" t="s">
        <v>2814</v>
      </c>
      <c r="C114" s="243" t="s">
        <v>4214</v>
      </c>
      <c r="D114" s="244" t="s">
        <v>3838</v>
      </c>
      <c r="E114" s="242" t="s">
        <v>3150</v>
      </c>
      <c r="F114" s="252" t="s">
        <v>3898</v>
      </c>
      <c r="G114" s="208"/>
      <c r="H114" s="209"/>
      <c r="I114" s="209"/>
    </row>
    <row r="115" spans="1:9" s="173" customFormat="1" ht="34">
      <c r="A115" s="291">
        <v>113</v>
      </c>
      <c r="B115" s="290" t="s">
        <v>2815</v>
      </c>
      <c r="C115" s="243" t="s">
        <v>4133</v>
      </c>
      <c r="D115" s="244" t="s">
        <v>3156</v>
      </c>
      <c r="E115" s="242" t="s">
        <v>3899</v>
      </c>
      <c r="F115" s="252" t="s">
        <v>3900</v>
      </c>
      <c r="G115" s="208"/>
      <c r="H115" s="209"/>
      <c r="I115" s="209"/>
    </row>
    <row r="116" spans="1:9" s="173" customFormat="1" ht="51">
      <c r="A116" s="291">
        <v>114</v>
      </c>
      <c r="B116" s="290" t="s">
        <v>2815</v>
      </c>
      <c r="C116" s="243" t="s">
        <v>4134</v>
      </c>
      <c r="D116" s="244" t="s">
        <v>3839</v>
      </c>
      <c r="E116" s="242" t="s">
        <v>3141</v>
      </c>
      <c r="F116" s="252" t="s">
        <v>2924</v>
      </c>
      <c r="G116" s="208"/>
      <c r="H116" s="209"/>
      <c r="I116" s="209"/>
    </row>
    <row r="117" spans="1:9" s="173" customFormat="1" ht="51">
      <c r="A117" s="291">
        <v>115</v>
      </c>
      <c r="B117" s="290" t="s">
        <v>2814</v>
      </c>
      <c r="C117" s="243" t="s">
        <v>4215</v>
      </c>
      <c r="D117" s="244" t="s">
        <v>3156</v>
      </c>
      <c r="E117" s="242" t="s">
        <v>3046</v>
      </c>
      <c r="F117" s="252" t="s">
        <v>4072</v>
      </c>
      <c r="G117" s="208"/>
      <c r="H117" s="209"/>
      <c r="I117" s="209"/>
    </row>
    <row r="118" spans="1:9" s="173" customFormat="1" ht="34">
      <c r="A118" s="291">
        <v>116</v>
      </c>
      <c r="B118" s="290" t="s">
        <v>2814</v>
      </c>
      <c r="C118" s="243" t="s">
        <v>4216</v>
      </c>
      <c r="D118" s="244" t="s">
        <v>3156</v>
      </c>
      <c r="E118" s="242" t="s">
        <v>3149</v>
      </c>
      <c r="F118" s="252" t="s">
        <v>2925</v>
      </c>
      <c r="G118" s="208"/>
      <c r="H118" s="209"/>
      <c r="I118" s="209"/>
    </row>
    <row r="119" spans="1:9" s="173" customFormat="1" ht="34">
      <c r="A119" s="291">
        <v>117</v>
      </c>
      <c r="B119" s="290" t="s">
        <v>2815</v>
      </c>
      <c r="C119" s="243" t="s">
        <v>4270</v>
      </c>
      <c r="D119" s="244" t="s">
        <v>3156</v>
      </c>
      <c r="E119" s="242" t="s">
        <v>2926</v>
      </c>
      <c r="F119" s="252" t="s">
        <v>3901</v>
      </c>
      <c r="G119" s="208"/>
      <c r="H119" s="209"/>
      <c r="I119" s="209"/>
    </row>
    <row r="120" spans="1:9" s="173" customFormat="1" ht="17">
      <c r="A120" s="291">
        <v>118</v>
      </c>
      <c r="B120" s="290" t="s">
        <v>2814</v>
      </c>
      <c r="C120" s="243" t="s">
        <v>4135</v>
      </c>
      <c r="D120" s="244" t="s">
        <v>3156</v>
      </c>
      <c r="E120" s="242" t="s">
        <v>2791</v>
      </c>
      <c r="F120" s="252" t="s">
        <v>2792</v>
      </c>
      <c r="G120" s="208"/>
      <c r="H120" s="209"/>
      <c r="I120" s="209"/>
    </row>
    <row r="121" spans="1:9" s="173" customFormat="1" ht="68">
      <c r="A121" s="291">
        <v>119</v>
      </c>
      <c r="B121" s="290" t="s">
        <v>2815</v>
      </c>
      <c r="C121" s="243" t="s">
        <v>4136</v>
      </c>
      <c r="D121" s="244" t="s">
        <v>3156</v>
      </c>
      <c r="E121" s="242" t="s">
        <v>2929</v>
      </c>
      <c r="F121" s="252" t="s">
        <v>4269</v>
      </c>
      <c r="G121" s="208"/>
      <c r="H121" s="209"/>
      <c r="I121" s="209"/>
    </row>
    <row r="122" spans="1:9" s="173" customFormat="1" ht="51">
      <c r="A122" s="291">
        <v>120</v>
      </c>
      <c r="B122" s="290" t="s">
        <v>2814</v>
      </c>
      <c r="C122" s="243" t="s">
        <v>4320</v>
      </c>
      <c r="D122" s="244" t="s">
        <v>3156</v>
      </c>
      <c r="E122" s="242" t="s">
        <v>3148</v>
      </c>
      <c r="F122" s="252" t="s">
        <v>3767</v>
      </c>
      <c r="G122" s="208"/>
      <c r="H122" s="209"/>
      <c r="I122" s="209"/>
    </row>
    <row r="123" spans="1:9" s="173" customFormat="1" ht="51">
      <c r="A123" s="291">
        <v>121</v>
      </c>
      <c r="B123" s="290" t="s">
        <v>2815</v>
      </c>
      <c r="C123" s="243" t="s">
        <v>4217</v>
      </c>
      <c r="D123" s="244" t="s">
        <v>3844</v>
      </c>
      <c r="E123" s="242" t="s">
        <v>3143</v>
      </c>
      <c r="F123" s="252" t="s">
        <v>2927</v>
      </c>
      <c r="G123" s="208"/>
      <c r="H123" s="209"/>
      <c r="I123" s="209"/>
    </row>
    <row r="124" spans="1:9" s="173" customFormat="1" ht="51">
      <c r="A124" s="291">
        <v>122</v>
      </c>
      <c r="B124" s="290" t="s">
        <v>2815</v>
      </c>
      <c r="C124" s="243" t="s">
        <v>4218</v>
      </c>
      <c r="D124" s="244" t="s">
        <v>4283</v>
      </c>
      <c r="E124" s="242" t="s">
        <v>4103</v>
      </c>
      <c r="F124" s="252" t="s">
        <v>3902</v>
      </c>
      <c r="G124" s="208"/>
      <c r="H124" s="209"/>
      <c r="I124" s="209"/>
    </row>
    <row r="125" spans="1:9" s="173" customFormat="1" ht="34">
      <c r="A125" s="291">
        <v>123</v>
      </c>
      <c r="B125" s="290" t="s">
        <v>2814</v>
      </c>
      <c r="C125" s="243" t="s">
        <v>4142</v>
      </c>
      <c r="D125" s="244" t="s">
        <v>4354</v>
      </c>
      <c r="E125" s="242" t="s">
        <v>2928</v>
      </c>
      <c r="F125" s="252" t="s">
        <v>3903</v>
      </c>
      <c r="G125" s="208"/>
      <c r="H125" s="209"/>
      <c r="I125" s="209"/>
    </row>
    <row r="126" spans="1:9" s="173" customFormat="1" ht="85">
      <c r="A126" s="291">
        <v>124</v>
      </c>
      <c r="B126" s="290" t="s">
        <v>2815</v>
      </c>
      <c r="C126" s="243" t="s">
        <v>4275</v>
      </c>
      <c r="D126" s="244" t="s">
        <v>3156</v>
      </c>
      <c r="E126" s="242" t="s">
        <v>3139</v>
      </c>
      <c r="F126" s="252" t="s">
        <v>3904</v>
      </c>
      <c r="G126" s="208"/>
      <c r="H126" s="209"/>
      <c r="I126" s="209"/>
    </row>
    <row r="127" spans="1:9" s="173" customFormat="1" ht="34">
      <c r="A127" s="291">
        <v>125</v>
      </c>
      <c r="B127" s="290" t="s">
        <v>2814</v>
      </c>
      <c r="C127" s="243" t="s">
        <v>4219</v>
      </c>
      <c r="D127" s="244" t="s">
        <v>3373</v>
      </c>
      <c r="E127" s="242" t="s">
        <v>2930</v>
      </c>
      <c r="F127" s="252" t="s">
        <v>3905</v>
      </c>
      <c r="G127" s="208"/>
      <c r="H127" s="209"/>
      <c r="I127" s="209"/>
    </row>
    <row r="128" spans="1:9" s="173" customFormat="1" ht="68">
      <c r="A128" s="291">
        <v>126</v>
      </c>
      <c r="B128" s="290" t="s">
        <v>2815</v>
      </c>
      <c r="C128" s="243" t="s">
        <v>4143</v>
      </c>
      <c r="D128" s="244" t="s">
        <v>3444</v>
      </c>
      <c r="E128" s="242" t="s">
        <v>3586</v>
      </c>
      <c r="F128" s="252" t="s">
        <v>3906</v>
      </c>
      <c r="G128" s="208"/>
      <c r="H128" s="209"/>
      <c r="I128" s="209"/>
    </row>
    <row r="129" spans="1:9" s="173" customFormat="1" ht="34">
      <c r="A129" s="291">
        <v>127</v>
      </c>
      <c r="B129" s="290" t="s">
        <v>2815</v>
      </c>
      <c r="C129" s="243" t="s">
        <v>4137</v>
      </c>
      <c r="D129" s="244" t="s">
        <v>3156</v>
      </c>
      <c r="E129" s="242" t="s">
        <v>3792</v>
      </c>
      <c r="F129" s="252" t="s">
        <v>3792</v>
      </c>
      <c r="G129" s="208"/>
      <c r="H129" s="209"/>
      <c r="I129" s="209"/>
    </row>
    <row r="130" spans="1:9" s="173" customFormat="1" ht="51">
      <c r="A130" s="291">
        <v>128</v>
      </c>
      <c r="B130" s="290" t="s">
        <v>2814</v>
      </c>
      <c r="C130" s="243" t="s">
        <v>4220</v>
      </c>
      <c r="D130" s="244" t="s">
        <v>3840</v>
      </c>
      <c r="E130" s="242" t="s">
        <v>3580</v>
      </c>
      <c r="F130" s="252" t="s">
        <v>2931</v>
      </c>
      <c r="G130" s="208"/>
      <c r="H130" s="209"/>
      <c r="I130" s="209"/>
    </row>
    <row r="131" spans="1:9" s="173" customFormat="1" ht="34">
      <c r="A131" s="291">
        <v>129</v>
      </c>
      <c r="B131" s="290" t="s">
        <v>2814</v>
      </c>
      <c r="C131" s="243" t="s">
        <v>4144</v>
      </c>
      <c r="D131" s="244" t="s">
        <v>4355</v>
      </c>
      <c r="E131" s="242" t="s">
        <v>2932</v>
      </c>
      <c r="F131" s="252" t="s">
        <v>2933</v>
      </c>
      <c r="G131" s="208"/>
      <c r="H131" s="209"/>
      <c r="I131" s="209"/>
    </row>
    <row r="132" spans="1:9" s="173" customFormat="1" ht="34">
      <c r="A132" s="291">
        <v>130</v>
      </c>
      <c r="B132" s="290" t="s">
        <v>2815</v>
      </c>
      <c r="C132" s="243" t="s">
        <v>4145</v>
      </c>
      <c r="D132" s="244" t="s">
        <v>3373</v>
      </c>
      <c r="E132" s="242" t="s">
        <v>2934</v>
      </c>
      <c r="F132" s="252" t="s">
        <v>2935</v>
      </c>
      <c r="G132" s="208"/>
      <c r="H132" s="209"/>
      <c r="I132" s="209"/>
    </row>
    <row r="133" spans="1:9" s="173" customFormat="1" ht="102">
      <c r="A133" s="291">
        <v>131</v>
      </c>
      <c r="B133" s="290" t="s">
        <v>2815</v>
      </c>
      <c r="C133" s="243" t="s">
        <v>4356</v>
      </c>
      <c r="D133" s="244" t="s">
        <v>3156</v>
      </c>
      <c r="E133" s="242" t="s">
        <v>2936</v>
      </c>
      <c r="F133" s="252" t="s">
        <v>3907</v>
      </c>
      <c r="G133" s="208"/>
      <c r="H133" s="209"/>
      <c r="I133" s="209"/>
    </row>
    <row r="134" spans="1:9" s="173" customFormat="1" ht="17">
      <c r="A134" s="291">
        <v>132</v>
      </c>
      <c r="B134" s="290" t="s">
        <v>2815</v>
      </c>
      <c r="C134" s="243" t="s">
        <v>4146</v>
      </c>
      <c r="D134" s="244" t="s">
        <v>3156</v>
      </c>
      <c r="E134" s="242" t="s">
        <v>2791</v>
      </c>
      <c r="F134" s="252" t="s">
        <v>3792</v>
      </c>
      <c r="G134" s="208"/>
      <c r="H134" s="209"/>
      <c r="I134" s="209"/>
    </row>
    <row r="135" spans="1:9" s="173" customFormat="1" ht="85">
      <c r="A135" s="291">
        <v>133</v>
      </c>
      <c r="B135" s="290" t="s">
        <v>2815</v>
      </c>
      <c r="C135" s="243" t="s">
        <v>4147</v>
      </c>
      <c r="D135" s="244" t="s">
        <v>3825</v>
      </c>
      <c r="E135" s="242" t="s">
        <v>3942</v>
      </c>
      <c r="F135" s="252" t="s">
        <v>3908</v>
      </c>
      <c r="G135" s="208"/>
      <c r="H135" s="209"/>
      <c r="I135" s="209"/>
    </row>
    <row r="136" spans="1:9" s="173" customFormat="1" ht="34">
      <c r="A136" s="291">
        <v>134</v>
      </c>
      <c r="B136" s="290" t="s">
        <v>2815</v>
      </c>
      <c r="C136" s="243" t="s">
        <v>4148</v>
      </c>
      <c r="D136" s="244" t="s">
        <v>3156</v>
      </c>
      <c r="E136" s="242" t="s">
        <v>1797</v>
      </c>
      <c r="F136" s="252" t="s">
        <v>3792</v>
      </c>
      <c r="G136" s="208"/>
      <c r="H136" s="209"/>
      <c r="I136" s="209"/>
    </row>
    <row r="137" spans="1:9" s="173" customFormat="1" ht="34">
      <c r="A137" s="291">
        <v>135</v>
      </c>
      <c r="B137" s="290" t="s">
        <v>2815</v>
      </c>
      <c r="C137" s="243" t="s">
        <v>4149</v>
      </c>
      <c r="D137" s="244" t="s">
        <v>3373</v>
      </c>
      <c r="E137" s="242" t="s">
        <v>2937</v>
      </c>
      <c r="F137" s="252" t="s">
        <v>2938</v>
      </c>
      <c r="G137" s="208"/>
      <c r="H137" s="209"/>
      <c r="I137" s="209"/>
    </row>
    <row r="138" spans="1:9" s="173" customFormat="1" ht="51">
      <c r="A138" s="291">
        <v>136</v>
      </c>
      <c r="B138" s="290" t="s">
        <v>2815</v>
      </c>
      <c r="C138" s="243" t="s">
        <v>4221</v>
      </c>
      <c r="D138" s="244" t="s">
        <v>3445</v>
      </c>
      <c r="E138" s="242" t="s">
        <v>2939</v>
      </c>
      <c r="F138" s="252" t="s">
        <v>3909</v>
      </c>
      <c r="G138" s="208"/>
      <c r="H138" s="209"/>
      <c r="I138" s="209"/>
    </row>
    <row r="139" spans="1:9" s="173" customFormat="1" ht="34">
      <c r="A139" s="291">
        <v>137</v>
      </c>
      <c r="B139" s="290" t="s">
        <v>2814</v>
      </c>
      <c r="C139" s="243" t="s">
        <v>4138</v>
      </c>
      <c r="D139" s="244" t="s">
        <v>3156</v>
      </c>
      <c r="E139" s="242" t="s">
        <v>2940</v>
      </c>
      <c r="F139" s="252" t="s">
        <v>3910</v>
      </c>
      <c r="G139" s="208"/>
      <c r="H139" s="209"/>
      <c r="I139" s="209"/>
    </row>
    <row r="140" spans="1:9" s="173" customFormat="1" ht="34">
      <c r="A140" s="291">
        <v>138</v>
      </c>
      <c r="B140" s="290" t="s">
        <v>2815</v>
      </c>
      <c r="C140" s="243" t="s">
        <v>4150</v>
      </c>
      <c r="D140" s="244" t="s">
        <v>3156</v>
      </c>
      <c r="E140" s="242" t="s">
        <v>3912</v>
      </c>
      <c r="F140" s="252" t="s">
        <v>3911</v>
      </c>
      <c r="G140" s="208"/>
      <c r="H140" s="209"/>
      <c r="I140" s="209"/>
    </row>
    <row r="141" spans="1:9" s="173" customFormat="1" ht="85">
      <c r="A141" s="291">
        <v>139</v>
      </c>
      <c r="B141" s="290" t="s">
        <v>2815</v>
      </c>
      <c r="C141" s="243" t="s">
        <v>4151</v>
      </c>
      <c r="D141" s="244" t="s">
        <v>3156</v>
      </c>
      <c r="E141" s="242" t="s">
        <v>3913</v>
      </c>
      <c r="F141" s="252" t="s">
        <v>3914</v>
      </c>
      <c r="G141" s="208"/>
      <c r="H141" s="209"/>
      <c r="I141" s="209"/>
    </row>
    <row r="142" spans="1:9" s="173" customFormat="1" ht="51">
      <c r="A142" s="291">
        <v>140</v>
      </c>
      <c r="B142" s="290" t="s">
        <v>2814</v>
      </c>
      <c r="C142" s="243" t="s">
        <v>4139</v>
      </c>
      <c r="D142" s="244" t="s">
        <v>3156</v>
      </c>
      <c r="E142" s="242" t="s">
        <v>3147</v>
      </c>
      <c r="F142" s="252" t="s">
        <v>3915</v>
      </c>
      <c r="G142" s="208"/>
      <c r="H142" s="209"/>
      <c r="I142" s="209"/>
    </row>
    <row r="143" spans="1:9" s="173" customFormat="1" ht="34">
      <c r="A143" s="291">
        <v>141</v>
      </c>
      <c r="B143" s="290" t="s">
        <v>2814</v>
      </c>
      <c r="C143" s="243" t="s">
        <v>4152</v>
      </c>
      <c r="D143" s="244" t="s">
        <v>3156</v>
      </c>
      <c r="E143" s="242" t="s">
        <v>3916</v>
      </c>
      <c r="F143" s="252" t="s">
        <v>3581</v>
      </c>
      <c r="G143" s="208"/>
      <c r="H143" s="209"/>
      <c r="I143" s="209"/>
    </row>
    <row r="144" spans="1:9" s="173" customFormat="1" ht="102">
      <c r="A144" s="291">
        <v>142</v>
      </c>
      <c r="B144" s="290" t="s">
        <v>2815</v>
      </c>
      <c r="C144" s="243" t="s">
        <v>4222</v>
      </c>
      <c r="D144" s="244" t="s">
        <v>3574</v>
      </c>
      <c r="E144" s="242" t="s">
        <v>2941</v>
      </c>
      <c r="F144" s="252" t="s">
        <v>4104</v>
      </c>
      <c r="G144" s="208"/>
      <c r="H144" s="209"/>
      <c r="I144" s="209"/>
    </row>
    <row r="145" spans="1:9" s="173" customFormat="1" ht="34">
      <c r="A145" s="291">
        <v>143</v>
      </c>
      <c r="B145" s="290" t="s">
        <v>2814</v>
      </c>
      <c r="C145" s="243" t="s">
        <v>4153</v>
      </c>
      <c r="D145" s="244" t="s">
        <v>3156</v>
      </c>
      <c r="E145" s="242" t="s">
        <v>2942</v>
      </c>
      <c r="F145" s="252" t="s">
        <v>3917</v>
      </c>
      <c r="G145" s="208"/>
      <c r="H145" s="209"/>
      <c r="I145" s="209"/>
    </row>
    <row r="146" spans="1:9" s="173" customFormat="1" ht="68">
      <c r="A146" s="291">
        <v>144</v>
      </c>
      <c r="B146" s="290" t="s">
        <v>2815</v>
      </c>
      <c r="C146" s="243" t="s">
        <v>4140</v>
      </c>
      <c r="D146" s="244" t="s">
        <v>3845</v>
      </c>
      <c r="E146" s="242"/>
      <c r="F146" s="242"/>
      <c r="G146" s="208"/>
      <c r="H146" s="209"/>
      <c r="I146" s="209"/>
    </row>
    <row r="147" spans="1:9" s="173" customFormat="1" ht="51">
      <c r="A147" s="291">
        <v>145</v>
      </c>
      <c r="B147" s="290" t="s">
        <v>2815</v>
      </c>
      <c r="C147" s="243" t="s">
        <v>4154</v>
      </c>
      <c r="D147" s="244" t="s">
        <v>3156</v>
      </c>
      <c r="E147" s="242" t="s">
        <v>3918</v>
      </c>
      <c r="F147" s="242" t="s">
        <v>3846</v>
      </c>
      <c r="G147" s="208"/>
      <c r="H147" s="209"/>
      <c r="I147" s="209"/>
    </row>
    <row r="148" spans="1:9" s="173" customFormat="1" ht="68">
      <c r="A148" s="291">
        <v>146</v>
      </c>
      <c r="B148" s="290" t="s">
        <v>2815</v>
      </c>
      <c r="C148" s="243" t="s">
        <v>4155</v>
      </c>
      <c r="D148" s="244" t="s">
        <v>3156</v>
      </c>
      <c r="E148" s="242" t="s">
        <v>3582</v>
      </c>
      <c r="F148" s="242" t="s">
        <v>3919</v>
      </c>
      <c r="G148" s="208"/>
      <c r="H148" s="209"/>
      <c r="I148" s="209"/>
    </row>
    <row r="149" spans="1:9" s="173" customFormat="1" ht="17">
      <c r="A149" s="291">
        <v>147</v>
      </c>
      <c r="B149" s="290" t="s">
        <v>2814</v>
      </c>
      <c r="C149" s="243" t="s">
        <v>4158</v>
      </c>
      <c r="D149" s="244" t="s">
        <v>3156</v>
      </c>
      <c r="E149" s="242" t="s">
        <v>4271</v>
      </c>
      <c r="F149" s="242" t="s">
        <v>4272</v>
      </c>
      <c r="G149" s="208"/>
      <c r="H149" s="209"/>
      <c r="I149" s="209"/>
    </row>
    <row r="150" spans="1:9" s="173" customFormat="1" ht="17">
      <c r="A150" s="291">
        <v>148</v>
      </c>
      <c r="B150" s="290" t="s">
        <v>2815</v>
      </c>
      <c r="C150" s="243" t="s">
        <v>4223</v>
      </c>
      <c r="D150" s="244" t="s">
        <v>3156</v>
      </c>
      <c r="E150" s="242" t="s">
        <v>2791</v>
      </c>
      <c r="F150" s="242" t="s">
        <v>3792</v>
      </c>
      <c r="G150" s="208"/>
      <c r="H150" s="209"/>
      <c r="I150" s="209"/>
    </row>
    <row r="151" spans="1:9" s="173" customFormat="1" ht="51">
      <c r="A151" s="291">
        <v>149</v>
      </c>
      <c r="B151" s="290" t="s">
        <v>2815</v>
      </c>
      <c r="C151" s="243" t="s">
        <v>4224</v>
      </c>
      <c r="D151" s="244" t="s">
        <v>3847</v>
      </c>
      <c r="E151" s="242" t="s">
        <v>3943</v>
      </c>
      <c r="F151" s="242" t="s">
        <v>3920</v>
      </c>
      <c r="G151" s="208"/>
      <c r="H151" s="209"/>
      <c r="I151" s="209"/>
    </row>
    <row r="152" spans="1:9" s="173" customFormat="1" ht="34">
      <c r="A152" s="291">
        <v>150</v>
      </c>
      <c r="B152" s="290" t="s">
        <v>2815</v>
      </c>
      <c r="C152" s="243" t="s">
        <v>4156</v>
      </c>
      <c r="D152" s="244" t="s">
        <v>3156</v>
      </c>
      <c r="E152" s="242" t="s">
        <v>2943</v>
      </c>
      <c r="F152" s="242" t="s">
        <v>2944</v>
      </c>
      <c r="G152" s="208"/>
      <c r="H152" s="209"/>
      <c r="I152" s="209"/>
    </row>
    <row r="153" spans="1:9" s="173" customFormat="1" ht="17">
      <c r="A153" s="291">
        <v>151</v>
      </c>
      <c r="B153" s="290" t="s">
        <v>2814</v>
      </c>
      <c r="C153" s="243" t="s">
        <v>4159</v>
      </c>
      <c r="D153" s="244" t="s">
        <v>3156</v>
      </c>
      <c r="E153" s="242" t="s">
        <v>4285</v>
      </c>
      <c r="F153" s="242" t="s">
        <v>4273</v>
      </c>
      <c r="G153" s="208"/>
      <c r="H153" s="209"/>
      <c r="I153" s="209"/>
    </row>
    <row r="154" spans="1:9" s="173" customFormat="1" ht="17">
      <c r="A154" s="291">
        <v>152</v>
      </c>
      <c r="B154" s="290" t="s">
        <v>2814</v>
      </c>
      <c r="C154" s="243" t="s">
        <v>4225</v>
      </c>
      <c r="D154" s="244" t="s">
        <v>3156</v>
      </c>
      <c r="E154" s="242" t="s">
        <v>2945</v>
      </c>
      <c r="F154" s="242" t="s">
        <v>3921</v>
      </c>
      <c r="G154" s="208"/>
      <c r="H154" s="209"/>
      <c r="I154" s="209"/>
    </row>
    <row r="155" spans="1:9" s="173" customFormat="1" ht="17">
      <c r="A155" s="291">
        <v>153</v>
      </c>
      <c r="B155" s="290" t="s">
        <v>2815</v>
      </c>
      <c r="C155" s="243" t="s">
        <v>4160</v>
      </c>
      <c r="D155" s="244" t="s">
        <v>3156</v>
      </c>
      <c r="E155" s="242" t="s">
        <v>3583</v>
      </c>
      <c r="F155" s="242" t="s">
        <v>3922</v>
      </c>
      <c r="G155" s="208"/>
      <c r="H155" s="209"/>
      <c r="I155" s="209"/>
    </row>
    <row r="156" spans="1:9" s="173" customFormat="1" ht="68">
      <c r="A156" s="291">
        <v>154</v>
      </c>
      <c r="B156" s="290" t="s">
        <v>2814</v>
      </c>
      <c r="C156" s="243" t="s">
        <v>4157</v>
      </c>
      <c r="D156" s="244" t="s">
        <v>3574</v>
      </c>
      <c r="E156" s="242" t="s">
        <v>4284</v>
      </c>
      <c r="F156" s="242" t="s">
        <v>3848</v>
      </c>
      <c r="G156" s="208"/>
      <c r="H156" s="209"/>
      <c r="I156" s="209"/>
    </row>
    <row r="157" spans="1:9" s="173" customFormat="1" ht="85">
      <c r="A157" s="291">
        <v>155</v>
      </c>
      <c r="B157" s="290" t="s">
        <v>2815</v>
      </c>
      <c r="C157" s="243" t="s">
        <v>4226</v>
      </c>
      <c r="D157" s="244" t="s">
        <v>3156</v>
      </c>
      <c r="E157" s="242" t="s">
        <v>3126</v>
      </c>
      <c r="F157" s="242" t="s">
        <v>3923</v>
      </c>
      <c r="G157" s="208"/>
      <c r="H157" s="209"/>
      <c r="I157" s="209"/>
    </row>
    <row r="158" spans="1:9" s="173" customFormat="1" ht="51">
      <c r="A158" s="291">
        <v>156</v>
      </c>
      <c r="B158" s="290" t="s">
        <v>2814</v>
      </c>
      <c r="C158" s="243" t="s">
        <v>4227</v>
      </c>
      <c r="D158" s="244" t="s">
        <v>3849</v>
      </c>
      <c r="E158" s="242" t="s">
        <v>3066</v>
      </c>
      <c r="F158" s="242" t="s">
        <v>3768</v>
      </c>
      <c r="G158" s="208"/>
      <c r="H158" s="209"/>
      <c r="I158" s="209"/>
    </row>
    <row r="159" spans="1:9" s="173" customFormat="1" ht="34">
      <c r="A159" s="291">
        <v>157</v>
      </c>
      <c r="B159" s="290" t="s">
        <v>2814</v>
      </c>
      <c r="C159" s="243" t="s">
        <v>4228</v>
      </c>
      <c r="D159" s="244" t="s">
        <v>3156</v>
      </c>
      <c r="E159" s="242" t="s">
        <v>4323</v>
      </c>
      <c r="F159" s="242" t="s">
        <v>3769</v>
      </c>
      <c r="G159" s="208"/>
      <c r="H159" s="209"/>
      <c r="I159" s="209"/>
    </row>
    <row r="160" spans="1:9" s="173" customFormat="1" ht="34">
      <c r="A160" s="291">
        <v>158</v>
      </c>
      <c r="B160" s="290" t="s">
        <v>2814</v>
      </c>
      <c r="C160" s="243" t="s">
        <v>4229</v>
      </c>
      <c r="D160" s="244" t="s">
        <v>3156</v>
      </c>
      <c r="E160" s="242" t="s">
        <v>4326</v>
      </c>
      <c r="F160" s="242" t="s">
        <v>3850</v>
      </c>
      <c r="G160" s="208"/>
      <c r="H160" s="209"/>
      <c r="I160" s="209"/>
    </row>
    <row r="161" spans="1:9" s="173" customFormat="1" ht="51">
      <c r="A161" s="291">
        <v>159</v>
      </c>
      <c r="B161" s="290" t="s">
        <v>2814</v>
      </c>
      <c r="C161" s="243" t="s">
        <v>4230</v>
      </c>
      <c r="D161" s="244" t="s">
        <v>3156</v>
      </c>
      <c r="E161" s="242" t="s">
        <v>4324</v>
      </c>
      <c r="F161" s="242" t="s">
        <v>3924</v>
      </c>
      <c r="G161" s="208"/>
      <c r="H161" s="209"/>
      <c r="I161" s="209"/>
    </row>
    <row r="162" spans="1:9" s="173" customFormat="1" ht="102">
      <c r="A162" s="291">
        <v>160</v>
      </c>
      <c r="B162" s="290" t="s">
        <v>2815</v>
      </c>
      <c r="C162" s="243" t="s">
        <v>4161</v>
      </c>
      <c r="D162" s="244" t="s">
        <v>3446</v>
      </c>
      <c r="E162" s="242" t="s">
        <v>2792</v>
      </c>
      <c r="F162" s="242" t="s">
        <v>2793</v>
      </c>
      <c r="G162" s="208"/>
      <c r="H162" s="209"/>
      <c r="I162" s="209"/>
    </row>
    <row r="163" spans="1:9" s="173" customFormat="1" ht="34">
      <c r="A163" s="291">
        <v>161</v>
      </c>
      <c r="B163" s="290" t="s">
        <v>2814</v>
      </c>
      <c r="C163" s="243" t="s">
        <v>4231</v>
      </c>
      <c r="D163" s="244" t="s">
        <v>3156</v>
      </c>
      <c r="E163" s="242" t="s">
        <v>4322</v>
      </c>
      <c r="F163" s="242" t="s">
        <v>3770</v>
      </c>
      <c r="G163" s="208"/>
      <c r="H163" s="209"/>
      <c r="I163" s="209"/>
    </row>
    <row r="164" spans="1:9" s="173" customFormat="1" ht="68">
      <c r="A164" s="291">
        <v>162</v>
      </c>
      <c r="B164" s="290" t="s">
        <v>2815</v>
      </c>
      <c r="C164" s="243" t="s">
        <v>4162</v>
      </c>
      <c r="D164" s="244" t="s">
        <v>3156</v>
      </c>
      <c r="E164" s="242" t="s">
        <v>3089</v>
      </c>
      <c r="F164" s="242" t="s">
        <v>3925</v>
      </c>
      <c r="G164" s="208"/>
      <c r="H164" s="209"/>
      <c r="I164" s="209"/>
    </row>
    <row r="165" spans="1:9" s="173" customFormat="1" ht="34">
      <c r="A165" s="291">
        <v>163</v>
      </c>
      <c r="B165" s="290" t="s">
        <v>2814</v>
      </c>
      <c r="C165" s="243" t="s">
        <v>4163</v>
      </c>
      <c r="D165" s="244" t="s">
        <v>3156</v>
      </c>
      <c r="E165" s="242" t="s">
        <v>4325</v>
      </c>
      <c r="F165" s="242" t="s">
        <v>3926</v>
      </c>
      <c r="G165" s="208"/>
      <c r="H165" s="209"/>
      <c r="I165" s="209"/>
    </row>
    <row r="166" spans="1:9" s="173" customFormat="1" ht="51">
      <c r="A166" s="291">
        <v>164</v>
      </c>
      <c r="B166" s="290" t="s">
        <v>2814</v>
      </c>
      <c r="C166" s="243" t="s">
        <v>4232</v>
      </c>
      <c r="D166" s="244" t="s">
        <v>3851</v>
      </c>
      <c r="E166" s="242" t="s">
        <v>3092</v>
      </c>
      <c r="F166" s="242" t="s">
        <v>3927</v>
      </c>
      <c r="G166" s="208"/>
      <c r="H166" s="209"/>
      <c r="I166" s="209"/>
    </row>
    <row r="167" spans="1:9" s="173" customFormat="1" ht="34">
      <c r="A167" s="291">
        <v>165</v>
      </c>
      <c r="B167" s="290" t="s">
        <v>2814</v>
      </c>
      <c r="C167" s="243" t="s">
        <v>4233</v>
      </c>
      <c r="D167" s="244" t="s">
        <v>3156</v>
      </c>
      <c r="E167" s="242" t="s">
        <v>3104</v>
      </c>
      <c r="F167" s="242" t="s">
        <v>3928</v>
      </c>
      <c r="G167" s="208"/>
      <c r="H167" s="209"/>
      <c r="I167" s="209"/>
    </row>
    <row r="168" spans="1:9" s="173" customFormat="1" ht="17">
      <c r="A168" s="291">
        <v>166</v>
      </c>
      <c r="B168" s="290" t="s">
        <v>2815</v>
      </c>
      <c r="C168" s="243" t="s">
        <v>4164</v>
      </c>
      <c r="D168" s="244" t="s">
        <v>3373</v>
      </c>
      <c r="E168" s="242" t="s">
        <v>2792</v>
      </c>
      <c r="F168" s="242" t="s">
        <v>2793</v>
      </c>
      <c r="G168" s="208"/>
      <c r="H168" s="209"/>
      <c r="I168" s="209"/>
    </row>
    <row r="169" spans="1:9" s="173" customFormat="1" ht="51">
      <c r="A169" s="291">
        <v>167</v>
      </c>
      <c r="B169" s="290" t="s">
        <v>2815</v>
      </c>
      <c r="C169" s="243" t="s">
        <v>4234</v>
      </c>
      <c r="D169" s="244" t="s">
        <v>3156</v>
      </c>
      <c r="E169" s="242" t="s">
        <v>3789</v>
      </c>
      <c r="F169" s="242" t="s">
        <v>3585</v>
      </c>
      <c r="G169" s="208"/>
      <c r="H169" s="209"/>
      <c r="I169" s="209"/>
    </row>
    <row r="170" spans="1:9" s="173" customFormat="1" ht="17">
      <c r="A170" s="291">
        <v>168</v>
      </c>
      <c r="B170" s="290" t="s">
        <v>2814</v>
      </c>
      <c r="C170" s="243" t="s">
        <v>4235</v>
      </c>
      <c r="D170" s="244" t="s">
        <v>3156</v>
      </c>
      <c r="E170" s="242" t="s">
        <v>4068</v>
      </c>
      <c r="F170" s="242" t="s">
        <v>3772</v>
      </c>
      <c r="G170" s="208"/>
      <c r="H170" s="209"/>
      <c r="I170" s="209"/>
    </row>
    <row r="171" spans="1:9" s="173" customFormat="1" ht="34">
      <c r="A171" s="291">
        <v>169</v>
      </c>
      <c r="B171" s="290" t="s">
        <v>2815</v>
      </c>
      <c r="C171" s="243" t="s">
        <v>4165</v>
      </c>
      <c r="D171" s="244" t="s">
        <v>3574</v>
      </c>
      <c r="E171" s="242" t="s">
        <v>2792</v>
      </c>
      <c r="F171" s="242" t="s">
        <v>2793</v>
      </c>
      <c r="G171" s="208"/>
      <c r="H171" s="209"/>
      <c r="I171" s="209"/>
    </row>
    <row r="172" spans="1:9" s="173" customFormat="1" ht="17">
      <c r="A172" s="291">
        <v>170</v>
      </c>
      <c r="B172" s="290" t="s">
        <v>2814</v>
      </c>
      <c r="C172" s="243" t="s">
        <v>4236</v>
      </c>
      <c r="D172" s="244" t="s">
        <v>3156</v>
      </c>
      <c r="E172" s="242" t="s">
        <v>4069</v>
      </c>
      <c r="F172" s="242" t="s">
        <v>3771</v>
      </c>
      <c r="G172" s="208"/>
      <c r="H172" s="209"/>
      <c r="I172" s="209"/>
    </row>
    <row r="173" spans="1:9" s="173" customFormat="1" ht="34">
      <c r="A173" s="291">
        <v>171</v>
      </c>
      <c r="B173" s="290" t="s">
        <v>2815</v>
      </c>
      <c r="C173" s="243" t="s">
        <v>4166</v>
      </c>
      <c r="D173" s="244" t="s">
        <v>3156</v>
      </c>
      <c r="E173" s="242" t="s">
        <v>2792</v>
      </c>
      <c r="F173" s="242" t="s">
        <v>2793</v>
      </c>
      <c r="G173" s="208"/>
      <c r="H173" s="209"/>
      <c r="I173" s="209"/>
    </row>
    <row r="174" spans="1:9" s="173" customFormat="1" ht="51">
      <c r="A174" s="291">
        <v>172</v>
      </c>
      <c r="B174" s="290" t="s">
        <v>2814</v>
      </c>
      <c r="C174" s="243" t="s">
        <v>4167</v>
      </c>
      <c r="D174" s="244" t="s">
        <v>4074</v>
      </c>
      <c r="E174" s="242" t="s">
        <v>2792</v>
      </c>
      <c r="F174" s="242" t="s">
        <v>2793</v>
      </c>
      <c r="G174" s="208"/>
      <c r="H174" s="209"/>
      <c r="I174" s="209"/>
    </row>
    <row r="175" spans="1:9" s="173" customFormat="1" ht="17">
      <c r="A175" s="291">
        <v>173</v>
      </c>
      <c r="B175" s="290" t="s">
        <v>2815</v>
      </c>
      <c r="C175" s="243" t="s">
        <v>4168</v>
      </c>
      <c r="D175" s="244" t="s">
        <v>3373</v>
      </c>
      <c r="E175" s="242" t="s">
        <v>4286</v>
      </c>
      <c r="F175" s="242" t="s">
        <v>4287</v>
      </c>
      <c r="G175" s="208"/>
      <c r="H175" s="209"/>
      <c r="I175" s="209"/>
    </row>
    <row r="176" spans="1:9" s="173" customFormat="1" ht="34">
      <c r="A176" s="291">
        <v>174</v>
      </c>
      <c r="B176" s="290" t="s">
        <v>2814</v>
      </c>
      <c r="C176" s="243" t="s">
        <v>4169</v>
      </c>
      <c r="D176" s="244" t="s">
        <v>3156</v>
      </c>
      <c r="E176" s="242" t="s">
        <v>2793</v>
      </c>
      <c r="F176" s="242" t="s">
        <v>2793</v>
      </c>
      <c r="G176" s="208"/>
      <c r="H176" s="209"/>
      <c r="I176" s="209"/>
    </row>
    <row r="177" spans="1:9" s="173" customFormat="1" ht="17">
      <c r="A177" s="291">
        <v>175</v>
      </c>
      <c r="B177" s="290" t="s">
        <v>2815</v>
      </c>
      <c r="C177" s="243" t="s">
        <v>4170</v>
      </c>
      <c r="D177" s="244" t="s">
        <v>3156</v>
      </c>
      <c r="E177" s="242" t="s">
        <v>4288</v>
      </c>
      <c r="F177" s="242" t="s">
        <v>2793</v>
      </c>
      <c r="G177" s="208"/>
      <c r="H177" s="209"/>
      <c r="I177" s="209"/>
    </row>
    <row r="178" spans="1:9" s="173" customFormat="1" ht="51">
      <c r="A178" s="291">
        <v>176</v>
      </c>
      <c r="B178" s="290" t="s">
        <v>2815</v>
      </c>
      <c r="C178" s="243" t="s">
        <v>4334</v>
      </c>
      <c r="D178" s="244" t="s">
        <v>3575</v>
      </c>
      <c r="E178" s="242" t="s">
        <v>4332</v>
      </c>
      <c r="F178" s="252" t="s">
        <v>4333</v>
      </c>
      <c r="G178" s="208"/>
      <c r="H178" s="209"/>
      <c r="I178" s="209"/>
    </row>
    <row r="179" spans="1:9" s="173" customFormat="1" ht="17">
      <c r="A179" s="291">
        <v>177</v>
      </c>
      <c r="B179" s="290" t="s">
        <v>2815</v>
      </c>
      <c r="C179" s="243" t="s">
        <v>4171</v>
      </c>
      <c r="D179" s="244" t="s">
        <v>3373</v>
      </c>
      <c r="E179" s="242" t="s">
        <v>2793</v>
      </c>
      <c r="F179" s="242" t="s">
        <v>2793</v>
      </c>
      <c r="G179" s="208"/>
      <c r="H179" s="209"/>
      <c r="I179" s="209"/>
    </row>
    <row r="180" spans="1:9" s="173" customFormat="1" ht="17">
      <c r="A180" s="291">
        <v>178</v>
      </c>
      <c r="B180" s="290" t="s">
        <v>2815</v>
      </c>
      <c r="C180" s="243" t="s">
        <v>4172</v>
      </c>
      <c r="D180" s="244" t="s">
        <v>3156</v>
      </c>
      <c r="E180" s="242" t="s">
        <v>2793</v>
      </c>
      <c r="F180" s="242" t="s">
        <v>2793</v>
      </c>
      <c r="G180" s="208"/>
      <c r="H180" s="209"/>
      <c r="I180" s="209"/>
    </row>
    <row r="181" spans="1:9" s="173" customFormat="1" ht="51">
      <c r="A181" s="291">
        <v>179</v>
      </c>
      <c r="B181" s="290" t="s">
        <v>2815</v>
      </c>
      <c r="C181" s="243" t="s">
        <v>4173</v>
      </c>
      <c r="D181" s="244" t="s">
        <v>3574</v>
      </c>
      <c r="E181" s="242" t="s">
        <v>2793</v>
      </c>
      <c r="F181" s="242" t="s">
        <v>2793</v>
      </c>
      <c r="G181" s="208"/>
      <c r="H181" s="209"/>
      <c r="I181" s="209"/>
    </row>
    <row r="182" spans="1:9" s="173" customFormat="1" ht="34">
      <c r="A182" s="291">
        <v>180</v>
      </c>
      <c r="B182" s="290" t="s">
        <v>2815</v>
      </c>
      <c r="C182" s="243" t="s">
        <v>4237</v>
      </c>
      <c r="D182" s="244" t="s">
        <v>3156</v>
      </c>
      <c r="E182" s="242" t="s">
        <v>2793</v>
      </c>
      <c r="F182" s="242" t="s">
        <v>2793</v>
      </c>
      <c r="G182" s="208"/>
      <c r="H182" s="209"/>
      <c r="I182" s="209"/>
    </row>
    <row r="183" spans="1:9" s="173" customFormat="1" ht="17">
      <c r="A183" s="291">
        <v>181</v>
      </c>
      <c r="B183" s="290" t="s">
        <v>2814</v>
      </c>
      <c r="C183" s="243" t="s">
        <v>4174</v>
      </c>
      <c r="D183" s="244" t="s">
        <v>3156</v>
      </c>
      <c r="E183" s="242" t="s">
        <v>2793</v>
      </c>
      <c r="F183" s="242" t="s">
        <v>2793</v>
      </c>
      <c r="G183" s="208"/>
      <c r="H183" s="209"/>
      <c r="I183" s="209"/>
    </row>
    <row r="184" spans="1:9" s="173" customFormat="1" ht="34">
      <c r="A184" s="291">
        <v>182</v>
      </c>
      <c r="B184" s="290" t="s">
        <v>2814</v>
      </c>
      <c r="C184" s="243" t="s">
        <v>4175</v>
      </c>
      <c r="D184" s="244" t="s">
        <v>3156</v>
      </c>
      <c r="E184" s="242" t="s">
        <v>2793</v>
      </c>
      <c r="F184" s="242" t="s">
        <v>2793</v>
      </c>
      <c r="G184" s="208"/>
      <c r="H184" s="209"/>
      <c r="I184" s="209"/>
    </row>
    <row r="185" spans="1:9" s="173" customFormat="1" ht="17">
      <c r="A185" s="291">
        <v>183</v>
      </c>
      <c r="B185" s="290" t="s">
        <v>2814</v>
      </c>
      <c r="C185" s="243" t="s">
        <v>4238</v>
      </c>
      <c r="D185" s="244" t="s">
        <v>3156</v>
      </c>
      <c r="E185" s="242" t="s">
        <v>2793</v>
      </c>
      <c r="F185" s="242" t="s">
        <v>2793</v>
      </c>
      <c r="G185" s="208"/>
      <c r="H185" s="209"/>
      <c r="I185" s="209"/>
    </row>
    <row r="186" spans="1:9" s="173" customFormat="1" ht="17">
      <c r="A186" s="291">
        <v>184</v>
      </c>
      <c r="B186" s="290" t="s">
        <v>2814</v>
      </c>
      <c r="C186" s="243" t="s">
        <v>4239</v>
      </c>
      <c r="D186" s="244" t="s">
        <v>3156</v>
      </c>
      <c r="E186" s="242" t="s">
        <v>2793</v>
      </c>
      <c r="F186" s="242" t="s">
        <v>2793</v>
      </c>
      <c r="G186" s="208"/>
      <c r="H186" s="209"/>
      <c r="I186" s="209"/>
    </row>
    <row r="187" spans="1:9" s="173" customFormat="1" ht="17">
      <c r="A187" s="291">
        <v>185</v>
      </c>
      <c r="B187" s="290" t="s">
        <v>2814</v>
      </c>
      <c r="C187" s="243" t="s">
        <v>4240</v>
      </c>
      <c r="D187" s="244" t="s">
        <v>3156</v>
      </c>
      <c r="E187" s="242" t="s">
        <v>2793</v>
      </c>
      <c r="F187" s="242" t="s">
        <v>2793</v>
      </c>
      <c r="G187" s="208"/>
      <c r="H187" s="209"/>
      <c r="I187" s="209"/>
    </row>
    <row r="188" spans="1:9" s="173" customFormat="1" ht="17">
      <c r="A188" s="291">
        <v>186</v>
      </c>
      <c r="B188" s="290" t="s">
        <v>2815</v>
      </c>
      <c r="C188" s="243" t="s">
        <v>4241</v>
      </c>
      <c r="D188" s="244" t="s">
        <v>3156</v>
      </c>
      <c r="E188" s="242" t="s">
        <v>2793</v>
      </c>
      <c r="F188" s="242" t="s">
        <v>2793</v>
      </c>
      <c r="G188" s="208"/>
      <c r="H188" s="209"/>
      <c r="I188" s="209"/>
    </row>
    <row r="189" spans="1:9" s="173" customFormat="1" ht="51">
      <c r="A189" s="291">
        <v>187</v>
      </c>
      <c r="B189" s="290" t="s">
        <v>2814</v>
      </c>
      <c r="C189" s="243" t="s">
        <v>4176</v>
      </c>
      <c r="D189" s="244" t="s">
        <v>3156</v>
      </c>
      <c r="E189" s="242" t="s">
        <v>2793</v>
      </c>
      <c r="F189" s="242" t="s">
        <v>2793</v>
      </c>
      <c r="G189" s="208"/>
      <c r="H189" s="209"/>
      <c r="I189" s="209"/>
    </row>
    <row r="190" spans="1:9" s="173" customFormat="1" ht="17">
      <c r="A190" s="291">
        <v>188</v>
      </c>
      <c r="B190" s="290" t="s">
        <v>2815</v>
      </c>
      <c r="C190" s="243" t="s">
        <v>4177</v>
      </c>
      <c r="D190" s="244" t="s">
        <v>3156</v>
      </c>
      <c r="E190" s="242" t="s">
        <v>2793</v>
      </c>
      <c r="F190" s="242" t="s">
        <v>2793</v>
      </c>
      <c r="G190" s="208"/>
      <c r="H190" s="209"/>
      <c r="I190" s="209"/>
    </row>
    <row r="191" spans="1:9" s="173" customFormat="1" ht="17">
      <c r="A191" s="291">
        <v>189</v>
      </c>
      <c r="B191" s="290" t="s">
        <v>2815</v>
      </c>
      <c r="C191" s="243" t="s">
        <v>4178</v>
      </c>
      <c r="D191" s="244" t="s">
        <v>3156</v>
      </c>
      <c r="E191" s="242" t="s">
        <v>2793</v>
      </c>
      <c r="F191" s="242" t="s">
        <v>2793</v>
      </c>
      <c r="G191" s="208"/>
      <c r="H191" s="209"/>
      <c r="I191" s="209"/>
    </row>
    <row r="192" spans="1:9" s="173" customFormat="1" ht="17">
      <c r="A192" s="291">
        <v>190</v>
      </c>
      <c r="B192" s="290" t="s">
        <v>2814</v>
      </c>
      <c r="C192" s="243" t="s">
        <v>4179</v>
      </c>
      <c r="D192" s="244" t="s">
        <v>3156</v>
      </c>
      <c r="E192" s="242" t="s">
        <v>2793</v>
      </c>
      <c r="F192" s="242" t="s">
        <v>2793</v>
      </c>
      <c r="G192" s="208"/>
      <c r="H192" s="209"/>
      <c r="I192" s="209"/>
    </row>
    <row r="193" spans="1:6" s="173" customFormat="1" ht="17">
      <c r="A193" s="208"/>
      <c r="B193" s="290"/>
      <c r="C193" s="243" t="s">
        <v>3774</v>
      </c>
      <c r="D193" s="247"/>
      <c r="E193" s="242">
        <v>0</v>
      </c>
      <c r="F193" s="242">
        <v>0</v>
      </c>
    </row>
    <row r="194" spans="1:6" s="173" customFormat="1">
      <c r="A194" s="208"/>
      <c r="B194" s="290"/>
      <c r="C194" s="2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4AA94-4E6D-2B49-947C-020EA9860A68}">
  <dimension ref="A1:L451"/>
  <sheetViews>
    <sheetView workbookViewId="0">
      <selection activeCell="A2" sqref="A2"/>
    </sheetView>
  </sheetViews>
  <sheetFormatPr baseColWidth="10" defaultRowHeight="16"/>
  <cols>
    <col min="2" max="2" width="13.33203125" customWidth="1"/>
    <col min="3" max="3" width="14.1640625" customWidth="1"/>
    <col min="4" max="4" width="16" customWidth="1"/>
    <col min="5" max="5" width="16.83203125" bestFit="1" customWidth="1"/>
    <col min="6" max="6" width="18.1640625" bestFit="1" customWidth="1"/>
    <col min="7" max="7" width="19.5" bestFit="1" customWidth="1"/>
    <col min="8" max="8" width="20.83203125" bestFit="1" customWidth="1"/>
    <col min="9" max="9" width="22.33203125" bestFit="1" customWidth="1"/>
  </cols>
  <sheetData>
    <row r="1" spans="1:12" s="99" customFormat="1" ht="34" customHeight="1">
      <c r="A1" s="99" t="str">
        <f>'Hatch&amp;Match Details'!A1</f>
        <v>LOYD #</v>
      </c>
      <c r="B1" s="99" t="s">
        <v>793</v>
      </c>
      <c r="C1" s="99" t="s">
        <v>4787</v>
      </c>
      <c r="D1" s="99" t="s">
        <v>4788</v>
      </c>
      <c r="E1" s="99" t="s">
        <v>4789</v>
      </c>
      <c r="F1" s="99" t="s">
        <v>4790</v>
      </c>
      <c r="G1" s="99" t="s">
        <v>4791</v>
      </c>
      <c r="H1" s="99" t="str">
        <f>_xlfn.CONCAT("G",G1)</f>
        <v>GGGGGG Father Loyd #</v>
      </c>
      <c r="I1" s="99" t="str">
        <f>_xlfn.CONCAT("G",H1)</f>
        <v>GGGGGGG Father Loyd #</v>
      </c>
      <c r="J1" s="99" t="str">
        <f>_xlfn.CONCAT("G",I1)</f>
        <v>GGGGGGGG Father Loyd #</v>
      </c>
      <c r="K1" s="99" t="str">
        <f>_xlfn.CONCAT("G",J1)</f>
        <v>GGGGGGGGG Father Loyd #</v>
      </c>
      <c r="L1" s="99" t="s">
        <v>2351</v>
      </c>
    </row>
    <row r="2" spans="1:12">
      <c r="A2" s="117">
        <f>'Hatch&amp;Match Details'!A3</f>
        <v>0</v>
      </c>
      <c r="B2" s="143">
        <f>VLOOKUP(Lineage!A2,'Loyd List 1-190 - Edit'!$P$1:$R$192,3,FALSE)</f>
        <v>-1</v>
      </c>
      <c r="C2" t="str">
        <f>IF(ISNA(VLOOKUP(B2,$A$2:$B$200,2,FALSE)),"",VLOOKUP(B2,$A$2:$B$200,2,FALSE))</f>
        <v/>
      </c>
      <c r="D2" t="str">
        <f>IF(ISNA(VLOOKUP(C2,$A$2:$B$200,2,FALSE)),"",VLOOKUP(C2,$A$2:$B$200,2,FALSE))</f>
        <v/>
      </c>
      <c r="E2" t="str">
        <f>IF(ISNA(VLOOKUP(D2,$A$2:$B$200,2,FALSE)),"",VLOOKUP(D2,$A$2:$B$200,2,FALSE))</f>
        <v/>
      </c>
      <c r="F2" t="str">
        <f t="shared" ref="F2:I2" si="0">IF(ISNA(VLOOKUP(E2,$A$2:$B$200,2,FALSE)),"",VLOOKUP(E2,$A$2:$B$200,2,FALSE))</f>
        <v/>
      </c>
      <c r="G2" t="str">
        <f t="shared" si="0"/>
        <v/>
      </c>
      <c r="H2" t="str">
        <f t="shared" si="0"/>
        <v/>
      </c>
      <c r="I2" t="str">
        <f t="shared" si="0"/>
        <v/>
      </c>
      <c r="J2" t="str">
        <f t="shared" ref="J2:K2" si="1">IF(ISNA(VLOOKUP(I2,$A$2:$B$200,2,FALSE)),"",VLOOKUP(I2,$A$2:$B$200,2,FALSE))</f>
        <v/>
      </c>
      <c r="K2" t="str">
        <f t="shared" si="1"/>
        <v/>
      </c>
      <c r="L2" s="116">
        <f>COUNTIF(B2:K2,"&gt;0")-1</f>
        <v>-1</v>
      </c>
    </row>
    <row r="3" spans="1:12">
      <c r="A3" s="117">
        <f>'Hatch&amp;Match Details'!A4</f>
        <v>1</v>
      </c>
      <c r="B3" s="143">
        <f>VLOOKUP(Lineage!A3,'Loyd List 1-190 - Edit'!$P$1:$R$192,3,FALSE)</f>
        <v>0</v>
      </c>
      <c r="C3">
        <f t="shared" ref="C3:E66" si="2">IF(ISNA(VLOOKUP(B3,$A$2:$B$200,2,FALSE)),"",VLOOKUP(B3,$A$2:$B$200,2,FALSE))</f>
        <v>-1</v>
      </c>
      <c r="D3" t="str">
        <f t="shared" si="2"/>
        <v/>
      </c>
      <c r="E3" t="str">
        <f t="shared" si="2"/>
        <v/>
      </c>
      <c r="F3" t="str">
        <f t="shared" ref="F3:I3" si="3">IF(ISNA(VLOOKUP(E3,$A$2:$B$200,2,FALSE)),"",VLOOKUP(E3,$A$2:$B$200,2,FALSE))</f>
        <v/>
      </c>
      <c r="G3" t="str">
        <f t="shared" si="3"/>
        <v/>
      </c>
      <c r="H3" t="str">
        <f t="shared" si="3"/>
        <v/>
      </c>
      <c r="I3" t="str">
        <f t="shared" si="3"/>
        <v/>
      </c>
      <c r="J3" t="str">
        <f t="shared" ref="J3:K3" si="4">IF(ISNA(VLOOKUP(I3,$A$2:$B$200,2,FALSE)),"",VLOOKUP(I3,$A$2:$B$200,2,FALSE))</f>
        <v/>
      </c>
      <c r="K3" t="str">
        <f t="shared" si="4"/>
        <v/>
      </c>
      <c r="L3" s="116">
        <f t="shared" ref="L3:L66" si="5">COUNTIF(B3:K3,"&gt;0")</f>
        <v>0</v>
      </c>
    </row>
    <row r="4" spans="1:12">
      <c r="A4" s="117">
        <f>'Hatch&amp;Match Details'!A5</f>
        <v>2</v>
      </c>
      <c r="B4" s="143">
        <f>VLOOKUP(Lineage!A4,'Loyd List 1-190 - Edit'!$P$1:$R$192,3,FALSE)</f>
        <v>1</v>
      </c>
      <c r="C4">
        <f t="shared" si="2"/>
        <v>0</v>
      </c>
      <c r="D4">
        <f t="shared" si="2"/>
        <v>-1</v>
      </c>
      <c r="E4" t="str">
        <f t="shared" si="2"/>
        <v/>
      </c>
      <c r="F4" t="str">
        <f t="shared" ref="F4:I4" si="6">IF(ISNA(VLOOKUP(E4,$A$2:$B$200,2,FALSE)),"",VLOOKUP(E4,$A$2:$B$200,2,FALSE))</f>
        <v/>
      </c>
      <c r="G4" t="str">
        <f t="shared" si="6"/>
        <v/>
      </c>
      <c r="H4" t="str">
        <f t="shared" si="6"/>
        <v/>
      </c>
      <c r="I4" t="str">
        <f t="shared" si="6"/>
        <v/>
      </c>
      <c r="J4" t="str">
        <f t="shared" ref="J4:K4" si="7">IF(ISNA(VLOOKUP(I4,$A$2:$B$200,2,FALSE)),"",VLOOKUP(I4,$A$2:$B$200,2,FALSE))</f>
        <v/>
      </c>
      <c r="K4" t="str">
        <f t="shared" si="7"/>
        <v/>
      </c>
      <c r="L4" s="116">
        <f t="shared" si="5"/>
        <v>1</v>
      </c>
    </row>
    <row r="5" spans="1:12">
      <c r="A5" s="117">
        <f>'Hatch&amp;Match Details'!A6</f>
        <v>3</v>
      </c>
      <c r="B5" s="143">
        <f>VLOOKUP(Lineage!A5,'Loyd List 1-190 - Edit'!$P$1:$R$192,3,FALSE)</f>
        <v>1</v>
      </c>
      <c r="C5">
        <f t="shared" si="2"/>
        <v>0</v>
      </c>
      <c r="D5">
        <f t="shared" si="2"/>
        <v>-1</v>
      </c>
      <c r="E5" t="str">
        <f t="shared" si="2"/>
        <v/>
      </c>
      <c r="F5" t="str">
        <f t="shared" ref="F5:I5" si="8">IF(ISNA(VLOOKUP(E5,$A$2:$B$200,2,FALSE)),"",VLOOKUP(E5,$A$2:$B$200,2,FALSE))</f>
        <v/>
      </c>
      <c r="G5" t="str">
        <f t="shared" si="8"/>
        <v/>
      </c>
      <c r="H5" t="str">
        <f t="shared" si="8"/>
        <v/>
      </c>
      <c r="I5" t="str">
        <f t="shared" si="8"/>
        <v/>
      </c>
      <c r="J5" t="str">
        <f t="shared" ref="J5:K5" si="9">IF(ISNA(VLOOKUP(I5,$A$2:$B$200,2,FALSE)),"",VLOOKUP(I5,$A$2:$B$200,2,FALSE))</f>
        <v/>
      </c>
      <c r="K5" t="str">
        <f t="shared" si="9"/>
        <v/>
      </c>
      <c r="L5" s="116">
        <f t="shared" si="5"/>
        <v>1</v>
      </c>
    </row>
    <row r="6" spans="1:12">
      <c r="A6" s="117">
        <f>'Hatch&amp;Match Details'!A7</f>
        <v>4</v>
      </c>
      <c r="B6" s="143">
        <f>VLOOKUP(Lineage!A6,'Loyd List 1-190 - Edit'!$P$1:$R$192,3,FALSE)</f>
        <v>1</v>
      </c>
      <c r="C6">
        <f t="shared" si="2"/>
        <v>0</v>
      </c>
      <c r="D6">
        <f t="shared" si="2"/>
        <v>-1</v>
      </c>
      <c r="E6" t="str">
        <f t="shared" si="2"/>
        <v/>
      </c>
      <c r="F6" t="str">
        <f t="shared" ref="F6:I6" si="10">IF(ISNA(VLOOKUP(E6,$A$2:$B$200,2,FALSE)),"",VLOOKUP(E6,$A$2:$B$200,2,FALSE))</f>
        <v/>
      </c>
      <c r="G6" t="str">
        <f t="shared" si="10"/>
        <v/>
      </c>
      <c r="H6" t="str">
        <f t="shared" si="10"/>
        <v/>
      </c>
      <c r="I6" t="str">
        <f t="shared" si="10"/>
        <v/>
      </c>
      <c r="J6" t="str">
        <f t="shared" ref="J6:K6" si="11">IF(ISNA(VLOOKUP(I6,$A$2:$B$200,2,FALSE)),"",VLOOKUP(I6,$A$2:$B$200,2,FALSE))</f>
        <v/>
      </c>
      <c r="K6" t="str">
        <f t="shared" si="11"/>
        <v/>
      </c>
      <c r="L6" s="116">
        <f t="shared" si="5"/>
        <v>1</v>
      </c>
    </row>
    <row r="7" spans="1:12">
      <c r="A7" s="117">
        <f>'Hatch&amp;Match Details'!A8</f>
        <v>5</v>
      </c>
      <c r="B7" s="143">
        <f>VLOOKUP(Lineage!A7,'Loyd List 1-190 - Edit'!$P$1:$R$192,3,FALSE)</f>
        <v>1</v>
      </c>
      <c r="C7">
        <f t="shared" si="2"/>
        <v>0</v>
      </c>
      <c r="D7">
        <f t="shared" si="2"/>
        <v>-1</v>
      </c>
      <c r="E7" t="str">
        <f t="shared" si="2"/>
        <v/>
      </c>
      <c r="F7" t="str">
        <f t="shared" ref="F7:I7" si="12">IF(ISNA(VLOOKUP(E7,$A$2:$B$200,2,FALSE)),"",VLOOKUP(E7,$A$2:$B$200,2,FALSE))</f>
        <v/>
      </c>
      <c r="G7" t="str">
        <f t="shared" si="12"/>
        <v/>
      </c>
      <c r="H7" t="str">
        <f t="shared" si="12"/>
        <v/>
      </c>
      <c r="I7" t="str">
        <f t="shared" si="12"/>
        <v/>
      </c>
      <c r="J7" t="str">
        <f t="shared" ref="J7:K7" si="13">IF(ISNA(VLOOKUP(I7,$A$2:$B$200,2,FALSE)),"",VLOOKUP(I7,$A$2:$B$200,2,FALSE))</f>
        <v/>
      </c>
      <c r="K7" t="str">
        <f t="shared" si="13"/>
        <v/>
      </c>
      <c r="L7" s="116">
        <f t="shared" si="5"/>
        <v>1</v>
      </c>
    </row>
    <row r="8" spans="1:12">
      <c r="A8" s="117">
        <f>'Hatch&amp;Match Details'!A9</f>
        <v>6</v>
      </c>
      <c r="B8" s="143">
        <f>VLOOKUP(Lineage!A8,'Loyd List 1-190 - Edit'!$P$1:$R$192,3,FALSE)</f>
        <v>1</v>
      </c>
      <c r="C8">
        <f t="shared" si="2"/>
        <v>0</v>
      </c>
      <c r="D8">
        <f t="shared" si="2"/>
        <v>-1</v>
      </c>
      <c r="E8" t="str">
        <f t="shared" si="2"/>
        <v/>
      </c>
      <c r="F8" t="str">
        <f t="shared" ref="F8:I8" si="14">IF(ISNA(VLOOKUP(E8,$A$2:$B$200,2,FALSE)),"",VLOOKUP(E8,$A$2:$B$200,2,FALSE))</f>
        <v/>
      </c>
      <c r="G8" t="str">
        <f t="shared" si="14"/>
        <v/>
      </c>
      <c r="H8" t="str">
        <f t="shared" si="14"/>
        <v/>
      </c>
      <c r="I8" t="str">
        <f t="shared" si="14"/>
        <v/>
      </c>
      <c r="J8" t="str">
        <f t="shared" ref="J8:K8" si="15">IF(ISNA(VLOOKUP(I8,$A$2:$B$200,2,FALSE)),"",VLOOKUP(I8,$A$2:$B$200,2,FALSE))</f>
        <v/>
      </c>
      <c r="K8" t="str">
        <f t="shared" si="15"/>
        <v/>
      </c>
      <c r="L8" s="116">
        <f t="shared" si="5"/>
        <v>1</v>
      </c>
    </row>
    <row r="9" spans="1:12">
      <c r="A9" s="117">
        <f>'Hatch&amp;Match Details'!A10</f>
        <v>7</v>
      </c>
      <c r="B9" s="143">
        <f>VLOOKUP(Lineage!A9,'Loyd List 1-190 - Edit'!$P$1:$R$192,3,FALSE)</f>
        <v>1</v>
      </c>
      <c r="C9">
        <f t="shared" si="2"/>
        <v>0</v>
      </c>
      <c r="D9">
        <f t="shared" si="2"/>
        <v>-1</v>
      </c>
      <c r="E9" t="str">
        <f t="shared" si="2"/>
        <v/>
      </c>
      <c r="F9" t="str">
        <f t="shared" ref="F9:I9" si="16">IF(ISNA(VLOOKUP(E9,$A$2:$B$200,2,FALSE)),"",VLOOKUP(E9,$A$2:$B$200,2,FALSE))</f>
        <v/>
      </c>
      <c r="G9" t="str">
        <f t="shared" si="16"/>
        <v/>
      </c>
      <c r="H9" t="str">
        <f t="shared" si="16"/>
        <v/>
      </c>
      <c r="I9" t="str">
        <f t="shared" si="16"/>
        <v/>
      </c>
      <c r="J9" t="str">
        <f t="shared" ref="J9:K9" si="17">IF(ISNA(VLOOKUP(I9,$A$2:$B$200,2,FALSE)),"",VLOOKUP(I9,$A$2:$B$200,2,FALSE))</f>
        <v/>
      </c>
      <c r="K9" t="str">
        <f t="shared" si="17"/>
        <v/>
      </c>
      <c r="L9" s="116">
        <f t="shared" si="5"/>
        <v>1</v>
      </c>
    </row>
    <row r="10" spans="1:12">
      <c r="A10" s="117">
        <f>'Hatch&amp;Match Details'!A11</f>
        <v>8</v>
      </c>
      <c r="B10" s="143">
        <f>VLOOKUP(Lineage!A10,'Loyd List 1-190 - Edit'!$P$1:$R$192,3,FALSE)</f>
        <v>1</v>
      </c>
      <c r="C10">
        <f t="shared" si="2"/>
        <v>0</v>
      </c>
      <c r="D10">
        <f t="shared" si="2"/>
        <v>-1</v>
      </c>
      <c r="E10" t="str">
        <f t="shared" si="2"/>
        <v/>
      </c>
      <c r="F10" t="str">
        <f t="shared" ref="F10:I10" si="18">IF(ISNA(VLOOKUP(E10,$A$2:$B$200,2,FALSE)),"",VLOOKUP(E10,$A$2:$B$200,2,FALSE))</f>
        <v/>
      </c>
      <c r="G10" t="str">
        <f t="shared" si="18"/>
        <v/>
      </c>
      <c r="H10" t="str">
        <f t="shared" si="18"/>
        <v/>
      </c>
      <c r="I10" t="str">
        <f t="shared" si="18"/>
        <v/>
      </c>
      <c r="J10" t="str">
        <f t="shared" ref="J10:K10" si="19">IF(ISNA(VLOOKUP(I10,$A$2:$B$200,2,FALSE)),"",VLOOKUP(I10,$A$2:$B$200,2,FALSE))</f>
        <v/>
      </c>
      <c r="K10" t="str">
        <f t="shared" si="19"/>
        <v/>
      </c>
      <c r="L10" s="116">
        <f t="shared" si="5"/>
        <v>1</v>
      </c>
    </row>
    <row r="11" spans="1:12">
      <c r="A11" s="117">
        <f>'Hatch&amp;Match Details'!A12</f>
        <v>9</v>
      </c>
      <c r="B11" s="143">
        <f>VLOOKUP(Lineage!A11,'Loyd List 1-190 - Edit'!$P$1:$R$192,3,FALSE)</f>
        <v>3</v>
      </c>
      <c r="C11">
        <f t="shared" si="2"/>
        <v>1</v>
      </c>
      <c r="D11">
        <f t="shared" si="2"/>
        <v>0</v>
      </c>
      <c r="E11">
        <f t="shared" si="2"/>
        <v>-1</v>
      </c>
      <c r="F11" t="str">
        <f t="shared" ref="F11:I11" si="20">IF(ISNA(VLOOKUP(E11,$A$2:$B$200,2,FALSE)),"",VLOOKUP(E11,$A$2:$B$200,2,FALSE))</f>
        <v/>
      </c>
      <c r="G11" t="str">
        <f t="shared" si="20"/>
        <v/>
      </c>
      <c r="H11" t="str">
        <f t="shared" si="20"/>
        <v/>
      </c>
      <c r="I11" t="str">
        <f t="shared" si="20"/>
        <v/>
      </c>
      <c r="J11" t="str">
        <f t="shared" ref="J11:K11" si="21">IF(ISNA(VLOOKUP(I11,$A$2:$B$200,2,FALSE)),"",VLOOKUP(I11,$A$2:$B$200,2,FALSE))</f>
        <v/>
      </c>
      <c r="K11" t="str">
        <f t="shared" si="21"/>
        <v/>
      </c>
      <c r="L11" s="116">
        <f t="shared" si="5"/>
        <v>2</v>
      </c>
    </row>
    <row r="12" spans="1:12">
      <c r="A12" s="117">
        <f>'Hatch&amp;Match Details'!A13</f>
        <v>10</v>
      </c>
      <c r="B12" s="143">
        <f>VLOOKUP(Lineage!A12,'Loyd List 1-190 - Edit'!$P$1:$R$192,3,FALSE)</f>
        <v>4</v>
      </c>
      <c r="C12">
        <f t="shared" si="2"/>
        <v>1</v>
      </c>
      <c r="D12">
        <f t="shared" si="2"/>
        <v>0</v>
      </c>
      <c r="E12">
        <f t="shared" si="2"/>
        <v>-1</v>
      </c>
      <c r="F12" t="str">
        <f t="shared" ref="F12:I12" si="22">IF(ISNA(VLOOKUP(E12,$A$2:$B$200,2,FALSE)),"",VLOOKUP(E12,$A$2:$B$200,2,FALSE))</f>
        <v/>
      </c>
      <c r="G12" t="str">
        <f t="shared" si="22"/>
        <v/>
      </c>
      <c r="H12" t="str">
        <f t="shared" si="22"/>
        <v/>
      </c>
      <c r="I12" t="str">
        <f t="shared" si="22"/>
        <v/>
      </c>
      <c r="J12" t="str">
        <f t="shared" ref="J12:K12" si="23">IF(ISNA(VLOOKUP(I12,$A$2:$B$200,2,FALSE)),"",VLOOKUP(I12,$A$2:$B$200,2,FALSE))</f>
        <v/>
      </c>
      <c r="K12" t="str">
        <f t="shared" si="23"/>
        <v/>
      </c>
      <c r="L12" s="116">
        <f t="shared" si="5"/>
        <v>2</v>
      </c>
    </row>
    <row r="13" spans="1:12">
      <c r="A13" s="117">
        <f>'Hatch&amp;Match Details'!A14</f>
        <v>11</v>
      </c>
      <c r="B13" s="143">
        <f>VLOOKUP(Lineage!A13,'Loyd List 1-190 - Edit'!$P$1:$R$192,3,FALSE)</f>
        <v>8</v>
      </c>
      <c r="C13">
        <f t="shared" si="2"/>
        <v>1</v>
      </c>
      <c r="D13">
        <f t="shared" si="2"/>
        <v>0</v>
      </c>
      <c r="E13">
        <f t="shared" si="2"/>
        <v>-1</v>
      </c>
      <c r="F13" t="str">
        <f t="shared" ref="F13:I13" si="24">IF(ISNA(VLOOKUP(E13,$A$2:$B$200,2,FALSE)),"",VLOOKUP(E13,$A$2:$B$200,2,FALSE))</f>
        <v/>
      </c>
      <c r="G13" t="str">
        <f t="shared" si="24"/>
        <v/>
      </c>
      <c r="H13" t="str">
        <f t="shared" si="24"/>
        <v/>
      </c>
      <c r="I13" t="str">
        <f t="shared" si="24"/>
        <v/>
      </c>
      <c r="J13" t="str">
        <f t="shared" ref="J13:K13" si="25">IF(ISNA(VLOOKUP(I13,$A$2:$B$200,2,FALSE)),"",VLOOKUP(I13,$A$2:$B$200,2,FALSE))</f>
        <v/>
      </c>
      <c r="K13" t="str">
        <f t="shared" si="25"/>
        <v/>
      </c>
      <c r="L13" s="116">
        <f t="shared" si="5"/>
        <v>2</v>
      </c>
    </row>
    <row r="14" spans="1:12">
      <c r="A14" s="117">
        <f>'Hatch&amp;Match Details'!A15</f>
        <v>12</v>
      </c>
      <c r="B14" s="143">
        <f>VLOOKUP(Lineage!A14,'Loyd List 1-190 - Edit'!$P$1:$R$192,3,FALSE)</f>
        <v>4</v>
      </c>
      <c r="C14">
        <f t="shared" si="2"/>
        <v>1</v>
      </c>
      <c r="D14">
        <f t="shared" si="2"/>
        <v>0</v>
      </c>
      <c r="E14">
        <f t="shared" si="2"/>
        <v>-1</v>
      </c>
      <c r="F14" t="str">
        <f t="shared" ref="F14:I14" si="26">IF(ISNA(VLOOKUP(E14,$A$2:$B$200,2,FALSE)),"",VLOOKUP(E14,$A$2:$B$200,2,FALSE))</f>
        <v/>
      </c>
      <c r="G14" t="str">
        <f t="shared" si="26"/>
        <v/>
      </c>
      <c r="H14" t="str">
        <f t="shared" si="26"/>
        <v/>
      </c>
      <c r="I14" t="str">
        <f t="shared" si="26"/>
        <v/>
      </c>
      <c r="J14" t="str">
        <f t="shared" ref="J14:K14" si="27">IF(ISNA(VLOOKUP(I14,$A$2:$B$200,2,FALSE)),"",VLOOKUP(I14,$A$2:$B$200,2,FALSE))</f>
        <v/>
      </c>
      <c r="K14" t="str">
        <f t="shared" si="27"/>
        <v/>
      </c>
      <c r="L14" s="116">
        <f t="shared" si="5"/>
        <v>2</v>
      </c>
    </row>
    <row r="15" spans="1:12">
      <c r="A15" s="117">
        <f>'Hatch&amp;Match Details'!A16</f>
        <v>13</v>
      </c>
      <c r="B15" s="143">
        <f>VLOOKUP(Lineage!A15,'Loyd List 1-190 - Edit'!$P$1:$R$192,3,FALSE)</f>
        <v>8</v>
      </c>
      <c r="C15">
        <f t="shared" si="2"/>
        <v>1</v>
      </c>
      <c r="D15">
        <f t="shared" si="2"/>
        <v>0</v>
      </c>
      <c r="E15">
        <f t="shared" si="2"/>
        <v>-1</v>
      </c>
      <c r="F15" t="str">
        <f t="shared" ref="F15:I15" si="28">IF(ISNA(VLOOKUP(E15,$A$2:$B$200,2,FALSE)),"",VLOOKUP(E15,$A$2:$B$200,2,FALSE))</f>
        <v/>
      </c>
      <c r="G15" t="str">
        <f t="shared" si="28"/>
        <v/>
      </c>
      <c r="H15" t="str">
        <f t="shared" si="28"/>
        <v/>
      </c>
      <c r="I15" t="str">
        <f t="shared" si="28"/>
        <v/>
      </c>
      <c r="J15" t="str">
        <f t="shared" ref="J15:K15" si="29">IF(ISNA(VLOOKUP(I15,$A$2:$B$200,2,FALSE)),"",VLOOKUP(I15,$A$2:$B$200,2,FALSE))</f>
        <v/>
      </c>
      <c r="K15" t="str">
        <f t="shared" si="29"/>
        <v/>
      </c>
      <c r="L15" s="116">
        <f t="shared" si="5"/>
        <v>2</v>
      </c>
    </row>
    <row r="16" spans="1:12">
      <c r="A16" s="117">
        <f>'Hatch&amp;Match Details'!A17</f>
        <v>14</v>
      </c>
      <c r="B16" s="143">
        <f>VLOOKUP(Lineage!A16,'Loyd List 1-190 - Edit'!$P$1:$R$192,3,FALSE)</f>
        <v>4</v>
      </c>
      <c r="C16">
        <f t="shared" si="2"/>
        <v>1</v>
      </c>
      <c r="D16">
        <f t="shared" si="2"/>
        <v>0</v>
      </c>
      <c r="E16">
        <f t="shared" si="2"/>
        <v>-1</v>
      </c>
      <c r="F16" t="str">
        <f t="shared" ref="F16:I16" si="30">IF(ISNA(VLOOKUP(E16,$A$2:$B$200,2,FALSE)),"",VLOOKUP(E16,$A$2:$B$200,2,FALSE))</f>
        <v/>
      </c>
      <c r="G16" t="str">
        <f t="shared" si="30"/>
        <v/>
      </c>
      <c r="H16" t="str">
        <f t="shared" si="30"/>
        <v/>
      </c>
      <c r="I16" t="str">
        <f t="shared" si="30"/>
        <v/>
      </c>
      <c r="J16" t="str">
        <f t="shared" ref="J16:K16" si="31">IF(ISNA(VLOOKUP(I16,$A$2:$B$200,2,FALSE)),"",VLOOKUP(I16,$A$2:$B$200,2,FALSE))</f>
        <v/>
      </c>
      <c r="K16" t="str">
        <f t="shared" si="31"/>
        <v/>
      </c>
      <c r="L16" s="116">
        <f t="shared" si="5"/>
        <v>2</v>
      </c>
    </row>
    <row r="17" spans="1:12">
      <c r="A17" s="117">
        <f>'Hatch&amp;Match Details'!A18</f>
        <v>15</v>
      </c>
      <c r="B17" s="143">
        <f>VLOOKUP(Lineage!A17,'Loyd List 1-190 - Edit'!$P$1:$R$192,3,FALSE)</f>
        <v>8</v>
      </c>
      <c r="C17">
        <f t="shared" si="2"/>
        <v>1</v>
      </c>
      <c r="D17">
        <f t="shared" si="2"/>
        <v>0</v>
      </c>
      <c r="E17">
        <f t="shared" si="2"/>
        <v>-1</v>
      </c>
      <c r="F17" t="str">
        <f t="shared" ref="F17:I17" si="32">IF(ISNA(VLOOKUP(E17,$A$2:$B$200,2,FALSE)),"",VLOOKUP(E17,$A$2:$B$200,2,FALSE))</f>
        <v/>
      </c>
      <c r="G17" t="str">
        <f t="shared" si="32"/>
        <v/>
      </c>
      <c r="H17" t="str">
        <f t="shared" si="32"/>
        <v/>
      </c>
      <c r="I17" t="str">
        <f t="shared" si="32"/>
        <v/>
      </c>
      <c r="J17" t="str">
        <f t="shared" ref="J17:K17" si="33">IF(ISNA(VLOOKUP(I17,$A$2:$B$200,2,FALSE)),"",VLOOKUP(I17,$A$2:$B$200,2,FALSE))</f>
        <v/>
      </c>
      <c r="K17" t="str">
        <f t="shared" si="33"/>
        <v/>
      </c>
      <c r="L17" s="116">
        <f t="shared" si="5"/>
        <v>2</v>
      </c>
    </row>
    <row r="18" spans="1:12">
      <c r="A18" s="117">
        <f>'Hatch&amp;Match Details'!A19</f>
        <v>16</v>
      </c>
      <c r="B18" s="143">
        <f>VLOOKUP(Lineage!A18,'Loyd List 1-190 - Edit'!$P$1:$R$192,3,FALSE)</f>
        <v>4</v>
      </c>
      <c r="C18">
        <f t="shared" si="2"/>
        <v>1</v>
      </c>
      <c r="D18">
        <f t="shared" si="2"/>
        <v>0</v>
      </c>
      <c r="E18">
        <f t="shared" si="2"/>
        <v>-1</v>
      </c>
      <c r="F18" t="str">
        <f t="shared" ref="F18:I18" si="34">IF(ISNA(VLOOKUP(E18,$A$2:$B$200,2,FALSE)),"",VLOOKUP(E18,$A$2:$B$200,2,FALSE))</f>
        <v/>
      </c>
      <c r="G18" t="str">
        <f t="shared" si="34"/>
        <v/>
      </c>
      <c r="H18" t="str">
        <f t="shared" si="34"/>
        <v/>
      </c>
      <c r="I18" t="str">
        <f t="shared" si="34"/>
        <v/>
      </c>
      <c r="J18" t="str">
        <f t="shared" ref="J18:K18" si="35">IF(ISNA(VLOOKUP(I18,$A$2:$B$200,2,FALSE)),"",VLOOKUP(I18,$A$2:$B$200,2,FALSE))</f>
        <v/>
      </c>
      <c r="K18" t="str">
        <f t="shared" si="35"/>
        <v/>
      </c>
      <c r="L18" s="116">
        <f t="shared" si="5"/>
        <v>2</v>
      </c>
    </row>
    <row r="19" spans="1:12">
      <c r="A19" s="117">
        <f>'Hatch&amp;Match Details'!A20</f>
        <v>17</v>
      </c>
      <c r="B19" s="143">
        <f>VLOOKUP(Lineage!A19,'Loyd List 1-190 - Edit'!$P$1:$R$192,3,FALSE)</f>
        <v>4</v>
      </c>
      <c r="C19">
        <f t="shared" si="2"/>
        <v>1</v>
      </c>
      <c r="D19">
        <f t="shared" si="2"/>
        <v>0</v>
      </c>
      <c r="E19">
        <f t="shared" si="2"/>
        <v>-1</v>
      </c>
      <c r="F19" t="str">
        <f t="shared" ref="F19:I19" si="36">IF(ISNA(VLOOKUP(E19,$A$2:$B$200,2,FALSE)),"",VLOOKUP(E19,$A$2:$B$200,2,FALSE))</f>
        <v/>
      </c>
      <c r="G19" t="str">
        <f t="shared" si="36"/>
        <v/>
      </c>
      <c r="H19" t="str">
        <f t="shared" si="36"/>
        <v/>
      </c>
      <c r="I19" t="str">
        <f t="shared" si="36"/>
        <v/>
      </c>
      <c r="J19" t="str">
        <f t="shared" ref="J19:K19" si="37">IF(ISNA(VLOOKUP(I19,$A$2:$B$200,2,FALSE)),"",VLOOKUP(I19,$A$2:$B$200,2,FALSE))</f>
        <v/>
      </c>
      <c r="K19" t="str">
        <f t="shared" si="37"/>
        <v/>
      </c>
      <c r="L19" s="116">
        <f t="shared" si="5"/>
        <v>2</v>
      </c>
    </row>
    <row r="20" spans="1:12">
      <c r="A20" s="117">
        <f>'Hatch&amp;Match Details'!A21</f>
        <v>18</v>
      </c>
      <c r="B20" s="143">
        <f>VLOOKUP(Lineage!A20,'Loyd List 1-190 - Edit'!$P$1:$R$192,3,FALSE)</f>
        <v>8</v>
      </c>
      <c r="C20">
        <f t="shared" si="2"/>
        <v>1</v>
      </c>
      <c r="D20">
        <f t="shared" si="2"/>
        <v>0</v>
      </c>
      <c r="E20">
        <f t="shared" si="2"/>
        <v>-1</v>
      </c>
      <c r="F20" t="str">
        <f t="shared" ref="F20:I20" si="38">IF(ISNA(VLOOKUP(E20,$A$2:$B$200,2,FALSE)),"",VLOOKUP(E20,$A$2:$B$200,2,FALSE))</f>
        <v/>
      </c>
      <c r="G20" t="str">
        <f t="shared" si="38"/>
        <v/>
      </c>
      <c r="H20" t="str">
        <f t="shared" si="38"/>
        <v/>
      </c>
      <c r="I20" t="str">
        <f t="shared" si="38"/>
        <v/>
      </c>
      <c r="J20" t="str">
        <f t="shared" ref="J20:K20" si="39">IF(ISNA(VLOOKUP(I20,$A$2:$B$200,2,FALSE)),"",VLOOKUP(I20,$A$2:$B$200,2,FALSE))</f>
        <v/>
      </c>
      <c r="K20" t="str">
        <f t="shared" si="39"/>
        <v/>
      </c>
      <c r="L20" s="116">
        <f t="shared" si="5"/>
        <v>2</v>
      </c>
    </row>
    <row r="21" spans="1:12">
      <c r="A21" s="117">
        <f>'Hatch&amp;Match Details'!A22</f>
        <v>19</v>
      </c>
      <c r="B21" s="143">
        <f>VLOOKUP(Lineage!A21,'Loyd List 1-190 - Edit'!$P$1:$R$192,3,FALSE)</f>
        <v>8</v>
      </c>
      <c r="C21">
        <f t="shared" si="2"/>
        <v>1</v>
      </c>
      <c r="D21">
        <f t="shared" si="2"/>
        <v>0</v>
      </c>
      <c r="E21">
        <f t="shared" si="2"/>
        <v>-1</v>
      </c>
      <c r="F21" t="str">
        <f t="shared" ref="F21:I21" si="40">IF(ISNA(VLOOKUP(E21,$A$2:$B$200,2,FALSE)),"",VLOOKUP(E21,$A$2:$B$200,2,FALSE))</f>
        <v/>
      </c>
      <c r="G21" t="str">
        <f t="shared" si="40"/>
        <v/>
      </c>
      <c r="H21" t="str">
        <f t="shared" si="40"/>
        <v/>
      </c>
      <c r="I21" t="str">
        <f t="shared" si="40"/>
        <v/>
      </c>
      <c r="J21" t="str">
        <f t="shared" ref="J21:K21" si="41">IF(ISNA(VLOOKUP(I21,$A$2:$B$200,2,FALSE)),"",VLOOKUP(I21,$A$2:$B$200,2,FALSE))</f>
        <v/>
      </c>
      <c r="K21" t="str">
        <f t="shared" si="41"/>
        <v/>
      </c>
      <c r="L21" s="116">
        <f t="shared" si="5"/>
        <v>2</v>
      </c>
    </row>
    <row r="22" spans="1:12">
      <c r="A22" s="117">
        <f>'Hatch&amp;Match Details'!A23</f>
        <v>20</v>
      </c>
      <c r="B22" s="143">
        <f>VLOOKUP(Lineage!A22,'Loyd List 1-190 - Edit'!$P$1:$R$192,3,FALSE)</f>
        <v>4</v>
      </c>
      <c r="C22">
        <f t="shared" si="2"/>
        <v>1</v>
      </c>
      <c r="D22">
        <f t="shared" si="2"/>
        <v>0</v>
      </c>
      <c r="E22">
        <f t="shared" si="2"/>
        <v>-1</v>
      </c>
      <c r="F22" t="str">
        <f t="shared" ref="F22:I22" si="42">IF(ISNA(VLOOKUP(E22,$A$2:$B$200,2,FALSE)),"",VLOOKUP(E22,$A$2:$B$200,2,FALSE))</f>
        <v/>
      </c>
      <c r="G22" t="str">
        <f t="shared" si="42"/>
        <v/>
      </c>
      <c r="H22" t="str">
        <f t="shared" si="42"/>
        <v/>
      </c>
      <c r="I22" t="str">
        <f t="shared" si="42"/>
        <v/>
      </c>
      <c r="J22" t="str">
        <f t="shared" ref="J22:K22" si="43">IF(ISNA(VLOOKUP(I22,$A$2:$B$200,2,FALSE)),"",VLOOKUP(I22,$A$2:$B$200,2,FALSE))</f>
        <v/>
      </c>
      <c r="K22" t="str">
        <f t="shared" si="43"/>
        <v/>
      </c>
      <c r="L22" s="116">
        <f t="shared" si="5"/>
        <v>2</v>
      </c>
    </row>
    <row r="23" spans="1:12">
      <c r="A23" s="117">
        <f>'Hatch&amp;Match Details'!A24</f>
        <v>21</v>
      </c>
      <c r="B23" s="143">
        <f>VLOOKUP(Lineage!A23,'Loyd List 1-190 - Edit'!$P$1:$R$192,3,FALSE)</f>
        <v>4</v>
      </c>
      <c r="C23">
        <f t="shared" si="2"/>
        <v>1</v>
      </c>
      <c r="D23">
        <f t="shared" si="2"/>
        <v>0</v>
      </c>
      <c r="E23">
        <f t="shared" si="2"/>
        <v>-1</v>
      </c>
      <c r="F23" t="str">
        <f t="shared" ref="F23:I23" si="44">IF(ISNA(VLOOKUP(E23,$A$2:$B$200,2,FALSE)),"",VLOOKUP(E23,$A$2:$B$200,2,FALSE))</f>
        <v/>
      </c>
      <c r="G23" t="str">
        <f t="shared" si="44"/>
        <v/>
      </c>
      <c r="H23" t="str">
        <f t="shared" si="44"/>
        <v/>
      </c>
      <c r="I23" t="str">
        <f t="shared" si="44"/>
        <v/>
      </c>
      <c r="J23" t="str">
        <f t="shared" ref="J23:K23" si="45">IF(ISNA(VLOOKUP(I23,$A$2:$B$200,2,FALSE)),"",VLOOKUP(I23,$A$2:$B$200,2,FALSE))</f>
        <v/>
      </c>
      <c r="K23" t="str">
        <f t="shared" si="45"/>
        <v/>
      </c>
      <c r="L23" s="116">
        <f t="shared" si="5"/>
        <v>2</v>
      </c>
    </row>
    <row r="24" spans="1:12">
      <c r="A24" s="117">
        <f>'Hatch&amp;Match Details'!A25</f>
        <v>22</v>
      </c>
      <c r="B24" s="143">
        <f>VLOOKUP(Lineage!A24,'Loyd List 1-190 - Edit'!$P$1:$R$192,3,FALSE)</f>
        <v>8</v>
      </c>
      <c r="C24">
        <f t="shared" si="2"/>
        <v>1</v>
      </c>
      <c r="D24">
        <f t="shared" si="2"/>
        <v>0</v>
      </c>
      <c r="E24">
        <f t="shared" si="2"/>
        <v>-1</v>
      </c>
      <c r="F24" t="str">
        <f t="shared" ref="F24:I24" si="46">IF(ISNA(VLOOKUP(E24,$A$2:$B$200,2,FALSE)),"",VLOOKUP(E24,$A$2:$B$200,2,FALSE))</f>
        <v/>
      </c>
      <c r="G24" t="str">
        <f t="shared" si="46"/>
        <v/>
      </c>
      <c r="H24" t="str">
        <f t="shared" si="46"/>
        <v/>
      </c>
      <c r="I24" t="str">
        <f t="shared" si="46"/>
        <v/>
      </c>
      <c r="J24" t="str">
        <f t="shared" ref="J24:K24" si="47">IF(ISNA(VLOOKUP(I24,$A$2:$B$200,2,FALSE)),"",VLOOKUP(I24,$A$2:$B$200,2,FALSE))</f>
        <v/>
      </c>
      <c r="K24" t="str">
        <f t="shared" si="47"/>
        <v/>
      </c>
      <c r="L24" s="116">
        <f t="shared" si="5"/>
        <v>2</v>
      </c>
    </row>
    <row r="25" spans="1:12">
      <c r="A25" s="117">
        <f>'Hatch&amp;Match Details'!A26</f>
        <v>23</v>
      </c>
      <c r="B25" s="143">
        <f>VLOOKUP(Lineage!A25,'Loyd List 1-190 - Edit'!$P$1:$R$192,3,FALSE)</f>
        <v>8</v>
      </c>
      <c r="C25">
        <f t="shared" si="2"/>
        <v>1</v>
      </c>
      <c r="D25">
        <f t="shared" si="2"/>
        <v>0</v>
      </c>
      <c r="E25">
        <f t="shared" si="2"/>
        <v>-1</v>
      </c>
      <c r="F25" t="str">
        <f t="shared" ref="F25:I25" si="48">IF(ISNA(VLOOKUP(E25,$A$2:$B$200,2,FALSE)),"",VLOOKUP(E25,$A$2:$B$200,2,FALSE))</f>
        <v/>
      </c>
      <c r="G25" t="str">
        <f t="shared" si="48"/>
        <v/>
      </c>
      <c r="H25" t="str">
        <f t="shared" si="48"/>
        <v/>
      </c>
      <c r="I25" t="str">
        <f t="shared" si="48"/>
        <v/>
      </c>
      <c r="J25" t="str">
        <f t="shared" ref="J25:K25" si="49">IF(ISNA(VLOOKUP(I25,$A$2:$B$200,2,FALSE)),"",VLOOKUP(I25,$A$2:$B$200,2,FALSE))</f>
        <v/>
      </c>
      <c r="K25" t="str">
        <f t="shared" si="49"/>
        <v/>
      </c>
      <c r="L25" s="116">
        <f t="shared" si="5"/>
        <v>2</v>
      </c>
    </row>
    <row r="26" spans="1:12">
      <c r="A26" s="117">
        <f>'Hatch&amp;Match Details'!A27</f>
        <v>24</v>
      </c>
      <c r="B26" s="143">
        <f>VLOOKUP(Lineage!A26,'Loyd List 1-190 - Edit'!$P$1:$R$192,3,FALSE)</f>
        <v>8</v>
      </c>
      <c r="C26">
        <f t="shared" si="2"/>
        <v>1</v>
      </c>
      <c r="D26">
        <f t="shared" si="2"/>
        <v>0</v>
      </c>
      <c r="E26">
        <f t="shared" si="2"/>
        <v>-1</v>
      </c>
      <c r="F26" t="str">
        <f t="shared" ref="F26:I26" si="50">IF(ISNA(VLOOKUP(E26,$A$2:$B$200,2,FALSE)),"",VLOOKUP(E26,$A$2:$B$200,2,FALSE))</f>
        <v/>
      </c>
      <c r="G26" t="str">
        <f t="shared" si="50"/>
        <v/>
      </c>
      <c r="H26" t="str">
        <f t="shared" si="50"/>
        <v/>
      </c>
      <c r="I26" t="str">
        <f t="shared" si="50"/>
        <v/>
      </c>
      <c r="J26" t="str">
        <f t="shared" ref="J26:K26" si="51">IF(ISNA(VLOOKUP(I26,$A$2:$B$200,2,FALSE)),"",VLOOKUP(I26,$A$2:$B$200,2,FALSE))</f>
        <v/>
      </c>
      <c r="K26" t="str">
        <f t="shared" si="51"/>
        <v/>
      </c>
      <c r="L26" s="116">
        <f t="shared" si="5"/>
        <v>2</v>
      </c>
    </row>
    <row r="27" spans="1:12">
      <c r="A27" s="117">
        <f>'Hatch&amp;Match Details'!A28</f>
        <v>25</v>
      </c>
      <c r="B27" s="143">
        <f>VLOOKUP(Lineage!A27,'Loyd List 1-190 - Edit'!$P$1:$R$192,3,FALSE)</f>
        <v>9</v>
      </c>
      <c r="C27">
        <f t="shared" si="2"/>
        <v>3</v>
      </c>
      <c r="D27">
        <f t="shared" si="2"/>
        <v>1</v>
      </c>
      <c r="E27">
        <f t="shared" si="2"/>
        <v>0</v>
      </c>
      <c r="F27">
        <f t="shared" ref="F27:I27" si="52">IF(ISNA(VLOOKUP(E27,$A$2:$B$200,2,FALSE)),"",VLOOKUP(E27,$A$2:$B$200,2,FALSE))</f>
        <v>-1</v>
      </c>
      <c r="G27" t="str">
        <f t="shared" si="52"/>
        <v/>
      </c>
      <c r="H27" t="str">
        <f t="shared" si="52"/>
        <v/>
      </c>
      <c r="I27" t="str">
        <f t="shared" si="52"/>
        <v/>
      </c>
      <c r="J27" t="str">
        <f t="shared" ref="J27:K27" si="53">IF(ISNA(VLOOKUP(I27,$A$2:$B$200,2,FALSE)),"",VLOOKUP(I27,$A$2:$B$200,2,FALSE))</f>
        <v/>
      </c>
      <c r="K27" t="str">
        <f t="shared" si="53"/>
        <v/>
      </c>
      <c r="L27" s="116">
        <f t="shared" si="5"/>
        <v>3</v>
      </c>
    </row>
    <row r="28" spans="1:12">
      <c r="A28" s="117">
        <f>'Hatch&amp;Match Details'!A29</f>
        <v>26</v>
      </c>
      <c r="B28" s="143">
        <f>VLOOKUP(Lineage!A28,'Loyd List 1-190 - Edit'!$P$1:$R$192,3,FALSE)</f>
        <v>9</v>
      </c>
      <c r="C28">
        <f t="shared" si="2"/>
        <v>3</v>
      </c>
      <c r="D28">
        <f t="shared" si="2"/>
        <v>1</v>
      </c>
      <c r="E28">
        <f t="shared" si="2"/>
        <v>0</v>
      </c>
      <c r="F28">
        <f t="shared" ref="F28:I28" si="54">IF(ISNA(VLOOKUP(E28,$A$2:$B$200,2,FALSE)),"",VLOOKUP(E28,$A$2:$B$200,2,FALSE))</f>
        <v>-1</v>
      </c>
      <c r="G28" t="str">
        <f t="shared" si="54"/>
        <v/>
      </c>
      <c r="H28" t="str">
        <f t="shared" si="54"/>
        <v/>
      </c>
      <c r="I28" t="str">
        <f t="shared" si="54"/>
        <v/>
      </c>
      <c r="J28" t="str">
        <f t="shared" ref="J28:K28" si="55">IF(ISNA(VLOOKUP(I28,$A$2:$B$200,2,FALSE)),"",VLOOKUP(I28,$A$2:$B$200,2,FALSE))</f>
        <v/>
      </c>
      <c r="K28" t="str">
        <f t="shared" si="55"/>
        <v/>
      </c>
      <c r="L28" s="116">
        <f t="shared" si="5"/>
        <v>3</v>
      </c>
    </row>
    <row r="29" spans="1:12">
      <c r="A29" s="117">
        <f>'Hatch&amp;Match Details'!A30</f>
        <v>27</v>
      </c>
      <c r="B29" s="143">
        <f>VLOOKUP(Lineage!A29,'Loyd List 1-190 - Edit'!$P$1:$R$192,3,FALSE)</f>
        <v>14</v>
      </c>
      <c r="C29">
        <f t="shared" si="2"/>
        <v>4</v>
      </c>
      <c r="D29">
        <f t="shared" si="2"/>
        <v>1</v>
      </c>
      <c r="E29">
        <f t="shared" si="2"/>
        <v>0</v>
      </c>
      <c r="F29">
        <f t="shared" ref="F29:I29" si="56">IF(ISNA(VLOOKUP(E29,$A$2:$B$200,2,FALSE)),"",VLOOKUP(E29,$A$2:$B$200,2,FALSE))</f>
        <v>-1</v>
      </c>
      <c r="G29" t="str">
        <f t="shared" si="56"/>
        <v/>
      </c>
      <c r="H29" t="str">
        <f t="shared" si="56"/>
        <v/>
      </c>
      <c r="I29" t="str">
        <f t="shared" si="56"/>
        <v/>
      </c>
      <c r="J29" t="str">
        <f t="shared" ref="J29:K29" si="57">IF(ISNA(VLOOKUP(I29,$A$2:$B$200,2,FALSE)),"",VLOOKUP(I29,$A$2:$B$200,2,FALSE))</f>
        <v/>
      </c>
      <c r="K29" t="str">
        <f t="shared" si="57"/>
        <v/>
      </c>
      <c r="L29" s="116">
        <f t="shared" si="5"/>
        <v>3</v>
      </c>
    </row>
    <row r="30" spans="1:12">
      <c r="A30" s="117">
        <f>'Hatch&amp;Match Details'!A31</f>
        <v>28</v>
      </c>
      <c r="B30" s="143">
        <f>VLOOKUP(Lineage!A30,'Loyd List 1-190 - Edit'!$P$1:$R$192,3,FALSE)</f>
        <v>14</v>
      </c>
      <c r="C30">
        <f t="shared" si="2"/>
        <v>4</v>
      </c>
      <c r="D30">
        <f t="shared" si="2"/>
        <v>1</v>
      </c>
      <c r="E30">
        <f t="shared" si="2"/>
        <v>0</v>
      </c>
      <c r="F30">
        <f t="shared" ref="F30:I30" si="58">IF(ISNA(VLOOKUP(E30,$A$2:$B$200,2,FALSE)),"",VLOOKUP(E30,$A$2:$B$200,2,FALSE))</f>
        <v>-1</v>
      </c>
      <c r="G30" t="str">
        <f t="shared" si="58"/>
        <v/>
      </c>
      <c r="H30" t="str">
        <f t="shared" si="58"/>
        <v/>
      </c>
      <c r="I30" t="str">
        <f t="shared" si="58"/>
        <v/>
      </c>
      <c r="J30" t="str">
        <f t="shared" ref="J30:K30" si="59">IF(ISNA(VLOOKUP(I30,$A$2:$B$200,2,FALSE)),"",VLOOKUP(I30,$A$2:$B$200,2,FALSE))</f>
        <v/>
      </c>
      <c r="K30" t="str">
        <f t="shared" si="59"/>
        <v/>
      </c>
      <c r="L30" s="116">
        <f t="shared" si="5"/>
        <v>3</v>
      </c>
    </row>
    <row r="31" spans="1:12">
      <c r="A31" s="117">
        <f>'Hatch&amp;Match Details'!A32</f>
        <v>29</v>
      </c>
      <c r="B31" s="143">
        <f>VLOOKUP(Lineage!A31,'Loyd List 1-190 - Edit'!$P$1:$R$192,3,FALSE)</f>
        <v>14</v>
      </c>
      <c r="C31">
        <f t="shared" si="2"/>
        <v>4</v>
      </c>
      <c r="D31">
        <f t="shared" si="2"/>
        <v>1</v>
      </c>
      <c r="E31">
        <f t="shared" si="2"/>
        <v>0</v>
      </c>
      <c r="F31">
        <f t="shared" ref="F31:I31" si="60">IF(ISNA(VLOOKUP(E31,$A$2:$B$200,2,FALSE)),"",VLOOKUP(E31,$A$2:$B$200,2,FALSE))</f>
        <v>-1</v>
      </c>
      <c r="G31" t="str">
        <f t="shared" si="60"/>
        <v/>
      </c>
      <c r="H31" t="str">
        <f t="shared" si="60"/>
        <v/>
      </c>
      <c r="I31" t="str">
        <f t="shared" si="60"/>
        <v/>
      </c>
      <c r="J31" t="str">
        <f t="shared" ref="J31:K31" si="61">IF(ISNA(VLOOKUP(I31,$A$2:$B$200,2,FALSE)),"",VLOOKUP(I31,$A$2:$B$200,2,FALSE))</f>
        <v/>
      </c>
      <c r="K31" t="str">
        <f t="shared" si="61"/>
        <v/>
      </c>
      <c r="L31" s="116">
        <f t="shared" si="5"/>
        <v>3</v>
      </c>
    </row>
    <row r="32" spans="1:12">
      <c r="A32" s="117">
        <f>'Hatch&amp;Match Details'!A33</f>
        <v>30</v>
      </c>
      <c r="B32" s="143">
        <f>VLOOKUP(Lineage!A32,'Loyd List 1-190 - Edit'!$P$1:$R$192,3,FALSE)</f>
        <v>14</v>
      </c>
      <c r="C32">
        <f t="shared" si="2"/>
        <v>4</v>
      </c>
      <c r="D32">
        <f t="shared" si="2"/>
        <v>1</v>
      </c>
      <c r="E32">
        <f t="shared" si="2"/>
        <v>0</v>
      </c>
      <c r="F32">
        <f t="shared" ref="F32:I32" si="62">IF(ISNA(VLOOKUP(E32,$A$2:$B$200,2,FALSE)),"",VLOOKUP(E32,$A$2:$B$200,2,FALSE))</f>
        <v>-1</v>
      </c>
      <c r="G32" t="str">
        <f t="shared" si="62"/>
        <v/>
      </c>
      <c r="H32" t="str">
        <f t="shared" si="62"/>
        <v/>
      </c>
      <c r="I32" t="str">
        <f t="shared" si="62"/>
        <v/>
      </c>
      <c r="J32" t="str">
        <f t="shared" ref="J32:K32" si="63">IF(ISNA(VLOOKUP(I32,$A$2:$B$200,2,FALSE)),"",VLOOKUP(I32,$A$2:$B$200,2,FALSE))</f>
        <v/>
      </c>
      <c r="K32" t="str">
        <f t="shared" si="63"/>
        <v/>
      </c>
      <c r="L32" s="116">
        <f t="shared" si="5"/>
        <v>3</v>
      </c>
    </row>
    <row r="33" spans="1:12">
      <c r="A33" s="117">
        <f>'Hatch&amp;Match Details'!A34</f>
        <v>31</v>
      </c>
      <c r="B33" s="143">
        <f>VLOOKUP(Lineage!A33,'Loyd List 1-190 - Edit'!$P$1:$R$192,3,FALSE)</f>
        <v>22</v>
      </c>
      <c r="C33">
        <f t="shared" si="2"/>
        <v>8</v>
      </c>
      <c r="D33">
        <f t="shared" si="2"/>
        <v>1</v>
      </c>
      <c r="E33">
        <f t="shared" si="2"/>
        <v>0</v>
      </c>
      <c r="F33">
        <f t="shared" ref="F33:I33" si="64">IF(ISNA(VLOOKUP(E33,$A$2:$B$200,2,FALSE)),"",VLOOKUP(E33,$A$2:$B$200,2,FALSE))</f>
        <v>-1</v>
      </c>
      <c r="G33" t="str">
        <f t="shared" si="64"/>
        <v/>
      </c>
      <c r="H33" t="str">
        <f t="shared" si="64"/>
        <v/>
      </c>
      <c r="I33" t="str">
        <f t="shared" si="64"/>
        <v/>
      </c>
      <c r="J33" t="str">
        <f t="shared" ref="J33:K33" si="65">IF(ISNA(VLOOKUP(I33,$A$2:$B$200,2,FALSE)),"",VLOOKUP(I33,$A$2:$B$200,2,FALSE))</f>
        <v/>
      </c>
      <c r="K33" t="str">
        <f t="shared" si="65"/>
        <v/>
      </c>
      <c r="L33" s="116">
        <f t="shared" si="5"/>
        <v>3</v>
      </c>
    </row>
    <row r="34" spans="1:12">
      <c r="A34" s="117">
        <f>'Hatch&amp;Match Details'!A35</f>
        <v>32</v>
      </c>
      <c r="B34" s="143">
        <f>VLOOKUP(Lineage!A34,'Loyd List 1-190 - Edit'!$P$1:$R$192,3,FALSE)</f>
        <v>14</v>
      </c>
      <c r="C34">
        <f t="shared" si="2"/>
        <v>4</v>
      </c>
      <c r="D34">
        <f t="shared" si="2"/>
        <v>1</v>
      </c>
      <c r="E34">
        <f t="shared" si="2"/>
        <v>0</v>
      </c>
      <c r="F34">
        <f t="shared" ref="F34:I34" si="66">IF(ISNA(VLOOKUP(E34,$A$2:$B$200,2,FALSE)),"",VLOOKUP(E34,$A$2:$B$200,2,FALSE))</f>
        <v>-1</v>
      </c>
      <c r="G34" t="str">
        <f t="shared" si="66"/>
        <v/>
      </c>
      <c r="H34" t="str">
        <f t="shared" si="66"/>
        <v/>
      </c>
      <c r="I34" t="str">
        <f t="shared" si="66"/>
        <v/>
      </c>
      <c r="J34" t="str">
        <f t="shared" ref="J34:K34" si="67">IF(ISNA(VLOOKUP(I34,$A$2:$B$200,2,FALSE)),"",VLOOKUP(I34,$A$2:$B$200,2,FALSE))</f>
        <v/>
      </c>
      <c r="K34" t="str">
        <f t="shared" si="67"/>
        <v/>
      </c>
      <c r="L34" s="116">
        <f t="shared" si="5"/>
        <v>3</v>
      </c>
    </row>
    <row r="35" spans="1:12">
      <c r="A35" s="117">
        <f>'Hatch&amp;Match Details'!A36</f>
        <v>33</v>
      </c>
      <c r="B35" s="143">
        <f>VLOOKUP(Lineage!A35,'Loyd List 1-190 - Edit'!$P$1:$R$192,3,FALSE)</f>
        <v>14</v>
      </c>
      <c r="C35">
        <f t="shared" si="2"/>
        <v>4</v>
      </c>
      <c r="D35">
        <f t="shared" si="2"/>
        <v>1</v>
      </c>
      <c r="E35">
        <f t="shared" si="2"/>
        <v>0</v>
      </c>
      <c r="F35">
        <f t="shared" ref="F35:I35" si="68">IF(ISNA(VLOOKUP(E35,$A$2:$B$200,2,FALSE)),"",VLOOKUP(E35,$A$2:$B$200,2,FALSE))</f>
        <v>-1</v>
      </c>
      <c r="G35" t="str">
        <f t="shared" si="68"/>
        <v/>
      </c>
      <c r="H35" t="str">
        <f t="shared" si="68"/>
        <v/>
      </c>
      <c r="I35" t="str">
        <f t="shared" si="68"/>
        <v/>
      </c>
      <c r="J35" t="str">
        <f t="shared" ref="J35:K35" si="69">IF(ISNA(VLOOKUP(I35,$A$2:$B$200,2,FALSE)),"",VLOOKUP(I35,$A$2:$B$200,2,FALSE))</f>
        <v/>
      </c>
      <c r="K35" t="str">
        <f t="shared" si="69"/>
        <v/>
      </c>
      <c r="L35" s="116">
        <f t="shared" si="5"/>
        <v>3</v>
      </c>
    </row>
    <row r="36" spans="1:12">
      <c r="A36" s="117">
        <f>'Hatch&amp;Match Details'!A37</f>
        <v>34</v>
      </c>
      <c r="B36" s="143">
        <f>VLOOKUP(Lineage!A36,'Loyd List 1-190 - Edit'!$P$1:$R$192,3,FALSE)</f>
        <v>14</v>
      </c>
      <c r="C36">
        <f t="shared" si="2"/>
        <v>4</v>
      </c>
      <c r="D36">
        <f t="shared" si="2"/>
        <v>1</v>
      </c>
      <c r="E36">
        <f t="shared" si="2"/>
        <v>0</v>
      </c>
      <c r="F36">
        <f t="shared" ref="F36:I36" si="70">IF(ISNA(VLOOKUP(E36,$A$2:$B$200,2,FALSE)),"",VLOOKUP(E36,$A$2:$B$200,2,FALSE))</f>
        <v>-1</v>
      </c>
      <c r="G36" t="str">
        <f t="shared" si="70"/>
        <v/>
      </c>
      <c r="H36" t="str">
        <f t="shared" si="70"/>
        <v/>
      </c>
      <c r="I36" t="str">
        <f t="shared" si="70"/>
        <v/>
      </c>
      <c r="J36" t="str">
        <f t="shared" ref="J36:K36" si="71">IF(ISNA(VLOOKUP(I36,$A$2:$B$200,2,FALSE)),"",VLOOKUP(I36,$A$2:$B$200,2,FALSE))</f>
        <v/>
      </c>
      <c r="K36" t="str">
        <f t="shared" si="71"/>
        <v/>
      </c>
      <c r="L36" s="116">
        <f t="shared" si="5"/>
        <v>3</v>
      </c>
    </row>
    <row r="37" spans="1:12">
      <c r="A37" s="117">
        <f>'Hatch&amp;Match Details'!A38</f>
        <v>35</v>
      </c>
      <c r="B37" s="143">
        <f>VLOOKUP(Lineage!A37,'Loyd List 1-190 - Edit'!$P$1:$R$192,3,FALSE)</f>
        <v>23</v>
      </c>
      <c r="C37">
        <f t="shared" si="2"/>
        <v>8</v>
      </c>
      <c r="D37">
        <f t="shared" si="2"/>
        <v>1</v>
      </c>
      <c r="E37">
        <f t="shared" si="2"/>
        <v>0</v>
      </c>
      <c r="F37">
        <f t="shared" ref="F37:I37" si="72">IF(ISNA(VLOOKUP(E37,$A$2:$B$200,2,FALSE)),"",VLOOKUP(E37,$A$2:$B$200,2,FALSE))</f>
        <v>-1</v>
      </c>
      <c r="G37" t="str">
        <f t="shared" si="72"/>
        <v/>
      </c>
      <c r="H37" t="str">
        <f t="shared" si="72"/>
        <v/>
      </c>
      <c r="I37" t="str">
        <f t="shared" si="72"/>
        <v/>
      </c>
      <c r="J37" t="str">
        <f t="shared" ref="J37:K37" si="73">IF(ISNA(VLOOKUP(I37,$A$2:$B$200,2,FALSE)),"",VLOOKUP(I37,$A$2:$B$200,2,FALSE))</f>
        <v/>
      </c>
      <c r="K37" t="str">
        <f t="shared" si="73"/>
        <v/>
      </c>
      <c r="L37" s="116">
        <f t="shared" si="5"/>
        <v>3</v>
      </c>
    </row>
    <row r="38" spans="1:12">
      <c r="A38" s="117">
        <f>'Hatch&amp;Match Details'!A39</f>
        <v>36</v>
      </c>
      <c r="B38" s="143">
        <f>VLOOKUP(Lineage!A38,'Loyd List 1-190 - Edit'!$P$1:$R$192,3,FALSE)</f>
        <v>22</v>
      </c>
      <c r="C38">
        <f t="shared" si="2"/>
        <v>8</v>
      </c>
      <c r="D38">
        <f t="shared" si="2"/>
        <v>1</v>
      </c>
      <c r="E38">
        <f t="shared" si="2"/>
        <v>0</v>
      </c>
      <c r="F38">
        <f t="shared" ref="F38:I38" si="74">IF(ISNA(VLOOKUP(E38,$A$2:$B$200,2,FALSE)),"",VLOOKUP(E38,$A$2:$B$200,2,FALSE))</f>
        <v>-1</v>
      </c>
      <c r="G38" t="str">
        <f t="shared" si="74"/>
        <v/>
      </c>
      <c r="H38" t="str">
        <f t="shared" si="74"/>
        <v/>
      </c>
      <c r="I38" t="str">
        <f t="shared" si="74"/>
        <v/>
      </c>
      <c r="J38" t="str">
        <f t="shared" ref="J38:K38" si="75">IF(ISNA(VLOOKUP(I38,$A$2:$B$200,2,FALSE)),"",VLOOKUP(I38,$A$2:$B$200,2,FALSE))</f>
        <v/>
      </c>
      <c r="K38" t="str">
        <f t="shared" si="75"/>
        <v/>
      </c>
      <c r="L38" s="116">
        <f t="shared" si="5"/>
        <v>3</v>
      </c>
    </row>
    <row r="39" spans="1:12">
      <c r="A39" s="117">
        <f>'Hatch&amp;Match Details'!A40</f>
        <v>37</v>
      </c>
      <c r="B39" s="143">
        <f>VLOOKUP(Lineage!A39,'Loyd List 1-190 - Edit'!$P$1:$R$192,3,FALSE)</f>
        <v>14</v>
      </c>
      <c r="C39">
        <f t="shared" si="2"/>
        <v>4</v>
      </c>
      <c r="D39">
        <f t="shared" si="2"/>
        <v>1</v>
      </c>
      <c r="E39">
        <f t="shared" si="2"/>
        <v>0</v>
      </c>
      <c r="F39">
        <f t="shared" ref="F39:I39" si="76">IF(ISNA(VLOOKUP(E39,$A$2:$B$200,2,FALSE)),"",VLOOKUP(E39,$A$2:$B$200,2,FALSE))</f>
        <v>-1</v>
      </c>
      <c r="G39" t="str">
        <f t="shared" si="76"/>
        <v/>
      </c>
      <c r="H39" t="str">
        <f t="shared" si="76"/>
        <v/>
      </c>
      <c r="I39" t="str">
        <f t="shared" si="76"/>
        <v/>
      </c>
      <c r="J39" t="str">
        <f t="shared" ref="J39:K39" si="77">IF(ISNA(VLOOKUP(I39,$A$2:$B$200,2,FALSE)),"",VLOOKUP(I39,$A$2:$B$200,2,FALSE))</f>
        <v/>
      </c>
      <c r="K39" t="str">
        <f t="shared" si="77"/>
        <v/>
      </c>
      <c r="L39" s="116">
        <f t="shared" si="5"/>
        <v>3</v>
      </c>
    </row>
    <row r="40" spans="1:12">
      <c r="A40" s="117">
        <f>'Hatch&amp;Match Details'!A41</f>
        <v>38</v>
      </c>
      <c r="B40" s="143">
        <f>VLOOKUP(Lineage!A40,'Loyd List 1-190 - Edit'!$P$1:$R$192,3,FALSE)</f>
        <v>23</v>
      </c>
      <c r="C40">
        <f t="shared" si="2"/>
        <v>8</v>
      </c>
      <c r="D40">
        <f t="shared" si="2"/>
        <v>1</v>
      </c>
      <c r="E40">
        <f t="shared" si="2"/>
        <v>0</v>
      </c>
      <c r="F40">
        <f t="shared" ref="F40:I40" si="78">IF(ISNA(VLOOKUP(E40,$A$2:$B$200,2,FALSE)),"",VLOOKUP(E40,$A$2:$B$200,2,FALSE))</f>
        <v>-1</v>
      </c>
      <c r="G40" t="str">
        <f t="shared" si="78"/>
        <v/>
      </c>
      <c r="H40" t="str">
        <f t="shared" si="78"/>
        <v/>
      </c>
      <c r="I40" t="str">
        <f t="shared" si="78"/>
        <v/>
      </c>
      <c r="J40" t="str">
        <f t="shared" ref="J40:K40" si="79">IF(ISNA(VLOOKUP(I40,$A$2:$B$200,2,FALSE)),"",VLOOKUP(I40,$A$2:$B$200,2,FALSE))</f>
        <v/>
      </c>
      <c r="K40" t="str">
        <f t="shared" si="79"/>
        <v/>
      </c>
      <c r="L40" s="116">
        <f t="shared" si="5"/>
        <v>3</v>
      </c>
    </row>
    <row r="41" spans="1:12">
      <c r="A41" s="117">
        <f>'Hatch&amp;Match Details'!A42</f>
        <v>39</v>
      </c>
      <c r="B41" s="143">
        <f>VLOOKUP(Lineage!A41,'Loyd List 1-190 - Edit'!$P$1:$R$192,3,FALSE)</f>
        <v>22</v>
      </c>
      <c r="C41">
        <f t="shared" si="2"/>
        <v>8</v>
      </c>
      <c r="D41">
        <f t="shared" si="2"/>
        <v>1</v>
      </c>
      <c r="E41">
        <f t="shared" si="2"/>
        <v>0</v>
      </c>
      <c r="F41">
        <f t="shared" ref="F41:I41" si="80">IF(ISNA(VLOOKUP(E41,$A$2:$B$200,2,FALSE)),"",VLOOKUP(E41,$A$2:$B$200,2,FALSE))</f>
        <v>-1</v>
      </c>
      <c r="G41" t="str">
        <f t="shared" si="80"/>
        <v/>
      </c>
      <c r="H41" t="str">
        <f t="shared" si="80"/>
        <v/>
      </c>
      <c r="I41" t="str">
        <f t="shared" si="80"/>
        <v/>
      </c>
      <c r="J41" t="str">
        <f t="shared" ref="J41:K41" si="81">IF(ISNA(VLOOKUP(I41,$A$2:$B$200,2,FALSE)),"",VLOOKUP(I41,$A$2:$B$200,2,FALSE))</f>
        <v/>
      </c>
      <c r="K41" t="str">
        <f t="shared" si="81"/>
        <v/>
      </c>
      <c r="L41" s="116">
        <f t="shared" si="5"/>
        <v>3</v>
      </c>
    </row>
    <row r="42" spans="1:12">
      <c r="A42" s="117">
        <f>'Hatch&amp;Match Details'!A43</f>
        <v>40</v>
      </c>
      <c r="B42" s="143">
        <f>VLOOKUP(Lineage!A42,'Loyd List 1-190 - Edit'!$P$1:$R$192,3,FALSE)</f>
        <v>23</v>
      </c>
      <c r="C42">
        <f t="shared" si="2"/>
        <v>8</v>
      </c>
      <c r="D42">
        <f t="shared" si="2"/>
        <v>1</v>
      </c>
      <c r="E42">
        <f t="shared" si="2"/>
        <v>0</v>
      </c>
      <c r="F42">
        <f t="shared" ref="F42:I42" si="82">IF(ISNA(VLOOKUP(E42,$A$2:$B$200,2,FALSE)),"",VLOOKUP(E42,$A$2:$B$200,2,FALSE))</f>
        <v>-1</v>
      </c>
      <c r="G42" t="str">
        <f t="shared" si="82"/>
        <v/>
      </c>
      <c r="H42" t="str">
        <f t="shared" si="82"/>
        <v/>
      </c>
      <c r="I42" t="str">
        <f t="shared" si="82"/>
        <v/>
      </c>
      <c r="J42" t="str">
        <f t="shared" ref="J42:K42" si="83">IF(ISNA(VLOOKUP(I42,$A$2:$B$200,2,FALSE)),"",VLOOKUP(I42,$A$2:$B$200,2,FALSE))</f>
        <v/>
      </c>
      <c r="K42" t="str">
        <f t="shared" si="83"/>
        <v/>
      </c>
      <c r="L42" s="116">
        <f t="shared" si="5"/>
        <v>3</v>
      </c>
    </row>
    <row r="43" spans="1:12">
      <c r="A43" s="117">
        <f>'Hatch&amp;Match Details'!A44</f>
        <v>41</v>
      </c>
      <c r="B43" s="143">
        <f>VLOOKUP(Lineage!A43,'Loyd List 1-190 - Edit'!$P$1:$R$192,3,FALSE)</f>
        <v>22</v>
      </c>
      <c r="C43">
        <f t="shared" si="2"/>
        <v>8</v>
      </c>
      <c r="D43">
        <f t="shared" si="2"/>
        <v>1</v>
      </c>
      <c r="E43">
        <f t="shared" si="2"/>
        <v>0</v>
      </c>
      <c r="F43">
        <f t="shared" ref="F43:I43" si="84">IF(ISNA(VLOOKUP(E43,$A$2:$B$200,2,FALSE)),"",VLOOKUP(E43,$A$2:$B$200,2,FALSE))</f>
        <v>-1</v>
      </c>
      <c r="G43" t="str">
        <f t="shared" si="84"/>
        <v/>
      </c>
      <c r="H43" t="str">
        <f t="shared" si="84"/>
        <v/>
      </c>
      <c r="I43" t="str">
        <f t="shared" si="84"/>
        <v/>
      </c>
      <c r="J43" t="str">
        <f t="shared" ref="J43:K43" si="85">IF(ISNA(VLOOKUP(I43,$A$2:$B$200,2,FALSE)),"",VLOOKUP(I43,$A$2:$B$200,2,FALSE))</f>
        <v/>
      </c>
      <c r="K43" t="str">
        <f t="shared" si="85"/>
        <v/>
      </c>
      <c r="L43" s="116">
        <f t="shared" si="5"/>
        <v>3</v>
      </c>
    </row>
    <row r="44" spans="1:12">
      <c r="A44" s="117">
        <f>'Hatch&amp;Match Details'!A45</f>
        <v>42</v>
      </c>
      <c r="B44" s="143">
        <f>VLOOKUP(Lineage!A44,'Loyd List 1-190 - Edit'!$P$1:$R$192,3,FALSE)</f>
        <v>23</v>
      </c>
      <c r="C44">
        <f t="shared" si="2"/>
        <v>8</v>
      </c>
      <c r="D44">
        <f t="shared" si="2"/>
        <v>1</v>
      </c>
      <c r="E44">
        <f t="shared" si="2"/>
        <v>0</v>
      </c>
      <c r="F44">
        <f t="shared" ref="F44:I44" si="86">IF(ISNA(VLOOKUP(E44,$A$2:$B$200,2,FALSE)),"",VLOOKUP(E44,$A$2:$B$200,2,FALSE))</f>
        <v>-1</v>
      </c>
      <c r="G44" t="str">
        <f t="shared" si="86"/>
        <v/>
      </c>
      <c r="H44" t="str">
        <f t="shared" si="86"/>
        <v/>
      </c>
      <c r="I44" t="str">
        <f t="shared" si="86"/>
        <v/>
      </c>
      <c r="J44" t="str">
        <f t="shared" ref="J44:K44" si="87">IF(ISNA(VLOOKUP(I44,$A$2:$B$200,2,FALSE)),"",VLOOKUP(I44,$A$2:$B$200,2,FALSE))</f>
        <v/>
      </c>
      <c r="K44" t="str">
        <f t="shared" si="87"/>
        <v/>
      </c>
      <c r="L44" s="116">
        <f t="shared" si="5"/>
        <v>3</v>
      </c>
    </row>
    <row r="45" spans="1:12">
      <c r="A45" s="117">
        <f>'Hatch&amp;Match Details'!A46</f>
        <v>43</v>
      </c>
      <c r="B45" s="143">
        <f>VLOOKUP(Lineage!A45,'Loyd List 1-190 - Edit'!$P$1:$R$192,3,FALSE)</f>
        <v>22</v>
      </c>
      <c r="C45">
        <f t="shared" si="2"/>
        <v>8</v>
      </c>
      <c r="D45">
        <f t="shared" si="2"/>
        <v>1</v>
      </c>
      <c r="E45">
        <f t="shared" si="2"/>
        <v>0</v>
      </c>
      <c r="F45">
        <f t="shared" ref="F45:I45" si="88">IF(ISNA(VLOOKUP(E45,$A$2:$B$200,2,FALSE)),"",VLOOKUP(E45,$A$2:$B$200,2,FALSE))</f>
        <v>-1</v>
      </c>
      <c r="G45" t="str">
        <f t="shared" si="88"/>
        <v/>
      </c>
      <c r="H45" t="str">
        <f t="shared" si="88"/>
        <v/>
      </c>
      <c r="I45" t="str">
        <f t="shared" si="88"/>
        <v/>
      </c>
      <c r="J45" t="str">
        <f t="shared" ref="J45:K45" si="89">IF(ISNA(VLOOKUP(I45,$A$2:$B$200,2,FALSE)),"",VLOOKUP(I45,$A$2:$B$200,2,FALSE))</f>
        <v/>
      </c>
      <c r="K45" t="str">
        <f t="shared" si="89"/>
        <v/>
      </c>
      <c r="L45" s="116">
        <f t="shared" si="5"/>
        <v>3</v>
      </c>
    </row>
    <row r="46" spans="1:12">
      <c r="A46" s="117">
        <f>'Hatch&amp;Match Details'!A47</f>
        <v>44</v>
      </c>
      <c r="B46" s="143">
        <f>VLOOKUP(Lineage!A46,'Loyd List 1-190 - Edit'!$P$1:$R$192,3,FALSE)</f>
        <v>23</v>
      </c>
      <c r="C46">
        <f t="shared" si="2"/>
        <v>8</v>
      </c>
      <c r="D46">
        <f t="shared" si="2"/>
        <v>1</v>
      </c>
      <c r="E46">
        <f t="shared" si="2"/>
        <v>0</v>
      </c>
      <c r="F46">
        <f t="shared" ref="F46:I46" si="90">IF(ISNA(VLOOKUP(E46,$A$2:$B$200,2,FALSE)),"",VLOOKUP(E46,$A$2:$B$200,2,FALSE))</f>
        <v>-1</v>
      </c>
      <c r="G46" t="str">
        <f t="shared" si="90"/>
        <v/>
      </c>
      <c r="H46" t="str">
        <f t="shared" si="90"/>
        <v/>
      </c>
      <c r="I46" t="str">
        <f t="shared" si="90"/>
        <v/>
      </c>
      <c r="J46" t="str">
        <f t="shared" ref="J46:K46" si="91">IF(ISNA(VLOOKUP(I46,$A$2:$B$200,2,FALSE)),"",VLOOKUP(I46,$A$2:$B$200,2,FALSE))</f>
        <v/>
      </c>
      <c r="K46" t="str">
        <f t="shared" si="91"/>
        <v/>
      </c>
      <c r="L46" s="116">
        <f t="shared" si="5"/>
        <v>3</v>
      </c>
    </row>
    <row r="47" spans="1:12">
      <c r="A47" s="117">
        <f>'Hatch&amp;Match Details'!A48</f>
        <v>45</v>
      </c>
      <c r="B47" s="143">
        <f>VLOOKUP(Lineage!A47,'Loyd List 1-190 - Edit'!$P$1:$R$192,3,FALSE)</f>
        <v>22</v>
      </c>
      <c r="C47">
        <f t="shared" si="2"/>
        <v>8</v>
      </c>
      <c r="D47">
        <f t="shared" si="2"/>
        <v>1</v>
      </c>
      <c r="E47">
        <f t="shared" si="2"/>
        <v>0</v>
      </c>
      <c r="F47">
        <f t="shared" ref="F47:I47" si="92">IF(ISNA(VLOOKUP(E47,$A$2:$B$200,2,FALSE)),"",VLOOKUP(E47,$A$2:$B$200,2,FALSE))</f>
        <v>-1</v>
      </c>
      <c r="G47" t="str">
        <f t="shared" si="92"/>
        <v/>
      </c>
      <c r="H47" t="str">
        <f t="shared" si="92"/>
        <v/>
      </c>
      <c r="I47" t="str">
        <f t="shared" si="92"/>
        <v/>
      </c>
      <c r="J47" t="str">
        <f t="shared" ref="J47:K47" si="93">IF(ISNA(VLOOKUP(I47,$A$2:$B$200,2,FALSE)),"",VLOOKUP(I47,$A$2:$B$200,2,FALSE))</f>
        <v/>
      </c>
      <c r="K47" t="str">
        <f t="shared" si="93"/>
        <v/>
      </c>
      <c r="L47" s="116">
        <f t="shared" si="5"/>
        <v>3</v>
      </c>
    </row>
    <row r="48" spans="1:12">
      <c r="A48" s="117">
        <f>'Hatch&amp;Match Details'!A49</f>
        <v>46</v>
      </c>
      <c r="B48" s="143">
        <f>VLOOKUP(Lineage!A48,'Loyd List 1-190 - Edit'!$P$1:$R$192,3,FALSE)</f>
        <v>23</v>
      </c>
      <c r="C48">
        <f t="shared" si="2"/>
        <v>8</v>
      </c>
      <c r="D48">
        <f t="shared" si="2"/>
        <v>1</v>
      </c>
      <c r="E48">
        <f t="shared" si="2"/>
        <v>0</v>
      </c>
      <c r="F48">
        <f t="shared" ref="F48:I48" si="94">IF(ISNA(VLOOKUP(E48,$A$2:$B$200,2,FALSE)),"",VLOOKUP(E48,$A$2:$B$200,2,FALSE))</f>
        <v>-1</v>
      </c>
      <c r="G48" t="str">
        <f t="shared" si="94"/>
        <v/>
      </c>
      <c r="H48" t="str">
        <f t="shared" si="94"/>
        <v/>
      </c>
      <c r="I48" t="str">
        <f t="shared" si="94"/>
        <v/>
      </c>
      <c r="J48" t="str">
        <f t="shared" ref="J48:K48" si="95">IF(ISNA(VLOOKUP(I48,$A$2:$B$200,2,FALSE)),"",VLOOKUP(I48,$A$2:$B$200,2,FALSE))</f>
        <v/>
      </c>
      <c r="K48" t="str">
        <f t="shared" si="95"/>
        <v/>
      </c>
      <c r="L48" s="116">
        <f t="shared" si="5"/>
        <v>3</v>
      </c>
    </row>
    <row r="49" spans="1:12">
      <c r="A49" s="117">
        <f>'Hatch&amp;Match Details'!A50</f>
        <v>47</v>
      </c>
      <c r="B49" s="143">
        <f>VLOOKUP(Lineage!A49,'Loyd List 1-190 - Edit'!$P$1:$R$192,3,FALSE)</f>
        <v>22</v>
      </c>
      <c r="C49">
        <f t="shared" si="2"/>
        <v>8</v>
      </c>
      <c r="D49">
        <f t="shared" si="2"/>
        <v>1</v>
      </c>
      <c r="E49">
        <f t="shared" si="2"/>
        <v>0</v>
      </c>
      <c r="F49">
        <f t="shared" ref="F49:I49" si="96">IF(ISNA(VLOOKUP(E49,$A$2:$B$200,2,FALSE)),"",VLOOKUP(E49,$A$2:$B$200,2,FALSE))</f>
        <v>-1</v>
      </c>
      <c r="G49" t="str">
        <f t="shared" si="96"/>
        <v/>
      </c>
      <c r="H49" t="str">
        <f t="shared" si="96"/>
        <v/>
      </c>
      <c r="I49" t="str">
        <f t="shared" si="96"/>
        <v/>
      </c>
      <c r="J49" t="str">
        <f t="shared" ref="J49:K49" si="97">IF(ISNA(VLOOKUP(I49,$A$2:$B$200,2,FALSE)),"",VLOOKUP(I49,$A$2:$B$200,2,FALSE))</f>
        <v/>
      </c>
      <c r="K49" t="str">
        <f t="shared" si="97"/>
        <v/>
      </c>
      <c r="L49" s="116">
        <f t="shared" si="5"/>
        <v>3</v>
      </c>
    </row>
    <row r="50" spans="1:12">
      <c r="A50" s="117">
        <f>'Hatch&amp;Match Details'!A51</f>
        <v>48</v>
      </c>
      <c r="B50" s="143">
        <f>VLOOKUP(Lineage!A50,'Loyd List 1-190 - Edit'!$P$1:$R$192,3,FALSE)</f>
        <v>23</v>
      </c>
      <c r="C50">
        <f t="shared" si="2"/>
        <v>8</v>
      </c>
      <c r="D50">
        <f t="shared" si="2"/>
        <v>1</v>
      </c>
      <c r="E50">
        <f t="shared" si="2"/>
        <v>0</v>
      </c>
      <c r="F50">
        <f t="shared" ref="F50:I50" si="98">IF(ISNA(VLOOKUP(E50,$A$2:$B$200,2,FALSE)),"",VLOOKUP(E50,$A$2:$B$200,2,FALSE))</f>
        <v>-1</v>
      </c>
      <c r="G50" t="str">
        <f t="shared" si="98"/>
        <v/>
      </c>
      <c r="H50" t="str">
        <f t="shared" si="98"/>
        <v/>
      </c>
      <c r="I50" t="str">
        <f t="shared" si="98"/>
        <v/>
      </c>
      <c r="J50" t="str">
        <f t="shared" ref="J50:K50" si="99">IF(ISNA(VLOOKUP(I50,$A$2:$B$200,2,FALSE)),"",VLOOKUP(I50,$A$2:$B$200,2,FALSE))</f>
        <v/>
      </c>
      <c r="K50" t="str">
        <f t="shared" si="99"/>
        <v/>
      </c>
      <c r="L50" s="116">
        <f t="shared" si="5"/>
        <v>3</v>
      </c>
    </row>
    <row r="51" spans="1:12">
      <c r="A51" s="117">
        <f>'Hatch&amp;Match Details'!A52</f>
        <v>49</v>
      </c>
      <c r="B51" s="143">
        <f>VLOOKUP(Lineage!A51,'Loyd List 1-190 - Edit'!$P$1:$R$192,3,FALSE)</f>
        <v>23</v>
      </c>
      <c r="C51">
        <f t="shared" si="2"/>
        <v>8</v>
      </c>
      <c r="D51">
        <f t="shared" si="2"/>
        <v>1</v>
      </c>
      <c r="E51">
        <f t="shared" si="2"/>
        <v>0</v>
      </c>
      <c r="F51">
        <f t="shared" ref="F51:I51" si="100">IF(ISNA(VLOOKUP(E51,$A$2:$B$200,2,FALSE)),"",VLOOKUP(E51,$A$2:$B$200,2,FALSE))</f>
        <v>-1</v>
      </c>
      <c r="G51" t="str">
        <f t="shared" si="100"/>
        <v/>
      </c>
      <c r="H51" t="str">
        <f t="shared" si="100"/>
        <v/>
      </c>
      <c r="I51" t="str">
        <f t="shared" si="100"/>
        <v/>
      </c>
      <c r="J51" t="str">
        <f t="shared" ref="J51:K51" si="101">IF(ISNA(VLOOKUP(I51,$A$2:$B$200,2,FALSE)),"",VLOOKUP(I51,$A$2:$B$200,2,FALSE))</f>
        <v/>
      </c>
      <c r="K51" t="str">
        <f t="shared" si="101"/>
        <v/>
      </c>
      <c r="L51" s="116">
        <f t="shared" si="5"/>
        <v>3</v>
      </c>
    </row>
    <row r="52" spans="1:12">
      <c r="A52" s="117">
        <f>'Hatch&amp;Match Details'!A53</f>
        <v>50</v>
      </c>
      <c r="B52" s="143">
        <f>VLOOKUP(Lineage!A52,'Loyd List 1-190 - Edit'!$P$1:$R$192,3,FALSE)</f>
        <v>23</v>
      </c>
      <c r="C52">
        <f t="shared" si="2"/>
        <v>8</v>
      </c>
      <c r="D52">
        <f t="shared" si="2"/>
        <v>1</v>
      </c>
      <c r="E52">
        <f t="shared" si="2"/>
        <v>0</v>
      </c>
      <c r="F52">
        <f t="shared" ref="F52:I52" si="102">IF(ISNA(VLOOKUP(E52,$A$2:$B$200,2,FALSE)),"",VLOOKUP(E52,$A$2:$B$200,2,FALSE))</f>
        <v>-1</v>
      </c>
      <c r="G52" t="str">
        <f t="shared" si="102"/>
        <v/>
      </c>
      <c r="H52" t="str">
        <f t="shared" si="102"/>
        <v/>
      </c>
      <c r="I52" t="str">
        <f t="shared" si="102"/>
        <v/>
      </c>
      <c r="J52" t="str">
        <f t="shared" ref="J52:K52" si="103">IF(ISNA(VLOOKUP(I52,$A$2:$B$200,2,FALSE)),"",VLOOKUP(I52,$A$2:$B$200,2,FALSE))</f>
        <v/>
      </c>
      <c r="K52" t="str">
        <f t="shared" si="103"/>
        <v/>
      </c>
      <c r="L52" s="116">
        <f t="shared" si="5"/>
        <v>3</v>
      </c>
    </row>
    <row r="53" spans="1:12">
      <c r="A53" s="117">
        <f>'Hatch&amp;Match Details'!A54</f>
        <v>51</v>
      </c>
      <c r="B53" s="143">
        <f>VLOOKUP(Lineage!A53,'Loyd List 1-190 - Edit'!$P$1:$R$192,3,FALSE)</f>
        <v>28</v>
      </c>
      <c r="C53">
        <f t="shared" si="2"/>
        <v>14</v>
      </c>
      <c r="D53">
        <f t="shared" si="2"/>
        <v>4</v>
      </c>
      <c r="E53">
        <f t="shared" si="2"/>
        <v>1</v>
      </c>
      <c r="F53">
        <f t="shared" ref="F53:I53" si="104">IF(ISNA(VLOOKUP(E53,$A$2:$B$200,2,FALSE)),"",VLOOKUP(E53,$A$2:$B$200,2,FALSE))</f>
        <v>0</v>
      </c>
      <c r="G53">
        <f t="shared" si="104"/>
        <v>-1</v>
      </c>
      <c r="H53" t="str">
        <f t="shared" si="104"/>
        <v/>
      </c>
      <c r="I53" t="str">
        <f t="shared" si="104"/>
        <v/>
      </c>
      <c r="J53" t="str">
        <f t="shared" ref="J53:K53" si="105">IF(ISNA(VLOOKUP(I53,$A$2:$B$200,2,FALSE)),"",VLOOKUP(I53,$A$2:$B$200,2,FALSE))</f>
        <v/>
      </c>
      <c r="K53" t="str">
        <f t="shared" si="105"/>
        <v/>
      </c>
      <c r="L53" s="116">
        <f t="shared" si="5"/>
        <v>4</v>
      </c>
    </row>
    <row r="54" spans="1:12">
      <c r="A54" s="117">
        <f>'Hatch&amp;Match Details'!A55</f>
        <v>52</v>
      </c>
      <c r="B54" s="143">
        <f>VLOOKUP(Lineage!A54,'Loyd List 1-190 - Edit'!$P$1:$R$192,3,FALSE)</f>
        <v>41</v>
      </c>
      <c r="C54">
        <f t="shared" si="2"/>
        <v>22</v>
      </c>
      <c r="D54">
        <f t="shared" si="2"/>
        <v>8</v>
      </c>
      <c r="E54">
        <f t="shared" si="2"/>
        <v>1</v>
      </c>
      <c r="F54">
        <f t="shared" ref="F54:I54" si="106">IF(ISNA(VLOOKUP(E54,$A$2:$B$200,2,FALSE)),"",VLOOKUP(E54,$A$2:$B$200,2,FALSE))</f>
        <v>0</v>
      </c>
      <c r="G54">
        <f t="shared" si="106"/>
        <v>-1</v>
      </c>
      <c r="H54" t="str">
        <f t="shared" si="106"/>
        <v/>
      </c>
      <c r="I54" t="str">
        <f t="shared" si="106"/>
        <v/>
      </c>
      <c r="J54" t="str">
        <f t="shared" ref="J54:K54" si="107">IF(ISNA(VLOOKUP(I54,$A$2:$B$200,2,FALSE)),"",VLOOKUP(I54,$A$2:$B$200,2,FALSE))</f>
        <v/>
      </c>
      <c r="K54" t="str">
        <f t="shared" si="107"/>
        <v/>
      </c>
      <c r="L54" s="116">
        <f t="shared" si="5"/>
        <v>4</v>
      </c>
    </row>
    <row r="55" spans="1:12">
      <c r="A55" s="117">
        <f>'Hatch&amp;Match Details'!A56</f>
        <v>53</v>
      </c>
      <c r="B55" s="143">
        <f>VLOOKUP(Lineage!A55,'Loyd List 1-190 - Edit'!$P$1:$R$192,3,FALSE)</f>
        <v>41</v>
      </c>
      <c r="C55">
        <f t="shared" si="2"/>
        <v>22</v>
      </c>
      <c r="D55">
        <f t="shared" si="2"/>
        <v>8</v>
      </c>
      <c r="E55">
        <f t="shared" si="2"/>
        <v>1</v>
      </c>
      <c r="F55">
        <f t="shared" ref="F55:I55" si="108">IF(ISNA(VLOOKUP(E55,$A$2:$B$200,2,FALSE)),"",VLOOKUP(E55,$A$2:$B$200,2,FALSE))</f>
        <v>0</v>
      </c>
      <c r="G55">
        <f t="shared" si="108"/>
        <v>-1</v>
      </c>
      <c r="H55" t="str">
        <f t="shared" si="108"/>
        <v/>
      </c>
      <c r="I55" t="str">
        <f t="shared" si="108"/>
        <v/>
      </c>
      <c r="J55" t="str">
        <f t="shared" ref="J55:K55" si="109">IF(ISNA(VLOOKUP(I55,$A$2:$B$200,2,FALSE)),"",VLOOKUP(I55,$A$2:$B$200,2,FALSE))</f>
        <v/>
      </c>
      <c r="K55" t="str">
        <f t="shared" si="109"/>
        <v/>
      </c>
      <c r="L55" s="116">
        <f t="shared" si="5"/>
        <v>4</v>
      </c>
    </row>
    <row r="56" spans="1:12">
      <c r="A56" s="117">
        <f>'Hatch&amp;Match Details'!A57</f>
        <v>54</v>
      </c>
      <c r="B56" s="143">
        <f>VLOOKUP(Lineage!A56,'Loyd List 1-190 - Edit'!$P$1:$R$192,3,FALSE)</f>
        <v>32</v>
      </c>
      <c r="C56">
        <f t="shared" si="2"/>
        <v>14</v>
      </c>
      <c r="D56">
        <f t="shared" si="2"/>
        <v>4</v>
      </c>
      <c r="E56">
        <f t="shared" si="2"/>
        <v>1</v>
      </c>
      <c r="F56">
        <f t="shared" ref="F56:I56" si="110">IF(ISNA(VLOOKUP(E56,$A$2:$B$200,2,FALSE)),"",VLOOKUP(E56,$A$2:$B$200,2,FALSE))</f>
        <v>0</v>
      </c>
      <c r="G56">
        <f t="shared" si="110"/>
        <v>-1</v>
      </c>
      <c r="H56" t="str">
        <f t="shared" si="110"/>
        <v/>
      </c>
      <c r="I56" t="str">
        <f t="shared" si="110"/>
        <v/>
      </c>
      <c r="J56" t="str">
        <f t="shared" ref="J56:K56" si="111">IF(ISNA(VLOOKUP(I56,$A$2:$B$200,2,FALSE)),"",VLOOKUP(I56,$A$2:$B$200,2,FALSE))</f>
        <v/>
      </c>
      <c r="K56" t="str">
        <f t="shared" si="111"/>
        <v/>
      </c>
      <c r="L56" s="116">
        <f t="shared" si="5"/>
        <v>4</v>
      </c>
    </row>
    <row r="57" spans="1:12">
      <c r="A57" s="117">
        <f>'Hatch&amp;Match Details'!A58</f>
        <v>55</v>
      </c>
      <c r="B57" s="143">
        <f>VLOOKUP(Lineage!A57,'Loyd List 1-190 - Edit'!$P$1:$R$192,3,FALSE)</f>
        <v>35</v>
      </c>
      <c r="C57">
        <f t="shared" si="2"/>
        <v>23</v>
      </c>
      <c r="D57">
        <f t="shared" si="2"/>
        <v>8</v>
      </c>
      <c r="E57">
        <f t="shared" si="2"/>
        <v>1</v>
      </c>
      <c r="F57">
        <f t="shared" ref="F57:I57" si="112">IF(ISNA(VLOOKUP(E57,$A$2:$B$200,2,FALSE)),"",VLOOKUP(E57,$A$2:$B$200,2,FALSE))</f>
        <v>0</v>
      </c>
      <c r="G57">
        <f t="shared" si="112"/>
        <v>-1</v>
      </c>
      <c r="H57" t="str">
        <f t="shared" si="112"/>
        <v/>
      </c>
      <c r="I57" t="str">
        <f t="shared" si="112"/>
        <v/>
      </c>
      <c r="J57" t="str">
        <f t="shared" ref="J57:K57" si="113">IF(ISNA(VLOOKUP(I57,$A$2:$B$200,2,FALSE)),"",VLOOKUP(I57,$A$2:$B$200,2,FALSE))</f>
        <v/>
      </c>
      <c r="K57" t="str">
        <f t="shared" si="113"/>
        <v/>
      </c>
      <c r="L57" s="116">
        <f t="shared" si="5"/>
        <v>4</v>
      </c>
    </row>
    <row r="58" spans="1:12">
      <c r="A58" s="117">
        <f>'Hatch&amp;Match Details'!A59</f>
        <v>56</v>
      </c>
      <c r="B58" s="143">
        <f>VLOOKUP(Lineage!A58,'Loyd List 1-190 - Edit'!$P$1:$R$192,3,FALSE)</f>
        <v>28</v>
      </c>
      <c r="C58">
        <f t="shared" si="2"/>
        <v>14</v>
      </c>
      <c r="D58">
        <f t="shared" si="2"/>
        <v>4</v>
      </c>
      <c r="E58">
        <f t="shared" si="2"/>
        <v>1</v>
      </c>
      <c r="F58">
        <f t="shared" ref="F58:I58" si="114">IF(ISNA(VLOOKUP(E58,$A$2:$B$200,2,FALSE)),"",VLOOKUP(E58,$A$2:$B$200,2,FALSE))</f>
        <v>0</v>
      </c>
      <c r="G58">
        <f t="shared" si="114"/>
        <v>-1</v>
      </c>
      <c r="H58" t="str">
        <f t="shared" si="114"/>
        <v/>
      </c>
      <c r="I58" t="str">
        <f t="shared" si="114"/>
        <v/>
      </c>
      <c r="J58" t="str">
        <f t="shared" ref="J58:K58" si="115">IF(ISNA(VLOOKUP(I58,$A$2:$B$200,2,FALSE)),"",VLOOKUP(I58,$A$2:$B$200,2,FALSE))</f>
        <v/>
      </c>
      <c r="K58" t="str">
        <f t="shared" si="115"/>
        <v/>
      </c>
      <c r="L58" s="116">
        <f t="shared" si="5"/>
        <v>4</v>
      </c>
    </row>
    <row r="59" spans="1:12">
      <c r="A59" s="117">
        <f>'Hatch&amp;Match Details'!A60</f>
        <v>57</v>
      </c>
      <c r="B59" s="143">
        <f>VLOOKUP(Lineage!A59,'Loyd List 1-190 - Edit'!$P$1:$R$192,3,FALSE)</f>
        <v>35</v>
      </c>
      <c r="C59">
        <f t="shared" si="2"/>
        <v>23</v>
      </c>
      <c r="D59">
        <f t="shared" si="2"/>
        <v>8</v>
      </c>
      <c r="E59">
        <f t="shared" si="2"/>
        <v>1</v>
      </c>
      <c r="F59">
        <f t="shared" ref="F59:I59" si="116">IF(ISNA(VLOOKUP(E59,$A$2:$B$200,2,FALSE)),"",VLOOKUP(E59,$A$2:$B$200,2,FALSE))</f>
        <v>0</v>
      </c>
      <c r="G59">
        <f t="shared" si="116"/>
        <v>-1</v>
      </c>
      <c r="H59" t="str">
        <f t="shared" si="116"/>
        <v/>
      </c>
      <c r="I59" t="str">
        <f t="shared" si="116"/>
        <v/>
      </c>
      <c r="J59" t="str">
        <f t="shared" ref="J59:K59" si="117">IF(ISNA(VLOOKUP(I59,$A$2:$B$200,2,FALSE)),"",VLOOKUP(I59,$A$2:$B$200,2,FALSE))</f>
        <v/>
      </c>
      <c r="K59" t="str">
        <f t="shared" si="117"/>
        <v/>
      </c>
      <c r="L59" s="116">
        <f t="shared" si="5"/>
        <v>4</v>
      </c>
    </row>
    <row r="60" spans="1:12">
      <c r="A60" s="117">
        <f>'Hatch&amp;Match Details'!A61</f>
        <v>58</v>
      </c>
      <c r="B60" s="143">
        <f>VLOOKUP(Lineage!A60,'Loyd List 1-190 - Edit'!$P$1:$R$192,3,FALSE)</f>
        <v>28</v>
      </c>
      <c r="C60">
        <f t="shared" si="2"/>
        <v>14</v>
      </c>
      <c r="D60">
        <f t="shared" si="2"/>
        <v>4</v>
      </c>
      <c r="E60">
        <f t="shared" si="2"/>
        <v>1</v>
      </c>
      <c r="F60">
        <f t="shared" ref="F60:I60" si="118">IF(ISNA(VLOOKUP(E60,$A$2:$B$200,2,FALSE)),"",VLOOKUP(E60,$A$2:$B$200,2,FALSE))</f>
        <v>0</v>
      </c>
      <c r="G60">
        <f t="shared" si="118"/>
        <v>-1</v>
      </c>
      <c r="H60" t="str">
        <f t="shared" si="118"/>
        <v/>
      </c>
      <c r="I60" t="str">
        <f t="shared" si="118"/>
        <v/>
      </c>
      <c r="J60" t="str">
        <f t="shared" ref="J60:K60" si="119">IF(ISNA(VLOOKUP(I60,$A$2:$B$200,2,FALSE)),"",VLOOKUP(I60,$A$2:$B$200,2,FALSE))</f>
        <v/>
      </c>
      <c r="K60" t="str">
        <f t="shared" si="119"/>
        <v/>
      </c>
      <c r="L60" s="116">
        <f t="shared" si="5"/>
        <v>4</v>
      </c>
    </row>
    <row r="61" spans="1:12">
      <c r="A61" s="117">
        <f>'Hatch&amp;Match Details'!A62</f>
        <v>59</v>
      </c>
      <c r="B61" s="143">
        <f>VLOOKUP(Lineage!A61,'Loyd List 1-190 - Edit'!$P$1:$R$192,3,FALSE)</f>
        <v>41</v>
      </c>
      <c r="C61">
        <f t="shared" si="2"/>
        <v>22</v>
      </c>
      <c r="D61">
        <f t="shared" si="2"/>
        <v>8</v>
      </c>
      <c r="E61">
        <f t="shared" si="2"/>
        <v>1</v>
      </c>
      <c r="F61">
        <f t="shared" ref="F61:I61" si="120">IF(ISNA(VLOOKUP(E61,$A$2:$B$200,2,FALSE)),"",VLOOKUP(E61,$A$2:$B$200,2,FALSE))</f>
        <v>0</v>
      </c>
      <c r="G61">
        <f t="shared" si="120"/>
        <v>-1</v>
      </c>
      <c r="H61" t="str">
        <f t="shared" si="120"/>
        <v/>
      </c>
      <c r="I61" t="str">
        <f t="shared" si="120"/>
        <v/>
      </c>
      <c r="J61" t="str">
        <f t="shared" ref="J61:K61" si="121">IF(ISNA(VLOOKUP(I61,$A$2:$B$200,2,FALSE)),"",VLOOKUP(I61,$A$2:$B$200,2,FALSE))</f>
        <v/>
      </c>
      <c r="K61" t="str">
        <f t="shared" si="121"/>
        <v/>
      </c>
      <c r="L61" s="116">
        <f t="shared" si="5"/>
        <v>4</v>
      </c>
    </row>
    <row r="62" spans="1:12">
      <c r="A62" s="117">
        <f>'Hatch&amp;Match Details'!A63</f>
        <v>60</v>
      </c>
      <c r="B62" s="143">
        <f>VLOOKUP(Lineage!A62,'Loyd List 1-190 - Edit'!$P$1:$R$192,3,FALSE)</f>
        <v>28</v>
      </c>
      <c r="C62">
        <f t="shared" si="2"/>
        <v>14</v>
      </c>
      <c r="D62">
        <f t="shared" si="2"/>
        <v>4</v>
      </c>
      <c r="E62">
        <f t="shared" si="2"/>
        <v>1</v>
      </c>
      <c r="F62">
        <f t="shared" ref="F62:I62" si="122">IF(ISNA(VLOOKUP(E62,$A$2:$B$200,2,FALSE)),"",VLOOKUP(E62,$A$2:$B$200,2,FALSE))</f>
        <v>0</v>
      </c>
      <c r="G62">
        <f t="shared" si="122"/>
        <v>-1</v>
      </c>
      <c r="H62" t="str">
        <f t="shared" si="122"/>
        <v/>
      </c>
      <c r="I62" t="str">
        <f t="shared" si="122"/>
        <v/>
      </c>
      <c r="J62" t="str">
        <f t="shared" ref="J62:K62" si="123">IF(ISNA(VLOOKUP(I62,$A$2:$B$200,2,FALSE)),"",VLOOKUP(I62,$A$2:$B$200,2,FALSE))</f>
        <v/>
      </c>
      <c r="K62" t="str">
        <f t="shared" si="123"/>
        <v/>
      </c>
      <c r="L62" s="116">
        <f t="shared" si="5"/>
        <v>4</v>
      </c>
    </row>
    <row r="63" spans="1:12">
      <c r="A63" s="117">
        <f>'Hatch&amp;Match Details'!A64</f>
        <v>61</v>
      </c>
      <c r="B63" s="143">
        <f>VLOOKUP(Lineage!A63,'Loyd List 1-190 - Edit'!$P$1:$R$192,3,FALSE)</f>
        <v>30</v>
      </c>
      <c r="C63">
        <f t="shared" si="2"/>
        <v>14</v>
      </c>
      <c r="D63">
        <f t="shared" si="2"/>
        <v>4</v>
      </c>
      <c r="E63">
        <f t="shared" si="2"/>
        <v>1</v>
      </c>
      <c r="F63">
        <f t="shared" ref="F63:I63" si="124">IF(ISNA(VLOOKUP(E63,$A$2:$B$200,2,FALSE)),"",VLOOKUP(E63,$A$2:$B$200,2,FALSE))</f>
        <v>0</v>
      </c>
      <c r="G63">
        <f t="shared" si="124"/>
        <v>-1</v>
      </c>
      <c r="H63" t="str">
        <f t="shared" si="124"/>
        <v/>
      </c>
      <c r="I63" t="str">
        <f t="shared" si="124"/>
        <v/>
      </c>
      <c r="J63" t="str">
        <f t="shared" ref="J63:K63" si="125">IF(ISNA(VLOOKUP(I63,$A$2:$B$200,2,FALSE)),"",VLOOKUP(I63,$A$2:$B$200,2,FALSE))</f>
        <v/>
      </c>
      <c r="K63" t="str">
        <f t="shared" si="125"/>
        <v/>
      </c>
      <c r="L63" s="116">
        <f t="shared" si="5"/>
        <v>4</v>
      </c>
    </row>
    <row r="64" spans="1:12">
      <c r="A64" s="117">
        <f>'Hatch&amp;Match Details'!A65</f>
        <v>62</v>
      </c>
      <c r="B64" s="143">
        <f>VLOOKUP(Lineage!A64,'Loyd List 1-190 - Edit'!$P$1:$R$192,3,FALSE)</f>
        <v>30</v>
      </c>
      <c r="C64">
        <f t="shared" si="2"/>
        <v>14</v>
      </c>
      <c r="D64">
        <f t="shared" si="2"/>
        <v>4</v>
      </c>
      <c r="E64">
        <f t="shared" si="2"/>
        <v>1</v>
      </c>
      <c r="F64">
        <f t="shared" ref="F64:I64" si="126">IF(ISNA(VLOOKUP(E64,$A$2:$B$200,2,FALSE)),"",VLOOKUP(E64,$A$2:$B$200,2,FALSE))</f>
        <v>0</v>
      </c>
      <c r="G64">
        <f t="shared" si="126"/>
        <v>-1</v>
      </c>
      <c r="H64" t="str">
        <f t="shared" si="126"/>
        <v/>
      </c>
      <c r="I64" t="str">
        <f t="shared" si="126"/>
        <v/>
      </c>
      <c r="J64" t="str">
        <f t="shared" ref="J64:K64" si="127">IF(ISNA(VLOOKUP(I64,$A$2:$B$200,2,FALSE)),"",VLOOKUP(I64,$A$2:$B$200,2,FALSE))</f>
        <v/>
      </c>
      <c r="K64" t="str">
        <f t="shared" si="127"/>
        <v/>
      </c>
      <c r="L64" s="116">
        <f t="shared" si="5"/>
        <v>4</v>
      </c>
    </row>
    <row r="65" spans="1:12">
      <c r="A65" s="117">
        <f>'Hatch&amp;Match Details'!A66</f>
        <v>63</v>
      </c>
      <c r="B65" s="143">
        <f>VLOOKUP(Lineage!A65,'Loyd List 1-190 - Edit'!$P$1:$R$192,3,FALSE)</f>
        <v>41</v>
      </c>
      <c r="C65">
        <f t="shared" si="2"/>
        <v>22</v>
      </c>
      <c r="D65">
        <f t="shared" si="2"/>
        <v>8</v>
      </c>
      <c r="E65">
        <f t="shared" si="2"/>
        <v>1</v>
      </c>
      <c r="F65">
        <f t="shared" ref="F65:I65" si="128">IF(ISNA(VLOOKUP(E65,$A$2:$B$200,2,FALSE)),"",VLOOKUP(E65,$A$2:$B$200,2,FALSE))</f>
        <v>0</v>
      </c>
      <c r="G65">
        <f t="shared" si="128"/>
        <v>-1</v>
      </c>
      <c r="H65" t="str">
        <f t="shared" si="128"/>
        <v/>
      </c>
      <c r="I65" t="str">
        <f t="shared" si="128"/>
        <v/>
      </c>
      <c r="J65" t="str">
        <f t="shared" ref="J65:K65" si="129">IF(ISNA(VLOOKUP(I65,$A$2:$B$200,2,FALSE)),"",VLOOKUP(I65,$A$2:$B$200,2,FALSE))</f>
        <v/>
      </c>
      <c r="K65" t="str">
        <f t="shared" si="129"/>
        <v/>
      </c>
      <c r="L65" s="116">
        <f t="shared" si="5"/>
        <v>4</v>
      </c>
    </row>
    <row r="66" spans="1:12">
      <c r="A66" s="117">
        <f>'Hatch&amp;Match Details'!A67</f>
        <v>64</v>
      </c>
      <c r="B66" s="143">
        <f>VLOOKUP(Lineage!A66,'Loyd List 1-190 - Edit'!$P$1:$R$192,3,FALSE)</f>
        <v>35</v>
      </c>
      <c r="C66">
        <f t="shared" si="2"/>
        <v>23</v>
      </c>
      <c r="D66">
        <f t="shared" si="2"/>
        <v>8</v>
      </c>
      <c r="E66">
        <f t="shared" si="2"/>
        <v>1</v>
      </c>
      <c r="F66">
        <f t="shared" ref="F66:I66" si="130">IF(ISNA(VLOOKUP(E66,$A$2:$B$200,2,FALSE)),"",VLOOKUP(E66,$A$2:$B$200,2,FALSE))</f>
        <v>0</v>
      </c>
      <c r="G66">
        <f t="shared" si="130"/>
        <v>-1</v>
      </c>
      <c r="H66" t="str">
        <f t="shared" si="130"/>
        <v/>
      </c>
      <c r="I66" t="str">
        <f t="shared" si="130"/>
        <v/>
      </c>
      <c r="J66" t="str">
        <f t="shared" ref="J66:K66" si="131">IF(ISNA(VLOOKUP(I66,$A$2:$B$200,2,FALSE)),"",VLOOKUP(I66,$A$2:$B$200,2,FALSE))</f>
        <v/>
      </c>
      <c r="K66" t="str">
        <f t="shared" si="131"/>
        <v/>
      </c>
      <c r="L66" s="116">
        <f t="shared" si="5"/>
        <v>4</v>
      </c>
    </row>
    <row r="67" spans="1:12">
      <c r="A67" s="117">
        <f>'Hatch&amp;Match Details'!A68</f>
        <v>65</v>
      </c>
      <c r="B67" s="143">
        <f>VLOOKUP(Lineage!A67,'Loyd List 1-190 - Edit'!$P$1:$R$192,3,FALSE)</f>
        <v>34</v>
      </c>
      <c r="C67">
        <f t="shared" ref="C67:E130" si="132">IF(ISNA(VLOOKUP(B67,$A$2:$B$200,2,FALSE)),"",VLOOKUP(B67,$A$2:$B$200,2,FALSE))</f>
        <v>14</v>
      </c>
      <c r="D67">
        <f t="shared" si="132"/>
        <v>4</v>
      </c>
      <c r="E67">
        <f t="shared" si="132"/>
        <v>1</v>
      </c>
      <c r="F67">
        <f t="shared" ref="F67:I67" si="133">IF(ISNA(VLOOKUP(E67,$A$2:$B$200,2,FALSE)),"",VLOOKUP(E67,$A$2:$B$200,2,FALSE))</f>
        <v>0</v>
      </c>
      <c r="G67">
        <f t="shared" si="133"/>
        <v>-1</v>
      </c>
      <c r="H67" t="str">
        <f t="shared" si="133"/>
        <v/>
      </c>
      <c r="I67" t="str">
        <f t="shared" si="133"/>
        <v/>
      </c>
      <c r="J67" t="str">
        <f t="shared" ref="J67:K67" si="134">IF(ISNA(VLOOKUP(I67,$A$2:$B$200,2,FALSE)),"",VLOOKUP(I67,$A$2:$B$200,2,FALSE))</f>
        <v/>
      </c>
      <c r="K67" t="str">
        <f t="shared" si="134"/>
        <v/>
      </c>
      <c r="L67" s="116">
        <f t="shared" ref="L67:L130" si="135">COUNTIF(B67:K67,"&gt;0")</f>
        <v>4</v>
      </c>
    </row>
    <row r="68" spans="1:12">
      <c r="A68" s="117">
        <f>'Hatch&amp;Match Details'!A69</f>
        <v>66</v>
      </c>
      <c r="B68" s="143">
        <f>VLOOKUP(Lineage!A68,'Loyd List 1-190 - Edit'!$P$1:$R$192,3,FALSE)</f>
        <v>44</v>
      </c>
      <c r="C68">
        <f t="shared" si="132"/>
        <v>23</v>
      </c>
      <c r="D68">
        <f t="shared" si="132"/>
        <v>8</v>
      </c>
      <c r="E68">
        <f t="shared" si="132"/>
        <v>1</v>
      </c>
      <c r="F68">
        <f t="shared" ref="F68:I68" si="136">IF(ISNA(VLOOKUP(E68,$A$2:$B$200,2,FALSE)),"",VLOOKUP(E68,$A$2:$B$200,2,FALSE))</f>
        <v>0</v>
      </c>
      <c r="G68">
        <f t="shared" si="136"/>
        <v>-1</v>
      </c>
      <c r="H68" t="str">
        <f t="shared" si="136"/>
        <v/>
      </c>
      <c r="I68" t="str">
        <f t="shared" si="136"/>
        <v/>
      </c>
      <c r="J68" t="str">
        <f t="shared" ref="J68:K68" si="137">IF(ISNA(VLOOKUP(I68,$A$2:$B$200,2,FALSE)),"",VLOOKUP(I68,$A$2:$B$200,2,FALSE))</f>
        <v/>
      </c>
      <c r="K68" t="str">
        <f t="shared" si="137"/>
        <v/>
      </c>
      <c r="L68" s="116">
        <f t="shared" si="135"/>
        <v>4</v>
      </c>
    </row>
    <row r="69" spans="1:12">
      <c r="A69" s="117">
        <f>'Hatch&amp;Match Details'!A70</f>
        <v>67</v>
      </c>
      <c r="B69" s="143">
        <f>VLOOKUP(Lineage!A69,'Loyd List 1-190 - Edit'!$P$1:$R$192,3,FALSE)</f>
        <v>32</v>
      </c>
      <c r="C69">
        <f t="shared" si="132"/>
        <v>14</v>
      </c>
      <c r="D69">
        <f t="shared" si="132"/>
        <v>4</v>
      </c>
      <c r="E69">
        <f t="shared" si="132"/>
        <v>1</v>
      </c>
      <c r="F69">
        <f t="shared" ref="F69:I69" si="138">IF(ISNA(VLOOKUP(E69,$A$2:$B$200,2,FALSE)),"",VLOOKUP(E69,$A$2:$B$200,2,FALSE))</f>
        <v>0</v>
      </c>
      <c r="G69">
        <f t="shared" si="138"/>
        <v>-1</v>
      </c>
      <c r="H69" t="str">
        <f t="shared" si="138"/>
        <v/>
      </c>
      <c r="I69" t="str">
        <f t="shared" si="138"/>
        <v/>
      </c>
      <c r="J69" t="str">
        <f t="shared" ref="J69:K69" si="139">IF(ISNA(VLOOKUP(I69,$A$2:$B$200,2,FALSE)),"",VLOOKUP(I69,$A$2:$B$200,2,FALSE))</f>
        <v/>
      </c>
      <c r="K69" t="str">
        <f t="shared" si="139"/>
        <v/>
      </c>
      <c r="L69" s="116">
        <f t="shared" si="135"/>
        <v>4</v>
      </c>
    </row>
    <row r="70" spans="1:12">
      <c r="A70" s="117">
        <f>'Hatch&amp;Match Details'!A71</f>
        <v>68</v>
      </c>
      <c r="B70" s="143">
        <f>VLOOKUP(Lineage!A70,'Loyd List 1-190 - Edit'!$P$1:$R$192,3,FALSE)</f>
        <v>45</v>
      </c>
      <c r="C70">
        <f t="shared" si="132"/>
        <v>22</v>
      </c>
      <c r="D70">
        <f t="shared" si="132"/>
        <v>8</v>
      </c>
      <c r="E70">
        <f t="shared" si="132"/>
        <v>1</v>
      </c>
      <c r="F70">
        <f t="shared" ref="F70:I70" si="140">IF(ISNA(VLOOKUP(E70,$A$2:$B$200,2,FALSE)),"",VLOOKUP(E70,$A$2:$B$200,2,FALSE))</f>
        <v>0</v>
      </c>
      <c r="G70">
        <f t="shared" si="140"/>
        <v>-1</v>
      </c>
      <c r="H70" t="str">
        <f t="shared" si="140"/>
        <v/>
      </c>
      <c r="I70" t="str">
        <f t="shared" si="140"/>
        <v/>
      </c>
      <c r="J70" t="str">
        <f t="shared" ref="J70:K70" si="141">IF(ISNA(VLOOKUP(I70,$A$2:$B$200,2,FALSE)),"",VLOOKUP(I70,$A$2:$B$200,2,FALSE))</f>
        <v/>
      </c>
      <c r="K70" t="str">
        <f t="shared" si="141"/>
        <v/>
      </c>
      <c r="L70" s="116">
        <f t="shared" si="135"/>
        <v>4</v>
      </c>
    </row>
    <row r="71" spans="1:12">
      <c r="A71" s="117">
        <f>'Hatch&amp;Match Details'!A72</f>
        <v>69</v>
      </c>
      <c r="B71" s="143">
        <f>VLOOKUP(Lineage!A71,'Loyd List 1-190 - Edit'!$P$1:$R$192,3,FALSE)</f>
        <v>30</v>
      </c>
      <c r="C71">
        <f t="shared" si="132"/>
        <v>14</v>
      </c>
      <c r="D71">
        <f t="shared" si="132"/>
        <v>4</v>
      </c>
      <c r="E71">
        <f t="shared" si="132"/>
        <v>1</v>
      </c>
      <c r="F71">
        <f t="shared" ref="F71:I71" si="142">IF(ISNA(VLOOKUP(E71,$A$2:$B$200,2,FALSE)),"",VLOOKUP(E71,$A$2:$B$200,2,FALSE))</f>
        <v>0</v>
      </c>
      <c r="G71">
        <f t="shared" si="142"/>
        <v>-1</v>
      </c>
      <c r="H71" t="str">
        <f t="shared" si="142"/>
        <v/>
      </c>
      <c r="I71" t="str">
        <f t="shared" si="142"/>
        <v/>
      </c>
      <c r="J71" t="str">
        <f t="shared" ref="J71:K71" si="143">IF(ISNA(VLOOKUP(I71,$A$2:$B$200,2,FALSE)),"",VLOOKUP(I71,$A$2:$B$200,2,FALSE))</f>
        <v/>
      </c>
      <c r="K71" t="str">
        <f t="shared" si="143"/>
        <v/>
      </c>
      <c r="L71" s="116">
        <f t="shared" si="135"/>
        <v>4</v>
      </c>
    </row>
    <row r="72" spans="1:12">
      <c r="A72" s="117">
        <f>'Hatch&amp;Match Details'!A73</f>
        <v>70</v>
      </c>
      <c r="B72" s="143">
        <f>VLOOKUP(Lineage!A72,'Loyd List 1-190 - Edit'!$P$1:$R$192,3,FALSE)</f>
        <v>46</v>
      </c>
      <c r="C72">
        <f t="shared" si="132"/>
        <v>23</v>
      </c>
      <c r="D72">
        <f t="shared" si="132"/>
        <v>8</v>
      </c>
      <c r="E72">
        <f t="shared" si="132"/>
        <v>1</v>
      </c>
      <c r="F72">
        <f t="shared" ref="F72:I72" si="144">IF(ISNA(VLOOKUP(E72,$A$2:$B$200,2,FALSE)),"",VLOOKUP(E72,$A$2:$B$200,2,FALSE))</f>
        <v>0</v>
      </c>
      <c r="G72">
        <f t="shared" si="144"/>
        <v>-1</v>
      </c>
      <c r="H72" t="str">
        <f t="shared" si="144"/>
        <v/>
      </c>
      <c r="I72" t="str">
        <f t="shared" si="144"/>
        <v/>
      </c>
      <c r="J72" t="str">
        <f t="shared" ref="J72:K72" si="145">IF(ISNA(VLOOKUP(I72,$A$2:$B$200,2,FALSE)),"",VLOOKUP(I72,$A$2:$B$200,2,FALSE))</f>
        <v/>
      </c>
      <c r="K72" t="str">
        <f t="shared" si="145"/>
        <v/>
      </c>
      <c r="L72" s="116">
        <f t="shared" si="135"/>
        <v>4</v>
      </c>
    </row>
    <row r="73" spans="1:12">
      <c r="A73" s="117">
        <f>'Hatch&amp;Match Details'!A74</f>
        <v>71</v>
      </c>
      <c r="B73" s="143">
        <f>VLOOKUP(Lineage!A73,'Loyd List 1-190 - Edit'!$P$1:$R$192,3,FALSE)</f>
        <v>34</v>
      </c>
      <c r="C73">
        <f t="shared" si="132"/>
        <v>14</v>
      </c>
      <c r="D73">
        <f t="shared" si="132"/>
        <v>4</v>
      </c>
      <c r="E73">
        <f t="shared" si="132"/>
        <v>1</v>
      </c>
      <c r="F73">
        <f t="shared" ref="F73:I73" si="146">IF(ISNA(VLOOKUP(E73,$A$2:$B$200,2,FALSE)),"",VLOOKUP(E73,$A$2:$B$200,2,FALSE))</f>
        <v>0</v>
      </c>
      <c r="G73">
        <f t="shared" si="146"/>
        <v>-1</v>
      </c>
      <c r="H73" t="str">
        <f t="shared" si="146"/>
        <v/>
      </c>
      <c r="I73" t="str">
        <f t="shared" si="146"/>
        <v/>
      </c>
      <c r="J73" t="str">
        <f t="shared" ref="J73:K73" si="147">IF(ISNA(VLOOKUP(I73,$A$2:$B$200,2,FALSE)),"",VLOOKUP(I73,$A$2:$B$200,2,FALSE))</f>
        <v/>
      </c>
      <c r="K73" t="str">
        <f t="shared" si="147"/>
        <v/>
      </c>
      <c r="L73" s="116">
        <f t="shared" si="135"/>
        <v>4</v>
      </c>
    </row>
    <row r="74" spans="1:12">
      <c r="A74" s="117">
        <f>'Hatch&amp;Match Details'!A75</f>
        <v>72</v>
      </c>
      <c r="B74" s="143">
        <f>VLOOKUP(Lineage!A74,'Loyd List 1-190 - Edit'!$P$1:$R$192,3,FALSE)</f>
        <v>44</v>
      </c>
      <c r="C74">
        <f t="shared" si="132"/>
        <v>23</v>
      </c>
      <c r="D74">
        <f t="shared" si="132"/>
        <v>8</v>
      </c>
      <c r="E74">
        <f t="shared" si="132"/>
        <v>1</v>
      </c>
      <c r="F74">
        <f t="shared" ref="F74:I74" si="148">IF(ISNA(VLOOKUP(E74,$A$2:$B$200,2,FALSE)),"",VLOOKUP(E74,$A$2:$B$200,2,FALSE))</f>
        <v>0</v>
      </c>
      <c r="G74">
        <f t="shared" si="148"/>
        <v>-1</v>
      </c>
      <c r="H74" t="str">
        <f t="shared" si="148"/>
        <v/>
      </c>
      <c r="I74" t="str">
        <f t="shared" si="148"/>
        <v/>
      </c>
      <c r="J74" t="str">
        <f t="shared" ref="J74:K74" si="149">IF(ISNA(VLOOKUP(I74,$A$2:$B$200,2,FALSE)),"",VLOOKUP(I74,$A$2:$B$200,2,FALSE))</f>
        <v/>
      </c>
      <c r="K74" t="str">
        <f t="shared" si="149"/>
        <v/>
      </c>
      <c r="L74" s="116">
        <f t="shared" si="135"/>
        <v>4</v>
      </c>
    </row>
    <row r="75" spans="1:12">
      <c r="A75" s="117">
        <f>'Hatch&amp;Match Details'!A76</f>
        <v>73</v>
      </c>
      <c r="B75" s="143">
        <f>VLOOKUP(Lineage!A75,'Loyd List 1-190 - Edit'!$P$1:$R$192,3,FALSE)</f>
        <v>45</v>
      </c>
      <c r="C75">
        <f t="shared" si="132"/>
        <v>22</v>
      </c>
      <c r="D75">
        <f t="shared" si="132"/>
        <v>8</v>
      </c>
      <c r="E75">
        <f t="shared" si="132"/>
        <v>1</v>
      </c>
      <c r="F75">
        <f t="shared" ref="F75:I75" si="150">IF(ISNA(VLOOKUP(E75,$A$2:$B$200,2,FALSE)),"",VLOOKUP(E75,$A$2:$B$200,2,FALSE))</f>
        <v>0</v>
      </c>
      <c r="G75">
        <f t="shared" si="150"/>
        <v>-1</v>
      </c>
      <c r="H75" t="str">
        <f t="shared" si="150"/>
        <v/>
      </c>
      <c r="I75" t="str">
        <f t="shared" si="150"/>
        <v/>
      </c>
      <c r="J75" t="str">
        <f t="shared" ref="J75:K75" si="151">IF(ISNA(VLOOKUP(I75,$A$2:$B$200,2,FALSE)),"",VLOOKUP(I75,$A$2:$B$200,2,FALSE))</f>
        <v/>
      </c>
      <c r="K75" t="str">
        <f t="shared" si="151"/>
        <v/>
      </c>
      <c r="L75" s="116">
        <f t="shared" si="135"/>
        <v>4</v>
      </c>
    </row>
    <row r="76" spans="1:12">
      <c r="A76" s="117">
        <f>'Hatch&amp;Match Details'!A77</f>
        <v>74</v>
      </c>
      <c r="B76" s="143">
        <f>VLOOKUP(Lineage!A76,'Loyd List 1-190 - Edit'!$P$1:$R$192,3,FALSE)</f>
        <v>41</v>
      </c>
      <c r="C76">
        <f t="shared" si="132"/>
        <v>22</v>
      </c>
      <c r="D76">
        <f t="shared" si="132"/>
        <v>8</v>
      </c>
      <c r="E76">
        <f t="shared" si="132"/>
        <v>1</v>
      </c>
      <c r="F76">
        <f t="shared" ref="F76:I76" si="152">IF(ISNA(VLOOKUP(E76,$A$2:$B$200,2,FALSE)),"",VLOOKUP(E76,$A$2:$B$200,2,FALSE))</f>
        <v>0</v>
      </c>
      <c r="G76">
        <f t="shared" si="152"/>
        <v>-1</v>
      </c>
      <c r="H76" t="str">
        <f t="shared" si="152"/>
        <v/>
      </c>
      <c r="I76" t="str">
        <f t="shared" si="152"/>
        <v/>
      </c>
      <c r="J76" t="str">
        <f t="shared" ref="J76:K76" si="153">IF(ISNA(VLOOKUP(I76,$A$2:$B$200,2,FALSE)),"",VLOOKUP(I76,$A$2:$B$200,2,FALSE))</f>
        <v/>
      </c>
      <c r="K76" t="str">
        <f t="shared" si="153"/>
        <v/>
      </c>
      <c r="L76" s="116">
        <f t="shared" si="135"/>
        <v>4</v>
      </c>
    </row>
    <row r="77" spans="1:12">
      <c r="A77" s="117">
        <f>'Hatch&amp;Match Details'!A78</f>
        <v>75</v>
      </c>
      <c r="B77" s="143">
        <f>VLOOKUP(Lineage!A77,'Loyd List 1-190 - Edit'!$P$1:$R$192,3,FALSE)</f>
        <v>46</v>
      </c>
      <c r="C77">
        <f t="shared" si="132"/>
        <v>23</v>
      </c>
      <c r="D77">
        <f t="shared" si="132"/>
        <v>8</v>
      </c>
      <c r="E77">
        <f t="shared" si="132"/>
        <v>1</v>
      </c>
      <c r="F77">
        <f t="shared" ref="F77:I77" si="154">IF(ISNA(VLOOKUP(E77,$A$2:$B$200,2,FALSE)),"",VLOOKUP(E77,$A$2:$B$200,2,FALSE))</f>
        <v>0</v>
      </c>
      <c r="G77">
        <f t="shared" si="154"/>
        <v>-1</v>
      </c>
      <c r="H77" t="str">
        <f t="shared" si="154"/>
        <v/>
      </c>
      <c r="I77" t="str">
        <f t="shared" si="154"/>
        <v/>
      </c>
      <c r="J77" t="str">
        <f t="shared" ref="J77:K77" si="155">IF(ISNA(VLOOKUP(I77,$A$2:$B$200,2,FALSE)),"",VLOOKUP(I77,$A$2:$B$200,2,FALSE))</f>
        <v/>
      </c>
      <c r="K77" t="str">
        <f t="shared" si="155"/>
        <v/>
      </c>
      <c r="L77" s="116">
        <f t="shared" si="135"/>
        <v>4</v>
      </c>
    </row>
    <row r="78" spans="1:12">
      <c r="A78" s="117">
        <f>'Hatch&amp;Match Details'!A79</f>
        <v>76</v>
      </c>
      <c r="B78" s="143">
        <f>VLOOKUP(Lineage!A78,'Loyd List 1-190 - Edit'!$P$1:$R$192,3,FALSE)</f>
        <v>34</v>
      </c>
      <c r="C78">
        <f t="shared" si="132"/>
        <v>14</v>
      </c>
      <c r="D78">
        <f t="shared" si="132"/>
        <v>4</v>
      </c>
      <c r="E78">
        <f t="shared" si="132"/>
        <v>1</v>
      </c>
      <c r="F78">
        <f t="shared" ref="F78:I78" si="156">IF(ISNA(VLOOKUP(E78,$A$2:$B$200,2,FALSE)),"",VLOOKUP(E78,$A$2:$B$200,2,FALSE))</f>
        <v>0</v>
      </c>
      <c r="G78">
        <f t="shared" si="156"/>
        <v>-1</v>
      </c>
      <c r="H78" t="str">
        <f t="shared" si="156"/>
        <v/>
      </c>
      <c r="I78" t="str">
        <f t="shared" si="156"/>
        <v/>
      </c>
      <c r="J78" t="str">
        <f t="shared" ref="J78:K78" si="157">IF(ISNA(VLOOKUP(I78,$A$2:$B$200,2,FALSE)),"",VLOOKUP(I78,$A$2:$B$200,2,FALSE))</f>
        <v/>
      </c>
      <c r="K78" t="str">
        <f t="shared" si="157"/>
        <v/>
      </c>
      <c r="L78" s="116">
        <f t="shared" si="135"/>
        <v>4</v>
      </c>
    </row>
    <row r="79" spans="1:12">
      <c r="A79" s="117">
        <f>'Hatch&amp;Match Details'!A80</f>
        <v>77</v>
      </c>
      <c r="B79" s="143">
        <f>VLOOKUP(Lineage!A79,'Loyd List 1-190 - Edit'!$P$1:$R$192,3,FALSE)</f>
        <v>30</v>
      </c>
      <c r="C79">
        <f t="shared" si="132"/>
        <v>14</v>
      </c>
      <c r="D79">
        <f t="shared" si="132"/>
        <v>4</v>
      </c>
      <c r="E79">
        <f t="shared" si="132"/>
        <v>1</v>
      </c>
      <c r="F79">
        <f t="shared" ref="F79:I79" si="158">IF(ISNA(VLOOKUP(E79,$A$2:$B$200,2,FALSE)),"",VLOOKUP(E79,$A$2:$B$200,2,FALSE))</f>
        <v>0</v>
      </c>
      <c r="G79">
        <f t="shared" si="158"/>
        <v>-1</v>
      </c>
      <c r="H79" t="str">
        <f t="shared" si="158"/>
        <v/>
      </c>
      <c r="I79" t="str">
        <f t="shared" si="158"/>
        <v/>
      </c>
      <c r="J79" t="str">
        <f t="shared" ref="J79:K79" si="159">IF(ISNA(VLOOKUP(I79,$A$2:$B$200,2,FALSE)),"",VLOOKUP(I79,$A$2:$B$200,2,FALSE))</f>
        <v/>
      </c>
      <c r="K79" t="str">
        <f t="shared" si="159"/>
        <v/>
      </c>
      <c r="L79" s="116">
        <f t="shared" si="135"/>
        <v>4</v>
      </c>
    </row>
    <row r="80" spans="1:12">
      <c r="A80" s="117">
        <f>'Hatch&amp;Match Details'!A81</f>
        <v>78</v>
      </c>
      <c r="B80" s="143">
        <f>VLOOKUP(Lineage!A80,'Loyd List 1-190 - Edit'!$P$1:$R$192,3,FALSE)</f>
        <v>46</v>
      </c>
      <c r="C80">
        <f t="shared" si="132"/>
        <v>23</v>
      </c>
      <c r="D80">
        <f t="shared" si="132"/>
        <v>8</v>
      </c>
      <c r="E80">
        <f t="shared" si="132"/>
        <v>1</v>
      </c>
      <c r="F80">
        <f t="shared" ref="F80:I80" si="160">IF(ISNA(VLOOKUP(E80,$A$2:$B$200,2,FALSE)),"",VLOOKUP(E80,$A$2:$B$200,2,FALSE))</f>
        <v>0</v>
      </c>
      <c r="G80">
        <f t="shared" si="160"/>
        <v>-1</v>
      </c>
      <c r="H80" t="str">
        <f t="shared" si="160"/>
        <v/>
      </c>
      <c r="I80" t="str">
        <f t="shared" si="160"/>
        <v/>
      </c>
      <c r="J80" t="str">
        <f t="shared" ref="J80:K80" si="161">IF(ISNA(VLOOKUP(I80,$A$2:$B$200,2,FALSE)),"",VLOOKUP(I80,$A$2:$B$200,2,FALSE))</f>
        <v/>
      </c>
      <c r="K80" t="str">
        <f t="shared" si="161"/>
        <v/>
      </c>
      <c r="L80" s="116">
        <f t="shared" si="135"/>
        <v>4</v>
      </c>
    </row>
    <row r="81" spans="1:12">
      <c r="A81" s="117">
        <f>'Hatch&amp;Match Details'!A82</f>
        <v>79</v>
      </c>
      <c r="B81" s="143">
        <f>VLOOKUP(Lineage!A81,'Loyd List 1-190 - Edit'!$P$1:$R$192,3,FALSE)</f>
        <v>45</v>
      </c>
      <c r="C81">
        <f t="shared" si="132"/>
        <v>22</v>
      </c>
      <c r="D81">
        <f t="shared" si="132"/>
        <v>8</v>
      </c>
      <c r="E81">
        <f t="shared" si="132"/>
        <v>1</v>
      </c>
      <c r="F81">
        <f t="shared" ref="F81:I81" si="162">IF(ISNA(VLOOKUP(E81,$A$2:$B$200,2,FALSE)),"",VLOOKUP(E81,$A$2:$B$200,2,FALSE))</f>
        <v>0</v>
      </c>
      <c r="G81">
        <f t="shared" si="162"/>
        <v>-1</v>
      </c>
      <c r="H81" t="str">
        <f t="shared" si="162"/>
        <v/>
      </c>
      <c r="I81" t="str">
        <f t="shared" si="162"/>
        <v/>
      </c>
      <c r="J81" t="str">
        <f t="shared" ref="J81:K81" si="163">IF(ISNA(VLOOKUP(I81,$A$2:$B$200,2,FALSE)),"",VLOOKUP(I81,$A$2:$B$200,2,FALSE))</f>
        <v/>
      </c>
      <c r="K81" t="str">
        <f t="shared" si="163"/>
        <v/>
      </c>
      <c r="L81" s="116">
        <f t="shared" si="135"/>
        <v>4</v>
      </c>
    </row>
    <row r="82" spans="1:12">
      <c r="A82" s="117">
        <f>'Hatch&amp;Match Details'!A83</f>
        <v>80</v>
      </c>
      <c r="B82" s="143">
        <f>VLOOKUP(Lineage!A82,'Loyd List 1-190 - Edit'!$P$1:$R$192,3,FALSE)</f>
        <v>29</v>
      </c>
      <c r="C82">
        <f t="shared" si="132"/>
        <v>14</v>
      </c>
      <c r="D82">
        <f t="shared" si="132"/>
        <v>4</v>
      </c>
      <c r="E82">
        <f t="shared" si="132"/>
        <v>1</v>
      </c>
      <c r="F82">
        <f t="shared" ref="F82:I82" si="164">IF(ISNA(VLOOKUP(E82,$A$2:$B$200,2,FALSE)),"",VLOOKUP(E82,$A$2:$B$200,2,FALSE))</f>
        <v>0</v>
      </c>
      <c r="G82">
        <f t="shared" si="164"/>
        <v>-1</v>
      </c>
      <c r="H82" t="str">
        <f t="shared" si="164"/>
        <v/>
      </c>
      <c r="I82" t="str">
        <f t="shared" si="164"/>
        <v/>
      </c>
      <c r="J82" t="str">
        <f t="shared" ref="J82:K82" si="165">IF(ISNA(VLOOKUP(I82,$A$2:$B$200,2,FALSE)),"",VLOOKUP(I82,$A$2:$B$200,2,FALSE))</f>
        <v/>
      </c>
      <c r="K82" t="str">
        <f t="shared" si="165"/>
        <v/>
      </c>
      <c r="L82" s="116">
        <f t="shared" si="135"/>
        <v>4</v>
      </c>
    </row>
    <row r="83" spans="1:12">
      <c r="A83" s="117">
        <f>'Hatch&amp;Match Details'!A84</f>
        <v>81</v>
      </c>
      <c r="B83" s="143">
        <f>VLOOKUP(Lineage!A83,'Loyd List 1-190 - Edit'!$P$1:$R$192,3,FALSE)</f>
        <v>44</v>
      </c>
      <c r="C83">
        <f t="shared" si="132"/>
        <v>23</v>
      </c>
      <c r="D83">
        <f t="shared" si="132"/>
        <v>8</v>
      </c>
      <c r="E83">
        <f t="shared" si="132"/>
        <v>1</v>
      </c>
      <c r="F83">
        <f t="shared" ref="F83:I83" si="166">IF(ISNA(VLOOKUP(E83,$A$2:$B$200,2,FALSE)),"",VLOOKUP(E83,$A$2:$B$200,2,FALSE))</f>
        <v>0</v>
      </c>
      <c r="G83">
        <f t="shared" si="166"/>
        <v>-1</v>
      </c>
      <c r="H83" t="str">
        <f t="shared" si="166"/>
        <v/>
      </c>
      <c r="I83" t="str">
        <f t="shared" si="166"/>
        <v/>
      </c>
      <c r="J83" t="str">
        <f t="shared" ref="J83:K83" si="167">IF(ISNA(VLOOKUP(I83,$A$2:$B$200,2,FALSE)),"",VLOOKUP(I83,$A$2:$B$200,2,FALSE))</f>
        <v/>
      </c>
      <c r="K83" t="str">
        <f t="shared" si="167"/>
        <v/>
      </c>
      <c r="L83" s="116">
        <f t="shared" si="135"/>
        <v>4</v>
      </c>
    </row>
    <row r="84" spans="1:12">
      <c r="A84" s="117">
        <f>'Hatch&amp;Match Details'!A85</f>
        <v>82</v>
      </c>
      <c r="B84" s="143">
        <f>VLOOKUP(Lineage!A84,'Loyd List 1-190 - Edit'!$P$1:$R$192,3,FALSE)</f>
        <v>46</v>
      </c>
      <c r="C84">
        <f t="shared" si="132"/>
        <v>23</v>
      </c>
      <c r="D84">
        <f t="shared" si="132"/>
        <v>8</v>
      </c>
      <c r="E84">
        <f t="shared" si="132"/>
        <v>1</v>
      </c>
      <c r="F84">
        <f t="shared" ref="F84:I84" si="168">IF(ISNA(VLOOKUP(E84,$A$2:$B$200,2,FALSE)),"",VLOOKUP(E84,$A$2:$B$200,2,FALSE))</f>
        <v>0</v>
      </c>
      <c r="G84">
        <f t="shared" si="168"/>
        <v>-1</v>
      </c>
      <c r="H84" t="str">
        <f t="shared" si="168"/>
        <v/>
      </c>
      <c r="I84" t="str">
        <f t="shared" si="168"/>
        <v/>
      </c>
      <c r="J84" t="str">
        <f t="shared" ref="J84:K84" si="169">IF(ISNA(VLOOKUP(I84,$A$2:$B$200,2,FALSE)),"",VLOOKUP(I84,$A$2:$B$200,2,FALSE))</f>
        <v/>
      </c>
      <c r="K84" t="str">
        <f t="shared" si="169"/>
        <v/>
      </c>
      <c r="L84" s="116">
        <f t="shared" si="135"/>
        <v>4</v>
      </c>
    </row>
    <row r="85" spans="1:12">
      <c r="A85" s="117">
        <f>'Hatch&amp;Match Details'!A86</f>
        <v>83</v>
      </c>
      <c r="B85" s="143">
        <f>VLOOKUP(Lineage!A85,'Loyd List 1-190 - Edit'!$P$1:$R$192,3,FALSE)</f>
        <v>45</v>
      </c>
      <c r="C85">
        <f t="shared" si="132"/>
        <v>22</v>
      </c>
      <c r="D85">
        <f t="shared" si="132"/>
        <v>8</v>
      </c>
      <c r="E85">
        <f t="shared" si="132"/>
        <v>1</v>
      </c>
      <c r="F85">
        <f t="shared" ref="F85:I85" si="170">IF(ISNA(VLOOKUP(E85,$A$2:$B$200,2,FALSE)),"",VLOOKUP(E85,$A$2:$B$200,2,FALSE))</f>
        <v>0</v>
      </c>
      <c r="G85">
        <f t="shared" si="170"/>
        <v>-1</v>
      </c>
      <c r="H85" t="str">
        <f t="shared" si="170"/>
        <v/>
      </c>
      <c r="I85" t="str">
        <f t="shared" si="170"/>
        <v/>
      </c>
      <c r="J85" t="str">
        <f t="shared" ref="J85:K85" si="171">IF(ISNA(VLOOKUP(I85,$A$2:$B$200,2,FALSE)),"",VLOOKUP(I85,$A$2:$B$200,2,FALSE))</f>
        <v/>
      </c>
      <c r="K85" t="str">
        <f t="shared" si="171"/>
        <v/>
      </c>
      <c r="L85" s="116">
        <f t="shared" si="135"/>
        <v>4</v>
      </c>
    </row>
    <row r="86" spans="1:12">
      <c r="A86" s="117">
        <f>'Hatch&amp;Match Details'!A87</f>
        <v>84</v>
      </c>
      <c r="B86" s="143">
        <f>VLOOKUP(Lineage!A86,'Loyd List 1-190 - Edit'!$P$1:$R$192,3,FALSE)</f>
        <v>46</v>
      </c>
      <c r="C86">
        <f t="shared" si="132"/>
        <v>23</v>
      </c>
      <c r="D86">
        <f t="shared" si="132"/>
        <v>8</v>
      </c>
      <c r="E86">
        <f t="shared" si="132"/>
        <v>1</v>
      </c>
      <c r="F86">
        <f t="shared" ref="F86:I86" si="172">IF(ISNA(VLOOKUP(E86,$A$2:$B$200,2,FALSE)),"",VLOOKUP(E86,$A$2:$B$200,2,FALSE))</f>
        <v>0</v>
      </c>
      <c r="G86">
        <f t="shared" si="172"/>
        <v>-1</v>
      </c>
      <c r="H86" t="str">
        <f t="shared" si="172"/>
        <v/>
      </c>
      <c r="I86" t="str">
        <f t="shared" si="172"/>
        <v/>
      </c>
      <c r="J86" t="str">
        <f t="shared" ref="J86:K86" si="173">IF(ISNA(VLOOKUP(I86,$A$2:$B$200,2,FALSE)),"",VLOOKUP(I86,$A$2:$B$200,2,FALSE))</f>
        <v/>
      </c>
      <c r="K86" t="str">
        <f t="shared" si="173"/>
        <v/>
      </c>
      <c r="L86" s="116">
        <f t="shared" si="135"/>
        <v>4</v>
      </c>
    </row>
    <row r="87" spans="1:12">
      <c r="A87" s="117">
        <f>'Hatch&amp;Match Details'!A88</f>
        <v>85</v>
      </c>
      <c r="B87" s="143">
        <f>VLOOKUP(Lineage!A87,'Loyd List 1-190 - Edit'!$P$1:$R$192,3,FALSE)</f>
        <v>56</v>
      </c>
      <c r="C87">
        <f t="shared" si="132"/>
        <v>28</v>
      </c>
      <c r="D87">
        <f t="shared" si="132"/>
        <v>14</v>
      </c>
      <c r="E87">
        <f t="shared" si="132"/>
        <v>4</v>
      </c>
      <c r="F87">
        <f t="shared" ref="F87:I87" si="174">IF(ISNA(VLOOKUP(E87,$A$2:$B$200,2,FALSE)),"",VLOOKUP(E87,$A$2:$B$200,2,FALSE))</f>
        <v>1</v>
      </c>
      <c r="G87">
        <f t="shared" si="174"/>
        <v>0</v>
      </c>
      <c r="H87">
        <f t="shared" si="174"/>
        <v>-1</v>
      </c>
      <c r="I87" t="str">
        <f t="shared" si="174"/>
        <v/>
      </c>
      <c r="J87" t="str">
        <f t="shared" ref="J87:K87" si="175">IF(ISNA(VLOOKUP(I87,$A$2:$B$200,2,FALSE)),"",VLOOKUP(I87,$A$2:$B$200,2,FALSE))</f>
        <v/>
      </c>
      <c r="K87" t="str">
        <f t="shared" si="175"/>
        <v/>
      </c>
      <c r="L87" s="116">
        <f t="shared" si="135"/>
        <v>5</v>
      </c>
    </row>
    <row r="88" spans="1:12">
      <c r="A88" s="117">
        <f>'Hatch&amp;Match Details'!A89</f>
        <v>86</v>
      </c>
      <c r="B88" s="143">
        <f>VLOOKUP(Lineage!A88,'Loyd List 1-190 - Edit'!$P$1:$R$192,3,FALSE)</f>
        <v>71</v>
      </c>
      <c r="C88">
        <f t="shared" si="132"/>
        <v>34</v>
      </c>
      <c r="D88">
        <f t="shared" si="132"/>
        <v>14</v>
      </c>
      <c r="E88">
        <f t="shared" si="132"/>
        <v>4</v>
      </c>
      <c r="F88">
        <f t="shared" ref="F88:I88" si="176">IF(ISNA(VLOOKUP(E88,$A$2:$B$200,2,FALSE)),"",VLOOKUP(E88,$A$2:$B$200,2,FALSE))</f>
        <v>1</v>
      </c>
      <c r="G88">
        <f t="shared" si="176"/>
        <v>0</v>
      </c>
      <c r="H88">
        <f t="shared" si="176"/>
        <v>-1</v>
      </c>
      <c r="I88" t="str">
        <f t="shared" si="176"/>
        <v/>
      </c>
      <c r="J88" t="str">
        <f t="shared" ref="J88:K88" si="177">IF(ISNA(VLOOKUP(I88,$A$2:$B$200,2,FALSE)),"",VLOOKUP(I88,$A$2:$B$200,2,FALSE))</f>
        <v/>
      </c>
      <c r="K88" t="str">
        <f t="shared" si="177"/>
        <v/>
      </c>
      <c r="L88" s="116">
        <f t="shared" si="135"/>
        <v>5</v>
      </c>
    </row>
    <row r="89" spans="1:12">
      <c r="A89" s="117">
        <f>'Hatch&amp;Match Details'!A90</f>
        <v>87</v>
      </c>
      <c r="B89" s="143">
        <f>VLOOKUP(Lineage!A89,'Loyd List 1-190 - Edit'!$P$1:$R$192,3,FALSE)</f>
        <v>56</v>
      </c>
      <c r="C89">
        <f t="shared" si="132"/>
        <v>28</v>
      </c>
      <c r="D89">
        <f t="shared" si="132"/>
        <v>14</v>
      </c>
      <c r="E89">
        <f t="shared" si="132"/>
        <v>4</v>
      </c>
      <c r="F89">
        <f t="shared" ref="F89:I89" si="178">IF(ISNA(VLOOKUP(E89,$A$2:$B$200,2,FALSE)),"",VLOOKUP(E89,$A$2:$B$200,2,FALSE))</f>
        <v>1</v>
      </c>
      <c r="G89">
        <f t="shared" si="178"/>
        <v>0</v>
      </c>
      <c r="H89">
        <f t="shared" si="178"/>
        <v>-1</v>
      </c>
      <c r="I89" t="str">
        <f t="shared" si="178"/>
        <v/>
      </c>
      <c r="J89" t="str">
        <f t="shared" ref="J89:K89" si="179">IF(ISNA(VLOOKUP(I89,$A$2:$B$200,2,FALSE)),"",VLOOKUP(I89,$A$2:$B$200,2,FALSE))</f>
        <v/>
      </c>
      <c r="K89" t="str">
        <f t="shared" si="179"/>
        <v/>
      </c>
      <c r="L89" s="116">
        <f t="shared" si="135"/>
        <v>5</v>
      </c>
    </row>
    <row r="90" spans="1:12">
      <c r="A90" s="117">
        <f>'Hatch&amp;Match Details'!A91</f>
        <v>88</v>
      </c>
      <c r="B90" s="143">
        <f>VLOOKUP(Lineage!A90,'Loyd List 1-190 - Edit'!$P$1:$R$192,3,FALSE)</f>
        <v>66</v>
      </c>
      <c r="C90">
        <f t="shared" si="132"/>
        <v>44</v>
      </c>
      <c r="D90">
        <f t="shared" si="132"/>
        <v>23</v>
      </c>
      <c r="E90">
        <f t="shared" si="132"/>
        <v>8</v>
      </c>
      <c r="F90">
        <f t="shared" ref="F90:I90" si="180">IF(ISNA(VLOOKUP(E90,$A$2:$B$200,2,FALSE)),"",VLOOKUP(E90,$A$2:$B$200,2,FALSE))</f>
        <v>1</v>
      </c>
      <c r="G90">
        <f t="shared" si="180"/>
        <v>0</v>
      </c>
      <c r="H90">
        <f t="shared" si="180"/>
        <v>-1</v>
      </c>
      <c r="I90" t="str">
        <f t="shared" si="180"/>
        <v/>
      </c>
      <c r="J90" t="str">
        <f t="shared" ref="J90:K90" si="181">IF(ISNA(VLOOKUP(I90,$A$2:$B$200,2,FALSE)),"",VLOOKUP(I90,$A$2:$B$200,2,FALSE))</f>
        <v/>
      </c>
      <c r="K90" t="str">
        <f t="shared" si="181"/>
        <v/>
      </c>
      <c r="L90" s="116">
        <f t="shared" si="135"/>
        <v>5</v>
      </c>
    </row>
    <row r="91" spans="1:12">
      <c r="A91" s="117">
        <f>'Hatch&amp;Match Details'!A92</f>
        <v>89</v>
      </c>
      <c r="B91" s="143">
        <f>VLOOKUP(Lineage!A91,'Loyd List 1-190 - Edit'!$P$1:$R$192,3,FALSE)</f>
        <v>54</v>
      </c>
      <c r="C91">
        <f t="shared" si="132"/>
        <v>32</v>
      </c>
      <c r="D91">
        <f t="shared" si="132"/>
        <v>14</v>
      </c>
      <c r="E91">
        <f t="shared" si="132"/>
        <v>4</v>
      </c>
      <c r="F91">
        <f t="shared" ref="F91:I91" si="182">IF(ISNA(VLOOKUP(E91,$A$2:$B$200,2,FALSE)),"",VLOOKUP(E91,$A$2:$B$200,2,FALSE))</f>
        <v>1</v>
      </c>
      <c r="G91">
        <f t="shared" si="182"/>
        <v>0</v>
      </c>
      <c r="H91">
        <f t="shared" si="182"/>
        <v>-1</v>
      </c>
      <c r="I91" t="str">
        <f t="shared" si="182"/>
        <v/>
      </c>
      <c r="J91" t="str">
        <f t="shared" ref="J91:K91" si="183">IF(ISNA(VLOOKUP(I91,$A$2:$B$200,2,FALSE)),"",VLOOKUP(I91,$A$2:$B$200,2,FALSE))</f>
        <v/>
      </c>
      <c r="K91" t="str">
        <f t="shared" si="183"/>
        <v/>
      </c>
      <c r="L91" s="116">
        <f t="shared" si="135"/>
        <v>5</v>
      </c>
    </row>
    <row r="92" spans="1:12">
      <c r="A92" s="117">
        <f>'Hatch&amp;Match Details'!A93</f>
        <v>90</v>
      </c>
      <c r="B92" s="143">
        <f>VLOOKUP(Lineage!A92,'Loyd List 1-190 - Edit'!$P$1:$R$192,3,FALSE)</f>
        <v>52</v>
      </c>
      <c r="C92">
        <f t="shared" si="132"/>
        <v>41</v>
      </c>
      <c r="D92">
        <f t="shared" si="132"/>
        <v>22</v>
      </c>
      <c r="E92">
        <f t="shared" si="132"/>
        <v>8</v>
      </c>
      <c r="F92">
        <f t="shared" ref="F92:I92" si="184">IF(ISNA(VLOOKUP(E92,$A$2:$B$200,2,FALSE)),"",VLOOKUP(E92,$A$2:$B$200,2,FALSE))</f>
        <v>1</v>
      </c>
      <c r="G92">
        <f t="shared" si="184"/>
        <v>0</v>
      </c>
      <c r="H92">
        <f t="shared" si="184"/>
        <v>-1</v>
      </c>
      <c r="I92" t="str">
        <f t="shared" si="184"/>
        <v/>
      </c>
      <c r="J92" t="str">
        <f t="shared" ref="J92:K92" si="185">IF(ISNA(VLOOKUP(I92,$A$2:$B$200,2,FALSE)),"",VLOOKUP(I92,$A$2:$B$200,2,FALSE))</f>
        <v/>
      </c>
      <c r="K92" t="str">
        <f t="shared" si="185"/>
        <v/>
      </c>
      <c r="L92" s="116">
        <f t="shared" si="135"/>
        <v>5</v>
      </c>
    </row>
    <row r="93" spans="1:12">
      <c r="A93" s="117">
        <f>'Hatch&amp;Match Details'!A94</f>
        <v>91</v>
      </c>
      <c r="B93" s="143">
        <f>VLOOKUP(Lineage!A93,'Loyd List 1-190 - Edit'!$P$1:$R$192,3,FALSE)</f>
        <v>56</v>
      </c>
      <c r="C93">
        <f t="shared" si="132"/>
        <v>28</v>
      </c>
      <c r="D93">
        <f t="shared" si="132"/>
        <v>14</v>
      </c>
      <c r="E93">
        <f t="shared" si="132"/>
        <v>4</v>
      </c>
      <c r="F93">
        <f t="shared" ref="F93:I93" si="186">IF(ISNA(VLOOKUP(E93,$A$2:$B$200,2,FALSE)),"",VLOOKUP(E93,$A$2:$B$200,2,FALSE))</f>
        <v>1</v>
      </c>
      <c r="G93">
        <f t="shared" si="186"/>
        <v>0</v>
      </c>
      <c r="H93">
        <f t="shared" si="186"/>
        <v>-1</v>
      </c>
      <c r="I93" t="str">
        <f t="shared" si="186"/>
        <v/>
      </c>
      <c r="J93" t="str">
        <f t="shared" ref="J93:K93" si="187">IF(ISNA(VLOOKUP(I93,$A$2:$B$200,2,FALSE)),"",VLOOKUP(I93,$A$2:$B$200,2,FALSE))</f>
        <v/>
      </c>
      <c r="K93" t="str">
        <f t="shared" si="187"/>
        <v/>
      </c>
      <c r="L93" s="116">
        <f t="shared" si="135"/>
        <v>5</v>
      </c>
    </row>
    <row r="94" spans="1:12">
      <c r="A94" s="117">
        <f>'Hatch&amp;Match Details'!A95</f>
        <v>92</v>
      </c>
      <c r="B94" s="143">
        <f>VLOOKUP(Lineage!A94,'Loyd List 1-190 - Edit'!$P$1:$R$192,3,FALSE)</f>
        <v>54</v>
      </c>
      <c r="C94">
        <f t="shared" si="132"/>
        <v>32</v>
      </c>
      <c r="D94">
        <f t="shared" si="132"/>
        <v>14</v>
      </c>
      <c r="E94">
        <f t="shared" si="132"/>
        <v>4</v>
      </c>
      <c r="F94">
        <f t="shared" ref="F94:I94" si="188">IF(ISNA(VLOOKUP(E94,$A$2:$B$200,2,FALSE)),"",VLOOKUP(E94,$A$2:$B$200,2,FALSE))</f>
        <v>1</v>
      </c>
      <c r="G94">
        <f t="shared" si="188"/>
        <v>0</v>
      </c>
      <c r="H94">
        <f t="shared" si="188"/>
        <v>-1</v>
      </c>
      <c r="I94" t="str">
        <f t="shared" si="188"/>
        <v/>
      </c>
      <c r="J94" t="str">
        <f t="shared" ref="J94:K94" si="189">IF(ISNA(VLOOKUP(I94,$A$2:$B$200,2,FALSE)),"",VLOOKUP(I94,$A$2:$B$200,2,FALSE))</f>
        <v/>
      </c>
      <c r="K94" t="str">
        <f t="shared" si="189"/>
        <v/>
      </c>
      <c r="L94" s="116">
        <f t="shared" si="135"/>
        <v>5</v>
      </c>
    </row>
    <row r="95" spans="1:12">
      <c r="A95" s="117">
        <f>'Hatch&amp;Match Details'!A96</f>
        <v>93</v>
      </c>
      <c r="B95" s="143">
        <f>VLOOKUP(Lineage!A95,'Loyd List 1-190 - Edit'!$P$1:$R$192,3,FALSE)</f>
        <v>68</v>
      </c>
      <c r="C95">
        <f t="shared" si="132"/>
        <v>45</v>
      </c>
      <c r="D95">
        <f t="shared" si="132"/>
        <v>22</v>
      </c>
      <c r="E95">
        <f t="shared" si="132"/>
        <v>8</v>
      </c>
      <c r="F95">
        <f t="shared" ref="F95:I95" si="190">IF(ISNA(VLOOKUP(E95,$A$2:$B$200,2,FALSE)),"",VLOOKUP(E95,$A$2:$B$200,2,FALSE))</f>
        <v>1</v>
      </c>
      <c r="G95">
        <f t="shared" si="190"/>
        <v>0</v>
      </c>
      <c r="H95">
        <f t="shared" si="190"/>
        <v>-1</v>
      </c>
      <c r="I95" t="str">
        <f t="shared" si="190"/>
        <v/>
      </c>
      <c r="J95" t="str">
        <f t="shared" ref="J95:K95" si="191">IF(ISNA(VLOOKUP(I95,$A$2:$B$200,2,FALSE)),"",VLOOKUP(I95,$A$2:$B$200,2,FALSE))</f>
        <v/>
      </c>
      <c r="K95" t="str">
        <f t="shared" si="191"/>
        <v/>
      </c>
      <c r="L95" s="116">
        <f t="shared" si="135"/>
        <v>5</v>
      </c>
    </row>
    <row r="96" spans="1:12">
      <c r="A96" s="117">
        <f>'Hatch&amp;Match Details'!A97</f>
        <v>94</v>
      </c>
      <c r="B96" s="143">
        <f>VLOOKUP(Lineage!A96,'Loyd List 1-190 - Edit'!$P$1:$R$192,3,FALSE)</f>
        <v>68</v>
      </c>
      <c r="C96">
        <f t="shared" si="132"/>
        <v>45</v>
      </c>
      <c r="D96">
        <f t="shared" si="132"/>
        <v>22</v>
      </c>
      <c r="E96">
        <f t="shared" si="132"/>
        <v>8</v>
      </c>
      <c r="F96">
        <f t="shared" ref="F96:I96" si="192">IF(ISNA(VLOOKUP(E96,$A$2:$B$200,2,FALSE)),"",VLOOKUP(E96,$A$2:$B$200,2,FALSE))</f>
        <v>1</v>
      </c>
      <c r="G96">
        <f t="shared" si="192"/>
        <v>0</v>
      </c>
      <c r="H96">
        <f t="shared" si="192"/>
        <v>-1</v>
      </c>
      <c r="I96" t="str">
        <f t="shared" si="192"/>
        <v/>
      </c>
      <c r="J96" t="str">
        <f t="shared" ref="J96:K96" si="193">IF(ISNA(VLOOKUP(I96,$A$2:$B$200,2,FALSE)),"",VLOOKUP(I96,$A$2:$B$200,2,FALSE))</f>
        <v/>
      </c>
      <c r="K96" t="str">
        <f t="shared" si="193"/>
        <v/>
      </c>
      <c r="L96" s="116">
        <f t="shared" si="135"/>
        <v>5</v>
      </c>
    </row>
    <row r="97" spans="1:12">
      <c r="A97" s="117">
        <f>'Hatch&amp;Match Details'!A98</f>
        <v>95</v>
      </c>
      <c r="B97" s="143">
        <f>VLOOKUP(Lineage!A97,'Loyd List 1-190 - Edit'!$P$1:$R$192,3,FALSE)</f>
        <v>56</v>
      </c>
      <c r="C97">
        <f t="shared" si="132"/>
        <v>28</v>
      </c>
      <c r="D97">
        <f t="shared" si="132"/>
        <v>14</v>
      </c>
      <c r="E97">
        <f t="shared" si="132"/>
        <v>4</v>
      </c>
      <c r="F97">
        <f t="shared" ref="F97:I97" si="194">IF(ISNA(VLOOKUP(E97,$A$2:$B$200,2,FALSE)),"",VLOOKUP(E97,$A$2:$B$200,2,FALSE))</f>
        <v>1</v>
      </c>
      <c r="G97">
        <f t="shared" si="194"/>
        <v>0</v>
      </c>
      <c r="H97">
        <f t="shared" si="194"/>
        <v>-1</v>
      </c>
      <c r="I97" t="str">
        <f t="shared" si="194"/>
        <v/>
      </c>
      <c r="J97" t="str">
        <f t="shared" ref="J97:K97" si="195">IF(ISNA(VLOOKUP(I97,$A$2:$B$200,2,FALSE)),"",VLOOKUP(I97,$A$2:$B$200,2,FALSE))</f>
        <v/>
      </c>
      <c r="K97" t="str">
        <f t="shared" si="195"/>
        <v/>
      </c>
      <c r="L97" s="116">
        <f t="shared" si="135"/>
        <v>5</v>
      </c>
    </row>
    <row r="98" spans="1:12">
      <c r="A98" s="117">
        <f>'Hatch&amp;Match Details'!A99</f>
        <v>96</v>
      </c>
      <c r="B98" s="143">
        <f>VLOOKUP(Lineage!A98,'Loyd List 1-190 - Edit'!$P$1:$R$192,3,FALSE)</f>
        <v>66</v>
      </c>
      <c r="C98">
        <f t="shared" si="132"/>
        <v>44</v>
      </c>
      <c r="D98">
        <f t="shared" si="132"/>
        <v>23</v>
      </c>
      <c r="E98">
        <f t="shared" si="132"/>
        <v>8</v>
      </c>
      <c r="F98">
        <f t="shared" ref="F98:I98" si="196">IF(ISNA(VLOOKUP(E98,$A$2:$B$200,2,FALSE)),"",VLOOKUP(E98,$A$2:$B$200,2,FALSE))</f>
        <v>1</v>
      </c>
      <c r="G98">
        <f t="shared" si="196"/>
        <v>0</v>
      </c>
      <c r="H98">
        <f t="shared" si="196"/>
        <v>-1</v>
      </c>
      <c r="I98" t="str">
        <f t="shared" si="196"/>
        <v/>
      </c>
      <c r="J98" t="str">
        <f t="shared" ref="J98:K98" si="197">IF(ISNA(VLOOKUP(I98,$A$2:$B$200,2,FALSE)),"",VLOOKUP(I98,$A$2:$B$200,2,FALSE))</f>
        <v/>
      </c>
      <c r="K98" t="str">
        <f t="shared" si="197"/>
        <v/>
      </c>
      <c r="L98" s="116">
        <f t="shared" si="135"/>
        <v>5</v>
      </c>
    </row>
    <row r="99" spans="1:12">
      <c r="A99" s="117">
        <f>'Hatch&amp;Match Details'!A100</f>
        <v>97</v>
      </c>
      <c r="B99" s="143">
        <f>VLOOKUP(Lineage!A99,'Loyd List 1-190 - Edit'!$P$1:$R$192,3,FALSE)</f>
        <v>53</v>
      </c>
      <c r="C99">
        <f t="shared" si="132"/>
        <v>41</v>
      </c>
      <c r="D99">
        <f t="shared" si="132"/>
        <v>22</v>
      </c>
      <c r="E99">
        <f t="shared" si="132"/>
        <v>8</v>
      </c>
      <c r="F99">
        <f t="shared" ref="F99:I99" si="198">IF(ISNA(VLOOKUP(E99,$A$2:$B$200,2,FALSE)),"",VLOOKUP(E99,$A$2:$B$200,2,FALSE))</f>
        <v>1</v>
      </c>
      <c r="G99">
        <f t="shared" si="198"/>
        <v>0</v>
      </c>
      <c r="H99">
        <f t="shared" si="198"/>
        <v>-1</v>
      </c>
      <c r="I99" t="str">
        <f t="shared" si="198"/>
        <v/>
      </c>
      <c r="J99" t="str">
        <f t="shared" ref="J99:K99" si="199">IF(ISNA(VLOOKUP(I99,$A$2:$B$200,2,FALSE)),"",VLOOKUP(I99,$A$2:$B$200,2,FALSE))</f>
        <v/>
      </c>
      <c r="K99" t="str">
        <f t="shared" si="199"/>
        <v/>
      </c>
      <c r="L99" s="116">
        <f t="shared" si="135"/>
        <v>5</v>
      </c>
    </row>
    <row r="100" spans="1:12">
      <c r="A100" s="117">
        <f>'Hatch&amp;Match Details'!A101</f>
        <v>98</v>
      </c>
      <c r="B100" s="143">
        <f>VLOOKUP(Lineage!A100,'Loyd List 1-190 - Edit'!$P$1:$R$192,3,FALSE)</f>
        <v>77</v>
      </c>
      <c r="C100">
        <f t="shared" si="132"/>
        <v>30</v>
      </c>
      <c r="D100">
        <f t="shared" si="132"/>
        <v>14</v>
      </c>
      <c r="E100">
        <f t="shared" si="132"/>
        <v>4</v>
      </c>
      <c r="F100">
        <f t="shared" ref="F100:I100" si="200">IF(ISNA(VLOOKUP(E100,$A$2:$B$200,2,FALSE)),"",VLOOKUP(E100,$A$2:$B$200,2,FALSE))</f>
        <v>1</v>
      </c>
      <c r="G100">
        <f t="shared" si="200"/>
        <v>0</v>
      </c>
      <c r="H100">
        <f t="shared" si="200"/>
        <v>-1</v>
      </c>
      <c r="I100" t="str">
        <f t="shared" si="200"/>
        <v/>
      </c>
      <c r="J100" t="str">
        <f t="shared" ref="J100:K100" si="201">IF(ISNA(VLOOKUP(I100,$A$2:$B$200,2,FALSE)),"",VLOOKUP(I100,$A$2:$B$200,2,FALSE))</f>
        <v/>
      </c>
      <c r="K100" t="str">
        <f t="shared" si="201"/>
        <v/>
      </c>
      <c r="L100" s="116">
        <f t="shared" si="135"/>
        <v>5</v>
      </c>
    </row>
    <row r="101" spans="1:12">
      <c r="A101" s="117">
        <f>'Hatch&amp;Match Details'!A102</f>
        <v>99</v>
      </c>
      <c r="B101" s="143">
        <f>VLOOKUP(Lineage!A101,'Loyd List 1-190 - Edit'!$P$1:$R$192,3,FALSE)</f>
        <v>66</v>
      </c>
      <c r="C101">
        <f t="shared" si="132"/>
        <v>44</v>
      </c>
      <c r="D101">
        <f t="shared" si="132"/>
        <v>23</v>
      </c>
      <c r="E101">
        <f t="shared" si="132"/>
        <v>8</v>
      </c>
      <c r="F101">
        <f t="shared" ref="F101:I101" si="202">IF(ISNA(VLOOKUP(E101,$A$2:$B$200,2,FALSE)),"",VLOOKUP(E101,$A$2:$B$200,2,FALSE))</f>
        <v>1</v>
      </c>
      <c r="G101">
        <f t="shared" si="202"/>
        <v>0</v>
      </c>
      <c r="H101">
        <f t="shared" si="202"/>
        <v>-1</v>
      </c>
      <c r="I101" t="str">
        <f t="shared" si="202"/>
        <v/>
      </c>
      <c r="J101" t="str">
        <f t="shared" ref="J101:K101" si="203">IF(ISNA(VLOOKUP(I101,$A$2:$B$200,2,FALSE)),"",VLOOKUP(I101,$A$2:$B$200,2,FALSE))</f>
        <v/>
      </c>
      <c r="K101" t="str">
        <f t="shared" si="203"/>
        <v/>
      </c>
      <c r="L101" s="116">
        <f t="shared" si="135"/>
        <v>5</v>
      </c>
    </row>
    <row r="102" spans="1:12">
      <c r="A102" s="117">
        <f>'Hatch&amp;Match Details'!A103</f>
        <v>100</v>
      </c>
      <c r="B102" s="143">
        <f>VLOOKUP(Lineage!A102,'Loyd List 1-190 - Edit'!$P$1:$R$192,3,FALSE)</f>
        <v>56</v>
      </c>
      <c r="C102">
        <f t="shared" si="132"/>
        <v>28</v>
      </c>
      <c r="D102">
        <f t="shared" si="132"/>
        <v>14</v>
      </c>
      <c r="E102">
        <f t="shared" si="132"/>
        <v>4</v>
      </c>
      <c r="F102">
        <f t="shared" ref="F102:I102" si="204">IF(ISNA(VLOOKUP(E102,$A$2:$B$200,2,FALSE)),"",VLOOKUP(E102,$A$2:$B$200,2,FALSE))</f>
        <v>1</v>
      </c>
      <c r="G102">
        <f t="shared" si="204"/>
        <v>0</v>
      </c>
      <c r="H102">
        <f t="shared" si="204"/>
        <v>-1</v>
      </c>
      <c r="I102" t="str">
        <f t="shared" si="204"/>
        <v/>
      </c>
      <c r="J102" t="str">
        <f t="shared" ref="J102:K102" si="205">IF(ISNA(VLOOKUP(I102,$A$2:$B$200,2,FALSE)),"",VLOOKUP(I102,$A$2:$B$200,2,FALSE))</f>
        <v/>
      </c>
      <c r="K102" t="str">
        <f t="shared" si="205"/>
        <v/>
      </c>
      <c r="L102" s="116">
        <f t="shared" si="135"/>
        <v>5</v>
      </c>
    </row>
    <row r="103" spans="1:12">
      <c r="A103" s="117">
        <f>'Hatch&amp;Match Details'!A104</f>
        <v>101</v>
      </c>
      <c r="B103" s="143">
        <f>VLOOKUP(Lineage!A103,'Loyd List 1-190 - Edit'!$P$1:$R$192,3,FALSE)</f>
        <v>56</v>
      </c>
      <c r="C103">
        <f t="shared" si="132"/>
        <v>28</v>
      </c>
      <c r="D103">
        <f t="shared" si="132"/>
        <v>14</v>
      </c>
      <c r="E103">
        <f t="shared" si="132"/>
        <v>4</v>
      </c>
      <c r="F103">
        <f t="shared" ref="F103:I103" si="206">IF(ISNA(VLOOKUP(E103,$A$2:$B$200,2,FALSE)),"",VLOOKUP(E103,$A$2:$B$200,2,FALSE))</f>
        <v>1</v>
      </c>
      <c r="G103">
        <f t="shared" si="206"/>
        <v>0</v>
      </c>
      <c r="H103">
        <f t="shared" si="206"/>
        <v>-1</v>
      </c>
      <c r="I103" t="str">
        <f t="shared" si="206"/>
        <v/>
      </c>
      <c r="J103" t="str">
        <f t="shared" ref="J103:K103" si="207">IF(ISNA(VLOOKUP(I103,$A$2:$B$200,2,FALSE)),"",VLOOKUP(I103,$A$2:$B$200,2,FALSE))</f>
        <v/>
      </c>
      <c r="K103" t="str">
        <f t="shared" si="207"/>
        <v/>
      </c>
      <c r="L103" s="116">
        <f t="shared" si="135"/>
        <v>5</v>
      </c>
    </row>
    <row r="104" spans="1:12">
      <c r="A104" s="117">
        <f>'Hatch&amp;Match Details'!A105</f>
        <v>102</v>
      </c>
      <c r="B104" s="143">
        <f>VLOOKUP(Lineage!A104,'Loyd List 1-190 - Edit'!$P$1:$R$192,3,FALSE)</f>
        <v>62</v>
      </c>
      <c r="C104">
        <f t="shared" si="132"/>
        <v>30</v>
      </c>
      <c r="D104">
        <f t="shared" si="132"/>
        <v>14</v>
      </c>
      <c r="E104">
        <f t="shared" si="132"/>
        <v>4</v>
      </c>
      <c r="F104">
        <f t="shared" ref="F104:I104" si="208">IF(ISNA(VLOOKUP(E104,$A$2:$B$200,2,FALSE)),"",VLOOKUP(E104,$A$2:$B$200,2,FALSE))</f>
        <v>1</v>
      </c>
      <c r="G104">
        <f t="shared" si="208"/>
        <v>0</v>
      </c>
      <c r="H104">
        <f t="shared" si="208"/>
        <v>-1</v>
      </c>
      <c r="I104" t="str">
        <f t="shared" si="208"/>
        <v/>
      </c>
      <c r="J104" t="str">
        <f t="shared" ref="J104:K104" si="209">IF(ISNA(VLOOKUP(I104,$A$2:$B$200,2,FALSE)),"",VLOOKUP(I104,$A$2:$B$200,2,FALSE))</f>
        <v/>
      </c>
      <c r="K104" t="str">
        <f t="shared" si="209"/>
        <v/>
      </c>
      <c r="L104" s="116">
        <f t="shared" si="135"/>
        <v>5</v>
      </c>
    </row>
    <row r="105" spans="1:12">
      <c r="A105" s="117">
        <f>'Hatch&amp;Match Details'!A106</f>
        <v>103</v>
      </c>
      <c r="B105" s="143">
        <f>VLOOKUP(Lineage!A105,'Loyd List 1-190 - Edit'!$P$1:$R$192,3,FALSE)</f>
        <v>72</v>
      </c>
      <c r="C105">
        <f t="shared" si="132"/>
        <v>44</v>
      </c>
      <c r="D105">
        <f t="shared" si="132"/>
        <v>23</v>
      </c>
      <c r="E105">
        <f t="shared" si="132"/>
        <v>8</v>
      </c>
      <c r="F105">
        <f t="shared" ref="F105:I105" si="210">IF(ISNA(VLOOKUP(E105,$A$2:$B$200,2,FALSE)),"",VLOOKUP(E105,$A$2:$B$200,2,FALSE))</f>
        <v>1</v>
      </c>
      <c r="G105">
        <f t="shared" si="210"/>
        <v>0</v>
      </c>
      <c r="H105">
        <f t="shared" si="210"/>
        <v>-1</v>
      </c>
      <c r="I105" t="str">
        <f t="shared" si="210"/>
        <v/>
      </c>
      <c r="J105" t="str">
        <f t="shared" ref="J105:K105" si="211">IF(ISNA(VLOOKUP(I105,$A$2:$B$200,2,FALSE)),"",VLOOKUP(I105,$A$2:$B$200,2,FALSE))</f>
        <v/>
      </c>
      <c r="K105" t="str">
        <f t="shared" si="211"/>
        <v/>
      </c>
      <c r="L105" s="116">
        <f t="shared" si="135"/>
        <v>5</v>
      </c>
    </row>
    <row r="106" spans="1:12">
      <c r="A106" s="117">
        <f>'Hatch&amp;Match Details'!A107</f>
        <v>104</v>
      </c>
      <c r="B106" s="143">
        <f>VLOOKUP(Lineage!A106,'Loyd List 1-190 - Edit'!$P$1:$R$192,3,FALSE)</f>
        <v>72</v>
      </c>
      <c r="C106">
        <f t="shared" si="132"/>
        <v>44</v>
      </c>
      <c r="D106">
        <f t="shared" si="132"/>
        <v>23</v>
      </c>
      <c r="E106">
        <f t="shared" si="132"/>
        <v>8</v>
      </c>
      <c r="F106">
        <f t="shared" ref="F106:I106" si="212">IF(ISNA(VLOOKUP(E106,$A$2:$B$200,2,FALSE)),"",VLOOKUP(E106,$A$2:$B$200,2,FALSE))</f>
        <v>1</v>
      </c>
      <c r="G106">
        <f t="shared" si="212"/>
        <v>0</v>
      </c>
      <c r="H106">
        <f t="shared" si="212"/>
        <v>-1</v>
      </c>
      <c r="I106" t="str">
        <f t="shared" si="212"/>
        <v/>
      </c>
      <c r="J106" t="str">
        <f t="shared" ref="J106:K106" si="213">IF(ISNA(VLOOKUP(I106,$A$2:$B$200,2,FALSE)),"",VLOOKUP(I106,$A$2:$B$200,2,FALSE))</f>
        <v/>
      </c>
      <c r="K106" t="str">
        <f t="shared" si="213"/>
        <v/>
      </c>
      <c r="L106" s="116">
        <f t="shared" si="135"/>
        <v>5</v>
      </c>
    </row>
    <row r="107" spans="1:12">
      <c r="A107" s="117">
        <f>'Hatch&amp;Match Details'!A108</f>
        <v>105</v>
      </c>
      <c r="B107" s="143">
        <f>VLOOKUP(Lineage!A107,'Loyd List 1-190 - Edit'!$P$1:$R$192,3,FALSE)</f>
        <v>77</v>
      </c>
      <c r="C107">
        <f t="shared" si="132"/>
        <v>30</v>
      </c>
      <c r="D107">
        <f t="shared" si="132"/>
        <v>14</v>
      </c>
      <c r="E107">
        <f t="shared" si="132"/>
        <v>4</v>
      </c>
      <c r="F107">
        <f t="shared" ref="F107:I107" si="214">IF(ISNA(VLOOKUP(E107,$A$2:$B$200,2,FALSE)),"",VLOOKUP(E107,$A$2:$B$200,2,FALSE))</f>
        <v>1</v>
      </c>
      <c r="G107">
        <f t="shared" si="214"/>
        <v>0</v>
      </c>
      <c r="H107">
        <f t="shared" si="214"/>
        <v>-1</v>
      </c>
      <c r="I107" t="str">
        <f t="shared" si="214"/>
        <v/>
      </c>
      <c r="J107" t="str">
        <f t="shared" ref="J107:K107" si="215">IF(ISNA(VLOOKUP(I107,$A$2:$B$200,2,FALSE)),"",VLOOKUP(I107,$A$2:$B$200,2,FALSE))</f>
        <v/>
      </c>
      <c r="K107" t="str">
        <f t="shared" si="215"/>
        <v/>
      </c>
      <c r="L107" s="116">
        <f t="shared" si="135"/>
        <v>5</v>
      </c>
    </row>
    <row r="108" spans="1:12">
      <c r="A108" s="117">
        <f>'Hatch&amp;Match Details'!A109</f>
        <v>106</v>
      </c>
      <c r="B108" s="143">
        <f>VLOOKUP(Lineage!A108,'Loyd List 1-190 - Edit'!$P$1:$R$192,3,FALSE)</f>
        <v>77</v>
      </c>
      <c r="C108">
        <f t="shared" si="132"/>
        <v>30</v>
      </c>
      <c r="D108">
        <f t="shared" si="132"/>
        <v>14</v>
      </c>
      <c r="E108">
        <f t="shared" si="132"/>
        <v>4</v>
      </c>
      <c r="F108">
        <f t="shared" ref="F108:I108" si="216">IF(ISNA(VLOOKUP(E108,$A$2:$B$200,2,FALSE)),"",VLOOKUP(E108,$A$2:$B$200,2,FALSE))</f>
        <v>1</v>
      </c>
      <c r="G108">
        <f t="shared" si="216"/>
        <v>0</v>
      </c>
      <c r="H108">
        <f t="shared" si="216"/>
        <v>-1</v>
      </c>
      <c r="I108" t="str">
        <f t="shared" si="216"/>
        <v/>
      </c>
      <c r="J108" t="str">
        <f t="shared" ref="J108:K108" si="217">IF(ISNA(VLOOKUP(I108,$A$2:$B$200,2,FALSE)),"",VLOOKUP(I108,$A$2:$B$200,2,FALSE))</f>
        <v/>
      </c>
      <c r="K108" t="str">
        <f t="shared" si="217"/>
        <v/>
      </c>
      <c r="L108" s="116">
        <f t="shared" si="135"/>
        <v>5</v>
      </c>
    </row>
    <row r="109" spans="1:12">
      <c r="A109" s="117">
        <f>'Hatch&amp;Match Details'!A110</f>
        <v>107</v>
      </c>
      <c r="B109" s="143">
        <f>VLOOKUP(Lineage!A109,'Loyd List 1-190 - Edit'!$P$1:$R$192,3,FALSE)</f>
        <v>76</v>
      </c>
      <c r="C109">
        <f t="shared" si="132"/>
        <v>34</v>
      </c>
      <c r="D109">
        <f t="shared" si="132"/>
        <v>14</v>
      </c>
      <c r="E109">
        <f t="shared" si="132"/>
        <v>4</v>
      </c>
      <c r="F109">
        <f t="shared" ref="F109:I109" si="218">IF(ISNA(VLOOKUP(E109,$A$2:$B$200,2,FALSE)),"",VLOOKUP(E109,$A$2:$B$200,2,FALSE))</f>
        <v>1</v>
      </c>
      <c r="G109">
        <f t="shared" si="218"/>
        <v>0</v>
      </c>
      <c r="H109">
        <f t="shared" si="218"/>
        <v>-1</v>
      </c>
      <c r="I109" t="str">
        <f t="shared" si="218"/>
        <v/>
      </c>
      <c r="J109" t="str">
        <f t="shared" ref="J109:K109" si="219">IF(ISNA(VLOOKUP(I109,$A$2:$B$200,2,FALSE)),"",VLOOKUP(I109,$A$2:$B$200,2,FALSE))</f>
        <v/>
      </c>
      <c r="K109" t="str">
        <f t="shared" si="219"/>
        <v/>
      </c>
      <c r="L109" s="116">
        <f t="shared" si="135"/>
        <v>5</v>
      </c>
    </row>
    <row r="110" spans="1:12">
      <c r="A110" s="117">
        <f>'Hatch&amp;Match Details'!A111</f>
        <v>108</v>
      </c>
      <c r="B110" s="143">
        <f>VLOOKUP(Lineage!A110,'Loyd List 1-190 - Edit'!$P$1:$R$192,3,FALSE)</f>
        <v>55</v>
      </c>
      <c r="C110">
        <f t="shared" si="132"/>
        <v>35</v>
      </c>
      <c r="D110">
        <f t="shared" si="132"/>
        <v>23</v>
      </c>
      <c r="E110">
        <f t="shared" si="132"/>
        <v>8</v>
      </c>
      <c r="F110">
        <f t="shared" ref="F110:I110" si="220">IF(ISNA(VLOOKUP(E110,$A$2:$B$200,2,FALSE)),"",VLOOKUP(E110,$A$2:$B$200,2,FALSE))</f>
        <v>1</v>
      </c>
      <c r="G110">
        <f t="shared" si="220"/>
        <v>0</v>
      </c>
      <c r="H110">
        <f t="shared" si="220"/>
        <v>-1</v>
      </c>
      <c r="I110" t="str">
        <f t="shared" si="220"/>
        <v/>
      </c>
      <c r="J110" t="str">
        <f t="shared" ref="J110:K110" si="221">IF(ISNA(VLOOKUP(I110,$A$2:$B$200,2,FALSE)),"",VLOOKUP(I110,$A$2:$B$200,2,FALSE))</f>
        <v/>
      </c>
      <c r="K110" t="str">
        <f t="shared" si="221"/>
        <v/>
      </c>
      <c r="L110" s="116">
        <f t="shared" si="135"/>
        <v>5</v>
      </c>
    </row>
    <row r="111" spans="1:12">
      <c r="A111" s="117">
        <f>'Hatch&amp;Match Details'!A112</f>
        <v>109</v>
      </c>
      <c r="B111" s="143">
        <f>VLOOKUP(Lineage!A111,'Loyd List 1-190 - Edit'!$P$1:$R$192,3,FALSE)</f>
        <v>80</v>
      </c>
      <c r="C111">
        <f t="shared" si="132"/>
        <v>29</v>
      </c>
      <c r="D111">
        <f t="shared" si="132"/>
        <v>14</v>
      </c>
      <c r="E111">
        <f t="shared" si="132"/>
        <v>4</v>
      </c>
      <c r="F111">
        <f t="shared" ref="F111:I111" si="222">IF(ISNA(VLOOKUP(E111,$A$2:$B$200,2,FALSE)),"",VLOOKUP(E111,$A$2:$B$200,2,FALSE))</f>
        <v>1</v>
      </c>
      <c r="G111">
        <f t="shared" si="222"/>
        <v>0</v>
      </c>
      <c r="H111">
        <f t="shared" si="222"/>
        <v>-1</v>
      </c>
      <c r="I111" t="str">
        <f t="shared" si="222"/>
        <v/>
      </c>
      <c r="J111" t="str">
        <f t="shared" ref="J111:K111" si="223">IF(ISNA(VLOOKUP(I111,$A$2:$B$200,2,FALSE)),"",VLOOKUP(I111,$A$2:$B$200,2,FALSE))</f>
        <v/>
      </c>
      <c r="K111" t="str">
        <f t="shared" si="223"/>
        <v/>
      </c>
      <c r="L111" s="116">
        <f t="shared" si="135"/>
        <v>5</v>
      </c>
    </row>
    <row r="112" spans="1:12">
      <c r="A112" s="117">
        <f>'Hatch&amp;Match Details'!A113</f>
        <v>110</v>
      </c>
      <c r="B112" s="143">
        <f>VLOOKUP(Lineage!A112,'Loyd List 1-190 - Edit'!$P$1:$R$192,3,FALSE)</f>
        <v>80</v>
      </c>
      <c r="C112">
        <f t="shared" si="132"/>
        <v>29</v>
      </c>
      <c r="D112">
        <f t="shared" si="132"/>
        <v>14</v>
      </c>
      <c r="E112">
        <f t="shared" si="132"/>
        <v>4</v>
      </c>
      <c r="F112">
        <f t="shared" ref="F112:I112" si="224">IF(ISNA(VLOOKUP(E112,$A$2:$B$200,2,FALSE)),"",VLOOKUP(E112,$A$2:$B$200,2,FALSE))</f>
        <v>1</v>
      </c>
      <c r="G112">
        <f t="shared" si="224"/>
        <v>0</v>
      </c>
      <c r="H112">
        <f t="shared" si="224"/>
        <v>-1</v>
      </c>
      <c r="I112" t="str">
        <f t="shared" si="224"/>
        <v/>
      </c>
      <c r="J112" t="str">
        <f t="shared" ref="J112:K112" si="225">IF(ISNA(VLOOKUP(I112,$A$2:$B$200,2,FALSE)),"",VLOOKUP(I112,$A$2:$B$200,2,FALSE))</f>
        <v/>
      </c>
      <c r="K112" t="str">
        <f t="shared" si="225"/>
        <v/>
      </c>
      <c r="L112" s="116">
        <f t="shared" si="135"/>
        <v>5</v>
      </c>
    </row>
    <row r="113" spans="1:12">
      <c r="A113" s="117">
        <f>'Hatch&amp;Match Details'!A114</f>
        <v>111</v>
      </c>
      <c r="B113" s="143">
        <f>VLOOKUP(Lineage!A113,'Loyd List 1-190 - Edit'!$P$1:$R$192,3,FALSE)</f>
        <v>77</v>
      </c>
      <c r="C113">
        <f t="shared" si="132"/>
        <v>30</v>
      </c>
      <c r="D113">
        <f t="shared" si="132"/>
        <v>14</v>
      </c>
      <c r="E113">
        <f t="shared" si="132"/>
        <v>4</v>
      </c>
      <c r="F113">
        <f t="shared" ref="F113:I113" si="226">IF(ISNA(VLOOKUP(E113,$A$2:$B$200,2,FALSE)),"",VLOOKUP(E113,$A$2:$B$200,2,FALSE))</f>
        <v>1</v>
      </c>
      <c r="G113">
        <f t="shared" si="226"/>
        <v>0</v>
      </c>
      <c r="H113">
        <f t="shared" si="226"/>
        <v>-1</v>
      </c>
      <c r="I113" t="str">
        <f t="shared" si="226"/>
        <v/>
      </c>
      <c r="J113" t="str">
        <f t="shared" ref="J113:K113" si="227">IF(ISNA(VLOOKUP(I113,$A$2:$B$200,2,FALSE)),"",VLOOKUP(I113,$A$2:$B$200,2,FALSE))</f>
        <v/>
      </c>
      <c r="K113" t="str">
        <f t="shared" si="227"/>
        <v/>
      </c>
      <c r="L113" s="116">
        <f t="shared" si="135"/>
        <v>5</v>
      </c>
    </row>
    <row r="114" spans="1:12">
      <c r="A114" s="117">
        <f>'Hatch&amp;Match Details'!A115</f>
        <v>112</v>
      </c>
      <c r="B114" s="143">
        <f>VLOOKUP(Lineage!A114,'Loyd List 1-190 - Edit'!$P$1:$R$192,3,FALSE)</f>
        <v>55</v>
      </c>
      <c r="C114">
        <f t="shared" si="132"/>
        <v>35</v>
      </c>
      <c r="D114">
        <f t="shared" si="132"/>
        <v>23</v>
      </c>
      <c r="E114">
        <f t="shared" si="132"/>
        <v>8</v>
      </c>
      <c r="F114">
        <f t="shared" ref="F114:I114" si="228">IF(ISNA(VLOOKUP(E114,$A$2:$B$200,2,FALSE)),"",VLOOKUP(E114,$A$2:$B$200,2,FALSE))</f>
        <v>1</v>
      </c>
      <c r="G114">
        <f t="shared" si="228"/>
        <v>0</v>
      </c>
      <c r="H114">
        <f t="shared" si="228"/>
        <v>-1</v>
      </c>
      <c r="I114" t="str">
        <f t="shared" si="228"/>
        <v/>
      </c>
      <c r="J114" t="str">
        <f t="shared" ref="J114:K114" si="229">IF(ISNA(VLOOKUP(I114,$A$2:$B$200,2,FALSE)),"",VLOOKUP(I114,$A$2:$B$200,2,FALSE))</f>
        <v/>
      </c>
      <c r="K114" t="str">
        <f t="shared" si="229"/>
        <v/>
      </c>
      <c r="L114" s="116">
        <f t="shared" si="135"/>
        <v>5</v>
      </c>
    </row>
    <row r="115" spans="1:12">
      <c r="A115" s="117">
        <f>'Hatch&amp;Match Details'!A116</f>
        <v>113</v>
      </c>
      <c r="B115" s="143">
        <f>VLOOKUP(Lineage!A115,'Loyd List 1-190 - Edit'!$P$1:$R$192,3,FALSE)</f>
        <v>78</v>
      </c>
      <c r="C115">
        <f t="shared" si="132"/>
        <v>46</v>
      </c>
      <c r="D115">
        <f t="shared" si="132"/>
        <v>23</v>
      </c>
      <c r="E115">
        <f t="shared" si="132"/>
        <v>8</v>
      </c>
      <c r="F115">
        <f t="shared" ref="F115:I115" si="230">IF(ISNA(VLOOKUP(E115,$A$2:$B$200,2,FALSE)),"",VLOOKUP(E115,$A$2:$B$200,2,FALSE))</f>
        <v>1</v>
      </c>
      <c r="G115">
        <f t="shared" si="230"/>
        <v>0</v>
      </c>
      <c r="H115">
        <f t="shared" si="230"/>
        <v>-1</v>
      </c>
      <c r="I115" t="str">
        <f t="shared" si="230"/>
        <v/>
      </c>
      <c r="J115" t="str">
        <f t="shared" ref="J115:K115" si="231">IF(ISNA(VLOOKUP(I115,$A$2:$B$200,2,FALSE)),"",VLOOKUP(I115,$A$2:$B$200,2,FALSE))</f>
        <v/>
      </c>
      <c r="K115" t="str">
        <f t="shared" si="231"/>
        <v/>
      </c>
      <c r="L115" s="116">
        <f t="shared" si="135"/>
        <v>5</v>
      </c>
    </row>
    <row r="116" spans="1:12">
      <c r="A116" s="117">
        <f>'Hatch&amp;Match Details'!A117</f>
        <v>114</v>
      </c>
      <c r="B116" s="143">
        <f>VLOOKUP(Lineage!A116,'Loyd List 1-190 - Edit'!$P$1:$R$192,3,FALSE)</f>
        <v>80</v>
      </c>
      <c r="C116">
        <f t="shared" si="132"/>
        <v>29</v>
      </c>
      <c r="D116">
        <f t="shared" si="132"/>
        <v>14</v>
      </c>
      <c r="E116">
        <f t="shared" si="132"/>
        <v>4</v>
      </c>
      <c r="F116">
        <f t="shared" ref="F116:I116" si="232">IF(ISNA(VLOOKUP(E116,$A$2:$B$200,2,FALSE)),"",VLOOKUP(E116,$A$2:$B$200,2,FALSE))</f>
        <v>1</v>
      </c>
      <c r="G116">
        <f t="shared" si="232"/>
        <v>0</v>
      </c>
      <c r="H116">
        <f t="shared" si="232"/>
        <v>-1</v>
      </c>
      <c r="I116" t="str">
        <f t="shared" si="232"/>
        <v/>
      </c>
      <c r="J116" t="str">
        <f t="shared" ref="J116:K116" si="233">IF(ISNA(VLOOKUP(I116,$A$2:$B$200,2,FALSE)),"",VLOOKUP(I116,$A$2:$B$200,2,FALSE))</f>
        <v/>
      </c>
      <c r="K116" t="str">
        <f t="shared" si="233"/>
        <v/>
      </c>
      <c r="L116" s="116">
        <f t="shared" si="135"/>
        <v>5</v>
      </c>
    </row>
    <row r="117" spans="1:12">
      <c r="A117" s="117">
        <f>'Hatch&amp;Match Details'!A118</f>
        <v>115</v>
      </c>
      <c r="B117" s="143">
        <f>VLOOKUP(Lineage!A117,'Loyd List 1-190 - Edit'!$P$1:$R$192,3,FALSE)</f>
        <v>78</v>
      </c>
      <c r="C117">
        <f t="shared" si="132"/>
        <v>46</v>
      </c>
      <c r="D117">
        <f t="shared" si="132"/>
        <v>23</v>
      </c>
      <c r="E117">
        <f t="shared" si="132"/>
        <v>8</v>
      </c>
      <c r="F117">
        <f t="shared" ref="F117:I117" si="234">IF(ISNA(VLOOKUP(E117,$A$2:$B$200,2,FALSE)),"",VLOOKUP(E117,$A$2:$B$200,2,FALSE))</f>
        <v>1</v>
      </c>
      <c r="G117">
        <f t="shared" si="234"/>
        <v>0</v>
      </c>
      <c r="H117">
        <f t="shared" si="234"/>
        <v>-1</v>
      </c>
      <c r="I117" t="str">
        <f t="shared" si="234"/>
        <v/>
      </c>
      <c r="J117" t="str">
        <f t="shared" ref="J117:K117" si="235">IF(ISNA(VLOOKUP(I117,$A$2:$B$200,2,FALSE)),"",VLOOKUP(I117,$A$2:$B$200,2,FALSE))</f>
        <v/>
      </c>
      <c r="K117" t="str">
        <f t="shared" si="235"/>
        <v/>
      </c>
      <c r="L117" s="116">
        <f t="shared" si="135"/>
        <v>5</v>
      </c>
    </row>
    <row r="118" spans="1:12">
      <c r="A118" s="117">
        <f>'Hatch&amp;Match Details'!A119</f>
        <v>116</v>
      </c>
      <c r="B118" s="143">
        <f>VLOOKUP(Lineage!A118,'Loyd List 1-190 - Edit'!$P$1:$R$192,3,FALSE)</f>
        <v>55</v>
      </c>
      <c r="C118">
        <f t="shared" si="132"/>
        <v>35</v>
      </c>
      <c r="D118">
        <f t="shared" si="132"/>
        <v>23</v>
      </c>
      <c r="E118">
        <f t="shared" si="132"/>
        <v>8</v>
      </c>
      <c r="F118">
        <f t="shared" ref="F118:I118" si="236">IF(ISNA(VLOOKUP(E118,$A$2:$B$200,2,FALSE)),"",VLOOKUP(E118,$A$2:$B$200,2,FALSE))</f>
        <v>1</v>
      </c>
      <c r="G118">
        <f t="shared" si="236"/>
        <v>0</v>
      </c>
      <c r="H118">
        <f t="shared" si="236"/>
        <v>-1</v>
      </c>
      <c r="I118" t="str">
        <f t="shared" si="236"/>
        <v/>
      </c>
      <c r="J118" t="str">
        <f t="shared" ref="J118:K118" si="237">IF(ISNA(VLOOKUP(I118,$A$2:$B$200,2,FALSE)),"",VLOOKUP(I118,$A$2:$B$200,2,FALSE))</f>
        <v/>
      </c>
      <c r="K118" t="str">
        <f t="shared" si="237"/>
        <v/>
      </c>
      <c r="L118" s="116">
        <f t="shared" si="135"/>
        <v>5</v>
      </c>
    </row>
    <row r="119" spans="1:12">
      <c r="A119" s="117">
        <f>'Hatch&amp;Match Details'!A120</f>
        <v>117</v>
      </c>
      <c r="B119" s="143">
        <f>VLOOKUP(Lineage!A119,'Loyd List 1-190 - Edit'!$P$1:$R$192,3,FALSE)</f>
        <v>55</v>
      </c>
      <c r="C119">
        <f t="shared" si="132"/>
        <v>35</v>
      </c>
      <c r="D119">
        <f t="shared" si="132"/>
        <v>23</v>
      </c>
      <c r="E119">
        <f t="shared" si="132"/>
        <v>8</v>
      </c>
      <c r="F119">
        <f t="shared" ref="F119:I119" si="238">IF(ISNA(VLOOKUP(E119,$A$2:$B$200,2,FALSE)),"",VLOOKUP(E119,$A$2:$B$200,2,FALSE))</f>
        <v>1</v>
      </c>
      <c r="G119">
        <f t="shared" si="238"/>
        <v>0</v>
      </c>
      <c r="H119">
        <f t="shared" si="238"/>
        <v>-1</v>
      </c>
      <c r="I119" t="str">
        <f t="shared" si="238"/>
        <v/>
      </c>
      <c r="J119" t="str">
        <f t="shared" ref="J119:K119" si="239">IF(ISNA(VLOOKUP(I119,$A$2:$B$200,2,FALSE)),"",VLOOKUP(I119,$A$2:$B$200,2,FALSE))</f>
        <v/>
      </c>
      <c r="K119" t="str">
        <f t="shared" si="239"/>
        <v/>
      </c>
      <c r="L119" s="116">
        <f t="shared" si="135"/>
        <v>5</v>
      </c>
    </row>
    <row r="120" spans="1:12">
      <c r="A120" s="117">
        <f>'Hatch&amp;Match Details'!A121</f>
        <v>118</v>
      </c>
      <c r="B120" s="143">
        <f>VLOOKUP(Lineage!A120,'Loyd List 1-190 - Edit'!$P$1:$R$192,3,FALSE)</f>
        <v>55</v>
      </c>
      <c r="C120">
        <f t="shared" si="132"/>
        <v>35</v>
      </c>
      <c r="D120">
        <f t="shared" si="132"/>
        <v>23</v>
      </c>
      <c r="E120">
        <f t="shared" si="132"/>
        <v>8</v>
      </c>
      <c r="F120">
        <f t="shared" ref="F120:I120" si="240">IF(ISNA(VLOOKUP(E120,$A$2:$B$200,2,FALSE)),"",VLOOKUP(E120,$A$2:$B$200,2,FALSE))</f>
        <v>1</v>
      </c>
      <c r="G120">
        <f t="shared" si="240"/>
        <v>0</v>
      </c>
      <c r="H120">
        <f t="shared" si="240"/>
        <v>-1</v>
      </c>
      <c r="I120" t="str">
        <f t="shared" si="240"/>
        <v/>
      </c>
      <c r="J120" t="str">
        <f t="shared" ref="J120:K120" si="241">IF(ISNA(VLOOKUP(I120,$A$2:$B$200,2,FALSE)),"",VLOOKUP(I120,$A$2:$B$200,2,FALSE))</f>
        <v/>
      </c>
      <c r="K120" t="str">
        <f t="shared" si="241"/>
        <v/>
      </c>
      <c r="L120" s="116">
        <f t="shared" si="135"/>
        <v>5</v>
      </c>
    </row>
    <row r="121" spans="1:12">
      <c r="A121" s="117">
        <f>'Hatch&amp;Match Details'!A122</f>
        <v>119</v>
      </c>
      <c r="B121" s="143">
        <f>VLOOKUP(Lineage!A121,'Loyd List 1-190 - Edit'!$P$1:$R$192,3,FALSE)</f>
        <v>80</v>
      </c>
      <c r="C121">
        <f t="shared" si="132"/>
        <v>29</v>
      </c>
      <c r="D121">
        <f t="shared" si="132"/>
        <v>14</v>
      </c>
      <c r="E121">
        <f t="shared" si="132"/>
        <v>4</v>
      </c>
      <c r="F121">
        <f t="shared" ref="F121:I121" si="242">IF(ISNA(VLOOKUP(E121,$A$2:$B$200,2,FALSE)),"",VLOOKUP(E121,$A$2:$B$200,2,FALSE))</f>
        <v>1</v>
      </c>
      <c r="G121">
        <f t="shared" si="242"/>
        <v>0</v>
      </c>
      <c r="H121">
        <f t="shared" si="242"/>
        <v>-1</v>
      </c>
      <c r="I121" t="str">
        <f t="shared" si="242"/>
        <v/>
      </c>
      <c r="J121" t="str">
        <f t="shared" ref="J121:K121" si="243">IF(ISNA(VLOOKUP(I121,$A$2:$B$200,2,FALSE)),"",VLOOKUP(I121,$A$2:$B$200,2,FALSE))</f>
        <v/>
      </c>
      <c r="K121" t="str">
        <f t="shared" si="243"/>
        <v/>
      </c>
      <c r="L121" s="116">
        <f t="shared" si="135"/>
        <v>5</v>
      </c>
    </row>
    <row r="122" spans="1:12">
      <c r="A122" s="117">
        <f>'Hatch&amp;Match Details'!A123</f>
        <v>120</v>
      </c>
      <c r="B122" s="143">
        <f>VLOOKUP(Lineage!A122,'Loyd List 1-190 - Edit'!$P$1:$R$192,3,FALSE)</f>
        <v>96</v>
      </c>
      <c r="C122">
        <f t="shared" si="132"/>
        <v>66</v>
      </c>
      <c r="D122">
        <f t="shared" si="132"/>
        <v>44</v>
      </c>
      <c r="E122">
        <f t="shared" si="132"/>
        <v>23</v>
      </c>
      <c r="F122">
        <f t="shared" ref="F122:I122" si="244">IF(ISNA(VLOOKUP(E122,$A$2:$B$200,2,FALSE)),"",VLOOKUP(E122,$A$2:$B$200,2,FALSE))</f>
        <v>8</v>
      </c>
      <c r="G122">
        <f t="shared" si="244"/>
        <v>1</v>
      </c>
      <c r="H122">
        <f t="shared" si="244"/>
        <v>0</v>
      </c>
      <c r="I122">
        <f t="shared" si="244"/>
        <v>-1</v>
      </c>
      <c r="J122" t="str">
        <f t="shared" ref="J122:K122" si="245">IF(ISNA(VLOOKUP(I122,$A$2:$B$200,2,FALSE)),"",VLOOKUP(I122,$A$2:$B$200,2,FALSE))</f>
        <v/>
      </c>
      <c r="K122" t="str">
        <f t="shared" si="245"/>
        <v/>
      </c>
      <c r="L122" s="116">
        <f t="shared" si="135"/>
        <v>6</v>
      </c>
    </row>
    <row r="123" spans="1:12">
      <c r="A123" s="117">
        <f>'Hatch&amp;Match Details'!A124</f>
        <v>121</v>
      </c>
      <c r="B123" s="143">
        <f>VLOOKUP(Lineage!A123,'Loyd List 1-190 - Edit'!$P$1:$R$192,3,FALSE)</f>
        <v>96</v>
      </c>
      <c r="C123">
        <f t="shared" si="132"/>
        <v>66</v>
      </c>
      <c r="D123">
        <f t="shared" si="132"/>
        <v>44</v>
      </c>
      <c r="E123">
        <f t="shared" si="132"/>
        <v>23</v>
      </c>
      <c r="F123">
        <f t="shared" ref="F123:I123" si="246">IF(ISNA(VLOOKUP(E123,$A$2:$B$200,2,FALSE)),"",VLOOKUP(E123,$A$2:$B$200,2,FALSE))</f>
        <v>8</v>
      </c>
      <c r="G123">
        <f t="shared" si="246"/>
        <v>1</v>
      </c>
      <c r="H123">
        <f t="shared" si="246"/>
        <v>0</v>
      </c>
      <c r="I123">
        <f t="shared" si="246"/>
        <v>-1</v>
      </c>
      <c r="J123" t="str">
        <f t="shared" ref="J123:K123" si="247">IF(ISNA(VLOOKUP(I123,$A$2:$B$200,2,FALSE)),"",VLOOKUP(I123,$A$2:$B$200,2,FALSE))</f>
        <v/>
      </c>
      <c r="K123" t="str">
        <f t="shared" si="247"/>
        <v/>
      </c>
      <c r="L123" s="116">
        <f t="shared" si="135"/>
        <v>6</v>
      </c>
    </row>
    <row r="124" spans="1:12">
      <c r="A124" s="117">
        <f>'Hatch&amp;Match Details'!A125</f>
        <v>122</v>
      </c>
      <c r="B124" s="143">
        <f>VLOOKUP(Lineage!A124,'Loyd List 1-190 - Edit'!$P$1:$R$192,3,FALSE)</f>
        <v>105</v>
      </c>
      <c r="C124">
        <f t="shared" si="132"/>
        <v>77</v>
      </c>
      <c r="D124">
        <f t="shared" si="132"/>
        <v>30</v>
      </c>
      <c r="E124">
        <f t="shared" si="132"/>
        <v>14</v>
      </c>
      <c r="F124">
        <f t="shared" ref="F124:I124" si="248">IF(ISNA(VLOOKUP(E124,$A$2:$B$200,2,FALSE)),"",VLOOKUP(E124,$A$2:$B$200,2,FALSE))</f>
        <v>4</v>
      </c>
      <c r="G124">
        <f t="shared" si="248"/>
        <v>1</v>
      </c>
      <c r="H124">
        <f t="shared" si="248"/>
        <v>0</v>
      </c>
      <c r="I124">
        <f t="shared" si="248"/>
        <v>-1</v>
      </c>
      <c r="J124" t="str">
        <f t="shared" ref="J124:K124" si="249">IF(ISNA(VLOOKUP(I124,$A$2:$B$200,2,FALSE)),"",VLOOKUP(I124,$A$2:$B$200,2,FALSE))</f>
        <v/>
      </c>
      <c r="K124" t="str">
        <f t="shared" si="249"/>
        <v/>
      </c>
      <c r="L124" s="116">
        <f t="shared" si="135"/>
        <v>6</v>
      </c>
    </row>
    <row r="125" spans="1:12">
      <c r="A125" s="117">
        <f>'Hatch&amp;Match Details'!A126</f>
        <v>123</v>
      </c>
      <c r="B125" s="143">
        <f>VLOOKUP(Lineage!A125,'Loyd List 1-190 - Edit'!$P$1:$R$192,3,FALSE)</f>
        <v>89</v>
      </c>
      <c r="C125">
        <f t="shared" si="132"/>
        <v>54</v>
      </c>
      <c r="D125">
        <f t="shared" si="132"/>
        <v>32</v>
      </c>
      <c r="E125">
        <f t="shared" si="132"/>
        <v>14</v>
      </c>
      <c r="F125">
        <f t="shared" ref="F125:I125" si="250">IF(ISNA(VLOOKUP(E125,$A$2:$B$200,2,FALSE)),"",VLOOKUP(E125,$A$2:$B$200,2,FALSE))</f>
        <v>4</v>
      </c>
      <c r="G125">
        <f t="shared" si="250"/>
        <v>1</v>
      </c>
      <c r="H125">
        <f t="shared" si="250"/>
        <v>0</v>
      </c>
      <c r="I125">
        <f t="shared" si="250"/>
        <v>-1</v>
      </c>
      <c r="J125" t="str">
        <f t="shared" ref="J125:K125" si="251">IF(ISNA(VLOOKUP(I125,$A$2:$B$200,2,FALSE)),"",VLOOKUP(I125,$A$2:$B$200,2,FALSE))</f>
        <v/>
      </c>
      <c r="K125" t="str">
        <f t="shared" si="251"/>
        <v/>
      </c>
      <c r="L125" s="116">
        <f t="shared" si="135"/>
        <v>6</v>
      </c>
    </row>
    <row r="126" spans="1:12">
      <c r="A126" s="117">
        <f>'Hatch&amp;Match Details'!A127</f>
        <v>124</v>
      </c>
      <c r="B126" s="143">
        <f>VLOOKUP(Lineage!A126,'Loyd List 1-190 - Edit'!$P$1:$R$192,3,FALSE)</f>
        <v>94</v>
      </c>
      <c r="C126">
        <f t="shared" si="132"/>
        <v>68</v>
      </c>
      <c r="D126">
        <f t="shared" si="132"/>
        <v>45</v>
      </c>
      <c r="E126">
        <f t="shared" si="132"/>
        <v>22</v>
      </c>
      <c r="F126">
        <f t="shared" ref="F126:I126" si="252">IF(ISNA(VLOOKUP(E126,$A$2:$B$200,2,FALSE)),"",VLOOKUP(E126,$A$2:$B$200,2,FALSE))</f>
        <v>8</v>
      </c>
      <c r="G126">
        <f t="shared" si="252"/>
        <v>1</v>
      </c>
      <c r="H126">
        <f t="shared" si="252"/>
        <v>0</v>
      </c>
      <c r="I126">
        <f t="shared" si="252"/>
        <v>-1</v>
      </c>
      <c r="J126" t="str">
        <f t="shared" ref="J126:K126" si="253">IF(ISNA(VLOOKUP(I126,$A$2:$B$200,2,FALSE)),"",VLOOKUP(I126,$A$2:$B$200,2,FALSE))</f>
        <v/>
      </c>
      <c r="K126" t="str">
        <f t="shared" si="253"/>
        <v/>
      </c>
      <c r="L126" s="116">
        <f t="shared" si="135"/>
        <v>6</v>
      </c>
    </row>
    <row r="127" spans="1:12">
      <c r="A127" s="117">
        <f>'Hatch&amp;Match Details'!A128</f>
        <v>125</v>
      </c>
      <c r="B127" s="143">
        <f>VLOOKUP(Lineage!A127,'Loyd List 1-190 - Edit'!$P$1:$R$192,3,FALSE)</f>
        <v>86</v>
      </c>
      <c r="C127">
        <f t="shared" si="132"/>
        <v>71</v>
      </c>
      <c r="D127">
        <f t="shared" si="132"/>
        <v>34</v>
      </c>
      <c r="E127">
        <f t="shared" si="132"/>
        <v>14</v>
      </c>
      <c r="F127">
        <f t="shared" ref="F127:I127" si="254">IF(ISNA(VLOOKUP(E127,$A$2:$B$200,2,FALSE)),"",VLOOKUP(E127,$A$2:$B$200,2,FALSE))</f>
        <v>4</v>
      </c>
      <c r="G127">
        <f t="shared" si="254"/>
        <v>1</v>
      </c>
      <c r="H127">
        <f t="shared" si="254"/>
        <v>0</v>
      </c>
      <c r="I127">
        <f t="shared" si="254"/>
        <v>-1</v>
      </c>
      <c r="J127" t="str">
        <f t="shared" ref="J127:K127" si="255">IF(ISNA(VLOOKUP(I127,$A$2:$B$200,2,FALSE)),"",VLOOKUP(I127,$A$2:$B$200,2,FALSE))</f>
        <v/>
      </c>
      <c r="K127" t="str">
        <f t="shared" si="255"/>
        <v/>
      </c>
      <c r="L127" s="116">
        <f t="shared" si="135"/>
        <v>6</v>
      </c>
    </row>
    <row r="128" spans="1:12">
      <c r="A128" s="117">
        <f>'Hatch&amp;Match Details'!A129</f>
        <v>126</v>
      </c>
      <c r="B128" s="143">
        <f>VLOOKUP(Lineage!A128,'Loyd List 1-190 - Edit'!$P$1:$R$192,3,FALSE)</f>
        <v>94</v>
      </c>
      <c r="C128">
        <f t="shared" si="132"/>
        <v>68</v>
      </c>
      <c r="D128">
        <f t="shared" si="132"/>
        <v>45</v>
      </c>
      <c r="E128">
        <f t="shared" si="132"/>
        <v>22</v>
      </c>
      <c r="F128">
        <f t="shared" ref="F128:I128" si="256">IF(ISNA(VLOOKUP(E128,$A$2:$B$200,2,FALSE)),"",VLOOKUP(E128,$A$2:$B$200,2,FALSE))</f>
        <v>8</v>
      </c>
      <c r="G128">
        <f t="shared" si="256"/>
        <v>1</v>
      </c>
      <c r="H128">
        <f t="shared" si="256"/>
        <v>0</v>
      </c>
      <c r="I128">
        <f t="shared" si="256"/>
        <v>-1</v>
      </c>
      <c r="J128" t="str">
        <f t="shared" ref="J128:K128" si="257">IF(ISNA(VLOOKUP(I128,$A$2:$B$200,2,FALSE)),"",VLOOKUP(I128,$A$2:$B$200,2,FALSE))</f>
        <v/>
      </c>
      <c r="K128" t="str">
        <f t="shared" si="257"/>
        <v/>
      </c>
      <c r="L128" s="116">
        <f t="shared" si="135"/>
        <v>6</v>
      </c>
    </row>
    <row r="129" spans="1:12">
      <c r="A129" s="117">
        <f>'Hatch&amp;Match Details'!A130</f>
        <v>127</v>
      </c>
      <c r="B129" s="143">
        <f>VLOOKUP(Lineage!A129,'Loyd List 1-190 - Edit'!$P$1:$R$192,3,FALSE)</f>
        <v>78</v>
      </c>
      <c r="C129">
        <f t="shared" si="132"/>
        <v>46</v>
      </c>
      <c r="D129">
        <f t="shared" si="132"/>
        <v>23</v>
      </c>
      <c r="E129">
        <f t="shared" si="132"/>
        <v>8</v>
      </c>
      <c r="F129">
        <f t="shared" ref="F129:I129" si="258">IF(ISNA(VLOOKUP(E129,$A$2:$B$200,2,FALSE)),"",VLOOKUP(E129,$A$2:$B$200,2,FALSE))</f>
        <v>1</v>
      </c>
      <c r="G129">
        <f t="shared" si="258"/>
        <v>0</v>
      </c>
      <c r="H129">
        <f t="shared" si="258"/>
        <v>-1</v>
      </c>
      <c r="I129" t="str">
        <f t="shared" si="258"/>
        <v/>
      </c>
      <c r="J129" t="str">
        <f t="shared" ref="J129:K129" si="259">IF(ISNA(VLOOKUP(I129,$A$2:$B$200,2,FALSE)),"",VLOOKUP(I129,$A$2:$B$200,2,FALSE))</f>
        <v/>
      </c>
      <c r="K129" t="str">
        <f t="shared" si="259"/>
        <v/>
      </c>
      <c r="L129" s="116">
        <f t="shared" si="135"/>
        <v>5</v>
      </c>
    </row>
    <row r="130" spans="1:12">
      <c r="A130" s="117">
        <f>'Hatch&amp;Match Details'!A131</f>
        <v>128</v>
      </c>
      <c r="B130" s="143">
        <f>VLOOKUP(Lineage!A130,'Loyd List 1-190 - Edit'!$P$1:$R$192,3,FALSE)</f>
        <v>98</v>
      </c>
      <c r="C130">
        <f t="shared" si="132"/>
        <v>77</v>
      </c>
      <c r="D130">
        <f t="shared" si="132"/>
        <v>30</v>
      </c>
      <c r="E130">
        <f t="shared" si="132"/>
        <v>14</v>
      </c>
      <c r="F130">
        <f t="shared" ref="F130:I130" si="260">IF(ISNA(VLOOKUP(E130,$A$2:$B$200,2,FALSE)),"",VLOOKUP(E130,$A$2:$B$200,2,FALSE))</f>
        <v>4</v>
      </c>
      <c r="G130">
        <f t="shared" si="260"/>
        <v>1</v>
      </c>
      <c r="H130">
        <f t="shared" si="260"/>
        <v>0</v>
      </c>
      <c r="I130">
        <f t="shared" si="260"/>
        <v>-1</v>
      </c>
      <c r="J130" t="str">
        <f t="shared" ref="J130:K130" si="261">IF(ISNA(VLOOKUP(I130,$A$2:$B$200,2,FALSE)),"",VLOOKUP(I130,$A$2:$B$200,2,FALSE))</f>
        <v/>
      </c>
      <c r="K130" t="str">
        <f t="shared" si="261"/>
        <v/>
      </c>
      <c r="L130" s="116">
        <f t="shared" si="135"/>
        <v>6</v>
      </c>
    </row>
    <row r="131" spans="1:12">
      <c r="A131" s="117">
        <f>'Hatch&amp;Match Details'!A132</f>
        <v>129</v>
      </c>
      <c r="B131" s="143">
        <f>VLOOKUP(Lineage!A131,'Loyd List 1-190 - Edit'!$P$1:$R$192,3,FALSE)</f>
        <v>89</v>
      </c>
      <c r="C131">
        <f t="shared" ref="C131:E192" si="262">IF(ISNA(VLOOKUP(B131,$A$2:$B$200,2,FALSE)),"",VLOOKUP(B131,$A$2:$B$200,2,FALSE))</f>
        <v>54</v>
      </c>
      <c r="D131">
        <f t="shared" si="262"/>
        <v>32</v>
      </c>
      <c r="E131">
        <f t="shared" si="262"/>
        <v>14</v>
      </c>
      <c r="F131">
        <f t="shared" ref="F131:I131" si="263">IF(ISNA(VLOOKUP(E131,$A$2:$B$200,2,FALSE)),"",VLOOKUP(E131,$A$2:$B$200,2,FALSE))</f>
        <v>4</v>
      </c>
      <c r="G131">
        <f t="shared" si="263"/>
        <v>1</v>
      </c>
      <c r="H131">
        <f t="shared" si="263"/>
        <v>0</v>
      </c>
      <c r="I131">
        <f t="shared" si="263"/>
        <v>-1</v>
      </c>
      <c r="J131" t="str">
        <f t="shared" ref="J131:K131" si="264">IF(ISNA(VLOOKUP(I131,$A$2:$B$200,2,FALSE)),"",VLOOKUP(I131,$A$2:$B$200,2,FALSE))</f>
        <v/>
      </c>
      <c r="K131" t="str">
        <f t="shared" si="264"/>
        <v/>
      </c>
      <c r="L131" s="116">
        <f t="shared" ref="L131:L192" si="265">COUNTIF(B131:K131,"&gt;0")</f>
        <v>6</v>
      </c>
    </row>
    <row r="132" spans="1:12">
      <c r="A132" s="117">
        <f>'Hatch&amp;Match Details'!A133</f>
        <v>130</v>
      </c>
      <c r="B132" s="143">
        <f>VLOOKUP(Lineage!A132,'Loyd List 1-190 - Edit'!$P$1:$R$192,3,FALSE)</f>
        <v>86</v>
      </c>
      <c r="C132">
        <f t="shared" si="262"/>
        <v>71</v>
      </c>
      <c r="D132">
        <f t="shared" si="262"/>
        <v>34</v>
      </c>
      <c r="E132">
        <f t="shared" si="262"/>
        <v>14</v>
      </c>
      <c r="F132">
        <f t="shared" ref="F132:I132" si="266">IF(ISNA(VLOOKUP(E132,$A$2:$B$200,2,FALSE)),"",VLOOKUP(E132,$A$2:$B$200,2,FALSE))</f>
        <v>4</v>
      </c>
      <c r="G132">
        <f t="shared" si="266"/>
        <v>1</v>
      </c>
      <c r="H132">
        <f t="shared" si="266"/>
        <v>0</v>
      </c>
      <c r="I132">
        <f t="shared" si="266"/>
        <v>-1</v>
      </c>
      <c r="J132" t="str">
        <f t="shared" ref="J132:K132" si="267">IF(ISNA(VLOOKUP(I132,$A$2:$B$200,2,FALSE)),"",VLOOKUP(I132,$A$2:$B$200,2,FALSE))</f>
        <v/>
      </c>
      <c r="K132" t="str">
        <f t="shared" si="267"/>
        <v/>
      </c>
      <c r="L132" s="116">
        <f t="shared" si="265"/>
        <v>6</v>
      </c>
    </row>
    <row r="133" spans="1:12">
      <c r="A133" s="117">
        <f>'Hatch&amp;Match Details'!A134</f>
        <v>131</v>
      </c>
      <c r="B133" s="143">
        <f>VLOOKUP(Lineage!A133,'Loyd List 1-190 - Edit'!$P$1:$R$192,3,FALSE)</f>
        <v>94</v>
      </c>
      <c r="C133">
        <f t="shared" si="262"/>
        <v>68</v>
      </c>
      <c r="D133">
        <f t="shared" si="262"/>
        <v>45</v>
      </c>
      <c r="E133">
        <f t="shared" si="262"/>
        <v>22</v>
      </c>
      <c r="F133">
        <f t="shared" ref="F133:I133" si="268">IF(ISNA(VLOOKUP(E133,$A$2:$B$200,2,FALSE)),"",VLOOKUP(E133,$A$2:$B$200,2,FALSE))</f>
        <v>8</v>
      </c>
      <c r="G133">
        <f t="shared" si="268"/>
        <v>1</v>
      </c>
      <c r="H133">
        <f t="shared" si="268"/>
        <v>0</v>
      </c>
      <c r="I133">
        <f t="shared" si="268"/>
        <v>-1</v>
      </c>
      <c r="J133" t="str">
        <f t="shared" ref="J133:K133" si="269">IF(ISNA(VLOOKUP(I133,$A$2:$B$200,2,FALSE)),"",VLOOKUP(I133,$A$2:$B$200,2,FALSE))</f>
        <v/>
      </c>
      <c r="K133" t="str">
        <f t="shared" si="269"/>
        <v/>
      </c>
      <c r="L133" s="116">
        <f t="shared" si="265"/>
        <v>6</v>
      </c>
    </row>
    <row r="134" spans="1:12">
      <c r="A134" s="117">
        <f>'Hatch&amp;Match Details'!A135</f>
        <v>132</v>
      </c>
      <c r="B134" s="143">
        <f>VLOOKUP(Lineage!A134,'Loyd List 1-190 - Edit'!$P$1:$R$192,3,FALSE)</f>
        <v>98</v>
      </c>
      <c r="C134">
        <f t="shared" si="262"/>
        <v>77</v>
      </c>
      <c r="D134">
        <f t="shared" si="262"/>
        <v>30</v>
      </c>
      <c r="E134">
        <f t="shared" si="262"/>
        <v>14</v>
      </c>
      <c r="F134">
        <f t="shared" ref="F134:I134" si="270">IF(ISNA(VLOOKUP(E134,$A$2:$B$200,2,FALSE)),"",VLOOKUP(E134,$A$2:$B$200,2,FALSE))</f>
        <v>4</v>
      </c>
      <c r="G134">
        <f t="shared" si="270"/>
        <v>1</v>
      </c>
      <c r="H134">
        <f t="shared" si="270"/>
        <v>0</v>
      </c>
      <c r="I134">
        <f t="shared" si="270"/>
        <v>-1</v>
      </c>
      <c r="J134" t="str">
        <f t="shared" ref="J134:K134" si="271">IF(ISNA(VLOOKUP(I134,$A$2:$B$200,2,FALSE)),"",VLOOKUP(I134,$A$2:$B$200,2,FALSE))</f>
        <v/>
      </c>
      <c r="K134" t="str">
        <f t="shared" si="271"/>
        <v/>
      </c>
      <c r="L134" s="116">
        <f t="shared" si="265"/>
        <v>6</v>
      </c>
    </row>
    <row r="135" spans="1:12">
      <c r="A135" s="117">
        <f>'Hatch&amp;Match Details'!A136</f>
        <v>133</v>
      </c>
      <c r="B135" s="143">
        <f>VLOOKUP(Lineage!A135,'Loyd List 1-190 - Edit'!$P$1:$R$192,3,FALSE)</f>
        <v>105</v>
      </c>
      <c r="C135">
        <f t="shared" si="262"/>
        <v>77</v>
      </c>
      <c r="D135">
        <f t="shared" si="262"/>
        <v>30</v>
      </c>
      <c r="E135">
        <f t="shared" si="262"/>
        <v>14</v>
      </c>
      <c r="F135">
        <f t="shared" ref="F135:I135" si="272">IF(ISNA(VLOOKUP(E135,$A$2:$B$200,2,FALSE)),"",VLOOKUP(E135,$A$2:$B$200,2,FALSE))</f>
        <v>4</v>
      </c>
      <c r="G135">
        <f t="shared" si="272"/>
        <v>1</v>
      </c>
      <c r="H135">
        <f t="shared" si="272"/>
        <v>0</v>
      </c>
      <c r="I135">
        <f t="shared" si="272"/>
        <v>-1</v>
      </c>
      <c r="J135" t="str">
        <f t="shared" ref="J135:K135" si="273">IF(ISNA(VLOOKUP(I135,$A$2:$B$200,2,FALSE)),"",VLOOKUP(I135,$A$2:$B$200,2,FALSE))</f>
        <v/>
      </c>
      <c r="K135" t="str">
        <f t="shared" si="273"/>
        <v/>
      </c>
      <c r="L135" s="116">
        <f t="shared" si="265"/>
        <v>6</v>
      </c>
    </row>
    <row r="136" spans="1:12">
      <c r="A136" s="117">
        <f>'Hatch&amp;Match Details'!A137</f>
        <v>134</v>
      </c>
      <c r="B136" s="143">
        <f>VLOOKUP(Lineage!A136,'Loyd List 1-190 - Edit'!$P$1:$R$192,3,FALSE)</f>
        <v>98</v>
      </c>
      <c r="C136">
        <f t="shared" si="262"/>
        <v>77</v>
      </c>
      <c r="D136">
        <f t="shared" si="262"/>
        <v>30</v>
      </c>
      <c r="E136">
        <f t="shared" si="262"/>
        <v>14</v>
      </c>
      <c r="F136">
        <f t="shared" ref="F136:I136" si="274">IF(ISNA(VLOOKUP(E136,$A$2:$B$200,2,FALSE)),"",VLOOKUP(E136,$A$2:$B$200,2,FALSE))</f>
        <v>4</v>
      </c>
      <c r="G136">
        <f t="shared" si="274"/>
        <v>1</v>
      </c>
      <c r="H136">
        <f t="shared" si="274"/>
        <v>0</v>
      </c>
      <c r="I136">
        <f t="shared" si="274"/>
        <v>-1</v>
      </c>
      <c r="J136" t="str">
        <f t="shared" ref="J136:K136" si="275">IF(ISNA(VLOOKUP(I136,$A$2:$B$200,2,FALSE)),"",VLOOKUP(I136,$A$2:$B$200,2,FALSE))</f>
        <v/>
      </c>
      <c r="K136" t="str">
        <f t="shared" si="275"/>
        <v/>
      </c>
      <c r="L136" s="116">
        <f t="shared" si="265"/>
        <v>6</v>
      </c>
    </row>
    <row r="137" spans="1:12">
      <c r="A137" s="117">
        <f>'Hatch&amp;Match Details'!A138</f>
        <v>135</v>
      </c>
      <c r="B137" s="143">
        <f>VLOOKUP(Lineage!A137,'Loyd List 1-190 - Edit'!$P$1:$R$192,3,FALSE)</f>
        <v>86</v>
      </c>
      <c r="C137">
        <f t="shared" si="262"/>
        <v>71</v>
      </c>
      <c r="D137">
        <f t="shared" si="262"/>
        <v>34</v>
      </c>
      <c r="E137">
        <f t="shared" si="262"/>
        <v>14</v>
      </c>
      <c r="F137">
        <f t="shared" ref="F137:I137" si="276">IF(ISNA(VLOOKUP(E137,$A$2:$B$200,2,FALSE)),"",VLOOKUP(E137,$A$2:$B$200,2,FALSE))</f>
        <v>4</v>
      </c>
      <c r="G137">
        <f t="shared" si="276"/>
        <v>1</v>
      </c>
      <c r="H137">
        <f t="shared" si="276"/>
        <v>0</v>
      </c>
      <c r="I137">
        <f t="shared" si="276"/>
        <v>-1</v>
      </c>
      <c r="J137" t="str">
        <f t="shared" ref="J137:K137" si="277">IF(ISNA(VLOOKUP(I137,$A$2:$B$200,2,FALSE)),"",VLOOKUP(I137,$A$2:$B$200,2,FALSE))</f>
        <v/>
      </c>
      <c r="K137" t="str">
        <f t="shared" si="277"/>
        <v/>
      </c>
      <c r="L137" s="116">
        <f t="shared" si="265"/>
        <v>6</v>
      </c>
    </row>
    <row r="138" spans="1:12">
      <c r="A138" s="117">
        <f>'Hatch&amp;Match Details'!A139</f>
        <v>136</v>
      </c>
      <c r="B138" s="143">
        <f>VLOOKUP(Lineage!A138,'Loyd List 1-190 - Edit'!$P$1:$R$192,3,FALSE)</f>
        <v>94</v>
      </c>
      <c r="C138">
        <f t="shared" si="262"/>
        <v>68</v>
      </c>
      <c r="D138">
        <f t="shared" si="262"/>
        <v>45</v>
      </c>
      <c r="E138">
        <f t="shared" si="262"/>
        <v>22</v>
      </c>
      <c r="F138">
        <f t="shared" ref="F138:I138" si="278">IF(ISNA(VLOOKUP(E138,$A$2:$B$200,2,FALSE)),"",VLOOKUP(E138,$A$2:$B$200,2,FALSE))</f>
        <v>8</v>
      </c>
      <c r="G138">
        <f t="shared" si="278"/>
        <v>1</v>
      </c>
      <c r="H138">
        <f t="shared" si="278"/>
        <v>0</v>
      </c>
      <c r="I138">
        <f t="shared" si="278"/>
        <v>-1</v>
      </c>
      <c r="J138" t="str">
        <f t="shared" ref="J138:K138" si="279">IF(ISNA(VLOOKUP(I138,$A$2:$B$200,2,FALSE)),"",VLOOKUP(I138,$A$2:$B$200,2,FALSE))</f>
        <v/>
      </c>
      <c r="K138" t="str">
        <f t="shared" si="279"/>
        <v/>
      </c>
      <c r="L138" s="116">
        <f t="shared" si="265"/>
        <v>6</v>
      </c>
    </row>
    <row r="139" spans="1:12">
      <c r="A139" s="117">
        <f>'Hatch&amp;Match Details'!A140</f>
        <v>137</v>
      </c>
      <c r="B139" s="143">
        <f>VLOOKUP(Lineage!A139,'Loyd List 1-190 - Edit'!$P$1:$R$192,3,FALSE)</f>
        <v>99</v>
      </c>
      <c r="C139">
        <f t="shared" si="262"/>
        <v>66</v>
      </c>
      <c r="D139">
        <f t="shared" si="262"/>
        <v>44</v>
      </c>
      <c r="E139">
        <f t="shared" si="262"/>
        <v>23</v>
      </c>
      <c r="F139">
        <f t="shared" ref="F139:I139" si="280">IF(ISNA(VLOOKUP(E139,$A$2:$B$200,2,FALSE)),"",VLOOKUP(E139,$A$2:$B$200,2,FALSE))</f>
        <v>8</v>
      </c>
      <c r="G139">
        <f t="shared" si="280"/>
        <v>1</v>
      </c>
      <c r="H139">
        <f t="shared" si="280"/>
        <v>0</v>
      </c>
      <c r="I139">
        <f t="shared" si="280"/>
        <v>-1</v>
      </c>
      <c r="J139" t="str">
        <f t="shared" ref="J139:K139" si="281">IF(ISNA(VLOOKUP(I139,$A$2:$B$200,2,FALSE)),"",VLOOKUP(I139,$A$2:$B$200,2,FALSE))</f>
        <v/>
      </c>
      <c r="K139" t="str">
        <f t="shared" si="281"/>
        <v/>
      </c>
      <c r="L139" s="116">
        <f t="shared" si="265"/>
        <v>6</v>
      </c>
    </row>
    <row r="140" spans="1:12">
      <c r="A140" s="117">
        <f>'Hatch&amp;Match Details'!A141</f>
        <v>138</v>
      </c>
      <c r="B140" s="143">
        <f>VLOOKUP(Lineage!A140,'Loyd List 1-190 - Edit'!$P$1:$R$192,3,FALSE)</f>
        <v>100</v>
      </c>
      <c r="C140">
        <f t="shared" si="262"/>
        <v>56</v>
      </c>
      <c r="D140">
        <f t="shared" si="262"/>
        <v>28</v>
      </c>
      <c r="E140">
        <f t="shared" si="262"/>
        <v>14</v>
      </c>
      <c r="F140">
        <f t="shared" ref="F140:I140" si="282">IF(ISNA(VLOOKUP(E140,$A$2:$B$200,2,FALSE)),"",VLOOKUP(E140,$A$2:$B$200,2,FALSE))</f>
        <v>4</v>
      </c>
      <c r="G140">
        <f t="shared" si="282"/>
        <v>1</v>
      </c>
      <c r="H140">
        <f t="shared" si="282"/>
        <v>0</v>
      </c>
      <c r="I140">
        <f t="shared" si="282"/>
        <v>-1</v>
      </c>
      <c r="J140" t="str">
        <f t="shared" ref="J140:K140" si="283">IF(ISNA(VLOOKUP(I140,$A$2:$B$200,2,FALSE)),"",VLOOKUP(I140,$A$2:$B$200,2,FALSE))</f>
        <v/>
      </c>
      <c r="K140" t="str">
        <f t="shared" si="283"/>
        <v/>
      </c>
      <c r="L140" s="116">
        <f t="shared" si="265"/>
        <v>6</v>
      </c>
    </row>
    <row r="141" spans="1:12">
      <c r="A141" s="117">
        <f>'Hatch&amp;Match Details'!A142</f>
        <v>139</v>
      </c>
      <c r="B141" s="143">
        <f>VLOOKUP(Lineage!A141,'Loyd List 1-190 - Edit'!$P$1:$R$192,3,FALSE)</f>
        <v>94</v>
      </c>
      <c r="C141">
        <f t="shared" si="262"/>
        <v>68</v>
      </c>
      <c r="D141">
        <f t="shared" si="262"/>
        <v>45</v>
      </c>
      <c r="E141">
        <f t="shared" si="262"/>
        <v>22</v>
      </c>
      <c r="F141">
        <f t="shared" ref="F141:I141" si="284">IF(ISNA(VLOOKUP(E141,$A$2:$B$200,2,FALSE)),"",VLOOKUP(E141,$A$2:$B$200,2,FALSE))</f>
        <v>8</v>
      </c>
      <c r="G141">
        <f t="shared" si="284"/>
        <v>1</v>
      </c>
      <c r="H141">
        <f t="shared" si="284"/>
        <v>0</v>
      </c>
      <c r="I141">
        <f t="shared" si="284"/>
        <v>-1</v>
      </c>
      <c r="J141" t="str">
        <f t="shared" ref="J141:K141" si="285">IF(ISNA(VLOOKUP(I141,$A$2:$B$200,2,FALSE)),"",VLOOKUP(I141,$A$2:$B$200,2,FALSE))</f>
        <v/>
      </c>
      <c r="K141" t="str">
        <f t="shared" si="285"/>
        <v/>
      </c>
      <c r="L141" s="116">
        <f t="shared" si="265"/>
        <v>6</v>
      </c>
    </row>
    <row r="142" spans="1:12">
      <c r="A142" s="117">
        <f>'Hatch&amp;Match Details'!A143</f>
        <v>140</v>
      </c>
      <c r="B142" s="143">
        <f>VLOOKUP(Lineage!A142,'Loyd List 1-190 - Edit'!$P$1:$R$192,3,FALSE)</f>
        <v>78</v>
      </c>
      <c r="C142">
        <f t="shared" si="262"/>
        <v>46</v>
      </c>
      <c r="D142">
        <f t="shared" si="262"/>
        <v>23</v>
      </c>
      <c r="E142">
        <f t="shared" si="262"/>
        <v>8</v>
      </c>
      <c r="F142">
        <f t="shared" ref="F142:I142" si="286">IF(ISNA(VLOOKUP(E142,$A$2:$B$200,2,FALSE)),"",VLOOKUP(E142,$A$2:$B$200,2,FALSE))</f>
        <v>1</v>
      </c>
      <c r="G142">
        <f t="shared" si="286"/>
        <v>0</v>
      </c>
      <c r="H142">
        <f t="shared" si="286"/>
        <v>-1</v>
      </c>
      <c r="I142" t="str">
        <f t="shared" si="286"/>
        <v/>
      </c>
      <c r="J142" t="str">
        <f t="shared" ref="J142:K142" si="287">IF(ISNA(VLOOKUP(I142,$A$2:$B$200,2,FALSE)),"",VLOOKUP(I142,$A$2:$B$200,2,FALSE))</f>
        <v/>
      </c>
      <c r="K142" t="str">
        <f t="shared" si="287"/>
        <v/>
      </c>
      <c r="L142" s="116">
        <f t="shared" si="265"/>
        <v>5</v>
      </c>
    </row>
    <row r="143" spans="1:12">
      <c r="A143" s="117">
        <f>'Hatch&amp;Match Details'!A144</f>
        <v>141</v>
      </c>
      <c r="B143" s="143">
        <f>VLOOKUP(Lineage!A143,'Loyd List 1-190 - Edit'!$P$1:$R$192,3,FALSE)</f>
        <v>104</v>
      </c>
      <c r="C143">
        <f t="shared" si="262"/>
        <v>72</v>
      </c>
      <c r="D143">
        <f t="shared" si="262"/>
        <v>44</v>
      </c>
      <c r="E143">
        <f t="shared" si="262"/>
        <v>23</v>
      </c>
      <c r="F143">
        <f t="shared" ref="F143:I143" si="288">IF(ISNA(VLOOKUP(E143,$A$2:$B$200,2,FALSE)),"",VLOOKUP(E143,$A$2:$B$200,2,FALSE))</f>
        <v>8</v>
      </c>
      <c r="G143">
        <f t="shared" si="288"/>
        <v>1</v>
      </c>
      <c r="H143">
        <f t="shared" si="288"/>
        <v>0</v>
      </c>
      <c r="I143">
        <f t="shared" si="288"/>
        <v>-1</v>
      </c>
      <c r="J143" t="str">
        <f t="shared" ref="J143:K143" si="289">IF(ISNA(VLOOKUP(I143,$A$2:$B$200,2,FALSE)),"",VLOOKUP(I143,$A$2:$B$200,2,FALSE))</f>
        <v/>
      </c>
      <c r="K143" t="str">
        <f t="shared" si="289"/>
        <v/>
      </c>
      <c r="L143" s="116">
        <f t="shared" si="265"/>
        <v>6</v>
      </c>
    </row>
    <row r="144" spans="1:12">
      <c r="A144" s="117">
        <f>'Hatch&amp;Match Details'!A145</f>
        <v>142</v>
      </c>
      <c r="B144" s="143">
        <f>VLOOKUP(Lineage!A144,'Loyd List 1-190 - Edit'!$P$1:$R$192,3,FALSE)</f>
        <v>94</v>
      </c>
      <c r="C144">
        <f t="shared" si="262"/>
        <v>68</v>
      </c>
      <c r="D144">
        <f t="shared" si="262"/>
        <v>45</v>
      </c>
      <c r="E144">
        <f t="shared" si="262"/>
        <v>22</v>
      </c>
      <c r="F144">
        <f t="shared" ref="F144:I144" si="290">IF(ISNA(VLOOKUP(E144,$A$2:$B$200,2,FALSE)),"",VLOOKUP(E144,$A$2:$B$200,2,FALSE))</f>
        <v>8</v>
      </c>
      <c r="G144">
        <f t="shared" si="290"/>
        <v>1</v>
      </c>
      <c r="H144">
        <f t="shared" si="290"/>
        <v>0</v>
      </c>
      <c r="I144">
        <f t="shared" si="290"/>
        <v>-1</v>
      </c>
      <c r="J144" t="str">
        <f t="shared" ref="J144:K144" si="291">IF(ISNA(VLOOKUP(I144,$A$2:$B$200,2,FALSE)),"",VLOOKUP(I144,$A$2:$B$200,2,FALSE))</f>
        <v/>
      </c>
      <c r="K144" t="str">
        <f t="shared" si="291"/>
        <v/>
      </c>
      <c r="L144" s="116">
        <f t="shared" si="265"/>
        <v>6</v>
      </c>
    </row>
    <row r="145" spans="1:12">
      <c r="A145" s="117">
        <f>'Hatch&amp;Match Details'!A146</f>
        <v>143</v>
      </c>
      <c r="B145" s="143">
        <f>VLOOKUP(Lineage!A145,'Loyd List 1-190 - Edit'!$P$1:$R$192,3,FALSE)</f>
        <v>100</v>
      </c>
      <c r="C145">
        <f t="shared" si="262"/>
        <v>56</v>
      </c>
      <c r="D145">
        <f t="shared" si="262"/>
        <v>28</v>
      </c>
      <c r="E145">
        <f t="shared" si="262"/>
        <v>14</v>
      </c>
      <c r="F145">
        <f t="shared" ref="F145:I145" si="292">IF(ISNA(VLOOKUP(E145,$A$2:$B$200,2,FALSE)),"",VLOOKUP(E145,$A$2:$B$200,2,FALSE))</f>
        <v>4</v>
      </c>
      <c r="G145">
        <f t="shared" si="292"/>
        <v>1</v>
      </c>
      <c r="H145">
        <f t="shared" si="292"/>
        <v>0</v>
      </c>
      <c r="I145">
        <f t="shared" si="292"/>
        <v>-1</v>
      </c>
      <c r="J145" t="str">
        <f t="shared" ref="J145:K145" si="293">IF(ISNA(VLOOKUP(I145,$A$2:$B$200,2,FALSE)),"",VLOOKUP(I145,$A$2:$B$200,2,FALSE))</f>
        <v/>
      </c>
      <c r="K145" t="str">
        <f t="shared" si="293"/>
        <v/>
      </c>
      <c r="L145" s="116">
        <f t="shared" si="265"/>
        <v>6</v>
      </c>
    </row>
    <row r="146" spans="1:12">
      <c r="A146" s="117">
        <f>'Hatch&amp;Match Details'!A147</f>
        <v>144</v>
      </c>
      <c r="B146" s="143">
        <f>VLOOKUP(Lineage!A146,'Loyd List 1-190 - Edit'!$P$1:$R$192,3,FALSE)</f>
        <v>99</v>
      </c>
      <c r="C146">
        <f t="shared" si="262"/>
        <v>66</v>
      </c>
      <c r="D146">
        <f t="shared" si="262"/>
        <v>44</v>
      </c>
      <c r="E146">
        <f t="shared" si="262"/>
        <v>23</v>
      </c>
      <c r="F146">
        <f t="shared" ref="F146:I146" si="294">IF(ISNA(VLOOKUP(E146,$A$2:$B$200,2,FALSE)),"",VLOOKUP(E146,$A$2:$B$200,2,FALSE))</f>
        <v>8</v>
      </c>
      <c r="G146">
        <f t="shared" si="294"/>
        <v>1</v>
      </c>
      <c r="H146">
        <f t="shared" si="294"/>
        <v>0</v>
      </c>
      <c r="I146">
        <f t="shared" si="294"/>
        <v>-1</v>
      </c>
      <c r="J146" t="str">
        <f t="shared" ref="J146:K146" si="295">IF(ISNA(VLOOKUP(I146,$A$2:$B$200,2,FALSE)),"",VLOOKUP(I146,$A$2:$B$200,2,FALSE))</f>
        <v/>
      </c>
      <c r="K146" t="str">
        <f t="shared" si="295"/>
        <v/>
      </c>
      <c r="L146" s="116">
        <f t="shared" si="265"/>
        <v>6</v>
      </c>
    </row>
    <row r="147" spans="1:12">
      <c r="A147" s="117">
        <f>'Hatch&amp;Match Details'!A148</f>
        <v>145</v>
      </c>
      <c r="B147" s="143">
        <f>VLOOKUP(Lineage!A147,'Loyd List 1-190 - Edit'!$P$1:$R$192,3,FALSE)</f>
        <v>98</v>
      </c>
      <c r="C147">
        <f t="shared" si="262"/>
        <v>77</v>
      </c>
      <c r="D147">
        <f t="shared" si="262"/>
        <v>30</v>
      </c>
      <c r="E147">
        <f t="shared" si="262"/>
        <v>14</v>
      </c>
      <c r="F147">
        <f t="shared" ref="F147:I147" si="296">IF(ISNA(VLOOKUP(E147,$A$2:$B$200,2,FALSE)),"",VLOOKUP(E147,$A$2:$B$200,2,FALSE))</f>
        <v>4</v>
      </c>
      <c r="G147">
        <f t="shared" si="296"/>
        <v>1</v>
      </c>
      <c r="H147">
        <f t="shared" si="296"/>
        <v>0</v>
      </c>
      <c r="I147">
        <f t="shared" si="296"/>
        <v>-1</v>
      </c>
      <c r="J147" t="str">
        <f t="shared" ref="J147:K147" si="297">IF(ISNA(VLOOKUP(I147,$A$2:$B$200,2,FALSE)),"",VLOOKUP(I147,$A$2:$B$200,2,FALSE))</f>
        <v/>
      </c>
      <c r="K147" t="str">
        <f t="shared" si="297"/>
        <v/>
      </c>
      <c r="L147" s="116">
        <f t="shared" si="265"/>
        <v>6</v>
      </c>
    </row>
    <row r="148" spans="1:12">
      <c r="A148" s="117">
        <f>'Hatch&amp;Match Details'!A149</f>
        <v>146</v>
      </c>
      <c r="B148" s="143">
        <f>VLOOKUP(Lineage!A148,'Loyd List 1-190 - Edit'!$P$1:$R$192,3,FALSE)</f>
        <v>104</v>
      </c>
      <c r="C148">
        <f t="shared" si="262"/>
        <v>72</v>
      </c>
      <c r="D148">
        <f t="shared" si="262"/>
        <v>44</v>
      </c>
      <c r="E148">
        <f t="shared" si="262"/>
        <v>23</v>
      </c>
      <c r="F148">
        <f t="shared" ref="F148:I148" si="298">IF(ISNA(VLOOKUP(E148,$A$2:$B$200,2,FALSE)),"",VLOOKUP(E148,$A$2:$B$200,2,FALSE))</f>
        <v>8</v>
      </c>
      <c r="G148">
        <f t="shared" si="298"/>
        <v>1</v>
      </c>
      <c r="H148">
        <f t="shared" si="298"/>
        <v>0</v>
      </c>
      <c r="I148">
        <f t="shared" si="298"/>
        <v>-1</v>
      </c>
      <c r="J148" t="str">
        <f t="shared" ref="J148:K148" si="299">IF(ISNA(VLOOKUP(I148,$A$2:$B$200,2,FALSE)),"",VLOOKUP(I148,$A$2:$B$200,2,FALSE))</f>
        <v/>
      </c>
      <c r="K148" t="str">
        <f t="shared" si="299"/>
        <v/>
      </c>
      <c r="L148" s="116">
        <f t="shared" si="265"/>
        <v>6</v>
      </c>
    </row>
    <row r="149" spans="1:12">
      <c r="A149" s="117">
        <f>'Hatch&amp;Match Details'!A150</f>
        <v>147</v>
      </c>
      <c r="B149" s="143">
        <f>VLOOKUP(Lineage!A149,'Loyd List 1-190 - Edit'!$P$1:$R$192,3,FALSE)</f>
        <v>117</v>
      </c>
      <c r="C149">
        <f t="shared" si="262"/>
        <v>55</v>
      </c>
      <c r="D149">
        <f t="shared" si="262"/>
        <v>35</v>
      </c>
      <c r="E149">
        <f t="shared" si="262"/>
        <v>23</v>
      </c>
      <c r="F149">
        <f t="shared" ref="F149:I149" si="300">IF(ISNA(VLOOKUP(E149,$A$2:$B$200,2,FALSE)),"",VLOOKUP(E149,$A$2:$B$200,2,FALSE))</f>
        <v>8</v>
      </c>
      <c r="G149">
        <f t="shared" si="300"/>
        <v>1</v>
      </c>
      <c r="H149">
        <f t="shared" si="300"/>
        <v>0</v>
      </c>
      <c r="I149">
        <f t="shared" si="300"/>
        <v>-1</v>
      </c>
      <c r="J149" t="str">
        <f t="shared" ref="J149:K149" si="301">IF(ISNA(VLOOKUP(I149,$A$2:$B$200,2,FALSE)),"",VLOOKUP(I149,$A$2:$B$200,2,FALSE))</f>
        <v/>
      </c>
      <c r="K149" t="str">
        <f t="shared" si="301"/>
        <v/>
      </c>
      <c r="L149" s="116">
        <f t="shared" si="265"/>
        <v>6</v>
      </c>
    </row>
    <row r="150" spans="1:12">
      <c r="A150" s="117">
        <f>'Hatch&amp;Match Details'!A151</f>
        <v>148</v>
      </c>
      <c r="B150" s="143">
        <f>VLOOKUP(Lineage!A150,'Loyd List 1-190 - Edit'!$P$1:$R$192,3,FALSE)</f>
        <v>104</v>
      </c>
      <c r="C150">
        <f t="shared" si="262"/>
        <v>72</v>
      </c>
      <c r="D150">
        <f t="shared" si="262"/>
        <v>44</v>
      </c>
      <c r="E150">
        <f t="shared" si="262"/>
        <v>23</v>
      </c>
      <c r="F150">
        <f t="shared" ref="F150:I150" si="302">IF(ISNA(VLOOKUP(E150,$A$2:$B$200,2,FALSE)),"",VLOOKUP(E150,$A$2:$B$200,2,FALSE))</f>
        <v>8</v>
      </c>
      <c r="G150">
        <f t="shared" si="302"/>
        <v>1</v>
      </c>
      <c r="H150">
        <f t="shared" si="302"/>
        <v>0</v>
      </c>
      <c r="I150">
        <f t="shared" si="302"/>
        <v>-1</v>
      </c>
      <c r="J150" t="str">
        <f t="shared" ref="J150:K150" si="303">IF(ISNA(VLOOKUP(I150,$A$2:$B$200,2,FALSE)),"",VLOOKUP(I150,$A$2:$B$200,2,FALSE))</f>
        <v/>
      </c>
      <c r="K150" t="str">
        <f t="shared" si="303"/>
        <v/>
      </c>
      <c r="L150" s="116">
        <f t="shared" si="265"/>
        <v>6</v>
      </c>
    </row>
    <row r="151" spans="1:12">
      <c r="A151" s="117">
        <f>'Hatch&amp;Match Details'!A152</f>
        <v>149</v>
      </c>
      <c r="B151" s="143">
        <f>VLOOKUP(Lineage!A151,'Loyd List 1-190 - Edit'!$P$1:$R$192,3,FALSE)</f>
        <v>113</v>
      </c>
      <c r="C151">
        <f t="shared" si="262"/>
        <v>78</v>
      </c>
      <c r="D151">
        <f t="shared" si="262"/>
        <v>46</v>
      </c>
      <c r="E151">
        <f t="shared" si="262"/>
        <v>23</v>
      </c>
      <c r="F151">
        <f t="shared" ref="F151:I151" si="304">IF(ISNA(VLOOKUP(E151,$A$2:$B$200,2,FALSE)),"",VLOOKUP(E151,$A$2:$B$200,2,FALSE))</f>
        <v>8</v>
      </c>
      <c r="G151">
        <f t="shared" si="304"/>
        <v>1</v>
      </c>
      <c r="H151">
        <f t="shared" si="304"/>
        <v>0</v>
      </c>
      <c r="I151">
        <f t="shared" si="304"/>
        <v>-1</v>
      </c>
      <c r="J151" t="str">
        <f t="shared" ref="J151:K151" si="305">IF(ISNA(VLOOKUP(I151,$A$2:$B$200,2,FALSE)),"",VLOOKUP(I151,$A$2:$B$200,2,FALSE))</f>
        <v/>
      </c>
      <c r="K151" t="str">
        <f t="shared" si="305"/>
        <v/>
      </c>
      <c r="L151" s="116">
        <f t="shared" si="265"/>
        <v>6</v>
      </c>
    </row>
    <row r="152" spans="1:12">
      <c r="A152" s="117">
        <f>'Hatch&amp;Match Details'!A153</f>
        <v>150</v>
      </c>
      <c r="B152" s="143">
        <f>VLOOKUP(Lineage!A152,'Loyd List 1-190 - Edit'!$P$1:$R$192,3,FALSE)</f>
        <v>100</v>
      </c>
      <c r="C152">
        <f t="shared" si="262"/>
        <v>56</v>
      </c>
      <c r="D152">
        <f t="shared" si="262"/>
        <v>28</v>
      </c>
      <c r="E152">
        <f t="shared" si="262"/>
        <v>14</v>
      </c>
      <c r="F152">
        <f t="shared" ref="F152:I152" si="306">IF(ISNA(VLOOKUP(E152,$A$2:$B$200,2,FALSE)),"",VLOOKUP(E152,$A$2:$B$200,2,FALSE))</f>
        <v>4</v>
      </c>
      <c r="G152">
        <f t="shared" si="306"/>
        <v>1</v>
      </c>
      <c r="H152">
        <f t="shared" si="306"/>
        <v>0</v>
      </c>
      <c r="I152">
        <f t="shared" si="306"/>
        <v>-1</v>
      </c>
      <c r="J152" t="str">
        <f t="shared" ref="J152:K152" si="307">IF(ISNA(VLOOKUP(I152,$A$2:$B$200,2,FALSE)),"",VLOOKUP(I152,$A$2:$B$200,2,FALSE))</f>
        <v/>
      </c>
      <c r="K152" t="str">
        <f t="shared" si="307"/>
        <v/>
      </c>
      <c r="L152" s="116">
        <f t="shared" si="265"/>
        <v>6</v>
      </c>
    </row>
    <row r="153" spans="1:12">
      <c r="A153" s="117">
        <f>'Hatch&amp;Match Details'!A154</f>
        <v>151</v>
      </c>
      <c r="B153" s="143">
        <f>VLOOKUP(Lineage!A153,'Loyd List 1-190 - Edit'!$P$1:$R$192,3,FALSE)</f>
        <v>117</v>
      </c>
      <c r="C153">
        <f t="shared" si="262"/>
        <v>55</v>
      </c>
      <c r="D153">
        <f t="shared" si="262"/>
        <v>35</v>
      </c>
      <c r="E153">
        <f t="shared" si="262"/>
        <v>23</v>
      </c>
      <c r="F153">
        <f t="shared" ref="F153:I153" si="308">IF(ISNA(VLOOKUP(E153,$A$2:$B$200,2,FALSE)),"",VLOOKUP(E153,$A$2:$B$200,2,FALSE))</f>
        <v>8</v>
      </c>
      <c r="G153">
        <f t="shared" si="308"/>
        <v>1</v>
      </c>
      <c r="H153">
        <f t="shared" si="308"/>
        <v>0</v>
      </c>
      <c r="I153">
        <f t="shared" si="308"/>
        <v>-1</v>
      </c>
      <c r="J153" t="str">
        <f t="shared" ref="J153:K153" si="309">IF(ISNA(VLOOKUP(I153,$A$2:$B$200,2,FALSE)),"",VLOOKUP(I153,$A$2:$B$200,2,FALSE))</f>
        <v/>
      </c>
      <c r="K153" t="str">
        <f t="shared" si="309"/>
        <v/>
      </c>
      <c r="L153" s="116">
        <f t="shared" si="265"/>
        <v>6</v>
      </c>
    </row>
    <row r="154" spans="1:12">
      <c r="A154" s="117">
        <f>'Hatch&amp;Match Details'!A155</f>
        <v>152</v>
      </c>
      <c r="B154" s="143">
        <f>VLOOKUP(Lineage!A154,'Loyd List 1-190 - Edit'!$P$1:$R$192,3,FALSE)</f>
        <v>104</v>
      </c>
      <c r="C154">
        <f t="shared" si="262"/>
        <v>72</v>
      </c>
      <c r="D154">
        <f t="shared" si="262"/>
        <v>44</v>
      </c>
      <c r="E154">
        <f t="shared" si="262"/>
        <v>23</v>
      </c>
      <c r="F154">
        <f t="shared" ref="F154:I154" si="310">IF(ISNA(VLOOKUP(E154,$A$2:$B$200,2,FALSE)),"",VLOOKUP(E154,$A$2:$B$200,2,FALSE))</f>
        <v>8</v>
      </c>
      <c r="G154">
        <f t="shared" si="310"/>
        <v>1</v>
      </c>
      <c r="H154">
        <f t="shared" si="310"/>
        <v>0</v>
      </c>
      <c r="I154">
        <f t="shared" si="310"/>
        <v>-1</v>
      </c>
      <c r="J154" t="str">
        <f t="shared" ref="J154:K154" si="311">IF(ISNA(VLOOKUP(I154,$A$2:$B$200,2,FALSE)),"",VLOOKUP(I154,$A$2:$B$200,2,FALSE))</f>
        <v/>
      </c>
      <c r="K154" t="str">
        <f t="shared" si="311"/>
        <v/>
      </c>
      <c r="L154" s="116">
        <f t="shared" si="265"/>
        <v>6</v>
      </c>
    </row>
    <row r="155" spans="1:12">
      <c r="A155" s="117">
        <f>'Hatch&amp;Match Details'!A156</f>
        <v>153</v>
      </c>
      <c r="B155" s="143">
        <f>VLOOKUP(Lineage!A155,'Loyd List 1-190 - Edit'!$P$1:$R$192,3,FALSE)</f>
        <v>117</v>
      </c>
      <c r="C155">
        <f t="shared" si="262"/>
        <v>55</v>
      </c>
      <c r="D155">
        <f t="shared" si="262"/>
        <v>35</v>
      </c>
      <c r="E155">
        <f t="shared" si="262"/>
        <v>23</v>
      </c>
      <c r="F155">
        <f t="shared" ref="F155:I155" si="312">IF(ISNA(VLOOKUP(E155,$A$2:$B$200,2,FALSE)),"",VLOOKUP(E155,$A$2:$B$200,2,FALSE))</f>
        <v>8</v>
      </c>
      <c r="G155">
        <f t="shared" si="312"/>
        <v>1</v>
      </c>
      <c r="H155">
        <f t="shared" si="312"/>
        <v>0</v>
      </c>
      <c r="I155">
        <f t="shared" si="312"/>
        <v>-1</v>
      </c>
      <c r="J155" t="str">
        <f t="shared" ref="J155:K155" si="313">IF(ISNA(VLOOKUP(I155,$A$2:$B$200,2,FALSE)),"",VLOOKUP(I155,$A$2:$B$200,2,FALSE))</f>
        <v/>
      </c>
      <c r="K155" t="str">
        <f t="shared" si="313"/>
        <v/>
      </c>
      <c r="L155" s="116">
        <f t="shared" si="265"/>
        <v>6</v>
      </c>
    </row>
    <row r="156" spans="1:12">
      <c r="A156" s="117">
        <f>'Hatch&amp;Match Details'!A157</f>
        <v>154</v>
      </c>
      <c r="B156" s="143">
        <f>VLOOKUP(Lineage!A156,'Loyd List 1-190 - Edit'!$P$1:$R$192,3,FALSE)</f>
        <v>98</v>
      </c>
      <c r="C156">
        <f t="shared" si="262"/>
        <v>77</v>
      </c>
      <c r="D156">
        <f t="shared" si="262"/>
        <v>30</v>
      </c>
      <c r="E156">
        <f t="shared" si="262"/>
        <v>14</v>
      </c>
      <c r="F156">
        <f t="shared" ref="F156:I156" si="314">IF(ISNA(VLOOKUP(E156,$A$2:$B$200,2,FALSE)),"",VLOOKUP(E156,$A$2:$B$200,2,FALSE))</f>
        <v>4</v>
      </c>
      <c r="G156">
        <f t="shared" si="314"/>
        <v>1</v>
      </c>
      <c r="H156">
        <f t="shared" si="314"/>
        <v>0</v>
      </c>
      <c r="I156">
        <f t="shared" si="314"/>
        <v>-1</v>
      </c>
      <c r="J156" t="str">
        <f t="shared" ref="J156:K156" si="315">IF(ISNA(VLOOKUP(I156,$A$2:$B$200,2,FALSE)),"",VLOOKUP(I156,$A$2:$B$200,2,FALSE))</f>
        <v/>
      </c>
      <c r="K156" t="str">
        <f t="shared" si="315"/>
        <v/>
      </c>
      <c r="L156" s="116">
        <f t="shared" si="265"/>
        <v>6</v>
      </c>
    </row>
    <row r="157" spans="1:12">
      <c r="A157" s="117">
        <f>'Hatch&amp;Match Details'!A158</f>
        <v>155</v>
      </c>
      <c r="B157" s="143">
        <f>VLOOKUP(Lineage!A157,'Loyd List 1-190 - Edit'!$P$1:$R$192,3,FALSE)</f>
        <v>119</v>
      </c>
      <c r="C157">
        <f t="shared" si="262"/>
        <v>80</v>
      </c>
      <c r="D157">
        <f t="shared" si="262"/>
        <v>29</v>
      </c>
      <c r="E157">
        <f t="shared" si="262"/>
        <v>14</v>
      </c>
      <c r="F157">
        <f t="shared" ref="F157:I157" si="316">IF(ISNA(VLOOKUP(E157,$A$2:$B$200,2,FALSE)),"",VLOOKUP(E157,$A$2:$B$200,2,FALSE))</f>
        <v>4</v>
      </c>
      <c r="G157">
        <f t="shared" si="316"/>
        <v>1</v>
      </c>
      <c r="H157">
        <f t="shared" si="316"/>
        <v>0</v>
      </c>
      <c r="I157">
        <f t="shared" si="316"/>
        <v>-1</v>
      </c>
      <c r="J157" t="str">
        <f t="shared" ref="J157:K157" si="317">IF(ISNA(VLOOKUP(I157,$A$2:$B$200,2,FALSE)),"",VLOOKUP(I157,$A$2:$B$200,2,FALSE))</f>
        <v/>
      </c>
      <c r="K157" t="str">
        <f t="shared" si="317"/>
        <v/>
      </c>
      <c r="L157" s="116">
        <f t="shared" si="265"/>
        <v>6</v>
      </c>
    </row>
    <row r="158" spans="1:12">
      <c r="A158" s="117">
        <f>'Hatch&amp;Match Details'!A159</f>
        <v>156</v>
      </c>
      <c r="B158" s="143">
        <f>VLOOKUP(Lineage!A158,'Loyd List 1-190 - Edit'!$P$1:$R$192,3,FALSE)</f>
        <v>119</v>
      </c>
      <c r="C158">
        <f t="shared" si="262"/>
        <v>80</v>
      </c>
      <c r="D158">
        <f t="shared" si="262"/>
        <v>29</v>
      </c>
      <c r="E158">
        <f t="shared" si="262"/>
        <v>14</v>
      </c>
      <c r="F158">
        <f t="shared" ref="F158:I158" si="318">IF(ISNA(VLOOKUP(E158,$A$2:$B$200,2,FALSE)),"",VLOOKUP(E158,$A$2:$B$200,2,FALSE))</f>
        <v>4</v>
      </c>
      <c r="G158">
        <f t="shared" si="318"/>
        <v>1</v>
      </c>
      <c r="H158">
        <f t="shared" si="318"/>
        <v>0</v>
      </c>
      <c r="I158">
        <f t="shared" si="318"/>
        <v>-1</v>
      </c>
      <c r="J158" t="str">
        <f t="shared" ref="J158:K158" si="319">IF(ISNA(VLOOKUP(I158,$A$2:$B$200,2,FALSE)),"",VLOOKUP(I158,$A$2:$B$200,2,FALSE))</f>
        <v/>
      </c>
      <c r="K158" t="str">
        <f t="shared" si="319"/>
        <v/>
      </c>
      <c r="L158" s="116">
        <f t="shared" si="265"/>
        <v>6</v>
      </c>
    </row>
    <row r="159" spans="1:12">
      <c r="A159" s="117">
        <f>'Hatch&amp;Match Details'!A160</f>
        <v>157</v>
      </c>
      <c r="B159" s="143">
        <f>VLOOKUP(Lineage!A159,'Loyd List 1-190 - Edit'!$P$1:$R$192,3,FALSE)</f>
        <v>114</v>
      </c>
      <c r="C159">
        <f t="shared" si="262"/>
        <v>80</v>
      </c>
      <c r="D159">
        <f t="shared" si="262"/>
        <v>29</v>
      </c>
      <c r="E159">
        <f t="shared" si="262"/>
        <v>14</v>
      </c>
      <c r="F159">
        <f t="shared" ref="F159:I159" si="320">IF(ISNA(VLOOKUP(E159,$A$2:$B$200,2,FALSE)),"",VLOOKUP(E159,$A$2:$B$200,2,FALSE))</f>
        <v>4</v>
      </c>
      <c r="G159">
        <f t="shared" si="320"/>
        <v>1</v>
      </c>
      <c r="H159">
        <f t="shared" si="320"/>
        <v>0</v>
      </c>
      <c r="I159">
        <f t="shared" si="320"/>
        <v>-1</v>
      </c>
      <c r="J159" t="str">
        <f t="shared" ref="J159:K159" si="321">IF(ISNA(VLOOKUP(I159,$A$2:$B$200,2,FALSE)),"",VLOOKUP(I159,$A$2:$B$200,2,FALSE))</f>
        <v/>
      </c>
      <c r="K159" t="str">
        <f t="shared" si="321"/>
        <v/>
      </c>
      <c r="L159" s="116">
        <f t="shared" si="265"/>
        <v>6</v>
      </c>
    </row>
    <row r="160" spans="1:12">
      <c r="A160" s="117">
        <f>'Hatch&amp;Match Details'!A161</f>
        <v>158</v>
      </c>
      <c r="B160" s="143">
        <f>VLOOKUP(Lineage!A160,'Loyd List 1-190 - Edit'!$P$1:$R$192,3,FALSE)</f>
        <v>114</v>
      </c>
      <c r="C160">
        <f t="shared" si="262"/>
        <v>80</v>
      </c>
      <c r="D160">
        <f t="shared" si="262"/>
        <v>29</v>
      </c>
      <c r="E160">
        <f t="shared" si="262"/>
        <v>14</v>
      </c>
      <c r="F160">
        <f t="shared" ref="F160:I160" si="322">IF(ISNA(VLOOKUP(E160,$A$2:$B$200,2,FALSE)),"",VLOOKUP(E160,$A$2:$B$200,2,FALSE))</f>
        <v>4</v>
      </c>
      <c r="G160">
        <f t="shared" si="322"/>
        <v>1</v>
      </c>
      <c r="H160">
        <f t="shared" si="322"/>
        <v>0</v>
      </c>
      <c r="I160">
        <f t="shared" si="322"/>
        <v>-1</v>
      </c>
      <c r="J160" t="str">
        <f t="shared" ref="J160:K160" si="323">IF(ISNA(VLOOKUP(I160,$A$2:$B$200,2,FALSE)),"",VLOOKUP(I160,$A$2:$B$200,2,FALSE))</f>
        <v/>
      </c>
      <c r="K160" t="str">
        <f t="shared" si="323"/>
        <v/>
      </c>
      <c r="L160" s="116">
        <f t="shared" si="265"/>
        <v>6</v>
      </c>
    </row>
    <row r="161" spans="1:12">
      <c r="A161" s="117">
        <f>'Hatch&amp;Match Details'!A162</f>
        <v>159</v>
      </c>
      <c r="B161" s="143">
        <f>VLOOKUP(Lineage!A161,'Loyd List 1-190 - Edit'!$P$1:$R$192,3,FALSE)</f>
        <v>114</v>
      </c>
      <c r="C161">
        <f t="shared" si="262"/>
        <v>80</v>
      </c>
      <c r="D161">
        <f t="shared" si="262"/>
        <v>29</v>
      </c>
      <c r="E161">
        <f t="shared" si="262"/>
        <v>14</v>
      </c>
      <c r="F161">
        <f t="shared" ref="F161:I161" si="324">IF(ISNA(VLOOKUP(E161,$A$2:$B$200,2,FALSE)),"",VLOOKUP(E161,$A$2:$B$200,2,FALSE))</f>
        <v>4</v>
      </c>
      <c r="G161">
        <f t="shared" si="324"/>
        <v>1</v>
      </c>
      <c r="H161">
        <f t="shared" si="324"/>
        <v>0</v>
      </c>
      <c r="I161">
        <f t="shared" si="324"/>
        <v>-1</v>
      </c>
      <c r="J161" t="str">
        <f t="shared" ref="J161:K161" si="325">IF(ISNA(VLOOKUP(I161,$A$2:$B$200,2,FALSE)),"",VLOOKUP(I161,$A$2:$B$200,2,FALSE))</f>
        <v/>
      </c>
      <c r="K161" t="str">
        <f t="shared" si="325"/>
        <v/>
      </c>
      <c r="L161" s="116">
        <f t="shared" si="265"/>
        <v>6</v>
      </c>
    </row>
    <row r="162" spans="1:12">
      <c r="A162" s="117">
        <f>'Hatch&amp;Match Details'!A163</f>
        <v>160</v>
      </c>
      <c r="B162" s="143">
        <f>VLOOKUP(Lineage!A162,'Loyd List 1-190 - Edit'!$P$1:$R$192,3,FALSE)</f>
        <v>131</v>
      </c>
      <c r="C162">
        <f t="shared" si="262"/>
        <v>94</v>
      </c>
      <c r="D162">
        <f t="shared" si="262"/>
        <v>68</v>
      </c>
      <c r="E162">
        <f t="shared" si="262"/>
        <v>45</v>
      </c>
      <c r="F162">
        <f t="shared" ref="F162:I162" si="326">IF(ISNA(VLOOKUP(E162,$A$2:$B$200,2,FALSE)),"",VLOOKUP(E162,$A$2:$B$200,2,FALSE))</f>
        <v>22</v>
      </c>
      <c r="G162">
        <f t="shared" si="326"/>
        <v>8</v>
      </c>
      <c r="H162">
        <f t="shared" si="326"/>
        <v>1</v>
      </c>
      <c r="I162">
        <f t="shared" si="326"/>
        <v>0</v>
      </c>
      <c r="J162">
        <f t="shared" ref="J162:K162" si="327">IF(ISNA(VLOOKUP(I162,$A$2:$B$200,2,FALSE)),"",VLOOKUP(I162,$A$2:$B$200,2,FALSE))</f>
        <v>-1</v>
      </c>
      <c r="K162" t="str">
        <f t="shared" si="327"/>
        <v/>
      </c>
      <c r="L162" s="116">
        <f t="shared" si="265"/>
        <v>7</v>
      </c>
    </row>
    <row r="163" spans="1:12">
      <c r="A163" s="117">
        <f>'Hatch&amp;Match Details'!A164</f>
        <v>161</v>
      </c>
      <c r="B163" s="143">
        <f>VLOOKUP(Lineage!A163,'Loyd List 1-190 - Edit'!$P$1:$R$192,3,FALSE)</f>
        <v>119</v>
      </c>
      <c r="C163">
        <f t="shared" si="262"/>
        <v>80</v>
      </c>
      <c r="D163">
        <f t="shared" si="262"/>
        <v>29</v>
      </c>
      <c r="E163">
        <f t="shared" si="262"/>
        <v>14</v>
      </c>
      <c r="F163">
        <f t="shared" ref="F163:I163" si="328">IF(ISNA(VLOOKUP(E163,$A$2:$B$200,2,FALSE)),"",VLOOKUP(E163,$A$2:$B$200,2,FALSE))</f>
        <v>4</v>
      </c>
      <c r="G163">
        <f t="shared" si="328"/>
        <v>1</v>
      </c>
      <c r="H163">
        <f t="shared" si="328"/>
        <v>0</v>
      </c>
      <c r="I163">
        <f t="shared" si="328"/>
        <v>-1</v>
      </c>
      <c r="J163" t="str">
        <f t="shared" ref="J163:K163" si="329">IF(ISNA(VLOOKUP(I163,$A$2:$B$200,2,FALSE)),"",VLOOKUP(I163,$A$2:$B$200,2,FALSE))</f>
        <v/>
      </c>
      <c r="K163" t="str">
        <f t="shared" si="329"/>
        <v/>
      </c>
      <c r="L163" s="116">
        <f t="shared" si="265"/>
        <v>6</v>
      </c>
    </row>
    <row r="164" spans="1:12">
      <c r="A164" s="117">
        <f>'Hatch&amp;Match Details'!A165</f>
        <v>162</v>
      </c>
      <c r="B164" s="143">
        <f>VLOOKUP(Lineage!A164,'Loyd List 1-190 - Edit'!$P$1:$R$192,3,FALSE)</f>
        <v>131</v>
      </c>
      <c r="C164">
        <f t="shared" si="262"/>
        <v>94</v>
      </c>
      <c r="D164">
        <f t="shared" si="262"/>
        <v>68</v>
      </c>
      <c r="E164">
        <f t="shared" si="262"/>
        <v>45</v>
      </c>
      <c r="F164">
        <f t="shared" ref="F164:I164" si="330">IF(ISNA(VLOOKUP(E164,$A$2:$B$200,2,FALSE)),"",VLOOKUP(E164,$A$2:$B$200,2,FALSE))</f>
        <v>22</v>
      </c>
      <c r="G164">
        <f t="shared" si="330"/>
        <v>8</v>
      </c>
      <c r="H164">
        <f t="shared" si="330"/>
        <v>1</v>
      </c>
      <c r="I164">
        <f t="shared" si="330"/>
        <v>0</v>
      </c>
      <c r="J164">
        <f t="shared" ref="J164:K164" si="331">IF(ISNA(VLOOKUP(I164,$A$2:$B$200,2,FALSE)),"",VLOOKUP(I164,$A$2:$B$200,2,FALSE))</f>
        <v>-1</v>
      </c>
      <c r="K164" t="str">
        <f t="shared" si="331"/>
        <v/>
      </c>
      <c r="L164" s="116">
        <f t="shared" si="265"/>
        <v>7</v>
      </c>
    </row>
    <row r="165" spans="1:12">
      <c r="A165" s="117">
        <f>'Hatch&amp;Match Details'!A166</f>
        <v>163</v>
      </c>
      <c r="B165" s="143">
        <f>VLOOKUP(Lineage!A165,'Loyd List 1-190 - Edit'!$P$1:$R$192,3,FALSE)</f>
        <v>119</v>
      </c>
      <c r="C165">
        <f t="shared" si="262"/>
        <v>80</v>
      </c>
      <c r="D165">
        <f t="shared" si="262"/>
        <v>29</v>
      </c>
      <c r="E165">
        <f t="shared" si="262"/>
        <v>14</v>
      </c>
      <c r="F165">
        <f t="shared" ref="F165:I165" si="332">IF(ISNA(VLOOKUP(E165,$A$2:$B$200,2,FALSE)),"",VLOOKUP(E165,$A$2:$B$200,2,FALSE))</f>
        <v>4</v>
      </c>
      <c r="G165">
        <f t="shared" si="332"/>
        <v>1</v>
      </c>
      <c r="H165">
        <f t="shared" si="332"/>
        <v>0</v>
      </c>
      <c r="I165">
        <f t="shared" si="332"/>
        <v>-1</v>
      </c>
      <c r="J165" t="str">
        <f t="shared" ref="J165:K165" si="333">IF(ISNA(VLOOKUP(I165,$A$2:$B$200,2,FALSE)),"",VLOOKUP(I165,$A$2:$B$200,2,FALSE))</f>
        <v/>
      </c>
      <c r="K165" t="str">
        <f t="shared" si="333"/>
        <v/>
      </c>
      <c r="L165" s="116">
        <f t="shared" si="265"/>
        <v>6</v>
      </c>
    </row>
    <row r="166" spans="1:12">
      <c r="A166" s="117">
        <f>'Hatch&amp;Match Details'!A167</f>
        <v>164</v>
      </c>
      <c r="B166" s="143">
        <f>VLOOKUP(Lineage!A166,'Loyd List 1-190 - Edit'!$P$1:$R$192,3,FALSE)</f>
        <v>136</v>
      </c>
      <c r="C166">
        <f t="shared" si="262"/>
        <v>94</v>
      </c>
      <c r="D166">
        <f t="shared" si="262"/>
        <v>68</v>
      </c>
      <c r="E166">
        <f t="shared" si="262"/>
        <v>45</v>
      </c>
      <c r="F166">
        <f t="shared" ref="F166:I166" si="334">IF(ISNA(VLOOKUP(E166,$A$2:$B$200,2,FALSE)),"",VLOOKUP(E166,$A$2:$B$200,2,FALSE))</f>
        <v>22</v>
      </c>
      <c r="G166">
        <f t="shared" si="334"/>
        <v>8</v>
      </c>
      <c r="H166">
        <f t="shared" si="334"/>
        <v>1</v>
      </c>
      <c r="I166">
        <f t="shared" si="334"/>
        <v>0</v>
      </c>
      <c r="J166">
        <f t="shared" ref="J166:K166" si="335">IF(ISNA(VLOOKUP(I166,$A$2:$B$200,2,FALSE)),"",VLOOKUP(I166,$A$2:$B$200,2,FALSE))</f>
        <v>-1</v>
      </c>
      <c r="K166" t="str">
        <f t="shared" si="335"/>
        <v/>
      </c>
      <c r="L166" s="116">
        <f t="shared" si="265"/>
        <v>7</v>
      </c>
    </row>
    <row r="167" spans="1:12">
      <c r="A167" s="117">
        <f>'Hatch&amp;Match Details'!A168</f>
        <v>165</v>
      </c>
      <c r="B167" s="143">
        <f>VLOOKUP(Lineage!A167,'Loyd List 1-190 - Edit'!$P$1:$R$192,3,FALSE)</f>
        <v>136</v>
      </c>
      <c r="C167">
        <f t="shared" si="262"/>
        <v>94</v>
      </c>
      <c r="D167">
        <f t="shared" si="262"/>
        <v>68</v>
      </c>
      <c r="E167">
        <f t="shared" si="262"/>
        <v>45</v>
      </c>
      <c r="F167">
        <f t="shared" ref="F167:I167" si="336">IF(ISNA(VLOOKUP(E167,$A$2:$B$200,2,FALSE)),"",VLOOKUP(E167,$A$2:$B$200,2,FALSE))</f>
        <v>22</v>
      </c>
      <c r="G167">
        <f t="shared" si="336"/>
        <v>8</v>
      </c>
      <c r="H167">
        <f t="shared" si="336"/>
        <v>1</v>
      </c>
      <c r="I167">
        <f t="shared" si="336"/>
        <v>0</v>
      </c>
      <c r="J167">
        <f t="shared" ref="J167:K167" si="337">IF(ISNA(VLOOKUP(I167,$A$2:$B$200,2,FALSE)),"",VLOOKUP(I167,$A$2:$B$200,2,FALSE))</f>
        <v>-1</v>
      </c>
      <c r="K167" t="str">
        <f t="shared" si="337"/>
        <v/>
      </c>
      <c r="L167" s="116">
        <f t="shared" si="265"/>
        <v>7</v>
      </c>
    </row>
    <row r="168" spans="1:12">
      <c r="A168" s="117">
        <f>'Hatch&amp;Match Details'!A169</f>
        <v>166</v>
      </c>
      <c r="B168" s="143">
        <f>VLOOKUP(Lineage!A168,'Loyd List 1-190 - Edit'!$P$1:$R$192,3,FALSE)</f>
        <v>130</v>
      </c>
      <c r="C168">
        <f t="shared" si="262"/>
        <v>86</v>
      </c>
      <c r="D168">
        <f t="shared" si="262"/>
        <v>71</v>
      </c>
      <c r="E168">
        <f t="shared" si="262"/>
        <v>34</v>
      </c>
      <c r="F168">
        <f t="shared" ref="F168:I168" si="338">IF(ISNA(VLOOKUP(E168,$A$2:$B$200,2,FALSE)),"",VLOOKUP(E168,$A$2:$B$200,2,FALSE))</f>
        <v>14</v>
      </c>
      <c r="G168">
        <f t="shared" si="338"/>
        <v>4</v>
      </c>
      <c r="H168">
        <f t="shared" si="338"/>
        <v>1</v>
      </c>
      <c r="I168">
        <f t="shared" si="338"/>
        <v>0</v>
      </c>
      <c r="J168">
        <f t="shared" ref="J168:K168" si="339">IF(ISNA(VLOOKUP(I168,$A$2:$B$200,2,FALSE)),"",VLOOKUP(I168,$A$2:$B$200,2,FALSE))</f>
        <v>-1</v>
      </c>
      <c r="K168" t="str">
        <f t="shared" si="339"/>
        <v/>
      </c>
      <c r="L168" s="116">
        <f t="shared" si="265"/>
        <v>7</v>
      </c>
    </row>
    <row r="169" spans="1:12">
      <c r="A169" s="117">
        <f>'Hatch&amp;Match Details'!A170</f>
        <v>167</v>
      </c>
      <c r="B169" s="143">
        <f>VLOOKUP(Lineage!A169,'Loyd List 1-190 - Edit'!$P$1:$R$192,3,FALSE)</f>
        <v>131</v>
      </c>
      <c r="C169">
        <f t="shared" si="262"/>
        <v>94</v>
      </c>
      <c r="D169">
        <f t="shared" si="262"/>
        <v>68</v>
      </c>
      <c r="E169">
        <f t="shared" si="262"/>
        <v>45</v>
      </c>
      <c r="F169">
        <f t="shared" ref="F169:I169" si="340">IF(ISNA(VLOOKUP(E169,$A$2:$B$200,2,FALSE)),"",VLOOKUP(E169,$A$2:$B$200,2,FALSE))</f>
        <v>22</v>
      </c>
      <c r="G169">
        <f t="shared" si="340"/>
        <v>8</v>
      </c>
      <c r="H169">
        <f t="shared" si="340"/>
        <v>1</v>
      </c>
      <c r="I169">
        <f t="shared" si="340"/>
        <v>0</v>
      </c>
      <c r="J169">
        <f t="shared" ref="J169:K169" si="341">IF(ISNA(VLOOKUP(I169,$A$2:$B$200,2,FALSE)),"",VLOOKUP(I169,$A$2:$B$200,2,FALSE))</f>
        <v>-1</v>
      </c>
      <c r="K169" t="str">
        <f t="shared" si="341"/>
        <v/>
      </c>
      <c r="L169" s="116">
        <f t="shared" si="265"/>
        <v>7</v>
      </c>
    </row>
    <row r="170" spans="1:12">
      <c r="A170" s="117">
        <f>'Hatch&amp;Match Details'!A171</f>
        <v>168</v>
      </c>
      <c r="B170" s="143">
        <f>VLOOKUP(Lineage!A170,'Loyd List 1-190 - Edit'!$P$1:$R$192,3,FALSE)</f>
        <v>138</v>
      </c>
      <c r="C170">
        <f t="shared" si="262"/>
        <v>100</v>
      </c>
      <c r="D170">
        <f t="shared" si="262"/>
        <v>56</v>
      </c>
      <c r="E170">
        <f t="shared" si="262"/>
        <v>28</v>
      </c>
      <c r="F170">
        <f t="shared" ref="F170:I170" si="342">IF(ISNA(VLOOKUP(E170,$A$2:$B$200,2,FALSE)),"",VLOOKUP(E170,$A$2:$B$200,2,FALSE))</f>
        <v>14</v>
      </c>
      <c r="G170">
        <f t="shared" si="342"/>
        <v>4</v>
      </c>
      <c r="H170">
        <f t="shared" si="342"/>
        <v>1</v>
      </c>
      <c r="I170">
        <f t="shared" si="342"/>
        <v>0</v>
      </c>
      <c r="J170">
        <f t="shared" ref="J170:K170" si="343">IF(ISNA(VLOOKUP(I170,$A$2:$B$200,2,FALSE)),"",VLOOKUP(I170,$A$2:$B$200,2,FALSE))</f>
        <v>-1</v>
      </c>
      <c r="K170" t="str">
        <f t="shared" si="343"/>
        <v/>
      </c>
      <c r="L170" s="116">
        <f t="shared" si="265"/>
        <v>7</v>
      </c>
    </row>
    <row r="171" spans="1:12">
      <c r="A171" s="117">
        <f>'Hatch&amp;Match Details'!A172</f>
        <v>169</v>
      </c>
      <c r="B171" s="143">
        <f>VLOOKUP(Lineage!A171,'Loyd List 1-190 - Edit'!$P$1:$R$192,3,FALSE)</f>
        <v>121</v>
      </c>
      <c r="C171">
        <f t="shared" si="262"/>
        <v>96</v>
      </c>
      <c r="D171">
        <f t="shared" si="262"/>
        <v>66</v>
      </c>
      <c r="E171">
        <f t="shared" si="262"/>
        <v>44</v>
      </c>
      <c r="F171">
        <f t="shared" ref="F171:I171" si="344">IF(ISNA(VLOOKUP(E171,$A$2:$B$200,2,FALSE)),"",VLOOKUP(E171,$A$2:$B$200,2,FALSE))</f>
        <v>23</v>
      </c>
      <c r="G171">
        <f t="shared" si="344"/>
        <v>8</v>
      </c>
      <c r="H171">
        <f t="shared" si="344"/>
        <v>1</v>
      </c>
      <c r="I171">
        <f t="shared" si="344"/>
        <v>0</v>
      </c>
      <c r="J171">
        <f t="shared" ref="J171:K171" si="345">IF(ISNA(VLOOKUP(I171,$A$2:$B$200,2,FALSE)),"",VLOOKUP(I171,$A$2:$B$200,2,FALSE))</f>
        <v>-1</v>
      </c>
      <c r="K171" t="str">
        <f t="shared" si="345"/>
        <v/>
      </c>
      <c r="L171" s="116">
        <f t="shared" si="265"/>
        <v>7</v>
      </c>
    </row>
    <row r="172" spans="1:12">
      <c r="A172" s="117">
        <f>'Hatch&amp;Match Details'!A173</f>
        <v>170</v>
      </c>
      <c r="B172" s="143">
        <f>VLOOKUP(Lineage!A172,'Loyd List 1-190 - Edit'!$P$1:$R$192,3,FALSE)</f>
        <v>138</v>
      </c>
      <c r="C172">
        <f t="shared" si="262"/>
        <v>100</v>
      </c>
      <c r="D172">
        <f t="shared" si="262"/>
        <v>56</v>
      </c>
      <c r="E172">
        <f t="shared" si="262"/>
        <v>28</v>
      </c>
      <c r="F172">
        <f t="shared" ref="F172:I172" si="346">IF(ISNA(VLOOKUP(E172,$A$2:$B$200,2,FALSE)),"",VLOOKUP(E172,$A$2:$B$200,2,FALSE))</f>
        <v>14</v>
      </c>
      <c r="G172">
        <f t="shared" si="346"/>
        <v>4</v>
      </c>
      <c r="H172">
        <f t="shared" si="346"/>
        <v>1</v>
      </c>
      <c r="I172">
        <f t="shared" si="346"/>
        <v>0</v>
      </c>
      <c r="J172">
        <f t="shared" ref="J172:K172" si="347">IF(ISNA(VLOOKUP(I172,$A$2:$B$200,2,FALSE)),"",VLOOKUP(I172,$A$2:$B$200,2,FALSE))</f>
        <v>-1</v>
      </c>
      <c r="K172" t="str">
        <f t="shared" si="347"/>
        <v/>
      </c>
      <c r="L172" s="116">
        <f t="shared" si="265"/>
        <v>7</v>
      </c>
    </row>
    <row r="173" spans="1:12">
      <c r="A173" s="117">
        <f>'Hatch&amp;Match Details'!A174</f>
        <v>171</v>
      </c>
      <c r="B173" s="143">
        <f>VLOOKUP(Lineage!A173,'Loyd List 1-190 - Edit'!$P$1:$R$192,3,FALSE)</f>
        <v>121</v>
      </c>
      <c r="C173">
        <f t="shared" si="262"/>
        <v>96</v>
      </c>
      <c r="D173">
        <f t="shared" si="262"/>
        <v>66</v>
      </c>
      <c r="E173">
        <f t="shared" si="262"/>
        <v>44</v>
      </c>
      <c r="F173">
        <f t="shared" ref="F173:I173" si="348">IF(ISNA(VLOOKUP(E173,$A$2:$B$200,2,FALSE)),"",VLOOKUP(E173,$A$2:$B$200,2,FALSE))</f>
        <v>23</v>
      </c>
      <c r="G173">
        <f t="shared" si="348"/>
        <v>8</v>
      </c>
      <c r="H173">
        <f t="shared" si="348"/>
        <v>1</v>
      </c>
      <c r="I173">
        <f t="shared" si="348"/>
        <v>0</v>
      </c>
      <c r="J173">
        <f t="shared" ref="J173:K173" si="349">IF(ISNA(VLOOKUP(I173,$A$2:$B$200,2,FALSE)),"",VLOOKUP(I173,$A$2:$B$200,2,FALSE))</f>
        <v>-1</v>
      </c>
      <c r="K173" t="str">
        <f t="shared" si="349"/>
        <v/>
      </c>
      <c r="L173" s="116">
        <f t="shared" si="265"/>
        <v>7</v>
      </c>
    </row>
    <row r="174" spans="1:12">
      <c r="A174" s="117">
        <f>'Hatch&amp;Match Details'!A175</f>
        <v>172</v>
      </c>
      <c r="B174" s="143">
        <f>VLOOKUP(Lineage!A174,'Loyd List 1-190 - Edit'!$P$1:$R$192,3,FALSE)</f>
        <v>136</v>
      </c>
      <c r="C174">
        <f t="shared" si="262"/>
        <v>94</v>
      </c>
      <c r="D174">
        <f t="shared" si="262"/>
        <v>68</v>
      </c>
      <c r="E174">
        <f t="shared" si="262"/>
        <v>45</v>
      </c>
      <c r="F174">
        <f t="shared" ref="F174:I174" si="350">IF(ISNA(VLOOKUP(E174,$A$2:$B$200,2,FALSE)),"",VLOOKUP(E174,$A$2:$B$200,2,FALSE))</f>
        <v>22</v>
      </c>
      <c r="G174">
        <f t="shared" si="350"/>
        <v>8</v>
      </c>
      <c r="H174">
        <f t="shared" si="350"/>
        <v>1</v>
      </c>
      <c r="I174">
        <f t="shared" si="350"/>
        <v>0</v>
      </c>
      <c r="J174">
        <f t="shared" ref="J174:K174" si="351">IF(ISNA(VLOOKUP(I174,$A$2:$B$200,2,FALSE)),"",VLOOKUP(I174,$A$2:$B$200,2,FALSE))</f>
        <v>-1</v>
      </c>
      <c r="K174" t="str">
        <f t="shared" si="351"/>
        <v/>
      </c>
      <c r="L174" s="116">
        <f t="shared" si="265"/>
        <v>7</v>
      </c>
    </row>
    <row r="175" spans="1:12">
      <c r="A175" s="117">
        <f>'Hatch&amp;Match Details'!A176</f>
        <v>173</v>
      </c>
      <c r="B175" s="143">
        <f>VLOOKUP(Lineage!A175,'Loyd List 1-190 - Edit'!$P$1:$R$192,3,FALSE)</f>
        <v>135</v>
      </c>
      <c r="C175">
        <f t="shared" si="262"/>
        <v>86</v>
      </c>
      <c r="D175">
        <f t="shared" si="262"/>
        <v>71</v>
      </c>
      <c r="E175">
        <f t="shared" si="262"/>
        <v>34</v>
      </c>
      <c r="F175">
        <f t="shared" ref="F175:I175" si="352">IF(ISNA(VLOOKUP(E175,$A$2:$B$200,2,FALSE)),"",VLOOKUP(E175,$A$2:$B$200,2,FALSE))</f>
        <v>14</v>
      </c>
      <c r="G175">
        <f t="shared" si="352"/>
        <v>4</v>
      </c>
      <c r="H175">
        <f t="shared" si="352"/>
        <v>1</v>
      </c>
      <c r="I175">
        <f t="shared" si="352"/>
        <v>0</v>
      </c>
      <c r="J175">
        <f t="shared" ref="J175:K175" si="353">IF(ISNA(VLOOKUP(I175,$A$2:$B$200,2,FALSE)),"",VLOOKUP(I175,$A$2:$B$200,2,FALSE))</f>
        <v>-1</v>
      </c>
      <c r="K175" t="str">
        <f t="shared" si="353"/>
        <v/>
      </c>
      <c r="L175" s="116">
        <f t="shared" si="265"/>
        <v>7</v>
      </c>
    </row>
    <row r="176" spans="1:12">
      <c r="A176" s="117">
        <f>'Hatch&amp;Match Details'!A177</f>
        <v>174</v>
      </c>
      <c r="B176" s="143">
        <f>VLOOKUP(Lineage!A176,'Loyd List 1-190 - Edit'!$P$1:$R$192,3,FALSE)</f>
        <v>121</v>
      </c>
      <c r="C176">
        <f t="shared" si="262"/>
        <v>96</v>
      </c>
      <c r="D176">
        <f t="shared" si="262"/>
        <v>66</v>
      </c>
      <c r="E176">
        <f t="shared" si="262"/>
        <v>44</v>
      </c>
      <c r="F176">
        <f t="shared" ref="F176:I176" si="354">IF(ISNA(VLOOKUP(E176,$A$2:$B$200,2,FALSE)),"",VLOOKUP(E176,$A$2:$B$200,2,FALSE))</f>
        <v>23</v>
      </c>
      <c r="G176">
        <f t="shared" si="354"/>
        <v>8</v>
      </c>
      <c r="H176">
        <f t="shared" si="354"/>
        <v>1</v>
      </c>
      <c r="I176">
        <f t="shared" si="354"/>
        <v>0</v>
      </c>
      <c r="J176">
        <f t="shared" ref="J176:K176" si="355">IF(ISNA(VLOOKUP(I176,$A$2:$B$200,2,FALSE)),"",VLOOKUP(I176,$A$2:$B$200,2,FALSE))</f>
        <v>-1</v>
      </c>
      <c r="K176" t="str">
        <f t="shared" si="355"/>
        <v/>
      </c>
      <c r="L176" s="116">
        <f t="shared" si="265"/>
        <v>7</v>
      </c>
    </row>
    <row r="177" spans="1:12">
      <c r="A177" s="117">
        <f>'Hatch&amp;Match Details'!A178</f>
        <v>175</v>
      </c>
      <c r="B177" s="143">
        <f>VLOOKUP(Lineage!A177,'Loyd List 1-190 - Edit'!$P$1:$R$192,3,FALSE)</f>
        <v>138</v>
      </c>
      <c r="C177">
        <f t="shared" si="262"/>
        <v>100</v>
      </c>
      <c r="D177">
        <f t="shared" si="262"/>
        <v>56</v>
      </c>
      <c r="E177">
        <f t="shared" si="262"/>
        <v>28</v>
      </c>
      <c r="F177">
        <f t="shared" ref="F177:I177" si="356">IF(ISNA(VLOOKUP(E177,$A$2:$B$200,2,FALSE)),"",VLOOKUP(E177,$A$2:$B$200,2,FALSE))</f>
        <v>14</v>
      </c>
      <c r="G177">
        <f t="shared" si="356"/>
        <v>4</v>
      </c>
      <c r="H177">
        <f t="shared" si="356"/>
        <v>1</v>
      </c>
      <c r="I177">
        <f t="shared" si="356"/>
        <v>0</v>
      </c>
      <c r="J177">
        <f t="shared" ref="J177:K177" si="357">IF(ISNA(VLOOKUP(I177,$A$2:$B$200,2,FALSE)),"",VLOOKUP(I177,$A$2:$B$200,2,FALSE))</f>
        <v>-1</v>
      </c>
      <c r="K177" t="str">
        <f t="shared" si="357"/>
        <v/>
      </c>
      <c r="L177" s="116">
        <f t="shared" si="265"/>
        <v>7</v>
      </c>
    </row>
    <row r="178" spans="1:12">
      <c r="A178" s="117">
        <f>'Hatch&amp;Match Details'!A179</f>
        <v>176</v>
      </c>
      <c r="B178" s="143">
        <f>VLOOKUP(Lineage!A178,'Loyd List 1-190 - Edit'!$P$1:$R$192,3,FALSE)</f>
        <v>142</v>
      </c>
      <c r="C178">
        <f t="shared" si="262"/>
        <v>94</v>
      </c>
      <c r="D178">
        <f t="shared" si="262"/>
        <v>68</v>
      </c>
      <c r="E178">
        <f t="shared" si="262"/>
        <v>45</v>
      </c>
      <c r="F178">
        <f t="shared" ref="F178:I178" si="358">IF(ISNA(VLOOKUP(E178,$A$2:$B$200,2,FALSE)),"",VLOOKUP(E178,$A$2:$B$200,2,FALSE))</f>
        <v>22</v>
      </c>
      <c r="G178">
        <f t="shared" si="358"/>
        <v>8</v>
      </c>
      <c r="H178">
        <f t="shared" si="358"/>
        <v>1</v>
      </c>
      <c r="I178">
        <f t="shared" si="358"/>
        <v>0</v>
      </c>
      <c r="J178">
        <f t="shared" ref="J178:K178" si="359">IF(ISNA(VLOOKUP(I178,$A$2:$B$200,2,FALSE)),"",VLOOKUP(I178,$A$2:$B$200,2,FALSE))</f>
        <v>-1</v>
      </c>
      <c r="K178" t="str">
        <f t="shared" si="359"/>
        <v/>
      </c>
      <c r="L178" s="116">
        <f t="shared" si="265"/>
        <v>7</v>
      </c>
    </row>
    <row r="179" spans="1:12">
      <c r="A179" s="117">
        <f>'Hatch&amp;Match Details'!A180</f>
        <v>177</v>
      </c>
      <c r="B179" s="143">
        <f>VLOOKUP(Lineage!A179,'Loyd List 1-190 - Edit'!$P$1:$R$192,3,FALSE)</f>
        <v>135</v>
      </c>
      <c r="C179">
        <f t="shared" si="262"/>
        <v>86</v>
      </c>
      <c r="D179">
        <f t="shared" si="262"/>
        <v>71</v>
      </c>
      <c r="E179">
        <f t="shared" si="262"/>
        <v>34</v>
      </c>
      <c r="F179">
        <f t="shared" ref="F179:I179" si="360">IF(ISNA(VLOOKUP(E179,$A$2:$B$200,2,FALSE)),"",VLOOKUP(E179,$A$2:$B$200,2,FALSE))</f>
        <v>14</v>
      </c>
      <c r="G179">
        <f t="shared" si="360"/>
        <v>4</v>
      </c>
      <c r="H179">
        <f t="shared" si="360"/>
        <v>1</v>
      </c>
      <c r="I179">
        <f t="shared" si="360"/>
        <v>0</v>
      </c>
      <c r="J179">
        <f t="shared" ref="J179:K179" si="361">IF(ISNA(VLOOKUP(I179,$A$2:$B$200,2,FALSE)),"",VLOOKUP(I179,$A$2:$B$200,2,FALSE))</f>
        <v>-1</v>
      </c>
      <c r="K179" t="str">
        <f t="shared" si="361"/>
        <v/>
      </c>
      <c r="L179" s="116">
        <f t="shared" si="265"/>
        <v>7</v>
      </c>
    </row>
    <row r="180" spans="1:12">
      <c r="A180" s="117">
        <f>'Hatch&amp;Match Details'!A181</f>
        <v>178</v>
      </c>
      <c r="B180" s="143">
        <f>VLOOKUP(Lineage!A180,'Loyd List 1-190 - Edit'!$P$1:$R$192,3,FALSE)</f>
        <v>150</v>
      </c>
      <c r="C180">
        <f t="shared" si="262"/>
        <v>100</v>
      </c>
      <c r="D180">
        <f t="shared" si="262"/>
        <v>56</v>
      </c>
      <c r="E180">
        <f t="shared" si="262"/>
        <v>28</v>
      </c>
      <c r="F180">
        <f t="shared" ref="F180:I180" si="362">IF(ISNA(VLOOKUP(E180,$A$2:$B$200,2,FALSE)),"",VLOOKUP(E180,$A$2:$B$200,2,FALSE))</f>
        <v>14</v>
      </c>
      <c r="G180">
        <f t="shared" si="362"/>
        <v>4</v>
      </c>
      <c r="H180">
        <f t="shared" si="362"/>
        <v>1</v>
      </c>
      <c r="I180">
        <f t="shared" si="362"/>
        <v>0</v>
      </c>
      <c r="J180">
        <f t="shared" ref="J180:K180" si="363">IF(ISNA(VLOOKUP(I180,$A$2:$B$200,2,FALSE)),"",VLOOKUP(I180,$A$2:$B$200,2,FALSE))</f>
        <v>-1</v>
      </c>
      <c r="K180" t="str">
        <f t="shared" si="363"/>
        <v/>
      </c>
      <c r="L180" s="116">
        <f t="shared" si="265"/>
        <v>7</v>
      </c>
    </row>
    <row r="181" spans="1:12">
      <c r="A181" s="117">
        <f>'Hatch&amp;Match Details'!A182</f>
        <v>179</v>
      </c>
      <c r="B181" s="143">
        <f>VLOOKUP(Lineage!A181,'Loyd List 1-190 - Edit'!$P$1:$R$192,3,FALSE)</f>
        <v>142</v>
      </c>
      <c r="C181">
        <f t="shared" si="262"/>
        <v>94</v>
      </c>
      <c r="D181">
        <f t="shared" si="262"/>
        <v>68</v>
      </c>
      <c r="E181">
        <f t="shared" si="262"/>
        <v>45</v>
      </c>
      <c r="F181">
        <f t="shared" ref="F181:I181" si="364">IF(ISNA(VLOOKUP(E181,$A$2:$B$200,2,FALSE)),"",VLOOKUP(E181,$A$2:$B$200,2,FALSE))</f>
        <v>22</v>
      </c>
      <c r="G181">
        <f t="shared" si="364"/>
        <v>8</v>
      </c>
      <c r="H181">
        <f t="shared" si="364"/>
        <v>1</v>
      </c>
      <c r="I181">
        <f t="shared" si="364"/>
        <v>0</v>
      </c>
      <c r="J181">
        <f t="shared" ref="J181:K181" si="365">IF(ISNA(VLOOKUP(I181,$A$2:$B$200,2,FALSE)),"",VLOOKUP(I181,$A$2:$B$200,2,FALSE))</f>
        <v>-1</v>
      </c>
      <c r="K181" t="str">
        <f t="shared" si="365"/>
        <v/>
      </c>
      <c r="L181" s="116">
        <f t="shared" si="265"/>
        <v>7</v>
      </c>
    </row>
    <row r="182" spans="1:12">
      <c r="A182" s="117">
        <f>'Hatch&amp;Match Details'!A183</f>
        <v>180</v>
      </c>
      <c r="B182" s="143">
        <f>VLOOKUP(Lineage!A182,'Loyd List 1-190 - Edit'!$P$1:$R$192,3,FALSE)</f>
        <v>146</v>
      </c>
      <c r="C182">
        <f t="shared" si="262"/>
        <v>104</v>
      </c>
      <c r="D182">
        <f t="shared" si="262"/>
        <v>72</v>
      </c>
      <c r="E182">
        <f t="shared" si="262"/>
        <v>44</v>
      </c>
      <c r="F182">
        <f t="shared" ref="F182:I182" si="366">IF(ISNA(VLOOKUP(E182,$A$2:$B$200,2,FALSE)),"",VLOOKUP(E182,$A$2:$B$200,2,FALSE))</f>
        <v>23</v>
      </c>
      <c r="G182">
        <f t="shared" si="366"/>
        <v>8</v>
      </c>
      <c r="H182">
        <f t="shared" si="366"/>
        <v>1</v>
      </c>
      <c r="I182">
        <f t="shared" si="366"/>
        <v>0</v>
      </c>
      <c r="J182">
        <f t="shared" ref="J182:K182" si="367">IF(ISNA(VLOOKUP(I182,$A$2:$B$200,2,FALSE)),"",VLOOKUP(I182,$A$2:$B$200,2,FALSE))</f>
        <v>-1</v>
      </c>
      <c r="K182" t="str">
        <f t="shared" si="367"/>
        <v/>
      </c>
      <c r="L182" s="116">
        <f t="shared" si="265"/>
        <v>7</v>
      </c>
    </row>
    <row r="183" spans="1:12">
      <c r="A183" s="117">
        <f>'Hatch&amp;Match Details'!A184</f>
        <v>181</v>
      </c>
      <c r="B183" s="143">
        <f>VLOOKUP(Lineage!A183,'Loyd List 1-190 - Edit'!$P$1:$R$192,3,FALSE)</f>
        <v>150</v>
      </c>
      <c r="C183">
        <f t="shared" si="262"/>
        <v>100</v>
      </c>
      <c r="D183">
        <f t="shared" si="262"/>
        <v>56</v>
      </c>
      <c r="E183">
        <f t="shared" si="262"/>
        <v>28</v>
      </c>
      <c r="F183">
        <f t="shared" ref="F183:I183" si="368">IF(ISNA(VLOOKUP(E183,$A$2:$B$200,2,FALSE)),"",VLOOKUP(E183,$A$2:$B$200,2,FALSE))</f>
        <v>14</v>
      </c>
      <c r="G183">
        <f t="shared" si="368"/>
        <v>4</v>
      </c>
      <c r="H183">
        <f t="shared" si="368"/>
        <v>1</v>
      </c>
      <c r="I183">
        <f t="shared" si="368"/>
        <v>0</v>
      </c>
      <c r="J183">
        <f t="shared" ref="J183:K183" si="369">IF(ISNA(VLOOKUP(I183,$A$2:$B$200,2,FALSE)),"",VLOOKUP(I183,$A$2:$B$200,2,FALSE))</f>
        <v>-1</v>
      </c>
      <c r="K183" t="str">
        <f t="shared" si="369"/>
        <v/>
      </c>
      <c r="L183" s="116">
        <f t="shared" si="265"/>
        <v>7</v>
      </c>
    </row>
    <row r="184" spans="1:12">
      <c r="A184" s="117">
        <f>'Hatch&amp;Match Details'!A185</f>
        <v>182</v>
      </c>
      <c r="B184" s="143">
        <f>VLOOKUP(Lineage!A184,'Loyd List 1-190 - Edit'!$P$1:$R$192,3,FALSE)</f>
        <v>146</v>
      </c>
      <c r="C184">
        <f t="shared" si="262"/>
        <v>104</v>
      </c>
      <c r="D184">
        <f t="shared" si="262"/>
        <v>72</v>
      </c>
      <c r="E184">
        <f t="shared" si="262"/>
        <v>44</v>
      </c>
      <c r="F184">
        <f t="shared" ref="F184:I184" si="370">IF(ISNA(VLOOKUP(E184,$A$2:$B$200,2,FALSE)),"",VLOOKUP(E184,$A$2:$B$200,2,FALSE))</f>
        <v>23</v>
      </c>
      <c r="G184">
        <f t="shared" si="370"/>
        <v>8</v>
      </c>
      <c r="H184">
        <f t="shared" si="370"/>
        <v>1</v>
      </c>
      <c r="I184">
        <f t="shared" si="370"/>
        <v>0</v>
      </c>
      <c r="J184">
        <f t="shared" ref="J184:K184" si="371">IF(ISNA(VLOOKUP(I184,$A$2:$B$200,2,FALSE)),"",VLOOKUP(I184,$A$2:$B$200,2,FALSE))</f>
        <v>-1</v>
      </c>
      <c r="K184" t="str">
        <f t="shared" si="371"/>
        <v/>
      </c>
      <c r="L184" s="116">
        <f t="shared" si="265"/>
        <v>7</v>
      </c>
    </row>
    <row r="185" spans="1:12">
      <c r="A185" s="117">
        <f>'Hatch&amp;Match Details'!A186</f>
        <v>183</v>
      </c>
      <c r="B185" s="143">
        <f>VLOOKUP(Lineage!A185,'Loyd List 1-190 - Edit'!$P$1:$R$192,3,FALSE)</f>
        <v>155</v>
      </c>
      <c r="C185">
        <f t="shared" si="262"/>
        <v>119</v>
      </c>
      <c r="D185">
        <f t="shared" si="262"/>
        <v>80</v>
      </c>
      <c r="E185">
        <f t="shared" si="262"/>
        <v>29</v>
      </c>
      <c r="F185">
        <f t="shared" ref="F185:I185" si="372">IF(ISNA(VLOOKUP(E185,$A$2:$B$200,2,FALSE)),"",VLOOKUP(E185,$A$2:$B$200,2,FALSE))</f>
        <v>14</v>
      </c>
      <c r="G185">
        <f t="shared" si="372"/>
        <v>4</v>
      </c>
      <c r="H185">
        <f t="shared" si="372"/>
        <v>1</v>
      </c>
      <c r="I185">
        <f t="shared" si="372"/>
        <v>0</v>
      </c>
      <c r="J185">
        <f t="shared" ref="J185:K185" si="373">IF(ISNA(VLOOKUP(I185,$A$2:$B$200,2,FALSE)),"",VLOOKUP(I185,$A$2:$B$200,2,FALSE))</f>
        <v>-1</v>
      </c>
      <c r="K185" t="str">
        <f t="shared" si="373"/>
        <v/>
      </c>
      <c r="L185" s="116">
        <f t="shared" si="265"/>
        <v>7</v>
      </c>
    </row>
    <row r="186" spans="1:12">
      <c r="A186" s="117">
        <f>'Hatch&amp;Match Details'!A187</f>
        <v>184</v>
      </c>
      <c r="B186" s="143">
        <f>VLOOKUP(Lineage!A186,'Loyd List 1-190 - Edit'!$P$1:$R$192,3,FALSE)</f>
        <v>149</v>
      </c>
      <c r="C186">
        <f t="shared" si="262"/>
        <v>113</v>
      </c>
      <c r="D186">
        <f t="shared" si="262"/>
        <v>78</v>
      </c>
      <c r="E186">
        <f t="shared" si="262"/>
        <v>46</v>
      </c>
      <c r="F186">
        <f t="shared" ref="F186:I186" si="374">IF(ISNA(VLOOKUP(E186,$A$2:$B$200,2,FALSE)),"",VLOOKUP(E186,$A$2:$B$200,2,FALSE))</f>
        <v>23</v>
      </c>
      <c r="G186">
        <f t="shared" si="374"/>
        <v>8</v>
      </c>
      <c r="H186">
        <f t="shared" si="374"/>
        <v>1</v>
      </c>
      <c r="I186">
        <f t="shared" si="374"/>
        <v>0</v>
      </c>
      <c r="J186">
        <f t="shared" ref="J186:K186" si="375">IF(ISNA(VLOOKUP(I186,$A$2:$B$200,2,FALSE)),"",VLOOKUP(I186,$A$2:$B$200,2,FALSE))</f>
        <v>-1</v>
      </c>
      <c r="K186" t="str">
        <f t="shared" si="375"/>
        <v/>
      </c>
      <c r="L186" s="116">
        <f t="shared" si="265"/>
        <v>7</v>
      </c>
    </row>
    <row r="187" spans="1:12">
      <c r="A187" s="117">
        <f>'Hatch&amp;Match Details'!A188</f>
        <v>185</v>
      </c>
      <c r="B187" s="143">
        <f>VLOOKUP(Lineage!A187,'Loyd List 1-190 - Edit'!$P$1:$R$192,3,FALSE)</f>
        <v>155</v>
      </c>
      <c r="C187">
        <f t="shared" si="262"/>
        <v>119</v>
      </c>
      <c r="D187">
        <f t="shared" si="262"/>
        <v>80</v>
      </c>
      <c r="E187">
        <f t="shared" si="262"/>
        <v>29</v>
      </c>
      <c r="F187">
        <f t="shared" ref="F187:I187" si="376">IF(ISNA(VLOOKUP(E187,$A$2:$B$200,2,FALSE)),"",VLOOKUP(E187,$A$2:$B$200,2,FALSE))</f>
        <v>14</v>
      </c>
      <c r="G187">
        <f t="shared" si="376"/>
        <v>4</v>
      </c>
      <c r="H187">
        <f t="shared" si="376"/>
        <v>1</v>
      </c>
      <c r="I187">
        <f t="shared" si="376"/>
        <v>0</v>
      </c>
      <c r="J187">
        <f t="shared" ref="J187:K187" si="377">IF(ISNA(VLOOKUP(I187,$A$2:$B$200,2,FALSE)),"",VLOOKUP(I187,$A$2:$B$200,2,FALSE))</f>
        <v>-1</v>
      </c>
      <c r="K187" t="str">
        <f t="shared" si="377"/>
        <v/>
      </c>
      <c r="L187" s="116">
        <f t="shared" si="265"/>
        <v>7</v>
      </c>
    </row>
    <row r="188" spans="1:12">
      <c r="A188" s="117">
        <f>'Hatch&amp;Match Details'!A189</f>
        <v>186</v>
      </c>
      <c r="B188" s="143">
        <f>VLOOKUP(Lineage!A188,'Loyd List 1-190 - Edit'!$P$1:$R$192,3,FALSE)</f>
        <v>155</v>
      </c>
      <c r="C188">
        <f t="shared" si="262"/>
        <v>119</v>
      </c>
      <c r="D188">
        <f t="shared" si="262"/>
        <v>80</v>
      </c>
      <c r="E188">
        <f t="shared" si="262"/>
        <v>29</v>
      </c>
      <c r="F188">
        <f t="shared" ref="F188:I188" si="378">IF(ISNA(VLOOKUP(E188,$A$2:$B$200,2,FALSE)),"",VLOOKUP(E188,$A$2:$B$200,2,FALSE))</f>
        <v>14</v>
      </c>
      <c r="G188">
        <f t="shared" si="378"/>
        <v>4</v>
      </c>
      <c r="H188">
        <f t="shared" si="378"/>
        <v>1</v>
      </c>
      <c r="I188">
        <f t="shared" si="378"/>
        <v>0</v>
      </c>
      <c r="J188">
        <f t="shared" ref="J188:K188" si="379">IF(ISNA(VLOOKUP(I188,$A$2:$B$200,2,FALSE)),"",VLOOKUP(I188,$A$2:$B$200,2,FALSE))</f>
        <v>-1</v>
      </c>
      <c r="K188" t="str">
        <f t="shared" si="379"/>
        <v/>
      </c>
      <c r="L188" s="116">
        <f t="shared" si="265"/>
        <v>7</v>
      </c>
    </row>
    <row r="189" spans="1:12">
      <c r="A189" s="117">
        <f>'Hatch&amp;Match Details'!A190</f>
        <v>187</v>
      </c>
      <c r="B189" s="143">
        <f>VLOOKUP(Lineage!A189,'Loyd List 1-190 - Edit'!$P$1:$R$192,3,FALSE)</f>
        <v>167</v>
      </c>
      <c r="C189">
        <f t="shared" si="262"/>
        <v>131</v>
      </c>
      <c r="D189">
        <f t="shared" si="262"/>
        <v>94</v>
      </c>
      <c r="E189">
        <f t="shared" si="262"/>
        <v>68</v>
      </c>
      <c r="F189">
        <f t="shared" ref="F189:I189" si="380">IF(ISNA(VLOOKUP(E189,$A$2:$B$200,2,FALSE)),"",VLOOKUP(E189,$A$2:$B$200,2,FALSE))</f>
        <v>45</v>
      </c>
      <c r="G189">
        <f t="shared" si="380"/>
        <v>22</v>
      </c>
      <c r="H189">
        <f t="shared" si="380"/>
        <v>8</v>
      </c>
      <c r="I189">
        <f t="shared" si="380"/>
        <v>1</v>
      </c>
      <c r="J189">
        <f t="shared" ref="J189:K189" si="381">IF(ISNA(VLOOKUP(I189,$A$2:$B$200,2,FALSE)),"",VLOOKUP(I189,$A$2:$B$200,2,FALSE))</f>
        <v>0</v>
      </c>
      <c r="K189">
        <f t="shared" si="381"/>
        <v>-1</v>
      </c>
      <c r="L189" s="116">
        <f t="shared" si="265"/>
        <v>8</v>
      </c>
    </row>
    <row r="190" spans="1:12">
      <c r="A190" s="117">
        <f>'Hatch&amp;Match Details'!A191</f>
        <v>188</v>
      </c>
      <c r="B190" s="143">
        <f>VLOOKUP(Lineage!A190,'Loyd List 1-190 - Edit'!$P$1:$R$192,3,FALSE)</f>
        <v>162</v>
      </c>
      <c r="C190">
        <f t="shared" si="262"/>
        <v>131</v>
      </c>
      <c r="D190">
        <f t="shared" si="262"/>
        <v>94</v>
      </c>
      <c r="E190">
        <f t="shared" si="262"/>
        <v>68</v>
      </c>
      <c r="F190">
        <f t="shared" ref="F190:I190" si="382">IF(ISNA(VLOOKUP(E190,$A$2:$B$200,2,FALSE)),"",VLOOKUP(E190,$A$2:$B$200,2,FALSE))</f>
        <v>45</v>
      </c>
      <c r="G190">
        <f t="shared" si="382"/>
        <v>22</v>
      </c>
      <c r="H190">
        <f t="shared" si="382"/>
        <v>8</v>
      </c>
      <c r="I190">
        <f t="shared" si="382"/>
        <v>1</v>
      </c>
      <c r="J190">
        <f t="shared" ref="J190:K190" si="383">IF(ISNA(VLOOKUP(I190,$A$2:$B$200,2,FALSE)),"",VLOOKUP(I190,$A$2:$B$200,2,FALSE))</f>
        <v>0</v>
      </c>
      <c r="K190">
        <f t="shared" si="383"/>
        <v>-1</v>
      </c>
      <c r="L190" s="116">
        <f t="shared" si="265"/>
        <v>8</v>
      </c>
    </row>
    <row r="191" spans="1:12">
      <c r="A191" s="117">
        <f>'Hatch&amp;Match Details'!A192</f>
        <v>189</v>
      </c>
      <c r="B191" s="143">
        <f>VLOOKUP(Lineage!A191,'Loyd List 1-190 - Edit'!$P$1:$R$192,3,FALSE)</f>
        <v>162</v>
      </c>
      <c r="C191">
        <f t="shared" si="262"/>
        <v>131</v>
      </c>
      <c r="D191">
        <f t="shared" si="262"/>
        <v>94</v>
      </c>
      <c r="E191">
        <f t="shared" si="262"/>
        <v>68</v>
      </c>
      <c r="F191">
        <f t="shared" ref="F191:I191" si="384">IF(ISNA(VLOOKUP(E191,$A$2:$B$200,2,FALSE)),"",VLOOKUP(E191,$A$2:$B$200,2,FALSE))</f>
        <v>45</v>
      </c>
      <c r="G191">
        <f t="shared" si="384"/>
        <v>22</v>
      </c>
      <c r="H191">
        <f t="shared" si="384"/>
        <v>8</v>
      </c>
      <c r="I191">
        <f t="shared" si="384"/>
        <v>1</v>
      </c>
      <c r="J191">
        <f t="shared" ref="J191:K191" si="385">IF(ISNA(VLOOKUP(I191,$A$2:$B$200,2,FALSE)),"",VLOOKUP(I191,$A$2:$B$200,2,FALSE))</f>
        <v>0</v>
      </c>
      <c r="K191">
        <f t="shared" si="385"/>
        <v>-1</v>
      </c>
      <c r="L191" s="116">
        <f t="shared" si="265"/>
        <v>8</v>
      </c>
    </row>
    <row r="192" spans="1:12">
      <c r="A192" s="117">
        <f>'Hatch&amp;Match Details'!A193</f>
        <v>190</v>
      </c>
      <c r="B192" s="143">
        <f>VLOOKUP(Lineage!A192,'Loyd List 1-190 - Edit'!$P$1:$R$192,3,FALSE)</f>
        <v>167</v>
      </c>
      <c r="C192">
        <f t="shared" si="262"/>
        <v>131</v>
      </c>
      <c r="D192">
        <f t="shared" si="262"/>
        <v>94</v>
      </c>
      <c r="E192">
        <f t="shared" si="262"/>
        <v>68</v>
      </c>
      <c r="F192">
        <f t="shared" ref="F192:I192" si="386">IF(ISNA(VLOOKUP(E192,$A$2:$B$200,2,FALSE)),"",VLOOKUP(E192,$A$2:$B$200,2,FALSE))</f>
        <v>45</v>
      </c>
      <c r="G192">
        <f t="shared" si="386"/>
        <v>22</v>
      </c>
      <c r="H192">
        <f t="shared" si="386"/>
        <v>8</v>
      </c>
      <c r="I192">
        <f t="shared" si="386"/>
        <v>1</v>
      </c>
      <c r="J192">
        <f t="shared" ref="J192:K192" si="387">IF(ISNA(VLOOKUP(I192,$A$2:$B$200,2,FALSE)),"",VLOOKUP(I192,$A$2:$B$200,2,FALSE))</f>
        <v>0</v>
      </c>
      <c r="K192">
        <f t="shared" si="387"/>
        <v>-1</v>
      </c>
      <c r="L192" s="116">
        <f t="shared" si="265"/>
        <v>8</v>
      </c>
    </row>
    <row r="193" spans="1:1">
      <c r="A193" s="117"/>
    </row>
    <row r="194" spans="1:1">
      <c r="A194" s="117"/>
    </row>
    <row r="195" spans="1:1">
      <c r="A195" s="117"/>
    </row>
    <row r="196" spans="1:1">
      <c r="A196" s="117"/>
    </row>
    <row r="197" spans="1:1">
      <c r="A197" s="117"/>
    </row>
    <row r="198" spans="1:1">
      <c r="A198" s="117"/>
    </row>
    <row r="199" spans="1:1">
      <c r="A199" s="117"/>
    </row>
    <row r="200" spans="1:1">
      <c r="A200" s="117"/>
    </row>
    <row r="201" spans="1:1">
      <c r="A201" s="117"/>
    </row>
    <row r="202" spans="1:1">
      <c r="A202" s="117"/>
    </row>
    <row r="203" spans="1:1">
      <c r="A203" s="117"/>
    </row>
    <row r="204" spans="1:1">
      <c r="A204" s="117"/>
    </row>
    <row r="205" spans="1:1">
      <c r="A205" s="117"/>
    </row>
    <row r="206" spans="1:1">
      <c r="A206" s="117"/>
    </row>
    <row r="207" spans="1:1">
      <c r="A207" s="117"/>
    </row>
    <row r="208" spans="1:1">
      <c r="A208" s="117"/>
    </row>
    <row r="209" spans="1:1">
      <c r="A209" s="117"/>
    </row>
    <row r="210" spans="1:1">
      <c r="A210" s="117"/>
    </row>
    <row r="211" spans="1:1">
      <c r="A211" s="117"/>
    </row>
    <row r="212" spans="1:1">
      <c r="A212" s="117"/>
    </row>
    <row r="213" spans="1:1">
      <c r="A213" s="117"/>
    </row>
    <row r="214" spans="1:1">
      <c r="A214" s="117"/>
    </row>
    <row r="215" spans="1:1">
      <c r="A215" s="117"/>
    </row>
    <row r="216" spans="1:1">
      <c r="A216" s="117"/>
    </row>
    <row r="217" spans="1:1">
      <c r="A217" s="117"/>
    </row>
    <row r="218" spans="1:1">
      <c r="A218" s="117"/>
    </row>
    <row r="219" spans="1:1">
      <c r="A219" s="117"/>
    </row>
    <row r="220" spans="1:1">
      <c r="A220" s="117"/>
    </row>
    <row r="221" spans="1:1">
      <c r="A221" s="117"/>
    </row>
    <row r="222" spans="1:1">
      <c r="A222" s="117"/>
    </row>
    <row r="223" spans="1:1">
      <c r="A223" s="117"/>
    </row>
    <row r="224" spans="1:1">
      <c r="A224" s="117"/>
    </row>
    <row r="225" spans="1:1">
      <c r="A225" s="117"/>
    </row>
    <row r="226" spans="1:1">
      <c r="A226" s="117"/>
    </row>
    <row r="227" spans="1:1">
      <c r="A227" s="117"/>
    </row>
    <row r="228" spans="1:1">
      <c r="A228" s="117"/>
    </row>
    <row r="229" spans="1:1">
      <c r="A229" s="117"/>
    </row>
    <row r="230" spans="1:1">
      <c r="A230" s="117"/>
    </row>
    <row r="231" spans="1:1">
      <c r="A231" s="117"/>
    </row>
    <row r="232" spans="1:1">
      <c r="A232" s="117"/>
    </row>
    <row r="233" spans="1:1">
      <c r="A233" s="117"/>
    </row>
    <row r="234" spans="1:1">
      <c r="A234" s="117"/>
    </row>
    <row r="235" spans="1:1">
      <c r="A235" s="117"/>
    </row>
    <row r="236" spans="1:1">
      <c r="A236" s="117"/>
    </row>
    <row r="237" spans="1:1">
      <c r="A237" s="117"/>
    </row>
    <row r="238" spans="1:1">
      <c r="A238" s="117"/>
    </row>
    <row r="239" spans="1:1">
      <c r="A239" s="117"/>
    </row>
    <row r="240" spans="1:1">
      <c r="A240" s="117"/>
    </row>
    <row r="241" spans="1:1">
      <c r="A241" s="117"/>
    </row>
    <row r="242" spans="1:1">
      <c r="A242" s="117"/>
    </row>
    <row r="243" spans="1:1">
      <c r="A243" s="117"/>
    </row>
    <row r="244" spans="1:1">
      <c r="A244" s="117"/>
    </row>
    <row r="245" spans="1:1">
      <c r="A245" s="117"/>
    </row>
    <row r="246" spans="1:1">
      <c r="A246" s="117"/>
    </row>
    <row r="247" spans="1:1">
      <c r="A247" s="117"/>
    </row>
    <row r="248" spans="1:1">
      <c r="A248" s="117"/>
    </row>
    <row r="249" spans="1:1">
      <c r="A249" s="117"/>
    </row>
    <row r="250" spans="1:1">
      <c r="A250" s="117"/>
    </row>
    <row r="251" spans="1:1">
      <c r="A251" s="117"/>
    </row>
    <row r="252" spans="1:1">
      <c r="A252" s="117"/>
    </row>
    <row r="253" spans="1:1">
      <c r="A253" s="117"/>
    </row>
    <row r="254" spans="1:1">
      <c r="A254" s="117"/>
    </row>
    <row r="255" spans="1:1">
      <c r="A255" s="117"/>
    </row>
    <row r="256" spans="1:1">
      <c r="A256" s="117"/>
    </row>
    <row r="257" spans="1:1">
      <c r="A257" s="117"/>
    </row>
    <row r="258" spans="1:1">
      <c r="A258" s="117"/>
    </row>
    <row r="259" spans="1:1">
      <c r="A259" s="117"/>
    </row>
    <row r="260" spans="1:1">
      <c r="A260" s="117"/>
    </row>
    <row r="261" spans="1:1">
      <c r="A261" s="117"/>
    </row>
    <row r="262" spans="1:1">
      <c r="A262" s="117"/>
    </row>
    <row r="263" spans="1:1">
      <c r="A263" s="117"/>
    </row>
    <row r="264" spans="1:1">
      <c r="A264" s="117"/>
    </row>
    <row r="265" spans="1:1">
      <c r="A265" s="117"/>
    </row>
    <row r="266" spans="1:1">
      <c r="A266" s="117"/>
    </row>
    <row r="267" spans="1:1">
      <c r="A267" s="117"/>
    </row>
    <row r="268" spans="1:1">
      <c r="A268" s="117"/>
    </row>
    <row r="269" spans="1:1">
      <c r="A269" s="117"/>
    </row>
    <row r="270" spans="1:1">
      <c r="A270" s="117"/>
    </row>
    <row r="271" spans="1:1">
      <c r="A271" s="117"/>
    </row>
    <row r="272" spans="1:1">
      <c r="A272" s="117"/>
    </row>
    <row r="273" spans="1:1">
      <c r="A273" s="117"/>
    </row>
    <row r="274" spans="1:1">
      <c r="A274" s="117"/>
    </row>
    <row r="275" spans="1:1">
      <c r="A275" s="117"/>
    </row>
    <row r="276" spans="1:1">
      <c r="A276" s="117"/>
    </row>
    <row r="277" spans="1:1">
      <c r="A277" s="117"/>
    </row>
    <row r="278" spans="1:1">
      <c r="A278" s="117"/>
    </row>
    <row r="279" spans="1:1">
      <c r="A279" s="117"/>
    </row>
    <row r="280" spans="1:1">
      <c r="A280" s="117"/>
    </row>
    <row r="281" spans="1:1">
      <c r="A281" s="117"/>
    </row>
    <row r="282" spans="1:1">
      <c r="A282" s="117"/>
    </row>
    <row r="283" spans="1:1">
      <c r="A283" s="117"/>
    </row>
    <row r="284" spans="1:1">
      <c r="A284" s="117"/>
    </row>
    <row r="285" spans="1:1">
      <c r="A285" s="117"/>
    </row>
    <row r="286" spans="1:1">
      <c r="A286" s="117"/>
    </row>
    <row r="287" spans="1:1">
      <c r="A287" s="117"/>
    </row>
    <row r="288" spans="1:1">
      <c r="A288" s="117"/>
    </row>
    <row r="289" spans="1:1">
      <c r="A289" s="117"/>
    </row>
    <row r="290" spans="1:1">
      <c r="A290" s="117"/>
    </row>
    <row r="291" spans="1:1">
      <c r="A291" s="117"/>
    </row>
    <row r="292" spans="1:1">
      <c r="A292" s="117"/>
    </row>
    <row r="293" spans="1:1">
      <c r="A293" s="117"/>
    </row>
    <row r="294" spans="1:1">
      <c r="A294" s="117"/>
    </row>
    <row r="295" spans="1:1">
      <c r="A295" s="117"/>
    </row>
    <row r="296" spans="1:1">
      <c r="A296" s="117"/>
    </row>
    <row r="297" spans="1:1">
      <c r="A297" s="117"/>
    </row>
    <row r="298" spans="1:1">
      <c r="A298" s="117"/>
    </row>
    <row r="299" spans="1:1">
      <c r="A299" s="117"/>
    </row>
    <row r="300" spans="1:1">
      <c r="A300" s="117"/>
    </row>
    <row r="301" spans="1:1">
      <c r="A301" s="117"/>
    </row>
    <row r="302" spans="1:1">
      <c r="A302" s="117"/>
    </row>
    <row r="303" spans="1:1">
      <c r="A303" s="117"/>
    </row>
    <row r="304" spans="1:1">
      <c r="A304" s="117"/>
    </row>
    <row r="305" spans="1:1">
      <c r="A305" s="117"/>
    </row>
    <row r="306" spans="1:1">
      <c r="A306" s="117"/>
    </row>
    <row r="307" spans="1:1">
      <c r="A307" s="117"/>
    </row>
    <row r="308" spans="1:1">
      <c r="A308" s="117"/>
    </row>
    <row r="309" spans="1:1">
      <c r="A309" s="117"/>
    </row>
    <row r="310" spans="1:1">
      <c r="A310" s="117"/>
    </row>
    <row r="311" spans="1:1">
      <c r="A311" s="117"/>
    </row>
    <row r="312" spans="1:1">
      <c r="A312" s="117"/>
    </row>
    <row r="313" spans="1:1">
      <c r="A313" s="117"/>
    </row>
    <row r="314" spans="1:1">
      <c r="A314" s="117"/>
    </row>
    <row r="315" spans="1:1">
      <c r="A315" s="117"/>
    </row>
    <row r="316" spans="1:1">
      <c r="A316" s="117"/>
    </row>
    <row r="317" spans="1:1">
      <c r="A317" s="117"/>
    </row>
    <row r="318" spans="1:1">
      <c r="A318" s="117"/>
    </row>
    <row r="319" spans="1:1">
      <c r="A319" s="117"/>
    </row>
    <row r="320" spans="1:1">
      <c r="A320" s="117"/>
    </row>
    <row r="321" spans="1:1">
      <c r="A321" s="117"/>
    </row>
    <row r="322" spans="1:1">
      <c r="A322" s="117"/>
    </row>
    <row r="323" spans="1:1">
      <c r="A323" s="117"/>
    </row>
    <row r="324" spans="1:1">
      <c r="A324" s="117"/>
    </row>
    <row r="325" spans="1:1">
      <c r="A325" s="117"/>
    </row>
    <row r="326" spans="1:1">
      <c r="A326" s="117"/>
    </row>
    <row r="327" spans="1:1">
      <c r="A327" s="117"/>
    </row>
    <row r="328" spans="1:1">
      <c r="A328" s="117"/>
    </row>
    <row r="329" spans="1:1">
      <c r="A329" s="117"/>
    </row>
    <row r="330" spans="1:1">
      <c r="A330" s="117"/>
    </row>
    <row r="331" spans="1:1">
      <c r="A331" s="117"/>
    </row>
    <row r="332" spans="1:1">
      <c r="A332" s="117"/>
    </row>
    <row r="333" spans="1:1">
      <c r="A333" s="117"/>
    </row>
    <row r="334" spans="1:1">
      <c r="A334" s="117"/>
    </row>
    <row r="335" spans="1:1">
      <c r="A335" s="117"/>
    </row>
    <row r="336" spans="1:1">
      <c r="A336" s="117"/>
    </row>
    <row r="337" spans="1:1">
      <c r="A337" s="117"/>
    </row>
    <row r="338" spans="1:1">
      <c r="A338" s="117"/>
    </row>
    <row r="339" spans="1:1">
      <c r="A339" s="117"/>
    </row>
    <row r="340" spans="1:1">
      <c r="A340" s="117"/>
    </row>
    <row r="341" spans="1:1">
      <c r="A341" s="117"/>
    </row>
    <row r="342" spans="1:1">
      <c r="A342" s="117"/>
    </row>
    <row r="343" spans="1:1">
      <c r="A343" s="117"/>
    </row>
    <row r="344" spans="1:1">
      <c r="A344" s="117"/>
    </row>
    <row r="345" spans="1:1">
      <c r="A345" s="117"/>
    </row>
    <row r="346" spans="1:1">
      <c r="A346" s="117"/>
    </row>
    <row r="347" spans="1:1">
      <c r="A347" s="117"/>
    </row>
    <row r="348" spans="1:1">
      <c r="A348" s="117"/>
    </row>
    <row r="349" spans="1:1">
      <c r="A349" s="117"/>
    </row>
    <row r="350" spans="1:1">
      <c r="A350" s="117"/>
    </row>
    <row r="351" spans="1:1">
      <c r="A351" s="117"/>
    </row>
    <row r="352" spans="1:1">
      <c r="A352" s="117"/>
    </row>
    <row r="353" spans="1:1">
      <c r="A353" s="117"/>
    </row>
    <row r="354" spans="1:1">
      <c r="A354" s="117"/>
    </row>
    <row r="355" spans="1:1">
      <c r="A355" s="117"/>
    </row>
    <row r="356" spans="1:1">
      <c r="A356" s="117"/>
    </row>
    <row r="357" spans="1:1">
      <c r="A357" s="117"/>
    </row>
    <row r="358" spans="1:1">
      <c r="A358" s="117"/>
    </row>
    <row r="359" spans="1:1">
      <c r="A359" s="117"/>
    </row>
    <row r="360" spans="1:1">
      <c r="A360" s="117"/>
    </row>
    <row r="361" spans="1:1">
      <c r="A361" s="117"/>
    </row>
    <row r="362" spans="1:1">
      <c r="A362" s="117"/>
    </row>
    <row r="363" spans="1:1">
      <c r="A363" s="117"/>
    </row>
    <row r="364" spans="1:1">
      <c r="A364" s="117"/>
    </row>
    <row r="365" spans="1:1">
      <c r="A365" s="117"/>
    </row>
    <row r="366" spans="1:1">
      <c r="A366" s="117"/>
    </row>
    <row r="367" spans="1:1">
      <c r="A367" s="117"/>
    </row>
    <row r="368" spans="1:1">
      <c r="A368" s="117"/>
    </row>
    <row r="369" spans="1:1">
      <c r="A369" s="117"/>
    </row>
    <row r="370" spans="1:1">
      <c r="A370" s="117"/>
    </row>
    <row r="371" spans="1:1">
      <c r="A371" s="117"/>
    </row>
    <row r="372" spans="1:1">
      <c r="A372" s="117"/>
    </row>
    <row r="373" spans="1:1">
      <c r="A373" s="117"/>
    </row>
    <row r="374" spans="1:1">
      <c r="A374" s="117"/>
    </row>
    <row r="375" spans="1:1">
      <c r="A375" s="117"/>
    </row>
    <row r="376" spans="1:1">
      <c r="A376" s="117"/>
    </row>
    <row r="377" spans="1:1">
      <c r="A377" s="117"/>
    </row>
    <row r="378" spans="1:1">
      <c r="A378" s="117"/>
    </row>
    <row r="379" spans="1:1">
      <c r="A379" s="117"/>
    </row>
    <row r="380" spans="1:1">
      <c r="A380" s="117"/>
    </row>
    <row r="381" spans="1:1">
      <c r="A381" s="117"/>
    </row>
    <row r="382" spans="1:1">
      <c r="A382" s="117"/>
    </row>
    <row r="383" spans="1:1">
      <c r="A383" s="117"/>
    </row>
    <row r="384" spans="1:1">
      <c r="A384" s="117"/>
    </row>
    <row r="385" spans="1:1">
      <c r="A385" s="117"/>
    </row>
    <row r="386" spans="1:1">
      <c r="A386" s="117"/>
    </row>
    <row r="387" spans="1:1">
      <c r="A387" s="117"/>
    </row>
    <row r="388" spans="1:1">
      <c r="A388" s="117"/>
    </row>
    <row r="389" spans="1:1">
      <c r="A389" s="117"/>
    </row>
    <row r="390" spans="1:1">
      <c r="A390" s="117"/>
    </row>
    <row r="391" spans="1:1">
      <c r="A391" s="117"/>
    </row>
    <row r="392" spans="1:1">
      <c r="A392" s="117"/>
    </row>
    <row r="393" spans="1:1">
      <c r="A393" s="117"/>
    </row>
    <row r="394" spans="1:1">
      <c r="A394" s="117"/>
    </row>
    <row r="395" spans="1:1">
      <c r="A395" s="117"/>
    </row>
    <row r="396" spans="1:1">
      <c r="A396" s="117"/>
    </row>
    <row r="397" spans="1:1">
      <c r="A397" s="117"/>
    </row>
    <row r="398" spans="1:1">
      <c r="A398" s="117"/>
    </row>
    <row r="399" spans="1:1">
      <c r="A399" s="117"/>
    </row>
    <row r="400" spans="1:1">
      <c r="A400" s="117"/>
    </row>
    <row r="401" spans="1:1">
      <c r="A401" s="117"/>
    </row>
    <row r="402" spans="1:1">
      <c r="A402" s="117"/>
    </row>
    <row r="403" spans="1:1">
      <c r="A403" s="117"/>
    </row>
    <row r="404" spans="1:1">
      <c r="A404" s="117"/>
    </row>
    <row r="405" spans="1:1">
      <c r="A405" s="117"/>
    </row>
    <row r="406" spans="1:1">
      <c r="A406" s="117"/>
    </row>
    <row r="407" spans="1:1">
      <c r="A407" s="117"/>
    </row>
    <row r="408" spans="1:1">
      <c r="A408" s="117"/>
    </row>
    <row r="409" spans="1:1">
      <c r="A409" s="117"/>
    </row>
    <row r="410" spans="1:1">
      <c r="A410" s="117"/>
    </row>
    <row r="411" spans="1:1">
      <c r="A411" s="117"/>
    </row>
    <row r="412" spans="1:1">
      <c r="A412" s="117"/>
    </row>
    <row r="413" spans="1:1">
      <c r="A413" s="117"/>
    </row>
    <row r="414" spans="1:1">
      <c r="A414" s="117"/>
    </row>
    <row r="415" spans="1:1">
      <c r="A415" s="117"/>
    </row>
    <row r="416" spans="1:1">
      <c r="A416" s="117"/>
    </row>
    <row r="417" spans="1:1">
      <c r="A417" s="117"/>
    </row>
    <row r="418" spans="1:1">
      <c r="A418" s="117"/>
    </row>
    <row r="419" spans="1:1">
      <c r="A419" s="117"/>
    </row>
    <row r="420" spans="1:1">
      <c r="A420" s="117"/>
    </row>
    <row r="421" spans="1:1">
      <c r="A421" s="117"/>
    </row>
    <row r="422" spans="1:1">
      <c r="A422" s="117"/>
    </row>
    <row r="423" spans="1:1">
      <c r="A423" s="117"/>
    </row>
    <row r="424" spans="1:1">
      <c r="A424" s="117"/>
    </row>
    <row r="425" spans="1:1">
      <c r="A425" s="117"/>
    </row>
    <row r="426" spans="1:1">
      <c r="A426" s="117"/>
    </row>
    <row r="427" spans="1:1">
      <c r="A427" s="117"/>
    </row>
    <row r="428" spans="1:1">
      <c r="A428" s="117"/>
    </row>
    <row r="429" spans="1:1">
      <c r="A429" s="117"/>
    </row>
    <row r="430" spans="1:1">
      <c r="A430" s="117"/>
    </row>
    <row r="431" spans="1:1">
      <c r="A431" s="117"/>
    </row>
    <row r="432" spans="1:1">
      <c r="A432" s="117"/>
    </row>
    <row r="433" spans="1:1">
      <c r="A433" s="117"/>
    </row>
    <row r="434" spans="1:1">
      <c r="A434" s="117"/>
    </row>
    <row r="435" spans="1:1">
      <c r="A435" s="117"/>
    </row>
    <row r="436" spans="1:1">
      <c r="A436" s="117"/>
    </row>
    <row r="437" spans="1:1">
      <c r="A437" s="117"/>
    </row>
    <row r="438" spans="1:1">
      <c r="A438" s="117"/>
    </row>
    <row r="439" spans="1:1">
      <c r="A439" s="117"/>
    </row>
    <row r="440" spans="1:1">
      <c r="A440" s="117"/>
    </row>
    <row r="441" spans="1:1">
      <c r="A441" s="117"/>
    </row>
    <row r="442" spans="1:1">
      <c r="A442" s="117"/>
    </row>
    <row r="443" spans="1:1">
      <c r="A443" s="117"/>
    </row>
    <row r="444" spans="1:1">
      <c r="A444" s="117"/>
    </row>
    <row r="445" spans="1:1">
      <c r="A445" s="117"/>
    </row>
    <row r="446" spans="1:1">
      <c r="A446" s="117"/>
    </row>
    <row r="447" spans="1:1">
      <c r="A447" s="117"/>
    </row>
    <row r="448" spans="1:1">
      <c r="A448" s="117"/>
    </row>
    <row r="449" spans="1:1">
      <c r="A449" s="117"/>
    </row>
    <row r="450" spans="1:1">
      <c r="A450" s="117"/>
    </row>
    <row r="451" spans="1:1">
      <c r="A451" s="1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0F51-72EF-E045-BA10-08AABCFCCDCA}">
  <dimension ref="A1:CE196"/>
  <sheetViews>
    <sheetView zoomScale="128" zoomScaleNormal="128" workbookViewId="0">
      <pane xSplit="3" ySplit="1" topLeftCell="AB143" activePane="bottomRight" state="frozen"/>
      <selection pane="topRight" activeCell="G1" sqref="G1"/>
      <selection pane="bottomLeft" activeCell="A2" sqref="A2"/>
      <selection pane="bottomRight" activeCell="P1" sqref="P1"/>
    </sheetView>
  </sheetViews>
  <sheetFormatPr baseColWidth="10" defaultRowHeight="16"/>
  <cols>
    <col min="1" max="1" width="7.1640625" customWidth="1"/>
    <col min="2" max="2" width="10.1640625" customWidth="1"/>
    <col min="3" max="3" width="6.33203125" style="183" customWidth="1"/>
    <col min="4" max="4" width="16.5" customWidth="1"/>
    <col min="5" max="5" width="15.5" customWidth="1"/>
    <col min="6" max="6" width="12" customWidth="1"/>
    <col min="7" max="7" width="15" customWidth="1"/>
    <col min="8" max="8" width="13.5" customWidth="1"/>
    <col min="9" max="9" width="8.1640625" customWidth="1"/>
    <col min="10" max="10" width="9.5" customWidth="1"/>
    <col min="11" max="11" width="26.1640625" style="9" customWidth="1"/>
    <col min="12" max="12" width="10.83203125" style="8" customWidth="1"/>
    <col min="13" max="13" width="15.5" style="8" customWidth="1"/>
    <col min="14" max="14" width="14.6640625" customWidth="1"/>
    <col min="15" max="15" width="12" customWidth="1"/>
    <col min="16" max="16" width="10.6640625" customWidth="1"/>
    <col min="17" max="17" width="32.6640625" customWidth="1"/>
    <col min="18" max="18" width="12.5" style="99" customWidth="1"/>
    <col min="19" max="19" width="30.1640625" customWidth="1"/>
    <col min="20" max="20" width="20.33203125" customWidth="1"/>
    <col min="21" max="21" width="22.6640625" customWidth="1"/>
    <col min="22" max="22" width="12.83203125" customWidth="1"/>
    <col min="23" max="24" width="27.83203125" customWidth="1"/>
    <col min="25" max="25" width="23" customWidth="1"/>
    <col min="26" max="26" width="17.1640625" customWidth="1"/>
    <col min="27" max="27" width="24.1640625" customWidth="1"/>
    <col min="28" max="28" width="24.5" customWidth="1"/>
    <col min="29" max="33" width="20.5" customWidth="1"/>
    <col min="34" max="34" width="10.83203125" customWidth="1"/>
    <col min="35" max="35" width="15.5" customWidth="1"/>
    <col min="36" max="36" width="48.83203125" customWidth="1"/>
    <col min="37" max="38" width="18.6640625" customWidth="1"/>
    <col min="39" max="39" width="14.6640625" customWidth="1"/>
    <col min="40" max="40" width="13.33203125" customWidth="1"/>
    <col min="41" max="41" width="10.83203125" customWidth="1"/>
    <col min="42" max="42" width="14.1640625" style="103" customWidth="1"/>
    <col min="43" max="43" width="13.33203125" customWidth="1"/>
  </cols>
  <sheetData>
    <row r="1" spans="1:43" s="36" customFormat="1" ht="39" customHeight="1" thickBot="1">
      <c r="A1" s="36" t="str">
        <f>C1</f>
        <v>Loyd #</v>
      </c>
      <c r="B1" s="36" t="s">
        <v>2351</v>
      </c>
      <c r="C1" s="263" t="s">
        <v>780</v>
      </c>
      <c r="D1" s="265" t="s">
        <v>781</v>
      </c>
      <c r="E1" s="36" t="s">
        <v>777</v>
      </c>
      <c r="F1" s="36" t="s">
        <v>778</v>
      </c>
      <c r="G1" s="36" t="s">
        <v>779</v>
      </c>
      <c r="H1" s="36" t="s">
        <v>2957</v>
      </c>
      <c r="I1" s="36" t="s">
        <v>1154</v>
      </c>
      <c r="J1" s="36" t="s">
        <v>1177</v>
      </c>
      <c r="K1" s="266" t="s">
        <v>1137</v>
      </c>
      <c r="L1" s="267" t="s">
        <v>784</v>
      </c>
      <c r="M1" s="267" t="s">
        <v>1138</v>
      </c>
      <c r="N1" s="36" t="s">
        <v>785</v>
      </c>
      <c r="O1" s="36" t="s">
        <v>786</v>
      </c>
      <c r="P1" s="36" t="s">
        <v>1142</v>
      </c>
      <c r="Q1" s="36" t="s">
        <v>1141</v>
      </c>
      <c r="R1" s="36" t="s">
        <v>793</v>
      </c>
      <c r="S1" s="36" t="s">
        <v>1145</v>
      </c>
      <c r="T1" s="36" t="s">
        <v>1143</v>
      </c>
      <c r="U1" s="36" t="s">
        <v>1144</v>
      </c>
      <c r="V1" s="36" t="s">
        <v>1139</v>
      </c>
      <c r="W1" s="36" t="s">
        <v>1140</v>
      </c>
      <c r="X1" s="36" t="s">
        <v>1146</v>
      </c>
      <c r="Y1" s="36" t="s">
        <v>1147</v>
      </c>
      <c r="Z1" s="36" t="s">
        <v>1148</v>
      </c>
      <c r="AA1" s="36" t="s">
        <v>1149</v>
      </c>
      <c r="AB1" s="36" t="s">
        <v>1150</v>
      </c>
      <c r="AC1" s="36" t="s">
        <v>1151</v>
      </c>
      <c r="AD1" s="36" t="s">
        <v>1152</v>
      </c>
      <c r="AE1" s="36" t="s">
        <v>1153</v>
      </c>
      <c r="AF1" s="36" t="s">
        <v>3135</v>
      </c>
      <c r="AG1" s="36" t="s">
        <v>3136</v>
      </c>
      <c r="AH1" s="36" t="s">
        <v>4430</v>
      </c>
      <c r="AI1" s="36" t="s">
        <v>4428</v>
      </c>
      <c r="AJ1" s="263" t="s">
        <v>3002</v>
      </c>
      <c r="AK1" s="36" t="s">
        <v>3814</v>
      </c>
      <c r="AL1" s="36" t="s">
        <v>3815</v>
      </c>
      <c r="AM1" s="36" t="s">
        <v>3816</v>
      </c>
      <c r="AN1" s="36" t="s">
        <v>3817</v>
      </c>
      <c r="AO1" s="36" t="s">
        <v>3947</v>
      </c>
      <c r="AP1" s="268" t="s">
        <v>3948</v>
      </c>
      <c r="AQ1" s="36" t="s">
        <v>3040</v>
      </c>
    </row>
    <row r="2" spans="1:43" s="33" customFormat="1" ht="39" customHeight="1" thickBot="1">
      <c r="C2" s="264">
        <v>0</v>
      </c>
      <c r="D2" s="34"/>
      <c r="E2" s="33" t="s">
        <v>914</v>
      </c>
      <c r="I2" s="33">
        <v>1690</v>
      </c>
      <c r="J2" s="33">
        <v>1758</v>
      </c>
      <c r="K2" s="9" t="str">
        <f>IF(H2="",_xlfn.CONCAT(E2," (",C2,"): ",I2),_xlfn.CONCAT(H2," (",C2,"): ",I2))</f>
        <v>Lewis (0): 1690</v>
      </c>
      <c r="L2" s="8"/>
      <c r="M2" s="8"/>
      <c r="P2" s="36">
        <v>0</v>
      </c>
      <c r="Q2" s="19" t="str">
        <f>_xlfn.CONCAT(K2,"–",J2)</f>
        <v>Lewis (0): 1690–1758</v>
      </c>
      <c r="R2" s="118">
        <v>-1</v>
      </c>
      <c r="S2" s="15" t="e">
        <f>VLOOKUP(R2,$P$2:$Q$184,2,TRUE)</f>
        <v>#N/A</v>
      </c>
      <c r="T2" s="38" t="e">
        <f>VLOOKUP(R2,$C$2:$AH$184,16,TRUE)</f>
        <v>#N/A</v>
      </c>
      <c r="U2" s="37" t="e">
        <f t="shared" ref="U2:U67" si="0">VLOOKUP(T2,$P$2:$Q$184,2,TRUE)</f>
        <v>#N/A</v>
      </c>
      <c r="V2" s="27" t="e">
        <f>VLOOKUP(T2,$C$2:$AH$184,16,TRUE)</f>
        <v>#N/A</v>
      </c>
      <c r="W2" s="28" t="e">
        <f>VLOOKUP(V2,$P$2:$Q$184,2,TRUE)</f>
        <v>#N/A</v>
      </c>
      <c r="X2" s="39" t="e">
        <f>VLOOKUP(V2,$C$2:$AH$184,16,TRUE)</f>
        <v>#N/A</v>
      </c>
      <c r="Y2" s="40" t="e">
        <f>VLOOKUP(X2,$P$2:$Q$184,2,TRUE)</f>
        <v>#N/A</v>
      </c>
      <c r="Z2" s="29" t="e">
        <f>VLOOKUP(X2,$C$2:$AH$184,16,TRUE)</f>
        <v>#N/A</v>
      </c>
      <c r="AA2" s="41" t="e">
        <f>VLOOKUP(Z2,$P$2:$Q$184,2,TRUE)</f>
        <v>#N/A</v>
      </c>
      <c r="AB2" s="30" t="e">
        <f>VLOOKUP(Z2,$C$2:$AH$184,16,TRUE)</f>
        <v>#N/A</v>
      </c>
      <c r="AC2" s="43" t="e">
        <f>VLOOKUP(AB2,$P$2:$Q$184,2,TRUE)</f>
        <v>#N/A</v>
      </c>
      <c r="AD2" s="42" t="e">
        <f>VLOOKUP(AB2,$C$2:$AH$184,16,TRUE)</f>
        <v>#N/A</v>
      </c>
      <c r="AE2" s="22" t="e">
        <f>VLOOKUP(AD2,$P$2:$Q$184,2,TRUE)</f>
        <v>#N/A</v>
      </c>
      <c r="AF2" s="42" t="e">
        <f>VLOOKUP(AD2,$C$2:$AH$184,16,TRUE)</f>
        <v>#N/A</v>
      </c>
      <c r="AG2" s="22" t="e">
        <f>VLOOKUP(AF2,$P$2:$Q$184,2,TRUE)</f>
        <v>#N/A</v>
      </c>
      <c r="AH2" s="33" t="s">
        <v>2815</v>
      </c>
      <c r="AI2" s="262" t="s">
        <v>4429</v>
      </c>
      <c r="AJ2" s="264"/>
      <c r="AN2" s="36"/>
      <c r="AO2" s="3">
        <v>44743</v>
      </c>
      <c r="AP2" s="204">
        <v>44743</v>
      </c>
      <c r="AQ2" s="33">
        <f t="shared" ref="AQ2:AQ33" si="1">C2</f>
        <v>0</v>
      </c>
    </row>
    <row r="3" spans="1:43" ht="225" customHeight="1" thickBot="1">
      <c r="A3" s="33">
        <f t="shared" ref="A3:A66" si="2">C3</f>
        <v>1</v>
      </c>
      <c r="B3">
        <v>0</v>
      </c>
      <c r="C3" s="183">
        <v>1</v>
      </c>
      <c r="D3" s="2" t="s">
        <v>955</v>
      </c>
      <c r="E3" t="s">
        <v>830</v>
      </c>
      <c r="I3" t="str">
        <f>_xlfn.CONCAT(MID(M3,7,2),RIGHT(M3,2))</f>
        <v>1729</v>
      </c>
      <c r="J3" t="str">
        <f>_xlfn.CONCAT(MID(O3,7,2),RIGHT(O3,2))</f>
        <v>1800</v>
      </c>
      <c r="K3" s="9" t="str">
        <f>IF(H3="",_xlfn.CONCAT(E3," (",C3,"): ",I3),_xlfn.CONCAT(H3," (",C3,"): ",I3))</f>
        <v>William (1): 1729</v>
      </c>
      <c r="L3" s="8" t="s">
        <v>986</v>
      </c>
      <c r="M3" s="8" t="s">
        <v>986</v>
      </c>
      <c r="N3" t="s">
        <v>956</v>
      </c>
      <c r="O3" s="10" t="s">
        <v>957</v>
      </c>
      <c r="P3" s="12">
        <f t="shared" ref="P3:P34" si="3">C3</f>
        <v>1</v>
      </c>
      <c r="Q3" s="19" t="str">
        <f t="shared" ref="Q3:Q66" si="4">_xlfn.CONCAT(K3,"–",J3)</f>
        <v>William (1): 1729–1800</v>
      </c>
      <c r="R3" s="118">
        <v>0</v>
      </c>
      <c r="S3" s="15" t="str">
        <f>VLOOKUP(R3,$P$2:$Q$184,2,TRUE)</f>
        <v>Lewis (0): 1690–1758</v>
      </c>
      <c r="T3" s="38">
        <f>VLOOKUP(R3,$C$2:$AH$184,16,TRUE)</f>
        <v>-1</v>
      </c>
      <c r="U3" s="37" t="e">
        <f t="shared" si="0"/>
        <v>#N/A</v>
      </c>
      <c r="V3" s="27" t="e">
        <f>VLOOKUP(T3,$C$2:$AH$184,16,TRUE)</f>
        <v>#N/A</v>
      </c>
      <c r="W3" s="28" t="e">
        <f>VLOOKUP(V3,$P$2:$Q$184,2,TRUE)</f>
        <v>#N/A</v>
      </c>
      <c r="X3" s="39" t="e">
        <f t="shared" ref="X3:X66" si="5">VLOOKUP(V3,$C$2:$AH$184,16,TRUE)</f>
        <v>#N/A</v>
      </c>
      <c r="Y3" s="40" t="e">
        <f t="shared" ref="Y3:Y66" si="6">VLOOKUP(X3,$P$2:$Q$184,2,TRUE)</f>
        <v>#N/A</v>
      </c>
      <c r="Z3" s="29" t="e">
        <f t="shared" ref="Z3:Z66" si="7">VLOOKUP(X3,$C$2:$AH$184,16,TRUE)</f>
        <v>#N/A</v>
      </c>
      <c r="AA3" s="41" t="e">
        <f t="shared" ref="AA3:AA66" si="8">VLOOKUP(Z3,$P$2:$Q$184,2,TRUE)</f>
        <v>#N/A</v>
      </c>
      <c r="AB3" s="30" t="e">
        <f t="shared" ref="AB3:AB66" si="9">VLOOKUP(Z3,$C$2:$AH$184,16,TRUE)</f>
        <v>#N/A</v>
      </c>
      <c r="AC3" s="43" t="e">
        <f t="shared" ref="AC3:AC66" si="10">VLOOKUP(AB3,$P$2:$Q$184,2,TRUE)</f>
        <v>#N/A</v>
      </c>
      <c r="AD3" s="42" t="e">
        <f t="shared" ref="AD3:AD66" si="11">VLOOKUP(AB3,$C$2:$AH$184,16,TRUE)</f>
        <v>#N/A</v>
      </c>
      <c r="AE3" s="22" t="e">
        <f t="shared" ref="AE3:AE66" si="12">VLOOKUP(AD3,$P$2:$Q$184,2,TRUE)</f>
        <v>#N/A</v>
      </c>
      <c r="AF3" s="42" t="e">
        <f t="shared" ref="AF3:AF66" si="13">VLOOKUP(AD3,$C$2:$AH$184,16,TRUE)</f>
        <v>#N/A</v>
      </c>
      <c r="AG3" s="22" t="e">
        <f t="shared" ref="AG3:AG66" si="14">VLOOKUP(AF3,$P$2:$Q$184,2,TRUE)</f>
        <v>#N/A</v>
      </c>
      <c r="AH3" s="22" t="s">
        <v>2815</v>
      </c>
      <c r="AI3" s="33" t="s">
        <v>4366</v>
      </c>
      <c r="AJ3" s="264" t="str">
        <f>VLOOKUP(AI3,'Mums of Loyd Edit&amp;Partner Edit'!$B$4:$C$66,2,FALSE)</f>
        <v>Jane (b. , d. 26/11/1761)</v>
      </c>
      <c r="AK3" s="33">
        <f>IF(I3&lt;1900,VALUE(MID(M3,4,2)),VALUE(MID(L3,4,2)))</f>
        <v>9</v>
      </c>
      <c r="AL3" s="33">
        <f>VALUE(MID(L3,1,2))</f>
        <v>20</v>
      </c>
      <c r="AM3" s="144">
        <f>IF(O3="",7,VALUE(MID(O3,4,2)))</f>
        <v>5</v>
      </c>
      <c r="AN3" s="144">
        <f>IF(O3="",1,VALUE(MID(O3,1,2)))</f>
        <v>13</v>
      </c>
      <c r="AO3">
        <f t="shared" ref="AO3:AO34" si="15">IF(O3&lt;&gt;"",IF(AK3&gt;AM3,J3-I3-1,IF(AK3&lt;AM3,J3-I3,IF(AND(AK3=AM3,AN3&gt;=AL3),J3-I3,J3-I3-1))),AP3)</f>
        <v>70</v>
      </c>
      <c r="AP3" s="103">
        <f t="shared" ref="AP3:AP34" si="16">IF(AK3&gt;7,2022-I3-1,IF(AK3&lt;7,2022-I3,IF(AND(AK3=7,AL3&gt;=1),2022-I3-1,2022-I3)))</f>
        <v>292</v>
      </c>
      <c r="AQ3" s="33">
        <f t="shared" si="1"/>
        <v>1</v>
      </c>
    </row>
    <row r="4" spans="1:43" ht="20" thickBot="1">
      <c r="A4" s="33">
        <f t="shared" si="2"/>
        <v>2</v>
      </c>
      <c r="B4">
        <f>IF(R4=1,1,IF(T4=1,2,IF(V4=1,3,IF(X4=1,4,IF(Z4=1,5,IF(AB4=1,6,IF(AD4=1,7,8)))))))</f>
        <v>1</v>
      </c>
      <c r="C4" s="183">
        <v>2</v>
      </c>
      <c r="D4" s="2" t="s">
        <v>955</v>
      </c>
      <c r="E4" t="s">
        <v>922</v>
      </c>
      <c r="I4" t="str">
        <f t="shared" ref="I4:I67" si="17">_xlfn.CONCAT(MID(M4,7,2),RIGHT(M4,2))</f>
        <v>1765</v>
      </c>
      <c r="J4" t="str">
        <f t="shared" ref="J4:J51" si="18">_xlfn.CONCAT(MID(O4,7,2),RIGHT(O4,2))</f>
        <v>1832</v>
      </c>
      <c r="K4" s="9" t="str">
        <f>IF(H4="",_xlfn.CONCAT(E4," (",C4,"): ",I4),_xlfn.CONCAT(H4," (",C4,"): ",I4))</f>
        <v>Jane (2): 1765</v>
      </c>
      <c r="L4" s="8" t="s">
        <v>958</v>
      </c>
      <c r="M4" s="8" t="s">
        <v>958</v>
      </c>
      <c r="N4" t="s">
        <v>959</v>
      </c>
      <c r="O4" s="10" t="s">
        <v>960</v>
      </c>
      <c r="P4" s="13">
        <f t="shared" si="3"/>
        <v>2</v>
      </c>
      <c r="Q4" s="19" t="str">
        <f t="shared" si="4"/>
        <v>Jane (2): 1765–1832</v>
      </c>
      <c r="R4" s="119">
        <v>1</v>
      </c>
      <c r="S4" s="15" t="str">
        <f>VLOOKUP(R4,$P$2:$Q$184,2,TRUE)</f>
        <v>William (1): 1729–1800</v>
      </c>
      <c r="T4" s="38">
        <f t="shared" ref="T4:T67" si="19">VLOOKUP(R4,$C$2:$AH$184,16,TRUE)</f>
        <v>0</v>
      </c>
      <c r="U4" s="37" t="str">
        <f t="shared" si="0"/>
        <v>Lewis (0): 1690–1758</v>
      </c>
      <c r="V4" s="27">
        <f t="shared" ref="V4:V67" si="20">VLOOKUP(T4,$C$2:$AH$184,16,TRUE)</f>
        <v>-1</v>
      </c>
      <c r="W4" s="28" t="e">
        <f t="shared" ref="W4:W67" si="21">VLOOKUP(V4,$P$2:$Q$184,2,TRUE)</f>
        <v>#N/A</v>
      </c>
      <c r="X4" s="39" t="e">
        <f t="shared" si="5"/>
        <v>#N/A</v>
      </c>
      <c r="Y4" s="40" t="e">
        <f t="shared" si="6"/>
        <v>#N/A</v>
      </c>
      <c r="Z4" s="29" t="e">
        <f t="shared" si="7"/>
        <v>#N/A</v>
      </c>
      <c r="AA4" s="41" t="e">
        <f t="shared" si="8"/>
        <v>#N/A</v>
      </c>
      <c r="AB4" s="30" t="e">
        <f t="shared" si="9"/>
        <v>#N/A</v>
      </c>
      <c r="AC4" s="43" t="e">
        <f t="shared" si="10"/>
        <v>#N/A</v>
      </c>
      <c r="AD4" s="42" t="e">
        <f t="shared" si="11"/>
        <v>#N/A</v>
      </c>
      <c r="AE4" s="22" t="e">
        <f t="shared" si="12"/>
        <v>#N/A</v>
      </c>
      <c r="AF4" s="42" t="e">
        <f t="shared" si="13"/>
        <v>#N/A</v>
      </c>
      <c r="AG4" s="22" t="e">
        <f t="shared" si="14"/>
        <v>#N/A</v>
      </c>
      <c r="AH4" s="23" t="s">
        <v>2814</v>
      </c>
      <c r="AI4" s="33" t="s">
        <v>4367</v>
      </c>
      <c r="AJ4" s="264" t="str">
        <f>VLOOKUP(AI4,'Mums of Loyd Edit&amp;Partner Edit'!$B$4:$C$66,2,FALSE)</f>
        <v>Anne WILLIAM (b. 1738, d. 24 May 1801)</v>
      </c>
      <c r="AK4" s="33">
        <f t="shared" ref="AK4:AK67" si="22">IF(I4&lt;1900,VALUE(MID(M4,4,2)),VALUE(MID(L4,4,2)))</f>
        <v>10</v>
      </c>
      <c r="AL4" s="33">
        <f t="shared" ref="AL4:AL67" si="23">VALUE(MID(L4,1,2))</f>
        <v>29</v>
      </c>
      <c r="AM4" s="144">
        <f t="shared" ref="AM4:AM67" si="24">IF(O4="",7,VALUE(MID(O4,4,2)))</f>
        <v>5</v>
      </c>
      <c r="AN4" s="144">
        <f t="shared" ref="AN4:AN67" si="25">IF(O4="",1,VALUE(MID(O4,1,2)))</f>
        <v>11</v>
      </c>
      <c r="AO4">
        <f t="shared" si="15"/>
        <v>66</v>
      </c>
      <c r="AP4" s="103">
        <f t="shared" si="16"/>
        <v>256</v>
      </c>
      <c r="AQ4" s="33">
        <f t="shared" si="1"/>
        <v>2</v>
      </c>
    </row>
    <row r="5" spans="1:43" s="31" customFormat="1" ht="170" customHeight="1" thickBot="1">
      <c r="A5" s="97">
        <f t="shared" si="2"/>
        <v>3</v>
      </c>
      <c r="B5">
        <f t="shared" ref="B5:B68" si="26">IF(R5=1,1,IF(T5=1,2,IF(V5=1,3,IF(X5=1,4,IF(Z5=1,5,IF(AB5=1,6,IF(AD5=1,7,8)))))))</f>
        <v>1</v>
      </c>
      <c r="C5" s="269">
        <v>3</v>
      </c>
      <c r="D5" s="106" t="s">
        <v>782</v>
      </c>
      <c r="E5" s="31" t="s">
        <v>914</v>
      </c>
      <c r="H5" s="31" t="s">
        <v>4335</v>
      </c>
      <c r="I5" s="31" t="str">
        <f t="shared" si="17"/>
        <v>1768</v>
      </c>
      <c r="J5" s="31" t="str">
        <f t="shared" si="18"/>
        <v>1858</v>
      </c>
      <c r="K5" s="9" t="str">
        <f t="shared" ref="K5:K68" si="27">IF(H5="",_xlfn.CONCAT(E5," (",C5,"): ",I5),_xlfn.CONCAT(H5," (",C5,"): ",I5))</f>
        <v>Lewis LOYD (3): 1768</v>
      </c>
      <c r="L5" s="8" t="s">
        <v>961</v>
      </c>
      <c r="M5" s="107" t="s">
        <v>961</v>
      </c>
      <c r="N5" s="31" t="s">
        <v>962</v>
      </c>
      <c r="O5" s="10" t="s">
        <v>963</v>
      </c>
      <c r="P5" s="108">
        <f t="shared" si="3"/>
        <v>3</v>
      </c>
      <c r="Q5" s="19" t="str">
        <f t="shared" si="4"/>
        <v>Lewis LOYD (3): 1768–1858</v>
      </c>
      <c r="R5" s="120">
        <v>1</v>
      </c>
      <c r="S5" s="15" t="str">
        <f t="shared" ref="S5:S68" si="28">VLOOKUP(R5,$P$2:$Q$184,2,TRUE)</f>
        <v>William (1): 1729–1800</v>
      </c>
      <c r="T5" s="38">
        <f t="shared" si="19"/>
        <v>0</v>
      </c>
      <c r="U5" s="37" t="str">
        <f t="shared" si="0"/>
        <v>Lewis (0): 1690–1758</v>
      </c>
      <c r="V5" s="27">
        <f t="shared" si="20"/>
        <v>-1</v>
      </c>
      <c r="W5" s="28" t="e">
        <f t="shared" si="21"/>
        <v>#N/A</v>
      </c>
      <c r="X5" s="39" t="e">
        <f t="shared" si="5"/>
        <v>#N/A</v>
      </c>
      <c r="Y5" s="40" t="e">
        <f t="shared" si="6"/>
        <v>#N/A</v>
      </c>
      <c r="Z5" s="29" t="e">
        <f t="shared" si="7"/>
        <v>#N/A</v>
      </c>
      <c r="AA5" s="41" t="e">
        <f t="shared" si="8"/>
        <v>#N/A</v>
      </c>
      <c r="AB5" s="30" t="e">
        <f t="shared" si="9"/>
        <v>#N/A</v>
      </c>
      <c r="AC5" s="43" t="e">
        <f t="shared" si="10"/>
        <v>#N/A</v>
      </c>
      <c r="AD5" s="42" t="e">
        <f t="shared" si="11"/>
        <v>#N/A</v>
      </c>
      <c r="AE5" s="22" t="e">
        <f t="shared" si="12"/>
        <v>#N/A</v>
      </c>
      <c r="AF5" s="42" t="e">
        <f t="shared" si="13"/>
        <v>#N/A</v>
      </c>
      <c r="AG5" s="22" t="e">
        <f t="shared" si="14"/>
        <v>#N/A</v>
      </c>
      <c r="AH5" s="109" t="s">
        <v>2815</v>
      </c>
      <c r="AI5" s="33" t="s">
        <v>4367</v>
      </c>
      <c r="AJ5" s="264" t="str">
        <f>VLOOKUP(AI5,'Mums of Loyd Edit&amp;Partner Edit'!$B$4:$C$66,2,FALSE)</f>
        <v>Anne WILLIAM (b. 1738, d. 24 May 1801)</v>
      </c>
      <c r="AK5" s="33">
        <f t="shared" si="22"/>
        <v>1</v>
      </c>
      <c r="AL5" s="33">
        <f t="shared" si="23"/>
        <v>1</v>
      </c>
      <c r="AM5" s="144">
        <f t="shared" si="24"/>
        <v>5</v>
      </c>
      <c r="AN5" s="144">
        <f t="shared" si="25"/>
        <v>13</v>
      </c>
      <c r="AO5">
        <f t="shared" si="15"/>
        <v>90</v>
      </c>
      <c r="AP5" s="103">
        <f t="shared" si="16"/>
        <v>254</v>
      </c>
      <c r="AQ5" s="33">
        <f t="shared" si="1"/>
        <v>3</v>
      </c>
    </row>
    <row r="6" spans="1:43" ht="20" thickBot="1">
      <c r="A6" s="33">
        <f t="shared" si="2"/>
        <v>4</v>
      </c>
      <c r="B6">
        <f t="shared" si="26"/>
        <v>1</v>
      </c>
      <c r="C6" s="183">
        <v>4</v>
      </c>
      <c r="D6" s="2" t="s">
        <v>782</v>
      </c>
      <c r="E6" t="s">
        <v>830</v>
      </c>
      <c r="I6" t="str">
        <f t="shared" si="17"/>
        <v>1770</v>
      </c>
      <c r="J6" t="str">
        <f t="shared" si="18"/>
        <v>1828</v>
      </c>
      <c r="K6" s="9" t="str">
        <f t="shared" si="27"/>
        <v>William (4): 1770</v>
      </c>
      <c r="L6" s="8" t="s">
        <v>964</v>
      </c>
      <c r="M6" s="8" t="s">
        <v>964</v>
      </c>
      <c r="N6" t="s">
        <v>965</v>
      </c>
      <c r="O6" s="10" t="s">
        <v>1002</v>
      </c>
      <c r="P6" s="13">
        <f t="shared" si="3"/>
        <v>4</v>
      </c>
      <c r="Q6" s="19" t="str">
        <f t="shared" si="4"/>
        <v>William (4): 1770–1828</v>
      </c>
      <c r="R6" s="120">
        <v>1</v>
      </c>
      <c r="S6" s="15" t="str">
        <f t="shared" si="28"/>
        <v>William (1): 1729–1800</v>
      </c>
      <c r="T6" s="38">
        <f t="shared" si="19"/>
        <v>0</v>
      </c>
      <c r="U6" s="37" t="str">
        <f t="shared" si="0"/>
        <v>Lewis (0): 1690–1758</v>
      </c>
      <c r="V6" s="27">
        <f t="shared" si="20"/>
        <v>-1</v>
      </c>
      <c r="W6" s="28" t="e">
        <f t="shared" si="21"/>
        <v>#N/A</v>
      </c>
      <c r="X6" s="39" t="e">
        <f t="shared" si="5"/>
        <v>#N/A</v>
      </c>
      <c r="Y6" s="40" t="e">
        <f t="shared" si="6"/>
        <v>#N/A</v>
      </c>
      <c r="Z6" s="29" t="e">
        <f t="shared" si="7"/>
        <v>#N/A</v>
      </c>
      <c r="AA6" s="41" t="e">
        <f t="shared" si="8"/>
        <v>#N/A</v>
      </c>
      <c r="AB6" s="30" t="e">
        <f t="shared" si="9"/>
        <v>#N/A</v>
      </c>
      <c r="AC6" s="43" t="e">
        <f t="shared" si="10"/>
        <v>#N/A</v>
      </c>
      <c r="AD6" s="42" t="e">
        <f t="shared" si="11"/>
        <v>#N/A</v>
      </c>
      <c r="AE6" s="22" t="e">
        <f t="shared" si="12"/>
        <v>#N/A</v>
      </c>
      <c r="AF6" s="42" t="e">
        <f t="shared" si="13"/>
        <v>#N/A</v>
      </c>
      <c r="AG6" s="22" t="e">
        <f t="shared" si="14"/>
        <v>#N/A</v>
      </c>
      <c r="AH6" s="23" t="s">
        <v>2815</v>
      </c>
      <c r="AI6" s="33" t="s">
        <v>4367</v>
      </c>
      <c r="AJ6" s="264" t="str">
        <f>VLOOKUP(AI6,'Mums of Loyd Edit&amp;Partner Edit'!$B$4:$C$66,2,FALSE)</f>
        <v>Anne WILLIAM (b. 1738, d. 24 May 1801)</v>
      </c>
      <c r="AK6" s="33">
        <f t="shared" si="22"/>
        <v>5</v>
      </c>
      <c r="AL6" s="33">
        <f t="shared" si="23"/>
        <v>7</v>
      </c>
      <c r="AM6" s="144">
        <f t="shared" si="24"/>
        <v>2</v>
      </c>
      <c r="AN6" s="144">
        <f t="shared" si="25"/>
        <v>4</v>
      </c>
      <c r="AO6">
        <f t="shared" si="15"/>
        <v>57</v>
      </c>
      <c r="AP6" s="103">
        <f t="shared" si="16"/>
        <v>252</v>
      </c>
      <c r="AQ6" s="33">
        <f t="shared" si="1"/>
        <v>4</v>
      </c>
    </row>
    <row r="7" spans="1:43" ht="20" thickBot="1">
      <c r="A7" s="33">
        <f t="shared" si="2"/>
        <v>5</v>
      </c>
      <c r="B7">
        <f t="shared" si="26"/>
        <v>1</v>
      </c>
      <c r="C7" s="183">
        <v>5</v>
      </c>
      <c r="D7" s="2" t="s">
        <v>955</v>
      </c>
      <c r="E7" t="s">
        <v>867</v>
      </c>
      <c r="I7" t="str">
        <f t="shared" si="17"/>
        <v>1772</v>
      </c>
      <c r="J7" t="str">
        <f t="shared" si="18"/>
        <v>1798</v>
      </c>
      <c r="K7" s="9" t="str">
        <f t="shared" si="27"/>
        <v>Catherine (5): 1772</v>
      </c>
      <c r="L7" s="8" t="s">
        <v>967</v>
      </c>
      <c r="M7" s="8" t="s">
        <v>967</v>
      </c>
      <c r="N7" s="105" t="s">
        <v>2793</v>
      </c>
      <c r="O7" s="10" t="s">
        <v>968</v>
      </c>
      <c r="P7" s="13">
        <f t="shared" si="3"/>
        <v>5</v>
      </c>
      <c r="Q7" s="19" t="str">
        <f t="shared" si="4"/>
        <v>Catherine (5): 1772–1798</v>
      </c>
      <c r="R7" s="120">
        <v>1</v>
      </c>
      <c r="S7" s="15" t="str">
        <f t="shared" si="28"/>
        <v>William (1): 1729–1800</v>
      </c>
      <c r="T7" s="38">
        <f t="shared" si="19"/>
        <v>0</v>
      </c>
      <c r="U7" s="37" t="str">
        <f t="shared" si="0"/>
        <v>Lewis (0): 1690–1758</v>
      </c>
      <c r="V7" s="27">
        <f t="shared" si="20"/>
        <v>-1</v>
      </c>
      <c r="W7" s="28" t="e">
        <f t="shared" si="21"/>
        <v>#N/A</v>
      </c>
      <c r="X7" s="39" t="e">
        <f t="shared" si="5"/>
        <v>#N/A</v>
      </c>
      <c r="Y7" s="40" t="e">
        <f t="shared" si="6"/>
        <v>#N/A</v>
      </c>
      <c r="Z7" s="29" t="e">
        <f t="shared" si="7"/>
        <v>#N/A</v>
      </c>
      <c r="AA7" s="41" t="e">
        <f t="shared" si="8"/>
        <v>#N/A</v>
      </c>
      <c r="AB7" s="30" t="e">
        <f t="shared" si="9"/>
        <v>#N/A</v>
      </c>
      <c r="AC7" s="43" t="e">
        <f t="shared" si="10"/>
        <v>#N/A</v>
      </c>
      <c r="AD7" s="42" t="e">
        <f t="shared" si="11"/>
        <v>#N/A</v>
      </c>
      <c r="AE7" s="22" t="e">
        <f t="shared" si="12"/>
        <v>#N/A</v>
      </c>
      <c r="AF7" s="42" t="e">
        <f t="shared" si="13"/>
        <v>#N/A</v>
      </c>
      <c r="AG7" s="22" t="e">
        <f t="shared" si="14"/>
        <v>#N/A</v>
      </c>
      <c r="AH7" s="23" t="s">
        <v>2814</v>
      </c>
      <c r="AI7" s="33" t="s">
        <v>4367</v>
      </c>
      <c r="AJ7" s="264" t="str">
        <f>VLOOKUP(AI7,'Mums of Loyd Edit&amp;Partner Edit'!$B$4:$C$66,2,FALSE)</f>
        <v>Anne WILLIAM (b. 1738, d. 24 May 1801)</v>
      </c>
      <c r="AK7" s="33">
        <f t="shared" si="22"/>
        <v>2</v>
      </c>
      <c r="AL7" s="33">
        <f t="shared" si="23"/>
        <v>19</v>
      </c>
      <c r="AM7" s="144">
        <f t="shared" si="24"/>
        <v>12</v>
      </c>
      <c r="AN7" s="144">
        <f t="shared" si="25"/>
        <v>9</v>
      </c>
      <c r="AO7">
        <f t="shared" si="15"/>
        <v>26</v>
      </c>
      <c r="AP7" s="103">
        <f t="shared" si="16"/>
        <v>250</v>
      </c>
      <c r="AQ7" s="33">
        <f t="shared" si="1"/>
        <v>5</v>
      </c>
    </row>
    <row r="8" spans="1:43" ht="20" thickBot="1">
      <c r="A8" s="33">
        <f t="shared" si="2"/>
        <v>6</v>
      </c>
      <c r="B8">
        <f t="shared" si="26"/>
        <v>1</v>
      </c>
      <c r="C8" s="183">
        <v>6</v>
      </c>
      <c r="D8" s="2" t="s">
        <v>782</v>
      </c>
      <c r="E8" t="s">
        <v>852</v>
      </c>
      <c r="I8" t="str">
        <f t="shared" si="17"/>
        <v>1775</v>
      </c>
      <c r="J8" t="str">
        <f t="shared" si="18"/>
        <v>1853</v>
      </c>
      <c r="K8" s="9" t="str">
        <f t="shared" si="27"/>
        <v>Thomas (6): 1775</v>
      </c>
      <c r="L8" s="8" t="s">
        <v>969</v>
      </c>
      <c r="M8" s="8" t="s">
        <v>969</v>
      </c>
      <c r="N8" s="105" t="s">
        <v>2793</v>
      </c>
      <c r="O8" s="10" t="s">
        <v>970</v>
      </c>
      <c r="P8" s="13">
        <f t="shared" si="3"/>
        <v>6</v>
      </c>
      <c r="Q8" s="19" t="str">
        <f t="shared" si="4"/>
        <v>Thomas (6): 1775–1853</v>
      </c>
      <c r="R8" s="120">
        <v>1</v>
      </c>
      <c r="S8" s="15" t="str">
        <f t="shared" si="28"/>
        <v>William (1): 1729–1800</v>
      </c>
      <c r="T8" s="38">
        <f t="shared" si="19"/>
        <v>0</v>
      </c>
      <c r="U8" s="37" t="str">
        <f t="shared" si="0"/>
        <v>Lewis (0): 1690–1758</v>
      </c>
      <c r="V8" s="27">
        <f t="shared" si="20"/>
        <v>-1</v>
      </c>
      <c r="W8" s="28" t="e">
        <f t="shared" si="21"/>
        <v>#N/A</v>
      </c>
      <c r="X8" s="39" t="e">
        <f t="shared" si="5"/>
        <v>#N/A</v>
      </c>
      <c r="Y8" s="40" t="e">
        <f t="shared" si="6"/>
        <v>#N/A</v>
      </c>
      <c r="Z8" s="29" t="e">
        <f t="shared" si="7"/>
        <v>#N/A</v>
      </c>
      <c r="AA8" s="41" t="e">
        <f t="shared" si="8"/>
        <v>#N/A</v>
      </c>
      <c r="AB8" s="30" t="e">
        <f t="shared" si="9"/>
        <v>#N/A</v>
      </c>
      <c r="AC8" s="43" t="e">
        <f t="shared" si="10"/>
        <v>#N/A</v>
      </c>
      <c r="AD8" s="42" t="e">
        <f t="shared" si="11"/>
        <v>#N/A</v>
      </c>
      <c r="AE8" s="22" t="e">
        <f t="shared" si="12"/>
        <v>#N/A</v>
      </c>
      <c r="AF8" s="42" t="e">
        <f t="shared" si="13"/>
        <v>#N/A</v>
      </c>
      <c r="AG8" s="22" t="e">
        <f t="shared" si="14"/>
        <v>#N/A</v>
      </c>
      <c r="AH8" s="23" t="s">
        <v>2815</v>
      </c>
      <c r="AI8" s="33" t="s">
        <v>4367</v>
      </c>
      <c r="AJ8" s="264" t="str">
        <f>VLOOKUP(AI8,'Mums of Loyd Edit&amp;Partner Edit'!$B$4:$C$66,2,FALSE)</f>
        <v>Anne WILLIAM (b. 1738, d. 24 May 1801)</v>
      </c>
      <c r="AK8" s="33">
        <f t="shared" si="22"/>
        <v>6</v>
      </c>
      <c r="AL8" s="33">
        <f t="shared" si="23"/>
        <v>5</v>
      </c>
      <c r="AM8" s="144">
        <f t="shared" si="24"/>
        <v>1</v>
      </c>
      <c r="AN8" s="144">
        <f t="shared" si="25"/>
        <v>28</v>
      </c>
      <c r="AO8">
        <f t="shared" si="15"/>
        <v>77</v>
      </c>
      <c r="AP8" s="103">
        <f t="shared" si="16"/>
        <v>247</v>
      </c>
      <c r="AQ8" s="33">
        <f t="shared" si="1"/>
        <v>6</v>
      </c>
    </row>
    <row r="9" spans="1:43" ht="20" thickBot="1">
      <c r="A9" s="33">
        <f t="shared" si="2"/>
        <v>7</v>
      </c>
      <c r="B9">
        <f t="shared" si="26"/>
        <v>1</v>
      </c>
      <c r="C9" s="183">
        <v>7</v>
      </c>
      <c r="D9" s="2" t="s">
        <v>955</v>
      </c>
      <c r="E9" t="s">
        <v>987</v>
      </c>
      <c r="I9" t="str">
        <f t="shared" si="17"/>
        <v>1777</v>
      </c>
      <c r="J9" t="str">
        <f t="shared" si="18"/>
        <v>1779</v>
      </c>
      <c r="K9" s="9" t="str">
        <f t="shared" si="27"/>
        <v>Gwenllian (7): 1777</v>
      </c>
      <c r="L9" s="8" t="s">
        <v>988</v>
      </c>
      <c r="M9" s="8" t="s">
        <v>988</v>
      </c>
      <c r="N9" s="105" t="s">
        <v>2793</v>
      </c>
      <c r="O9" s="10" t="s">
        <v>1197</v>
      </c>
      <c r="P9" s="13">
        <f t="shared" si="3"/>
        <v>7</v>
      </c>
      <c r="Q9" s="19" t="str">
        <f t="shared" si="4"/>
        <v>Gwenllian (7): 1777–1779</v>
      </c>
      <c r="R9" s="120">
        <v>1</v>
      </c>
      <c r="S9" s="15" t="str">
        <f t="shared" si="28"/>
        <v>William (1): 1729–1800</v>
      </c>
      <c r="T9" s="38">
        <f t="shared" si="19"/>
        <v>0</v>
      </c>
      <c r="U9" s="37" t="str">
        <f t="shared" si="0"/>
        <v>Lewis (0): 1690–1758</v>
      </c>
      <c r="V9" s="27">
        <f t="shared" si="20"/>
        <v>-1</v>
      </c>
      <c r="W9" s="28" t="e">
        <f t="shared" si="21"/>
        <v>#N/A</v>
      </c>
      <c r="X9" s="39" t="e">
        <f t="shared" si="5"/>
        <v>#N/A</v>
      </c>
      <c r="Y9" s="40" t="e">
        <f t="shared" si="6"/>
        <v>#N/A</v>
      </c>
      <c r="Z9" s="29" t="e">
        <f t="shared" si="7"/>
        <v>#N/A</v>
      </c>
      <c r="AA9" s="41" t="e">
        <f t="shared" si="8"/>
        <v>#N/A</v>
      </c>
      <c r="AB9" s="30" t="e">
        <f t="shared" si="9"/>
        <v>#N/A</v>
      </c>
      <c r="AC9" s="43" t="e">
        <f t="shared" si="10"/>
        <v>#N/A</v>
      </c>
      <c r="AD9" s="42" t="e">
        <f t="shared" si="11"/>
        <v>#N/A</v>
      </c>
      <c r="AE9" s="22" t="e">
        <f t="shared" si="12"/>
        <v>#N/A</v>
      </c>
      <c r="AF9" s="42" t="e">
        <f t="shared" si="13"/>
        <v>#N/A</v>
      </c>
      <c r="AG9" s="22" t="e">
        <f t="shared" si="14"/>
        <v>#N/A</v>
      </c>
      <c r="AH9" s="23" t="s">
        <v>2814</v>
      </c>
      <c r="AI9" s="33" t="s">
        <v>4367</v>
      </c>
      <c r="AJ9" s="264" t="str">
        <f>VLOOKUP(AI9,'Mums of Loyd Edit&amp;Partner Edit'!$B$4:$C$66,2,FALSE)</f>
        <v>Anne WILLIAM (b. 1738, d. 24 May 1801)</v>
      </c>
      <c r="AK9" s="33">
        <f t="shared" si="22"/>
        <v>10</v>
      </c>
      <c r="AL9" s="33">
        <f t="shared" si="23"/>
        <v>19</v>
      </c>
      <c r="AM9" s="144">
        <f t="shared" si="24"/>
        <v>10</v>
      </c>
      <c r="AN9" s="144">
        <f t="shared" si="25"/>
        <v>12</v>
      </c>
      <c r="AO9">
        <f t="shared" si="15"/>
        <v>1</v>
      </c>
      <c r="AP9" s="103">
        <f t="shared" si="16"/>
        <v>244</v>
      </c>
      <c r="AQ9" s="33">
        <f t="shared" si="1"/>
        <v>7</v>
      </c>
    </row>
    <row r="10" spans="1:43" ht="173" customHeight="1" thickBot="1">
      <c r="A10" s="33">
        <f t="shared" si="2"/>
        <v>8</v>
      </c>
      <c r="B10">
        <f t="shared" si="26"/>
        <v>1</v>
      </c>
      <c r="C10" s="183">
        <v>8</v>
      </c>
      <c r="D10" s="2" t="s">
        <v>782</v>
      </c>
      <c r="E10" t="s">
        <v>811</v>
      </c>
      <c r="I10" t="str">
        <f t="shared" si="17"/>
        <v>1780</v>
      </c>
      <c r="J10" t="str">
        <f t="shared" si="18"/>
        <v>1863</v>
      </c>
      <c r="K10" s="9" t="str">
        <f t="shared" si="27"/>
        <v>Edward (8): 1780</v>
      </c>
      <c r="L10" s="8" t="s">
        <v>989</v>
      </c>
      <c r="M10" s="8" t="s">
        <v>989</v>
      </c>
      <c r="N10" t="s">
        <v>990</v>
      </c>
      <c r="O10" s="10" t="s">
        <v>991</v>
      </c>
      <c r="P10" s="13">
        <f t="shared" si="3"/>
        <v>8</v>
      </c>
      <c r="Q10" s="19" t="str">
        <f t="shared" si="4"/>
        <v>Edward (8): 1780–1863</v>
      </c>
      <c r="R10" s="120">
        <v>1</v>
      </c>
      <c r="S10" s="15" t="str">
        <f t="shared" si="28"/>
        <v>William (1): 1729–1800</v>
      </c>
      <c r="T10" s="38">
        <f t="shared" si="19"/>
        <v>0</v>
      </c>
      <c r="U10" s="37" t="str">
        <f t="shared" si="0"/>
        <v>Lewis (0): 1690–1758</v>
      </c>
      <c r="V10" s="27">
        <f t="shared" si="20"/>
        <v>-1</v>
      </c>
      <c r="W10" s="28" t="e">
        <f t="shared" si="21"/>
        <v>#N/A</v>
      </c>
      <c r="X10" s="39" t="e">
        <f t="shared" si="5"/>
        <v>#N/A</v>
      </c>
      <c r="Y10" s="40" t="e">
        <f t="shared" si="6"/>
        <v>#N/A</v>
      </c>
      <c r="Z10" s="29" t="e">
        <f t="shared" si="7"/>
        <v>#N/A</v>
      </c>
      <c r="AA10" s="41" t="e">
        <f t="shared" si="8"/>
        <v>#N/A</v>
      </c>
      <c r="AB10" s="30" t="e">
        <f t="shared" si="9"/>
        <v>#N/A</v>
      </c>
      <c r="AC10" s="43" t="e">
        <f t="shared" si="10"/>
        <v>#N/A</v>
      </c>
      <c r="AD10" s="42" t="e">
        <f t="shared" si="11"/>
        <v>#N/A</v>
      </c>
      <c r="AE10" s="22" t="e">
        <f t="shared" si="12"/>
        <v>#N/A</v>
      </c>
      <c r="AF10" s="42" t="e">
        <f t="shared" si="13"/>
        <v>#N/A</v>
      </c>
      <c r="AG10" s="22" t="e">
        <f t="shared" si="14"/>
        <v>#N/A</v>
      </c>
      <c r="AH10" s="23" t="s">
        <v>2815</v>
      </c>
      <c r="AI10" s="33" t="s">
        <v>4367</v>
      </c>
      <c r="AJ10" s="264" t="str">
        <f>VLOOKUP(AI10,'Mums of Loyd Edit&amp;Partner Edit'!$B$4:$C$66,2,FALSE)</f>
        <v>Anne WILLIAM (b. 1738, d. 24 May 1801)</v>
      </c>
      <c r="AK10" s="33">
        <f t="shared" si="22"/>
        <v>1</v>
      </c>
      <c r="AL10" s="33">
        <f t="shared" si="23"/>
        <v>30</v>
      </c>
      <c r="AM10" s="144">
        <f t="shared" si="24"/>
        <v>1</v>
      </c>
      <c r="AN10" s="144">
        <f t="shared" si="25"/>
        <v>30</v>
      </c>
      <c r="AO10">
        <f t="shared" si="15"/>
        <v>83</v>
      </c>
      <c r="AP10" s="103">
        <f t="shared" si="16"/>
        <v>242</v>
      </c>
      <c r="AQ10" s="33">
        <f t="shared" si="1"/>
        <v>8</v>
      </c>
    </row>
    <row r="11" spans="1:43" ht="409" customHeight="1" thickBot="1">
      <c r="A11" s="33">
        <f t="shared" si="2"/>
        <v>9</v>
      </c>
      <c r="B11">
        <f t="shared" si="26"/>
        <v>2</v>
      </c>
      <c r="C11" s="183">
        <v>9</v>
      </c>
      <c r="D11" s="2" t="s">
        <v>782</v>
      </c>
      <c r="E11" t="s">
        <v>978</v>
      </c>
      <c r="F11" t="s">
        <v>992</v>
      </c>
      <c r="I11" t="str">
        <f t="shared" si="17"/>
        <v>1796</v>
      </c>
      <c r="J11" t="str">
        <f t="shared" si="18"/>
        <v>1883</v>
      </c>
      <c r="K11" s="9" t="str">
        <f t="shared" si="27"/>
        <v>Samuel (9): 1796</v>
      </c>
      <c r="L11" s="8" t="s">
        <v>993</v>
      </c>
      <c r="M11" s="8" t="s">
        <v>993</v>
      </c>
      <c r="N11" t="s">
        <v>995</v>
      </c>
      <c r="O11" s="10" t="s">
        <v>994</v>
      </c>
      <c r="P11" s="13">
        <f t="shared" si="3"/>
        <v>9</v>
      </c>
      <c r="Q11" s="19" t="str">
        <f t="shared" si="4"/>
        <v>Samuel (9): 1796–1883</v>
      </c>
      <c r="R11" s="120">
        <v>3</v>
      </c>
      <c r="S11" s="15" t="str">
        <f t="shared" si="28"/>
        <v>Lewis LOYD (3): 1768–1858</v>
      </c>
      <c r="T11" s="38">
        <f t="shared" si="19"/>
        <v>1</v>
      </c>
      <c r="U11" s="37" t="str">
        <f t="shared" si="0"/>
        <v>William (1): 1729–1800</v>
      </c>
      <c r="V11" s="27">
        <f t="shared" si="20"/>
        <v>0</v>
      </c>
      <c r="W11" s="28" t="str">
        <f t="shared" si="21"/>
        <v>Lewis (0): 1690–1758</v>
      </c>
      <c r="X11" s="39">
        <f t="shared" si="5"/>
        <v>-1</v>
      </c>
      <c r="Y11" s="40" t="e">
        <f t="shared" si="6"/>
        <v>#N/A</v>
      </c>
      <c r="Z11" s="29" t="e">
        <f t="shared" si="7"/>
        <v>#N/A</v>
      </c>
      <c r="AA11" s="41" t="e">
        <f t="shared" si="8"/>
        <v>#N/A</v>
      </c>
      <c r="AB11" s="30" t="e">
        <f t="shared" si="9"/>
        <v>#N/A</v>
      </c>
      <c r="AC11" s="43" t="e">
        <f t="shared" si="10"/>
        <v>#N/A</v>
      </c>
      <c r="AD11" s="42" t="e">
        <f t="shared" si="11"/>
        <v>#N/A</v>
      </c>
      <c r="AE11" s="22" t="e">
        <f t="shared" si="12"/>
        <v>#N/A</v>
      </c>
      <c r="AF11" s="42" t="e">
        <f t="shared" si="13"/>
        <v>#N/A</v>
      </c>
      <c r="AG11" s="22" t="e">
        <f t="shared" si="14"/>
        <v>#N/A</v>
      </c>
      <c r="AH11" s="23" t="s">
        <v>2815</v>
      </c>
      <c r="AI11" s="33" t="s">
        <v>4368</v>
      </c>
      <c r="AJ11" s="264" t="str">
        <f>VLOOKUP(AI11,'Mums of Loyd Edit&amp;Partner Edit'!$B$4:$C$66,2,FALSE)</f>
        <v>Sarah  JONES (b. 9 Sep 1759, d. 1 Oct 1821)</v>
      </c>
      <c r="AK11" s="33">
        <f t="shared" si="22"/>
        <v>9</v>
      </c>
      <c r="AL11" s="33">
        <f t="shared" si="23"/>
        <v>25</v>
      </c>
      <c r="AM11" s="144">
        <f t="shared" si="24"/>
        <v>11</v>
      </c>
      <c r="AN11" s="144">
        <f t="shared" si="25"/>
        <v>17</v>
      </c>
      <c r="AO11">
        <f t="shared" si="15"/>
        <v>87</v>
      </c>
      <c r="AP11" s="103">
        <f t="shared" si="16"/>
        <v>225</v>
      </c>
      <c r="AQ11" s="33">
        <f t="shared" si="1"/>
        <v>9</v>
      </c>
    </row>
    <row r="12" spans="1:43" ht="20" thickBot="1">
      <c r="A12" s="33">
        <f t="shared" si="2"/>
        <v>10</v>
      </c>
      <c r="B12">
        <f t="shared" si="26"/>
        <v>2</v>
      </c>
      <c r="C12" s="183">
        <v>10</v>
      </c>
      <c r="D12" s="2" t="s">
        <v>782</v>
      </c>
      <c r="E12" t="s">
        <v>830</v>
      </c>
      <c r="F12" t="s">
        <v>819</v>
      </c>
      <c r="I12" t="str">
        <f t="shared" si="17"/>
        <v>1809</v>
      </c>
      <c r="J12" t="str">
        <f t="shared" si="18"/>
        <v>1879</v>
      </c>
      <c r="K12" s="9" t="str">
        <f t="shared" si="27"/>
        <v>William (10): 1809</v>
      </c>
      <c r="L12" s="8" t="s">
        <v>996</v>
      </c>
      <c r="M12" s="8" t="s">
        <v>996</v>
      </c>
      <c r="N12" t="s">
        <v>2793</v>
      </c>
      <c r="O12" s="10" t="s">
        <v>997</v>
      </c>
      <c r="P12" s="13">
        <f t="shared" si="3"/>
        <v>10</v>
      </c>
      <c r="Q12" s="19" t="str">
        <f t="shared" si="4"/>
        <v>William (10): 1809–1879</v>
      </c>
      <c r="R12" s="120">
        <v>4</v>
      </c>
      <c r="S12" s="15" t="str">
        <f t="shared" si="28"/>
        <v>William (4): 1770–1828</v>
      </c>
      <c r="T12" s="38">
        <f t="shared" si="19"/>
        <v>1</v>
      </c>
      <c r="U12" s="37" t="str">
        <f t="shared" si="0"/>
        <v>William (1): 1729–1800</v>
      </c>
      <c r="V12" s="27">
        <f t="shared" si="20"/>
        <v>0</v>
      </c>
      <c r="W12" s="28" t="str">
        <f t="shared" si="21"/>
        <v>Lewis (0): 1690–1758</v>
      </c>
      <c r="X12" s="39">
        <f t="shared" si="5"/>
        <v>-1</v>
      </c>
      <c r="Y12" s="40" t="e">
        <f t="shared" si="6"/>
        <v>#N/A</v>
      </c>
      <c r="Z12" s="29" t="e">
        <f t="shared" si="7"/>
        <v>#N/A</v>
      </c>
      <c r="AA12" s="41" t="e">
        <f t="shared" si="8"/>
        <v>#N/A</v>
      </c>
      <c r="AB12" s="30" t="e">
        <f t="shared" si="9"/>
        <v>#N/A</v>
      </c>
      <c r="AC12" s="43" t="e">
        <f t="shared" si="10"/>
        <v>#N/A</v>
      </c>
      <c r="AD12" s="42" t="e">
        <f t="shared" si="11"/>
        <v>#N/A</v>
      </c>
      <c r="AE12" s="22" t="e">
        <f t="shared" si="12"/>
        <v>#N/A</v>
      </c>
      <c r="AF12" s="42" t="e">
        <f t="shared" si="13"/>
        <v>#N/A</v>
      </c>
      <c r="AG12" s="22" t="e">
        <f t="shared" si="14"/>
        <v>#N/A</v>
      </c>
      <c r="AH12" s="23" t="s">
        <v>2815</v>
      </c>
      <c r="AI12" s="33" t="s">
        <v>4369</v>
      </c>
      <c r="AJ12" s="264" t="str">
        <f>VLOOKUP(AI12,'Mums of Loyd Edit&amp;Partner Edit'!$B$4:$C$66,2,FALSE)</f>
        <v>Martha KIRKMAN (b. 17 Nov 1775, d. 4 Feb 1857)</v>
      </c>
      <c r="AK12" s="33">
        <f t="shared" si="22"/>
        <v>10</v>
      </c>
      <c r="AL12" s="33">
        <f t="shared" si="23"/>
        <v>9</v>
      </c>
      <c r="AM12" s="144">
        <f t="shared" si="24"/>
        <v>6</v>
      </c>
      <c r="AN12" s="144">
        <f t="shared" si="25"/>
        <v>14</v>
      </c>
      <c r="AO12">
        <f t="shared" si="15"/>
        <v>69</v>
      </c>
      <c r="AP12" s="103">
        <f t="shared" si="16"/>
        <v>212</v>
      </c>
      <c r="AQ12" s="33">
        <f t="shared" si="1"/>
        <v>10</v>
      </c>
    </row>
    <row r="13" spans="1:43" ht="20" thickBot="1">
      <c r="A13" s="33">
        <f t="shared" si="2"/>
        <v>11</v>
      </c>
      <c r="B13">
        <f t="shared" si="26"/>
        <v>2</v>
      </c>
      <c r="C13" s="183">
        <v>11</v>
      </c>
      <c r="D13" s="2" t="s">
        <v>782</v>
      </c>
      <c r="E13" t="s">
        <v>998</v>
      </c>
      <c r="I13" t="str">
        <f t="shared" si="17"/>
        <v>1810</v>
      </c>
      <c r="J13" t="str">
        <f t="shared" si="18"/>
        <v>1858</v>
      </c>
      <c r="K13" s="9" t="str">
        <f t="shared" si="27"/>
        <v>Sarah (11): 1810</v>
      </c>
      <c r="L13" s="8" t="s">
        <v>999</v>
      </c>
      <c r="M13" s="8" t="s">
        <v>999</v>
      </c>
      <c r="N13" t="s">
        <v>1000</v>
      </c>
      <c r="O13" s="10" t="s">
        <v>1001</v>
      </c>
      <c r="P13" s="13">
        <f t="shared" si="3"/>
        <v>11</v>
      </c>
      <c r="Q13" s="19" t="str">
        <f t="shared" si="4"/>
        <v>Sarah (11): 1810–1858</v>
      </c>
      <c r="R13" s="120">
        <v>8</v>
      </c>
      <c r="S13" s="15" t="str">
        <f t="shared" si="28"/>
        <v>Edward (8): 1780–1863</v>
      </c>
      <c r="T13" s="38">
        <f t="shared" si="19"/>
        <v>1</v>
      </c>
      <c r="U13" s="37" t="str">
        <f t="shared" si="0"/>
        <v>William (1): 1729–1800</v>
      </c>
      <c r="V13" s="27">
        <f t="shared" si="20"/>
        <v>0</v>
      </c>
      <c r="W13" s="28" t="str">
        <f t="shared" si="21"/>
        <v>Lewis (0): 1690–1758</v>
      </c>
      <c r="X13" s="39">
        <f t="shared" si="5"/>
        <v>-1</v>
      </c>
      <c r="Y13" s="40" t="e">
        <f t="shared" si="6"/>
        <v>#N/A</v>
      </c>
      <c r="Z13" s="29" t="e">
        <f t="shared" si="7"/>
        <v>#N/A</v>
      </c>
      <c r="AA13" s="41" t="e">
        <f t="shared" si="8"/>
        <v>#N/A</v>
      </c>
      <c r="AB13" s="30" t="e">
        <f t="shared" si="9"/>
        <v>#N/A</v>
      </c>
      <c r="AC13" s="43" t="e">
        <f t="shared" si="10"/>
        <v>#N/A</v>
      </c>
      <c r="AD13" s="42" t="e">
        <f t="shared" si="11"/>
        <v>#N/A</v>
      </c>
      <c r="AE13" s="22" t="e">
        <f t="shared" si="12"/>
        <v>#N/A</v>
      </c>
      <c r="AF13" s="42" t="e">
        <f t="shared" si="13"/>
        <v>#N/A</v>
      </c>
      <c r="AG13" s="22" t="e">
        <f t="shared" si="14"/>
        <v>#N/A</v>
      </c>
      <c r="AH13" s="23" t="s">
        <v>2814</v>
      </c>
      <c r="AI13" s="33" t="s">
        <v>4370</v>
      </c>
      <c r="AJ13" s="264" t="str">
        <f>VLOOKUP(AI13,'Mums of Loyd Edit&amp;Partner Edit'!$B$4:$C$66,2,FALSE)</f>
        <v>Sarah TAYLOR (b.5 Jul 1785, d. 19 Jan 1863)</v>
      </c>
      <c r="AK13" s="33">
        <f t="shared" si="22"/>
        <v>5</v>
      </c>
      <c r="AL13" s="33">
        <f t="shared" si="23"/>
        <v>30</v>
      </c>
      <c r="AM13" s="144">
        <f t="shared" si="24"/>
        <v>6</v>
      </c>
      <c r="AN13" s="144">
        <f t="shared" si="25"/>
        <v>15</v>
      </c>
      <c r="AO13">
        <f t="shared" si="15"/>
        <v>48</v>
      </c>
      <c r="AP13" s="103">
        <f t="shared" si="16"/>
        <v>212</v>
      </c>
      <c r="AQ13" s="33">
        <f t="shared" si="1"/>
        <v>11</v>
      </c>
    </row>
    <row r="14" spans="1:43" ht="20" thickBot="1">
      <c r="A14" s="33">
        <f t="shared" si="2"/>
        <v>12</v>
      </c>
      <c r="B14">
        <f t="shared" si="26"/>
        <v>2</v>
      </c>
      <c r="C14" s="183">
        <v>12</v>
      </c>
      <c r="D14" s="2" t="s">
        <v>782</v>
      </c>
      <c r="E14" t="s">
        <v>983</v>
      </c>
      <c r="I14" t="str">
        <f t="shared" si="17"/>
        <v>1810</v>
      </c>
      <c r="J14" t="str">
        <f t="shared" si="18"/>
        <v>1861</v>
      </c>
      <c r="K14" s="9" t="str">
        <f t="shared" si="27"/>
        <v>Eliza (12): 1810</v>
      </c>
      <c r="L14" s="8" t="s">
        <v>1003</v>
      </c>
      <c r="M14" s="8" t="s">
        <v>1003</v>
      </c>
      <c r="N14" t="s">
        <v>2793</v>
      </c>
      <c r="O14" s="10" t="s">
        <v>1004</v>
      </c>
      <c r="P14" s="13">
        <f t="shared" si="3"/>
        <v>12</v>
      </c>
      <c r="Q14" s="19" t="str">
        <f t="shared" si="4"/>
        <v>Eliza (12): 1810–1861</v>
      </c>
      <c r="R14" s="120">
        <v>4</v>
      </c>
      <c r="S14" s="15" t="str">
        <f t="shared" si="28"/>
        <v>William (4): 1770–1828</v>
      </c>
      <c r="T14" s="38">
        <f t="shared" si="19"/>
        <v>1</v>
      </c>
      <c r="U14" s="37" t="str">
        <f t="shared" si="0"/>
        <v>William (1): 1729–1800</v>
      </c>
      <c r="V14" s="27">
        <f t="shared" si="20"/>
        <v>0</v>
      </c>
      <c r="W14" s="28" t="str">
        <f t="shared" si="21"/>
        <v>Lewis (0): 1690–1758</v>
      </c>
      <c r="X14" s="39">
        <f t="shared" si="5"/>
        <v>-1</v>
      </c>
      <c r="Y14" s="40" t="e">
        <f t="shared" si="6"/>
        <v>#N/A</v>
      </c>
      <c r="Z14" s="29" t="e">
        <f t="shared" si="7"/>
        <v>#N/A</v>
      </c>
      <c r="AA14" s="41" t="e">
        <f t="shared" si="8"/>
        <v>#N/A</v>
      </c>
      <c r="AB14" s="30" t="e">
        <f t="shared" si="9"/>
        <v>#N/A</v>
      </c>
      <c r="AC14" s="43" t="e">
        <f t="shared" si="10"/>
        <v>#N/A</v>
      </c>
      <c r="AD14" s="42" t="e">
        <f t="shared" si="11"/>
        <v>#N/A</v>
      </c>
      <c r="AE14" s="22" t="e">
        <f t="shared" si="12"/>
        <v>#N/A</v>
      </c>
      <c r="AF14" s="42" t="e">
        <f t="shared" si="13"/>
        <v>#N/A</v>
      </c>
      <c r="AG14" s="22" t="e">
        <f t="shared" si="14"/>
        <v>#N/A</v>
      </c>
      <c r="AH14" s="23" t="s">
        <v>2814</v>
      </c>
      <c r="AI14" s="33" t="s">
        <v>4369</v>
      </c>
      <c r="AJ14" s="264" t="str">
        <f>VLOOKUP(AI14,'Mums of Loyd Edit&amp;Partner Edit'!$B$4:$C$66,2,FALSE)</f>
        <v>Martha KIRKMAN (b. 17 Nov 1775, d. 4 Feb 1857)</v>
      </c>
      <c r="AK14" s="33">
        <f t="shared" si="22"/>
        <v>11</v>
      </c>
      <c r="AL14" s="33">
        <f t="shared" si="23"/>
        <v>30</v>
      </c>
      <c r="AM14" s="144">
        <f t="shared" si="24"/>
        <v>10</v>
      </c>
      <c r="AN14" s="144">
        <f t="shared" si="25"/>
        <v>3</v>
      </c>
      <c r="AO14">
        <f t="shared" si="15"/>
        <v>50</v>
      </c>
      <c r="AP14" s="103">
        <f t="shared" si="16"/>
        <v>211</v>
      </c>
      <c r="AQ14" s="33">
        <f t="shared" si="1"/>
        <v>12</v>
      </c>
    </row>
    <row r="15" spans="1:43" ht="20" thickBot="1">
      <c r="A15" s="33">
        <f t="shared" si="2"/>
        <v>13</v>
      </c>
      <c r="B15">
        <f t="shared" si="26"/>
        <v>2</v>
      </c>
      <c r="C15" s="183">
        <v>13</v>
      </c>
      <c r="D15" s="2" t="s">
        <v>782</v>
      </c>
      <c r="E15" t="s">
        <v>914</v>
      </c>
      <c r="I15" t="str">
        <f t="shared" si="17"/>
        <v>1811</v>
      </c>
      <c r="J15" t="str">
        <f t="shared" si="18"/>
        <v>1891</v>
      </c>
      <c r="K15" s="9" t="str">
        <f t="shared" si="27"/>
        <v>Lewis (13): 1811</v>
      </c>
      <c r="L15" s="8" t="s">
        <v>1005</v>
      </c>
      <c r="M15" s="8" t="s">
        <v>1005</v>
      </c>
      <c r="N15" s="3" t="s">
        <v>3584</v>
      </c>
      <c r="O15" s="8" t="s">
        <v>1006</v>
      </c>
      <c r="P15" s="13">
        <f t="shared" si="3"/>
        <v>13</v>
      </c>
      <c r="Q15" s="19" t="str">
        <f t="shared" si="4"/>
        <v>Lewis (13): 1811–1891</v>
      </c>
      <c r="R15" s="120">
        <v>8</v>
      </c>
      <c r="S15" s="15" t="str">
        <f t="shared" si="28"/>
        <v>Edward (8): 1780–1863</v>
      </c>
      <c r="T15" s="38">
        <f t="shared" si="19"/>
        <v>1</v>
      </c>
      <c r="U15" s="37" t="str">
        <f t="shared" si="0"/>
        <v>William (1): 1729–1800</v>
      </c>
      <c r="V15" s="27">
        <f t="shared" si="20"/>
        <v>0</v>
      </c>
      <c r="W15" s="28" t="str">
        <f t="shared" si="21"/>
        <v>Lewis (0): 1690–1758</v>
      </c>
      <c r="X15" s="39">
        <f t="shared" si="5"/>
        <v>-1</v>
      </c>
      <c r="Y15" s="40" t="e">
        <f t="shared" si="6"/>
        <v>#N/A</v>
      </c>
      <c r="Z15" s="29" t="e">
        <f t="shared" si="7"/>
        <v>#N/A</v>
      </c>
      <c r="AA15" s="41" t="e">
        <f t="shared" si="8"/>
        <v>#N/A</v>
      </c>
      <c r="AB15" s="30" t="e">
        <f t="shared" si="9"/>
        <v>#N/A</v>
      </c>
      <c r="AC15" s="43" t="e">
        <f t="shared" si="10"/>
        <v>#N/A</v>
      </c>
      <c r="AD15" s="42" t="e">
        <f t="shared" si="11"/>
        <v>#N/A</v>
      </c>
      <c r="AE15" s="22" t="e">
        <f t="shared" si="12"/>
        <v>#N/A</v>
      </c>
      <c r="AF15" s="42" t="e">
        <f t="shared" si="13"/>
        <v>#N/A</v>
      </c>
      <c r="AG15" s="22" t="e">
        <f t="shared" si="14"/>
        <v>#N/A</v>
      </c>
      <c r="AH15" s="23" t="s">
        <v>2815</v>
      </c>
      <c r="AI15" s="33" t="s">
        <v>4370</v>
      </c>
      <c r="AJ15" s="264" t="str">
        <f>VLOOKUP(AI15,'Mums of Loyd Edit&amp;Partner Edit'!$B$4:$C$66,2,FALSE)</f>
        <v>Sarah TAYLOR (b.5 Jul 1785, d. 19 Jan 1863)</v>
      </c>
      <c r="AK15" s="33">
        <f t="shared" si="22"/>
        <v>8</v>
      </c>
      <c r="AL15" s="33">
        <f t="shared" si="23"/>
        <v>10</v>
      </c>
      <c r="AM15" s="144">
        <f t="shared" si="24"/>
        <v>7</v>
      </c>
      <c r="AN15" s="144">
        <f t="shared" si="25"/>
        <v>19</v>
      </c>
      <c r="AO15">
        <f t="shared" si="15"/>
        <v>79</v>
      </c>
      <c r="AP15" s="103">
        <f t="shared" si="16"/>
        <v>210</v>
      </c>
      <c r="AQ15" s="33">
        <f t="shared" si="1"/>
        <v>13</v>
      </c>
    </row>
    <row r="16" spans="1:43" ht="20" thickBot="1">
      <c r="A16" s="33">
        <f t="shared" si="2"/>
        <v>14</v>
      </c>
      <c r="B16">
        <f t="shared" si="26"/>
        <v>2</v>
      </c>
      <c r="C16" s="183">
        <v>14</v>
      </c>
      <c r="D16" s="2" t="s">
        <v>782</v>
      </c>
      <c r="E16" t="s">
        <v>852</v>
      </c>
      <c r="F16" t="s">
        <v>819</v>
      </c>
      <c r="I16" t="str">
        <f t="shared" si="17"/>
        <v>1812</v>
      </c>
      <c r="J16" t="str">
        <f t="shared" si="18"/>
        <v>1857</v>
      </c>
      <c r="K16" s="9" t="str">
        <f t="shared" si="27"/>
        <v>Thomas (14): 1812</v>
      </c>
      <c r="L16" s="8" t="s">
        <v>1007</v>
      </c>
      <c r="M16" s="8" t="s">
        <v>1007</v>
      </c>
      <c r="N16" t="s">
        <v>1008</v>
      </c>
      <c r="O16" s="10" t="s">
        <v>1009</v>
      </c>
      <c r="P16" s="13">
        <f t="shared" si="3"/>
        <v>14</v>
      </c>
      <c r="Q16" s="19" t="str">
        <f t="shared" si="4"/>
        <v>Thomas (14): 1812–1857</v>
      </c>
      <c r="R16" s="120">
        <v>4</v>
      </c>
      <c r="S16" s="15" t="str">
        <f t="shared" si="28"/>
        <v>William (4): 1770–1828</v>
      </c>
      <c r="T16" s="38">
        <f t="shared" si="19"/>
        <v>1</v>
      </c>
      <c r="U16" s="37" t="str">
        <f t="shared" si="0"/>
        <v>William (1): 1729–1800</v>
      </c>
      <c r="V16" s="27">
        <f t="shared" si="20"/>
        <v>0</v>
      </c>
      <c r="W16" s="28" t="str">
        <f t="shared" si="21"/>
        <v>Lewis (0): 1690–1758</v>
      </c>
      <c r="X16" s="39">
        <f t="shared" si="5"/>
        <v>-1</v>
      </c>
      <c r="Y16" s="40" t="e">
        <f t="shared" si="6"/>
        <v>#N/A</v>
      </c>
      <c r="Z16" s="29" t="e">
        <f t="shared" si="7"/>
        <v>#N/A</v>
      </c>
      <c r="AA16" s="41" t="e">
        <f t="shared" si="8"/>
        <v>#N/A</v>
      </c>
      <c r="AB16" s="30" t="e">
        <f t="shared" si="9"/>
        <v>#N/A</v>
      </c>
      <c r="AC16" s="43" t="e">
        <f t="shared" si="10"/>
        <v>#N/A</v>
      </c>
      <c r="AD16" s="42" t="e">
        <f t="shared" si="11"/>
        <v>#N/A</v>
      </c>
      <c r="AE16" s="22" t="e">
        <f t="shared" si="12"/>
        <v>#N/A</v>
      </c>
      <c r="AF16" s="42" t="e">
        <f t="shared" si="13"/>
        <v>#N/A</v>
      </c>
      <c r="AG16" s="22" t="e">
        <f t="shared" si="14"/>
        <v>#N/A</v>
      </c>
      <c r="AH16" s="23" t="s">
        <v>2815</v>
      </c>
      <c r="AI16" s="33" t="s">
        <v>4369</v>
      </c>
      <c r="AJ16" s="264" t="str">
        <f>VLOOKUP(AI16,'Mums of Loyd Edit&amp;Partner Edit'!$B$4:$C$66,2,FALSE)</f>
        <v>Martha KIRKMAN (b. 17 Nov 1775, d. 4 Feb 1857)</v>
      </c>
      <c r="AK16" s="33">
        <f t="shared" si="22"/>
        <v>10</v>
      </c>
      <c r="AL16" s="33">
        <f t="shared" si="23"/>
        <v>10</v>
      </c>
      <c r="AM16" s="144">
        <f t="shared" si="24"/>
        <v>6</v>
      </c>
      <c r="AN16" s="144">
        <f t="shared" si="25"/>
        <v>19</v>
      </c>
      <c r="AO16">
        <f t="shared" si="15"/>
        <v>44</v>
      </c>
      <c r="AP16" s="103">
        <f t="shared" si="16"/>
        <v>209</v>
      </c>
      <c r="AQ16" s="33">
        <f t="shared" si="1"/>
        <v>14</v>
      </c>
    </row>
    <row r="17" spans="1:83" ht="20" thickBot="1">
      <c r="A17" s="33">
        <f t="shared" si="2"/>
        <v>15</v>
      </c>
      <c r="B17">
        <f t="shared" si="26"/>
        <v>2</v>
      </c>
      <c r="C17" s="183">
        <v>15</v>
      </c>
      <c r="D17" s="2" t="s">
        <v>782</v>
      </c>
      <c r="E17" t="s">
        <v>1010</v>
      </c>
      <c r="H17" t="s">
        <v>1075</v>
      </c>
      <c r="I17" t="str">
        <f t="shared" si="17"/>
        <v>1813</v>
      </c>
      <c r="J17" t="str">
        <f t="shared" si="18"/>
        <v>1834</v>
      </c>
      <c r="K17" s="9" t="str">
        <f t="shared" si="27"/>
        <v>Annie (15): 1813</v>
      </c>
      <c r="L17" s="8" t="s">
        <v>1012</v>
      </c>
      <c r="M17" s="8" t="s">
        <v>1012</v>
      </c>
      <c r="N17" t="s">
        <v>2793</v>
      </c>
      <c r="O17" s="10" t="s">
        <v>1013</v>
      </c>
      <c r="P17" s="13">
        <f t="shared" si="3"/>
        <v>15</v>
      </c>
      <c r="Q17" s="19" t="str">
        <f t="shared" si="4"/>
        <v>Annie (15): 1813–1834</v>
      </c>
      <c r="R17" s="120">
        <v>8</v>
      </c>
      <c r="S17" s="15" t="str">
        <f t="shared" si="28"/>
        <v>Edward (8): 1780–1863</v>
      </c>
      <c r="T17" s="38">
        <f t="shared" si="19"/>
        <v>1</v>
      </c>
      <c r="U17" s="37" t="str">
        <f t="shared" si="0"/>
        <v>William (1): 1729–1800</v>
      </c>
      <c r="V17" s="27">
        <f t="shared" si="20"/>
        <v>0</v>
      </c>
      <c r="W17" s="28" t="str">
        <f t="shared" si="21"/>
        <v>Lewis (0): 1690–1758</v>
      </c>
      <c r="X17" s="39">
        <f t="shared" si="5"/>
        <v>-1</v>
      </c>
      <c r="Y17" s="40" t="e">
        <f t="shared" si="6"/>
        <v>#N/A</v>
      </c>
      <c r="Z17" s="29" t="e">
        <f t="shared" si="7"/>
        <v>#N/A</v>
      </c>
      <c r="AA17" s="41" t="e">
        <f t="shared" si="8"/>
        <v>#N/A</v>
      </c>
      <c r="AB17" s="30" t="e">
        <f t="shared" si="9"/>
        <v>#N/A</v>
      </c>
      <c r="AC17" s="43" t="e">
        <f t="shared" si="10"/>
        <v>#N/A</v>
      </c>
      <c r="AD17" s="42" t="e">
        <f t="shared" si="11"/>
        <v>#N/A</v>
      </c>
      <c r="AE17" s="22" t="e">
        <f t="shared" si="12"/>
        <v>#N/A</v>
      </c>
      <c r="AF17" s="42" t="e">
        <f t="shared" si="13"/>
        <v>#N/A</v>
      </c>
      <c r="AG17" s="22" t="e">
        <f t="shared" si="14"/>
        <v>#N/A</v>
      </c>
      <c r="AH17" s="23" t="s">
        <v>2814</v>
      </c>
      <c r="AI17" s="33" t="s">
        <v>4370</v>
      </c>
      <c r="AJ17" s="264" t="str">
        <f>VLOOKUP(AI17,'Mums of Loyd Edit&amp;Partner Edit'!$B$4:$C$66,2,FALSE)</f>
        <v>Sarah TAYLOR (b.5 Jul 1785, d. 19 Jan 1863)</v>
      </c>
      <c r="AK17" s="33">
        <f t="shared" si="22"/>
        <v>2</v>
      </c>
      <c r="AL17" s="33">
        <f t="shared" si="23"/>
        <v>26</v>
      </c>
      <c r="AM17" s="144">
        <f t="shared" si="24"/>
        <v>9</v>
      </c>
      <c r="AN17" s="144">
        <f t="shared" si="25"/>
        <v>10</v>
      </c>
      <c r="AO17">
        <f t="shared" si="15"/>
        <v>21</v>
      </c>
      <c r="AP17" s="103">
        <f t="shared" si="16"/>
        <v>209</v>
      </c>
      <c r="AQ17" s="33">
        <f t="shared" si="1"/>
        <v>15</v>
      </c>
    </row>
    <row r="18" spans="1:83" ht="20" thickBot="1">
      <c r="A18" s="33">
        <f t="shared" si="2"/>
        <v>16</v>
      </c>
      <c r="B18">
        <f t="shared" si="26"/>
        <v>2</v>
      </c>
      <c r="C18" s="183">
        <v>16</v>
      </c>
      <c r="D18" s="2" t="s">
        <v>782</v>
      </c>
      <c r="E18" t="s">
        <v>1014</v>
      </c>
      <c r="I18" t="str">
        <f t="shared" si="17"/>
        <v>1814</v>
      </c>
      <c r="J18">
        <f>VALUE(YEAR(O18))</f>
        <v>1900</v>
      </c>
      <c r="K18" s="9" t="str">
        <f t="shared" si="27"/>
        <v>Maria (16): 1814</v>
      </c>
      <c r="L18" s="8" t="s">
        <v>1015</v>
      </c>
      <c r="M18" s="8" t="s">
        <v>1015</v>
      </c>
      <c r="N18" t="s">
        <v>1016</v>
      </c>
      <c r="O18" s="10" t="s">
        <v>3158</v>
      </c>
      <c r="P18" s="13">
        <f t="shared" si="3"/>
        <v>16</v>
      </c>
      <c r="Q18" s="19" t="str">
        <f t="shared" si="4"/>
        <v>Maria (16): 1814–1900</v>
      </c>
      <c r="R18" s="120">
        <v>4</v>
      </c>
      <c r="S18" s="15" t="str">
        <f t="shared" si="28"/>
        <v>William (4): 1770–1828</v>
      </c>
      <c r="T18" s="38">
        <f t="shared" si="19"/>
        <v>1</v>
      </c>
      <c r="U18" s="37" t="str">
        <f t="shared" si="0"/>
        <v>William (1): 1729–1800</v>
      </c>
      <c r="V18" s="27">
        <f t="shared" si="20"/>
        <v>0</v>
      </c>
      <c r="W18" s="28" t="str">
        <f t="shared" si="21"/>
        <v>Lewis (0): 1690–1758</v>
      </c>
      <c r="X18" s="39">
        <f t="shared" si="5"/>
        <v>-1</v>
      </c>
      <c r="Y18" s="40" t="e">
        <f t="shared" si="6"/>
        <v>#N/A</v>
      </c>
      <c r="Z18" s="29" t="e">
        <f t="shared" si="7"/>
        <v>#N/A</v>
      </c>
      <c r="AA18" s="41" t="e">
        <f t="shared" si="8"/>
        <v>#N/A</v>
      </c>
      <c r="AB18" s="30" t="e">
        <f t="shared" si="9"/>
        <v>#N/A</v>
      </c>
      <c r="AC18" s="43" t="e">
        <f t="shared" si="10"/>
        <v>#N/A</v>
      </c>
      <c r="AD18" s="42" t="e">
        <f t="shared" si="11"/>
        <v>#N/A</v>
      </c>
      <c r="AE18" s="22" t="e">
        <f t="shared" si="12"/>
        <v>#N/A</v>
      </c>
      <c r="AF18" s="42" t="e">
        <f t="shared" si="13"/>
        <v>#N/A</v>
      </c>
      <c r="AG18" s="22" t="e">
        <f t="shared" si="14"/>
        <v>#N/A</v>
      </c>
      <c r="AH18" s="23" t="s">
        <v>2814</v>
      </c>
      <c r="AI18" s="33" t="s">
        <v>4369</v>
      </c>
      <c r="AJ18" s="264" t="str">
        <f>VLOOKUP(AI18,'Mums of Loyd Edit&amp;Partner Edit'!$B$4:$C$66,2,FALSE)</f>
        <v>Martha KIRKMAN (b. 17 Nov 1775, d. 4 Feb 1857)</v>
      </c>
      <c r="AK18" s="33">
        <f t="shared" si="22"/>
        <v>2</v>
      </c>
      <c r="AL18" s="33">
        <f t="shared" si="23"/>
        <v>17</v>
      </c>
      <c r="AM18" s="144">
        <f t="shared" si="24"/>
        <v>9</v>
      </c>
      <c r="AN18" s="144">
        <f t="shared" si="25"/>
        <v>16</v>
      </c>
      <c r="AO18">
        <f t="shared" si="15"/>
        <v>86</v>
      </c>
      <c r="AP18" s="103">
        <f t="shared" si="16"/>
        <v>208</v>
      </c>
      <c r="AQ18" s="33">
        <f t="shared" si="1"/>
        <v>16</v>
      </c>
    </row>
    <row r="19" spans="1:83" ht="20" thickBot="1">
      <c r="A19" s="33">
        <f t="shared" si="2"/>
        <v>17</v>
      </c>
      <c r="B19">
        <f t="shared" si="26"/>
        <v>2</v>
      </c>
      <c r="C19" s="183">
        <v>17</v>
      </c>
      <c r="D19" s="2" t="s">
        <v>782</v>
      </c>
      <c r="E19" t="s">
        <v>811</v>
      </c>
      <c r="F19" t="s">
        <v>819</v>
      </c>
      <c r="I19" t="str">
        <f t="shared" si="17"/>
        <v>1815</v>
      </c>
      <c r="J19" t="str">
        <f t="shared" si="18"/>
        <v>1815</v>
      </c>
      <c r="K19" s="9" t="str">
        <f t="shared" si="27"/>
        <v>Edward (17): 1815</v>
      </c>
      <c r="L19" s="8" t="s">
        <v>1017</v>
      </c>
      <c r="M19" s="8" t="s">
        <v>1017</v>
      </c>
      <c r="N19" t="s">
        <v>3792</v>
      </c>
      <c r="O19" s="10" t="s">
        <v>1018</v>
      </c>
      <c r="P19" s="13">
        <f t="shared" si="3"/>
        <v>17</v>
      </c>
      <c r="Q19" s="19" t="str">
        <f t="shared" si="4"/>
        <v>Edward (17): 1815–1815</v>
      </c>
      <c r="R19" s="120">
        <v>4</v>
      </c>
      <c r="S19" s="15" t="str">
        <f t="shared" si="28"/>
        <v>William (4): 1770–1828</v>
      </c>
      <c r="T19" s="38">
        <f t="shared" si="19"/>
        <v>1</v>
      </c>
      <c r="U19" s="37" t="str">
        <f t="shared" si="0"/>
        <v>William (1): 1729–1800</v>
      </c>
      <c r="V19" s="27">
        <f t="shared" si="20"/>
        <v>0</v>
      </c>
      <c r="W19" s="28" t="str">
        <f t="shared" si="21"/>
        <v>Lewis (0): 1690–1758</v>
      </c>
      <c r="X19" s="39">
        <f t="shared" si="5"/>
        <v>-1</v>
      </c>
      <c r="Y19" s="40" t="e">
        <f t="shared" si="6"/>
        <v>#N/A</v>
      </c>
      <c r="Z19" s="29" t="e">
        <f t="shared" si="7"/>
        <v>#N/A</v>
      </c>
      <c r="AA19" s="41" t="e">
        <f t="shared" si="8"/>
        <v>#N/A</v>
      </c>
      <c r="AB19" s="30" t="e">
        <f t="shared" si="9"/>
        <v>#N/A</v>
      </c>
      <c r="AC19" s="43" t="e">
        <f t="shared" si="10"/>
        <v>#N/A</v>
      </c>
      <c r="AD19" s="42" t="e">
        <f t="shared" si="11"/>
        <v>#N/A</v>
      </c>
      <c r="AE19" s="22" t="e">
        <f t="shared" si="12"/>
        <v>#N/A</v>
      </c>
      <c r="AF19" s="42" t="e">
        <f t="shared" si="13"/>
        <v>#N/A</v>
      </c>
      <c r="AG19" s="22" t="e">
        <f t="shared" si="14"/>
        <v>#N/A</v>
      </c>
      <c r="AH19" s="23" t="s">
        <v>2815</v>
      </c>
      <c r="AI19" s="33" t="s">
        <v>4369</v>
      </c>
      <c r="AJ19" s="264" t="str">
        <f>VLOOKUP(AI19,'Mums of Loyd Edit&amp;Partner Edit'!$B$4:$C$66,2,FALSE)</f>
        <v>Martha KIRKMAN (b. 17 Nov 1775, d. 4 Feb 1857)</v>
      </c>
      <c r="AK19" s="33">
        <f t="shared" si="22"/>
        <v>7</v>
      </c>
      <c r="AL19" s="33">
        <f t="shared" si="23"/>
        <v>2</v>
      </c>
      <c r="AM19" s="144">
        <f t="shared" si="24"/>
        <v>7</v>
      </c>
      <c r="AN19" s="144">
        <f t="shared" si="25"/>
        <v>23</v>
      </c>
      <c r="AO19">
        <f t="shared" si="15"/>
        <v>0</v>
      </c>
      <c r="AP19" s="103">
        <f t="shared" si="16"/>
        <v>206</v>
      </c>
      <c r="AQ19" s="33">
        <f t="shared" si="1"/>
        <v>17</v>
      </c>
    </row>
    <row r="20" spans="1:83" ht="20" thickBot="1">
      <c r="A20" s="33">
        <f t="shared" si="2"/>
        <v>18</v>
      </c>
      <c r="B20">
        <f t="shared" si="26"/>
        <v>2</v>
      </c>
      <c r="C20" s="183">
        <v>18</v>
      </c>
      <c r="D20" s="2" t="s">
        <v>782</v>
      </c>
      <c r="E20" t="s">
        <v>867</v>
      </c>
      <c r="H20" t="s">
        <v>985</v>
      </c>
      <c r="I20" t="str">
        <f t="shared" si="17"/>
        <v>1815</v>
      </c>
      <c r="J20">
        <f>YEAR(O20)</f>
        <v>1905</v>
      </c>
      <c r="K20" s="9" t="str">
        <f t="shared" si="27"/>
        <v>Kate (18): 1815</v>
      </c>
      <c r="L20" s="8" t="s">
        <v>1020</v>
      </c>
      <c r="M20" s="8" t="s">
        <v>1020</v>
      </c>
      <c r="N20" t="s">
        <v>1021</v>
      </c>
      <c r="O20" s="10" t="s">
        <v>3161</v>
      </c>
      <c r="P20" s="13">
        <f t="shared" si="3"/>
        <v>18</v>
      </c>
      <c r="Q20" s="19" t="str">
        <f t="shared" si="4"/>
        <v>Kate (18): 1815–1905</v>
      </c>
      <c r="R20" s="120">
        <v>8</v>
      </c>
      <c r="S20" s="15" t="str">
        <f t="shared" si="28"/>
        <v>Edward (8): 1780–1863</v>
      </c>
      <c r="T20" s="38">
        <f t="shared" si="19"/>
        <v>1</v>
      </c>
      <c r="U20" s="37" t="str">
        <f t="shared" si="0"/>
        <v>William (1): 1729–1800</v>
      </c>
      <c r="V20" s="27">
        <f t="shared" si="20"/>
        <v>0</v>
      </c>
      <c r="W20" s="28" t="str">
        <f t="shared" si="21"/>
        <v>Lewis (0): 1690–1758</v>
      </c>
      <c r="X20" s="39">
        <f t="shared" si="5"/>
        <v>-1</v>
      </c>
      <c r="Y20" s="40" t="e">
        <f t="shared" si="6"/>
        <v>#N/A</v>
      </c>
      <c r="Z20" s="29" t="e">
        <f t="shared" si="7"/>
        <v>#N/A</v>
      </c>
      <c r="AA20" s="41" t="e">
        <f t="shared" si="8"/>
        <v>#N/A</v>
      </c>
      <c r="AB20" s="30" t="e">
        <f t="shared" si="9"/>
        <v>#N/A</v>
      </c>
      <c r="AC20" s="43" t="e">
        <f t="shared" si="10"/>
        <v>#N/A</v>
      </c>
      <c r="AD20" s="42" t="e">
        <f t="shared" si="11"/>
        <v>#N/A</v>
      </c>
      <c r="AE20" s="22" t="e">
        <f t="shared" si="12"/>
        <v>#N/A</v>
      </c>
      <c r="AF20" s="42" t="e">
        <f t="shared" si="13"/>
        <v>#N/A</v>
      </c>
      <c r="AG20" s="22" t="e">
        <f t="shared" si="14"/>
        <v>#N/A</v>
      </c>
      <c r="AH20" s="23" t="s">
        <v>2814</v>
      </c>
      <c r="AI20" s="33" t="s">
        <v>4370</v>
      </c>
      <c r="AJ20" s="264" t="str">
        <f>VLOOKUP(AI20,'Mums of Loyd Edit&amp;Partner Edit'!$B$4:$C$66,2,FALSE)</f>
        <v>Sarah TAYLOR (b.5 Jul 1785, d. 19 Jan 1863)</v>
      </c>
      <c r="AK20" s="33">
        <f t="shared" si="22"/>
        <v>8</v>
      </c>
      <c r="AL20" s="33">
        <f t="shared" si="23"/>
        <v>26</v>
      </c>
      <c r="AM20" s="144">
        <f t="shared" si="24"/>
        <v>12</v>
      </c>
      <c r="AN20" s="144">
        <f t="shared" si="25"/>
        <v>14</v>
      </c>
      <c r="AO20">
        <f t="shared" si="15"/>
        <v>90</v>
      </c>
      <c r="AP20" s="103">
        <f t="shared" si="16"/>
        <v>206</v>
      </c>
      <c r="AQ20" s="33">
        <f t="shared" si="1"/>
        <v>18</v>
      </c>
      <c r="AR20" s="2" t="s">
        <v>32</v>
      </c>
      <c r="AS20" s="2" t="s">
        <v>33</v>
      </c>
      <c r="AT20" s="2" t="s">
        <v>34</v>
      </c>
      <c r="AU20" s="2" t="s">
        <v>35</v>
      </c>
      <c r="AV20" s="2" t="s">
        <v>36</v>
      </c>
      <c r="AW20" s="2" t="s">
        <v>37</v>
      </c>
      <c r="AX20" s="2" t="s">
        <v>38</v>
      </c>
      <c r="AY20" s="2" t="s">
        <v>39</v>
      </c>
      <c r="AZ20" s="2" t="s">
        <v>40</v>
      </c>
      <c r="BA20" s="2" t="s">
        <v>41</v>
      </c>
      <c r="BB20" s="2" t="s">
        <v>42</v>
      </c>
      <c r="BC20" s="2" t="s">
        <v>43</v>
      </c>
      <c r="BD20" s="2" t="s">
        <v>44</v>
      </c>
      <c r="BE20" s="2" t="s">
        <v>45</v>
      </c>
      <c r="BF20" s="2" t="s">
        <v>46</v>
      </c>
      <c r="BG20" s="2" t="s">
        <v>47</v>
      </c>
      <c r="BH20" s="2" t="s">
        <v>48</v>
      </c>
      <c r="BI20" s="2" t="s">
        <v>49</v>
      </c>
      <c r="BJ20" s="2" t="s">
        <v>50</v>
      </c>
      <c r="BK20" s="2" t="s">
        <v>51</v>
      </c>
      <c r="BL20" s="2" t="s">
        <v>52</v>
      </c>
      <c r="BM20" s="2" t="s">
        <v>53</v>
      </c>
      <c r="BN20" s="2" t="s">
        <v>54</v>
      </c>
      <c r="BO20" s="2" t="s">
        <v>55</v>
      </c>
      <c r="BP20" s="2" t="s">
        <v>56</v>
      </c>
      <c r="BQ20" s="2" t="s">
        <v>57</v>
      </c>
      <c r="BR20" s="2" t="s">
        <v>58</v>
      </c>
      <c r="BS20" s="2" t="s">
        <v>59</v>
      </c>
      <c r="BT20" s="2" t="s">
        <v>60</v>
      </c>
      <c r="BU20" s="2" t="s">
        <v>61</v>
      </c>
      <c r="BV20" s="2" t="s">
        <v>62</v>
      </c>
      <c r="BW20" s="2" t="s">
        <v>63</v>
      </c>
      <c r="BX20" s="2" t="s">
        <v>64</v>
      </c>
      <c r="BY20" s="2" t="s">
        <v>65</v>
      </c>
      <c r="BZ20" s="2" t="s">
        <v>66</v>
      </c>
      <c r="CA20" s="2" t="s">
        <v>67</v>
      </c>
      <c r="CB20" s="2" t="s">
        <v>68</v>
      </c>
      <c r="CC20" s="2" t="s">
        <v>69</v>
      </c>
      <c r="CD20" s="2" t="s">
        <v>70</v>
      </c>
      <c r="CE20" s="2" t="s">
        <v>71</v>
      </c>
    </row>
    <row r="21" spans="1:83" ht="20" thickBot="1">
      <c r="A21" s="33">
        <f t="shared" si="2"/>
        <v>19</v>
      </c>
      <c r="B21">
        <f t="shared" si="26"/>
        <v>2</v>
      </c>
      <c r="C21" s="183">
        <v>19</v>
      </c>
      <c r="D21" s="2" t="s">
        <v>782</v>
      </c>
      <c r="E21" t="s">
        <v>1022</v>
      </c>
      <c r="I21" t="str">
        <f t="shared" si="17"/>
        <v>1817</v>
      </c>
      <c r="J21">
        <f>YEAR(O21)</f>
        <v>1907</v>
      </c>
      <c r="K21" s="9" t="str">
        <f t="shared" si="27"/>
        <v>Hannah (19): 1817</v>
      </c>
      <c r="L21" s="8" t="s">
        <v>1023</v>
      </c>
      <c r="M21" s="8" t="s">
        <v>1023</v>
      </c>
      <c r="N21" t="s">
        <v>1024</v>
      </c>
      <c r="O21" s="10" t="s">
        <v>3162</v>
      </c>
      <c r="P21" s="13">
        <f t="shared" si="3"/>
        <v>19</v>
      </c>
      <c r="Q21" s="19" t="str">
        <f t="shared" si="4"/>
        <v>Hannah (19): 1817–1907</v>
      </c>
      <c r="R21" s="120">
        <v>8</v>
      </c>
      <c r="S21" s="15" t="str">
        <f t="shared" si="28"/>
        <v>Edward (8): 1780–1863</v>
      </c>
      <c r="T21" s="38">
        <f t="shared" si="19"/>
        <v>1</v>
      </c>
      <c r="U21" s="37" t="str">
        <f t="shared" si="0"/>
        <v>William (1): 1729–1800</v>
      </c>
      <c r="V21" s="27">
        <f t="shared" si="20"/>
        <v>0</v>
      </c>
      <c r="W21" s="28" t="str">
        <f t="shared" si="21"/>
        <v>Lewis (0): 1690–1758</v>
      </c>
      <c r="X21" s="39">
        <f t="shared" si="5"/>
        <v>-1</v>
      </c>
      <c r="Y21" s="40" t="e">
        <f t="shared" si="6"/>
        <v>#N/A</v>
      </c>
      <c r="Z21" s="29" t="e">
        <f t="shared" si="7"/>
        <v>#N/A</v>
      </c>
      <c r="AA21" s="41" t="e">
        <f t="shared" si="8"/>
        <v>#N/A</v>
      </c>
      <c r="AB21" s="30" t="e">
        <f t="shared" si="9"/>
        <v>#N/A</v>
      </c>
      <c r="AC21" s="43" t="e">
        <f t="shared" si="10"/>
        <v>#N/A</v>
      </c>
      <c r="AD21" s="42" t="e">
        <f t="shared" si="11"/>
        <v>#N/A</v>
      </c>
      <c r="AE21" s="22" t="e">
        <f t="shared" si="12"/>
        <v>#N/A</v>
      </c>
      <c r="AF21" s="42" t="e">
        <f t="shared" si="13"/>
        <v>#N/A</v>
      </c>
      <c r="AG21" s="22" t="e">
        <f t="shared" si="14"/>
        <v>#N/A</v>
      </c>
      <c r="AH21" s="23" t="s">
        <v>2814</v>
      </c>
      <c r="AI21" s="33" t="s">
        <v>4370</v>
      </c>
      <c r="AJ21" s="264" t="str">
        <f>VLOOKUP(AI21,'Mums of Loyd Edit&amp;Partner Edit'!$B$4:$C$66,2,FALSE)</f>
        <v>Sarah TAYLOR (b.5 Jul 1785, d. 19 Jan 1863)</v>
      </c>
      <c r="AK21" s="33">
        <f t="shared" si="22"/>
        <v>2</v>
      </c>
      <c r="AL21" s="33">
        <f t="shared" si="23"/>
        <v>9</v>
      </c>
      <c r="AM21" s="144">
        <f t="shared" si="24"/>
        <v>11</v>
      </c>
      <c r="AN21" s="144">
        <f t="shared" si="25"/>
        <v>25</v>
      </c>
      <c r="AO21">
        <f t="shared" si="15"/>
        <v>90</v>
      </c>
      <c r="AP21" s="103">
        <f t="shared" si="16"/>
        <v>205</v>
      </c>
      <c r="AQ21" s="33">
        <f t="shared" si="1"/>
        <v>19</v>
      </c>
    </row>
    <row r="22" spans="1:83" ht="20" thickBot="1">
      <c r="A22" s="33">
        <f t="shared" si="2"/>
        <v>20</v>
      </c>
      <c r="B22">
        <f t="shared" si="26"/>
        <v>2</v>
      </c>
      <c r="C22" s="183">
        <v>20</v>
      </c>
      <c r="D22" s="2" t="s">
        <v>782</v>
      </c>
      <c r="E22" t="s">
        <v>842</v>
      </c>
      <c r="F22" t="s">
        <v>819</v>
      </c>
      <c r="I22" t="str">
        <f t="shared" si="17"/>
        <v>1817</v>
      </c>
      <c r="J22" t="str">
        <f t="shared" si="18"/>
        <v>1818</v>
      </c>
      <c r="K22" s="9" t="str">
        <f t="shared" si="27"/>
        <v>John (20): 1817</v>
      </c>
      <c r="L22" s="8" t="s">
        <v>1025</v>
      </c>
      <c r="M22" s="8" t="s">
        <v>1025</v>
      </c>
      <c r="N22" t="s">
        <v>3792</v>
      </c>
      <c r="O22" s="10" t="s">
        <v>1026</v>
      </c>
      <c r="P22" s="13">
        <f t="shared" si="3"/>
        <v>20</v>
      </c>
      <c r="Q22" s="19" t="str">
        <f t="shared" si="4"/>
        <v>John (20): 1817–1818</v>
      </c>
      <c r="R22" s="120">
        <v>4</v>
      </c>
      <c r="S22" s="15" t="str">
        <f t="shared" si="28"/>
        <v>William (4): 1770–1828</v>
      </c>
      <c r="T22" s="38">
        <f t="shared" si="19"/>
        <v>1</v>
      </c>
      <c r="U22" s="37" t="str">
        <f t="shared" si="0"/>
        <v>William (1): 1729–1800</v>
      </c>
      <c r="V22" s="27">
        <f t="shared" si="20"/>
        <v>0</v>
      </c>
      <c r="W22" s="28" t="str">
        <f t="shared" si="21"/>
        <v>Lewis (0): 1690–1758</v>
      </c>
      <c r="X22" s="39">
        <f t="shared" si="5"/>
        <v>-1</v>
      </c>
      <c r="Y22" s="40" t="e">
        <f t="shared" si="6"/>
        <v>#N/A</v>
      </c>
      <c r="Z22" s="29" t="e">
        <f t="shared" si="7"/>
        <v>#N/A</v>
      </c>
      <c r="AA22" s="41" t="e">
        <f t="shared" si="8"/>
        <v>#N/A</v>
      </c>
      <c r="AB22" s="30" t="e">
        <f t="shared" si="9"/>
        <v>#N/A</v>
      </c>
      <c r="AC22" s="43" t="e">
        <f t="shared" si="10"/>
        <v>#N/A</v>
      </c>
      <c r="AD22" s="42" t="e">
        <f t="shared" si="11"/>
        <v>#N/A</v>
      </c>
      <c r="AE22" s="22" t="e">
        <f t="shared" si="12"/>
        <v>#N/A</v>
      </c>
      <c r="AF22" s="42" t="e">
        <f t="shared" si="13"/>
        <v>#N/A</v>
      </c>
      <c r="AG22" s="22" t="e">
        <f t="shared" si="14"/>
        <v>#N/A</v>
      </c>
      <c r="AH22" s="23" t="s">
        <v>2815</v>
      </c>
      <c r="AI22" s="33" t="s">
        <v>4369</v>
      </c>
      <c r="AJ22" s="264" t="str">
        <f>VLOOKUP(AI22,'Mums of Loyd Edit&amp;Partner Edit'!$B$4:$C$66,2,FALSE)</f>
        <v>Martha KIRKMAN (b. 17 Nov 1775, d. 4 Feb 1857)</v>
      </c>
      <c r="AK22" s="33">
        <f t="shared" si="22"/>
        <v>10</v>
      </c>
      <c r="AL22" s="33">
        <f t="shared" si="23"/>
        <v>3</v>
      </c>
      <c r="AM22" s="144">
        <f t="shared" si="24"/>
        <v>4</v>
      </c>
      <c r="AN22" s="144">
        <f t="shared" si="25"/>
        <v>13</v>
      </c>
      <c r="AO22">
        <f t="shared" si="15"/>
        <v>0</v>
      </c>
      <c r="AP22" s="103">
        <f t="shared" si="16"/>
        <v>204</v>
      </c>
      <c r="AQ22" s="33">
        <f t="shared" si="1"/>
        <v>20</v>
      </c>
    </row>
    <row r="23" spans="1:83" ht="20" thickBot="1">
      <c r="A23" s="33">
        <f t="shared" si="2"/>
        <v>21</v>
      </c>
      <c r="B23">
        <f t="shared" si="26"/>
        <v>2</v>
      </c>
      <c r="C23" s="183">
        <v>21</v>
      </c>
      <c r="D23" s="2" t="s">
        <v>782</v>
      </c>
      <c r="E23" t="s">
        <v>914</v>
      </c>
      <c r="F23" t="s">
        <v>1027</v>
      </c>
      <c r="I23" t="str">
        <f t="shared" si="17"/>
        <v>1819</v>
      </c>
      <c r="J23" t="str">
        <f t="shared" si="18"/>
        <v>1841</v>
      </c>
      <c r="K23" s="9" t="str">
        <f t="shared" si="27"/>
        <v>Lewis (21): 1819</v>
      </c>
      <c r="L23" s="8" t="s">
        <v>1028</v>
      </c>
      <c r="M23" s="8" t="s">
        <v>1028</v>
      </c>
      <c r="N23" t="s">
        <v>3792</v>
      </c>
      <c r="O23" s="10" t="s">
        <v>1029</v>
      </c>
      <c r="P23" s="13">
        <f t="shared" si="3"/>
        <v>21</v>
      </c>
      <c r="Q23" s="19" t="str">
        <f t="shared" si="4"/>
        <v>Lewis (21): 1819–1841</v>
      </c>
      <c r="R23" s="120">
        <v>4</v>
      </c>
      <c r="S23" s="15" t="str">
        <f t="shared" si="28"/>
        <v>William (4): 1770–1828</v>
      </c>
      <c r="T23" s="38">
        <f t="shared" si="19"/>
        <v>1</v>
      </c>
      <c r="U23" s="37" t="str">
        <f t="shared" si="0"/>
        <v>William (1): 1729–1800</v>
      </c>
      <c r="V23" s="27">
        <f t="shared" si="20"/>
        <v>0</v>
      </c>
      <c r="W23" s="28" t="str">
        <f t="shared" si="21"/>
        <v>Lewis (0): 1690–1758</v>
      </c>
      <c r="X23" s="39">
        <f t="shared" si="5"/>
        <v>-1</v>
      </c>
      <c r="Y23" s="40" t="e">
        <f t="shared" si="6"/>
        <v>#N/A</v>
      </c>
      <c r="Z23" s="29" t="e">
        <f t="shared" si="7"/>
        <v>#N/A</v>
      </c>
      <c r="AA23" s="41" t="e">
        <f t="shared" si="8"/>
        <v>#N/A</v>
      </c>
      <c r="AB23" s="30" t="e">
        <f t="shared" si="9"/>
        <v>#N/A</v>
      </c>
      <c r="AC23" s="43" t="e">
        <f t="shared" si="10"/>
        <v>#N/A</v>
      </c>
      <c r="AD23" s="42" t="e">
        <f t="shared" si="11"/>
        <v>#N/A</v>
      </c>
      <c r="AE23" s="22" t="e">
        <f t="shared" si="12"/>
        <v>#N/A</v>
      </c>
      <c r="AF23" s="42" t="e">
        <f t="shared" si="13"/>
        <v>#N/A</v>
      </c>
      <c r="AG23" s="22" t="e">
        <f t="shared" si="14"/>
        <v>#N/A</v>
      </c>
      <c r="AH23" s="23" t="s">
        <v>2815</v>
      </c>
      <c r="AI23" s="33" t="s">
        <v>4369</v>
      </c>
      <c r="AJ23" s="264" t="str">
        <f>VLOOKUP(AI23,'Mums of Loyd Edit&amp;Partner Edit'!$B$4:$C$66,2,FALSE)</f>
        <v>Martha KIRKMAN (b. 17 Nov 1775, d. 4 Feb 1857)</v>
      </c>
      <c r="AK23" s="33">
        <f t="shared" si="22"/>
        <v>4</v>
      </c>
      <c r="AL23" s="33">
        <f t="shared" si="23"/>
        <v>29</v>
      </c>
      <c r="AM23" s="144">
        <f t="shared" si="24"/>
        <v>7</v>
      </c>
      <c r="AN23" s="144">
        <f t="shared" si="25"/>
        <v>7</v>
      </c>
      <c r="AO23">
        <f t="shared" si="15"/>
        <v>22</v>
      </c>
      <c r="AP23" s="103">
        <f t="shared" si="16"/>
        <v>203</v>
      </c>
      <c r="AQ23" s="33">
        <f t="shared" si="1"/>
        <v>21</v>
      </c>
    </row>
    <row r="24" spans="1:83" ht="385" customHeight="1" thickBot="1">
      <c r="A24" s="33">
        <f t="shared" si="2"/>
        <v>22</v>
      </c>
      <c r="B24">
        <f t="shared" si="26"/>
        <v>2</v>
      </c>
      <c r="C24" s="183">
        <v>22</v>
      </c>
      <c r="D24" s="2" t="s">
        <v>782</v>
      </c>
      <c r="E24" t="s">
        <v>811</v>
      </c>
      <c r="I24" t="str">
        <f t="shared" si="17"/>
        <v>1820</v>
      </c>
      <c r="J24" t="str">
        <f t="shared" si="18"/>
        <v>1890</v>
      </c>
      <c r="K24" s="9" t="str">
        <f t="shared" si="27"/>
        <v>Edward (22): 1820</v>
      </c>
      <c r="L24" s="8" t="s">
        <v>1030</v>
      </c>
      <c r="M24" s="8" t="s">
        <v>1030</v>
      </c>
      <c r="N24" t="s">
        <v>1031</v>
      </c>
      <c r="O24" s="10" t="s">
        <v>1032</v>
      </c>
      <c r="P24" s="13">
        <f t="shared" si="3"/>
        <v>22</v>
      </c>
      <c r="Q24" s="19" t="str">
        <f t="shared" si="4"/>
        <v>Edward (22): 1820–1890</v>
      </c>
      <c r="R24" s="120">
        <v>8</v>
      </c>
      <c r="S24" s="15" t="str">
        <f t="shared" si="28"/>
        <v>Edward (8): 1780–1863</v>
      </c>
      <c r="T24" s="38">
        <f t="shared" si="19"/>
        <v>1</v>
      </c>
      <c r="U24" s="37" t="str">
        <f t="shared" si="0"/>
        <v>William (1): 1729–1800</v>
      </c>
      <c r="V24" s="27">
        <f t="shared" si="20"/>
        <v>0</v>
      </c>
      <c r="W24" s="28" t="str">
        <f t="shared" si="21"/>
        <v>Lewis (0): 1690–1758</v>
      </c>
      <c r="X24" s="39">
        <f t="shared" si="5"/>
        <v>-1</v>
      </c>
      <c r="Y24" s="40" t="e">
        <f t="shared" si="6"/>
        <v>#N/A</v>
      </c>
      <c r="Z24" s="29" t="e">
        <f t="shared" si="7"/>
        <v>#N/A</v>
      </c>
      <c r="AA24" s="41" t="e">
        <f t="shared" si="8"/>
        <v>#N/A</v>
      </c>
      <c r="AB24" s="30" t="e">
        <f t="shared" si="9"/>
        <v>#N/A</v>
      </c>
      <c r="AC24" s="43" t="e">
        <f t="shared" si="10"/>
        <v>#N/A</v>
      </c>
      <c r="AD24" s="42" t="e">
        <f t="shared" si="11"/>
        <v>#N/A</v>
      </c>
      <c r="AE24" s="22" t="e">
        <f t="shared" si="12"/>
        <v>#N/A</v>
      </c>
      <c r="AF24" s="42" t="e">
        <f t="shared" si="13"/>
        <v>#N/A</v>
      </c>
      <c r="AG24" s="22" t="e">
        <f t="shared" si="14"/>
        <v>#N/A</v>
      </c>
      <c r="AH24" s="23" t="s">
        <v>2815</v>
      </c>
      <c r="AI24" s="33" t="s">
        <v>4370</v>
      </c>
      <c r="AJ24" s="264" t="str">
        <f>VLOOKUP(AI24,'Mums of Loyd Edit&amp;Partner Edit'!$B$4:$C$66,2,FALSE)</f>
        <v>Sarah TAYLOR (b.5 Jul 1785, d. 19 Jan 1863)</v>
      </c>
      <c r="AK24" s="33">
        <f t="shared" si="22"/>
        <v>4</v>
      </c>
      <c r="AL24" s="33">
        <f t="shared" si="23"/>
        <v>19</v>
      </c>
      <c r="AM24" s="144">
        <f t="shared" si="24"/>
        <v>12</v>
      </c>
      <c r="AN24" s="144">
        <f t="shared" si="25"/>
        <v>21</v>
      </c>
      <c r="AO24">
        <f t="shared" si="15"/>
        <v>70</v>
      </c>
      <c r="AP24" s="103">
        <f t="shared" si="16"/>
        <v>202</v>
      </c>
      <c r="AQ24" s="33">
        <f t="shared" si="1"/>
        <v>22</v>
      </c>
    </row>
    <row r="25" spans="1:83" ht="20" thickBot="1">
      <c r="A25" s="33">
        <f t="shared" si="2"/>
        <v>23</v>
      </c>
      <c r="B25">
        <f t="shared" si="26"/>
        <v>2</v>
      </c>
      <c r="C25" s="183">
        <v>23</v>
      </c>
      <c r="D25" s="2" t="s">
        <v>782</v>
      </c>
      <c r="E25" t="s">
        <v>830</v>
      </c>
      <c r="F25" t="s">
        <v>992</v>
      </c>
      <c r="I25" t="str">
        <f t="shared" si="17"/>
        <v>1821</v>
      </c>
      <c r="J25" t="str">
        <f t="shared" si="18"/>
        <v>1885</v>
      </c>
      <c r="K25" s="9" t="str">
        <f t="shared" si="27"/>
        <v>William (23): 1821</v>
      </c>
      <c r="L25" s="8" t="s">
        <v>1033</v>
      </c>
      <c r="M25" s="8" t="s">
        <v>1033</v>
      </c>
      <c r="N25" t="s">
        <v>1034</v>
      </c>
      <c r="O25" s="10" t="s">
        <v>1035</v>
      </c>
      <c r="P25" s="13">
        <f t="shared" si="3"/>
        <v>23</v>
      </c>
      <c r="Q25" s="19" t="str">
        <f t="shared" si="4"/>
        <v>William (23): 1821–1885</v>
      </c>
      <c r="R25" s="120">
        <v>8</v>
      </c>
      <c r="S25" s="15" t="str">
        <f t="shared" si="28"/>
        <v>Edward (8): 1780–1863</v>
      </c>
      <c r="T25" s="38">
        <f t="shared" si="19"/>
        <v>1</v>
      </c>
      <c r="U25" s="37" t="str">
        <f t="shared" si="0"/>
        <v>William (1): 1729–1800</v>
      </c>
      <c r="V25" s="27">
        <f t="shared" si="20"/>
        <v>0</v>
      </c>
      <c r="W25" s="28" t="str">
        <f t="shared" si="21"/>
        <v>Lewis (0): 1690–1758</v>
      </c>
      <c r="X25" s="39">
        <f t="shared" si="5"/>
        <v>-1</v>
      </c>
      <c r="Y25" s="40" t="e">
        <f t="shared" si="6"/>
        <v>#N/A</v>
      </c>
      <c r="Z25" s="29" t="e">
        <f t="shared" si="7"/>
        <v>#N/A</v>
      </c>
      <c r="AA25" s="41" t="e">
        <f t="shared" si="8"/>
        <v>#N/A</v>
      </c>
      <c r="AB25" s="30" t="e">
        <f t="shared" si="9"/>
        <v>#N/A</v>
      </c>
      <c r="AC25" s="43" t="e">
        <f t="shared" si="10"/>
        <v>#N/A</v>
      </c>
      <c r="AD25" s="42" t="e">
        <f t="shared" si="11"/>
        <v>#N/A</v>
      </c>
      <c r="AE25" s="22" t="e">
        <f t="shared" si="12"/>
        <v>#N/A</v>
      </c>
      <c r="AF25" s="42" t="e">
        <f t="shared" si="13"/>
        <v>#N/A</v>
      </c>
      <c r="AG25" s="22" t="e">
        <f t="shared" si="14"/>
        <v>#N/A</v>
      </c>
      <c r="AH25" s="23" t="s">
        <v>2815</v>
      </c>
      <c r="AI25" s="33" t="s">
        <v>4370</v>
      </c>
      <c r="AJ25" s="264" t="str">
        <f>VLOOKUP(AI25,'Mums of Loyd Edit&amp;Partner Edit'!$B$4:$C$66,2,FALSE)</f>
        <v>Sarah TAYLOR (b.5 Jul 1785, d. 19 Jan 1863)</v>
      </c>
      <c r="AK25" s="33">
        <f t="shared" si="22"/>
        <v>8</v>
      </c>
      <c r="AL25" s="33">
        <f t="shared" si="23"/>
        <v>2</v>
      </c>
      <c r="AM25" s="144">
        <f t="shared" si="24"/>
        <v>8</v>
      </c>
      <c r="AN25" s="144">
        <f t="shared" si="25"/>
        <v>28</v>
      </c>
      <c r="AO25">
        <f t="shared" si="15"/>
        <v>64</v>
      </c>
      <c r="AP25" s="103">
        <f t="shared" si="16"/>
        <v>200</v>
      </c>
      <c r="AQ25" s="33">
        <f t="shared" si="1"/>
        <v>23</v>
      </c>
    </row>
    <row r="26" spans="1:83" ht="20" thickBot="1">
      <c r="A26" s="33">
        <f t="shared" si="2"/>
        <v>24</v>
      </c>
      <c r="B26">
        <f t="shared" si="26"/>
        <v>2</v>
      </c>
      <c r="C26" s="183">
        <v>24</v>
      </c>
      <c r="D26" s="2" t="s">
        <v>782</v>
      </c>
      <c r="E26" t="s">
        <v>1036</v>
      </c>
      <c r="H26" t="s">
        <v>2015</v>
      </c>
      <c r="I26" t="str">
        <f t="shared" si="17"/>
        <v>1824</v>
      </c>
      <c r="J26" t="str">
        <f t="shared" si="18"/>
        <v>1856</v>
      </c>
      <c r="K26" s="9" t="str">
        <f t="shared" si="27"/>
        <v>Fanny (24): 1824</v>
      </c>
      <c r="L26" s="8" t="s">
        <v>1038</v>
      </c>
      <c r="M26" s="8" t="s">
        <v>1038</v>
      </c>
      <c r="N26" t="s">
        <v>1039</v>
      </c>
      <c r="O26" s="10" t="s">
        <v>1040</v>
      </c>
      <c r="P26" s="13">
        <f t="shared" si="3"/>
        <v>24</v>
      </c>
      <c r="Q26" s="19" t="str">
        <f t="shared" si="4"/>
        <v>Fanny (24): 1824–1856</v>
      </c>
      <c r="R26" s="120">
        <v>8</v>
      </c>
      <c r="S26" s="15" t="str">
        <f t="shared" si="28"/>
        <v>Edward (8): 1780–1863</v>
      </c>
      <c r="T26" s="38">
        <f t="shared" si="19"/>
        <v>1</v>
      </c>
      <c r="U26" s="37" t="str">
        <f t="shared" si="0"/>
        <v>William (1): 1729–1800</v>
      </c>
      <c r="V26" s="27">
        <f t="shared" si="20"/>
        <v>0</v>
      </c>
      <c r="W26" s="28" t="str">
        <f t="shared" si="21"/>
        <v>Lewis (0): 1690–1758</v>
      </c>
      <c r="X26" s="39">
        <f t="shared" si="5"/>
        <v>-1</v>
      </c>
      <c r="Y26" s="40" t="e">
        <f t="shared" si="6"/>
        <v>#N/A</v>
      </c>
      <c r="Z26" s="29" t="e">
        <f t="shared" si="7"/>
        <v>#N/A</v>
      </c>
      <c r="AA26" s="41" t="e">
        <f t="shared" si="8"/>
        <v>#N/A</v>
      </c>
      <c r="AB26" s="30" t="e">
        <f t="shared" si="9"/>
        <v>#N/A</v>
      </c>
      <c r="AC26" s="43" t="e">
        <f t="shared" si="10"/>
        <v>#N/A</v>
      </c>
      <c r="AD26" s="42" t="e">
        <f t="shared" si="11"/>
        <v>#N/A</v>
      </c>
      <c r="AE26" s="22" t="e">
        <f t="shared" si="12"/>
        <v>#N/A</v>
      </c>
      <c r="AF26" s="42" t="e">
        <f t="shared" si="13"/>
        <v>#N/A</v>
      </c>
      <c r="AG26" s="22" t="e">
        <f t="shared" si="14"/>
        <v>#N/A</v>
      </c>
      <c r="AH26" s="23" t="s">
        <v>2814</v>
      </c>
      <c r="AI26" s="33" t="s">
        <v>4370</v>
      </c>
      <c r="AJ26" s="264" t="str">
        <f>VLOOKUP(AI26,'Mums of Loyd Edit&amp;Partner Edit'!$B$4:$C$66,2,FALSE)</f>
        <v>Sarah TAYLOR (b.5 Jul 1785, d. 19 Jan 1863)</v>
      </c>
      <c r="AK26" s="33">
        <f t="shared" si="22"/>
        <v>11</v>
      </c>
      <c r="AL26" s="33">
        <f t="shared" si="23"/>
        <v>24</v>
      </c>
      <c r="AM26" s="144">
        <f t="shared" si="24"/>
        <v>9</v>
      </c>
      <c r="AN26" s="144">
        <f t="shared" si="25"/>
        <v>20</v>
      </c>
      <c r="AO26">
        <f t="shared" si="15"/>
        <v>31</v>
      </c>
      <c r="AP26" s="103">
        <f t="shared" si="16"/>
        <v>197</v>
      </c>
      <c r="AQ26" s="33">
        <f t="shared" si="1"/>
        <v>24</v>
      </c>
    </row>
    <row r="27" spans="1:83" ht="20" thickBot="1">
      <c r="A27" s="33">
        <f t="shared" si="2"/>
        <v>25</v>
      </c>
      <c r="B27">
        <f t="shared" si="26"/>
        <v>3</v>
      </c>
      <c r="C27" s="183">
        <v>25</v>
      </c>
      <c r="D27" s="2" t="s">
        <v>782</v>
      </c>
      <c r="E27" t="s">
        <v>807</v>
      </c>
      <c r="F27" t="s">
        <v>992</v>
      </c>
      <c r="I27" t="str">
        <f t="shared" si="17"/>
        <v>1832</v>
      </c>
      <c r="J27" t="str">
        <f t="shared" si="18"/>
        <v>1833</v>
      </c>
      <c r="K27" s="9" t="str">
        <f t="shared" si="27"/>
        <v>Henry (25): 1832</v>
      </c>
      <c r="L27" s="8" t="s">
        <v>1041</v>
      </c>
      <c r="M27" s="8" t="s">
        <v>1041</v>
      </c>
      <c r="N27" t="s">
        <v>3792</v>
      </c>
      <c r="O27" s="10" t="s">
        <v>1042</v>
      </c>
      <c r="P27" s="13">
        <f t="shared" si="3"/>
        <v>25</v>
      </c>
      <c r="Q27" s="19" t="str">
        <f t="shared" si="4"/>
        <v>Henry (25): 1832–1833</v>
      </c>
      <c r="R27" s="120">
        <v>9</v>
      </c>
      <c r="S27" s="15" t="str">
        <f t="shared" si="28"/>
        <v>Samuel (9): 1796–1883</v>
      </c>
      <c r="T27" s="38">
        <f t="shared" si="19"/>
        <v>3</v>
      </c>
      <c r="U27" s="37" t="str">
        <f t="shared" si="0"/>
        <v>Lewis LOYD (3): 1768–1858</v>
      </c>
      <c r="V27" s="27">
        <f t="shared" si="20"/>
        <v>1</v>
      </c>
      <c r="W27" s="28" t="str">
        <f t="shared" si="21"/>
        <v>William (1): 1729–1800</v>
      </c>
      <c r="X27" s="39">
        <f t="shared" si="5"/>
        <v>0</v>
      </c>
      <c r="Y27" s="40" t="str">
        <f t="shared" si="6"/>
        <v>Lewis (0): 1690–1758</v>
      </c>
      <c r="Z27" s="29">
        <f t="shared" si="7"/>
        <v>-1</v>
      </c>
      <c r="AA27" s="41" t="e">
        <f t="shared" si="8"/>
        <v>#N/A</v>
      </c>
      <c r="AB27" s="30" t="e">
        <f t="shared" si="9"/>
        <v>#N/A</v>
      </c>
      <c r="AC27" s="43" t="e">
        <f t="shared" si="10"/>
        <v>#N/A</v>
      </c>
      <c r="AD27" s="42" t="e">
        <f t="shared" si="11"/>
        <v>#N/A</v>
      </c>
      <c r="AE27" s="22" t="e">
        <f t="shared" si="12"/>
        <v>#N/A</v>
      </c>
      <c r="AF27" s="42" t="e">
        <f t="shared" si="13"/>
        <v>#N/A</v>
      </c>
      <c r="AG27" s="22" t="e">
        <f t="shared" si="14"/>
        <v>#N/A</v>
      </c>
      <c r="AH27" s="23" t="s">
        <v>2815</v>
      </c>
      <c r="AI27" s="33" t="s">
        <v>4371</v>
      </c>
      <c r="AJ27" s="264" t="str">
        <f>VLOOKUP(AI27,'Mums of Loyd Edit&amp;Partner Edit'!$B$4:$C$66,2,FALSE)</f>
        <v>Harriet  WRIGHT (b. 1798/99, d. 6 Nov 1864)</v>
      </c>
      <c r="AK27" s="33">
        <f t="shared" si="22"/>
        <v>12</v>
      </c>
      <c r="AL27" s="33">
        <f t="shared" si="23"/>
        <v>20</v>
      </c>
      <c r="AM27" s="144">
        <f t="shared" si="24"/>
        <v>3</v>
      </c>
      <c r="AN27" s="144">
        <f t="shared" si="25"/>
        <v>31</v>
      </c>
      <c r="AO27">
        <f t="shared" si="15"/>
        <v>0</v>
      </c>
      <c r="AP27" s="103">
        <f t="shared" si="16"/>
        <v>189</v>
      </c>
      <c r="AQ27" s="33">
        <f t="shared" si="1"/>
        <v>25</v>
      </c>
    </row>
    <row r="28" spans="1:83" ht="20" thickBot="1">
      <c r="A28" s="33">
        <f t="shared" si="2"/>
        <v>26</v>
      </c>
      <c r="B28">
        <f t="shared" si="26"/>
        <v>3</v>
      </c>
      <c r="C28" s="183">
        <v>26</v>
      </c>
      <c r="D28" s="2" t="s">
        <v>782</v>
      </c>
      <c r="E28" t="s">
        <v>2956</v>
      </c>
      <c r="F28" t="s">
        <v>998</v>
      </c>
      <c r="G28" t="s">
        <v>992</v>
      </c>
      <c r="I28" t="str">
        <f t="shared" si="17"/>
        <v>1837</v>
      </c>
      <c r="J28">
        <f t="shared" ref="J28:J86" si="29">YEAR(O28)</f>
        <v>1920</v>
      </c>
      <c r="K28" s="9" t="str">
        <f t="shared" si="27"/>
        <v>The Hon Harriet (26): 1837</v>
      </c>
      <c r="L28" s="8" t="s">
        <v>1044</v>
      </c>
      <c r="M28" s="8" t="s">
        <v>1044</v>
      </c>
      <c r="N28" t="s">
        <v>1045</v>
      </c>
      <c r="O28" s="10" t="s">
        <v>3163</v>
      </c>
      <c r="P28" s="13">
        <f t="shared" si="3"/>
        <v>26</v>
      </c>
      <c r="Q28" s="19" t="str">
        <f t="shared" si="4"/>
        <v>The Hon Harriet (26): 1837–1920</v>
      </c>
      <c r="R28" s="120">
        <v>9</v>
      </c>
      <c r="S28" s="15" t="str">
        <f t="shared" si="28"/>
        <v>Samuel (9): 1796–1883</v>
      </c>
      <c r="T28" s="38">
        <f t="shared" si="19"/>
        <v>3</v>
      </c>
      <c r="U28" s="37" t="str">
        <f t="shared" si="0"/>
        <v>Lewis LOYD (3): 1768–1858</v>
      </c>
      <c r="V28" s="27">
        <f t="shared" si="20"/>
        <v>1</v>
      </c>
      <c r="W28" s="28" t="str">
        <f t="shared" si="21"/>
        <v>William (1): 1729–1800</v>
      </c>
      <c r="X28" s="39">
        <f t="shared" si="5"/>
        <v>0</v>
      </c>
      <c r="Y28" s="40" t="str">
        <f t="shared" si="6"/>
        <v>Lewis (0): 1690–1758</v>
      </c>
      <c r="Z28" s="29">
        <f t="shared" si="7"/>
        <v>-1</v>
      </c>
      <c r="AA28" s="41" t="e">
        <f t="shared" si="8"/>
        <v>#N/A</v>
      </c>
      <c r="AB28" s="30" t="e">
        <f t="shared" si="9"/>
        <v>#N/A</v>
      </c>
      <c r="AC28" s="43" t="e">
        <f t="shared" si="10"/>
        <v>#N/A</v>
      </c>
      <c r="AD28" s="42" t="e">
        <f t="shared" si="11"/>
        <v>#N/A</v>
      </c>
      <c r="AE28" s="22" t="e">
        <f t="shared" si="12"/>
        <v>#N/A</v>
      </c>
      <c r="AF28" s="42" t="e">
        <f t="shared" si="13"/>
        <v>#N/A</v>
      </c>
      <c r="AG28" s="22" t="e">
        <f t="shared" si="14"/>
        <v>#N/A</v>
      </c>
      <c r="AH28" s="23" t="s">
        <v>2814</v>
      </c>
      <c r="AI28" s="33" t="s">
        <v>4371</v>
      </c>
      <c r="AJ28" s="264" t="str">
        <f>VLOOKUP(AI28,'Mums of Loyd Edit&amp;Partner Edit'!$B$4:$C$66,2,FALSE)</f>
        <v>Harriet  WRIGHT (b. 1798/99, d. 6 Nov 1864)</v>
      </c>
      <c r="AK28" s="33">
        <f t="shared" si="22"/>
        <v>6</v>
      </c>
      <c r="AL28" s="33">
        <f t="shared" si="23"/>
        <v>30</v>
      </c>
      <c r="AM28" s="144">
        <f t="shared" si="24"/>
        <v>8</v>
      </c>
      <c r="AN28" s="144">
        <f t="shared" si="25"/>
        <v>9</v>
      </c>
      <c r="AO28">
        <f t="shared" si="15"/>
        <v>83</v>
      </c>
      <c r="AP28" s="103">
        <f t="shared" si="16"/>
        <v>185</v>
      </c>
      <c r="AQ28" s="33">
        <f t="shared" si="1"/>
        <v>26</v>
      </c>
    </row>
    <row r="29" spans="1:83" ht="20" thickBot="1">
      <c r="A29" s="33">
        <f t="shared" si="2"/>
        <v>27</v>
      </c>
      <c r="B29">
        <f t="shared" si="26"/>
        <v>3</v>
      </c>
      <c r="C29" s="183">
        <v>27</v>
      </c>
      <c r="D29" s="2" t="s">
        <v>782</v>
      </c>
      <c r="E29" t="s">
        <v>830</v>
      </c>
      <c r="F29" t="s">
        <v>819</v>
      </c>
      <c r="I29" t="str">
        <f t="shared" si="17"/>
        <v>1843</v>
      </c>
      <c r="J29" t="str">
        <f t="shared" si="18"/>
        <v>1843</v>
      </c>
      <c r="K29" s="9" t="str">
        <f t="shared" si="27"/>
        <v>William (27): 1843</v>
      </c>
      <c r="L29" s="8" t="s">
        <v>1049</v>
      </c>
      <c r="M29" s="8" t="s">
        <v>1049</v>
      </c>
      <c r="N29" t="s">
        <v>3792</v>
      </c>
      <c r="O29" s="10" t="s">
        <v>1046</v>
      </c>
      <c r="P29" s="13">
        <f t="shared" si="3"/>
        <v>27</v>
      </c>
      <c r="Q29" s="19" t="str">
        <f t="shared" si="4"/>
        <v>William (27): 1843–1843</v>
      </c>
      <c r="R29" s="120">
        <v>14</v>
      </c>
      <c r="S29" s="15" t="str">
        <f t="shared" si="28"/>
        <v>Thomas (14): 1812–1857</v>
      </c>
      <c r="T29" s="38">
        <f t="shared" si="19"/>
        <v>4</v>
      </c>
      <c r="U29" s="37" t="str">
        <f t="shared" si="0"/>
        <v>William (4): 1770–1828</v>
      </c>
      <c r="V29" s="27">
        <f t="shared" si="20"/>
        <v>1</v>
      </c>
      <c r="W29" s="28" t="str">
        <f t="shared" si="21"/>
        <v>William (1): 1729–1800</v>
      </c>
      <c r="X29" s="39">
        <f t="shared" si="5"/>
        <v>0</v>
      </c>
      <c r="Y29" s="40" t="str">
        <f t="shared" si="6"/>
        <v>Lewis (0): 1690–1758</v>
      </c>
      <c r="Z29" s="29">
        <f t="shared" si="7"/>
        <v>-1</v>
      </c>
      <c r="AA29" s="41" t="e">
        <f t="shared" si="8"/>
        <v>#N/A</v>
      </c>
      <c r="AB29" s="30" t="e">
        <f t="shared" si="9"/>
        <v>#N/A</v>
      </c>
      <c r="AC29" s="43" t="e">
        <f t="shared" si="10"/>
        <v>#N/A</v>
      </c>
      <c r="AD29" s="42" t="e">
        <f t="shared" si="11"/>
        <v>#N/A</v>
      </c>
      <c r="AE29" s="22" t="e">
        <f t="shared" si="12"/>
        <v>#N/A</v>
      </c>
      <c r="AF29" s="42" t="e">
        <f t="shared" si="13"/>
        <v>#N/A</v>
      </c>
      <c r="AG29" s="22" t="e">
        <f t="shared" si="14"/>
        <v>#N/A</v>
      </c>
      <c r="AH29" s="23" t="s">
        <v>2815</v>
      </c>
      <c r="AI29" s="33" t="s">
        <v>4372</v>
      </c>
      <c r="AJ29" s="264" t="str">
        <f>VLOOKUP(AI29,'Mums of Loyd Edit&amp;Partner Edit'!$B$4:$C$66,2,FALSE)</f>
        <v>Annie Hurst HAIG (b. 3 Oct 1816, d. 28 May 1885)</v>
      </c>
      <c r="AK29" s="33">
        <f t="shared" si="22"/>
        <v>1</v>
      </c>
      <c r="AL29" s="33">
        <f t="shared" si="23"/>
        <v>17</v>
      </c>
      <c r="AM29" s="144">
        <f t="shared" si="24"/>
        <v>5</v>
      </c>
      <c r="AN29" s="144">
        <f t="shared" si="25"/>
        <v>30</v>
      </c>
      <c r="AO29">
        <f t="shared" si="15"/>
        <v>0</v>
      </c>
      <c r="AP29" s="103">
        <f t="shared" si="16"/>
        <v>179</v>
      </c>
      <c r="AQ29" s="33">
        <f t="shared" si="1"/>
        <v>27</v>
      </c>
    </row>
    <row r="30" spans="1:83" ht="20" thickBot="1">
      <c r="A30" s="33">
        <f t="shared" si="2"/>
        <v>28</v>
      </c>
      <c r="B30">
        <f t="shared" si="26"/>
        <v>3</v>
      </c>
      <c r="C30" s="183">
        <v>28</v>
      </c>
      <c r="D30" s="2" t="s">
        <v>782</v>
      </c>
      <c r="E30" t="s">
        <v>1047</v>
      </c>
      <c r="F30" t="s">
        <v>1048</v>
      </c>
      <c r="I30" t="str">
        <f t="shared" si="17"/>
        <v>1844</v>
      </c>
      <c r="J30">
        <f t="shared" si="29"/>
        <v>1905</v>
      </c>
      <c r="K30" s="9" t="str">
        <f t="shared" si="27"/>
        <v>The Rev Lewis (28): 1844</v>
      </c>
      <c r="L30" s="8" t="s">
        <v>1050</v>
      </c>
      <c r="M30" s="8" t="s">
        <v>1050</v>
      </c>
      <c r="N30" t="s">
        <v>1051</v>
      </c>
      <c r="O30" s="10" t="s">
        <v>3164</v>
      </c>
      <c r="P30" s="13">
        <f t="shared" si="3"/>
        <v>28</v>
      </c>
      <c r="Q30" s="19" t="str">
        <f t="shared" si="4"/>
        <v>The Rev Lewis (28): 1844–1905</v>
      </c>
      <c r="R30" s="120">
        <v>14</v>
      </c>
      <c r="S30" s="15" t="str">
        <f t="shared" si="28"/>
        <v>Thomas (14): 1812–1857</v>
      </c>
      <c r="T30" s="38">
        <f t="shared" si="19"/>
        <v>4</v>
      </c>
      <c r="U30" s="37" t="str">
        <f t="shared" si="0"/>
        <v>William (4): 1770–1828</v>
      </c>
      <c r="V30" s="27">
        <f t="shared" si="20"/>
        <v>1</v>
      </c>
      <c r="W30" s="28" t="str">
        <f t="shared" si="21"/>
        <v>William (1): 1729–1800</v>
      </c>
      <c r="X30" s="39">
        <f t="shared" si="5"/>
        <v>0</v>
      </c>
      <c r="Y30" s="40" t="str">
        <f t="shared" si="6"/>
        <v>Lewis (0): 1690–1758</v>
      </c>
      <c r="Z30" s="29">
        <f t="shared" si="7"/>
        <v>-1</v>
      </c>
      <c r="AA30" s="41" t="e">
        <f t="shared" si="8"/>
        <v>#N/A</v>
      </c>
      <c r="AB30" s="30" t="e">
        <f t="shared" si="9"/>
        <v>#N/A</v>
      </c>
      <c r="AC30" s="43" t="e">
        <f t="shared" si="10"/>
        <v>#N/A</v>
      </c>
      <c r="AD30" s="42" t="e">
        <f t="shared" si="11"/>
        <v>#N/A</v>
      </c>
      <c r="AE30" s="22" t="e">
        <f t="shared" si="12"/>
        <v>#N/A</v>
      </c>
      <c r="AF30" s="42" t="e">
        <f t="shared" si="13"/>
        <v>#N/A</v>
      </c>
      <c r="AG30" s="22" t="e">
        <f t="shared" si="14"/>
        <v>#N/A</v>
      </c>
      <c r="AH30" s="23" t="s">
        <v>2815</v>
      </c>
      <c r="AI30" s="33" t="s">
        <v>4372</v>
      </c>
      <c r="AJ30" s="264" t="str">
        <f>VLOOKUP(AI30,'Mums of Loyd Edit&amp;Partner Edit'!$B$4:$C$66,2,FALSE)</f>
        <v>Annie Hurst HAIG (b. 3 Oct 1816, d. 28 May 1885)</v>
      </c>
      <c r="AK30" s="33">
        <f t="shared" si="22"/>
        <v>3</v>
      </c>
      <c r="AL30" s="33">
        <f t="shared" si="23"/>
        <v>28</v>
      </c>
      <c r="AM30" s="144">
        <f t="shared" si="24"/>
        <v>8</v>
      </c>
      <c r="AN30" s="144">
        <f t="shared" si="25"/>
        <v>4</v>
      </c>
      <c r="AO30">
        <f t="shared" si="15"/>
        <v>61</v>
      </c>
      <c r="AP30" s="103">
        <f t="shared" si="16"/>
        <v>178</v>
      </c>
      <c r="AQ30" s="33">
        <f t="shared" si="1"/>
        <v>28</v>
      </c>
    </row>
    <row r="31" spans="1:83" ht="269" customHeight="1" thickBot="1">
      <c r="A31" s="33">
        <f t="shared" si="2"/>
        <v>29</v>
      </c>
      <c r="B31">
        <f t="shared" si="26"/>
        <v>3</v>
      </c>
      <c r="C31" s="183">
        <v>29</v>
      </c>
      <c r="D31" s="2" t="s">
        <v>782</v>
      </c>
      <c r="E31" t="s">
        <v>804</v>
      </c>
      <c r="F31" t="s">
        <v>1052</v>
      </c>
      <c r="I31" t="str">
        <f t="shared" si="17"/>
        <v>1845</v>
      </c>
      <c r="J31">
        <f t="shared" si="29"/>
        <v>1930</v>
      </c>
      <c r="K31" s="9" t="str">
        <f t="shared" si="27"/>
        <v>Arthur (29): 1845</v>
      </c>
      <c r="L31" s="8" t="s">
        <v>1053</v>
      </c>
      <c r="M31" s="8" t="s">
        <v>1053</v>
      </c>
      <c r="N31" t="s">
        <v>1054</v>
      </c>
      <c r="O31" s="10" t="s">
        <v>3170</v>
      </c>
      <c r="P31" s="13">
        <f t="shared" si="3"/>
        <v>29</v>
      </c>
      <c r="Q31" s="19" t="str">
        <f t="shared" si="4"/>
        <v>Arthur (29): 1845–1930</v>
      </c>
      <c r="R31" s="120">
        <v>14</v>
      </c>
      <c r="S31" s="15" t="str">
        <f t="shared" si="28"/>
        <v>Thomas (14): 1812–1857</v>
      </c>
      <c r="T31" s="38">
        <f t="shared" si="19"/>
        <v>4</v>
      </c>
      <c r="U31" s="37" t="str">
        <f t="shared" si="0"/>
        <v>William (4): 1770–1828</v>
      </c>
      <c r="V31" s="27">
        <f t="shared" si="20"/>
        <v>1</v>
      </c>
      <c r="W31" s="28" t="str">
        <f t="shared" si="21"/>
        <v>William (1): 1729–1800</v>
      </c>
      <c r="X31" s="39">
        <f t="shared" si="5"/>
        <v>0</v>
      </c>
      <c r="Y31" s="40" t="str">
        <f t="shared" si="6"/>
        <v>Lewis (0): 1690–1758</v>
      </c>
      <c r="Z31" s="29">
        <f t="shared" si="7"/>
        <v>-1</v>
      </c>
      <c r="AA31" s="41" t="e">
        <f t="shared" si="8"/>
        <v>#N/A</v>
      </c>
      <c r="AB31" s="30" t="e">
        <f t="shared" si="9"/>
        <v>#N/A</v>
      </c>
      <c r="AC31" s="43" t="e">
        <f t="shared" si="10"/>
        <v>#N/A</v>
      </c>
      <c r="AD31" s="42" t="e">
        <f t="shared" si="11"/>
        <v>#N/A</v>
      </c>
      <c r="AE31" s="22" t="e">
        <f t="shared" si="12"/>
        <v>#N/A</v>
      </c>
      <c r="AF31" s="42" t="e">
        <f t="shared" si="13"/>
        <v>#N/A</v>
      </c>
      <c r="AG31" s="22" t="e">
        <f t="shared" si="14"/>
        <v>#N/A</v>
      </c>
      <c r="AH31" s="23" t="s">
        <v>2815</v>
      </c>
      <c r="AI31" s="33" t="s">
        <v>4372</v>
      </c>
      <c r="AJ31" s="264" t="str">
        <f>VLOOKUP(AI31,'Mums of Loyd Edit&amp;Partner Edit'!$B$4:$C$66,2,FALSE)</f>
        <v>Annie Hurst HAIG (b. 3 Oct 1816, d. 28 May 1885)</v>
      </c>
      <c r="AK31" s="33">
        <f t="shared" si="22"/>
        <v>9</v>
      </c>
      <c r="AL31" s="33">
        <f t="shared" si="23"/>
        <v>28</v>
      </c>
      <c r="AM31" s="144">
        <f t="shared" si="24"/>
        <v>3</v>
      </c>
      <c r="AN31" s="144">
        <f t="shared" si="25"/>
        <v>19</v>
      </c>
      <c r="AO31">
        <f t="shared" si="15"/>
        <v>84</v>
      </c>
      <c r="AP31" s="103">
        <f t="shared" si="16"/>
        <v>176</v>
      </c>
      <c r="AQ31" s="33">
        <f t="shared" si="1"/>
        <v>29</v>
      </c>
    </row>
    <row r="32" spans="1:83" ht="270" customHeight="1" thickBot="1">
      <c r="A32" s="33">
        <f t="shared" si="2"/>
        <v>30</v>
      </c>
      <c r="B32">
        <f t="shared" si="26"/>
        <v>3</v>
      </c>
      <c r="C32" s="183">
        <v>30</v>
      </c>
      <c r="D32" s="2" t="s">
        <v>782</v>
      </c>
      <c r="E32" t="s">
        <v>1055</v>
      </c>
      <c r="F32" t="s">
        <v>819</v>
      </c>
      <c r="I32" t="str">
        <f t="shared" si="17"/>
        <v>1847</v>
      </c>
      <c r="J32">
        <f t="shared" si="29"/>
        <v>1922</v>
      </c>
      <c r="K32" s="9" t="str">
        <f t="shared" si="27"/>
        <v>Archie (30): 1847</v>
      </c>
      <c r="L32" s="8" t="s">
        <v>1056</v>
      </c>
      <c r="M32" s="8" t="s">
        <v>1056</v>
      </c>
      <c r="N32" t="s">
        <v>1057</v>
      </c>
      <c r="O32" s="10" t="s">
        <v>3165</v>
      </c>
      <c r="P32" s="13">
        <f t="shared" si="3"/>
        <v>30</v>
      </c>
      <c r="Q32" s="19" t="str">
        <f t="shared" si="4"/>
        <v>Archie (30): 1847–1922</v>
      </c>
      <c r="R32" s="120">
        <v>14</v>
      </c>
      <c r="S32" s="15" t="str">
        <f t="shared" si="28"/>
        <v>Thomas (14): 1812–1857</v>
      </c>
      <c r="T32" s="38">
        <f t="shared" si="19"/>
        <v>4</v>
      </c>
      <c r="U32" s="37" t="str">
        <f t="shared" si="0"/>
        <v>William (4): 1770–1828</v>
      </c>
      <c r="V32" s="27">
        <f t="shared" si="20"/>
        <v>1</v>
      </c>
      <c r="W32" s="28" t="str">
        <f t="shared" si="21"/>
        <v>William (1): 1729–1800</v>
      </c>
      <c r="X32" s="39">
        <f t="shared" si="5"/>
        <v>0</v>
      </c>
      <c r="Y32" s="40" t="str">
        <f t="shared" si="6"/>
        <v>Lewis (0): 1690–1758</v>
      </c>
      <c r="Z32" s="29">
        <f t="shared" si="7"/>
        <v>-1</v>
      </c>
      <c r="AA32" s="41" t="e">
        <f t="shared" si="8"/>
        <v>#N/A</v>
      </c>
      <c r="AB32" s="30" t="e">
        <f t="shared" si="9"/>
        <v>#N/A</v>
      </c>
      <c r="AC32" s="43" t="e">
        <f t="shared" si="10"/>
        <v>#N/A</v>
      </c>
      <c r="AD32" s="42" t="e">
        <f t="shared" si="11"/>
        <v>#N/A</v>
      </c>
      <c r="AE32" s="22" t="e">
        <f t="shared" si="12"/>
        <v>#N/A</v>
      </c>
      <c r="AF32" s="42" t="e">
        <f t="shared" si="13"/>
        <v>#N/A</v>
      </c>
      <c r="AG32" s="22" t="e">
        <f t="shared" si="14"/>
        <v>#N/A</v>
      </c>
      <c r="AH32" s="23" t="s">
        <v>2815</v>
      </c>
      <c r="AI32" s="33" t="s">
        <v>4372</v>
      </c>
      <c r="AJ32" s="264" t="str">
        <f>VLOOKUP(AI32,'Mums of Loyd Edit&amp;Partner Edit'!$B$4:$C$66,2,FALSE)</f>
        <v>Annie Hurst HAIG (b. 3 Oct 1816, d. 28 May 1885)</v>
      </c>
      <c r="AK32" s="33">
        <f t="shared" si="22"/>
        <v>1</v>
      </c>
      <c r="AL32" s="33">
        <f t="shared" si="23"/>
        <v>22</v>
      </c>
      <c r="AM32" s="144">
        <f t="shared" si="24"/>
        <v>12</v>
      </c>
      <c r="AN32" s="144">
        <f t="shared" si="25"/>
        <v>1</v>
      </c>
      <c r="AO32">
        <f t="shared" si="15"/>
        <v>75</v>
      </c>
      <c r="AP32" s="103">
        <f t="shared" si="16"/>
        <v>175</v>
      </c>
      <c r="AQ32" s="33">
        <f t="shared" si="1"/>
        <v>30</v>
      </c>
    </row>
    <row r="33" spans="1:43" ht="20" thickBot="1">
      <c r="A33" s="33">
        <f t="shared" si="2"/>
        <v>31</v>
      </c>
      <c r="B33">
        <f t="shared" si="26"/>
        <v>3</v>
      </c>
      <c r="C33" s="183">
        <v>31</v>
      </c>
      <c r="D33" s="2" t="s">
        <v>782</v>
      </c>
      <c r="E33" t="s">
        <v>870</v>
      </c>
      <c r="F33" t="s">
        <v>1058</v>
      </c>
      <c r="I33" t="str">
        <f t="shared" si="17"/>
        <v>1848</v>
      </c>
      <c r="J33">
        <f t="shared" si="29"/>
        <v>1934</v>
      </c>
      <c r="K33" s="9" t="str">
        <f t="shared" si="27"/>
        <v>Mary (31): 1848</v>
      </c>
      <c r="L33" s="8" t="s">
        <v>1059</v>
      </c>
      <c r="M33" s="8" t="s">
        <v>1059</v>
      </c>
      <c r="N33" t="s">
        <v>3792</v>
      </c>
      <c r="O33" s="10" t="s">
        <v>3166</v>
      </c>
      <c r="P33" s="13">
        <f t="shared" si="3"/>
        <v>31</v>
      </c>
      <c r="Q33" s="19" t="str">
        <f t="shared" si="4"/>
        <v>Mary (31): 1848–1934</v>
      </c>
      <c r="R33" s="120">
        <v>22</v>
      </c>
      <c r="S33" s="15" t="str">
        <f t="shared" si="28"/>
        <v>Edward (22): 1820–1890</v>
      </c>
      <c r="T33" s="38">
        <f t="shared" si="19"/>
        <v>8</v>
      </c>
      <c r="U33" s="37" t="str">
        <f t="shared" si="0"/>
        <v>Edward (8): 1780–1863</v>
      </c>
      <c r="V33" s="27">
        <f t="shared" si="20"/>
        <v>1</v>
      </c>
      <c r="W33" s="28" t="str">
        <f t="shared" si="21"/>
        <v>William (1): 1729–1800</v>
      </c>
      <c r="X33" s="39">
        <f t="shared" si="5"/>
        <v>0</v>
      </c>
      <c r="Y33" s="40" t="str">
        <f t="shared" si="6"/>
        <v>Lewis (0): 1690–1758</v>
      </c>
      <c r="Z33" s="29">
        <f t="shared" si="7"/>
        <v>-1</v>
      </c>
      <c r="AA33" s="41" t="e">
        <f t="shared" si="8"/>
        <v>#N/A</v>
      </c>
      <c r="AB33" s="30" t="e">
        <f t="shared" si="9"/>
        <v>#N/A</v>
      </c>
      <c r="AC33" s="43" t="e">
        <f t="shared" si="10"/>
        <v>#N/A</v>
      </c>
      <c r="AD33" s="42" t="e">
        <f t="shared" si="11"/>
        <v>#N/A</v>
      </c>
      <c r="AE33" s="22" t="e">
        <f t="shared" si="12"/>
        <v>#N/A</v>
      </c>
      <c r="AF33" s="42" t="e">
        <f t="shared" si="13"/>
        <v>#N/A</v>
      </c>
      <c r="AG33" s="22" t="e">
        <f t="shared" si="14"/>
        <v>#N/A</v>
      </c>
      <c r="AH33" s="23" t="s">
        <v>2814</v>
      </c>
      <c r="AI33" s="33" t="s">
        <v>4373</v>
      </c>
      <c r="AJ33" s="264" t="str">
        <f>VLOOKUP(AI33,'Mums of Loyd Edit&amp;Partner Edit'!$B$4:$C$66,2,FALSE)</f>
        <v>Caroline Louisa FOSTER (b. 6 Aug 1825, d. 8 Feb 1900)</v>
      </c>
      <c r="AK33" s="33">
        <f t="shared" si="22"/>
        <v>3</v>
      </c>
      <c r="AL33" s="33">
        <f t="shared" si="23"/>
        <v>5</v>
      </c>
      <c r="AM33" s="144">
        <f t="shared" si="24"/>
        <v>8</v>
      </c>
      <c r="AN33" s="144">
        <f t="shared" si="25"/>
        <v>9</v>
      </c>
      <c r="AO33">
        <f t="shared" si="15"/>
        <v>86</v>
      </c>
      <c r="AP33" s="103">
        <f t="shared" si="16"/>
        <v>174</v>
      </c>
      <c r="AQ33" s="33">
        <f t="shared" si="1"/>
        <v>31</v>
      </c>
    </row>
    <row r="34" spans="1:43" ht="20" thickBot="1">
      <c r="A34" s="33">
        <f t="shared" si="2"/>
        <v>32</v>
      </c>
      <c r="B34">
        <f t="shared" si="26"/>
        <v>3</v>
      </c>
      <c r="C34" s="183">
        <v>32</v>
      </c>
      <c r="D34" s="2" t="s">
        <v>782</v>
      </c>
      <c r="E34" t="s">
        <v>1060</v>
      </c>
      <c r="F34" t="s">
        <v>819</v>
      </c>
      <c r="I34" t="str">
        <f t="shared" si="17"/>
        <v>1848</v>
      </c>
      <c r="J34">
        <f t="shared" si="29"/>
        <v>1934</v>
      </c>
      <c r="K34" s="9" t="str">
        <f t="shared" si="27"/>
        <v>Frank (32): 1848</v>
      </c>
      <c r="L34" s="8" t="s">
        <v>1061</v>
      </c>
      <c r="M34" s="8" t="s">
        <v>1061</v>
      </c>
      <c r="N34" t="s">
        <v>1062</v>
      </c>
      <c r="O34" s="10" t="s">
        <v>3167</v>
      </c>
      <c r="P34" s="13">
        <f t="shared" si="3"/>
        <v>32</v>
      </c>
      <c r="Q34" s="19" t="str">
        <f t="shared" si="4"/>
        <v>Frank (32): 1848–1934</v>
      </c>
      <c r="R34" s="120">
        <v>14</v>
      </c>
      <c r="S34" s="15" t="str">
        <f t="shared" si="28"/>
        <v>Thomas (14): 1812–1857</v>
      </c>
      <c r="T34" s="38">
        <f t="shared" si="19"/>
        <v>4</v>
      </c>
      <c r="U34" s="37" t="str">
        <f t="shared" si="0"/>
        <v>William (4): 1770–1828</v>
      </c>
      <c r="V34" s="27">
        <f t="shared" si="20"/>
        <v>1</v>
      </c>
      <c r="W34" s="28" t="str">
        <f t="shared" si="21"/>
        <v>William (1): 1729–1800</v>
      </c>
      <c r="X34" s="39">
        <f t="shared" si="5"/>
        <v>0</v>
      </c>
      <c r="Y34" s="40" t="str">
        <f t="shared" si="6"/>
        <v>Lewis (0): 1690–1758</v>
      </c>
      <c r="Z34" s="29">
        <f t="shared" si="7"/>
        <v>-1</v>
      </c>
      <c r="AA34" s="41" t="e">
        <f t="shared" si="8"/>
        <v>#N/A</v>
      </c>
      <c r="AB34" s="30" t="e">
        <f t="shared" si="9"/>
        <v>#N/A</v>
      </c>
      <c r="AC34" s="43" t="e">
        <f t="shared" si="10"/>
        <v>#N/A</v>
      </c>
      <c r="AD34" s="42" t="e">
        <f t="shared" si="11"/>
        <v>#N/A</v>
      </c>
      <c r="AE34" s="22" t="e">
        <f t="shared" si="12"/>
        <v>#N/A</v>
      </c>
      <c r="AF34" s="42" t="e">
        <f t="shared" si="13"/>
        <v>#N/A</v>
      </c>
      <c r="AG34" s="22" t="e">
        <f t="shared" si="14"/>
        <v>#N/A</v>
      </c>
      <c r="AH34" s="23" t="s">
        <v>2815</v>
      </c>
      <c r="AI34" s="33" t="s">
        <v>4372</v>
      </c>
      <c r="AJ34" s="264" t="str">
        <f>VLOOKUP(AI34,'Mums of Loyd Edit&amp;Partner Edit'!$B$4:$C$66,2,FALSE)</f>
        <v>Annie Hurst HAIG (b. 3 Oct 1816, d. 28 May 1885)</v>
      </c>
      <c r="AK34" s="33">
        <f t="shared" si="22"/>
        <v>8</v>
      </c>
      <c r="AL34" s="33">
        <f t="shared" si="23"/>
        <v>13</v>
      </c>
      <c r="AM34" s="144">
        <f t="shared" si="24"/>
        <v>9</v>
      </c>
      <c r="AN34" s="144">
        <f t="shared" si="25"/>
        <v>8</v>
      </c>
      <c r="AO34">
        <f t="shared" si="15"/>
        <v>86</v>
      </c>
      <c r="AP34" s="103">
        <f t="shared" si="16"/>
        <v>173</v>
      </c>
      <c r="AQ34" s="33">
        <f t="shared" ref="AQ34:AQ65" si="30">C34</f>
        <v>32</v>
      </c>
    </row>
    <row r="35" spans="1:43" ht="20" thickBot="1">
      <c r="A35" s="33">
        <f t="shared" si="2"/>
        <v>33</v>
      </c>
      <c r="B35">
        <f t="shared" si="26"/>
        <v>3</v>
      </c>
      <c r="C35" s="183">
        <v>33</v>
      </c>
      <c r="D35" s="2" t="s">
        <v>782</v>
      </c>
      <c r="E35" t="s">
        <v>1063</v>
      </c>
      <c r="F35" t="s">
        <v>819</v>
      </c>
      <c r="I35" t="str">
        <f t="shared" si="17"/>
        <v>1849</v>
      </c>
      <c r="J35" t="str">
        <f t="shared" si="18"/>
        <v>1881</v>
      </c>
      <c r="K35" s="9" t="str">
        <f t="shared" si="27"/>
        <v>Alfred (33): 1849</v>
      </c>
      <c r="L35" s="8" t="s">
        <v>1064</v>
      </c>
      <c r="M35" s="8" t="s">
        <v>1064</v>
      </c>
      <c r="N35" t="s">
        <v>3792</v>
      </c>
      <c r="O35" s="10" t="s">
        <v>1065</v>
      </c>
      <c r="P35" s="13">
        <f t="shared" ref="P35:P66" si="31">C35</f>
        <v>33</v>
      </c>
      <c r="Q35" s="19" t="str">
        <f t="shared" si="4"/>
        <v>Alfred (33): 1849–1881</v>
      </c>
      <c r="R35" s="120">
        <v>14</v>
      </c>
      <c r="S35" s="15" t="str">
        <f t="shared" si="28"/>
        <v>Thomas (14): 1812–1857</v>
      </c>
      <c r="T35" s="38">
        <f t="shared" si="19"/>
        <v>4</v>
      </c>
      <c r="U35" s="37" t="str">
        <f t="shared" si="0"/>
        <v>William (4): 1770–1828</v>
      </c>
      <c r="V35" s="27">
        <f t="shared" si="20"/>
        <v>1</v>
      </c>
      <c r="W35" s="28" t="str">
        <f t="shared" si="21"/>
        <v>William (1): 1729–1800</v>
      </c>
      <c r="X35" s="39">
        <f t="shared" si="5"/>
        <v>0</v>
      </c>
      <c r="Y35" s="40" t="str">
        <f t="shared" si="6"/>
        <v>Lewis (0): 1690–1758</v>
      </c>
      <c r="Z35" s="29">
        <f t="shared" si="7"/>
        <v>-1</v>
      </c>
      <c r="AA35" s="41" t="e">
        <f t="shared" si="8"/>
        <v>#N/A</v>
      </c>
      <c r="AB35" s="30" t="e">
        <f t="shared" si="9"/>
        <v>#N/A</v>
      </c>
      <c r="AC35" s="43" t="e">
        <f t="shared" si="10"/>
        <v>#N/A</v>
      </c>
      <c r="AD35" s="42" t="e">
        <f t="shared" si="11"/>
        <v>#N/A</v>
      </c>
      <c r="AE35" s="22" t="e">
        <f t="shared" si="12"/>
        <v>#N/A</v>
      </c>
      <c r="AF35" s="42" t="e">
        <f t="shared" si="13"/>
        <v>#N/A</v>
      </c>
      <c r="AG35" s="22" t="e">
        <f t="shared" si="14"/>
        <v>#N/A</v>
      </c>
      <c r="AH35" s="23" t="s">
        <v>2815</v>
      </c>
      <c r="AI35" s="33" t="s">
        <v>4372</v>
      </c>
      <c r="AJ35" s="264" t="str">
        <f>VLOOKUP(AI35,'Mums of Loyd Edit&amp;Partner Edit'!$B$4:$C$66,2,FALSE)</f>
        <v>Annie Hurst HAIG (b. 3 Oct 1816, d. 28 May 1885)</v>
      </c>
      <c r="AK35" s="33">
        <f t="shared" si="22"/>
        <v>10</v>
      </c>
      <c r="AL35" s="33">
        <f t="shared" si="23"/>
        <v>16</v>
      </c>
      <c r="AM35" s="144">
        <f t="shared" si="24"/>
        <v>4</v>
      </c>
      <c r="AN35" s="144">
        <f t="shared" si="25"/>
        <v>20</v>
      </c>
      <c r="AO35">
        <f t="shared" ref="AO35:AO66" si="32">IF(O35&lt;&gt;"",IF(AK35&gt;AM35,J35-I35-1,IF(AK35&lt;AM35,J35-I35,IF(AND(AK35=AM35,AN35&gt;=AL35),J35-I35,J35-I35-1))),AP35)</f>
        <v>31</v>
      </c>
      <c r="AP35" s="103">
        <f t="shared" ref="AP35:AP66" si="33">IF(AK35&gt;7,2022-I35-1,IF(AK35&lt;7,2022-I35,IF(AND(AK35=7,AL35&gt;=1),2022-I35-1,2022-I35)))</f>
        <v>172</v>
      </c>
      <c r="AQ35" s="33">
        <f t="shared" si="30"/>
        <v>33</v>
      </c>
    </row>
    <row r="36" spans="1:43" ht="20" thickBot="1">
      <c r="A36" s="33">
        <f t="shared" si="2"/>
        <v>34</v>
      </c>
      <c r="B36">
        <f t="shared" si="26"/>
        <v>3</v>
      </c>
      <c r="C36" s="183">
        <v>34</v>
      </c>
      <c r="D36" s="2" t="s">
        <v>1066</v>
      </c>
      <c r="E36" t="s">
        <v>811</v>
      </c>
      <c r="F36" t="s">
        <v>819</v>
      </c>
      <c r="H36" t="s">
        <v>1179</v>
      </c>
      <c r="I36" t="str">
        <f t="shared" si="17"/>
        <v>1851</v>
      </c>
      <c r="J36">
        <f t="shared" si="29"/>
        <v>1922</v>
      </c>
      <c r="K36" s="9" t="str">
        <f t="shared" si="27"/>
        <v>Ted (34): 1851</v>
      </c>
      <c r="L36" s="8" t="s">
        <v>1067</v>
      </c>
      <c r="M36" s="8" t="s">
        <v>1067</v>
      </c>
      <c r="N36" t="s">
        <v>1068</v>
      </c>
      <c r="O36" s="10" t="s">
        <v>3168</v>
      </c>
      <c r="P36" s="13">
        <f t="shared" si="31"/>
        <v>34</v>
      </c>
      <c r="Q36" s="19" t="str">
        <f t="shared" si="4"/>
        <v>Ted (34): 1851–1922</v>
      </c>
      <c r="R36" s="120">
        <v>14</v>
      </c>
      <c r="S36" s="15" t="str">
        <f t="shared" si="28"/>
        <v>Thomas (14): 1812–1857</v>
      </c>
      <c r="T36" s="38">
        <f t="shared" si="19"/>
        <v>4</v>
      </c>
      <c r="U36" s="37" t="str">
        <f t="shared" si="0"/>
        <v>William (4): 1770–1828</v>
      </c>
      <c r="V36" s="27">
        <f t="shared" si="20"/>
        <v>1</v>
      </c>
      <c r="W36" s="28" t="str">
        <f t="shared" si="21"/>
        <v>William (1): 1729–1800</v>
      </c>
      <c r="X36" s="39">
        <f t="shared" si="5"/>
        <v>0</v>
      </c>
      <c r="Y36" s="40" t="str">
        <f t="shared" si="6"/>
        <v>Lewis (0): 1690–1758</v>
      </c>
      <c r="Z36" s="29">
        <f t="shared" si="7"/>
        <v>-1</v>
      </c>
      <c r="AA36" s="41" t="e">
        <f t="shared" si="8"/>
        <v>#N/A</v>
      </c>
      <c r="AB36" s="30" t="e">
        <f t="shared" si="9"/>
        <v>#N/A</v>
      </c>
      <c r="AC36" s="43" t="e">
        <f t="shared" si="10"/>
        <v>#N/A</v>
      </c>
      <c r="AD36" s="42" t="e">
        <f t="shared" si="11"/>
        <v>#N/A</v>
      </c>
      <c r="AE36" s="22" t="e">
        <f t="shared" si="12"/>
        <v>#N/A</v>
      </c>
      <c r="AF36" s="42" t="e">
        <f t="shared" si="13"/>
        <v>#N/A</v>
      </c>
      <c r="AG36" s="22" t="e">
        <f t="shared" si="14"/>
        <v>#N/A</v>
      </c>
      <c r="AH36" s="23" t="s">
        <v>2815</v>
      </c>
      <c r="AI36" s="33" t="s">
        <v>4372</v>
      </c>
      <c r="AJ36" s="264" t="str">
        <f>VLOOKUP(AI36,'Mums of Loyd Edit&amp;Partner Edit'!$B$4:$C$66,2,FALSE)</f>
        <v>Annie Hurst HAIG (b. 3 Oct 1816, d. 28 May 1885)</v>
      </c>
      <c r="AK36" s="33">
        <f t="shared" si="22"/>
        <v>8</v>
      </c>
      <c r="AL36" s="33">
        <f t="shared" si="23"/>
        <v>6</v>
      </c>
      <c r="AM36" s="144">
        <f t="shared" si="24"/>
        <v>10</v>
      </c>
      <c r="AN36" s="144">
        <f t="shared" si="25"/>
        <v>23</v>
      </c>
      <c r="AO36">
        <f t="shared" si="32"/>
        <v>71</v>
      </c>
      <c r="AP36" s="103">
        <f t="shared" si="33"/>
        <v>170</v>
      </c>
      <c r="AQ36" s="33">
        <f t="shared" si="30"/>
        <v>34</v>
      </c>
    </row>
    <row r="37" spans="1:43" ht="36" thickBot="1">
      <c r="A37" s="33">
        <f t="shared" si="2"/>
        <v>35</v>
      </c>
      <c r="B37">
        <f t="shared" si="26"/>
        <v>3</v>
      </c>
      <c r="C37" s="183">
        <v>35</v>
      </c>
      <c r="D37" s="2" t="s">
        <v>782</v>
      </c>
      <c r="E37" t="s">
        <v>914</v>
      </c>
      <c r="F37" t="s">
        <v>824</v>
      </c>
      <c r="I37" t="str">
        <f t="shared" si="17"/>
        <v>1852</v>
      </c>
      <c r="J37">
        <f t="shared" si="29"/>
        <v>1908</v>
      </c>
      <c r="K37" s="9" t="str">
        <f t="shared" si="27"/>
        <v>Lewis (35): 1852</v>
      </c>
      <c r="L37" s="8" t="s">
        <v>1069</v>
      </c>
      <c r="M37" s="8" t="s">
        <v>1069</v>
      </c>
      <c r="N37" t="s">
        <v>1070</v>
      </c>
      <c r="O37" s="10" t="s">
        <v>3169</v>
      </c>
      <c r="P37" s="13">
        <f t="shared" si="31"/>
        <v>35</v>
      </c>
      <c r="Q37" s="19" t="str">
        <f t="shared" si="4"/>
        <v>Lewis (35): 1852–1908</v>
      </c>
      <c r="R37" s="120">
        <v>23</v>
      </c>
      <c r="S37" s="15" t="str">
        <f t="shared" si="28"/>
        <v>William (23): 1821–1885</v>
      </c>
      <c r="T37" s="38">
        <f t="shared" si="19"/>
        <v>8</v>
      </c>
      <c r="U37" s="37" t="str">
        <f t="shared" si="0"/>
        <v>Edward (8): 1780–1863</v>
      </c>
      <c r="V37" s="27">
        <f t="shared" si="20"/>
        <v>1</v>
      </c>
      <c r="W37" s="28" t="str">
        <f t="shared" si="21"/>
        <v>William (1): 1729–1800</v>
      </c>
      <c r="X37" s="39">
        <f t="shared" si="5"/>
        <v>0</v>
      </c>
      <c r="Y37" s="40" t="str">
        <f t="shared" si="6"/>
        <v>Lewis (0): 1690–1758</v>
      </c>
      <c r="Z37" s="29">
        <f t="shared" si="7"/>
        <v>-1</v>
      </c>
      <c r="AA37" s="41" t="e">
        <f t="shared" si="8"/>
        <v>#N/A</v>
      </c>
      <c r="AB37" s="30" t="e">
        <f t="shared" si="9"/>
        <v>#N/A</v>
      </c>
      <c r="AC37" s="43" t="e">
        <f t="shared" si="10"/>
        <v>#N/A</v>
      </c>
      <c r="AD37" s="42" t="e">
        <f t="shared" si="11"/>
        <v>#N/A</v>
      </c>
      <c r="AE37" s="22" t="e">
        <f t="shared" si="12"/>
        <v>#N/A</v>
      </c>
      <c r="AF37" s="42" t="e">
        <f t="shared" si="13"/>
        <v>#N/A</v>
      </c>
      <c r="AG37" s="22" t="e">
        <f t="shared" si="14"/>
        <v>#N/A</v>
      </c>
      <c r="AH37" s="23" t="s">
        <v>2815</v>
      </c>
      <c r="AI37" s="33" t="s">
        <v>4374</v>
      </c>
      <c r="AJ37" s="264" t="str">
        <f>VLOOKUP(AI37,'Mums of Loyd Edit&amp;Partner Edit'!$B$4:$C$66,2,FALSE)</f>
        <v>Caroline Gertrude Walker VIVIAN (b. 1829, d. 28 Nov 1893)</v>
      </c>
      <c r="AK37" s="33">
        <f t="shared" si="22"/>
        <v>11</v>
      </c>
      <c r="AL37" s="33">
        <f t="shared" si="23"/>
        <v>14</v>
      </c>
      <c r="AM37" s="144">
        <f t="shared" si="24"/>
        <v>9</v>
      </c>
      <c r="AN37" s="144">
        <f t="shared" si="25"/>
        <v>21</v>
      </c>
      <c r="AO37">
        <f t="shared" si="32"/>
        <v>55</v>
      </c>
      <c r="AP37" s="103">
        <f t="shared" si="33"/>
        <v>169</v>
      </c>
      <c r="AQ37" s="33">
        <f t="shared" si="30"/>
        <v>35</v>
      </c>
    </row>
    <row r="38" spans="1:43" ht="20" thickBot="1">
      <c r="A38" s="33">
        <f t="shared" si="2"/>
        <v>36</v>
      </c>
      <c r="B38">
        <f t="shared" si="26"/>
        <v>3</v>
      </c>
      <c r="C38" s="183">
        <v>36</v>
      </c>
      <c r="D38" s="2" t="s">
        <v>782</v>
      </c>
      <c r="E38" t="s">
        <v>1071</v>
      </c>
      <c r="F38" t="s">
        <v>998</v>
      </c>
      <c r="I38" t="str">
        <f t="shared" si="17"/>
        <v>1853</v>
      </c>
      <c r="J38" t="str">
        <f t="shared" si="18"/>
        <v>1895</v>
      </c>
      <c r="K38" s="9" t="str">
        <f t="shared" si="27"/>
        <v>Elinor (36): 1853</v>
      </c>
      <c r="L38" s="8" t="s">
        <v>1076</v>
      </c>
      <c r="M38" s="8" t="s">
        <v>3812</v>
      </c>
      <c r="N38" t="s">
        <v>1072</v>
      </c>
      <c r="O38" s="10" t="s">
        <v>1073</v>
      </c>
      <c r="P38" s="13">
        <f t="shared" si="31"/>
        <v>36</v>
      </c>
      <c r="Q38" s="19" t="str">
        <f t="shared" si="4"/>
        <v>Elinor (36): 1853–1895</v>
      </c>
      <c r="R38" s="120">
        <v>22</v>
      </c>
      <c r="S38" s="15" t="str">
        <f t="shared" si="28"/>
        <v>Edward (22): 1820–1890</v>
      </c>
      <c r="T38" s="38">
        <f t="shared" si="19"/>
        <v>8</v>
      </c>
      <c r="U38" s="37" t="str">
        <f t="shared" si="0"/>
        <v>Edward (8): 1780–1863</v>
      </c>
      <c r="V38" s="27">
        <f t="shared" si="20"/>
        <v>1</v>
      </c>
      <c r="W38" s="28" t="str">
        <f t="shared" si="21"/>
        <v>William (1): 1729–1800</v>
      </c>
      <c r="X38" s="39">
        <f t="shared" si="5"/>
        <v>0</v>
      </c>
      <c r="Y38" s="40" t="str">
        <f t="shared" si="6"/>
        <v>Lewis (0): 1690–1758</v>
      </c>
      <c r="Z38" s="29">
        <f t="shared" si="7"/>
        <v>-1</v>
      </c>
      <c r="AA38" s="41" t="e">
        <f t="shared" si="8"/>
        <v>#N/A</v>
      </c>
      <c r="AB38" s="30" t="e">
        <f t="shared" si="9"/>
        <v>#N/A</v>
      </c>
      <c r="AC38" s="43" t="e">
        <f t="shared" si="10"/>
        <v>#N/A</v>
      </c>
      <c r="AD38" s="42" t="e">
        <f t="shared" si="11"/>
        <v>#N/A</v>
      </c>
      <c r="AE38" s="22" t="e">
        <f t="shared" si="12"/>
        <v>#N/A</v>
      </c>
      <c r="AF38" s="42" t="e">
        <f t="shared" si="13"/>
        <v>#N/A</v>
      </c>
      <c r="AG38" s="22" t="e">
        <f t="shared" si="14"/>
        <v>#N/A</v>
      </c>
      <c r="AH38" s="23" t="s">
        <v>2814</v>
      </c>
      <c r="AI38" s="33" t="s">
        <v>4373</v>
      </c>
      <c r="AJ38" s="264" t="str">
        <f>VLOOKUP(AI38,'Mums of Loyd Edit&amp;Partner Edit'!$B$4:$C$66,2,FALSE)</f>
        <v>Caroline Louisa FOSTER (b. 6 Aug 1825, d. 8 Feb 1900)</v>
      </c>
      <c r="AK38" s="33">
        <f t="shared" si="22"/>
        <v>6</v>
      </c>
      <c r="AL38" s="33">
        <f t="shared" si="23"/>
        <v>12</v>
      </c>
      <c r="AM38" s="144">
        <f t="shared" si="24"/>
        <v>12</v>
      </c>
      <c r="AN38" s="144">
        <f t="shared" si="25"/>
        <v>25</v>
      </c>
      <c r="AO38">
        <f t="shared" si="32"/>
        <v>42</v>
      </c>
      <c r="AP38" s="103">
        <f t="shared" si="33"/>
        <v>169</v>
      </c>
      <c r="AQ38" s="33">
        <f t="shared" si="30"/>
        <v>36</v>
      </c>
    </row>
    <row r="39" spans="1:43" ht="20" thickBot="1">
      <c r="A39" s="33">
        <f t="shared" si="2"/>
        <v>37</v>
      </c>
      <c r="B39">
        <f t="shared" si="26"/>
        <v>3</v>
      </c>
      <c r="C39" s="183">
        <v>37</v>
      </c>
      <c r="D39" s="2" t="s">
        <v>782</v>
      </c>
      <c r="E39" t="s">
        <v>1075</v>
      </c>
      <c r="I39" t="str">
        <f t="shared" si="17"/>
        <v>1853</v>
      </c>
      <c r="J39">
        <f t="shared" si="29"/>
        <v>1946</v>
      </c>
      <c r="K39" s="9" t="str">
        <f t="shared" si="27"/>
        <v>Annie (37): 1853</v>
      </c>
      <c r="L39" s="8" t="s">
        <v>1077</v>
      </c>
      <c r="M39" s="8" t="s">
        <v>1077</v>
      </c>
      <c r="N39" t="s">
        <v>3792</v>
      </c>
      <c r="O39" s="10" t="s">
        <v>3171</v>
      </c>
      <c r="P39" s="13">
        <f t="shared" si="31"/>
        <v>37</v>
      </c>
      <c r="Q39" s="19" t="str">
        <f t="shared" si="4"/>
        <v>Annie (37): 1853–1946</v>
      </c>
      <c r="R39" s="120">
        <v>14</v>
      </c>
      <c r="S39" s="15" t="str">
        <f t="shared" si="28"/>
        <v>Thomas (14): 1812–1857</v>
      </c>
      <c r="T39" s="38">
        <f t="shared" si="19"/>
        <v>4</v>
      </c>
      <c r="U39" s="37" t="str">
        <f t="shared" si="0"/>
        <v>William (4): 1770–1828</v>
      </c>
      <c r="V39" s="27">
        <f t="shared" si="20"/>
        <v>1</v>
      </c>
      <c r="W39" s="28" t="str">
        <f t="shared" si="21"/>
        <v>William (1): 1729–1800</v>
      </c>
      <c r="X39" s="39">
        <f t="shared" si="5"/>
        <v>0</v>
      </c>
      <c r="Y39" s="40" t="str">
        <f t="shared" si="6"/>
        <v>Lewis (0): 1690–1758</v>
      </c>
      <c r="Z39" s="29">
        <f t="shared" si="7"/>
        <v>-1</v>
      </c>
      <c r="AA39" s="41" t="e">
        <f t="shared" si="8"/>
        <v>#N/A</v>
      </c>
      <c r="AB39" s="30" t="e">
        <f t="shared" si="9"/>
        <v>#N/A</v>
      </c>
      <c r="AC39" s="43" t="e">
        <f t="shared" si="10"/>
        <v>#N/A</v>
      </c>
      <c r="AD39" s="42" t="e">
        <f t="shared" si="11"/>
        <v>#N/A</v>
      </c>
      <c r="AE39" s="22" t="e">
        <f t="shared" si="12"/>
        <v>#N/A</v>
      </c>
      <c r="AF39" s="42" t="e">
        <f t="shared" si="13"/>
        <v>#N/A</v>
      </c>
      <c r="AG39" s="22" t="e">
        <f t="shared" si="14"/>
        <v>#N/A</v>
      </c>
      <c r="AH39" s="23" t="s">
        <v>2814</v>
      </c>
      <c r="AI39" s="33" t="s">
        <v>4372</v>
      </c>
      <c r="AJ39" s="264" t="str">
        <f>VLOOKUP(AI39,'Mums of Loyd Edit&amp;Partner Edit'!$B$4:$C$66,2,FALSE)</f>
        <v>Annie Hurst HAIG (b. 3 Oct 1816, d. 28 May 1885)</v>
      </c>
      <c r="AK39" s="33">
        <f t="shared" si="22"/>
        <v>7</v>
      </c>
      <c r="AL39" s="33">
        <f t="shared" si="23"/>
        <v>1</v>
      </c>
      <c r="AM39" s="144">
        <f t="shared" si="24"/>
        <v>9</v>
      </c>
      <c r="AN39" s="144">
        <f t="shared" si="25"/>
        <v>17</v>
      </c>
      <c r="AO39">
        <f t="shared" si="32"/>
        <v>93</v>
      </c>
      <c r="AP39" s="103">
        <f t="shared" si="33"/>
        <v>168</v>
      </c>
      <c r="AQ39" s="33">
        <f t="shared" si="30"/>
        <v>37</v>
      </c>
    </row>
    <row r="40" spans="1:43" ht="36" thickBot="1">
      <c r="A40" s="33">
        <f t="shared" si="2"/>
        <v>38</v>
      </c>
      <c r="B40">
        <f t="shared" si="26"/>
        <v>3</v>
      </c>
      <c r="C40" s="183">
        <v>38</v>
      </c>
      <c r="D40" s="2" t="s">
        <v>782</v>
      </c>
      <c r="E40" t="s">
        <v>799</v>
      </c>
      <c r="F40" t="s">
        <v>998</v>
      </c>
      <c r="I40" t="str">
        <f t="shared" si="17"/>
        <v>1854</v>
      </c>
      <c r="J40">
        <f t="shared" si="29"/>
        <v>1924</v>
      </c>
      <c r="K40" s="9" t="str">
        <f t="shared" si="27"/>
        <v>Gertrude (38): 1854</v>
      </c>
      <c r="L40" s="8" t="s">
        <v>1078</v>
      </c>
      <c r="M40" s="8" t="s">
        <v>1078</v>
      </c>
      <c r="N40" t="s">
        <v>3792</v>
      </c>
      <c r="O40" s="10" t="s">
        <v>3172</v>
      </c>
      <c r="P40" s="13">
        <f t="shared" si="31"/>
        <v>38</v>
      </c>
      <c r="Q40" s="19" t="str">
        <f t="shared" si="4"/>
        <v>Gertrude (38): 1854–1924</v>
      </c>
      <c r="R40" s="120">
        <v>23</v>
      </c>
      <c r="S40" s="15" t="str">
        <f t="shared" si="28"/>
        <v>William (23): 1821–1885</v>
      </c>
      <c r="T40" s="38">
        <f t="shared" si="19"/>
        <v>8</v>
      </c>
      <c r="U40" s="37" t="str">
        <f t="shared" si="0"/>
        <v>Edward (8): 1780–1863</v>
      </c>
      <c r="V40" s="27">
        <f t="shared" si="20"/>
        <v>1</v>
      </c>
      <c r="W40" s="28" t="str">
        <f t="shared" si="21"/>
        <v>William (1): 1729–1800</v>
      </c>
      <c r="X40" s="39">
        <f t="shared" si="5"/>
        <v>0</v>
      </c>
      <c r="Y40" s="40" t="str">
        <f t="shared" si="6"/>
        <v>Lewis (0): 1690–1758</v>
      </c>
      <c r="Z40" s="29">
        <f t="shared" si="7"/>
        <v>-1</v>
      </c>
      <c r="AA40" s="41" t="e">
        <f t="shared" si="8"/>
        <v>#N/A</v>
      </c>
      <c r="AB40" s="30" t="e">
        <f t="shared" si="9"/>
        <v>#N/A</v>
      </c>
      <c r="AC40" s="43" t="e">
        <f t="shared" si="10"/>
        <v>#N/A</v>
      </c>
      <c r="AD40" s="42" t="e">
        <f t="shared" si="11"/>
        <v>#N/A</v>
      </c>
      <c r="AE40" s="22" t="e">
        <f t="shared" si="12"/>
        <v>#N/A</v>
      </c>
      <c r="AF40" s="42" t="e">
        <f t="shared" si="13"/>
        <v>#N/A</v>
      </c>
      <c r="AG40" s="22" t="e">
        <f t="shared" si="14"/>
        <v>#N/A</v>
      </c>
      <c r="AH40" s="23" t="s">
        <v>2814</v>
      </c>
      <c r="AI40" s="33" t="s">
        <v>4374</v>
      </c>
      <c r="AJ40" s="264" t="str">
        <f>VLOOKUP(AI40,'Mums of Loyd Edit&amp;Partner Edit'!$B$4:$C$66,2,FALSE)</f>
        <v>Caroline Gertrude Walker VIVIAN (b. 1829, d. 28 Nov 1893)</v>
      </c>
      <c r="AK40" s="33">
        <f t="shared" si="22"/>
        <v>9</v>
      </c>
      <c r="AL40" s="33">
        <f t="shared" si="23"/>
        <v>24</v>
      </c>
      <c r="AM40" s="144">
        <f t="shared" si="24"/>
        <v>6</v>
      </c>
      <c r="AN40" s="144">
        <f t="shared" si="25"/>
        <v>30</v>
      </c>
      <c r="AO40">
        <f t="shared" si="32"/>
        <v>69</v>
      </c>
      <c r="AP40" s="103">
        <f t="shared" si="33"/>
        <v>167</v>
      </c>
      <c r="AQ40" s="33">
        <f t="shared" si="30"/>
        <v>38</v>
      </c>
    </row>
    <row r="41" spans="1:43" ht="20" thickBot="1">
      <c r="A41" s="33">
        <f t="shared" si="2"/>
        <v>39</v>
      </c>
      <c r="B41">
        <f t="shared" si="26"/>
        <v>3</v>
      </c>
      <c r="C41" s="183">
        <v>39</v>
      </c>
      <c r="D41" s="2" t="s">
        <v>782</v>
      </c>
      <c r="E41" t="s">
        <v>1036</v>
      </c>
      <c r="F41" t="s">
        <v>973</v>
      </c>
      <c r="H41" t="s">
        <v>2946</v>
      </c>
      <c r="I41" t="str">
        <f t="shared" si="17"/>
        <v>1855</v>
      </c>
      <c r="J41">
        <f t="shared" si="29"/>
        <v>1927</v>
      </c>
      <c r="K41" s="9" t="str">
        <f t="shared" si="27"/>
        <v>Fa (39): 1855</v>
      </c>
      <c r="L41" s="8" t="s">
        <v>1080</v>
      </c>
      <c r="M41" s="8" t="s">
        <v>1080</v>
      </c>
      <c r="N41" t="s">
        <v>3792</v>
      </c>
      <c r="O41" s="10" t="s">
        <v>3173</v>
      </c>
      <c r="P41" s="13">
        <f t="shared" si="31"/>
        <v>39</v>
      </c>
      <c r="Q41" s="19" t="str">
        <f t="shared" si="4"/>
        <v>Fa (39): 1855–1927</v>
      </c>
      <c r="R41" s="120">
        <v>22</v>
      </c>
      <c r="S41" s="15" t="str">
        <f t="shared" si="28"/>
        <v>Edward (22): 1820–1890</v>
      </c>
      <c r="T41" s="38">
        <f t="shared" si="19"/>
        <v>8</v>
      </c>
      <c r="U41" s="37" t="str">
        <f t="shared" si="0"/>
        <v>Edward (8): 1780–1863</v>
      </c>
      <c r="V41" s="27">
        <f t="shared" si="20"/>
        <v>1</v>
      </c>
      <c r="W41" s="28" t="str">
        <f t="shared" si="21"/>
        <v>William (1): 1729–1800</v>
      </c>
      <c r="X41" s="39">
        <f t="shared" si="5"/>
        <v>0</v>
      </c>
      <c r="Y41" s="40" t="str">
        <f t="shared" si="6"/>
        <v>Lewis (0): 1690–1758</v>
      </c>
      <c r="Z41" s="29">
        <f t="shared" si="7"/>
        <v>-1</v>
      </c>
      <c r="AA41" s="41" t="e">
        <f t="shared" si="8"/>
        <v>#N/A</v>
      </c>
      <c r="AB41" s="30" t="e">
        <f t="shared" si="9"/>
        <v>#N/A</v>
      </c>
      <c r="AC41" s="43" t="e">
        <f t="shared" si="10"/>
        <v>#N/A</v>
      </c>
      <c r="AD41" s="42" t="e">
        <f t="shared" si="11"/>
        <v>#N/A</v>
      </c>
      <c r="AE41" s="22" t="e">
        <f t="shared" si="12"/>
        <v>#N/A</v>
      </c>
      <c r="AF41" s="42" t="e">
        <f t="shared" si="13"/>
        <v>#N/A</v>
      </c>
      <c r="AG41" s="22" t="e">
        <f t="shared" si="14"/>
        <v>#N/A</v>
      </c>
      <c r="AH41" s="23" t="s">
        <v>2814</v>
      </c>
      <c r="AI41" s="33" t="s">
        <v>4373</v>
      </c>
      <c r="AJ41" s="264" t="str">
        <f>VLOOKUP(AI41,'Mums of Loyd Edit&amp;Partner Edit'!$B$4:$C$66,2,FALSE)</f>
        <v>Caroline Louisa FOSTER (b. 6 Aug 1825, d. 8 Feb 1900)</v>
      </c>
      <c r="AK41" s="33">
        <f t="shared" si="22"/>
        <v>2</v>
      </c>
      <c r="AL41" s="33">
        <f t="shared" si="23"/>
        <v>8</v>
      </c>
      <c r="AM41" s="144">
        <f t="shared" si="24"/>
        <v>5</v>
      </c>
      <c r="AN41" s="144">
        <f t="shared" si="25"/>
        <v>10</v>
      </c>
      <c r="AO41">
        <f t="shared" si="32"/>
        <v>72</v>
      </c>
      <c r="AP41" s="103">
        <f t="shared" si="33"/>
        <v>167</v>
      </c>
      <c r="AQ41" s="33">
        <f t="shared" si="30"/>
        <v>39</v>
      </c>
    </row>
    <row r="42" spans="1:43" ht="36" thickBot="1">
      <c r="A42" s="33">
        <f t="shared" si="2"/>
        <v>40</v>
      </c>
      <c r="B42">
        <f t="shared" si="26"/>
        <v>3</v>
      </c>
      <c r="C42" s="183">
        <v>40</v>
      </c>
      <c r="D42" s="2" t="s">
        <v>782</v>
      </c>
      <c r="E42" t="s">
        <v>929</v>
      </c>
      <c r="F42" t="s">
        <v>1081</v>
      </c>
      <c r="I42" t="str">
        <f t="shared" si="17"/>
        <v>1856</v>
      </c>
      <c r="J42">
        <f t="shared" si="29"/>
        <v>1921</v>
      </c>
      <c r="K42" s="9" t="str">
        <f t="shared" si="27"/>
        <v>Harriet (40): 1856</v>
      </c>
      <c r="L42" s="8" t="s">
        <v>1082</v>
      </c>
      <c r="M42" s="8" t="s">
        <v>1082</v>
      </c>
      <c r="N42" t="s">
        <v>3792</v>
      </c>
      <c r="O42" s="10" t="s">
        <v>3174</v>
      </c>
      <c r="P42" s="13">
        <f t="shared" si="31"/>
        <v>40</v>
      </c>
      <c r="Q42" s="19" t="str">
        <f t="shared" si="4"/>
        <v>Harriet (40): 1856–1921</v>
      </c>
      <c r="R42" s="120">
        <v>23</v>
      </c>
      <c r="S42" s="15" t="str">
        <f t="shared" si="28"/>
        <v>William (23): 1821–1885</v>
      </c>
      <c r="T42" s="38">
        <f t="shared" si="19"/>
        <v>8</v>
      </c>
      <c r="U42" s="37" t="str">
        <f t="shared" si="0"/>
        <v>Edward (8): 1780–1863</v>
      </c>
      <c r="V42" s="27">
        <f t="shared" si="20"/>
        <v>1</v>
      </c>
      <c r="W42" s="28" t="str">
        <f t="shared" si="21"/>
        <v>William (1): 1729–1800</v>
      </c>
      <c r="X42" s="39">
        <f t="shared" si="5"/>
        <v>0</v>
      </c>
      <c r="Y42" s="40" t="str">
        <f t="shared" si="6"/>
        <v>Lewis (0): 1690–1758</v>
      </c>
      <c r="Z42" s="29">
        <f t="shared" si="7"/>
        <v>-1</v>
      </c>
      <c r="AA42" s="41" t="e">
        <f t="shared" si="8"/>
        <v>#N/A</v>
      </c>
      <c r="AB42" s="30" t="e">
        <f t="shared" si="9"/>
        <v>#N/A</v>
      </c>
      <c r="AC42" s="43" t="e">
        <f t="shared" si="10"/>
        <v>#N/A</v>
      </c>
      <c r="AD42" s="42" t="e">
        <f t="shared" si="11"/>
        <v>#N/A</v>
      </c>
      <c r="AE42" s="22" t="e">
        <f t="shared" si="12"/>
        <v>#N/A</v>
      </c>
      <c r="AF42" s="42" t="e">
        <f t="shared" si="13"/>
        <v>#N/A</v>
      </c>
      <c r="AG42" s="22" t="e">
        <f t="shared" si="14"/>
        <v>#N/A</v>
      </c>
      <c r="AH42" s="23" t="s">
        <v>2814</v>
      </c>
      <c r="AI42" s="33" t="s">
        <v>4374</v>
      </c>
      <c r="AJ42" s="264" t="str">
        <f>VLOOKUP(AI42,'Mums of Loyd Edit&amp;Partner Edit'!$B$4:$C$66,2,FALSE)</f>
        <v>Caroline Gertrude Walker VIVIAN (b. 1829, d. 28 Nov 1893)</v>
      </c>
      <c r="AK42" s="33">
        <f t="shared" si="22"/>
        <v>1</v>
      </c>
      <c r="AL42" s="33">
        <f t="shared" si="23"/>
        <v>17</v>
      </c>
      <c r="AM42" s="144">
        <f t="shared" si="24"/>
        <v>8</v>
      </c>
      <c r="AN42" s="144">
        <f t="shared" si="25"/>
        <v>29</v>
      </c>
      <c r="AO42">
        <f t="shared" si="32"/>
        <v>65</v>
      </c>
      <c r="AP42" s="103">
        <f t="shared" si="33"/>
        <v>166</v>
      </c>
      <c r="AQ42" s="33">
        <f t="shared" si="30"/>
        <v>40</v>
      </c>
    </row>
    <row r="43" spans="1:43" ht="20" thickBot="1">
      <c r="A43" s="33">
        <f t="shared" si="2"/>
        <v>41</v>
      </c>
      <c r="B43">
        <f t="shared" si="26"/>
        <v>3</v>
      </c>
      <c r="C43" s="183">
        <v>41</v>
      </c>
      <c r="D43" s="2" t="s">
        <v>782</v>
      </c>
      <c r="E43" t="s">
        <v>1083</v>
      </c>
      <c r="F43" t="s">
        <v>811</v>
      </c>
      <c r="I43" t="str">
        <f t="shared" si="17"/>
        <v>1856</v>
      </c>
      <c r="J43">
        <f t="shared" si="29"/>
        <v>1936</v>
      </c>
      <c r="K43" s="9" t="str">
        <f t="shared" si="27"/>
        <v>Frederic (41): 1856</v>
      </c>
      <c r="L43" s="8" t="s">
        <v>1084</v>
      </c>
      <c r="M43" s="8" t="s">
        <v>1084</v>
      </c>
      <c r="N43" t="s">
        <v>1085</v>
      </c>
      <c r="O43" s="10" t="s">
        <v>3175</v>
      </c>
      <c r="P43" s="13">
        <f t="shared" si="31"/>
        <v>41</v>
      </c>
      <c r="Q43" s="19" t="str">
        <f t="shared" si="4"/>
        <v>Frederic (41): 1856–1936</v>
      </c>
      <c r="R43" s="120">
        <v>22</v>
      </c>
      <c r="S43" s="15" t="str">
        <f t="shared" si="28"/>
        <v>Edward (22): 1820–1890</v>
      </c>
      <c r="T43" s="38">
        <f t="shared" si="19"/>
        <v>8</v>
      </c>
      <c r="U43" s="37" t="str">
        <f t="shared" si="0"/>
        <v>Edward (8): 1780–1863</v>
      </c>
      <c r="V43" s="27">
        <f t="shared" si="20"/>
        <v>1</v>
      </c>
      <c r="W43" s="28" t="str">
        <f t="shared" si="21"/>
        <v>William (1): 1729–1800</v>
      </c>
      <c r="X43" s="39">
        <f t="shared" si="5"/>
        <v>0</v>
      </c>
      <c r="Y43" s="40" t="str">
        <f t="shared" si="6"/>
        <v>Lewis (0): 1690–1758</v>
      </c>
      <c r="Z43" s="29">
        <f t="shared" si="7"/>
        <v>-1</v>
      </c>
      <c r="AA43" s="41" t="e">
        <f t="shared" si="8"/>
        <v>#N/A</v>
      </c>
      <c r="AB43" s="30" t="e">
        <f t="shared" si="9"/>
        <v>#N/A</v>
      </c>
      <c r="AC43" s="43" t="e">
        <f t="shared" si="10"/>
        <v>#N/A</v>
      </c>
      <c r="AD43" s="42" t="e">
        <f t="shared" si="11"/>
        <v>#N/A</v>
      </c>
      <c r="AE43" s="22" t="e">
        <f t="shared" si="12"/>
        <v>#N/A</v>
      </c>
      <c r="AF43" s="42" t="e">
        <f t="shared" si="13"/>
        <v>#N/A</v>
      </c>
      <c r="AG43" s="22" t="e">
        <f t="shared" si="14"/>
        <v>#N/A</v>
      </c>
      <c r="AH43" s="23" t="s">
        <v>2815</v>
      </c>
      <c r="AI43" s="33" t="s">
        <v>4373</v>
      </c>
      <c r="AJ43" s="264" t="str">
        <f>VLOOKUP(AI43,'Mums of Loyd Edit&amp;Partner Edit'!$B$4:$C$66,2,FALSE)</f>
        <v>Caroline Louisa FOSTER (b. 6 Aug 1825, d. 8 Feb 1900)</v>
      </c>
      <c r="AK43" s="33">
        <f t="shared" si="22"/>
        <v>4</v>
      </c>
      <c r="AL43" s="33">
        <f t="shared" si="23"/>
        <v>26</v>
      </c>
      <c r="AM43" s="144">
        <f t="shared" si="24"/>
        <v>6</v>
      </c>
      <c r="AN43" s="144">
        <f t="shared" si="25"/>
        <v>25</v>
      </c>
      <c r="AO43">
        <f t="shared" si="32"/>
        <v>80</v>
      </c>
      <c r="AP43" s="103">
        <f t="shared" si="33"/>
        <v>166</v>
      </c>
      <c r="AQ43" s="33">
        <f t="shared" si="30"/>
        <v>41</v>
      </c>
    </row>
    <row r="44" spans="1:43" ht="36" thickBot="1">
      <c r="A44" s="33">
        <f t="shared" si="2"/>
        <v>42</v>
      </c>
      <c r="B44">
        <f t="shared" si="26"/>
        <v>3</v>
      </c>
      <c r="C44" s="183">
        <v>42</v>
      </c>
      <c r="D44" s="2" t="s">
        <v>782</v>
      </c>
      <c r="E44" t="s">
        <v>1086</v>
      </c>
      <c r="F44" t="s">
        <v>1087</v>
      </c>
      <c r="I44" t="str">
        <f t="shared" si="17"/>
        <v>1858</v>
      </c>
      <c r="J44">
        <f t="shared" si="29"/>
        <v>1905</v>
      </c>
      <c r="K44" s="9" t="str">
        <f t="shared" si="27"/>
        <v>Dulcie (42): 1858</v>
      </c>
      <c r="L44" s="8" t="s">
        <v>1088</v>
      </c>
      <c r="M44" s="8" t="s">
        <v>1088</v>
      </c>
      <c r="N44" t="s">
        <v>1089</v>
      </c>
      <c r="O44" s="10" t="s">
        <v>3176</v>
      </c>
      <c r="P44" s="13">
        <f t="shared" si="31"/>
        <v>42</v>
      </c>
      <c r="Q44" s="19" t="str">
        <f t="shared" si="4"/>
        <v>Dulcie (42): 1858–1905</v>
      </c>
      <c r="R44" s="120">
        <v>23</v>
      </c>
      <c r="S44" s="15" t="str">
        <f t="shared" si="28"/>
        <v>William (23): 1821–1885</v>
      </c>
      <c r="T44" s="38">
        <f t="shared" si="19"/>
        <v>8</v>
      </c>
      <c r="U44" s="37" t="str">
        <f t="shared" si="0"/>
        <v>Edward (8): 1780–1863</v>
      </c>
      <c r="V44" s="27">
        <f t="shared" si="20"/>
        <v>1</v>
      </c>
      <c r="W44" s="28" t="str">
        <f t="shared" si="21"/>
        <v>William (1): 1729–1800</v>
      </c>
      <c r="X44" s="39">
        <f t="shared" si="5"/>
        <v>0</v>
      </c>
      <c r="Y44" s="40" t="str">
        <f t="shared" si="6"/>
        <v>Lewis (0): 1690–1758</v>
      </c>
      <c r="Z44" s="29">
        <f t="shared" si="7"/>
        <v>-1</v>
      </c>
      <c r="AA44" s="41" t="e">
        <f t="shared" si="8"/>
        <v>#N/A</v>
      </c>
      <c r="AB44" s="30" t="e">
        <f t="shared" si="9"/>
        <v>#N/A</v>
      </c>
      <c r="AC44" s="43" t="e">
        <f t="shared" si="10"/>
        <v>#N/A</v>
      </c>
      <c r="AD44" s="42" t="e">
        <f t="shared" si="11"/>
        <v>#N/A</v>
      </c>
      <c r="AE44" s="22" t="e">
        <f t="shared" si="12"/>
        <v>#N/A</v>
      </c>
      <c r="AF44" s="42" t="e">
        <f t="shared" si="13"/>
        <v>#N/A</v>
      </c>
      <c r="AG44" s="22" t="e">
        <f t="shared" si="14"/>
        <v>#N/A</v>
      </c>
      <c r="AH44" s="23" t="s">
        <v>2814</v>
      </c>
      <c r="AI44" s="33" t="s">
        <v>4374</v>
      </c>
      <c r="AJ44" s="264" t="str">
        <f>VLOOKUP(AI44,'Mums of Loyd Edit&amp;Partner Edit'!$B$4:$C$66,2,FALSE)</f>
        <v>Caroline Gertrude Walker VIVIAN (b. 1829, d. 28 Nov 1893)</v>
      </c>
      <c r="AK44" s="33">
        <f t="shared" si="22"/>
        <v>10</v>
      </c>
      <c r="AL44" s="33">
        <f t="shared" si="23"/>
        <v>6</v>
      </c>
      <c r="AM44" s="144">
        <f t="shared" si="24"/>
        <v>7</v>
      </c>
      <c r="AN44" s="144">
        <f t="shared" si="25"/>
        <v>8</v>
      </c>
      <c r="AO44">
        <f t="shared" si="32"/>
        <v>46</v>
      </c>
      <c r="AP44" s="103">
        <f t="shared" si="33"/>
        <v>163</v>
      </c>
      <c r="AQ44" s="33">
        <f t="shared" si="30"/>
        <v>42</v>
      </c>
    </row>
    <row r="45" spans="1:43" ht="20" thickBot="1">
      <c r="A45" s="33">
        <f t="shared" si="2"/>
        <v>43</v>
      </c>
      <c r="B45">
        <f t="shared" si="26"/>
        <v>3</v>
      </c>
      <c r="C45" s="183">
        <v>43</v>
      </c>
      <c r="D45" s="2" t="s">
        <v>782</v>
      </c>
      <c r="E45" t="s">
        <v>882</v>
      </c>
      <c r="F45" t="s">
        <v>812</v>
      </c>
      <c r="H45" t="s">
        <v>2350</v>
      </c>
      <c r="I45" t="str">
        <f t="shared" si="17"/>
        <v>1859</v>
      </c>
      <c r="J45">
        <f t="shared" si="29"/>
        <v>1936</v>
      </c>
      <c r="K45" s="9" t="str">
        <f t="shared" si="27"/>
        <v>Meg (43): 1859</v>
      </c>
      <c r="L45" s="8" t="s">
        <v>1091</v>
      </c>
      <c r="M45" s="8" t="s">
        <v>1091</v>
      </c>
      <c r="N45" t="s">
        <v>3792</v>
      </c>
      <c r="O45" s="10" t="s">
        <v>3177</v>
      </c>
      <c r="P45" s="13">
        <f t="shared" si="31"/>
        <v>43</v>
      </c>
      <c r="Q45" s="19" t="str">
        <f t="shared" si="4"/>
        <v>Meg (43): 1859–1936</v>
      </c>
      <c r="R45" s="120">
        <v>22</v>
      </c>
      <c r="S45" s="15" t="str">
        <f t="shared" si="28"/>
        <v>Edward (22): 1820–1890</v>
      </c>
      <c r="T45" s="38">
        <f t="shared" si="19"/>
        <v>8</v>
      </c>
      <c r="U45" s="37" t="str">
        <f t="shared" si="0"/>
        <v>Edward (8): 1780–1863</v>
      </c>
      <c r="V45" s="27">
        <f t="shared" si="20"/>
        <v>1</v>
      </c>
      <c r="W45" s="28" t="str">
        <f t="shared" si="21"/>
        <v>William (1): 1729–1800</v>
      </c>
      <c r="X45" s="39">
        <f t="shared" si="5"/>
        <v>0</v>
      </c>
      <c r="Y45" s="40" t="str">
        <f t="shared" si="6"/>
        <v>Lewis (0): 1690–1758</v>
      </c>
      <c r="Z45" s="29">
        <f t="shared" si="7"/>
        <v>-1</v>
      </c>
      <c r="AA45" s="41" t="e">
        <f t="shared" si="8"/>
        <v>#N/A</v>
      </c>
      <c r="AB45" s="30" t="e">
        <f t="shared" si="9"/>
        <v>#N/A</v>
      </c>
      <c r="AC45" s="43" t="e">
        <f t="shared" si="10"/>
        <v>#N/A</v>
      </c>
      <c r="AD45" s="42" t="e">
        <f t="shared" si="11"/>
        <v>#N/A</v>
      </c>
      <c r="AE45" s="22" t="e">
        <f t="shared" si="12"/>
        <v>#N/A</v>
      </c>
      <c r="AF45" s="42" t="e">
        <f t="shared" si="13"/>
        <v>#N/A</v>
      </c>
      <c r="AG45" s="22" t="e">
        <f t="shared" si="14"/>
        <v>#N/A</v>
      </c>
      <c r="AH45" s="23" t="s">
        <v>2814</v>
      </c>
      <c r="AI45" s="33" t="s">
        <v>4373</v>
      </c>
      <c r="AJ45" s="264" t="str">
        <f>VLOOKUP(AI45,'Mums of Loyd Edit&amp;Partner Edit'!$B$4:$C$66,2,FALSE)</f>
        <v>Caroline Louisa FOSTER (b. 6 Aug 1825, d. 8 Feb 1900)</v>
      </c>
      <c r="AK45" s="33">
        <f t="shared" si="22"/>
        <v>8</v>
      </c>
      <c r="AL45" s="33">
        <f t="shared" si="23"/>
        <v>2</v>
      </c>
      <c r="AM45" s="144">
        <f t="shared" si="24"/>
        <v>6</v>
      </c>
      <c r="AN45" s="144">
        <f t="shared" si="25"/>
        <v>29</v>
      </c>
      <c r="AO45">
        <f t="shared" si="32"/>
        <v>76</v>
      </c>
      <c r="AP45" s="103">
        <f t="shared" si="33"/>
        <v>162</v>
      </c>
      <c r="AQ45" s="33">
        <f t="shared" si="30"/>
        <v>43</v>
      </c>
    </row>
    <row r="46" spans="1:43" ht="191" customHeight="1" thickBot="1">
      <c r="A46" s="33">
        <f t="shared" si="2"/>
        <v>44</v>
      </c>
      <c r="B46">
        <f t="shared" si="26"/>
        <v>3</v>
      </c>
      <c r="C46" s="183">
        <v>44</v>
      </c>
      <c r="D46" s="2" t="s">
        <v>782</v>
      </c>
      <c r="E46" t="s">
        <v>811</v>
      </c>
      <c r="F46" t="s">
        <v>807</v>
      </c>
      <c r="H46" t="s">
        <v>1635</v>
      </c>
      <c r="I46" t="str">
        <f t="shared" si="17"/>
        <v>1861</v>
      </c>
      <c r="J46">
        <f t="shared" si="29"/>
        <v>1938</v>
      </c>
      <c r="K46" s="9" t="str">
        <f t="shared" si="27"/>
        <v>Harry (44): 1861</v>
      </c>
      <c r="L46" s="8" t="s">
        <v>1092</v>
      </c>
      <c r="M46" s="8" t="s">
        <v>1092</v>
      </c>
      <c r="N46" t="s">
        <v>1093</v>
      </c>
      <c r="O46" s="10" t="s">
        <v>3178</v>
      </c>
      <c r="P46" s="13">
        <f t="shared" si="31"/>
        <v>44</v>
      </c>
      <c r="Q46" s="19" t="str">
        <f t="shared" si="4"/>
        <v>Harry (44): 1861–1938</v>
      </c>
      <c r="R46" s="120">
        <v>23</v>
      </c>
      <c r="S46" s="15" t="str">
        <f t="shared" si="28"/>
        <v>William (23): 1821–1885</v>
      </c>
      <c r="T46" s="38">
        <f t="shared" si="19"/>
        <v>8</v>
      </c>
      <c r="U46" s="37" t="str">
        <f t="shared" si="0"/>
        <v>Edward (8): 1780–1863</v>
      </c>
      <c r="V46" s="27">
        <f t="shared" si="20"/>
        <v>1</v>
      </c>
      <c r="W46" s="28" t="str">
        <f t="shared" si="21"/>
        <v>William (1): 1729–1800</v>
      </c>
      <c r="X46" s="39">
        <f t="shared" si="5"/>
        <v>0</v>
      </c>
      <c r="Y46" s="40" t="str">
        <f t="shared" si="6"/>
        <v>Lewis (0): 1690–1758</v>
      </c>
      <c r="Z46" s="29">
        <f t="shared" si="7"/>
        <v>-1</v>
      </c>
      <c r="AA46" s="41" t="e">
        <f t="shared" si="8"/>
        <v>#N/A</v>
      </c>
      <c r="AB46" s="30" t="e">
        <f t="shared" si="9"/>
        <v>#N/A</v>
      </c>
      <c r="AC46" s="43" t="e">
        <f t="shared" si="10"/>
        <v>#N/A</v>
      </c>
      <c r="AD46" s="42" t="e">
        <f t="shared" si="11"/>
        <v>#N/A</v>
      </c>
      <c r="AE46" s="22" t="e">
        <f t="shared" si="12"/>
        <v>#N/A</v>
      </c>
      <c r="AF46" s="42" t="e">
        <f t="shared" si="13"/>
        <v>#N/A</v>
      </c>
      <c r="AG46" s="22" t="e">
        <f t="shared" si="14"/>
        <v>#N/A</v>
      </c>
      <c r="AH46" s="23" t="s">
        <v>2815</v>
      </c>
      <c r="AI46" s="33" t="s">
        <v>4374</v>
      </c>
      <c r="AJ46" s="264" t="str">
        <f>VLOOKUP(AI46,'Mums of Loyd Edit&amp;Partner Edit'!$B$4:$C$66,2,FALSE)</f>
        <v>Caroline Gertrude Walker VIVIAN (b. 1829, d. 28 Nov 1893)</v>
      </c>
      <c r="AK46" s="33">
        <f t="shared" si="22"/>
        <v>4</v>
      </c>
      <c r="AL46" s="33">
        <f t="shared" si="23"/>
        <v>2</v>
      </c>
      <c r="AM46" s="144">
        <f t="shared" si="24"/>
        <v>11</v>
      </c>
      <c r="AN46" s="144">
        <f t="shared" si="25"/>
        <v>6</v>
      </c>
      <c r="AO46">
        <f t="shared" si="32"/>
        <v>77</v>
      </c>
      <c r="AP46" s="103">
        <f t="shared" si="33"/>
        <v>161</v>
      </c>
      <c r="AQ46" s="33">
        <f t="shared" si="30"/>
        <v>44</v>
      </c>
    </row>
    <row r="47" spans="1:43" ht="20" thickBot="1">
      <c r="A47" s="33">
        <f t="shared" si="2"/>
        <v>45</v>
      </c>
      <c r="B47">
        <f t="shared" si="26"/>
        <v>3</v>
      </c>
      <c r="C47" s="183">
        <v>45</v>
      </c>
      <c r="D47" s="2" t="s">
        <v>782</v>
      </c>
      <c r="E47" t="s">
        <v>1094</v>
      </c>
      <c r="F47" t="s">
        <v>812</v>
      </c>
      <c r="I47" t="str">
        <f t="shared" si="17"/>
        <v>1861</v>
      </c>
      <c r="J47">
        <f t="shared" si="29"/>
        <v>1939</v>
      </c>
      <c r="K47" s="9" t="str">
        <f t="shared" si="27"/>
        <v>Llewellyn (45): 1861</v>
      </c>
      <c r="L47" s="8" t="s">
        <v>1095</v>
      </c>
      <c r="M47" s="8" t="s">
        <v>1095</v>
      </c>
      <c r="N47" t="s">
        <v>1096</v>
      </c>
      <c r="O47" s="10" t="s">
        <v>3179</v>
      </c>
      <c r="P47" s="13">
        <f t="shared" si="31"/>
        <v>45</v>
      </c>
      <c r="Q47" s="19" t="str">
        <f t="shared" si="4"/>
        <v>Llewellyn (45): 1861–1939</v>
      </c>
      <c r="R47" s="120">
        <v>22</v>
      </c>
      <c r="S47" s="15" t="str">
        <f t="shared" si="28"/>
        <v>Edward (22): 1820–1890</v>
      </c>
      <c r="T47" s="38">
        <f t="shared" si="19"/>
        <v>8</v>
      </c>
      <c r="U47" s="37" t="str">
        <f t="shared" si="0"/>
        <v>Edward (8): 1780–1863</v>
      </c>
      <c r="V47" s="27">
        <f t="shared" si="20"/>
        <v>1</v>
      </c>
      <c r="W47" s="28" t="str">
        <f t="shared" si="21"/>
        <v>William (1): 1729–1800</v>
      </c>
      <c r="X47" s="39">
        <f t="shared" si="5"/>
        <v>0</v>
      </c>
      <c r="Y47" s="40" t="str">
        <f t="shared" si="6"/>
        <v>Lewis (0): 1690–1758</v>
      </c>
      <c r="Z47" s="29">
        <f t="shared" si="7"/>
        <v>-1</v>
      </c>
      <c r="AA47" s="41" t="e">
        <f t="shared" si="8"/>
        <v>#N/A</v>
      </c>
      <c r="AB47" s="30" t="e">
        <f t="shared" si="9"/>
        <v>#N/A</v>
      </c>
      <c r="AC47" s="43" t="e">
        <f t="shared" si="10"/>
        <v>#N/A</v>
      </c>
      <c r="AD47" s="42" t="e">
        <f t="shared" si="11"/>
        <v>#N/A</v>
      </c>
      <c r="AE47" s="22" t="e">
        <f t="shared" si="12"/>
        <v>#N/A</v>
      </c>
      <c r="AF47" s="42" t="e">
        <f t="shared" si="13"/>
        <v>#N/A</v>
      </c>
      <c r="AG47" s="22" t="e">
        <f t="shared" si="14"/>
        <v>#N/A</v>
      </c>
      <c r="AH47" s="23" t="s">
        <v>2815</v>
      </c>
      <c r="AI47" s="33" t="s">
        <v>4373</v>
      </c>
      <c r="AJ47" s="264" t="str">
        <f>VLOOKUP(AI47,'Mums of Loyd Edit&amp;Partner Edit'!$B$4:$C$66,2,FALSE)</f>
        <v>Caroline Louisa FOSTER (b. 6 Aug 1825, d. 8 Feb 1900)</v>
      </c>
      <c r="AK47" s="33">
        <f t="shared" si="22"/>
        <v>6</v>
      </c>
      <c r="AL47" s="33">
        <f t="shared" si="23"/>
        <v>30</v>
      </c>
      <c r="AM47" s="144">
        <f t="shared" si="24"/>
        <v>12</v>
      </c>
      <c r="AN47" s="144">
        <f t="shared" si="25"/>
        <v>27</v>
      </c>
      <c r="AO47">
        <f t="shared" si="32"/>
        <v>78</v>
      </c>
      <c r="AP47" s="103">
        <f t="shared" si="33"/>
        <v>161</v>
      </c>
      <c r="AQ47" s="33">
        <f t="shared" si="30"/>
        <v>45</v>
      </c>
    </row>
    <row r="48" spans="1:43" ht="36" thickBot="1">
      <c r="A48" s="33">
        <f t="shared" si="2"/>
        <v>46</v>
      </c>
      <c r="B48">
        <f t="shared" si="26"/>
        <v>3</v>
      </c>
      <c r="C48" s="183">
        <v>46</v>
      </c>
      <c r="D48" s="2" t="s">
        <v>782</v>
      </c>
      <c r="E48" t="s">
        <v>830</v>
      </c>
      <c r="F48" t="s">
        <v>825</v>
      </c>
      <c r="I48" t="str">
        <f t="shared" si="17"/>
        <v>1863</v>
      </c>
      <c r="J48">
        <f t="shared" si="29"/>
        <v>1923</v>
      </c>
      <c r="K48" s="9" t="str">
        <f t="shared" si="27"/>
        <v>William (46): 1863</v>
      </c>
      <c r="L48" s="8" t="s">
        <v>1097</v>
      </c>
      <c r="M48" s="8" t="s">
        <v>1097</v>
      </c>
      <c r="N48" t="s">
        <v>1098</v>
      </c>
      <c r="O48" s="10" t="s">
        <v>3180</v>
      </c>
      <c r="P48" s="13">
        <f t="shared" si="31"/>
        <v>46</v>
      </c>
      <c r="Q48" s="19" t="str">
        <f t="shared" si="4"/>
        <v>William (46): 1863–1923</v>
      </c>
      <c r="R48" s="120">
        <v>23</v>
      </c>
      <c r="S48" s="15" t="str">
        <f t="shared" si="28"/>
        <v>William (23): 1821–1885</v>
      </c>
      <c r="T48" s="38">
        <f t="shared" si="19"/>
        <v>8</v>
      </c>
      <c r="U48" s="37" t="str">
        <f t="shared" si="0"/>
        <v>Edward (8): 1780–1863</v>
      </c>
      <c r="V48" s="27">
        <f t="shared" si="20"/>
        <v>1</v>
      </c>
      <c r="W48" s="28" t="str">
        <f t="shared" si="21"/>
        <v>William (1): 1729–1800</v>
      </c>
      <c r="X48" s="39">
        <f t="shared" si="5"/>
        <v>0</v>
      </c>
      <c r="Y48" s="40" t="str">
        <f t="shared" si="6"/>
        <v>Lewis (0): 1690–1758</v>
      </c>
      <c r="Z48" s="29">
        <f t="shared" si="7"/>
        <v>-1</v>
      </c>
      <c r="AA48" s="41" t="e">
        <f t="shared" si="8"/>
        <v>#N/A</v>
      </c>
      <c r="AB48" s="30" t="e">
        <f t="shared" si="9"/>
        <v>#N/A</v>
      </c>
      <c r="AC48" s="43" t="e">
        <f t="shared" si="10"/>
        <v>#N/A</v>
      </c>
      <c r="AD48" s="42" t="e">
        <f t="shared" si="11"/>
        <v>#N/A</v>
      </c>
      <c r="AE48" s="22" t="e">
        <f t="shared" si="12"/>
        <v>#N/A</v>
      </c>
      <c r="AF48" s="42" t="e">
        <f t="shared" si="13"/>
        <v>#N/A</v>
      </c>
      <c r="AG48" s="22" t="e">
        <f t="shared" si="14"/>
        <v>#N/A</v>
      </c>
      <c r="AH48" s="23" t="s">
        <v>2815</v>
      </c>
      <c r="AI48" s="33" t="s">
        <v>4374</v>
      </c>
      <c r="AJ48" s="264" t="str">
        <f>VLOOKUP(AI48,'Mums of Loyd Edit&amp;Partner Edit'!$B$4:$C$66,2,FALSE)</f>
        <v>Caroline Gertrude Walker VIVIAN (b. 1829, d. 28 Nov 1893)</v>
      </c>
      <c r="AK48" s="33">
        <f t="shared" si="22"/>
        <v>9</v>
      </c>
      <c r="AL48" s="33">
        <f t="shared" si="23"/>
        <v>30</v>
      </c>
      <c r="AM48" s="144">
        <f t="shared" si="24"/>
        <v>6</v>
      </c>
      <c r="AN48" s="144">
        <f t="shared" si="25"/>
        <v>18</v>
      </c>
      <c r="AO48">
        <f t="shared" si="32"/>
        <v>59</v>
      </c>
      <c r="AP48" s="103">
        <f t="shared" si="33"/>
        <v>158</v>
      </c>
      <c r="AQ48" s="33">
        <f t="shared" si="30"/>
        <v>46</v>
      </c>
    </row>
    <row r="49" spans="1:43" ht="20" thickBot="1">
      <c r="A49" s="33">
        <f t="shared" si="2"/>
        <v>47</v>
      </c>
      <c r="B49">
        <f t="shared" si="26"/>
        <v>3</v>
      </c>
      <c r="C49" s="183">
        <v>47</v>
      </c>
      <c r="D49" s="2" t="s">
        <v>782</v>
      </c>
      <c r="E49" t="s">
        <v>903</v>
      </c>
      <c r="F49" t="s">
        <v>812</v>
      </c>
      <c r="I49" t="str">
        <f t="shared" si="17"/>
        <v>1864</v>
      </c>
      <c r="J49">
        <f t="shared" si="29"/>
        <v>1940</v>
      </c>
      <c r="K49" s="9" t="str">
        <f t="shared" si="27"/>
        <v>Caroline (47): 1864</v>
      </c>
      <c r="L49" s="8" t="s">
        <v>1099</v>
      </c>
      <c r="M49" s="8" t="s">
        <v>1099</v>
      </c>
      <c r="N49" t="s">
        <v>1100</v>
      </c>
      <c r="O49" s="10" t="s">
        <v>3181</v>
      </c>
      <c r="P49" s="13">
        <f t="shared" si="31"/>
        <v>47</v>
      </c>
      <c r="Q49" s="19" t="str">
        <f t="shared" si="4"/>
        <v>Caroline (47): 1864–1940</v>
      </c>
      <c r="R49" s="120">
        <v>22</v>
      </c>
      <c r="S49" s="15" t="str">
        <f t="shared" si="28"/>
        <v>Edward (22): 1820–1890</v>
      </c>
      <c r="T49" s="38">
        <f t="shared" si="19"/>
        <v>8</v>
      </c>
      <c r="U49" s="37" t="str">
        <f t="shared" si="0"/>
        <v>Edward (8): 1780–1863</v>
      </c>
      <c r="V49" s="27">
        <f t="shared" si="20"/>
        <v>1</v>
      </c>
      <c r="W49" s="28" t="str">
        <f t="shared" si="21"/>
        <v>William (1): 1729–1800</v>
      </c>
      <c r="X49" s="39">
        <f t="shared" si="5"/>
        <v>0</v>
      </c>
      <c r="Y49" s="40" t="str">
        <f t="shared" si="6"/>
        <v>Lewis (0): 1690–1758</v>
      </c>
      <c r="Z49" s="29">
        <f t="shared" si="7"/>
        <v>-1</v>
      </c>
      <c r="AA49" s="41" t="e">
        <f t="shared" si="8"/>
        <v>#N/A</v>
      </c>
      <c r="AB49" s="30" t="e">
        <f t="shared" si="9"/>
        <v>#N/A</v>
      </c>
      <c r="AC49" s="43" t="e">
        <f t="shared" si="10"/>
        <v>#N/A</v>
      </c>
      <c r="AD49" s="42" t="e">
        <f t="shared" si="11"/>
        <v>#N/A</v>
      </c>
      <c r="AE49" s="22" t="e">
        <f t="shared" si="12"/>
        <v>#N/A</v>
      </c>
      <c r="AF49" s="42" t="e">
        <f t="shared" si="13"/>
        <v>#N/A</v>
      </c>
      <c r="AG49" s="22" t="e">
        <f t="shared" si="14"/>
        <v>#N/A</v>
      </c>
      <c r="AH49" s="23" t="s">
        <v>2814</v>
      </c>
      <c r="AI49" s="33" t="s">
        <v>4373</v>
      </c>
      <c r="AJ49" s="264" t="str">
        <f>VLOOKUP(AI49,'Mums of Loyd Edit&amp;Partner Edit'!$B$4:$C$66,2,FALSE)</f>
        <v>Caroline Louisa FOSTER (b. 6 Aug 1825, d. 8 Feb 1900)</v>
      </c>
      <c r="AK49" s="33">
        <f t="shared" si="22"/>
        <v>7</v>
      </c>
      <c r="AL49" s="33">
        <f t="shared" si="23"/>
        <v>10</v>
      </c>
      <c r="AM49" s="144">
        <f t="shared" si="24"/>
        <v>12</v>
      </c>
      <c r="AN49" s="144">
        <f t="shared" si="25"/>
        <v>3</v>
      </c>
      <c r="AO49">
        <f t="shared" si="32"/>
        <v>76</v>
      </c>
      <c r="AP49" s="103">
        <f t="shared" si="33"/>
        <v>157</v>
      </c>
      <c r="AQ49" s="33">
        <f t="shared" si="30"/>
        <v>47</v>
      </c>
    </row>
    <row r="50" spans="1:43" ht="36" thickBot="1">
      <c r="A50" s="33">
        <f t="shared" si="2"/>
        <v>48</v>
      </c>
      <c r="B50">
        <f t="shared" si="26"/>
        <v>3</v>
      </c>
      <c r="C50" s="183">
        <v>48</v>
      </c>
      <c r="D50" s="2" t="s">
        <v>782</v>
      </c>
      <c r="E50" t="s">
        <v>903</v>
      </c>
      <c r="F50" t="s">
        <v>1101</v>
      </c>
      <c r="I50" t="str">
        <f t="shared" si="17"/>
        <v>1865</v>
      </c>
      <c r="J50">
        <f t="shared" si="29"/>
        <v>1938</v>
      </c>
      <c r="K50" s="9" t="str">
        <f t="shared" si="27"/>
        <v>Caroline (48): 1865</v>
      </c>
      <c r="L50" s="8" t="s">
        <v>1102</v>
      </c>
      <c r="M50" s="8" t="s">
        <v>1102</v>
      </c>
      <c r="N50" s="3">
        <v>557</v>
      </c>
      <c r="O50" s="10" t="s">
        <v>3182</v>
      </c>
      <c r="P50" s="13">
        <f t="shared" si="31"/>
        <v>48</v>
      </c>
      <c r="Q50" s="19" t="str">
        <f t="shared" si="4"/>
        <v>Caroline (48): 1865–1938</v>
      </c>
      <c r="R50" s="120">
        <v>23</v>
      </c>
      <c r="S50" s="15" t="str">
        <f t="shared" si="28"/>
        <v>William (23): 1821–1885</v>
      </c>
      <c r="T50" s="38">
        <f t="shared" si="19"/>
        <v>8</v>
      </c>
      <c r="U50" s="37" t="str">
        <f t="shared" si="0"/>
        <v>Edward (8): 1780–1863</v>
      </c>
      <c r="V50" s="27">
        <f t="shared" si="20"/>
        <v>1</v>
      </c>
      <c r="W50" s="28" t="str">
        <f t="shared" si="21"/>
        <v>William (1): 1729–1800</v>
      </c>
      <c r="X50" s="39">
        <f t="shared" si="5"/>
        <v>0</v>
      </c>
      <c r="Y50" s="40" t="str">
        <f t="shared" si="6"/>
        <v>Lewis (0): 1690–1758</v>
      </c>
      <c r="Z50" s="29">
        <f t="shared" si="7"/>
        <v>-1</v>
      </c>
      <c r="AA50" s="41" t="e">
        <f t="shared" si="8"/>
        <v>#N/A</v>
      </c>
      <c r="AB50" s="30" t="e">
        <f t="shared" si="9"/>
        <v>#N/A</v>
      </c>
      <c r="AC50" s="43" t="e">
        <f t="shared" si="10"/>
        <v>#N/A</v>
      </c>
      <c r="AD50" s="42" t="e">
        <f t="shared" si="11"/>
        <v>#N/A</v>
      </c>
      <c r="AE50" s="22" t="e">
        <f t="shared" si="12"/>
        <v>#N/A</v>
      </c>
      <c r="AF50" s="42" t="e">
        <f t="shared" si="13"/>
        <v>#N/A</v>
      </c>
      <c r="AG50" s="22" t="e">
        <f t="shared" si="14"/>
        <v>#N/A</v>
      </c>
      <c r="AH50" s="23" t="s">
        <v>2814</v>
      </c>
      <c r="AI50" s="33" t="s">
        <v>4374</v>
      </c>
      <c r="AJ50" s="264" t="str">
        <f>VLOOKUP(AI50,'Mums of Loyd Edit&amp;Partner Edit'!$B$4:$C$66,2,FALSE)</f>
        <v>Caroline Gertrude Walker VIVIAN (b. 1829, d. 28 Nov 1893)</v>
      </c>
      <c r="AK50" s="33">
        <f t="shared" si="22"/>
        <v>4</v>
      </c>
      <c r="AL50" s="33">
        <f t="shared" si="23"/>
        <v>2</v>
      </c>
      <c r="AM50" s="144">
        <f t="shared" si="24"/>
        <v>2</v>
      </c>
      <c r="AN50" s="144">
        <f t="shared" si="25"/>
        <v>21</v>
      </c>
      <c r="AO50">
        <f t="shared" si="32"/>
        <v>72</v>
      </c>
      <c r="AP50" s="103">
        <f t="shared" si="33"/>
        <v>157</v>
      </c>
      <c r="AQ50" s="33">
        <f t="shared" si="30"/>
        <v>48</v>
      </c>
    </row>
    <row r="51" spans="1:43" ht="36" thickBot="1">
      <c r="A51" s="33">
        <f t="shared" si="2"/>
        <v>49</v>
      </c>
      <c r="B51">
        <f t="shared" si="26"/>
        <v>3</v>
      </c>
      <c r="C51" s="183">
        <v>49</v>
      </c>
      <c r="D51" s="2" t="s">
        <v>782</v>
      </c>
      <c r="E51" t="s">
        <v>870</v>
      </c>
      <c r="F51" t="s">
        <v>1103</v>
      </c>
      <c r="I51" t="str">
        <f t="shared" si="17"/>
        <v>1867</v>
      </c>
      <c r="J51" t="str">
        <f t="shared" si="18"/>
        <v>1867</v>
      </c>
      <c r="K51" s="9" t="str">
        <f t="shared" si="27"/>
        <v>Mary (49): 1867</v>
      </c>
      <c r="L51" s="8" t="s">
        <v>1104</v>
      </c>
      <c r="M51" s="8" t="s">
        <v>1104</v>
      </c>
      <c r="N51" t="s">
        <v>3792</v>
      </c>
      <c r="O51" s="10" t="s">
        <v>1104</v>
      </c>
      <c r="P51" s="13">
        <f t="shared" si="31"/>
        <v>49</v>
      </c>
      <c r="Q51" s="19" t="str">
        <f t="shared" si="4"/>
        <v>Mary (49): 1867–1867</v>
      </c>
      <c r="R51" s="120">
        <v>23</v>
      </c>
      <c r="S51" s="15" t="str">
        <f t="shared" si="28"/>
        <v>William (23): 1821–1885</v>
      </c>
      <c r="T51" s="38">
        <f t="shared" si="19"/>
        <v>8</v>
      </c>
      <c r="U51" s="37" t="str">
        <f t="shared" si="0"/>
        <v>Edward (8): 1780–1863</v>
      </c>
      <c r="V51" s="27">
        <f t="shared" si="20"/>
        <v>1</v>
      </c>
      <c r="W51" s="28" t="str">
        <f t="shared" si="21"/>
        <v>William (1): 1729–1800</v>
      </c>
      <c r="X51" s="39">
        <f t="shared" si="5"/>
        <v>0</v>
      </c>
      <c r="Y51" s="40" t="str">
        <f t="shared" si="6"/>
        <v>Lewis (0): 1690–1758</v>
      </c>
      <c r="Z51" s="29">
        <f t="shared" si="7"/>
        <v>-1</v>
      </c>
      <c r="AA51" s="41" t="e">
        <f t="shared" si="8"/>
        <v>#N/A</v>
      </c>
      <c r="AB51" s="30" t="e">
        <f t="shared" si="9"/>
        <v>#N/A</v>
      </c>
      <c r="AC51" s="43" t="e">
        <f t="shared" si="10"/>
        <v>#N/A</v>
      </c>
      <c r="AD51" s="42" t="e">
        <f t="shared" si="11"/>
        <v>#N/A</v>
      </c>
      <c r="AE51" s="22" t="e">
        <f t="shared" si="12"/>
        <v>#N/A</v>
      </c>
      <c r="AF51" s="42" t="e">
        <f t="shared" si="13"/>
        <v>#N/A</v>
      </c>
      <c r="AG51" s="22" t="e">
        <f t="shared" si="14"/>
        <v>#N/A</v>
      </c>
      <c r="AH51" s="24" t="s">
        <v>2814</v>
      </c>
      <c r="AI51" s="33" t="s">
        <v>4374</v>
      </c>
      <c r="AJ51" s="264" t="str">
        <f>VLOOKUP(AI51,'Mums of Loyd Edit&amp;Partner Edit'!$B$4:$C$66,2,FALSE)</f>
        <v>Caroline Gertrude Walker VIVIAN (b. 1829, d. 28 Nov 1893)</v>
      </c>
      <c r="AK51" s="33">
        <f t="shared" si="22"/>
        <v>1</v>
      </c>
      <c r="AL51" s="33">
        <f t="shared" si="23"/>
        <v>19</v>
      </c>
      <c r="AM51" s="144">
        <f t="shared" si="24"/>
        <v>1</v>
      </c>
      <c r="AN51" s="144">
        <f t="shared" si="25"/>
        <v>19</v>
      </c>
      <c r="AO51">
        <f t="shared" si="32"/>
        <v>0</v>
      </c>
      <c r="AP51" s="103">
        <f t="shared" si="33"/>
        <v>155</v>
      </c>
      <c r="AQ51" s="33">
        <f t="shared" si="30"/>
        <v>49</v>
      </c>
    </row>
    <row r="52" spans="1:43" ht="36" thickBot="1">
      <c r="A52" s="33">
        <f t="shared" si="2"/>
        <v>50</v>
      </c>
      <c r="B52">
        <f t="shared" si="26"/>
        <v>3</v>
      </c>
      <c r="C52" s="183">
        <v>50</v>
      </c>
      <c r="D52" s="2" t="s">
        <v>782</v>
      </c>
      <c r="E52" t="s">
        <v>804</v>
      </c>
      <c r="F52" t="s">
        <v>1105</v>
      </c>
      <c r="I52" t="str">
        <f t="shared" si="17"/>
        <v>1868</v>
      </c>
      <c r="J52">
        <f t="shared" si="29"/>
        <v>1911</v>
      </c>
      <c r="K52" s="9" t="str">
        <f t="shared" si="27"/>
        <v>Arthur (50): 1868</v>
      </c>
      <c r="L52" s="8" t="s">
        <v>1106</v>
      </c>
      <c r="M52" s="8" t="s">
        <v>1106</v>
      </c>
      <c r="N52" t="s">
        <v>1107</v>
      </c>
      <c r="O52" s="10" t="s">
        <v>3183</v>
      </c>
      <c r="P52" s="13">
        <f t="shared" si="31"/>
        <v>50</v>
      </c>
      <c r="Q52" s="19" t="str">
        <f t="shared" si="4"/>
        <v>Arthur (50): 1868–1911</v>
      </c>
      <c r="R52" s="120">
        <v>23</v>
      </c>
      <c r="S52" s="15" t="str">
        <f t="shared" si="28"/>
        <v>William (23): 1821–1885</v>
      </c>
      <c r="T52" s="38">
        <f t="shared" si="19"/>
        <v>8</v>
      </c>
      <c r="U52" s="37" t="str">
        <f t="shared" si="0"/>
        <v>Edward (8): 1780–1863</v>
      </c>
      <c r="V52" s="27">
        <f t="shared" si="20"/>
        <v>1</v>
      </c>
      <c r="W52" s="28" t="str">
        <f t="shared" si="21"/>
        <v>William (1): 1729–1800</v>
      </c>
      <c r="X52" s="39">
        <f t="shared" si="5"/>
        <v>0</v>
      </c>
      <c r="Y52" s="40" t="str">
        <f t="shared" si="6"/>
        <v>Lewis (0): 1690–1758</v>
      </c>
      <c r="Z52" s="29">
        <f t="shared" si="7"/>
        <v>-1</v>
      </c>
      <c r="AA52" s="41" t="e">
        <f t="shared" si="8"/>
        <v>#N/A</v>
      </c>
      <c r="AB52" s="30" t="e">
        <f t="shared" si="9"/>
        <v>#N/A</v>
      </c>
      <c r="AC52" s="43" t="e">
        <f t="shared" si="10"/>
        <v>#N/A</v>
      </c>
      <c r="AD52" s="42" t="e">
        <f t="shared" si="11"/>
        <v>#N/A</v>
      </c>
      <c r="AE52" s="22" t="e">
        <f t="shared" si="12"/>
        <v>#N/A</v>
      </c>
      <c r="AF52" s="42" t="e">
        <f t="shared" si="13"/>
        <v>#N/A</v>
      </c>
      <c r="AG52" s="22" t="e">
        <f t="shared" si="14"/>
        <v>#N/A</v>
      </c>
      <c r="AH52" s="23" t="s">
        <v>2815</v>
      </c>
      <c r="AI52" s="33" t="s">
        <v>4374</v>
      </c>
      <c r="AJ52" s="264" t="str">
        <f>VLOOKUP(AI52,'Mums of Loyd Edit&amp;Partner Edit'!$B$4:$C$66,2,FALSE)</f>
        <v>Caroline Gertrude Walker VIVIAN (b. 1829, d. 28 Nov 1893)</v>
      </c>
      <c r="AK52" s="33">
        <f t="shared" si="22"/>
        <v>7</v>
      </c>
      <c r="AL52" s="33">
        <f t="shared" si="23"/>
        <v>20</v>
      </c>
      <c r="AM52" s="144">
        <f t="shared" si="24"/>
        <v>6</v>
      </c>
      <c r="AN52" s="144">
        <f t="shared" si="25"/>
        <v>21</v>
      </c>
      <c r="AO52">
        <f t="shared" si="32"/>
        <v>42</v>
      </c>
      <c r="AP52" s="103">
        <f t="shared" si="33"/>
        <v>153</v>
      </c>
      <c r="AQ52" s="33">
        <f t="shared" si="30"/>
        <v>50</v>
      </c>
    </row>
    <row r="53" spans="1:43" ht="36" thickBot="1">
      <c r="A53" s="33">
        <f t="shared" si="2"/>
        <v>51</v>
      </c>
      <c r="B53">
        <f t="shared" si="26"/>
        <v>4</v>
      </c>
      <c r="C53" s="183">
        <v>51</v>
      </c>
      <c r="D53" s="2" t="s">
        <v>782</v>
      </c>
      <c r="E53" t="s">
        <v>914</v>
      </c>
      <c r="F53" t="s">
        <v>1108</v>
      </c>
      <c r="I53" t="str">
        <f t="shared" si="17"/>
        <v>1875</v>
      </c>
      <c r="J53">
        <f t="shared" si="29"/>
        <v>1947</v>
      </c>
      <c r="K53" s="9" t="str">
        <f t="shared" si="27"/>
        <v>Lewis (51): 1875</v>
      </c>
      <c r="L53" s="8" t="s">
        <v>1109</v>
      </c>
      <c r="M53" s="8" t="s">
        <v>1109</v>
      </c>
      <c r="N53" t="s">
        <v>3792</v>
      </c>
      <c r="O53" s="10" t="s">
        <v>3184</v>
      </c>
      <c r="P53" s="13">
        <f t="shared" si="31"/>
        <v>51</v>
      </c>
      <c r="Q53" s="19" t="str">
        <f t="shared" si="4"/>
        <v>Lewis (51): 1875–1947</v>
      </c>
      <c r="R53" s="120">
        <v>28</v>
      </c>
      <c r="S53" s="15" t="str">
        <f t="shared" si="28"/>
        <v>The Rev Lewis (28): 1844–1905</v>
      </c>
      <c r="T53" s="38">
        <f t="shared" si="19"/>
        <v>14</v>
      </c>
      <c r="U53" s="37" t="str">
        <f t="shared" si="0"/>
        <v>Thomas (14): 1812–1857</v>
      </c>
      <c r="V53" s="27">
        <f t="shared" si="20"/>
        <v>4</v>
      </c>
      <c r="W53" s="28" t="str">
        <f t="shared" si="21"/>
        <v>William (4): 1770–1828</v>
      </c>
      <c r="X53" s="39">
        <f t="shared" si="5"/>
        <v>1</v>
      </c>
      <c r="Y53" s="40" t="str">
        <f t="shared" si="6"/>
        <v>William (1): 1729–1800</v>
      </c>
      <c r="Z53" s="29">
        <f t="shared" si="7"/>
        <v>0</v>
      </c>
      <c r="AA53" s="41" t="str">
        <f t="shared" si="8"/>
        <v>Lewis (0): 1690–1758</v>
      </c>
      <c r="AB53" s="30">
        <f t="shared" si="9"/>
        <v>-1</v>
      </c>
      <c r="AC53" s="43" t="e">
        <f t="shared" si="10"/>
        <v>#N/A</v>
      </c>
      <c r="AD53" s="42" t="e">
        <f t="shared" si="11"/>
        <v>#N/A</v>
      </c>
      <c r="AE53" s="22" t="e">
        <f t="shared" si="12"/>
        <v>#N/A</v>
      </c>
      <c r="AF53" s="42" t="e">
        <f t="shared" si="13"/>
        <v>#N/A</v>
      </c>
      <c r="AG53" s="22" t="e">
        <f t="shared" si="14"/>
        <v>#N/A</v>
      </c>
      <c r="AH53" s="23" t="s">
        <v>2815</v>
      </c>
      <c r="AI53" s="33" t="s">
        <v>4375</v>
      </c>
      <c r="AJ53" s="264" t="str">
        <f>VLOOKUP(AI53,'Mums of Loyd Edit&amp;Partner Edit'!$B$4:$C$66,2,FALSE)</f>
        <v xml:space="preserve">Emily Harriet (Milly) SMYTH (b. 30 Aug 1852, d. 25 Feb 1911) </v>
      </c>
      <c r="AK53" s="33">
        <f t="shared" si="22"/>
        <v>9</v>
      </c>
      <c r="AL53" s="33">
        <f t="shared" si="23"/>
        <v>27</v>
      </c>
      <c r="AM53" s="144">
        <f t="shared" si="24"/>
        <v>8</v>
      </c>
      <c r="AN53" s="144">
        <f t="shared" si="25"/>
        <v>17</v>
      </c>
      <c r="AO53">
        <f t="shared" si="32"/>
        <v>71</v>
      </c>
      <c r="AP53" s="103">
        <f t="shared" si="33"/>
        <v>146</v>
      </c>
      <c r="AQ53" s="33">
        <f t="shared" si="30"/>
        <v>51</v>
      </c>
    </row>
    <row r="54" spans="1:43" ht="20" thickBot="1">
      <c r="A54" s="33">
        <f t="shared" si="2"/>
        <v>52</v>
      </c>
      <c r="B54">
        <f t="shared" si="26"/>
        <v>4</v>
      </c>
      <c r="C54" s="183">
        <v>52</v>
      </c>
      <c r="D54" s="2" t="s">
        <v>782</v>
      </c>
      <c r="E54" t="s">
        <v>914</v>
      </c>
      <c r="F54" t="s">
        <v>1083</v>
      </c>
      <c r="G54" t="s">
        <v>850</v>
      </c>
      <c r="I54" t="str">
        <f t="shared" si="17"/>
        <v>1880</v>
      </c>
      <c r="J54">
        <f t="shared" si="29"/>
        <v>1918</v>
      </c>
      <c r="K54" s="9" t="str">
        <f t="shared" si="27"/>
        <v>Lewis (52): 1880</v>
      </c>
      <c r="L54" s="8" t="s">
        <v>1110</v>
      </c>
      <c r="M54" s="8" t="s">
        <v>1110</v>
      </c>
      <c r="N54" s="3">
        <v>5407</v>
      </c>
      <c r="O54" s="10" t="s">
        <v>3185</v>
      </c>
      <c r="P54" s="13">
        <f t="shared" si="31"/>
        <v>52</v>
      </c>
      <c r="Q54" s="19" t="str">
        <f t="shared" si="4"/>
        <v>Lewis (52): 1880–1918</v>
      </c>
      <c r="R54" s="120">
        <v>41</v>
      </c>
      <c r="S54" s="15" t="str">
        <f t="shared" si="28"/>
        <v>Frederic (41): 1856–1936</v>
      </c>
      <c r="T54" s="38">
        <f t="shared" si="19"/>
        <v>22</v>
      </c>
      <c r="U54" s="37" t="str">
        <f t="shared" si="0"/>
        <v>Edward (22): 1820–1890</v>
      </c>
      <c r="V54" s="27">
        <f t="shared" si="20"/>
        <v>8</v>
      </c>
      <c r="W54" s="28" t="str">
        <f t="shared" si="21"/>
        <v>Edward (8): 1780–1863</v>
      </c>
      <c r="X54" s="39">
        <f t="shared" si="5"/>
        <v>1</v>
      </c>
      <c r="Y54" s="40" t="str">
        <f t="shared" si="6"/>
        <v>William (1): 1729–1800</v>
      </c>
      <c r="Z54" s="29">
        <f t="shared" si="7"/>
        <v>0</v>
      </c>
      <c r="AA54" s="41" t="str">
        <f t="shared" si="8"/>
        <v>Lewis (0): 1690–1758</v>
      </c>
      <c r="AB54" s="30">
        <f t="shared" si="9"/>
        <v>-1</v>
      </c>
      <c r="AC54" s="43" t="e">
        <f t="shared" si="10"/>
        <v>#N/A</v>
      </c>
      <c r="AD54" s="42" t="e">
        <f t="shared" si="11"/>
        <v>#N/A</v>
      </c>
      <c r="AE54" s="22" t="e">
        <f t="shared" si="12"/>
        <v>#N/A</v>
      </c>
      <c r="AF54" s="42" t="e">
        <f t="shared" si="13"/>
        <v>#N/A</v>
      </c>
      <c r="AG54" s="22" t="e">
        <f t="shared" si="14"/>
        <v>#N/A</v>
      </c>
      <c r="AH54" s="23" t="s">
        <v>2815</v>
      </c>
      <c r="AI54" s="33" t="s">
        <v>4376</v>
      </c>
      <c r="AJ54" s="264" t="str">
        <f>VLOOKUP(AI54,'Mums of Loyd Edit&amp;Partner Edit'!$B$4:$C$66,2,FALSE)</f>
        <v>Isabella (Isabel) CURREY (b. 26 Apr 1855, d. 16 Jan 1926)</v>
      </c>
      <c r="AK54" s="33">
        <f t="shared" si="22"/>
        <v>10</v>
      </c>
      <c r="AL54" s="33">
        <f t="shared" si="23"/>
        <v>6</v>
      </c>
      <c r="AM54" s="144">
        <f t="shared" si="24"/>
        <v>9</v>
      </c>
      <c r="AN54" s="144">
        <f t="shared" si="25"/>
        <v>21</v>
      </c>
      <c r="AO54">
        <f t="shared" si="32"/>
        <v>37</v>
      </c>
      <c r="AP54" s="103">
        <f t="shared" si="33"/>
        <v>141</v>
      </c>
      <c r="AQ54" s="33">
        <f t="shared" si="30"/>
        <v>52</v>
      </c>
    </row>
    <row r="55" spans="1:43" ht="20" thickBot="1">
      <c r="A55" s="33">
        <f t="shared" si="2"/>
        <v>53</v>
      </c>
      <c r="B55">
        <f t="shared" si="26"/>
        <v>4</v>
      </c>
      <c r="C55" s="183">
        <v>53</v>
      </c>
      <c r="D55" s="2" t="s">
        <v>782</v>
      </c>
      <c r="E55" t="s">
        <v>811</v>
      </c>
      <c r="F55" t="s">
        <v>1111</v>
      </c>
      <c r="G55" t="s">
        <v>1112</v>
      </c>
      <c r="I55" t="str">
        <f t="shared" si="17"/>
        <v>1881</v>
      </c>
      <c r="J55">
        <f t="shared" si="29"/>
        <v>1962</v>
      </c>
      <c r="K55" s="9" t="str">
        <f t="shared" si="27"/>
        <v>Edward (53): 1881</v>
      </c>
      <c r="L55" s="8" t="s">
        <v>1113</v>
      </c>
      <c r="M55" s="8" t="s">
        <v>1113</v>
      </c>
      <c r="N55" s="3">
        <v>7126</v>
      </c>
      <c r="O55" s="10" t="s">
        <v>3186</v>
      </c>
      <c r="P55" s="13">
        <f t="shared" si="31"/>
        <v>53</v>
      </c>
      <c r="Q55" s="19" t="str">
        <f t="shared" si="4"/>
        <v>Edward (53): 1881–1962</v>
      </c>
      <c r="R55" s="120">
        <v>41</v>
      </c>
      <c r="S55" s="15" t="str">
        <f t="shared" si="28"/>
        <v>Frederic (41): 1856–1936</v>
      </c>
      <c r="T55" s="38">
        <f t="shared" si="19"/>
        <v>22</v>
      </c>
      <c r="U55" s="37" t="str">
        <f t="shared" si="0"/>
        <v>Edward (22): 1820–1890</v>
      </c>
      <c r="V55" s="27">
        <f t="shared" si="20"/>
        <v>8</v>
      </c>
      <c r="W55" s="28" t="str">
        <f t="shared" si="21"/>
        <v>Edward (8): 1780–1863</v>
      </c>
      <c r="X55" s="39">
        <f t="shared" si="5"/>
        <v>1</v>
      </c>
      <c r="Y55" s="40" t="str">
        <f t="shared" si="6"/>
        <v>William (1): 1729–1800</v>
      </c>
      <c r="Z55" s="29">
        <f t="shared" si="7"/>
        <v>0</v>
      </c>
      <c r="AA55" s="41" t="str">
        <f t="shared" si="8"/>
        <v>Lewis (0): 1690–1758</v>
      </c>
      <c r="AB55" s="30">
        <f t="shared" si="9"/>
        <v>-1</v>
      </c>
      <c r="AC55" s="43" t="e">
        <f t="shared" si="10"/>
        <v>#N/A</v>
      </c>
      <c r="AD55" s="42" t="e">
        <f t="shared" si="11"/>
        <v>#N/A</v>
      </c>
      <c r="AE55" s="22" t="e">
        <f t="shared" si="12"/>
        <v>#N/A</v>
      </c>
      <c r="AF55" s="42" t="e">
        <f t="shared" si="13"/>
        <v>#N/A</v>
      </c>
      <c r="AG55" s="22" t="e">
        <f t="shared" si="14"/>
        <v>#N/A</v>
      </c>
      <c r="AH55" s="23" t="s">
        <v>2815</v>
      </c>
      <c r="AI55" s="33" t="s">
        <v>4376</v>
      </c>
      <c r="AJ55" s="264" t="str">
        <f>VLOOKUP(AI55,'Mums of Loyd Edit&amp;Partner Edit'!$B$4:$C$66,2,FALSE)</f>
        <v>Isabella (Isabel) CURREY (b. 26 Apr 1855, d. 16 Jan 1926)</v>
      </c>
      <c r="AK55" s="33">
        <f t="shared" si="22"/>
        <v>12</v>
      </c>
      <c r="AL55" s="33">
        <f t="shared" si="23"/>
        <v>23</v>
      </c>
      <c r="AM55" s="144">
        <f t="shared" si="24"/>
        <v>2</v>
      </c>
      <c r="AN55" s="144">
        <f t="shared" si="25"/>
        <v>6</v>
      </c>
      <c r="AO55">
        <f t="shared" si="32"/>
        <v>80</v>
      </c>
      <c r="AP55" s="103">
        <f t="shared" si="33"/>
        <v>140</v>
      </c>
      <c r="AQ55" s="33">
        <f t="shared" si="30"/>
        <v>53</v>
      </c>
    </row>
    <row r="56" spans="1:43" ht="36" thickBot="1">
      <c r="A56" s="33">
        <f t="shared" si="2"/>
        <v>54</v>
      </c>
      <c r="B56">
        <f t="shared" si="26"/>
        <v>4</v>
      </c>
      <c r="C56" s="183">
        <v>54</v>
      </c>
      <c r="D56" s="2" t="s">
        <v>782</v>
      </c>
      <c r="E56" t="s">
        <v>1063</v>
      </c>
      <c r="F56" t="s">
        <v>830</v>
      </c>
      <c r="G56" t="s">
        <v>819</v>
      </c>
      <c r="I56" t="str">
        <f t="shared" si="17"/>
        <v>1882</v>
      </c>
      <c r="J56">
        <f t="shared" si="29"/>
        <v>1919</v>
      </c>
      <c r="K56" s="9" t="str">
        <f t="shared" si="27"/>
        <v>Alfred (54): 1882</v>
      </c>
      <c r="L56" s="8" t="s">
        <v>1114</v>
      </c>
      <c r="M56" s="8" t="s">
        <v>1114</v>
      </c>
      <c r="N56" s="3">
        <v>5509</v>
      </c>
      <c r="O56" s="10" t="s">
        <v>3187</v>
      </c>
      <c r="P56" s="13">
        <f t="shared" si="31"/>
        <v>54</v>
      </c>
      <c r="Q56" s="19" t="str">
        <f t="shared" si="4"/>
        <v>Alfred (54): 1882–1919</v>
      </c>
      <c r="R56" s="120">
        <v>32</v>
      </c>
      <c r="S56" s="15" t="str">
        <f t="shared" si="28"/>
        <v>Frank (32): 1848–1934</v>
      </c>
      <c r="T56" s="38">
        <f t="shared" si="19"/>
        <v>14</v>
      </c>
      <c r="U56" s="37" t="str">
        <f t="shared" si="0"/>
        <v>Thomas (14): 1812–1857</v>
      </c>
      <c r="V56" s="27">
        <f t="shared" si="20"/>
        <v>4</v>
      </c>
      <c r="W56" s="28" t="str">
        <f t="shared" si="21"/>
        <v>William (4): 1770–1828</v>
      </c>
      <c r="X56" s="39">
        <f t="shared" si="5"/>
        <v>1</v>
      </c>
      <c r="Y56" s="40" t="str">
        <f t="shared" si="6"/>
        <v>William (1): 1729–1800</v>
      </c>
      <c r="Z56" s="29">
        <f t="shared" si="7"/>
        <v>0</v>
      </c>
      <c r="AA56" s="41" t="str">
        <f t="shared" si="8"/>
        <v>Lewis (0): 1690–1758</v>
      </c>
      <c r="AB56" s="30">
        <f t="shared" si="9"/>
        <v>-1</v>
      </c>
      <c r="AC56" s="43" t="e">
        <f t="shared" si="10"/>
        <v>#N/A</v>
      </c>
      <c r="AD56" s="42" t="e">
        <f t="shared" si="11"/>
        <v>#N/A</v>
      </c>
      <c r="AE56" s="22" t="e">
        <f t="shared" si="12"/>
        <v>#N/A</v>
      </c>
      <c r="AF56" s="42" t="e">
        <f t="shared" si="13"/>
        <v>#N/A</v>
      </c>
      <c r="AG56" s="22" t="e">
        <f t="shared" si="14"/>
        <v>#N/A</v>
      </c>
      <c r="AH56" s="23" t="s">
        <v>2815</v>
      </c>
      <c r="AI56" s="33" t="s">
        <v>4377</v>
      </c>
      <c r="AJ56" s="264" t="str">
        <f>VLOOKUP(AI56,'Mums of Loyd Edit&amp;Partner Edit'!$B$4:$C$66,2,FALSE)</f>
        <v>Frances Maria Jane FETHERSTONHAUGH (b. 10 Feb 1855, d. 6 May 1929)</v>
      </c>
      <c r="AK56" s="33">
        <f t="shared" si="22"/>
        <v>2</v>
      </c>
      <c r="AL56" s="33">
        <f t="shared" si="23"/>
        <v>10</v>
      </c>
      <c r="AM56" s="144">
        <f t="shared" si="24"/>
        <v>2</v>
      </c>
      <c r="AN56" s="144">
        <f t="shared" si="25"/>
        <v>13</v>
      </c>
      <c r="AO56">
        <f t="shared" si="32"/>
        <v>37</v>
      </c>
      <c r="AP56" s="103">
        <f t="shared" si="33"/>
        <v>140</v>
      </c>
      <c r="AQ56" s="33">
        <f t="shared" si="30"/>
        <v>54</v>
      </c>
    </row>
    <row r="57" spans="1:43" ht="36" thickBot="1">
      <c r="A57" s="33">
        <f t="shared" si="2"/>
        <v>55</v>
      </c>
      <c r="B57">
        <f t="shared" si="26"/>
        <v>4</v>
      </c>
      <c r="C57" s="183">
        <v>55</v>
      </c>
      <c r="D57" s="2" t="s">
        <v>782</v>
      </c>
      <c r="E57" t="s">
        <v>914</v>
      </c>
      <c r="F57" t="s">
        <v>928</v>
      </c>
      <c r="G57" t="s">
        <v>830</v>
      </c>
      <c r="H57" t="s">
        <v>1180</v>
      </c>
      <c r="I57" t="str">
        <f t="shared" si="17"/>
        <v>1882</v>
      </c>
      <c r="J57">
        <f t="shared" si="29"/>
        <v>1950</v>
      </c>
      <c r="K57" s="9" t="str">
        <f t="shared" si="27"/>
        <v>Dick (55): 1882</v>
      </c>
      <c r="L57" s="8" t="s">
        <v>1115</v>
      </c>
      <c r="M57" s="8" t="s">
        <v>1115</v>
      </c>
      <c r="N57" s="114">
        <v>720</v>
      </c>
      <c r="O57" s="10" t="s">
        <v>3188</v>
      </c>
      <c r="P57" s="13">
        <f t="shared" si="31"/>
        <v>55</v>
      </c>
      <c r="Q57" s="19" t="str">
        <f t="shared" si="4"/>
        <v>Dick (55): 1882–1950</v>
      </c>
      <c r="R57" s="120">
        <v>35</v>
      </c>
      <c r="S57" s="15" t="str">
        <f t="shared" si="28"/>
        <v>Lewis (35): 1852–1908</v>
      </c>
      <c r="T57" s="38">
        <f t="shared" si="19"/>
        <v>23</v>
      </c>
      <c r="U57" s="37" t="str">
        <f t="shared" si="0"/>
        <v>William (23): 1821–1885</v>
      </c>
      <c r="V57" s="27">
        <f t="shared" si="20"/>
        <v>8</v>
      </c>
      <c r="W57" s="28" t="str">
        <f t="shared" si="21"/>
        <v>Edward (8): 1780–1863</v>
      </c>
      <c r="X57" s="39">
        <f t="shared" si="5"/>
        <v>1</v>
      </c>
      <c r="Y57" s="40" t="str">
        <f t="shared" si="6"/>
        <v>William (1): 1729–1800</v>
      </c>
      <c r="Z57" s="29">
        <f t="shared" si="7"/>
        <v>0</v>
      </c>
      <c r="AA57" s="41" t="str">
        <f t="shared" si="8"/>
        <v>Lewis (0): 1690–1758</v>
      </c>
      <c r="AB57" s="30">
        <f t="shared" si="9"/>
        <v>-1</v>
      </c>
      <c r="AC57" s="43" t="e">
        <f t="shared" si="10"/>
        <v>#N/A</v>
      </c>
      <c r="AD57" s="42" t="e">
        <f t="shared" si="11"/>
        <v>#N/A</v>
      </c>
      <c r="AE57" s="22" t="e">
        <f t="shared" si="12"/>
        <v>#N/A</v>
      </c>
      <c r="AF57" s="42" t="e">
        <f t="shared" si="13"/>
        <v>#N/A</v>
      </c>
      <c r="AG57" s="22" t="e">
        <f t="shared" si="14"/>
        <v>#N/A</v>
      </c>
      <c r="AH57" s="23" t="s">
        <v>2815</v>
      </c>
      <c r="AI57" s="33" t="s">
        <v>4378</v>
      </c>
      <c r="AJ57" s="264" t="str">
        <f>VLOOKUP(AI57,'Mums of Loyd Edit&amp;Partner Edit'!$B$4:$C$66,2,FALSE)</f>
        <v>Lady Mary Sophia HELY-HUTCHINSON (b. 22 Sep 1853, d. 30 Jul 1936)</v>
      </c>
      <c r="AK57" s="33">
        <f t="shared" si="22"/>
        <v>4</v>
      </c>
      <c r="AL57" s="33">
        <f t="shared" si="23"/>
        <v>17</v>
      </c>
      <c r="AM57" s="144">
        <f t="shared" si="24"/>
        <v>2</v>
      </c>
      <c r="AN57" s="144">
        <f t="shared" si="25"/>
        <v>1</v>
      </c>
      <c r="AO57">
        <f t="shared" si="32"/>
        <v>67</v>
      </c>
      <c r="AP57" s="103">
        <f t="shared" si="33"/>
        <v>140</v>
      </c>
      <c r="AQ57" s="33">
        <f t="shared" si="30"/>
        <v>55</v>
      </c>
    </row>
    <row r="58" spans="1:43" ht="36" thickBot="1">
      <c r="A58" s="33">
        <f t="shared" si="2"/>
        <v>56</v>
      </c>
      <c r="B58">
        <f t="shared" si="26"/>
        <v>4</v>
      </c>
      <c r="C58" s="183">
        <v>56</v>
      </c>
      <c r="D58" s="2" t="s">
        <v>782</v>
      </c>
      <c r="E58" t="s">
        <v>804</v>
      </c>
      <c r="F58" t="s">
        <v>852</v>
      </c>
      <c r="H58" t="s">
        <v>1181</v>
      </c>
      <c r="I58" t="str">
        <f t="shared" si="17"/>
        <v>1882</v>
      </c>
      <c r="J58">
        <f t="shared" si="29"/>
        <v>1944</v>
      </c>
      <c r="K58" s="9" t="str">
        <f t="shared" si="27"/>
        <v>Tommy (56): 1882</v>
      </c>
      <c r="L58" s="8" t="s">
        <v>1116</v>
      </c>
      <c r="M58" s="8" t="s">
        <v>1116</v>
      </c>
      <c r="N58" s="3">
        <v>4223</v>
      </c>
      <c r="O58" s="10" t="s">
        <v>3189</v>
      </c>
      <c r="P58" s="13">
        <f t="shared" si="31"/>
        <v>56</v>
      </c>
      <c r="Q58" s="19" t="str">
        <f t="shared" si="4"/>
        <v>Tommy (56): 1882–1944</v>
      </c>
      <c r="R58" s="120">
        <v>28</v>
      </c>
      <c r="S58" s="15" t="str">
        <f t="shared" si="28"/>
        <v>The Rev Lewis (28): 1844–1905</v>
      </c>
      <c r="T58" s="38">
        <f t="shared" si="19"/>
        <v>14</v>
      </c>
      <c r="U58" s="37" t="str">
        <f t="shared" si="0"/>
        <v>Thomas (14): 1812–1857</v>
      </c>
      <c r="V58" s="27">
        <f t="shared" si="20"/>
        <v>4</v>
      </c>
      <c r="W58" s="28" t="str">
        <f t="shared" si="21"/>
        <v>William (4): 1770–1828</v>
      </c>
      <c r="X58" s="39">
        <f t="shared" si="5"/>
        <v>1</v>
      </c>
      <c r="Y58" s="40" t="str">
        <f t="shared" si="6"/>
        <v>William (1): 1729–1800</v>
      </c>
      <c r="Z58" s="29">
        <f t="shared" si="7"/>
        <v>0</v>
      </c>
      <c r="AA58" s="41" t="str">
        <f t="shared" si="8"/>
        <v>Lewis (0): 1690–1758</v>
      </c>
      <c r="AB58" s="30">
        <f t="shared" si="9"/>
        <v>-1</v>
      </c>
      <c r="AC58" s="43" t="e">
        <f t="shared" si="10"/>
        <v>#N/A</v>
      </c>
      <c r="AD58" s="42" t="e">
        <f t="shared" si="11"/>
        <v>#N/A</v>
      </c>
      <c r="AE58" s="22" t="e">
        <f t="shared" si="12"/>
        <v>#N/A</v>
      </c>
      <c r="AF58" s="42" t="e">
        <f t="shared" si="13"/>
        <v>#N/A</v>
      </c>
      <c r="AG58" s="22" t="e">
        <f t="shared" si="14"/>
        <v>#N/A</v>
      </c>
      <c r="AH58" s="23" t="s">
        <v>2815</v>
      </c>
      <c r="AI58" s="33" t="s">
        <v>4375</v>
      </c>
      <c r="AJ58" s="264" t="str">
        <f>VLOOKUP(AI58,'Mums of Loyd Edit&amp;Partner Edit'!$B$4:$C$66,2,FALSE)</f>
        <v xml:space="preserve">Emily Harriet (Milly) SMYTH (b. 30 Aug 1852, d. 25 Feb 1911) </v>
      </c>
      <c r="AK58" s="33">
        <f t="shared" si="22"/>
        <v>4</v>
      </c>
      <c r="AL58" s="33">
        <f t="shared" si="23"/>
        <v>19</v>
      </c>
      <c r="AM58" s="144">
        <f t="shared" si="24"/>
        <v>11</v>
      </c>
      <c r="AN58" s="144">
        <f t="shared" si="25"/>
        <v>4</v>
      </c>
      <c r="AO58">
        <f t="shared" si="32"/>
        <v>62</v>
      </c>
      <c r="AP58" s="103">
        <f t="shared" si="33"/>
        <v>140</v>
      </c>
      <c r="AQ58" s="33">
        <f t="shared" si="30"/>
        <v>56</v>
      </c>
    </row>
    <row r="59" spans="1:43" ht="36" thickBot="1">
      <c r="A59" s="33">
        <f t="shared" si="2"/>
        <v>57</v>
      </c>
      <c r="B59">
        <f t="shared" si="26"/>
        <v>4</v>
      </c>
      <c r="C59" s="183">
        <v>57</v>
      </c>
      <c r="D59" s="2" t="s">
        <v>782</v>
      </c>
      <c r="E59" t="s">
        <v>902</v>
      </c>
      <c r="F59" t="s">
        <v>842</v>
      </c>
      <c r="G59" t="s">
        <v>1117</v>
      </c>
      <c r="I59" t="str">
        <f t="shared" si="17"/>
        <v>1884</v>
      </c>
      <c r="J59">
        <f t="shared" si="29"/>
        <v>1917</v>
      </c>
      <c r="K59" s="9" t="str">
        <f t="shared" si="27"/>
        <v>Robert (57): 1884</v>
      </c>
      <c r="L59" s="8" t="s">
        <v>1118</v>
      </c>
      <c r="M59" s="8" t="s">
        <v>1118</v>
      </c>
      <c r="N59" t="s">
        <v>3792</v>
      </c>
      <c r="O59" s="10" t="s">
        <v>3190</v>
      </c>
      <c r="P59" s="13">
        <f t="shared" si="31"/>
        <v>57</v>
      </c>
      <c r="Q59" s="19" t="str">
        <f t="shared" si="4"/>
        <v>Robert (57): 1884–1917</v>
      </c>
      <c r="R59" s="120">
        <v>35</v>
      </c>
      <c r="S59" s="15" t="str">
        <f t="shared" si="28"/>
        <v>Lewis (35): 1852–1908</v>
      </c>
      <c r="T59" s="38">
        <f t="shared" si="19"/>
        <v>23</v>
      </c>
      <c r="U59" s="37" t="str">
        <f t="shared" si="0"/>
        <v>William (23): 1821–1885</v>
      </c>
      <c r="V59" s="27">
        <f t="shared" si="20"/>
        <v>8</v>
      </c>
      <c r="W59" s="28" t="str">
        <f t="shared" si="21"/>
        <v>Edward (8): 1780–1863</v>
      </c>
      <c r="X59" s="39">
        <f t="shared" si="5"/>
        <v>1</v>
      </c>
      <c r="Y59" s="40" t="str">
        <f t="shared" si="6"/>
        <v>William (1): 1729–1800</v>
      </c>
      <c r="Z59" s="29">
        <f t="shared" si="7"/>
        <v>0</v>
      </c>
      <c r="AA59" s="41" t="str">
        <f t="shared" si="8"/>
        <v>Lewis (0): 1690–1758</v>
      </c>
      <c r="AB59" s="30">
        <f t="shared" si="9"/>
        <v>-1</v>
      </c>
      <c r="AC59" s="43" t="e">
        <f t="shared" si="10"/>
        <v>#N/A</v>
      </c>
      <c r="AD59" s="42" t="e">
        <f t="shared" si="11"/>
        <v>#N/A</v>
      </c>
      <c r="AE59" s="22" t="e">
        <f t="shared" si="12"/>
        <v>#N/A</v>
      </c>
      <c r="AF59" s="42" t="e">
        <f t="shared" si="13"/>
        <v>#N/A</v>
      </c>
      <c r="AG59" s="22" t="e">
        <f t="shared" si="14"/>
        <v>#N/A</v>
      </c>
      <c r="AH59" s="23" t="s">
        <v>2815</v>
      </c>
      <c r="AI59" s="33" t="s">
        <v>4378</v>
      </c>
      <c r="AJ59" s="264" t="str">
        <f>VLOOKUP(AI59,'Mums of Loyd Edit&amp;Partner Edit'!$B$4:$C$66,2,FALSE)</f>
        <v>Lady Mary Sophia HELY-HUTCHINSON (b. 22 Sep 1853, d. 30 Jul 1936)</v>
      </c>
      <c r="AK59" s="33">
        <f t="shared" si="22"/>
        <v>5</v>
      </c>
      <c r="AL59" s="33">
        <f t="shared" si="23"/>
        <v>11</v>
      </c>
      <c r="AM59" s="144">
        <f t="shared" si="24"/>
        <v>9</v>
      </c>
      <c r="AN59" s="144">
        <f t="shared" si="25"/>
        <v>23</v>
      </c>
      <c r="AO59">
        <f t="shared" si="32"/>
        <v>33</v>
      </c>
      <c r="AP59" s="103">
        <f t="shared" si="33"/>
        <v>138</v>
      </c>
      <c r="AQ59" s="33">
        <f t="shared" si="30"/>
        <v>57</v>
      </c>
    </row>
    <row r="60" spans="1:43" ht="36" thickBot="1">
      <c r="A60" s="33">
        <f t="shared" si="2"/>
        <v>58</v>
      </c>
      <c r="B60">
        <f t="shared" si="26"/>
        <v>4</v>
      </c>
      <c r="C60" s="183">
        <v>58</v>
      </c>
      <c r="D60" s="2" t="s">
        <v>782</v>
      </c>
      <c r="E60" t="s">
        <v>1119</v>
      </c>
      <c r="F60" t="s">
        <v>807</v>
      </c>
      <c r="I60" t="str">
        <f t="shared" si="17"/>
        <v>1884</v>
      </c>
      <c r="J60">
        <f t="shared" si="29"/>
        <v>1952</v>
      </c>
      <c r="K60" s="9" t="str">
        <f t="shared" si="27"/>
        <v>Rt Rev Philip (58): 1884</v>
      </c>
      <c r="L60" s="8" t="s">
        <v>1120</v>
      </c>
      <c r="M60" s="8" t="s">
        <v>1120</v>
      </c>
      <c r="N60" t="s">
        <v>3792</v>
      </c>
      <c r="O60" s="10" t="s">
        <v>3191</v>
      </c>
      <c r="P60" s="13">
        <f t="shared" si="31"/>
        <v>58</v>
      </c>
      <c r="Q60" s="19" t="str">
        <f t="shared" si="4"/>
        <v>Rt Rev Philip (58): 1884–1952</v>
      </c>
      <c r="R60" s="120">
        <v>28</v>
      </c>
      <c r="S60" s="15" t="str">
        <f t="shared" si="28"/>
        <v>The Rev Lewis (28): 1844–1905</v>
      </c>
      <c r="T60" s="38">
        <f t="shared" si="19"/>
        <v>14</v>
      </c>
      <c r="U60" s="37" t="str">
        <f t="shared" si="0"/>
        <v>Thomas (14): 1812–1857</v>
      </c>
      <c r="V60" s="27">
        <f t="shared" si="20"/>
        <v>4</v>
      </c>
      <c r="W60" s="28" t="str">
        <f t="shared" si="21"/>
        <v>William (4): 1770–1828</v>
      </c>
      <c r="X60" s="39">
        <f t="shared" si="5"/>
        <v>1</v>
      </c>
      <c r="Y60" s="40" t="str">
        <f t="shared" si="6"/>
        <v>William (1): 1729–1800</v>
      </c>
      <c r="Z60" s="29">
        <f t="shared" si="7"/>
        <v>0</v>
      </c>
      <c r="AA60" s="41" t="str">
        <f t="shared" si="8"/>
        <v>Lewis (0): 1690–1758</v>
      </c>
      <c r="AB60" s="30">
        <f t="shared" si="9"/>
        <v>-1</v>
      </c>
      <c r="AC60" s="43" t="e">
        <f t="shared" si="10"/>
        <v>#N/A</v>
      </c>
      <c r="AD60" s="42" t="e">
        <f t="shared" si="11"/>
        <v>#N/A</v>
      </c>
      <c r="AE60" s="22" t="e">
        <f t="shared" si="12"/>
        <v>#N/A</v>
      </c>
      <c r="AF60" s="42" t="e">
        <f t="shared" si="13"/>
        <v>#N/A</v>
      </c>
      <c r="AG60" s="22" t="e">
        <f t="shared" si="14"/>
        <v>#N/A</v>
      </c>
      <c r="AH60" s="23" t="s">
        <v>2815</v>
      </c>
      <c r="AI60" s="33" t="s">
        <v>4375</v>
      </c>
      <c r="AJ60" s="264" t="str">
        <f>VLOOKUP(AI60,'Mums of Loyd Edit&amp;Partner Edit'!$B$4:$C$66,2,FALSE)</f>
        <v xml:space="preserve">Emily Harriet (Milly) SMYTH (b. 30 Aug 1852, d. 25 Feb 1911) </v>
      </c>
      <c r="AK60" s="33">
        <f t="shared" si="22"/>
        <v>7</v>
      </c>
      <c r="AL60" s="33">
        <f t="shared" si="23"/>
        <v>8</v>
      </c>
      <c r="AM60" s="144">
        <f t="shared" si="24"/>
        <v>1</v>
      </c>
      <c r="AN60" s="144">
        <f t="shared" si="25"/>
        <v>11</v>
      </c>
      <c r="AO60">
        <f t="shared" si="32"/>
        <v>67</v>
      </c>
      <c r="AP60" s="103">
        <f t="shared" si="33"/>
        <v>137</v>
      </c>
      <c r="AQ60" s="33">
        <f t="shared" si="30"/>
        <v>58</v>
      </c>
    </row>
    <row r="61" spans="1:43" ht="20" thickBot="1">
      <c r="A61" s="33">
        <f t="shared" si="2"/>
        <v>59</v>
      </c>
      <c r="B61">
        <f t="shared" si="26"/>
        <v>4</v>
      </c>
      <c r="C61" s="183">
        <v>59</v>
      </c>
      <c r="D61" s="2" t="s">
        <v>782</v>
      </c>
      <c r="E61" t="s">
        <v>904</v>
      </c>
      <c r="F61" t="s">
        <v>998</v>
      </c>
      <c r="I61" t="str">
        <f t="shared" si="17"/>
        <v>1885</v>
      </c>
      <c r="J61">
        <f t="shared" si="29"/>
        <v>1962</v>
      </c>
      <c r="K61" s="9" t="str">
        <f t="shared" si="27"/>
        <v>Evelyn (59): 1885</v>
      </c>
      <c r="L61" s="8" t="s">
        <v>1121</v>
      </c>
      <c r="M61" s="8" t="s">
        <v>1121</v>
      </c>
      <c r="N61" t="s">
        <v>3792</v>
      </c>
      <c r="O61" s="10" t="s">
        <v>3192</v>
      </c>
      <c r="P61" s="13">
        <f t="shared" si="31"/>
        <v>59</v>
      </c>
      <c r="Q61" s="19" t="str">
        <f t="shared" si="4"/>
        <v>Evelyn (59): 1885–1962</v>
      </c>
      <c r="R61" s="120">
        <v>41</v>
      </c>
      <c r="S61" s="15" t="str">
        <f t="shared" si="28"/>
        <v>Frederic (41): 1856–1936</v>
      </c>
      <c r="T61" s="38">
        <f t="shared" si="19"/>
        <v>22</v>
      </c>
      <c r="U61" s="37" t="str">
        <f t="shared" si="0"/>
        <v>Edward (22): 1820–1890</v>
      </c>
      <c r="V61" s="27">
        <f t="shared" si="20"/>
        <v>8</v>
      </c>
      <c r="W61" s="28" t="str">
        <f t="shared" si="21"/>
        <v>Edward (8): 1780–1863</v>
      </c>
      <c r="X61" s="39">
        <f t="shared" si="5"/>
        <v>1</v>
      </c>
      <c r="Y61" s="40" t="str">
        <f t="shared" si="6"/>
        <v>William (1): 1729–1800</v>
      </c>
      <c r="Z61" s="29">
        <f t="shared" si="7"/>
        <v>0</v>
      </c>
      <c r="AA61" s="41" t="str">
        <f t="shared" si="8"/>
        <v>Lewis (0): 1690–1758</v>
      </c>
      <c r="AB61" s="30">
        <f t="shared" si="9"/>
        <v>-1</v>
      </c>
      <c r="AC61" s="43" t="e">
        <f t="shared" si="10"/>
        <v>#N/A</v>
      </c>
      <c r="AD61" s="42" t="e">
        <f t="shared" si="11"/>
        <v>#N/A</v>
      </c>
      <c r="AE61" s="22" t="e">
        <f t="shared" si="12"/>
        <v>#N/A</v>
      </c>
      <c r="AF61" s="42" t="e">
        <f t="shared" si="13"/>
        <v>#N/A</v>
      </c>
      <c r="AG61" s="22" t="e">
        <f t="shared" si="14"/>
        <v>#N/A</v>
      </c>
      <c r="AH61" s="23" t="s">
        <v>2814</v>
      </c>
      <c r="AI61" s="33" t="s">
        <v>4376</v>
      </c>
      <c r="AJ61" s="264" t="str">
        <f>VLOOKUP(AI61,'Mums of Loyd Edit&amp;Partner Edit'!$B$4:$C$66,2,FALSE)</f>
        <v>Isabella (Isabel) CURREY (b. 26 Apr 1855, d. 16 Jan 1926)</v>
      </c>
      <c r="AK61" s="33">
        <f t="shared" si="22"/>
        <v>4</v>
      </c>
      <c r="AL61" s="33">
        <f t="shared" si="23"/>
        <v>17</v>
      </c>
      <c r="AM61" s="144">
        <f t="shared" si="24"/>
        <v>8</v>
      </c>
      <c r="AN61" s="144">
        <f t="shared" si="25"/>
        <v>9</v>
      </c>
      <c r="AO61">
        <f t="shared" si="32"/>
        <v>77</v>
      </c>
      <c r="AP61" s="103">
        <f t="shared" si="33"/>
        <v>137</v>
      </c>
      <c r="AQ61" s="33">
        <f t="shared" si="30"/>
        <v>59</v>
      </c>
    </row>
    <row r="62" spans="1:43" ht="36" thickBot="1">
      <c r="A62" s="33">
        <f t="shared" si="2"/>
        <v>60</v>
      </c>
      <c r="B62">
        <f t="shared" si="26"/>
        <v>4</v>
      </c>
      <c r="C62" s="183">
        <v>60</v>
      </c>
      <c r="D62" s="2" t="s">
        <v>782</v>
      </c>
      <c r="E62" t="s">
        <v>870</v>
      </c>
      <c r="F62" t="s">
        <v>883</v>
      </c>
      <c r="H62" t="s">
        <v>1182</v>
      </c>
      <c r="I62" t="str">
        <f t="shared" si="17"/>
        <v>1885</v>
      </c>
      <c r="J62">
        <f t="shared" si="29"/>
        <v>1989</v>
      </c>
      <c r="K62" s="9" t="str">
        <f t="shared" si="27"/>
        <v>Kitty (60): 1885</v>
      </c>
      <c r="L62" s="8" t="s">
        <v>1123</v>
      </c>
      <c r="M62" t="s">
        <v>1123</v>
      </c>
      <c r="N62" s="3">
        <v>6845</v>
      </c>
      <c r="O62" s="10" t="s">
        <v>3193</v>
      </c>
      <c r="P62" s="13">
        <f t="shared" si="31"/>
        <v>60</v>
      </c>
      <c r="Q62" s="19" t="str">
        <f t="shared" si="4"/>
        <v>Kitty (60): 1885–1989</v>
      </c>
      <c r="R62" s="120">
        <v>28</v>
      </c>
      <c r="S62" s="15" t="str">
        <f t="shared" si="28"/>
        <v>The Rev Lewis (28): 1844–1905</v>
      </c>
      <c r="T62" s="38">
        <f t="shared" si="19"/>
        <v>14</v>
      </c>
      <c r="U62" s="37" t="str">
        <f t="shared" si="0"/>
        <v>Thomas (14): 1812–1857</v>
      </c>
      <c r="V62" s="27">
        <f t="shared" si="20"/>
        <v>4</v>
      </c>
      <c r="W62" s="28" t="str">
        <f t="shared" si="21"/>
        <v>William (4): 1770–1828</v>
      </c>
      <c r="X62" s="39">
        <f t="shared" si="5"/>
        <v>1</v>
      </c>
      <c r="Y62" s="40" t="str">
        <f t="shared" si="6"/>
        <v>William (1): 1729–1800</v>
      </c>
      <c r="Z62" s="29">
        <f t="shared" si="7"/>
        <v>0</v>
      </c>
      <c r="AA62" s="41" t="str">
        <f t="shared" si="8"/>
        <v>Lewis (0): 1690–1758</v>
      </c>
      <c r="AB62" s="30">
        <f t="shared" si="9"/>
        <v>-1</v>
      </c>
      <c r="AC62" s="43" t="e">
        <f t="shared" si="10"/>
        <v>#N/A</v>
      </c>
      <c r="AD62" s="42" t="e">
        <f t="shared" si="11"/>
        <v>#N/A</v>
      </c>
      <c r="AE62" s="22" t="e">
        <f t="shared" si="12"/>
        <v>#N/A</v>
      </c>
      <c r="AF62" s="42" t="e">
        <f t="shared" si="13"/>
        <v>#N/A</v>
      </c>
      <c r="AG62" s="22" t="e">
        <f t="shared" si="14"/>
        <v>#N/A</v>
      </c>
      <c r="AH62" s="23" t="s">
        <v>2814</v>
      </c>
      <c r="AI62" s="33" t="s">
        <v>4375</v>
      </c>
      <c r="AJ62" s="264" t="str">
        <f>VLOOKUP(AI62,'Mums of Loyd Edit&amp;Partner Edit'!$B$4:$C$66,2,FALSE)</f>
        <v xml:space="preserve">Emily Harriet (Milly) SMYTH (b. 30 Aug 1852, d. 25 Feb 1911) </v>
      </c>
      <c r="AK62" s="33">
        <f t="shared" si="22"/>
        <v>10</v>
      </c>
      <c r="AL62" s="33">
        <f t="shared" si="23"/>
        <v>26</v>
      </c>
      <c r="AM62" s="144">
        <f t="shared" si="24"/>
        <v>2</v>
      </c>
      <c r="AN62" s="144">
        <f t="shared" si="25"/>
        <v>2</v>
      </c>
      <c r="AO62">
        <f t="shared" si="32"/>
        <v>103</v>
      </c>
      <c r="AP62" s="103">
        <f t="shared" si="33"/>
        <v>136</v>
      </c>
      <c r="AQ62" s="33">
        <f t="shared" si="30"/>
        <v>60</v>
      </c>
    </row>
    <row r="63" spans="1:43" ht="36" thickBot="1">
      <c r="A63" s="33">
        <f t="shared" si="2"/>
        <v>61</v>
      </c>
      <c r="B63">
        <f t="shared" si="26"/>
        <v>4</v>
      </c>
      <c r="C63" s="183">
        <v>61</v>
      </c>
      <c r="D63" s="2" t="s">
        <v>782</v>
      </c>
      <c r="E63" t="s">
        <v>832</v>
      </c>
      <c r="F63" t="s">
        <v>804</v>
      </c>
      <c r="H63" t="s">
        <v>1183</v>
      </c>
      <c r="I63" t="str">
        <f t="shared" si="17"/>
        <v>1886</v>
      </c>
      <c r="J63">
        <f t="shared" si="29"/>
        <v>1961</v>
      </c>
      <c r="K63" s="9" t="str">
        <f t="shared" si="27"/>
        <v>Reggie (61): 1886</v>
      </c>
      <c r="L63" s="8" t="s">
        <v>1124</v>
      </c>
      <c r="M63" s="8" t="s">
        <v>1124</v>
      </c>
      <c r="N63" t="s">
        <v>3792</v>
      </c>
      <c r="O63" s="10" t="s">
        <v>3194</v>
      </c>
      <c r="P63" s="13">
        <f t="shared" si="31"/>
        <v>61</v>
      </c>
      <c r="Q63" s="19" t="str">
        <f t="shared" si="4"/>
        <v>Reggie (61): 1886–1961</v>
      </c>
      <c r="R63" s="120">
        <v>30</v>
      </c>
      <c r="S63" s="15" t="str">
        <f t="shared" si="28"/>
        <v>Archie (30): 1847–1922</v>
      </c>
      <c r="T63" s="38">
        <f t="shared" si="19"/>
        <v>14</v>
      </c>
      <c r="U63" s="37" t="str">
        <f t="shared" si="0"/>
        <v>Thomas (14): 1812–1857</v>
      </c>
      <c r="V63" s="27">
        <f t="shared" si="20"/>
        <v>4</v>
      </c>
      <c r="W63" s="28" t="str">
        <f t="shared" si="21"/>
        <v>William (4): 1770–1828</v>
      </c>
      <c r="X63" s="39">
        <f t="shared" si="5"/>
        <v>1</v>
      </c>
      <c r="Y63" s="40" t="str">
        <f t="shared" si="6"/>
        <v>William (1): 1729–1800</v>
      </c>
      <c r="Z63" s="29">
        <f t="shared" si="7"/>
        <v>0</v>
      </c>
      <c r="AA63" s="41" t="str">
        <f t="shared" si="8"/>
        <v>Lewis (0): 1690–1758</v>
      </c>
      <c r="AB63" s="30">
        <f t="shared" si="9"/>
        <v>-1</v>
      </c>
      <c r="AC63" s="43" t="e">
        <f t="shared" si="10"/>
        <v>#N/A</v>
      </c>
      <c r="AD63" s="42" t="e">
        <f t="shared" si="11"/>
        <v>#N/A</v>
      </c>
      <c r="AE63" s="22" t="e">
        <f t="shared" si="12"/>
        <v>#N/A</v>
      </c>
      <c r="AF63" s="42" t="e">
        <f t="shared" si="13"/>
        <v>#N/A</v>
      </c>
      <c r="AG63" s="22" t="e">
        <f t="shared" si="14"/>
        <v>#N/A</v>
      </c>
      <c r="AH63" s="23" t="s">
        <v>2815</v>
      </c>
      <c r="AI63" s="33" t="s">
        <v>4379</v>
      </c>
      <c r="AJ63" s="264" t="str">
        <f>VLOOKUP(AI63,'Mums of Loyd Edit&amp;Partner Edit'!$B$4:$C$66,2,FALSE)</f>
        <v>Henrietta Louisa CLUTTERBUCK (b. 23 Jan 1856, d. 14 Jan 1931)</v>
      </c>
      <c r="AK63" s="33">
        <f t="shared" si="22"/>
        <v>5</v>
      </c>
      <c r="AL63" s="33">
        <f t="shared" si="23"/>
        <v>21</v>
      </c>
      <c r="AM63" s="144">
        <f t="shared" si="24"/>
        <v>3</v>
      </c>
      <c r="AN63" s="144">
        <f t="shared" si="25"/>
        <v>12</v>
      </c>
      <c r="AO63">
        <f t="shared" si="32"/>
        <v>74</v>
      </c>
      <c r="AP63" s="103">
        <f t="shared" si="33"/>
        <v>136</v>
      </c>
      <c r="AQ63" s="33">
        <f t="shared" si="30"/>
        <v>61</v>
      </c>
    </row>
    <row r="64" spans="1:43" ht="36" thickBot="1">
      <c r="A64" s="33">
        <f t="shared" si="2"/>
        <v>62</v>
      </c>
      <c r="B64">
        <f t="shared" si="26"/>
        <v>4</v>
      </c>
      <c r="C64" s="183">
        <v>62</v>
      </c>
      <c r="D64" s="2" t="s">
        <v>782</v>
      </c>
      <c r="E64" t="s">
        <v>902</v>
      </c>
      <c r="F64" t="s">
        <v>843</v>
      </c>
      <c r="H64" t="s">
        <v>1184</v>
      </c>
      <c r="I64" t="str">
        <f t="shared" si="17"/>
        <v>1887</v>
      </c>
      <c r="J64">
        <f t="shared" si="29"/>
        <v>1977</v>
      </c>
      <c r="K64" s="9" t="str">
        <f t="shared" si="27"/>
        <v>Bobby (62): 1887</v>
      </c>
      <c r="L64" s="8" t="s">
        <v>1125</v>
      </c>
      <c r="M64" s="8" t="s">
        <v>1125</v>
      </c>
      <c r="N64" s="3">
        <v>7017</v>
      </c>
      <c r="O64" s="10" t="s">
        <v>3195</v>
      </c>
      <c r="P64" s="13">
        <f t="shared" si="31"/>
        <v>62</v>
      </c>
      <c r="Q64" s="19" t="str">
        <f t="shared" si="4"/>
        <v>Bobby (62): 1887–1977</v>
      </c>
      <c r="R64" s="120">
        <v>30</v>
      </c>
      <c r="S64" s="15" t="str">
        <f t="shared" si="28"/>
        <v>Archie (30): 1847–1922</v>
      </c>
      <c r="T64" s="38">
        <f t="shared" si="19"/>
        <v>14</v>
      </c>
      <c r="U64" s="37" t="str">
        <f t="shared" si="0"/>
        <v>Thomas (14): 1812–1857</v>
      </c>
      <c r="V64" s="27">
        <f t="shared" si="20"/>
        <v>4</v>
      </c>
      <c r="W64" s="28" t="str">
        <f t="shared" si="21"/>
        <v>William (4): 1770–1828</v>
      </c>
      <c r="X64" s="39">
        <f t="shared" si="5"/>
        <v>1</v>
      </c>
      <c r="Y64" s="40" t="str">
        <f t="shared" si="6"/>
        <v>William (1): 1729–1800</v>
      </c>
      <c r="Z64" s="29">
        <f t="shared" si="7"/>
        <v>0</v>
      </c>
      <c r="AA64" s="41" t="str">
        <f t="shared" si="8"/>
        <v>Lewis (0): 1690–1758</v>
      </c>
      <c r="AB64" s="30">
        <f t="shared" si="9"/>
        <v>-1</v>
      </c>
      <c r="AC64" s="43" t="e">
        <f t="shared" si="10"/>
        <v>#N/A</v>
      </c>
      <c r="AD64" s="42" t="e">
        <f t="shared" si="11"/>
        <v>#N/A</v>
      </c>
      <c r="AE64" s="22" t="e">
        <f t="shared" si="12"/>
        <v>#N/A</v>
      </c>
      <c r="AF64" s="42" t="e">
        <f t="shared" si="13"/>
        <v>#N/A</v>
      </c>
      <c r="AG64" s="22" t="e">
        <f t="shared" si="14"/>
        <v>#N/A</v>
      </c>
      <c r="AH64" s="23" t="s">
        <v>2815</v>
      </c>
      <c r="AI64" s="33" t="s">
        <v>4379</v>
      </c>
      <c r="AJ64" s="264" t="str">
        <f>VLOOKUP(AI64,'Mums of Loyd Edit&amp;Partner Edit'!$B$4:$C$66,2,FALSE)</f>
        <v>Henrietta Louisa CLUTTERBUCK (b. 23 Jan 1856, d. 14 Jan 1931)</v>
      </c>
      <c r="AK64" s="33">
        <f t="shared" si="22"/>
        <v>9</v>
      </c>
      <c r="AL64" s="33">
        <f t="shared" si="23"/>
        <v>16</v>
      </c>
      <c r="AM64" s="144">
        <f t="shared" si="24"/>
        <v>6</v>
      </c>
      <c r="AN64" s="144">
        <f t="shared" si="25"/>
        <v>25</v>
      </c>
      <c r="AO64">
        <f t="shared" si="32"/>
        <v>89</v>
      </c>
      <c r="AP64" s="103">
        <f t="shared" si="33"/>
        <v>134</v>
      </c>
      <c r="AQ64" s="33">
        <f t="shared" si="30"/>
        <v>62</v>
      </c>
    </row>
    <row r="65" spans="1:43" ht="20" thickBot="1">
      <c r="A65" s="33">
        <f t="shared" si="2"/>
        <v>63</v>
      </c>
      <c r="B65">
        <f t="shared" si="26"/>
        <v>4</v>
      </c>
      <c r="C65" s="183">
        <v>63</v>
      </c>
      <c r="D65" s="2" t="s">
        <v>782</v>
      </c>
      <c r="E65" t="s">
        <v>870</v>
      </c>
      <c r="F65" t="s">
        <v>850</v>
      </c>
      <c r="G65" t="s">
        <v>812</v>
      </c>
      <c r="I65" t="str">
        <f t="shared" si="17"/>
        <v>1887</v>
      </c>
      <c r="J65">
        <f t="shared" si="29"/>
        <v>1968</v>
      </c>
      <c r="K65" s="9" t="str">
        <f t="shared" si="27"/>
        <v>Mary (63): 1887</v>
      </c>
      <c r="L65" s="8" t="s">
        <v>1126</v>
      </c>
      <c r="M65" s="8" t="s">
        <v>1126</v>
      </c>
      <c r="N65" s="3">
        <v>9298</v>
      </c>
      <c r="O65" s="10" t="s">
        <v>3196</v>
      </c>
      <c r="P65" s="13">
        <f t="shared" si="31"/>
        <v>63</v>
      </c>
      <c r="Q65" s="19" t="str">
        <f t="shared" si="4"/>
        <v>Mary (63): 1887–1968</v>
      </c>
      <c r="R65" s="120">
        <v>41</v>
      </c>
      <c r="S65" s="15" t="str">
        <f t="shared" si="28"/>
        <v>Frederic (41): 1856–1936</v>
      </c>
      <c r="T65" s="38">
        <f t="shared" si="19"/>
        <v>22</v>
      </c>
      <c r="U65" s="37" t="str">
        <f t="shared" si="0"/>
        <v>Edward (22): 1820–1890</v>
      </c>
      <c r="V65" s="27">
        <f t="shared" si="20"/>
        <v>8</v>
      </c>
      <c r="W65" s="28" t="str">
        <f t="shared" si="21"/>
        <v>Edward (8): 1780–1863</v>
      </c>
      <c r="X65" s="39">
        <f t="shared" si="5"/>
        <v>1</v>
      </c>
      <c r="Y65" s="40" t="str">
        <f t="shared" si="6"/>
        <v>William (1): 1729–1800</v>
      </c>
      <c r="Z65" s="29">
        <f t="shared" si="7"/>
        <v>0</v>
      </c>
      <c r="AA65" s="41" t="str">
        <f t="shared" si="8"/>
        <v>Lewis (0): 1690–1758</v>
      </c>
      <c r="AB65" s="30">
        <f t="shared" si="9"/>
        <v>-1</v>
      </c>
      <c r="AC65" s="43" t="e">
        <f t="shared" si="10"/>
        <v>#N/A</v>
      </c>
      <c r="AD65" s="42" t="e">
        <f t="shared" si="11"/>
        <v>#N/A</v>
      </c>
      <c r="AE65" s="22" t="e">
        <f t="shared" si="12"/>
        <v>#N/A</v>
      </c>
      <c r="AF65" s="42" t="e">
        <f t="shared" si="13"/>
        <v>#N/A</v>
      </c>
      <c r="AG65" s="22" t="e">
        <f t="shared" si="14"/>
        <v>#N/A</v>
      </c>
      <c r="AH65" s="23" t="s">
        <v>2814</v>
      </c>
      <c r="AI65" s="33" t="s">
        <v>4376</v>
      </c>
      <c r="AJ65" s="264" t="str">
        <f>VLOOKUP(AI65,'Mums of Loyd Edit&amp;Partner Edit'!$B$4:$C$66,2,FALSE)</f>
        <v>Isabella (Isabel) CURREY (b. 26 Apr 1855, d. 16 Jan 1926)</v>
      </c>
      <c r="AK65" s="33">
        <f t="shared" si="22"/>
        <v>11</v>
      </c>
      <c r="AL65" s="33">
        <f t="shared" si="23"/>
        <v>23</v>
      </c>
      <c r="AM65" s="144">
        <f t="shared" si="24"/>
        <v>9</v>
      </c>
      <c r="AN65" s="144">
        <f t="shared" si="25"/>
        <v>25</v>
      </c>
      <c r="AO65">
        <f t="shared" si="32"/>
        <v>80</v>
      </c>
      <c r="AP65" s="103">
        <f t="shared" si="33"/>
        <v>134</v>
      </c>
      <c r="AQ65" s="33">
        <f t="shared" si="30"/>
        <v>63</v>
      </c>
    </row>
    <row r="66" spans="1:43" ht="36" thickBot="1">
      <c r="A66" s="33">
        <f t="shared" si="2"/>
        <v>64</v>
      </c>
      <c r="B66">
        <f t="shared" si="26"/>
        <v>4</v>
      </c>
      <c r="C66" s="183">
        <v>64</v>
      </c>
      <c r="D66" s="2" t="s">
        <v>782</v>
      </c>
      <c r="E66" t="s">
        <v>799</v>
      </c>
      <c r="F66" t="s">
        <v>929</v>
      </c>
      <c r="G66" t="s">
        <v>1127</v>
      </c>
      <c r="I66" t="str">
        <f t="shared" si="17"/>
        <v>1887</v>
      </c>
      <c r="J66">
        <f t="shared" si="29"/>
        <v>1917</v>
      </c>
      <c r="K66" s="9" t="str">
        <f t="shared" si="27"/>
        <v>Gertrude (64): 1887</v>
      </c>
      <c r="L66" s="8" t="s">
        <v>1128</v>
      </c>
      <c r="M66" s="8" t="s">
        <v>1128</v>
      </c>
      <c r="N66" s="3">
        <v>2663</v>
      </c>
      <c r="O66" s="10" t="s">
        <v>3197</v>
      </c>
      <c r="P66" s="13">
        <f t="shared" si="31"/>
        <v>64</v>
      </c>
      <c r="Q66" s="19" t="str">
        <f t="shared" si="4"/>
        <v>Gertrude (64): 1887–1917</v>
      </c>
      <c r="R66" s="120">
        <v>35</v>
      </c>
      <c r="S66" s="15" t="str">
        <f t="shared" si="28"/>
        <v>Lewis (35): 1852–1908</v>
      </c>
      <c r="T66" s="38">
        <f t="shared" si="19"/>
        <v>23</v>
      </c>
      <c r="U66" s="37" t="str">
        <f t="shared" si="0"/>
        <v>William (23): 1821–1885</v>
      </c>
      <c r="V66" s="27">
        <f t="shared" si="20"/>
        <v>8</v>
      </c>
      <c r="W66" s="28" t="str">
        <f t="shared" si="21"/>
        <v>Edward (8): 1780–1863</v>
      </c>
      <c r="X66" s="39">
        <f t="shared" si="5"/>
        <v>1</v>
      </c>
      <c r="Y66" s="40" t="str">
        <f t="shared" si="6"/>
        <v>William (1): 1729–1800</v>
      </c>
      <c r="Z66" s="29">
        <f t="shared" si="7"/>
        <v>0</v>
      </c>
      <c r="AA66" s="41" t="str">
        <f t="shared" si="8"/>
        <v>Lewis (0): 1690–1758</v>
      </c>
      <c r="AB66" s="30">
        <f t="shared" si="9"/>
        <v>-1</v>
      </c>
      <c r="AC66" s="43" t="e">
        <f t="shared" si="10"/>
        <v>#N/A</v>
      </c>
      <c r="AD66" s="42" t="e">
        <f t="shared" si="11"/>
        <v>#N/A</v>
      </c>
      <c r="AE66" s="22" t="e">
        <f t="shared" si="12"/>
        <v>#N/A</v>
      </c>
      <c r="AF66" s="42" t="e">
        <f t="shared" si="13"/>
        <v>#N/A</v>
      </c>
      <c r="AG66" s="22" t="e">
        <f t="shared" si="14"/>
        <v>#N/A</v>
      </c>
      <c r="AH66" s="23" t="s">
        <v>2814</v>
      </c>
      <c r="AI66" s="33" t="s">
        <v>4378</v>
      </c>
      <c r="AJ66" s="264" t="str">
        <f>VLOOKUP(AI66,'Mums of Loyd Edit&amp;Partner Edit'!$B$4:$C$66,2,FALSE)</f>
        <v>Lady Mary Sophia HELY-HUTCHINSON (b. 22 Sep 1853, d. 30 Jul 1936)</v>
      </c>
      <c r="AK66" s="33">
        <f t="shared" si="22"/>
        <v>12</v>
      </c>
      <c r="AL66" s="33">
        <f t="shared" si="23"/>
        <v>22</v>
      </c>
      <c r="AM66" s="144">
        <f t="shared" si="24"/>
        <v>6</v>
      </c>
      <c r="AN66" s="144">
        <f t="shared" si="25"/>
        <v>13</v>
      </c>
      <c r="AO66">
        <f t="shared" si="32"/>
        <v>29</v>
      </c>
      <c r="AP66" s="103">
        <f t="shared" si="33"/>
        <v>134</v>
      </c>
      <c r="AQ66" s="33">
        <f t="shared" ref="AQ66:AQ97" si="34">C66</f>
        <v>64</v>
      </c>
    </row>
    <row r="67" spans="1:43" ht="36" thickBot="1">
      <c r="A67" s="33">
        <f t="shared" ref="A67:A130" si="35">C67</f>
        <v>65</v>
      </c>
      <c r="B67">
        <f t="shared" si="26"/>
        <v>4</v>
      </c>
      <c r="C67" s="183">
        <v>65</v>
      </c>
      <c r="D67" s="2" t="s">
        <v>782</v>
      </c>
      <c r="E67" t="s">
        <v>1129</v>
      </c>
      <c r="F67" t="s">
        <v>1075</v>
      </c>
      <c r="G67" t="s">
        <v>819</v>
      </c>
      <c r="H67" t="s">
        <v>2262</v>
      </c>
      <c r="I67" t="str">
        <f t="shared" si="17"/>
        <v>1889</v>
      </c>
      <c r="J67">
        <f t="shared" si="29"/>
        <v>1967</v>
      </c>
      <c r="K67" s="9" t="str">
        <f t="shared" si="27"/>
        <v>Nan (65): 1889</v>
      </c>
      <c r="L67" s="8" t="s">
        <v>1096</v>
      </c>
      <c r="M67" s="8" t="s">
        <v>1096</v>
      </c>
      <c r="N67" s="3">
        <v>4554</v>
      </c>
      <c r="O67" s="10" t="s">
        <v>3198</v>
      </c>
      <c r="P67" s="13">
        <f t="shared" ref="P67:P98" si="36">C67</f>
        <v>65</v>
      </c>
      <c r="Q67" s="19" t="str">
        <f t="shared" ref="Q67:Q130" si="37">_xlfn.CONCAT(K67,"–",J67)</f>
        <v>Nan (65): 1889–1967</v>
      </c>
      <c r="R67" s="120">
        <v>34</v>
      </c>
      <c r="S67" s="15" t="str">
        <f t="shared" si="28"/>
        <v>Ted (34): 1851–1922</v>
      </c>
      <c r="T67" s="38">
        <f t="shared" si="19"/>
        <v>14</v>
      </c>
      <c r="U67" s="37" t="str">
        <f t="shared" si="0"/>
        <v>Thomas (14): 1812–1857</v>
      </c>
      <c r="V67" s="27">
        <f t="shared" si="20"/>
        <v>4</v>
      </c>
      <c r="W67" s="28" t="str">
        <f t="shared" si="21"/>
        <v>William (4): 1770–1828</v>
      </c>
      <c r="X67" s="39">
        <f t="shared" ref="X67:X130" si="38">VLOOKUP(V67,$C$2:$AH$184,16,TRUE)</f>
        <v>1</v>
      </c>
      <c r="Y67" s="40" t="str">
        <f t="shared" ref="Y67:Y130" si="39">VLOOKUP(X67,$P$2:$Q$184,2,TRUE)</f>
        <v>William (1): 1729–1800</v>
      </c>
      <c r="Z67" s="29">
        <f t="shared" ref="Z67:Z130" si="40">VLOOKUP(X67,$C$2:$AH$184,16,TRUE)</f>
        <v>0</v>
      </c>
      <c r="AA67" s="41" t="str">
        <f t="shared" ref="AA67:AA130" si="41">VLOOKUP(Z67,$P$2:$Q$184,2,TRUE)</f>
        <v>Lewis (0): 1690–1758</v>
      </c>
      <c r="AB67" s="30">
        <f t="shared" ref="AB67:AB130" si="42">VLOOKUP(Z67,$C$2:$AH$184,16,TRUE)</f>
        <v>-1</v>
      </c>
      <c r="AC67" s="43" t="e">
        <f t="shared" ref="AC67:AC130" si="43">VLOOKUP(AB67,$P$2:$Q$184,2,TRUE)</f>
        <v>#N/A</v>
      </c>
      <c r="AD67" s="42" t="e">
        <f t="shared" ref="AD67:AD130" si="44">VLOOKUP(AB67,$C$2:$AH$184,16,TRUE)</f>
        <v>#N/A</v>
      </c>
      <c r="AE67" s="22" t="e">
        <f t="shared" ref="AE67:AE130" si="45">VLOOKUP(AD67,$P$2:$Q$184,2,TRUE)</f>
        <v>#N/A</v>
      </c>
      <c r="AF67" s="42" t="e">
        <f t="shared" ref="AF67:AF130" si="46">VLOOKUP(AD67,$C$2:$AH$184,16,TRUE)</f>
        <v>#N/A</v>
      </c>
      <c r="AG67" s="22" t="e">
        <f t="shared" ref="AG67:AG130" si="47">VLOOKUP(AF67,$P$2:$Q$184,2,TRUE)</f>
        <v>#N/A</v>
      </c>
      <c r="AH67" s="23" t="s">
        <v>2814</v>
      </c>
      <c r="AI67" s="33" t="s">
        <v>4380</v>
      </c>
      <c r="AJ67" s="264" t="str">
        <f>VLOOKUP(AI67,'Mums of Loyd Edit&amp;Partner Edit'!$B$4:$C$66,2,FALSE)</f>
        <v>Millicent Blandinah KESTEVEN (b. 1850/51, d. 22 Jun 1945)</v>
      </c>
      <c r="AK67" s="33">
        <f t="shared" si="22"/>
        <v>2</v>
      </c>
      <c r="AL67" s="33">
        <f t="shared" si="23"/>
        <v>4</v>
      </c>
      <c r="AM67" s="144">
        <f t="shared" si="24"/>
        <v>4</v>
      </c>
      <c r="AN67" s="144">
        <f t="shared" si="25"/>
        <v>14</v>
      </c>
      <c r="AO67">
        <f t="shared" ref="AO67:AO98" si="48">IF(O67&lt;&gt;"",IF(AK67&gt;AM67,J67-I67-1,IF(AK67&lt;AM67,J67-I67,IF(AND(AK67=AM67,AN67&gt;=AL67),J67-I67,J67-I67-1))),AP67)</f>
        <v>78</v>
      </c>
      <c r="AP67" s="103">
        <f t="shared" ref="AP67:AP98" si="49">IF(AK67&gt;7,2022-I67-1,IF(AK67&lt;7,2022-I67,IF(AND(AK67=7,AL67&gt;=1),2022-I67-1,2022-I67)))</f>
        <v>133</v>
      </c>
      <c r="AQ67" s="33">
        <f t="shared" si="34"/>
        <v>65</v>
      </c>
    </row>
    <row r="68" spans="1:43" ht="62" customHeight="1" thickBot="1">
      <c r="A68" s="33">
        <f t="shared" si="35"/>
        <v>66</v>
      </c>
      <c r="B68">
        <f t="shared" si="26"/>
        <v>4</v>
      </c>
      <c r="C68" s="183">
        <v>66</v>
      </c>
      <c r="D68" s="2" t="s">
        <v>782</v>
      </c>
      <c r="E68" t="s">
        <v>830</v>
      </c>
      <c r="F68" t="s">
        <v>914</v>
      </c>
      <c r="G68" t="s">
        <v>1132</v>
      </c>
      <c r="I68" t="str">
        <f t="shared" ref="I68:I85" si="50">_xlfn.CONCAT(MID(M68,7,2),RIGHT(M68,2))</f>
        <v>1889</v>
      </c>
      <c r="J68">
        <f t="shared" si="29"/>
        <v>1947</v>
      </c>
      <c r="K68" s="9" t="str">
        <f t="shared" si="27"/>
        <v>William (66): 1889</v>
      </c>
      <c r="L68" s="8" t="s">
        <v>1133</v>
      </c>
      <c r="M68" s="8" t="s">
        <v>1133</v>
      </c>
      <c r="N68" s="3">
        <v>4515</v>
      </c>
      <c r="O68" s="10" t="s">
        <v>3199</v>
      </c>
      <c r="P68" s="13">
        <f t="shared" si="36"/>
        <v>66</v>
      </c>
      <c r="Q68" s="19" t="str">
        <f t="shared" si="37"/>
        <v>William (66): 1889–1947</v>
      </c>
      <c r="R68" s="120">
        <v>44</v>
      </c>
      <c r="S68" s="15" t="str">
        <f t="shared" si="28"/>
        <v>Harry (44): 1861–1938</v>
      </c>
      <c r="T68" s="38">
        <f t="shared" ref="T68:T131" si="51">VLOOKUP(R68,$C$2:$AH$184,16,TRUE)</f>
        <v>23</v>
      </c>
      <c r="U68" s="37" t="str">
        <f t="shared" ref="U68:U131" si="52">VLOOKUP(T68,$P$2:$Q$184,2,TRUE)</f>
        <v>William (23): 1821–1885</v>
      </c>
      <c r="V68" s="27">
        <f t="shared" ref="V68:V131" si="53">VLOOKUP(T68,$C$2:$AH$184,16,TRUE)</f>
        <v>8</v>
      </c>
      <c r="W68" s="28" t="str">
        <f t="shared" ref="W68:W131" si="54">VLOOKUP(V68,$P$2:$Q$184,2,TRUE)</f>
        <v>Edward (8): 1780–1863</v>
      </c>
      <c r="X68" s="39">
        <f t="shared" si="38"/>
        <v>1</v>
      </c>
      <c r="Y68" s="40" t="str">
        <f t="shared" si="39"/>
        <v>William (1): 1729–1800</v>
      </c>
      <c r="Z68" s="29">
        <f t="shared" si="40"/>
        <v>0</v>
      </c>
      <c r="AA68" s="41" t="str">
        <f t="shared" si="41"/>
        <v>Lewis (0): 1690–1758</v>
      </c>
      <c r="AB68" s="30">
        <f t="shared" si="42"/>
        <v>-1</v>
      </c>
      <c r="AC68" s="43" t="e">
        <f t="shared" si="43"/>
        <v>#N/A</v>
      </c>
      <c r="AD68" s="42" t="e">
        <f t="shared" si="44"/>
        <v>#N/A</v>
      </c>
      <c r="AE68" s="22" t="e">
        <f t="shared" si="45"/>
        <v>#N/A</v>
      </c>
      <c r="AF68" s="42" t="e">
        <f t="shared" si="46"/>
        <v>#N/A</v>
      </c>
      <c r="AG68" s="22" t="e">
        <f t="shared" si="47"/>
        <v>#N/A</v>
      </c>
      <c r="AH68" s="23" t="s">
        <v>2815</v>
      </c>
      <c r="AI68" s="33" t="s">
        <v>4381</v>
      </c>
      <c r="AJ68" s="264" t="str">
        <f>VLOOKUP(AI68,'Mums of Loyd Edit&amp;Partner Edit'!$B$4:$C$66,2,FALSE)</f>
        <v>The Hon Clementina Georgina BROWNLOW (b. 13 Jan 1868, d. 1 Sep 1929)</v>
      </c>
      <c r="AK68" s="33">
        <f t="shared" ref="AK68:AK131" si="55">IF(I68&lt;1900,VALUE(MID(M68,4,2)),VALUE(MID(L68,4,2)))</f>
        <v>5</v>
      </c>
      <c r="AL68" s="33">
        <f t="shared" ref="AL68:AL131" si="56">VALUE(MID(L68,1,2))</f>
        <v>7</v>
      </c>
      <c r="AM68" s="144">
        <f t="shared" ref="AM68:AM121" si="57">IF(O68="",7,VALUE(MID(O68,4,2)))</f>
        <v>10</v>
      </c>
      <c r="AN68" s="144">
        <f t="shared" ref="AN68:AN131" si="58">IF(O68="",1,VALUE(MID(O68,1,2)))</f>
        <v>27</v>
      </c>
      <c r="AO68">
        <f t="shared" si="48"/>
        <v>58</v>
      </c>
      <c r="AP68" s="103">
        <f t="shared" si="49"/>
        <v>133</v>
      </c>
      <c r="AQ68" s="33">
        <f t="shared" si="34"/>
        <v>66</v>
      </c>
    </row>
    <row r="69" spans="1:43" ht="36" thickBot="1">
      <c r="A69" s="33">
        <f t="shared" si="35"/>
        <v>67</v>
      </c>
      <c r="B69">
        <f t="shared" ref="B69:B132" si="59">IF(R69=1,1,IF(T69=1,2,IF(V69=1,3,IF(X69=1,4,IF(Z69=1,5,IF(AB69=1,6,IF(AD69=1,7,8)))))))</f>
        <v>4</v>
      </c>
      <c r="C69" s="183">
        <v>67</v>
      </c>
      <c r="D69" s="2" t="s">
        <v>782</v>
      </c>
      <c r="E69" t="s">
        <v>848</v>
      </c>
      <c r="F69" t="s">
        <v>2948</v>
      </c>
      <c r="H69" t="s">
        <v>2947</v>
      </c>
      <c r="I69" t="str">
        <f t="shared" si="50"/>
        <v>1889</v>
      </c>
      <c r="J69">
        <f t="shared" si="29"/>
        <v>1956</v>
      </c>
      <c r="K69" s="9" t="str">
        <f t="shared" ref="K69:K132" si="60">IF(H69="",_xlfn.CONCAT(E69," (",C69,"): ",I69),_xlfn.CONCAT(H69," (",C69,"): ",I69))</f>
        <v>Tony/Dodo (67): 1889</v>
      </c>
      <c r="L69" s="8" t="s">
        <v>1134</v>
      </c>
      <c r="M69" s="8" t="s">
        <v>1134</v>
      </c>
      <c r="N69" t="s">
        <v>3792</v>
      </c>
      <c r="O69" s="10" t="s">
        <v>3200</v>
      </c>
      <c r="P69" s="13">
        <f t="shared" si="36"/>
        <v>67</v>
      </c>
      <c r="Q69" s="19" t="str">
        <f t="shared" si="37"/>
        <v>Tony/Dodo (67): 1889–1956</v>
      </c>
      <c r="R69" s="120">
        <v>32</v>
      </c>
      <c r="S69" s="15" t="str">
        <f t="shared" ref="S69:S132" si="61">VLOOKUP(R69,$P$2:$Q$184,2,TRUE)</f>
        <v>Frank (32): 1848–1934</v>
      </c>
      <c r="T69" s="38">
        <f t="shared" si="51"/>
        <v>14</v>
      </c>
      <c r="U69" s="37" t="str">
        <f t="shared" si="52"/>
        <v>Thomas (14): 1812–1857</v>
      </c>
      <c r="V69" s="27">
        <f t="shared" si="53"/>
        <v>4</v>
      </c>
      <c r="W69" s="28" t="str">
        <f t="shared" si="54"/>
        <v>William (4): 1770–1828</v>
      </c>
      <c r="X69" s="39">
        <f t="shared" si="38"/>
        <v>1</v>
      </c>
      <c r="Y69" s="40" t="str">
        <f t="shared" si="39"/>
        <v>William (1): 1729–1800</v>
      </c>
      <c r="Z69" s="29">
        <f t="shared" si="40"/>
        <v>0</v>
      </c>
      <c r="AA69" s="41" t="str">
        <f t="shared" si="41"/>
        <v>Lewis (0): 1690–1758</v>
      </c>
      <c r="AB69" s="30">
        <f t="shared" si="42"/>
        <v>-1</v>
      </c>
      <c r="AC69" s="43" t="e">
        <f t="shared" si="43"/>
        <v>#N/A</v>
      </c>
      <c r="AD69" s="42" t="e">
        <f t="shared" si="44"/>
        <v>#N/A</v>
      </c>
      <c r="AE69" s="22" t="e">
        <f t="shared" si="45"/>
        <v>#N/A</v>
      </c>
      <c r="AF69" s="42" t="e">
        <f t="shared" si="46"/>
        <v>#N/A</v>
      </c>
      <c r="AG69" s="22" t="e">
        <f t="shared" si="47"/>
        <v>#N/A</v>
      </c>
      <c r="AH69" s="23" t="s">
        <v>2815</v>
      </c>
      <c r="AI69" s="33" t="s">
        <v>4377</v>
      </c>
      <c r="AJ69" s="264" t="str">
        <f>VLOOKUP(AI69,'Mums of Loyd Edit&amp;Partner Edit'!$B$4:$C$66,2,FALSE)</f>
        <v>Frances Maria Jane FETHERSTONHAUGH (b. 10 Feb 1855, d. 6 May 1929)</v>
      </c>
      <c r="AK69" s="33">
        <f t="shared" si="55"/>
        <v>5</v>
      </c>
      <c r="AL69" s="33">
        <f t="shared" si="56"/>
        <v>26</v>
      </c>
      <c r="AM69" s="144">
        <f t="shared" si="57"/>
        <v>1</v>
      </c>
      <c r="AN69" s="144">
        <f t="shared" si="58"/>
        <v>18</v>
      </c>
      <c r="AO69">
        <f t="shared" si="48"/>
        <v>66</v>
      </c>
      <c r="AP69" s="103">
        <f t="shared" si="49"/>
        <v>133</v>
      </c>
      <c r="AQ69" s="33">
        <f t="shared" si="34"/>
        <v>67</v>
      </c>
    </row>
    <row r="70" spans="1:43" s="5" customFormat="1" ht="117" customHeight="1" thickBot="1">
      <c r="A70" s="33">
        <f t="shared" si="35"/>
        <v>68</v>
      </c>
      <c r="B70">
        <f t="shared" si="59"/>
        <v>4</v>
      </c>
      <c r="C70" s="270">
        <v>68</v>
      </c>
      <c r="D70" s="6" t="s">
        <v>782</v>
      </c>
      <c r="E70" s="5" t="s">
        <v>783</v>
      </c>
      <c r="F70" s="5" t="s">
        <v>787</v>
      </c>
      <c r="I70" t="str">
        <f t="shared" si="50"/>
        <v>1890</v>
      </c>
      <c r="J70">
        <f t="shared" si="29"/>
        <v>1963</v>
      </c>
      <c r="K70" s="9" t="str">
        <f t="shared" si="60"/>
        <v>Cecil (68): 1890</v>
      </c>
      <c r="L70" s="8" t="s">
        <v>788</v>
      </c>
      <c r="M70" s="8" t="s">
        <v>788</v>
      </c>
      <c r="N70" s="7">
        <v>7089</v>
      </c>
      <c r="O70" s="10" t="s">
        <v>3201</v>
      </c>
      <c r="P70" s="13">
        <f t="shared" si="36"/>
        <v>68</v>
      </c>
      <c r="Q70" s="19" t="str">
        <f t="shared" si="37"/>
        <v>Cecil (68): 1890–1963</v>
      </c>
      <c r="R70" s="121">
        <v>45</v>
      </c>
      <c r="S70" s="15" t="str">
        <f t="shared" si="61"/>
        <v>Llewellyn (45): 1861–1939</v>
      </c>
      <c r="T70" s="38">
        <f t="shared" si="51"/>
        <v>22</v>
      </c>
      <c r="U70" s="37" t="str">
        <f t="shared" si="52"/>
        <v>Edward (22): 1820–1890</v>
      </c>
      <c r="V70" s="27">
        <f t="shared" si="53"/>
        <v>8</v>
      </c>
      <c r="W70" s="28" t="str">
        <f t="shared" si="54"/>
        <v>Edward (8): 1780–1863</v>
      </c>
      <c r="X70" s="39">
        <f t="shared" si="38"/>
        <v>1</v>
      </c>
      <c r="Y70" s="40" t="str">
        <f t="shared" si="39"/>
        <v>William (1): 1729–1800</v>
      </c>
      <c r="Z70" s="29">
        <f t="shared" si="40"/>
        <v>0</v>
      </c>
      <c r="AA70" s="41" t="str">
        <f t="shared" si="41"/>
        <v>Lewis (0): 1690–1758</v>
      </c>
      <c r="AB70" s="30">
        <f t="shared" si="42"/>
        <v>-1</v>
      </c>
      <c r="AC70" s="43" t="e">
        <f t="shared" si="43"/>
        <v>#N/A</v>
      </c>
      <c r="AD70" s="42" t="e">
        <f t="shared" si="44"/>
        <v>#N/A</v>
      </c>
      <c r="AE70" s="22" t="e">
        <f t="shared" si="45"/>
        <v>#N/A</v>
      </c>
      <c r="AF70" s="42" t="e">
        <f t="shared" si="46"/>
        <v>#N/A</v>
      </c>
      <c r="AG70" s="22" t="e">
        <f t="shared" si="47"/>
        <v>#N/A</v>
      </c>
      <c r="AH70" s="25" t="s">
        <v>2815</v>
      </c>
      <c r="AI70" s="33" t="s">
        <v>4382</v>
      </c>
      <c r="AJ70" s="264" t="str">
        <f>VLOOKUP(AI70,'Mums of Loyd Edit&amp;Partner Edit'!$B$4:$C$66,2,FALSE)</f>
        <v>Rebecca Olivia LEWIS (b.13 Aug 1860, d. 18 Mar 1927)</v>
      </c>
      <c r="AK70" s="33">
        <f t="shared" si="55"/>
        <v>1</v>
      </c>
      <c r="AL70" s="33">
        <f t="shared" si="56"/>
        <v>20</v>
      </c>
      <c r="AM70" s="144">
        <f t="shared" si="57"/>
        <v>1</v>
      </c>
      <c r="AN70" s="144">
        <f t="shared" si="58"/>
        <v>17</v>
      </c>
      <c r="AO70">
        <f t="shared" si="48"/>
        <v>72</v>
      </c>
      <c r="AP70" s="103">
        <f t="shared" si="49"/>
        <v>132</v>
      </c>
      <c r="AQ70" s="33">
        <f t="shared" si="34"/>
        <v>68</v>
      </c>
    </row>
    <row r="71" spans="1:43" ht="36" thickBot="1">
      <c r="A71" s="33">
        <f t="shared" si="35"/>
        <v>69</v>
      </c>
      <c r="B71">
        <f t="shared" si="59"/>
        <v>4</v>
      </c>
      <c r="C71" s="183">
        <v>69</v>
      </c>
      <c r="D71" s="2" t="s">
        <v>782</v>
      </c>
      <c r="E71" t="s">
        <v>795</v>
      </c>
      <c r="F71" t="s">
        <v>796</v>
      </c>
      <c r="I71" t="str">
        <f t="shared" si="50"/>
        <v>1890</v>
      </c>
      <c r="J71">
        <f t="shared" si="29"/>
        <v>1914</v>
      </c>
      <c r="K71" s="9" t="str">
        <f t="shared" si="60"/>
        <v>Geoffrey (69): 1890</v>
      </c>
      <c r="L71" s="8" t="s">
        <v>801</v>
      </c>
      <c r="M71" s="8" t="s">
        <v>801</v>
      </c>
      <c r="N71" t="s">
        <v>3792</v>
      </c>
      <c r="O71" s="10" t="s">
        <v>3202</v>
      </c>
      <c r="P71" s="13">
        <f t="shared" si="36"/>
        <v>69</v>
      </c>
      <c r="Q71" s="19" t="str">
        <f t="shared" si="37"/>
        <v>Geoffrey (69): 1890–1914</v>
      </c>
      <c r="R71" s="120">
        <v>30</v>
      </c>
      <c r="S71" s="15" t="str">
        <f t="shared" si="61"/>
        <v>Archie (30): 1847–1922</v>
      </c>
      <c r="T71" s="38">
        <f t="shared" si="51"/>
        <v>14</v>
      </c>
      <c r="U71" s="37" t="str">
        <f t="shared" si="52"/>
        <v>Thomas (14): 1812–1857</v>
      </c>
      <c r="V71" s="27">
        <f t="shared" si="53"/>
        <v>4</v>
      </c>
      <c r="W71" s="28" t="str">
        <f t="shared" si="54"/>
        <v>William (4): 1770–1828</v>
      </c>
      <c r="X71" s="39">
        <f t="shared" si="38"/>
        <v>1</v>
      </c>
      <c r="Y71" s="40" t="str">
        <f t="shared" si="39"/>
        <v>William (1): 1729–1800</v>
      </c>
      <c r="Z71" s="29">
        <f t="shared" si="40"/>
        <v>0</v>
      </c>
      <c r="AA71" s="41" t="str">
        <f t="shared" si="41"/>
        <v>Lewis (0): 1690–1758</v>
      </c>
      <c r="AB71" s="30">
        <f t="shared" si="42"/>
        <v>-1</v>
      </c>
      <c r="AC71" s="43" t="e">
        <f t="shared" si="43"/>
        <v>#N/A</v>
      </c>
      <c r="AD71" s="42" t="e">
        <f t="shared" si="44"/>
        <v>#N/A</v>
      </c>
      <c r="AE71" s="22" t="e">
        <f t="shared" si="45"/>
        <v>#N/A</v>
      </c>
      <c r="AF71" s="42" t="e">
        <f t="shared" si="46"/>
        <v>#N/A</v>
      </c>
      <c r="AG71" s="22" t="e">
        <f t="shared" si="47"/>
        <v>#N/A</v>
      </c>
      <c r="AH71" s="23" t="s">
        <v>2815</v>
      </c>
      <c r="AI71" s="33" t="s">
        <v>4379</v>
      </c>
      <c r="AJ71" s="264" t="str">
        <f>VLOOKUP(AI71,'Mums of Loyd Edit&amp;Partner Edit'!$B$4:$C$66,2,FALSE)</f>
        <v>Henrietta Louisa CLUTTERBUCK (b. 23 Jan 1856, d. 14 Jan 1931)</v>
      </c>
      <c r="AK71" s="33">
        <f t="shared" si="55"/>
        <v>5</v>
      </c>
      <c r="AL71" s="33">
        <f t="shared" si="56"/>
        <v>1</v>
      </c>
      <c r="AM71" s="144">
        <f t="shared" si="57"/>
        <v>11</v>
      </c>
      <c r="AN71" s="144">
        <f t="shared" si="58"/>
        <v>14</v>
      </c>
      <c r="AO71">
        <f t="shared" si="48"/>
        <v>24</v>
      </c>
      <c r="AP71" s="103">
        <f t="shared" si="49"/>
        <v>132</v>
      </c>
      <c r="AQ71" s="33">
        <f t="shared" si="34"/>
        <v>69</v>
      </c>
    </row>
    <row r="72" spans="1:43" ht="36" thickBot="1">
      <c r="A72" s="33">
        <f t="shared" si="35"/>
        <v>70</v>
      </c>
      <c r="B72">
        <f t="shared" si="59"/>
        <v>4</v>
      </c>
      <c r="C72" s="183">
        <v>70</v>
      </c>
      <c r="D72" s="2" t="s">
        <v>782</v>
      </c>
      <c r="E72" t="s">
        <v>798</v>
      </c>
      <c r="F72" t="s">
        <v>799</v>
      </c>
      <c r="G72" t="s">
        <v>800</v>
      </c>
      <c r="I72" t="str">
        <f t="shared" si="50"/>
        <v>1890</v>
      </c>
      <c r="J72">
        <f t="shared" si="29"/>
        <v>1963</v>
      </c>
      <c r="K72" s="9" t="str">
        <f t="shared" si="60"/>
        <v>Diana (70): 1890</v>
      </c>
      <c r="L72" s="8" t="s">
        <v>801</v>
      </c>
      <c r="M72" s="8" t="s">
        <v>801</v>
      </c>
      <c r="N72" s="3">
        <v>7620</v>
      </c>
      <c r="O72" s="10" t="s">
        <v>3203</v>
      </c>
      <c r="P72" s="13">
        <f t="shared" si="36"/>
        <v>70</v>
      </c>
      <c r="Q72" s="19" t="str">
        <f t="shared" si="37"/>
        <v>Diana (70): 1890–1963</v>
      </c>
      <c r="R72" s="120">
        <v>46</v>
      </c>
      <c r="S72" s="15" t="str">
        <f t="shared" si="61"/>
        <v>William (46): 1863–1923</v>
      </c>
      <c r="T72" s="38">
        <f t="shared" si="51"/>
        <v>23</v>
      </c>
      <c r="U72" s="37" t="str">
        <f t="shared" si="52"/>
        <v>William (23): 1821–1885</v>
      </c>
      <c r="V72" s="27">
        <f t="shared" si="53"/>
        <v>8</v>
      </c>
      <c r="W72" s="28" t="str">
        <f t="shared" si="54"/>
        <v>Edward (8): 1780–1863</v>
      </c>
      <c r="X72" s="39">
        <f t="shared" si="38"/>
        <v>1</v>
      </c>
      <c r="Y72" s="40" t="str">
        <f t="shared" si="39"/>
        <v>William (1): 1729–1800</v>
      </c>
      <c r="Z72" s="29">
        <f t="shared" si="40"/>
        <v>0</v>
      </c>
      <c r="AA72" s="41" t="str">
        <f t="shared" si="41"/>
        <v>Lewis (0): 1690–1758</v>
      </c>
      <c r="AB72" s="30">
        <f t="shared" si="42"/>
        <v>-1</v>
      </c>
      <c r="AC72" s="43" t="e">
        <f t="shared" si="43"/>
        <v>#N/A</v>
      </c>
      <c r="AD72" s="42" t="e">
        <f t="shared" si="44"/>
        <v>#N/A</v>
      </c>
      <c r="AE72" s="22" t="e">
        <f t="shared" si="45"/>
        <v>#N/A</v>
      </c>
      <c r="AF72" s="42" t="e">
        <f t="shared" si="46"/>
        <v>#N/A</v>
      </c>
      <c r="AG72" s="22" t="e">
        <f t="shared" si="47"/>
        <v>#N/A</v>
      </c>
      <c r="AH72" s="23" t="s">
        <v>2814</v>
      </c>
      <c r="AI72" s="33" t="s">
        <v>4383</v>
      </c>
      <c r="AJ72" s="264" t="str">
        <f>VLOOKUP(AI72,'Mums of Loyd Edit&amp;Partner Edit'!$B$4:$C$66,2,FALSE)</f>
        <v xml:space="preserve">Emily Diana Maria BEAUMONT (b. 25 Dec 1860, d. 4 Jul 1956) </v>
      </c>
      <c r="AK72" s="33">
        <f t="shared" si="55"/>
        <v>5</v>
      </c>
      <c r="AL72" s="33">
        <f t="shared" si="56"/>
        <v>1</v>
      </c>
      <c r="AM72" s="144">
        <f t="shared" si="57"/>
        <v>7</v>
      </c>
      <c r="AN72" s="144">
        <f t="shared" si="58"/>
        <v>1</v>
      </c>
      <c r="AO72">
        <f t="shared" si="48"/>
        <v>73</v>
      </c>
      <c r="AP72" s="103">
        <f t="shared" si="49"/>
        <v>132</v>
      </c>
      <c r="AQ72" s="33">
        <f t="shared" si="34"/>
        <v>70</v>
      </c>
    </row>
    <row r="73" spans="1:43" ht="36" thickBot="1">
      <c r="A73" s="33">
        <f t="shared" si="35"/>
        <v>71</v>
      </c>
      <c r="B73">
        <f t="shared" si="59"/>
        <v>4</v>
      </c>
      <c r="C73" s="183">
        <v>71</v>
      </c>
      <c r="D73" s="2" t="s">
        <v>782</v>
      </c>
      <c r="E73" t="s">
        <v>804</v>
      </c>
      <c r="F73" t="s">
        <v>805</v>
      </c>
      <c r="I73" t="str">
        <f t="shared" si="50"/>
        <v>1890</v>
      </c>
      <c r="J73">
        <f t="shared" si="29"/>
        <v>1974</v>
      </c>
      <c r="K73" s="9" t="str">
        <f t="shared" si="60"/>
        <v>Arthur (71): 1890</v>
      </c>
      <c r="L73" s="8" t="s">
        <v>806</v>
      </c>
      <c r="M73" s="8" t="s">
        <v>806</v>
      </c>
      <c r="N73" s="3">
        <v>4658</v>
      </c>
      <c r="O73" s="10" t="s">
        <v>3204</v>
      </c>
      <c r="P73" s="13">
        <f t="shared" si="36"/>
        <v>71</v>
      </c>
      <c r="Q73" s="19" t="str">
        <f t="shared" si="37"/>
        <v>Arthur (71): 1890–1974</v>
      </c>
      <c r="R73" s="120">
        <v>34</v>
      </c>
      <c r="S73" s="15" t="str">
        <f t="shared" si="61"/>
        <v>Ted (34): 1851–1922</v>
      </c>
      <c r="T73" s="38">
        <f t="shared" si="51"/>
        <v>14</v>
      </c>
      <c r="U73" s="37" t="str">
        <f t="shared" si="52"/>
        <v>Thomas (14): 1812–1857</v>
      </c>
      <c r="V73" s="27">
        <f t="shared" si="53"/>
        <v>4</v>
      </c>
      <c r="W73" s="28" t="str">
        <f t="shared" si="54"/>
        <v>William (4): 1770–1828</v>
      </c>
      <c r="X73" s="39">
        <f t="shared" si="38"/>
        <v>1</v>
      </c>
      <c r="Y73" s="40" t="str">
        <f t="shared" si="39"/>
        <v>William (1): 1729–1800</v>
      </c>
      <c r="Z73" s="29">
        <f t="shared" si="40"/>
        <v>0</v>
      </c>
      <c r="AA73" s="41" t="str">
        <f t="shared" si="41"/>
        <v>Lewis (0): 1690–1758</v>
      </c>
      <c r="AB73" s="30">
        <f t="shared" si="42"/>
        <v>-1</v>
      </c>
      <c r="AC73" s="43" t="e">
        <f t="shared" si="43"/>
        <v>#N/A</v>
      </c>
      <c r="AD73" s="42" t="e">
        <f t="shared" si="44"/>
        <v>#N/A</v>
      </c>
      <c r="AE73" s="22" t="e">
        <f t="shared" si="45"/>
        <v>#N/A</v>
      </c>
      <c r="AF73" s="42" t="e">
        <f t="shared" si="46"/>
        <v>#N/A</v>
      </c>
      <c r="AG73" s="22" t="e">
        <f t="shared" si="47"/>
        <v>#N/A</v>
      </c>
      <c r="AH73" s="23" t="s">
        <v>2815</v>
      </c>
      <c r="AI73" s="33" t="s">
        <v>4380</v>
      </c>
      <c r="AJ73" s="264" t="str">
        <f>VLOOKUP(AI73,'Mums of Loyd Edit&amp;Partner Edit'!$B$4:$C$66,2,FALSE)</f>
        <v>Millicent Blandinah KESTEVEN (b. 1850/51, d. 22 Jun 1945)</v>
      </c>
      <c r="AK73" s="33">
        <f t="shared" si="55"/>
        <v>11</v>
      </c>
      <c r="AL73" s="33">
        <f t="shared" si="56"/>
        <v>16</v>
      </c>
      <c r="AM73" s="144">
        <f t="shared" si="57"/>
        <v>9</v>
      </c>
      <c r="AN73" s="144">
        <f t="shared" si="58"/>
        <v>11</v>
      </c>
      <c r="AO73">
        <f t="shared" si="48"/>
        <v>83</v>
      </c>
      <c r="AP73" s="103">
        <f t="shared" si="49"/>
        <v>131</v>
      </c>
      <c r="AQ73" s="33">
        <f t="shared" si="34"/>
        <v>71</v>
      </c>
    </row>
    <row r="74" spans="1:43" ht="36" thickBot="1">
      <c r="A74" s="33">
        <f t="shared" si="35"/>
        <v>72</v>
      </c>
      <c r="B74">
        <f t="shared" si="59"/>
        <v>4</v>
      </c>
      <c r="C74" s="183">
        <v>72</v>
      </c>
      <c r="D74" s="2" t="s">
        <v>782</v>
      </c>
      <c r="E74" t="s">
        <v>807</v>
      </c>
      <c r="F74" t="s">
        <v>917</v>
      </c>
      <c r="H74" t="s">
        <v>917</v>
      </c>
      <c r="I74" t="str">
        <f t="shared" si="50"/>
        <v>1891</v>
      </c>
      <c r="J74">
        <f t="shared" si="29"/>
        <v>1973</v>
      </c>
      <c r="K74" s="9" t="str">
        <f t="shared" si="60"/>
        <v>Charles (72): 1891</v>
      </c>
      <c r="L74" s="8" t="s">
        <v>808</v>
      </c>
      <c r="M74" s="8" t="s">
        <v>808</v>
      </c>
      <c r="N74" s="3">
        <v>8246</v>
      </c>
      <c r="O74" s="10" t="s">
        <v>3205</v>
      </c>
      <c r="P74" s="13">
        <f t="shared" si="36"/>
        <v>72</v>
      </c>
      <c r="Q74" s="19" t="str">
        <f t="shared" si="37"/>
        <v>Charles (72): 1891–1973</v>
      </c>
      <c r="R74" s="120">
        <v>44</v>
      </c>
      <c r="S74" s="15" t="str">
        <f t="shared" si="61"/>
        <v>Harry (44): 1861–1938</v>
      </c>
      <c r="T74" s="38">
        <f t="shared" si="51"/>
        <v>23</v>
      </c>
      <c r="U74" s="37" t="str">
        <f t="shared" si="52"/>
        <v>William (23): 1821–1885</v>
      </c>
      <c r="V74" s="27">
        <f t="shared" si="53"/>
        <v>8</v>
      </c>
      <c r="W74" s="28" t="str">
        <f t="shared" si="54"/>
        <v>Edward (8): 1780–1863</v>
      </c>
      <c r="X74" s="39">
        <f t="shared" si="38"/>
        <v>1</v>
      </c>
      <c r="Y74" s="40" t="str">
        <f t="shared" si="39"/>
        <v>William (1): 1729–1800</v>
      </c>
      <c r="Z74" s="29">
        <f t="shared" si="40"/>
        <v>0</v>
      </c>
      <c r="AA74" s="41" t="str">
        <f t="shared" si="41"/>
        <v>Lewis (0): 1690–1758</v>
      </c>
      <c r="AB74" s="30">
        <f t="shared" si="42"/>
        <v>-1</v>
      </c>
      <c r="AC74" s="43" t="e">
        <f t="shared" si="43"/>
        <v>#N/A</v>
      </c>
      <c r="AD74" s="42" t="e">
        <f t="shared" si="44"/>
        <v>#N/A</v>
      </c>
      <c r="AE74" s="22" t="e">
        <f t="shared" si="45"/>
        <v>#N/A</v>
      </c>
      <c r="AF74" s="42" t="e">
        <f t="shared" si="46"/>
        <v>#N/A</v>
      </c>
      <c r="AG74" s="22" t="e">
        <f t="shared" si="47"/>
        <v>#N/A</v>
      </c>
      <c r="AH74" s="23" t="s">
        <v>2815</v>
      </c>
      <c r="AI74" s="33" t="s">
        <v>4381</v>
      </c>
      <c r="AJ74" s="264" t="str">
        <f>VLOOKUP(AI74,'Mums of Loyd Edit&amp;Partner Edit'!$B$4:$C$66,2,FALSE)</f>
        <v>The Hon Clementina Georgina BROWNLOW (b. 13 Jan 1868, d. 1 Sep 1929)</v>
      </c>
      <c r="AK74" s="33">
        <f t="shared" si="55"/>
        <v>2</v>
      </c>
      <c r="AL74" s="33">
        <f t="shared" si="56"/>
        <v>21</v>
      </c>
      <c r="AM74" s="144">
        <f t="shared" si="57"/>
        <v>11</v>
      </c>
      <c r="AN74" s="144">
        <f t="shared" si="58"/>
        <v>11</v>
      </c>
      <c r="AO74">
        <f t="shared" si="48"/>
        <v>82</v>
      </c>
      <c r="AP74" s="103">
        <f t="shared" si="49"/>
        <v>131</v>
      </c>
      <c r="AQ74" s="33">
        <f t="shared" si="34"/>
        <v>72</v>
      </c>
    </row>
    <row r="75" spans="1:43" ht="20" thickBot="1">
      <c r="A75" s="33">
        <f t="shared" si="35"/>
        <v>73</v>
      </c>
      <c r="B75">
        <f t="shared" si="59"/>
        <v>4</v>
      </c>
      <c r="C75" s="183">
        <v>73</v>
      </c>
      <c r="D75" s="2" t="s">
        <v>782</v>
      </c>
      <c r="E75" t="s">
        <v>810</v>
      </c>
      <c r="F75" t="s">
        <v>811</v>
      </c>
      <c r="G75" t="s">
        <v>812</v>
      </c>
      <c r="I75" t="str">
        <f t="shared" si="50"/>
        <v>1891</v>
      </c>
      <c r="J75">
        <f t="shared" si="29"/>
        <v>1967</v>
      </c>
      <c r="K75" s="9" t="str">
        <f t="shared" si="60"/>
        <v>Eric (73): 1891</v>
      </c>
      <c r="L75" s="8" t="s">
        <v>809</v>
      </c>
      <c r="M75" s="8" t="s">
        <v>809</v>
      </c>
      <c r="N75" s="3">
        <v>8553</v>
      </c>
      <c r="O75" s="10" t="s">
        <v>3206</v>
      </c>
      <c r="P75" s="13">
        <f t="shared" si="36"/>
        <v>73</v>
      </c>
      <c r="Q75" s="19" t="str">
        <f t="shared" si="37"/>
        <v>Eric (73): 1891–1967</v>
      </c>
      <c r="R75" s="120">
        <v>45</v>
      </c>
      <c r="S75" s="15" t="str">
        <f t="shared" si="61"/>
        <v>Llewellyn (45): 1861–1939</v>
      </c>
      <c r="T75" s="38">
        <f t="shared" si="51"/>
        <v>22</v>
      </c>
      <c r="U75" s="37" t="str">
        <f t="shared" si="52"/>
        <v>Edward (22): 1820–1890</v>
      </c>
      <c r="V75" s="27">
        <f t="shared" si="53"/>
        <v>8</v>
      </c>
      <c r="W75" s="28" t="str">
        <f t="shared" si="54"/>
        <v>Edward (8): 1780–1863</v>
      </c>
      <c r="X75" s="39">
        <f t="shared" si="38"/>
        <v>1</v>
      </c>
      <c r="Y75" s="40" t="str">
        <f t="shared" si="39"/>
        <v>William (1): 1729–1800</v>
      </c>
      <c r="Z75" s="29">
        <f t="shared" si="40"/>
        <v>0</v>
      </c>
      <c r="AA75" s="41" t="str">
        <f t="shared" si="41"/>
        <v>Lewis (0): 1690–1758</v>
      </c>
      <c r="AB75" s="30">
        <f t="shared" si="42"/>
        <v>-1</v>
      </c>
      <c r="AC75" s="43" t="e">
        <f t="shared" si="43"/>
        <v>#N/A</v>
      </c>
      <c r="AD75" s="42" t="e">
        <f t="shared" si="44"/>
        <v>#N/A</v>
      </c>
      <c r="AE75" s="22" t="e">
        <f t="shared" si="45"/>
        <v>#N/A</v>
      </c>
      <c r="AF75" s="42" t="e">
        <f t="shared" si="46"/>
        <v>#N/A</v>
      </c>
      <c r="AG75" s="22" t="e">
        <f t="shared" si="47"/>
        <v>#N/A</v>
      </c>
      <c r="AH75" s="23" t="s">
        <v>2815</v>
      </c>
      <c r="AI75" s="33" t="s">
        <v>4382</v>
      </c>
      <c r="AJ75" s="264" t="str">
        <f>VLOOKUP(AI75,'Mums of Loyd Edit&amp;Partner Edit'!$B$4:$C$66,2,FALSE)</f>
        <v>Rebecca Olivia LEWIS (b.13 Aug 1860, d. 18 Mar 1927)</v>
      </c>
      <c r="AK75" s="33">
        <f t="shared" si="55"/>
        <v>4</v>
      </c>
      <c r="AL75" s="33">
        <f t="shared" si="56"/>
        <v>26</v>
      </c>
      <c r="AM75" s="144">
        <f t="shared" si="57"/>
        <v>11</v>
      </c>
      <c r="AN75" s="144">
        <f t="shared" si="58"/>
        <v>12</v>
      </c>
      <c r="AO75">
        <f t="shared" si="48"/>
        <v>76</v>
      </c>
      <c r="AP75" s="103">
        <f t="shared" si="49"/>
        <v>131</v>
      </c>
      <c r="AQ75" s="33">
        <f t="shared" si="34"/>
        <v>73</v>
      </c>
    </row>
    <row r="76" spans="1:43" ht="20" thickBot="1">
      <c r="A76" s="33">
        <f t="shared" si="35"/>
        <v>74</v>
      </c>
      <c r="B76">
        <f t="shared" si="59"/>
        <v>4</v>
      </c>
      <c r="C76" s="183">
        <v>74</v>
      </c>
      <c r="D76" s="2" t="s">
        <v>782</v>
      </c>
      <c r="E76" t="s">
        <v>813</v>
      </c>
      <c r="I76" t="str">
        <f t="shared" si="50"/>
        <v>1891</v>
      </c>
      <c r="J76" s="32" t="str">
        <f>_xlfn.CONCAT(MID(O76,7,2),RIGHT(O76,2))</f>
        <v>1891</v>
      </c>
      <c r="K76" s="9" t="str">
        <f t="shared" si="60"/>
        <v>Cecily (74): 1891</v>
      </c>
      <c r="L76" s="8" t="s">
        <v>814</v>
      </c>
      <c r="M76" s="8" t="s">
        <v>814</v>
      </c>
      <c r="N76" t="s">
        <v>3792</v>
      </c>
      <c r="O76" s="10" t="s">
        <v>814</v>
      </c>
      <c r="P76" s="13">
        <f t="shared" si="36"/>
        <v>74</v>
      </c>
      <c r="Q76" s="19" t="str">
        <f t="shared" si="37"/>
        <v>Cecily (74): 1891–1891</v>
      </c>
      <c r="R76" s="120">
        <v>41</v>
      </c>
      <c r="S76" s="15" t="str">
        <f t="shared" si="61"/>
        <v>Frederic (41): 1856–1936</v>
      </c>
      <c r="T76" s="38">
        <f t="shared" si="51"/>
        <v>22</v>
      </c>
      <c r="U76" s="37" t="str">
        <f t="shared" si="52"/>
        <v>Edward (22): 1820–1890</v>
      </c>
      <c r="V76" s="27">
        <f t="shared" si="53"/>
        <v>8</v>
      </c>
      <c r="W76" s="28" t="str">
        <f t="shared" si="54"/>
        <v>Edward (8): 1780–1863</v>
      </c>
      <c r="X76" s="39">
        <f t="shared" si="38"/>
        <v>1</v>
      </c>
      <c r="Y76" s="40" t="str">
        <f t="shared" si="39"/>
        <v>William (1): 1729–1800</v>
      </c>
      <c r="Z76" s="29">
        <f t="shared" si="40"/>
        <v>0</v>
      </c>
      <c r="AA76" s="41" t="str">
        <f t="shared" si="41"/>
        <v>Lewis (0): 1690–1758</v>
      </c>
      <c r="AB76" s="30">
        <f t="shared" si="42"/>
        <v>-1</v>
      </c>
      <c r="AC76" s="43" t="e">
        <f t="shared" si="43"/>
        <v>#N/A</v>
      </c>
      <c r="AD76" s="42" t="e">
        <f t="shared" si="44"/>
        <v>#N/A</v>
      </c>
      <c r="AE76" s="22" t="e">
        <f t="shared" si="45"/>
        <v>#N/A</v>
      </c>
      <c r="AF76" s="42" t="e">
        <f t="shared" si="46"/>
        <v>#N/A</v>
      </c>
      <c r="AG76" s="22" t="e">
        <f t="shared" si="47"/>
        <v>#N/A</v>
      </c>
      <c r="AH76" s="23" t="s">
        <v>2814</v>
      </c>
      <c r="AI76" s="33" t="s">
        <v>4376</v>
      </c>
      <c r="AJ76" s="264" t="str">
        <f>VLOOKUP(AI76,'Mums of Loyd Edit&amp;Partner Edit'!$B$4:$C$66,2,FALSE)</f>
        <v>Isabella (Isabel) CURREY (b. 26 Apr 1855, d. 16 Jan 1926)</v>
      </c>
      <c r="AK76" s="33">
        <f t="shared" si="55"/>
        <v>6</v>
      </c>
      <c r="AL76" s="33">
        <f t="shared" si="56"/>
        <v>3</v>
      </c>
      <c r="AM76" s="144">
        <f t="shared" si="57"/>
        <v>6</v>
      </c>
      <c r="AN76" s="144">
        <f t="shared" si="58"/>
        <v>3</v>
      </c>
      <c r="AO76">
        <f t="shared" si="48"/>
        <v>0</v>
      </c>
      <c r="AP76" s="103">
        <f t="shared" si="49"/>
        <v>131</v>
      </c>
      <c r="AQ76" s="33">
        <f t="shared" si="34"/>
        <v>74</v>
      </c>
    </row>
    <row r="77" spans="1:43" ht="36" thickBot="1">
      <c r="A77" s="33">
        <f t="shared" si="35"/>
        <v>75</v>
      </c>
      <c r="B77">
        <f t="shared" si="59"/>
        <v>4</v>
      </c>
      <c r="C77" s="183">
        <v>75</v>
      </c>
      <c r="D77" s="2" t="s">
        <v>782</v>
      </c>
      <c r="E77" t="s">
        <v>815</v>
      </c>
      <c r="F77" t="s">
        <v>816</v>
      </c>
      <c r="I77" t="str">
        <f t="shared" si="50"/>
        <v>1893</v>
      </c>
      <c r="J77">
        <f t="shared" si="29"/>
        <v>1917</v>
      </c>
      <c r="K77" s="9" t="str">
        <f t="shared" si="60"/>
        <v>Godfrey (75): 1893</v>
      </c>
      <c r="L77" s="8" t="s">
        <v>817</v>
      </c>
      <c r="M77" s="8" t="s">
        <v>817</v>
      </c>
      <c r="N77" t="s">
        <v>3792</v>
      </c>
      <c r="O77" s="10" t="s">
        <v>3207</v>
      </c>
      <c r="P77" s="13">
        <f t="shared" si="36"/>
        <v>75</v>
      </c>
      <c r="Q77" s="19" t="str">
        <f t="shared" si="37"/>
        <v>Godfrey (75): 1893–1917</v>
      </c>
      <c r="R77" s="120">
        <v>46</v>
      </c>
      <c r="S77" s="15" t="str">
        <f t="shared" si="61"/>
        <v>William (46): 1863–1923</v>
      </c>
      <c r="T77" s="38">
        <f t="shared" si="51"/>
        <v>23</v>
      </c>
      <c r="U77" s="37" t="str">
        <f t="shared" si="52"/>
        <v>William (23): 1821–1885</v>
      </c>
      <c r="V77" s="27">
        <f t="shared" si="53"/>
        <v>8</v>
      </c>
      <c r="W77" s="28" t="str">
        <f t="shared" si="54"/>
        <v>Edward (8): 1780–1863</v>
      </c>
      <c r="X77" s="39">
        <f t="shared" si="38"/>
        <v>1</v>
      </c>
      <c r="Y77" s="40" t="str">
        <f t="shared" si="39"/>
        <v>William (1): 1729–1800</v>
      </c>
      <c r="Z77" s="29">
        <f t="shared" si="40"/>
        <v>0</v>
      </c>
      <c r="AA77" s="41" t="str">
        <f t="shared" si="41"/>
        <v>Lewis (0): 1690–1758</v>
      </c>
      <c r="AB77" s="30">
        <f t="shared" si="42"/>
        <v>-1</v>
      </c>
      <c r="AC77" s="43" t="e">
        <f t="shared" si="43"/>
        <v>#N/A</v>
      </c>
      <c r="AD77" s="42" t="e">
        <f t="shared" si="44"/>
        <v>#N/A</v>
      </c>
      <c r="AE77" s="22" t="e">
        <f t="shared" si="45"/>
        <v>#N/A</v>
      </c>
      <c r="AF77" s="42" t="e">
        <f t="shared" si="46"/>
        <v>#N/A</v>
      </c>
      <c r="AG77" s="22" t="e">
        <f t="shared" si="47"/>
        <v>#N/A</v>
      </c>
      <c r="AH77" s="23" t="s">
        <v>2815</v>
      </c>
      <c r="AI77" s="33" t="s">
        <v>4383</v>
      </c>
      <c r="AJ77" s="264" t="str">
        <f>VLOOKUP(AI77,'Mums of Loyd Edit&amp;Partner Edit'!$B$4:$C$66,2,FALSE)</f>
        <v xml:space="preserve">Emily Diana Maria BEAUMONT (b. 25 Dec 1860, d. 4 Jul 1956) </v>
      </c>
      <c r="AK77" s="33">
        <f t="shared" si="55"/>
        <v>3</v>
      </c>
      <c r="AL77" s="33">
        <f t="shared" si="56"/>
        <v>10</v>
      </c>
      <c r="AM77" s="144">
        <f t="shared" si="57"/>
        <v>12</v>
      </c>
      <c r="AN77" s="144">
        <f t="shared" si="58"/>
        <v>1</v>
      </c>
      <c r="AO77">
        <f t="shared" si="48"/>
        <v>24</v>
      </c>
      <c r="AP77" s="103">
        <f t="shared" si="49"/>
        <v>129</v>
      </c>
      <c r="AQ77" s="33">
        <f t="shared" si="34"/>
        <v>75</v>
      </c>
    </row>
    <row r="78" spans="1:43" ht="36" thickBot="1">
      <c r="A78" s="33">
        <f t="shared" si="35"/>
        <v>76</v>
      </c>
      <c r="B78">
        <f t="shared" si="59"/>
        <v>4</v>
      </c>
      <c r="C78" s="183">
        <v>76</v>
      </c>
      <c r="D78" s="2" t="s">
        <v>782</v>
      </c>
      <c r="E78" t="s">
        <v>811</v>
      </c>
      <c r="F78" t="s">
        <v>818</v>
      </c>
      <c r="G78" t="s">
        <v>819</v>
      </c>
      <c r="I78" t="str">
        <f t="shared" si="50"/>
        <v>1893</v>
      </c>
      <c r="J78">
        <f t="shared" si="29"/>
        <v>1932</v>
      </c>
      <c r="K78" s="9" t="str">
        <f t="shared" si="60"/>
        <v>Edward (76): 1893</v>
      </c>
      <c r="L78" s="8" t="s">
        <v>820</v>
      </c>
      <c r="M78" s="8" t="s">
        <v>820</v>
      </c>
      <c r="N78" s="3">
        <v>9681</v>
      </c>
      <c r="O78" s="10" t="s">
        <v>3208</v>
      </c>
      <c r="P78" s="13">
        <f t="shared" si="36"/>
        <v>76</v>
      </c>
      <c r="Q78" s="19" t="str">
        <f t="shared" si="37"/>
        <v>Edward (76): 1893–1932</v>
      </c>
      <c r="R78" s="120">
        <v>34</v>
      </c>
      <c r="S78" s="15" t="str">
        <f t="shared" si="61"/>
        <v>Ted (34): 1851–1922</v>
      </c>
      <c r="T78" s="38">
        <f t="shared" si="51"/>
        <v>14</v>
      </c>
      <c r="U78" s="37" t="str">
        <f t="shared" si="52"/>
        <v>Thomas (14): 1812–1857</v>
      </c>
      <c r="V78" s="27">
        <f t="shared" si="53"/>
        <v>4</v>
      </c>
      <c r="W78" s="28" t="str">
        <f t="shared" si="54"/>
        <v>William (4): 1770–1828</v>
      </c>
      <c r="X78" s="39">
        <f t="shared" si="38"/>
        <v>1</v>
      </c>
      <c r="Y78" s="40" t="str">
        <f t="shared" si="39"/>
        <v>William (1): 1729–1800</v>
      </c>
      <c r="Z78" s="29">
        <f t="shared" si="40"/>
        <v>0</v>
      </c>
      <c r="AA78" s="41" t="str">
        <f t="shared" si="41"/>
        <v>Lewis (0): 1690–1758</v>
      </c>
      <c r="AB78" s="30">
        <f t="shared" si="42"/>
        <v>-1</v>
      </c>
      <c r="AC78" s="43" t="e">
        <f t="shared" si="43"/>
        <v>#N/A</v>
      </c>
      <c r="AD78" s="42" t="e">
        <f t="shared" si="44"/>
        <v>#N/A</v>
      </c>
      <c r="AE78" s="22" t="e">
        <f t="shared" si="45"/>
        <v>#N/A</v>
      </c>
      <c r="AF78" s="42" t="e">
        <f t="shared" si="46"/>
        <v>#N/A</v>
      </c>
      <c r="AG78" s="22" t="e">
        <f t="shared" si="47"/>
        <v>#N/A</v>
      </c>
      <c r="AH78" s="23" t="s">
        <v>2815</v>
      </c>
      <c r="AI78" s="33" t="s">
        <v>4380</v>
      </c>
      <c r="AJ78" s="264" t="str">
        <f>VLOOKUP(AI78,'Mums of Loyd Edit&amp;Partner Edit'!$B$4:$C$66,2,FALSE)</f>
        <v>Millicent Blandinah KESTEVEN (b. 1850/51, d. 22 Jun 1945)</v>
      </c>
      <c r="AK78" s="33">
        <f t="shared" si="55"/>
        <v>3</v>
      </c>
      <c r="AL78" s="33">
        <f t="shared" si="56"/>
        <v>14</v>
      </c>
      <c r="AM78" s="144">
        <f t="shared" si="57"/>
        <v>5</v>
      </c>
      <c r="AN78" s="144">
        <f t="shared" si="58"/>
        <v>25</v>
      </c>
      <c r="AO78">
        <f t="shared" si="48"/>
        <v>39</v>
      </c>
      <c r="AP78" s="103">
        <f t="shared" si="49"/>
        <v>129</v>
      </c>
      <c r="AQ78" s="33">
        <f t="shared" si="34"/>
        <v>76</v>
      </c>
    </row>
    <row r="79" spans="1:43" ht="36" thickBot="1">
      <c r="A79" s="33">
        <f t="shared" si="35"/>
        <v>77</v>
      </c>
      <c r="B79">
        <f t="shared" si="59"/>
        <v>4</v>
      </c>
      <c r="C79" s="183">
        <v>77</v>
      </c>
      <c r="D79" s="2" t="s">
        <v>782</v>
      </c>
      <c r="E79" t="s">
        <v>821</v>
      </c>
      <c r="F79" t="s">
        <v>822</v>
      </c>
      <c r="I79" t="str">
        <f t="shared" si="50"/>
        <v>1893</v>
      </c>
      <c r="J79">
        <f t="shared" si="29"/>
        <v>1971</v>
      </c>
      <c r="K79" s="9" t="str">
        <f t="shared" si="60"/>
        <v>Wilfrid (77): 1893</v>
      </c>
      <c r="L79" s="8" t="s">
        <v>823</v>
      </c>
      <c r="M79" s="8" t="s">
        <v>823</v>
      </c>
      <c r="N79" s="3">
        <v>8036</v>
      </c>
      <c r="O79" s="10" t="s">
        <v>3209</v>
      </c>
      <c r="P79" s="13">
        <f t="shared" si="36"/>
        <v>77</v>
      </c>
      <c r="Q79" s="19" t="str">
        <f t="shared" si="37"/>
        <v>Wilfrid (77): 1893–1971</v>
      </c>
      <c r="R79" s="120">
        <v>30</v>
      </c>
      <c r="S79" s="15" t="str">
        <f t="shared" si="61"/>
        <v>Archie (30): 1847–1922</v>
      </c>
      <c r="T79" s="38">
        <f t="shared" si="51"/>
        <v>14</v>
      </c>
      <c r="U79" s="37" t="str">
        <f t="shared" si="52"/>
        <v>Thomas (14): 1812–1857</v>
      </c>
      <c r="V79" s="27">
        <f t="shared" si="53"/>
        <v>4</v>
      </c>
      <c r="W79" s="28" t="str">
        <f t="shared" si="54"/>
        <v>William (4): 1770–1828</v>
      </c>
      <c r="X79" s="39">
        <f t="shared" si="38"/>
        <v>1</v>
      </c>
      <c r="Y79" s="40" t="str">
        <f t="shared" si="39"/>
        <v>William (1): 1729–1800</v>
      </c>
      <c r="Z79" s="29">
        <f t="shared" si="40"/>
        <v>0</v>
      </c>
      <c r="AA79" s="41" t="str">
        <f t="shared" si="41"/>
        <v>Lewis (0): 1690–1758</v>
      </c>
      <c r="AB79" s="30">
        <f t="shared" si="42"/>
        <v>-1</v>
      </c>
      <c r="AC79" s="43" t="e">
        <f t="shared" si="43"/>
        <v>#N/A</v>
      </c>
      <c r="AD79" s="42" t="e">
        <f t="shared" si="44"/>
        <v>#N/A</v>
      </c>
      <c r="AE79" s="22" t="e">
        <f t="shared" si="45"/>
        <v>#N/A</v>
      </c>
      <c r="AF79" s="42" t="e">
        <f t="shared" si="46"/>
        <v>#N/A</v>
      </c>
      <c r="AG79" s="22" t="e">
        <f t="shared" si="47"/>
        <v>#N/A</v>
      </c>
      <c r="AH79" s="23" t="s">
        <v>2815</v>
      </c>
      <c r="AI79" s="33" t="s">
        <v>4379</v>
      </c>
      <c r="AJ79" s="264" t="str">
        <f>VLOOKUP(AI79,'Mums of Loyd Edit&amp;Partner Edit'!$B$4:$C$66,2,FALSE)</f>
        <v>Henrietta Louisa CLUTTERBUCK (b. 23 Jan 1856, d. 14 Jan 1931)</v>
      </c>
      <c r="AK79" s="33">
        <f t="shared" si="55"/>
        <v>9</v>
      </c>
      <c r="AL79" s="33">
        <f t="shared" si="56"/>
        <v>13</v>
      </c>
      <c r="AM79" s="144">
        <f t="shared" si="57"/>
        <v>9</v>
      </c>
      <c r="AN79" s="144">
        <f t="shared" si="58"/>
        <v>17</v>
      </c>
      <c r="AO79">
        <f t="shared" si="48"/>
        <v>78</v>
      </c>
      <c r="AP79" s="103">
        <f t="shared" si="49"/>
        <v>128</v>
      </c>
      <c r="AQ79" s="33">
        <f t="shared" si="34"/>
        <v>77</v>
      </c>
    </row>
    <row r="80" spans="1:43" ht="36" thickBot="1">
      <c r="A80" s="33">
        <f t="shared" si="35"/>
        <v>78</v>
      </c>
      <c r="B80">
        <f t="shared" si="59"/>
        <v>4</v>
      </c>
      <c r="C80" s="183">
        <v>78</v>
      </c>
      <c r="D80" s="2" t="s">
        <v>782</v>
      </c>
      <c r="E80" t="s">
        <v>824</v>
      </c>
      <c r="F80" t="s">
        <v>825</v>
      </c>
      <c r="I80" t="str">
        <f t="shared" si="50"/>
        <v>1894</v>
      </c>
      <c r="J80">
        <f t="shared" si="29"/>
        <v>1972</v>
      </c>
      <c r="K80" s="9" t="str">
        <f t="shared" si="60"/>
        <v>Vivian (78): 1894</v>
      </c>
      <c r="L80" s="8" t="s">
        <v>826</v>
      </c>
      <c r="M80" s="8" t="s">
        <v>826</v>
      </c>
      <c r="N80" s="3">
        <v>9090</v>
      </c>
      <c r="O80" s="10" t="s">
        <v>3210</v>
      </c>
      <c r="P80" s="13">
        <f t="shared" si="36"/>
        <v>78</v>
      </c>
      <c r="Q80" s="19" t="str">
        <f t="shared" si="37"/>
        <v>Vivian (78): 1894–1972</v>
      </c>
      <c r="R80" s="120">
        <v>46</v>
      </c>
      <c r="S80" s="15" t="str">
        <f t="shared" si="61"/>
        <v>William (46): 1863–1923</v>
      </c>
      <c r="T80" s="38">
        <f t="shared" si="51"/>
        <v>23</v>
      </c>
      <c r="U80" s="37" t="str">
        <f t="shared" si="52"/>
        <v>William (23): 1821–1885</v>
      </c>
      <c r="V80" s="27">
        <f t="shared" si="53"/>
        <v>8</v>
      </c>
      <c r="W80" s="28" t="str">
        <f t="shared" si="54"/>
        <v>Edward (8): 1780–1863</v>
      </c>
      <c r="X80" s="39">
        <f t="shared" si="38"/>
        <v>1</v>
      </c>
      <c r="Y80" s="40" t="str">
        <f t="shared" si="39"/>
        <v>William (1): 1729–1800</v>
      </c>
      <c r="Z80" s="29">
        <f t="shared" si="40"/>
        <v>0</v>
      </c>
      <c r="AA80" s="41" t="str">
        <f t="shared" si="41"/>
        <v>Lewis (0): 1690–1758</v>
      </c>
      <c r="AB80" s="30">
        <f t="shared" si="42"/>
        <v>-1</v>
      </c>
      <c r="AC80" s="43" t="e">
        <f t="shared" si="43"/>
        <v>#N/A</v>
      </c>
      <c r="AD80" s="42" t="e">
        <f t="shared" si="44"/>
        <v>#N/A</v>
      </c>
      <c r="AE80" s="22" t="e">
        <f t="shared" si="45"/>
        <v>#N/A</v>
      </c>
      <c r="AF80" s="42" t="e">
        <f t="shared" si="46"/>
        <v>#N/A</v>
      </c>
      <c r="AG80" s="22" t="e">
        <f t="shared" si="47"/>
        <v>#N/A</v>
      </c>
      <c r="AH80" s="23" t="s">
        <v>2815</v>
      </c>
      <c r="AI80" s="33" t="s">
        <v>4383</v>
      </c>
      <c r="AJ80" s="264" t="str">
        <f>VLOOKUP(AI80,'Mums of Loyd Edit&amp;Partner Edit'!$B$4:$C$66,2,FALSE)</f>
        <v xml:space="preserve">Emily Diana Maria BEAUMONT (b. 25 Dec 1860, d. 4 Jul 1956) </v>
      </c>
      <c r="AK80" s="33">
        <f t="shared" si="55"/>
        <v>5</v>
      </c>
      <c r="AL80" s="33">
        <f t="shared" si="56"/>
        <v>13</v>
      </c>
      <c r="AM80" s="144">
        <f t="shared" si="57"/>
        <v>3</v>
      </c>
      <c r="AN80" s="144">
        <f t="shared" si="58"/>
        <v>19</v>
      </c>
      <c r="AO80">
        <f t="shared" si="48"/>
        <v>77</v>
      </c>
      <c r="AP80" s="103">
        <f t="shared" si="49"/>
        <v>128</v>
      </c>
      <c r="AQ80" s="33">
        <f t="shared" si="34"/>
        <v>78</v>
      </c>
    </row>
    <row r="81" spans="1:43" ht="20" thickBot="1">
      <c r="A81" s="33">
        <f t="shared" si="35"/>
        <v>79</v>
      </c>
      <c r="B81">
        <f t="shared" si="59"/>
        <v>4</v>
      </c>
      <c r="C81" s="183">
        <v>79</v>
      </c>
      <c r="D81" s="2" t="s">
        <v>782</v>
      </c>
      <c r="E81" t="s">
        <v>827</v>
      </c>
      <c r="F81" t="s">
        <v>828</v>
      </c>
      <c r="I81" t="str">
        <f t="shared" si="50"/>
        <v>1894</v>
      </c>
      <c r="J81">
        <f t="shared" si="29"/>
        <v>1917</v>
      </c>
      <c r="K81" s="9" t="str">
        <f t="shared" si="60"/>
        <v>Alwyne (79): 1894</v>
      </c>
      <c r="L81" s="8" t="s">
        <v>829</v>
      </c>
      <c r="M81" s="8" t="s">
        <v>829</v>
      </c>
      <c r="N81" t="s">
        <v>3792</v>
      </c>
      <c r="O81" s="10" t="s">
        <v>3211</v>
      </c>
      <c r="P81" s="13">
        <f t="shared" si="36"/>
        <v>79</v>
      </c>
      <c r="Q81" s="19" t="str">
        <f t="shared" si="37"/>
        <v>Alwyne (79): 1894–1917</v>
      </c>
      <c r="R81" s="120">
        <v>45</v>
      </c>
      <c r="S81" s="15" t="str">
        <f t="shared" si="61"/>
        <v>Llewellyn (45): 1861–1939</v>
      </c>
      <c r="T81" s="38">
        <f t="shared" si="51"/>
        <v>22</v>
      </c>
      <c r="U81" s="37" t="str">
        <f t="shared" si="52"/>
        <v>Edward (22): 1820–1890</v>
      </c>
      <c r="V81" s="27">
        <f t="shared" si="53"/>
        <v>8</v>
      </c>
      <c r="W81" s="28" t="str">
        <f t="shared" si="54"/>
        <v>Edward (8): 1780–1863</v>
      </c>
      <c r="X81" s="39">
        <f t="shared" si="38"/>
        <v>1</v>
      </c>
      <c r="Y81" s="40" t="str">
        <f t="shared" si="39"/>
        <v>William (1): 1729–1800</v>
      </c>
      <c r="Z81" s="29">
        <f t="shared" si="40"/>
        <v>0</v>
      </c>
      <c r="AA81" s="41" t="str">
        <f t="shared" si="41"/>
        <v>Lewis (0): 1690–1758</v>
      </c>
      <c r="AB81" s="30">
        <f t="shared" si="42"/>
        <v>-1</v>
      </c>
      <c r="AC81" s="43" t="e">
        <f t="shared" si="43"/>
        <v>#N/A</v>
      </c>
      <c r="AD81" s="42" t="e">
        <f t="shared" si="44"/>
        <v>#N/A</v>
      </c>
      <c r="AE81" s="22" t="e">
        <f t="shared" si="45"/>
        <v>#N/A</v>
      </c>
      <c r="AF81" s="42" t="e">
        <f t="shared" si="46"/>
        <v>#N/A</v>
      </c>
      <c r="AG81" s="22" t="e">
        <f t="shared" si="47"/>
        <v>#N/A</v>
      </c>
      <c r="AH81" s="23" t="s">
        <v>2815</v>
      </c>
      <c r="AI81" s="33" t="s">
        <v>4382</v>
      </c>
      <c r="AJ81" s="264" t="str">
        <f>VLOOKUP(AI81,'Mums of Loyd Edit&amp;Partner Edit'!$B$4:$C$66,2,FALSE)</f>
        <v>Rebecca Olivia LEWIS (b.13 Aug 1860, d. 18 Mar 1927)</v>
      </c>
      <c r="AK81" s="33">
        <f t="shared" si="55"/>
        <v>7</v>
      </c>
      <c r="AL81" s="33">
        <f t="shared" si="56"/>
        <v>12</v>
      </c>
      <c r="AM81" s="144">
        <f t="shared" si="57"/>
        <v>9</v>
      </c>
      <c r="AN81" s="144">
        <f t="shared" si="58"/>
        <v>28</v>
      </c>
      <c r="AO81">
        <f t="shared" si="48"/>
        <v>23</v>
      </c>
      <c r="AP81" s="103">
        <f t="shared" si="49"/>
        <v>127</v>
      </c>
      <c r="AQ81" s="33">
        <f t="shared" si="34"/>
        <v>79</v>
      </c>
    </row>
    <row r="82" spans="1:43" ht="36" thickBot="1">
      <c r="A82" s="33">
        <f t="shared" si="35"/>
        <v>80</v>
      </c>
      <c r="B82">
        <f t="shared" si="59"/>
        <v>4</v>
      </c>
      <c r="C82" s="183">
        <v>80</v>
      </c>
      <c r="D82" s="2" t="s">
        <v>782</v>
      </c>
      <c r="E82" t="s">
        <v>810</v>
      </c>
      <c r="F82" t="s">
        <v>830</v>
      </c>
      <c r="I82" t="str">
        <f t="shared" si="50"/>
        <v>1894</v>
      </c>
      <c r="J82">
        <f t="shared" si="29"/>
        <v>1963</v>
      </c>
      <c r="K82" s="9" t="str">
        <f t="shared" si="60"/>
        <v>Eric (80): 1894</v>
      </c>
      <c r="L82" s="8" t="s">
        <v>831</v>
      </c>
      <c r="M82" s="8" t="s">
        <v>831</v>
      </c>
      <c r="N82" s="3">
        <v>11471</v>
      </c>
      <c r="O82" s="10" t="s">
        <v>3212</v>
      </c>
      <c r="P82" s="13">
        <f t="shared" si="36"/>
        <v>80</v>
      </c>
      <c r="Q82" s="19" t="str">
        <f t="shared" si="37"/>
        <v>Eric (80): 1894–1963</v>
      </c>
      <c r="R82" s="120">
        <v>29</v>
      </c>
      <c r="S82" s="15" t="str">
        <f t="shared" si="61"/>
        <v>Arthur (29): 1845–1930</v>
      </c>
      <c r="T82" s="38">
        <f t="shared" si="51"/>
        <v>14</v>
      </c>
      <c r="U82" s="37" t="str">
        <f t="shared" si="52"/>
        <v>Thomas (14): 1812–1857</v>
      </c>
      <c r="V82" s="27">
        <f t="shared" si="53"/>
        <v>4</v>
      </c>
      <c r="W82" s="28" t="str">
        <f t="shared" si="54"/>
        <v>William (4): 1770–1828</v>
      </c>
      <c r="X82" s="39">
        <f t="shared" si="38"/>
        <v>1</v>
      </c>
      <c r="Y82" s="40" t="str">
        <f t="shared" si="39"/>
        <v>William (1): 1729–1800</v>
      </c>
      <c r="Z82" s="29">
        <f t="shared" si="40"/>
        <v>0</v>
      </c>
      <c r="AA82" s="41" t="str">
        <f t="shared" si="41"/>
        <v>Lewis (0): 1690–1758</v>
      </c>
      <c r="AB82" s="30">
        <f t="shared" si="42"/>
        <v>-1</v>
      </c>
      <c r="AC82" s="43" t="e">
        <f t="shared" si="43"/>
        <v>#N/A</v>
      </c>
      <c r="AD82" s="42" t="e">
        <f t="shared" si="44"/>
        <v>#N/A</v>
      </c>
      <c r="AE82" s="22" t="e">
        <f t="shared" si="45"/>
        <v>#N/A</v>
      </c>
      <c r="AF82" s="42" t="e">
        <f t="shared" si="46"/>
        <v>#N/A</v>
      </c>
      <c r="AG82" s="22" t="e">
        <f t="shared" si="47"/>
        <v>#N/A</v>
      </c>
      <c r="AH82" s="23" t="s">
        <v>2815</v>
      </c>
      <c r="AI82" s="33" t="s">
        <v>4384</v>
      </c>
      <c r="AJ82" s="264" t="str">
        <f>VLOOKUP(AI82,'Mums of Loyd Edit&amp;Partner Edit'!$B$4:$C$66,2,FALSE)</f>
        <v>Mary Douglas Reid (Minnie) AULD (b. 3 Aug 1850, d. May 1938)</v>
      </c>
      <c r="AK82" s="33">
        <f t="shared" si="55"/>
        <v>9</v>
      </c>
      <c r="AL82" s="33">
        <f t="shared" si="56"/>
        <v>28</v>
      </c>
      <c r="AM82" s="144">
        <f t="shared" si="57"/>
        <v>4</v>
      </c>
      <c r="AN82" s="144">
        <f t="shared" si="58"/>
        <v>19</v>
      </c>
      <c r="AO82">
        <f t="shared" si="48"/>
        <v>68</v>
      </c>
      <c r="AP82" s="103">
        <f t="shared" si="49"/>
        <v>127</v>
      </c>
      <c r="AQ82" s="33">
        <f t="shared" si="34"/>
        <v>80</v>
      </c>
    </row>
    <row r="83" spans="1:43" ht="36" thickBot="1">
      <c r="A83" s="33">
        <f t="shared" si="35"/>
        <v>81</v>
      </c>
      <c r="B83">
        <f t="shared" si="59"/>
        <v>4</v>
      </c>
      <c r="C83" s="183">
        <v>81</v>
      </c>
      <c r="D83" s="2" t="s">
        <v>782</v>
      </c>
      <c r="E83" t="s">
        <v>832</v>
      </c>
      <c r="F83" t="s">
        <v>833</v>
      </c>
      <c r="I83" t="str">
        <f t="shared" si="50"/>
        <v>1885</v>
      </c>
      <c r="J83">
        <f t="shared" si="29"/>
        <v>1917</v>
      </c>
      <c r="K83" s="9" t="str">
        <f t="shared" si="60"/>
        <v>Reginald (81): 1885</v>
      </c>
      <c r="L83" s="8" t="str">
        <f>TEXT(M83,"dd/mm/yyyy")</f>
        <v>20/06/1885</v>
      </c>
      <c r="M83" s="8" t="s">
        <v>1136</v>
      </c>
      <c r="N83" t="s">
        <v>3792</v>
      </c>
      <c r="O83" s="10" t="s">
        <v>3207</v>
      </c>
      <c r="P83" s="13">
        <f t="shared" si="36"/>
        <v>81</v>
      </c>
      <c r="Q83" s="19" t="str">
        <f t="shared" si="37"/>
        <v>Reginald (81): 1885–1917</v>
      </c>
      <c r="R83" s="120">
        <v>44</v>
      </c>
      <c r="S83" s="15" t="str">
        <f t="shared" si="61"/>
        <v>Harry (44): 1861–1938</v>
      </c>
      <c r="T83" s="38">
        <f t="shared" si="51"/>
        <v>23</v>
      </c>
      <c r="U83" s="37" t="str">
        <f t="shared" si="52"/>
        <v>William (23): 1821–1885</v>
      </c>
      <c r="V83" s="27">
        <f t="shared" si="53"/>
        <v>8</v>
      </c>
      <c r="W83" s="28" t="str">
        <f t="shared" si="54"/>
        <v>Edward (8): 1780–1863</v>
      </c>
      <c r="X83" s="39">
        <f t="shared" si="38"/>
        <v>1</v>
      </c>
      <c r="Y83" s="40" t="str">
        <f t="shared" si="39"/>
        <v>William (1): 1729–1800</v>
      </c>
      <c r="Z83" s="29">
        <f t="shared" si="40"/>
        <v>0</v>
      </c>
      <c r="AA83" s="41" t="str">
        <f t="shared" si="41"/>
        <v>Lewis (0): 1690–1758</v>
      </c>
      <c r="AB83" s="30">
        <f t="shared" si="42"/>
        <v>-1</v>
      </c>
      <c r="AC83" s="43" t="e">
        <f t="shared" si="43"/>
        <v>#N/A</v>
      </c>
      <c r="AD83" s="42" t="e">
        <f t="shared" si="44"/>
        <v>#N/A</v>
      </c>
      <c r="AE83" s="22" t="e">
        <f t="shared" si="45"/>
        <v>#N/A</v>
      </c>
      <c r="AF83" s="42" t="e">
        <f t="shared" si="46"/>
        <v>#N/A</v>
      </c>
      <c r="AG83" s="22" t="e">
        <f t="shared" si="47"/>
        <v>#N/A</v>
      </c>
      <c r="AH83" s="23" t="s">
        <v>2815</v>
      </c>
      <c r="AI83" s="33" t="s">
        <v>4381</v>
      </c>
      <c r="AJ83" s="264" t="str">
        <f>VLOOKUP(AI83,'Mums of Loyd Edit&amp;Partner Edit'!$B$4:$C$66,2,FALSE)</f>
        <v>The Hon Clementina Georgina BROWNLOW (b. 13 Jan 1868, d. 1 Sep 1929)</v>
      </c>
      <c r="AK83" s="33">
        <f t="shared" si="55"/>
        <v>6</v>
      </c>
      <c r="AL83" s="33">
        <f t="shared" si="56"/>
        <v>20</v>
      </c>
      <c r="AM83" s="144">
        <f t="shared" si="57"/>
        <v>12</v>
      </c>
      <c r="AN83" s="144">
        <f t="shared" si="58"/>
        <v>1</v>
      </c>
      <c r="AO83">
        <f t="shared" si="48"/>
        <v>32</v>
      </c>
      <c r="AP83" s="103">
        <f t="shared" si="49"/>
        <v>137</v>
      </c>
      <c r="AQ83" s="33">
        <f t="shared" si="34"/>
        <v>81</v>
      </c>
    </row>
    <row r="84" spans="1:43" ht="36" thickBot="1">
      <c r="A84" s="33">
        <f t="shared" si="35"/>
        <v>82</v>
      </c>
      <c r="B84">
        <f t="shared" si="59"/>
        <v>4</v>
      </c>
      <c r="C84" s="183">
        <v>82</v>
      </c>
      <c r="D84" s="2" t="s">
        <v>782</v>
      </c>
      <c r="E84" t="s">
        <v>834</v>
      </c>
      <c r="F84" t="s">
        <v>835</v>
      </c>
      <c r="I84" t="str">
        <f t="shared" si="50"/>
        <v>1896</v>
      </c>
      <c r="J84">
        <f t="shared" si="29"/>
        <v>1955</v>
      </c>
      <c r="K84" s="9" t="str">
        <f t="shared" si="60"/>
        <v>Wilfred (82): 1896</v>
      </c>
      <c r="L84" s="8" t="s">
        <v>836</v>
      </c>
      <c r="M84" s="8" t="s">
        <v>836</v>
      </c>
      <c r="N84" t="s">
        <v>3792</v>
      </c>
      <c r="O84" s="10" t="s">
        <v>3213</v>
      </c>
      <c r="P84" s="13">
        <f t="shared" si="36"/>
        <v>82</v>
      </c>
      <c r="Q84" s="19" t="str">
        <f t="shared" si="37"/>
        <v>Wilfred (82): 1896–1955</v>
      </c>
      <c r="R84" s="120">
        <v>46</v>
      </c>
      <c r="S84" s="15" t="str">
        <f t="shared" si="61"/>
        <v>William (46): 1863–1923</v>
      </c>
      <c r="T84" s="38">
        <f t="shared" si="51"/>
        <v>23</v>
      </c>
      <c r="U84" s="37" t="str">
        <f t="shared" si="52"/>
        <v>William (23): 1821–1885</v>
      </c>
      <c r="V84" s="27">
        <f t="shared" si="53"/>
        <v>8</v>
      </c>
      <c r="W84" s="28" t="str">
        <f t="shared" si="54"/>
        <v>Edward (8): 1780–1863</v>
      </c>
      <c r="X84" s="39">
        <f t="shared" si="38"/>
        <v>1</v>
      </c>
      <c r="Y84" s="40" t="str">
        <f t="shared" si="39"/>
        <v>William (1): 1729–1800</v>
      </c>
      <c r="Z84" s="29">
        <f t="shared" si="40"/>
        <v>0</v>
      </c>
      <c r="AA84" s="41" t="str">
        <f t="shared" si="41"/>
        <v>Lewis (0): 1690–1758</v>
      </c>
      <c r="AB84" s="30">
        <f t="shared" si="42"/>
        <v>-1</v>
      </c>
      <c r="AC84" s="43" t="e">
        <f t="shared" si="43"/>
        <v>#N/A</v>
      </c>
      <c r="AD84" s="42" t="e">
        <f t="shared" si="44"/>
        <v>#N/A</v>
      </c>
      <c r="AE84" s="22" t="e">
        <f t="shared" si="45"/>
        <v>#N/A</v>
      </c>
      <c r="AF84" s="42" t="e">
        <f t="shared" si="46"/>
        <v>#N/A</v>
      </c>
      <c r="AG84" s="22" t="e">
        <f t="shared" si="47"/>
        <v>#N/A</v>
      </c>
      <c r="AH84" s="23" t="s">
        <v>2815</v>
      </c>
      <c r="AI84" s="33" t="s">
        <v>4383</v>
      </c>
      <c r="AJ84" s="264" t="str">
        <f>VLOOKUP(AI84,'Mums of Loyd Edit&amp;Partner Edit'!$B$4:$C$66,2,FALSE)</f>
        <v xml:space="preserve">Emily Diana Maria BEAUMONT (b. 25 Dec 1860, d. 4 Jul 1956) </v>
      </c>
      <c r="AK84" s="33">
        <f t="shared" si="55"/>
        <v>7</v>
      </c>
      <c r="AL84" s="33">
        <f t="shared" si="56"/>
        <v>14</v>
      </c>
      <c r="AM84" s="144">
        <f t="shared" si="57"/>
        <v>10</v>
      </c>
      <c r="AN84" s="144">
        <f t="shared" si="58"/>
        <v>11</v>
      </c>
      <c r="AO84">
        <f t="shared" si="48"/>
        <v>59</v>
      </c>
      <c r="AP84" s="103">
        <f t="shared" si="49"/>
        <v>125</v>
      </c>
      <c r="AQ84" s="33">
        <f t="shared" si="34"/>
        <v>82</v>
      </c>
    </row>
    <row r="85" spans="1:43" ht="20" thickBot="1">
      <c r="A85" s="33">
        <f t="shared" si="35"/>
        <v>83</v>
      </c>
      <c r="B85">
        <f t="shared" si="59"/>
        <v>4</v>
      </c>
      <c r="C85" s="183">
        <v>83</v>
      </c>
      <c r="D85" s="2" t="s">
        <v>782</v>
      </c>
      <c r="E85" t="s">
        <v>837</v>
      </c>
      <c r="F85" t="s">
        <v>800</v>
      </c>
      <c r="I85" t="str">
        <f t="shared" si="50"/>
        <v>1898</v>
      </c>
      <c r="J85">
        <f t="shared" si="29"/>
        <v>1977</v>
      </c>
      <c r="K85" s="9" t="str">
        <f t="shared" si="60"/>
        <v>Ruby (83): 1898</v>
      </c>
      <c r="L85" s="8" t="s">
        <v>838</v>
      </c>
      <c r="M85" s="8" t="s">
        <v>838</v>
      </c>
      <c r="N85" t="s">
        <v>3792</v>
      </c>
      <c r="O85" s="10" t="s">
        <v>3214</v>
      </c>
      <c r="P85" s="13">
        <f t="shared" si="36"/>
        <v>83</v>
      </c>
      <c r="Q85" s="19" t="str">
        <f t="shared" si="37"/>
        <v>Ruby (83): 1898–1977</v>
      </c>
      <c r="R85" s="120">
        <v>45</v>
      </c>
      <c r="S85" s="15" t="str">
        <f t="shared" si="61"/>
        <v>Llewellyn (45): 1861–1939</v>
      </c>
      <c r="T85" s="38">
        <f t="shared" si="51"/>
        <v>22</v>
      </c>
      <c r="U85" s="37" t="str">
        <f t="shared" si="52"/>
        <v>Edward (22): 1820–1890</v>
      </c>
      <c r="V85" s="27">
        <f t="shared" si="53"/>
        <v>8</v>
      </c>
      <c r="W85" s="28" t="str">
        <f t="shared" si="54"/>
        <v>Edward (8): 1780–1863</v>
      </c>
      <c r="X85" s="39">
        <f t="shared" si="38"/>
        <v>1</v>
      </c>
      <c r="Y85" s="40" t="str">
        <f t="shared" si="39"/>
        <v>William (1): 1729–1800</v>
      </c>
      <c r="Z85" s="29">
        <f t="shared" si="40"/>
        <v>0</v>
      </c>
      <c r="AA85" s="41" t="str">
        <f t="shared" si="41"/>
        <v>Lewis (0): 1690–1758</v>
      </c>
      <c r="AB85" s="30">
        <f t="shared" si="42"/>
        <v>-1</v>
      </c>
      <c r="AC85" s="43" t="e">
        <f t="shared" si="43"/>
        <v>#N/A</v>
      </c>
      <c r="AD85" s="42" t="e">
        <f t="shared" si="44"/>
        <v>#N/A</v>
      </c>
      <c r="AE85" s="22" t="e">
        <f t="shared" si="45"/>
        <v>#N/A</v>
      </c>
      <c r="AF85" s="42" t="e">
        <f t="shared" si="46"/>
        <v>#N/A</v>
      </c>
      <c r="AG85" s="22" t="e">
        <f t="shared" si="47"/>
        <v>#N/A</v>
      </c>
      <c r="AH85" s="23" t="s">
        <v>2814</v>
      </c>
      <c r="AI85" s="33" t="s">
        <v>4382</v>
      </c>
      <c r="AJ85" s="264" t="str">
        <f>VLOOKUP(AI85,'Mums of Loyd Edit&amp;Partner Edit'!$B$4:$C$66,2,FALSE)</f>
        <v>Rebecca Olivia LEWIS (b.13 Aug 1860, d. 18 Mar 1927)</v>
      </c>
      <c r="AK85" s="33">
        <f t="shared" si="55"/>
        <v>5</v>
      </c>
      <c r="AL85" s="33">
        <f t="shared" si="56"/>
        <v>11</v>
      </c>
      <c r="AM85" s="144">
        <f t="shared" si="57"/>
        <v>6</v>
      </c>
      <c r="AN85" s="144">
        <f t="shared" si="58"/>
        <v>4</v>
      </c>
      <c r="AO85">
        <f t="shared" si="48"/>
        <v>79</v>
      </c>
      <c r="AP85" s="103">
        <f t="shared" si="49"/>
        <v>124</v>
      </c>
      <c r="AQ85" s="33">
        <f t="shared" si="34"/>
        <v>83</v>
      </c>
    </row>
    <row r="86" spans="1:43" ht="36" thickBot="1">
      <c r="A86" s="33">
        <f t="shared" si="35"/>
        <v>84</v>
      </c>
      <c r="B86">
        <f t="shared" si="59"/>
        <v>4</v>
      </c>
      <c r="C86" s="183">
        <v>84</v>
      </c>
      <c r="D86" s="2" t="s">
        <v>782</v>
      </c>
      <c r="E86" t="s">
        <v>811</v>
      </c>
      <c r="F86" t="s">
        <v>2949</v>
      </c>
      <c r="H86" t="s">
        <v>1404</v>
      </c>
      <c r="I86" s="31">
        <f>YEAR(L86)</f>
        <v>1902</v>
      </c>
      <c r="J86">
        <f t="shared" si="29"/>
        <v>1942</v>
      </c>
      <c r="K86" s="9" t="str">
        <f t="shared" si="60"/>
        <v>Eddie (84): 1902</v>
      </c>
      <c r="L86" s="8" t="str">
        <f>TEXT(M86,"dd/mm/yyyy")</f>
        <v>22/05/1902</v>
      </c>
      <c r="M86" s="8">
        <v>873</v>
      </c>
      <c r="N86" t="s">
        <v>3792</v>
      </c>
      <c r="O86" s="10" t="s">
        <v>3159</v>
      </c>
      <c r="P86" s="13">
        <f t="shared" si="36"/>
        <v>84</v>
      </c>
      <c r="Q86" s="19" t="str">
        <f t="shared" si="37"/>
        <v>Eddie (84): 1902–1942</v>
      </c>
      <c r="R86" s="120">
        <v>46</v>
      </c>
      <c r="S86" s="15" t="str">
        <f t="shared" si="61"/>
        <v>William (46): 1863–1923</v>
      </c>
      <c r="T86" s="38">
        <f t="shared" si="51"/>
        <v>23</v>
      </c>
      <c r="U86" s="37" t="str">
        <f t="shared" si="52"/>
        <v>William (23): 1821–1885</v>
      </c>
      <c r="V86" s="27">
        <f t="shared" si="53"/>
        <v>8</v>
      </c>
      <c r="W86" s="28" t="str">
        <f t="shared" si="54"/>
        <v>Edward (8): 1780–1863</v>
      </c>
      <c r="X86" s="39">
        <f t="shared" si="38"/>
        <v>1</v>
      </c>
      <c r="Y86" s="40" t="str">
        <f t="shared" si="39"/>
        <v>William (1): 1729–1800</v>
      </c>
      <c r="Z86" s="29">
        <f t="shared" si="40"/>
        <v>0</v>
      </c>
      <c r="AA86" s="41" t="str">
        <f t="shared" si="41"/>
        <v>Lewis (0): 1690–1758</v>
      </c>
      <c r="AB86" s="30">
        <f t="shared" si="42"/>
        <v>-1</v>
      </c>
      <c r="AC86" s="43" t="e">
        <f t="shared" si="43"/>
        <v>#N/A</v>
      </c>
      <c r="AD86" s="42" t="e">
        <f t="shared" si="44"/>
        <v>#N/A</v>
      </c>
      <c r="AE86" s="22" t="e">
        <f t="shared" si="45"/>
        <v>#N/A</v>
      </c>
      <c r="AF86" s="42" t="e">
        <f t="shared" si="46"/>
        <v>#N/A</v>
      </c>
      <c r="AG86" s="22" t="e">
        <f t="shared" si="47"/>
        <v>#N/A</v>
      </c>
      <c r="AH86" s="23" t="s">
        <v>2815</v>
      </c>
      <c r="AI86" s="33" t="s">
        <v>4383</v>
      </c>
      <c r="AJ86" s="264" t="str">
        <f>VLOOKUP(AI86,'Mums of Loyd Edit&amp;Partner Edit'!$B$4:$C$66,2,FALSE)</f>
        <v xml:space="preserve">Emily Diana Maria BEAUMONT (b. 25 Dec 1860, d. 4 Jul 1956) </v>
      </c>
      <c r="AK86" s="33">
        <f t="shared" si="55"/>
        <v>5</v>
      </c>
      <c r="AL86" s="33">
        <f t="shared" si="56"/>
        <v>22</v>
      </c>
      <c r="AM86" s="144">
        <f t="shared" si="57"/>
        <v>12</v>
      </c>
      <c r="AN86" s="144">
        <f t="shared" si="58"/>
        <v>12</v>
      </c>
      <c r="AO86">
        <f t="shared" si="48"/>
        <v>40</v>
      </c>
      <c r="AP86" s="103">
        <f t="shared" si="49"/>
        <v>120</v>
      </c>
      <c r="AQ86" s="33">
        <f t="shared" si="34"/>
        <v>84</v>
      </c>
    </row>
    <row r="87" spans="1:43" ht="20" thickBot="1">
      <c r="A87" s="33">
        <f t="shared" si="35"/>
        <v>85</v>
      </c>
      <c r="B87">
        <f t="shared" si="59"/>
        <v>5</v>
      </c>
      <c r="C87" s="183">
        <v>85</v>
      </c>
      <c r="D87" s="2" t="s">
        <v>782</v>
      </c>
      <c r="E87" t="s">
        <v>839</v>
      </c>
      <c r="I87" s="31">
        <f t="shared" ref="I87:I150" si="62">YEAR(L87)</f>
        <v>1912</v>
      </c>
      <c r="J87" s="99">
        <f>IF(O87="","",YEAR(O87))</f>
        <v>2004</v>
      </c>
      <c r="K87" s="9" t="str">
        <f t="shared" si="60"/>
        <v>Anne (85): 1912</v>
      </c>
      <c r="L87" s="8">
        <v>4671</v>
      </c>
      <c r="M87" s="8">
        <v>4671</v>
      </c>
      <c r="N87" s="3">
        <v>13527</v>
      </c>
      <c r="O87" s="10" t="s">
        <v>3215</v>
      </c>
      <c r="P87" s="13">
        <f t="shared" si="36"/>
        <v>85</v>
      </c>
      <c r="Q87" s="19" t="str">
        <f t="shared" si="37"/>
        <v>Anne (85): 1912–2004</v>
      </c>
      <c r="R87" s="120">
        <v>56</v>
      </c>
      <c r="S87" s="15" t="str">
        <f t="shared" si="61"/>
        <v>Tommy (56): 1882–1944</v>
      </c>
      <c r="T87" s="38">
        <f t="shared" si="51"/>
        <v>28</v>
      </c>
      <c r="U87" s="37" t="str">
        <f t="shared" si="52"/>
        <v>The Rev Lewis (28): 1844–1905</v>
      </c>
      <c r="V87" s="27">
        <f t="shared" si="53"/>
        <v>14</v>
      </c>
      <c r="W87" s="28" t="str">
        <f t="shared" si="54"/>
        <v>Thomas (14): 1812–1857</v>
      </c>
      <c r="X87" s="39">
        <f t="shared" si="38"/>
        <v>4</v>
      </c>
      <c r="Y87" s="40" t="str">
        <f t="shared" si="39"/>
        <v>William (4): 1770–1828</v>
      </c>
      <c r="Z87" s="29">
        <f t="shared" si="40"/>
        <v>1</v>
      </c>
      <c r="AA87" s="41" t="str">
        <f t="shared" si="41"/>
        <v>William (1): 1729–1800</v>
      </c>
      <c r="AB87" s="30">
        <f t="shared" si="42"/>
        <v>0</v>
      </c>
      <c r="AC87" s="43" t="str">
        <f t="shared" si="43"/>
        <v>Lewis (0): 1690–1758</v>
      </c>
      <c r="AD87" s="42">
        <f t="shared" si="44"/>
        <v>-1</v>
      </c>
      <c r="AE87" s="22" t="e">
        <f t="shared" si="45"/>
        <v>#N/A</v>
      </c>
      <c r="AF87" s="42" t="e">
        <f t="shared" si="46"/>
        <v>#N/A</v>
      </c>
      <c r="AG87" s="22" t="e">
        <f t="shared" si="47"/>
        <v>#N/A</v>
      </c>
      <c r="AH87" s="23" t="s">
        <v>2814</v>
      </c>
      <c r="AI87" s="33" t="s">
        <v>4385</v>
      </c>
      <c r="AJ87" s="264" t="str">
        <f>VLOOKUP(AI87,'Mums of Loyd Edit&amp;Partner Edit'!$B$4:$C$66,2,FALSE)</f>
        <v>Dorothy WILLERT (b. 19 Jan 1886, d. 15 Jan 1966)</v>
      </c>
      <c r="AK87" s="33">
        <f t="shared" si="55"/>
        <v>1</v>
      </c>
      <c r="AL87" s="33">
        <f t="shared" si="56"/>
        <v>46</v>
      </c>
      <c r="AM87" s="144">
        <f t="shared" si="57"/>
        <v>9</v>
      </c>
      <c r="AN87" s="144">
        <f t="shared" si="58"/>
        <v>2</v>
      </c>
      <c r="AO87">
        <f t="shared" si="48"/>
        <v>92</v>
      </c>
      <c r="AP87" s="103">
        <f t="shared" si="49"/>
        <v>110</v>
      </c>
      <c r="AQ87" s="33">
        <f t="shared" si="34"/>
        <v>85</v>
      </c>
    </row>
    <row r="88" spans="1:43" ht="20" thickBot="1">
      <c r="A88" s="33">
        <f t="shared" si="35"/>
        <v>86</v>
      </c>
      <c r="B88">
        <f t="shared" si="59"/>
        <v>5</v>
      </c>
      <c r="C88" s="183">
        <v>86</v>
      </c>
      <c r="D88" s="2" t="s">
        <v>782</v>
      </c>
      <c r="E88" t="s">
        <v>841</v>
      </c>
      <c r="F88" t="s">
        <v>805</v>
      </c>
      <c r="H88" t="s">
        <v>865</v>
      </c>
      <c r="I88" s="31">
        <f t="shared" si="62"/>
        <v>1913</v>
      </c>
      <c r="J88" s="99">
        <f t="shared" ref="J88:J151" si="63">IF(O88="","",YEAR(O88))</f>
        <v>2008</v>
      </c>
      <c r="K88" s="9" t="str">
        <f t="shared" si="60"/>
        <v>Peter (86): 1913</v>
      </c>
      <c r="L88" s="8">
        <v>4973</v>
      </c>
      <c r="M88" s="8">
        <v>4973</v>
      </c>
      <c r="N88" s="3">
        <v>18368</v>
      </c>
      <c r="O88" s="10" t="s">
        <v>3216</v>
      </c>
      <c r="P88" s="13">
        <f t="shared" si="36"/>
        <v>86</v>
      </c>
      <c r="Q88" s="19" t="str">
        <f t="shared" si="37"/>
        <v>Peter (86): 1913–2008</v>
      </c>
      <c r="R88" s="120">
        <v>71</v>
      </c>
      <c r="S88" s="15" t="str">
        <f t="shared" si="61"/>
        <v>Arthur (71): 1890–1974</v>
      </c>
      <c r="T88" s="38">
        <f t="shared" si="51"/>
        <v>34</v>
      </c>
      <c r="U88" s="37" t="str">
        <f t="shared" si="52"/>
        <v>Ted (34): 1851–1922</v>
      </c>
      <c r="V88" s="27">
        <f t="shared" si="53"/>
        <v>14</v>
      </c>
      <c r="W88" s="28" t="str">
        <f t="shared" si="54"/>
        <v>Thomas (14): 1812–1857</v>
      </c>
      <c r="X88" s="39">
        <f t="shared" si="38"/>
        <v>4</v>
      </c>
      <c r="Y88" s="40" t="str">
        <f t="shared" si="39"/>
        <v>William (4): 1770–1828</v>
      </c>
      <c r="Z88" s="29">
        <f t="shared" si="40"/>
        <v>1</v>
      </c>
      <c r="AA88" s="41" t="str">
        <f t="shared" si="41"/>
        <v>William (1): 1729–1800</v>
      </c>
      <c r="AB88" s="30">
        <f t="shared" si="42"/>
        <v>0</v>
      </c>
      <c r="AC88" s="43" t="str">
        <f t="shared" si="43"/>
        <v>Lewis (0): 1690–1758</v>
      </c>
      <c r="AD88" s="42">
        <f t="shared" si="44"/>
        <v>-1</v>
      </c>
      <c r="AE88" s="22" t="e">
        <f t="shared" si="45"/>
        <v>#N/A</v>
      </c>
      <c r="AF88" s="42" t="e">
        <f t="shared" si="46"/>
        <v>#N/A</v>
      </c>
      <c r="AG88" s="22" t="e">
        <f t="shared" si="47"/>
        <v>#N/A</v>
      </c>
      <c r="AH88" s="23" t="s">
        <v>2815</v>
      </c>
      <c r="AI88" s="33" t="s">
        <v>4386</v>
      </c>
      <c r="AJ88" s="264" t="str">
        <f>VLOOKUP(AI88,'Mums of Loyd Edit&amp;Partner Edit'!$B$4:$C$66,2,FALSE)</f>
        <v>Ivy Nina TWINING (b. 2 Aug 1884, d. 12 Jul 1950)</v>
      </c>
      <c r="AK88" s="33">
        <f t="shared" si="55"/>
        <v>3</v>
      </c>
      <c r="AL88" s="33">
        <f t="shared" si="56"/>
        <v>49</v>
      </c>
      <c r="AM88" s="144">
        <f t="shared" si="57"/>
        <v>7</v>
      </c>
      <c r="AN88" s="144">
        <f t="shared" si="58"/>
        <v>2</v>
      </c>
      <c r="AO88">
        <f t="shared" si="48"/>
        <v>95</v>
      </c>
      <c r="AP88" s="103">
        <f t="shared" si="49"/>
        <v>109</v>
      </c>
      <c r="AQ88" s="33">
        <f t="shared" si="34"/>
        <v>86</v>
      </c>
    </row>
    <row r="89" spans="1:43" ht="20" thickBot="1">
      <c r="A89" s="33">
        <f t="shared" si="35"/>
        <v>87</v>
      </c>
      <c r="B89">
        <f t="shared" si="59"/>
        <v>5</v>
      </c>
      <c r="C89" s="183">
        <v>87</v>
      </c>
      <c r="D89" s="2" t="s">
        <v>782</v>
      </c>
      <c r="E89" t="s">
        <v>842</v>
      </c>
      <c r="F89" t="s">
        <v>843</v>
      </c>
      <c r="I89" s="31">
        <f t="shared" si="62"/>
        <v>1913</v>
      </c>
      <c r="J89" s="99">
        <f t="shared" si="63"/>
        <v>1943</v>
      </c>
      <c r="K89" s="9" t="str">
        <f t="shared" si="60"/>
        <v>John (87): 1913</v>
      </c>
      <c r="L89" s="8">
        <v>5039</v>
      </c>
      <c r="M89" s="8">
        <v>5039</v>
      </c>
      <c r="N89" t="s">
        <v>3792</v>
      </c>
      <c r="O89" s="10" t="s">
        <v>3819</v>
      </c>
      <c r="P89" s="13">
        <f t="shared" si="36"/>
        <v>87</v>
      </c>
      <c r="Q89" s="19" t="str">
        <f t="shared" si="37"/>
        <v>John (87): 1913–1943</v>
      </c>
      <c r="R89" s="120">
        <v>56</v>
      </c>
      <c r="S89" s="15" t="str">
        <f t="shared" si="61"/>
        <v>Tommy (56): 1882–1944</v>
      </c>
      <c r="T89" s="38">
        <f t="shared" si="51"/>
        <v>28</v>
      </c>
      <c r="U89" s="37" t="str">
        <f t="shared" si="52"/>
        <v>The Rev Lewis (28): 1844–1905</v>
      </c>
      <c r="V89" s="27">
        <f t="shared" si="53"/>
        <v>14</v>
      </c>
      <c r="W89" s="28" t="str">
        <f t="shared" si="54"/>
        <v>Thomas (14): 1812–1857</v>
      </c>
      <c r="X89" s="39">
        <f t="shared" si="38"/>
        <v>4</v>
      </c>
      <c r="Y89" s="40" t="str">
        <f t="shared" si="39"/>
        <v>William (4): 1770–1828</v>
      </c>
      <c r="Z89" s="29">
        <f t="shared" si="40"/>
        <v>1</v>
      </c>
      <c r="AA89" s="41" t="str">
        <f t="shared" si="41"/>
        <v>William (1): 1729–1800</v>
      </c>
      <c r="AB89" s="30">
        <f t="shared" si="42"/>
        <v>0</v>
      </c>
      <c r="AC89" s="43" t="str">
        <f t="shared" si="43"/>
        <v>Lewis (0): 1690–1758</v>
      </c>
      <c r="AD89" s="42">
        <f t="shared" si="44"/>
        <v>-1</v>
      </c>
      <c r="AE89" s="22" t="e">
        <f t="shared" si="45"/>
        <v>#N/A</v>
      </c>
      <c r="AF89" s="42" t="e">
        <f t="shared" si="46"/>
        <v>#N/A</v>
      </c>
      <c r="AG89" s="22" t="e">
        <f t="shared" si="47"/>
        <v>#N/A</v>
      </c>
      <c r="AH89" s="23" t="s">
        <v>2815</v>
      </c>
      <c r="AI89" s="33" t="s">
        <v>4385</v>
      </c>
      <c r="AJ89" s="264" t="str">
        <f>VLOOKUP(AI89,'Mums of Loyd Edit&amp;Partner Edit'!$B$4:$C$66,2,FALSE)</f>
        <v>Dorothy WILLERT (b. 19 Jan 1886, d. 15 Jan 1966)</v>
      </c>
      <c r="AK89" s="33">
        <f t="shared" si="55"/>
        <v>9</v>
      </c>
      <c r="AL89" s="33">
        <f t="shared" si="56"/>
        <v>50</v>
      </c>
      <c r="AM89" s="144">
        <f t="shared" si="57"/>
        <v>10</v>
      </c>
      <c r="AN89" s="144">
        <f t="shared" si="58"/>
        <v>3</v>
      </c>
      <c r="AO89">
        <f t="shared" si="48"/>
        <v>30</v>
      </c>
      <c r="AP89" s="103">
        <f t="shared" si="49"/>
        <v>108</v>
      </c>
      <c r="AQ89" s="33">
        <f t="shared" si="34"/>
        <v>87</v>
      </c>
    </row>
    <row r="90" spans="1:43" ht="36" thickBot="1">
      <c r="A90" s="33">
        <f t="shared" si="35"/>
        <v>88</v>
      </c>
      <c r="B90">
        <f t="shared" si="59"/>
        <v>5</v>
      </c>
      <c r="C90" s="183">
        <v>88</v>
      </c>
      <c r="D90" s="2" t="s">
        <v>782</v>
      </c>
      <c r="E90" t="s">
        <v>844</v>
      </c>
      <c r="F90" t="s">
        <v>845</v>
      </c>
      <c r="G90" t="s">
        <v>846</v>
      </c>
      <c r="I90" s="31">
        <f t="shared" si="62"/>
        <v>1915</v>
      </c>
      <c r="J90" s="99">
        <f t="shared" si="63"/>
        <v>2007</v>
      </c>
      <c r="K90" s="9" t="str">
        <f t="shared" si="60"/>
        <v>Delia (88): 1915</v>
      </c>
      <c r="L90" s="8">
        <v>5734</v>
      </c>
      <c r="M90" s="8">
        <v>5734</v>
      </c>
      <c r="N90" s="3">
        <v>12848</v>
      </c>
      <c r="O90" s="10" t="s">
        <v>3218</v>
      </c>
      <c r="P90" s="13">
        <f t="shared" si="36"/>
        <v>88</v>
      </c>
      <c r="Q90" s="19" t="str">
        <f t="shared" si="37"/>
        <v>Delia (88): 1915–2007</v>
      </c>
      <c r="R90" s="120">
        <v>66</v>
      </c>
      <c r="S90" s="15" t="str">
        <f t="shared" si="61"/>
        <v>William (66): 1889–1947</v>
      </c>
      <c r="T90" s="38">
        <f t="shared" si="51"/>
        <v>44</v>
      </c>
      <c r="U90" s="37" t="str">
        <f t="shared" si="52"/>
        <v>Harry (44): 1861–1938</v>
      </c>
      <c r="V90" s="27">
        <f t="shared" si="53"/>
        <v>23</v>
      </c>
      <c r="W90" s="28" t="str">
        <f t="shared" si="54"/>
        <v>William (23): 1821–1885</v>
      </c>
      <c r="X90" s="39">
        <f t="shared" si="38"/>
        <v>8</v>
      </c>
      <c r="Y90" s="40" t="str">
        <f t="shared" si="39"/>
        <v>Edward (8): 1780–1863</v>
      </c>
      <c r="Z90" s="29">
        <f t="shared" si="40"/>
        <v>1</v>
      </c>
      <c r="AA90" s="41" t="str">
        <f t="shared" si="41"/>
        <v>William (1): 1729–1800</v>
      </c>
      <c r="AB90" s="30">
        <f t="shared" si="42"/>
        <v>0</v>
      </c>
      <c r="AC90" s="43" t="str">
        <f t="shared" si="43"/>
        <v>Lewis (0): 1690–1758</v>
      </c>
      <c r="AD90" s="42">
        <f t="shared" si="44"/>
        <v>-1</v>
      </c>
      <c r="AE90" s="22" t="e">
        <f t="shared" si="45"/>
        <v>#N/A</v>
      </c>
      <c r="AF90" s="42" t="e">
        <f t="shared" si="46"/>
        <v>#N/A</v>
      </c>
      <c r="AG90" s="22" t="e">
        <f t="shared" si="47"/>
        <v>#N/A</v>
      </c>
      <c r="AH90" s="23" t="s">
        <v>2814</v>
      </c>
      <c r="AI90" s="33" t="s">
        <v>4387</v>
      </c>
      <c r="AJ90" s="264" t="str">
        <f>VLOOKUP(AI90,'Mums of Loyd Edit&amp;Partner Edit'!$B$4:$C$66,2,FALSE)</f>
        <v>The Hon Bettine Henrietta KNATCHBULL-HUGESSEN (b. 15 Sep 1888, d. 9 Aug 1967)</v>
      </c>
      <c r="AK90" s="33">
        <f t="shared" si="55"/>
        <v>4</v>
      </c>
      <c r="AL90" s="33">
        <f t="shared" si="56"/>
        <v>57</v>
      </c>
      <c r="AM90" s="144">
        <f t="shared" si="57"/>
        <v>1</v>
      </c>
      <c r="AN90" s="144">
        <f t="shared" si="58"/>
        <v>10</v>
      </c>
      <c r="AO90">
        <f t="shared" si="48"/>
        <v>91</v>
      </c>
      <c r="AP90" s="103">
        <f t="shared" si="49"/>
        <v>107</v>
      </c>
      <c r="AQ90" s="33">
        <f t="shared" si="34"/>
        <v>88</v>
      </c>
    </row>
    <row r="91" spans="1:43" ht="20" thickBot="1">
      <c r="A91" s="33">
        <f t="shared" si="35"/>
        <v>89</v>
      </c>
      <c r="B91">
        <f t="shared" si="59"/>
        <v>5</v>
      </c>
      <c r="C91" s="183">
        <v>89</v>
      </c>
      <c r="D91" s="2" t="s">
        <v>782</v>
      </c>
      <c r="E91" t="s">
        <v>848</v>
      </c>
      <c r="F91" t="s">
        <v>1063</v>
      </c>
      <c r="H91" t="s">
        <v>3042</v>
      </c>
      <c r="I91" s="31">
        <f t="shared" si="62"/>
        <v>1916</v>
      </c>
      <c r="J91" s="99">
        <f t="shared" si="63"/>
        <v>2006</v>
      </c>
      <c r="K91" s="9" t="str">
        <f t="shared" si="60"/>
        <v>Sir Francis/Frank (89): 1916</v>
      </c>
      <c r="L91" s="8">
        <v>6093</v>
      </c>
      <c r="M91" s="8">
        <v>6093</v>
      </c>
      <c r="N91" s="3">
        <v>16877</v>
      </c>
      <c r="O91" s="10" t="s">
        <v>3219</v>
      </c>
      <c r="P91" s="13">
        <f t="shared" si="36"/>
        <v>89</v>
      </c>
      <c r="Q91" s="19" t="str">
        <f t="shared" si="37"/>
        <v>Sir Francis/Frank (89): 1916–2006</v>
      </c>
      <c r="R91" s="120">
        <v>54</v>
      </c>
      <c r="S91" s="15" t="str">
        <f t="shared" si="61"/>
        <v>Alfred (54): 1882–1919</v>
      </c>
      <c r="T91" s="38">
        <f t="shared" si="51"/>
        <v>32</v>
      </c>
      <c r="U91" s="37" t="str">
        <f t="shared" si="52"/>
        <v>Frank (32): 1848–1934</v>
      </c>
      <c r="V91" s="27">
        <f t="shared" si="53"/>
        <v>14</v>
      </c>
      <c r="W91" s="28" t="str">
        <f t="shared" si="54"/>
        <v>Thomas (14): 1812–1857</v>
      </c>
      <c r="X91" s="39">
        <f t="shared" si="38"/>
        <v>4</v>
      </c>
      <c r="Y91" s="40" t="str">
        <f t="shared" si="39"/>
        <v>William (4): 1770–1828</v>
      </c>
      <c r="Z91" s="29">
        <f t="shared" si="40"/>
        <v>1</v>
      </c>
      <c r="AA91" s="41" t="str">
        <f t="shared" si="41"/>
        <v>William (1): 1729–1800</v>
      </c>
      <c r="AB91" s="30">
        <f t="shared" si="42"/>
        <v>0</v>
      </c>
      <c r="AC91" s="43" t="str">
        <f t="shared" si="43"/>
        <v>Lewis (0): 1690–1758</v>
      </c>
      <c r="AD91" s="42">
        <f t="shared" si="44"/>
        <v>-1</v>
      </c>
      <c r="AE91" s="22" t="e">
        <f t="shared" si="45"/>
        <v>#N/A</v>
      </c>
      <c r="AF91" s="42" t="e">
        <f t="shared" si="46"/>
        <v>#N/A</v>
      </c>
      <c r="AG91" s="22" t="e">
        <f t="shared" si="47"/>
        <v>#N/A</v>
      </c>
      <c r="AH91" s="23" t="s">
        <v>2815</v>
      </c>
      <c r="AI91" s="33" t="s">
        <v>4388</v>
      </c>
      <c r="AJ91" s="264" t="str">
        <f>VLOOKUP(AI91,'Mums of Loyd Edit&amp;Partner Edit'!$B$4:$C$66,2,FALSE)</f>
        <v>Ada Maud Keele GILES (b. 11 Apr 1884, d. 19 Jul 1955)</v>
      </c>
      <c r="AK91" s="33">
        <f t="shared" si="55"/>
        <v>3</v>
      </c>
      <c r="AL91" s="33">
        <f t="shared" si="56"/>
        <v>60</v>
      </c>
      <c r="AM91" s="144">
        <f t="shared" si="57"/>
        <v>12</v>
      </c>
      <c r="AN91" s="144">
        <f t="shared" si="58"/>
        <v>13</v>
      </c>
      <c r="AO91">
        <f t="shared" si="48"/>
        <v>90</v>
      </c>
      <c r="AP91" s="103">
        <f t="shared" si="49"/>
        <v>106</v>
      </c>
      <c r="AQ91" s="33">
        <f t="shared" si="34"/>
        <v>89</v>
      </c>
    </row>
    <row r="92" spans="1:43" ht="174" customHeight="1" thickBot="1">
      <c r="A92" s="33">
        <f t="shared" si="35"/>
        <v>90</v>
      </c>
      <c r="B92">
        <f t="shared" si="59"/>
        <v>5</v>
      </c>
      <c r="C92" s="183">
        <v>90</v>
      </c>
      <c r="D92" s="2" t="s">
        <v>782</v>
      </c>
      <c r="E92" t="s">
        <v>849</v>
      </c>
      <c r="F92" t="s">
        <v>850</v>
      </c>
      <c r="I92" s="31">
        <f t="shared" si="62"/>
        <v>1917</v>
      </c>
      <c r="J92" s="99">
        <f t="shared" si="63"/>
        <v>1993</v>
      </c>
      <c r="K92" s="9" t="str">
        <f t="shared" si="60"/>
        <v>Averil (90): 1917</v>
      </c>
      <c r="L92" s="8">
        <v>6293</v>
      </c>
      <c r="M92" s="8">
        <v>6293</v>
      </c>
      <c r="N92" s="3">
        <v>14632</v>
      </c>
      <c r="O92" s="10" t="s">
        <v>3220</v>
      </c>
      <c r="P92" s="13">
        <f t="shared" si="36"/>
        <v>90</v>
      </c>
      <c r="Q92" s="19" t="str">
        <f t="shared" si="37"/>
        <v>Averil (90): 1917–1993</v>
      </c>
      <c r="R92" s="120">
        <v>52</v>
      </c>
      <c r="S92" s="15" t="str">
        <f t="shared" si="61"/>
        <v>Lewis (52): 1880–1918</v>
      </c>
      <c r="T92" s="38">
        <f t="shared" si="51"/>
        <v>41</v>
      </c>
      <c r="U92" s="37" t="str">
        <f t="shared" si="52"/>
        <v>Frederic (41): 1856–1936</v>
      </c>
      <c r="V92" s="27">
        <f t="shared" si="53"/>
        <v>22</v>
      </c>
      <c r="W92" s="28" t="str">
        <f t="shared" si="54"/>
        <v>Edward (22): 1820–1890</v>
      </c>
      <c r="X92" s="39">
        <f t="shared" si="38"/>
        <v>8</v>
      </c>
      <c r="Y92" s="40" t="str">
        <f t="shared" si="39"/>
        <v>Edward (8): 1780–1863</v>
      </c>
      <c r="Z92" s="29">
        <f t="shared" si="40"/>
        <v>1</v>
      </c>
      <c r="AA92" s="41" t="str">
        <f t="shared" si="41"/>
        <v>William (1): 1729–1800</v>
      </c>
      <c r="AB92" s="30">
        <f t="shared" si="42"/>
        <v>0</v>
      </c>
      <c r="AC92" s="43" t="str">
        <f t="shared" si="43"/>
        <v>Lewis (0): 1690–1758</v>
      </c>
      <c r="AD92" s="42">
        <f t="shared" si="44"/>
        <v>-1</v>
      </c>
      <c r="AE92" s="22" t="e">
        <f t="shared" si="45"/>
        <v>#N/A</v>
      </c>
      <c r="AF92" s="42" t="e">
        <f t="shared" si="46"/>
        <v>#N/A</v>
      </c>
      <c r="AG92" s="22" t="e">
        <f t="shared" si="47"/>
        <v>#N/A</v>
      </c>
      <c r="AH92" s="23" t="s">
        <v>2814</v>
      </c>
      <c r="AI92" s="33" t="s">
        <v>4389</v>
      </c>
      <c r="AJ92" s="264" t="str">
        <f>VLOOKUP(AI92,'Mums of Loyd Edit&amp;Partner Edit'!$B$4:$C$66,2,FALSE)</f>
        <v>Mary Christobel CHARRINGTON (b. 18 Nov 1894, d. 9 Jan 1977)</v>
      </c>
      <c r="AK92" s="33">
        <f t="shared" si="55"/>
        <v>3</v>
      </c>
      <c r="AL92" s="33">
        <f t="shared" si="56"/>
        <v>62</v>
      </c>
      <c r="AM92" s="144">
        <f t="shared" si="57"/>
        <v>8</v>
      </c>
      <c r="AN92" s="144">
        <f t="shared" si="58"/>
        <v>21</v>
      </c>
      <c r="AO92">
        <f t="shared" si="48"/>
        <v>76</v>
      </c>
      <c r="AP92" s="103">
        <f t="shared" si="49"/>
        <v>105</v>
      </c>
      <c r="AQ92" s="33">
        <f t="shared" si="34"/>
        <v>90</v>
      </c>
    </row>
    <row r="93" spans="1:43" ht="20" thickBot="1">
      <c r="A93" s="33">
        <f t="shared" si="35"/>
        <v>91</v>
      </c>
      <c r="B93">
        <f t="shared" si="59"/>
        <v>5</v>
      </c>
      <c r="C93" s="183">
        <v>91</v>
      </c>
      <c r="D93" s="2" t="s">
        <v>782</v>
      </c>
      <c r="E93" t="s">
        <v>851</v>
      </c>
      <c r="F93" t="s">
        <v>852</v>
      </c>
      <c r="I93" s="31">
        <f t="shared" si="62"/>
        <v>1917</v>
      </c>
      <c r="J93" s="99">
        <f t="shared" si="63"/>
        <v>1926</v>
      </c>
      <c r="K93" s="9" t="str">
        <f t="shared" si="60"/>
        <v>Martin (91): 1917</v>
      </c>
      <c r="L93" s="8" t="str">
        <f>TEXT(M93,"dd/mm/yyyy")</f>
        <v>17/08/1917</v>
      </c>
      <c r="M93" s="8">
        <v>6439</v>
      </c>
      <c r="N93" t="s">
        <v>3792</v>
      </c>
      <c r="O93" s="10" t="s">
        <v>3221</v>
      </c>
      <c r="P93" s="13">
        <f t="shared" si="36"/>
        <v>91</v>
      </c>
      <c r="Q93" s="19" t="str">
        <f t="shared" si="37"/>
        <v>Martin (91): 1917–1926</v>
      </c>
      <c r="R93" s="120">
        <v>56</v>
      </c>
      <c r="S93" s="15" t="str">
        <f t="shared" si="61"/>
        <v>Tommy (56): 1882–1944</v>
      </c>
      <c r="T93" s="38">
        <f t="shared" si="51"/>
        <v>28</v>
      </c>
      <c r="U93" s="37" t="str">
        <f t="shared" si="52"/>
        <v>The Rev Lewis (28): 1844–1905</v>
      </c>
      <c r="V93" s="27">
        <f t="shared" si="53"/>
        <v>14</v>
      </c>
      <c r="W93" s="28" t="str">
        <f t="shared" si="54"/>
        <v>Thomas (14): 1812–1857</v>
      </c>
      <c r="X93" s="39">
        <f t="shared" si="38"/>
        <v>4</v>
      </c>
      <c r="Y93" s="40" t="str">
        <f t="shared" si="39"/>
        <v>William (4): 1770–1828</v>
      </c>
      <c r="Z93" s="29">
        <f t="shared" si="40"/>
        <v>1</v>
      </c>
      <c r="AA93" s="41" t="str">
        <f t="shared" si="41"/>
        <v>William (1): 1729–1800</v>
      </c>
      <c r="AB93" s="30">
        <f t="shared" si="42"/>
        <v>0</v>
      </c>
      <c r="AC93" s="43" t="str">
        <f t="shared" si="43"/>
        <v>Lewis (0): 1690–1758</v>
      </c>
      <c r="AD93" s="42">
        <f t="shared" si="44"/>
        <v>-1</v>
      </c>
      <c r="AE93" s="22" t="e">
        <f t="shared" si="45"/>
        <v>#N/A</v>
      </c>
      <c r="AF93" s="42" t="e">
        <f t="shared" si="46"/>
        <v>#N/A</v>
      </c>
      <c r="AG93" s="22" t="e">
        <f t="shared" si="47"/>
        <v>#N/A</v>
      </c>
      <c r="AH93" s="23" t="s">
        <v>2815</v>
      </c>
      <c r="AI93" s="33" t="s">
        <v>4385</v>
      </c>
      <c r="AJ93" s="264" t="str">
        <f>VLOOKUP(AI93,'Mums of Loyd Edit&amp;Partner Edit'!$B$4:$C$66,2,FALSE)</f>
        <v>Dorothy WILLERT (b. 19 Jan 1886, d. 15 Jan 1966)</v>
      </c>
      <c r="AK93" s="33">
        <f t="shared" si="55"/>
        <v>8</v>
      </c>
      <c r="AL93" s="33">
        <f t="shared" si="56"/>
        <v>17</v>
      </c>
      <c r="AM93" s="144">
        <f t="shared" si="57"/>
        <v>10</v>
      </c>
      <c r="AN93" s="144">
        <f t="shared" si="58"/>
        <v>27</v>
      </c>
      <c r="AO93">
        <f t="shared" si="48"/>
        <v>9</v>
      </c>
      <c r="AP93" s="103">
        <f t="shared" si="49"/>
        <v>104</v>
      </c>
      <c r="AQ93" s="33">
        <f t="shared" si="34"/>
        <v>91</v>
      </c>
    </row>
    <row r="94" spans="1:43" ht="20" thickBot="1">
      <c r="A94" s="33">
        <f t="shared" si="35"/>
        <v>92</v>
      </c>
      <c r="B94">
        <f t="shared" si="59"/>
        <v>5</v>
      </c>
      <c r="C94" s="183">
        <v>92</v>
      </c>
      <c r="D94" s="2" t="s">
        <v>782</v>
      </c>
      <c r="E94" t="s">
        <v>853</v>
      </c>
      <c r="F94" t="s">
        <v>854</v>
      </c>
      <c r="G94" t="s">
        <v>855</v>
      </c>
      <c r="I94" s="31">
        <f t="shared" si="62"/>
        <v>1917</v>
      </c>
      <c r="J94" s="99">
        <f t="shared" si="63"/>
        <v>1992</v>
      </c>
      <c r="K94" s="9" t="str">
        <f t="shared" si="60"/>
        <v>Daphne (92): 1917</v>
      </c>
      <c r="L94" s="8" t="str">
        <f>TEXT(M94,"dd/mm/yyyy")</f>
        <v>26/11/1917</v>
      </c>
      <c r="M94" s="8">
        <v>6540</v>
      </c>
      <c r="N94" s="3">
        <v>16674</v>
      </c>
      <c r="O94" s="10" t="s">
        <v>3222</v>
      </c>
      <c r="P94" s="13">
        <f t="shared" si="36"/>
        <v>92</v>
      </c>
      <c r="Q94" s="19" t="str">
        <f t="shared" si="37"/>
        <v>Daphne (92): 1917–1992</v>
      </c>
      <c r="R94" s="120">
        <v>54</v>
      </c>
      <c r="S94" s="15" t="str">
        <f t="shared" si="61"/>
        <v>Alfred (54): 1882–1919</v>
      </c>
      <c r="T94" s="38">
        <f t="shared" si="51"/>
        <v>32</v>
      </c>
      <c r="U94" s="37" t="str">
        <f t="shared" si="52"/>
        <v>Frank (32): 1848–1934</v>
      </c>
      <c r="V94" s="27">
        <f t="shared" si="53"/>
        <v>14</v>
      </c>
      <c r="W94" s="28" t="str">
        <f t="shared" si="54"/>
        <v>Thomas (14): 1812–1857</v>
      </c>
      <c r="X94" s="39">
        <f t="shared" si="38"/>
        <v>4</v>
      </c>
      <c r="Y94" s="40" t="str">
        <f t="shared" si="39"/>
        <v>William (4): 1770–1828</v>
      </c>
      <c r="Z94" s="29">
        <f t="shared" si="40"/>
        <v>1</v>
      </c>
      <c r="AA94" s="41" t="str">
        <f t="shared" si="41"/>
        <v>William (1): 1729–1800</v>
      </c>
      <c r="AB94" s="30">
        <f t="shared" si="42"/>
        <v>0</v>
      </c>
      <c r="AC94" s="43" t="str">
        <f t="shared" si="43"/>
        <v>Lewis (0): 1690–1758</v>
      </c>
      <c r="AD94" s="42">
        <f t="shared" si="44"/>
        <v>-1</v>
      </c>
      <c r="AE94" s="22" t="e">
        <f t="shared" si="45"/>
        <v>#N/A</v>
      </c>
      <c r="AF94" s="42" t="e">
        <f t="shared" si="46"/>
        <v>#N/A</v>
      </c>
      <c r="AG94" s="22" t="e">
        <f t="shared" si="47"/>
        <v>#N/A</v>
      </c>
      <c r="AH94" s="23" t="s">
        <v>2814</v>
      </c>
      <c r="AI94" s="33" t="s">
        <v>4388</v>
      </c>
      <c r="AJ94" s="264" t="str">
        <f>VLOOKUP(AI94,'Mums of Loyd Edit&amp;Partner Edit'!$B$4:$C$66,2,FALSE)</f>
        <v>Ada Maud Keele GILES (b. 11 Apr 1884, d. 19 Jul 1955)</v>
      </c>
      <c r="AK94" s="33">
        <f t="shared" si="55"/>
        <v>11</v>
      </c>
      <c r="AL94" s="33">
        <f t="shared" si="56"/>
        <v>26</v>
      </c>
      <c r="AM94" s="144">
        <f t="shared" si="57"/>
        <v>7</v>
      </c>
      <c r="AN94" s="144">
        <f t="shared" si="58"/>
        <v>22</v>
      </c>
      <c r="AO94">
        <f t="shared" si="48"/>
        <v>74</v>
      </c>
      <c r="AP94" s="103">
        <f t="shared" si="49"/>
        <v>104</v>
      </c>
      <c r="AQ94" s="33">
        <f t="shared" si="34"/>
        <v>92</v>
      </c>
    </row>
    <row r="95" spans="1:43" ht="36" thickBot="1">
      <c r="A95" s="33">
        <f t="shared" si="35"/>
        <v>93</v>
      </c>
      <c r="B95">
        <f t="shared" si="59"/>
        <v>5</v>
      </c>
      <c r="C95" s="183">
        <v>93</v>
      </c>
      <c r="D95" s="2" t="s">
        <v>782</v>
      </c>
      <c r="E95" t="s">
        <v>856</v>
      </c>
      <c r="F95" t="s">
        <v>853</v>
      </c>
      <c r="H95" t="s">
        <v>1186</v>
      </c>
      <c r="I95" s="31">
        <f t="shared" si="62"/>
        <v>1920</v>
      </c>
      <c r="J95" s="99">
        <f t="shared" si="63"/>
        <v>2002</v>
      </c>
      <c r="K95" s="9" t="str">
        <f t="shared" si="60"/>
        <v>Jill (93): 1920</v>
      </c>
      <c r="L95" s="8">
        <v>7391</v>
      </c>
      <c r="M95" s="8">
        <v>7391</v>
      </c>
      <c r="N95" t="s">
        <v>3792</v>
      </c>
      <c r="O95" s="10" t="s">
        <v>3223</v>
      </c>
      <c r="P95" s="13">
        <f t="shared" si="36"/>
        <v>93</v>
      </c>
      <c r="Q95" s="19" t="str">
        <f t="shared" si="37"/>
        <v>Jill (93): 1920–2002</v>
      </c>
      <c r="R95" s="120">
        <v>68</v>
      </c>
      <c r="S95" s="15" t="str">
        <f t="shared" si="61"/>
        <v>Cecil (68): 1890–1963</v>
      </c>
      <c r="T95" s="38">
        <f t="shared" si="51"/>
        <v>45</v>
      </c>
      <c r="U95" s="37" t="str">
        <f t="shared" si="52"/>
        <v>Llewellyn (45): 1861–1939</v>
      </c>
      <c r="V95" s="27">
        <f t="shared" si="53"/>
        <v>22</v>
      </c>
      <c r="W95" s="28" t="str">
        <f t="shared" si="54"/>
        <v>Edward (22): 1820–1890</v>
      </c>
      <c r="X95" s="39">
        <f t="shared" si="38"/>
        <v>8</v>
      </c>
      <c r="Y95" s="40" t="str">
        <f t="shared" si="39"/>
        <v>Edward (8): 1780–1863</v>
      </c>
      <c r="Z95" s="29">
        <f t="shared" si="40"/>
        <v>1</v>
      </c>
      <c r="AA95" s="41" t="str">
        <f t="shared" si="41"/>
        <v>William (1): 1729–1800</v>
      </c>
      <c r="AB95" s="30">
        <f t="shared" si="42"/>
        <v>0</v>
      </c>
      <c r="AC95" s="43" t="str">
        <f t="shared" si="43"/>
        <v>Lewis (0): 1690–1758</v>
      </c>
      <c r="AD95" s="42">
        <f t="shared" si="44"/>
        <v>-1</v>
      </c>
      <c r="AE95" s="22" t="e">
        <f t="shared" si="45"/>
        <v>#N/A</v>
      </c>
      <c r="AF95" s="42" t="e">
        <f t="shared" si="46"/>
        <v>#N/A</v>
      </c>
      <c r="AG95" s="22" t="e">
        <f t="shared" si="47"/>
        <v>#N/A</v>
      </c>
      <c r="AH95" s="23" t="s">
        <v>2814</v>
      </c>
      <c r="AI95" s="33" t="s">
        <v>4390</v>
      </c>
      <c r="AJ95" s="264" t="str">
        <f>VLOOKUP(AI95,'Mums of Loyd Edit&amp;Partner Edit'!$B$4:$C$66,2,FALSE)</f>
        <v>Mrs. Phyllis Marie ARCHER (nee ETESON) (b.3 Aug 1889, d. 29 Mar 1932)</v>
      </c>
      <c r="AK95" s="33">
        <f t="shared" si="55"/>
        <v>1</v>
      </c>
      <c r="AL95" s="33">
        <f t="shared" si="56"/>
        <v>73</v>
      </c>
      <c r="AM95" s="144">
        <f t="shared" si="57"/>
        <v>4</v>
      </c>
      <c r="AN95" s="144">
        <f t="shared" si="58"/>
        <v>10</v>
      </c>
      <c r="AO95">
        <f t="shared" si="48"/>
        <v>82</v>
      </c>
      <c r="AP95" s="103">
        <f t="shared" si="49"/>
        <v>102</v>
      </c>
      <c r="AQ95" s="33">
        <f t="shared" si="34"/>
        <v>93</v>
      </c>
    </row>
    <row r="96" spans="1:43" ht="36" thickBot="1">
      <c r="A96" s="33">
        <f t="shared" si="35"/>
        <v>94</v>
      </c>
      <c r="B96">
        <f t="shared" si="59"/>
        <v>5</v>
      </c>
      <c r="C96" s="183">
        <v>94</v>
      </c>
      <c r="D96" s="2" t="s">
        <v>782</v>
      </c>
      <c r="E96" t="s">
        <v>827</v>
      </c>
      <c r="F96" t="s">
        <v>858</v>
      </c>
      <c r="I96" s="31">
        <f t="shared" si="62"/>
        <v>1920</v>
      </c>
      <c r="J96" s="99">
        <f t="shared" si="63"/>
        <v>2014</v>
      </c>
      <c r="K96" s="9" t="str">
        <f t="shared" si="60"/>
        <v>Alwyne (94): 1920</v>
      </c>
      <c r="L96" s="8">
        <v>7391</v>
      </c>
      <c r="M96" s="8">
        <v>7391</v>
      </c>
      <c r="N96" s="3">
        <v>17702</v>
      </c>
      <c r="O96" s="10" t="s">
        <v>3224</v>
      </c>
      <c r="P96" s="13">
        <f t="shared" si="36"/>
        <v>94</v>
      </c>
      <c r="Q96" s="19" t="str">
        <f t="shared" si="37"/>
        <v>Alwyne (94): 1920–2014</v>
      </c>
      <c r="R96" s="120">
        <v>68</v>
      </c>
      <c r="S96" s="15" t="str">
        <f t="shared" si="61"/>
        <v>Cecil (68): 1890–1963</v>
      </c>
      <c r="T96" s="38">
        <f t="shared" si="51"/>
        <v>45</v>
      </c>
      <c r="U96" s="37" t="str">
        <f t="shared" si="52"/>
        <v>Llewellyn (45): 1861–1939</v>
      </c>
      <c r="V96" s="27">
        <f t="shared" si="53"/>
        <v>22</v>
      </c>
      <c r="W96" s="28" t="str">
        <f t="shared" si="54"/>
        <v>Edward (22): 1820–1890</v>
      </c>
      <c r="X96" s="39">
        <f t="shared" si="38"/>
        <v>8</v>
      </c>
      <c r="Y96" s="40" t="str">
        <f t="shared" si="39"/>
        <v>Edward (8): 1780–1863</v>
      </c>
      <c r="Z96" s="29">
        <f t="shared" si="40"/>
        <v>1</v>
      </c>
      <c r="AA96" s="41" t="str">
        <f t="shared" si="41"/>
        <v>William (1): 1729–1800</v>
      </c>
      <c r="AB96" s="30">
        <f t="shared" si="42"/>
        <v>0</v>
      </c>
      <c r="AC96" s="43" t="str">
        <f t="shared" si="43"/>
        <v>Lewis (0): 1690–1758</v>
      </c>
      <c r="AD96" s="42">
        <f t="shared" si="44"/>
        <v>-1</v>
      </c>
      <c r="AE96" s="22" t="e">
        <f t="shared" si="45"/>
        <v>#N/A</v>
      </c>
      <c r="AF96" s="42" t="e">
        <f t="shared" si="46"/>
        <v>#N/A</v>
      </c>
      <c r="AG96" s="22" t="e">
        <f t="shared" si="47"/>
        <v>#N/A</v>
      </c>
      <c r="AH96" s="23" t="s">
        <v>2815</v>
      </c>
      <c r="AI96" s="33" t="s">
        <v>4390</v>
      </c>
      <c r="AJ96" s="264" t="str">
        <f>VLOOKUP(AI96,'Mums of Loyd Edit&amp;Partner Edit'!$B$4:$C$66,2,FALSE)</f>
        <v>Mrs. Phyllis Marie ARCHER (nee ETESON) (b.3 Aug 1889, d. 29 Mar 1932)</v>
      </c>
      <c r="AK96" s="33">
        <f t="shared" si="55"/>
        <v>1</v>
      </c>
      <c r="AL96" s="33">
        <f t="shared" si="56"/>
        <v>73</v>
      </c>
      <c r="AM96" s="144">
        <f t="shared" si="57"/>
        <v>5</v>
      </c>
      <c r="AN96" s="144">
        <f t="shared" si="58"/>
        <v>10</v>
      </c>
      <c r="AO96">
        <f t="shared" si="48"/>
        <v>94</v>
      </c>
      <c r="AP96" s="103">
        <f t="shared" si="49"/>
        <v>102</v>
      </c>
      <c r="AQ96" s="33">
        <f t="shared" si="34"/>
        <v>94</v>
      </c>
    </row>
    <row r="97" spans="1:43" ht="20" thickBot="1">
      <c r="A97" s="33">
        <f t="shared" si="35"/>
        <v>95</v>
      </c>
      <c r="B97">
        <f t="shared" si="59"/>
        <v>5</v>
      </c>
      <c r="C97" s="183">
        <v>95</v>
      </c>
      <c r="D97" s="2" t="s">
        <v>782</v>
      </c>
      <c r="E97" t="s">
        <v>859</v>
      </c>
      <c r="I97" s="31">
        <f t="shared" si="62"/>
        <v>1920</v>
      </c>
      <c r="J97" s="99">
        <f t="shared" si="63"/>
        <v>2002</v>
      </c>
      <c r="K97" s="9" t="str">
        <f t="shared" si="60"/>
        <v>Hester (95): 1920</v>
      </c>
      <c r="L97" s="8">
        <v>7641</v>
      </c>
      <c r="M97" s="8">
        <v>7641</v>
      </c>
      <c r="N97" s="3">
        <v>16261</v>
      </c>
      <c r="O97" s="10" t="s">
        <v>3225</v>
      </c>
      <c r="P97" s="13">
        <f t="shared" si="36"/>
        <v>95</v>
      </c>
      <c r="Q97" s="19" t="str">
        <f t="shared" si="37"/>
        <v>Hester (95): 1920–2002</v>
      </c>
      <c r="R97" s="120">
        <v>56</v>
      </c>
      <c r="S97" s="15" t="str">
        <f t="shared" si="61"/>
        <v>Tommy (56): 1882–1944</v>
      </c>
      <c r="T97" s="38">
        <f t="shared" si="51"/>
        <v>28</v>
      </c>
      <c r="U97" s="37" t="str">
        <f t="shared" si="52"/>
        <v>The Rev Lewis (28): 1844–1905</v>
      </c>
      <c r="V97" s="27">
        <f t="shared" si="53"/>
        <v>14</v>
      </c>
      <c r="W97" s="28" t="str">
        <f t="shared" si="54"/>
        <v>Thomas (14): 1812–1857</v>
      </c>
      <c r="X97" s="39">
        <f t="shared" si="38"/>
        <v>4</v>
      </c>
      <c r="Y97" s="40" t="str">
        <f t="shared" si="39"/>
        <v>William (4): 1770–1828</v>
      </c>
      <c r="Z97" s="29">
        <f t="shared" si="40"/>
        <v>1</v>
      </c>
      <c r="AA97" s="41" t="str">
        <f t="shared" si="41"/>
        <v>William (1): 1729–1800</v>
      </c>
      <c r="AB97" s="30">
        <f t="shared" si="42"/>
        <v>0</v>
      </c>
      <c r="AC97" s="43" t="str">
        <f t="shared" si="43"/>
        <v>Lewis (0): 1690–1758</v>
      </c>
      <c r="AD97" s="42">
        <f t="shared" si="44"/>
        <v>-1</v>
      </c>
      <c r="AE97" s="22" t="e">
        <f t="shared" si="45"/>
        <v>#N/A</v>
      </c>
      <c r="AF97" s="42" t="e">
        <f t="shared" si="46"/>
        <v>#N/A</v>
      </c>
      <c r="AG97" s="22" t="e">
        <f t="shared" si="47"/>
        <v>#N/A</v>
      </c>
      <c r="AH97" s="23" t="s">
        <v>2814</v>
      </c>
      <c r="AI97" s="33" t="s">
        <v>4385</v>
      </c>
      <c r="AJ97" s="264" t="str">
        <f>VLOOKUP(AI97,'Mums of Loyd Edit&amp;Partner Edit'!$B$4:$C$66,2,FALSE)</f>
        <v>Dorothy WILLERT (b. 19 Jan 1886, d. 15 Jan 1966)</v>
      </c>
      <c r="AK97" s="33">
        <f t="shared" si="55"/>
        <v>1</v>
      </c>
      <c r="AL97" s="33">
        <f t="shared" si="56"/>
        <v>76</v>
      </c>
      <c r="AM97" s="144">
        <f t="shared" si="57"/>
        <v>1</v>
      </c>
      <c r="AN97" s="144">
        <f t="shared" si="58"/>
        <v>1</v>
      </c>
      <c r="AO97">
        <f t="shared" si="48"/>
        <v>81</v>
      </c>
      <c r="AP97" s="103">
        <f t="shared" si="49"/>
        <v>102</v>
      </c>
      <c r="AQ97" s="33">
        <f t="shared" si="34"/>
        <v>95</v>
      </c>
    </row>
    <row r="98" spans="1:43" ht="36" thickBot="1">
      <c r="A98" s="33">
        <f t="shared" si="35"/>
        <v>96</v>
      </c>
      <c r="B98">
        <f t="shared" si="59"/>
        <v>5</v>
      </c>
      <c r="C98" s="183">
        <v>96</v>
      </c>
      <c r="D98" s="2" t="s">
        <v>782</v>
      </c>
      <c r="E98" t="s">
        <v>811</v>
      </c>
      <c r="F98" t="s">
        <v>833</v>
      </c>
      <c r="G98" t="s">
        <v>860</v>
      </c>
      <c r="I98" s="31">
        <f t="shared" si="62"/>
        <v>1921</v>
      </c>
      <c r="J98" s="99">
        <f t="shared" si="63"/>
        <v>1977</v>
      </c>
      <c r="K98" s="9" t="str">
        <f t="shared" si="60"/>
        <v>Edward (96): 1921</v>
      </c>
      <c r="L98" s="8">
        <v>7723</v>
      </c>
      <c r="M98" s="8">
        <v>7723</v>
      </c>
      <c r="N98" s="3">
        <v>16839</v>
      </c>
      <c r="O98" s="10" t="s">
        <v>3226</v>
      </c>
      <c r="P98" s="13">
        <f t="shared" si="36"/>
        <v>96</v>
      </c>
      <c r="Q98" s="19" t="str">
        <f t="shared" si="37"/>
        <v>Edward (96): 1921–1977</v>
      </c>
      <c r="R98" s="120">
        <v>66</v>
      </c>
      <c r="S98" s="15" t="str">
        <f t="shared" si="61"/>
        <v>William (66): 1889–1947</v>
      </c>
      <c r="T98" s="38">
        <f t="shared" si="51"/>
        <v>44</v>
      </c>
      <c r="U98" s="37" t="str">
        <f t="shared" si="52"/>
        <v>Harry (44): 1861–1938</v>
      </c>
      <c r="V98" s="27">
        <f t="shared" si="53"/>
        <v>23</v>
      </c>
      <c r="W98" s="28" t="str">
        <f t="shared" si="54"/>
        <v>William (23): 1821–1885</v>
      </c>
      <c r="X98" s="39">
        <f t="shared" si="38"/>
        <v>8</v>
      </c>
      <c r="Y98" s="40" t="str">
        <f t="shared" si="39"/>
        <v>Edward (8): 1780–1863</v>
      </c>
      <c r="Z98" s="29">
        <f t="shared" si="40"/>
        <v>1</v>
      </c>
      <c r="AA98" s="41" t="str">
        <f t="shared" si="41"/>
        <v>William (1): 1729–1800</v>
      </c>
      <c r="AB98" s="30">
        <f t="shared" si="42"/>
        <v>0</v>
      </c>
      <c r="AC98" s="43" t="str">
        <f t="shared" si="43"/>
        <v>Lewis (0): 1690–1758</v>
      </c>
      <c r="AD98" s="42">
        <f t="shared" si="44"/>
        <v>-1</v>
      </c>
      <c r="AE98" s="22" t="e">
        <f t="shared" si="45"/>
        <v>#N/A</v>
      </c>
      <c r="AF98" s="42" t="e">
        <f t="shared" si="46"/>
        <v>#N/A</v>
      </c>
      <c r="AG98" s="22" t="e">
        <f t="shared" si="47"/>
        <v>#N/A</v>
      </c>
      <c r="AH98" s="23" t="s">
        <v>2815</v>
      </c>
      <c r="AI98" s="33" t="s">
        <v>4387</v>
      </c>
      <c r="AJ98" s="264" t="str">
        <f>VLOOKUP(AI98,'Mums of Loyd Edit&amp;Partner Edit'!$B$4:$C$66,2,FALSE)</f>
        <v>The Hon Bettine Henrietta KNATCHBULL-HUGESSEN (b. 15 Sep 1888, d. 9 Aug 1967)</v>
      </c>
      <c r="AK98" s="33">
        <f t="shared" si="55"/>
        <v>3</v>
      </c>
      <c r="AL98" s="33">
        <f t="shared" si="56"/>
        <v>77</v>
      </c>
      <c r="AM98" s="144">
        <f t="shared" si="57"/>
        <v>1</v>
      </c>
      <c r="AN98" s="144">
        <f t="shared" si="58"/>
        <v>7</v>
      </c>
      <c r="AO98">
        <f t="shared" si="48"/>
        <v>55</v>
      </c>
      <c r="AP98" s="103">
        <f t="shared" si="49"/>
        <v>101</v>
      </c>
      <c r="AQ98" s="33">
        <f t="shared" ref="AQ98:AQ129" si="64">C98</f>
        <v>96</v>
      </c>
    </row>
    <row r="99" spans="1:43" ht="36" thickBot="1">
      <c r="A99" s="33">
        <f t="shared" si="35"/>
        <v>97</v>
      </c>
      <c r="B99">
        <f t="shared" si="59"/>
        <v>5</v>
      </c>
      <c r="C99" s="183">
        <v>97</v>
      </c>
      <c r="D99" s="2" t="s">
        <v>782</v>
      </c>
      <c r="E99" t="s">
        <v>861</v>
      </c>
      <c r="F99" t="s">
        <v>862</v>
      </c>
      <c r="G99" t="s">
        <v>863</v>
      </c>
      <c r="I99" s="31">
        <f t="shared" si="62"/>
        <v>1922</v>
      </c>
      <c r="J99" s="99">
        <f t="shared" si="63"/>
        <v>2005</v>
      </c>
      <c r="K99" s="9" t="str">
        <f t="shared" si="60"/>
        <v>Audrey (97): 1922</v>
      </c>
      <c r="L99" s="8">
        <v>8184</v>
      </c>
      <c r="M99" s="8">
        <v>8184</v>
      </c>
      <c r="N99" s="3">
        <v>18753</v>
      </c>
      <c r="O99" s="10" t="s">
        <v>3227</v>
      </c>
      <c r="P99" s="13">
        <f t="shared" ref="P99:P130" si="65">C99</f>
        <v>97</v>
      </c>
      <c r="Q99" s="19" t="str">
        <f t="shared" si="37"/>
        <v>Audrey (97): 1922–2005</v>
      </c>
      <c r="R99" s="120">
        <v>53</v>
      </c>
      <c r="S99" s="15" t="str">
        <f t="shared" si="61"/>
        <v>Edward (53): 1881–1962</v>
      </c>
      <c r="T99" s="38">
        <f t="shared" si="51"/>
        <v>41</v>
      </c>
      <c r="U99" s="37" t="str">
        <f t="shared" si="52"/>
        <v>Frederic (41): 1856–1936</v>
      </c>
      <c r="V99" s="27">
        <f t="shared" si="53"/>
        <v>22</v>
      </c>
      <c r="W99" s="28" t="str">
        <f t="shared" si="54"/>
        <v>Edward (22): 1820–1890</v>
      </c>
      <c r="X99" s="39">
        <f t="shared" si="38"/>
        <v>8</v>
      </c>
      <c r="Y99" s="40" t="str">
        <f t="shared" si="39"/>
        <v>Edward (8): 1780–1863</v>
      </c>
      <c r="Z99" s="29">
        <f t="shared" si="40"/>
        <v>1</v>
      </c>
      <c r="AA99" s="41" t="str">
        <f t="shared" si="41"/>
        <v>William (1): 1729–1800</v>
      </c>
      <c r="AB99" s="30">
        <f t="shared" si="42"/>
        <v>0</v>
      </c>
      <c r="AC99" s="43" t="str">
        <f t="shared" si="43"/>
        <v>Lewis (0): 1690–1758</v>
      </c>
      <c r="AD99" s="42">
        <f t="shared" si="44"/>
        <v>-1</v>
      </c>
      <c r="AE99" s="22" t="e">
        <f t="shared" si="45"/>
        <v>#N/A</v>
      </c>
      <c r="AF99" s="42" t="e">
        <f t="shared" si="46"/>
        <v>#N/A</v>
      </c>
      <c r="AG99" s="22" t="e">
        <f t="shared" si="47"/>
        <v>#N/A</v>
      </c>
      <c r="AH99" s="23" t="s">
        <v>2814</v>
      </c>
      <c r="AI99" s="33" t="s">
        <v>4391</v>
      </c>
      <c r="AJ99" s="264" t="str">
        <f>VLOOKUP(AI99,'Mums of Loyd Edit&amp;Partner Edit'!$B$4:$C$66,2,FALSE)</f>
        <v>Kathleen Elizabeth Lilian DONOVAN (b. 21 Mar 1896, d. 7 Dec 1983)</v>
      </c>
      <c r="AK99" s="33">
        <f t="shared" si="55"/>
        <v>4</v>
      </c>
      <c r="AL99" s="33">
        <f t="shared" si="56"/>
        <v>81</v>
      </c>
      <c r="AM99" s="144">
        <f t="shared" si="57"/>
        <v>10</v>
      </c>
      <c r="AN99" s="144">
        <f t="shared" si="58"/>
        <v>4</v>
      </c>
      <c r="AO99">
        <f t="shared" ref="AO99:AO130" si="66">IF(O99&lt;&gt;"",IF(AK99&gt;AM99,J99-I99-1,IF(AK99&lt;AM99,J99-I99,IF(AND(AK99=AM99,AN99&gt;=AL99),J99-I99,J99-I99-1))),AP99)</f>
        <v>83</v>
      </c>
      <c r="AP99" s="103">
        <f t="shared" ref="AP99:AP131" si="67">IF(AK99&gt;7,2022-I99-1,IF(AK99&lt;7,2022-I99,IF(AND(AK99=7,AL99&gt;=1),2022-I99-1,2022-I99)))</f>
        <v>100</v>
      </c>
      <c r="AQ99" s="33">
        <f t="shared" si="64"/>
        <v>97</v>
      </c>
    </row>
    <row r="100" spans="1:43" ht="36" thickBot="1">
      <c r="A100" s="33">
        <f t="shared" si="35"/>
        <v>98</v>
      </c>
      <c r="B100">
        <f t="shared" si="59"/>
        <v>5</v>
      </c>
      <c r="C100" s="183">
        <v>98</v>
      </c>
      <c r="D100" s="2" t="s">
        <v>782</v>
      </c>
      <c r="E100" t="s">
        <v>865</v>
      </c>
      <c r="F100" t="s">
        <v>822</v>
      </c>
      <c r="I100" s="31">
        <f t="shared" si="62"/>
        <v>1922</v>
      </c>
      <c r="J100" s="99">
        <f t="shared" si="63"/>
        <v>2022</v>
      </c>
      <c r="K100" s="9" t="str">
        <f t="shared" si="60"/>
        <v>Peter (98): 1922</v>
      </c>
      <c r="L100" s="8">
        <v>8318</v>
      </c>
      <c r="M100" s="8">
        <v>8318</v>
      </c>
      <c r="N100" s="3">
        <v>18361</v>
      </c>
      <c r="O100" s="95" t="s">
        <v>3820</v>
      </c>
      <c r="P100" s="13">
        <f t="shared" si="65"/>
        <v>98</v>
      </c>
      <c r="Q100" s="19" t="str">
        <f t="shared" si="37"/>
        <v>Peter (98): 1922–2022</v>
      </c>
      <c r="R100" s="120">
        <v>77</v>
      </c>
      <c r="S100" s="15" t="str">
        <f t="shared" si="61"/>
        <v>Wilfrid (77): 1893–1971</v>
      </c>
      <c r="T100" s="38">
        <f t="shared" si="51"/>
        <v>30</v>
      </c>
      <c r="U100" s="37" t="str">
        <f t="shared" si="52"/>
        <v>Archie (30): 1847–1922</v>
      </c>
      <c r="V100" s="27">
        <f t="shared" si="53"/>
        <v>14</v>
      </c>
      <c r="W100" s="28" t="str">
        <f t="shared" si="54"/>
        <v>Thomas (14): 1812–1857</v>
      </c>
      <c r="X100" s="39">
        <f t="shared" si="38"/>
        <v>4</v>
      </c>
      <c r="Y100" s="40" t="str">
        <f t="shared" si="39"/>
        <v>William (4): 1770–1828</v>
      </c>
      <c r="Z100" s="29">
        <f t="shared" si="40"/>
        <v>1</v>
      </c>
      <c r="AA100" s="41" t="str">
        <f t="shared" si="41"/>
        <v>William (1): 1729–1800</v>
      </c>
      <c r="AB100" s="30">
        <f t="shared" si="42"/>
        <v>0</v>
      </c>
      <c r="AC100" s="43" t="str">
        <f t="shared" si="43"/>
        <v>Lewis (0): 1690–1758</v>
      </c>
      <c r="AD100" s="42">
        <f t="shared" si="44"/>
        <v>-1</v>
      </c>
      <c r="AE100" s="22" t="e">
        <f t="shared" si="45"/>
        <v>#N/A</v>
      </c>
      <c r="AF100" s="42" t="e">
        <f t="shared" si="46"/>
        <v>#N/A</v>
      </c>
      <c r="AG100" s="22" t="e">
        <f t="shared" si="47"/>
        <v>#N/A</v>
      </c>
      <c r="AH100" s="23" t="s">
        <v>2815</v>
      </c>
      <c r="AI100" s="33" t="s">
        <v>4392</v>
      </c>
      <c r="AJ100" s="264" t="str">
        <f>VLOOKUP(AI100,'Mums of Loyd Edit&amp;Partner Edit'!$B$4:$C$66,2,FALSE)</f>
        <v>Emily Charlotte Eileen OAKELEY (b. 28 Jan 1896, d. 8 May 1978)</v>
      </c>
      <c r="AK100" s="33">
        <f t="shared" si="55"/>
        <v>8</v>
      </c>
      <c r="AL100" s="33">
        <f t="shared" si="56"/>
        <v>83</v>
      </c>
      <c r="AM100" s="144">
        <f t="shared" si="57"/>
        <v>5</v>
      </c>
      <c r="AN100" s="144">
        <f t="shared" si="58"/>
        <v>13</v>
      </c>
      <c r="AO100">
        <f t="shared" si="66"/>
        <v>99</v>
      </c>
      <c r="AP100" s="103">
        <f t="shared" si="67"/>
        <v>99</v>
      </c>
      <c r="AQ100" s="33">
        <f t="shared" si="64"/>
        <v>98</v>
      </c>
    </row>
    <row r="101" spans="1:43" ht="36" thickBot="1">
      <c r="A101" s="33">
        <f t="shared" si="35"/>
        <v>99</v>
      </c>
      <c r="B101">
        <f t="shared" si="59"/>
        <v>5</v>
      </c>
      <c r="C101" s="183">
        <v>99</v>
      </c>
      <c r="D101" s="2" t="s">
        <v>782</v>
      </c>
      <c r="E101" t="s">
        <v>865</v>
      </c>
      <c r="F101" t="s">
        <v>886</v>
      </c>
      <c r="I101" s="31">
        <f t="shared" si="62"/>
        <v>1923</v>
      </c>
      <c r="J101" s="99">
        <f t="shared" si="63"/>
        <v>1974</v>
      </c>
      <c r="K101" s="9" t="str">
        <f t="shared" si="60"/>
        <v>Peter (99): 1923</v>
      </c>
      <c r="L101" s="8">
        <v>8509</v>
      </c>
      <c r="M101" s="8">
        <v>8509</v>
      </c>
      <c r="N101" s="3">
        <v>21248</v>
      </c>
      <c r="O101" s="10" t="s">
        <v>3229</v>
      </c>
      <c r="P101" s="13">
        <f t="shared" si="65"/>
        <v>99</v>
      </c>
      <c r="Q101" s="19" t="str">
        <f t="shared" si="37"/>
        <v>Peter (99): 1923–1974</v>
      </c>
      <c r="R101" s="120">
        <v>66</v>
      </c>
      <c r="S101" s="15" t="str">
        <f t="shared" si="61"/>
        <v>William (66): 1889–1947</v>
      </c>
      <c r="T101" s="38">
        <f t="shared" si="51"/>
        <v>44</v>
      </c>
      <c r="U101" s="37" t="str">
        <f t="shared" si="52"/>
        <v>Harry (44): 1861–1938</v>
      </c>
      <c r="V101" s="27">
        <f t="shared" si="53"/>
        <v>23</v>
      </c>
      <c r="W101" s="28" t="str">
        <f t="shared" si="54"/>
        <v>William (23): 1821–1885</v>
      </c>
      <c r="X101" s="39">
        <f t="shared" si="38"/>
        <v>8</v>
      </c>
      <c r="Y101" s="40" t="str">
        <f t="shared" si="39"/>
        <v>Edward (8): 1780–1863</v>
      </c>
      <c r="Z101" s="29">
        <f t="shared" si="40"/>
        <v>1</v>
      </c>
      <c r="AA101" s="41" t="str">
        <f t="shared" si="41"/>
        <v>William (1): 1729–1800</v>
      </c>
      <c r="AB101" s="30">
        <f t="shared" si="42"/>
        <v>0</v>
      </c>
      <c r="AC101" s="43" t="str">
        <f t="shared" si="43"/>
        <v>Lewis (0): 1690–1758</v>
      </c>
      <c r="AD101" s="42">
        <f t="shared" si="44"/>
        <v>-1</v>
      </c>
      <c r="AE101" s="22" t="e">
        <f t="shared" si="45"/>
        <v>#N/A</v>
      </c>
      <c r="AF101" s="42" t="e">
        <f t="shared" si="46"/>
        <v>#N/A</v>
      </c>
      <c r="AG101" s="22" t="e">
        <f t="shared" si="47"/>
        <v>#N/A</v>
      </c>
      <c r="AH101" s="23" t="s">
        <v>2815</v>
      </c>
      <c r="AI101" s="33" t="s">
        <v>4387</v>
      </c>
      <c r="AJ101" s="264" t="str">
        <f>VLOOKUP(AI101,'Mums of Loyd Edit&amp;Partner Edit'!$B$4:$C$66,2,FALSE)</f>
        <v>The Hon Bettine Henrietta KNATCHBULL-HUGESSEN (b. 15 Sep 1888, d. 9 Aug 1967)</v>
      </c>
      <c r="AK101" s="33">
        <f t="shared" si="55"/>
        <v>9</v>
      </c>
      <c r="AL101" s="33">
        <f t="shared" si="56"/>
        <v>85</v>
      </c>
      <c r="AM101" s="144">
        <f t="shared" si="57"/>
        <v>6</v>
      </c>
      <c r="AN101" s="144">
        <f t="shared" si="58"/>
        <v>12</v>
      </c>
      <c r="AO101">
        <f t="shared" si="66"/>
        <v>50</v>
      </c>
      <c r="AP101" s="103">
        <f t="shared" si="67"/>
        <v>98</v>
      </c>
      <c r="AQ101" s="33">
        <f t="shared" si="64"/>
        <v>99</v>
      </c>
    </row>
    <row r="102" spans="1:43" ht="20" thickBot="1">
      <c r="A102" s="33">
        <f t="shared" si="35"/>
        <v>100</v>
      </c>
      <c r="B102">
        <f t="shared" si="59"/>
        <v>5</v>
      </c>
      <c r="C102" s="183">
        <v>100</v>
      </c>
      <c r="D102" s="2" t="s">
        <v>782</v>
      </c>
      <c r="E102" t="s">
        <v>866</v>
      </c>
      <c r="F102" t="s">
        <v>914</v>
      </c>
      <c r="I102" s="31">
        <f t="shared" si="62"/>
        <v>1923</v>
      </c>
      <c r="J102" s="99">
        <f t="shared" si="63"/>
        <v>2013</v>
      </c>
      <c r="K102" s="9" t="str">
        <f t="shared" si="60"/>
        <v>Christopher (100): 1923</v>
      </c>
      <c r="L102" s="8">
        <v>8553</v>
      </c>
      <c r="M102" s="8">
        <v>8553</v>
      </c>
      <c r="N102" s="3">
        <v>21171</v>
      </c>
      <c r="O102" s="10" t="s">
        <v>3230</v>
      </c>
      <c r="P102" s="13">
        <f t="shared" si="65"/>
        <v>100</v>
      </c>
      <c r="Q102" s="19" t="str">
        <f t="shared" si="37"/>
        <v>Christopher (100): 1923–2013</v>
      </c>
      <c r="R102" s="120">
        <v>56</v>
      </c>
      <c r="S102" s="15" t="str">
        <f t="shared" si="61"/>
        <v>Tommy (56): 1882–1944</v>
      </c>
      <c r="T102" s="38">
        <f t="shared" si="51"/>
        <v>28</v>
      </c>
      <c r="U102" s="37" t="str">
        <f t="shared" si="52"/>
        <v>The Rev Lewis (28): 1844–1905</v>
      </c>
      <c r="V102" s="27">
        <f t="shared" si="53"/>
        <v>14</v>
      </c>
      <c r="W102" s="28" t="str">
        <f t="shared" si="54"/>
        <v>Thomas (14): 1812–1857</v>
      </c>
      <c r="X102" s="39">
        <f t="shared" si="38"/>
        <v>4</v>
      </c>
      <c r="Y102" s="40" t="str">
        <f t="shared" si="39"/>
        <v>William (4): 1770–1828</v>
      </c>
      <c r="Z102" s="29">
        <f t="shared" si="40"/>
        <v>1</v>
      </c>
      <c r="AA102" s="41" t="str">
        <f t="shared" si="41"/>
        <v>William (1): 1729–1800</v>
      </c>
      <c r="AB102" s="30">
        <f t="shared" si="42"/>
        <v>0</v>
      </c>
      <c r="AC102" s="43" t="str">
        <f t="shared" si="43"/>
        <v>Lewis (0): 1690–1758</v>
      </c>
      <c r="AD102" s="42">
        <f t="shared" si="44"/>
        <v>-1</v>
      </c>
      <c r="AE102" s="22" t="e">
        <f t="shared" si="45"/>
        <v>#N/A</v>
      </c>
      <c r="AF102" s="42" t="e">
        <f t="shared" si="46"/>
        <v>#N/A</v>
      </c>
      <c r="AG102" s="22" t="e">
        <f t="shared" si="47"/>
        <v>#N/A</v>
      </c>
      <c r="AH102" s="23" t="s">
        <v>2815</v>
      </c>
      <c r="AI102" s="33" t="s">
        <v>4385</v>
      </c>
      <c r="AJ102" s="264" t="str">
        <f>VLOOKUP(AI102,'Mums of Loyd Edit&amp;Partner Edit'!$B$4:$C$66,2,FALSE)</f>
        <v>Dorothy WILLERT (b. 19 Jan 1886, d. 15 Jan 1966)</v>
      </c>
      <c r="AK102" s="33">
        <f t="shared" si="55"/>
        <v>3</v>
      </c>
      <c r="AL102" s="33">
        <f t="shared" si="56"/>
        <v>85</v>
      </c>
      <c r="AM102" s="144">
        <f t="shared" si="57"/>
        <v>7</v>
      </c>
      <c r="AN102" s="144">
        <f t="shared" si="58"/>
        <v>14</v>
      </c>
      <c r="AO102">
        <f t="shared" si="66"/>
        <v>90</v>
      </c>
      <c r="AP102" s="103">
        <f t="shared" si="67"/>
        <v>99</v>
      </c>
      <c r="AQ102" s="33">
        <f t="shared" si="64"/>
        <v>100</v>
      </c>
    </row>
    <row r="103" spans="1:43" ht="20" thickBot="1">
      <c r="A103" s="33">
        <f t="shared" si="35"/>
        <v>101</v>
      </c>
      <c r="B103">
        <f t="shared" si="59"/>
        <v>5</v>
      </c>
      <c r="C103" s="183">
        <v>101</v>
      </c>
      <c r="D103" s="2" t="s">
        <v>782</v>
      </c>
      <c r="E103" t="s">
        <v>867</v>
      </c>
      <c r="I103" s="31">
        <f t="shared" si="62"/>
        <v>1923</v>
      </c>
      <c r="J103" s="99">
        <f t="shared" si="63"/>
        <v>2014</v>
      </c>
      <c r="K103" s="9" t="str">
        <f t="shared" si="60"/>
        <v>Catherine (101): 1923</v>
      </c>
      <c r="L103" s="8">
        <v>8553</v>
      </c>
      <c r="M103" s="8">
        <v>8553</v>
      </c>
      <c r="N103" s="3">
        <v>17868</v>
      </c>
      <c r="O103" s="10" t="s">
        <v>3231</v>
      </c>
      <c r="P103" s="13">
        <f t="shared" si="65"/>
        <v>101</v>
      </c>
      <c r="Q103" s="19" t="str">
        <f t="shared" si="37"/>
        <v>Catherine (101): 1923–2014</v>
      </c>
      <c r="R103" s="120">
        <v>56</v>
      </c>
      <c r="S103" s="15" t="str">
        <f t="shared" si="61"/>
        <v>Tommy (56): 1882–1944</v>
      </c>
      <c r="T103" s="38">
        <f t="shared" si="51"/>
        <v>28</v>
      </c>
      <c r="U103" s="37" t="str">
        <f t="shared" si="52"/>
        <v>The Rev Lewis (28): 1844–1905</v>
      </c>
      <c r="V103" s="27">
        <f t="shared" si="53"/>
        <v>14</v>
      </c>
      <c r="W103" s="28" t="str">
        <f t="shared" si="54"/>
        <v>Thomas (14): 1812–1857</v>
      </c>
      <c r="X103" s="39">
        <f t="shared" si="38"/>
        <v>4</v>
      </c>
      <c r="Y103" s="40" t="str">
        <f t="shared" si="39"/>
        <v>William (4): 1770–1828</v>
      </c>
      <c r="Z103" s="29">
        <f t="shared" si="40"/>
        <v>1</v>
      </c>
      <c r="AA103" s="41" t="str">
        <f t="shared" si="41"/>
        <v>William (1): 1729–1800</v>
      </c>
      <c r="AB103" s="30">
        <f t="shared" si="42"/>
        <v>0</v>
      </c>
      <c r="AC103" s="43" t="str">
        <f t="shared" si="43"/>
        <v>Lewis (0): 1690–1758</v>
      </c>
      <c r="AD103" s="42">
        <f t="shared" si="44"/>
        <v>-1</v>
      </c>
      <c r="AE103" s="22" t="e">
        <f t="shared" si="45"/>
        <v>#N/A</v>
      </c>
      <c r="AF103" s="42" t="e">
        <f t="shared" si="46"/>
        <v>#N/A</v>
      </c>
      <c r="AG103" s="22" t="e">
        <f t="shared" si="47"/>
        <v>#N/A</v>
      </c>
      <c r="AH103" s="23" t="s">
        <v>2814</v>
      </c>
      <c r="AI103" s="33" t="s">
        <v>4385</v>
      </c>
      <c r="AJ103" s="264" t="str">
        <f>VLOOKUP(AI103,'Mums of Loyd Edit&amp;Partner Edit'!$B$4:$C$66,2,FALSE)</f>
        <v>Dorothy WILLERT (b. 19 Jan 1886, d. 15 Jan 1966)</v>
      </c>
      <c r="AK103" s="33">
        <f t="shared" si="55"/>
        <v>3</v>
      </c>
      <c r="AL103" s="33">
        <f t="shared" si="56"/>
        <v>85</v>
      </c>
      <c r="AM103" s="144">
        <f t="shared" si="57"/>
        <v>1</v>
      </c>
      <c r="AN103" s="144">
        <f t="shared" si="58"/>
        <v>22</v>
      </c>
      <c r="AO103">
        <f t="shared" si="66"/>
        <v>90</v>
      </c>
      <c r="AP103" s="103">
        <f t="shared" si="67"/>
        <v>99</v>
      </c>
      <c r="AQ103" s="33">
        <f t="shared" si="64"/>
        <v>101</v>
      </c>
    </row>
    <row r="104" spans="1:43" ht="20" thickBot="1">
      <c r="A104" s="33">
        <f t="shared" si="35"/>
        <v>102</v>
      </c>
      <c r="B104">
        <f t="shared" si="59"/>
        <v>5</v>
      </c>
      <c r="C104" s="183">
        <v>102</v>
      </c>
      <c r="D104" s="2" t="s">
        <v>782</v>
      </c>
      <c r="E104" t="s">
        <v>869</v>
      </c>
      <c r="F104" t="s">
        <v>870</v>
      </c>
      <c r="I104" s="31">
        <f t="shared" si="62"/>
        <v>1923</v>
      </c>
      <c r="J104" s="99">
        <f t="shared" si="63"/>
        <v>2014</v>
      </c>
      <c r="K104" s="9" t="str">
        <f t="shared" si="60"/>
        <v>Zelda (102): 1923</v>
      </c>
      <c r="L104" s="8">
        <v>8745</v>
      </c>
      <c r="M104" s="8">
        <v>8745</v>
      </c>
      <c r="N104" s="3">
        <v>19810</v>
      </c>
      <c r="O104" s="10" t="s">
        <v>3232</v>
      </c>
      <c r="P104" s="13">
        <f t="shared" si="65"/>
        <v>102</v>
      </c>
      <c r="Q104" s="19" t="str">
        <f t="shared" si="37"/>
        <v>Zelda (102): 1923–2014</v>
      </c>
      <c r="R104" s="120">
        <v>62</v>
      </c>
      <c r="S104" s="15" t="str">
        <f t="shared" si="61"/>
        <v>Bobby (62): 1887–1977</v>
      </c>
      <c r="T104" s="38">
        <f t="shared" si="51"/>
        <v>30</v>
      </c>
      <c r="U104" s="37" t="str">
        <f t="shared" si="52"/>
        <v>Archie (30): 1847–1922</v>
      </c>
      <c r="V104" s="27">
        <f t="shared" si="53"/>
        <v>14</v>
      </c>
      <c r="W104" s="28" t="str">
        <f t="shared" si="54"/>
        <v>Thomas (14): 1812–1857</v>
      </c>
      <c r="X104" s="39">
        <f t="shared" si="38"/>
        <v>4</v>
      </c>
      <c r="Y104" s="40" t="str">
        <f t="shared" si="39"/>
        <v>William (4): 1770–1828</v>
      </c>
      <c r="Z104" s="29">
        <f t="shared" si="40"/>
        <v>1</v>
      </c>
      <c r="AA104" s="41" t="str">
        <f t="shared" si="41"/>
        <v>William (1): 1729–1800</v>
      </c>
      <c r="AB104" s="30">
        <f t="shared" si="42"/>
        <v>0</v>
      </c>
      <c r="AC104" s="43" t="str">
        <f t="shared" si="43"/>
        <v>Lewis (0): 1690–1758</v>
      </c>
      <c r="AD104" s="42">
        <f t="shared" si="44"/>
        <v>-1</v>
      </c>
      <c r="AE104" s="22" t="e">
        <f t="shared" si="45"/>
        <v>#N/A</v>
      </c>
      <c r="AF104" s="42" t="e">
        <f t="shared" si="46"/>
        <v>#N/A</v>
      </c>
      <c r="AG104" s="22" t="e">
        <f t="shared" si="47"/>
        <v>#N/A</v>
      </c>
      <c r="AH104" s="23" t="s">
        <v>2814</v>
      </c>
      <c r="AI104" s="33" t="s">
        <v>4393</v>
      </c>
      <c r="AJ104" s="264" t="str">
        <f>VLOOKUP(AI104,'Mums of Loyd Edit&amp;Partner Edit'!$B$4:$C$66,2,FALSE)</f>
        <v>Olive Mary GLADSTONE (b. 7 May 1893, d. 7 Aug 1977)</v>
      </c>
      <c r="AK104" s="33">
        <f t="shared" si="55"/>
        <v>5</v>
      </c>
      <c r="AL104" s="33">
        <f t="shared" si="56"/>
        <v>87</v>
      </c>
      <c r="AM104" s="144">
        <f t="shared" si="57"/>
        <v>4</v>
      </c>
      <c r="AN104" s="144">
        <f t="shared" si="58"/>
        <v>30</v>
      </c>
      <c r="AO104">
        <f t="shared" si="66"/>
        <v>90</v>
      </c>
      <c r="AP104" s="103">
        <f t="shared" si="67"/>
        <v>99</v>
      </c>
      <c r="AQ104" s="33">
        <f t="shared" si="64"/>
        <v>102</v>
      </c>
    </row>
    <row r="105" spans="1:43" ht="20" thickBot="1">
      <c r="A105" s="33">
        <f t="shared" si="35"/>
        <v>103</v>
      </c>
      <c r="B105">
        <f t="shared" si="59"/>
        <v>5</v>
      </c>
      <c r="C105" s="183">
        <v>103</v>
      </c>
      <c r="D105" s="2" t="s">
        <v>782</v>
      </c>
      <c r="E105" t="s">
        <v>871</v>
      </c>
      <c r="F105" t="s">
        <v>799</v>
      </c>
      <c r="G105" t="s">
        <v>846</v>
      </c>
      <c r="I105" s="31">
        <f t="shared" si="62"/>
        <v>1923</v>
      </c>
      <c r="J105" s="99">
        <f t="shared" si="63"/>
        <v>1995</v>
      </c>
      <c r="K105" s="9" t="str">
        <f t="shared" si="60"/>
        <v>Lavinia (103): 1923</v>
      </c>
      <c r="L105" s="8">
        <v>8756</v>
      </c>
      <c r="M105" s="8">
        <v>8756</v>
      </c>
      <c r="N105" s="3">
        <v>16805</v>
      </c>
      <c r="O105" s="10" t="s">
        <v>3233</v>
      </c>
      <c r="P105" s="13">
        <f t="shared" si="65"/>
        <v>103</v>
      </c>
      <c r="Q105" s="19" t="str">
        <f t="shared" si="37"/>
        <v>Lavinia (103): 1923–1995</v>
      </c>
      <c r="R105" s="120">
        <v>72</v>
      </c>
      <c r="S105" s="15" t="str">
        <f t="shared" si="61"/>
        <v>Charles (72): 1891–1973</v>
      </c>
      <c r="T105" s="38">
        <f t="shared" si="51"/>
        <v>44</v>
      </c>
      <c r="U105" s="37" t="str">
        <f t="shared" si="52"/>
        <v>Harry (44): 1861–1938</v>
      </c>
      <c r="V105" s="27">
        <f t="shared" si="53"/>
        <v>23</v>
      </c>
      <c r="W105" s="28" t="str">
        <f t="shared" si="54"/>
        <v>William (23): 1821–1885</v>
      </c>
      <c r="X105" s="39">
        <f t="shared" si="38"/>
        <v>8</v>
      </c>
      <c r="Y105" s="40" t="str">
        <f t="shared" si="39"/>
        <v>Edward (8): 1780–1863</v>
      </c>
      <c r="Z105" s="29">
        <f t="shared" si="40"/>
        <v>1</v>
      </c>
      <c r="AA105" s="41" t="str">
        <f t="shared" si="41"/>
        <v>William (1): 1729–1800</v>
      </c>
      <c r="AB105" s="30">
        <f t="shared" si="42"/>
        <v>0</v>
      </c>
      <c r="AC105" s="43" t="str">
        <f t="shared" si="43"/>
        <v>Lewis (0): 1690–1758</v>
      </c>
      <c r="AD105" s="42">
        <f t="shared" si="44"/>
        <v>-1</v>
      </c>
      <c r="AE105" s="22" t="e">
        <f t="shared" si="45"/>
        <v>#N/A</v>
      </c>
      <c r="AF105" s="42" t="e">
        <f t="shared" si="46"/>
        <v>#N/A</v>
      </c>
      <c r="AG105" s="22" t="e">
        <f t="shared" si="47"/>
        <v>#N/A</v>
      </c>
      <c r="AH105" s="23" t="s">
        <v>2814</v>
      </c>
      <c r="AI105" s="33" t="s">
        <v>4394</v>
      </c>
      <c r="AJ105" s="264" t="str">
        <f>VLOOKUP(AI105,'Mums of Loyd Edit&amp;Partner Edit'!$B$4:$C$66,2,FALSE)</f>
        <v>Lady Moyra BRODRICK (b.11 Jan 1897, d. 1 Apr 1982)</v>
      </c>
      <c r="AK105" s="33">
        <f t="shared" si="55"/>
        <v>6</v>
      </c>
      <c r="AL105" s="33">
        <f t="shared" si="56"/>
        <v>87</v>
      </c>
      <c r="AM105" s="144">
        <f t="shared" si="57"/>
        <v>12</v>
      </c>
      <c r="AN105" s="144">
        <f t="shared" si="58"/>
        <v>12</v>
      </c>
      <c r="AO105">
        <f t="shared" si="66"/>
        <v>72</v>
      </c>
      <c r="AP105" s="103">
        <f t="shared" si="67"/>
        <v>99</v>
      </c>
      <c r="AQ105" s="33">
        <f t="shared" si="64"/>
        <v>103</v>
      </c>
    </row>
    <row r="106" spans="1:43" ht="20" thickBot="1">
      <c r="A106" s="33">
        <f t="shared" si="35"/>
        <v>104</v>
      </c>
      <c r="B106">
        <f t="shared" si="59"/>
        <v>5</v>
      </c>
      <c r="C106" s="183">
        <v>104</v>
      </c>
      <c r="D106" s="2" t="s">
        <v>782</v>
      </c>
      <c r="E106" t="s">
        <v>872</v>
      </c>
      <c r="F106" t="s">
        <v>873</v>
      </c>
      <c r="H106" t="s">
        <v>872</v>
      </c>
      <c r="I106" s="31">
        <f t="shared" si="62"/>
        <v>1926</v>
      </c>
      <c r="J106" s="99">
        <f t="shared" si="63"/>
        <v>2018</v>
      </c>
      <c r="K106" s="9" t="str">
        <f t="shared" si="60"/>
        <v>Sir Julian (104): 1926</v>
      </c>
      <c r="L106" s="8">
        <v>9642</v>
      </c>
      <c r="M106" s="8">
        <v>9642</v>
      </c>
      <c r="N106" s="3">
        <v>22209</v>
      </c>
      <c r="O106" s="10" t="s">
        <v>3234</v>
      </c>
      <c r="P106" s="13">
        <f t="shared" si="65"/>
        <v>104</v>
      </c>
      <c r="Q106" s="19" t="str">
        <f t="shared" si="37"/>
        <v>Sir Julian (104): 1926–2018</v>
      </c>
      <c r="R106" s="120">
        <v>72</v>
      </c>
      <c r="S106" s="15" t="str">
        <f t="shared" si="61"/>
        <v>Charles (72): 1891–1973</v>
      </c>
      <c r="T106" s="38">
        <f t="shared" si="51"/>
        <v>44</v>
      </c>
      <c r="U106" s="37" t="str">
        <f t="shared" si="52"/>
        <v>Harry (44): 1861–1938</v>
      </c>
      <c r="V106" s="27">
        <f t="shared" si="53"/>
        <v>23</v>
      </c>
      <c r="W106" s="28" t="str">
        <f t="shared" si="54"/>
        <v>William (23): 1821–1885</v>
      </c>
      <c r="X106" s="39">
        <f t="shared" si="38"/>
        <v>8</v>
      </c>
      <c r="Y106" s="40" t="str">
        <f t="shared" si="39"/>
        <v>Edward (8): 1780–1863</v>
      </c>
      <c r="Z106" s="29">
        <f t="shared" si="40"/>
        <v>1</v>
      </c>
      <c r="AA106" s="41" t="str">
        <f t="shared" si="41"/>
        <v>William (1): 1729–1800</v>
      </c>
      <c r="AB106" s="30">
        <f t="shared" si="42"/>
        <v>0</v>
      </c>
      <c r="AC106" s="43" t="str">
        <f t="shared" si="43"/>
        <v>Lewis (0): 1690–1758</v>
      </c>
      <c r="AD106" s="42">
        <f t="shared" si="44"/>
        <v>-1</v>
      </c>
      <c r="AE106" s="22" t="e">
        <f t="shared" si="45"/>
        <v>#N/A</v>
      </c>
      <c r="AF106" s="42" t="e">
        <f t="shared" si="46"/>
        <v>#N/A</v>
      </c>
      <c r="AG106" s="22" t="e">
        <f t="shared" si="47"/>
        <v>#N/A</v>
      </c>
      <c r="AH106" s="23" t="s">
        <v>2815</v>
      </c>
      <c r="AI106" s="33" t="s">
        <v>4394</v>
      </c>
      <c r="AJ106" s="264" t="str">
        <f>VLOOKUP(AI106,'Mums of Loyd Edit&amp;Partner Edit'!$B$4:$C$66,2,FALSE)</f>
        <v>Lady Moyra BRODRICK (b.11 Jan 1897, d. 1 Apr 1982)</v>
      </c>
      <c r="AK106" s="33">
        <f t="shared" si="55"/>
        <v>2</v>
      </c>
      <c r="AL106" s="33">
        <f t="shared" si="56"/>
        <v>96</v>
      </c>
      <c r="AM106" s="144">
        <f t="shared" si="57"/>
        <v>2</v>
      </c>
      <c r="AN106" s="144">
        <f t="shared" si="58"/>
        <v>7</v>
      </c>
      <c r="AO106">
        <f t="shared" si="66"/>
        <v>91</v>
      </c>
      <c r="AP106" s="103">
        <f t="shared" si="67"/>
        <v>96</v>
      </c>
      <c r="AQ106" s="33">
        <f t="shared" si="64"/>
        <v>104</v>
      </c>
    </row>
    <row r="107" spans="1:43" ht="36" thickBot="1">
      <c r="A107" s="33">
        <f t="shared" si="35"/>
        <v>105</v>
      </c>
      <c r="B107">
        <f t="shared" si="59"/>
        <v>5</v>
      </c>
      <c r="C107" s="183">
        <v>105</v>
      </c>
      <c r="D107" s="2" t="s">
        <v>782</v>
      </c>
      <c r="E107" t="s">
        <v>795</v>
      </c>
      <c r="F107" t="s">
        <v>822</v>
      </c>
      <c r="I107" s="31">
        <f t="shared" si="62"/>
        <v>1926</v>
      </c>
      <c r="J107" s="99">
        <f t="shared" si="63"/>
        <v>2018</v>
      </c>
      <c r="K107" s="9" t="str">
        <f t="shared" si="60"/>
        <v>Geoffrey (105): 1926</v>
      </c>
      <c r="L107" s="8">
        <v>9665</v>
      </c>
      <c r="M107" s="8">
        <v>9665</v>
      </c>
      <c r="N107" s="3">
        <v>17742</v>
      </c>
      <c r="O107" s="10" t="s">
        <v>3235</v>
      </c>
      <c r="P107" s="13">
        <f t="shared" si="65"/>
        <v>105</v>
      </c>
      <c r="Q107" s="19" t="str">
        <f t="shared" si="37"/>
        <v>Geoffrey (105): 1926–2018</v>
      </c>
      <c r="R107" s="120">
        <v>77</v>
      </c>
      <c r="S107" s="15" t="str">
        <f t="shared" si="61"/>
        <v>Wilfrid (77): 1893–1971</v>
      </c>
      <c r="T107" s="38">
        <f t="shared" si="51"/>
        <v>30</v>
      </c>
      <c r="U107" s="37" t="str">
        <f t="shared" si="52"/>
        <v>Archie (30): 1847–1922</v>
      </c>
      <c r="V107" s="27">
        <f t="shared" si="53"/>
        <v>14</v>
      </c>
      <c r="W107" s="28" t="str">
        <f t="shared" si="54"/>
        <v>Thomas (14): 1812–1857</v>
      </c>
      <c r="X107" s="39">
        <f t="shared" si="38"/>
        <v>4</v>
      </c>
      <c r="Y107" s="40" t="str">
        <f t="shared" si="39"/>
        <v>William (4): 1770–1828</v>
      </c>
      <c r="Z107" s="29">
        <f t="shared" si="40"/>
        <v>1</v>
      </c>
      <c r="AA107" s="41" t="str">
        <f t="shared" si="41"/>
        <v>William (1): 1729–1800</v>
      </c>
      <c r="AB107" s="30">
        <f t="shared" si="42"/>
        <v>0</v>
      </c>
      <c r="AC107" s="43" t="str">
        <f t="shared" si="43"/>
        <v>Lewis (0): 1690–1758</v>
      </c>
      <c r="AD107" s="42">
        <f t="shared" si="44"/>
        <v>-1</v>
      </c>
      <c r="AE107" s="22" t="e">
        <f t="shared" si="45"/>
        <v>#N/A</v>
      </c>
      <c r="AF107" s="42" t="e">
        <f t="shared" si="46"/>
        <v>#N/A</v>
      </c>
      <c r="AG107" s="22" t="e">
        <f t="shared" si="47"/>
        <v>#N/A</v>
      </c>
      <c r="AH107" s="23" t="s">
        <v>2815</v>
      </c>
      <c r="AI107" s="33" t="s">
        <v>4392</v>
      </c>
      <c r="AJ107" s="264" t="str">
        <f>VLOOKUP(AI107,'Mums of Loyd Edit&amp;Partner Edit'!$B$4:$C$66,2,FALSE)</f>
        <v>Emily Charlotte Eileen OAKELEY (b. 28 Jan 1896, d. 8 May 1978)</v>
      </c>
      <c r="AK107" s="33">
        <f t="shared" si="55"/>
        <v>5</v>
      </c>
      <c r="AL107" s="33">
        <f t="shared" si="56"/>
        <v>96</v>
      </c>
      <c r="AM107" s="144">
        <f t="shared" si="57"/>
        <v>8</v>
      </c>
      <c r="AN107" s="144">
        <f t="shared" si="58"/>
        <v>22</v>
      </c>
      <c r="AO107">
        <f t="shared" si="66"/>
        <v>92</v>
      </c>
      <c r="AP107" s="103">
        <f t="shared" si="67"/>
        <v>96</v>
      </c>
      <c r="AQ107" s="33">
        <f t="shared" si="64"/>
        <v>105</v>
      </c>
    </row>
    <row r="108" spans="1:43" ht="36" thickBot="1">
      <c r="A108" s="33">
        <f t="shared" si="35"/>
        <v>106</v>
      </c>
      <c r="B108">
        <f t="shared" si="59"/>
        <v>5</v>
      </c>
      <c r="C108" s="183">
        <v>106</v>
      </c>
      <c r="D108" s="2" t="s">
        <v>782</v>
      </c>
      <c r="E108" t="s">
        <v>874</v>
      </c>
      <c r="F108" t="s">
        <v>875</v>
      </c>
      <c r="G108" t="s">
        <v>876</v>
      </c>
      <c r="I108" s="31">
        <f t="shared" si="62"/>
        <v>1928</v>
      </c>
      <c r="J108" s="99" t="str">
        <f t="shared" si="63"/>
        <v/>
      </c>
      <c r="K108" s="9" t="str">
        <f t="shared" si="60"/>
        <v>Denise (106): 1928</v>
      </c>
      <c r="L108" s="8" t="str">
        <f>TEXT(M108,"dd/mm/yyyy")</f>
        <v>15/11/1928</v>
      </c>
      <c r="M108" s="10">
        <v>10547</v>
      </c>
      <c r="N108" s="3">
        <v>19885</v>
      </c>
      <c r="O108" s="8"/>
      <c r="P108" s="13">
        <f t="shared" si="65"/>
        <v>106</v>
      </c>
      <c r="Q108" s="19" t="str">
        <f t="shared" si="37"/>
        <v>Denise (106): 1928–</v>
      </c>
      <c r="R108" s="120">
        <v>77</v>
      </c>
      <c r="S108" s="15" t="str">
        <f t="shared" si="61"/>
        <v>Wilfrid (77): 1893–1971</v>
      </c>
      <c r="T108" s="38">
        <f t="shared" si="51"/>
        <v>30</v>
      </c>
      <c r="U108" s="37" t="str">
        <f t="shared" si="52"/>
        <v>Archie (30): 1847–1922</v>
      </c>
      <c r="V108" s="27">
        <f t="shared" si="53"/>
        <v>14</v>
      </c>
      <c r="W108" s="28" t="str">
        <f t="shared" si="54"/>
        <v>Thomas (14): 1812–1857</v>
      </c>
      <c r="X108" s="39">
        <f t="shared" si="38"/>
        <v>4</v>
      </c>
      <c r="Y108" s="40" t="str">
        <f t="shared" si="39"/>
        <v>William (4): 1770–1828</v>
      </c>
      <c r="Z108" s="29">
        <f t="shared" si="40"/>
        <v>1</v>
      </c>
      <c r="AA108" s="41" t="str">
        <f t="shared" si="41"/>
        <v>William (1): 1729–1800</v>
      </c>
      <c r="AB108" s="30">
        <f t="shared" si="42"/>
        <v>0</v>
      </c>
      <c r="AC108" s="43" t="str">
        <f t="shared" si="43"/>
        <v>Lewis (0): 1690–1758</v>
      </c>
      <c r="AD108" s="42">
        <f t="shared" si="44"/>
        <v>-1</v>
      </c>
      <c r="AE108" s="22" t="e">
        <f t="shared" si="45"/>
        <v>#N/A</v>
      </c>
      <c r="AF108" s="42" t="e">
        <f t="shared" si="46"/>
        <v>#N/A</v>
      </c>
      <c r="AG108" s="22" t="e">
        <f t="shared" si="47"/>
        <v>#N/A</v>
      </c>
      <c r="AH108" s="23" t="s">
        <v>2814</v>
      </c>
      <c r="AI108" s="33" t="s">
        <v>4392</v>
      </c>
      <c r="AJ108" s="264" t="str">
        <f>VLOOKUP(AI108,'Mums of Loyd Edit&amp;Partner Edit'!$B$4:$C$66,2,FALSE)</f>
        <v>Emily Charlotte Eileen OAKELEY (b. 28 Jan 1896, d. 8 May 1978)</v>
      </c>
      <c r="AK108" s="33">
        <f t="shared" si="55"/>
        <v>11</v>
      </c>
      <c r="AL108" s="33">
        <f t="shared" si="56"/>
        <v>15</v>
      </c>
      <c r="AM108" s="144">
        <f t="shared" si="57"/>
        <v>7</v>
      </c>
      <c r="AN108" s="144">
        <f t="shared" si="58"/>
        <v>1</v>
      </c>
      <c r="AO108">
        <f t="shared" si="66"/>
        <v>93</v>
      </c>
      <c r="AP108" s="103">
        <f t="shared" si="67"/>
        <v>93</v>
      </c>
      <c r="AQ108" s="33">
        <f t="shared" si="64"/>
        <v>106</v>
      </c>
    </row>
    <row r="109" spans="1:43" ht="20" thickBot="1">
      <c r="A109" s="33">
        <f t="shared" si="35"/>
        <v>107</v>
      </c>
      <c r="B109">
        <f t="shared" si="59"/>
        <v>5</v>
      </c>
      <c r="C109" s="183">
        <v>107</v>
      </c>
      <c r="D109" s="2" t="s">
        <v>782</v>
      </c>
      <c r="E109" t="s">
        <v>877</v>
      </c>
      <c r="F109" t="s">
        <v>819</v>
      </c>
      <c r="G109" t="s">
        <v>2950</v>
      </c>
      <c r="H109" t="s">
        <v>1679</v>
      </c>
      <c r="I109" s="31">
        <f t="shared" si="62"/>
        <v>1928</v>
      </c>
      <c r="J109" s="99">
        <f t="shared" si="63"/>
        <v>1996</v>
      </c>
      <c r="K109" s="9" t="str">
        <f t="shared" si="60"/>
        <v>Wooie (107): 1928</v>
      </c>
      <c r="L109" s="8" t="str">
        <f t="shared" ref="L109:L172" si="68">TEXT(M109,"dd/mm/yyyy")</f>
        <v>27/11/1928</v>
      </c>
      <c r="M109" s="8">
        <v>10559</v>
      </c>
      <c r="N109" s="3">
        <v>17647</v>
      </c>
      <c r="O109" s="10" t="s">
        <v>3236</v>
      </c>
      <c r="P109" s="13">
        <f t="shared" si="65"/>
        <v>107</v>
      </c>
      <c r="Q109" s="19" t="str">
        <f t="shared" si="37"/>
        <v>Wooie (107): 1928–1996</v>
      </c>
      <c r="R109" s="120">
        <v>76</v>
      </c>
      <c r="S109" s="15" t="str">
        <f t="shared" si="61"/>
        <v>Edward (76): 1893–1932</v>
      </c>
      <c r="T109" s="38">
        <f t="shared" si="51"/>
        <v>34</v>
      </c>
      <c r="U109" s="37" t="str">
        <f t="shared" si="52"/>
        <v>Ted (34): 1851–1922</v>
      </c>
      <c r="V109" s="27">
        <f t="shared" si="53"/>
        <v>14</v>
      </c>
      <c r="W109" s="28" t="str">
        <f t="shared" si="54"/>
        <v>Thomas (14): 1812–1857</v>
      </c>
      <c r="X109" s="39">
        <f t="shared" si="38"/>
        <v>4</v>
      </c>
      <c r="Y109" s="40" t="str">
        <f t="shared" si="39"/>
        <v>William (4): 1770–1828</v>
      </c>
      <c r="Z109" s="29">
        <f t="shared" si="40"/>
        <v>1</v>
      </c>
      <c r="AA109" s="41" t="str">
        <f t="shared" si="41"/>
        <v>William (1): 1729–1800</v>
      </c>
      <c r="AB109" s="30">
        <f t="shared" si="42"/>
        <v>0</v>
      </c>
      <c r="AC109" s="43" t="str">
        <f t="shared" si="43"/>
        <v>Lewis (0): 1690–1758</v>
      </c>
      <c r="AD109" s="42">
        <f t="shared" si="44"/>
        <v>-1</v>
      </c>
      <c r="AE109" s="22" t="e">
        <f t="shared" si="45"/>
        <v>#N/A</v>
      </c>
      <c r="AF109" s="42" t="e">
        <f t="shared" si="46"/>
        <v>#N/A</v>
      </c>
      <c r="AG109" s="22" t="e">
        <f t="shared" si="47"/>
        <v>#N/A</v>
      </c>
      <c r="AH109" s="23" t="s">
        <v>2814</v>
      </c>
      <c r="AI109" s="33" t="s">
        <v>4395</v>
      </c>
      <c r="AJ109" s="264" t="str">
        <f>VLOOKUP(AI109,'Mums of Loyd Edit&amp;Partner Edit'!$B$4:$C$66,2,FALSE)</f>
        <v xml:space="preserve">Nora CARRUTHERS (b. 31 Mar 1907, ) </v>
      </c>
      <c r="AK109" s="33">
        <f t="shared" si="55"/>
        <v>11</v>
      </c>
      <c r="AL109" s="33">
        <f t="shared" si="56"/>
        <v>27</v>
      </c>
      <c r="AM109" s="144">
        <f t="shared" si="57"/>
        <v>9</v>
      </c>
      <c r="AN109" s="144">
        <f t="shared" si="58"/>
        <v>11</v>
      </c>
      <c r="AO109">
        <f t="shared" si="66"/>
        <v>67</v>
      </c>
      <c r="AP109" s="103">
        <f t="shared" si="67"/>
        <v>93</v>
      </c>
      <c r="AQ109" s="33">
        <f t="shared" si="64"/>
        <v>107</v>
      </c>
    </row>
    <row r="110" spans="1:43" ht="20" thickBot="1">
      <c r="A110" s="33">
        <f t="shared" si="35"/>
        <v>108</v>
      </c>
      <c r="B110">
        <f t="shared" si="59"/>
        <v>5</v>
      </c>
      <c r="C110" s="183">
        <v>108</v>
      </c>
      <c r="D110" s="2" t="s">
        <v>782</v>
      </c>
      <c r="E110" t="s">
        <v>879</v>
      </c>
      <c r="F110" t="s">
        <v>880</v>
      </c>
      <c r="G110" t="s">
        <v>1563</v>
      </c>
      <c r="H110" t="s">
        <v>2951</v>
      </c>
      <c r="I110" s="31">
        <f t="shared" si="62"/>
        <v>1931</v>
      </c>
      <c r="J110" s="99" t="str">
        <f t="shared" si="63"/>
        <v/>
      </c>
      <c r="K110" s="9" t="str">
        <f t="shared" si="60"/>
        <v>Jos (108): 1931</v>
      </c>
      <c r="L110" s="8" t="str">
        <f t="shared" si="68"/>
        <v>01/12/1931</v>
      </c>
      <c r="M110" s="8">
        <v>11658</v>
      </c>
      <c r="N110" s="3">
        <v>18653</v>
      </c>
      <c r="O110" s="8"/>
      <c r="P110" s="13">
        <f t="shared" si="65"/>
        <v>108</v>
      </c>
      <c r="Q110" s="19" t="str">
        <f t="shared" si="37"/>
        <v>Jos (108): 1931–</v>
      </c>
      <c r="R110" s="120">
        <v>55</v>
      </c>
      <c r="S110" s="15" t="str">
        <f t="shared" si="61"/>
        <v>Dick (55): 1882–1950</v>
      </c>
      <c r="T110" s="38">
        <f t="shared" si="51"/>
        <v>35</v>
      </c>
      <c r="U110" s="37" t="str">
        <f t="shared" si="52"/>
        <v>Lewis (35): 1852–1908</v>
      </c>
      <c r="V110" s="27">
        <f t="shared" si="53"/>
        <v>23</v>
      </c>
      <c r="W110" s="28" t="str">
        <f t="shared" si="54"/>
        <v>William (23): 1821–1885</v>
      </c>
      <c r="X110" s="39">
        <f t="shared" si="38"/>
        <v>8</v>
      </c>
      <c r="Y110" s="40" t="str">
        <f t="shared" si="39"/>
        <v>Edward (8): 1780–1863</v>
      </c>
      <c r="Z110" s="29">
        <f t="shared" si="40"/>
        <v>1</v>
      </c>
      <c r="AA110" s="41" t="str">
        <f t="shared" si="41"/>
        <v>William (1): 1729–1800</v>
      </c>
      <c r="AB110" s="30">
        <f t="shared" si="42"/>
        <v>0</v>
      </c>
      <c r="AC110" s="43" t="str">
        <f t="shared" si="43"/>
        <v>Lewis (0): 1690–1758</v>
      </c>
      <c r="AD110" s="42">
        <f t="shared" si="44"/>
        <v>-1</v>
      </c>
      <c r="AE110" s="22" t="e">
        <f t="shared" si="45"/>
        <v>#N/A</v>
      </c>
      <c r="AF110" s="42" t="e">
        <f t="shared" si="46"/>
        <v>#N/A</v>
      </c>
      <c r="AG110" s="22" t="e">
        <f t="shared" si="47"/>
        <v>#N/A</v>
      </c>
      <c r="AH110" s="23" t="s">
        <v>2814</v>
      </c>
      <c r="AI110" s="33" t="s">
        <v>4396</v>
      </c>
      <c r="AJ110" s="264" t="str">
        <f>VLOOKUP(AI110,'Mums of Loyd Edit&amp;Partner Edit'!$B$4:$C$66,2,FALSE)</f>
        <v>Alice Selina (Lovely) MYHILL (b. 1 Nov 1909, )</v>
      </c>
      <c r="AK110" s="33">
        <f t="shared" si="55"/>
        <v>12</v>
      </c>
      <c r="AL110" s="33">
        <f t="shared" si="56"/>
        <v>1</v>
      </c>
      <c r="AM110" s="144">
        <f t="shared" si="57"/>
        <v>7</v>
      </c>
      <c r="AN110" s="144">
        <f t="shared" si="58"/>
        <v>1</v>
      </c>
      <c r="AO110">
        <f t="shared" si="66"/>
        <v>90</v>
      </c>
      <c r="AP110" s="103">
        <f t="shared" si="67"/>
        <v>90</v>
      </c>
      <c r="AQ110" s="33">
        <f t="shared" si="64"/>
        <v>108</v>
      </c>
    </row>
    <row r="111" spans="1:43" ht="36" thickBot="1">
      <c r="A111" s="33">
        <f t="shared" si="35"/>
        <v>109</v>
      </c>
      <c r="B111">
        <f t="shared" si="59"/>
        <v>5</v>
      </c>
      <c r="C111" s="183">
        <v>109</v>
      </c>
      <c r="D111" s="2" t="s">
        <v>782</v>
      </c>
      <c r="E111" t="s">
        <v>882</v>
      </c>
      <c r="F111" t="s">
        <v>883</v>
      </c>
      <c r="G111" t="s">
        <v>870</v>
      </c>
      <c r="I111" s="31">
        <f t="shared" si="62"/>
        <v>1932</v>
      </c>
      <c r="J111" s="99" t="str">
        <f t="shared" si="63"/>
        <v/>
      </c>
      <c r="K111" s="9" t="str">
        <f t="shared" si="60"/>
        <v>Margaret (109): 1932</v>
      </c>
      <c r="L111" s="8" t="str">
        <f t="shared" si="68"/>
        <v>01/03/1932</v>
      </c>
      <c r="M111" s="8">
        <v>11749</v>
      </c>
      <c r="N111" s="3">
        <v>23364</v>
      </c>
      <c r="O111" s="8"/>
      <c r="P111" s="13">
        <f t="shared" si="65"/>
        <v>109</v>
      </c>
      <c r="Q111" s="19" t="str">
        <f t="shared" si="37"/>
        <v>Margaret (109): 1932–</v>
      </c>
      <c r="R111" s="120">
        <v>80</v>
      </c>
      <c r="S111" s="15" t="str">
        <f t="shared" si="61"/>
        <v>Eric (80): 1894–1963</v>
      </c>
      <c r="T111" s="38">
        <f t="shared" si="51"/>
        <v>29</v>
      </c>
      <c r="U111" s="37" t="str">
        <f t="shared" si="52"/>
        <v>Arthur (29): 1845–1930</v>
      </c>
      <c r="V111" s="27">
        <f t="shared" si="53"/>
        <v>14</v>
      </c>
      <c r="W111" s="28" t="str">
        <f t="shared" si="54"/>
        <v>Thomas (14): 1812–1857</v>
      </c>
      <c r="X111" s="39">
        <f t="shared" si="38"/>
        <v>4</v>
      </c>
      <c r="Y111" s="40" t="str">
        <f t="shared" si="39"/>
        <v>William (4): 1770–1828</v>
      </c>
      <c r="Z111" s="29">
        <f t="shared" si="40"/>
        <v>1</v>
      </c>
      <c r="AA111" s="41" t="str">
        <f t="shared" si="41"/>
        <v>William (1): 1729–1800</v>
      </c>
      <c r="AB111" s="30">
        <f t="shared" si="42"/>
        <v>0</v>
      </c>
      <c r="AC111" s="43" t="str">
        <f t="shared" si="43"/>
        <v>Lewis (0): 1690–1758</v>
      </c>
      <c r="AD111" s="42">
        <f t="shared" si="44"/>
        <v>-1</v>
      </c>
      <c r="AE111" s="22" t="e">
        <f t="shared" si="45"/>
        <v>#N/A</v>
      </c>
      <c r="AF111" s="42" t="e">
        <f t="shared" si="46"/>
        <v>#N/A</v>
      </c>
      <c r="AG111" s="22" t="e">
        <f t="shared" si="47"/>
        <v>#N/A</v>
      </c>
      <c r="AH111" s="23" t="s">
        <v>2814</v>
      </c>
      <c r="AI111" s="33" t="s">
        <v>4397</v>
      </c>
      <c r="AJ111" s="264" t="str">
        <f>VLOOKUP(AI111,'Mums of Loyd Edit&amp;Partner Edit'!$B$4:$C$66,2,FALSE)</f>
        <v>Isabel Mary Beatrix PARKER (b. 22 Feb 1903, d. 13 Jan 1992)</v>
      </c>
      <c r="AK111" s="33">
        <f t="shared" si="55"/>
        <v>3</v>
      </c>
      <c r="AL111" s="33">
        <f t="shared" si="56"/>
        <v>1</v>
      </c>
      <c r="AM111" s="144">
        <f t="shared" si="57"/>
        <v>7</v>
      </c>
      <c r="AN111" s="144">
        <f t="shared" si="58"/>
        <v>1</v>
      </c>
      <c r="AO111">
        <f t="shared" si="66"/>
        <v>90</v>
      </c>
      <c r="AP111" s="103">
        <f t="shared" si="67"/>
        <v>90</v>
      </c>
      <c r="AQ111" s="33">
        <f t="shared" si="64"/>
        <v>109</v>
      </c>
    </row>
    <row r="112" spans="1:43" ht="36" thickBot="1">
      <c r="A112" s="33">
        <f t="shared" si="35"/>
        <v>110</v>
      </c>
      <c r="B112">
        <f t="shared" si="59"/>
        <v>5</v>
      </c>
      <c r="C112" s="183">
        <v>110</v>
      </c>
      <c r="D112" s="2" t="s">
        <v>782</v>
      </c>
      <c r="E112" t="s">
        <v>884</v>
      </c>
      <c r="F112" t="s">
        <v>863</v>
      </c>
      <c r="I112" s="31">
        <f t="shared" si="62"/>
        <v>1933</v>
      </c>
      <c r="J112" s="99" t="str">
        <f t="shared" si="63"/>
        <v/>
      </c>
      <c r="K112" s="9" t="str">
        <f t="shared" si="60"/>
        <v>Jean (110): 1933</v>
      </c>
      <c r="L112" s="8" t="str">
        <f t="shared" si="68"/>
        <v>31/08/1933</v>
      </c>
      <c r="M112" s="8">
        <v>12297</v>
      </c>
      <c r="N112" s="3">
        <v>21801</v>
      </c>
      <c r="O112" s="8"/>
      <c r="P112" s="13">
        <f t="shared" si="65"/>
        <v>110</v>
      </c>
      <c r="Q112" s="19" t="str">
        <f t="shared" si="37"/>
        <v>Jean (110): 1933–</v>
      </c>
      <c r="R112" s="120">
        <v>80</v>
      </c>
      <c r="S112" s="15" t="str">
        <f t="shared" si="61"/>
        <v>Eric (80): 1894–1963</v>
      </c>
      <c r="T112" s="38">
        <f t="shared" si="51"/>
        <v>29</v>
      </c>
      <c r="U112" s="37" t="str">
        <f t="shared" si="52"/>
        <v>Arthur (29): 1845–1930</v>
      </c>
      <c r="V112" s="27">
        <f t="shared" si="53"/>
        <v>14</v>
      </c>
      <c r="W112" s="28" t="str">
        <f t="shared" si="54"/>
        <v>Thomas (14): 1812–1857</v>
      </c>
      <c r="X112" s="39">
        <f t="shared" si="38"/>
        <v>4</v>
      </c>
      <c r="Y112" s="40" t="str">
        <f t="shared" si="39"/>
        <v>William (4): 1770–1828</v>
      </c>
      <c r="Z112" s="29">
        <f t="shared" si="40"/>
        <v>1</v>
      </c>
      <c r="AA112" s="41" t="str">
        <f t="shared" si="41"/>
        <v>William (1): 1729–1800</v>
      </c>
      <c r="AB112" s="30">
        <f t="shared" si="42"/>
        <v>0</v>
      </c>
      <c r="AC112" s="43" t="str">
        <f t="shared" si="43"/>
        <v>Lewis (0): 1690–1758</v>
      </c>
      <c r="AD112" s="42">
        <f t="shared" si="44"/>
        <v>-1</v>
      </c>
      <c r="AE112" s="22" t="e">
        <f t="shared" si="45"/>
        <v>#N/A</v>
      </c>
      <c r="AF112" s="42" t="e">
        <f t="shared" si="46"/>
        <v>#N/A</v>
      </c>
      <c r="AG112" s="22" t="e">
        <f t="shared" si="47"/>
        <v>#N/A</v>
      </c>
      <c r="AH112" s="23" t="s">
        <v>2814</v>
      </c>
      <c r="AI112" s="33" t="s">
        <v>4397</v>
      </c>
      <c r="AJ112" s="264" t="str">
        <f>VLOOKUP(AI112,'Mums of Loyd Edit&amp;Partner Edit'!$B$4:$C$66,2,FALSE)</f>
        <v>Isabel Mary Beatrix PARKER (b. 22 Feb 1903, d. 13 Jan 1992)</v>
      </c>
      <c r="AK112" s="33">
        <f t="shared" si="55"/>
        <v>8</v>
      </c>
      <c r="AL112" s="33">
        <f t="shared" si="56"/>
        <v>31</v>
      </c>
      <c r="AM112" s="144">
        <f t="shared" si="57"/>
        <v>7</v>
      </c>
      <c r="AN112" s="144">
        <f t="shared" si="58"/>
        <v>1</v>
      </c>
      <c r="AO112">
        <f t="shared" si="66"/>
        <v>88</v>
      </c>
      <c r="AP112" s="103">
        <f t="shared" si="67"/>
        <v>88</v>
      </c>
      <c r="AQ112" s="33">
        <f t="shared" si="64"/>
        <v>110</v>
      </c>
    </row>
    <row r="113" spans="1:43" ht="36" thickBot="1">
      <c r="A113" s="33">
        <f t="shared" si="35"/>
        <v>111</v>
      </c>
      <c r="B113">
        <f t="shared" si="59"/>
        <v>5</v>
      </c>
      <c r="C113" s="183">
        <v>111</v>
      </c>
      <c r="D113" s="2" t="s">
        <v>782</v>
      </c>
      <c r="E113" t="s">
        <v>885</v>
      </c>
      <c r="F113" t="s">
        <v>822</v>
      </c>
      <c r="I113" s="31">
        <f t="shared" si="62"/>
        <v>1934</v>
      </c>
      <c r="J113" s="99">
        <f t="shared" si="63"/>
        <v>1975</v>
      </c>
      <c r="K113" s="9" t="str">
        <f t="shared" si="60"/>
        <v>Andrew (111): 1934</v>
      </c>
      <c r="L113" s="8" t="str">
        <f t="shared" si="68"/>
        <v>12/08/1934</v>
      </c>
      <c r="M113" s="8">
        <v>12643</v>
      </c>
      <c r="N113" t="s">
        <v>3792</v>
      </c>
      <c r="O113" s="10" t="s">
        <v>3237</v>
      </c>
      <c r="P113" s="13">
        <f t="shared" si="65"/>
        <v>111</v>
      </c>
      <c r="Q113" s="19" t="str">
        <f t="shared" si="37"/>
        <v>Andrew (111): 1934–1975</v>
      </c>
      <c r="R113" s="120">
        <v>77</v>
      </c>
      <c r="S113" s="15" t="str">
        <f t="shared" si="61"/>
        <v>Wilfrid (77): 1893–1971</v>
      </c>
      <c r="T113" s="38">
        <f t="shared" si="51"/>
        <v>30</v>
      </c>
      <c r="U113" s="37" t="str">
        <f t="shared" si="52"/>
        <v>Archie (30): 1847–1922</v>
      </c>
      <c r="V113" s="27">
        <f t="shared" si="53"/>
        <v>14</v>
      </c>
      <c r="W113" s="28" t="str">
        <f t="shared" si="54"/>
        <v>Thomas (14): 1812–1857</v>
      </c>
      <c r="X113" s="39">
        <f t="shared" si="38"/>
        <v>4</v>
      </c>
      <c r="Y113" s="40" t="str">
        <f t="shared" si="39"/>
        <v>William (4): 1770–1828</v>
      </c>
      <c r="Z113" s="29">
        <f t="shared" si="40"/>
        <v>1</v>
      </c>
      <c r="AA113" s="41" t="str">
        <f t="shared" si="41"/>
        <v>William (1): 1729–1800</v>
      </c>
      <c r="AB113" s="30">
        <f t="shared" si="42"/>
        <v>0</v>
      </c>
      <c r="AC113" s="43" t="str">
        <f t="shared" si="43"/>
        <v>Lewis (0): 1690–1758</v>
      </c>
      <c r="AD113" s="42">
        <f t="shared" si="44"/>
        <v>-1</v>
      </c>
      <c r="AE113" s="22" t="e">
        <f t="shared" si="45"/>
        <v>#N/A</v>
      </c>
      <c r="AF113" s="42" t="e">
        <f t="shared" si="46"/>
        <v>#N/A</v>
      </c>
      <c r="AG113" s="22" t="e">
        <f t="shared" si="47"/>
        <v>#N/A</v>
      </c>
      <c r="AH113" s="23" t="s">
        <v>2815</v>
      </c>
      <c r="AI113" s="33" t="s">
        <v>4392</v>
      </c>
      <c r="AJ113" s="264" t="str">
        <f>VLOOKUP(AI113,'Mums of Loyd Edit&amp;Partner Edit'!$B$4:$C$66,2,FALSE)</f>
        <v>Emily Charlotte Eileen OAKELEY (b. 28 Jan 1896, d. 8 May 1978)</v>
      </c>
      <c r="AK113" s="33">
        <f t="shared" si="55"/>
        <v>8</v>
      </c>
      <c r="AL113" s="33">
        <f t="shared" si="56"/>
        <v>12</v>
      </c>
      <c r="AM113" s="144">
        <f t="shared" si="57"/>
        <v>3</v>
      </c>
      <c r="AN113" s="144">
        <f t="shared" si="58"/>
        <v>7</v>
      </c>
      <c r="AO113">
        <f t="shared" si="66"/>
        <v>40</v>
      </c>
      <c r="AP113" s="103">
        <f t="shared" si="67"/>
        <v>87</v>
      </c>
      <c r="AQ113" s="33">
        <f t="shared" si="64"/>
        <v>111</v>
      </c>
    </row>
    <row r="114" spans="1:43" ht="20" thickBot="1">
      <c r="A114" s="33">
        <f t="shared" si="35"/>
        <v>112</v>
      </c>
      <c r="B114">
        <f t="shared" si="59"/>
        <v>5</v>
      </c>
      <c r="C114" s="183">
        <v>112</v>
      </c>
      <c r="D114" s="2" t="s">
        <v>782</v>
      </c>
      <c r="E114" t="s">
        <v>887</v>
      </c>
      <c r="F114" t="s">
        <v>888</v>
      </c>
      <c r="G114" t="s">
        <v>2952</v>
      </c>
      <c r="H114" t="s">
        <v>1736</v>
      </c>
      <c r="I114" s="31">
        <f t="shared" si="62"/>
        <v>1936</v>
      </c>
      <c r="J114" s="99">
        <f t="shared" si="63"/>
        <v>2016</v>
      </c>
      <c r="K114" s="9" t="str">
        <f t="shared" si="60"/>
        <v>Deen (112): 1936</v>
      </c>
      <c r="L114" s="8" t="str">
        <f t="shared" si="68"/>
        <v>24/02/1936</v>
      </c>
      <c r="M114" s="8">
        <v>13204</v>
      </c>
      <c r="N114" s="3">
        <v>24181</v>
      </c>
      <c r="O114" s="10" t="s">
        <v>3238</v>
      </c>
      <c r="P114" s="13">
        <f t="shared" si="65"/>
        <v>112</v>
      </c>
      <c r="Q114" s="19" t="str">
        <f t="shared" si="37"/>
        <v>Deen (112): 1936–2016</v>
      </c>
      <c r="R114" s="120">
        <v>55</v>
      </c>
      <c r="S114" s="15" t="str">
        <f t="shared" si="61"/>
        <v>Dick (55): 1882–1950</v>
      </c>
      <c r="T114" s="38">
        <f t="shared" si="51"/>
        <v>35</v>
      </c>
      <c r="U114" s="37" t="str">
        <f t="shared" si="52"/>
        <v>Lewis (35): 1852–1908</v>
      </c>
      <c r="V114" s="27">
        <f t="shared" si="53"/>
        <v>23</v>
      </c>
      <c r="W114" s="28" t="str">
        <f t="shared" si="54"/>
        <v>William (23): 1821–1885</v>
      </c>
      <c r="X114" s="39">
        <f t="shared" si="38"/>
        <v>8</v>
      </c>
      <c r="Y114" s="40" t="str">
        <f t="shared" si="39"/>
        <v>Edward (8): 1780–1863</v>
      </c>
      <c r="Z114" s="29">
        <f t="shared" si="40"/>
        <v>1</v>
      </c>
      <c r="AA114" s="41" t="str">
        <f t="shared" si="41"/>
        <v>William (1): 1729–1800</v>
      </c>
      <c r="AB114" s="30">
        <f t="shared" si="42"/>
        <v>0</v>
      </c>
      <c r="AC114" s="43" t="str">
        <f t="shared" si="43"/>
        <v>Lewis (0): 1690–1758</v>
      </c>
      <c r="AD114" s="42">
        <f t="shared" si="44"/>
        <v>-1</v>
      </c>
      <c r="AE114" s="22" t="e">
        <f t="shared" si="45"/>
        <v>#N/A</v>
      </c>
      <c r="AF114" s="42" t="e">
        <f t="shared" si="46"/>
        <v>#N/A</v>
      </c>
      <c r="AG114" s="22" t="e">
        <f t="shared" si="47"/>
        <v>#N/A</v>
      </c>
      <c r="AH114" s="23" t="s">
        <v>2814</v>
      </c>
      <c r="AI114" s="33" t="s">
        <v>4396</v>
      </c>
      <c r="AJ114" s="264" t="str">
        <f>VLOOKUP(AI114,'Mums of Loyd Edit&amp;Partner Edit'!$B$4:$C$66,2,FALSE)</f>
        <v>Alice Selina (Lovely) MYHILL (b. 1 Nov 1909, )</v>
      </c>
      <c r="AK114" s="33">
        <f t="shared" si="55"/>
        <v>2</v>
      </c>
      <c r="AL114" s="33">
        <f t="shared" si="56"/>
        <v>24</v>
      </c>
      <c r="AM114" s="144">
        <f t="shared" si="57"/>
        <v>5</v>
      </c>
      <c r="AN114" s="144">
        <f t="shared" si="58"/>
        <v>1</v>
      </c>
      <c r="AO114">
        <f t="shared" si="66"/>
        <v>80</v>
      </c>
      <c r="AP114" s="103">
        <f t="shared" si="67"/>
        <v>86</v>
      </c>
      <c r="AQ114" s="33">
        <f t="shared" si="64"/>
        <v>112</v>
      </c>
    </row>
    <row r="115" spans="1:43" ht="20" thickBot="1">
      <c r="A115" s="33">
        <f t="shared" si="35"/>
        <v>113</v>
      </c>
      <c r="B115">
        <f t="shared" si="59"/>
        <v>5</v>
      </c>
      <c r="C115" s="183">
        <v>113</v>
      </c>
      <c r="D115" s="2" t="s">
        <v>782</v>
      </c>
      <c r="E115" t="s">
        <v>830</v>
      </c>
      <c r="F115" t="s">
        <v>890</v>
      </c>
      <c r="G115" t="s">
        <v>824</v>
      </c>
      <c r="H115" t="s">
        <v>1187</v>
      </c>
      <c r="I115" s="31">
        <f t="shared" si="62"/>
        <v>1937</v>
      </c>
      <c r="J115" s="99">
        <f t="shared" si="63"/>
        <v>1994</v>
      </c>
      <c r="K115" s="9" t="str">
        <f t="shared" si="60"/>
        <v>Willie (113): 1937</v>
      </c>
      <c r="L115" s="8" t="str">
        <f t="shared" si="68"/>
        <v>23/12/1937</v>
      </c>
      <c r="M115" s="8">
        <v>13872</v>
      </c>
      <c r="N115" s="3">
        <v>22929</v>
      </c>
      <c r="O115" s="10" t="s">
        <v>3239</v>
      </c>
      <c r="P115" s="13">
        <f t="shared" si="65"/>
        <v>113</v>
      </c>
      <c r="Q115" s="19" t="str">
        <f t="shared" si="37"/>
        <v>Willie (113): 1937–1994</v>
      </c>
      <c r="R115" s="120">
        <v>78</v>
      </c>
      <c r="S115" s="15" t="str">
        <f t="shared" si="61"/>
        <v>Vivian (78): 1894–1972</v>
      </c>
      <c r="T115" s="38">
        <f t="shared" si="51"/>
        <v>46</v>
      </c>
      <c r="U115" s="37" t="str">
        <f t="shared" si="52"/>
        <v>William (46): 1863–1923</v>
      </c>
      <c r="V115" s="27">
        <f t="shared" si="53"/>
        <v>23</v>
      </c>
      <c r="W115" s="28" t="str">
        <f t="shared" si="54"/>
        <v>William (23): 1821–1885</v>
      </c>
      <c r="X115" s="39">
        <f t="shared" si="38"/>
        <v>8</v>
      </c>
      <c r="Y115" s="40" t="str">
        <f t="shared" si="39"/>
        <v>Edward (8): 1780–1863</v>
      </c>
      <c r="Z115" s="29">
        <f t="shared" si="40"/>
        <v>1</v>
      </c>
      <c r="AA115" s="41" t="str">
        <f t="shared" si="41"/>
        <v>William (1): 1729–1800</v>
      </c>
      <c r="AB115" s="30">
        <f t="shared" si="42"/>
        <v>0</v>
      </c>
      <c r="AC115" s="43" t="str">
        <f t="shared" si="43"/>
        <v>Lewis (0): 1690–1758</v>
      </c>
      <c r="AD115" s="42">
        <f t="shared" si="44"/>
        <v>-1</v>
      </c>
      <c r="AE115" s="22" t="e">
        <f t="shared" si="45"/>
        <v>#N/A</v>
      </c>
      <c r="AF115" s="42" t="e">
        <f t="shared" si="46"/>
        <v>#N/A</v>
      </c>
      <c r="AG115" s="22" t="e">
        <f t="shared" si="47"/>
        <v>#N/A</v>
      </c>
      <c r="AH115" s="23" t="s">
        <v>2815</v>
      </c>
      <c r="AI115" s="33" t="s">
        <v>4398</v>
      </c>
      <c r="AJ115" s="264" t="str">
        <f>VLOOKUP(AI115,'Mums of Loyd Edit&amp;Partner Edit'!$B$4:$C$66,2,FALSE)</f>
        <v>Phyllis Mary Porter TRINGHAM (b. 17 Sep 1907, )</v>
      </c>
      <c r="AK115" s="33">
        <f t="shared" si="55"/>
        <v>12</v>
      </c>
      <c r="AL115" s="33">
        <f t="shared" si="56"/>
        <v>23</v>
      </c>
      <c r="AM115" s="144">
        <f t="shared" si="57"/>
        <v>7</v>
      </c>
      <c r="AN115" s="144">
        <f t="shared" si="58"/>
        <v>8</v>
      </c>
      <c r="AO115">
        <f t="shared" si="66"/>
        <v>56</v>
      </c>
      <c r="AP115" s="103">
        <f t="shared" si="67"/>
        <v>84</v>
      </c>
      <c r="AQ115" s="33">
        <f t="shared" si="64"/>
        <v>113</v>
      </c>
    </row>
    <row r="116" spans="1:43" ht="36" thickBot="1">
      <c r="A116" s="33">
        <f t="shared" si="35"/>
        <v>114</v>
      </c>
      <c r="B116">
        <f t="shared" si="59"/>
        <v>5</v>
      </c>
      <c r="C116" s="183">
        <v>114</v>
      </c>
      <c r="D116" s="2" t="s">
        <v>782</v>
      </c>
      <c r="E116" t="s">
        <v>842</v>
      </c>
      <c r="F116" t="s">
        <v>891</v>
      </c>
      <c r="H116" t="s">
        <v>891</v>
      </c>
      <c r="I116" s="31">
        <f t="shared" si="62"/>
        <v>1938</v>
      </c>
      <c r="J116" s="99" t="str">
        <f t="shared" si="63"/>
        <v/>
      </c>
      <c r="K116" s="9" t="str">
        <f t="shared" si="60"/>
        <v>Michael (114): 1938</v>
      </c>
      <c r="L116" s="8" t="str">
        <f t="shared" si="68"/>
        <v>28/08/1938</v>
      </c>
      <c r="M116" s="8">
        <v>14120</v>
      </c>
      <c r="N116" s="3">
        <v>26915</v>
      </c>
      <c r="O116" s="8"/>
      <c r="P116" s="13">
        <f t="shared" si="65"/>
        <v>114</v>
      </c>
      <c r="Q116" s="19" t="str">
        <f t="shared" si="37"/>
        <v>Michael (114): 1938–</v>
      </c>
      <c r="R116" s="120">
        <v>80</v>
      </c>
      <c r="S116" s="15" t="str">
        <f t="shared" si="61"/>
        <v>Eric (80): 1894–1963</v>
      </c>
      <c r="T116" s="38">
        <f t="shared" si="51"/>
        <v>29</v>
      </c>
      <c r="U116" s="37" t="str">
        <f t="shared" si="52"/>
        <v>Arthur (29): 1845–1930</v>
      </c>
      <c r="V116" s="27">
        <f t="shared" si="53"/>
        <v>14</v>
      </c>
      <c r="W116" s="28" t="str">
        <f t="shared" si="54"/>
        <v>Thomas (14): 1812–1857</v>
      </c>
      <c r="X116" s="39">
        <f t="shared" si="38"/>
        <v>4</v>
      </c>
      <c r="Y116" s="40" t="str">
        <f t="shared" si="39"/>
        <v>William (4): 1770–1828</v>
      </c>
      <c r="Z116" s="29">
        <f t="shared" si="40"/>
        <v>1</v>
      </c>
      <c r="AA116" s="41" t="str">
        <f t="shared" si="41"/>
        <v>William (1): 1729–1800</v>
      </c>
      <c r="AB116" s="30">
        <f t="shared" si="42"/>
        <v>0</v>
      </c>
      <c r="AC116" s="43" t="str">
        <f t="shared" si="43"/>
        <v>Lewis (0): 1690–1758</v>
      </c>
      <c r="AD116" s="42">
        <f t="shared" si="44"/>
        <v>-1</v>
      </c>
      <c r="AE116" s="22" t="e">
        <f t="shared" si="45"/>
        <v>#N/A</v>
      </c>
      <c r="AF116" s="42" t="e">
        <f t="shared" si="46"/>
        <v>#N/A</v>
      </c>
      <c r="AG116" s="22" t="e">
        <f t="shared" si="47"/>
        <v>#N/A</v>
      </c>
      <c r="AH116" s="23" t="s">
        <v>2815</v>
      </c>
      <c r="AI116" s="33" t="s">
        <v>4397</v>
      </c>
      <c r="AJ116" s="264" t="str">
        <f>VLOOKUP(AI116,'Mums of Loyd Edit&amp;Partner Edit'!$B$4:$C$66,2,FALSE)</f>
        <v>Isabel Mary Beatrix PARKER (b. 22 Feb 1903, d. 13 Jan 1992)</v>
      </c>
      <c r="AK116" s="33">
        <f t="shared" si="55"/>
        <v>8</v>
      </c>
      <c r="AL116" s="33">
        <f t="shared" si="56"/>
        <v>28</v>
      </c>
      <c r="AM116" s="144">
        <f t="shared" si="57"/>
        <v>7</v>
      </c>
      <c r="AN116" s="144">
        <f t="shared" si="58"/>
        <v>1</v>
      </c>
      <c r="AO116">
        <f t="shared" si="66"/>
        <v>83</v>
      </c>
      <c r="AP116" s="103">
        <f t="shared" si="67"/>
        <v>83</v>
      </c>
      <c r="AQ116" s="33">
        <f t="shared" si="64"/>
        <v>114</v>
      </c>
    </row>
    <row r="117" spans="1:43" ht="20" thickBot="1">
      <c r="A117" s="33">
        <f t="shared" si="35"/>
        <v>115</v>
      </c>
      <c r="B117">
        <f t="shared" si="59"/>
        <v>5</v>
      </c>
      <c r="C117" s="183">
        <v>115</v>
      </c>
      <c r="D117" s="2" t="s">
        <v>782</v>
      </c>
      <c r="E117" t="s">
        <v>892</v>
      </c>
      <c r="F117" t="s">
        <v>893</v>
      </c>
      <c r="I117" s="31">
        <f t="shared" si="62"/>
        <v>1939</v>
      </c>
      <c r="J117" s="99">
        <f t="shared" si="63"/>
        <v>2018</v>
      </c>
      <c r="K117" s="9" t="str">
        <f t="shared" si="60"/>
        <v>Belinda (115): 1939</v>
      </c>
      <c r="L117" s="8" t="str">
        <f t="shared" si="68"/>
        <v>06/07/1939</v>
      </c>
      <c r="M117" s="8">
        <v>14432</v>
      </c>
      <c r="N117" s="3">
        <v>23298</v>
      </c>
      <c r="O117" s="10" t="s">
        <v>3240</v>
      </c>
      <c r="P117" s="13">
        <f t="shared" si="65"/>
        <v>115</v>
      </c>
      <c r="Q117" s="19" t="str">
        <f t="shared" si="37"/>
        <v>Belinda (115): 1939–2018</v>
      </c>
      <c r="R117" s="120">
        <v>78</v>
      </c>
      <c r="S117" s="15" t="str">
        <f t="shared" si="61"/>
        <v>Vivian (78): 1894–1972</v>
      </c>
      <c r="T117" s="38">
        <f t="shared" si="51"/>
        <v>46</v>
      </c>
      <c r="U117" s="37" t="str">
        <f t="shared" si="52"/>
        <v>William (46): 1863–1923</v>
      </c>
      <c r="V117" s="27">
        <f t="shared" si="53"/>
        <v>23</v>
      </c>
      <c r="W117" s="28" t="str">
        <f t="shared" si="54"/>
        <v>William (23): 1821–1885</v>
      </c>
      <c r="X117" s="39">
        <f t="shared" si="38"/>
        <v>8</v>
      </c>
      <c r="Y117" s="40" t="str">
        <f t="shared" si="39"/>
        <v>Edward (8): 1780–1863</v>
      </c>
      <c r="Z117" s="29">
        <f t="shared" si="40"/>
        <v>1</v>
      </c>
      <c r="AA117" s="41" t="str">
        <f t="shared" si="41"/>
        <v>William (1): 1729–1800</v>
      </c>
      <c r="AB117" s="30">
        <f t="shared" si="42"/>
        <v>0</v>
      </c>
      <c r="AC117" s="43" t="str">
        <f t="shared" si="43"/>
        <v>Lewis (0): 1690–1758</v>
      </c>
      <c r="AD117" s="42">
        <f t="shared" si="44"/>
        <v>-1</v>
      </c>
      <c r="AE117" s="22" t="e">
        <f t="shared" si="45"/>
        <v>#N/A</v>
      </c>
      <c r="AF117" s="42" t="e">
        <f t="shared" si="46"/>
        <v>#N/A</v>
      </c>
      <c r="AG117" s="22" t="e">
        <f t="shared" si="47"/>
        <v>#N/A</v>
      </c>
      <c r="AH117" s="23" t="s">
        <v>2814</v>
      </c>
      <c r="AI117" s="33" t="s">
        <v>4398</v>
      </c>
      <c r="AJ117" s="264" t="str">
        <f>VLOOKUP(AI117,'Mums of Loyd Edit&amp;Partner Edit'!$B$4:$C$66,2,FALSE)</f>
        <v>Phyllis Mary Porter TRINGHAM (b. 17 Sep 1907, )</v>
      </c>
      <c r="AK117" s="33">
        <f t="shared" si="55"/>
        <v>7</v>
      </c>
      <c r="AL117" s="33">
        <f t="shared" si="56"/>
        <v>6</v>
      </c>
      <c r="AM117" s="144">
        <f t="shared" si="57"/>
        <v>12</v>
      </c>
      <c r="AN117" s="144">
        <f t="shared" si="58"/>
        <v>1</v>
      </c>
      <c r="AO117">
        <f t="shared" si="66"/>
        <v>79</v>
      </c>
      <c r="AP117" s="103">
        <f t="shared" si="67"/>
        <v>82</v>
      </c>
      <c r="AQ117" s="33">
        <f t="shared" si="64"/>
        <v>115</v>
      </c>
    </row>
    <row r="118" spans="1:43" ht="20" thickBot="1">
      <c r="A118" s="33">
        <f t="shared" si="35"/>
        <v>116</v>
      </c>
      <c r="B118">
        <f t="shared" si="59"/>
        <v>5</v>
      </c>
      <c r="C118" s="183">
        <v>116</v>
      </c>
      <c r="D118" s="2" t="s">
        <v>782</v>
      </c>
      <c r="E118" t="s">
        <v>882</v>
      </c>
      <c r="F118" t="s">
        <v>894</v>
      </c>
      <c r="G118" t="s">
        <v>875</v>
      </c>
      <c r="H118" t="s">
        <v>1735</v>
      </c>
      <c r="I118" s="31">
        <f t="shared" si="62"/>
        <v>1939</v>
      </c>
      <c r="J118" s="99" t="str">
        <f t="shared" si="63"/>
        <v/>
      </c>
      <c r="K118" s="9" t="str">
        <f t="shared" si="60"/>
        <v>Peggy (116): 1939</v>
      </c>
      <c r="L118" s="8" t="str">
        <f t="shared" si="68"/>
        <v>18/11/1939</v>
      </c>
      <c r="M118" s="8">
        <v>14567</v>
      </c>
      <c r="N118" s="3">
        <v>25312</v>
      </c>
      <c r="O118" s="8"/>
      <c r="P118" s="13">
        <f t="shared" si="65"/>
        <v>116</v>
      </c>
      <c r="Q118" s="19" t="str">
        <f t="shared" si="37"/>
        <v>Peggy (116): 1939–</v>
      </c>
      <c r="R118" s="120">
        <v>55</v>
      </c>
      <c r="S118" s="15" t="str">
        <f t="shared" si="61"/>
        <v>Dick (55): 1882–1950</v>
      </c>
      <c r="T118" s="38">
        <f t="shared" si="51"/>
        <v>35</v>
      </c>
      <c r="U118" s="37" t="str">
        <f t="shared" si="52"/>
        <v>Lewis (35): 1852–1908</v>
      </c>
      <c r="V118" s="27">
        <f t="shared" si="53"/>
        <v>23</v>
      </c>
      <c r="W118" s="28" t="str">
        <f t="shared" si="54"/>
        <v>William (23): 1821–1885</v>
      </c>
      <c r="X118" s="39">
        <f t="shared" si="38"/>
        <v>8</v>
      </c>
      <c r="Y118" s="40" t="str">
        <f t="shared" si="39"/>
        <v>Edward (8): 1780–1863</v>
      </c>
      <c r="Z118" s="29">
        <f t="shared" si="40"/>
        <v>1</v>
      </c>
      <c r="AA118" s="41" t="str">
        <f t="shared" si="41"/>
        <v>William (1): 1729–1800</v>
      </c>
      <c r="AB118" s="30">
        <f t="shared" si="42"/>
        <v>0</v>
      </c>
      <c r="AC118" s="43" t="str">
        <f t="shared" si="43"/>
        <v>Lewis (0): 1690–1758</v>
      </c>
      <c r="AD118" s="42">
        <f t="shared" si="44"/>
        <v>-1</v>
      </c>
      <c r="AE118" s="22" t="e">
        <f t="shared" si="45"/>
        <v>#N/A</v>
      </c>
      <c r="AF118" s="42" t="e">
        <f t="shared" si="46"/>
        <v>#N/A</v>
      </c>
      <c r="AG118" s="22" t="e">
        <f t="shared" si="47"/>
        <v>#N/A</v>
      </c>
      <c r="AH118" s="23" t="s">
        <v>2814</v>
      </c>
      <c r="AI118" s="33" t="s">
        <v>4396</v>
      </c>
      <c r="AJ118" s="264" t="str">
        <f>VLOOKUP(AI118,'Mums of Loyd Edit&amp;Partner Edit'!$B$4:$C$66,2,FALSE)</f>
        <v>Alice Selina (Lovely) MYHILL (b. 1 Nov 1909, )</v>
      </c>
      <c r="AK118" s="33">
        <f t="shared" si="55"/>
        <v>11</v>
      </c>
      <c r="AL118" s="33">
        <f t="shared" si="56"/>
        <v>18</v>
      </c>
      <c r="AM118" s="144">
        <f t="shared" si="57"/>
        <v>7</v>
      </c>
      <c r="AN118" s="144">
        <f t="shared" si="58"/>
        <v>1</v>
      </c>
      <c r="AO118">
        <f t="shared" si="66"/>
        <v>82</v>
      </c>
      <c r="AP118" s="103">
        <f t="shared" si="67"/>
        <v>82</v>
      </c>
      <c r="AQ118" s="33">
        <f t="shared" si="64"/>
        <v>116</v>
      </c>
    </row>
    <row r="119" spans="1:43" ht="20" thickBot="1">
      <c r="A119" s="33">
        <f t="shared" si="35"/>
        <v>117</v>
      </c>
      <c r="B119">
        <f t="shared" si="59"/>
        <v>5</v>
      </c>
      <c r="C119" s="183">
        <v>117</v>
      </c>
      <c r="D119" s="2" t="s">
        <v>782</v>
      </c>
      <c r="E119" t="s">
        <v>896</v>
      </c>
      <c r="F119" t="s">
        <v>866</v>
      </c>
      <c r="G119" t="s">
        <v>897</v>
      </c>
      <c r="I119" s="31">
        <f t="shared" si="62"/>
        <v>1942</v>
      </c>
      <c r="J119" s="99" t="str">
        <f t="shared" si="63"/>
        <v/>
      </c>
      <c r="K119" s="9" t="str">
        <f t="shared" si="60"/>
        <v>Patrick (117): 1942</v>
      </c>
      <c r="L119" s="8" t="str">
        <f t="shared" si="68"/>
        <v>29/03/1942</v>
      </c>
      <c r="M119" s="8">
        <v>15429</v>
      </c>
      <c r="N119" s="3">
        <v>23652</v>
      </c>
      <c r="O119" s="8"/>
      <c r="P119" s="13">
        <f t="shared" si="65"/>
        <v>117</v>
      </c>
      <c r="Q119" s="19" t="str">
        <f t="shared" si="37"/>
        <v>Patrick (117): 1942–</v>
      </c>
      <c r="R119" s="120">
        <v>55</v>
      </c>
      <c r="S119" s="15" t="str">
        <f t="shared" si="61"/>
        <v>Dick (55): 1882–1950</v>
      </c>
      <c r="T119" s="38">
        <f t="shared" si="51"/>
        <v>35</v>
      </c>
      <c r="U119" s="37" t="str">
        <f t="shared" si="52"/>
        <v>Lewis (35): 1852–1908</v>
      </c>
      <c r="V119" s="27">
        <f t="shared" si="53"/>
        <v>23</v>
      </c>
      <c r="W119" s="28" t="str">
        <f t="shared" si="54"/>
        <v>William (23): 1821–1885</v>
      </c>
      <c r="X119" s="39">
        <f t="shared" si="38"/>
        <v>8</v>
      </c>
      <c r="Y119" s="40" t="str">
        <f t="shared" si="39"/>
        <v>Edward (8): 1780–1863</v>
      </c>
      <c r="Z119" s="29">
        <f t="shared" si="40"/>
        <v>1</v>
      </c>
      <c r="AA119" s="41" t="str">
        <f t="shared" si="41"/>
        <v>William (1): 1729–1800</v>
      </c>
      <c r="AB119" s="30">
        <f t="shared" si="42"/>
        <v>0</v>
      </c>
      <c r="AC119" s="43" t="str">
        <f t="shared" si="43"/>
        <v>Lewis (0): 1690–1758</v>
      </c>
      <c r="AD119" s="42">
        <f t="shared" si="44"/>
        <v>-1</v>
      </c>
      <c r="AE119" s="22" t="e">
        <f t="shared" si="45"/>
        <v>#N/A</v>
      </c>
      <c r="AF119" s="42" t="e">
        <f t="shared" si="46"/>
        <v>#N/A</v>
      </c>
      <c r="AG119" s="22" t="e">
        <f t="shared" si="47"/>
        <v>#N/A</v>
      </c>
      <c r="AH119" s="23" t="s">
        <v>2815</v>
      </c>
      <c r="AI119" s="33" t="s">
        <v>4396</v>
      </c>
      <c r="AJ119" s="264" t="str">
        <f>VLOOKUP(AI119,'Mums of Loyd Edit&amp;Partner Edit'!$B$4:$C$66,2,FALSE)</f>
        <v>Alice Selina (Lovely) MYHILL (b. 1 Nov 1909, )</v>
      </c>
      <c r="AK119" s="33">
        <f t="shared" si="55"/>
        <v>3</v>
      </c>
      <c r="AL119" s="33">
        <f t="shared" si="56"/>
        <v>29</v>
      </c>
      <c r="AM119" s="144">
        <f t="shared" si="57"/>
        <v>7</v>
      </c>
      <c r="AN119" s="144">
        <f t="shared" si="58"/>
        <v>1</v>
      </c>
      <c r="AO119">
        <f t="shared" si="66"/>
        <v>80</v>
      </c>
      <c r="AP119" s="103">
        <f t="shared" si="67"/>
        <v>80</v>
      </c>
      <c r="AQ119" s="33">
        <f t="shared" si="64"/>
        <v>117</v>
      </c>
    </row>
    <row r="120" spans="1:43" ht="20" thickBot="1">
      <c r="A120" s="33">
        <f t="shared" si="35"/>
        <v>118</v>
      </c>
      <c r="B120">
        <f t="shared" si="59"/>
        <v>5</v>
      </c>
      <c r="C120" s="183">
        <v>118</v>
      </c>
      <c r="D120" s="2" t="s">
        <v>782</v>
      </c>
      <c r="E120" t="s">
        <v>899</v>
      </c>
      <c r="F120" t="s">
        <v>900</v>
      </c>
      <c r="G120" t="s">
        <v>901</v>
      </c>
      <c r="I120" s="31">
        <f t="shared" si="62"/>
        <v>1942</v>
      </c>
      <c r="J120" s="99">
        <f t="shared" si="63"/>
        <v>1942</v>
      </c>
      <c r="K120" s="9" t="str">
        <f t="shared" si="60"/>
        <v>Patricia (118): 1942</v>
      </c>
      <c r="L120" s="8" t="str">
        <f t="shared" si="68"/>
        <v>29/03/1942</v>
      </c>
      <c r="M120" s="8">
        <v>15429</v>
      </c>
      <c r="N120" t="s">
        <v>3792</v>
      </c>
      <c r="O120" s="10" t="s">
        <v>3241</v>
      </c>
      <c r="P120" s="13">
        <f t="shared" si="65"/>
        <v>118</v>
      </c>
      <c r="Q120" s="19" t="str">
        <f t="shared" si="37"/>
        <v>Patricia (118): 1942–1942</v>
      </c>
      <c r="R120" s="120">
        <v>55</v>
      </c>
      <c r="S120" s="15" t="str">
        <f t="shared" si="61"/>
        <v>Dick (55): 1882–1950</v>
      </c>
      <c r="T120" s="38">
        <f t="shared" si="51"/>
        <v>35</v>
      </c>
      <c r="U120" s="37" t="str">
        <f t="shared" si="52"/>
        <v>Lewis (35): 1852–1908</v>
      </c>
      <c r="V120" s="27">
        <f t="shared" si="53"/>
        <v>23</v>
      </c>
      <c r="W120" s="28" t="str">
        <f t="shared" si="54"/>
        <v>William (23): 1821–1885</v>
      </c>
      <c r="X120" s="39">
        <f t="shared" si="38"/>
        <v>8</v>
      </c>
      <c r="Y120" s="40" t="str">
        <f t="shared" si="39"/>
        <v>Edward (8): 1780–1863</v>
      </c>
      <c r="Z120" s="29">
        <f t="shared" si="40"/>
        <v>1</v>
      </c>
      <c r="AA120" s="41" t="str">
        <f t="shared" si="41"/>
        <v>William (1): 1729–1800</v>
      </c>
      <c r="AB120" s="30">
        <f t="shared" si="42"/>
        <v>0</v>
      </c>
      <c r="AC120" s="43" t="str">
        <f t="shared" si="43"/>
        <v>Lewis (0): 1690–1758</v>
      </c>
      <c r="AD120" s="42">
        <f t="shared" si="44"/>
        <v>-1</v>
      </c>
      <c r="AE120" s="22" t="e">
        <f t="shared" si="45"/>
        <v>#N/A</v>
      </c>
      <c r="AF120" s="42" t="e">
        <f t="shared" si="46"/>
        <v>#N/A</v>
      </c>
      <c r="AG120" s="22" t="e">
        <f t="shared" si="47"/>
        <v>#N/A</v>
      </c>
      <c r="AH120" s="23" t="s">
        <v>2814</v>
      </c>
      <c r="AI120" s="33" t="s">
        <v>4396</v>
      </c>
      <c r="AJ120" s="264" t="str">
        <f>VLOOKUP(AI120,'Mums of Loyd Edit&amp;Partner Edit'!$B$4:$C$66,2,FALSE)</f>
        <v>Alice Selina (Lovely) MYHILL (b. 1 Nov 1909, )</v>
      </c>
      <c r="AK120" s="33">
        <f t="shared" si="55"/>
        <v>3</v>
      </c>
      <c r="AL120" s="33">
        <f t="shared" si="56"/>
        <v>29</v>
      </c>
      <c r="AM120" s="144">
        <f t="shared" si="57"/>
        <v>4</v>
      </c>
      <c r="AN120" s="144">
        <f t="shared" si="58"/>
        <v>2</v>
      </c>
      <c r="AO120">
        <f t="shared" si="66"/>
        <v>0</v>
      </c>
      <c r="AP120" s="103">
        <f t="shared" si="67"/>
        <v>80</v>
      </c>
      <c r="AQ120" s="33">
        <f t="shared" si="64"/>
        <v>118</v>
      </c>
    </row>
    <row r="121" spans="1:43" ht="36" thickBot="1">
      <c r="A121" s="33">
        <f t="shared" si="35"/>
        <v>119</v>
      </c>
      <c r="B121">
        <f t="shared" si="59"/>
        <v>5</v>
      </c>
      <c r="C121" s="183">
        <v>119</v>
      </c>
      <c r="D121" s="2" t="s">
        <v>782</v>
      </c>
      <c r="E121" t="s">
        <v>865</v>
      </c>
      <c r="F121" t="s">
        <v>902</v>
      </c>
      <c r="I121" s="31">
        <f t="shared" si="62"/>
        <v>1942</v>
      </c>
      <c r="J121" s="99" t="str">
        <f t="shared" si="63"/>
        <v/>
      </c>
      <c r="K121" s="9" t="str">
        <f t="shared" si="60"/>
        <v>Peter (119): 1942</v>
      </c>
      <c r="L121" s="8" t="str">
        <f t="shared" si="68"/>
        <v>08/09/1942</v>
      </c>
      <c r="M121" s="8">
        <v>15592</v>
      </c>
      <c r="N121" s="3">
        <v>25942</v>
      </c>
      <c r="O121" s="8"/>
      <c r="P121" s="13">
        <f t="shared" si="65"/>
        <v>119</v>
      </c>
      <c r="Q121" s="19" t="str">
        <f t="shared" si="37"/>
        <v>Peter (119): 1942–</v>
      </c>
      <c r="R121" s="120">
        <v>80</v>
      </c>
      <c r="S121" s="15" t="str">
        <f t="shared" si="61"/>
        <v>Eric (80): 1894–1963</v>
      </c>
      <c r="T121" s="38">
        <f t="shared" si="51"/>
        <v>29</v>
      </c>
      <c r="U121" s="37" t="str">
        <f t="shared" si="52"/>
        <v>Arthur (29): 1845–1930</v>
      </c>
      <c r="V121" s="27">
        <f t="shared" si="53"/>
        <v>14</v>
      </c>
      <c r="W121" s="28" t="str">
        <f t="shared" si="54"/>
        <v>Thomas (14): 1812–1857</v>
      </c>
      <c r="X121" s="39">
        <f t="shared" si="38"/>
        <v>4</v>
      </c>
      <c r="Y121" s="40" t="str">
        <f t="shared" si="39"/>
        <v>William (4): 1770–1828</v>
      </c>
      <c r="Z121" s="29">
        <f t="shared" si="40"/>
        <v>1</v>
      </c>
      <c r="AA121" s="41" t="str">
        <f t="shared" si="41"/>
        <v>William (1): 1729–1800</v>
      </c>
      <c r="AB121" s="30">
        <f t="shared" si="42"/>
        <v>0</v>
      </c>
      <c r="AC121" s="43" t="str">
        <f t="shared" si="43"/>
        <v>Lewis (0): 1690–1758</v>
      </c>
      <c r="AD121" s="42">
        <f t="shared" si="44"/>
        <v>-1</v>
      </c>
      <c r="AE121" s="22" t="e">
        <f t="shared" si="45"/>
        <v>#N/A</v>
      </c>
      <c r="AF121" s="42" t="e">
        <f t="shared" si="46"/>
        <v>#N/A</v>
      </c>
      <c r="AG121" s="22" t="e">
        <f t="shared" si="47"/>
        <v>#N/A</v>
      </c>
      <c r="AH121" s="23" t="s">
        <v>2815</v>
      </c>
      <c r="AI121" s="33" t="s">
        <v>4397</v>
      </c>
      <c r="AJ121" s="264" t="str">
        <f>VLOOKUP(AI121,'Mums of Loyd Edit&amp;Partner Edit'!$B$4:$C$66,2,FALSE)</f>
        <v>Isabel Mary Beatrix PARKER (b. 22 Feb 1903, d. 13 Jan 1992)</v>
      </c>
      <c r="AK121" s="33">
        <f t="shared" si="55"/>
        <v>9</v>
      </c>
      <c r="AL121" s="33">
        <f t="shared" si="56"/>
        <v>8</v>
      </c>
      <c r="AM121" s="144">
        <f t="shared" si="57"/>
        <v>7</v>
      </c>
      <c r="AN121" s="144">
        <f t="shared" si="58"/>
        <v>1</v>
      </c>
      <c r="AO121">
        <f t="shared" si="66"/>
        <v>79</v>
      </c>
      <c r="AP121" s="103">
        <f t="shared" si="67"/>
        <v>79</v>
      </c>
      <c r="AQ121" s="33">
        <f t="shared" si="64"/>
        <v>119</v>
      </c>
    </row>
    <row r="122" spans="1:43" ht="20" thickBot="1">
      <c r="A122" s="33">
        <f t="shared" si="35"/>
        <v>120</v>
      </c>
      <c r="B122">
        <f t="shared" si="59"/>
        <v>6</v>
      </c>
      <c r="C122" s="183">
        <v>120</v>
      </c>
      <c r="D122" s="2" t="s">
        <v>782</v>
      </c>
      <c r="E122" t="s">
        <v>903</v>
      </c>
      <c r="F122" t="s">
        <v>904</v>
      </c>
      <c r="I122" s="31">
        <f t="shared" si="62"/>
        <v>1947</v>
      </c>
      <c r="J122" s="99">
        <f t="shared" si="63"/>
        <v>2022</v>
      </c>
      <c r="K122" s="9" t="str">
        <f t="shared" si="60"/>
        <v>Caroline (120): 1947</v>
      </c>
      <c r="L122" s="8" t="str">
        <f t="shared" si="68"/>
        <v>16/01/1947</v>
      </c>
      <c r="M122" s="8">
        <v>17183</v>
      </c>
      <c r="N122" s="3">
        <v>24960</v>
      </c>
      <c r="O122" s="95" t="s">
        <v>4268</v>
      </c>
      <c r="P122" s="13">
        <f t="shared" si="65"/>
        <v>120</v>
      </c>
      <c r="Q122" s="19" t="str">
        <f t="shared" si="37"/>
        <v>Caroline (120): 1947–2022</v>
      </c>
      <c r="R122" s="120">
        <v>96</v>
      </c>
      <c r="S122" s="15" t="str">
        <f t="shared" si="61"/>
        <v>Edward (96): 1921–1977</v>
      </c>
      <c r="T122" s="38">
        <f t="shared" si="51"/>
        <v>66</v>
      </c>
      <c r="U122" s="37" t="str">
        <f t="shared" si="52"/>
        <v>William (66): 1889–1947</v>
      </c>
      <c r="V122" s="27">
        <f t="shared" si="53"/>
        <v>44</v>
      </c>
      <c r="W122" s="28" t="str">
        <f t="shared" si="54"/>
        <v>Harry (44): 1861–1938</v>
      </c>
      <c r="X122" s="39">
        <f t="shared" si="38"/>
        <v>23</v>
      </c>
      <c r="Y122" s="40" t="str">
        <f t="shared" si="39"/>
        <v>William (23): 1821–1885</v>
      </c>
      <c r="Z122" s="29">
        <f t="shared" si="40"/>
        <v>8</v>
      </c>
      <c r="AA122" s="41" t="str">
        <f t="shared" si="41"/>
        <v>Edward (8): 1780–1863</v>
      </c>
      <c r="AB122" s="30">
        <f t="shared" si="42"/>
        <v>1</v>
      </c>
      <c r="AC122" s="43" t="str">
        <f t="shared" si="43"/>
        <v>William (1): 1729–1800</v>
      </c>
      <c r="AD122" s="42">
        <f t="shared" si="44"/>
        <v>0</v>
      </c>
      <c r="AE122" s="22" t="str">
        <f t="shared" si="45"/>
        <v>Lewis (0): 1690–1758</v>
      </c>
      <c r="AF122" s="42">
        <f t="shared" si="46"/>
        <v>-1</v>
      </c>
      <c r="AG122" s="22" t="e">
        <f t="shared" si="47"/>
        <v>#N/A</v>
      </c>
      <c r="AH122" s="23" t="s">
        <v>2814</v>
      </c>
      <c r="AI122" s="33" t="s">
        <v>4399</v>
      </c>
      <c r="AJ122" s="264" t="str">
        <f>VLOOKUP(AI122,'Mums of Loyd Edit&amp;Partner Edit'!$B$4:$C$66,2,FALSE)</f>
        <v>June Cecilia KEPPEL (b. 19 Jun 1924, d. 7 May 2008)</v>
      </c>
      <c r="AK122" s="33">
        <f t="shared" si="55"/>
        <v>1</v>
      </c>
      <c r="AL122" s="33">
        <f t="shared" si="56"/>
        <v>16</v>
      </c>
      <c r="AM122" s="144">
        <f t="shared" ref="AM122:AM130" si="69">IF(O122="",7,VALUE(MID(O122,4,2)))</f>
        <v>6</v>
      </c>
      <c r="AN122" s="144">
        <f t="shared" si="58"/>
        <v>13</v>
      </c>
      <c r="AO122">
        <f t="shared" si="66"/>
        <v>75</v>
      </c>
      <c r="AP122" s="103">
        <f t="shared" si="67"/>
        <v>75</v>
      </c>
      <c r="AQ122" s="33">
        <f t="shared" si="64"/>
        <v>120</v>
      </c>
    </row>
    <row r="123" spans="1:43" ht="20" thickBot="1">
      <c r="A123" s="33">
        <f t="shared" si="35"/>
        <v>121</v>
      </c>
      <c r="B123">
        <f t="shared" si="59"/>
        <v>6</v>
      </c>
      <c r="C123" s="183">
        <v>121</v>
      </c>
      <c r="D123" s="2" t="s">
        <v>782</v>
      </c>
      <c r="E123" t="s">
        <v>905</v>
      </c>
      <c r="F123" t="s">
        <v>830</v>
      </c>
      <c r="G123" t="s">
        <v>906</v>
      </c>
      <c r="I123" s="31">
        <f t="shared" si="62"/>
        <v>1949</v>
      </c>
      <c r="J123" s="99" t="str">
        <f t="shared" si="63"/>
        <v/>
      </c>
      <c r="K123" s="9" t="str">
        <f t="shared" si="60"/>
        <v>David (121): 1949</v>
      </c>
      <c r="L123" s="8" t="str">
        <f t="shared" si="68"/>
        <v>04/01/1949</v>
      </c>
      <c r="M123" s="8">
        <v>17902</v>
      </c>
      <c r="N123" s="3">
        <v>31353</v>
      </c>
      <c r="O123" s="8"/>
      <c r="P123" s="13">
        <f t="shared" si="65"/>
        <v>121</v>
      </c>
      <c r="Q123" s="19" t="str">
        <f t="shared" si="37"/>
        <v>David (121): 1949–</v>
      </c>
      <c r="R123" s="120">
        <v>96</v>
      </c>
      <c r="S123" s="15" t="str">
        <f t="shared" si="61"/>
        <v>Edward (96): 1921–1977</v>
      </c>
      <c r="T123" s="38">
        <f t="shared" si="51"/>
        <v>66</v>
      </c>
      <c r="U123" s="37" t="str">
        <f t="shared" si="52"/>
        <v>William (66): 1889–1947</v>
      </c>
      <c r="V123" s="27">
        <f t="shared" si="53"/>
        <v>44</v>
      </c>
      <c r="W123" s="28" t="str">
        <f t="shared" si="54"/>
        <v>Harry (44): 1861–1938</v>
      </c>
      <c r="X123" s="39">
        <f t="shared" si="38"/>
        <v>23</v>
      </c>
      <c r="Y123" s="40" t="str">
        <f t="shared" si="39"/>
        <v>William (23): 1821–1885</v>
      </c>
      <c r="Z123" s="29">
        <f t="shared" si="40"/>
        <v>8</v>
      </c>
      <c r="AA123" s="41" t="str">
        <f t="shared" si="41"/>
        <v>Edward (8): 1780–1863</v>
      </c>
      <c r="AB123" s="30">
        <f t="shared" si="42"/>
        <v>1</v>
      </c>
      <c r="AC123" s="43" t="str">
        <f t="shared" si="43"/>
        <v>William (1): 1729–1800</v>
      </c>
      <c r="AD123" s="42">
        <f t="shared" si="44"/>
        <v>0</v>
      </c>
      <c r="AE123" s="22" t="str">
        <f t="shared" si="45"/>
        <v>Lewis (0): 1690–1758</v>
      </c>
      <c r="AF123" s="42">
        <f t="shared" si="46"/>
        <v>-1</v>
      </c>
      <c r="AG123" s="22" t="e">
        <f t="shared" si="47"/>
        <v>#N/A</v>
      </c>
      <c r="AH123" s="23" t="s">
        <v>2815</v>
      </c>
      <c r="AI123" s="33" t="s">
        <v>4399</v>
      </c>
      <c r="AJ123" s="264" t="str">
        <f>VLOOKUP(AI123,'Mums of Loyd Edit&amp;Partner Edit'!$B$4:$C$66,2,FALSE)</f>
        <v>June Cecilia KEPPEL (b. 19 Jun 1924, d. 7 May 2008)</v>
      </c>
      <c r="AK123" s="33">
        <f t="shared" si="55"/>
        <v>1</v>
      </c>
      <c r="AL123" s="33">
        <f t="shared" si="56"/>
        <v>4</v>
      </c>
      <c r="AM123" s="144">
        <f t="shared" si="69"/>
        <v>7</v>
      </c>
      <c r="AN123" s="144">
        <f t="shared" si="58"/>
        <v>1</v>
      </c>
      <c r="AO123">
        <f t="shared" si="66"/>
        <v>73</v>
      </c>
      <c r="AP123" s="103">
        <f t="shared" si="67"/>
        <v>73</v>
      </c>
      <c r="AQ123" s="33">
        <f t="shared" si="64"/>
        <v>121</v>
      </c>
    </row>
    <row r="124" spans="1:43" ht="20" thickBot="1">
      <c r="A124" s="33">
        <f t="shared" si="35"/>
        <v>122</v>
      </c>
      <c r="B124">
        <f t="shared" si="59"/>
        <v>6</v>
      </c>
      <c r="C124" s="183">
        <v>122</v>
      </c>
      <c r="D124" s="2" t="s">
        <v>782</v>
      </c>
      <c r="E124" t="s">
        <v>851</v>
      </c>
      <c r="F124" t="s">
        <v>885</v>
      </c>
      <c r="G124" t="s">
        <v>822</v>
      </c>
      <c r="I124" s="31">
        <f t="shared" si="62"/>
        <v>1949</v>
      </c>
      <c r="J124" s="99" t="str">
        <f t="shared" si="63"/>
        <v/>
      </c>
      <c r="K124" s="9" t="str">
        <f t="shared" si="60"/>
        <v>Martin (122): 1949</v>
      </c>
      <c r="L124" s="8" t="str">
        <f t="shared" si="68"/>
        <v>18/02/1949</v>
      </c>
      <c r="M124" s="8">
        <v>17947</v>
      </c>
      <c r="N124" s="3">
        <v>27382</v>
      </c>
      <c r="O124" s="8"/>
      <c r="P124" s="13">
        <f t="shared" si="65"/>
        <v>122</v>
      </c>
      <c r="Q124" s="19" t="str">
        <f t="shared" si="37"/>
        <v>Martin (122): 1949–</v>
      </c>
      <c r="R124" s="120">
        <v>105</v>
      </c>
      <c r="S124" s="15" t="str">
        <f t="shared" si="61"/>
        <v>Geoffrey (105): 1926–2018</v>
      </c>
      <c r="T124" s="38">
        <f t="shared" si="51"/>
        <v>77</v>
      </c>
      <c r="U124" s="37" t="str">
        <f t="shared" si="52"/>
        <v>Wilfrid (77): 1893–1971</v>
      </c>
      <c r="V124" s="27">
        <f t="shared" si="53"/>
        <v>30</v>
      </c>
      <c r="W124" s="28" t="str">
        <f t="shared" si="54"/>
        <v>Archie (30): 1847–1922</v>
      </c>
      <c r="X124" s="39">
        <f t="shared" si="38"/>
        <v>14</v>
      </c>
      <c r="Y124" s="40" t="str">
        <f t="shared" si="39"/>
        <v>Thomas (14): 1812–1857</v>
      </c>
      <c r="Z124" s="29">
        <f t="shared" si="40"/>
        <v>4</v>
      </c>
      <c r="AA124" s="41" t="str">
        <f t="shared" si="41"/>
        <v>William (4): 1770–1828</v>
      </c>
      <c r="AB124" s="30">
        <f t="shared" si="42"/>
        <v>1</v>
      </c>
      <c r="AC124" s="43" t="str">
        <f t="shared" si="43"/>
        <v>William (1): 1729–1800</v>
      </c>
      <c r="AD124" s="42">
        <f t="shared" si="44"/>
        <v>0</v>
      </c>
      <c r="AE124" s="22" t="str">
        <f t="shared" si="45"/>
        <v>Lewis (0): 1690–1758</v>
      </c>
      <c r="AF124" s="42">
        <f t="shared" si="46"/>
        <v>-1</v>
      </c>
      <c r="AG124" s="22" t="e">
        <f t="shared" si="47"/>
        <v>#N/A</v>
      </c>
      <c r="AH124" s="23" t="s">
        <v>2815</v>
      </c>
      <c r="AI124" s="33" t="s">
        <v>4400</v>
      </c>
      <c r="AJ124" s="264" t="str">
        <f>VLOOKUP(AI124,'Mums of Loyd Edit&amp;Partner Edit'!$B$4:$C$66,2,FALSE)</f>
        <v>Patricia Mary MACLEAN (b. 11 Feb 1929, )</v>
      </c>
      <c r="AK124" s="33">
        <f t="shared" si="55"/>
        <v>2</v>
      </c>
      <c r="AL124" s="33">
        <f t="shared" si="56"/>
        <v>18</v>
      </c>
      <c r="AM124" s="144">
        <f t="shared" si="69"/>
        <v>7</v>
      </c>
      <c r="AN124" s="144">
        <f t="shared" si="58"/>
        <v>1</v>
      </c>
      <c r="AO124">
        <f t="shared" si="66"/>
        <v>73</v>
      </c>
      <c r="AP124" s="103">
        <f t="shared" si="67"/>
        <v>73</v>
      </c>
      <c r="AQ124" s="33">
        <f t="shared" si="64"/>
        <v>122</v>
      </c>
    </row>
    <row r="125" spans="1:43" ht="20" thickBot="1">
      <c r="A125" s="33">
        <f t="shared" si="35"/>
        <v>123</v>
      </c>
      <c r="B125">
        <f t="shared" si="59"/>
        <v>6</v>
      </c>
      <c r="C125" s="183">
        <v>123</v>
      </c>
      <c r="D125" s="2" t="s">
        <v>782</v>
      </c>
      <c r="E125" t="s">
        <v>862</v>
      </c>
      <c r="F125" t="s">
        <v>907</v>
      </c>
      <c r="I125" s="31">
        <f t="shared" si="62"/>
        <v>1949</v>
      </c>
      <c r="J125" s="99" t="str">
        <f t="shared" si="63"/>
        <v/>
      </c>
      <c r="K125" s="9" t="str">
        <f t="shared" si="60"/>
        <v>Janet (123): 1949</v>
      </c>
      <c r="L125" s="8" t="str">
        <f t="shared" si="68"/>
        <v>01/05/1949</v>
      </c>
      <c r="M125" s="8">
        <v>18019</v>
      </c>
      <c r="N125" s="3">
        <v>26992</v>
      </c>
      <c r="O125" s="8"/>
      <c r="P125" s="13">
        <f t="shared" si="65"/>
        <v>123</v>
      </c>
      <c r="Q125" s="19" t="str">
        <f t="shared" si="37"/>
        <v>Janet (123): 1949–</v>
      </c>
      <c r="R125" s="120">
        <v>89</v>
      </c>
      <c r="S125" s="15" t="str">
        <f t="shared" si="61"/>
        <v>Sir Francis/Frank (89): 1916–2006</v>
      </c>
      <c r="T125" s="38">
        <f t="shared" si="51"/>
        <v>54</v>
      </c>
      <c r="U125" s="37" t="str">
        <f t="shared" si="52"/>
        <v>Alfred (54): 1882–1919</v>
      </c>
      <c r="V125" s="27">
        <f t="shared" si="53"/>
        <v>32</v>
      </c>
      <c r="W125" s="28" t="str">
        <f t="shared" si="54"/>
        <v>Frank (32): 1848–1934</v>
      </c>
      <c r="X125" s="39">
        <f t="shared" si="38"/>
        <v>14</v>
      </c>
      <c r="Y125" s="40" t="str">
        <f t="shared" si="39"/>
        <v>Thomas (14): 1812–1857</v>
      </c>
      <c r="Z125" s="29">
        <f t="shared" si="40"/>
        <v>4</v>
      </c>
      <c r="AA125" s="41" t="str">
        <f t="shared" si="41"/>
        <v>William (4): 1770–1828</v>
      </c>
      <c r="AB125" s="30">
        <f t="shared" si="42"/>
        <v>1</v>
      </c>
      <c r="AC125" s="43" t="str">
        <f t="shared" si="43"/>
        <v>William (1): 1729–1800</v>
      </c>
      <c r="AD125" s="42">
        <f t="shared" si="44"/>
        <v>0</v>
      </c>
      <c r="AE125" s="22" t="str">
        <f t="shared" si="45"/>
        <v>Lewis (0): 1690–1758</v>
      </c>
      <c r="AF125" s="42">
        <f t="shared" si="46"/>
        <v>-1</v>
      </c>
      <c r="AG125" s="22" t="e">
        <f t="shared" si="47"/>
        <v>#N/A</v>
      </c>
      <c r="AH125" s="23" t="s">
        <v>2814</v>
      </c>
      <c r="AI125" s="33" t="s">
        <v>4401</v>
      </c>
      <c r="AJ125" s="264" t="str">
        <f>VLOOKUP(AI125,'Mums of Loyd Edit&amp;Partner Edit'!$B$4:$C$66,2,FALSE)</f>
        <v>Katharine Layzell (b. 13 Mar 1924, d. 26 Oct 1981)</v>
      </c>
      <c r="AK125" s="33">
        <f t="shared" si="55"/>
        <v>5</v>
      </c>
      <c r="AL125" s="33">
        <f t="shared" si="56"/>
        <v>1</v>
      </c>
      <c r="AM125" s="144">
        <f t="shared" si="69"/>
        <v>7</v>
      </c>
      <c r="AN125" s="144">
        <f t="shared" si="58"/>
        <v>1</v>
      </c>
      <c r="AO125">
        <f t="shared" si="66"/>
        <v>73</v>
      </c>
      <c r="AP125" s="103">
        <f t="shared" si="67"/>
        <v>73</v>
      </c>
      <c r="AQ125" s="33">
        <f t="shared" si="64"/>
        <v>123</v>
      </c>
    </row>
    <row r="126" spans="1:43" ht="20" thickBot="1">
      <c r="A126" s="33">
        <f t="shared" si="35"/>
        <v>124</v>
      </c>
      <c r="B126">
        <f t="shared" si="59"/>
        <v>6</v>
      </c>
      <c r="C126" s="183">
        <v>124</v>
      </c>
      <c r="D126" s="2" t="s">
        <v>782</v>
      </c>
      <c r="E126" t="s">
        <v>827</v>
      </c>
      <c r="F126" t="s">
        <v>811</v>
      </c>
      <c r="G126" t="s">
        <v>902</v>
      </c>
      <c r="H126" t="s">
        <v>1188</v>
      </c>
      <c r="I126" s="31">
        <f t="shared" si="62"/>
        <v>1949</v>
      </c>
      <c r="J126" s="99" t="str">
        <f t="shared" si="63"/>
        <v/>
      </c>
      <c r="K126" s="9" t="str">
        <f t="shared" si="60"/>
        <v>Rob (124): 1949</v>
      </c>
      <c r="L126" s="8" t="str">
        <f t="shared" si="68"/>
        <v>05/07/1949</v>
      </c>
      <c r="M126" s="8">
        <v>18084</v>
      </c>
      <c r="N126" s="3">
        <v>28579</v>
      </c>
      <c r="O126" s="8"/>
      <c r="P126" s="13">
        <f t="shared" si="65"/>
        <v>124</v>
      </c>
      <c r="Q126" s="19" t="str">
        <f t="shared" si="37"/>
        <v>Rob (124): 1949–</v>
      </c>
      <c r="R126" s="120">
        <v>94</v>
      </c>
      <c r="S126" s="15" t="str">
        <f t="shared" si="61"/>
        <v>Alwyne (94): 1920–2014</v>
      </c>
      <c r="T126" s="38">
        <f t="shared" si="51"/>
        <v>68</v>
      </c>
      <c r="U126" s="37" t="str">
        <f t="shared" si="52"/>
        <v>Cecil (68): 1890–1963</v>
      </c>
      <c r="V126" s="27">
        <f t="shared" si="53"/>
        <v>45</v>
      </c>
      <c r="W126" s="28" t="str">
        <f t="shared" si="54"/>
        <v>Llewellyn (45): 1861–1939</v>
      </c>
      <c r="X126" s="39">
        <f t="shared" si="38"/>
        <v>22</v>
      </c>
      <c r="Y126" s="40" t="str">
        <f t="shared" si="39"/>
        <v>Edward (22): 1820–1890</v>
      </c>
      <c r="Z126" s="29">
        <f t="shared" si="40"/>
        <v>8</v>
      </c>
      <c r="AA126" s="41" t="str">
        <f t="shared" si="41"/>
        <v>Edward (8): 1780–1863</v>
      </c>
      <c r="AB126" s="30">
        <f t="shared" si="42"/>
        <v>1</v>
      </c>
      <c r="AC126" s="43" t="str">
        <f t="shared" si="43"/>
        <v>William (1): 1729–1800</v>
      </c>
      <c r="AD126" s="42">
        <f t="shared" si="44"/>
        <v>0</v>
      </c>
      <c r="AE126" s="22" t="str">
        <f t="shared" si="45"/>
        <v>Lewis (0): 1690–1758</v>
      </c>
      <c r="AF126" s="42">
        <f t="shared" si="46"/>
        <v>-1</v>
      </c>
      <c r="AG126" s="22" t="e">
        <f t="shared" si="47"/>
        <v>#N/A</v>
      </c>
      <c r="AH126" s="23" t="s">
        <v>2815</v>
      </c>
      <c r="AI126" s="33" t="s">
        <v>4402</v>
      </c>
      <c r="AJ126" s="264" t="str">
        <f>VLOOKUP(AI126,'Mums of Loyd Edit&amp;Partner Edit'!$B$4:$C$66,2,FALSE)</f>
        <v>Alison Fraser PORTER (b. 21 Feb 1920, d. 6 Sep 2003)</v>
      </c>
      <c r="AK126" s="33">
        <f t="shared" si="55"/>
        <v>7</v>
      </c>
      <c r="AL126" s="33">
        <f t="shared" si="56"/>
        <v>5</v>
      </c>
      <c r="AM126" s="144">
        <f t="shared" si="69"/>
        <v>7</v>
      </c>
      <c r="AN126" s="144">
        <f t="shared" si="58"/>
        <v>1</v>
      </c>
      <c r="AO126">
        <f t="shared" si="66"/>
        <v>72</v>
      </c>
      <c r="AP126" s="103">
        <f t="shared" si="67"/>
        <v>72</v>
      </c>
      <c r="AQ126" s="33">
        <f t="shared" si="64"/>
        <v>124</v>
      </c>
    </row>
    <row r="127" spans="1:43" ht="20" thickBot="1">
      <c r="A127" s="33">
        <f t="shared" si="35"/>
        <v>125</v>
      </c>
      <c r="B127">
        <f t="shared" si="59"/>
        <v>6</v>
      </c>
      <c r="C127" s="183">
        <v>125</v>
      </c>
      <c r="D127" s="2" t="s">
        <v>782</v>
      </c>
      <c r="E127" t="s">
        <v>908</v>
      </c>
      <c r="F127" t="s">
        <v>870</v>
      </c>
      <c r="I127" s="31">
        <f t="shared" si="62"/>
        <v>1951</v>
      </c>
      <c r="J127" s="99" t="str">
        <f t="shared" si="63"/>
        <v/>
      </c>
      <c r="K127" s="9" t="str">
        <f t="shared" si="60"/>
        <v>Rona (125): 1951</v>
      </c>
      <c r="L127" s="8" t="str">
        <f t="shared" si="68"/>
        <v>24/02/1951</v>
      </c>
      <c r="M127" s="8">
        <v>18683</v>
      </c>
      <c r="N127" s="3">
        <v>26173</v>
      </c>
      <c r="O127" s="8"/>
      <c r="P127" s="13">
        <f t="shared" si="65"/>
        <v>125</v>
      </c>
      <c r="Q127" s="19" t="str">
        <f t="shared" si="37"/>
        <v>Rona (125): 1951–</v>
      </c>
      <c r="R127" s="120">
        <v>86</v>
      </c>
      <c r="S127" s="15" t="str">
        <f t="shared" si="61"/>
        <v>Peter (86): 1913–2008</v>
      </c>
      <c r="T127" s="38">
        <f t="shared" si="51"/>
        <v>71</v>
      </c>
      <c r="U127" s="37" t="str">
        <f t="shared" si="52"/>
        <v>Arthur (71): 1890–1974</v>
      </c>
      <c r="V127" s="27">
        <f t="shared" si="53"/>
        <v>34</v>
      </c>
      <c r="W127" s="28" t="str">
        <f t="shared" si="54"/>
        <v>Ted (34): 1851–1922</v>
      </c>
      <c r="X127" s="39">
        <f t="shared" si="38"/>
        <v>14</v>
      </c>
      <c r="Y127" s="40" t="str">
        <f t="shared" si="39"/>
        <v>Thomas (14): 1812–1857</v>
      </c>
      <c r="Z127" s="29">
        <f t="shared" si="40"/>
        <v>4</v>
      </c>
      <c r="AA127" s="41" t="str">
        <f t="shared" si="41"/>
        <v>William (4): 1770–1828</v>
      </c>
      <c r="AB127" s="30">
        <f t="shared" si="42"/>
        <v>1</v>
      </c>
      <c r="AC127" s="43" t="str">
        <f t="shared" si="43"/>
        <v>William (1): 1729–1800</v>
      </c>
      <c r="AD127" s="42">
        <f t="shared" si="44"/>
        <v>0</v>
      </c>
      <c r="AE127" s="22" t="str">
        <f t="shared" si="45"/>
        <v>Lewis (0): 1690–1758</v>
      </c>
      <c r="AF127" s="42">
        <f t="shared" si="46"/>
        <v>-1</v>
      </c>
      <c r="AG127" s="22" t="e">
        <f t="shared" si="47"/>
        <v>#N/A</v>
      </c>
      <c r="AH127" s="23" t="s">
        <v>2814</v>
      </c>
      <c r="AI127" s="33" t="s">
        <v>4403</v>
      </c>
      <c r="AJ127" s="264" t="str">
        <f>VLOOKUP(AI127,'Mums of Loyd Edit&amp;Partner Edit'!$B$4:$C$66,2,FALSE)</f>
        <v xml:space="preserve">Anne SMITHELLS (b. 12 Mar 1921, d. 3 Aug 2010) </v>
      </c>
      <c r="AK127" s="33">
        <f t="shared" si="55"/>
        <v>2</v>
      </c>
      <c r="AL127" s="33">
        <f t="shared" si="56"/>
        <v>24</v>
      </c>
      <c r="AM127" s="144">
        <f t="shared" si="69"/>
        <v>7</v>
      </c>
      <c r="AN127" s="144">
        <f t="shared" si="58"/>
        <v>1</v>
      </c>
      <c r="AO127">
        <f t="shared" si="66"/>
        <v>71</v>
      </c>
      <c r="AP127" s="103">
        <f t="shared" si="67"/>
        <v>71</v>
      </c>
      <c r="AQ127" s="33">
        <f t="shared" si="64"/>
        <v>125</v>
      </c>
    </row>
    <row r="128" spans="1:43" ht="20" thickBot="1">
      <c r="A128" s="33">
        <f t="shared" si="35"/>
        <v>126</v>
      </c>
      <c r="B128">
        <f t="shared" si="59"/>
        <v>6</v>
      </c>
      <c r="C128" s="183">
        <v>126</v>
      </c>
      <c r="D128" s="2" t="s">
        <v>782</v>
      </c>
      <c r="E128" t="s">
        <v>896</v>
      </c>
      <c r="F128" t="s">
        <v>830</v>
      </c>
      <c r="G128" t="s">
        <v>2953</v>
      </c>
      <c r="H128" t="s">
        <v>1189</v>
      </c>
      <c r="I128" s="31">
        <f t="shared" si="62"/>
        <v>1951</v>
      </c>
      <c r="J128" s="99" t="str">
        <f t="shared" si="63"/>
        <v/>
      </c>
      <c r="K128" s="9" t="str">
        <f t="shared" si="60"/>
        <v>Paddy (126): 1951</v>
      </c>
      <c r="L128" s="8" t="str">
        <f t="shared" si="68"/>
        <v>05/06/1951</v>
      </c>
      <c r="M128" s="8">
        <v>18784</v>
      </c>
      <c r="N128" t="s">
        <v>3792</v>
      </c>
      <c r="O128" s="8"/>
      <c r="P128" s="13">
        <f t="shared" si="65"/>
        <v>126</v>
      </c>
      <c r="Q128" s="19" t="str">
        <f t="shared" si="37"/>
        <v>Paddy (126): 1951–</v>
      </c>
      <c r="R128" s="120">
        <v>94</v>
      </c>
      <c r="S128" s="15" t="str">
        <f t="shared" si="61"/>
        <v>Alwyne (94): 1920–2014</v>
      </c>
      <c r="T128" s="38">
        <f t="shared" si="51"/>
        <v>68</v>
      </c>
      <c r="U128" s="37" t="str">
        <f t="shared" si="52"/>
        <v>Cecil (68): 1890–1963</v>
      </c>
      <c r="V128" s="27">
        <f t="shared" si="53"/>
        <v>45</v>
      </c>
      <c r="W128" s="28" t="str">
        <f t="shared" si="54"/>
        <v>Llewellyn (45): 1861–1939</v>
      </c>
      <c r="X128" s="39">
        <f t="shared" si="38"/>
        <v>22</v>
      </c>
      <c r="Y128" s="40" t="str">
        <f t="shared" si="39"/>
        <v>Edward (22): 1820–1890</v>
      </c>
      <c r="Z128" s="29">
        <f t="shared" si="40"/>
        <v>8</v>
      </c>
      <c r="AA128" s="41" t="str">
        <f t="shared" si="41"/>
        <v>Edward (8): 1780–1863</v>
      </c>
      <c r="AB128" s="30">
        <f t="shared" si="42"/>
        <v>1</v>
      </c>
      <c r="AC128" s="43" t="str">
        <f t="shared" si="43"/>
        <v>William (1): 1729–1800</v>
      </c>
      <c r="AD128" s="42">
        <f t="shared" si="44"/>
        <v>0</v>
      </c>
      <c r="AE128" s="22" t="str">
        <f t="shared" si="45"/>
        <v>Lewis (0): 1690–1758</v>
      </c>
      <c r="AF128" s="42">
        <f t="shared" si="46"/>
        <v>-1</v>
      </c>
      <c r="AG128" s="22" t="e">
        <f t="shared" si="47"/>
        <v>#N/A</v>
      </c>
      <c r="AH128" s="23" t="s">
        <v>2815</v>
      </c>
      <c r="AI128" s="33" t="s">
        <v>4402</v>
      </c>
      <c r="AJ128" s="264" t="str">
        <f>VLOOKUP(AI128,'Mums of Loyd Edit&amp;Partner Edit'!$B$4:$C$66,2,FALSE)</f>
        <v>Alison Fraser PORTER (b. 21 Feb 1920, d. 6 Sep 2003)</v>
      </c>
      <c r="AK128" s="33">
        <f t="shared" si="55"/>
        <v>6</v>
      </c>
      <c r="AL128" s="33">
        <f t="shared" si="56"/>
        <v>5</v>
      </c>
      <c r="AM128" s="144">
        <f t="shared" si="69"/>
        <v>7</v>
      </c>
      <c r="AN128" s="144">
        <f t="shared" si="58"/>
        <v>1</v>
      </c>
      <c r="AO128">
        <f t="shared" si="66"/>
        <v>71</v>
      </c>
      <c r="AP128" s="103">
        <f t="shared" si="67"/>
        <v>71</v>
      </c>
      <c r="AQ128" s="33">
        <f t="shared" si="64"/>
        <v>126</v>
      </c>
    </row>
    <row r="129" spans="1:43" ht="20" thickBot="1">
      <c r="A129" s="33">
        <f t="shared" si="35"/>
        <v>127</v>
      </c>
      <c r="B129">
        <f t="shared" si="59"/>
        <v>5</v>
      </c>
      <c r="C129" s="183">
        <v>127</v>
      </c>
      <c r="D129" s="2" t="s">
        <v>782</v>
      </c>
      <c r="E129" t="s">
        <v>824</v>
      </c>
      <c r="F129" t="s">
        <v>909</v>
      </c>
      <c r="I129" s="31">
        <f t="shared" si="62"/>
        <v>1951</v>
      </c>
      <c r="J129" s="99" t="str">
        <f t="shared" si="63"/>
        <v/>
      </c>
      <c r="K129" s="9" t="str">
        <f t="shared" si="60"/>
        <v>Vivian (127): 1951</v>
      </c>
      <c r="L129" s="8" t="str">
        <f t="shared" si="68"/>
        <v>11/11/1951</v>
      </c>
      <c r="M129" s="8">
        <v>18943</v>
      </c>
      <c r="O129" s="8"/>
      <c r="P129" s="13">
        <f t="shared" si="65"/>
        <v>127</v>
      </c>
      <c r="Q129" s="19" t="str">
        <f t="shared" si="37"/>
        <v>Vivian (127): 1951–</v>
      </c>
      <c r="R129" s="120">
        <v>78</v>
      </c>
      <c r="S129" s="15" t="str">
        <f t="shared" si="61"/>
        <v>Vivian (78): 1894–1972</v>
      </c>
      <c r="T129" s="38">
        <f t="shared" si="51"/>
        <v>46</v>
      </c>
      <c r="U129" s="37" t="str">
        <f t="shared" si="52"/>
        <v>William (46): 1863–1923</v>
      </c>
      <c r="V129" s="27">
        <f t="shared" si="53"/>
        <v>23</v>
      </c>
      <c r="W129" s="28" t="str">
        <f t="shared" si="54"/>
        <v>William (23): 1821–1885</v>
      </c>
      <c r="X129" s="39">
        <f t="shared" si="38"/>
        <v>8</v>
      </c>
      <c r="Y129" s="40" t="str">
        <f t="shared" si="39"/>
        <v>Edward (8): 1780–1863</v>
      </c>
      <c r="Z129" s="29">
        <f t="shared" si="40"/>
        <v>1</v>
      </c>
      <c r="AA129" s="41" t="str">
        <f t="shared" si="41"/>
        <v>William (1): 1729–1800</v>
      </c>
      <c r="AB129" s="30">
        <f t="shared" si="42"/>
        <v>0</v>
      </c>
      <c r="AC129" s="43" t="str">
        <f t="shared" si="43"/>
        <v>Lewis (0): 1690–1758</v>
      </c>
      <c r="AD129" s="42">
        <f t="shared" si="44"/>
        <v>-1</v>
      </c>
      <c r="AE129" s="22" t="e">
        <f t="shared" si="45"/>
        <v>#N/A</v>
      </c>
      <c r="AF129" s="42" t="e">
        <f t="shared" si="46"/>
        <v>#N/A</v>
      </c>
      <c r="AG129" s="22" t="e">
        <f t="shared" si="47"/>
        <v>#N/A</v>
      </c>
      <c r="AH129" s="23" t="s">
        <v>2815</v>
      </c>
      <c r="AI129" s="33" t="s">
        <v>4404</v>
      </c>
      <c r="AJ129" s="264" t="str">
        <f>VLOOKUP(AI129,'Mums of Loyd Edit&amp;Partner Edit'!$B$4:$C$66,2,FALSE)</f>
        <v>Veronica Elizabeth HAYNES (b. 4 Dec 1926, )</v>
      </c>
      <c r="AK129" s="33">
        <f t="shared" si="55"/>
        <v>11</v>
      </c>
      <c r="AL129" s="33">
        <f t="shared" si="56"/>
        <v>11</v>
      </c>
      <c r="AM129" s="144">
        <f t="shared" si="69"/>
        <v>7</v>
      </c>
      <c r="AN129" s="144">
        <f t="shared" si="58"/>
        <v>1</v>
      </c>
      <c r="AO129">
        <f t="shared" si="66"/>
        <v>70</v>
      </c>
      <c r="AP129" s="103">
        <f t="shared" si="67"/>
        <v>70</v>
      </c>
      <c r="AQ129" s="33">
        <f t="shared" si="64"/>
        <v>127</v>
      </c>
    </row>
    <row r="130" spans="1:43" ht="20" thickBot="1">
      <c r="A130" s="33">
        <f t="shared" si="35"/>
        <v>128</v>
      </c>
      <c r="B130">
        <f t="shared" si="59"/>
        <v>6</v>
      </c>
      <c r="C130" s="183">
        <v>128</v>
      </c>
      <c r="D130" s="2" t="s">
        <v>782</v>
      </c>
      <c r="E130" t="s">
        <v>910</v>
      </c>
      <c r="F130" t="s">
        <v>903</v>
      </c>
      <c r="I130" s="31">
        <f t="shared" si="62"/>
        <v>1952</v>
      </c>
      <c r="J130" s="99" t="str">
        <f t="shared" si="63"/>
        <v/>
      </c>
      <c r="K130" s="9" t="str">
        <f t="shared" si="60"/>
        <v>Julie (128): 1952</v>
      </c>
      <c r="L130" s="8" t="str">
        <f t="shared" si="68"/>
        <v>30/04/1952</v>
      </c>
      <c r="M130" s="8">
        <v>19114</v>
      </c>
      <c r="N130" s="3">
        <v>32402</v>
      </c>
      <c r="O130" s="8"/>
      <c r="P130" s="13">
        <f t="shared" si="65"/>
        <v>128</v>
      </c>
      <c r="Q130" s="19" t="str">
        <f t="shared" si="37"/>
        <v>Julie (128): 1952–</v>
      </c>
      <c r="R130" s="120">
        <v>98</v>
      </c>
      <c r="S130" s="15" t="str">
        <f t="shared" si="61"/>
        <v>Peter (98): 1922–2022</v>
      </c>
      <c r="T130" s="38">
        <f t="shared" si="51"/>
        <v>77</v>
      </c>
      <c r="U130" s="37" t="str">
        <f t="shared" si="52"/>
        <v>Wilfrid (77): 1893–1971</v>
      </c>
      <c r="V130" s="27">
        <f t="shared" si="53"/>
        <v>30</v>
      </c>
      <c r="W130" s="28" t="str">
        <f t="shared" si="54"/>
        <v>Archie (30): 1847–1922</v>
      </c>
      <c r="X130" s="39">
        <f t="shared" si="38"/>
        <v>14</v>
      </c>
      <c r="Y130" s="40" t="str">
        <f t="shared" si="39"/>
        <v>Thomas (14): 1812–1857</v>
      </c>
      <c r="Z130" s="29">
        <f t="shared" si="40"/>
        <v>4</v>
      </c>
      <c r="AA130" s="41" t="str">
        <f t="shared" si="41"/>
        <v>William (4): 1770–1828</v>
      </c>
      <c r="AB130" s="30">
        <f t="shared" si="42"/>
        <v>1</v>
      </c>
      <c r="AC130" s="43" t="str">
        <f t="shared" si="43"/>
        <v>William (1): 1729–1800</v>
      </c>
      <c r="AD130" s="42">
        <f t="shared" si="44"/>
        <v>0</v>
      </c>
      <c r="AE130" s="22" t="str">
        <f t="shared" si="45"/>
        <v>Lewis (0): 1690–1758</v>
      </c>
      <c r="AF130" s="42">
        <f t="shared" si="46"/>
        <v>-1</v>
      </c>
      <c r="AG130" s="22" t="e">
        <f t="shared" si="47"/>
        <v>#N/A</v>
      </c>
      <c r="AH130" s="23" t="s">
        <v>2814</v>
      </c>
      <c r="AI130" s="33" t="s">
        <v>4405</v>
      </c>
      <c r="AJ130" s="264" t="str">
        <f>VLOOKUP(AI130,'Mums of Loyd Edit&amp;Partner Edit'!$B$4:$C$66,2,FALSE)</f>
        <v>Suzanne DUNCAN (b. 25 Aug 1928, )</v>
      </c>
      <c r="AK130" s="33">
        <f t="shared" si="55"/>
        <v>4</v>
      </c>
      <c r="AL130" s="33">
        <f t="shared" si="56"/>
        <v>30</v>
      </c>
      <c r="AM130" s="144">
        <f t="shared" si="69"/>
        <v>7</v>
      </c>
      <c r="AN130" s="144">
        <f t="shared" si="58"/>
        <v>1</v>
      </c>
      <c r="AO130">
        <f t="shared" si="66"/>
        <v>70</v>
      </c>
      <c r="AP130" s="103">
        <f t="shared" si="67"/>
        <v>70</v>
      </c>
      <c r="AQ130" s="33">
        <f t="shared" ref="AQ130:AQ161" si="70">C130</f>
        <v>128</v>
      </c>
    </row>
    <row r="131" spans="1:43" ht="20" thickBot="1">
      <c r="A131" s="33">
        <f t="shared" ref="A131:A192" si="71">C131</f>
        <v>129</v>
      </c>
      <c r="B131">
        <f t="shared" si="59"/>
        <v>6</v>
      </c>
      <c r="C131" s="183">
        <v>129</v>
      </c>
      <c r="D131" s="2" t="s">
        <v>782</v>
      </c>
      <c r="E131" t="s">
        <v>798</v>
      </c>
      <c r="F131" t="s">
        <v>882</v>
      </c>
      <c r="I131" s="31">
        <f t="shared" si="62"/>
        <v>1952</v>
      </c>
      <c r="J131" s="99" t="str">
        <f t="shared" si="63"/>
        <v/>
      </c>
      <c r="K131" s="9" t="str">
        <f t="shared" si="60"/>
        <v>Diana (129): 1952</v>
      </c>
      <c r="L131" s="8" t="str">
        <f t="shared" si="68"/>
        <v>13/05/1952</v>
      </c>
      <c r="M131" s="8">
        <v>19127</v>
      </c>
      <c r="N131" s="3">
        <v>30506</v>
      </c>
      <c r="O131" s="8"/>
      <c r="P131" s="13">
        <f t="shared" ref="P131:P162" si="72">C131</f>
        <v>129</v>
      </c>
      <c r="Q131" s="19" t="str">
        <f t="shared" ref="Q131:Q192" si="73">_xlfn.CONCAT(K131,"–",J131)</f>
        <v>Diana (129): 1952–</v>
      </c>
      <c r="R131" s="120">
        <v>89</v>
      </c>
      <c r="S131" s="15" t="str">
        <f t="shared" si="61"/>
        <v>Sir Francis/Frank (89): 1916–2006</v>
      </c>
      <c r="T131" s="38">
        <f t="shared" si="51"/>
        <v>54</v>
      </c>
      <c r="U131" s="37" t="str">
        <f t="shared" si="52"/>
        <v>Alfred (54): 1882–1919</v>
      </c>
      <c r="V131" s="27">
        <f t="shared" si="53"/>
        <v>32</v>
      </c>
      <c r="W131" s="28" t="str">
        <f t="shared" si="54"/>
        <v>Frank (32): 1848–1934</v>
      </c>
      <c r="X131" s="39">
        <f t="shared" ref="X131:X184" si="74">VLOOKUP(V131,$C$2:$AH$184,16,TRUE)</f>
        <v>14</v>
      </c>
      <c r="Y131" s="40" t="str">
        <f t="shared" ref="Y131:Y184" si="75">VLOOKUP(X131,$P$2:$Q$184,2,TRUE)</f>
        <v>Thomas (14): 1812–1857</v>
      </c>
      <c r="Z131" s="29">
        <f t="shared" ref="Z131:Z184" si="76">VLOOKUP(X131,$C$2:$AH$184,16,TRUE)</f>
        <v>4</v>
      </c>
      <c r="AA131" s="41" t="str">
        <f t="shared" ref="AA131:AA184" si="77">VLOOKUP(Z131,$P$2:$Q$184,2,TRUE)</f>
        <v>William (4): 1770–1828</v>
      </c>
      <c r="AB131" s="30">
        <f t="shared" ref="AB131:AB184" si="78">VLOOKUP(Z131,$C$2:$AH$184,16,TRUE)</f>
        <v>1</v>
      </c>
      <c r="AC131" s="43" t="str">
        <f t="shared" ref="AC131:AC184" si="79">VLOOKUP(AB131,$P$2:$Q$184,2,TRUE)</f>
        <v>William (1): 1729–1800</v>
      </c>
      <c r="AD131" s="42">
        <f t="shared" ref="AD131:AD184" si="80">VLOOKUP(AB131,$C$2:$AH$184,16,TRUE)</f>
        <v>0</v>
      </c>
      <c r="AE131" s="22" t="str">
        <f t="shared" ref="AE131:AE184" si="81">VLOOKUP(AD131,$P$2:$Q$184,2,TRUE)</f>
        <v>Lewis (0): 1690–1758</v>
      </c>
      <c r="AF131" s="42">
        <f t="shared" ref="AF131:AF192" si="82">VLOOKUP(AD131,$C$2:$AH$184,16,TRUE)</f>
        <v>-1</v>
      </c>
      <c r="AG131" s="22" t="e">
        <f t="shared" ref="AG131:AG192" si="83">VLOOKUP(AF131,$P$2:$Q$184,2,TRUE)</f>
        <v>#N/A</v>
      </c>
      <c r="AH131" s="23" t="s">
        <v>2814</v>
      </c>
      <c r="AI131" s="33" t="s">
        <v>4401</v>
      </c>
      <c r="AJ131" s="264" t="str">
        <f>VLOOKUP(AI131,'Mums of Loyd Edit&amp;Partner Edit'!$B$4:$C$66,2,FALSE)</f>
        <v>Katharine Layzell (b. 13 Mar 1924, d. 26 Oct 1981)</v>
      </c>
      <c r="AK131" s="33">
        <f t="shared" si="55"/>
        <v>5</v>
      </c>
      <c r="AL131" s="33">
        <f t="shared" si="56"/>
        <v>13</v>
      </c>
      <c r="AM131" s="144">
        <f t="shared" ref="AM131:AM192" si="84">IF(O131="",7,VALUE(MID(O131,4,2)))</f>
        <v>7</v>
      </c>
      <c r="AN131" s="144">
        <f t="shared" si="58"/>
        <v>1</v>
      </c>
      <c r="AO131">
        <f t="shared" ref="AO131:AO162" si="85">IF(O131&lt;&gt;"",IF(AK131&gt;AM131,J131-I131-1,IF(AK131&lt;AM131,J131-I131,IF(AND(AK131=AM131,AN131&gt;=AL131),J131-I131,J131-I131-1))),AP131)</f>
        <v>70</v>
      </c>
      <c r="AP131" s="103">
        <f t="shared" si="67"/>
        <v>70</v>
      </c>
      <c r="AQ131" s="33">
        <f t="shared" si="70"/>
        <v>129</v>
      </c>
    </row>
    <row r="132" spans="1:43" ht="20" thickBot="1">
      <c r="A132" s="33">
        <f t="shared" si="71"/>
        <v>130</v>
      </c>
      <c r="B132">
        <f t="shared" si="59"/>
        <v>6</v>
      </c>
      <c r="C132" s="183">
        <v>130</v>
      </c>
      <c r="D132" s="2" t="s">
        <v>782</v>
      </c>
      <c r="E132" t="s">
        <v>905</v>
      </c>
      <c r="F132" t="s">
        <v>804</v>
      </c>
      <c r="I132" s="31">
        <f t="shared" si="62"/>
        <v>1952</v>
      </c>
      <c r="J132" s="99" t="str">
        <f t="shared" si="63"/>
        <v/>
      </c>
      <c r="K132" s="9" t="str">
        <f t="shared" si="60"/>
        <v>David (130): 1952</v>
      </c>
      <c r="L132" s="8" t="str">
        <f t="shared" si="68"/>
        <v>26/06/1952</v>
      </c>
      <c r="M132" s="8">
        <v>19171</v>
      </c>
      <c r="N132" t="s">
        <v>911</v>
      </c>
      <c r="O132" s="8"/>
      <c r="P132" s="13">
        <f t="shared" si="72"/>
        <v>130</v>
      </c>
      <c r="Q132" s="19" t="str">
        <f t="shared" si="73"/>
        <v>David (130): 1952–</v>
      </c>
      <c r="R132" s="120">
        <v>86</v>
      </c>
      <c r="S132" s="15" t="str">
        <f t="shared" si="61"/>
        <v>Peter (86): 1913–2008</v>
      </c>
      <c r="T132" s="38">
        <f t="shared" ref="T132:T184" si="86">VLOOKUP(R132,$C$2:$AH$184,16,TRUE)</f>
        <v>71</v>
      </c>
      <c r="U132" s="37" t="str">
        <f t="shared" ref="U132:U184" si="87">VLOOKUP(T132,$P$2:$Q$184,2,TRUE)</f>
        <v>Arthur (71): 1890–1974</v>
      </c>
      <c r="V132" s="27">
        <f t="shared" ref="V132:V184" si="88">VLOOKUP(T132,$C$2:$AH$184,16,TRUE)</f>
        <v>34</v>
      </c>
      <c r="W132" s="28" t="str">
        <f t="shared" ref="W132:W184" si="89">VLOOKUP(V132,$P$2:$Q$184,2,TRUE)</f>
        <v>Ted (34): 1851–1922</v>
      </c>
      <c r="X132" s="39">
        <f t="shared" si="74"/>
        <v>14</v>
      </c>
      <c r="Y132" s="40" t="str">
        <f t="shared" si="75"/>
        <v>Thomas (14): 1812–1857</v>
      </c>
      <c r="Z132" s="29">
        <f t="shared" si="76"/>
        <v>4</v>
      </c>
      <c r="AA132" s="41" t="str">
        <f t="shared" si="77"/>
        <v>William (4): 1770–1828</v>
      </c>
      <c r="AB132" s="30">
        <f t="shared" si="78"/>
        <v>1</v>
      </c>
      <c r="AC132" s="43" t="str">
        <f t="shared" si="79"/>
        <v>William (1): 1729–1800</v>
      </c>
      <c r="AD132" s="42">
        <f t="shared" si="80"/>
        <v>0</v>
      </c>
      <c r="AE132" s="22" t="str">
        <f t="shared" si="81"/>
        <v>Lewis (0): 1690–1758</v>
      </c>
      <c r="AF132" s="42">
        <f t="shared" si="82"/>
        <v>-1</v>
      </c>
      <c r="AG132" s="22" t="e">
        <f t="shared" si="83"/>
        <v>#N/A</v>
      </c>
      <c r="AH132" s="23" t="s">
        <v>2815</v>
      </c>
      <c r="AI132" s="33" t="s">
        <v>4403</v>
      </c>
      <c r="AJ132" s="264" t="str">
        <f>VLOOKUP(AI132,'Mums of Loyd Edit&amp;Partner Edit'!$B$4:$C$66,2,FALSE)</f>
        <v xml:space="preserve">Anne SMITHELLS (b. 12 Mar 1921, d. 3 Aug 2010) </v>
      </c>
      <c r="AK132" s="33">
        <f t="shared" ref="AK132:AK192" si="90">IF(I132&lt;1900,VALUE(MID(M132,4,2)),VALUE(MID(L132,4,2)))</f>
        <v>6</v>
      </c>
      <c r="AL132" s="33">
        <f t="shared" ref="AL132:AL192" si="91">VALUE(MID(L132,1,2))</f>
        <v>26</v>
      </c>
      <c r="AM132" s="144">
        <f t="shared" si="84"/>
        <v>7</v>
      </c>
      <c r="AN132" s="144">
        <f t="shared" ref="AN132:AN184" si="92">IF(O132="",1,VALUE(MID(O132,1,2)))</f>
        <v>1</v>
      </c>
      <c r="AO132">
        <f t="shared" si="85"/>
        <v>70</v>
      </c>
      <c r="AP132" s="103">
        <f t="shared" ref="AP132:AP192" si="93">IF(AK132&gt;7,2022-I132-1,IF(AK132&lt;7,2022-I132,IF(AND(AK132=7,AL132&gt;=1),2022-I132-1,2022-I132)))</f>
        <v>70</v>
      </c>
      <c r="AQ132" s="33">
        <f t="shared" si="70"/>
        <v>130</v>
      </c>
    </row>
    <row r="133" spans="1:43" ht="20" thickBot="1">
      <c r="A133" s="33">
        <f t="shared" si="71"/>
        <v>131</v>
      </c>
      <c r="B133">
        <f t="shared" ref="B133:B192" si="94">IF(R133=1,1,IF(T133=1,2,IF(V133=1,3,IF(X133=1,4,IF(Z133=1,5,IF(AB133=1,6,IF(AD133=1,7,8)))))))</f>
        <v>6</v>
      </c>
      <c r="C133" s="183">
        <v>131</v>
      </c>
      <c r="D133" s="2" t="s">
        <v>782</v>
      </c>
      <c r="E133" t="s">
        <v>912</v>
      </c>
      <c r="F133" t="s">
        <v>913</v>
      </c>
      <c r="G133" t="s">
        <v>914</v>
      </c>
      <c r="I133" s="31">
        <f t="shared" si="62"/>
        <v>1953</v>
      </c>
      <c r="J133" s="99" t="str">
        <f t="shared" si="63"/>
        <v/>
      </c>
      <c r="K133" s="9" t="str">
        <f t="shared" ref="K133:K192" si="95">IF(H133="",_xlfn.CONCAT(E133," (",C133,"): ",I133),_xlfn.CONCAT(H133," (",C133,"): ",I133))</f>
        <v>Dominic (131): 1953</v>
      </c>
      <c r="L133" s="8" t="str">
        <f t="shared" si="68"/>
        <v>17/03/1953</v>
      </c>
      <c r="M133" s="8">
        <v>19435</v>
      </c>
      <c r="N133" s="3">
        <v>27965</v>
      </c>
      <c r="O133" s="8"/>
      <c r="P133" s="13">
        <f t="shared" si="72"/>
        <v>131</v>
      </c>
      <c r="Q133" s="19" t="str">
        <f t="shared" si="73"/>
        <v>Dominic (131): 1953–</v>
      </c>
      <c r="R133" s="120">
        <v>94</v>
      </c>
      <c r="S133" s="15" t="str">
        <f t="shared" ref="S133:S184" si="96">VLOOKUP(R133,$P$2:$Q$184,2,TRUE)</f>
        <v>Alwyne (94): 1920–2014</v>
      </c>
      <c r="T133" s="38">
        <f t="shared" si="86"/>
        <v>68</v>
      </c>
      <c r="U133" s="37" t="str">
        <f t="shared" si="87"/>
        <v>Cecil (68): 1890–1963</v>
      </c>
      <c r="V133" s="27">
        <f t="shared" si="88"/>
        <v>45</v>
      </c>
      <c r="W133" s="28" t="str">
        <f t="shared" si="89"/>
        <v>Llewellyn (45): 1861–1939</v>
      </c>
      <c r="X133" s="39">
        <f t="shared" si="74"/>
        <v>22</v>
      </c>
      <c r="Y133" s="40" t="str">
        <f t="shared" si="75"/>
        <v>Edward (22): 1820–1890</v>
      </c>
      <c r="Z133" s="29">
        <f t="shared" si="76"/>
        <v>8</v>
      </c>
      <c r="AA133" s="41" t="str">
        <f t="shared" si="77"/>
        <v>Edward (8): 1780–1863</v>
      </c>
      <c r="AB133" s="30">
        <f t="shared" si="78"/>
        <v>1</v>
      </c>
      <c r="AC133" s="43" t="str">
        <f t="shared" si="79"/>
        <v>William (1): 1729–1800</v>
      </c>
      <c r="AD133" s="42">
        <f t="shared" si="80"/>
        <v>0</v>
      </c>
      <c r="AE133" s="22" t="str">
        <f t="shared" si="81"/>
        <v>Lewis (0): 1690–1758</v>
      </c>
      <c r="AF133" s="42">
        <f t="shared" si="82"/>
        <v>-1</v>
      </c>
      <c r="AG133" s="22" t="e">
        <f t="shared" si="83"/>
        <v>#N/A</v>
      </c>
      <c r="AH133" s="23" t="s">
        <v>2815</v>
      </c>
      <c r="AI133" s="33" t="s">
        <v>4402</v>
      </c>
      <c r="AJ133" s="264" t="str">
        <f>VLOOKUP(AI133,'Mums of Loyd Edit&amp;Partner Edit'!$B$4:$C$66,2,FALSE)</f>
        <v>Alison Fraser PORTER (b. 21 Feb 1920, d. 6 Sep 2003)</v>
      </c>
      <c r="AK133" s="33">
        <f t="shared" si="90"/>
        <v>3</v>
      </c>
      <c r="AL133" s="33">
        <f t="shared" si="91"/>
        <v>17</v>
      </c>
      <c r="AM133" s="144">
        <f t="shared" si="84"/>
        <v>7</v>
      </c>
      <c r="AN133" s="144">
        <f t="shared" si="92"/>
        <v>1</v>
      </c>
      <c r="AO133">
        <f t="shared" si="85"/>
        <v>69</v>
      </c>
      <c r="AP133" s="103">
        <f t="shared" si="93"/>
        <v>69</v>
      </c>
      <c r="AQ133" s="33">
        <f t="shared" si="70"/>
        <v>131</v>
      </c>
    </row>
    <row r="134" spans="1:43" ht="20" thickBot="1">
      <c r="A134" s="33">
        <f t="shared" si="71"/>
        <v>132</v>
      </c>
      <c r="B134">
        <f t="shared" si="94"/>
        <v>6</v>
      </c>
      <c r="C134" s="183">
        <v>132</v>
      </c>
      <c r="D134" s="2" t="s">
        <v>782</v>
      </c>
      <c r="E134" t="s">
        <v>915</v>
      </c>
      <c r="I134" s="31">
        <f t="shared" si="62"/>
        <v>1954</v>
      </c>
      <c r="J134" s="99">
        <f t="shared" si="63"/>
        <v>1954</v>
      </c>
      <c r="K134" s="9" t="str">
        <f t="shared" si="95"/>
        <v>Penelope (132): 1954</v>
      </c>
      <c r="L134" s="8" t="str">
        <f t="shared" si="68"/>
        <v>08/05/1954</v>
      </c>
      <c r="M134" s="8">
        <v>19852</v>
      </c>
      <c r="N134" t="s">
        <v>3792</v>
      </c>
      <c r="O134" s="10" t="s">
        <v>3242</v>
      </c>
      <c r="P134" s="13">
        <f t="shared" si="72"/>
        <v>132</v>
      </c>
      <c r="Q134" s="19" t="str">
        <f t="shared" si="73"/>
        <v>Penelope (132): 1954–1954</v>
      </c>
      <c r="R134" s="120">
        <v>98</v>
      </c>
      <c r="S134" s="15" t="str">
        <f t="shared" si="96"/>
        <v>Peter (98): 1922–2022</v>
      </c>
      <c r="T134" s="38">
        <f t="shared" si="86"/>
        <v>77</v>
      </c>
      <c r="U134" s="37" t="str">
        <f t="shared" si="87"/>
        <v>Wilfrid (77): 1893–1971</v>
      </c>
      <c r="V134" s="27">
        <f t="shared" si="88"/>
        <v>30</v>
      </c>
      <c r="W134" s="28" t="str">
        <f t="shared" si="89"/>
        <v>Archie (30): 1847–1922</v>
      </c>
      <c r="X134" s="39">
        <f t="shared" si="74"/>
        <v>14</v>
      </c>
      <c r="Y134" s="40" t="str">
        <f t="shared" si="75"/>
        <v>Thomas (14): 1812–1857</v>
      </c>
      <c r="Z134" s="29">
        <f t="shared" si="76"/>
        <v>4</v>
      </c>
      <c r="AA134" s="41" t="str">
        <f t="shared" si="77"/>
        <v>William (4): 1770–1828</v>
      </c>
      <c r="AB134" s="30">
        <f t="shared" si="78"/>
        <v>1</v>
      </c>
      <c r="AC134" s="43" t="str">
        <f t="shared" si="79"/>
        <v>William (1): 1729–1800</v>
      </c>
      <c r="AD134" s="42">
        <f t="shared" si="80"/>
        <v>0</v>
      </c>
      <c r="AE134" s="22" t="str">
        <f t="shared" si="81"/>
        <v>Lewis (0): 1690–1758</v>
      </c>
      <c r="AF134" s="42">
        <f t="shared" si="82"/>
        <v>-1</v>
      </c>
      <c r="AG134" s="22" t="e">
        <f t="shared" si="83"/>
        <v>#N/A</v>
      </c>
      <c r="AH134" s="23" t="s">
        <v>2815</v>
      </c>
      <c r="AI134" s="33" t="s">
        <v>4405</v>
      </c>
      <c r="AJ134" s="264" t="str">
        <f>VLOOKUP(AI134,'Mums of Loyd Edit&amp;Partner Edit'!$B$4:$C$66,2,FALSE)</f>
        <v>Suzanne DUNCAN (b. 25 Aug 1928, )</v>
      </c>
      <c r="AK134" s="33">
        <f t="shared" si="90"/>
        <v>5</v>
      </c>
      <c r="AL134" s="33">
        <f t="shared" si="91"/>
        <v>8</v>
      </c>
      <c r="AM134" s="144">
        <f t="shared" si="84"/>
        <v>5</v>
      </c>
      <c r="AN134" s="144">
        <f t="shared" si="92"/>
        <v>8</v>
      </c>
      <c r="AO134">
        <f t="shared" si="85"/>
        <v>0</v>
      </c>
      <c r="AP134" s="103">
        <f t="shared" si="93"/>
        <v>68</v>
      </c>
      <c r="AQ134" s="33">
        <f t="shared" si="70"/>
        <v>132</v>
      </c>
    </row>
    <row r="135" spans="1:43" ht="20" thickBot="1">
      <c r="A135" s="33">
        <f t="shared" si="71"/>
        <v>133</v>
      </c>
      <c r="B135">
        <f t="shared" si="94"/>
        <v>6</v>
      </c>
      <c r="C135" s="183">
        <v>133</v>
      </c>
      <c r="D135" s="2" t="s">
        <v>782</v>
      </c>
      <c r="E135" t="s">
        <v>916</v>
      </c>
      <c r="F135" t="s">
        <v>917</v>
      </c>
      <c r="G135" t="s">
        <v>822</v>
      </c>
      <c r="I135" s="31">
        <f t="shared" si="62"/>
        <v>1954</v>
      </c>
      <c r="J135" s="99" t="str">
        <f t="shared" si="63"/>
        <v/>
      </c>
      <c r="K135" s="9" t="str">
        <f t="shared" si="95"/>
        <v>Jeremy (133): 1954</v>
      </c>
      <c r="L135" s="8" t="str">
        <f t="shared" si="68"/>
        <v>04/07/1954</v>
      </c>
      <c r="M135" s="8">
        <v>19909</v>
      </c>
      <c r="N135" s="7" t="s">
        <v>3761</v>
      </c>
      <c r="O135" s="8"/>
      <c r="P135" s="13">
        <f t="shared" si="72"/>
        <v>133</v>
      </c>
      <c r="Q135" s="19" t="str">
        <f t="shared" si="73"/>
        <v>Jeremy (133): 1954–</v>
      </c>
      <c r="R135" s="120">
        <v>105</v>
      </c>
      <c r="S135" s="15" t="str">
        <f t="shared" si="96"/>
        <v>Geoffrey (105): 1926–2018</v>
      </c>
      <c r="T135" s="38">
        <f t="shared" si="86"/>
        <v>77</v>
      </c>
      <c r="U135" s="37" t="str">
        <f t="shared" si="87"/>
        <v>Wilfrid (77): 1893–1971</v>
      </c>
      <c r="V135" s="27">
        <f t="shared" si="88"/>
        <v>30</v>
      </c>
      <c r="W135" s="28" t="str">
        <f t="shared" si="89"/>
        <v>Archie (30): 1847–1922</v>
      </c>
      <c r="X135" s="39">
        <f t="shared" si="74"/>
        <v>14</v>
      </c>
      <c r="Y135" s="40" t="str">
        <f t="shared" si="75"/>
        <v>Thomas (14): 1812–1857</v>
      </c>
      <c r="Z135" s="29">
        <f t="shared" si="76"/>
        <v>4</v>
      </c>
      <c r="AA135" s="41" t="str">
        <f t="shared" si="77"/>
        <v>William (4): 1770–1828</v>
      </c>
      <c r="AB135" s="30">
        <f t="shared" si="78"/>
        <v>1</v>
      </c>
      <c r="AC135" s="43" t="str">
        <f t="shared" si="79"/>
        <v>William (1): 1729–1800</v>
      </c>
      <c r="AD135" s="42">
        <f t="shared" si="80"/>
        <v>0</v>
      </c>
      <c r="AE135" s="22" t="str">
        <f t="shared" si="81"/>
        <v>Lewis (0): 1690–1758</v>
      </c>
      <c r="AF135" s="42">
        <f t="shared" si="82"/>
        <v>-1</v>
      </c>
      <c r="AG135" s="22" t="e">
        <f t="shared" si="83"/>
        <v>#N/A</v>
      </c>
      <c r="AH135" s="23" t="s">
        <v>2815</v>
      </c>
      <c r="AI135" s="33" t="s">
        <v>4400</v>
      </c>
      <c r="AJ135" s="264" t="str">
        <f>VLOOKUP(AI135,'Mums of Loyd Edit&amp;Partner Edit'!$B$4:$C$66,2,FALSE)</f>
        <v>Patricia Mary MACLEAN (b. 11 Feb 1929, )</v>
      </c>
      <c r="AK135" s="33">
        <f t="shared" si="90"/>
        <v>7</v>
      </c>
      <c r="AL135" s="33">
        <f t="shared" si="91"/>
        <v>4</v>
      </c>
      <c r="AM135" s="144">
        <f t="shared" si="84"/>
        <v>7</v>
      </c>
      <c r="AN135" s="144">
        <f t="shared" si="92"/>
        <v>1</v>
      </c>
      <c r="AO135">
        <f t="shared" si="85"/>
        <v>67</v>
      </c>
      <c r="AP135" s="103">
        <f t="shared" si="93"/>
        <v>67</v>
      </c>
      <c r="AQ135" s="33">
        <f t="shared" si="70"/>
        <v>133</v>
      </c>
    </row>
    <row r="136" spans="1:43" ht="20" thickBot="1">
      <c r="A136" s="33">
        <f t="shared" si="71"/>
        <v>134</v>
      </c>
      <c r="B136">
        <f t="shared" si="94"/>
        <v>6</v>
      </c>
      <c r="C136" s="183">
        <v>134</v>
      </c>
      <c r="D136" s="2" t="s">
        <v>782</v>
      </c>
      <c r="E136" t="s">
        <v>830</v>
      </c>
      <c r="F136" t="s">
        <v>822</v>
      </c>
      <c r="I136" s="31">
        <f t="shared" si="62"/>
        <v>1955</v>
      </c>
      <c r="J136" s="99" t="str">
        <f t="shared" si="63"/>
        <v/>
      </c>
      <c r="K136" s="9" t="str">
        <f t="shared" si="95"/>
        <v>William (134): 1955</v>
      </c>
      <c r="L136" s="8" t="str">
        <f t="shared" si="68"/>
        <v>06/06/1955</v>
      </c>
      <c r="M136" s="8">
        <v>20246</v>
      </c>
      <c r="N136" t="s">
        <v>3792</v>
      </c>
      <c r="O136" s="8"/>
      <c r="P136" s="13">
        <f t="shared" si="72"/>
        <v>134</v>
      </c>
      <c r="Q136" s="19" t="str">
        <f t="shared" si="73"/>
        <v>William (134): 1955–</v>
      </c>
      <c r="R136" s="120">
        <v>98</v>
      </c>
      <c r="S136" s="15" t="str">
        <f t="shared" si="96"/>
        <v>Peter (98): 1922–2022</v>
      </c>
      <c r="T136" s="38">
        <f t="shared" si="86"/>
        <v>77</v>
      </c>
      <c r="U136" s="37" t="str">
        <f t="shared" si="87"/>
        <v>Wilfrid (77): 1893–1971</v>
      </c>
      <c r="V136" s="27">
        <f t="shared" si="88"/>
        <v>30</v>
      </c>
      <c r="W136" s="28" t="str">
        <f t="shared" si="89"/>
        <v>Archie (30): 1847–1922</v>
      </c>
      <c r="X136" s="39">
        <f t="shared" si="74"/>
        <v>14</v>
      </c>
      <c r="Y136" s="40" t="str">
        <f t="shared" si="75"/>
        <v>Thomas (14): 1812–1857</v>
      </c>
      <c r="Z136" s="29">
        <f t="shared" si="76"/>
        <v>4</v>
      </c>
      <c r="AA136" s="41" t="str">
        <f t="shared" si="77"/>
        <v>William (4): 1770–1828</v>
      </c>
      <c r="AB136" s="30">
        <f t="shared" si="78"/>
        <v>1</v>
      </c>
      <c r="AC136" s="43" t="str">
        <f t="shared" si="79"/>
        <v>William (1): 1729–1800</v>
      </c>
      <c r="AD136" s="42">
        <f t="shared" si="80"/>
        <v>0</v>
      </c>
      <c r="AE136" s="22" t="str">
        <f t="shared" si="81"/>
        <v>Lewis (0): 1690–1758</v>
      </c>
      <c r="AF136" s="42">
        <f t="shared" si="82"/>
        <v>-1</v>
      </c>
      <c r="AG136" s="22" t="e">
        <f t="shared" si="83"/>
        <v>#N/A</v>
      </c>
      <c r="AH136" s="23" t="s">
        <v>2815</v>
      </c>
      <c r="AI136" s="33" t="s">
        <v>4405</v>
      </c>
      <c r="AJ136" s="264" t="str">
        <f>VLOOKUP(AI136,'Mums of Loyd Edit&amp;Partner Edit'!$B$4:$C$66,2,FALSE)</f>
        <v>Suzanne DUNCAN (b. 25 Aug 1928, )</v>
      </c>
      <c r="AK136" s="33">
        <f t="shared" si="90"/>
        <v>6</v>
      </c>
      <c r="AL136" s="33">
        <f t="shared" si="91"/>
        <v>6</v>
      </c>
      <c r="AM136" s="144">
        <f t="shared" si="84"/>
        <v>7</v>
      </c>
      <c r="AN136" s="144">
        <f t="shared" si="92"/>
        <v>1</v>
      </c>
      <c r="AO136">
        <f t="shared" si="85"/>
        <v>67</v>
      </c>
      <c r="AP136" s="103">
        <f t="shared" si="93"/>
        <v>67</v>
      </c>
      <c r="AQ136" s="33">
        <f t="shared" si="70"/>
        <v>134</v>
      </c>
    </row>
    <row r="137" spans="1:43" ht="20" thickBot="1">
      <c r="A137" s="33">
        <f t="shared" si="71"/>
        <v>135</v>
      </c>
      <c r="B137">
        <f t="shared" si="94"/>
        <v>6</v>
      </c>
      <c r="C137" s="183">
        <v>135</v>
      </c>
      <c r="D137" s="2" t="s">
        <v>782</v>
      </c>
      <c r="E137" t="s">
        <v>918</v>
      </c>
      <c r="F137" t="s">
        <v>811</v>
      </c>
      <c r="H137" t="s">
        <v>2954</v>
      </c>
      <c r="I137" s="31">
        <f t="shared" si="62"/>
        <v>1955</v>
      </c>
      <c r="J137" s="99" t="str">
        <f t="shared" si="63"/>
        <v/>
      </c>
      <c r="K137" s="9" t="str">
        <f t="shared" si="95"/>
        <v>Jim (135): 1955</v>
      </c>
      <c r="L137" s="8" t="str">
        <f t="shared" si="68"/>
        <v>23/08/1955</v>
      </c>
      <c r="M137" s="8">
        <v>20324</v>
      </c>
      <c r="N137" s="3">
        <v>33348</v>
      </c>
      <c r="O137" s="8"/>
      <c r="P137" s="13">
        <f t="shared" si="72"/>
        <v>135</v>
      </c>
      <c r="Q137" s="19" t="str">
        <f t="shared" si="73"/>
        <v>Jim (135): 1955–</v>
      </c>
      <c r="R137" s="120">
        <v>86</v>
      </c>
      <c r="S137" s="15" t="str">
        <f t="shared" si="96"/>
        <v>Peter (86): 1913–2008</v>
      </c>
      <c r="T137" s="38">
        <f t="shared" si="86"/>
        <v>71</v>
      </c>
      <c r="U137" s="37" t="str">
        <f t="shared" si="87"/>
        <v>Arthur (71): 1890–1974</v>
      </c>
      <c r="V137" s="27">
        <f t="shared" si="88"/>
        <v>34</v>
      </c>
      <c r="W137" s="28" t="str">
        <f t="shared" si="89"/>
        <v>Ted (34): 1851–1922</v>
      </c>
      <c r="X137" s="39">
        <f t="shared" si="74"/>
        <v>14</v>
      </c>
      <c r="Y137" s="40" t="str">
        <f t="shared" si="75"/>
        <v>Thomas (14): 1812–1857</v>
      </c>
      <c r="Z137" s="29">
        <f t="shared" si="76"/>
        <v>4</v>
      </c>
      <c r="AA137" s="41" t="str">
        <f t="shared" si="77"/>
        <v>William (4): 1770–1828</v>
      </c>
      <c r="AB137" s="30">
        <f t="shared" si="78"/>
        <v>1</v>
      </c>
      <c r="AC137" s="43" t="str">
        <f t="shared" si="79"/>
        <v>William (1): 1729–1800</v>
      </c>
      <c r="AD137" s="42">
        <f t="shared" si="80"/>
        <v>0</v>
      </c>
      <c r="AE137" s="22" t="str">
        <f t="shared" si="81"/>
        <v>Lewis (0): 1690–1758</v>
      </c>
      <c r="AF137" s="42">
        <f t="shared" si="82"/>
        <v>-1</v>
      </c>
      <c r="AG137" s="22" t="e">
        <f t="shared" si="83"/>
        <v>#N/A</v>
      </c>
      <c r="AH137" s="23" t="s">
        <v>2815</v>
      </c>
      <c r="AI137" s="33" t="s">
        <v>4403</v>
      </c>
      <c r="AJ137" s="264" t="str">
        <f>VLOOKUP(AI137,'Mums of Loyd Edit&amp;Partner Edit'!$B$4:$C$66,2,FALSE)</f>
        <v xml:space="preserve">Anne SMITHELLS (b. 12 Mar 1921, d. 3 Aug 2010) </v>
      </c>
      <c r="AK137" s="33">
        <f t="shared" si="90"/>
        <v>8</v>
      </c>
      <c r="AL137" s="33">
        <f t="shared" si="91"/>
        <v>23</v>
      </c>
      <c r="AM137" s="144">
        <f t="shared" si="84"/>
        <v>7</v>
      </c>
      <c r="AN137" s="144">
        <f t="shared" si="92"/>
        <v>1</v>
      </c>
      <c r="AO137">
        <f t="shared" si="85"/>
        <v>66</v>
      </c>
      <c r="AP137" s="103">
        <f t="shared" si="93"/>
        <v>66</v>
      </c>
      <c r="AQ137" s="33">
        <f t="shared" si="70"/>
        <v>135</v>
      </c>
    </row>
    <row r="138" spans="1:43" ht="20" thickBot="1">
      <c r="A138" s="33">
        <f t="shared" si="71"/>
        <v>136</v>
      </c>
      <c r="B138">
        <f t="shared" si="94"/>
        <v>6</v>
      </c>
      <c r="C138" s="183">
        <v>136</v>
      </c>
      <c r="D138" s="2" t="s">
        <v>782</v>
      </c>
      <c r="E138" t="s">
        <v>919</v>
      </c>
      <c r="F138" t="s">
        <v>920</v>
      </c>
      <c r="G138" t="s">
        <v>2955</v>
      </c>
      <c r="H138" t="s">
        <v>1190</v>
      </c>
      <c r="I138" s="31">
        <f t="shared" si="62"/>
        <v>1957</v>
      </c>
      <c r="J138" s="99" t="str">
        <f t="shared" si="63"/>
        <v/>
      </c>
      <c r="K138" s="9" t="str">
        <f t="shared" si="95"/>
        <v>Tim (136): 1957</v>
      </c>
      <c r="L138" s="8" t="str">
        <f t="shared" si="68"/>
        <v>04/06/1957</v>
      </c>
      <c r="M138" s="8">
        <v>20975</v>
      </c>
      <c r="N138" s="3">
        <v>29715</v>
      </c>
      <c r="O138" s="8"/>
      <c r="P138" s="13">
        <f t="shared" si="72"/>
        <v>136</v>
      </c>
      <c r="Q138" s="19" t="str">
        <f t="shared" si="73"/>
        <v>Tim (136): 1957–</v>
      </c>
      <c r="R138" s="120">
        <v>94</v>
      </c>
      <c r="S138" s="15" t="str">
        <f t="shared" si="96"/>
        <v>Alwyne (94): 1920–2014</v>
      </c>
      <c r="T138" s="38">
        <f t="shared" si="86"/>
        <v>68</v>
      </c>
      <c r="U138" s="37" t="str">
        <f t="shared" si="87"/>
        <v>Cecil (68): 1890–1963</v>
      </c>
      <c r="V138" s="27">
        <f t="shared" si="88"/>
        <v>45</v>
      </c>
      <c r="W138" s="28" t="str">
        <f t="shared" si="89"/>
        <v>Llewellyn (45): 1861–1939</v>
      </c>
      <c r="X138" s="39">
        <f t="shared" si="74"/>
        <v>22</v>
      </c>
      <c r="Y138" s="40" t="str">
        <f t="shared" si="75"/>
        <v>Edward (22): 1820–1890</v>
      </c>
      <c r="Z138" s="29">
        <f t="shared" si="76"/>
        <v>8</v>
      </c>
      <c r="AA138" s="41" t="str">
        <f t="shared" si="77"/>
        <v>Edward (8): 1780–1863</v>
      </c>
      <c r="AB138" s="30">
        <f t="shared" si="78"/>
        <v>1</v>
      </c>
      <c r="AC138" s="43" t="str">
        <f t="shared" si="79"/>
        <v>William (1): 1729–1800</v>
      </c>
      <c r="AD138" s="42">
        <f t="shared" si="80"/>
        <v>0</v>
      </c>
      <c r="AE138" s="22" t="str">
        <f t="shared" si="81"/>
        <v>Lewis (0): 1690–1758</v>
      </c>
      <c r="AF138" s="42">
        <f t="shared" si="82"/>
        <v>-1</v>
      </c>
      <c r="AG138" s="22" t="e">
        <f t="shared" si="83"/>
        <v>#N/A</v>
      </c>
      <c r="AH138" s="23" t="s">
        <v>2815</v>
      </c>
      <c r="AI138" s="33" t="s">
        <v>4402</v>
      </c>
      <c r="AJ138" s="264" t="str">
        <f>VLOOKUP(AI138,'Mums of Loyd Edit&amp;Partner Edit'!$B$4:$C$66,2,FALSE)</f>
        <v>Alison Fraser PORTER (b. 21 Feb 1920, d. 6 Sep 2003)</v>
      </c>
      <c r="AK138" s="33">
        <f t="shared" si="90"/>
        <v>6</v>
      </c>
      <c r="AL138" s="33">
        <f t="shared" si="91"/>
        <v>4</v>
      </c>
      <c r="AM138" s="144">
        <f t="shared" si="84"/>
        <v>7</v>
      </c>
      <c r="AN138" s="144">
        <f t="shared" si="92"/>
        <v>1</v>
      </c>
      <c r="AO138">
        <f t="shared" si="85"/>
        <v>65</v>
      </c>
      <c r="AP138" s="103">
        <f t="shared" si="93"/>
        <v>65</v>
      </c>
      <c r="AQ138" s="33">
        <f t="shared" si="70"/>
        <v>136</v>
      </c>
    </row>
    <row r="139" spans="1:43" ht="36" thickBot="1">
      <c r="A139" s="33">
        <f t="shared" si="71"/>
        <v>137</v>
      </c>
      <c r="B139">
        <f t="shared" si="94"/>
        <v>6</v>
      </c>
      <c r="C139" s="183">
        <v>137</v>
      </c>
      <c r="D139" s="2" t="s">
        <v>782</v>
      </c>
      <c r="E139" t="s">
        <v>921</v>
      </c>
      <c r="F139" t="s">
        <v>922</v>
      </c>
      <c r="G139" t="s">
        <v>923</v>
      </c>
      <c r="I139" s="31">
        <f t="shared" si="62"/>
        <v>1959</v>
      </c>
      <c r="J139" s="99" t="str">
        <f t="shared" si="63"/>
        <v/>
      </c>
      <c r="K139" s="9" t="str">
        <f t="shared" si="95"/>
        <v>Henrietta (137): 1959</v>
      </c>
      <c r="L139" s="8" t="str">
        <f t="shared" si="68"/>
        <v>31/01/1959</v>
      </c>
      <c r="M139" s="8">
        <v>21581</v>
      </c>
      <c r="N139" s="3">
        <v>34853</v>
      </c>
      <c r="O139" s="8"/>
      <c r="P139" s="13">
        <f t="shared" si="72"/>
        <v>137</v>
      </c>
      <c r="Q139" s="19" t="str">
        <f t="shared" si="73"/>
        <v>Henrietta (137): 1959–</v>
      </c>
      <c r="R139" s="120">
        <v>99</v>
      </c>
      <c r="S139" s="15" t="str">
        <f t="shared" si="96"/>
        <v>Peter (99): 1923–1974</v>
      </c>
      <c r="T139" s="38">
        <f t="shared" si="86"/>
        <v>66</v>
      </c>
      <c r="U139" s="37" t="str">
        <f t="shared" si="87"/>
        <v>William (66): 1889–1947</v>
      </c>
      <c r="V139" s="27">
        <f t="shared" si="88"/>
        <v>44</v>
      </c>
      <c r="W139" s="28" t="str">
        <f t="shared" si="89"/>
        <v>Harry (44): 1861–1938</v>
      </c>
      <c r="X139" s="39">
        <f t="shared" si="74"/>
        <v>23</v>
      </c>
      <c r="Y139" s="40" t="str">
        <f t="shared" si="75"/>
        <v>William (23): 1821–1885</v>
      </c>
      <c r="Z139" s="29">
        <f t="shared" si="76"/>
        <v>8</v>
      </c>
      <c r="AA139" s="41" t="str">
        <f t="shared" si="77"/>
        <v>Edward (8): 1780–1863</v>
      </c>
      <c r="AB139" s="30">
        <f t="shared" si="78"/>
        <v>1</v>
      </c>
      <c r="AC139" s="43" t="str">
        <f t="shared" si="79"/>
        <v>William (1): 1729–1800</v>
      </c>
      <c r="AD139" s="42">
        <f t="shared" si="80"/>
        <v>0</v>
      </c>
      <c r="AE139" s="22" t="str">
        <f t="shared" si="81"/>
        <v>Lewis (0): 1690–1758</v>
      </c>
      <c r="AF139" s="42">
        <f t="shared" si="82"/>
        <v>-1</v>
      </c>
      <c r="AG139" s="22" t="e">
        <f t="shared" si="83"/>
        <v>#N/A</v>
      </c>
      <c r="AH139" s="23" t="s">
        <v>2814</v>
      </c>
      <c r="AI139" s="33" t="s">
        <v>4406</v>
      </c>
      <c r="AJ139" s="264" t="str">
        <f>VLOOKUP(AI139,'Mums of Loyd Edit&amp;Partner Edit'!$B$4:$C$66,2,FALSE)</f>
        <v>Sally Elizabeth Jane INGLIS (b. 18 Jan 1931, d. 27 Aug 2020)</v>
      </c>
      <c r="AK139" s="33">
        <f t="shared" si="90"/>
        <v>1</v>
      </c>
      <c r="AL139" s="33">
        <f t="shared" si="91"/>
        <v>31</v>
      </c>
      <c r="AM139" s="144">
        <f t="shared" si="84"/>
        <v>7</v>
      </c>
      <c r="AN139" s="144">
        <f t="shared" si="92"/>
        <v>1</v>
      </c>
      <c r="AO139">
        <f t="shared" si="85"/>
        <v>63</v>
      </c>
      <c r="AP139" s="103">
        <f t="shared" si="93"/>
        <v>63</v>
      </c>
      <c r="AQ139" s="33">
        <f t="shared" si="70"/>
        <v>137</v>
      </c>
    </row>
    <row r="140" spans="1:43" ht="20" thickBot="1">
      <c r="A140" s="33">
        <f t="shared" si="71"/>
        <v>138</v>
      </c>
      <c r="B140">
        <f t="shared" si="94"/>
        <v>6</v>
      </c>
      <c r="C140" s="183">
        <v>138</v>
      </c>
      <c r="D140" s="2" t="s">
        <v>782</v>
      </c>
      <c r="E140" t="s">
        <v>852</v>
      </c>
      <c r="F140" t="s">
        <v>866</v>
      </c>
      <c r="I140" s="31">
        <f t="shared" si="62"/>
        <v>1959</v>
      </c>
      <c r="J140" s="99" t="str">
        <f t="shared" si="63"/>
        <v/>
      </c>
      <c r="K140" s="9" t="str">
        <f t="shared" si="95"/>
        <v>Thomas (138): 1959</v>
      </c>
      <c r="L140" s="8" t="str">
        <f t="shared" si="68"/>
        <v>21/02/1959</v>
      </c>
      <c r="M140" s="8">
        <v>21602</v>
      </c>
      <c r="N140" s="3">
        <v>31031</v>
      </c>
      <c r="O140" s="8"/>
      <c r="P140" s="13">
        <f t="shared" si="72"/>
        <v>138</v>
      </c>
      <c r="Q140" s="19" t="str">
        <f t="shared" si="73"/>
        <v>Thomas (138): 1959–</v>
      </c>
      <c r="R140" s="120">
        <v>100</v>
      </c>
      <c r="S140" s="15" t="str">
        <f t="shared" si="96"/>
        <v>Christopher (100): 1923–2013</v>
      </c>
      <c r="T140" s="38">
        <f t="shared" si="86"/>
        <v>56</v>
      </c>
      <c r="U140" s="37" t="str">
        <f t="shared" si="87"/>
        <v>Tommy (56): 1882–1944</v>
      </c>
      <c r="V140" s="27">
        <f t="shared" si="88"/>
        <v>28</v>
      </c>
      <c r="W140" s="28" t="str">
        <f t="shared" si="89"/>
        <v>The Rev Lewis (28): 1844–1905</v>
      </c>
      <c r="X140" s="39">
        <f t="shared" si="74"/>
        <v>14</v>
      </c>
      <c r="Y140" s="40" t="str">
        <f t="shared" si="75"/>
        <v>Thomas (14): 1812–1857</v>
      </c>
      <c r="Z140" s="29">
        <f t="shared" si="76"/>
        <v>4</v>
      </c>
      <c r="AA140" s="41" t="str">
        <f t="shared" si="77"/>
        <v>William (4): 1770–1828</v>
      </c>
      <c r="AB140" s="30">
        <f t="shared" si="78"/>
        <v>1</v>
      </c>
      <c r="AC140" s="43" t="str">
        <f t="shared" si="79"/>
        <v>William (1): 1729–1800</v>
      </c>
      <c r="AD140" s="42">
        <f t="shared" si="80"/>
        <v>0</v>
      </c>
      <c r="AE140" s="22" t="str">
        <f t="shared" si="81"/>
        <v>Lewis (0): 1690–1758</v>
      </c>
      <c r="AF140" s="42">
        <f t="shared" si="82"/>
        <v>-1</v>
      </c>
      <c r="AG140" s="22" t="e">
        <f t="shared" si="83"/>
        <v>#N/A</v>
      </c>
      <c r="AH140" s="23" t="s">
        <v>2815</v>
      </c>
      <c r="AI140" s="33" t="s">
        <v>4407</v>
      </c>
      <c r="AJ140" s="264" t="str">
        <f>VLOOKUP(AI140,'Mums of Loyd Edit&amp;Partner Edit'!$B$4:$C$66,2,FALSE)</f>
        <v>Joanna SMITH-BINGHAM (b. 17 Nov 1935, )</v>
      </c>
      <c r="AK140" s="33">
        <f t="shared" si="90"/>
        <v>2</v>
      </c>
      <c r="AL140" s="33">
        <f t="shared" si="91"/>
        <v>21</v>
      </c>
      <c r="AM140" s="144">
        <f t="shared" si="84"/>
        <v>7</v>
      </c>
      <c r="AN140" s="144">
        <f t="shared" si="92"/>
        <v>1</v>
      </c>
      <c r="AO140">
        <f t="shared" si="85"/>
        <v>63</v>
      </c>
      <c r="AP140" s="103">
        <f t="shared" si="93"/>
        <v>63</v>
      </c>
      <c r="AQ140" s="33">
        <f t="shared" si="70"/>
        <v>138</v>
      </c>
    </row>
    <row r="141" spans="1:43" ht="20" thickBot="1">
      <c r="A141" s="33">
        <f t="shared" si="71"/>
        <v>139</v>
      </c>
      <c r="B141">
        <f t="shared" si="94"/>
        <v>6</v>
      </c>
      <c r="C141" s="183">
        <v>139</v>
      </c>
      <c r="D141" s="2" t="s">
        <v>782</v>
      </c>
      <c r="E141" t="s">
        <v>924</v>
      </c>
      <c r="F141" t="s">
        <v>925</v>
      </c>
      <c r="G141" t="s">
        <v>858</v>
      </c>
      <c r="H141" t="s">
        <v>1191</v>
      </c>
      <c r="I141" s="31">
        <f t="shared" si="62"/>
        <v>1959</v>
      </c>
      <c r="J141" s="99" t="str">
        <f t="shared" si="63"/>
        <v/>
      </c>
      <c r="K141" s="9" t="str">
        <f t="shared" si="95"/>
        <v>Alex (139): 1959</v>
      </c>
      <c r="L141" s="8" t="str">
        <f t="shared" si="68"/>
        <v>19/03/1959</v>
      </c>
      <c r="M141" s="8">
        <v>21628</v>
      </c>
      <c r="N141" s="3">
        <v>35423</v>
      </c>
      <c r="O141" s="8"/>
      <c r="P141" s="13">
        <f t="shared" si="72"/>
        <v>139</v>
      </c>
      <c r="Q141" s="19" t="str">
        <f t="shared" si="73"/>
        <v>Alex (139): 1959–</v>
      </c>
      <c r="R141" s="120">
        <v>94</v>
      </c>
      <c r="S141" s="15" t="str">
        <f t="shared" si="96"/>
        <v>Alwyne (94): 1920–2014</v>
      </c>
      <c r="T141" s="38">
        <f t="shared" si="86"/>
        <v>68</v>
      </c>
      <c r="U141" s="37" t="str">
        <f t="shared" si="87"/>
        <v>Cecil (68): 1890–1963</v>
      </c>
      <c r="V141" s="27">
        <f t="shared" si="88"/>
        <v>45</v>
      </c>
      <c r="W141" s="28" t="str">
        <f t="shared" si="89"/>
        <v>Llewellyn (45): 1861–1939</v>
      </c>
      <c r="X141" s="39">
        <f t="shared" si="74"/>
        <v>22</v>
      </c>
      <c r="Y141" s="40" t="str">
        <f t="shared" si="75"/>
        <v>Edward (22): 1820–1890</v>
      </c>
      <c r="Z141" s="29">
        <f t="shared" si="76"/>
        <v>8</v>
      </c>
      <c r="AA141" s="41" t="str">
        <f t="shared" si="77"/>
        <v>Edward (8): 1780–1863</v>
      </c>
      <c r="AB141" s="30">
        <f t="shared" si="78"/>
        <v>1</v>
      </c>
      <c r="AC141" s="43" t="str">
        <f t="shared" si="79"/>
        <v>William (1): 1729–1800</v>
      </c>
      <c r="AD141" s="42">
        <f t="shared" si="80"/>
        <v>0</v>
      </c>
      <c r="AE141" s="22" t="str">
        <f t="shared" si="81"/>
        <v>Lewis (0): 1690–1758</v>
      </c>
      <c r="AF141" s="42">
        <f t="shared" si="82"/>
        <v>-1</v>
      </c>
      <c r="AG141" s="22" t="e">
        <f t="shared" si="83"/>
        <v>#N/A</v>
      </c>
      <c r="AH141" s="23" t="s">
        <v>2815</v>
      </c>
      <c r="AI141" s="33" t="s">
        <v>4402</v>
      </c>
      <c r="AJ141" s="264" t="str">
        <f>VLOOKUP(AI141,'Mums of Loyd Edit&amp;Partner Edit'!$B$4:$C$66,2,FALSE)</f>
        <v>Alison Fraser PORTER (b. 21 Feb 1920, d. 6 Sep 2003)</v>
      </c>
      <c r="AK141" s="33">
        <f t="shared" si="90"/>
        <v>3</v>
      </c>
      <c r="AL141" s="33">
        <f t="shared" si="91"/>
        <v>19</v>
      </c>
      <c r="AM141" s="144">
        <f t="shared" si="84"/>
        <v>7</v>
      </c>
      <c r="AN141" s="144">
        <f t="shared" si="92"/>
        <v>1</v>
      </c>
      <c r="AO141">
        <f t="shared" si="85"/>
        <v>63</v>
      </c>
      <c r="AP141" s="103">
        <f t="shared" si="93"/>
        <v>63</v>
      </c>
      <c r="AQ141" s="33">
        <f t="shared" si="70"/>
        <v>139</v>
      </c>
    </row>
    <row r="142" spans="1:43" ht="20" thickBot="1">
      <c r="A142" s="33">
        <f t="shared" si="71"/>
        <v>140</v>
      </c>
      <c r="B142">
        <f t="shared" si="94"/>
        <v>5</v>
      </c>
      <c r="C142" s="183">
        <v>140</v>
      </c>
      <c r="D142" s="2" t="s">
        <v>782</v>
      </c>
      <c r="E142" t="s">
        <v>845</v>
      </c>
      <c r="F142" t="s">
        <v>798</v>
      </c>
      <c r="G142" t="s">
        <v>926</v>
      </c>
      <c r="H142" t="s">
        <v>3587</v>
      </c>
      <c r="I142" s="31">
        <f t="shared" si="62"/>
        <v>1961</v>
      </c>
      <c r="J142" s="99" t="str">
        <f t="shared" si="63"/>
        <v/>
      </c>
      <c r="K142" s="9" t="str">
        <f t="shared" si="95"/>
        <v>Ginie (140): 1961</v>
      </c>
      <c r="L142" s="8" t="str">
        <f t="shared" si="68"/>
        <v>27/08/1961</v>
      </c>
      <c r="M142" s="8">
        <v>22520</v>
      </c>
      <c r="N142" s="3">
        <v>33684</v>
      </c>
      <c r="O142" s="8"/>
      <c r="P142" s="13">
        <f t="shared" si="72"/>
        <v>140</v>
      </c>
      <c r="Q142" s="19" t="str">
        <f t="shared" si="73"/>
        <v>Ginie (140): 1961–</v>
      </c>
      <c r="R142" s="120">
        <v>78</v>
      </c>
      <c r="S142" s="15" t="str">
        <f t="shared" si="96"/>
        <v>Vivian (78): 1894–1972</v>
      </c>
      <c r="T142" s="38">
        <f t="shared" si="86"/>
        <v>46</v>
      </c>
      <c r="U142" s="37" t="str">
        <f t="shared" si="87"/>
        <v>William (46): 1863–1923</v>
      </c>
      <c r="V142" s="27">
        <f t="shared" si="88"/>
        <v>23</v>
      </c>
      <c r="W142" s="28" t="str">
        <f t="shared" si="89"/>
        <v>William (23): 1821–1885</v>
      </c>
      <c r="X142" s="39">
        <f t="shared" si="74"/>
        <v>8</v>
      </c>
      <c r="Y142" s="40" t="str">
        <f t="shared" si="75"/>
        <v>Edward (8): 1780–1863</v>
      </c>
      <c r="Z142" s="29">
        <f t="shared" si="76"/>
        <v>1</v>
      </c>
      <c r="AA142" s="41" t="str">
        <f t="shared" si="77"/>
        <v>William (1): 1729–1800</v>
      </c>
      <c r="AB142" s="30">
        <f t="shared" si="78"/>
        <v>0</v>
      </c>
      <c r="AC142" s="43" t="str">
        <f t="shared" si="79"/>
        <v>Lewis (0): 1690–1758</v>
      </c>
      <c r="AD142" s="42">
        <f t="shared" si="80"/>
        <v>-1</v>
      </c>
      <c r="AE142" s="22" t="e">
        <f t="shared" si="81"/>
        <v>#N/A</v>
      </c>
      <c r="AF142" s="42" t="e">
        <f t="shared" si="82"/>
        <v>#N/A</v>
      </c>
      <c r="AG142" s="22" t="e">
        <f t="shared" si="83"/>
        <v>#N/A</v>
      </c>
      <c r="AH142" s="23" t="s">
        <v>2814</v>
      </c>
      <c r="AI142" s="33" t="s">
        <v>4404</v>
      </c>
      <c r="AJ142" s="264" t="str">
        <f>VLOOKUP(AI142,'Mums of Loyd Edit&amp;Partner Edit'!$B$4:$C$66,2,FALSE)</f>
        <v>Veronica Elizabeth HAYNES (b. 4 Dec 1926, )</v>
      </c>
      <c r="AK142" s="33">
        <f t="shared" si="90"/>
        <v>8</v>
      </c>
      <c r="AL142" s="33">
        <f t="shared" si="91"/>
        <v>27</v>
      </c>
      <c r="AM142" s="144">
        <f t="shared" si="84"/>
        <v>7</v>
      </c>
      <c r="AN142" s="144">
        <f t="shared" si="92"/>
        <v>1</v>
      </c>
      <c r="AO142">
        <f t="shared" si="85"/>
        <v>60</v>
      </c>
      <c r="AP142" s="103">
        <f t="shared" si="93"/>
        <v>60</v>
      </c>
      <c r="AQ142" s="33">
        <f t="shared" si="70"/>
        <v>140</v>
      </c>
    </row>
    <row r="143" spans="1:43" ht="36" thickBot="1">
      <c r="A143" s="33">
        <f t="shared" si="71"/>
        <v>141</v>
      </c>
      <c r="B143">
        <f t="shared" si="94"/>
        <v>6</v>
      </c>
      <c r="C143" s="183">
        <v>141</v>
      </c>
      <c r="D143" s="2" t="s">
        <v>782</v>
      </c>
      <c r="E143" t="s">
        <v>927</v>
      </c>
      <c r="F143" t="s">
        <v>870</v>
      </c>
      <c r="I143" s="31">
        <f t="shared" si="62"/>
        <v>1961</v>
      </c>
      <c r="J143" s="99" t="str">
        <f t="shared" si="63"/>
        <v/>
      </c>
      <c r="K143" s="9" t="str">
        <f t="shared" si="95"/>
        <v>Alexandra (141): 1961</v>
      </c>
      <c r="L143" s="8" t="str">
        <f t="shared" si="68"/>
        <v>14/10/1961</v>
      </c>
      <c r="M143" s="8">
        <v>22568</v>
      </c>
      <c r="N143" s="3">
        <v>34741</v>
      </c>
      <c r="O143" s="8"/>
      <c r="P143" s="13">
        <f t="shared" si="72"/>
        <v>141</v>
      </c>
      <c r="Q143" s="19" t="str">
        <f t="shared" si="73"/>
        <v>Alexandra (141): 1961–</v>
      </c>
      <c r="R143" s="120">
        <v>104</v>
      </c>
      <c r="S143" s="15" t="str">
        <f t="shared" si="96"/>
        <v>Sir Julian (104): 1926–2018</v>
      </c>
      <c r="T143" s="38">
        <f t="shared" si="86"/>
        <v>72</v>
      </c>
      <c r="U143" s="37" t="str">
        <f t="shared" si="87"/>
        <v>Charles (72): 1891–1973</v>
      </c>
      <c r="V143" s="27">
        <f t="shared" si="88"/>
        <v>44</v>
      </c>
      <c r="W143" s="28" t="str">
        <f t="shared" si="89"/>
        <v>Harry (44): 1861–1938</v>
      </c>
      <c r="X143" s="39">
        <f t="shared" si="74"/>
        <v>23</v>
      </c>
      <c r="Y143" s="40" t="str">
        <f t="shared" si="75"/>
        <v>William (23): 1821–1885</v>
      </c>
      <c r="Z143" s="29">
        <f t="shared" si="76"/>
        <v>8</v>
      </c>
      <c r="AA143" s="41" t="str">
        <f t="shared" si="77"/>
        <v>Edward (8): 1780–1863</v>
      </c>
      <c r="AB143" s="30">
        <f t="shared" si="78"/>
        <v>1</v>
      </c>
      <c r="AC143" s="43" t="str">
        <f t="shared" si="79"/>
        <v>William (1): 1729–1800</v>
      </c>
      <c r="AD143" s="42">
        <f t="shared" si="80"/>
        <v>0</v>
      </c>
      <c r="AE143" s="22" t="str">
        <f t="shared" si="81"/>
        <v>Lewis (0): 1690–1758</v>
      </c>
      <c r="AF143" s="42">
        <f t="shared" si="82"/>
        <v>-1</v>
      </c>
      <c r="AG143" s="22" t="e">
        <f t="shared" si="83"/>
        <v>#N/A</v>
      </c>
      <c r="AH143" s="23" t="s">
        <v>2814</v>
      </c>
      <c r="AI143" s="33" t="s">
        <v>4408</v>
      </c>
      <c r="AJ143" s="264" t="str">
        <f>VLOOKUP(AI143,'Mums of Loyd Edit&amp;Partner Edit'!$B$4:$C$66,2,FALSE)</f>
        <v>Philippa Mary Emma STEEL (b. 5 Dec 1932, d. 27 Oct 2020)</v>
      </c>
      <c r="AK143" s="33">
        <f t="shared" si="90"/>
        <v>10</v>
      </c>
      <c r="AL143" s="33">
        <f t="shared" si="91"/>
        <v>14</v>
      </c>
      <c r="AM143" s="144">
        <f t="shared" si="84"/>
        <v>7</v>
      </c>
      <c r="AN143" s="144">
        <f t="shared" si="92"/>
        <v>1</v>
      </c>
      <c r="AO143">
        <f t="shared" si="85"/>
        <v>60</v>
      </c>
      <c r="AP143" s="103">
        <f t="shared" si="93"/>
        <v>60</v>
      </c>
      <c r="AQ143" s="33">
        <f t="shared" si="70"/>
        <v>141</v>
      </c>
    </row>
    <row r="144" spans="1:43" ht="20" thickBot="1">
      <c r="A144" s="33">
        <f t="shared" si="71"/>
        <v>142</v>
      </c>
      <c r="B144">
        <f t="shared" si="94"/>
        <v>6</v>
      </c>
      <c r="C144" s="183">
        <v>142</v>
      </c>
      <c r="D144" s="2" t="s">
        <v>782</v>
      </c>
      <c r="E144" t="s">
        <v>928</v>
      </c>
      <c r="F144" t="s">
        <v>842</v>
      </c>
      <c r="G144" t="s">
        <v>828</v>
      </c>
      <c r="H144" t="s">
        <v>1192</v>
      </c>
      <c r="I144" s="31">
        <f t="shared" si="62"/>
        <v>1962</v>
      </c>
      <c r="J144" s="99" t="str">
        <f t="shared" si="63"/>
        <v/>
      </c>
      <c r="K144" s="9" t="str">
        <f t="shared" si="95"/>
        <v>Rick (142): 1962</v>
      </c>
      <c r="L144" s="8" t="str">
        <f t="shared" si="68"/>
        <v>26/03/1962</v>
      </c>
      <c r="M144" s="8">
        <v>22731</v>
      </c>
      <c r="N144" s="3">
        <v>32760</v>
      </c>
      <c r="O144" s="10"/>
      <c r="P144" s="13">
        <f t="shared" si="72"/>
        <v>142</v>
      </c>
      <c r="Q144" s="19" t="str">
        <f t="shared" si="73"/>
        <v>Rick (142): 1962–</v>
      </c>
      <c r="R144" s="120">
        <v>94</v>
      </c>
      <c r="S144" s="15" t="str">
        <f t="shared" si="96"/>
        <v>Alwyne (94): 1920–2014</v>
      </c>
      <c r="T144" s="38">
        <f t="shared" si="86"/>
        <v>68</v>
      </c>
      <c r="U144" s="37" t="str">
        <f t="shared" si="87"/>
        <v>Cecil (68): 1890–1963</v>
      </c>
      <c r="V144" s="27">
        <f t="shared" si="88"/>
        <v>45</v>
      </c>
      <c r="W144" s="28" t="str">
        <f t="shared" si="89"/>
        <v>Llewellyn (45): 1861–1939</v>
      </c>
      <c r="X144" s="39">
        <f t="shared" si="74"/>
        <v>22</v>
      </c>
      <c r="Y144" s="40" t="str">
        <f t="shared" si="75"/>
        <v>Edward (22): 1820–1890</v>
      </c>
      <c r="Z144" s="29">
        <f t="shared" si="76"/>
        <v>8</v>
      </c>
      <c r="AA144" s="41" t="str">
        <f t="shared" si="77"/>
        <v>Edward (8): 1780–1863</v>
      </c>
      <c r="AB144" s="30">
        <f t="shared" si="78"/>
        <v>1</v>
      </c>
      <c r="AC144" s="43" t="str">
        <f t="shared" si="79"/>
        <v>William (1): 1729–1800</v>
      </c>
      <c r="AD144" s="42">
        <f t="shared" si="80"/>
        <v>0</v>
      </c>
      <c r="AE144" s="22" t="str">
        <f t="shared" si="81"/>
        <v>Lewis (0): 1690–1758</v>
      </c>
      <c r="AF144" s="42">
        <f t="shared" si="82"/>
        <v>-1</v>
      </c>
      <c r="AG144" s="22" t="e">
        <f t="shared" si="83"/>
        <v>#N/A</v>
      </c>
      <c r="AH144" s="23" t="s">
        <v>2815</v>
      </c>
      <c r="AI144" s="33" t="s">
        <v>4402</v>
      </c>
      <c r="AJ144" s="264" t="str">
        <f>VLOOKUP(AI144,'Mums of Loyd Edit&amp;Partner Edit'!$B$4:$C$66,2,FALSE)</f>
        <v>Alison Fraser PORTER (b. 21 Feb 1920, d. 6 Sep 2003)</v>
      </c>
      <c r="AK144" s="33">
        <f t="shared" si="90"/>
        <v>3</v>
      </c>
      <c r="AL144" s="33">
        <f t="shared" si="91"/>
        <v>26</v>
      </c>
      <c r="AM144" s="144">
        <f t="shared" si="84"/>
        <v>7</v>
      </c>
      <c r="AN144" s="144">
        <f t="shared" si="92"/>
        <v>1</v>
      </c>
      <c r="AO144">
        <f t="shared" si="85"/>
        <v>60</v>
      </c>
      <c r="AP144" s="103">
        <f t="shared" si="93"/>
        <v>60</v>
      </c>
      <c r="AQ144" s="33">
        <f t="shared" si="70"/>
        <v>142</v>
      </c>
    </row>
    <row r="145" spans="1:43" ht="20" thickBot="1">
      <c r="A145" s="33">
        <f t="shared" si="71"/>
        <v>143</v>
      </c>
      <c r="B145">
        <f t="shared" si="94"/>
        <v>6</v>
      </c>
      <c r="C145" s="183">
        <v>143</v>
      </c>
      <c r="D145" s="2" t="s">
        <v>782</v>
      </c>
      <c r="E145" t="s">
        <v>929</v>
      </c>
      <c r="F145" t="s">
        <v>930</v>
      </c>
      <c r="I145" s="31">
        <f t="shared" si="62"/>
        <v>1962</v>
      </c>
      <c r="J145" s="99" t="str">
        <f t="shared" si="63"/>
        <v/>
      </c>
      <c r="K145" s="9" t="str">
        <f t="shared" si="95"/>
        <v>Harriet (143): 1962</v>
      </c>
      <c r="L145" s="8" t="str">
        <f t="shared" si="68"/>
        <v>20/06/1962</v>
      </c>
      <c r="M145" s="8">
        <v>22817</v>
      </c>
      <c r="N145" s="3">
        <v>31339</v>
      </c>
      <c r="O145" s="8"/>
      <c r="P145" s="13">
        <f t="shared" si="72"/>
        <v>143</v>
      </c>
      <c r="Q145" s="19" t="str">
        <f t="shared" si="73"/>
        <v>Harriet (143): 1962–</v>
      </c>
      <c r="R145" s="120">
        <v>100</v>
      </c>
      <c r="S145" s="15" t="str">
        <f t="shared" si="96"/>
        <v>Christopher (100): 1923–2013</v>
      </c>
      <c r="T145" s="38">
        <f t="shared" si="86"/>
        <v>56</v>
      </c>
      <c r="U145" s="37" t="str">
        <f t="shared" si="87"/>
        <v>Tommy (56): 1882–1944</v>
      </c>
      <c r="V145" s="27">
        <f t="shared" si="88"/>
        <v>28</v>
      </c>
      <c r="W145" s="28" t="str">
        <f t="shared" si="89"/>
        <v>The Rev Lewis (28): 1844–1905</v>
      </c>
      <c r="X145" s="39">
        <f t="shared" si="74"/>
        <v>14</v>
      </c>
      <c r="Y145" s="40" t="str">
        <f t="shared" si="75"/>
        <v>Thomas (14): 1812–1857</v>
      </c>
      <c r="Z145" s="29">
        <f t="shared" si="76"/>
        <v>4</v>
      </c>
      <c r="AA145" s="41" t="str">
        <f t="shared" si="77"/>
        <v>William (4): 1770–1828</v>
      </c>
      <c r="AB145" s="30">
        <f t="shared" si="78"/>
        <v>1</v>
      </c>
      <c r="AC145" s="43" t="str">
        <f t="shared" si="79"/>
        <v>William (1): 1729–1800</v>
      </c>
      <c r="AD145" s="42">
        <f t="shared" si="80"/>
        <v>0</v>
      </c>
      <c r="AE145" s="22" t="str">
        <f t="shared" si="81"/>
        <v>Lewis (0): 1690–1758</v>
      </c>
      <c r="AF145" s="42">
        <f t="shared" si="82"/>
        <v>-1</v>
      </c>
      <c r="AG145" s="22" t="e">
        <f t="shared" si="83"/>
        <v>#N/A</v>
      </c>
      <c r="AH145" s="23" t="s">
        <v>2814</v>
      </c>
      <c r="AI145" s="33" t="s">
        <v>4407</v>
      </c>
      <c r="AJ145" s="264" t="str">
        <f>VLOOKUP(AI145,'Mums of Loyd Edit&amp;Partner Edit'!$B$4:$C$66,2,FALSE)</f>
        <v>Joanna SMITH-BINGHAM (b. 17 Nov 1935, )</v>
      </c>
      <c r="AK145" s="33">
        <f t="shared" si="90"/>
        <v>6</v>
      </c>
      <c r="AL145" s="33">
        <f t="shared" si="91"/>
        <v>20</v>
      </c>
      <c r="AM145" s="144">
        <f t="shared" si="84"/>
        <v>7</v>
      </c>
      <c r="AN145" s="144">
        <f t="shared" si="92"/>
        <v>1</v>
      </c>
      <c r="AO145">
        <f t="shared" si="85"/>
        <v>60</v>
      </c>
      <c r="AP145" s="103">
        <f t="shared" si="93"/>
        <v>60</v>
      </c>
      <c r="AQ145" s="33">
        <f t="shared" si="70"/>
        <v>143</v>
      </c>
    </row>
    <row r="146" spans="1:43" ht="36" thickBot="1">
      <c r="A146" s="33">
        <f t="shared" si="71"/>
        <v>144</v>
      </c>
      <c r="B146">
        <f t="shared" si="94"/>
        <v>6</v>
      </c>
      <c r="C146" s="183">
        <v>144</v>
      </c>
      <c r="D146" s="2" t="s">
        <v>782</v>
      </c>
      <c r="E146" t="s">
        <v>885</v>
      </c>
      <c r="F146" t="s">
        <v>886</v>
      </c>
      <c r="I146" s="31">
        <f t="shared" si="62"/>
        <v>1962</v>
      </c>
      <c r="J146" s="99" t="str">
        <f t="shared" si="63"/>
        <v/>
      </c>
      <c r="K146" s="9" t="str">
        <f t="shared" si="95"/>
        <v>Andrew (144): 1962</v>
      </c>
      <c r="L146" s="8" t="str">
        <f t="shared" si="68"/>
        <v>01/11/1962</v>
      </c>
      <c r="M146" s="8">
        <v>22951</v>
      </c>
      <c r="N146" t="s">
        <v>3792</v>
      </c>
      <c r="O146" s="8"/>
      <c r="P146" s="13">
        <f t="shared" si="72"/>
        <v>144</v>
      </c>
      <c r="Q146" s="19" t="str">
        <f t="shared" si="73"/>
        <v>Andrew (144): 1962–</v>
      </c>
      <c r="R146" s="120">
        <v>99</v>
      </c>
      <c r="S146" s="15" t="str">
        <f t="shared" si="96"/>
        <v>Peter (99): 1923–1974</v>
      </c>
      <c r="T146" s="38">
        <f t="shared" si="86"/>
        <v>66</v>
      </c>
      <c r="U146" s="37" t="str">
        <f t="shared" si="87"/>
        <v>William (66): 1889–1947</v>
      </c>
      <c r="V146" s="27">
        <f t="shared" si="88"/>
        <v>44</v>
      </c>
      <c r="W146" s="28" t="str">
        <f t="shared" si="89"/>
        <v>Harry (44): 1861–1938</v>
      </c>
      <c r="X146" s="39">
        <f t="shared" si="74"/>
        <v>23</v>
      </c>
      <c r="Y146" s="40" t="str">
        <f t="shared" si="75"/>
        <v>William (23): 1821–1885</v>
      </c>
      <c r="Z146" s="29">
        <f t="shared" si="76"/>
        <v>8</v>
      </c>
      <c r="AA146" s="41" t="str">
        <f t="shared" si="77"/>
        <v>Edward (8): 1780–1863</v>
      </c>
      <c r="AB146" s="30">
        <f t="shared" si="78"/>
        <v>1</v>
      </c>
      <c r="AC146" s="43" t="str">
        <f t="shared" si="79"/>
        <v>William (1): 1729–1800</v>
      </c>
      <c r="AD146" s="42">
        <f t="shared" si="80"/>
        <v>0</v>
      </c>
      <c r="AE146" s="22" t="str">
        <f t="shared" si="81"/>
        <v>Lewis (0): 1690–1758</v>
      </c>
      <c r="AF146" s="42">
        <f t="shared" si="82"/>
        <v>-1</v>
      </c>
      <c r="AG146" s="22" t="e">
        <f t="shared" si="83"/>
        <v>#N/A</v>
      </c>
      <c r="AH146" s="23" t="s">
        <v>2815</v>
      </c>
      <c r="AI146" s="33" t="s">
        <v>4406</v>
      </c>
      <c r="AJ146" s="264" t="str">
        <f>VLOOKUP(AI146,'Mums of Loyd Edit&amp;Partner Edit'!$B$4:$C$66,2,FALSE)</f>
        <v>Sally Elizabeth Jane INGLIS (b. 18 Jan 1931, d. 27 Aug 2020)</v>
      </c>
      <c r="AK146" s="33">
        <f t="shared" si="90"/>
        <v>11</v>
      </c>
      <c r="AL146" s="33">
        <f t="shared" si="91"/>
        <v>1</v>
      </c>
      <c r="AM146" s="144">
        <f t="shared" si="84"/>
        <v>7</v>
      </c>
      <c r="AN146" s="144">
        <f t="shared" si="92"/>
        <v>1</v>
      </c>
      <c r="AO146">
        <f t="shared" si="85"/>
        <v>59</v>
      </c>
      <c r="AP146" s="103">
        <f t="shared" si="93"/>
        <v>59</v>
      </c>
      <c r="AQ146" s="33">
        <f t="shared" si="70"/>
        <v>144</v>
      </c>
    </row>
    <row r="147" spans="1:43" ht="36" thickBot="1">
      <c r="A147" s="33">
        <f t="shared" si="71"/>
        <v>145</v>
      </c>
      <c r="B147">
        <f t="shared" si="94"/>
        <v>6</v>
      </c>
      <c r="C147" s="183">
        <v>145</v>
      </c>
      <c r="D147" s="2" t="s">
        <v>782</v>
      </c>
      <c r="E147" t="s">
        <v>931</v>
      </c>
      <c r="F147" t="s">
        <v>932</v>
      </c>
      <c r="G147" t="s">
        <v>822</v>
      </c>
      <c r="H147" t="s">
        <v>1185</v>
      </c>
      <c r="I147" s="31">
        <f t="shared" si="62"/>
        <v>1963</v>
      </c>
      <c r="J147" s="99" t="str">
        <f t="shared" si="63"/>
        <v/>
      </c>
      <c r="K147" s="9" t="str">
        <f t="shared" si="95"/>
        <v>Tony (145): 1963</v>
      </c>
      <c r="L147" s="8" t="str">
        <f t="shared" si="68"/>
        <v>05/02/1963</v>
      </c>
      <c r="M147" s="8">
        <v>23047</v>
      </c>
      <c r="N147" s="3">
        <v>36805</v>
      </c>
      <c r="O147" s="8"/>
      <c r="P147" s="13">
        <f t="shared" si="72"/>
        <v>145</v>
      </c>
      <c r="Q147" s="19" t="str">
        <f t="shared" si="73"/>
        <v>Tony (145): 1963–</v>
      </c>
      <c r="R147" s="120">
        <v>98</v>
      </c>
      <c r="S147" s="15" t="str">
        <f t="shared" si="96"/>
        <v>Peter (98): 1922–2022</v>
      </c>
      <c r="T147" s="38">
        <f t="shared" si="86"/>
        <v>77</v>
      </c>
      <c r="U147" s="37" t="str">
        <f t="shared" si="87"/>
        <v>Wilfrid (77): 1893–1971</v>
      </c>
      <c r="V147" s="27">
        <f t="shared" si="88"/>
        <v>30</v>
      </c>
      <c r="W147" s="28" t="str">
        <f t="shared" si="89"/>
        <v>Archie (30): 1847–1922</v>
      </c>
      <c r="X147" s="39">
        <f t="shared" si="74"/>
        <v>14</v>
      </c>
      <c r="Y147" s="40" t="str">
        <f t="shared" si="75"/>
        <v>Thomas (14): 1812–1857</v>
      </c>
      <c r="Z147" s="29">
        <f t="shared" si="76"/>
        <v>4</v>
      </c>
      <c r="AA147" s="41" t="str">
        <f t="shared" si="77"/>
        <v>William (4): 1770–1828</v>
      </c>
      <c r="AB147" s="30">
        <f t="shared" si="78"/>
        <v>1</v>
      </c>
      <c r="AC147" s="43" t="str">
        <f t="shared" si="79"/>
        <v>William (1): 1729–1800</v>
      </c>
      <c r="AD147" s="42">
        <f t="shared" si="80"/>
        <v>0</v>
      </c>
      <c r="AE147" s="22" t="str">
        <f t="shared" si="81"/>
        <v>Lewis (0): 1690–1758</v>
      </c>
      <c r="AF147" s="42">
        <f t="shared" si="82"/>
        <v>-1</v>
      </c>
      <c r="AG147" s="22" t="e">
        <f t="shared" si="83"/>
        <v>#N/A</v>
      </c>
      <c r="AH147" s="23" t="s">
        <v>2815</v>
      </c>
      <c r="AI147" s="33" t="s">
        <v>4409</v>
      </c>
      <c r="AJ147" s="264" t="str">
        <f>VLOOKUP(AI147,'Mums of Loyd Edit&amp;Partner Edit'!$B$4:$C$66,2,FALSE)</f>
        <v>Rosemary Joan (Rosie) MOIR (b. 23 Feb 1942, d. 12 Mar 1997)</v>
      </c>
      <c r="AK147" s="33">
        <f t="shared" si="90"/>
        <v>2</v>
      </c>
      <c r="AL147" s="33">
        <f t="shared" si="91"/>
        <v>5</v>
      </c>
      <c r="AM147" s="144">
        <f t="shared" si="84"/>
        <v>7</v>
      </c>
      <c r="AN147" s="144">
        <f t="shared" si="92"/>
        <v>1</v>
      </c>
      <c r="AO147">
        <f t="shared" si="85"/>
        <v>59</v>
      </c>
      <c r="AP147" s="103">
        <f t="shared" si="93"/>
        <v>59</v>
      </c>
      <c r="AQ147" s="33">
        <f t="shared" si="70"/>
        <v>145</v>
      </c>
    </row>
    <row r="148" spans="1:43" ht="36" thickBot="1">
      <c r="A148" s="33">
        <f t="shared" si="71"/>
        <v>146</v>
      </c>
      <c r="B148">
        <f t="shared" si="94"/>
        <v>6</v>
      </c>
      <c r="C148" s="183">
        <v>146</v>
      </c>
      <c r="D148" s="2" t="s">
        <v>782</v>
      </c>
      <c r="E148" t="s">
        <v>917</v>
      </c>
      <c r="F148" t="s">
        <v>931</v>
      </c>
      <c r="I148" s="31">
        <f t="shared" si="62"/>
        <v>1963</v>
      </c>
      <c r="J148" s="99" t="str">
        <f t="shared" si="63"/>
        <v/>
      </c>
      <c r="K148" s="9" t="str">
        <f t="shared" si="95"/>
        <v>Charles (146): 1963</v>
      </c>
      <c r="L148" s="8" t="str">
        <f t="shared" si="68"/>
        <v>20/03/1963</v>
      </c>
      <c r="M148" s="8">
        <v>23090</v>
      </c>
      <c r="N148" s="3">
        <v>35322</v>
      </c>
      <c r="O148" s="8"/>
      <c r="P148" s="13">
        <f t="shared" si="72"/>
        <v>146</v>
      </c>
      <c r="Q148" s="19" t="str">
        <f t="shared" si="73"/>
        <v>Charles (146): 1963–</v>
      </c>
      <c r="R148" s="120">
        <v>104</v>
      </c>
      <c r="S148" s="15" t="str">
        <f t="shared" si="96"/>
        <v>Sir Julian (104): 1926–2018</v>
      </c>
      <c r="T148" s="38">
        <f t="shared" si="86"/>
        <v>72</v>
      </c>
      <c r="U148" s="37" t="str">
        <f t="shared" si="87"/>
        <v>Charles (72): 1891–1973</v>
      </c>
      <c r="V148" s="27">
        <f t="shared" si="88"/>
        <v>44</v>
      </c>
      <c r="W148" s="28" t="str">
        <f t="shared" si="89"/>
        <v>Harry (44): 1861–1938</v>
      </c>
      <c r="X148" s="39">
        <f t="shared" si="74"/>
        <v>23</v>
      </c>
      <c r="Y148" s="40" t="str">
        <f t="shared" si="75"/>
        <v>William (23): 1821–1885</v>
      </c>
      <c r="Z148" s="29">
        <f t="shared" si="76"/>
        <v>8</v>
      </c>
      <c r="AA148" s="41" t="str">
        <f t="shared" si="77"/>
        <v>Edward (8): 1780–1863</v>
      </c>
      <c r="AB148" s="30">
        <f t="shared" si="78"/>
        <v>1</v>
      </c>
      <c r="AC148" s="43" t="str">
        <f t="shared" si="79"/>
        <v>William (1): 1729–1800</v>
      </c>
      <c r="AD148" s="42">
        <f t="shared" si="80"/>
        <v>0</v>
      </c>
      <c r="AE148" s="22" t="str">
        <f t="shared" si="81"/>
        <v>Lewis (0): 1690–1758</v>
      </c>
      <c r="AF148" s="42">
        <f t="shared" si="82"/>
        <v>-1</v>
      </c>
      <c r="AG148" s="22" t="e">
        <f t="shared" si="83"/>
        <v>#N/A</v>
      </c>
      <c r="AH148" s="23" t="s">
        <v>2815</v>
      </c>
      <c r="AI148" s="33" t="s">
        <v>4408</v>
      </c>
      <c r="AJ148" s="264" t="str">
        <f>VLOOKUP(AI148,'Mums of Loyd Edit&amp;Partner Edit'!$B$4:$C$66,2,FALSE)</f>
        <v>Philippa Mary Emma STEEL (b. 5 Dec 1932, d. 27 Oct 2020)</v>
      </c>
      <c r="AK148" s="33">
        <f t="shared" si="90"/>
        <v>3</v>
      </c>
      <c r="AL148" s="33">
        <f t="shared" si="91"/>
        <v>20</v>
      </c>
      <c r="AM148" s="144">
        <f t="shared" si="84"/>
        <v>7</v>
      </c>
      <c r="AN148" s="144">
        <f t="shared" si="92"/>
        <v>1</v>
      </c>
      <c r="AO148">
        <f t="shared" si="85"/>
        <v>59</v>
      </c>
      <c r="AP148" s="103">
        <f t="shared" si="93"/>
        <v>59</v>
      </c>
      <c r="AQ148" s="33">
        <f t="shared" si="70"/>
        <v>146</v>
      </c>
    </row>
    <row r="149" spans="1:43" ht="20" thickBot="1">
      <c r="A149" s="33">
        <f t="shared" si="71"/>
        <v>147</v>
      </c>
      <c r="B149">
        <f t="shared" si="94"/>
        <v>6</v>
      </c>
      <c r="C149" s="183">
        <v>147</v>
      </c>
      <c r="D149" s="2" t="s">
        <v>782</v>
      </c>
      <c r="E149" t="s">
        <v>933</v>
      </c>
      <c r="F149" t="s">
        <v>870</v>
      </c>
      <c r="I149" s="31">
        <f t="shared" si="62"/>
        <v>1965</v>
      </c>
      <c r="J149" s="99" t="str">
        <f t="shared" si="63"/>
        <v/>
      </c>
      <c r="K149" s="9" t="str">
        <f t="shared" si="95"/>
        <v>Susannah (147): 1965</v>
      </c>
      <c r="L149" s="8" t="str">
        <f t="shared" si="68"/>
        <v>29/09/1965</v>
      </c>
      <c r="M149" s="8">
        <v>24014</v>
      </c>
      <c r="N149" s="3">
        <v>38849</v>
      </c>
      <c r="O149" s="8"/>
      <c r="P149" s="13">
        <f t="shared" si="72"/>
        <v>147</v>
      </c>
      <c r="Q149" s="19" t="str">
        <f t="shared" si="73"/>
        <v>Susannah (147): 1965–</v>
      </c>
      <c r="R149" s="120">
        <v>117</v>
      </c>
      <c r="S149" s="15" t="str">
        <f t="shared" si="96"/>
        <v>Patrick (117): 1942–</v>
      </c>
      <c r="T149" s="38">
        <f t="shared" si="86"/>
        <v>55</v>
      </c>
      <c r="U149" s="37" t="str">
        <f t="shared" si="87"/>
        <v>Dick (55): 1882–1950</v>
      </c>
      <c r="V149" s="27">
        <f t="shared" si="88"/>
        <v>35</v>
      </c>
      <c r="W149" s="28" t="str">
        <f t="shared" si="89"/>
        <v>Lewis (35): 1852–1908</v>
      </c>
      <c r="X149" s="39">
        <f t="shared" si="74"/>
        <v>23</v>
      </c>
      <c r="Y149" s="40" t="str">
        <f t="shared" si="75"/>
        <v>William (23): 1821–1885</v>
      </c>
      <c r="Z149" s="29">
        <f t="shared" si="76"/>
        <v>8</v>
      </c>
      <c r="AA149" s="41" t="str">
        <f t="shared" si="77"/>
        <v>Edward (8): 1780–1863</v>
      </c>
      <c r="AB149" s="30">
        <f t="shared" si="78"/>
        <v>1</v>
      </c>
      <c r="AC149" s="43" t="str">
        <f t="shared" si="79"/>
        <v>William (1): 1729–1800</v>
      </c>
      <c r="AD149" s="42">
        <f t="shared" si="80"/>
        <v>0</v>
      </c>
      <c r="AE149" s="22" t="str">
        <f t="shared" si="81"/>
        <v>Lewis (0): 1690–1758</v>
      </c>
      <c r="AF149" s="42">
        <f t="shared" si="82"/>
        <v>-1</v>
      </c>
      <c r="AG149" s="22" t="e">
        <f t="shared" si="83"/>
        <v>#N/A</v>
      </c>
      <c r="AH149" s="23" t="s">
        <v>2814</v>
      </c>
      <c r="AI149" s="33" t="s">
        <v>4410</v>
      </c>
      <c r="AJ149" s="264" t="str">
        <f>VLOOKUP(AI149,'Mums of Loyd Edit&amp;Partner Edit'!$B$4:$C$66,2,FALSE)</f>
        <v>Mary DAVIES (b. 6 Aug 1939, d. 17 Feb 1997)</v>
      </c>
      <c r="AK149" s="33">
        <f t="shared" si="90"/>
        <v>9</v>
      </c>
      <c r="AL149" s="33">
        <f t="shared" si="91"/>
        <v>29</v>
      </c>
      <c r="AM149" s="144">
        <f t="shared" si="84"/>
        <v>7</v>
      </c>
      <c r="AN149" s="144">
        <f t="shared" si="92"/>
        <v>1</v>
      </c>
      <c r="AO149">
        <f t="shared" si="85"/>
        <v>56</v>
      </c>
      <c r="AP149" s="103">
        <f t="shared" si="93"/>
        <v>56</v>
      </c>
      <c r="AQ149" s="33">
        <f t="shared" si="70"/>
        <v>147</v>
      </c>
    </row>
    <row r="150" spans="1:43" ht="36" thickBot="1">
      <c r="A150" s="33">
        <f t="shared" si="71"/>
        <v>148</v>
      </c>
      <c r="B150">
        <f t="shared" si="94"/>
        <v>6</v>
      </c>
      <c r="C150" s="183">
        <v>148</v>
      </c>
      <c r="D150" s="2" t="s">
        <v>782</v>
      </c>
      <c r="E150" t="s">
        <v>848</v>
      </c>
      <c r="F150" t="s">
        <v>934</v>
      </c>
      <c r="H150" t="s">
        <v>934</v>
      </c>
      <c r="I150" s="31">
        <f t="shared" si="62"/>
        <v>1966</v>
      </c>
      <c r="J150" s="99">
        <f t="shared" si="63"/>
        <v>1966</v>
      </c>
      <c r="K150" s="9" t="str">
        <f t="shared" si="95"/>
        <v>Toby (148): 1966</v>
      </c>
      <c r="L150" s="8" t="str">
        <f t="shared" si="68"/>
        <v>31/03/1966</v>
      </c>
      <c r="M150" s="8">
        <v>24197</v>
      </c>
      <c r="N150" t="s">
        <v>3792</v>
      </c>
      <c r="O150" s="10" t="s">
        <v>3818</v>
      </c>
      <c r="P150" s="13">
        <f t="shared" si="72"/>
        <v>148</v>
      </c>
      <c r="Q150" s="19" t="str">
        <f t="shared" si="73"/>
        <v>Toby (148): 1966–1966</v>
      </c>
      <c r="R150" s="120">
        <v>104</v>
      </c>
      <c r="S150" s="15" t="str">
        <f t="shared" si="96"/>
        <v>Sir Julian (104): 1926–2018</v>
      </c>
      <c r="T150" s="38">
        <f t="shared" si="86"/>
        <v>72</v>
      </c>
      <c r="U150" s="37" t="str">
        <f t="shared" si="87"/>
        <v>Charles (72): 1891–1973</v>
      </c>
      <c r="V150" s="27">
        <f t="shared" si="88"/>
        <v>44</v>
      </c>
      <c r="W150" s="28" t="str">
        <f t="shared" si="89"/>
        <v>Harry (44): 1861–1938</v>
      </c>
      <c r="X150" s="39">
        <f t="shared" si="74"/>
        <v>23</v>
      </c>
      <c r="Y150" s="40" t="str">
        <f t="shared" si="75"/>
        <v>William (23): 1821–1885</v>
      </c>
      <c r="Z150" s="29">
        <f t="shared" si="76"/>
        <v>8</v>
      </c>
      <c r="AA150" s="41" t="str">
        <f t="shared" si="77"/>
        <v>Edward (8): 1780–1863</v>
      </c>
      <c r="AB150" s="30">
        <f t="shared" si="78"/>
        <v>1</v>
      </c>
      <c r="AC150" s="43" t="str">
        <f t="shared" si="79"/>
        <v>William (1): 1729–1800</v>
      </c>
      <c r="AD150" s="42">
        <f t="shared" si="80"/>
        <v>0</v>
      </c>
      <c r="AE150" s="22" t="str">
        <f t="shared" si="81"/>
        <v>Lewis (0): 1690–1758</v>
      </c>
      <c r="AF150" s="42">
        <f t="shared" si="82"/>
        <v>-1</v>
      </c>
      <c r="AG150" s="22" t="e">
        <f t="shared" si="83"/>
        <v>#N/A</v>
      </c>
      <c r="AH150" s="23" t="s">
        <v>2815</v>
      </c>
      <c r="AI150" s="33" t="s">
        <v>4408</v>
      </c>
      <c r="AJ150" s="264" t="str">
        <f>VLOOKUP(AI150,'Mums of Loyd Edit&amp;Partner Edit'!$B$4:$C$66,2,FALSE)</f>
        <v>Philippa Mary Emma STEEL (b. 5 Dec 1932, d. 27 Oct 2020)</v>
      </c>
      <c r="AK150" s="33">
        <f t="shared" si="90"/>
        <v>3</v>
      </c>
      <c r="AL150" s="33">
        <f t="shared" si="91"/>
        <v>31</v>
      </c>
      <c r="AM150" s="144">
        <f t="shared" si="84"/>
        <v>4</v>
      </c>
      <c r="AN150" s="144">
        <f t="shared" si="92"/>
        <v>1</v>
      </c>
      <c r="AO150">
        <f t="shared" si="85"/>
        <v>0</v>
      </c>
      <c r="AP150" s="103">
        <f t="shared" si="93"/>
        <v>56</v>
      </c>
      <c r="AQ150" s="33">
        <f t="shared" si="70"/>
        <v>148</v>
      </c>
    </row>
    <row r="151" spans="1:43" ht="20" thickBot="1">
      <c r="A151" s="33">
        <f t="shared" si="71"/>
        <v>149</v>
      </c>
      <c r="B151">
        <f t="shared" si="94"/>
        <v>6</v>
      </c>
      <c r="C151" s="183">
        <v>149</v>
      </c>
      <c r="D151" s="2" t="s">
        <v>782</v>
      </c>
      <c r="E151" t="s">
        <v>931</v>
      </c>
      <c r="F151" t="s">
        <v>830</v>
      </c>
      <c r="G151" t="s">
        <v>824</v>
      </c>
      <c r="I151" s="31">
        <f t="shared" ref="I151:I192" si="97">YEAR(L151)</f>
        <v>1966</v>
      </c>
      <c r="J151" s="99" t="str">
        <f t="shared" si="63"/>
        <v/>
      </c>
      <c r="K151" s="9" t="str">
        <f t="shared" si="95"/>
        <v>Anthony (149): 1966</v>
      </c>
      <c r="L151" s="8" t="str">
        <f t="shared" si="68"/>
        <v>12/09/1966</v>
      </c>
      <c r="M151" s="8">
        <v>24362</v>
      </c>
      <c r="N151" s="95" t="s">
        <v>3043</v>
      </c>
      <c r="O151" s="8"/>
      <c r="P151" s="13">
        <f t="shared" si="72"/>
        <v>149</v>
      </c>
      <c r="Q151" s="19" t="str">
        <f t="shared" si="73"/>
        <v>Anthony (149): 1966–</v>
      </c>
      <c r="R151" s="120">
        <v>113</v>
      </c>
      <c r="S151" s="15" t="str">
        <f t="shared" si="96"/>
        <v>Willie (113): 1937–1994</v>
      </c>
      <c r="T151" s="38">
        <f t="shared" si="86"/>
        <v>78</v>
      </c>
      <c r="U151" s="37" t="str">
        <f t="shared" si="87"/>
        <v>Vivian (78): 1894–1972</v>
      </c>
      <c r="V151" s="27">
        <f t="shared" si="88"/>
        <v>46</v>
      </c>
      <c r="W151" s="28" t="str">
        <f t="shared" si="89"/>
        <v>William (46): 1863–1923</v>
      </c>
      <c r="X151" s="39">
        <f t="shared" si="74"/>
        <v>23</v>
      </c>
      <c r="Y151" s="40" t="str">
        <f t="shared" si="75"/>
        <v>William (23): 1821–1885</v>
      </c>
      <c r="Z151" s="29">
        <f t="shared" si="76"/>
        <v>8</v>
      </c>
      <c r="AA151" s="41" t="str">
        <f t="shared" si="77"/>
        <v>Edward (8): 1780–1863</v>
      </c>
      <c r="AB151" s="30">
        <f t="shared" si="78"/>
        <v>1</v>
      </c>
      <c r="AC151" s="43" t="str">
        <f t="shared" si="79"/>
        <v>William (1): 1729–1800</v>
      </c>
      <c r="AD151" s="42">
        <f t="shared" si="80"/>
        <v>0</v>
      </c>
      <c r="AE151" s="22" t="str">
        <f t="shared" si="81"/>
        <v>Lewis (0): 1690–1758</v>
      </c>
      <c r="AF151" s="42">
        <f t="shared" si="82"/>
        <v>-1</v>
      </c>
      <c r="AG151" s="22" t="e">
        <f t="shared" si="83"/>
        <v>#N/A</v>
      </c>
      <c r="AH151" s="23" t="s">
        <v>2815</v>
      </c>
      <c r="AI151" s="33" t="s">
        <v>4411</v>
      </c>
      <c r="AJ151" s="264" t="str">
        <f>VLOOKUP(AI151,'Mums of Loyd Edit&amp;Partner Edit'!$B$4:$C$66,2,FALSE)</f>
        <v>Deirdre THOMPSON (b. 11 Apr 1936, d. 2004)</v>
      </c>
      <c r="AK151" s="33">
        <f t="shared" si="90"/>
        <v>9</v>
      </c>
      <c r="AL151" s="33">
        <f t="shared" si="91"/>
        <v>12</v>
      </c>
      <c r="AM151" s="144">
        <f t="shared" si="84"/>
        <v>7</v>
      </c>
      <c r="AN151" s="144">
        <f t="shared" si="92"/>
        <v>1</v>
      </c>
      <c r="AO151">
        <f t="shared" si="85"/>
        <v>55</v>
      </c>
      <c r="AP151" s="103">
        <f t="shared" si="93"/>
        <v>55</v>
      </c>
      <c r="AQ151" s="33">
        <f t="shared" si="70"/>
        <v>149</v>
      </c>
    </row>
    <row r="152" spans="1:43" ht="20" thickBot="1">
      <c r="A152" s="33">
        <f t="shared" si="71"/>
        <v>150</v>
      </c>
      <c r="B152">
        <f t="shared" si="94"/>
        <v>6</v>
      </c>
      <c r="C152" s="183">
        <v>150</v>
      </c>
      <c r="D152" s="2" t="s">
        <v>782</v>
      </c>
      <c r="E152" t="s">
        <v>918</v>
      </c>
      <c r="F152" t="s">
        <v>830</v>
      </c>
      <c r="I152" s="31">
        <f t="shared" si="97"/>
        <v>1966</v>
      </c>
      <c r="J152" s="99" t="str">
        <f t="shared" ref="J152:J184" si="98">IF(O152="","",YEAR(O152))</f>
        <v/>
      </c>
      <c r="K152" s="9" t="str">
        <f t="shared" si="95"/>
        <v>James (150): 1966</v>
      </c>
      <c r="L152" s="8" t="str">
        <f t="shared" si="68"/>
        <v>15/09/1966</v>
      </c>
      <c r="M152" s="8">
        <v>24365</v>
      </c>
      <c r="N152" s="3">
        <v>34300</v>
      </c>
      <c r="O152" s="8"/>
      <c r="P152" s="13">
        <f t="shared" si="72"/>
        <v>150</v>
      </c>
      <c r="Q152" s="19" t="str">
        <f t="shared" si="73"/>
        <v>James (150): 1966–</v>
      </c>
      <c r="R152" s="120">
        <v>100</v>
      </c>
      <c r="S152" s="15" t="str">
        <f t="shared" si="96"/>
        <v>Christopher (100): 1923–2013</v>
      </c>
      <c r="T152" s="38">
        <f t="shared" si="86"/>
        <v>56</v>
      </c>
      <c r="U152" s="37" t="str">
        <f t="shared" si="87"/>
        <v>Tommy (56): 1882–1944</v>
      </c>
      <c r="V152" s="27">
        <f t="shared" si="88"/>
        <v>28</v>
      </c>
      <c r="W152" s="28" t="str">
        <f t="shared" si="89"/>
        <v>The Rev Lewis (28): 1844–1905</v>
      </c>
      <c r="X152" s="39">
        <f t="shared" si="74"/>
        <v>14</v>
      </c>
      <c r="Y152" s="40" t="str">
        <f t="shared" si="75"/>
        <v>Thomas (14): 1812–1857</v>
      </c>
      <c r="Z152" s="29">
        <f t="shared" si="76"/>
        <v>4</v>
      </c>
      <c r="AA152" s="41" t="str">
        <f t="shared" si="77"/>
        <v>William (4): 1770–1828</v>
      </c>
      <c r="AB152" s="30">
        <f t="shared" si="78"/>
        <v>1</v>
      </c>
      <c r="AC152" s="43" t="str">
        <f t="shared" si="79"/>
        <v>William (1): 1729–1800</v>
      </c>
      <c r="AD152" s="42">
        <f t="shared" si="80"/>
        <v>0</v>
      </c>
      <c r="AE152" s="22" t="str">
        <f t="shared" si="81"/>
        <v>Lewis (0): 1690–1758</v>
      </c>
      <c r="AF152" s="42">
        <f t="shared" si="82"/>
        <v>-1</v>
      </c>
      <c r="AG152" s="22" t="e">
        <f t="shared" si="83"/>
        <v>#N/A</v>
      </c>
      <c r="AH152" s="23" t="s">
        <v>2815</v>
      </c>
      <c r="AI152" s="33" t="s">
        <v>4407</v>
      </c>
      <c r="AJ152" s="264" t="str">
        <f>VLOOKUP(AI152,'Mums of Loyd Edit&amp;Partner Edit'!$B$4:$C$66,2,FALSE)</f>
        <v>Joanna SMITH-BINGHAM (b. 17 Nov 1935, )</v>
      </c>
      <c r="AK152" s="33">
        <f t="shared" si="90"/>
        <v>9</v>
      </c>
      <c r="AL152" s="33">
        <f t="shared" si="91"/>
        <v>15</v>
      </c>
      <c r="AM152" s="144">
        <f t="shared" si="84"/>
        <v>7</v>
      </c>
      <c r="AN152" s="144">
        <f t="shared" si="92"/>
        <v>1</v>
      </c>
      <c r="AO152">
        <f t="shared" si="85"/>
        <v>55</v>
      </c>
      <c r="AP152" s="103">
        <f t="shared" si="93"/>
        <v>55</v>
      </c>
      <c r="AQ152" s="33">
        <f t="shared" si="70"/>
        <v>150</v>
      </c>
    </row>
    <row r="153" spans="1:43" ht="20" thickBot="1">
      <c r="A153" s="33">
        <f t="shared" si="71"/>
        <v>151</v>
      </c>
      <c r="B153">
        <f t="shared" si="94"/>
        <v>6</v>
      </c>
      <c r="C153" s="183">
        <v>151</v>
      </c>
      <c r="D153" s="2" t="s">
        <v>782</v>
      </c>
      <c r="E153" t="s">
        <v>935</v>
      </c>
      <c r="F153" t="s">
        <v>936</v>
      </c>
      <c r="I153" s="31">
        <f t="shared" si="97"/>
        <v>1967</v>
      </c>
      <c r="J153" s="99" t="str">
        <f t="shared" si="98"/>
        <v/>
      </c>
      <c r="K153" s="9" t="str">
        <f t="shared" si="95"/>
        <v>Elspeth (151): 1967</v>
      </c>
      <c r="L153" s="8" t="str">
        <f t="shared" si="68"/>
        <v>31/05/1967</v>
      </c>
      <c r="M153" s="8">
        <v>24623</v>
      </c>
      <c r="N153" s="3">
        <v>37520</v>
      </c>
      <c r="O153" s="8"/>
      <c r="P153" s="13">
        <f t="shared" si="72"/>
        <v>151</v>
      </c>
      <c r="Q153" s="19" t="str">
        <f t="shared" si="73"/>
        <v>Elspeth (151): 1967–</v>
      </c>
      <c r="R153" s="120">
        <v>117</v>
      </c>
      <c r="S153" s="15" t="str">
        <f t="shared" si="96"/>
        <v>Patrick (117): 1942–</v>
      </c>
      <c r="T153" s="38">
        <f t="shared" si="86"/>
        <v>55</v>
      </c>
      <c r="U153" s="37" t="str">
        <f t="shared" si="87"/>
        <v>Dick (55): 1882–1950</v>
      </c>
      <c r="V153" s="27">
        <f t="shared" si="88"/>
        <v>35</v>
      </c>
      <c r="W153" s="28" t="str">
        <f t="shared" si="89"/>
        <v>Lewis (35): 1852–1908</v>
      </c>
      <c r="X153" s="39">
        <f t="shared" si="74"/>
        <v>23</v>
      </c>
      <c r="Y153" s="40" t="str">
        <f t="shared" si="75"/>
        <v>William (23): 1821–1885</v>
      </c>
      <c r="Z153" s="29">
        <f t="shared" si="76"/>
        <v>8</v>
      </c>
      <c r="AA153" s="41" t="str">
        <f t="shared" si="77"/>
        <v>Edward (8): 1780–1863</v>
      </c>
      <c r="AB153" s="30">
        <f t="shared" si="78"/>
        <v>1</v>
      </c>
      <c r="AC153" s="43" t="str">
        <f t="shared" si="79"/>
        <v>William (1): 1729–1800</v>
      </c>
      <c r="AD153" s="42">
        <f t="shared" si="80"/>
        <v>0</v>
      </c>
      <c r="AE153" s="22" t="str">
        <f t="shared" si="81"/>
        <v>Lewis (0): 1690–1758</v>
      </c>
      <c r="AF153" s="42">
        <f t="shared" si="82"/>
        <v>-1</v>
      </c>
      <c r="AG153" s="22" t="e">
        <f t="shared" si="83"/>
        <v>#N/A</v>
      </c>
      <c r="AH153" s="23" t="s">
        <v>2814</v>
      </c>
      <c r="AI153" s="33" t="s">
        <v>4410</v>
      </c>
      <c r="AJ153" s="264" t="str">
        <f>VLOOKUP(AI153,'Mums of Loyd Edit&amp;Partner Edit'!$B$4:$C$66,2,FALSE)</f>
        <v>Mary DAVIES (b. 6 Aug 1939, d. 17 Feb 1997)</v>
      </c>
      <c r="AK153" s="33">
        <f t="shared" si="90"/>
        <v>5</v>
      </c>
      <c r="AL153" s="33">
        <f t="shared" si="91"/>
        <v>31</v>
      </c>
      <c r="AM153" s="144">
        <f t="shared" si="84"/>
        <v>7</v>
      </c>
      <c r="AN153" s="144">
        <f t="shared" si="92"/>
        <v>1</v>
      </c>
      <c r="AO153">
        <f t="shared" si="85"/>
        <v>55</v>
      </c>
      <c r="AP153" s="103">
        <f t="shared" si="93"/>
        <v>55</v>
      </c>
      <c r="AQ153" s="33">
        <f t="shared" si="70"/>
        <v>151</v>
      </c>
    </row>
    <row r="154" spans="1:43" ht="36" thickBot="1">
      <c r="A154" s="33">
        <f t="shared" si="71"/>
        <v>152</v>
      </c>
      <c r="B154">
        <f t="shared" si="94"/>
        <v>6</v>
      </c>
      <c r="C154" s="183">
        <v>152</v>
      </c>
      <c r="D154" s="2" t="s">
        <v>782</v>
      </c>
      <c r="E154" t="s">
        <v>870</v>
      </c>
      <c r="F154" t="s">
        <v>937</v>
      </c>
      <c r="H154" t="s">
        <v>3625</v>
      </c>
      <c r="I154" s="31">
        <f t="shared" si="97"/>
        <v>1967</v>
      </c>
      <c r="J154" s="99" t="str">
        <f t="shared" si="98"/>
        <v/>
      </c>
      <c r="K154" s="9" t="str">
        <f t="shared" si="95"/>
        <v>Mary Rose (152): 1967</v>
      </c>
      <c r="L154" s="8" t="str">
        <f t="shared" si="68"/>
        <v>08/06/1967</v>
      </c>
      <c r="M154" s="8">
        <v>24631</v>
      </c>
      <c r="N154" s="3">
        <v>34818</v>
      </c>
      <c r="O154" s="8"/>
      <c r="P154" s="13">
        <f t="shared" si="72"/>
        <v>152</v>
      </c>
      <c r="Q154" s="19" t="str">
        <f t="shared" si="73"/>
        <v>Mary Rose (152): 1967–</v>
      </c>
      <c r="R154" s="120">
        <v>104</v>
      </c>
      <c r="S154" s="15" t="str">
        <f t="shared" si="96"/>
        <v>Sir Julian (104): 1926–2018</v>
      </c>
      <c r="T154" s="38">
        <f t="shared" si="86"/>
        <v>72</v>
      </c>
      <c r="U154" s="37" t="str">
        <f t="shared" si="87"/>
        <v>Charles (72): 1891–1973</v>
      </c>
      <c r="V154" s="27">
        <f t="shared" si="88"/>
        <v>44</v>
      </c>
      <c r="W154" s="28" t="str">
        <f t="shared" si="89"/>
        <v>Harry (44): 1861–1938</v>
      </c>
      <c r="X154" s="39">
        <f t="shared" si="74"/>
        <v>23</v>
      </c>
      <c r="Y154" s="40" t="str">
        <f t="shared" si="75"/>
        <v>William (23): 1821–1885</v>
      </c>
      <c r="Z154" s="29">
        <f t="shared" si="76"/>
        <v>8</v>
      </c>
      <c r="AA154" s="41" t="str">
        <f t="shared" si="77"/>
        <v>Edward (8): 1780–1863</v>
      </c>
      <c r="AB154" s="30">
        <f t="shared" si="78"/>
        <v>1</v>
      </c>
      <c r="AC154" s="43" t="str">
        <f t="shared" si="79"/>
        <v>William (1): 1729–1800</v>
      </c>
      <c r="AD154" s="42">
        <f t="shared" si="80"/>
        <v>0</v>
      </c>
      <c r="AE154" s="22" t="str">
        <f t="shared" si="81"/>
        <v>Lewis (0): 1690–1758</v>
      </c>
      <c r="AF154" s="42">
        <f t="shared" si="82"/>
        <v>-1</v>
      </c>
      <c r="AG154" s="22" t="e">
        <f t="shared" si="83"/>
        <v>#N/A</v>
      </c>
      <c r="AH154" s="23" t="s">
        <v>2814</v>
      </c>
      <c r="AI154" s="33" t="s">
        <v>4408</v>
      </c>
      <c r="AJ154" s="264" t="str">
        <f>VLOOKUP(AI154,'Mums of Loyd Edit&amp;Partner Edit'!$B$4:$C$66,2,FALSE)</f>
        <v>Philippa Mary Emma STEEL (b. 5 Dec 1932, d. 27 Oct 2020)</v>
      </c>
      <c r="AK154" s="33">
        <f t="shared" si="90"/>
        <v>6</v>
      </c>
      <c r="AL154" s="33">
        <f t="shared" si="91"/>
        <v>8</v>
      </c>
      <c r="AM154" s="144">
        <f t="shared" si="84"/>
        <v>7</v>
      </c>
      <c r="AN154" s="144">
        <f t="shared" si="92"/>
        <v>1</v>
      </c>
      <c r="AO154">
        <f t="shared" si="85"/>
        <v>55</v>
      </c>
      <c r="AP154" s="103">
        <f t="shared" si="93"/>
        <v>55</v>
      </c>
      <c r="AQ154" s="33">
        <f t="shared" si="70"/>
        <v>152</v>
      </c>
    </row>
    <row r="155" spans="1:43" ht="20" thickBot="1">
      <c r="A155" s="33">
        <f t="shared" si="71"/>
        <v>153</v>
      </c>
      <c r="B155">
        <f t="shared" si="94"/>
        <v>6</v>
      </c>
      <c r="C155" s="183">
        <v>153</v>
      </c>
      <c r="D155" s="2" t="s">
        <v>782</v>
      </c>
      <c r="E155" t="s">
        <v>928</v>
      </c>
      <c r="F155" t="s">
        <v>842</v>
      </c>
      <c r="G155" t="s">
        <v>896</v>
      </c>
      <c r="I155" s="31">
        <f t="shared" si="97"/>
        <v>1968</v>
      </c>
      <c r="J155" s="99" t="str">
        <f t="shared" si="98"/>
        <v/>
      </c>
      <c r="K155" s="9" t="str">
        <f t="shared" si="95"/>
        <v>Richard (153): 1968</v>
      </c>
      <c r="L155" s="8" t="str">
        <f t="shared" si="68"/>
        <v>26/06/1968</v>
      </c>
      <c r="M155" s="8">
        <v>25015</v>
      </c>
      <c r="N155" s="3">
        <v>35350</v>
      </c>
      <c r="O155" s="8"/>
      <c r="P155" s="13">
        <f t="shared" si="72"/>
        <v>153</v>
      </c>
      <c r="Q155" s="19" t="str">
        <f t="shared" si="73"/>
        <v>Richard (153): 1968–</v>
      </c>
      <c r="R155" s="120">
        <v>117</v>
      </c>
      <c r="S155" s="15" t="str">
        <f t="shared" si="96"/>
        <v>Patrick (117): 1942–</v>
      </c>
      <c r="T155" s="38">
        <f t="shared" si="86"/>
        <v>55</v>
      </c>
      <c r="U155" s="37" t="str">
        <f t="shared" si="87"/>
        <v>Dick (55): 1882–1950</v>
      </c>
      <c r="V155" s="27">
        <f t="shared" si="88"/>
        <v>35</v>
      </c>
      <c r="W155" s="28" t="str">
        <f t="shared" si="89"/>
        <v>Lewis (35): 1852–1908</v>
      </c>
      <c r="X155" s="39">
        <f t="shared" si="74"/>
        <v>23</v>
      </c>
      <c r="Y155" s="40" t="str">
        <f t="shared" si="75"/>
        <v>William (23): 1821–1885</v>
      </c>
      <c r="Z155" s="29">
        <f t="shared" si="76"/>
        <v>8</v>
      </c>
      <c r="AA155" s="41" t="str">
        <f t="shared" si="77"/>
        <v>Edward (8): 1780–1863</v>
      </c>
      <c r="AB155" s="30">
        <f t="shared" si="78"/>
        <v>1</v>
      </c>
      <c r="AC155" s="43" t="str">
        <f t="shared" si="79"/>
        <v>William (1): 1729–1800</v>
      </c>
      <c r="AD155" s="42">
        <f t="shared" si="80"/>
        <v>0</v>
      </c>
      <c r="AE155" s="22" t="str">
        <f t="shared" si="81"/>
        <v>Lewis (0): 1690–1758</v>
      </c>
      <c r="AF155" s="42">
        <f t="shared" si="82"/>
        <v>-1</v>
      </c>
      <c r="AG155" s="22" t="e">
        <f t="shared" si="83"/>
        <v>#N/A</v>
      </c>
      <c r="AH155" s="23" t="s">
        <v>2815</v>
      </c>
      <c r="AI155" s="33" t="s">
        <v>4410</v>
      </c>
      <c r="AJ155" s="264" t="str">
        <f>VLOOKUP(AI155,'Mums of Loyd Edit&amp;Partner Edit'!$B$4:$C$66,2,FALSE)</f>
        <v>Mary DAVIES (b. 6 Aug 1939, d. 17 Feb 1997)</v>
      </c>
      <c r="AK155" s="33">
        <f t="shared" si="90"/>
        <v>6</v>
      </c>
      <c r="AL155" s="33">
        <f t="shared" si="91"/>
        <v>26</v>
      </c>
      <c r="AM155" s="144">
        <f t="shared" si="84"/>
        <v>7</v>
      </c>
      <c r="AN155" s="144">
        <f t="shared" si="92"/>
        <v>1</v>
      </c>
      <c r="AO155">
        <f t="shared" si="85"/>
        <v>54</v>
      </c>
      <c r="AP155" s="103">
        <f t="shared" si="93"/>
        <v>54</v>
      </c>
      <c r="AQ155" s="33">
        <f t="shared" si="70"/>
        <v>153</v>
      </c>
    </row>
    <row r="156" spans="1:43" ht="36" thickBot="1">
      <c r="A156" s="33">
        <f t="shared" si="71"/>
        <v>154</v>
      </c>
      <c r="B156">
        <f t="shared" si="94"/>
        <v>6</v>
      </c>
      <c r="C156" s="183">
        <v>154</v>
      </c>
      <c r="D156" s="2" t="s">
        <v>782</v>
      </c>
      <c r="E156" t="s">
        <v>938</v>
      </c>
      <c r="F156" t="s">
        <v>939</v>
      </c>
      <c r="I156" s="31">
        <f t="shared" si="97"/>
        <v>1969</v>
      </c>
      <c r="J156" s="99" t="str">
        <f t="shared" si="98"/>
        <v/>
      </c>
      <c r="K156" s="9" t="str">
        <f t="shared" si="95"/>
        <v>Sophie (154): 1969</v>
      </c>
      <c r="L156" s="8" t="str">
        <f t="shared" si="68"/>
        <v>10/06/1969</v>
      </c>
      <c r="M156" s="8">
        <v>25364</v>
      </c>
      <c r="N156" s="3">
        <v>37821</v>
      </c>
      <c r="O156" s="8"/>
      <c r="P156" s="13">
        <f t="shared" si="72"/>
        <v>154</v>
      </c>
      <c r="Q156" s="19" t="str">
        <f t="shared" si="73"/>
        <v>Sophie (154): 1969–</v>
      </c>
      <c r="R156" s="120">
        <v>98</v>
      </c>
      <c r="S156" s="15" t="str">
        <f t="shared" si="96"/>
        <v>Peter (98): 1922–2022</v>
      </c>
      <c r="T156" s="38">
        <f t="shared" si="86"/>
        <v>77</v>
      </c>
      <c r="U156" s="37" t="str">
        <f t="shared" si="87"/>
        <v>Wilfrid (77): 1893–1971</v>
      </c>
      <c r="V156" s="27">
        <f t="shared" si="88"/>
        <v>30</v>
      </c>
      <c r="W156" s="28" t="str">
        <f t="shared" si="89"/>
        <v>Archie (30): 1847–1922</v>
      </c>
      <c r="X156" s="39">
        <f t="shared" si="74"/>
        <v>14</v>
      </c>
      <c r="Y156" s="40" t="str">
        <f t="shared" si="75"/>
        <v>Thomas (14): 1812–1857</v>
      </c>
      <c r="Z156" s="29">
        <f t="shared" si="76"/>
        <v>4</v>
      </c>
      <c r="AA156" s="41" t="str">
        <f t="shared" si="77"/>
        <v>William (4): 1770–1828</v>
      </c>
      <c r="AB156" s="30">
        <f t="shared" si="78"/>
        <v>1</v>
      </c>
      <c r="AC156" s="43" t="str">
        <f t="shared" si="79"/>
        <v>William (1): 1729–1800</v>
      </c>
      <c r="AD156" s="42">
        <f t="shared" si="80"/>
        <v>0</v>
      </c>
      <c r="AE156" s="22" t="str">
        <f t="shared" si="81"/>
        <v>Lewis (0): 1690–1758</v>
      </c>
      <c r="AF156" s="42">
        <f t="shared" si="82"/>
        <v>-1</v>
      </c>
      <c r="AG156" s="22" t="e">
        <f t="shared" si="83"/>
        <v>#N/A</v>
      </c>
      <c r="AH156" s="23" t="s">
        <v>2814</v>
      </c>
      <c r="AI156" s="33" t="s">
        <v>4409</v>
      </c>
      <c r="AJ156" s="264" t="str">
        <f>VLOOKUP(AI156,'Mums of Loyd Edit&amp;Partner Edit'!$B$4:$C$66,2,FALSE)</f>
        <v>Rosemary Joan (Rosie) MOIR (b. 23 Feb 1942, d. 12 Mar 1997)</v>
      </c>
      <c r="AK156" s="33">
        <f t="shared" si="90"/>
        <v>6</v>
      </c>
      <c r="AL156" s="33">
        <f t="shared" si="91"/>
        <v>10</v>
      </c>
      <c r="AM156" s="144">
        <f t="shared" si="84"/>
        <v>7</v>
      </c>
      <c r="AN156" s="144">
        <f t="shared" si="92"/>
        <v>1</v>
      </c>
      <c r="AO156">
        <f t="shared" si="85"/>
        <v>53</v>
      </c>
      <c r="AP156" s="103">
        <f t="shared" si="93"/>
        <v>53</v>
      </c>
      <c r="AQ156" s="33">
        <f t="shared" si="70"/>
        <v>154</v>
      </c>
    </row>
    <row r="157" spans="1:43" ht="36" thickBot="1">
      <c r="A157" s="33">
        <f t="shared" si="71"/>
        <v>155</v>
      </c>
      <c r="B157">
        <f t="shared" si="94"/>
        <v>6</v>
      </c>
      <c r="C157" s="183">
        <v>155</v>
      </c>
      <c r="D157" s="2" t="s">
        <v>3065</v>
      </c>
      <c r="E157" t="s">
        <v>830</v>
      </c>
      <c r="F157" t="s">
        <v>842</v>
      </c>
      <c r="G157" t="s">
        <v>940</v>
      </c>
      <c r="I157" s="31">
        <f t="shared" si="97"/>
        <v>1973</v>
      </c>
      <c r="J157" s="99" t="str">
        <f t="shared" si="98"/>
        <v/>
      </c>
      <c r="K157" s="9" t="str">
        <f t="shared" si="95"/>
        <v>William (155): 1973</v>
      </c>
      <c r="L157" s="8" t="str">
        <f t="shared" si="68"/>
        <v>15/04/1973</v>
      </c>
      <c r="M157" s="8">
        <v>26769</v>
      </c>
      <c r="N157" s="3">
        <v>38605</v>
      </c>
      <c r="O157" s="8"/>
      <c r="P157" s="13">
        <f t="shared" si="72"/>
        <v>155</v>
      </c>
      <c r="Q157" s="19" t="str">
        <f t="shared" si="73"/>
        <v>William (155): 1973–</v>
      </c>
      <c r="R157" s="120">
        <v>119</v>
      </c>
      <c r="S157" s="15" t="str">
        <f t="shared" si="96"/>
        <v>Peter (119): 1942–</v>
      </c>
      <c r="T157" s="38">
        <f t="shared" si="86"/>
        <v>80</v>
      </c>
      <c r="U157" s="37" t="str">
        <f t="shared" si="87"/>
        <v>Eric (80): 1894–1963</v>
      </c>
      <c r="V157" s="27">
        <f t="shared" si="88"/>
        <v>29</v>
      </c>
      <c r="W157" s="28" t="str">
        <f t="shared" si="89"/>
        <v>Arthur (29): 1845–1930</v>
      </c>
      <c r="X157" s="39">
        <f t="shared" si="74"/>
        <v>14</v>
      </c>
      <c r="Y157" s="40" t="str">
        <f t="shared" si="75"/>
        <v>Thomas (14): 1812–1857</v>
      </c>
      <c r="Z157" s="29">
        <f t="shared" si="76"/>
        <v>4</v>
      </c>
      <c r="AA157" s="41" t="str">
        <f t="shared" si="77"/>
        <v>William (4): 1770–1828</v>
      </c>
      <c r="AB157" s="30">
        <f t="shared" si="78"/>
        <v>1</v>
      </c>
      <c r="AC157" s="43" t="str">
        <f t="shared" si="79"/>
        <v>William (1): 1729–1800</v>
      </c>
      <c r="AD157" s="42">
        <f t="shared" si="80"/>
        <v>0</v>
      </c>
      <c r="AE157" s="22" t="str">
        <f t="shared" si="81"/>
        <v>Lewis (0): 1690–1758</v>
      </c>
      <c r="AF157" s="42">
        <f t="shared" si="82"/>
        <v>-1</v>
      </c>
      <c r="AG157" s="22" t="e">
        <f t="shared" si="83"/>
        <v>#N/A</v>
      </c>
      <c r="AH157" s="23" t="s">
        <v>2815</v>
      </c>
      <c r="AI157" s="33" t="s">
        <v>4412</v>
      </c>
      <c r="AJ157" s="264" t="str">
        <f>VLOOKUP(AI157,'Mums of Loyd Edit&amp;Partner Edit'!$B$4:$C$66,2,FALSE)</f>
        <v>Mary Jennifer CHARLTON (b. 15 Jul 1946, d. 10 Oct 1976)</v>
      </c>
      <c r="AK157" s="33">
        <f t="shared" si="90"/>
        <v>4</v>
      </c>
      <c r="AL157" s="33">
        <f t="shared" si="91"/>
        <v>15</v>
      </c>
      <c r="AM157" s="144">
        <f t="shared" si="84"/>
        <v>7</v>
      </c>
      <c r="AN157" s="144">
        <f t="shared" si="92"/>
        <v>1</v>
      </c>
      <c r="AO157">
        <f t="shared" si="85"/>
        <v>49</v>
      </c>
      <c r="AP157" s="103">
        <f t="shared" si="93"/>
        <v>49</v>
      </c>
      <c r="AQ157" s="33">
        <f t="shared" si="70"/>
        <v>155</v>
      </c>
    </row>
    <row r="158" spans="1:43" ht="36" thickBot="1">
      <c r="A158" s="33">
        <f t="shared" si="71"/>
        <v>156</v>
      </c>
      <c r="B158">
        <f t="shared" si="94"/>
        <v>6</v>
      </c>
      <c r="C158" s="183">
        <v>156</v>
      </c>
      <c r="D158" s="2" t="s">
        <v>782</v>
      </c>
      <c r="E158" t="s">
        <v>941</v>
      </c>
      <c r="F158" t="s">
        <v>942</v>
      </c>
      <c r="I158" s="31">
        <f t="shared" si="97"/>
        <v>1975</v>
      </c>
      <c r="J158" s="99" t="str">
        <f t="shared" si="98"/>
        <v/>
      </c>
      <c r="K158" s="9" t="str">
        <f t="shared" si="95"/>
        <v>Amy (156): 1975</v>
      </c>
      <c r="L158" s="8" t="str">
        <f t="shared" si="68"/>
        <v>04/03/1975</v>
      </c>
      <c r="M158" s="8">
        <v>27457</v>
      </c>
      <c r="N158" s="3">
        <v>41250</v>
      </c>
      <c r="O158" s="8"/>
      <c r="P158" s="13">
        <f t="shared" si="72"/>
        <v>156</v>
      </c>
      <c r="Q158" s="19" t="str">
        <f t="shared" si="73"/>
        <v>Amy (156): 1975–</v>
      </c>
      <c r="R158" s="120">
        <v>119</v>
      </c>
      <c r="S158" s="15" t="str">
        <f t="shared" si="96"/>
        <v>Peter (119): 1942–</v>
      </c>
      <c r="T158" s="38">
        <f t="shared" si="86"/>
        <v>80</v>
      </c>
      <c r="U158" s="37" t="str">
        <f t="shared" si="87"/>
        <v>Eric (80): 1894–1963</v>
      </c>
      <c r="V158" s="27">
        <f t="shared" si="88"/>
        <v>29</v>
      </c>
      <c r="W158" s="28" t="str">
        <f t="shared" si="89"/>
        <v>Arthur (29): 1845–1930</v>
      </c>
      <c r="X158" s="39">
        <f t="shared" si="74"/>
        <v>14</v>
      </c>
      <c r="Y158" s="40" t="str">
        <f t="shared" si="75"/>
        <v>Thomas (14): 1812–1857</v>
      </c>
      <c r="Z158" s="29">
        <f t="shared" si="76"/>
        <v>4</v>
      </c>
      <c r="AA158" s="41" t="str">
        <f t="shared" si="77"/>
        <v>William (4): 1770–1828</v>
      </c>
      <c r="AB158" s="30">
        <f t="shared" si="78"/>
        <v>1</v>
      </c>
      <c r="AC158" s="43" t="str">
        <f t="shared" si="79"/>
        <v>William (1): 1729–1800</v>
      </c>
      <c r="AD158" s="42">
        <f t="shared" si="80"/>
        <v>0</v>
      </c>
      <c r="AE158" s="22" t="str">
        <f t="shared" si="81"/>
        <v>Lewis (0): 1690–1758</v>
      </c>
      <c r="AF158" s="42">
        <f t="shared" si="82"/>
        <v>-1</v>
      </c>
      <c r="AG158" s="22" t="e">
        <f t="shared" si="83"/>
        <v>#N/A</v>
      </c>
      <c r="AH158" s="23" t="s">
        <v>2814</v>
      </c>
      <c r="AI158" s="33" t="s">
        <v>4412</v>
      </c>
      <c r="AJ158" s="264" t="str">
        <f>VLOOKUP(AI158,'Mums of Loyd Edit&amp;Partner Edit'!$B$4:$C$66,2,FALSE)</f>
        <v>Mary Jennifer CHARLTON (b. 15 Jul 1946, d. 10 Oct 1976)</v>
      </c>
      <c r="AK158" s="33">
        <f t="shared" si="90"/>
        <v>3</v>
      </c>
      <c r="AL158" s="33">
        <f t="shared" si="91"/>
        <v>4</v>
      </c>
      <c r="AM158" s="144">
        <f t="shared" si="84"/>
        <v>7</v>
      </c>
      <c r="AN158" s="144">
        <f t="shared" si="92"/>
        <v>1</v>
      </c>
      <c r="AO158">
        <f t="shared" si="85"/>
        <v>47</v>
      </c>
      <c r="AP158" s="103">
        <f t="shared" si="93"/>
        <v>47</v>
      </c>
      <c r="AQ158" s="33">
        <f t="shared" si="70"/>
        <v>156</v>
      </c>
    </row>
    <row r="159" spans="1:43" ht="20" thickBot="1">
      <c r="A159" s="33">
        <f t="shared" si="71"/>
        <v>157</v>
      </c>
      <c r="B159">
        <f t="shared" si="94"/>
        <v>6</v>
      </c>
      <c r="C159" s="183">
        <v>157</v>
      </c>
      <c r="D159" s="2" t="s">
        <v>782</v>
      </c>
      <c r="E159" t="s">
        <v>943</v>
      </c>
      <c r="F159" t="s">
        <v>922</v>
      </c>
      <c r="H159" t="s">
        <v>3681</v>
      </c>
      <c r="I159" s="31">
        <f t="shared" si="97"/>
        <v>1975</v>
      </c>
      <c r="J159" s="99" t="str">
        <f t="shared" si="98"/>
        <v/>
      </c>
      <c r="K159" s="9" t="str">
        <f t="shared" si="95"/>
        <v>Tess (157): 1975</v>
      </c>
      <c r="L159" s="8" t="str">
        <f t="shared" si="68"/>
        <v>31/07/1975</v>
      </c>
      <c r="M159" s="8">
        <v>27606</v>
      </c>
      <c r="N159" s="3">
        <v>40761</v>
      </c>
      <c r="O159" s="8"/>
      <c r="P159" s="13">
        <f t="shared" si="72"/>
        <v>157</v>
      </c>
      <c r="Q159" s="19" t="str">
        <f t="shared" si="73"/>
        <v>Tess (157): 1975–</v>
      </c>
      <c r="R159" s="120">
        <v>114</v>
      </c>
      <c r="S159" s="15" t="str">
        <f t="shared" si="96"/>
        <v>Michael (114): 1938–</v>
      </c>
      <c r="T159" s="38">
        <f t="shared" si="86"/>
        <v>80</v>
      </c>
      <c r="U159" s="37" t="str">
        <f t="shared" si="87"/>
        <v>Eric (80): 1894–1963</v>
      </c>
      <c r="V159" s="27">
        <f t="shared" si="88"/>
        <v>29</v>
      </c>
      <c r="W159" s="28" t="str">
        <f t="shared" si="89"/>
        <v>Arthur (29): 1845–1930</v>
      </c>
      <c r="X159" s="39">
        <f t="shared" si="74"/>
        <v>14</v>
      </c>
      <c r="Y159" s="40" t="str">
        <f t="shared" si="75"/>
        <v>Thomas (14): 1812–1857</v>
      </c>
      <c r="Z159" s="29">
        <f t="shared" si="76"/>
        <v>4</v>
      </c>
      <c r="AA159" s="41" t="str">
        <f t="shared" si="77"/>
        <v>William (4): 1770–1828</v>
      </c>
      <c r="AB159" s="30">
        <f t="shared" si="78"/>
        <v>1</v>
      </c>
      <c r="AC159" s="43" t="str">
        <f t="shared" si="79"/>
        <v>William (1): 1729–1800</v>
      </c>
      <c r="AD159" s="42">
        <f t="shared" si="80"/>
        <v>0</v>
      </c>
      <c r="AE159" s="22" t="str">
        <f t="shared" si="81"/>
        <v>Lewis (0): 1690–1758</v>
      </c>
      <c r="AF159" s="42">
        <f t="shared" si="82"/>
        <v>-1</v>
      </c>
      <c r="AG159" s="22" t="e">
        <f t="shared" si="83"/>
        <v>#N/A</v>
      </c>
      <c r="AH159" s="23" t="s">
        <v>2814</v>
      </c>
      <c r="AI159" s="33" t="s">
        <v>4413</v>
      </c>
      <c r="AJ159" s="264" t="str">
        <f>VLOOKUP(AI159,'Mums of Loyd Edit&amp;Partner Edit'!$B$4:$C$66,2,FALSE)</f>
        <v>Rosemary (Rosie) STRAKER (b. 19 Jan 1945, )</v>
      </c>
      <c r="AK159" s="33">
        <f t="shared" si="90"/>
        <v>7</v>
      </c>
      <c r="AL159" s="33">
        <f t="shared" si="91"/>
        <v>31</v>
      </c>
      <c r="AM159" s="144">
        <f t="shared" si="84"/>
        <v>7</v>
      </c>
      <c r="AN159" s="144">
        <f t="shared" si="92"/>
        <v>1</v>
      </c>
      <c r="AO159">
        <f t="shared" si="85"/>
        <v>46</v>
      </c>
      <c r="AP159" s="103">
        <f t="shared" si="93"/>
        <v>46</v>
      </c>
      <c r="AQ159" s="33">
        <f t="shared" si="70"/>
        <v>157</v>
      </c>
    </row>
    <row r="160" spans="1:43" ht="20" thickBot="1">
      <c r="A160" s="33">
        <f t="shared" si="71"/>
        <v>158</v>
      </c>
      <c r="B160">
        <f t="shared" si="94"/>
        <v>6</v>
      </c>
      <c r="C160" s="183">
        <v>158</v>
      </c>
      <c r="D160" s="2" t="s">
        <v>782</v>
      </c>
      <c r="E160" t="s">
        <v>944</v>
      </c>
      <c r="F160" t="s">
        <v>945</v>
      </c>
      <c r="I160" s="31">
        <f t="shared" si="97"/>
        <v>1977</v>
      </c>
      <c r="J160" s="99" t="str">
        <f t="shared" si="98"/>
        <v/>
      </c>
      <c r="K160" s="9" t="str">
        <f t="shared" si="95"/>
        <v>Chloe (158): 1977</v>
      </c>
      <c r="L160" s="8" t="str">
        <f t="shared" si="68"/>
        <v>31/08/1977</v>
      </c>
      <c r="M160" s="8">
        <v>28368</v>
      </c>
      <c r="N160" s="3">
        <v>39599</v>
      </c>
      <c r="O160" s="8"/>
      <c r="P160" s="13">
        <f t="shared" si="72"/>
        <v>158</v>
      </c>
      <c r="Q160" s="19" t="str">
        <f t="shared" si="73"/>
        <v>Chloe (158): 1977–</v>
      </c>
      <c r="R160" s="120">
        <v>114</v>
      </c>
      <c r="S160" s="15" t="str">
        <f t="shared" si="96"/>
        <v>Michael (114): 1938–</v>
      </c>
      <c r="T160" s="38">
        <f t="shared" si="86"/>
        <v>80</v>
      </c>
      <c r="U160" s="37" t="str">
        <f t="shared" si="87"/>
        <v>Eric (80): 1894–1963</v>
      </c>
      <c r="V160" s="27">
        <f t="shared" si="88"/>
        <v>29</v>
      </c>
      <c r="W160" s="28" t="str">
        <f t="shared" si="89"/>
        <v>Arthur (29): 1845–1930</v>
      </c>
      <c r="X160" s="39">
        <f t="shared" si="74"/>
        <v>14</v>
      </c>
      <c r="Y160" s="40" t="str">
        <f t="shared" si="75"/>
        <v>Thomas (14): 1812–1857</v>
      </c>
      <c r="Z160" s="29">
        <f t="shared" si="76"/>
        <v>4</v>
      </c>
      <c r="AA160" s="41" t="str">
        <f t="shared" si="77"/>
        <v>William (4): 1770–1828</v>
      </c>
      <c r="AB160" s="30">
        <f t="shared" si="78"/>
        <v>1</v>
      </c>
      <c r="AC160" s="43" t="str">
        <f t="shared" si="79"/>
        <v>William (1): 1729–1800</v>
      </c>
      <c r="AD160" s="42">
        <f t="shared" si="80"/>
        <v>0</v>
      </c>
      <c r="AE160" s="22" t="str">
        <f t="shared" si="81"/>
        <v>Lewis (0): 1690–1758</v>
      </c>
      <c r="AF160" s="42">
        <f t="shared" si="82"/>
        <v>-1</v>
      </c>
      <c r="AG160" s="22" t="e">
        <f t="shared" si="83"/>
        <v>#N/A</v>
      </c>
      <c r="AH160" s="23" t="s">
        <v>2814</v>
      </c>
      <c r="AI160" s="33" t="s">
        <v>4413</v>
      </c>
      <c r="AJ160" s="264" t="str">
        <f>VLOOKUP(AI160,'Mums of Loyd Edit&amp;Partner Edit'!$B$4:$C$66,2,FALSE)</f>
        <v>Rosemary (Rosie) STRAKER (b. 19 Jan 1945, )</v>
      </c>
      <c r="AK160" s="33">
        <f t="shared" si="90"/>
        <v>8</v>
      </c>
      <c r="AL160" s="33">
        <f t="shared" si="91"/>
        <v>31</v>
      </c>
      <c r="AM160" s="144">
        <f t="shared" si="84"/>
        <v>7</v>
      </c>
      <c r="AN160" s="144">
        <f t="shared" si="92"/>
        <v>1</v>
      </c>
      <c r="AO160">
        <f t="shared" si="85"/>
        <v>44</v>
      </c>
      <c r="AP160" s="103">
        <f t="shared" si="93"/>
        <v>44</v>
      </c>
      <c r="AQ160" s="33">
        <f t="shared" si="70"/>
        <v>158</v>
      </c>
    </row>
    <row r="161" spans="1:43" ht="20" thickBot="1">
      <c r="A161" s="33">
        <f t="shared" si="71"/>
        <v>159</v>
      </c>
      <c r="B161">
        <f t="shared" si="94"/>
        <v>6</v>
      </c>
      <c r="C161" s="183">
        <v>159</v>
      </c>
      <c r="D161" s="2" t="s">
        <v>782</v>
      </c>
      <c r="E161" t="s">
        <v>946</v>
      </c>
      <c r="F161" t="s">
        <v>839</v>
      </c>
      <c r="I161" s="31">
        <f t="shared" si="97"/>
        <v>1979</v>
      </c>
      <c r="J161" s="99" t="str">
        <f t="shared" si="98"/>
        <v/>
      </c>
      <c r="K161" s="9" t="str">
        <f t="shared" si="95"/>
        <v>Daisy (159): 1979</v>
      </c>
      <c r="L161" s="8" t="str">
        <f t="shared" si="68"/>
        <v>19/08/1979</v>
      </c>
      <c r="M161" s="8">
        <v>29086</v>
      </c>
      <c r="N161" s="3">
        <v>39424</v>
      </c>
      <c r="O161" s="8"/>
      <c r="P161" s="13">
        <f t="shared" si="72"/>
        <v>159</v>
      </c>
      <c r="Q161" s="19" t="str">
        <f t="shared" si="73"/>
        <v>Daisy (159): 1979–</v>
      </c>
      <c r="R161" s="120">
        <v>114</v>
      </c>
      <c r="S161" s="15" t="str">
        <f t="shared" si="96"/>
        <v>Michael (114): 1938–</v>
      </c>
      <c r="T161" s="38">
        <f t="shared" si="86"/>
        <v>80</v>
      </c>
      <c r="U161" s="37" t="str">
        <f t="shared" si="87"/>
        <v>Eric (80): 1894–1963</v>
      </c>
      <c r="V161" s="27">
        <f t="shared" si="88"/>
        <v>29</v>
      </c>
      <c r="W161" s="28" t="str">
        <f t="shared" si="89"/>
        <v>Arthur (29): 1845–1930</v>
      </c>
      <c r="X161" s="39">
        <f t="shared" si="74"/>
        <v>14</v>
      </c>
      <c r="Y161" s="40" t="str">
        <f t="shared" si="75"/>
        <v>Thomas (14): 1812–1857</v>
      </c>
      <c r="Z161" s="29">
        <f t="shared" si="76"/>
        <v>4</v>
      </c>
      <c r="AA161" s="41" t="str">
        <f t="shared" si="77"/>
        <v>William (4): 1770–1828</v>
      </c>
      <c r="AB161" s="30">
        <f t="shared" si="78"/>
        <v>1</v>
      </c>
      <c r="AC161" s="43" t="str">
        <f t="shared" si="79"/>
        <v>William (1): 1729–1800</v>
      </c>
      <c r="AD161" s="42">
        <f t="shared" si="80"/>
        <v>0</v>
      </c>
      <c r="AE161" s="22" t="str">
        <f t="shared" si="81"/>
        <v>Lewis (0): 1690–1758</v>
      </c>
      <c r="AF161" s="42">
        <f t="shared" si="82"/>
        <v>-1</v>
      </c>
      <c r="AG161" s="22" t="e">
        <f t="shared" si="83"/>
        <v>#N/A</v>
      </c>
      <c r="AH161" s="23" t="s">
        <v>2814</v>
      </c>
      <c r="AI161" s="33" t="s">
        <v>4413</v>
      </c>
      <c r="AJ161" s="264" t="str">
        <f>VLOOKUP(AI161,'Mums of Loyd Edit&amp;Partner Edit'!$B$4:$C$66,2,FALSE)</f>
        <v>Rosemary (Rosie) STRAKER (b. 19 Jan 1945, )</v>
      </c>
      <c r="AK161" s="33">
        <f t="shared" si="90"/>
        <v>8</v>
      </c>
      <c r="AL161" s="33">
        <f t="shared" si="91"/>
        <v>19</v>
      </c>
      <c r="AM161" s="144">
        <f t="shared" si="84"/>
        <v>7</v>
      </c>
      <c r="AN161" s="144">
        <f t="shared" si="92"/>
        <v>1</v>
      </c>
      <c r="AO161">
        <f t="shared" si="85"/>
        <v>42</v>
      </c>
      <c r="AP161" s="103">
        <f t="shared" si="93"/>
        <v>42</v>
      </c>
      <c r="AQ161" s="33">
        <f t="shared" si="70"/>
        <v>159</v>
      </c>
    </row>
    <row r="162" spans="1:43" ht="20" thickBot="1">
      <c r="A162" s="33">
        <f t="shared" si="71"/>
        <v>160</v>
      </c>
      <c r="B162">
        <f t="shared" si="94"/>
        <v>7</v>
      </c>
      <c r="C162" s="183">
        <v>160</v>
      </c>
      <c r="D162" s="2" t="s">
        <v>782</v>
      </c>
      <c r="E162" t="s">
        <v>842</v>
      </c>
      <c r="F162" t="s">
        <v>947</v>
      </c>
      <c r="I162" s="31">
        <f t="shared" si="97"/>
        <v>1982</v>
      </c>
      <c r="J162" s="99" t="str">
        <f t="shared" si="98"/>
        <v/>
      </c>
      <c r="K162" s="9" t="str">
        <f t="shared" si="95"/>
        <v>John (160): 1982</v>
      </c>
      <c r="L162" s="8" t="str">
        <f t="shared" si="68"/>
        <v>18/01/1982</v>
      </c>
      <c r="M162" s="8">
        <v>29969</v>
      </c>
      <c r="O162" s="8"/>
      <c r="P162" s="13">
        <f t="shared" si="72"/>
        <v>160</v>
      </c>
      <c r="Q162" s="19" t="str">
        <f t="shared" si="73"/>
        <v>John (160): 1982–</v>
      </c>
      <c r="R162" s="120">
        <v>131</v>
      </c>
      <c r="S162" s="15" t="str">
        <f t="shared" si="96"/>
        <v>Dominic (131): 1953–</v>
      </c>
      <c r="T162" s="38">
        <f t="shared" si="86"/>
        <v>94</v>
      </c>
      <c r="U162" s="37" t="str">
        <f t="shared" si="87"/>
        <v>Alwyne (94): 1920–2014</v>
      </c>
      <c r="V162" s="27">
        <f t="shared" si="88"/>
        <v>68</v>
      </c>
      <c r="W162" s="28" t="str">
        <f t="shared" si="89"/>
        <v>Cecil (68): 1890–1963</v>
      </c>
      <c r="X162" s="39">
        <f t="shared" si="74"/>
        <v>45</v>
      </c>
      <c r="Y162" s="40" t="str">
        <f t="shared" si="75"/>
        <v>Llewellyn (45): 1861–1939</v>
      </c>
      <c r="Z162" s="29">
        <f t="shared" si="76"/>
        <v>22</v>
      </c>
      <c r="AA162" s="41" t="str">
        <f t="shared" si="77"/>
        <v>Edward (22): 1820–1890</v>
      </c>
      <c r="AB162" s="30">
        <f t="shared" si="78"/>
        <v>8</v>
      </c>
      <c r="AC162" s="43" t="str">
        <f t="shared" si="79"/>
        <v>Edward (8): 1780–1863</v>
      </c>
      <c r="AD162" s="42">
        <f t="shared" si="80"/>
        <v>1</v>
      </c>
      <c r="AE162" s="22" t="str">
        <f t="shared" si="81"/>
        <v>William (1): 1729–1800</v>
      </c>
      <c r="AF162" s="42">
        <f t="shared" si="82"/>
        <v>0</v>
      </c>
      <c r="AG162" s="22" t="str">
        <f t="shared" si="83"/>
        <v>Lewis (0): 1690–1758</v>
      </c>
      <c r="AH162" s="23" t="s">
        <v>2815</v>
      </c>
      <c r="AI162" s="33" t="s">
        <v>4414</v>
      </c>
      <c r="AJ162" s="264" t="str">
        <f>VLOOKUP(AI162,'Mums of Loyd Edit&amp;Partner Edit'!$B$4:$C$66,2,FALSE)</f>
        <v>Karina Lesley BOYCE (b. 22 Apr 1954, )</v>
      </c>
      <c r="AK162" s="33">
        <f t="shared" si="90"/>
        <v>1</v>
      </c>
      <c r="AL162" s="33">
        <f t="shared" si="91"/>
        <v>18</v>
      </c>
      <c r="AM162" s="144">
        <f t="shared" si="84"/>
        <v>7</v>
      </c>
      <c r="AN162" s="144">
        <f t="shared" si="92"/>
        <v>1</v>
      </c>
      <c r="AO162">
        <f t="shared" si="85"/>
        <v>40</v>
      </c>
      <c r="AP162" s="103">
        <f t="shared" si="93"/>
        <v>40</v>
      </c>
      <c r="AQ162" s="33">
        <f t="shared" ref="AQ162:AQ192" si="99">C162</f>
        <v>160</v>
      </c>
    </row>
    <row r="163" spans="1:43" ht="20" thickBot="1">
      <c r="A163" s="33">
        <f t="shared" si="71"/>
        <v>161</v>
      </c>
      <c r="B163">
        <f t="shared" si="94"/>
        <v>6</v>
      </c>
      <c r="C163" s="183">
        <v>161</v>
      </c>
      <c r="D163" s="2" t="s">
        <v>782</v>
      </c>
      <c r="E163" t="s">
        <v>948</v>
      </c>
      <c r="F163" t="s">
        <v>863</v>
      </c>
      <c r="I163" s="31">
        <f t="shared" si="97"/>
        <v>1982</v>
      </c>
      <c r="J163" s="99" t="str">
        <f t="shared" si="98"/>
        <v/>
      </c>
      <c r="K163" s="9" t="str">
        <f t="shared" si="95"/>
        <v>Molly (161): 1982</v>
      </c>
      <c r="L163" s="8" t="str">
        <f t="shared" si="68"/>
        <v>07/04/1982</v>
      </c>
      <c r="M163" s="8">
        <v>30048</v>
      </c>
      <c r="N163" s="3">
        <v>41139</v>
      </c>
      <c r="O163" s="8"/>
      <c r="P163" s="13">
        <f t="shared" ref="P163:P191" si="100">C163</f>
        <v>161</v>
      </c>
      <c r="Q163" s="19" t="str">
        <f t="shared" si="73"/>
        <v>Molly (161): 1982–</v>
      </c>
      <c r="R163" s="120">
        <v>119</v>
      </c>
      <c r="S163" s="15" t="str">
        <f t="shared" si="96"/>
        <v>Peter (119): 1942–</v>
      </c>
      <c r="T163" s="38">
        <f t="shared" si="86"/>
        <v>80</v>
      </c>
      <c r="U163" s="37" t="str">
        <f t="shared" si="87"/>
        <v>Eric (80): 1894–1963</v>
      </c>
      <c r="V163" s="27">
        <f t="shared" si="88"/>
        <v>29</v>
      </c>
      <c r="W163" s="28" t="str">
        <f t="shared" si="89"/>
        <v>Arthur (29): 1845–1930</v>
      </c>
      <c r="X163" s="39">
        <f t="shared" si="74"/>
        <v>14</v>
      </c>
      <c r="Y163" s="40" t="str">
        <f t="shared" si="75"/>
        <v>Thomas (14): 1812–1857</v>
      </c>
      <c r="Z163" s="29">
        <f t="shared" si="76"/>
        <v>4</v>
      </c>
      <c r="AA163" s="41" t="str">
        <f t="shared" si="77"/>
        <v>William (4): 1770–1828</v>
      </c>
      <c r="AB163" s="30">
        <f t="shared" si="78"/>
        <v>1</v>
      </c>
      <c r="AC163" s="43" t="str">
        <f t="shared" si="79"/>
        <v>William (1): 1729–1800</v>
      </c>
      <c r="AD163" s="42">
        <f t="shared" si="80"/>
        <v>0</v>
      </c>
      <c r="AE163" s="22" t="str">
        <f t="shared" si="81"/>
        <v>Lewis (0): 1690–1758</v>
      </c>
      <c r="AF163" s="42">
        <f t="shared" si="82"/>
        <v>-1</v>
      </c>
      <c r="AG163" s="22" t="e">
        <f t="shared" si="83"/>
        <v>#N/A</v>
      </c>
      <c r="AH163" s="23" t="s">
        <v>2814</v>
      </c>
      <c r="AI163" s="33" t="s">
        <v>4415</v>
      </c>
      <c r="AJ163" s="264" t="str">
        <f>VLOOKUP(AI163,'Mums of Loyd Edit&amp;Partner Edit'!$B$4:$C$66,2,FALSE)</f>
        <v>Charlotte Ann HEDLEY (b. 13 Sep 1946, )</v>
      </c>
      <c r="AK163" s="33">
        <f t="shared" si="90"/>
        <v>4</v>
      </c>
      <c r="AL163" s="33">
        <f t="shared" si="91"/>
        <v>7</v>
      </c>
      <c r="AM163" s="144">
        <f t="shared" si="84"/>
        <v>7</v>
      </c>
      <c r="AN163" s="144">
        <f t="shared" si="92"/>
        <v>1</v>
      </c>
      <c r="AO163">
        <f t="shared" ref="AO163:AO194" si="101">IF(O163&lt;&gt;"",IF(AK163&gt;AM163,J163-I163-1,IF(AK163&lt;AM163,J163-I163,IF(AND(AK163=AM163,AN163&gt;=AL163),J163-I163,J163-I163-1))),AP163)</f>
        <v>40</v>
      </c>
      <c r="AP163" s="103">
        <f t="shared" si="93"/>
        <v>40</v>
      </c>
      <c r="AQ163" s="33">
        <f t="shared" si="99"/>
        <v>161</v>
      </c>
    </row>
    <row r="164" spans="1:43" ht="20" thickBot="1">
      <c r="A164" s="33">
        <f t="shared" si="71"/>
        <v>162</v>
      </c>
      <c r="B164">
        <f t="shared" si="94"/>
        <v>7</v>
      </c>
      <c r="C164" s="183">
        <v>162</v>
      </c>
      <c r="D164" s="2" t="s">
        <v>782</v>
      </c>
      <c r="E164" t="s">
        <v>905</v>
      </c>
      <c r="F164" t="s">
        <v>918</v>
      </c>
      <c r="I164" s="31">
        <f t="shared" si="97"/>
        <v>1984</v>
      </c>
      <c r="J164" s="99" t="str">
        <f t="shared" si="98"/>
        <v/>
      </c>
      <c r="K164" s="9" t="str">
        <f t="shared" si="95"/>
        <v>David (162): 1984</v>
      </c>
      <c r="L164" s="8" t="str">
        <f t="shared" si="68"/>
        <v>06/04/1984</v>
      </c>
      <c r="M164" s="8">
        <v>30778</v>
      </c>
      <c r="N164" s="3">
        <v>42567</v>
      </c>
      <c r="O164" s="8"/>
      <c r="P164" s="13">
        <f t="shared" si="100"/>
        <v>162</v>
      </c>
      <c r="Q164" s="19" t="str">
        <f t="shared" si="73"/>
        <v>David (162): 1984–</v>
      </c>
      <c r="R164" s="120">
        <v>131</v>
      </c>
      <c r="S164" s="15" t="str">
        <f t="shared" si="96"/>
        <v>Dominic (131): 1953–</v>
      </c>
      <c r="T164" s="38">
        <f t="shared" si="86"/>
        <v>94</v>
      </c>
      <c r="U164" s="37" t="str">
        <f t="shared" si="87"/>
        <v>Alwyne (94): 1920–2014</v>
      </c>
      <c r="V164" s="27">
        <f t="shared" si="88"/>
        <v>68</v>
      </c>
      <c r="W164" s="28" t="str">
        <f t="shared" si="89"/>
        <v>Cecil (68): 1890–1963</v>
      </c>
      <c r="X164" s="39">
        <f t="shared" si="74"/>
        <v>45</v>
      </c>
      <c r="Y164" s="40" t="str">
        <f t="shared" si="75"/>
        <v>Llewellyn (45): 1861–1939</v>
      </c>
      <c r="Z164" s="29">
        <f t="shared" si="76"/>
        <v>22</v>
      </c>
      <c r="AA164" s="41" t="str">
        <f t="shared" si="77"/>
        <v>Edward (22): 1820–1890</v>
      </c>
      <c r="AB164" s="30">
        <f t="shared" si="78"/>
        <v>8</v>
      </c>
      <c r="AC164" s="43" t="str">
        <f t="shared" si="79"/>
        <v>Edward (8): 1780–1863</v>
      </c>
      <c r="AD164" s="42">
        <f t="shared" si="80"/>
        <v>1</v>
      </c>
      <c r="AE164" s="22" t="str">
        <f t="shared" si="81"/>
        <v>William (1): 1729–1800</v>
      </c>
      <c r="AF164" s="42">
        <f t="shared" si="82"/>
        <v>0</v>
      </c>
      <c r="AG164" s="22" t="str">
        <f t="shared" si="83"/>
        <v>Lewis (0): 1690–1758</v>
      </c>
      <c r="AH164" s="23" t="s">
        <v>2815</v>
      </c>
      <c r="AI164" s="33" t="s">
        <v>4414</v>
      </c>
      <c r="AJ164" s="264" t="str">
        <f>VLOOKUP(AI164,'Mums of Loyd Edit&amp;Partner Edit'!$B$4:$C$66,2,FALSE)</f>
        <v>Karina Lesley BOYCE (b. 22 Apr 1954, )</v>
      </c>
      <c r="AK164" s="33">
        <f t="shared" si="90"/>
        <v>4</v>
      </c>
      <c r="AL164" s="33">
        <f t="shared" si="91"/>
        <v>6</v>
      </c>
      <c r="AM164" s="144">
        <f t="shared" si="84"/>
        <v>7</v>
      </c>
      <c r="AN164" s="144">
        <f t="shared" si="92"/>
        <v>1</v>
      </c>
      <c r="AO164">
        <f t="shared" si="101"/>
        <v>38</v>
      </c>
      <c r="AP164" s="103">
        <f t="shared" si="93"/>
        <v>38</v>
      </c>
      <c r="AQ164" s="33">
        <f t="shared" si="99"/>
        <v>162</v>
      </c>
    </row>
    <row r="165" spans="1:43" ht="20" thickBot="1">
      <c r="A165" s="33">
        <f t="shared" si="71"/>
        <v>163</v>
      </c>
      <c r="B165">
        <f t="shared" si="94"/>
        <v>6</v>
      </c>
      <c r="C165" s="183">
        <v>163</v>
      </c>
      <c r="D165" s="2" t="s">
        <v>782</v>
      </c>
      <c r="E165" t="s">
        <v>929</v>
      </c>
      <c r="F165" t="s">
        <v>949</v>
      </c>
      <c r="I165" s="31">
        <f t="shared" si="97"/>
        <v>1984</v>
      </c>
      <c r="J165" s="99" t="str">
        <f t="shared" si="98"/>
        <v/>
      </c>
      <c r="K165" s="9" t="str">
        <f t="shared" si="95"/>
        <v>Harriet (163): 1984</v>
      </c>
      <c r="L165" s="8" t="str">
        <f t="shared" si="68"/>
        <v>18/05/1984</v>
      </c>
      <c r="M165" s="8">
        <v>30820</v>
      </c>
      <c r="N165" s="3">
        <v>39921</v>
      </c>
      <c r="O165" s="8"/>
      <c r="P165" s="13">
        <f t="shared" si="100"/>
        <v>163</v>
      </c>
      <c r="Q165" s="19" t="str">
        <f t="shared" si="73"/>
        <v>Harriet (163): 1984–</v>
      </c>
      <c r="R165" s="120">
        <v>119</v>
      </c>
      <c r="S165" s="15" t="str">
        <f t="shared" si="96"/>
        <v>Peter (119): 1942–</v>
      </c>
      <c r="T165" s="38">
        <f t="shared" si="86"/>
        <v>80</v>
      </c>
      <c r="U165" s="37" t="str">
        <f t="shared" si="87"/>
        <v>Eric (80): 1894–1963</v>
      </c>
      <c r="V165" s="27">
        <f t="shared" si="88"/>
        <v>29</v>
      </c>
      <c r="W165" s="28" t="str">
        <f t="shared" si="89"/>
        <v>Arthur (29): 1845–1930</v>
      </c>
      <c r="X165" s="39">
        <f t="shared" si="74"/>
        <v>14</v>
      </c>
      <c r="Y165" s="40" t="str">
        <f t="shared" si="75"/>
        <v>Thomas (14): 1812–1857</v>
      </c>
      <c r="Z165" s="29">
        <f t="shared" si="76"/>
        <v>4</v>
      </c>
      <c r="AA165" s="41" t="str">
        <f t="shared" si="77"/>
        <v>William (4): 1770–1828</v>
      </c>
      <c r="AB165" s="30">
        <f t="shared" si="78"/>
        <v>1</v>
      </c>
      <c r="AC165" s="43" t="str">
        <f t="shared" si="79"/>
        <v>William (1): 1729–1800</v>
      </c>
      <c r="AD165" s="42">
        <f t="shared" si="80"/>
        <v>0</v>
      </c>
      <c r="AE165" s="22" t="str">
        <f t="shared" si="81"/>
        <v>Lewis (0): 1690–1758</v>
      </c>
      <c r="AF165" s="42">
        <f t="shared" si="82"/>
        <v>-1</v>
      </c>
      <c r="AG165" s="22" t="e">
        <f t="shared" si="83"/>
        <v>#N/A</v>
      </c>
      <c r="AH165" s="23" t="s">
        <v>2814</v>
      </c>
      <c r="AI165" s="33" t="s">
        <v>4415</v>
      </c>
      <c r="AJ165" s="264" t="str">
        <f>VLOOKUP(AI165,'Mums of Loyd Edit&amp;Partner Edit'!$B$4:$C$66,2,FALSE)</f>
        <v>Charlotte Ann HEDLEY (b. 13 Sep 1946, )</v>
      </c>
      <c r="AK165" s="33">
        <f t="shared" si="90"/>
        <v>5</v>
      </c>
      <c r="AL165" s="33">
        <f t="shared" si="91"/>
        <v>18</v>
      </c>
      <c r="AM165" s="144">
        <f t="shared" si="84"/>
        <v>7</v>
      </c>
      <c r="AN165" s="144">
        <f t="shared" si="92"/>
        <v>1</v>
      </c>
      <c r="AO165">
        <f t="shared" si="101"/>
        <v>38</v>
      </c>
      <c r="AP165" s="103">
        <f t="shared" si="93"/>
        <v>38</v>
      </c>
      <c r="AQ165" s="33">
        <f t="shared" si="99"/>
        <v>163</v>
      </c>
    </row>
    <row r="166" spans="1:43" ht="20" thickBot="1">
      <c r="A166" s="33">
        <f t="shared" si="71"/>
        <v>164</v>
      </c>
      <c r="B166">
        <f t="shared" si="94"/>
        <v>7</v>
      </c>
      <c r="C166" s="183">
        <v>164</v>
      </c>
      <c r="D166" s="2" t="s">
        <v>950</v>
      </c>
      <c r="E166" t="s">
        <v>951</v>
      </c>
      <c r="F166" t="s">
        <v>867</v>
      </c>
      <c r="I166" s="31">
        <f t="shared" si="97"/>
        <v>1984</v>
      </c>
      <c r="J166" s="99" t="str">
        <f t="shared" si="98"/>
        <v/>
      </c>
      <c r="K166" s="9" t="str">
        <f t="shared" si="95"/>
        <v>Poppy (164): 1984</v>
      </c>
      <c r="L166" s="8" t="str">
        <f t="shared" si="68"/>
        <v>16/12/1984</v>
      </c>
      <c r="M166" s="8">
        <v>31032</v>
      </c>
      <c r="N166" s="3">
        <v>40789</v>
      </c>
      <c r="O166" s="8"/>
      <c r="P166" s="13">
        <f t="shared" si="100"/>
        <v>164</v>
      </c>
      <c r="Q166" s="19" t="str">
        <f t="shared" si="73"/>
        <v>Poppy (164): 1984–</v>
      </c>
      <c r="R166" s="120">
        <v>136</v>
      </c>
      <c r="S166" s="15" t="str">
        <f t="shared" si="96"/>
        <v>Tim (136): 1957–</v>
      </c>
      <c r="T166" s="38">
        <f t="shared" si="86"/>
        <v>94</v>
      </c>
      <c r="U166" s="37" t="str">
        <f t="shared" si="87"/>
        <v>Alwyne (94): 1920–2014</v>
      </c>
      <c r="V166" s="27">
        <f t="shared" si="88"/>
        <v>68</v>
      </c>
      <c r="W166" s="28" t="str">
        <f t="shared" si="89"/>
        <v>Cecil (68): 1890–1963</v>
      </c>
      <c r="X166" s="39">
        <f t="shared" si="74"/>
        <v>45</v>
      </c>
      <c r="Y166" s="40" t="str">
        <f t="shared" si="75"/>
        <v>Llewellyn (45): 1861–1939</v>
      </c>
      <c r="Z166" s="29">
        <f t="shared" si="76"/>
        <v>22</v>
      </c>
      <c r="AA166" s="41" t="str">
        <f t="shared" si="77"/>
        <v>Edward (22): 1820–1890</v>
      </c>
      <c r="AB166" s="30">
        <f t="shared" si="78"/>
        <v>8</v>
      </c>
      <c r="AC166" s="43" t="str">
        <f t="shared" si="79"/>
        <v>Edward (8): 1780–1863</v>
      </c>
      <c r="AD166" s="42">
        <f t="shared" si="80"/>
        <v>1</v>
      </c>
      <c r="AE166" s="22" t="str">
        <f t="shared" si="81"/>
        <v>William (1): 1729–1800</v>
      </c>
      <c r="AF166" s="42">
        <f t="shared" si="82"/>
        <v>0</v>
      </c>
      <c r="AG166" s="22" t="str">
        <f t="shared" si="83"/>
        <v>Lewis (0): 1690–1758</v>
      </c>
      <c r="AH166" s="23" t="s">
        <v>2814</v>
      </c>
      <c r="AI166" s="33" t="s">
        <v>4416</v>
      </c>
      <c r="AJ166" s="264" t="str">
        <f>VLOOKUP(AI166,'Mums of Loyd Edit&amp;Partner Edit'!$B$4:$C$66,2,FALSE)</f>
        <v>Cherry Margaret CORMACK (b. 18 Sep 1956, )</v>
      </c>
      <c r="AK166" s="33">
        <f t="shared" si="90"/>
        <v>12</v>
      </c>
      <c r="AL166" s="33">
        <f t="shared" si="91"/>
        <v>16</v>
      </c>
      <c r="AM166" s="144">
        <f t="shared" si="84"/>
        <v>7</v>
      </c>
      <c r="AN166" s="144">
        <f t="shared" si="92"/>
        <v>1</v>
      </c>
      <c r="AO166">
        <f t="shared" si="101"/>
        <v>37</v>
      </c>
      <c r="AP166" s="103">
        <f t="shared" si="93"/>
        <v>37</v>
      </c>
      <c r="AQ166" s="33">
        <f t="shared" si="99"/>
        <v>164</v>
      </c>
    </row>
    <row r="167" spans="1:43" ht="20" thickBot="1">
      <c r="A167" s="33">
        <f t="shared" si="71"/>
        <v>165</v>
      </c>
      <c r="B167">
        <f t="shared" si="94"/>
        <v>7</v>
      </c>
      <c r="C167" s="183">
        <v>165</v>
      </c>
      <c r="D167" s="2" t="s">
        <v>950</v>
      </c>
      <c r="E167" t="s">
        <v>937</v>
      </c>
      <c r="F167" t="s">
        <v>952</v>
      </c>
      <c r="I167" s="31">
        <f t="shared" si="97"/>
        <v>1986</v>
      </c>
      <c r="J167" s="99" t="str">
        <f t="shared" si="98"/>
        <v/>
      </c>
      <c r="K167" s="9" t="str">
        <f t="shared" si="95"/>
        <v>Rose (165): 1986</v>
      </c>
      <c r="L167" s="8" t="str">
        <f t="shared" si="68"/>
        <v>07/07/1986</v>
      </c>
      <c r="M167" s="8">
        <v>31600</v>
      </c>
      <c r="N167" s="3">
        <v>41811</v>
      </c>
      <c r="O167" s="8"/>
      <c r="P167" s="13">
        <f t="shared" si="100"/>
        <v>165</v>
      </c>
      <c r="Q167" s="19" t="str">
        <f t="shared" si="73"/>
        <v>Rose (165): 1986–</v>
      </c>
      <c r="R167" s="120">
        <v>136</v>
      </c>
      <c r="S167" s="15" t="str">
        <f t="shared" si="96"/>
        <v>Tim (136): 1957–</v>
      </c>
      <c r="T167" s="38">
        <f t="shared" si="86"/>
        <v>94</v>
      </c>
      <c r="U167" s="37" t="str">
        <f t="shared" si="87"/>
        <v>Alwyne (94): 1920–2014</v>
      </c>
      <c r="V167" s="27">
        <f t="shared" si="88"/>
        <v>68</v>
      </c>
      <c r="W167" s="28" t="str">
        <f t="shared" si="89"/>
        <v>Cecil (68): 1890–1963</v>
      </c>
      <c r="X167" s="39">
        <f t="shared" si="74"/>
        <v>45</v>
      </c>
      <c r="Y167" s="40" t="str">
        <f t="shared" si="75"/>
        <v>Llewellyn (45): 1861–1939</v>
      </c>
      <c r="Z167" s="29">
        <f t="shared" si="76"/>
        <v>22</v>
      </c>
      <c r="AA167" s="41" t="str">
        <f t="shared" si="77"/>
        <v>Edward (22): 1820–1890</v>
      </c>
      <c r="AB167" s="30">
        <f t="shared" si="78"/>
        <v>8</v>
      </c>
      <c r="AC167" s="43" t="str">
        <f t="shared" si="79"/>
        <v>Edward (8): 1780–1863</v>
      </c>
      <c r="AD167" s="42">
        <f t="shared" si="80"/>
        <v>1</v>
      </c>
      <c r="AE167" s="22" t="str">
        <f t="shared" si="81"/>
        <v>William (1): 1729–1800</v>
      </c>
      <c r="AF167" s="42">
        <f t="shared" si="82"/>
        <v>0</v>
      </c>
      <c r="AG167" s="22" t="str">
        <f t="shared" si="83"/>
        <v>Lewis (0): 1690–1758</v>
      </c>
      <c r="AH167" s="23" t="s">
        <v>2814</v>
      </c>
      <c r="AI167" s="33" t="s">
        <v>4416</v>
      </c>
      <c r="AJ167" s="264" t="str">
        <f>VLOOKUP(AI167,'Mums of Loyd Edit&amp;Partner Edit'!$B$4:$C$66,2,FALSE)</f>
        <v>Cherry Margaret CORMACK (b. 18 Sep 1956, )</v>
      </c>
      <c r="AK167" s="33">
        <f t="shared" si="90"/>
        <v>7</v>
      </c>
      <c r="AL167" s="33">
        <f t="shared" si="91"/>
        <v>7</v>
      </c>
      <c r="AM167" s="144">
        <f t="shared" si="84"/>
        <v>7</v>
      </c>
      <c r="AN167" s="144">
        <f t="shared" si="92"/>
        <v>1</v>
      </c>
      <c r="AO167">
        <f t="shared" si="101"/>
        <v>35</v>
      </c>
      <c r="AP167" s="103">
        <f t="shared" si="93"/>
        <v>35</v>
      </c>
      <c r="AQ167" s="33">
        <f t="shared" si="99"/>
        <v>165</v>
      </c>
    </row>
    <row r="168" spans="1:43" ht="20" thickBot="1">
      <c r="A168" s="33">
        <f t="shared" si="71"/>
        <v>166</v>
      </c>
      <c r="B168">
        <f t="shared" si="94"/>
        <v>7</v>
      </c>
      <c r="C168" s="183">
        <v>166</v>
      </c>
      <c r="D168" s="2" t="s">
        <v>782</v>
      </c>
      <c r="E168" t="s">
        <v>953</v>
      </c>
      <c r="I168" s="31">
        <f t="shared" si="97"/>
        <v>1988</v>
      </c>
      <c r="J168" s="99" t="str">
        <f t="shared" si="98"/>
        <v/>
      </c>
      <c r="K168" s="9" t="str">
        <f t="shared" si="95"/>
        <v>Gareth (166): 1988</v>
      </c>
      <c r="L168" s="8" t="str">
        <f t="shared" si="68"/>
        <v>24/01/1988</v>
      </c>
      <c r="M168" s="8">
        <v>32166</v>
      </c>
      <c r="O168" s="8"/>
      <c r="P168" s="13">
        <f t="shared" si="100"/>
        <v>166</v>
      </c>
      <c r="Q168" s="19" t="str">
        <f t="shared" si="73"/>
        <v>Gareth (166): 1988–</v>
      </c>
      <c r="R168" s="120">
        <v>130</v>
      </c>
      <c r="S168" s="15" t="str">
        <f t="shared" si="96"/>
        <v>David (130): 1952–</v>
      </c>
      <c r="T168" s="38">
        <f t="shared" si="86"/>
        <v>86</v>
      </c>
      <c r="U168" s="37" t="str">
        <f t="shared" si="87"/>
        <v>Peter (86): 1913–2008</v>
      </c>
      <c r="V168" s="27">
        <f t="shared" si="88"/>
        <v>71</v>
      </c>
      <c r="W168" s="28" t="str">
        <f t="shared" si="89"/>
        <v>Arthur (71): 1890–1974</v>
      </c>
      <c r="X168" s="39">
        <f t="shared" si="74"/>
        <v>34</v>
      </c>
      <c r="Y168" s="40" t="str">
        <f t="shared" si="75"/>
        <v>Ted (34): 1851–1922</v>
      </c>
      <c r="Z168" s="29">
        <f t="shared" si="76"/>
        <v>14</v>
      </c>
      <c r="AA168" s="41" t="str">
        <f t="shared" si="77"/>
        <v>Thomas (14): 1812–1857</v>
      </c>
      <c r="AB168" s="30">
        <f t="shared" si="78"/>
        <v>4</v>
      </c>
      <c r="AC168" s="43" t="str">
        <f t="shared" si="79"/>
        <v>William (4): 1770–1828</v>
      </c>
      <c r="AD168" s="42">
        <f t="shared" si="80"/>
        <v>1</v>
      </c>
      <c r="AE168" s="22" t="str">
        <f t="shared" si="81"/>
        <v>William (1): 1729–1800</v>
      </c>
      <c r="AF168" s="42">
        <f t="shared" si="82"/>
        <v>0</v>
      </c>
      <c r="AG168" s="22" t="str">
        <f t="shared" si="83"/>
        <v>Lewis (0): 1690–1758</v>
      </c>
      <c r="AH168" s="23" t="s">
        <v>2815</v>
      </c>
      <c r="AI168" s="33" t="s">
        <v>4417</v>
      </c>
      <c r="AJ168" s="264" t="str">
        <f>VLOOKUP(AI168,'Mums of Loyd Edit&amp;Partner Edit'!$B$4:$C$66,2,FALSE)</f>
        <v>Jacqueline Mary HERMAN (b. 4 Nov 1955, )</v>
      </c>
      <c r="AK168" s="33">
        <f t="shared" si="90"/>
        <v>1</v>
      </c>
      <c r="AL168" s="33">
        <f t="shared" si="91"/>
        <v>24</v>
      </c>
      <c r="AM168" s="144">
        <f t="shared" si="84"/>
        <v>7</v>
      </c>
      <c r="AN168" s="144">
        <f t="shared" si="92"/>
        <v>1</v>
      </c>
      <c r="AO168">
        <f t="shared" si="101"/>
        <v>34</v>
      </c>
      <c r="AP168" s="103">
        <f t="shared" si="93"/>
        <v>34</v>
      </c>
      <c r="AQ168" s="33">
        <f t="shared" si="99"/>
        <v>166</v>
      </c>
    </row>
    <row r="169" spans="1:43" ht="20" thickBot="1">
      <c r="A169" s="33">
        <f t="shared" si="71"/>
        <v>167</v>
      </c>
      <c r="B169">
        <f t="shared" si="94"/>
        <v>7</v>
      </c>
      <c r="C169" s="183">
        <v>167</v>
      </c>
      <c r="D169" s="2" t="s">
        <v>782</v>
      </c>
      <c r="E169" t="s">
        <v>925</v>
      </c>
      <c r="F169" t="s">
        <v>811</v>
      </c>
      <c r="H169" t="s">
        <v>1196</v>
      </c>
      <c r="I169" s="31">
        <f t="shared" si="97"/>
        <v>1988</v>
      </c>
      <c r="J169" s="99" t="str">
        <f t="shared" si="98"/>
        <v/>
      </c>
      <c r="K169" s="9" t="str">
        <f t="shared" si="95"/>
        <v>Ben (167): 1988</v>
      </c>
      <c r="L169" s="8" t="str">
        <f t="shared" si="68"/>
        <v>11/03/1988</v>
      </c>
      <c r="M169" s="8">
        <v>32213</v>
      </c>
      <c r="N169" s="3">
        <v>43303</v>
      </c>
      <c r="O169" s="8"/>
      <c r="P169" s="13">
        <f t="shared" si="100"/>
        <v>167</v>
      </c>
      <c r="Q169" s="19" t="str">
        <f t="shared" si="73"/>
        <v>Ben (167): 1988–</v>
      </c>
      <c r="R169" s="120">
        <v>131</v>
      </c>
      <c r="S169" s="15" t="str">
        <f t="shared" si="96"/>
        <v>Dominic (131): 1953–</v>
      </c>
      <c r="T169" s="38">
        <f t="shared" si="86"/>
        <v>94</v>
      </c>
      <c r="U169" s="37" t="str">
        <f t="shared" si="87"/>
        <v>Alwyne (94): 1920–2014</v>
      </c>
      <c r="V169" s="27">
        <f t="shared" si="88"/>
        <v>68</v>
      </c>
      <c r="W169" s="28" t="str">
        <f t="shared" si="89"/>
        <v>Cecil (68): 1890–1963</v>
      </c>
      <c r="X169" s="39">
        <f t="shared" si="74"/>
        <v>45</v>
      </c>
      <c r="Y169" s="40" t="str">
        <f t="shared" si="75"/>
        <v>Llewellyn (45): 1861–1939</v>
      </c>
      <c r="Z169" s="29">
        <f t="shared" si="76"/>
        <v>22</v>
      </c>
      <c r="AA169" s="41" t="str">
        <f t="shared" si="77"/>
        <v>Edward (22): 1820–1890</v>
      </c>
      <c r="AB169" s="30">
        <f t="shared" si="78"/>
        <v>8</v>
      </c>
      <c r="AC169" s="43" t="str">
        <f t="shared" si="79"/>
        <v>Edward (8): 1780–1863</v>
      </c>
      <c r="AD169" s="42">
        <f t="shared" si="80"/>
        <v>1</v>
      </c>
      <c r="AE169" s="22" t="str">
        <f t="shared" si="81"/>
        <v>William (1): 1729–1800</v>
      </c>
      <c r="AF169" s="42">
        <f t="shared" si="82"/>
        <v>0</v>
      </c>
      <c r="AG169" s="22" t="str">
        <f t="shared" si="83"/>
        <v>Lewis (0): 1690–1758</v>
      </c>
      <c r="AH169" s="23" t="s">
        <v>2815</v>
      </c>
      <c r="AI169" s="33" t="s">
        <v>4414</v>
      </c>
      <c r="AJ169" s="264" t="str">
        <f>VLOOKUP(AI169,'Mums of Loyd Edit&amp;Partner Edit'!$B$4:$C$66,2,FALSE)</f>
        <v>Karina Lesley BOYCE (b. 22 Apr 1954, )</v>
      </c>
      <c r="AK169" s="33">
        <f t="shared" si="90"/>
        <v>3</v>
      </c>
      <c r="AL169" s="33">
        <f t="shared" si="91"/>
        <v>11</v>
      </c>
      <c r="AM169" s="144">
        <f t="shared" si="84"/>
        <v>7</v>
      </c>
      <c r="AN169" s="144">
        <f t="shared" si="92"/>
        <v>1</v>
      </c>
      <c r="AO169">
        <f t="shared" si="101"/>
        <v>34</v>
      </c>
      <c r="AP169" s="103">
        <f t="shared" si="93"/>
        <v>34</v>
      </c>
      <c r="AQ169" s="33">
        <f t="shared" si="99"/>
        <v>167</v>
      </c>
    </row>
    <row r="170" spans="1:43" ht="20" thickBot="1">
      <c r="A170" s="33">
        <f t="shared" si="71"/>
        <v>168</v>
      </c>
      <c r="B170">
        <f t="shared" si="94"/>
        <v>7</v>
      </c>
      <c r="C170" s="183">
        <v>168</v>
      </c>
      <c r="D170" s="2" t="s">
        <v>782</v>
      </c>
      <c r="E170" t="s">
        <v>954</v>
      </c>
      <c r="F170" t="s">
        <v>870</v>
      </c>
      <c r="I170" s="31">
        <f t="shared" si="97"/>
        <v>1988</v>
      </c>
      <c r="J170" s="99" t="str">
        <f t="shared" si="98"/>
        <v/>
      </c>
      <c r="K170" s="9" t="str">
        <f t="shared" si="95"/>
        <v>Camilla (168): 1988</v>
      </c>
      <c r="L170" s="8" t="str">
        <f t="shared" si="68"/>
        <v>31/05/1988</v>
      </c>
      <c r="M170" s="8">
        <v>32294</v>
      </c>
      <c r="N170" s="3">
        <v>43666</v>
      </c>
      <c r="O170" s="8"/>
      <c r="P170" s="13">
        <f t="shared" si="100"/>
        <v>168</v>
      </c>
      <c r="Q170" s="19" t="str">
        <f t="shared" si="73"/>
        <v>Camilla (168): 1988–</v>
      </c>
      <c r="R170" s="120">
        <v>138</v>
      </c>
      <c r="S170" s="15" t="str">
        <f t="shared" si="96"/>
        <v>Thomas (138): 1959–</v>
      </c>
      <c r="T170" s="38">
        <f t="shared" si="86"/>
        <v>100</v>
      </c>
      <c r="U170" s="37" t="str">
        <f t="shared" si="87"/>
        <v>Christopher (100): 1923–2013</v>
      </c>
      <c r="V170" s="27">
        <f t="shared" si="88"/>
        <v>56</v>
      </c>
      <c r="W170" s="28" t="str">
        <f t="shared" si="89"/>
        <v>Tommy (56): 1882–1944</v>
      </c>
      <c r="X170" s="39">
        <f t="shared" si="74"/>
        <v>28</v>
      </c>
      <c r="Y170" s="40" t="str">
        <f t="shared" si="75"/>
        <v>The Rev Lewis (28): 1844–1905</v>
      </c>
      <c r="Z170" s="29">
        <f t="shared" si="76"/>
        <v>14</v>
      </c>
      <c r="AA170" s="41" t="str">
        <f t="shared" si="77"/>
        <v>Thomas (14): 1812–1857</v>
      </c>
      <c r="AB170" s="30">
        <f t="shared" si="78"/>
        <v>4</v>
      </c>
      <c r="AC170" s="43" t="str">
        <f t="shared" si="79"/>
        <v>William (4): 1770–1828</v>
      </c>
      <c r="AD170" s="42">
        <f t="shared" si="80"/>
        <v>1</v>
      </c>
      <c r="AE170" s="22" t="str">
        <f t="shared" si="81"/>
        <v>William (1): 1729–1800</v>
      </c>
      <c r="AF170" s="42">
        <f t="shared" si="82"/>
        <v>0</v>
      </c>
      <c r="AG170" s="22" t="str">
        <f t="shared" si="83"/>
        <v>Lewis (0): 1690–1758</v>
      </c>
      <c r="AH170" s="23" t="s">
        <v>2814</v>
      </c>
      <c r="AI170" s="33" t="s">
        <v>4418</v>
      </c>
      <c r="AJ170" s="264" t="str">
        <f>VLOOKUP(AI170,'Mums of Loyd Edit&amp;Partner Edit'!$B$4:$C$66,2,FALSE)</f>
        <v>Kirsten Mary WROUGHTON (b. 12 Dec 1959, )</v>
      </c>
      <c r="AK170" s="33">
        <f t="shared" si="90"/>
        <v>5</v>
      </c>
      <c r="AL170" s="33">
        <f t="shared" si="91"/>
        <v>31</v>
      </c>
      <c r="AM170" s="144">
        <f t="shared" si="84"/>
        <v>7</v>
      </c>
      <c r="AN170" s="144">
        <f t="shared" si="92"/>
        <v>1</v>
      </c>
      <c r="AO170">
        <f t="shared" si="101"/>
        <v>34</v>
      </c>
      <c r="AP170" s="103">
        <f t="shared" si="93"/>
        <v>34</v>
      </c>
      <c r="AQ170" s="33">
        <f t="shared" si="99"/>
        <v>168</v>
      </c>
    </row>
    <row r="171" spans="1:43" ht="36" thickBot="1">
      <c r="A171" s="33">
        <f t="shared" si="71"/>
        <v>169</v>
      </c>
      <c r="B171">
        <f t="shared" si="94"/>
        <v>7</v>
      </c>
      <c r="C171" s="183">
        <v>169</v>
      </c>
      <c r="D171" s="2" t="s">
        <v>782</v>
      </c>
      <c r="E171" t="s">
        <v>918</v>
      </c>
      <c r="F171" t="s">
        <v>860</v>
      </c>
      <c r="I171" s="31">
        <f t="shared" si="97"/>
        <v>1988</v>
      </c>
      <c r="J171" s="99" t="str">
        <f t="shared" si="98"/>
        <v/>
      </c>
      <c r="K171" s="9" t="str">
        <f t="shared" si="95"/>
        <v>James (169): 1988</v>
      </c>
      <c r="L171" s="8" t="str">
        <f t="shared" si="68"/>
        <v>01/09/1988</v>
      </c>
      <c r="M171" s="8">
        <v>32387</v>
      </c>
      <c r="O171" s="8"/>
      <c r="P171" s="13">
        <f t="shared" si="100"/>
        <v>169</v>
      </c>
      <c r="Q171" s="19" t="str">
        <f t="shared" si="73"/>
        <v>James (169): 1988–</v>
      </c>
      <c r="R171" s="120">
        <v>121</v>
      </c>
      <c r="S171" s="15" t="str">
        <f t="shared" si="96"/>
        <v>David (121): 1949–</v>
      </c>
      <c r="T171" s="38">
        <f t="shared" si="86"/>
        <v>96</v>
      </c>
      <c r="U171" s="37" t="str">
        <f t="shared" si="87"/>
        <v>Edward (96): 1921–1977</v>
      </c>
      <c r="V171" s="27">
        <f t="shared" si="88"/>
        <v>66</v>
      </c>
      <c r="W171" s="28" t="str">
        <f t="shared" si="89"/>
        <v>William (66): 1889–1947</v>
      </c>
      <c r="X171" s="39">
        <f t="shared" si="74"/>
        <v>44</v>
      </c>
      <c r="Y171" s="40" t="str">
        <f t="shared" si="75"/>
        <v>Harry (44): 1861–1938</v>
      </c>
      <c r="Z171" s="29">
        <f t="shared" si="76"/>
        <v>23</v>
      </c>
      <c r="AA171" s="41" t="str">
        <f t="shared" si="77"/>
        <v>William (23): 1821–1885</v>
      </c>
      <c r="AB171" s="30">
        <f t="shared" si="78"/>
        <v>8</v>
      </c>
      <c r="AC171" s="43" t="str">
        <f t="shared" si="79"/>
        <v>Edward (8): 1780–1863</v>
      </c>
      <c r="AD171" s="42">
        <f t="shared" si="80"/>
        <v>1</v>
      </c>
      <c r="AE171" s="22" t="str">
        <f t="shared" si="81"/>
        <v>William (1): 1729–1800</v>
      </c>
      <c r="AF171" s="42">
        <f t="shared" si="82"/>
        <v>0</v>
      </c>
      <c r="AG171" s="22" t="str">
        <f t="shared" si="83"/>
        <v>Lewis (0): 1690–1758</v>
      </c>
      <c r="AH171" s="23" t="s">
        <v>2815</v>
      </c>
      <c r="AI171" s="33" t="s">
        <v>4419</v>
      </c>
      <c r="AJ171" s="264" t="str">
        <f>VLOOKUP(AI171,'Mums of Loyd Edit&amp;Partner Edit'!$B$4:$C$66,2,FALSE)</f>
        <v>Mrs Anabel Laura Dorothy STAPLETON (b. 31 Dec 1955, )</v>
      </c>
      <c r="AK171" s="33">
        <f t="shared" si="90"/>
        <v>9</v>
      </c>
      <c r="AL171" s="33">
        <f t="shared" si="91"/>
        <v>1</v>
      </c>
      <c r="AM171" s="144">
        <f t="shared" si="84"/>
        <v>7</v>
      </c>
      <c r="AN171" s="144">
        <f t="shared" si="92"/>
        <v>1</v>
      </c>
      <c r="AO171">
        <f t="shared" si="101"/>
        <v>33</v>
      </c>
      <c r="AP171" s="103">
        <f t="shared" si="93"/>
        <v>33</v>
      </c>
      <c r="AQ171" s="33">
        <f t="shared" si="99"/>
        <v>169</v>
      </c>
    </row>
    <row r="172" spans="1:43" ht="20" thickBot="1">
      <c r="A172" s="33">
        <f t="shared" si="71"/>
        <v>170</v>
      </c>
      <c r="B172">
        <f t="shared" si="94"/>
        <v>7</v>
      </c>
      <c r="C172" s="183">
        <v>170</v>
      </c>
      <c r="D172" s="2" t="s">
        <v>782</v>
      </c>
      <c r="E172" t="s">
        <v>938</v>
      </c>
      <c r="F172" t="s">
        <v>937</v>
      </c>
      <c r="I172" s="31">
        <f t="shared" si="97"/>
        <v>1989</v>
      </c>
      <c r="J172" s="99" t="str">
        <f t="shared" si="98"/>
        <v/>
      </c>
      <c r="K172" s="9" t="str">
        <f t="shared" si="95"/>
        <v>Sophie (170): 1989</v>
      </c>
      <c r="L172" s="8" t="str">
        <f t="shared" si="68"/>
        <v>02/12/1989</v>
      </c>
      <c r="M172" s="8">
        <v>32844</v>
      </c>
      <c r="N172" s="3">
        <v>44184</v>
      </c>
      <c r="O172" s="8"/>
      <c r="P172" s="13">
        <f t="shared" si="100"/>
        <v>170</v>
      </c>
      <c r="Q172" s="19" t="str">
        <f t="shared" si="73"/>
        <v>Sophie (170): 1989–</v>
      </c>
      <c r="R172" s="120">
        <v>138</v>
      </c>
      <c r="S172" s="15" t="str">
        <f t="shared" si="96"/>
        <v>Thomas (138): 1959–</v>
      </c>
      <c r="T172" s="38">
        <f t="shared" si="86"/>
        <v>100</v>
      </c>
      <c r="U172" s="37" t="str">
        <f t="shared" si="87"/>
        <v>Christopher (100): 1923–2013</v>
      </c>
      <c r="V172" s="27">
        <f t="shared" si="88"/>
        <v>56</v>
      </c>
      <c r="W172" s="28" t="str">
        <f t="shared" si="89"/>
        <v>Tommy (56): 1882–1944</v>
      </c>
      <c r="X172" s="39">
        <f t="shared" si="74"/>
        <v>28</v>
      </c>
      <c r="Y172" s="40" t="str">
        <f t="shared" si="75"/>
        <v>The Rev Lewis (28): 1844–1905</v>
      </c>
      <c r="Z172" s="29">
        <f t="shared" si="76"/>
        <v>14</v>
      </c>
      <c r="AA172" s="41" t="str">
        <f t="shared" si="77"/>
        <v>Thomas (14): 1812–1857</v>
      </c>
      <c r="AB172" s="30">
        <f t="shared" si="78"/>
        <v>4</v>
      </c>
      <c r="AC172" s="43" t="str">
        <f t="shared" si="79"/>
        <v>William (4): 1770–1828</v>
      </c>
      <c r="AD172" s="42">
        <f t="shared" si="80"/>
        <v>1</v>
      </c>
      <c r="AE172" s="22" t="str">
        <f t="shared" si="81"/>
        <v>William (1): 1729–1800</v>
      </c>
      <c r="AF172" s="42">
        <f t="shared" si="82"/>
        <v>0</v>
      </c>
      <c r="AG172" s="22" t="str">
        <f t="shared" si="83"/>
        <v>Lewis (0): 1690–1758</v>
      </c>
      <c r="AH172" s="23" t="s">
        <v>2814</v>
      </c>
      <c r="AI172" s="33" t="s">
        <v>4418</v>
      </c>
      <c r="AJ172" s="264" t="str">
        <f>VLOOKUP(AI172,'Mums of Loyd Edit&amp;Partner Edit'!$B$4:$C$66,2,FALSE)</f>
        <v>Kirsten Mary WROUGHTON (b. 12 Dec 1959, )</v>
      </c>
      <c r="AK172" s="33">
        <f t="shared" si="90"/>
        <v>12</v>
      </c>
      <c r="AL172" s="33">
        <f t="shared" si="91"/>
        <v>2</v>
      </c>
      <c r="AM172" s="144">
        <f t="shared" si="84"/>
        <v>7</v>
      </c>
      <c r="AN172" s="144">
        <f t="shared" si="92"/>
        <v>1</v>
      </c>
      <c r="AO172">
        <f t="shared" si="101"/>
        <v>32</v>
      </c>
      <c r="AP172" s="103">
        <f t="shared" si="93"/>
        <v>32</v>
      </c>
      <c r="AQ172" s="33">
        <f t="shared" si="99"/>
        <v>170</v>
      </c>
    </row>
    <row r="173" spans="1:43" ht="36" thickBot="1">
      <c r="A173" s="33">
        <f t="shared" si="71"/>
        <v>171</v>
      </c>
      <c r="B173">
        <f t="shared" si="94"/>
        <v>7</v>
      </c>
      <c r="C173" s="183">
        <v>171</v>
      </c>
      <c r="D173" s="2" t="s">
        <v>782</v>
      </c>
      <c r="E173" t="s">
        <v>971</v>
      </c>
      <c r="F173" t="s">
        <v>917</v>
      </c>
      <c r="G173" t="s">
        <v>833</v>
      </c>
      <c r="I173" s="31">
        <f t="shared" si="97"/>
        <v>1990</v>
      </c>
      <c r="J173" s="99" t="str">
        <f t="shared" si="98"/>
        <v/>
      </c>
      <c r="K173" s="9" t="str">
        <f t="shared" si="95"/>
        <v>Rupert (171): 1990</v>
      </c>
      <c r="L173" s="8" t="str">
        <f t="shared" ref="L173:L192" si="102">TEXT(M173,"dd/mm/yyyy")</f>
        <v>08/02/1990</v>
      </c>
      <c r="M173" s="8">
        <v>32912</v>
      </c>
      <c r="O173" s="8"/>
      <c r="P173" s="13">
        <f t="shared" si="100"/>
        <v>171</v>
      </c>
      <c r="Q173" s="19" t="str">
        <f t="shared" si="73"/>
        <v>Rupert (171): 1990–</v>
      </c>
      <c r="R173" s="120">
        <v>121</v>
      </c>
      <c r="S173" s="15" t="str">
        <f t="shared" si="96"/>
        <v>David (121): 1949–</v>
      </c>
      <c r="T173" s="38">
        <f t="shared" si="86"/>
        <v>96</v>
      </c>
      <c r="U173" s="37" t="str">
        <f t="shared" si="87"/>
        <v>Edward (96): 1921–1977</v>
      </c>
      <c r="V173" s="27">
        <f t="shared" si="88"/>
        <v>66</v>
      </c>
      <c r="W173" s="28" t="str">
        <f t="shared" si="89"/>
        <v>William (66): 1889–1947</v>
      </c>
      <c r="X173" s="39">
        <f t="shared" si="74"/>
        <v>44</v>
      </c>
      <c r="Y173" s="40" t="str">
        <f t="shared" si="75"/>
        <v>Harry (44): 1861–1938</v>
      </c>
      <c r="Z173" s="29">
        <f t="shared" si="76"/>
        <v>23</v>
      </c>
      <c r="AA173" s="41" t="str">
        <f t="shared" si="77"/>
        <v>William (23): 1821–1885</v>
      </c>
      <c r="AB173" s="30">
        <f t="shared" si="78"/>
        <v>8</v>
      </c>
      <c r="AC173" s="43" t="str">
        <f t="shared" si="79"/>
        <v>Edward (8): 1780–1863</v>
      </c>
      <c r="AD173" s="42">
        <f t="shared" si="80"/>
        <v>1</v>
      </c>
      <c r="AE173" s="22" t="str">
        <f t="shared" si="81"/>
        <v>William (1): 1729–1800</v>
      </c>
      <c r="AF173" s="42">
        <f t="shared" si="82"/>
        <v>0</v>
      </c>
      <c r="AG173" s="22" t="str">
        <f t="shared" si="83"/>
        <v>Lewis (0): 1690–1758</v>
      </c>
      <c r="AH173" s="23" t="s">
        <v>2815</v>
      </c>
      <c r="AI173" s="33" t="s">
        <v>4419</v>
      </c>
      <c r="AJ173" s="264" t="str">
        <f>VLOOKUP(AI173,'Mums of Loyd Edit&amp;Partner Edit'!$B$4:$C$66,2,FALSE)</f>
        <v>Mrs Anabel Laura Dorothy STAPLETON (b. 31 Dec 1955, )</v>
      </c>
      <c r="AK173" s="33">
        <f t="shared" si="90"/>
        <v>2</v>
      </c>
      <c r="AL173" s="33">
        <f t="shared" si="91"/>
        <v>8</v>
      </c>
      <c r="AM173" s="144">
        <f t="shared" si="84"/>
        <v>7</v>
      </c>
      <c r="AN173" s="144">
        <f t="shared" si="92"/>
        <v>1</v>
      </c>
      <c r="AO173">
        <f t="shared" si="101"/>
        <v>32</v>
      </c>
      <c r="AP173" s="103">
        <f t="shared" si="93"/>
        <v>32</v>
      </c>
      <c r="AQ173" s="33">
        <f t="shared" si="99"/>
        <v>171</v>
      </c>
    </row>
    <row r="174" spans="1:43" ht="20" thickBot="1">
      <c r="A174" s="33">
        <f t="shared" si="71"/>
        <v>172</v>
      </c>
      <c r="B174">
        <f t="shared" si="94"/>
        <v>7</v>
      </c>
      <c r="C174" s="183">
        <v>172</v>
      </c>
      <c r="D174" s="2" t="s">
        <v>950</v>
      </c>
      <c r="E174" t="s">
        <v>972</v>
      </c>
      <c r="F174" t="s">
        <v>973</v>
      </c>
      <c r="I174" s="31">
        <f t="shared" si="97"/>
        <v>1991</v>
      </c>
      <c r="J174" s="99" t="str">
        <f t="shared" si="98"/>
        <v/>
      </c>
      <c r="K174" s="9" t="str">
        <f t="shared" si="95"/>
        <v>Florina (172): 1991</v>
      </c>
      <c r="L174" s="8" t="str">
        <f t="shared" si="102"/>
        <v>25/12/1991</v>
      </c>
      <c r="M174" s="8">
        <v>33597</v>
      </c>
      <c r="O174" s="8"/>
      <c r="P174" s="13">
        <f t="shared" si="100"/>
        <v>172</v>
      </c>
      <c r="Q174" s="19" t="str">
        <f t="shared" si="73"/>
        <v>Florina (172): 1991–</v>
      </c>
      <c r="R174" s="120">
        <v>136</v>
      </c>
      <c r="S174" s="15" t="str">
        <f t="shared" si="96"/>
        <v>Tim (136): 1957–</v>
      </c>
      <c r="T174" s="38">
        <f t="shared" si="86"/>
        <v>94</v>
      </c>
      <c r="U174" s="37" t="str">
        <f t="shared" si="87"/>
        <v>Alwyne (94): 1920–2014</v>
      </c>
      <c r="V174" s="27">
        <f t="shared" si="88"/>
        <v>68</v>
      </c>
      <c r="W174" s="28" t="str">
        <f t="shared" si="89"/>
        <v>Cecil (68): 1890–1963</v>
      </c>
      <c r="X174" s="39">
        <f t="shared" si="74"/>
        <v>45</v>
      </c>
      <c r="Y174" s="40" t="str">
        <f t="shared" si="75"/>
        <v>Llewellyn (45): 1861–1939</v>
      </c>
      <c r="Z174" s="29">
        <f t="shared" si="76"/>
        <v>22</v>
      </c>
      <c r="AA174" s="41" t="str">
        <f t="shared" si="77"/>
        <v>Edward (22): 1820–1890</v>
      </c>
      <c r="AB174" s="30">
        <f t="shared" si="78"/>
        <v>8</v>
      </c>
      <c r="AC174" s="43" t="str">
        <f t="shared" si="79"/>
        <v>Edward (8): 1780–1863</v>
      </c>
      <c r="AD174" s="42">
        <f t="shared" si="80"/>
        <v>1</v>
      </c>
      <c r="AE174" s="22" t="str">
        <f t="shared" si="81"/>
        <v>William (1): 1729–1800</v>
      </c>
      <c r="AF174" s="42">
        <f t="shared" si="82"/>
        <v>0</v>
      </c>
      <c r="AG174" s="22" t="str">
        <f t="shared" si="83"/>
        <v>Lewis (0): 1690–1758</v>
      </c>
      <c r="AH174" s="23" t="s">
        <v>2814</v>
      </c>
      <c r="AI174" s="33" t="s">
        <v>4416</v>
      </c>
      <c r="AJ174" s="264" t="str">
        <f>VLOOKUP(AI174,'Mums of Loyd Edit&amp;Partner Edit'!$B$4:$C$66,2,FALSE)</f>
        <v>Cherry Margaret CORMACK (b. 18 Sep 1956, )</v>
      </c>
      <c r="AK174" s="33">
        <f t="shared" si="90"/>
        <v>12</v>
      </c>
      <c r="AL174" s="33">
        <f t="shared" si="91"/>
        <v>25</v>
      </c>
      <c r="AM174" s="144">
        <f t="shared" si="84"/>
        <v>7</v>
      </c>
      <c r="AN174" s="144">
        <f t="shared" si="92"/>
        <v>1</v>
      </c>
      <c r="AO174">
        <f t="shared" si="101"/>
        <v>30</v>
      </c>
      <c r="AP174" s="103">
        <f t="shared" si="93"/>
        <v>30</v>
      </c>
      <c r="AQ174" s="33">
        <f t="shared" si="99"/>
        <v>172</v>
      </c>
    </row>
    <row r="175" spans="1:43" ht="20" thickBot="1">
      <c r="A175" s="33">
        <f t="shared" si="71"/>
        <v>173</v>
      </c>
      <c r="B175">
        <f t="shared" si="94"/>
        <v>7</v>
      </c>
      <c r="C175" s="183">
        <v>173</v>
      </c>
      <c r="D175" s="2" t="s">
        <v>782</v>
      </c>
      <c r="E175" t="s">
        <v>974</v>
      </c>
      <c r="I175" s="31">
        <f t="shared" si="97"/>
        <v>1992</v>
      </c>
      <c r="J175" s="99" t="str">
        <f t="shared" si="98"/>
        <v/>
      </c>
      <c r="K175" s="9" t="str">
        <f t="shared" si="95"/>
        <v>Curtis (173): 1992</v>
      </c>
      <c r="L175" s="8" t="str">
        <f t="shared" si="102"/>
        <v>04/01/1992</v>
      </c>
      <c r="M175" s="8">
        <v>33607</v>
      </c>
      <c r="N175" s="3">
        <v>44784</v>
      </c>
      <c r="O175" s="8"/>
      <c r="P175" s="13">
        <f t="shared" si="100"/>
        <v>173</v>
      </c>
      <c r="Q175" s="19" t="str">
        <f t="shared" si="73"/>
        <v>Curtis (173): 1992–</v>
      </c>
      <c r="R175" s="120">
        <v>135</v>
      </c>
      <c r="S175" s="15" t="str">
        <f t="shared" si="96"/>
        <v>Jim (135): 1955–</v>
      </c>
      <c r="T175" s="38">
        <f t="shared" si="86"/>
        <v>86</v>
      </c>
      <c r="U175" s="37" t="str">
        <f t="shared" si="87"/>
        <v>Peter (86): 1913–2008</v>
      </c>
      <c r="V175" s="27">
        <f t="shared" si="88"/>
        <v>71</v>
      </c>
      <c r="W175" s="28" t="str">
        <f t="shared" si="89"/>
        <v>Arthur (71): 1890–1974</v>
      </c>
      <c r="X175" s="39">
        <f t="shared" si="74"/>
        <v>34</v>
      </c>
      <c r="Y175" s="40" t="str">
        <f t="shared" si="75"/>
        <v>Ted (34): 1851–1922</v>
      </c>
      <c r="Z175" s="29">
        <f t="shared" si="76"/>
        <v>14</v>
      </c>
      <c r="AA175" s="41" t="str">
        <f t="shared" si="77"/>
        <v>Thomas (14): 1812–1857</v>
      </c>
      <c r="AB175" s="30">
        <f t="shared" si="78"/>
        <v>4</v>
      </c>
      <c r="AC175" s="43" t="str">
        <f t="shared" si="79"/>
        <v>William (4): 1770–1828</v>
      </c>
      <c r="AD175" s="42">
        <f t="shared" si="80"/>
        <v>1</v>
      </c>
      <c r="AE175" s="22" t="str">
        <f t="shared" si="81"/>
        <v>William (1): 1729–1800</v>
      </c>
      <c r="AF175" s="42">
        <f t="shared" si="82"/>
        <v>0</v>
      </c>
      <c r="AG175" s="22" t="str">
        <f t="shared" si="83"/>
        <v>Lewis (0): 1690–1758</v>
      </c>
      <c r="AH175" s="23" t="s">
        <v>2815</v>
      </c>
      <c r="AI175" s="33" t="s">
        <v>4420</v>
      </c>
      <c r="AJ175" s="264" t="str">
        <f>VLOOKUP(AI175,'Mums of Loyd Edit&amp;Partner Edit'!$B$4:$C$66,2,FALSE)</f>
        <v>Brenda POW (b. 23 Aug 1964, )</v>
      </c>
      <c r="AK175" s="33">
        <f t="shared" si="90"/>
        <v>1</v>
      </c>
      <c r="AL175" s="33">
        <f t="shared" si="91"/>
        <v>4</v>
      </c>
      <c r="AM175" s="144">
        <f t="shared" si="84"/>
        <v>7</v>
      </c>
      <c r="AN175" s="144">
        <f t="shared" si="92"/>
        <v>1</v>
      </c>
      <c r="AO175">
        <f t="shared" si="101"/>
        <v>30</v>
      </c>
      <c r="AP175" s="103">
        <f t="shared" si="93"/>
        <v>30</v>
      </c>
      <c r="AQ175" s="33">
        <f t="shared" si="99"/>
        <v>173</v>
      </c>
    </row>
    <row r="176" spans="1:43" ht="36" thickBot="1">
      <c r="A176" s="33">
        <f t="shared" si="71"/>
        <v>174</v>
      </c>
      <c r="B176">
        <f t="shared" si="94"/>
        <v>7</v>
      </c>
      <c r="C176" s="183">
        <v>174</v>
      </c>
      <c r="D176" s="2" t="s">
        <v>782</v>
      </c>
      <c r="E176" t="s">
        <v>975</v>
      </c>
      <c r="F176" t="s">
        <v>976</v>
      </c>
      <c r="G176" t="s">
        <v>870</v>
      </c>
      <c r="I176" s="31">
        <f t="shared" si="97"/>
        <v>1992</v>
      </c>
      <c r="J176" s="99" t="str">
        <f t="shared" si="98"/>
        <v/>
      </c>
      <c r="K176" s="9" t="str">
        <f t="shared" si="95"/>
        <v>Tabitha (174): 1992</v>
      </c>
      <c r="L176" s="8" t="str">
        <f t="shared" si="102"/>
        <v>14/11/1992</v>
      </c>
      <c r="M176" s="8">
        <v>33922</v>
      </c>
      <c r="O176" s="8"/>
      <c r="P176" s="13">
        <f t="shared" si="100"/>
        <v>174</v>
      </c>
      <c r="Q176" s="19" t="str">
        <f t="shared" si="73"/>
        <v>Tabitha (174): 1992–</v>
      </c>
      <c r="R176" s="120">
        <v>121</v>
      </c>
      <c r="S176" s="15" t="str">
        <f t="shared" si="96"/>
        <v>David (121): 1949–</v>
      </c>
      <c r="T176" s="38">
        <f t="shared" si="86"/>
        <v>96</v>
      </c>
      <c r="U176" s="37" t="str">
        <f t="shared" si="87"/>
        <v>Edward (96): 1921–1977</v>
      </c>
      <c r="V176" s="27">
        <f t="shared" si="88"/>
        <v>66</v>
      </c>
      <c r="W176" s="28" t="str">
        <f t="shared" si="89"/>
        <v>William (66): 1889–1947</v>
      </c>
      <c r="X176" s="39">
        <f t="shared" si="74"/>
        <v>44</v>
      </c>
      <c r="Y176" s="40" t="str">
        <f t="shared" si="75"/>
        <v>Harry (44): 1861–1938</v>
      </c>
      <c r="Z176" s="29">
        <f t="shared" si="76"/>
        <v>23</v>
      </c>
      <c r="AA176" s="41" t="str">
        <f t="shared" si="77"/>
        <v>William (23): 1821–1885</v>
      </c>
      <c r="AB176" s="30">
        <f t="shared" si="78"/>
        <v>8</v>
      </c>
      <c r="AC176" s="43" t="str">
        <f t="shared" si="79"/>
        <v>Edward (8): 1780–1863</v>
      </c>
      <c r="AD176" s="42">
        <f t="shared" si="80"/>
        <v>1</v>
      </c>
      <c r="AE176" s="22" t="str">
        <f t="shared" si="81"/>
        <v>William (1): 1729–1800</v>
      </c>
      <c r="AF176" s="42">
        <f t="shared" si="82"/>
        <v>0</v>
      </c>
      <c r="AG176" s="22" t="str">
        <f t="shared" si="83"/>
        <v>Lewis (0): 1690–1758</v>
      </c>
      <c r="AH176" s="23" t="s">
        <v>2814</v>
      </c>
      <c r="AI176" s="33" t="s">
        <v>4419</v>
      </c>
      <c r="AJ176" s="264" t="str">
        <f>VLOOKUP(AI176,'Mums of Loyd Edit&amp;Partner Edit'!$B$4:$C$66,2,FALSE)</f>
        <v>Mrs Anabel Laura Dorothy STAPLETON (b. 31 Dec 1955, )</v>
      </c>
      <c r="AK176" s="33">
        <f t="shared" si="90"/>
        <v>11</v>
      </c>
      <c r="AL176" s="33">
        <f t="shared" si="91"/>
        <v>14</v>
      </c>
      <c r="AM176" s="144">
        <f t="shared" si="84"/>
        <v>7</v>
      </c>
      <c r="AN176" s="144">
        <f t="shared" si="92"/>
        <v>1</v>
      </c>
      <c r="AO176">
        <f t="shared" si="101"/>
        <v>29</v>
      </c>
      <c r="AP176" s="103">
        <f t="shared" si="93"/>
        <v>29</v>
      </c>
      <c r="AQ176" s="33">
        <f t="shared" si="99"/>
        <v>174</v>
      </c>
    </row>
    <row r="177" spans="1:43" ht="20" thickBot="1">
      <c r="A177" s="33">
        <f t="shared" si="71"/>
        <v>175</v>
      </c>
      <c r="B177">
        <f t="shared" si="94"/>
        <v>7</v>
      </c>
      <c r="C177" s="183">
        <v>175</v>
      </c>
      <c r="D177" s="2" t="s">
        <v>782</v>
      </c>
      <c r="E177" t="s">
        <v>866</v>
      </c>
      <c r="F177" t="s">
        <v>977</v>
      </c>
      <c r="H177" t="s">
        <v>3154</v>
      </c>
      <c r="I177" s="31">
        <f t="shared" si="97"/>
        <v>1993</v>
      </c>
      <c r="J177" s="99" t="str">
        <f t="shared" si="98"/>
        <v/>
      </c>
      <c r="K177" s="9" t="str">
        <f t="shared" si="95"/>
        <v>Kit (175): 1993</v>
      </c>
      <c r="L177" s="8" t="str">
        <f t="shared" si="102"/>
        <v>23/01/1993</v>
      </c>
      <c r="M177" s="8">
        <v>33992</v>
      </c>
      <c r="O177" s="8"/>
      <c r="P177" s="13">
        <f t="shared" si="100"/>
        <v>175</v>
      </c>
      <c r="Q177" s="19" t="str">
        <f t="shared" si="73"/>
        <v>Kit (175): 1993–</v>
      </c>
      <c r="R177" s="120">
        <v>138</v>
      </c>
      <c r="S177" s="15" t="str">
        <f t="shared" si="96"/>
        <v>Thomas (138): 1959–</v>
      </c>
      <c r="T177" s="38">
        <f t="shared" si="86"/>
        <v>100</v>
      </c>
      <c r="U177" s="37" t="str">
        <f t="shared" si="87"/>
        <v>Christopher (100): 1923–2013</v>
      </c>
      <c r="V177" s="27">
        <f t="shared" si="88"/>
        <v>56</v>
      </c>
      <c r="W177" s="28" t="str">
        <f t="shared" si="89"/>
        <v>Tommy (56): 1882–1944</v>
      </c>
      <c r="X177" s="39">
        <f t="shared" si="74"/>
        <v>28</v>
      </c>
      <c r="Y177" s="40" t="str">
        <f t="shared" si="75"/>
        <v>The Rev Lewis (28): 1844–1905</v>
      </c>
      <c r="Z177" s="29">
        <f t="shared" si="76"/>
        <v>14</v>
      </c>
      <c r="AA177" s="41" t="str">
        <f t="shared" si="77"/>
        <v>Thomas (14): 1812–1857</v>
      </c>
      <c r="AB177" s="30">
        <f t="shared" si="78"/>
        <v>4</v>
      </c>
      <c r="AC177" s="43" t="str">
        <f t="shared" si="79"/>
        <v>William (4): 1770–1828</v>
      </c>
      <c r="AD177" s="42">
        <f t="shared" si="80"/>
        <v>1</v>
      </c>
      <c r="AE177" s="22" t="str">
        <f t="shared" si="81"/>
        <v>William (1): 1729–1800</v>
      </c>
      <c r="AF177" s="42">
        <f t="shared" si="82"/>
        <v>0</v>
      </c>
      <c r="AG177" s="22" t="str">
        <f t="shared" si="83"/>
        <v>Lewis (0): 1690–1758</v>
      </c>
      <c r="AH177" s="23" t="s">
        <v>2815</v>
      </c>
      <c r="AI177" s="33" t="s">
        <v>4418</v>
      </c>
      <c r="AJ177" s="264" t="str">
        <f>VLOOKUP(AI177,'Mums of Loyd Edit&amp;Partner Edit'!$B$4:$C$66,2,FALSE)</f>
        <v>Kirsten Mary WROUGHTON (b. 12 Dec 1959, )</v>
      </c>
      <c r="AK177" s="33">
        <f t="shared" si="90"/>
        <v>1</v>
      </c>
      <c r="AL177" s="33">
        <f t="shared" si="91"/>
        <v>23</v>
      </c>
      <c r="AM177" s="144">
        <f t="shared" si="84"/>
        <v>7</v>
      </c>
      <c r="AN177" s="144">
        <f t="shared" si="92"/>
        <v>1</v>
      </c>
      <c r="AO177">
        <f t="shared" si="101"/>
        <v>29</v>
      </c>
      <c r="AP177" s="103">
        <f t="shared" si="93"/>
        <v>29</v>
      </c>
      <c r="AQ177" s="33">
        <f t="shared" si="99"/>
        <v>175</v>
      </c>
    </row>
    <row r="178" spans="1:43" ht="20" thickBot="1">
      <c r="A178" s="33">
        <f t="shared" si="71"/>
        <v>176</v>
      </c>
      <c r="B178">
        <f t="shared" si="94"/>
        <v>7</v>
      </c>
      <c r="C178" s="183">
        <v>176</v>
      </c>
      <c r="D178" s="2" t="s">
        <v>782</v>
      </c>
      <c r="E178" t="s">
        <v>978</v>
      </c>
      <c r="F178" t="s">
        <v>979</v>
      </c>
      <c r="H178" t="s">
        <v>1193</v>
      </c>
      <c r="I178" s="31">
        <f t="shared" si="97"/>
        <v>1994</v>
      </c>
      <c r="J178" s="99" t="str">
        <f t="shared" si="98"/>
        <v/>
      </c>
      <c r="K178" s="9" t="str">
        <f t="shared" si="95"/>
        <v>Sam (176): 1994</v>
      </c>
      <c r="L178" s="8" t="str">
        <f t="shared" si="102"/>
        <v>01/01/1994</v>
      </c>
      <c r="M178" s="8">
        <v>34335</v>
      </c>
      <c r="O178" s="8"/>
      <c r="P178" s="13">
        <f t="shared" si="100"/>
        <v>176</v>
      </c>
      <c r="Q178" s="19" t="str">
        <f t="shared" si="73"/>
        <v>Sam (176): 1994–</v>
      </c>
      <c r="R178" s="120">
        <v>142</v>
      </c>
      <c r="S178" s="15" t="str">
        <f t="shared" si="96"/>
        <v>Rick (142): 1962–</v>
      </c>
      <c r="T178" s="38">
        <f t="shared" si="86"/>
        <v>94</v>
      </c>
      <c r="U178" s="37" t="str">
        <f t="shared" si="87"/>
        <v>Alwyne (94): 1920–2014</v>
      </c>
      <c r="V178" s="27">
        <f t="shared" si="88"/>
        <v>68</v>
      </c>
      <c r="W178" s="28" t="str">
        <f t="shared" si="89"/>
        <v>Cecil (68): 1890–1963</v>
      </c>
      <c r="X178" s="39">
        <f t="shared" si="74"/>
        <v>45</v>
      </c>
      <c r="Y178" s="40" t="str">
        <f t="shared" si="75"/>
        <v>Llewellyn (45): 1861–1939</v>
      </c>
      <c r="Z178" s="29">
        <f t="shared" si="76"/>
        <v>22</v>
      </c>
      <c r="AA178" s="41" t="str">
        <f t="shared" si="77"/>
        <v>Edward (22): 1820–1890</v>
      </c>
      <c r="AB178" s="30">
        <f t="shared" si="78"/>
        <v>8</v>
      </c>
      <c r="AC178" s="43" t="str">
        <f t="shared" si="79"/>
        <v>Edward (8): 1780–1863</v>
      </c>
      <c r="AD178" s="42">
        <f t="shared" si="80"/>
        <v>1</v>
      </c>
      <c r="AE178" s="22" t="str">
        <f t="shared" si="81"/>
        <v>William (1): 1729–1800</v>
      </c>
      <c r="AF178" s="42">
        <f t="shared" si="82"/>
        <v>0</v>
      </c>
      <c r="AG178" s="22" t="str">
        <f t="shared" si="83"/>
        <v>Lewis (0): 1690–1758</v>
      </c>
      <c r="AH178" s="23" t="s">
        <v>2815</v>
      </c>
      <c r="AI178" s="33" t="s">
        <v>4421</v>
      </c>
      <c r="AJ178" s="264" t="str">
        <f>VLOOKUP(AI178,'Mums of Loyd Edit&amp;Partner Edit'!$B$4:$C$66,2,FALSE)</f>
        <v>Lynn HAMILTON (b. 23 Feb 1962, )</v>
      </c>
      <c r="AK178" s="33">
        <f t="shared" si="90"/>
        <v>1</v>
      </c>
      <c r="AL178" s="33">
        <f t="shared" si="91"/>
        <v>1</v>
      </c>
      <c r="AM178" s="144">
        <f t="shared" si="84"/>
        <v>7</v>
      </c>
      <c r="AN178" s="144">
        <f t="shared" si="92"/>
        <v>1</v>
      </c>
      <c r="AO178">
        <f t="shared" si="101"/>
        <v>28</v>
      </c>
      <c r="AP178" s="103">
        <f t="shared" si="93"/>
        <v>28</v>
      </c>
      <c r="AQ178" s="33">
        <f t="shared" si="99"/>
        <v>176</v>
      </c>
    </row>
    <row r="179" spans="1:43" ht="20" thickBot="1">
      <c r="A179" s="33">
        <f t="shared" si="71"/>
        <v>177</v>
      </c>
      <c r="B179">
        <f t="shared" si="94"/>
        <v>7</v>
      </c>
      <c r="C179" s="183">
        <v>177</v>
      </c>
      <c r="D179" s="2" t="s">
        <v>782</v>
      </c>
      <c r="E179" t="s">
        <v>980</v>
      </c>
      <c r="F179" t="s">
        <v>905</v>
      </c>
      <c r="I179" s="31">
        <f t="shared" si="97"/>
        <v>1995</v>
      </c>
      <c r="J179" s="99" t="str">
        <f t="shared" si="98"/>
        <v/>
      </c>
      <c r="K179" s="9" t="str">
        <f t="shared" si="95"/>
        <v>Spencer (177): 1995</v>
      </c>
      <c r="L179" s="8" t="str">
        <f t="shared" si="102"/>
        <v>10/07/1995</v>
      </c>
      <c r="M179" s="8">
        <v>34890</v>
      </c>
      <c r="O179" s="8"/>
      <c r="P179" s="13">
        <f t="shared" si="100"/>
        <v>177</v>
      </c>
      <c r="Q179" s="19" t="str">
        <f t="shared" si="73"/>
        <v>Spencer (177): 1995–</v>
      </c>
      <c r="R179" s="120">
        <v>135</v>
      </c>
      <c r="S179" s="15" t="str">
        <f t="shared" si="96"/>
        <v>Jim (135): 1955–</v>
      </c>
      <c r="T179" s="38">
        <f t="shared" si="86"/>
        <v>86</v>
      </c>
      <c r="U179" s="37" t="str">
        <f t="shared" si="87"/>
        <v>Peter (86): 1913–2008</v>
      </c>
      <c r="V179" s="27">
        <f t="shared" si="88"/>
        <v>71</v>
      </c>
      <c r="W179" s="28" t="str">
        <f t="shared" si="89"/>
        <v>Arthur (71): 1890–1974</v>
      </c>
      <c r="X179" s="39">
        <f t="shared" si="74"/>
        <v>34</v>
      </c>
      <c r="Y179" s="40" t="str">
        <f t="shared" si="75"/>
        <v>Ted (34): 1851–1922</v>
      </c>
      <c r="Z179" s="29">
        <f t="shared" si="76"/>
        <v>14</v>
      </c>
      <c r="AA179" s="41" t="str">
        <f t="shared" si="77"/>
        <v>Thomas (14): 1812–1857</v>
      </c>
      <c r="AB179" s="30">
        <f t="shared" si="78"/>
        <v>4</v>
      </c>
      <c r="AC179" s="43" t="str">
        <f t="shared" si="79"/>
        <v>William (4): 1770–1828</v>
      </c>
      <c r="AD179" s="42">
        <f t="shared" si="80"/>
        <v>1</v>
      </c>
      <c r="AE179" s="22" t="str">
        <f t="shared" si="81"/>
        <v>William (1): 1729–1800</v>
      </c>
      <c r="AF179" s="42">
        <f t="shared" si="82"/>
        <v>0</v>
      </c>
      <c r="AG179" s="22" t="str">
        <f t="shared" si="83"/>
        <v>Lewis (0): 1690–1758</v>
      </c>
      <c r="AH179" s="23" t="s">
        <v>2815</v>
      </c>
      <c r="AI179" s="33" t="s">
        <v>4420</v>
      </c>
      <c r="AJ179" s="264" t="str">
        <f>VLOOKUP(AI179,'Mums of Loyd Edit&amp;Partner Edit'!$B$4:$C$66,2,FALSE)</f>
        <v>Brenda POW (b. 23 Aug 1964, )</v>
      </c>
      <c r="AK179" s="33">
        <f t="shared" si="90"/>
        <v>7</v>
      </c>
      <c r="AL179" s="33">
        <f t="shared" si="91"/>
        <v>10</v>
      </c>
      <c r="AM179" s="144">
        <f t="shared" si="84"/>
        <v>7</v>
      </c>
      <c r="AN179" s="144">
        <f t="shared" si="92"/>
        <v>1</v>
      </c>
      <c r="AO179">
        <f t="shared" si="101"/>
        <v>26</v>
      </c>
      <c r="AP179" s="103">
        <f t="shared" si="93"/>
        <v>26</v>
      </c>
      <c r="AQ179" s="33">
        <f t="shared" si="99"/>
        <v>177</v>
      </c>
    </row>
    <row r="180" spans="1:43" ht="20" thickBot="1">
      <c r="A180" s="33">
        <f t="shared" si="71"/>
        <v>178</v>
      </c>
      <c r="B180">
        <f t="shared" si="94"/>
        <v>7</v>
      </c>
      <c r="C180" s="183">
        <v>178</v>
      </c>
      <c r="D180" s="2" t="s">
        <v>782</v>
      </c>
      <c r="E180" t="s">
        <v>830</v>
      </c>
      <c r="F180" t="s">
        <v>913</v>
      </c>
      <c r="I180" s="31">
        <f t="shared" si="97"/>
        <v>1996</v>
      </c>
      <c r="J180" s="99" t="str">
        <f t="shared" si="98"/>
        <v/>
      </c>
      <c r="K180" s="9" t="str">
        <f t="shared" si="95"/>
        <v>William (178): 1996</v>
      </c>
      <c r="L180" s="8" t="str">
        <f t="shared" si="102"/>
        <v>21/12/1996</v>
      </c>
      <c r="M180" s="8">
        <v>35420</v>
      </c>
      <c r="O180" s="8"/>
      <c r="P180" s="13">
        <f t="shared" si="100"/>
        <v>178</v>
      </c>
      <c r="Q180" s="19" t="str">
        <f t="shared" si="73"/>
        <v>William (178): 1996–</v>
      </c>
      <c r="R180" s="120">
        <v>150</v>
      </c>
      <c r="S180" s="15" t="str">
        <f t="shared" si="96"/>
        <v>James (150): 1966–</v>
      </c>
      <c r="T180" s="38">
        <f t="shared" si="86"/>
        <v>100</v>
      </c>
      <c r="U180" s="37" t="str">
        <f t="shared" si="87"/>
        <v>Christopher (100): 1923–2013</v>
      </c>
      <c r="V180" s="27">
        <f t="shared" si="88"/>
        <v>56</v>
      </c>
      <c r="W180" s="28" t="str">
        <f t="shared" si="89"/>
        <v>Tommy (56): 1882–1944</v>
      </c>
      <c r="X180" s="39">
        <f t="shared" si="74"/>
        <v>28</v>
      </c>
      <c r="Y180" s="40" t="str">
        <f t="shared" si="75"/>
        <v>The Rev Lewis (28): 1844–1905</v>
      </c>
      <c r="Z180" s="29">
        <f t="shared" si="76"/>
        <v>14</v>
      </c>
      <c r="AA180" s="41" t="str">
        <f t="shared" si="77"/>
        <v>Thomas (14): 1812–1857</v>
      </c>
      <c r="AB180" s="30">
        <f t="shared" si="78"/>
        <v>4</v>
      </c>
      <c r="AC180" s="43" t="str">
        <f t="shared" si="79"/>
        <v>William (4): 1770–1828</v>
      </c>
      <c r="AD180" s="42">
        <f t="shared" si="80"/>
        <v>1</v>
      </c>
      <c r="AE180" s="22" t="str">
        <f t="shared" si="81"/>
        <v>William (1): 1729–1800</v>
      </c>
      <c r="AF180" s="42">
        <f t="shared" si="82"/>
        <v>0</v>
      </c>
      <c r="AG180" s="22" t="str">
        <f t="shared" si="83"/>
        <v>Lewis (0): 1690–1758</v>
      </c>
      <c r="AH180" s="23" t="s">
        <v>2815</v>
      </c>
      <c r="AI180" s="33" t="s">
        <v>4422</v>
      </c>
      <c r="AJ180" s="264" t="str">
        <f>VLOOKUP(AI180,'Mums of Loyd Edit&amp;Partner Edit'!$B$4:$C$66,2,FALSE)</f>
        <v>Lady Tara Guinevere CRICHTON (b. 9 May 1967, )</v>
      </c>
      <c r="AK180" s="33">
        <f t="shared" si="90"/>
        <v>12</v>
      </c>
      <c r="AL180" s="33">
        <f t="shared" si="91"/>
        <v>21</v>
      </c>
      <c r="AM180" s="144">
        <f t="shared" si="84"/>
        <v>7</v>
      </c>
      <c r="AN180" s="144">
        <f t="shared" si="92"/>
        <v>1</v>
      </c>
      <c r="AO180">
        <f t="shared" si="101"/>
        <v>25</v>
      </c>
      <c r="AP180" s="103">
        <f t="shared" si="93"/>
        <v>25</v>
      </c>
      <c r="AQ180" s="33">
        <f t="shared" si="99"/>
        <v>178</v>
      </c>
    </row>
    <row r="181" spans="1:43" ht="20" thickBot="1">
      <c r="A181" s="33">
        <f t="shared" si="71"/>
        <v>179</v>
      </c>
      <c r="B181">
        <f t="shared" si="94"/>
        <v>7</v>
      </c>
      <c r="C181" s="183">
        <v>179</v>
      </c>
      <c r="D181" s="2" t="s">
        <v>782</v>
      </c>
      <c r="E181" t="s">
        <v>981</v>
      </c>
      <c r="F181" t="s">
        <v>979</v>
      </c>
      <c r="H181" t="s">
        <v>1194</v>
      </c>
      <c r="I181" s="31">
        <f t="shared" si="97"/>
        <v>1996</v>
      </c>
      <c r="J181" s="99" t="str">
        <f t="shared" si="98"/>
        <v/>
      </c>
      <c r="K181" s="9" t="str">
        <f t="shared" si="95"/>
        <v>Josh (179): 1996</v>
      </c>
      <c r="L181" s="8" t="str">
        <f t="shared" si="102"/>
        <v>28/12/1996</v>
      </c>
      <c r="M181" s="8">
        <v>35427</v>
      </c>
      <c r="O181" s="8"/>
      <c r="P181" s="13">
        <f t="shared" si="100"/>
        <v>179</v>
      </c>
      <c r="Q181" s="19" t="str">
        <f t="shared" si="73"/>
        <v>Josh (179): 1996–</v>
      </c>
      <c r="R181" s="120">
        <v>142</v>
      </c>
      <c r="S181" s="15" t="str">
        <f t="shared" si="96"/>
        <v>Rick (142): 1962–</v>
      </c>
      <c r="T181" s="38">
        <f t="shared" si="86"/>
        <v>94</v>
      </c>
      <c r="U181" s="37" t="str">
        <f t="shared" si="87"/>
        <v>Alwyne (94): 1920–2014</v>
      </c>
      <c r="V181" s="27">
        <f t="shared" si="88"/>
        <v>68</v>
      </c>
      <c r="W181" s="28" t="str">
        <f t="shared" si="89"/>
        <v>Cecil (68): 1890–1963</v>
      </c>
      <c r="X181" s="39">
        <f t="shared" si="74"/>
        <v>45</v>
      </c>
      <c r="Y181" s="40" t="str">
        <f t="shared" si="75"/>
        <v>Llewellyn (45): 1861–1939</v>
      </c>
      <c r="Z181" s="29">
        <f t="shared" si="76"/>
        <v>22</v>
      </c>
      <c r="AA181" s="41" t="str">
        <f t="shared" si="77"/>
        <v>Edward (22): 1820–1890</v>
      </c>
      <c r="AB181" s="30">
        <f t="shared" si="78"/>
        <v>8</v>
      </c>
      <c r="AC181" s="43" t="str">
        <f t="shared" si="79"/>
        <v>Edward (8): 1780–1863</v>
      </c>
      <c r="AD181" s="42">
        <f t="shared" si="80"/>
        <v>1</v>
      </c>
      <c r="AE181" s="22" t="str">
        <f t="shared" si="81"/>
        <v>William (1): 1729–1800</v>
      </c>
      <c r="AF181" s="42">
        <f t="shared" si="82"/>
        <v>0</v>
      </c>
      <c r="AG181" s="22" t="str">
        <f t="shared" si="83"/>
        <v>Lewis (0): 1690–1758</v>
      </c>
      <c r="AH181" s="23" t="s">
        <v>2815</v>
      </c>
      <c r="AI181" s="33" t="s">
        <v>4421</v>
      </c>
      <c r="AJ181" s="264" t="str">
        <f>VLOOKUP(AI181,'Mums of Loyd Edit&amp;Partner Edit'!$B$4:$C$66,2,FALSE)</f>
        <v>Lynn HAMILTON (b. 23 Feb 1962, )</v>
      </c>
      <c r="AK181" s="33">
        <f t="shared" si="90"/>
        <v>12</v>
      </c>
      <c r="AL181" s="33">
        <f t="shared" si="91"/>
        <v>28</v>
      </c>
      <c r="AM181" s="144">
        <f t="shared" si="84"/>
        <v>7</v>
      </c>
      <c r="AN181" s="144">
        <f t="shared" si="92"/>
        <v>1</v>
      </c>
      <c r="AO181">
        <f t="shared" si="101"/>
        <v>25</v>
      </c>
      <c r="AP181" s="103">
        <f t="shared" si="93"/>
        <v>25</v>
      </c>
      <c r="AQ181" s="33">
        <f t="shared" si="99"/>
        <v>179</v>
      </c>
    </row>
    <row r="182" spans="1:43" ht="20" thickBot="1">
      <c r="A182" s="33">
        <f t="shared" si="71"/>
        <v>180</v>
      </c>
      <c r="B182">
        <f t="shared" si="94"/>
        <v>7</v>
      </c>
      <c r="C182" s="183">
        <v>180</v>
      </c>
      <c r="D182" s="2" t="s">
        <v>782</v>
      </c>
      <c r="E182" t="s">
        <v>913</v>
      </c>
      <c r="F182" t="s">
        <v>982</v>
      </c>
      <c r="I182" s="31">
        <f t="shared" si="97"/>
        <v>1998</v>
      </c>
      <c r="J182" s="99" t="str">
        <f t="shared" si="98"/>
        <v/>
      </c>
      <c r="K182" s="9" t="str">
        <f t="shared" si="95"/>
        <v>George (180): 1998</v>
      </c>
      <c r="L182" s="8" t="str">
        <f t="shared" si="102"/>
        <v>19/11/1998</v>
      </c>
      <c r="M182" s="8">
        <v>36118</v>
      </c>
      <c r="O182" s="8"/>
      <c r="P182" s="13">
        <f t="shared" si="100"/>
        <v>180</v>
      </c>
      <c r="Q182" s="19" t="str">
        <f t="shared" si="73"/>
        <v>George (180): 1998–</v>
      </c>
      <c r="R182" s="120">
        <v>146</v>
      </c>
      <c r="S182" s="15" t="str">
        <f t="shared" si="96"/>
        <v>Charles (146): 1963–</v>
      </c>
      <c r="T182" s="38">
        <f t="shared" si="86"/>
        <v>104</v>
      </c>
      <c r="U182" s="37" t="str">
        <f t="shared" si="87"/>
        <v>Sir Julian (104): 1926–2018</v>
      </c>
      <c r="V182" s="27">
        <f t="shared" si="88"/>
        <v>72</v>
      </c>
      <c r="W182" s="28" t="str">
        <f t="shared" si="89"/>
        <v>Charles (72): 1891–1973</v>
      </c>
      <c r="X182" s="39">
        <f t="shared" si="74"/>
        <v>44</v>
      </c>
      <c r="Y182" s="40" t="str">
        <f t="shared" si="75"/>
        <v>Harry (44): 1861–1938</v>
      </c>
      <c r="Z182" s="29">
        <f t="shared" si="76"/>
        <v>23</v>
      </c>
      <c r="AA182" s="41" t="str">
        <f t="shared" si="77"/>
        <v>William (23): 1821–1885</v>
      </c>
      <c r="AB182" s="30">
        <f t="shared" si="78"/>
        <v>8</v>
      </c>
      <c r="AC182" s="43" t="str">
        <f t="shared" si="79"/>
        <v>Edward (8): 1780–1863</v>
      </c>
      <c r="AD182" s="42">
        <f t="shared" si="80"/>
        <v>1</v>
      </c>
      <c r="AE182" s="22" t="str">
        <f t="shared" si="81"/>
        <v>William (1): 1729–1800</v>
      </c>
      <c r="AF182" s="42">
        <f t="shared" si="82"/>
        <v>0</v>
      </c>
      <c r="AG182" s="22" t="str">
        <f t="shared" si="83"/>
        <v>Lewis (0): 1690–1758</v>
      </c>
      <c r="AH182" s="23" t="s">
        <v>2815</v>
      </c>
      <c r="AI182" s="33" t="s">
        <v>4423</v>
      </c>
      <c r="AJ182" s="264" t="str">
        <f>VLOOKUP(AI182,'Mums of Loyd Edit&amp;Partner Edit'!$B$4:$C$66,2,FALSE)</f>
        <v>Jenny CARTWRIGHT (b. 19 Feb 1967, )</v>
      </c>
      <c r="AK182" s="33">
        <f t="shared" si="90"/>
        <v>11</v>
      </c>
      <c r="AL182" s="33">
        <f t="shared" si="91"/>
        <v>19</v>
      </c>
      <c r="AM182" s="144">
        <f t="shared" si="84"/>
        <v>7</v>
      </c>
      <c r="AN182" s="144">
        <f t="shared" si="92"/>
        <v>1</v>
      </c>
      <c r="AO182">
        <f t="shared" si="101"/>
        <v>23</v>
      </c>
      <c r="AP182" s="103">
        <f t="shared" si="93"/>
        <v>23</v>
      </c>
      <c r="AQ182" s="33">
        <f t="shared" si="99"/>
        <v>180</v>
      </c>
    </row>
    <row r="183" spans="1:43" ht="20" thickBot="1">
      <c r="A183" s="33">
        <f t="shared" si="71"/>
        <v>181</v>
      </c>
      <c r="B183">
        <f t="shared" si="94"/>
        <v>7</v>
      </c>
      <c r="C183" s="183">
        <v>181</v>
      </c>
      <c r="D183" s="2" t="s">
        <v>782</v>
      </c>
      <c r="E183" t="s">
        <v>983</v>
      </c>
      <c r="F183" t="s">
        <v>937</v>
      </c>
      <c r="I183" s="31">
        <f t="shared" si="97"/>
        <v>1999</v>
      </c>
      <c r="J183" s="99" t="str">
        <f t="shared" si="98"/>
        <v/>
      </c>
      <c r="K183" s="9" t="str">
        <f t="shared" si="95"/>
        <v>Eliza (181): 1999</v>
      </c>
      <c r="L183" s="8" t="str">
        <f t="shared" si="102"/>
        <v>03/02/1999</v>
      </c>
      <c r="M183" s="8">
        <v>36194</v>
      </c>
      <c r="O183" s="8"/>
      <c r="P183" s="13">
        <f t="shared" si="100"/>
        <v>181</v>
      </c>
      <c r="Q183" s="19" t="str">
        <f t="shared" si="73"/>
        <v>Eliza (181): 1999–</v>
      </c>
      <c r="R183" s="120">
        <v>150</v>
      </c>
      <c r="S183" s="15" t="str">
        <f t="shared" si="96"/>
        <v>James (150): 1966–</v>
      </c>
      <c r="T183" s="38">
        <f t="shared" si="86"/>
        <v>100</v>
      </c>
      <c r="U183" s="37" t="str">
        <f t="shared" si="87"/>
        <v>Christopher (100): 1923–2013</v>
      </c>
      <c r="V183" s="27">
        <f t="shared" si="88"/>
        <v>56</v>
      </c>
      <c r="W183" s="28" t="str">
        <f t="shared" si="89"/>
        <v>Tommy (56): 1882–1944</v>
      </c>
      <c r="X183" s="39">
        <f t="shared" si="74"/>
        <v>28</v>
      </c>
      <c r="Y183" s="40" t="str">
        <f t="shared" si="75"/>
        <v>The Rev Lewis (28): 1844–1905</v>
      </c>
      <c r="Z183" s="29">
        <f t="shared" si="76"/>
        <v>14</v>
      </c>
      <c r="AA183" s="41" t="str">
        <f t="shared" si="77"/>
        <v>Thomas (14): 1812–1857</v>
      </c>
      <c r="AB183" s="30">
        <f t="shared" si="78"/>
        <v>4</v>
      </c>
      <c r="AC183" s="43" t="str">
        <f t="shared" si="79"/>
        <v>William (4): 1770–1828</v>
      </c>
      <c r="AD183" s="42">
        <f t="shared" si="80"/>
        <v>1</v>
      </c>
      <c r="AE183" s="22" t="str">
        <f t="shared" si="81"/>
        <v>William (1): 1729–1800</v>
      </c>
      <c r="AF183" s="42">
        <f t="shared" si="82"/>
        <v>0</v>
      </c>
      <c r="AG183" s="22" t="str">
        <f t="shared" si="83"/>
        <v>Lewis (0): 1690–1758</v>
      </c>
      <c r="AH183" s="23" t="s">
        <v>2814</v>
      </c>
      <c r="AI183" s="33" t="s">
        <v>4422</v>
      </c>
      <c r="AJ183" s="264" t="str">
        <f>VLOOKUP(AI183,'Mums of Loyd Edit&amp;Partner Edit'!$B$4:$C$66,2,FALSE)</f>
        <v>Lady Tara Guinevere CRICHTON (b. 9 May 1967, )</v>
      </c>
      <c r="AK183" s="33">
        <f t="shared" si="90"/>
        <v>2</v>
      </c>
      <c r="AL183" s="33">
        <f t="shared" si="91"/>
        <v>3</v>
      </c>
      <c r="AM183" s="144">
        <f t="shared" si="84"/>
        <v>7</v>
      </c>
      <c r="AN183" s="144">
        <f t="shared" si="92"/>
        <v>1</v>
      </c>
      <c r="AO183">
        <f t="shared" si="101"/>
        <v>23</v>
      </c>
      <c r="AP183" s="103">
        <f t="shared" si="93"/>
        <v>23</v>
      </c>
      <c r="AQ183" s="33">
        <f t="shared" si="99"/>
        <v>181</v>
      </c>
    </row>
    <row r="184" spans="1:43" ht="20" thickBot="1">
      <c r="A184" s="33">
        <f t="shared" si="71"/>
        <v>182</v>
      </c>
      <c r="B184">
        <f t="shared" si="94"/>
        <v>7</v>
      </c>
      <c r="C184" s="183">
        <v>182</v>
      </c>
      <c r="D184" s="2" t="s">
        <v>782</v>
      </c>
      <c r="E184" t="s">
        <v>984</v>
      </c>
      <c r="F184" t="s">
        <v>985</v>
      </c>
      <c r="I184" s="31">
        <f t="shared" si="97"/>
        <v>2000</v>
      </c>
      <c r="J184" s="99" t="str">
        <f t="shared" si="98"/>
        <v/>
      </c>
      <c r="K184" s="9" t="str">
        <f t="shared" si="95"/>
        <v>Rosanna (182): 2000</v>
      </c>
      <c r="L184" s="8" t="str">
        <f t="shared" si="102"/>
        <v>22/07/2000</v>
      </c>
      <c r="M184" s="8">
        <v>36729</v>
      </c>
      <c r="O184" s="8"/>
      <c r="P184" s="14">
        <f t="shared" si="100"/>
        <v>182</v>
      </c>
      <c r="Q184" s="19" t="str">
        <f t="shared" si="73"/>
        <v>Rosanna (182): 2000–</v>
      </c>
      <c r="R184" s="122">
        <v>146</v>
      </c>
      <c r="S184" s="15" t="str">
        <f t="shared" si="96"/>
        <v>Charles (146): 1963–</v>
      </c>
      <c r="T184" s="38">
        <f t="shared" si="86"/>
        <v>104</v>
      </c>
      <c r="U184" s="37" t="str">
        <f t="shared" si="87"/>
        <v>Sir Julian (104): 1926–2018</v>
      </c>
      <c r="V184" s="27">
        <f t="shared" si="88"/>
        <v>72</v>
      </c>
      <c r="W184" s="28" t="str">
        <f t="shared" si="89"/>
        <v>Charles (72): 1891–1973</v>
      </c>
      <c r="X184" s="39">
        <f t="shared" si="74"/>
        <v>44</v>
      </c>
      <c r="Y184" s="40" t="str">
        <f t="shared" si="75"/>
        <v>Harry (44): 1861–1938</v>
      </c>
      <c r="Z184" s="29">
        <f t="shared" si="76"/>
        <v>23</v>
      </c>
      <c r="AA184" s="41" t="str">
        <f t="shared" si="77"/>
        <v>William (23): 1821–1885</v>
      </c>
      <c r="AB184" s="30">
        <f t="shared" si="78"/>
        <v>8</v>
      </c>
      <c r="AC184" s="43" t="str">
        <f t="shared" si="79"/>
        <v>Edward (8): 1780–1863</v>
      </c>
      <c r="AD184" s="42">
        <f t="shared" si="80"/>
        <v>1</v>
      </c>
      <c r="AE184" s="22" t="str">
        <f t="shared" si="81"/>
        <v>William (1): 1729–1800</v>
      </c>
      <c r="AF184" s="42">
        <f t="shared" si="82"/>
        <v>0</v>
      </c>
      <c r="AG184" s="22" t="str">
        <f t="shared" si="83"/>
        <v>Lewis (0): 1690–1758</v>
      </c>
      <c r="AH184" s="26" t="s">
        <v>2814</v>
      </c>
      <c r="AI184" s="33" t="s">
        <v>4423</v>
      </c>
      <c r="AJ184" s="264" t="str">
        <f>VLOOKUP(AI184,'Mums of Loyd Edit&amp;Partner Edit'!$B$4:$C$66,2,FALSE)</f>
        <v>Jenny CARTWRIGHT (b. 19 Feb 1967, )</v>
      </c>
      <c r="AK184" s="33">
        <f t="shared" si="90"/>
        <v>7</v>
      </c>
      <c r="AL184" s="33">
        <f t="shared" si="91"/>
        <v>22</v>
      </c>
      <c r="AM184" s="144">
        <f t="shared" si="84"/>
        <v>7</v>
      </c>
      <c r="AN184" s="144">
        <f t="shared" si="92"/>
        <v>1</v>
      </c>
      <c r="AO184">
        <f t="shared" si="101"/>
        <v>21</v>
      </c>
      <c r="AP184" s="103">
        <f t="shared" si="93"/>
        <v>21</v>
      </c>
      <c r="AQ184" s="33">
        <f t="shared" si="99"/>
        <v>182</v>
      </c>
    </row>
    <row r="185" spans="1:43" ht="20" thickBot="1">
      <c r="A185">
        <f>C185</f>
        <v>183</v>
      </c>
      <c r="B185">
        <f t="shared" si="94"/>
        <v>7</v>
      </c>
      <c r="C185" s="183">
        <v>183</v>
      </c>
      <c r="D185" s="258" t="s">
        <v>3802</v>
      </c>
      <c r="E185" t="s">
        <v>1362</v>
      </c>
      <c r="F185" t="s">
        <v>2080</v>
      </c>
      <c r="G185" t="s">
        <v>3801</v>
      </c>
      <c r="I185" s="31">
        <f>YEAR(L185)</f>
        <v>2006</v>
      </c>
      <c r="K185" s="9" t="str">
        <f t="shared" si="95"/>
        <v>Matilda (183): 2006</v>
      </c>
      <c r="L185" s="8" t="str">
        <f t="shared" si="102"/>
        <v>12/02/2006</v>
      </c>
      <c r="M185" s="8">
        <v>38760</v>
      </c>
      <c r="O185" s="8"/>
      <c r="P185">
        <f>C185</f>
        <v>183</v>
      </c>
      <c r="Q185" s="19" t="str">
        <f t="shared" si="73"/>
        <v>Matilda (183): 2006–</v>
      </c>
      <c r="R185" s="99">
        <v>155</v>
      </c>
      <c r="S185" t="str">
        <f>VLOOKUP(R185,$P$2:$Q$184,2,TRUE)</f>
        <v>William (155): 1973–</v>
      </c>
      <c r="T185">
        <f>VLOOKUP(R185,$C$2:$AH$184,16,TRUE)</f>
        <v>119</v>
      </c>
      <c r="U185" t="str">
        <f>VLOOKUP(T185,$P$2:$Q$184,2,TRUE)</f>
        <v>Peter (119): 1942–</v>
      </c>
      <c r="V185">
        <f>VLOOKUP(T185,$C$2:$AH$184,16,TRUE)</f>
        <v>80</v>
      </c>
      <c r="W185" t="str">
        <f>VLOOKUP(V185,$P$2:$Q$184,2,TRUE)</f>
        <v>Eric (80): 1894–1963</v>
      </c>
      <c r="X185">
        <f>VLOOKUP(V185,$C$2:$AH$184,16,TRUE)</f>
        <v>29</v>
      </c>
      <c r="Y185" t="str">
        <f>VLOOKUP(X185,$P$2:$Q$184,2,TRUE)</f>
        <v>Arthur (29): 1845–1930</v>
      </c>
      <c r="Z185">
        <f>VLOOKUP(X185,$C$2:$AH$184,16,TRUE)</f>
        <v>14</v>
      </c>
      <c r="AA185" t="str">
        <f>VLOOKUP(Z185,$P$2:$Q$184,2,TRUE)</f>
        <v>Thomas (14): 1812–1857</v>
      </c>
      <c r="AB185">
        <f>VLOOKUP(Z185,$C$2:$AH$184,16,TRUE)</f>
        <v>4</v>
      </c>
      <c r="AC185" t="str">
        <f>VLOOKUP(AB185,$P$2:$Q$184,2,TRUE)</f>
        <v>William (4): 1770–1828</v>
      </c>
      <c r="AD185">
        <f>VLOOKUP(AB185,$C$2:$AH$184,16,TRUE)</f>
        <v>1</v>
      </c>
      <c r="AE185" t="str">
        <f>VLOOKUP(AD185,$P$2:$Q$184,2,TRUE)</f>
        <v>William (1): 1729–1800</v>
      </c>
      <c r="AF185" s="42">
        <f t="shared" si="82"/>
        <v>0</v>
      </c>
      <c r="AG185" s="22" t="str">
        <f t="shared" si="83"/>
        <v>Lewis (0): 1690–1758</v>
      </c>
      <c r="AH185" t="s">
        <v>2814</v>
      </c>
      <c r="AI185" s="33" t="s">
        <v>4424</v>
      </c>
      <c r="AJ185" s="264" t="str">
        <f>VLOOKUP(AI185,'Mums of Loyd Edit&amp;Partner Edit'!$B$4:$C$66,2,FALSE)</f>
        <v>Anna Maria LEES (b. 15 Mar 1972, )</v>
      </c>
      <c r="AK185" s="33">
        <f t="shared" si="90"/>
        <v>2</v>
      </c>
      <c r="AL185" s="33">
        <f t="shared" si="91"/>
        <v>12</v>
      </c>
      <c r="AM185" s="144">
        <f t="shared" si="84"/>
        <v>7</v>
      </c>
      <c r="AO185">
        <f t="shared" si="101"/>
        <v>16</v>
      </c>
      <c r="AP185">
        <f t="shared" si="93"/>
        <v>16</v>
      </c>
      <c r="AQ185">
        <f t="shared" si="99"/>
        <v>183</v>
      </c>
    </row>
    <row r="186" spans="1:43" ht="20" thickBot="1">
      <c r="A186" s="33">
        <f t="shared" si="71"/>
        <v>184</v>
      </c>
      <c r="B186">
        <f t="shared" si="94"/>
        <v>7</v>
      </c>
      <c r="C186" s="183">
        <v>184</v>
      </c>
      <c r="D186" s="2" t="s">
        <v>782</v>
      </c>
      <c r="E186" t="s">
        <v>3054</v>
      </c>
      <c r="I186" s="31">
        <f t="shared" si="97"/>
        <v>2006</v>
      </c>
      <c r="K186" s="9" t="str">
        <f t="shared" si="95"/>
        <v>Delilah (184): 2006</v>
      </c>
      <c r="L186" s="8" t="str">
        <f t="shared" si="102"/>
        <v>01/08/2006</v>
      </c>
      <c r="M186" s="8">
        <v>38930</v>
      </c>
      <c r="O186" s="8"/>
      <c r="P186">
        <f t="shared" si="100"/>
        <v>184</v>
      </c>
      <c r="Q186" s="19" t="str">
        <f t="shared" si="73"/>
        <v>Delilah (184): 2006–</v>
      </c>
      <c r="R186" s="259">
        <v>149</v>
      </c>
      <c r="S186" s="22" t="str">
        <f t="shared" ref="S186:S192" si="103">VLOOKUP(R186,$P$2:$Q$184,2,TRUE)</f>
        <v>Anthony (149): 1966–</v>
      </c>
      <c r="T186" s="260">
        <f t="shared" ref="T186:T192" si="104">VLOOKUP(R186,$C$2:$AH$184,16,TRUE)</f>
        <v>113</v>
      </c>
      <c r="U186" s="22" t="str">
        <f t="shared" ref="U186:U192" si="105">VLOOKUP(T186,$P$2:$Q$184,2,TRUE)</f>
        <v>Willie (113): 1937–1994</v>
      </c>
      <c r="V186" s="261">
        <f t="shared" ref="V186:V192" si="106">VLOOKUP(T186,$C$2:$AH$184,16,TRUE)</f>
        <v>78</v>
      </c>
      <c r="W186" s="22" t="str">
        <f t="shared" ref="W186:W192" si="107">VLOOKUP(V186,$P$2:$Q$184,2,TRUE)</f>
        <v>Vivian (78): 1894–1972</v>
      </c>
      <c r="X186" s="261">
        <f t="shared" ref="X186:X192" si="108">VLOOKUP(V186,$C$2:$AH$184,16,TRUE)</f>
        <v>46</v>
      </c>
      <c r="Y186" s="42" t="str">
        <f t="shared" ref="Y186:Y192" si="109">VLOOKUP(X186,$P$2:$Q$184,2,TRUE)</f>
        <v>William (46): 1863–1923</v>
      </c>
      <c r="Z186" s="261">
        <f t="shared" ref="Z186:Z192" si="110">VLOOKUP(X186,$C$2:$AH$184,16,TRUE)</f>
        <v>23</v>
      </c>
      <c r="AA186" s="42" t="str">
        <f t="shared" ref="AA186:AA192" si="111">VLOOKUP(Z186,$P$2:$Q$184,2,TRUE)</f>
        <v>William (23): 1821–1885</v>
      </c>
      <c r="AB186" s="261">
        <f t="shared" ref="AB186:AB192" si="112">VLOOKUP(Z186,$C$2:$AH$184,16,TRUE)</f>
        <v>8</v>
      </c>
      <c r="AC186" s="22" t="str">
        <f t="shared" ref="AC186:AC192" si="113">VLOOKUP(AB186,$P$2:$Q$184,2,TRUE)</f>
        <v>Edward (8): 1780–1863</v>
      </c>
      <c r="AD186" s="42">
        <f t="shared" ref="AD186:AD192" si="114">VLOOKUP(AB186,$C$2:$AH$184,16,TRUE)</f>
        <v>1</v>
      </c>
      <c r="AE186" s="22" t="str">
        <f t="shared" ref="AE186:AE192" si="115">VLOOKUP(AD186,$P$2:$Q$184,2,TRUE)</f>
        <v>William (1): 1729–1800</v>
      </c>
      <c r="AF186" s="42">
        <f t="shared" si="82"/>
        <v>0</v>
      </c>
      <c r="AG186" s="22" t="str">
        <f t="shared" si="83"/>
        <v>Lewis (0): 1690–1758</v>
      </c>
      <c r="AH186" s="23" t="s">
        <v>2814</v>
      </c>
      <c r="AI186" s="33" t="s">
        <v>4425</v>
      </c>
      <c r="AJ186" s="264" t="str">
        <f>VLOOKUP(AI186,'Mums of Loyd Edit&amp;Partner Edit'!$B$4:$C$66,2,FALSE)</f>
        <v>Harriet Louise MELLOR (b. , )</v>
      </c>
      <c r="AK186" s="33">
        <f t="shared" si="90"/>
        <v>8</v>
      </c>
      <c r="AL186" s="33">
        <f t="shared" si="91"/>
        <v>1</v>
      </c>
      <c r="AM186" s="144">
        <f t="shared" si="84"/>
        <v>7</v>
      </c>
      <c r="AO186">
        <f t="shared" si="101"/>
        <v>15</v>
      </c>
      <c r="AP186">
        <f t="shared" si="93"/>
        <v>15</v>
      </c>
      <c r="AQ186" s="33">
        <f t="shared" si="99"/>
        <v>184</v>
      </c>
    </row>
    <row r="187" spans="1:43" ht="20" thickBot="1">
      <c r="A187">
        <f t="shared" si="71"/>
        <v>185</v>
      </c>
      <c r="B187">
        <f t="shared" si="94"/>
        <v>7</v>
      </c>
      <c r="C187" s="183">
        <v>185</v>
      </c>
      <c r="D187" s="258" t="s">
        <v>3802</v>
      </c>
      <c r="E187" t="s">
        <v>939</v>
      </c>
      <c r="F187" t="s">
        <v>839</v>
      </c>
      <c r="G187" t="s">
        <v>3801</v>
      </c>
      <c r="I187" s="31">
        <f t="shared" si="97"/>
        <v>2007</v>
      </c>
      <c r="K187" s="9" t="str">
        <f t="shared" si="95"/>
        <v>Katherine (185): 2007</v>
      </c>
      <c r="L187" s="8" t="str">
        <f t="shared" si="102"/>
        <v>05/07/2007</v>
      </c>
      <c r="M187" s="8">
        <v>39268</v>
      </c>
      <c r="O187" s="8"/>
      <c r="P187">
        <f t="shared" si="100"/>
        <v>185</v>
      </c>
      <c r="Q187" s="19" t="str">
        <f t="shared" si="73"/>
        <v>Katherine (185): 2007–</v>
      </c>
      <c r="R187" s="99">
        <v>155</v>
      </c>
      <c r="S187" t="str">
        <f t="shared" si="103"/>
        <v>William (155): 1973–</v>
      </c>
      <c r="T187">
        <f t="shared" si="104"/>
        <v>119</v>
      </c>
      <c r="U187" t="str">
        <f t="shared" si="105"/>
        <v>Peter (119): 1942–</v>
      </c>
      <c r="V187">
        <f t="shared" si="106"/>
        <v>80</v>
      </c>
      <c r="W187" t="str">
        <f t="shared" si="107"/>
        <v>Eric (80): 1894–1963</v>
      </c>
      <c r="X187">
        <f t="shared" si="108"/>
        <v>29</v>
      </c>
      <c r="Y187" t="str">
        <f t="shared" si="109"/>
        <v>Arthur (29): 1845–1930</v>
      </c>
      <c r="Z187">
        <f t="shared" si="110"/>
        <v>14</v>
      </c>
      <c r="AA187" t="str">
        <f t="shared" si="111"/>
        <v>Thomas (14): 1812–1857</v>
      </c>
      <c r="AB187">
        <f t="shared" si="112"/>
        <v>4</v>
      </c>
      <c r="AC187" t="str">
        <f t="shared" si="113"/>
        <v>William (4): 1770–1828</v>
      </c>
      <c r="AD187">
        <f t="shared" si="114"/>
        <v>1</v>
      </c>
      <c r="AE187" t="str">
        <f t="shared" si="115"/>
        <v>William (1): 1729–1800</v>
      </c>
      <c r="AF187" s="42">
        <f t="shared" si="82"/>
        <v>0</v>
      </c>
      <c r="AG187" s="22" t="str">
        <f t="shared" si="83"/>
        <v>Lewis (0): 1690–1758</v>
      </c>
      <c r="AH187" t="s">
        <v>2814</v>
      </c>
      <c r="AI187" s="33" t="s">
        <v>4424</v>
      </c>
      <c r="AJ187" s="264" t="str">
        <f>VLOOKUP(AI187,'Mums of Loyd Edit&amp;Partner Edit'!$B$4:$C$66,2,FALSE)</f>
        <v>Anna Maria LEES (b. 15 Mar 1972, )</v>
      </c>
      <c r="AK187" s="33">
        <f t="shared" si="90"/>
        <v>7</v>
      </c>
      <c r="AL187" s="33">
        <f t="shared" si="91"/>
        <v>5</v>
      </c>
      <c r="AM187" s="144">
        <f t="shared" si="84"/>
        <v>7</v>
      </c>
      <c r="AO187">
        <f t="shared" si="101"/>
        <v>14</v>
      </c>
      <c r="AP187">
        <f t="shared" si="93"/>
        <v>14</v>
      </c>
      <c r="AQ187">
        <f t="shared" si="99"/>
        <v>185</v>
      </c>
    </row>
    <row r="188" spans="1:43" ht="20" thickBot="1">
      <c r="A188">
        <f t="shared" si="71"/>
        <v>186</v>
      </c>
      <c r="B188">
        <f t="shared" si="94"/>
        <v>7</v>
      </c>
      <c r="C188" s="183">
        <v>186</v>
      </c>
      <c r="D188" s="258" t="s">
        <v>3802</v>
      </c>
      <c r="E188" t="s">
        <v>807</v>
      </c>
      <c r="F188" t="s">
        <v>842</v>
      </c>
      <c r="G188" t="s">
        <v>3801</v>
      </c>
      <c r="I188" s="31">
        <f t="shared" si="97"/>
        <v>2010</v>
      </c>
      <c r="K188" s="9" t="str">
        <f t="shared" si="95"/>
        <v>Henry (186): 2010</v>
      </c>
      <c r="L188" s="8" t="str">
        <f t="shared" si="102"/>
        <v>06/01/2010</v>
      </c>
      <c r="M188" s="8">
        <v>40184</v>
      </c>
      <c r="O188" s="8"/>
      <c r="P188">
        <f t="shared" si="100"/>
        <v>186</v>
      </c>
      <c r="Q188" s="19" t="str">
        <f t="shared" si="73"/>
        <v>Henry (186): 2010–</v>
      </c>
      <c r="R188" s="99">
        <v>155</v>
      </c>
      <c r="S188" t="str">
        <f t="shared" si="103"/>
        <v>William (155): 1973–</v>
      </c>
      <c r="T188">
        <f t="shared" si="104"/>
        <v>119</v>
      </c>
      <c r="U188" t="str">
        <f t="shared" si="105"/>
        <v>Peter (119): 1942–</v>
      </c>
      <c r="V188">
        <f t="shared" si="106"/>
        <v>80</v>
      </c>
      <c r="W188" t="str">
        <f t="shared" si="107"/>
        <v>Eric (80): 1894–1963</v>
      </c>
      <c r="X188">
        <f t="shared" si="108"/>
        <v>29</v>
      </c>
      <c r="Y188" t="str">
        <f t="shared" si="109"/>
        <v>Arthur (29): 1845–1930</v>
      </c>
      <c r="Z188">
        <f t="shared" si="110"/>
        <v>14</v>
      </c>
      <c r="AA188" t="str">
        <f t="shared" si="111"/>
        <v>Thomas (14): 1812–1857</v>
      </c>
      <c r="AB188">
        <f t="shared" si="112"/>
        <v>4</v>
      </c>
      <c r="AC188" t="str">
        <f t="shared" si="113"/>
        <v>William (4): 1770–1828</v>
      </c>
      <c r="AD188">
        <f t="shared" si="114"/>
        <v>1</v>
      </c>
      <c r="AE188" t="str">
        <f t="shared" si="115"/>
        <v>William (1): 1729–1800</v>
      </c>
      <c r="AF188" s="42">
        <f t="shared" si="82"/>
        <v>0</v>
      </c>
      <c r="AG188" s="22" t="str">
        <f t="shared" si="83"/>
        <v>Lewis (0): 1690–1758</v>
      </c>
      <c r="AH188" t="s">
        <v>2815</v>
      </c>
      <c r="AI188" s="33" t="s">
        <v>4424</v>
      </c>
      <c r="AJ188" s="264" t="str">
        <f>VLOOKUP(AI188,'Mums of Loyd Edit&amp;Partner Edit'!$B$4:$C$66,2,FALSE)</f>
        <v>Anna Maria LEES (b. 15 Mar 1972, )</v>
      </c>
      <c r="AK188" s="33">
        <f t="shared" si="90"/>
        <v>1</v>
      </c>
      <c r="AL188" s="33">
        <f t="shared" si="91"/>
        <v>6</v>
      </c>
      <c r="AM188" s="144">
        <f t="shared" si="84"/>
        <v>7</v>
      </c>
      <c r="AO188">
        <f t="shared" si="101"/>
        <v>12</v>
      </c>
      <c r="AP188">
        <f t="shared" si="93"/>
        <v>12</v>
      </c>
      <c r="AQ188">
        <f t="shared" si="99"/>
        <v>186</v>
      </c>
    </row>
    <row r="189" spans="1:43" ht="18" thickBot="1">
      <c r="A189">
        <f t="shared" si="71"/>
        <v>187</v>
      </c>
      <c r="B189">
        <f t="shared" si="94"/>
        <v>8</v>
      </c>
      <c r="C189" s="183">
        <v>187</v>
      </c>
      <c r="D189" t="s">
        <v>782</v>
      </c>
      <c r="E189" t="s">
        <v>1510</v>
      </c>
      <c r="F189" t="s">
        <v>867</v>
      </c>
      <c r="I189" s="72">
        <f>YEAR(L189)</f>
        <v>2014</v>
      </c>
      <c r="K189" s="9" t="str">
        <f t="shared" si="95"/>
        <v>Olivia (187): 2014</v>
      </c>
      <c r="L189" s="8" t="str">
        <f t="shared" si="102"/>
        <v>11/02/2014</v>
      </c>
      <c r="M189" s="8">
        <v>41681</v>
      </c>
      <c r="O189" s="8"/>
      <c r="P189">
        <f>C189</f>
        <v>187</v>
      </c>
      <c r="Q189" s="19" t="str">
        <f t="shared" si="73"/>
        <v>Olivia (187): 2014–</v>
      </c>
      <c r="R189" s="99">
        <v>167</v>
      </c>
      <c r="S189" t="str">
        <f>VLOOKUP(R189,$P$2:$Q$184,2,TRUE)</f>
        <v>Ben (167): 1988–</v>
      </c>
      <c r="T189">
        <f>VLOOKUP(R189,$C$2:$AH$184,16,TRUE)</f>
        <v>131</v>
      </c>
      <c r="U189" t="str">
        <f>VLOOKUP(T189,$P$2:$Q$184,2,TRUE)</f>
        <v>Dominic (131): 1953–</v>
      </c>
      <c r="V189">
        <f>VLOOKUP(T189,$C$2:$AH$184,16,TRUE)</f>
        <v>94</v>
      </c>
      <c r="W189" t="str">
        <f>VLOOKUP(V189,$P$2:$Q$184,2,TRUE)</f>
        <v>Alwyne (94): 1920–2014</v>
      </c>
      <c r="X189">
        <f>VLOOKUP(V189,$C$2:$AH$184,16,TRUE)</f>
        <v>68</v>
      </c>
      <c r="Y189" t="str">
        <f>VLOOKUP(X189,$P$2:$Q$184,2,TRUE)</f>
        <v>Cecil (68): 1890–1963</v>
      </c>
      <c r="Z189">
        <f>VLOOKUP(X189,$C$2:$AH$184,16,TRUE)</f>
        <v>45</v>
      </c>
      <c r="AA189" t="str">
        <f>VLOOKUP(Z189,$P$2:$Q$184,2,TRUE)</f>
        <v>Llewellyn (45): 1861–1939</v>
      </c>
      <c r="AB189">
        <f>VLOOKUP(Z189,$C$2:$AH$184,16,TRUE)</f>
        <v>22</v>
      </c>
      <c r="AC189" t="str">
        <f>VLOOKUP(AB189,$P$2:$Q$184,2,TRUE)</f>
        <v>Edward (22): 1820–1890</v>
      </c>
      <c r="AD189">
        <f>VLOOKUP(AB189,$C$2:$AH$184,16,TRUE)</f>
        <v>8</v>
      </c>
      <c r="AE189" t="str">
        <f>VLOOKUP(AD189,$P$2:$Q$184,2,TRUE)</f>
        <v>Edward (8): 1780–1863</v>
      </c>
      <c r="AF189" s="42">
        <f t="shared" si="82"/>
        <v>1</v>
      </c>
      <c r="AG189" s="22" t="str">
        <f t="shared" si="83"/>
        <v>William (1): 1729–1800</v>
      </c>
      <c r="AH189" t="s">
        <v>2814</v>
      </c>
      <c r="AI189" s="33" t="s">
        <v>4426</v>
      </c>
      <c r="AJ189" s="264" t="str">
        <f>VLOOKUP(AI189,'Mums of Loyd Edit&amp;Partner Edit'!$B$4:$C$66,2,FALSE)</f>
        <v>Holly Kristina TURNER (b. 10 Jan 1988, )</v>
      </c>
      <c r="AK189" s="33">
        <f t="shared" si="90"/>
        <v>2</v>
      </c>
      <c r="AL189" s="33">
        <f t="shared" si="91"/>
        <v>11</v>
      </c>
      <c r="AM189" s="144">
        <f t="shared" si="84"/>
        <v>7</v>
      </c>
      <c r="AO189">
        <f t="shared" si="101"/>
        <v>8</v>
      </c>
      <c r="AP189">
        <f t="shared" si="93"/>
        <v>8</v>
      </c>
      <c r="AQ189">
        <f t="shared" si="99"/>
        <v>187</v>
      </c>
    </row>
    <row r="190" spans="1:43" ht="18" thickBot="1">
      <c r="A190">
        <f t="shared" si="71"/>
        <v>188</v>
      </c>
      <c r="B190">
        <f t="shared" si="94"/>
        <v>8</v>
      </c>
      <c r="C190" s="183">
        <v>188</v>
      </c>
      <c r="D190" t="s">
        <v>782</v>
      </c>
      <c r="E190" t="s">
        <v>796</v>
      </c>
      <c r="F190" t="s">
        <v>3064</v>
      </c>
      <c r="G190" t="s">
        <v>3090</v>
      </c>
      <c r="H190" t="s">
        <v>1055</v>
      </c>
      <c r="I190" s="72">
        <f t="shared" si="97"/>
        <v>2017</v>
      </c>
      <c r="K190" s="9" t="str">
        <f t="shared" si="95"/>
        <v>Archie (188): 2017</v>
      </c>
      <c r="L190" s="8" t="str">
        <f t="shared" si="102"/>
        <v>26/05/2017</v>
      </c>
      <c r="M190" s="8">
        <v>42881</v>
      </c>
      <c r="O190" s="8"/>
      <c r="P190">
        <f t="shared" si="100"/>
        <v>188</v>
      </c>
      <c r="Q190" s="19" t="str">
        <f t="shared" si="73"/>
        <v>Archie (188): 2017–</v>
      </c>
      <c r="R190" s="99">
        <v>162</v>
      </c>
      <c r="S190" t="str">
        <f t="shared" si="103"/>
        <v>David (162): 1984–</v>
      </c>
      <c r="T190">
        <f t="shared" si="104"/>
        <v>131</v>
      </c>
      <c r="U190" t="str">
        <f t="shared" si="105"/>
        <v>Dominic (131): 1953–</v>
      </c>
      <c r="V190">
        <f t="shared" si="106"/>
        <v>94</v>
      </c>
      <c r="W190" t="str">
        <f t="shared" si="107"/>
        <v>Alwyne (94): 1920–2014</v>
      </c>
      <c r="X190">
        <f t="shared" si="108"/>
        <v>68</v>
      </c>
      <c r="Y190" t="str">
        <f t="shared" si="109"/>
        <v>Cecil (68): 1890–1963</v>
      </c>
      <c r="Z190">
        <f t="shared" si="110"/>
        <v>45</v>
      </c>
      <c r="AA190" t="str">
        <f t="shared" si="111"/>
        <v>Llewellyn (45): 1861–1939</v>
      </c>
      <c r="AB190">
        <f t="shared" si="112"/>
        <v>22</v>
      </c>
      <c r="AC190" t="str">
        <f t="shared" si="113"/>
        <v>Edward (22): 1820–1890</v>
      </c>
      <c r="AD190">
        <f t="shared" si="114"/>
        <v>8</v>
      </c>
      <c r="AE190" t="str">
        <f t="shared" si="115"/>
        <v>Edward (8): 1780–1863</v>
      </c>
      <c r="AF190" s="42">
        <f t="shared" si="82"/>
        <v>1</v>
      </c>
      <c r="AG190" s="22" t="str">
        <f t="shared" si="83"/>
        <v>William (1): 1729–1800</v>
      </c>
      <c r="AH190" t="s">
        <v>2815</v>
      </c>
      <c r="AI190" s="33" t="s">
        <v>4427</v>
      </c>
      <c r="AJ190" s="264" t="str">
        <f>VLOOKUP(AI190,'Mums of Loyd Edit&amp;Partner Edit'!$B$4:$C$66,2,FALSE)</f>
        <v>Laura Mary MUSSELBROOK (b. 23 Sep 1981, )</v>
      </c>
      <c r="AK190" s="33">
        <f t="shared" si="90"/>
        <v>5</v>
      </c>
      <c r="AL190" s="33">
        <f t="shared" si="91"/>
        <v>26</v>
      </c>
      <c r="AM190" s="144">
        <f t="shared" si="84"/>
        <v>7</v>
      </c>
      <c r="AO190">
        <f t="shared" si="101"/>
        <v>5</v>
      </c>
      <c r="AP190">
        <f t="shared" si="93"/>
        <v>5</v>
      </c>
      <c r="AQ190">
        <f t="shared" si="99"/>
        <v>188</v>
      </c>
    </row>
    <row r="191" spans="1:43" ht="18" thickBot="1">
      <c r="A191">
        <f t="shared" si="71"/>
        <v>189</v>
      </c>
      <c r="B191">
        <f t="shared" si="94"/>
        <v>8</v>
      </c>
      <c r="C191" s="183">
        <v>189</v>
      </c>
      <c r="D191" t="s">
        <v>782</v>
      </c>
      <c r="E191" t="s">
        <v>3091</v>
      </c>
      <c r="F191" t="s">
        <v>924</v>
      </c>
      <c r="G191" t="s">
        <v>3090</v>
      </c>
      <c r="I191" s="72">
        <f t="shared" si="97"/>
        <v>2019</v>
      </c>
      <c r="K191" s="9" t="str">
        <f t="shared" si="95"/>
        <v>Rory (189): 2019</v>
      </c>
      <c r="L191" s="8" t="str">
        <f t="shared" si="102"/>
        <v>13/10/2019</v>
      </c>
      <c r="M191" s="8">
        <v>43751</v>
      </c>
      <c r="O191" s="8"/>
      <c r="P191">
        <f t="shared" si="100"/>
        <v>189</v>
      </c>
      <c r="Q191" s="19" t="str">
        <f t="shared" si="73"/>
        <v>Rory (189): 2019–</v>
      </c>
      <c r="R191" s="99">
        <v>162</v>
      </c>
      <c r="S191" t="str">
        <f t="shared" si="103"/>
        <v>David (162): 1984–</v>
      </c>
      <c r="T191">
        <f t="shared" si="104"/>
        <v>131</v>
      </c>
      <c r="U191" t="str">
        <f t="shared" si="105"/>
        <v>Dominic (131): 1953–</v>
      </c>
      <c r="V191">
        <f t="shared" si="106"/>
        <v>94</v>
      </c>
      <c r="W191" t="str">
        <f t="shared" si="107"/>
        <v>Alwyne (94): 1920–2014</v>
      </c>
      <c r="X191">
        <f t="shared" si="108"/>
        <v>68</v>
      </c>
      <c r="Y191" t="str">
        <f t="shared" si="109"/>
        <v>Cecil (68): 1890–1963</v>
      </c>
      <c r="Z191">
        <f t="shared" si="110"/>
        <v>45</v>
      </c>
      <c r="AA191" t="str">
        <f t="shared" si="111"/>
        <v>Llewellyn (45): 1861–1939</v>
      </c>
      <c r="AB191">
        <f t="shared" si="112"/>
        <v>22</v>
      </c>
      <c r="AC191" t="str">
        <f t="shared" si="113"/>
        <v>Edward (22): 1820–1890</v>
      </c>
      <c r="AD191">
        <f t="shared" si="114"/>
        <v>8</v>
      </c>
      <c r="AE191" t="str">
        <f t="shared" si="115"/>
        <v>Edward (8): 1780–1863</v>
      </c>
      <c r="AF191" s="42">
        <f t="shared" si="82"/>
        <v>1</v>
      </c>
      <c r="AG191" s="22" t="str">
        <f t="shared" si="83"/>
        <v>William (1): 1729–1800</v>
      </c>
      <c r="AH191" t="s">
        <v>2815</v>
      </c>
      <c r="AI191" s="33" t="s">
        <v>4427</v>
      </c>
      <c r="AJ191" s="264" t="str">
        <f>VLOOKUP(AI191,'Mums of Loyd Edit&amp;Partner Edit'!$B$4:$C$66,2,FALSE)</f>
        <v>Laura Mary MUSSELBROOK (b. 23 Sep 1981, )</v>
      </c>
      <c r="AK191" s="33">
        <f t="shared" si="90"/>
        <v>10</v>
      </c>
      <c r="AL191" s="33">
        <f t="shared" si="91"/>
        <v>13</v>
      </c>
      <c r="AM191" s="144">
        <f t="shared" si="84"/>
        <v>7</v>
      </c>
      <c r="AO191">
        <f t="shared" si="101"/>
        <v>2</v>
      </c>
      <c r="AP191">
        <f t="shared" si="93"/>
        <v>2</v>
      </c>
      <c r="AQ191">
        <f t="shared" si="99"/>
        <v>189</v>
      </c>
    </row>
    <row r="192" spans="1:43" ht="17">
      <c r="A192">
        <f t="shared" si="71"/>
        <v>190</v>
      </c>
      <c r="B192">
        <f t="shared" si="94"/>
        <v>8</v>
      </c>
      <c r="C192" s="183">
        <v>190</v>
      </c>
      <c r="D192" t="s">
        <v>1066</v>
      </c>
      <c r="E192" t="s">
        <v>946</v>
      </c>
      <c r="F192" t="s">
        <v>3113</v>
      </c>
      <c r="I192" s="72">
        <f t="shared" si="97"/>
        <v>2021</v>
      </c>
      <c r="K192" s="9" t="str">
        <f t="shared" si="95"/>
        <v>Daisy (190): 2021</v>
      </c>
      <c r="L192" s="8" t="str">
        <f t="shared" si="102"/>
        <v>12/10/2021</v>
      </c>
      <c r="M192" s="8">
        <v>44481</v>
      </c>
      <c r="O192" s="8"/>
      <c r="P192">
        <f>C192</f>
        <v>190</v>
      </c>
      <c r="Q192" s="19" t="str">
        <f t="shared" si="73"/>
        <v>Daisy (190): 2021–</v>
      </c>
      <c r="R192" s="99">
        <v>167</v>
      </c>
      <c r="S192" t="str">
        <f t="shared" si="103"/>
        <v>Ben (167): 1988–</v>
      </c>
      <c r="T192">
        <f t="shared" si="104"/>
        <v>131</v>
      </c>
      <c r="U192" t="str">
        <f t="shared" si="105"/>
        <v>Dominic (131): 1953–</v>
      </c>
      <c r="V192">
        <f t="shared" si="106"/>
        <v>94</v>
      </c>
      <c r="W192" t="str">
        <f t="shared" si="107"/>
        <v>Alwyne (94): 1920–2014</v>
      </c>
      <c r="X192">
        <f t="shared" si="108"/>
        <v>68</v>
      </c>
      <c r="Y192" t="str">
        <f t="shared" si="109"/>
        <v>Cecil (68): 1890–1963</v>
      </c>
      <c r="Z192">
        <f t="shared" si="110"/>
        <v>45</v>
      </c>
      <c r="AA192" t="str">
        <f t="shared" si="111"/>
        <v>Llewellyn (45): 1861–1939</v>
      </c>
      <c r="AB192">
        <f t="shared" si="112"/>
        <v>22</v>
      </c>
      <c r="AC192" t="str">
        <f t="shared" si="113"/>
        <v>Edward (22): 1820–1890</v>
      </c>
      <c r="AD192">
        <f t="shared" si="114"/>
        <v>8</v>
      </c>
      <c r="AE192" t="str">
        <f t="shared" si="115"/>
        <v>Edward (8): 1780–1863</v>
      </c>
      <c r="AF192" s="42">
        <f t="shared" si="82"/>
        <v>1</v>
      </c>
      <c r="AG192" s="22" t="str">
        <f t="shared" si="83"/>
        <v>William (1): 1729–1800</v>
      </c>
      <c r="AH192" t="s">
        <v>2814</v>
      </c>
      <c r="AI192" s="33" t="s">
        <v>4426</v>
      </c>
      <c r="AJ192" s="264" t="str">
        <f>VLOOKUP(AI192,'Mums of Loyd Edit&amp;Partner Edit'!$B$4:$C$66,2,FALSE)</f>
        <v>Holly Kristina TURNER (b. 10 Jan 1988, )</v>
      </c>
      <c r="AK192" s="33">
        <f t="shared" si="90"/>
        <v>10</v>
      </c>
      <c r="AL192" s="33">
        <f t="shared" si="91"/>
        <v>12</v>
      </c>
      <c r="AM192" s="144">
        <f t="shared" si="84"/>
        <v>7</v>
      </c>
      <c r="AO192">
        <f t="shared" si="101"/>
        <v>0</v>
      </c>
      <c r="AP192">
        <f t="shared" si="93"/>
        <v>0</v>
      </c>
      <c r="AQ192">
        <f t="shared" si="99"/>
        <v>190</v>
      </c>
    </row>
    <row r="193" spans="37:42">
      <c r="AK193" s="33"/>
      <c r="AL193" s="33"/>
      <c r="AO193">
        <f t="shared" si="101"/>
        <v>0</v>
      </c>
      <c r="AP193"/>
    </row>
    <row r="194" spans="37:42">
      <c r="AK194" s="33"/>
      <c r="AL194" s="33"/>
      <c r="AO194">
        <f t="shared" si="101"/>
        <v>0</v>
      </c>
      <c r="AP194"/>
    </row>
    <row r="195" spans="37:42">
      <c r="AK195" s="33"/>
      <c r="AL195" s="33"/>
      <c r="AO195">
        <f t="shared" ref="AO195:AO196" si="116">IF(O195&lt;&gt;"",IF(AK195&gt;AM195,J195-I195-1,IF(AK195&lt;AM195,J195-I195,IF(AND(AK195=AM195,AN195&gt;=AL195),J195-I195,J195-I195-1))),AP195)</f>
        <v>0</v>
      </c>
      <c r="AP195"/>
    </row>
    <row r="196" spans="37:42">
      <c r="AK196" s="33"/>
      <c r="AL196" s="33"/>
      <c r="AO196">
        <f t="shared" si="116"/>
        <v>0</v>
      </c>
      <c r="AP196"/>
    </row>
  </sheetData>
  <autoFilter ref="A1:AQ196" xr:uid="{CCB70F51-72EF-E045-BA10-08AABCFCCDCA}"/>
  <sortState xmlns:xlrd2="http://schemas.microsoft.com/office/spreadsheetml/2017/richdata2" ref="A3:D3013">
    <sortCondition ref="C3:C3013"/>
  </sortState>
  <phoneticPr fontId="10" type="noConversion"/>
  <pageMargins left="0.7" right="0.7" top="0.75" bottom="0.75" header="0.3" footer="0.3"/>
  <pageSetup paperSize="9"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C155-5103-8A4F-83A0-F6F92B51FE4B}">
  <dimension ref="A1:HK422"/>
  <sheetViews>
    <sheetView topLeftCell="DC26" workbookViewId="0">
      <selection activeCell="DG39" sqref="DG39"/>
    </sheetView>
  </sheetViews>
  <sheetFormatPr baseColWidth="10" defaultRowHeight="16"/>
  <cols>
    <col min="2" max="2" width="34.6640625" style="72" bestFit="1" customWidth="1"/>
    <col min="3" max="3" width="11.83203125" customWidth="1"/>
    <col min="4" max="4" width="10.6640625" customWidth="1"/>
    <col min="5" max="5" width="10.33203125" customWidth="1"/>
    <col min="6" max="6" width="146" customWidth="1"/>
    <col min="7" max="7" width="139.83203125" style="125" customWidth="1"/>
    <col min="8" max="8" width="15.5" style="125" customWidth="1"/>
    <col min="9" max="9" width="10.33203125" customWidth="1"/>
    <col min="10" max="10" width="27.1640625" bestFit="1" customWidth="1"/>
    <col min="11" max="11" width="29.33203125" bestFit="1" customWidth="1"/>
    <col min="12" max="12" width="26.6640625" bestFit="1" customWidth="1"/>
    <col min="13" max="13" width="27.83203125" bestFit="1" customWidth="1"/>
    <col min="14" max="14" width="26.1640625" bestFit="1" customWidth="1"/>
    <col min="15" max="15" width="28" bestFit="1" customWidth="1"/>
    <col min="16" max="16" width="26" bestFit="1" customWidth="1"/>
    <col min="17" max="17" width="21" bestFit="1" customWidth="1"/>
    <col min="18" max="18" width="21.6640625" bestFit="1" customWidth="1"/>
    <col min="19" max="22" width="10.33203125" customWidth="1"/>
    <col min="27" max="27" width="13" bestFit="1" customWidth="1"/>
    <col min="28" max="28" width="14.5" customWidth="1"/>
    <col min="29" max="29" width="14.6640625" customWidth="1"/>
    <col min="30" max="34" width="13.1640625" bestFit="1" customWidth="1"/>
    <col min="35" max="37" width="12.1640625" bestFit="1" customWidth="1"/>
    <col min="40" max="42" width="8" customWidth="1"/>
    <col min="43" max="43" width="13.33203125" bestFit="1" customWidth="1"/>
    <col min="44" max="44" width="12.1640625" bestFit="1" customWidth="1"/>
    <col min="45" max="45" width="23.83203125" customWidth="1"/>
    <col min="46" max="46" width="19.6640625" customWidth="1"/>
    <col min="47" max="47" width="12.6640625" customWidth="1"/>
    <col min="48" max="48" width="13" customWidth="1"/>
    <col min="49" max="49" width="13.5" customWidth="1"/>
    <col min="50" max="50" width="13.1640625" customWidth="1"/>
    <col min="51" max="51" width="12.33203125" customWidth="1"/>
    <col min="52" max="52" width="12.83203125" customWidth="1"/>
    <col min="53" max="53" width="9.83203125" customWidth="1"/>
    <col min="55" max="55" width="196.33203125" bestFit="1" customWidth="1"/>
    <col min="62" max="62" width="46.6640625" customWidth="1"/>
    <col min="63" max="63" width="39.33203125" bestFit="1" customWidth="1"/>
    <col min="64" max="64" width="58.83203125" bestFit="1" customWidth="1"/>
    <col min="65" max="67" width="58.83203125" customWidth="1"/>
    <col min="68" max="68" width="33" customWidth="1"/>
    <col min="69" max="70" width="58.83203125" customWidth="1"/>
    <col min="71" max="71" width="11.6640625" customWidth="1"/>
    <col min="72" max="72" width="180" customWidth="1"/>
    <col min="73" max="73" width="16.1640625" customWidth="1"/>
    <col min="76" max="76" width="13" bestFit="1" customWidth="1"/>
    <col min="77" max="77" width="7.1640625" customWidth="1"/>
    <col min="78" max="78" width="13.5" customWidth="1"/>
    <col min="79" max="79" width="48.1640625" customWidth="1"/>
    <col min="80" max="80" width="47.83203125" customWidth="1"/>
    <col min="81" max="81" width="37.83203125" bestFit="1" customWidth="1"/>
    <col min="82" max="82" width="46.83203125" bestFit="1" customWidth="1"/>
    <col min="83" max="83" width="42.5" bestFit="1" customWidth="1"/>
    <col min="84" max="84" width="45.1640625" bestFit="1" customWidth="1"/>
    <col min="85" max="85" width="33.83203125" bestFit="1" customWidth="1"/>
    <col min="86" max="86" width="35.33203125" bestFit="1" customWidth="1"/>
    <col min="87" max="87" width="5.1640625" bestFit="1" customWidth="1"/>
    <col min="88" max="88" width="5" bestFit="1" customWidth="1"/>
    <col min="89" max="92" width="5.1640625" bestFit="1" customWidth="1"/>
    <col min="93" max="93" width="38.33203125" customWidth="1"/>
    <col min="94" max="94" width="14" customWidth="1"/>
    <col min="95" max="95" width="13" customWidth="1"/>
    <col min="96" max="96" width="13.6640625" customWidth="1"/>
    <col min="97" max="97" width="12.83203125" customWidth="1"/>
    <col min="98" max="98" width="14.33203125" customWidth="1"/>
    <col min="99" max="99" width="17" customWidth="1"/>
    <col min="100" max="100" width="13.33203125" customWidth="1"/>
    <col min="101" max="101" width="12.1640625" customWidth="1"/>
    <col min="102" max="104" width="5.1640625" bestFit="1" customWidth="1"/>
    <col min="105" max="105" width="8.33203125" bestFit="1" customWidth="1"/>
    <col min="106" max="106" width="5.1640625" bestFit="1" customWidth="1"/>
    <col min="107" max="107" width="10.5" customWidth="1"/>
    <col min="108" max="108" width="20.1640625" customWidth="1"/>
    <col min="109" max="109" width="5" bestFit="1" customWidth="1"/>
    <col min="110" max="110" width="16.83203125" style="117" customWidth="1"/>
    <col min="111" max="111" width="13" customWidth="1"/>
    <col min="112" max="112" width="41.33203125" style="99" customWidth="1"/>
    <col min="113" max="113" width="5" bestFit="1" customWidth="1"/>
    <col min="114" max="117" width="5.1640625" bestFit="1" customWidth="1"/>
    <col min="118" max="118" width="5" bestFit="1" customWidth="1"/>
    <col min="119" max="120" width="4.1640625" bestFit="1" customWidth="1"/>
    <col min="121" max="121" width="4" bestFit="1" customWidth="1"/>
    <col min="122" max="123" width="4.1640625" bestFit="1" customWidth="1"/>
    <col min="124" max="140" width="5.1640625" bestFit="1" customWidth="1"/>
    <col min="141" max="141" width="5" bestFit="1" customWidth="1"/>
    <col min="142" max="154" width="5.1640625" bestFit="1" customWidth="1"/>
    <col min="155" max="155" width="5" bestFit="1" customWidth="1"/>
    <col min="156" max="160" width="5.1640625" bestFit="1" customWidth="1"/>
    <col min="161" max="162" width="4.1640625" bestFit="1" customWidth="1"/>
    <col min="163" max="163" width="4" bestFit="1" customWidth="1"/>
    <col min="164" max="167" width="4.1640625" bestFit="1" customWidth="1"/>
    <col min="168" max="168" width="4" bestFit="1" customWidth="1"/>
    <col min="169" max="170" width="4.1640625" bestFit="1" customWidth="1"/>
    <col min="171" max="172" width="3.1640625" bestFit="1" customWidth="1"/>
    <col min="173" max="173" width="3" bestFit="1" customWidth="1"/>
    <col min="174" max="175" width="4.1640625" bestFit="1" customWidth="1"/>
    <col min="176" max="176" width="4" bestFit="1" customWidth="1"/>
    <col min="177" max="178" width="4.1640625" bestFit="1" customWidth="1"/>
    <col min="179" max="179" width="3.83203125" bestFit="1" customWidth="1"/>
    <col min="180" max="187" width="4.1640625" bestFit="1" customWidth="1"/>
    <col min="188" max="188" width="4" bestFit="1" customWidth="1"/>
    <col min="189" max="190" width="4.1640625" bestFit="1" customWidth="1"/>
    <col min="191" max="191" width="4" bestFit="1" customWidth="1"/>
    <col min="192" max="193" width="4.1640625" bestFit="1" customWidth="1"/>
    <col min="194" max="194" width="4" bestFit="1" customWidth="1"/>
    <col min="195" max="196" width="4.1640625" bestFit="1" customWidth="1"/>
    <col min="197" max="197" width="3.83203125" bestFit="1" customWidth="1"/>
    <col min="198" max="199" width="4.1640625" bestFit="1" customWidth="1"/>
    <col min="200" max="200" width="4" bestFit="1" customWidth="1"/>
    <col min="201" max="203" width="4.1640625" bestFit="1" customWidth="1"/>
    <col min="204" max="204" width="4" bestFit="1" customWidth="1"/>
    <col min="205" max="206" width="4.1640625" bestFit="1" customWidth="1"/>
    <col min="207" max="207" width="4" bestFit="1" customWidth="1"/>
    <col min="208" max="209" width="4.1640625" bestFit="1" customWidth="1"/>
    <col min="210" max="210" width="4" bestFit="1" customWidth="1"/>
    <col min="211" max="215" width="4.1640625" bestFit="1" customWidth="1"/>
    <col min="216" max="216" width="4" bestFit="1" customWidth="1"/>
    <col min="217" max="218" width="4.1640625" bestFit="1" customWidth="1"/>
  </cols>
  <sheetData>
    <row r="1" spans="1:219" s="5" customFormat="1" ht="59" customHeight="1" thickBot="1">
      <c r="A1" s="286" t="str">
        <f>'Loyd List 1-190 - Edit'!C1</f>
        <v>Loyd #</v>
      </c>
      <c r="B1" s="294" t="s">
        <v>4444</v>
      </c>
      <c r="C1" s="286" t="s">
        <v>4436</v>
      </c>
      <c r="D1" s="286" t="s">
        <v>4437</v>
      </c>
      <c r="E1" s="286" t="str">
        <f>_xlfn.CONCAT("Check: ",SUM(E2:E200)," Loyds")</f>
        <v>Check: 190 Loyds</v>
      </c>
      <c r="F1" s="36" t="s">
        <v>4443</v>
      </c>
      <c r="G1" s="125"/>
      <c r="H1" s="125"/>
      <c r="I1" s="100"/>
      <c r="J1" s="117">
        <f t="shared" ref="J1:U1" si="0">AC2+1</f>
        <v>2</v>
      </c>
      <c r="K1" s="117">
        <f t="shared" si="0"/>
        <v>3</v>
      </c>
      <c r="L1" s="117">
        <f t="shared" si="0"/>
        <v>4</v>
      </c>
      <c r="M1" s="117">
        <f t="shared" si="0"/>
        <v>5</v>
      </c>
      <c r="N1" s="117">
        <f t="shared" si="0"/>
        <v>6</v>
      </c>
      <c r="O1" s="117">
        <f t="shared" si="0"/>
        <v>7</v>
      </c>
      <c r="P1" s="117">
        <f t="shared" si="0"/>
        <v>8</v>
      </c>
      <c r="Q1" s="117">
        <f t="shared" si="0"/>
        <v>9</v>
      </c>
      <c r="R1" s="117">
        <f t="shared" si="0"/>
        <v>10</v>
      </c>
      <c r="S1" s="117">
        <f t="shared" si="0"/>
        <v>11</v>
      </c>
      <c r="T1" s="117">
        <f t="shared" si="0"/>
        <v>1</v>
      </c>
      <c r="U1" s="117">
        <f t="shared" si="0"/>
        <v>1</v>
      </c>
      <c r="V1" s="100"/>
      <c r="AB1" s="285" t="s">
        <v>4440</v>
      </c>
      <c r="AC1" s="279" t="s">
        <v>4441</v>
      </c>
      <c r="AD1" s="279"/>
      <c r="AE1" s="279"/>
      <c r="AF1" s="279"/>
      <c r="AG1" s="279"/>
      <c r="AH1" s="279"/>
      <c r="AI1" s="279"/>
      <c r="AJ1" s="279"/>
      <c r="AK1" s="279"/>
      <c r="AL1" s="279"/>
      <c r="AM1" s="275"/>
      <c r="AN1" s="275"/>
      <c r="AO1" s="275"/>
      <c r="AP1" s="275"/>
      <c r="AQ1" s="275"/>
      <c r="AR1"/>
      <c r="AS1" s="277">
        <f>AC2</f>
        <v>1</v>
      </c>
      <c r="AT1" s="277">
        <f t="shared" ref="AT1:BB1" si="1">AD2</f>
        <v>2</v>
      </c>
      <c r="AU1" s="277">
        <f t="shared" si="1"/>
        <v>3</v>
      </c>
      <c r="AV1" s="277">
        <f t="shared" si="1"/>
        <v>4</v>
      </c>
      <c r="AW1" s="277">
        <f t="shared" si="1"/>
        <v>5</v>
      </c>
      <c r="AX1" s="277">
        <f t="shared" si="1"/>
        <v>6</v>
      </c>
      <c r="AY1" s="277">
        <f t="shared" si="1"/>
        <v>7</v>
      </c>
      <c r="AZ1" s="277">
        <f t="shared" si="1"/>
        <v>8</v>
      </c>
      <c r="BA1" s="277">
        <f t="shared" si="1"/>
        <v>9</v>
      </c>
      <c r="BB1" s="277">
        <f t="shared" si="1"/>
        <v>10</v>
      </c>
      <c r="BC1" s="100" t="s">
        <v>4438</v>
      </c>
      <c r="BH1" s="36" t="s">
        <v>5216</v>
      </c>
      <c r="BI1" s="36" t="s">
        <v>1142</v>
      </c>
      <c r="BJ1" s="36" t="s">
        <v>3250</v>
      </c>
      <c r="BK1" s="36" t="s">
        <v>5217</v>
      </c>
      <c r="BL1" s="36" t="s">
        <v>5221</v>
      </c>
      <c r="BM1" s="36" t="s">
        <v>5220</v>
      </c>
      <c r="BN1" s="36"/>
      <c r="BO1" s="36"/>
      <c r="BP1" s="36" t="str">
        <f>CP1</f>
        <v>Surname</v>
      </c>
      <c r="BQ1" s="36" t="str">
        <f>CQ1</f>
        <v>1st Name</v>
      </c>
      <c r="BR1" s="36" t="str">
        <f>CT1</f>
        <v>Known as</v>
      </c>
      <c r="BS1" s="36" t="s">
        <v>5222</v>
      </c>
      <c r="BT1" s="36"/>
      <c r="BU1" s="36"/>
      <c r="BW1" s="5" t="s">
        <v>5219</v>
      </c>
      <c r="BX1" s="111" t="s">
        <v>2811</v>
      </c>
      <c r="BY1" t="s">
        <v>5218</v>
      </c>
      <c r="BZ1" s="116">
        <f>MAX(BY2:BY48)</f>
        <v>8</v>
      </c>
      <c r="CA1"/>
      <c r="CB1"/>
      <c r="CC1"/>
      <c r="CD1"/>
      <c r="CE1"/>
      <c r="CF1"/>
      <c r="CG1"/>
      <c r="CH1"/>
      <c r="CI1"/>
      <c r="CJ1"/>
      <c r="CK1"/>
      <c r="CL1"/>
      <c r="CM1"/>
      <c r="CN1"/>
      <c r="CO1" s="97" t="s">
        <v>1142</v>
      </c>
      <c r="CP1" s="34" t="s">
        <v>781</v>
      </c>
      <c r="CQ1" s="33" t="s">
        <v>777</v>
      </c>
      <c r="CR1" s="33" t="s">
        <v>778</v>
      </c>
      <c r="CS1" s="33" t="s">
        <v>779</v>
      </c>
      <c r="CT1" s="33" t="s">
        <v>2957</v>
      </c>
      <c r="CU1" s="33" t="s">
        <v>1154</v>
      </c>
      <c r="CV1" s="33" t="s">
        <v>1177</v>
      </c>
      <c r="CW1"/>
      <c r="CX1"/>
      <c r="CY1"/>
      <c r="CZ1"/>
      <c r="DA1"/>
      <c r="DB1"/>
      <c r="DC1"/>
      <c r="DD1" s="100" t="s">
        <v>5223</v>
      </c>
      <c r="DE1" s="5">
        <f>SUM(DE2:DE106)</f>
        <v>331</v>
      </c>
      <c r="DF1" s="100" t="s">
        <v>5225</v>
      </c>
      <c r="DG1" s="5" t="s">
        <v>5224</v>
      </c>
      <c r="DH1" s="99"/>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row>
    <row r="2" spans="1:219" ht="29" customHeight="1">
      <c r="A2" s="287">
        <f>'Loyd List 1-190 - Edit'!C2</f>
        <v>0</v>
      </c>
      <c r="B2" s="295"/>
      <c r="C2" s="287">
        <f>VLOOKUP(A2,'Loyd List 1-190 - Edit'!$P$1:$R$200,3,FALSE)</f>
        <v>-1</v>
      </c>
      <c r="D2" s="287"/>
      <c r="E2" s="287">
        <f>COUNTIF($AC$3:$AN$61,A2)</f>
        <v>0</v>
      </c>
      <c r="F2" s="117"/>
      <c r="I2" s="117"/>
      <c r="V2" s="117"/>
      <c r="AA2" t="s">
        <v>4435</v>
      </c>
      <c r="AB2" s="284" t="s">
        <v>4434</v>
      </c>
      <c r="AC2" s="280">
        <v>1</v>
      </c>
      <c r="AD2" s="280">
        <v>2</v>
      </c>
      <c r="AE2" s="280">
        <v>3</v>
      </c>
      <c r="AF2" s="280">
        <v>4</v>
      </c>
      <c r="AG2" s="280">
        <v>5</v>
      </c>
      <c r="AH2" s="280">
        <v>6</v>
      </c>
      <c r="AI2" s="280">
        <v>7</v>
      </c>
      <c r="AJ2" s="280">
        <v>8</v>
      </c>
      <c r="AK2" s="280">
        <v>9</v>
      </c>
      <c r="AL2" s="280">
        <v>10</v>
      </c>
      <c r="AM2" s="274"/>
      <c r="AN2" s="274"/>
      <c r="AO2" s="276"/>
      <c r="AP2" s="276"/>
      <c r="AQ2" s="278" t="str">
        <f>AA2</f>
        <v># of CHILDREN</v>
      </c>
      <c r="AR2" t="s">
        <v>4439</v>
      </c>
      <c r="AS2" s="277" t="s">
        <v>4438</v>
      </c>
      <c r="BH2" s="116">
        <f>VALUE(IF(LEN(BI2)=2,LEFT(BI2,1),IF(LEN(BI2)=3,LEFT(BI2,2),IF(LEN(BI2)=4,LEFT(BI2,3)))))</f>
        <v>2</v>
      </c>
      <c r="BI2" s="3" t="s">
        <v>1949</v>
      </c>
      <c r="BJ2" s="3" t="s">
        <v>5145</v>
      </c>
      <c r="BK2" t="str">
        <f>LEFT(BJ2,LEN(BJ2)-1)</f>
        <v>Lewis DAVIES or DANIEL (Unknown–Unknown</v>
      </c>
      <c r="BL2" t="str">
        <f>_xlfn.CONCAT(BR2," ",BP2," (",CU2,"–",CV2,": #",BI2,")")</f>
        <v>Lewis DAVIES or DANIEL (Unknown–Unknown: #2a)</v>
      </c>
      <c r="BM2" t="str">
        <f>_xlfn.CONCAT(BK2,": #",BI2,")")</f>
        <v>Lewis DAVIES or DANIEL (Unknown–Unknown: #2a)</v>
      </c>
      <c r="BP2" t="str">
        <f>VLOOKUP($BI2,$CO$1:$CV$291,2,FALSE)</f>
        <v>DAVIES or DANIEL</v>
      </c>
      <c r="BQ2" t="str">
        <f>VLOOKUP($BI2,$CO$1:$CV$291,3,FALSE)</f>
        <v>Lewis</v>
      </c>
      <c r="BR2" s="116" t="str">
        <f>IF(VLOOKUP($BI2,$CO$1:$CV$291,6,FALSE)=0,BQ2,VLOOKUP($BI2,$CO$1:$CV$291,6,FALSE))</f>
        <v>Lewis</v>
      </c>
      <c r="BS2" s="116">
        <f>BX2</f>
        <v>2</v>
      </c>
      <c r="BT2" t="str">
        <f>_xlfn.CONCAT(BZ2," – ",CA2," ",CB2," ",CC2)</f>
        <v>3 – Lewis DAVIES or DANIEL (Unknown–Unknown: #2a) Ann DAVIES or DANIEL (Unknown–Unknown: #2b) William DAVIES or DANIEL (1800–1832: #2c)</v>
      </c>
      <c r="BU2" s="116">
        <f>BZ2</f>
        <v>3</v>
      </c>
      <c r="BW2" s="116">
        <f>BY2-BZ2</f>
        <v>0</v>
      </c>
      <c r="BX2" s="72">
        <v>2</v>
      </c>
      <c r="BY2">
        <v>3</v>
      </c>
      <c r="BZ2" s="116">
        <f>9-COUNTIF(CA2:CI2,"")</f>
        <v>3</v>
      </c>
      <c r="CA2" t="str" cm="1">
        <f t="array" ref="CA2:CC2">TRANSPOSE(BL2:BL4)</f>
        <v>Lewis DAVIES or DANIEL (Unknown–Unknown: #2a)</v>
      </c>
      <c r="CB2" t="str">
        <v>Ann DAVIES or DANIEL (Unknown–Unknown: #2b)</v>
      </c>
      <c r="CC2" t="str">
        <v>William DAVIES or DANIEL (1800–1832: #2c)</v>
      </c>
      <c r="CO2" s="151" t="s">
        <v>1949</v>
      </c>
      <c r="CP2" s="6" t="s">
        <v>1962</v>
      </c>
      <c r="CQ2" s="5" t="s">
        <v>914</v>
      </c>
      <c r="CR2" s="5"/>
      <c r="CS2" s="5"/>
      <c r="CT2" s="5"/>
      <c r="CU2" s="5" t="s">
        <v>3448</v>
      </c>
      <c r="CV2" s="5" t="s">
        <v>3448</v>
      </c>
      <c r="DC2" s="117">
        <f>106-RANK(DD2,$DD$2:$DD$106)</f>
        <v>2</v>
      </c>
      <c r="DD2" s="116">
        <v>2</v>
      </c>
      <c r="DE2">
        <f>VALUE(LEFT(DH2,1))</f>
        <v>7</v>
      </c>
      <c r="DF2" s="117">
        <v>1</v>
      </c>
      <c r="DG2" s="117">
        <f>VALUE(VLOOKUP(DF2,$DC$2:$DD$106,2,FALSE))</f>
        <v>1</v>
      </c>
      <c r="DH2" s="99" t="str">
        <f>IF(ISNA(VLOOKUP(VALUE(DG2),$AR$2:$BC$61,12,FALSE)),VLOOKUP(VALUE(DG2),$BS$2:$BT$48,2,FALSE),VLOOKUP(VALUE(DG2),$AR$2:$BC$61,12,FALSE))</f>
        <v xml:space="preserve">7 – Jane (1765–1832: #2) Lewis LOYD (1768–1858: #3) William (1770–1828: #4) Catherine (1772–1798: #5) Thomas (1775–1853: #6) Gwenllian (1777–1779: #7) Edward (1780–1863: #8) </v>
      </c>
    </row>
    <row r="3" spans="1:219" ht="27" customHeight="1">
      <c r="A3" s="287">
        <f>'Loyd List 1-190 - Edit'!C3</f>
        <v>1</v>
      </c>
      <c r="B3" s="295" t="str">
        <f>VLOOKUP(A3,'Book Details - NO EDIT'!$U$3:$X$192,4,FALSE)</f>
        <v>William (1729–1800: #1)</v>
      </c>
      <c r="C3" s="287">
        <f>VLOOKUP(A3,'Loyd List 1-190 - Edit'!$P$1:$R$200,3,FALSE)</f>
        <v>0</v>
      </c>
      <c r="D3" s="287">
        <f>VLOOKUP(C3,$Z$3:$AA$67,2,FALSE)</f>
        <v>1</v>
      </c>
      <c r="E3" s="287">
        <f t="shared" ref="E3:E66" si="2">COUNTIF($AC$3:$AN$61,A3)</f>
        <v>1</v>
      </c>
      <c r="F3" s="201" t="s">
        <v>4442</v>
      </c>
      <c r="G3" s="125" t="str">
        <f>'Loyd Book 2022 - Print'!N3</f>
        <v>5 – Gwenllian Lloyd (1719 - c1800) Edward Lloyd (1721 - 1751) Elizabeth Lloyd (1726 - 1777) Jane Lloyd (recorded living in 1766) Catherine Lloyd (recorded living in 1766)</v>
      </c>
      <c r="H3" s="125">
        <f>VALUE(LEFT(F3,1))-VALUE(LEFT(G3,1))</f>
        <v>0</v>
      </c>
      <c r="J3" s="117"/>
      <c r="K3" s="117"/>
      <c r="L3" s="117"/>
      <c r="M3" s="117"/>
      <c r="N3" s="117"/>
      <c r="O3" s="117"/>
      <c r="P3" s="117"/>
      <c r="Q3" s="117"/>
      <c r="R3" s="117"/>
      <c r="S3" s="117"/>
      <c r="T3" s="117"/>
      <c r="U3" s="117"/>
      <c r="V3" s="117"/>
      <c r="Z3" s="116">
        <f>AB3</f>
        <v>0</v>
      </c>
      <c r="AA3" s="124">
        <f t="shared" ref="AA3:AA34" si="3">COUNTIF(AC3:AN3,"&gt;0")</f>
        <v>1</v>
      </c>
      <c r="AB3" s="281">
        <v>0</v>
      </c>
      <c r="AC3" s="281">
        <v>1</v>
      </c>
      <c r="AD3" s="281"/>
      <c r="AE3" s="281"/>
      <c r="AF3" s="281"/>
      <c r="AG3" s="281"/>
      <c r="AH3" s="281"/>
      <c r="AI3" s="281"/>
      <c r="AJ3" s="281"/>
      <c r="AK3" s="281"/>
      <c r="AL3" s="281"/>
      <c r="AM3" s="272"/>
      <c r="AN3" s="272"/>
      <c r="AO3" s="272"/>
      <c r="AP3" s="272"/>
      <c r="AQ3" s="276">
        <f t="shared" ref="AQ3:AQ61" si="4">AA3</f>
        <v>1</v>
      </c>
      <c r="AR3" s="117">
        <f>AB3</f>
        <v>0</v>
      </c>
      <c r="AS3" s="271" t="str">
        <f>VLOOKUP(AC3,$A$1:$B$192,2,FALSE)</f>
        <v>William (1729–1800: #1)</v>
      </c>
      <c r="BH3" s="116">
        <f t="shared" ref="BH3:BH66" si="5">VALUE(IF(LEN(BI3)=2,LEFT(BI3,1),IF(LEN(BI3)=3,LEFT(BI3,2),IF(LEN(BI3)=4,LEFT(BI3,3)))))</f>
        <v>2</v>
      </c>
      <c r="BI3" s="3" t="s">
        <v>1965</v>
      </c>
      <c r="BJ3" s="3" t="s">
        <v>5146</v>
      </c>
      <c r="BK3" t="str">
        <f t="shared" ref="BK3:BK66" si="6">LEFT(BJ3,LEN(BJ3)-1)</f>
        <v>Ann DAVIES or DANIEL (Unknown–Unknown</v>
      </c>
      <c r="BL3" t="str">
        <f t="shared" ref="BL3:BL66" si="7">_xlfn.CONCAT(BR3," ",BP3," (",CU3,"–",CV3,": #",BI3,")")</f>
        <v>Ann DAVIES or DANIEL (Unknown–Unknown: #2b)</v>
      </c>
      <c r="BM3" t="str">
        <f t="shared" ref="BM3:BM66" si="8">_xlfn.CONCAT(BK3,": #",BI3,")")</f>
        <v>Ann DAVIES or DANIEL (Unknown–Unknown: #2b)</v>
      </c>
      <c r="BP3" t="str">
        <f t="shared" ref="BP3:BP66" si="9">VLOOKUP(BI3,$CO$1:$CV$291,2,FALSE)</f>
        <v>DAVIES or DANIEL</v>
      </c>
      <c r="BQ3" t="str">
        <f t="shared" ref="BQ3:BQ66" si="10">VLOOKUP($BI3,$CO$1:$CV$291,3,FALSE)</f>
        <v>Ann</v>
      </c>
      <c r="BR3" s="116" t="str">
        <f t="shared" ref="BR3:BR66" si="11">IF(VLOOKUP($BI3,$CO$1:$CV$291,6,FALSE)=0,BQ3,VLOOKUP($BI3,$CO$1:$CV$291,6,FALSE))</f>
        <v>Ann</v>
      </c>
      <c r="BS3" s="116">
        <f t="shared" ref="BS3:BS48" si="12">BX3</f>
        <v>11</v>
      </c>
      <c r="BT3" t="str">
        <f>_xlfn.CONCAT(BZ3," – ",CA3," ",CB3," ",CC3," ",CD3," ",CE3)</f>
        <v>5 – Emma BENYON (1838–1913: #11a) Sarah BENYON (1839–1863: #11b) Henry BENYON (1841–1861: #11c) Fanny BENYON (1842–1845: #11d) Edward BENYON (1845–1903: #11e)</v>
      </c>
      <c r="BU3" s="116">
        <f>BZ3</f>
        <v>5</v>
      </c>
      <c r="BW3" s="116">
        <f t="shared" ref="BW3:BW48" si="13">BY3-BZ3</f>
        <v>0</v>
      </c>
      <c r="BX3" s="72">
        <v>11</v>
      </c>
      <c r="BY3">
        <v>5</v>
      </c>
      <c r="BZ3" s="116">
        <f t="shared" ref="BZ3:BZ49" si="14">9-COUNTIF(CA3:CI3,"")</f>
        <v>5</v>
      </c>
      <c r="CA3" t="str" cm="1">
        <f t="array" ref="CA3:CE3">TRANSPOSE(BL5:BL9)</f>
        <v>Emma BENYON (1838–1913: #11a)</v>
      </c>
      <c r="CB3" t="str">
        <v>Sarah BENYON (1839–1863: #11b)</v>
      </c>
      <c r="CC3" t="str">
        <v>Henry BENYON (1841–1861: #11c)</v>
      </c>
      <c r="CD3" t="str">
        <v>Fanny BENYON (1842–1845: #11d)</v>
      </c>
      <c r="CE3" t="str">
        <v>Edward BENYON (1845–1903: #11e)</v>
      </c>
      <c r="CO3" s="151" t="s">
        <v>1965</v>
      </c>
      <c r="CP3" s="6" t="s">
        <v>1962</v>
      </c>
      <c r="CQ3" s="5" t="s">
        <v>1010</v>
      </c>
      <c r="CR3" s="5"/>
      <c r="CS3" s="5"/>
      <c r="CT3" s="5"/>
      <c r="CU3" s="5" t="s">
        <v>3448</v>
      </c>
      <c r="CV3" s="5" t="s">
        <v>3448</v>
      </c>
      <c r="DC3" s="117">
        <f t="shared" ref="DC3:DC66" si="15">106-RANK(DD3,$DD$2:$DD$106)</f>
        <v>7</v>
      </c>
      <c r="DD3" s="116">
        <v>11</v>
      </c>
      <c r="DE3">
        <f t="shared" ref="DE3:DE66" si="16">VALUE(LEFT(DH3,1))</f>
        <v>3</v>
      </c>
      <c r="DF3" s="117">
        <v>2</v>
      </c>
      <c r="DG3" s="117">
        <f t="shared" ref="DG3:DG66" si="17">VALUE(VLOOKUP(DF3,$DC$2:$DD$106,2,FALSE))</f>
        <v>2</v>
      </c>
      <c r="DH3" s="99" t="str">
        <f t="shared" ref="DH3:DH66" si="18">IF(ISNA(VLOOKUP(VALUE(DG3),$AR$2:$BC$61,12,FALSE)),VLOOKUP(VALUE(DG3),$BS$2:$BT$48,2,FALSE),VLOOKUP(VALUE(DG3),$AR$2:$BC$61,12,FALSE))</f>
        <v>3 – Lewis DAVIES or DANIEL (Unknown–Unknown: #2a) Ann DAVIES or DANIEL (Unknown–Unknown: #2b) William DAVIES or DANIEL (1800–1832: #2c)</v>
      </c>
    </row>
    <row r="4" spans="1:219" ht="24" customHeight="1">
      <c r="A4" s="287">
        <f>'Loyd List 1-190 - Edit'!C4</f>
        <v>2</v>
      </c>
      <c r="B4" s="295" t="str">
        <f>VLOOKUP(A4,'Book Details - NO EDIT'!$U$3:$X$192,4,FALSE)</f>
        <v>Jane (1765–1832: #2)</v>
      </c>
      <c r="C4" s="287">
        <f>VLOOKUP(A4,'Loyd List 1-190 - Edit'!$P$1:$R$200,3,FALSE)</f>
        <v>1</v>
      </c>
      <c r="D4" s="287">
        <f>VLOOKUP(C4,$Z$3:$AA$67,2,FALSE)-1</f>
        <v>6</v>
      </c>
      <c r="E4" s="287">
        <f t="shared" si="2"/>
        <v>1</v>
      </c>
      <c r="F4" s="269" t="str">
        <f>IF(D4=0,"0 – Only Child",IF(J4="",_xlfn.CONCAT(D4," – ",K4," ",L4," ",M4," ",N4," ",O4," ",P4," ",Q4," ",R4),_xlfn.CONCAT(D4," – ",J4," ",K4," ",L4," ",M4," ",N4," ",O4," ",P4," ",Q4," ",R4)))</f>
        <v xml:space="preserve">6 – Lewis LOYD (1768–1858: #3) William (1770–1828: #4) Catherine (1772–1798: #5) Thomas (1775–1853: #6) Gwenllian (1777–1779: #7) Edward (1780–1863: #8)  </v>
      </c>
      <c r="G4" s="125" t="str">
        <f>'Loyd Book 2022 - Print'!N4</f>
        <v xml:space="preserve">6 – Lewis LOYD (1768–1858: #3) William (1770–1828: #4) Catherine (1772–1798: #5) Thomas (1775–1853: #6) Gwenllian (1777–1779: #7) Edward (1780–1863: #8)  </v>
      </c>
      <c r="H4" s="125">
        <f t="shared" ref="H4:H67" si="19">VALUE(LEFT(F4,1))-VALUE(LEFT(G4,1))</f>
        <v>0</v>
      </c>
      <c r="I4" s="117">
        <f>10-COUNTIF(J4:R4,"")-1-D4</f>
        <v>0</v>
      </c>
      <c r="J4" s="116" t="str">
        <f t="shared" ref="J4:P10" si="20">IF(VLOOKUP($C4,$AB$2:$AN$67,J$1,FALSE)=$A4,"",VLOOKUP(VLOOKUP($C4,$AB$2:$AN$67,J$1,FALSE),$A$1:$B$200,2,FALSE))</f>
        <v/>
      </c>
      <c r="K4" s="116" t="str">
        <f t="shared" si="20"/>
        <v>Lewis LOYD (1768–1858: #3)</v>
      </c>
      <c r="L4" s="116" t="str">
        <f t="shared" si="20"/>
        <v>William (1770–1828: #4)</v>
      </c>
      <c r="M4" s="116" t="str">
        <f t="shared" si="20"/>
        <v>Catherine (1772–1798: #5)</v>
      </c>
      <c r="N4" s="116" t="str">
        <f t="shared" si="20"/>
        <v>Thomas (1775–1853: #6)</v>
      </c>
      <c r="O4" s="116" t="str">
        <f t="shared" si="20"/>
        <v>Gwenllian (1777–1779: #7)</v>
      </c>
      <c r="P4" s="116" t="str">
        <f t="shared" si="20"/>
        <v>Edward (1780–1863: #8)</v>
      </c>
      <c r="Q4" s="116"/>
      <c r="R4" s="116"/>
      <c r="S4" s="117"/>
      <c r="T4" s="117"/>
      <c r="U4" s="117"/>
      <c r="V4" s="117"/>
      <c r="Z4" s="116">
        <f t="shared" ref="Z4:Z61" si="21">AB4</f>
        <v>1</v>
      </c>
      <c r="AA4" s="124">
        <f t="shared" si="3"/>
        <v>7</v>
      </c>
      <c r="AB4" s="281">
        <v>1</v>
      </c>
      <c r="AC4" s="281">
        <v>2</v>
      </c>
      <c r="AD4" s="281">
        <v>3</v>
      </c>
      <c r="AE4" s="281">
        <v>4</v>
      </c>
      <c r="AF4" s="281">
        <v>5</v>
      </c>
      <c r="AG4" s="281">
        <v>6</v>
      </c>
      <c r="AH4" s="281">
        <v>7</v>
      </c>
      <c r="AI4" s="281">
        <v>8</v>
      </c>
      <c r="AJ4" s="282"/>
      <c r="AK4" s="281"/>
      <c r="AL4" s="281"/>
      <c r="AM4" s="272"/>
      <c r="AN4" s="272"/>
      <c r="AO4" s="272"/>
      <c r="AP4" s="272"/>
      <c r="AQ4" s="276">
        <f t="shared" si="4"/>
        <v>7</v>
      </c>
      <c r="AR4" s="117">
        <f>AB4</f>
        <v>1</v>
      </c>
      <c r="AS4" s="271" t="str">
        <f>VLOOKUP(AC4,$A$1:$B$192,2,FALSE)</f>
        <v>Jane (1765–1832: #2)</v>
      </c>
      <c r="AT4" s="271" t="str">
        <f t="shared" ref="AT4:AY4" si="22">VLOOKUP(AD4,$A$1:$B$192,2,FALSE)</f>
        <v>Lewis LOYD (1768–1858: #3)</v>
      </c>
      <c r="AU4" s="271" t="str">
        <f t="shared" si="22"/>
        <v>William (1770–1828: #4)</v>
      </c>
      <c r="AV4" s="271" t="str">
        <f t="shared" si="22"/>
        <v>Catherine (1772–1798: #5)</v>
      </c>
      <c r="AW4" s="271" t="str">
        <f t="shared" si="22"/>
        <v>Thomas (1775–1853: #6)</v>
      </c>
      <c r="AX4" s="271" t="str">
        <f t="shared" si="22"/>
        <v>Gwenllian (1777–1779: #7)</v>
      </c>
      <c r="AY4" s="271" t="str">
        <f t="shared" si="22"/>
        <v>Edward (1780–1863: #8)</v>
      </c>
      <c r="AZ4" s="271"/>
      <c r="BA4" s="271"/>
      <c r="BB4" s="271"/>
      <c r="BC4" t="str">
        <f>_xlfn.CONCAT(AQ4," – ",AS4," ",AT4," ",AU4," ",AV4," ",AW4," ",AX4," ",AY4," ",AZ4)</f>
        <v xml:space="preserve">7 – Jane (1765–1832: #2) Lewis LOYD (1768–1858: #3) William (1770–1828: #4) Catherine (1772–1798: #5) Thomas (1775–1853: #6) Gwenllian (1777–1779: #7) Edward (1780–1863: #8) </v>
      </c>
      <c r="BH4" s="116">
        <f t="shared" si="5"/>
        <v>2</v>
      </c>
      <c r="BI4" s="3" t="s">
        <v>1969</v>
      </c>
      <c r="BJ4" s="3" t="s">
        <v>5147</v>
      </c>
      <c r="BK4" t="str">
        <f t="shared" si="6"/>
        <v>William DAVIES or DANIEL (1800–1832</v>
      </c>
      <c r="BL4" t="str">
        <f t="shared" si="7"/>
        <v>William DAVIES or DANIEL (1800–1832: #2c)</v>
      </c>
      <c r="BM4" t="str">
        <f t="shared" si="8"/>
        <v>William DAVIES or DANIEL (1800–1832: #2c)</v>
      </c>
      <c r="BP4" t="str">
        <f t="shared" si="9"/>
        <v>DAVIES or DANIEL</v>
      </c>
      <c r="BQ4" t="str">
        <f t="shared" si="10"/>
        <v>William</v>
      </c>
      <c r="BR4" s="116" t="str">
        <f t="shared" si="11"/>
        <v>William</v>
      </c>
      <c r="BS4" s="116">
        <f t="shared" si="12"/>
        <v>18</v>
      </c>
      <c r="BT4" t="str">
        <f t="shared" ref="BT4:BT5" si="23">_xlfn.CONCAT(BZ4," – ",CA4," ",CB4," ",CC4," ",CD4," ",CE4)</f>
        <v>5 – Margaret NICOL (1844–1927: #18a) William NICOL (1846–1914: #18b) James NICOL (1848–1938: #18c) Sarah NICOL (1854–1943: #18d) Lewis NICOL (1858–1935: #18e)</v>
      </c>
      <c r="BU4" s="116">
        <f t="shared" ref="BU4:BU48" si="24">BZ4</f>
        <v>5</v>
      </c>
      <c r="BW4" s="116">
        <f t="shared" si="13"/>
        <v>0</v>
      </c>
      <c r="BX4" s="72">
        <v>18</v>
      </c>
      <c r="BY4">
        <v>5</v>
      </c>
      <c r="BZ4" s="116">
        <f t="shared" si="14"/>
        <v>5</v>
      </c>
      <c r="CA4" t="str" cm="1">
        <f t="array" ref="CA4:CE4">TRANSPOSE(BL10:BL14)</f>
        <v>Margaret NICOL (1844–1927: #18a)</v>
      </c>
      <c r="CB4" t="str">
        <v>William NICOL (1846–1914: #18b)</v>
      </c>
      <c r="CC4" t="str">
        <v>James NICOL (1848–1938: #18c)</v>
      </c>
      <c r="CD4" t="str">
        <v>Sarah NICOL (1854–1943: #18d)</v>
      </c>
      <c r="CE4" t="str">
        <v>Lewis NICOL (1858–1935: #18e)</v>
      </c>
      <c r="CO4" s="151" t="s">
        <v>1969</v>
      </c>
      <c r="CP4" s="6" t="s">
        <v>1962</v>
      </c>
      <c r="CQ4" s="5" t="s">
        <v>830</v>
      </c>
      <c r="CR4" s="5"/>
      <c r="CS4" s="5"/>
      <c r="CT4" s="5"/>
      <c r="CU4" s="5">
        <v>1800</v>
      </c>
      <c r="CV4" s="5">
        <v>1832</v>
      </c>
      <c r="CW4">
        <f>CV4-CU4</f>
        <v>32</v>
      </c>
      <c r="DC4" s="117">
        <f t="shared" si="15"/>
        <v>9</v>
      </c>
      <c r="DD4" s="116">
        <v>18</v>
      </c>
      <c r="DE4">
        <f t="shared" si="16"/>
        <v>1</v>
      </c>
      <c r="DF4" s="117">
        <v>3</v>
      </c>
      <c r="DG4" s="117">
        <f t="shared" si="17"/>
        <v>3</v>
      </c>
      <c r="DH4" s="99" t="str">
        <f t="shared" si="18"/>
        <v>1 – Samuel (1796–1883: #9)</v>
      </c>
    </row>
    <row r="5" spans="1:219" ht="20">
      <c r="A5" s="287">
        <f>'Loyd List 1-190 - Edit'!C5</f>
        <v>3</v>
      </c>
      <c r="B5" s="295" t="str">
        <f>VLOOKUP(A5,'Book Details - NO EDIT'!$U$3:$X$192,4,FALSE)</f>
        <v>Lewis LOYD (1768–1858: #3)</v>
      </c>
      <c r="C5" s="287">
        <f>VLOOKUP(A5,'Loyd List 1-190 - Edit'!$P$1:$R$200,3,FALSE)</f>
        <v>1</v>
      </c>
      <c r="D5" s="287">
        <f t="shared" ref="D5:D68" si="25">VLOOKUP(C5,$Z$3:$AA$67,2,FALSE)-1</f>
        <v>6</v>
      </c>
      <c r="E5" s="287">
        <f t="shared" si="2"/>
        <v>1</v>
      </c>
      <c r="F5" s="269" t="str">
        <f t="shared" ref="F5:F68" si="26">IF(D5=0,"0 – Only Child",IF(J5="",_xlfn.CONCAT(D5," – ",K5," ",L5," ",M5," ",N5," ",O5," ",P5," ",Q5," ",R5),_xlfn.CONCAT(D5," – ",J5," ",K5," ",L5," ",M5," ",N5," ",O5," ",P5," ",Q5," ",R5)))</f>
        <v xml:space="preserve">6 – Jane (1765–1832: #2)  William (1770–1828: #4) Catherine (1772–1798: #5) Thomas (1775–1853: #6) Gwenllian (1777–1779: #7) Edward (1780–1863: #8)  </v>
      </c>
      <c r="G5" s="125" t="str">
        <f>'Loyd Book 2022 - Print'!N5</f>
        <v xml:space="preserve">6 – Jane (1765–1832: #2)  William (1770–1828: #4) Catherine (1772–1798: #5) Thomas (1775–1853: #6) Gwenllian (1777–1779: #7) Edward (1780–1863: #8)  </v>
      </c>
      <c r="H5" s="125">
        <f t="shared" si="19"/>
        <v>0</v>
      </c>
      <c r="I5" s="117">
        <f t="shared" ref="I5:I68" si="27">10-COUNTIF(J5:R5,"")-1-D5</f>
        <v>0</v>
      </c>
      <c r="J5" s="116" t="str">
        <f t="shared" si="20"/>
        <v>Jane (1765–1832: #2)</v>
      </c>
      <c r="K5" s="116" t="str">
        <f t="shared" si="20"/>
        <v/>
      </c>
      <c r="L5" s="116" t="str">
        <f t="shared" si="20"/>
        <v>William (1770–1828: #4)</v>
      </c>
      <c r="M5" s="116" t="str">
        <f t="shared" si="20"/>
        <v>Catherine (1772–1798: #5)</v>
      </c>
      <c r="N5" s="116" t="str">
        <f t="shared" si="20"/>
        <v>Thomas (1775–1853: #6)</v>
      </c>
      <c r="O5" s="116" t="str">
        <f t="shared" si="20"/>
        <v>Gwenllian (1777–1779: #7)</v>
      </c>
      <c r="P5" s="116" t="str">
        <f t="shared" si="20"/>
        <v>Edward (1780–1863: #8)</v>
      </c>
      <c r="Q5" s="116"/>
      <c r="R5" s="116"/>
      <c r="S5" s="117"/>
      <c r="T5" s="117"/>
      <c r="U5" s="117"/>
      <c r="V5" s="117"/>
      <c r="Z5" s="116">
        <f t="shared" si="21"/>
        <v>3</v>
      </c>
      <c r="AA5" s="124">
        <f t="shared" si="3"/>
        <v>1</v>
      </c>
      <c r="AB5" s="281">
        <v>3</v>
      </c>
      <c r="AC5" s="281">
        <v>9</v>
      </c>
      <c r="AD5" s="281"/>
      <c r="AE5" s="281"/>
      <c r="AF5" s="281"/>
      <c r="AG5" s="281"/>
      <c r="AH5" s="281"/>
      <c r="AI5" s="281"/>
      <c r="AJ5" s="281"/>
      <c r="AK5" s="282"/>
      <c r="AL5" s="281"/>
      <c r="AM5" s="272"/>
      <c r="AN5" s="272"/>
      <c r="AO5" s="272"/>
      <c r="AP5" s="272"/>
      <c r="AQ5" s="276">
        <f t="shared" si="4"/>
        <v>1</v>
      </c>
      <c r="AR5" s="117">
        <f t="shared" ref="AR5:AR61" si="28">AB5</f>
        <v>3</v>
      </c>
      <c r="AS5" s="271" t="str">
        <f t="shared" ref="AS5:AS14" si="29">VLOOKUP(AC5,$A$1:$B$192,2,FALSE)</f>
        <v>Samuel (1796–1883: #9)</v>
      </c>
      <c r="AT5" s="271"/>
      <c r="AU5" s="271"/>
      <c r="AV5" s="271"/>
      <c r="AW5" s="271"/>
      <c r="AX5" s="271"/>
      <c r="AY5" s="271"/>
      <c r="BC5" t="str">
        <f>_xlfn.CONCAT(AQ5," – ",AS5,)</f>
        <v>1 – Samuel (1796–1883: #9)</v>
      </c>
      <c r="BH5" s="116">
        <f t="shared" si="5"/>
        <v>11</v>
      </c>
      <c r="BI5" s="3" t="s">
        <v>2007</v>
      </c>
      <c r="BJ5" s="3" t="s">
        <v>5148</v>
      </c>
      <c r="BK5" t="str">
        <f t="shared" si="6"/>
        <v>Emma BENYON (1838–1913</v>
      </c>
      <c r="BL5" t="str">
        <f t="shared" si="7"/>
        <v>Emma BENYON (1838–1913: #11a)</v>
      </c>
      <c r="BM5" t="str">
        <f t="shared" si="8"/>
        <v>Emma BENYON (1838–1913: #11a)</v>
      </c>
      <c r="BP5" t="str">
        <f t="shared" si="9"/>
        <v>BENYON</v>
      </c>
      <c r="BQ5" t="str">
        <f t="shared" si="10"/>
        <v>Emma</v>
      </c>
      <c r="BR5" s="116" t="str">
        <f t="shared" si="11"/>
        <v>Emma</v>
      </c>
      <c r="BS5" s="116">
        <f t="shared" si="12"/>
        <v>19</v>
      </c>
      <c r="BT5" t="str">
        <f t="shared" si="23"/>
        <v>5 – William ENTWISLE (1839–1860: #19a) Richard ENTWISLE (1840–1894: #19b) Frederica ENTWISLE (1842–1916: #19c) Bernard ENTWISLE (1847–1877: #19d) Edward ENTWISLE (1852–1881: #19e)</v>
      </c>
      <c r="BU5" s="116">
        <f t="shared" si="24"/>
        <v>5</v>
      </c>
      <c r="BW5" s="116">
        <f t="shared" si="13"/>
        <v>0</v>
      </c>
      <c r="BX5" s="72">
        <v>19</v>
      </c>
      <c r="BY5">
        <v>5</v>
      </c>
      <c r="BZ5" s="116">
        <f t="shared" si="14"/>
        <v>5</v>
      </c>
      <c r="CA5" t="str" cm="1">
        <f t="array" ref="CA5:CE5">TRANSPOSE(BL15:BL19)</f>
        <v>William ENTWISLE (1839–1860: #19a)</v>
      </c>
      <c r="CB5" t="str">
        <v>Richard ENTWISLE (1840–1894: #19b)</v>
      </c>
      <c r="CC5" t="str">
        <v>Frederica ENTWISLE (1842–1916: #19c)</v>
      </c>
      <c r="CD5" t="str">
        <v>Bernard ENTWISLE (1847–1877: #19d)</v>
      </c>
      <c r="CE5" t="str">
        <v>Edward ENTWISLE (1852–1881: #19e)</v>
      </c>
      <c r="CO5" s="151" t="s">
        <v>2007</v>
      </c>
      <c r="CP5" s="6" t="s">
        <v>2006</v>
      </c>
      <c r="CQ5" s="5" t="s">
        <v>1452</v>
      </c>
      <c r="CR5" s="5"/>
      <c r="CS5" s="5"/>
      <c r="CT5" s="5"/>
      <c r="CU5" s="5">
        <v>1838</v>
      </c>
      <c r="CV5" s="5">
        <v>1913</v>
      </c>
      <c r="CW5">
        <f t="shared" ref="CW5:CW68" si="30">CV5-CU5</f>
        <v>75</v>
      </c>
      <c r="DC5" s="117">
        <f t="shared" si="15"/>
        <v>10</v>
      </c>
      <c r="DD5" s="116">
        <v>19</v>
      </c>
      <c r="DE5">
        <f t="shared" si="16"/>
        <v>7</v>
      </c>
      <c r="DF5" s="117">
        <v>4</v>
      </c>
      <c r="DG5" s="117">
        <f t="shared" si="17"/>
        <v>4</v>
      </c>
      <c r="DH5" s="99" t="str">
        <f t="shared" si="18"/>
        <v>7 – William (1809–1879: #10) Eliza (1810–1861: #12) Thomas (1812–1857: #14) Maria (1814–1900: #16) Edward (1815–1815: #17) John (1817–1818: #20) Lewis (1819–1841: #21)</v>
      </c>
    </row>
    <row r="6" spans="1:219" ht="35">
      <c r="A6" s="287">
        <f>'Loyd List 1-190 - Edit'!C6</f>
        <v>4</v>
      </c>
      <c r="B6" s="295" t="str">
        <f>VLOOKUP(A6,'Book Details - NO EDIT'!$U$3:$X$192,4,FALSE)</f>
        <v>William (1770–1828: #4)</v>
      </c>
      <c r="C6" s="287">
        <f>VLOOKUP(A6,'Loyd List 1-190 - Edit'!$P$1:$R$200,3,FALSE)</f>
        <v>1</v>
      </c>
      <c r="D6" s="287">
        <f t="shared" si="25"/>
        <v>6</v>
      </c>
      <c r="E6" s="287">
        <f t="shared" si="2"/>
        <v>1</v>
      </c>
      <c r="F6" s="269" t="str">
        <f t="shared" si="26"/>
        <v xml:space="preserve">6 – Jane (1765–1832: #2) Lewis LOYD (1768–1858: #3)  Catherine (1772–1798: #5) Thomas (1775–1853: #6) Gwenllian (1777–1779: #7) Edward (1780–1863: #8)  </v>
      </c>
      <c r="G6" s="125" t="str">
        <f>'Loyd Book 2022 - Print'!N6</f>
        <v xml:space="preserve">6 – Jane (1765–1832: #2) Lewis LOYD (1768–1858: #3)  Catherine (1772–1798: #5) Thomas (1775–1853: #6) Gwenllian (1777–1779: #7) Edward (1780–1863: #8)  </v>
      </c>
      <c r="H6" s="125">
        <f t="shared" si="19"/>
        <v>0</v>
      </c>
      <c r="I6" s="117">
        <f t="shared" si="27"/>
        <v>0</v>
      </c>
      <c r="J6" s="116" t="str">
        <f t="shared" si="20"/>
        <v>Jane (1765–1832: #2)</v>
      </c>
      <c r="K6" s="116" t="str">
        <f t="shared" si="20"/>
        <v>Lewis LOYD (1768–1858: #3)</v>
      </c>
      <c r="L6" s="116" t="str">
        <f t="shared" si="20"/>
        <v/>
      </c>
      <c r="M6" s="116" t="str">
        <f t="shared" si="20"/>
        <v>Catherine (1772–1798: #5)</v>
      </c>
      <c r="N6" s="116" t="str">
        <f t="shared" si="20"/>
        <v>Thomas (1775–1853: #6)</v>
      </c>
      <c r="O6" s="116" t="str">
        <f t="shared" si="20"/>
        <v>Gwenllian (1777–1779: #7)</v>
      </c>
      <c r="P6" s="116" t="str">
        <f t="shared" si="20"/>
        <v>Edward (1780–1863: #8)</v>
      </c>
      <c r="Q6" s="116"/>
      <c r="R6" s="116"/>
      <c r="S6" s="117"/>
      <c r="T6" s="117"/>
      <c r="U6" s="117"/>
      <c r="V6" s="117"/>
      <c r="Z6" s="116">
        <f t="shared" si="21"/>
        <v>4</v>
      </c>
      <c r="AA6" s="124">
        <f t="shared" si="3"/>
        <v>7</v>
      </c>
      <c r="AB6" s="281">
        <v>4</v>
      </c>
      <c r="AC6" s="281">
        <v>10</v>
      </c>
      <c r="AD6" s="281">
        <v>12</v>
      </c>
      <c r="AE6" s="281">
        <v>14</v>
      </c>
      <c r="AF6" s="281">
        <v>16</v>
      </c>
      <c r="AG6" s="281">
        <v>17</v>
      </c>
      <c r="AH6" s="281">
        <v>20</v>
      </c>
      <c r="AI6" s="281">
        <v>21</v>
      </c>
      <c r="AJ6" s="282"/>
      <c r="AK6" s="281"/>
      <c r="AL6" s="282"/>
      <c r="AM6" s="273"/>
      <c r="AN6" s="273"/>
      <c r="AO6" s="273"/>
      <c r="AP6" s="273"/>
      <c r="AQ6" s="276">
        <f t="shared" si="4"/>
        <v>7</v>
      </c>
      <c r="AR6" s="117">
        <f t="shared" si="28"/>
        <v>4</v>
      </c>
      <c r="AS6" s="271" t="str">
        <f t="shared" si="29"/>
        <v>William (1809–1879: #10)</v>
      </c>
      <c r="AT6" s="271" t="str">
        <f t="shared" ref="AT6:AY7" si="31">VLOOKUP(AD6,$A$1:$B$192,2,FALSE)</f>
        <v>Eliza (1810–1861: #12)</v>
      </c>
      <c r="AU6" s="271" t="str">
        <f t="shared" si="31"/>
        <v>Thomas (1812–1857: #14)</v>
      </c>
      <c r="AV6" s="271" t="str">
        <f t="shared" si="31"/>
        <v>Maria (1814–1900: #16)</v>
      </c>
      <c r="AW6" s="271" t="str">
        <f t="shared" si="31"/>
        <v>Edward (1815–1815: #17)</v>
      </c>
      <c r="AX6" s="271" t="str">
        <f t="shared" si="31"/>
        <v>John (1817–1818: #20)</v>
      </c>
      <c r="AY6" s="271" t="str">
        <f t="shared" si="31"/>
        <v>Lewis (1819–1841: #21)</v>
      </c>
      <c r="AZ6" s="271"/>
      <c r="BA6" s="271"/>
      <c r="BB6" s="271"/>
      <c r="BC6" s="99" t="str">
        <f>_xlfn.CONCAT(AQ6," – ",AS6," ",AT6," ",AU6," ",AV6," ",AW6," ",AX6," ",AY6)</f>
        <v>7 – William (1809–1879: #10) Eliza (1810–1861: #12) Thomas (1812–1857: #14) Maria (1814–1900: #16) Edward (1815–1815: #17) John (1817–1818: #20) Lewis (1819–1841: #21)</v>
      </c>
      <c r="BH6" s="116">
        <f t="shared" si="5"/>
        <v>11</v>
      </c>
      <c r="BI6" s="3" t="s">
        <v>2010</v>
      </c>
      <c r="BJ6" s="3" t="s">
        <v>5149</v>
      </c>
      <c r="BK6" t="str">
        <f t="shared" si="6"/>
        <v>Sarah BENYON (1839–1863</v>
      </c>
      <c r="BL6" t="str">
        <f t="shared" si="7"/>
        <v>Sarah BENYON (1839–1863: #11b)</v>
      </c>
      <c r="BM6" t="str">
        <f t="shared" si="8"/>
        <v>Sarah BENYON (1839–1863: #11b)</v>
      </c>
      <c r="BP6" t="str">
        <f t="shared" si="9"/>
        <v>BENYON</v>
      </c>
      <c r="BQ6" t="str">
        <f t="shared" si="10"/>
        <v>Sarah</v>
      </c>
      <c r="BR6" s="116" t="str">
        <f t="shared" si="11"/>
        <v>Sarah</v>
      </c>
      <c r="BS6" s="116">
        <f t="shared" si="12"/>
        <v>36</v>
      </c>
      <c r="BT6" s="5" t="str">
        <f>_xlfn.CONCAT(BZ6," – ",CA6," ",CB6," ",CC6," ",CD6," ",CE6," ",CF6," ",CG6," ",CH6)</f>
        <v>8 – George COURTHOPE (1877–1955: #36a) Alexander COURTHOPE (1878–1892: #36b) John COURTHOPE (1882–1954: #36c) Barbara COURTHOPE (1883–1972: #36d) Elinor COURTHOPE (1886–1974: #36e) Richard COURTHOPE (1888–1889: #36f) Robert COURTHOPE (1891–1966: #36g) Margery COURTHOPE (1893–1901: #36h)</v>
      </c>
      <c r="BU6" s="116">
        <f t="shared" si="24"/>
        <v>8</v>
      </c>
      <c r="BW6" s="116">
        <f t="shared" si="13"/>
        <v>0</v>
      </c>
      <c r="BX6" s="72">
        <v>36</v>
      </c>
      <c r="BY6">
        <v>8</v>
      </c>
      <c r="BZ6" s="116">
        <f t="shared" si="14"/>
        <v>8</v>
      </c>
      <c r="CA6" t="str" cm="1">
        <f t="array" ref="CA6:CH6">TRANSPOSE(BL20:BL27)</f>
        <v>George COURTHOPE (1877–1955: #36a)</v>
      </c>
      <c r="CB6" t="str">
        <v>Alexander COURTHOPE (1878–1892: #36b)</v>
      </c>
      <c r="CC6" t="str">
        <v>John COURTHOPE (1882–1954: #36c)</v>
      </c>
      <c r="CD6" t="str">
        <v>Barbara COURTHOPE (1883–1972: #36d)</v>
      </c>
      <c r="CE6" t="str">
        <v>Elinor COURTHOPE (1886–1974: #36e)</v>
      </c>
      <c r="CF6" t="str">
        <v>Richard COURTHOPE (1888–1889: #36f)</v>
      </c>
      <c r="CG6" t="str">
        <v>Robert COURTHOPE (1891–1966: #36g)</v>
      </c>
      <c r="CH6" t="str">
        <v>Margery COURTHOPE (1893–1901: #36h)</v>
      </c>
      <c r="CO6" s="151" t="s">
        <v>2010</v>
      </c>
      <c r="CP6" s="6" t="s">
        <v>2006</v>
      </c>
      <c r="CQ6" s="5" t="s">
        <v>998</v>
      </c>
      <c r="CR6" s="5"/>
      <c r="CS6" s="5"/>
      <c r="CT6" s="5"/>
      <c r="CU6" s="5">
        <v>1839</v>
      </c>
      <c r="CV6" s="5">
        <v>1863</v>
      </c>
      <c r="CW6">
        <f t="shared" si="30"/>
        <v>24</v>
      </c>
      <c r="DC6" s="117">
        <f t="shared" si="15"/>
        <v>19</v>
      </c>
      <c r="DD6" s="116">
        <v>36</v>
      </c>
      <c r="DE6">
        <f t="shared" si="16"/>
        <v>8</v>
      </c>
      <c r="DF6" s="117">
        <v>5</v>
      </c>
      <c r="DG6" s="117">
        <f t="shared" si="17"/>
        <v>8</v>
      </c>
      <c r="DH6" s="99" t="str">
        <f t="shared" si="18"/>
        <v>8 – Sarah (1810–1858: #11) Lewis (1811–1891: #13) Annie (1813–1834: #15) Kate (1815–1905: #18) Hannah (1817–1907: #19) Edward (1820–1890: #22) William (1821–1885: #23) Fanny (1824–1856: #24)</v>
      </c>
    </row>
    <row r="7" spans="1:219" ht="20">
      <c r="A7" s="287">
        <f>'Loyd List 1-190 - Edit'!C7</f>
        <v>5</v>
      </c>
      <c r="B7" s="295" t="str">
        <f>VLOOKUP(A7,'Book Details - NO EDIT'!$U$3:$X$192,4,FALSE)</f>
        <v>Catherine (1772–1798: #5)</v>
      </c>
      <c r="C7" s="287">
        <f>VLOOKUP(A7,'Loyd List 1-190 - Edit'!$P$1:$R$200,3,FALSE)</f>
        <v>1</v>
      </c>
      <c r="D7" s="287">
        <f t="shared" si="25"/>
        <v>6</v>
      </c>
      <c r="E7" s="287">
        <f t="shared" si="2"/>
        <v>1</v>
      </c>
      <c r="F7" s="269" t="str">
        <f t="shared" si="26"/>
        <v xml:space="preserve">6 – Jane (1765–1832: #2) Lewis LOYD (1768–1858: #3) William (1770–1828: #4)  Thomas (1775–1853: #6) Gwenllian (1777–1779: #7) Edward (1780–1863: #8)  </v>
      </c>
      <c r="G7" s="125" t="str">
        <f>'Loyd Book 2022 - Print'!N7</f>
        <v xml:space="preserve">6 – Jane (1765–1832: #2) Lewis LOYD (1768–1858: #3) William (1770–1828: #4)  Thomas (1775–1853: #6) Gwenllian (1777–1779: #7) Edward (1780–1863: #8)  </v>
      </c>
      <c r="H7" s="125">
        <f t="shared" si="19"/>
        <v>0</v>
      </c>
      <c r="I7" s="117">
        <f t="shared" si="27"/>
        <v>0</v>
      </c>
      <c r="J7" s="116" t="str">
        <f t="shared" si="20"/>
        <v>Jane (1765–1832: #2)</v>
      </c>
      <c r="K7" s="116" t="str">
        <f t="shared" si="20"/>
        <v>Lewis LOYD (1768–1858: #3)</v>
      </c>
      <c r="L7" s="116" t="str">
        <f t="shared" si="20"/>
        <v>William (1770–1828: #4)</v>
      </c>
      <c r="M7" s="116" t="str">
        <f t="shared" si="20"/>
        <v/>
      </c>
      <c r="N7" s="116" t="str">
        <f t="shared" si="20"/>
        <v>Thomas (1775–1853: #6)</v>
      </c>
      <c r="O7" s="116" t="str">
        <f t="shared" si="20"/>
        <v>Gwenllian (1777–1779: #7)</v>
      </c>
      <c r="P7" s="116" t="str">
        <f t="shared" si="20"/>
        <v>Edward (1780–1863: #8)</v>
      </c>
      <c r="Q7" s="116"/>
      <c r="R7" s="116"/>
      <c r="S7" s="117"/>
      <c r="T7" s="117"/>
      <c r="U7" s="117"/>
      <c r="V7" s="117"/>
      <c r="Z7" s="116">
        <f t="shared" si="21"/>
        <v>8</v>
      </c>
      <c r="AA7" s="124">
        <f t="shared" si="3"/>
        <v>8</v>
      </c>
      <c r="AB7" s="281">
        <v>8</v>
      </c>
      <c r="AC7" s="281">
        <v>11</v>
      </c>
      <c r="AD7" s="281">
        <v>13</v>
      </c>
      <c r="AE7" s="281">
        <v>15</v>
      </c>
      <c r="AF7" s="281">
        <v>18</v>
      </c>
      <c r="AG7" s="281">
        <v>19</v>
      </c>
      <c r="AH7" s="281">
        <v>22</v>
      </c>
      <c r="AI7" s="281">
        <v>23</v>
      </c>
      <c r="AJ7" s="281">
        <v>24</v>
      </c>
      <c r="AK7" s="282"/>
      <c r="AL7" s="282"/>
      <c r="AM7" s="273"/>
      <c r="AN7" s="273"/>
      <c r="AO7" s="273"/>
      <c r="AP7" s="273"/>
      <c r="AQ7" s="276">
        <f t="shared" si="4"/>
        <v>8</v>
      </c>
      <c r="AR7" s="117">
        <f t="shared" si="28"/>
        <v>8</v>
      </c>
      <c r="AS7" s="271" t="str">
        <f t="shared" si="29"/>
        <v>Sarah (1810–1858: #11)</v>
      </c>
      <c r="AT7" s="271" t="str">
        <f t="shared" si="31"/>
        <v>Lewis (1811–1891: #13)</v>
      </c>
      <c r="AU7" s="271" t="str">
        <f t="shared" si="31"/>
        <v>Annie (1813–1834: #15)</v>
      </c>
      <c r="AV7" s="271" t="str">
        <f t="shared" si="31"/>
        <v>Kate (1815–1905: #18)</v>
      </c>
      <c r="AW7" s="271" t="str">
        <f t="shared" si="31"/>
        <v>Hannah (1817–1907: #19)</v>
      </c>
      <c r="AX7" s="271" t="str">
        <f t="shared" si="31"/>
        <v>Edward (1820–1890: #22)</v>
      </c>
      <c r="AY7" s="271" t="str">
        <f t="shared" si="31"/>
        <v>William (1821–1885: #23)</v>
      </c>
      <c r="AZ7" s="271" t="str">
        <f>VLOOKUP(AJ7,$A$1:$B$192,2,FALSE)</f>
        <v>Fanny (1824–1856: #24)</v>
      </c>
      <c r="BC7" t="str">
        <f>_xlfn.CONCAT(AQ7," – ",AS7," ",AT7," ",AU7," ",AV7," ",AW7," ",AX7," ",AY7," ",AZ7)</f>
        <v>8 – Sarah (1810–1858: #11) Lewis (1811–1891: #13) Annie (1813–1834: #15) Kate (1815–1905: #18) Hannah (1817–1907: #19) Edward (1820–1890: #22) William (1821–1885: #23) Fanny (1824–1856: #24)</v>
      </c>
      <c r="BH7" s="116">
        <f t="shared" si="5"/>
        <v>11</v>
      </c>
      <c r="BI7" s="3" t="s">
        <v>2011</v>
      </c>
      <c r="BJ7" s="3" t="s">
        <v>5150</v>
      </c>
      <c r="BK7" t="str">
        <f t="shared" si="6"/>
        <v>Henry BENYON (1841–1861</v>
      </c>
      <c r="BL7" t="str">
        <f t="shared" si="7"/>
        <v>Henry BENYON (1841–1861: #11c)</v>
      </c>
      <c r="BM7" t="str">
        <f t="shared" si="8"/>
        <v>Henry BENYON (1841–1861: #11c)</v>
      </c>
      <c r="BP7" t="str">
        <f t="shared" si="9"/>
        <v>BENYON</v>
      </c>
      <c r="BQ7" t="str">
        <f t="shared" si="10"/>
        <v>Henry</v>
      </c>
      <c r="BR7" s="116" t="str">
        <f t="shared" si="11"/>
        <v>Henry</v>
      </c>
      <c r="BS7" s="116">
        <f t="shared" si="12"/>
        <v>42</v>
      </c>
      <c r="BT7" t="str">
        <f>_xlfn.CONCAT(BZ7," – ",CA7,)</f>
        <v>1 – Ambrose GODDARD (1892– : #42a)</v>
      </c>
      <c r="BU7" s="116">
        <f t="shared" si="24"/>
        <v>1</v>
      </c>
      <c r="BW7" s="116">
        <f t="shared" si="13"/>
        <v>0</v>
      </c>
      <c r="BX7" s="72">
        <v>42</v>
      </c>
      <c r="BY7">
        <v>1</v>
      </c>
      <c r="BZ7" s="116">
        <f t="shared" si="14"/>
        <v>1</v>
      </c>
      <c r="CA7" t="str" cm="1">
        <f t="array" ref="CA7">TRANSPOSE(BL28)</f>
        <v>Ambrose GODDARD (1892– : #42a)</v>
      </c>
      <c r="CO7" s="151" t="s">
        <v>2011</v>
      </c>
      <c r="CP7" s="6" t="s">
        <v>2006</v>
      </c>
      <c r="CQ7" s="5" t="s">
        <v>807</v>
      </c>
      <c r="CR7" s="5"/>
      <c r="CS7" s="5"/>
      <c r="CT7" s="5"/>
      <c r="CU7" s="5">
        <v>1841</v>
      </c>
      <c r="CV7" s="5">
        <v>1861</v>
      </c>
      <c r="CW7">
        <f t="shared" si="30"/>
        <v>20</v>
      </c>
      <c r="DC7" s="117">
        <f t="shared" si="15"/>
        <v>21</v>
      </c>
      <c r="DD7" s="116">
        <v>42</v>
      </c>
      <c r="DE7">
        <f t="shared" si="16"/>
        <v>2</v>
      </c>
      <c r="DF7" s="117">
        <v>6</v>
      </c>
      <c r="DG7" s="117">
        <f t="shared" si="17"/>
        <v>9</v>
      </c>
      <c r="DH7" s="99" t="str">
        <f t="shared" si="18"/>
        <v>2 – Henry (1832–1833: #25) The Hon Harriet (1837–1920: #26)</v>
      </c>
    </row>
    <row r="8" spans="1:219" ht="20">
      <c r="A8" s="287">
        <f>'Loyd List 1-190 - Edit'!C8</f>
        <v>6</v>
      </c>
      <c r="B8" s="295" t="str">
        <f>VLOOKUP(A8,'Book Details - NO EDIT'!$U$3:$X$192,4,FALSE)</f>
        <v>Thomas (1775–1853: #6)</v>
      </c>
      <c r="C8" s="287">
        <f>VLOOKUP(A8,'Loyd List 1-190 - Edit'!$P$1:$R$200,3,FALSE)</f>
        <v>1</v>
      </c>
      <c r="D8" s="287">
        <f t="shared" si="25"/>
        <v>6</v>
      </c>
      <c r="E8" s="287">
        <f t="shared" si="2"/>
        <v>1</v>
      </c>
      <c r="F8" s="269" t="str">
        <f t="shared" si="26"/>
        <v xml:space="preserve">6 – Jane (1765–1832: #2) Lewis LOYD (1768–1858: #3) William (1770–1828: #4) Catherine (1772–1798: #5)  Gwenllian (1777–1779: #7) Edward (1780–1863: #8)  </v>
      </c>
      <c r="G8" s="125" t="str">
        <f>'Loyd Book 2022 - Print'!N8</f>
        <v xml:space="preserve">6 – Jane (1765–1832: #2) Lewis LOYD (1768–1858: #3) William (1770–1828: #4) Catherine (1772–1798: #5)  Gwenllian (1777–1779: #7) Edward (1780–1863: #8)  </v>
      </c>
      <c r="H8" s="125">
        <f t="shared" si="19"/>
        <v>0</v>
      </c>
      <c r="I8" s="117">
        <f t="shared" si="27"/>
        <v>0</v>
      </c>
      <c r="J8" s="116" t="str">
        <f t="shared" si="20"/>
        <v>Jane (1765–1832: #2)</v>
      </c>
      <c r="K8" s="116" t="str">
        <f t="shared" si="20"/>
        <v>Lewis LOYD (1768–1858: #3)</v>
      </c>
      <c r="L8" s="116" t="str">
        <f t="shared" si="20"/>
        <v>William (1770–1828: #4)</v>
      </c>
      <c r="M8" s="116" t="str">
        <f t="shared" si="20"/>
        <v>Catherine (1772–1798: #5)</v>
      </c>
      <c r="N8" s="116" t="str">
        <f t="shared" si="20"/>
        <v/>
      </c>
      <c r="O8" s="116" t="str">
        <f t="shared" si="20"/>
        <v>Gwenllian (1777–1779: #7)</v>
      </c>
      <c r="P8" s="116" t="str">
        <f t="shared" si="20"/>
        <v>Edward (1780–1863: #8)</v>
      </c>
      <c r="Q8" s="116"/>
      <c r="R8" s="116"/>
      <c r="S8" s="117"/>
      <c r="T8" s="117"/>
      <c r="U8" s="117"/>
      <c r="V8" s="117"/>
      <c r="Z8" s="116">
        <f t="shared" si="21"/>
        <v>9</v>
      </c>
      <c r="AA8" s="124">
        <f t="shared" si="3"/>
        <v>2</v>
      </c>
      <c r="AB8" s="281">
        <v>9</v>
      </c>
      <c r="AC8" s="281">
        <v>25</v>
      </c>
      <c r="AD8" s="281">
        <v>26</v>
      </c>
      <c r="AE8" s="281"/>
      <c r="AF8" s="281"/>
      <c r="AG8" s="281"/>
      <c r="AH8" s="281"/>
      <c r="AI8" s="281"/>
      <c r="AJ8" s="281"/>
      <c r="AK8" s="281"/>
      <c r="AL8" s="281"/>
      <c r="AM8" s="272"/>
      <c r="AN8" s="272"/>
      <c r="AO8" s="272"/>
      <c r="AP8" s="272"/>
      <c r="AQ8" s="276">
        <f t="shared" si="4"/>
        <v>2</v>
      </c>
      <c r="AR8" s="117">
        <f t="shared" si="28"/>
        <v>9</v>
      </c>
      <c r="AS8" s="271" t="str">
        <f t="shared" si="29"/>
        <v>Henry (1832–1833: #25)</v>
      </c>
      <c r="AT8" s="271" t="str">
        <f>VLOOKUP(AD8,$A$1:$B$192,2,FALSE)</f>
        <v>The Hon Harriet (1837–1920: #26)</v>
      </c>
      <c r="AU8" s="271"/>
      <c r="AV8" s="271"/>
      <c r="AW8" s="271"/>
      <c r="AX8" s="271"/>
      <c r="AY8" s="271"/>
      <c r="BC8" t="str">
        <f>_xlfn.CONCAT(AQ8," – ",AS8," ",AT8)</f>
        <v>2 – Henry (1832–1833: #25) The Hon Harriet (1837–1920: #26)</v>
      </c>
      <c r="BH8" s="116">
        <f t="shared" si="5"/>
        <v>11</v>
      </c>
      <c r="BI8" s="3" t="s">
        <v>2012</v>
      </c>
      <c r="BJ8" s="3" t="s">
        <v>5151</v>
      </c>
      <c r="BK8" t="str">
        <f t="shared" si="6"/>
        <v>Fanny BENYON (1842–1845</v>
      </c>
      <c r="BL8" t="str">
        <f t="shared" si="7"/>
        <v>Fanny BENYON (1842–1845: #11d)</v>
      </c>
      <c r="BM8" t="str">
        <f t="shared" si="8"/>
        <v>Fanny BENYON (1842–1845: #11d)</v>
      </c>
      <c r="BP8" t="str">
        <f t="shared" si="9"/>
        <v>BENYON</v>
      </c>
      <c r="BQ8" t="str">
        <f t="shared" si="10"/>
        <v>Fanny</v>
      </c>
      <c r="BR8" s="116" t="str">
        <f t="shared" si="11"/>
        <v>Fanny</v>
      </c>
      <c r="BS8" s="116">
        <f t="shared" si="12"/>
        <v>47</v>
      </c>
      <c r="BT8" t="str">
        <f>_xlfn.CONCAT(BZ8," – ",CA8," ",CB8)</f>
        <v>2 – Loyd HARDCASTLE (1893–1955: #47a) Canon Joseph HARDCASTLE (1899–1972: #47b)</v>
      </c>
      <c r="BU8" s="116">
        <f t="shared" si="24"/>
        <v>2</v>
      </c>
      <c r="BW8" s="116">
        <f t="shared" si="13"/>
        <v>0</v>
      </c>
      <c r="BX8" s="72">
        <v>47</v>
      </c>
      <c r="BY8">
        <v>2</v>
      </c>
      <c r="BZ8" s="116">
        <f t="shared" si="14"/>
        <v>2</v>
      </c>
      <c r="CA8" t="str" cm="1">
        <f t="array" ref="CA8:CB8">TRANSPOSE(BL29:BL30)</f>
        <v>Loyd HARDCASTLE (1893–1955: #47a)</v>
      </c>
      <c r="CB8" t="str">
        <v>Canon Joseph HARDCASTLE (1899–1972: #47b)</v>
      </c>
      <c r="CO8" s="151" t="s">
        <v>2012</v>
      </c>
      <c r="CP8" s="6" t="s">
        <v>2006</v>
      </c>
      <c r="CQ8" s="5" t="s">
        <v>2015</v>
      </c>
      <c r="CR8" s="5"/>
      <c r="CS8" s="5"/>
      <c r="CT8" s="5"/>
      <c r="CU8" s="5">
        <v>1842</v>
      </c>
      <c r="CV8" s="5">
        <v>1845</v>
      </c>
      <c r="CW8">
        <f t="shared" si="30"/>
        <v>3</v>
      </c>
      <c r="DC8" s="117">
        <f t="shared" si="15"/>
        <v>25</v>
      </c>
      <c r="DD8" s="116">
        <v>47</v>
      </c>
      <c r="DE8">
        <f t="shared" si="16"/>
        <v>5</v>
      </c>
      <c r="DF8" s="117">
        <v>7</v>
      </c>
      <c r="DG8" s="117">
        <f t="shared" si="17"/>
        <v>11</v>
      </c>
      <c r="DH8" s="99" t="str">
        <f t="shared" si="18"/>
        <v>5 – Emma BENYON (1838–1913: #11a) Sarah BENYON (1839–1863: #11b) Henry BENYON (1841–1861: #11c) Fanny BENYON (1842–1845: #11d) Edward BENYON (1845–1903: #11e)</v>
      </c>
    </row>
    <row r="9" spans="1:219" ht="20">
      <c r="A9" s="287">
        <f>'Loyd List 1-190 - Edit'!C9</f>
        <v>7</v>
      </c>
      <c r="B9" s="295" t="str">
        <f>VLOOKUP(A9,'Book Details - NO EDIT'!$U$3:$X$192,4,FALSE)</f>
        <v>Gwenllian (1777–1779: #7)</v>
      </c>
      <c r="C9" s="287">
        <f>VLOOKUP(A9,'Loyd List 1-190 - Edit'!$P$1:$R$200,3,FALSE)</f>
        <v>1</v>
      </c>
      <c r="D9" s="287">
        <f t="shared" si="25"/>
        <v>6</v>
      </c>
      <c r="E9" s="287">
        <f t="shared" si="2"/>
        <v>1</v>
      </c>
      <c r="F9" s="269" t="str">
        <f t="shared" si="26"/>
        <v xml:space="preserve">6 – Jane (1765–1832: #2) Lewis LOYD (1768–1858: #3) William (1770–1828: #4) Catherine (1772–1798: #5) Thomas (1775–1853: #6)  Edward (1780–1863: #8)  </v>
      </c>
      <c r="G9" s="125" t="str">
        <f>'Loyd Book 2022 - Print'!N9</f>
        <v xml:space="preserve">6 – Jane (1765–1832: #2) Lewis LOYD (1768–1858: #3) William (1770–1828: #4) Catherine (1772–1798: #5) Thomas (1775–1853: #6)  Edward (1780–1863: #8)  </v>
      </c>
      <c r="H9" s="125">
        <f t="shared" si="19"/>
        <v>0</v>
      </c>
      <c r="I9" s="117">
        <f t="shared" si="27"/>
        <v>0</v>
      </c>
      <c r="J9" s="116" t="str">
        <f t="shared" si="20"/>
        <v>Jane (1765–1832: #2)</v>
      </c>
      <c r="K9" s="116" t="str">
        <f t="shared" si="20"/>
        <v>Lewis LOYD (1768–1858: #3)</v>
      </c>
      <c r="L9" s="116" t="str">
        <f t="shared" si="20"/>
        <v>William (1770–1828: #4)</v>
      </c>
      <c r="M9" s="116" t="str">
        <f t="shared" si="20"/>
        <v>Catherine (1772–1798: #5)</v>
      </c>
      <c r="N9" s="116" t="str">
        <f t="shared" si="20"/>
        <v>Thomas (1775–1853: #6)</v>
      </c>
      <c r="O9" s="116" t="str">
        <f t="shared" si="20"/>
        <v/>
      </c>
      <c r="P9" s="116" t="str">
        <f t="shared" si="20"/>
        <v>Edward (1780–1863: #8)</v>
      </c>
      <c r="Q9" s="116"/>
      <c r="R9" s="116"/>
      <c r="S9" s="117"/>
      <c r="T9" s="117"/>
      <c r="U9" s="117"/>
      <c r="V9" s="117"/>
      <c r="Z9" s="116">
        <f t="shared" si="21"/>
        <v>14</v>
      </c>
      <c r="AA9" s="124">
        <f t="shared" si="3"/>
        <v>8</v>
      </c>
      <c r="AB9" s="281">
        <v>14</v>
      </c>
      <c r="AC9" s="281">
        <v>27</v>
      </c>
      <c r="AD9" s="281">
        <v>28</v>
      </c>
      <c r="AE9" s="281">
        <v>29</v>
      </c>
      <c r="AF9" s="281">
        <v>30</v>
      </c>
      <c r="AG9" s="281">
        <v>32</v>
      </c>
      <c r="AH9" s="281">
        <v>33</v>
      </c>
      <c r="AI9" s="281">
        <v>34</v>
      </c>
      <c r="AJ9" s="281">
        <v>37</v>
      </c>
      <c r="AK9" s="281"/>
      <c r="AL9" s="281"/>
      <c r="AM9" s="272"/>
      <c r="AN9" s="272"/>
      <c r="AO9" s="272"/>
      <c r="AP9" s="272"/>
      <c r="AQ9" s="276">
        <f t="shared" si="4"/>
        <v>8</v>
      </c>
      <c r="AR9" s="117">
        <f t="shared" si="28"/>
        <v>14</v>
      </c>
      <c r="AS9" s="271" t="str">
        <f t="shared" si="29"/>
        <v>William (1843–1843: #27)</v>
      </c>
      <c r="AT9" s="271" t="str">
        <f>VLOOKUP(AD9,$A$1:$B$192,2,FALSE)</f>
        <v>The Rev Lewis (1844–1905: #28)</v>
      </c>
      <c r="AU9" s="271" t="str">
        <f t="shared" ref="AU9:AZ11" si="32">VLOOKUP(AE9,$A$1:$B$192,2,FALSE)</f>
        <v>Arthur (1845–1930: #29)</v>
      </c>
      <c r="AV9" s="271" t="str">
        <f t="shared" si="32"/>
        <v>Archie (1847–1922: #30)</v>
      </c>
      <c r="AW9" s="271" t="str">
        <f t="shared" si="32"/>
        <v>Frank (1848–1934: #32)</v>
      </c>
      <c r="AX9" s="271" t="str">
        <f t="shared" si="32"/>
        <v>Alfred (1849–1881: #33)</v>
      </c>
      <c r="AY9" s="271" t="str">
        <f t="shared" si="32"/>
        <v>Ted (1851–1922: #34)</v>
      </c>
      <c r="AZ9" s="271" t="str">
        <f t="shared" si="32"/>
        <v>Annie (1853–1946: #37)</v>
      </c>
      <c r="BC9" t="str">
        <f>_xlfn.CONCAT(AQ9," – ",AS9," ",AT9," ",AU9," ",AV9," ",AW9," ",AX9," ",AY9," ",AZ9)</f>
        <v>8 – William (1843–1843: #27) The Rev Lewis (1844–1905: #28) Arthur (1845–1930: #29) Archie (1847–1922: #30) Frank (1848–1934: #32) Alfred (1849–1881: #33) Ted (1851–1922: #34) Annie (1853–1946: #37)</v>
      </c>
      <c r="BH9" s="116">
        <f t="shared" si="5"/>
        <v>11</v>
      </c>
      <c r="BI9" s="3" t="s">
        <v>2020</v>
      </c>
      <c r="BJ9" s="3" t="s">
        <v>5152</v>
      </c>
      <c r="BK9" t="str">
        <f t="shared" si="6"/>
        <v>Edward Loyd BENYON (1845–1903</v>
      </c>
      <c r="BL9" t="str">
        <f t="shared" si="7"/>
        <v>Edward BENYON (1845–1903: #11e)</v>
      </c>
      <c r="BM9" t="str">
        <f t="shared" si="8"/>
        <v>Edward Loyd BENYON (1845–1903: #11e)</v>
      </c>
      <c r="BP9" t="str">
        <f t="shared" si="9"/>
        <v>BENYON</v>
      </c>
      <c r="BQ9" t="str">
        <f t="shared" si="10"/>
        <v>Edward</v>
      </c>
      <c r="BR9" s="116" t="str">
        <f t="shared" si="11"/>
        <v>Edward</v>
      </c>
      <c r="BS9" s="116">
        <f t="shared" si="12"/>
        <v>48</v>
      </c>
      <c r="BT9" t="str">
        <f>_xlfn.CONCAT(BZ9," – ",CA9,)</f>
        <v>1 – Mabell D'OYLY (1904–1983: #48a)</v>
      </c>
      <c r="BU9" s="116">
        <f t="shared" si="24"/>
        <v>1</v>
      </c>
      <c r="BW9" s="116">
        <f t="shared" si="13"/>
        <v>0</v>
      </c>
      <c r="BX9" s="72">
        <v>48</v>
      </c>
      <c r="BY9">
        <v>1</v>
      </c>
      <c r="BZ9" s="116">
        <f t="shared" si="14"/>
        <v>1</v>
      </c>
      <c r="CA9" t="str">
        <f>BL31</f>
        <v>Mabell D'OYLY (1904–1983: #48a)</v>
      </c>
      <c r="CO9" s="151" t="s">
        <v>2020</v>
      </c>
      <c r="CP9" s="6" t="s">
        <v>2006</v>
      </c>
      <c r="CQ9" s="5" t="s">
        <v>811</v>
      </c>
      <c r="CR9" s="5" t="s">
        <v>1497</v>
      </c>
      <c r="CS9" s="5"/>
      <c r="CT9" s="5"/>
      <c r="CU9" s="5">
        <v>1845</v>
      </c>
      <c r="CV9" s="5">
        <v>1903</v>
      </c>
      <c r="CW9">
        <f t="shared" si="30"/>
        <v>58</v>
      </c>
      <c r="DC9" s="117">
        <f t="shared" si="15"/>
        <v>26</v>
      </c>
      <c r="DD9" s="116">
        <v>48</v>
      </c>
      <c r="DE9">
        <f t="shared" si="16"/>
        <v>8</v>
      </c>
      <c r="DF9" s="117">
        <v>8</v>
      </c>
      <c r="DG9" s="117">
        <f t="shared" si="17"/>
        <v>14</v>
      </c>
      <c r="DH9" s="99" t="str">
        <f t="shared" si="18"/>
        <v>8 – William (1843–1843: #27) The Rev Lewis (1844–1905: #28) Arthur (1845–1930: #29) Archie (1847–1922: #30) Frank (1848–1934: #32) Alfred (1849–1881: #33) Ted (1851–1922: #34) Annie (1853–1946: #37)</v>
      </c>
    </row>
    <row r="10" spans="1:219" ht="20">
      <c r="A10" s="287">
        <f>'Loyd List 1-190 - Edit'!C10</f>
        <v>8</v>
      </c>
      <c r="B10" s="295" t="str">
        <f>VLOOKUP(A10,'Book Details - NO EDIT'!$U$3:$X$192,4,FALSE)</f>
        <v>Edward (1780–1863: #8)</v>
      </c>
      <c r="C10" s="287">
        <f>VLOOKUP(A10,'Loyd List 1-190 - Edit'!$P$1:$R$200,3,FALSE)</f>
        <v>1</v>
      </c>
      <c r="D10" s="287">
        <f t="shared" si="25"/>
        <v>6</v>
      </c>
      <c r="E10" s="287">
        <f t="shared" si="2"/>
        <v>1</v>
      </c>
      <c r="F10" s="269" t="str">
        <f t="shared" si="26"/>
        <v xml:space="preserve">6 – Jane (1765–1832: #2) Lewis LOYD (1768–1858: #3) William (1770–1828: #4) Catherine (1772–1798: #5) Thomas (1775–1853: #6) Gwenllian (1777–1779: #7)   </v>
      </c>
      <c r="G10" s="125" t="str">
        <f>'Loyd Book 2022 - Print'!N10</f>
        <v xml:space="preserve">6 – Jane (1765–1832: #2) Lewis LOYD (1768–1858: #3) William (1770–1828: #4) Catherine (1772–1798: #5) Thomas (1775–1853: #6) Gwenllian (1777–1779: #7)   </v>
      </c>
      <c r="H10" s="125">
        <f t="shared" si="19"/>
        <v>0</v>
      </c>
      <c r="I10" s="117">
        <f t="shared" si="27"/>
        <v>0</v>
      </c>
      <c r="J10" s="116" t="str">
        <f t="shared" si="20"/>
        <v>Jane (1765–1832: #2)</v>
      </c>
      <c r="K10" s="116" t="str">
        <f t="shared" si="20"/>
        <v>Lewis LOYD (1768–1858: #3)</v>
      </c>
      <c r="L10" s="116" t="str">
        <f t="shared" si="20"/>
        <v>William (1770–1828: #4)</v>
      </c>
      <c r="M10" s="116" t="str">
        <f t="shared" si="20"/>
        <v>Catherine (1772–1798: #5)</v>
      </c>
      <c r="N10" s="116" t="str">
        <f t="shared" si="20"/>
        <v>Thomas (1775–1853: #6)</v>
      </c>
      <c r="O10" s="116" t="str">
        <f t="shared" si="20"/>
        <v>Gwenllian (1777–1779: #7)</v>
      </c>
      <c r="P10" s="116" t="str">
        <f t="shared" si="20"/>
        <v/>
      </c>
      <c r="Q10" s="116"/>
      <c r="R10" s="116"/>
      <c r="S10" s="117"/>
      <c r="T10" s="117"/>
      <c r="U10" s="117"/>
      <c r="V10" s="117"/>
      <c r="Z10" s="116">
        <f t="shared" si="21"/>
        <v>22</v>
      </c>
      <c r="AA10" s="124">
        <f t="shared" si="3"/>
        <v>7</v>
      </c>
      <c r="AB10" s="281">
        <v>22</v>
      </c>
      <c r="AC10" s="281">
        <v>31</v>
      </c>
      <c r="AD10" s="281">
        <v>36</v>
      </c>
      <c r="AE10" s="281">
        <v>39</v>
      </c>
      <c r="AF10" s="281">
        <v>41</v>
      </c>
      <c r="AG10" s="281">
        <v>43</v>
      </c>
      <c r="AH10" s="281">
        <v>45</v>
      </c>
      <c r="AI10" s="281">
        <v>47</v>
      </c>
      <c r="AJ10" s="281"/>
      <c r="AK10" s="282"/>
      <c r="AL10" s="281"/>
      <c r="AM10" s="273"/>
      <c r="AN10" s="272"/>
      <c r="AO10" s="272"/>
      <c r="AP10" s="272"/>
      <c r="AQ10" s="276">
        <f t="shared" si="4"/>
        <v>7</v>
      </c>
      <c r="AR10" s="117">
        <f t="shared" si="28"/>
        <v>22</v>
      </c>
      <c r="AS10" s="271" t="str">
        <f t="shared" si="29"/>
        <v>Mary (1848–1934: #31)</v>
      </c>
      <c r="AT10" s="271" t="str">
        <f>VLOOKUP(AD10,$A$1:$B$192,2,FALSE)</f>
        <v>Elinor (1853–1895: #36)</v>
      </c>
      <c r="AU10" s="271" t="str">
        <f t="shared" si="32"/>
        <v>Fa (1855–1927: #39)</v>
      </c>
      <c r="AV10" s="271" t="str">
        <f t="shared" si="32"/>
        <v>Frederic (1856–1936: #41)</v>
      </c>
      <c r="AW10" s="271" t="str">
        <f t="shared" si="32"/>
        <v>Meg (1859–1936: #43)</v>
      </c>
      <c r="AX10" s="271" t="str">
        <f t="shared" si="32"/>
        <v>Llewellyn (1861–1939: #45)</v>
      </c>
      <c r="AY10" s="271" t="str">
        <f t="shared" si="32"/>
        <v>Caroline (1864–1940: #47)</v>
      </c>
      <c r="BC10" t="str">
        <f>_xlfn.CONCAT(AQ10," – ",AS10," ",AT10," ",AU10," ",AV10," ",AW10," ",AX10," ",AY10)</f>
        <v>7 – Mary (1848–1934: #31) Elinor (1853–1895: #36) Fa (1855–1927: #39) Frederic (1856–1936: #41) Meg (1859–1936: #43) Llewellyn (1861–1939: #45) Caroline (1864–1940: #47)</v>
      </c>
      <c r="BH10" s="116">
        <f t="shared" si="5"/>
        <v>18</v>
      </c>
      <c r="BI10" s="3" t="s">
        <v>2026</v>
      </c>
      <c r="BJ10" s="3" t="s">
        <v>5153</v>
      </c>
      <c r="BK10" t="str">
        <f t="shared" si="6"/>
        <v>Margaret Dyce NICOL (1844–1927</v>
      </c>
      <c r="BL10" t="str">
        <f t="shared" si="7"/>
        <v>Margaret NICOL (1844–1927: #18a)</v>
      </c>
      <c r="BM10" t="str">
        <f t="shared" si="8"/>
        <v>Margaret Dyce NICOL (1844–1927: #18a)</v>
      </c>
      <c r="BP10" t="str">
        <f t="shared" si="9"/>
        <v>NICOL</v>
      </c>
      <c r="BQ10" t="str">
        <f t="shared" si="10"/>
        <v>Margaret</v>
      </c>
      <c r="BR10" s="116" t="str">
        <f t="shared" si="11"/>
        <v>Margaret</v>
      </c>
      <c r="BS10" s="116">
        <f t="shared" si="12"/>
        <v>63</v>
      </c>
      <c r="BT10" t="str">
        <f>_xlfn.CONCAT(BZ10," – ",CA10," ",CB10," ",CC10)</f>
        <v>3 – Loyd MOORE (1926–2019: #63a) Isabel MOORE (1929–2020: #63b) Veronica MOORE (1930–1934: #63c)</v>
      </c>
      <c r="BU10" s="116">
        <f t="shared" si="24"/>
        <v>3</v>
      </c>
      <c r="BW10" s="116">
        <f t="shared" si="13"/>
        <v>0</v>
      </c>
      <c r="BX10" s="72">
        <v>63</v>
      </c>
      <c r="BY10">
        <v>3</v>
      </c>
      <c r="BZ10" s="116">
        <f t="shared" si="14"/>
        <v>3</v>
      </c>
      <c r="CA10" t="str" cm="1">
        <f t="array" ref="CA10:CC10">TRANSPOSE(BL32:BL34)</f>
        <v>Loyd MOORE (1926–2019: #63a)</v>
      </c>
      <c r="CB10" t="str">
        <v>Isabel MOORE (1929–2020: #63b)</v>
      </c>
      <c r="CC10" t="str">
        <v>Veronica MOORE (1930–1934: #63c)</v>
      </c>
      <c r="CO10" s="151" t="s">
        <v>2026</v>
      </c>
      <c r="CP10" s="6" t="s">
        <v>2022</v>
      </c>
      <c r="CQ10" s="5" t="s">
        <v>882</v>
      </c>
      <c r="CR10" s="5" t="s">
        <v>2023</v>
      </c>
      <c r="CS10" s="5"/>
      <c r="CT10" s="5"/>
      <c r="CU10" s="5">
        <v>1844</v>
      </c>
      <c r="CV10" s="5">
        <v>1927</v>
      </c>
      <c r="CW10">
        <f t="shared" si="30"/>
        <v>83</v>
      </c>
      <c r="DC10" s="117">
        <f t="shared" si="15"/>
        <v>33</v>
      </c>
      <c r="DD10" s="116">
        <v>63</v>
      </c>
      <c r="DE10">
        <f t="shared" si="16"/>
        <v>5</v>
      </c>
      <c r="DF10" s="117">
        <v>9</v>
      </c>
      <c r="DG10" s="117">
        <f t="shared" si="17"/>
        <v>18</v>
      </c>
      <c r="DH10" s="99" t="str">
        <f t="shared" si="18"/>
        <v>5 – Margaret NICOL (1844–1927: #18a) William NICOL (1846–1914: #18b) James NICOL (1848–1938: #18c) Sarah NICOL (1854–1943: #18d) Lewis NICOL (1858–1935: #18e)</v>
      </c>
    </row>
    <row r="11" spans="1:219" ht="20">
      <c r="A11" s="287">
        <f>'Loyd List 1-190 - Edit'!C11</f>
        <v>9</v>
      </c>
      <c r="B11" s="295" t="str">
        <f>VLOOKUP(A11,'Book Details - NO EDIT'!$U$3:$X$192,4,FALSE)</f>
        <v>Samuel (1796–1883: #9)</v>
      </c>
      <c r="C11" s="287">
        <f>VLOOKUP(A11,'Loyd List 1-190 - Edit'!$P$1:$R$200,3,FALSE)</f>
        <v>3</v>
      </c>
      <c r="D11" s="287">
        <f t="shared" si="25"/>
        <v>0</v>
      </c>
      <c r="E11" s="287">
        <f t="shared" si="2"/>
        <v>1</v>
      </c>
      <c r="F11" s="269" t="str">
        <f t="shared" si="26"/>
        <v>0 – Only Child</v>
      </c>
      <c r="G11" s="125" t="str">
        <f>'Loyd Book 2022 - Print'!N11</f>
        <v>0 – Only chlid</v>
      </c>
      <c r="H11" s="125">
        <f t="shared" si="19"/>
        <v>0</v>
      </c>
      <c r="I11" s="117">
        <f t="shared" si="27"/>
        <v>0</v>
      </c>
      <c r="J11" s="116" t="str">
        <f t="shared" ref="J11:J42" si="33">IF(VLOOKUP($C11,$AB$2:$AN$67,J$1,FALSE)=$A11,"",VLOOKUP(VLOOKUP($C11,$AB$2:$AN$67,J$1,FALSE),$A$1:$B$200,2,FALSE))</f>
        <v/>
      </c>
      <c r="K11" s="116"/>
      <c r="L11" s="116"/>
      <c r="M11" s="116"/>
      <c r="N11" s="116"/>
      <c r="O11" s="116"/>
      <c r="P11" s="116"/>
      <c r="Q11" s="116"/>
      <c r="R11" s="116"/>
      <c r="S11" s="117"/>
      <c r="T11" s="117"/>
      <c r="U11" s="117"/>
      <c r="V11" s="117"/>
      <c r="Z11" s="116">
        <f t="shared" si="21"/>
        <v>23</v>
      </c>
      <c r="AA11" s="124">
        <f t="shared" si="3"/>
        <v>9</v>
      </c>
      <c r="AB11" s="281">
        <v>23</v>
      </c>
      <c r="AC11" s="281">
        <v>35</v>
      </c>
      <c r="AD11" s="281">
        <v>38</v>
      </c>
      <c r="AE11" s="281">
        <v>40</v>
      </c>
      <c r="AF11" s="281">
        <v>42</v>
      </c>
      <c r="AG11" s="281">
        <v>44</v>
      </c>
      <c r="AH11" s="281">
        <v>46</v>
      </c>
      <c r="AI11" s="281">
        <v>48</v>
      </c>
      <c r="AJ11" s="281">
        <v>49</v>
      </c>
      <c r="AK11" s="281">
        <v>50</v>
      </c>
      <c r="AL11" s="282"/>
      <c r="AM11" s="272"/>
      <c r="AN11" s="273"/>
      <c r="AO11" s="273"/>
      <c r="AP11" s="273"/>
      <c r="AQ11" s="276">
        <f t="shared" si="4"/>
        <v>9</v>
      </c>
      <c r="AR11" s="117">
        <f t="shared" si="28"/>
        <v>23</v>
      </c>
      <c r="AS11" s="271" t="str">
        <f t="shared" si="29"/>
        <v>Lewis (1852–1908: #35)</v>
      </c>
      <c r="AT11" s="271" t="str">
        <f>VLOOKUP(AD11,$A$1:$B$192,2,FALSE)</f>
        <v>Gertrude (1854–1924: #38)</v>
      </c>
      <c r="AU11" s="271" t="str">
        <f t="shared" si="32"/>
        <v>Harriet (1856–1921: #40)</v>
      </c>
      <c r="AV11" s="271" t="str">
        <f t="shared" si="32"/>
        <v>Dulcie (1858–1905: #42)</v>
      </c>
      <c r="AW11" s="271" t="str">
        <f t="shared" si="32"/>
        <v>Harry (1861–1938: #44)</v>
      </c>
      <c r="AX11" s="271" t="str">
        <f t="shared" si="32"/>
        <v>William (1863–1923: #46)</v>
      </c>
      <c r="AY11" s="271" t="str">
        <f t="shared" si="32"/>
        <v>Caroline (1865–1938: #48)</v>
      </c>
      <c r="AZ11" s="271" t="str">
        <f>VLOOKUP(AJ11,$A$1:$B$192,2,FALSE)</f>
        <v>Mary (1867–1867: #49)</v>
      </c>
      <c r="BA11" s="271" t="str">
        <f>VLOOKUP(AK11,$A$1:$B$192,2,FALSE)</f>
        <v>Arthur (1868–1911: #50)</v>
      </c>
      <c r="BC11" t="str">
        <f>_xlfn.CONCAT(AQ11," – ",AS11," ",AT11," ",AU11," ",AV11," ",AW11," ",AX11," ",AY11," ",AZ11," ",BA11)</f>
        <v>9 – Lewis (1852–1908: #35) Gertrude (1854–1924: #38) Harriet (1856–1921: #40) Dulcie (1858–1905: #42) Harry (1861–1938: #44) William (1863–1923: #46) Caroline (1865–1938: #48) Mary (1867–1867: #49) Arthur (1868–1911: #50)</v>
      </c>
      <c r="BH11" s="116">
        <f t="shared" si="5"/>
        <v>18</v>
      </c>
      <c r="BI11" s="3" t="s">
        <v>2029</v>
      </c>
      <c r="BJ11" s="3" t="s">
        <v>5154</v>
      </c>
      <c r="BK11" t="str">
        <f t="shared" si="6"/>
        <v>William Edward NICOL (1846–1914</v>
      </c>
      <c r="BL11" t="str">
        <f t="shared" si="7"/>
        <v>William NICOL (1846–1914: #18b)</v>
      </c>
      <c r="BM11" t="str">
        <f t="shared" si="8"/>
        <v>William Edward NICOL (1846–1914: #18b)</v>
      </c>
      <c r="BP11" t="str">
        <f t="shared" si="9"/>
        <v>NICOL</v>
      </c>
      <c r="BQ11" t="str">
        <f t="shared" si="10"/>
        <v>William</v>
      </c>
      <c r="BR11" s="116" t="str">
        <f t="shared" si="11"/>
        <v>William</v>
      </c>
      <c r="BS11" s="116">
        <f t="shared" si="12"/>
        <v>65</v>
      </c>
      <c r="BT11" t="str">
        <f>_xlfn.CONCAT(BZ11," – ",CA11," ",CB11," ",CC11)</f>
        <v>3 – Audrey WHEELER (1913– : #65a) Norma WHEELER (1924– : #65b) Basil WHEELER (1926– : #65c)</v>
      </c>
      <c r="BU11" s="116">
        <f t="shared" si="24"/>
        <v>3</v>
      </c>
      <c r="BW11" s="116">
        <f t="shared" si="13"/>
        <v>0</v>
      </c>
      <c r="BX11" s="72">
        <v>65</v>
      </c>
      <c r="BY11">
        <v>3</v>
      </c>
      <c r="BZ11" s="116">
        <f t="shared" si="14"/>
        <v>3</v>
      </c>
      <c r="CA11" t="str" cm="1">
        <f t="array" ref="CA11:CC11">TRANSPOSE(BL35:BL37)</f>
        <v>Audrey WHEELER (1913– : #65a)</v>
      </c>
      <c r="CB11" t="str">
        <v>Norma WHEELER (1924– : #65b)</v>
      </c>
      <c r="CC11" t="str">
        <v>Basil WHEELER (1926– : #65c)</v>
      </c>
      <c r="CO11" s="151" t="s">
        <v>2029</v>
      </c>
      <c r="CP11" s="6" t="s">
        <v>2022</v>
      </c>
      <c r="CQ11" s="5" t="s">
        <v>830</v>
      </c>
      <c r="CR11" s="5" t="s">
        <v>811</v>
      </c>
      <c r="CS11" s="5"/>
      <c r="CT11" s="5"/>
      <c r="CU11" s="5">
        <v>1846</v>
      </c>
      <c r="CV11" s="5">
        <v>1914</v>
      </c>
      <c r="CW11">
        <f t="shared" si="30"/>
        <v>68</v>
      </c>
      <c r="DC11" s="117">
        <f t="shared" si="15"/>
        <v>34</v>
      </c>
      <c r="DD11" s="116">
        <v>65</v>
      </c>
      <c r="DE11">
        <f t="shared" si="16"/>
        <v>5</v>
      </c>
      <c r="DF11" s="117">
        <v>10</v>
      </c>
      <c r="DG11" s="117">
        <f t="shared" si="17"/>
        <v>19</v>
      </c>
      <c r="DH11" s="99" t="str">
        <f t="shared" si="18"/>
        <v>5 – William ENTWISLE (1839–1860: #19a) Richard ENTWISLE (1840–1894: #19b) Frederica ENTWISLE (1842–1916: #19c) Bernard ENTWISLE (1847–1877: #19d) Edward ENTWISLE (1852–1881: #19e)</v>
      </c>
    </row>
    <row r="12" spans="1:219" ht="20">
      <c r="A12" s="287">
        <f>'Loyd List 1-190 - Edit'!C12</f>
        <v>10</v>
      </c>
      <c r="B12" s="295" t="str">
        <f>VLOOKUP(A12,'Book Details - NO EDIT'!$U$3:$X$192,4,FALSE)</f>
        <v>William (1809–1879: #10)</v>
      </c>
      <c r="C12" s="287">
        <f>VLOOKUP(A12,'Loyd List 1-190 - Edit'!$P$1:$R$200,3,FALSE)</f>
        <v>4</v>
      </c>
      <c r="D12" s="287">
        <f t="shared" si="25"/>
        <v>6</v>
      </c>
      <c r="E12" s="287">
        <f t="shared" si="2"/>
        <v>1</v>
      </c>
      <c r="F12" s="269" t="str">
        <f t="shared" si="26"/>
        <v xml:space="preserve">6 – Eliza (1810–1861: #12) Thomas (1812–1857: #14) Maria (1814–1900: #16) Edward (1815–1815: #17) John (1817–1818: #20) Lewis (1819–1841: #21)  </v>
      </c>
      <c r="G12" s="125" t="str">
        <f>'Loyd Book 2022 - Print'!N12</f>
        <v xml:space="preserve">6 – Eliza (1810–1861: #12) Thomas (1812–1857: #14) Maria (1814–1900: #16) Edward (1815–1815: #17) John (1817–1818: #20) Lewis (1819–1841: #21)  </v>
      </c>
      <c r="H12" s="125">
        <f t="shared" si="19"/>
        <v>0</v>
      </c>
      <c r="I12" s="117">
        <f t="shared" si="27"/>
        <v>0</v>
      </c>
      <c r="J12" s="116" t="str">
        <f t="shared" si="33"/>
        <v/>
      </c>
      <c r="K12" s="116" t="str">
        <f t="shared" ref="K12:P26" si="34">IF(VLOOKUP($C12,$AB$2:$AN$67,K$1,FALSE)=$A12,"",VLOOKUP(VLOOKUP($C12,$AB$2:$AN$67,K$1,FALSE),$A$1:$B$200,2,FALSE))</f>
        <v>Eliza (1810–1861: #12)</v>
      </c>
      <c r="L12" s="116" t="str">
        <f t="shared" si="34"/>
        <v>Thomas (1812–1857: #14)</v>
      </c>
      <c r="M12" s="116" t="str">
        <f t="shared" si="34"/>
        <v>Maria (1814–1900: #16)</v>
      </c>
      <c r="N12" s="116" t="str">
        <f t="shared" si="34"/>
        <v>Edward (1815–1815: #17)</v>
      </c>
      <c r="O12" s="116" t="str">
        <f t="shared" si="34"/>
        <v>John (1817–1818: #20)</v>
      </c>
      <c r="P12" s="116" t="str">
        <f t="shared" si="34"/>
        <v>Lewis (1819–1841: #21)</v>
      </c>
      <c r="Q12" s="116"/>
      <c r="R12" s="116"/>
      <c r="S12" s="117"/>
      <c r="T12" s="117"/>
      <c r="U12" s="117"/>
      <c r="V12" s="117"/>
      <c r="Z12" s="116">
        <f t="shared" si="21"/>
        <v>28</v>
      </c>
      <c r="AA12" s="124">
        <f t="shared" si="3"/>
        <v>4</v>
      </c>
      <c r="AB12" s="281">
        <v>28</v>
      </c>
      <c r="AC12" s="281">
        <v>51</v>
      </c>
      <c r="AD12" s="281">
        <v>56</v>
      </c>
      <c r="AE12" s="281">
        <v>58</v>
      </c>
      <c r="AF12" s="281">
        <v>60</v>
      </c>
      <c r="AG12" s="282"/>
      <c r="AH12" s="282"/>
      <c r="AI12" s="282"/>
      <c r="AJ12" s="282"/>
      <c r="AK12" s="282"/>
      <c r="AL12" s="282"/>
      <c r="AM12" s="272"/>
      <c r="AN12" s="272"/>
      <c r="AO12" s="272"/>
      <c r="AP12" s="272"/>
      <c r="AQ12" s="276">
        <f t="shared" si="4"/>
        <v>4</v>
      </c>
      <c r="AR12" s="117">
        <f t="shared" si="28"/>
        <v>28</v>
      </c>
      <c r="AS12" s="271" t="str">
        <f t="shared" si="29"/>
        <v>Lewis (1875–1947: #51)</v>
      </c>
      <c r="AT12" s="271" t="str">
        <f>VLOOKUP(AD12,$A$1:$B$192,2,FALSE)</f>
        <v>Tommy (1882–1944: #56)</v>
      </c>
      <c r="AU12" s="271" t="str">
        <f>VLOOKUP(AE12,$A$1:$B$192,2,FALSE)</f>
        <v>Rt Rev Philip (1884–1952: #58)</v>
      </c>
      <c r="AV12" s="271" t="str">
        <f>VLOOKUP(AF12,$A$1:$B$192,2,FALSE)</f>
        <v>Kitty (1885–1989: #60)</v>
      </c>
      <c r="AW12" s="271"/>
      <c r="AX12" s="271"/>
      <c r="AY12" s="271"/>
      <c r="BC12" t="str">
        <f>_xlfn.CONCAT(AQ12," – ",AS12," ",AT12," ",AU12," ",AV12)</f>
        <v>4 – Lewis (1875–1947: #51) Tommy (1882–1944: #56) Rt Rev Philip (1884–1952: #58) Kitty (1885–1989: #60)</v>
      </c>
      <c r="BH12" s="116">
        <f t="shared" si="5"/>
        <v>18</v>
      </c>
      <c r="BI12" s="3" t="s">
        <v>2098</v>
      </c>
      <c r="BJ12" s="3" t="s">
        <v>5155</v>
      </c>
      <c r="BK12" t="str">
        <f t="shared" si="6"/>
        <v>James Dyce NICOL (1848–1938</v>
      </c>
      <c r="BL12" t="str">
        <f t="shared" si="7"/>
        <v>James NICOL (1848–1938: #18c)</v>
      </c>
      <c r="BM12" t="str">
        <f t="shared" si="8"/>
        <v>James Dyce NICOL (1848–1938: #18c)</v>
      </c>
      <c r="BP12" t="str">
        <f t="shared" si="9"/>
        <v>NICOL</v>
      </c>
      <c r="BQ12" t="str">
        <f t="shared" si="10"/>
        <v>James</v>
      </c>
      <c r="BR12" s="116" t="str">
        <f t="shared" si="11"/>
        <v>James</v>
      </c>
      <c r="BS12" s="116">
        <f t="shared" si="12"/>
        <v>70</v>
      </c>
      <c r="BT12" s="5" t="str">
        <f>_xlfn.CONCAT(BZ12," – ",CA12," ",CB12," ",CC12," ",CD12," ",CE12," ",CF12)</f>
        <v>6 – Cynthia MICKLEM (1921–1990: #70a) Dora MICKLEM (1924– : #70b) Anne MICKLEM (1925– : #70c) Tom MICKLEM (1926– : #70d) Elizabeth MICKLEM (1929– : #70e) Nathaniel MICKLEM (1931–1950: #70f)</v>
      </c>
      <c r="BU12" s="116">
        <f t="shared" si="24"/>
        <v>6</v>
      </c>
      <c r="BW12" s="116">
        <f t="shared" si="13"/>
        <v>0</v>
      </c>
      <c r="BX12" s="72">
        <v>70</v>
      </c>
      <c r="BY12">
        <v>6</v>
      </c>
      <c r="BZ12" s="116">
        <f t="shared" si="14"/>
        <v>6</v>
      </c>
      <c r="CA12" t="str" cm="1">
        <f t="array" ref="CA12:CF12">TRANSPOSE(BL38:BL43)</f>
        <v>Cynthia MICKLEM (1921–1990: #70a)</v>
      </c>
      <c r="CB12" t="str">
        <v>Dora MICKLEM (1924– : #70b)</v>
      </c>
      <c r="CC12" t="str">
        <v>Anne MICKLEM (1925– : #70c)</v>
      </c>
      <c r="CD12" t="str">
        <v>Tom MICKLEM (1926– : #70d)</v>
      </c>
      <c r="CE12" t="str">
        <v>Elizabeth MICKLEM (1929– : #70e)</v>
      </c>
      <c r="CF12" t="str">
        <v>Nathaniel MICKLEM (1931–1950: #70f)</v>
      </c>
      <c r="CO12" s="151" t="s">
        <v>2098</v>
      </c>
      <c r="CP12" s="6" t="s">
        <v>2022</v>
      </c>
      <c r="CQ12" s="5" t="s">
        <v>918</v>
      </c>
      <c r="CR12" s="5" t="s">
        <v>2023</v>
      </c>
      <c r="CS12" s="5"/>
      <c r="CT12" s="5"/>
      <c r="CU12" s="5">
        <v>1848</v>
      </c>
      <c r="CV12" s="5">
        <v>1938</v>
      </c>
      <c r="CW12">
        <f t="shared" si="30"/>
        <v>90</v>
      </c>
      <c r="DC12" s="117">
        <f t="shared" si="15"/>
        <v>37</v>
      </c>
      <c r="DD12" s="116">
        <v>70</v>
      </c>
      <c r="DE12">
        <f t="shared" si="16"/>
        <v>7</v>
      </c>
      <c r="DF12" s="117">
        <v>11</v>
      </c>
      <c r="DG12" s="117">
        <f t="shared" si="17"/>
        <v>22</v>
      </c>
      <c r="DH12" s="99" t="str">
        <f t="shared" si="18"/>
        <v>7 – Mary (1848–1934: #31) Elinor (1853–1895: #36) Fa (1855–1927: #39) Frederic (1856–1936: #41) Meg (1859–1936: #43) Llewellyn (1861–1939: #45) Caroline (1864–1940: #47)</v>
      </c>
    </row>
    <row r="13" spans="1:219" ht="20">
      <c r="A13" s="287">
        <f>'Loyd List 1-190 - Edit'!C13</f>
        <v>11</v>
      </c>
      <c r="B13" s="295" t="str">
        <f>VLOOKUP(A13,'Book Details - NO EDIT'!$U$3:$X$192,4,FALSE)</f>
        <v>Sarah (1810–1858: #11)</v>
      </c>
      <c r="C13" s="287">
        <f>VLOOKUP(A13,'Loyd List 1-190 - Edit'!$P$1:$R$200,3,FALSE)</f>
        <v>8</v>
      </c>
      <c r="D13" s="287">
        <f t="shared" si="25"/>
        <v>7</v>
      </c>
      <c r="E13" s="287">
        <f t="shared" si="2"/>
        <v>1</v>
      </c>
      <c r="F13" s="269" t="str">
        <f t="shared" si="26"/>
        <v xml:space="preserve">7 – Lewis (1811–1891: #13) Annie (1813–1834: #15) Kate (1815–1905: #18) Hannah (1817–1907: #19) Edward (1820–1890: #22) William (1821–1885: #23) Fanny (1824–1856: #24) </v>
      </c>
      <c r="G13" s="125" t="str">
        <f>'Loyd Book 2022 - Print'!N13</f>
        <v xml:space="preserve">7 – Lewis (1811–1891: #13) Annie (1813–1834: #15) Kate (1815–1905: #18) Hannah (1817–1907: #19) Edward (1820–1890: #22) William (1821–1885: #23) Fanny (1824–1856: #24) </v>
      </c>
      <c r="H13" s="125">
        <f t="shared" si="19"/>
        <v>0</v>
      </c>
      <c r="I13" s="117">
        <f t="shared" si="27"/>
        <v>0</v>
      </c>
      <c r="J13" s="116" t="str">
        <f t="shared" si="33"/>
        <v/>
      </c>
      <c r="K13" s="116" t="str">
        <f t="shared" si="34"/>
        <v>Lewis (1811–1891: #13)</v>
      </c>
      <c r="L13" s="116" t="str">
        <f t="shared" si="34"/>
        <v>Annie (1813–1834: #15)</v>
      </c>
      <c r="M13" s="116" t="str">
        <f t="shared" si="34"/>
        <v>Kate (1815–1905: #18)</v>
      </c>
      <c r="N13" s="116" t="str">
        <f t="shared" si="34"/>
        <v>Hannah (1817–1907: #19)</v>
      </c>
      <c r="O13" s="116" t="str">
        <f t="shared" si="34"/>
        <v>Edward (1820–1890: #22)</v>
      </c>
      <c r="P13" s="116" t="str">
        <f t="shared" si="34"/>
        <v>William (1821–1885: #23)</v>
      </c>
      <c r="Q13" s="116" t="str">
        <f>IF(VLOOKUP($C13,$AB$2:$AN$67,Q$1,FALSE)=$A13,"",VLOOKUP(VLOOKUP($C13,$AB$2:$AN$67,Q$1,FALSE),$A$1:$B$200,2,FALSE))</f>
        <v>Fanny (1824–1856: #24)</v>
      </c>
      <c r="R13" s="116"/>
      <c r="S13" s="117"/>
      <c r="T13" s="117"/>
      <c r="U13" s="117"/>
      <c r="V13" s="117"/>
      <c r="Z13" s="116">
        <f t="shared" si="21"/>
        <v>29</v>
      </c>
      <c r="AA13" s="124">
        <f t="shared" si="3"/>
        <v>1</v>
      </c>
      <c r="AB13" s="281">
        <v>29</v>
      </c>
      <c r="AC13" s="281">
        <v>80</v>
      </c>
      <c r="AD13" s="281"/>
      <c r="AE13" s="281"/>
      <c r="AF13" s="281"/>
      <c r="AG13" s="281"/>
      <c r="AH13" s="281"/>
      <c r="AI13" s="281"/>
      <c r="AJ13" s="281"/>
      <c r="AK13" s="281"/>
      <c r="AL13" s="281"/>
      <c r="AM13" s="272"/>
      <c r="AN13" s="272"/>
      <c r="AO13" s="272"/>
      <c r="AP13" s="272"/>
      <c r="AQ13" s="276">
        <f t="shared" si="4"/>
        <v>1</v>
      </c>
      <c r="AR13" s="117">
        <f t="shared" si="28"/>
        <v>29</v>
      </c>
      <c r="AS13" s="271" t="str">
        <f t="shared" si="29"/>
        <v>Eric (1894–1963: #80)</v>
      </c>
      <c r="AT13" s="271"/>
      <c r="AU13" s="271"/>
      <c r="AV13" s="271"/>
      <c r="AW13" s="271"/>
      <c r="AX13" s="271"/>
      <c r="AY13" s="271"/>
      <c r="BC13" t="str">
        <f>_xlfn.CONCAT(AQ13," – ",AS13,)</f>
        <v>1 – Eric (1894–1963: #80)</v>
      </c>
      <c r="BH13" s="116">
        <f t="shared" si="5"/>
        <v>18</v>
      </c>
      <c r="BI13" s="3" t="s">
        <v>2094</v>
      </c>
      <c r="BJ13" s="3" t="s">
        <v>5156</v>
      </c>
      <c r="BK13" t="str">
        <f t="shared" si="6"/>
        <v>Sarah Loyd NICOL (1854–1943</v>
      </c>
      <c r="BL13" t="str">
        <f t="shared" si="7"/>
        <v>Sarah NICOL (1854–1943: #18d)</v>
      </c>
      <c r="BM13" t="str">
        <f t="shared" si="8"/>
        <v>Sarah Loyd NICOL (1854–1943: #18d)</v>
      </c>
      <c r="BP13" t="str">
        <f t="shared" si="9"/>
        <v>NICOL</v>
      </c>
      <c r="BQ13" t="str">
        <f t="shared" si="10"/>
        <v>Sarah</v>
      </c>
      <c r="BR13" s="116" t="str">
        <f t="shared" si="11"/>
        <v>Sarah</v>
      </c>
      <c r="BS13" s="116">
        <f t="shared" si="12"/>
        <v>85</v>
      </c>
      <c r="BT13" t="str">
        <f>_xlfn.CONCAT(BZ13," – ",CA13," ",CB13," ",CC13," ",CD13)</f>
        <v>4 – Martin LANE FOX (1938–2016: #85a) Edward LANE FOX (1939– : #85b) Jenny LANE FOX (1944– : #85c) Robin LANE FOX (1946– : #85d)</v>
      </c>
      <c r="BU13" s="116">
        <f t="shared" si="24"/>
        <v>4</v>
      </c>
      <c r="BW13" s="116">
        <f t="shared" si="13"/>
        <v>0</v>
      </c>
      <c r="BX13" s="72">
        <v>85</v>
      </c>
      <c r="BY13">
        <v>4</v>
      </c>
      <c r="BZ13" s="116">
        <f t="shared" si="14"/>
        <v>4</v>
      </c>
      <c r="CA13" t="str" cm="1">
        <f t="array" ref="CA13:CD13">TRANSPOSE(BL44:BL47)</f>
        <v>Martin LANE FOX (1938–2016: #85a)</v>
      </c>
      <c r="CB13" t="str">
        <v>Edward LANE FOX (1939– : #85b)</v>
      </c>
      <c r="CC13" t="str">
        <v>Jenny LANE FOX (1944– : #85c)</v>
      </c>
      <c r="CD13" t="str">
        <v>Robin LANE FOX (1946– : #85d)</v>
      </c>
      <c r="CO13" s="151" t="s">
        <v>2094</v>
      </c>
      <c r="CP13" s="6" t="s">
        <v>2022</v>
      </c>
      <c r="CQ13" s="5" t="s">
        <v>998</v>
      </c>
      <c r="CR13" s="5" t="s">
        <v>1497</v>
      </c>
      <c r="CS13" s="5"/>
      <c r="CT13" s="5"/>
      <c r="CU13" s="5">
        <v>1854</v>
      </c>
      <c r="CV13" s="5">
        <v>1943</v>
      </c>
      <c r="CW13">
        <f t="shared" si="30"/>
        <v>89</v>
      </c>
      <c r="DC13" s="117">
        <f t="shared" si="15"/>
        <v>44</v>
      </c>
      <c r="DD13" s="116">
        <v>85</v>
      </c>
      <c r="DE13">
        <f t="shared" si="16"/>
        <v>9</v>
      </c>
      <c r="DF13" s="117">
        <v>12</v>
      </c>
      <c r="DG13" s="117">
        <f t="shared" si="17"/>
        <v>23</v>
      </c>
      <c r="DH13" s="99" t="str">
        <f t="shared" si="18"/>
        <v>9 – Lewis (1852–1908: #35) Gertrude (1854–1924: #38) Harriet (1856–1921: #40) Dulcie (1858–1905: #42) Harry (1861–1938: #44) William (1863–1923: #46) Caroline (1865–1938: #48) Mary (1867–1867: #49) Arthur (1868–1911: #50)</v>
      </c>
    </row>
    <row r="14" spans="1:219" ht="20">
      <c r="A14" s="287">
        <f>'Loyd List 1-190 - Edit'!C14</f>
        <v>12</v>
      </c>
      <c r="B14" s="295" t="str">
        <f>VLOOKUP(A14,'Book Details - NO EDIT'!$U$3:$X$192,4,FALSE)</f>
        <v>Eliza (1810–1861: #12)</v>
      </c>
      <c r="C14" s="287">
        <f>VLOOKUP(A14,'Loyd List 1-190 - Edit'!$P$1:$R$200,3,FALSE)</f>
        <v>4</v>
      </c>
      <c r="D14" s="287">
        <f t="shared" si="25"/>
        <v>6</v>
      </c>
      <c r="E14" s="287">
        <f t="shared" si="2"/>
        <v>1</v>
      </c>
      <c r="F14" s="269" t="str">
        <f t="shared" si="26"/>
        <v xml:space="preserve">6 – William (1809–1879: #10)  Thomas (1812–1857: #14) Maria (1814–1900: #16) Edward (1815–1815: #17) John (1817–1818: #20) Lewis (1819–1841: #21)  </v>
      </c>
      <c r="G14" s="125" t="str">
        <f>'Loyd Book 2022 - Print'!N14</f>
        <v xml:space="preserve">6 – William (1809–1879: #10)  Thomas (1812–1857: #14) Maria (1814–1900: #16) Edward (1815–1815: #17) John (1817–1818: #20) Lewis (1819–1841: #21)  </v>
      </c>
      <c r="H14" s="125">
        <f t="shared" si="19"/>
        <v>0</v>
      </c>
      <c r="I14" s="117">
        <f t="shared" si="27"/>
        <v>0</v>
      </c>
      <c r="J14" s="116" t="str">
        <f t="shared" si="33"/>
        <v>William (1809–1879: #10)</v>
      </c>
      <c r="K14" s="116" t="str">
        <f t="shared" si="34"/>
        <v/>
      </c>
      <c r="L14" s="116" t="str">
        <f t="shared" si="34"/>
        <v>Thomas (1812–1857: #14)</v>
      </c>
      <c r="M14" s="116" t="str">
        <f t="shared" si="34"/>
        <v>Maria (1814–1900: #16)</v>
      </c>
      <c r="N14" s="116" t="str">
        <f t="shared" si="34"/>
        <v>Edward (1815–1815: #17)</v>
      </c>
      <c r="O14" s="116" t="str">
        <f t="shared" si="34"/>
        <v>John (1817–1818: #20)</v>
      </c>
      <c r="P14" s="116" t="str">
        <f t="shared" si="34"/>
        <v>Lewis (1819–1841: #21)</v>
      </c>
      <c r="Q14" s="116"/>
      <c r="R14" s="116"/>
      <c r="S14" s="117"/>
      <c r="T14" s="117"/>
      <c r="U14" s="117"/>
      <c r="V14" s="117"/>
      <c r="Z14" s="116">
        <f t="shared" si="21"/>
        <v>30</v>
      </c>
      <c r="AA14" s="124">
        <f t="shared" si="3"/>
        <v>4</v>
      </c>
      <c r="AB14" s="281">
        <v>30</v>
      </c>
      <c r="AC14" s="281">
        <v>61</v>
      </c>
      <c r="AD14" s="281">
        <v>62</v>
      </c>
      <c r="AE14" s="281">
        <v>69</v>
      </c>
      <c r="AF14" s="281">
        <v>77</v>
      </c>
      <c r="AG14" s="281"/>
      <c r="AH14" s="281"/>
      <c r="AI14" s="281"/>
      <c r="AJ14" s="281"/>
      <c r="AK14" s="282"/>
      <c r="AL14" s="281"/>
      <c r="AM14" s="272"/>
      <c r="AN14" s="272"/>
      <c r="AO14" s="272"/>
      <c r="AP14" s="272"/>
      <c r="AQ14" s="276">
        <f t="shared" si="4"/>
        <v>4</v>
      </c>
      <c r="AR14" s="117">
        <f t="shared" si="28"/>
        <v>30</v>
      </c>
      <c r="AS14" s="271" t="str">
        <f t="shared" si="29"/>
        <v>Reggie (1886–1961: #61)</v>
      </c>
      <c r="AT14" s="271" t="str">
        <f>VLOOKUP(AD14,$A$1:$B$192,2,FALSE)</f>
        <v>Bobby (1887–1977: #62)</v>
      </c>
      <c r="AU14" s="271" t="str">
        <f>VLOOKUP(AE14,$A$1:$B$192,2,FALSE)</f>
        <v>Geoffrey (1890–1914: #69)</v>
      </c>
      <c r="AV14" s="271" t="str">
        <f>VLOOKUP(AF14,$A$1:$B$192,2,FALSE)</f>
        <v>Wilfrid (1893–1971: #77)</v>
      </c>
      <c r="AW14" s="271"/>
      <c r="AX14" s="271"/>
      <c r="AY14" s="271"/>
      <c r="BC14" t="str">
        <f>_xlfn.CONCAT(AQ14," – ",AS14," ",AT14," ",AU14," ",AV14)</f>
        <v>4 – Reggie (1886–1961: #61) Bobby (1887–1977: #62) Geoffrey (1890–1914: #69) Wilfrid (1893–1971: #77)</v>
      </c>
      <c r="BH14" s="116">
        <f t="shared" si="5"/>
        <v>18</v>
      </c>
      <c r="BI14" s="3" t="s">
        <v>2101</v>
      </c>
      <c r="BJ14" s="3" t="s">
        <v>5157</v>
      </c>
      <c r="BK14" t="str">
        <f t="shared" si="6"/>
        <v>Lewis Loyd NICOL (1858–1935</v>
      </c>
      <c r="BL14" t="str">
        <f t="shared" si="7"/>
        <v>Lewis NICOL (1858–1935: #18e)</v>
      </c>
      <c r="BM14" t="str">
        <f t="shared" si="8"/>
        <v>Lewis Loyd NICOL (1858–1935: #18e)</v>
      </c>
      <c r="BP14" t="str">
        <f t="shared" si="9"/>
        <v>NICOL</v>
      </c>
      <c r="BQ14" t="str">
        <f t="shared" si="10"/>
        <v>Lewis</v>
      </c>
      <c r="BR14" s="116" t="str">
        <f t="shared" si="11"/>
        <v>Lewis</v>
      </c>
      <c r="BS14" s="116">
        <f t="shared" si="12"/>
        <v>88</v>
      </c>
      <c r="BT14" t="str">
        <f t="shared" ref="BT14:BT15" si="35">_xlfn.CONCAT(BZ14," – ",CA14," ",CB14," ",CC14)</f>
        <v>3 – Lady Diana BAIRD (1937– : #88a) Michael KEITH (1939–2004: #88b) The Hon Alexander BAIRD (1946– : #88c)</v>
      </c>
      <c r="BU14" s="116">
        <f t="shared" si="24"/>
        <v>3</v>
      </c>
      <c r="BW14" s="116">
        <f t="shared" si="13"/>
        <v>0</v>
      </c>
      <c r="BX14" s="72">
        <v>88</v>
      </c>
      <c r="BY14">
        <v>3</v>
      </c>
      <c r="BZ14" s="116">
        <f t="shared" si="14"/>
        <v>3</v>
      </c>
      <c r="CA14" t="str" cm="1">
        <f t="array" ref="CA14:CC14">TRANSPOSE(BL48:BL50)</f>
        <v>Lady Diana BAIRD (1937– : #88a)</v>
      </c>
      <c r="CB14" t="str">
        <v>Michael KEITH (1939–2004: #88b)</v>
      </c>
      <c r="CC14" t="str">
        <v>The Hon Alexander BAIRD (1946– : #88c)</v>
      </c>
      <c r="CO14" s="151" t="s">
        <v>2101</v>
      </c>
      <c r="CP14" s="6" t="s">
        <v>2022</v>
      </c>
      <c r="CQ14" s="5" t="s">
        <v>914</v>
      </c>
      <c r="CR14" s="5" t="s">
        <v>1497</v>
      </c>
      <c r="CS14" s="5"/>
      <c r="CT14" s="5"/>
      <c r="CU14" s="5">
        <v>1858</v>
      </c>
      <c r="CV14" s="5">
        <v>1935</v>
      </c>
      <c r="CW14">
        <f t="shared" si="30"/>
        <v>77</v>
      </c>
      <c r="DC14" s="117">
        <f t="shared" si="15"/>
        <v>46</v>
      </c>
      <c r="DD14" s="116">
        <v>88</v>
      </c>
      <c r="DE14">
        <f t="shared" si="16"/>
        <v>4</v>
      </c>
      <c r="DF14" s="117">
        <v>13</v>
      </c>
      <c r="DG14" s="117">
        <f t="shared" si="17"/>
        <v>28</v>
      </c>
      <c r="DH14" s="99" t="str">
        <f t="shared" si="18"/>
        <v>4 – Lewis (1875–1947: #51) Tommy (1882–1944: #56) Rt Rev Philip (1884–1952: #58) Kitty (1885–1989: #60)</v>
      </c>
    </row>
    <row r="15" spans="1:219" ht="20">
      <c r="A15" s="287">
        <f>'Loyd List 1-190 - Edit'!C15</f>
        <v>13</v>
      </c>
      <c r="B15" s="295" t="str">
        <f>VLOOKUP(A15,'Book Details - NO EDIT'!$U$3:$X$192,4,FALSE)</f>
        <v>Lewis (1811–1891: #13)</v>
      </c>
      <c r="C15" s="287">
        <f>VLOOKUP(A15,'Loyd List 1-190 - Edit'!$P$1:$R$200,3,FALSE)</f>
        <v>8</v>
      </c>
      <c r="D15" s="287">
        <f t="shared" si="25"/>
        <v>7</v>
      </c>
      <c r="E15" s="287">
        <f t="shared" si="2"/>
        <v>1</v>
      </c>
      <c r="F15" s="269" t="str">
        <f t="shared" si="26"/>
        <v xml:space="preserve">7 – Sarah (1810–1858: #11)  Annie (1813–1834: #15) Kate (1815–1905: #18) Hannah (1817–1907: #19) Edward (1820–1890: #22) William (1821–1885: #23) Fanny (1824–1856: #24) </v>
      </c>
      <c r="G15" s="125" t="str">
        <f>'Loyd Book 2022 - Print'!N15</f>
        <v xml:space="preserve">7 – Sarah (1810–1858: #11)  Annie (1813–1834: #15) Kate (1815–1905: #18) Hannah (1817–1907: #19) Edward (1820–1890: #22) William (1821–1885: #23) Fanny (1824–1856: #24) </v>
      </c>
      <c r="H15" s="125">
        <f t="shared" si="19"/>
        <v>0</v>
      </c>
      <c r="I15" s="117">
        <f t="shared" si="27"/>
        <v>0</v>
      </c>
      <c r="J15" s="116" t="str">
        <f t="shared" si="33"/>
        <v>Sarah (1810–1858: #11)</v>
      </c>
      <c r="K15" s="116" t="str">
        <f t="shared" si="34"/>
        <v/>
      </c>
      <c r="L15" s="116" t="str">
        <f t="shared" si="34"/>
        <v>Annie (1813–1834: #15)</v>
      </c>
      <c r="M15" s="116" t="str">
        <f t="shared" si="34"/>
        <v>Kate (1815–1905: #18)</v>
      </c>
      <c r="N15" s="116" t="str">
        <f t="shared" si="34"/>
        <v>Hannah (1817–1907: #19)</v>
      </c>
      <c r="O15" s="116" t="str">
        <f t="shared" si="34"/>
        <v>Edward (1820–1890: #22)</v>
      </c>
      <c r="P15" s="116" t="str">
        <f t="shared" si="34"/>
        <v>William (1821–1885: #23)</v>
      </c>
      <c r="Q15" s="116" t="str">
        <f>IF(VLOOKUP($C15,$AB$2:$AN$67,Q$1,FALSE)=$A15,"",VLOOKUP(VLOOKUP($C15,$AB$2:$AN$67,Q$1,FALSE),$A$1:$B$200,2,FALSE))</f>
        <v>Fanny (1824–1856: #24)</v>
      </c>
      <c r="R15" s="116"/>
      <c r="S15" s="117"/>
      <c r="T15" s="117"/>
      <c r="U15" s="117"/>
      <c r="V15" s="117"/>
      <c r="Z15" s="116">
        <f t="shared" si="21"/>
        <v>32</v>
      </c>
      <c r="AA15" s="124">
        <f t="shared" si="3"/>
        <v>2</v>
      </c>
      <c r="AB15" s="281">
        <v>32</v>
      </c>
      <c r="AC15" s="281">
        <v>54</v>
      </c>
      <c r="AD15" s="281">
        <v>67</v>
      </c>
      <c r="AE15" s="281"/>
      <c r="AF15" s="281"/>
      <c r="AG15" s="281"/>
      <c r="AH15" s="281"/>
      <c r="AI15" s="281"/>
      <c r="AJ15" s="281"/>
      <c r="AK15" s="281"/>
      <c r="AL15" s="281"/>
      <c r="AM15" s="272"/>
      <c r="AN15" s="272"/>
      <c r="AO15" s="272"/>
      <c r="AP15" s="272"/>
      <c r="AQ15" s="276">
        <f t="shared" si="4"/>
        <v>2</v>
      </c>
      <c r="AR15" s="117">
        <f t="shared" si="28"/>
        <v>32</v>
      </c>
      <c r="AS15" s="271" t="str">
        <f t="shared" ref="AS15:AT21" si="36">VLOOKUP(AC15,$A$1:$B$192,2,FALSE)</f>
        <v>Alfred (1882–1919: #54)</v>
      </c>
      <c r="AT15" s="271" t="str">
        <f t="shared" si="36"/>
        <v>Tony/Dodo (1889–1956: #67)</v>
      </c>
      <c r="BC15" t="str">
        <f>_xlfn.CONCAT(AQ15," – ",AS15," ",AT15,)</f>
        <v>2 – Alfred (1882–1919: #54) Tony/Dodo (1889–1956: #67)</v>
      </c>
      <c r="BH15" s="116">
        <f t="shared" si="5"/>
        <v>19</v>
      </c>
      <c r="BI15" s="3" t="s">
        <v>2114</v>
      </c>
      <c r="BJ15" s="3" t="s">
        <v>5158</v>
      </c>
      <c r="BK15" t="str">
        <f t="shared" si="6"/>
        <v>William ENTWISLE (1839–1860</v>
      </c>
      <c r="BL15" t="str">
        <f t="shared" si="7"/>
        <v>William ENTWISLE (1839–1860: #19a)</v>
      </c>
      <c r="BM15" t="str">
        <f t="shared" si="8"/>
        <v>William ENTWISLE (1839–1860: #19a)</v>
      </c>
      <c r="BP15" t="str">
        <f t="shared" si="9"/>
        <v>ENTWISLE</v>
      </c>
      <c r="BQ15" t="str">
        <f t="shared" si="10"/>
        <v>William</v>
      </c>
      <c r="BR15" s="116" t="str">
        <f t="shared" si="11"/>
        <v>William</v>
      </c>
      <c r="BS15" s="116">
        <f t="shared" si="12"/>
        <v>90</v>
      </c>
      <c r="BT15" t="str">
        <f t="shared" si="35"/>
        <v>3 – June MARSHAM-TOWNHEND (1942– : #90a) Suki MARSHAM-TOWNHEND (1944– : #90b) Jonathan CLARKE (1950– : #90c)</v>
      </c>
      <c r="BU15" s="116">
        <f t="shared" si="24"/>
        <v>3</v>
      </c>
      <c r="BW15" s="116">
        <f t="shared" si="13"/>
        <v>0</v>
      </c>
      <c r="BX15" s="72">
        <v>90</v>
      </c>
      <c r="BY15">
        <v>3</v>
      </c>
      <c r="BZ15" s="116">
        <f t="shared" si="14"/>
        <v>3</v>
      </c>
      <c r="CA15" t="str" cm="1">
        <f t="array" ref="CA15:CC15">TRANSPOSE(BL51:BL53)</f>
        <v>June MARSHAM-TOWNHEND (1942– : #90a)</v>
      </c>
      <c r="CB15" t="str">
        <v>Suki MARSHAM-TOWNHEND (1944– : #90b)</v>
      </c>
      <c r="CC15" t="str">
        <v>Jonathan CLARKE (1950– : #90c)</v>
      </c>
      <c r="CO15" s="151" t="s">
        <v>2114</v>
      </c>
      <c r="CP15" s="6" t="s">
        <v>2109</v>
      </c>
      <c r="CQ15" s="5" t="s">
        <v>830</v>
      </c>
      <c r="CR15" s="5"/>
      <c r="CS15" s="5"/>
      <c r="CT15" s="5"/>
      <c r="CU15" s="5">
        <v>1839</v>
      </c>
      <c r="CV15" s="5">
        <v>1860</v>
      </c>
      <c r="CW15">
        <f t="shared" si="30"/>
        <v>21</v>
      </c>
      <c r="DC15" s="117">
        <f t="shared" si="15"/>
        <v>48</v>
      </c>
      <c r="DD15" s="116">
        <v>90</v>
      </c>
      <c r="DE15">
        <f t="shared" si="16"/>
        <v>1</v>
      </c>
      <c r="DF15" s="117">
        <v>14</v>
      </c>
      <c r="DG15" s="117">
        <f t="shared" si="17"/>
        <v>29</v>
      </c>
      <c r="DH15" s="99" t="str">
        <f t="shared" si="18"/>
        <v>1 – Eric (1894–1963: #80)</v>
      </c>
    </row>
    <row r="16" spans="1:219" ht="20">
      <c r="A16" s="287">
        <f>'Loyd List 1-190 - Edit'!C16</f>
        <v>14</v>
      </c>
      <c r="B16" s="295" t="str">
        <f>VLOOKUP(A16,'Book Details - NO EDIT'!$U$3:$X$192,4,FALSE)</f>
        <v>Thomas (1812–1857: #14)</v>
      </c>
      <c r="C16" s="287">
        <f>VLOOKUP(A16,'Loyd List 1-190 - Edit'!$P$1:$R$200,3,FALSE)</f>
        <v>4</v>
      </c>
      <c r="D16" s="287">
        <f t="shared" si="25"/>
        <v>6</v>
      </c>
      <c r="E16" s="287">
        <f t="shared" si="2"/>
        <v>1</v>
      </c>
      <c r="F16" s="269" t="str">
        <f t="shared" si="26"/>
        <v xml:space="preserve">6 – William (1809–1879: #10) Eliza (1810–1861: #12)  Maria (1814–1900: #16) Edward (1815–1815: #17) John (1817–1818: #20) Lewis (1819–1841: #21)  </v>
      </c>
      <c r="G16" s="125" t="str">
        <f>'Loyd Book 2022 - Print'!N16</f>
        <v xml:space="preserve">6 – William (1809–1879: #10) Eliza (1810–1861: #12)  Maria (1814–1900: #16) Edward (1815–1815: #17) John (1817–1818: #20) Lewis (1819–1841: #21)  </v>
      </c>
      <c r="H16" s="125">
        <f t="shared" si="19"/>
        <v>0</v>
      </c>
      <c r="I16" s="117">
        <f t="shared" si="27"/>
        <v>0</v>
      </c>
      <c r="J16" s="116" t="str">
        <f t="shared" si="33"/>
        <v>William (1809–1879: #10)</v>
      </c>
      <c r="K16" s="116" t="str">
        <f t="shared" si="34"/>
        <v>Eliza (1810–1861: #12)</v>
      </c>
      <c r="L16" s="116" t="str">
        <f t="shared" si="34"/>
        <v/>
      </c>
      <c r="M16" s="116" t="str">
        <f t="shared" si="34"/>
        <v>Maria (1814–1900: #16)</v>
      </c>
      <c r="N16" s="116" t="str">
        <f t="shared" si="34"/>
        <v>Edward (1815–1815: #17)</v>
      </c>
      <c r="O16" s="116" t="str">
        <f t="shared" si="34"/>
        <v>John (1817–1818: #20)</v>
      </c>
      <c r="P16" s="116" t="str">
        <f t="shared" si="34"/>
        <v>Lewis (1819–1841: #21)</v>
      </c>
      <c r="Q16" s="116"/>
      <c r="R16" s="116"/>
      <c r="S16" s="117"/>
      <c r="T16" s="117"/>
      <c r="U16" s="117"/>
      <c r="V16" s="117"/>
      <c r="Z16" s="116">
        <f t="shared" si="21"/>
        <v>34</v>
      </c>
      <c r="AA16" s="124">
        <f t="shared" si="3"/>
        <v>3</v>
      </c>
      <c r="AB16" s="281">
        <v>34</v>
      </c>
      <c r="AC16" s="281">
        <v>65</v>
      </c>
      <c r="AD16" s="281">
        <v>71</v>
      </c>
      <c r="AE16" s="281">
        <v>76</v>
      </c>
      <c r="AF16" s="281"/>
      <c r="AG16" s="281"/>
      <c r="AH16" s="281"/>
      <c r="AI16" s="282"/>
      <c r="AJ16" s="281"/>
      <c r="AK16" s="281"/>
      <c r="AL16" s="281"/>
      <c r="AM16" s="272"/>
      <c r="AN16" s="272"/>
      <c r="AO16" s="272"/>
      <c r="AP16" s="272"/>
      <c r="AQ16" s="276">
        <f t="shared" si="4"/>
        <v>3</v>
      </c>
      <c r="AR16" s="117">
        <f t="shared" si="28"/>
        <v>34</v>
      </c>
      <c r="AS16" s="271" t="str">
        <f t="shared" si="36"/>
        <v>Nan (1889–1967: #65)</v>
      </c>
      <c r="AT16" s="271" t="str">
        <f t="shared" si="36"/>
        <v>Arthur (1890–1974: #71)</v>
      </c>
      <c r="AU16" s="271" t="str">
        <f t="shared" ref="AU16:AU21" si="37">VLOOKUP(AE16,$A$1:$B$192,2,FALSE)</f>
        <v>Edward (1893–1932: #76)</v>
      </c>
      <c r="BC16" t="str">
        <f>_xlfn.CONCAT(AQ16," – ",AS16," ",AT16," ",AU16)</f>
        <v>3 – Nan (1889–1967: #65) Arthur (1890–1974: #71) Edward (1893–1932: #76)</v>
      </c>
      <c r="BH16" s="116">
        <f t="shared" si="5"/>
        <v>19</v>
      </c>
      <c r="BI16" s="3" t="s">
        <v>2115</v>
      </c>
      <c r="BJ16" s="3" t="s">
        <v>5159</v>
      </c>
      <c r="BK16" t="str">
        <f t="shared" si="6"/>
        <v>Richard ENTWISLE (1840–1894</v>
      </c>
      <c r="BL16" t="str">
        <f t="shared" si="7"/>
        <v>Richard ENTWISLE (1840–1894: #19b)</v>
      </c>
      <c r="BM16" t="str">
        <f t="shared" si="8"/>
        <v>Richard ENTWISLE (1840–1894: #19b)</v>
      </c>
      <c r="BP16" t="str">
        <f t="shared" si="9"/>
        <v>ENTWISLE</v>
      </c>
      <c r="BQ16" t="str">
        <f t="shared" si="10"/>
        <v>Richard</v>
      </c>
      <c r="BR16" s="116" t="str">
        <f t="shared" si="11"/>
        <v>Richard</v>
      </c>
      <c r="BS16" s="116">
        <f t="shared" si="12"/>
        <v>92</v>
      </c>
      <c r="BT16" t="str">
        <f>_xlfn.CONCAT(BZ16," – ",CA16," ",CB16," ",CC16," ",CD16)</f>
        <v>4 – Tim TATTON-BROWN (1947– : #92a) Giles TATTON-BROWN (1948– : #92b) Anthea TATTON-BROWN (1951– : #92c) Fanny TATTON-BROWN (1954– : #92d)</v>
      </c>
      <c r="BU16" s="116">
        <f t="shared" si="24"/>
        <v>4</v>
      </c>
      <c r="BW16" s="116">
        <f t="shared" si="13"/>
        <v>0</v>
      </c>
      <c r="BX16" s="72">
        <v>92</v>
      </c>
      <c r="BY16">
        <v>4</v>
      </c>
      <c r="BZ16" s="116">
        <f t="shared" si="14"/>
        <v>4</v>
      </c>
      <c r="CA16" t="str" cm="1">
        <f t="array" ref="CA16:CD16">TRANSPOSE(BL54:BL57)</f>
        <v>Tim TATTON-BROWN (1947– : #92a)</v>
      </c>
      <c r="CB16" t="str">
        <v>Giles TATTON-BROWN (1948– : #92b)</v>
      </c>
      <c r="CC16" t="str">
        <v>Anthea TATTON-BROWN (1951– : #92c)</v>
      </c>
      <c r="CD16" t="str">
        <v>Fanny TATTON-BROWN (1954– : #92d)</v>
      </c>
      <c r="CO16" s="151" t="s">
        <v>2115</v>
      </c>
      <c r="CP16" s="6" t="s">
        <v>2109</v>
      </c>
      <c r="CQ16" s="5" t="s">
        <v>928</v>
      </c>
      <c r="CR16" s="5"/>
      <c r="CS16" s="5"/>
      <c r="CT16" s="5"/>
      <c r="CU16" s="5">
        <v>1840</v>
      </c>
      <c r="CV16" s="5">
        <v>1894</v>
      </c>
      <c r="CW16">
        <f t="shared" si="30"/>
        <v>54</v>
      </c>
      <c r="DC16" s="117">
        <f t="shared" si="15"/>
        <v>49</v>
      </c>
      <c r="DD16" s="116">
        <v>92</v>
      </c>
      <c r="DE16">
        <f t="shared" si="16"/>
        <v>4</v>
      </c>
      <c r="DF16" s="117">
        <v>15</v>
      </c>
      <c r="DG16" s="117">
        <f t="shared" si="17"/>
        <v>30</v>
      </c>
      <c r="DH16" s="99" t="str">
        <f t="shared" si="18"/>
        <v>4 – Reggie (1886–1961: #61) Bobby (1887–1977: #62) Geoffrey (1890–1914: #69) Wilfrid (1893–1971: #77)</v>
      </c>
    </row>
    <row r="17" spans="1:112" ht="20">
      <c r="A17" s="287">
        <f>'Loyd List 1-190 - Edit'!C17</f>
        <v>15</v>
      </c>
      <c r="B17" s="295" t="str">
        <f>VLOOKUP(A17,'Book Details - NO EDIT'!$U$3:$X$192,4,FALSE)</f>
        <v>Annie (1813–1834: #15)</v>
      </c>
      <c r="C17" s="287">
        <f>VLOOKUP(A17,'Loyd List 1-190 - Edit'!$P$1:$R$200,3,FALSE)</f>
        <v>8</v>
      </c>
      <c r="D17" s="287">
        <f t="shared" si="25"/>
        <v>7</v>
      </c>
      <c r="E17" s="287">
        <f t="shared" si="2"/>
        <v>1</v>
      </c>
      <c r="F17" s="269" t="str">
        <f t="shared" si="26"/>
        <v xml:space="preserve">7 – Sarah (1810–1858: #11) Lewis (1811–1891: #13)  Kate (1815–1905: #18) Hannah (1817–1907: #19) Edward (1820–1890: #22) William (1821–1885: #23) Fanny (1824–1856: #24) </v>
      </c>
      <c r="G17" s="125" t="str">
        <f>'Loyd Book 2022 - Print'!N17</f>
        <v xml:space="preserve">7 – Sarah (1810–1858: #11) Lewis (1811–1891: #13)  Kate (1815–1905: #18) Hannah (1817–1907: #19) Edward (1820–1890: #22) William (1821–1885: #23) Fanny (1824–1856: #24) </v>
      </c>
      <c r="H17" s="125">
        <f t="shared" si="19"/>
        <v>0</v>
      </c>
      <c r="I17" s="117">
        <f t="shared" si="27"/>
        <v>0</v>
      </c>
      <c r="J17" s="116" t="str">
        <f t="shared" si="33"/>
        <v>Sarah (1810–1858: #11)</v>
      </c>
      <c r="K17" s="116" t="str">
        <f t="shared" si="34"/>
        <v>Lewis (1811–1891: #13)</v>
      </c>
      <c r="L17" s="116" t="str">
        <f t="shared" si="34"/>
        <v/>
      </c>
      <c r="M17" s="116" t="str">
        <f t="shared" si="34"/>
        <v>Kate (1815–1905: #18)</v>
      </c>
      <c r="N17" s="116" t="str">
        <f t="shared" si="34"/>
        <v>Hannah (1817–1907: #19)</v>
      </c>
      <c r="O17" s="116" t="str">
        <f t="shared" si="34"/>
        <v>Edward (1820–1890: #22)</v>
      </c>
      <c r="P17" s="116" t="str">
        <f t="shared" si="34"/>
        <v>William (1821–1885: #23)</v>
      </c>
      <c r="Q17" s="116" t="str">
        <f>IF(VLOOKUP($C17,$AB$2:$AN$67,Q$1,FALSE)=$A17,"",VLOOKUP(VLOOKUP($C17,$AB$2:$AN$67,Q$1,FALSE),$A$1:$B$200,2,FALSE))</f>
        <v>Fanny (1824–1856: #24)</v>
      </c>
      <c r="R17" s="116"/>
      <c r="S17" s="117"/>
      <c r="T17" s="117"/>
      <c r="U17" s="117"/>
      <c r="V17" s="117"/>
      <c r="Z17" s="116">
        <f t="shared" si="21"/>
        <v>35</v>
      </c>
      <c r="AA17" s="124">
        <f t="shared" si="3"/>
        <v>3</v>
      </c>
      <c r="AB17" s="281">
        <v>35</v>
      </c>
      <c r="AC17" s="281">
        <v>55</v>
      </c>
      <c r="AD17" s="281">
        <v>57</v>
      </c>
      <c r="AE17" s="281">
        <v>64</v>
      </c>
      <c r="AF17" s="281"/>
      <c r="AG17" s="281"/>
      <c r="AH17" s="281"/>
      <c r="AI17" s="281"/>
      <c r="AJ17" s="281"/>
      <c r="AK17" s="281"/>
      <c r="AL17" s="282"/>
      <c r="AM17" s="272"/>
      <c r="AN17" s="272"/>
      <c r="AO17" s="272"/>
      <c r="AP17" s="272"/>
      <c r="AQ17" s="276">
        <f t="shared" si="4"/>
        <v>3</v>
      </c>
      <c r="AR17" s="117">
        <f t="shared" si="28"/>
        <v>35</v>
      </c>
      <c r="AS17" s="271" t="str">
        <f t="shared" si="36"/>
        <v>Dick (1882–1950: #55)</v>
      </c>
      <c r="AT17" s="271" t="str">
        <f t="shared" si="36"/>
        <v>Robert (1884–1917: #57)</v>
      </c>
      <c r="AU17" s="271" t="str">
        <f t="shared" si="37"/>
        <v>Gertrude (1887–1917: #64)</v>
      </c>
      <c r="BC17" t="str">
        <f>_xlfn.CONCAT(AQ17," – ",AS17," ",AT17," ",AU17)</f>
        <v>3 – Dick (1882–1950: #55) Robert (1884–1917: #57) Gertrude (1887–1917: #64)</v>
      </c>
      <c r="BH17" s="116">
        <f t="shared" si="5"/>
        <v>19</v>
      </c>
      <c r="BI17" s="3" t="s">
        <v>2119</v>
      </c>
      <c r="BJ17" s="3" t="s">
        <v>5160</v>
      </c>
      <c r="BK17" t="str">
        <f t="shared" si="6"/>
        <v>Frederica Frances ENTWISLE (1842–1916</v>
      </c>
      <c r="BL17" t="str">
        <f t="shared" si="7"/>
        <v>Frederica ENTWISLE (1842–1916: #19c)</v>
      </c>
      <c r="BM17" t="str">
        <f t="shared" si="8"/>
        <v>Frederica Frances ENTWISLE (1842–1916: #19c)</v>
      </c>
      <c r="BP17" t="str">
        <f t="shared" si="9"/>
        <v>ENTWISLE</v>
      </c>
      <c r="BQ17" t="str">
        <f t="shared" si="10"/>
        <v>Frederica</v>
      </c>
      <c r="BR17" s="116" t="str">
        <f t="shared" si="11"/>
        <v>Frederica</v>
      </c>
      <c r="BS17" s="116">
        <f t="shared" si="12"/>
        <v>95</v>
      </c>
      <c r="BT17" t="str">
        <f>_xlfn.CONCAT(BZ17," – ",CA17," ",CB17)</f>
        <v>2 – Henrietta KNIGHT (1946– : #95a) Ce-Ce KNIGHT (1949–2020: #95b)</v>
      </c>
      <c r="BU17" s="116">
        <f t="shared" si="24"/>
        <v>2</v>
      </c>
      <c r="BW17" s="116">
        <f t="shared" si="13"/>
        <v>0</v>
      </c>
      <c r="BX17" s="72">
        <v>95</v>
      </c>
      <c r="BY17">
        <v>2</v>
      </c>
      <c r="BZ17" s="116">
        <f t="shared" si="14"/>
        <v>2</v>
      </c>
      <c r="CA17" t="str" cm="1">
        <f t="array" ref="CA17:CB17">TRANSPOSE(BL58:BL59)</f>
        <v>Henrietta KNIGHT (1946– : #95a)</v>
      </c>
      <c r="CB17" t="str">
        <v>Ce-Ce KNIGHT (1949–2020: #95b)</v>
      </c>
      <c r="CO17" s="151" t="s">
        <v>2119</v>
      </c>
      <c r="CP17" s="6" t="s">
        <v>2109</v>
      </c>
      <c r="CQ17" s="5" t="s">
        <v>2116</v>
      </c>
      <c r="CR17" s="5" t="s">
        <v>1036</v>
      </c>
      <c r="CS17" s="5"/>
      <c r="CT17" s="5"/>
      <c r="CU17" s="5">
        <v>1842</v>
      </c>
      <c r="CV17" s="5">
        <v>1916</v>
      </c>
      <c r="CW17">
        <f t="shared" si="30"/>
        <v>74</v>
      </c>
      <c r="DC17" s="117">
        <f t="shared" si="15"/>
        <v>51</v>
      </c>
      <c r="DD17" s="116">
        <v>95</v>
      </c>
      <c r="DE17">
        <f t="shared" si="16"/>
        <v>2</v>
      </c>
      <c r="DF17" s="117">
        <v>16</v>
      </c>
      <c r="DG17" s="117">
        <f t="shared" si="17"/>
        <v>32</v>
      </c>
      <c r="DH17" s="99" t="str">
        <f t="shared" si="18"/>
        <v>2 – Alfred (1882–1919: #54) Tony/Dodo (1889–1956: #67)</v>
      </c>
    </row>
    <row r="18" spans="1:112" ht="20">
      <c r="A18" s="287">
        <f>'Loyd List 1-190 - Edit'!C18</f>
        <v>16</v>
      </c>
      <c r="B18" s="295" t="str">
        <f>VLOOKUP(A18,'Book Details - NO EDIT'!$U$3:$X$192,4,FALSE)</f>
        <v>Maria (1814–1900: #16)</v>
      </c>
      <c r="C18" s="287">
        <f>VLOOKUP(A18,'Loyd List 1-190 - Edit'!$P$1:$R$200,3,FALSE)</f>
        <v>4</v>
      </c>
      <c r="D18" s="287">
        <f t="shared" si="25"/>
        <v>6</v>
      </c>
      <c r="E18" s="287">
        <f t="shared" si="2"/>
        <v>1</v>
      </c>
      <c r="F18" s="269" t="str">
        <f t="shared" si="26"/>
        <v xml:space="preserve">6 – William (1809–1879: #10) Eliza (1810–1861: #12) Thomas (1812–1857: #14)  Edward (1815–1815: #17) John (1817–1818: #20) Lewis (1819–1841: #21)  </v>
      </c>
      <c r="G18" s="125" t="str">
        <f>'Loyd Book 2022 - Print'!N18</f>
        <v xml:space="preserve">6 – William (1809–1879: #10) Eliza (1810–1861: #12) Thomas (1812–1857: #14)  Edward (1815–1815: #17) John (1817–1818: #20) Lewis (1819–1841: #21)  </v>
      </c>
      <c r="H18" s="125">
        <f t="shared" si="19"/>
        <v>0</v>
      </c>
      <c r="I18" s="117">
        <f t="shared" si="27"/>
        <v>0</v>
      </c>
      <c r="J18" s="116" t="str">
        <f t="shared" si="33"/>
        <v>William (1809–1879: #10)</v>
      </c>
      <c r="K18" s="116" t="str">
        <f t="shared" si="34"/>
        <v>Eliza (1810–1861: #12)</v>
      </c>
      <c r="L18" s="116" t="str">
        <f t="shared" si="34"/>
        <v>Thomas (1812–1857: #14)</v>
      </c>
      <c r="M18" s="116" t="str">
        <f t="shared" si="34"/>
        <v/>
      </c>
      <c r="N18" s="116" t="str">
        <f t="shared" si="34"/>
        <v>Edward (1815–1815: #17)</v>
      </c>
      <c r="O18" s="116" t="str">
        <f t="shared" si="34"/>
        <v>John (1817–1818: #20)</v>
      </c>
      <c r="P18" s="116" t="str">
        <f t="shared" si="34"/>
        <v>Lewis (1819–1841: #21)</v>
      </c>
      <c r="Q18" s="116"/>
      <c r="R18" s="116"/>
      <c r="S18" s="117"/>
      <c r="T18" s="117"/>
      <c r="U18" s="117"/>
      <c r="V18" s="117"/>
      <c r="Z18" s="116">
        <f t="shared" si="21"/>
        <v>41</v>
      </c>
      <c r="AA18" s="124">
        <f t="shared" si="3"/>
        <v>5</v>
      </c>
      <c r="AB18" s="281">
        <v>41</v>
      </c>
      <c r="AC18" s="281">
        <v>52</v>
      </c>
      <c r="AD18" s="281">
        <v>53</v>
      </c>
      <c r="AE18" s="281">
        <v>59</v>
      </c>
      <c r="AF18" s="281">
        <v>63</v>
      </c>
      <c r="AG18" s="281">
        <v>74</v>
      </c>
      <c r="AH18" s="281"/>
      <c r="AI18" s="281"/>
      <c r="AJ18" s="282"/>
      <c r="AK18" s="281"/>
      <c r="AL18" s="281"/>
      <c r="AM18" s="272"/>
      <c r="AN18" s="273"/>
      <c r="AO18" s="273"/>
      <c r="AP18" s="273"/>
      <c r="AQ18" s="276">
        <f t="shared" si="4"/>
        <v>5</v>
      </c>
      <c r="AR18" s="117">
        <f t="shared" si="28"/>
        <v>41</v>
      </c>
      <c r="AS18" s="271" t="str">
        <f t="shared" si="36"/>
        <v>Lewis (1880–1918: #52)</v>
      </c>
      <c r="AT18" s="271" t="str">
        <f t="shared" si="36"/>
        <v>Edward (1881–1962: #53)</v>
      </c>
      <c r="AU18" s="271" t="str">
        <f t="shared" si="37"/>
        <v>Evelyn (1885–1962: #59)</v>
      </c>
      <c r="AV18" s="271" t="str">
        <f>VLOOKUP(AF18,$A$1:$B$192,2,FALSE)</f>
        <v>Mary (1887–1968: #63)</v>
      </c>
      <c r="AW18" s="271" t="str">
        <f>VLOOKUP(AG18,$A$1:$B$192,2,FALSE)</f>
        <v>Cecily (1891–1891: #74)</v>
      </c>
      <c r="BC18" t="str">
        <f>_xlfn.CONCAT(AQ18," – ",AS18," ",AT18," ",AU18," ",AV18," ",AW18)</f>
        <v>5 – Lewis (1880–1918: #52) Edward (1881–1962: #53) Evelyn (1885–1962: #59) Mary (1887–1968: #63) Cecily (1891–1891: #74)</v>
      </c>
      <c r="BH18" s="116">
        <f t="shared" si="5"/>
        <v>19</v>
      </c>
      <c r="BI18" s="3" t="s">
        <v>2124</v>
      </c>
      <c r="BJ18" s="3" t="s">
        <v>5161</v>
      </c>
      <c r="BK18" t="str">
        <f t="shared" si="6"/>
        <v>Bernard Henry ENTWISLE (1847–1877</v>
      </c>
      <c r="BL18" t="str">
        <f t="shared" si="7"/>
        <v>Bernard ENTWISLE (1847–1877: #19d)</v>
      </c>
      <c r="BM18" t="str">
        <f t="shared" si="8"/>
        <v>Bernard Henry ENTWISLE (1847–1877: #19d)</v>
      </c>
      <c r="BP18" t="str">
        <f t="shared" si="9"/>
        <v>ENTWISLE</v>
      </c>
      <c r="BQ18" t="str">
        <f t="shared" si="10"/>
        <v>Bernard</v>
      </c>
      <c r="BR18" s="116" t="str">
        <f t="shared" si="11"/>
        <v>Bernard</v>
      </c>
      <c r="BS18" s="116">
        <f t="shared" si="12"/>
        <v>97</v>
      </c>
      <c r="BT18" t="str">
        <f t="shared" ref="BT18" si="38">_xlfn.CONCAT(BZ18," – ",CA18," ",CB18," ",CC18," ",CD18," ",CE18)</f>
        <v>5 – Julian SALE (1951– : #97a) Iona SALE (1954– : #97b) Charles SALE (1956–1957: #97c) Roddy SALE (1959– : #97d) Edward SALE (1963– : #97e)</v>
      </c>
      <c r="BU18" s="116">
        <f t="shared" si="24"/>
        <v>5</v>
      </c>
      <c r="BW18" s="116">
        <f t="shared" si="13"/>
        <v>0</v>
      </c>
      <c r="BX18" s="72">
        <v>97</v>
      </c>
      <c r="BY18">
        <v>5</v>
      </c>
      <c r="BZ18" s="116">
        <f t="shared" si="14"/>
        <v>5</v>
      </c>
      <c r="CA18" t="str" cm="1">
        <f t="array" ref="CA18:CE18">TRANSPOSE(BL60:BL64)</f>
        <v>Julian SALE (1951– : #97a)</v>
      </c>
      <c r="CB18" t="str">
        <v>Iona SALE (1954– : #97b)</v>
      </c>
      <c r="CC18" t="str">
        <v>Charles SALE (1956–1957: #97c)</v>
      </c>
      <c r="CD18" t="str">
        <v>Roddy SALE (1959– : #97d)</v>
      </c>
      <c r="CE18" t="str">
        <v>Edward SALE (1963– : #97e)</v>
      </c>
      <c r="CO18" s="151" t="s">
        <v>2124</v>
      </c>
      <c r="CP18" s="6" t="s">
        <v>2109</v>
      </c>
      <c r="CQ18" s="5" t="s">
        <v>2120</v>
      </c>
      <c r="CR18" s="5" t="s">
        <v>807</v>
      </c>
      <c r="CS18" s="5"/>
      <c r="CT18" s="5"/>
      <c r="CU18" s="5">
        <v>1847</v>
      </c>
      <c r="CV18" s="5">
        <v>1877</v>
      </c>
      <c r="CW18">
        <f t="shared" si="30"/>
        <v>30</v>
      </c>
      <c r="DC18" s="117">
        <f t="shared" si="15"/>
        <v>53</v>
      </c>
      <c r="DD18" s="116">
        <v>97</v>
      </c>
      <c r="DE18">
        <f t="shared" si="16"/>
        <v>3</v>
      </c>
      <c r="DF18" s="117">
        <v>17</v>
      </c>
      <c r="DG18" s="117">
        <f t="shared" si="17"/>
        <v>34</v>
      </c>
      <c r="DH18" s="99" t="str">
        <f t="shared" si="18"/>
        <v>3 – Nan (1889–1967: #65) Arthur (1890–1974: #71) Edward (1893–1932: #76)</v>
      </c>
    </row>
    <row r="19" spans="1:112" ht="20">
      <c r="A19" s="287">
        <f>'Loyd List 1-190 - Edit'!C19</f>
        <v>17</v>
      </c>
      <c r="B19" s="295" t="str">
        <f>VLOOKUP(A19,'Book Details - NO EDIT'!$U$3:$X$192,4,FALSE)</f>
        <v>Edward (1815–1815: #17)</v>
      </c>
      <c r="C19" s="287">
        <f>VLOOKUP(A19,'Loyd List 1-190 - Edit'!$P$1:$R$200,3,FALSE)</f>
        <v>4</v>
      </c>
      <c r="D19" s="287">
        <f t="shared" si="25"/>
        <v>6</v>
      </c>
      <c r="E19" s="287">
        <f t="shared" si="2"/>
        <v>1</v>
      </c>
      <c r="F19" s="269" t="str">
        <f t="shared" si="26"/>
        <v xml:space="preserve">6 – William (1809–1879: #10) Eliza (1810–1861: #12) Thomas (1812–1857: #14) Maria (1814–1900: #16)  John (1817–1818: #20) Lewis (1819–1841: #21)  </v>
      </c>
      <c r="G19" s="125" t="str">
        <f>'Loyd Book 2022 - Print'!N19</f>
        <v xml:space="preserve">6 – William (1809–1879: #10) Eliza (1810–1861: #12) Thomas (1812–1857: #14) Maria (1814–1900: #16)  John (1817–1818: #20) Lewis (1819–1841: #21)  </v>
      </c>
      <c r="H19" s="125">
        <f t="shared" si="19"/>
        <v>0</v>
      </c>
      <c r="I19" s="117">
        <f t="shared" si="27"/>
        <v>0</v>
      </c>
      <c r="J19" s="116" t="str">
        <f t="shared" si="33"/>
        <v>William (1809–1879: #10)</v>
      </c>
      <c r="K19" s="116" t="str">
        <f t="shared" si="34"/>
        <v>Eliza (1810–1861: #12)</v>
      </c>
      <c r="L19" s="116" t="str">
        <f t="shared" si="34"/>
        <v>Thomas (1812–1857: #14)</v>
      </c>
      <c r="M19" s="116" t="str">
        <f t="shared" si="34"/>
        <v>Maria (1814–1900: #16)</v>
      </c>
      <c r="N19" s="116" t="str">
        <f t="shared" si="34"/>
        <v/>
      </c>
      <c r="O19" s="116" t="str">
        <f t="shared" si="34"/>
        <v>John (1817–1818: #20)</v>
      </c>
      <c r="P19" s="116" t="str">
        <f t="shared" si="34"/>
        <v>Lewis (1819–1841: #21)</v>
      </c>
      <c r="Q19" s="116"/>
      <c r="R19" s="116"/>
      <c r="S19" s="117"/>
      <c r="T19" s="117"/>
      <c r="U19" s="117"/>
      <c r="V19" s="117"/>
      <c r="Z19" s="116">
        <f t="shared" si="21"/>
        <v>44</v>
      </c>
      <c r="AA19" s="124">
        <f t="shared" si="3"/>
        <v>3</v>
      </c>
      <c r="AB19" s="281">
        <v>44</v>
      </c>
      <c r="AC19" s="281">
        <v>66</v>
      </c>
      <c r="AD19" s="281">
        <v>72</v>
      </c>
      <c r="AE19" s="281">
        <v>81</v>
      </c>
      <c r="AF19" s="281"/>
      <c r="AG19" s="281"/>
      <c r="AH19" s="281"/>
      <c r="AI19" s="281"/>
      <c r="AJ19" s="281"/>
      <c r="AK19" s="281"/>
      <c r="AL19" s="281"/>
      <c r="AM19" s="273"/>
      <c r="AN19" s="273"/>
      <c r="AO19" s="273"/>
      <c r="AP19" s="273"/>
      <c r="AQ19" s="276">
        <f t="shared" si="4"/>
        <v>3</v>
      </c>
      <c r="AR19" s="117">
        <f t="shared" si="28"/>
        <v>44</v>
      </c>
      <c r="AS19" s="271" t="str">
        <f t="shared" si="36"/>
        <v>William (1889–1947: #66)</v>
      </c>
      <c r="AT19" s="271" t="str">
        <f t="shared" si="36"/>
        <v>Charles (1891–1973: #72)</v>
      </c>
      <c r="AU19" s="271" t="str">
        <f t="shared" si="37"/>
        <v>Reginald (1885–1917: #81)</v>
      </c>
      <c r="BC19" t="str">
        <f>_xlfn.CONCAT(AQ19," – ",AS19," ",AT19," ",AU19)</f>
        <v>3 – William (1889–1947: #66) Charles (1891–1973: #72) Reginald (1885–1917: #81)</v>
      </c>
      <c r="BH19" s="116">
        <f t="shared" si="5"/>
        <v>19</v>
      </c>
      <c r="BI19" s="3" t="s">
        <v>2127</v>
      </c>
      <c r="BJ19" s="3" t="s">
        <v>5162</v>
      </c>
      <c r="BK19" t="str">
        <f t="shared" si="6"/>
        <v>Edward Loyd ENTWISLE (1852–1881</v>
      </c>
      <c r="BL19" t="str">
        <f t="shared" si="7"/>
        <v>Edward ENTWISLE (1852–1881: #19e)</v>
      </c>
      <c r="BM19" t="str">
        <f t="shared" si="8"/>
        <v>Edward Loyd ENTWISLE (1852–1881: #19e)</v>
      </c>
      <c r="BP19" t="str">
        <f t="shared" si="9"/>
        <v>ENTWISLE</v>
      </c>
      <c r="BQ19" t="str">
        <f t="shared" si="10"/>
        <v>Edward</v>
      </c>
      <c r="BR19" s="116" t="str">
        <f t="shared" si="11"/>
        <v>Edward</v>
      </c>
      <c r="BS19" s="116">
        <f t="shared" si="12"/>
        <v>101</v>
      </c>
      <c r="BT19" t="str">
        <f>_xlfn.CONCAT(BZ19," – ",CA19," ",CB19," ",CC19," ",CD19," ",CE19," ",CF19)</f>
        <v>6 – Lady Selina MEADE (1950– : #101a) Lady Mary MEADE (1952– : #101b) Lady Julia MEADE (1953– : #101c) Lady Laura MEADE (1957– : #101d) Lady Katherine MEADE (1959– : #101e) Lady Sophia MEADE (1963– : #101f)</v>
      </c>
      <c r="BU19" s="116">
        <f t="shared" si="24"/>
        <v>6</v>
      </c>
      <c r="BW19" s="116">
        <f t="shared" si="13"/>
        <v>0</v>
      </c>
      <c r="BX19" s="72">
        <v>101</v>
      </c>
      <c r="BY19">
        <v>6</v>
      </c>
      <c r="BZ19" s="116">
        <f t="shared" si="14"/>
        <v>6</v>
      </c>
      <c r="CA19" t="str" cm="1">
        <f t="array" ref="CA19:CF19">TRANSPOSE(BL65:BL70)</f>
        <v>Lady Selina MEADE (1950– : #101a)</v>
      </c>
      <c r="CB19" t="str">
        <v>Lady Mary MEADE (1952– : #101b)</v>
      </c>
      <c r="CC19" t="str">
        <v>Lady Julia MEADE (1953– : #101c)</v>
      </c>
      <c r="CD19" t="str">
        <v>Lady Laura MEADE (1957– : #101d)</v>
      </c>
      <c r="CE19" t="str">
        <v>Lady Katherine MEADE (1959– : #101e)</v>
      </c>
      <c r="CF19" t="str">
        <v>Lady Sophia MEADE (1963– : #101f)</v>
      </c>
      <c r="CO19" s="151" t="s">
        <v>2127</v>
      </c>
      <c r="CP19" s="6" t="s">
        <v>2109</v>
      </c>
      <c r="CQ19" s="5" t="s">
        <v>811</v>
      </c>
      <c r="CR19" s="5" t="s">
        <v>1497</v>
      </c>
      <c r="CS19" s="5"/>
      <c r="CT19" s="5"/>
      <c r="CU19" s="5">
        <v>1852</v>
      </c>
      <c r="CV19" s="5">
        <v>1881</v>
      </c>
      <c r="CW19">
        <f t="shared" si="30"/>
        <v>29</v>
      </c>
      <c r="DC19" s="117">
        <f t="shared" si="15"/>
        <v>57</v>
      </c>
      <c r="DD19" s="116">
        <v>101</v>
      </c>
      <c r="DE19">
        <f t="shared" si="16"/>
        <v>3</v>
      </c>
      <c r="DF19" s="117">
        <v>18</v>
      </c>
      <c r="DG19" s="117">
        <f t="shared" si="17"/>
        <v>35</v>
      </c>
      <c r="DH19" s="99" t="str">
        <f t="shared" si="18"/>
        <v>3 – Dick (1882–1950: #55) Robert (1884–1917: #57) Gertrude (1887–1917: #64)</v>
      </c>
    </row>
    <row r="20" spans="1:112" ht="17">
      <c r="A20" s="287">
        <f>'Loyd List 1-190 - Edit'!C20</f>
        <v>18</v>
      </c>
      <c r="B20" s="295" t="str">
        <f>VLOOKUP(A20,'Book Details - NO EDIT'!$U$3:$X$192,4,FALSE)</f>
        <v>Kate (1815–1905: #18)</v>
      </c>
      <c r="C20" s="287">
        <f>VLOOKUP(A20,'Loyd List 1-190 - Edit'!$P$1:$R$200,3,FALSE)</f>
        <v>8</v>
      </c>
      <c r="D20" s="287">
        <f t="shared" si="25"/>
        <v>7</v>
      </c>
      <c r="E20" s="287">
        <f t="shared" si="2"/>
        <v>1</v>
      </c>
      <c r="F20" s="269" t="str">
        <f t="shared" si="26"/>
        <v xml:space="preserve">7 – Sarah (1810–1858: #11) Lewis (1811–1891: #13) Annie (1813–1834: #15)  Hannah (1817–1907: #19) Edward (1820–1890: #22) William (1821–1885: #23) Fanny (1824–1856: #24) </v>
      </c>
      <c r="G20" s="125" t="str">
        <f>'Loyd Book 2022 - Print'!N20</f>
        <v xml:space="preserve">7 – Sarah (1810–1858: #11) Lewis (1811–1891: #13) Annie (1813–1834: #15)  Hannah (1817–1907: #19) Edward (1820–1890: #22) William (1821–1885: #23) Fanny (1824–1856: #24) </v>
      </c>
      <c r="H20" s="125">
        <f t="shared" si="19"/>
        <v>0</v>
      </c>
      <c r="I20" s="117">
        <f t="shared" si="27"/>
        <v>0</v>
      </c>
      <c r="J20" s="116" t="str">
        <f t="shared" si="33"/>
        <v>Sarah (1810–1858: #11)</v>
      </c>
      <c r="K20" s="116" t="str">
        <f t="shared" si="34"/>
        <v>Lewis (1811–1891: #13)</v>
      </c>
      <c r="L20" s="116" t="str">
        <f t="shared" si="34"/>
        <v>Annie (1813–1834: #15)</v>
      </c>
      <c r="M20" s="116" t="str">
        <f t="shared" si="34"/>
        <v/>
      </c>
      <c r="N20" s="116" t="str">
        <f t="shared" si="34"/>
        <v>Hannah (1817–1907: #19)</v>
      </c>
      <c r="O20" s="116" t="str">
        <f t="shared" si="34"/>
        <v>Edward (1820–1890: #22)</v>
      </c>
      <c r="P20" s="116" t="str">
        <f t="shared" si="34"/>
        <v>William (1821–1885: #23)</v>
      </c>
      <c r="Q20" s="116" t="str">
        <f>IF(VLOOKUP($C20,$AB$2:$AN$67,Q$1,FALSE)=$A20,"",VLOOKUP(VLOOKUP($C20,$AB$2:$AN$67,Q$1,FALSE),$A$1:$B$200,2,FALSE))</f>
        <v>Fanny (1824–1856: #24)</v>
      </c>
      <c r="R20" s="116"/>
      <c r="S20" s="117"/>
      <c r="T20" s="117"/>
      <c r="U20" s="117"/>
      <c r="V20" s="117"/>
      <c r="Z20" s="116">
        <f t="shared" si="21"/>
        <v>45</v>
      </c>
      <c r="AA20" s="124">
        <f t="shared" si="3"/>
        <v>4</v>
      </c>
      <c r="AB20" s="281">
        <v>45</v>
      </c>
      <c r="AC20" s="281">
        <v>68</v>
      </c>
      <c r="AD20" s="281">
        <v>73</v>
      </c>
      <c r="AE20" s="281">
        <v>79</v>
      </c>
      <c r="AF20" s="281">
        <v>83</v>
      </c>
      <c r="AG20" s="281"/>
      <c r="AH20" s="281"/>
      <c r="AI20" s="282"/>
      <c r="AJ20" s="281"/>
      <c r="AK20" s="281"/>
      <c r="AL20" s="281"/>
      <c r="AM20" s="272"/>
      <c r="AN20" s="273"/>
      <c r="AO20" s="273"/>
      <c r="AP20" s="273"/>
      <c r="AQ20" s="276">
        <f t="shared" si="4"/>
        <v>4</v>
      </c>
      <c r="AR20" s="117">
        <f t="shared" si="28"/>
        <v>45</v>
      </c>
      <c r="AS20" s="271" t="str">
        <f t="shared" si="36"/>
        <v>Cecil (1890–1963: #68)</v>
      </c>
      <c r="AT20" s="271" t="str">
        <f t="shared" si="36"/>
        <v>Eric (1891–1967: #73)</v>
      </c>
      <c r="AU20" s="271" t="str">
        <f t="shared" si="37"/>
        <v>Alwyne (1894–1917: #79)</v>
      </c>
      <c r="AV20" s="271" t="str">
        <f>VLOOKUP(AF20,$A$1:$B$192,2,FALSE)</f>
        <v>Ruby (1898–1977: #83)</v>
      </c>
      <c r="AW20" s="271"/>
      <c r="BC20" t="str">
        <f>_xlfn.CONCAT(AQ20," – ",AS20," ",AT20," ",AU20," ",AV20)</f>
        <v>4 – Cecil (1890–1963: #68) Eric (1891–1967: #73) Alwyne (1894–1917: #79) Ruby (1898–1977: #83)</v>
      </c>
      <c r="BH20" s="116">
        <f t="shared" si="5"/>
        <v>36</v>
      </c>
      <c r="BI20" s="3" t="s">
        <v>2136</v>
      </c>
      <c r="BJ20" s="3" t="s">
        <v>5163</v>
      </c>
      <c r="BK20" t="str">
        <f t="shared" si="6"/>
        <v>George Loyd COURTHOPE (1877–1955</v>
      </c>
      <c r="BL20" t="str">
        <f t="shared" si="7"/>
        <v>George COURTHOPE (1877–1955: #36a)</v>
      </c>
      <c r="BM20" t="str">
        <f t="shared" si="8"/>
        <v>George Loyd COURTHOPE (1877–1955: #36a)</v>
      </c>
      <c r="BP20" t="str">
        <f t="shared" si="9"/>
        <v>COURTHOPE</v>
      </c>
      <c r="BQ20" t="str">
        <f t="shared" si="10"/>
        <v>George</v>
      </c>
      <c r="BR20" s="116" t="str">
        <f t="shared" si="11"/>
        <v>George</v>
      </c>
      <c r="BS20" s="116">
        <f t="shared" si="12"/>
        <v>102</v>
      </c>
      <c r="BT20" t="str">
        <f>_xlfn.CONCAT(BZ20," – ",CA20," ",CB20," ",CC20," ")</f>
        <v xml:space="preserve">3 – Tess DUNLOP (1956– : #102a) Fergus DUNLOP (1958– : #102b) Celina DUNLOP (1960– : #102c) </v>
      </c>
      <c r="BU20" s="116">
        <f t="shared" si="24"/>
        <v>3</v>
      </c>
      <c r="BW20" s="116">
        <f t="shared" si="13"/>
        <v>0</v>
      </c>
      <c r="BX20" s="72">
        <v>102</v>
      </c>
      <c r="BY20">
        <v>3</v>
      </c>
      <c r="BZ20" s="116">
        <f t="shared" si="14"/>
        <v>3</v>
      </c>
      <c r="CA20" t="str" cm="1">
        <f t="array" ref="CA20:CC20">TRANSPOSE(BL71:BL73)</f>
        <v>Tess DUNLOP (1956– : #102a)</v>
      </c>
      <c r="CB20" t="str">
        <v>Fergus DUNLOP (1958– : #102b)</v>
      </c>
      <c r="CC20" t="str">
        <v>Celina DUNLOP (1960– : #102c)</v>
      </c>
      <c r="CO20" s="151" t="s">
        <v>2136</v>
      </c>
      <c r="CP20" s="5" t="s">
        <v>2133</v>
      </c>
      <c r="CQ20" s="5" t="s">
        <v>913</v>
      </c>
      <c r="CR20" s="5" t="s">
        <v>1497</v>
      </c>
      <c r="CS20" s="5"/>
      <c r="CT20" s="5"/>
      <c r="CU20" s="5">
        <v>1877</v>
      </c>
      <c r="CV20" s="5">
        <v>1955</v>
      </c>
      <c r="CW20">
        <f t="shared" si="30"/>
        <v>78</v>
      </c>
      <c r="DC20" s="117">
        <f t="shared" si="15"/>
        <v>58</v>
      </c>
      <c r="DD20" s="116">
        <v>102</v>
      </c>
      <c r="DE20">
        <f t="shared" si="16"/>
        <v>8</v>
      </c>
      <c r="DF20" s="117">
        <v>19</v>
      </c>
      <c r="DG20" s="117">
        <f t="shared" si="17"/>
        <v>36</v>
      </c>
      <c r="DH20" s="99" t="str">
        <f t="shared" si="18"/>
        <v>8 – George COURTHOPE (1877–1955: #36a) Alexander COURTHOPE (1878–1892: #36b) John COURTHOPE (1882–1954: #36c) Barbara COURTHOPE (1883–1972: #36d) Elinor COURTHOPE (1886–1974: #36e) Richard COURTHOPE (1888–1889: #36f) Robert COURTHOPE (1891–1966: #36g) Margery COURTHOPE (1893–1901: #36h)</v>
      </c>
    </row>
    <row r="21" spans="1:112" ht="17">
      <c r="A21" s="287">
        <f>'Loyd List 1-190 - Edit'!C21</f>
        <v>19</v>
      </c>
      <c r="B21" s="295" t="str">
        <f>VLOOKUP(A21,'Book Details - NO EDIT'!$U$3:$X$192,4,FALSE)</f>
        <v>Hannah (1817–1907: #19)</v>
      </c>
      <c r="C21" s="287">
        <f>VLOOKUP(A21,'Loyd List 1-190 - Edit'!$P$1:$R$200,3,FALSE)</f>
        <v>8</v>
      </c>
      <c r="D21" s="287">
        <f t="shared" si="25"/>
        <v>7</v>
      </c>
      <c r="E21" s="287">
        <f t="shared" si="2"/>
        <v>1</v>
      </c>
      <c r="F21" s="269" t="str">
        <f t="shared" si="26"/>
        <v xml:space="preserve">7 – Sarah (1810–1858: #11) Lewis (1811–1891: #13) Annie (1813–1834: #15) Kate (1815–1905: #18)  Edward (1820–1890: #22) William (1821–1885: #23) Fanny (1824–1856: #24) </v>
      </c>
      <c r="G21" s="125" t="str">
        <f>'Loyd Book 2022 - Print'!N21</f>
        <v xml:space="preserve">7 – Sarah (1810–1858: #11) Lewis (1811–1891: #13) Annie (1813–1834: #15) Kate (1815–1905: #18)  Edward (1820–1890: #22) William (1821–1885: #23) Fanny (1824–1856: #24) </v>
      </c>
      <c r="H21" s="125">
        <f t="shared" si="19"/>
        <v>0</v>
      </c>
      <c r="I21" s="117">
        <f t="shared" si="27"/>
        <v>0</v>
      </c>
      <c r="J21" s="116" t="str">
        <f t="shared" si="33"/>
        <v>Sarah (1810–1858: #11)</v>
      </c>
      <c r="K21" s="116" t="str">
        <f t="shared" si="34"/>
        <v>Lewis (1811–1891: #13)</v>
      </c>
      <c r="L21" s="116" t="str">
        <f t="shared" si="34"/>
        <v>Annie (1813–1834: #15)</v>
      </c>
      <c r="M21" s="116" t="str">
        <f t="shared" si="34"/>
        <v>Kate (1815–1905: #18)</v>
      </c>
      <c r="N21" s="116" t="str">
        <f t="shared" si="34"/>
        <v/>
      </c>
      <c r="O21" s="116" t="str">
        <f t="shared" si="34"/>
        <v>Edward (1820–1890: #22)</v>
      </c>
      <c r="P21" s="116" t="str">
        <f t="shared" si="34"/>
        <v>William (1821–1885: #23)</v>
      </c>
      <c r="Q21" s="116" t="str">
        <f>IF(VLOOKUP($C21,$AB$2:$AN$67,Q$1,FALSE)=$A21,"",VLOOKUP(VLOOKUP($C21,$AB$2:$AN$67,Q$1,FALSE),$A$1:$B$200,2,FALSE))</f>
        <v>Fanny (1824–1856: #24)</v>
      </c>
      <c r="R21" s="116"/>
      <c r="S21" s="117"/>
      <c r="T21" s="117"/>
      <c r="U21" s="117"/>
      <c r="V21" s="117"/>
      <c r="Z21" s="116">
        <f t="shared" si="21"/>
        <v>46</v>
      </c>
      <c r="AA21" s="124">
        <f t="shared" si="3"/>
        <v>5</v>
      </c>
      <c r="AB21" s="281">
        <v>46</v>
      </c>
      <c r="AC21" s="281">
        <v>70</v>
      </c>
      <c r="AD21" s="281">
        <v>75</v>
      </c>
      <c r="AE21" s="281">
        <v>78</v>
      </c>
      <c r="AF21" s="281">
        <v>82</v>
      </c>
      <c r="AG21" s="281">
        <v>84</v>
      </c>
      <c r="AH21" s="282"/>
      <c r="AI21" s="281"/>
      <c r="AJ21" s="281"/>
      <c r="AK21" s="282"/>
      <c r="AL21" s="282"/>
      <c r="AM21" s="273"/>
      <c r="AN21" s="273"/>
      <c r="AO21" s="273"/>
      <c r="AP21" s="273"/>
      <c r="AQ21" s="276">
        <f t="shared" si="4"/>
        <v>5</v>
      </c>
      <c r="AR21" s="117">
        <f t="shared" si="28"/>
        <v>46</v>
      </c>
      <c r="AS21" s="271" t="str">
        <f t="shared" si="36"/>
        <v>Diana (1890–1963: #70)</v>
      </c>
      <c r="AT21" s="271" t="str">
        <f t="shared" si="36"/>
        <v>Godfrey (1893–1917: #75)</v>
      </c>
      <c r="AU21" s="271" t="str">
        <f t="shared" si="37"/>
        <v>Vivian (1894–1972: #78)</v>
      </c>
      <c r="AV21" s="271" t="str">
        <f>VLOOKUP(AF21,$A$1:$B$192,2,FALSE)</f>
        <v>Wilfred (1896–1955: #82)</v>
      </c>
      <c r="AW21" s="271" t="str">
        <f>VLOOKUP(AG21,$A$1:$B$192,2,FALSE)</f>
        <v>Eddie (1902–1942: #84)</v>
      </c>
      <c r="BC21" t="str">
        <f>_xlfn.CONCAT(AQ21," – ",AS21," ",AT21," ",AU21," ",AV21," ",AW21)</f>
        <v>5 – Diana (1890–1963: #70) Godfrey (1893–1917: #75) Vivian (1894–1972: #78) Wilfred (1896–1955: #82) Eddie (1902–1942: #84)</v>
      </c>
      <c r="BH21" s="116">
        <f t="shared" si="5"/>
        <v>36</v>
      </c>
      <c r="BI21" s="3" t="s">
        <v>2144</v>
      </c>
      <c r="BJ21" s="3" t="s">
        <v>5164</v>
      </c>
      <c r="BK21" t="str">
        <f t="shared" si="6"/>
        <v>Alexander COURTHOPE (1878–1892</v>
      </c>
      <c r="BL21" t="str">
        <f t="shared" si="7"/>
        <v>Alexander COURTHOPE (1878–1892: #36b)</v>
      </c>
      <c r="BM21" t="str">
        <f t="shared" si="8"/>
        <v>Alexander COURTHOPE (1878–1892: #36b)</v>
      </c>
      <c r="BP21" t="str">
        <f t="shared" si="9"/>
        <v>COURTHOPE</v>
      </c>
      <c r="BQ21" t="str">
        <f t="shared" si="10"/>
        <v>Alexander</v>
      </c>
      <c r="BR21" s="116" t="str">
        <f t="shared" si="11"/>
        <v>Alexander</v>
      </c>
      <c r="BS21" s="116">
        <f t="shared" si="12"/>
        <v>103</v>
      </c>
      <c r="BT21" t="str">
        <f>_xlfn.CONCAT(BZ21," – ",CA21," ",CB21," ",CC21," ",CD21)</f>
        <v>4 – James GORE-BROWNE (1947– : #103a) Georgina GORE-BROWNE (1949– : #103b) David GORE-BROWNE (1952–2012: #103c) Patrick GORE-BROWNE (1956– : #103d)</v>
      </c>
      <c r="BU21" s="116">
        <f t="shared" si="24"/>
        <v>4</v>
      </c>
      <c r="BW21" s="116">
        <f t="shared" si="13"/>
        <v>0</v>
      </c>
      <c r="BX21" s="72">
        <v>103</v>
      </c>
      <c r="BY21">
        <v>4</v>
      </c>
      <c r="BZ21" s="116">
        <f t="shared" si="14"/>
        <v>4</v>
      </c>
      <c r="CA21" t="str" cm="1">
        <f t="array" ref="CA21:CD21">TRANSPOSE(BL74:BL77)</f>
        <v>James GORE-BROWNE (1947– : #103a)</v>
      </c>
      <c r="CB21" t="str">
        <v>Georgina GORE-BROWNE (1949– : #103b)</v>
      </c>
      <c r="CC21" t="str">
        <v>David GORE-BROWNE (1952–2012: #103c)</v>
      </c>
      <c r="CD21" t="str">
        <v>Patrick GORE-BROWNE (1956– : #103d)</v>
      </c>
      <c r="CO21" s="151" t="s">
        <v>2144</v>
      </c>
      <c r="CP21" s="5" t="s">
        <v>2133</v>
      </c>
      <c r="CQ21" s="5" t="s">
        <v>924</v>
      </c>
      <c r="CR21" s="5"/>
      <c r="CS21" s="5"/>
      <c r="CT21" s="5"/>
      <c r="CU21" s="5">
        <v>1878</v>
      </c>
      <c r="CV21" s="5">
        <v>1892</v>
      </c>
      <c r="CW21">
        <f t="shared" si="30"/>
        <v>14</v>
      </c>
      <c r="DC21" s="117">
        <f t="shared" si="15"/>
        <v>59</v>
      </c>
      <c r="DD21" s="116">
        <v>103</v>
      </c>
      <c r="DE21">
        <f t="shared" si="16"/>
        <v>5</v>
      </c>
      <c r="DF21" s="117">
        <v>20</v>
      </c>
      <c r="DG21" s="117">
        <f t="shared" si="17"/>
        <v>41</v>
      </c>
      <c r="DH21" s="99" t="str">
        <f t="shared" si="18"/>
        <v>5 – Lewis (1880–1918: #52) Edward (1881–1962: #53) Evelyn (1885–1962: #59) Mary (1887–1968: #63) Cecily (1891–1891: #74)</v>
      </c>
    </row>
    <row r="22" spans="1:112" ht="17">
      <c r="A22" s="287">
        <f>'Loyd List 1-190 - Edit'!C22</f>
        <v>20</v>
      </c>
      <c r="B22" s="295" t="str">
        <f>VLOOKUP(A22,'Book Details - NO EDIT'!$U$3:$X$192,4,FALSE)</f>
        <v>John (1817–1818: #20)</v>
      </c>
      <c r="C22" s="287">
        <f>VLOOKUP(A22,'Loyd List 1-190 - Edit'!$P$1:$R$200,3,FALSE)</f>
        <v>4</v>
      </c>
      <c r="D22" s="287">
        <f t="shared" si="25"/>
        <v>6</v>
      </c>
      <c r="E22" s="287">
        <f t="shared" si="2"/>
        <v>1</v>
      </c>
      <c r="F22" s="269" t="str">
        <f t="shared" si="26"/>
        <v xml:space="preserve">6 – William (1809–1879: #10) Eliza (1810–1861: #12) Thomas (1812–1857: #14) Maria (1814–1900: #16) Edward (1815–1815: #17)  Lewis (1819–1841: #21)  </v>
      </c>
      <c r="G22" s="125" t="str">
        <f>'Loyd Book 2022 - Print'!N22</f>
        <v xml:space="preserve">6 – William (1809–1879: #10) Eliza (1810–1861: #12) Thomas (1812–1857: #14) Maria (1814–1900: #16) Edward (1815–1815: #17)  Lewis (1819–1841: #21)  </v>
      </c>
      <c r="H22" s="125">
        <f t="shared" si="19"/>
        <v>0</v>
      </c>
      <c r="I22" s="117">
        <f t="shared" si="27"/>
        <v>0</v>
      </c>
      <c r="J22" s="116" t="str">
        <f t="shared" si="33"/>
        <v>William (1809–1879: #10)</v>
      </c>
      <c r="K22" s="116" t="str">
        <f t="shared" si="34"/>
        <v>Eliza (1810–1861: #12)</v>
      </c>
      <c r="L22" s="116" t="str">
        <f t="shared" si="34"/>
        <v>Thomas (1812–1857: #14)</v>
      </c>
      <c r="M22" s="116" t="str">
        <f t="shared" si="34"/>
        <v>Maria (1814–1900: #16)</v>
      </c>
      <c r="N22" s="116" t="str">
        <f t="shared" si="34"/>
        <v>Edward (1815–1815: #17)</v>
      </c>
      <c r="O22" s="116" t="str">
        <f t="shared" si="34"/>
        <v/>
      </c>
      <c r="P22" s="116" t="str">
        <f t="shared" si="34"/>
        <v>Lewis (1819–1841: #21)</v>
      </c>
      <c r="Q22" s="116"/>
      <c r="R22" s="116"/>
      <c r="S22" s="117"/>
      <c r="T22" s="117"/>
      <c r="U22" s="117"/>
      <c r="V22" s="117"/>
      <c r="Z22" s="116">
        <f t="shared" si="21"/>
        <v>52</v>
      </c>
      <c r="AA22" s="124">
        <f t="shared" si="3"/>
        <v>1</v>
      </c>
      <c r="AB22" s="281">
        <v>52</v>
      </c>
      <c r="AC22" s="281">
        <v>90</v>
      </c>
      <c r="AD22" s="281"/>
      <c r="AE22" s="281"/>
      <c r="AF22" s="281"/>
      <c r="AG22" s="281"/>
      <c r="AH22" s="281"/>
      <c r="AI22" s="281"/>
      <c r="AJ22" s="281"/>
      <c r="AK22" s="281"/>
      <c r="AL22" s="281"/>
      <c r="AM22" s="272"/>
      <c r="AN22" s="272"/>
      <c r="AO22" s="272"/>
      <c r="AP22" s="272"/>
      <c r="AQ22" s="276">
        <f t="shared" si="4"/>
        <v>1</v>
      </c>
      <c r="AR22" s="117">
        <f t="shared" si="28"/>
        <v>52</v>
      </c>
      <c r="AS22" s="271" t="str">
        <f t="shared" ref="AS22:AS30" si="39">VLOOKUP(AC22,$A$1:$B$192,2,FALSE)</f>
        <v>Averil (1917–1993: #90)</v>
      </c>
      <c r="BC22" t="str">
        <f t="shared" ref="BC22:BC23" si="40">_xlfn.CONCAT(AQ22," – ",AS22,)</f>
        <v>1 – Averil (1917–1993: #90)</v>
      </c>
      <c r="BH22" s="116">
        <f t="shared" si="5"/>
        <v>36</v>
      </c>
      <c r="BI22" s="3" t="s">
        <v>2146</v>
      </c>
      <c r="BJ22" s="3" t="s">
        <v>5165</v>
      </c>
      <c r="BK22" t="str">
        <f t="shared" si="6"/>
        <v>John Edward COURTHOPE (1882–1954</v>
      </c>
      <c r="BL22" t="str">
        <f t="shared" si="7"/>
        <v>John COURTHOPE (1882–1954: #36c)</v>
      </c>
      <c r="BM22" t="str">
        <f t="shared" si="8"/>
        <v>John Edward COURTHOPE (1882–1954: #36c)</v>
      </c>
      <c r="BP22" t="str">
        <f t="shared" si="9"/>
        <v>COURTHOPE</v>
      </c>
      <c r="BQ22" t="str">
        <f t="shared" si="10"/>
        <v>John</v>
      </c>
      <c r="BR22" s="116" t="str">
        <f t="shared" si="11"/>
        <v>John</v>
      </c>
      <c r="BS22" s="116">
        <f t="shared" si="12"/>
        <v>106</v>
      </c>
      <c r="BT22" t="str">
        <f>_xlfn.CONCAT(BZ22," – ",CA22," ",CB22)</f>
        <v>2 – The Hon Geva WINN (1955– : #106a) Charles WINN (1959– : #106b)</v>
      </c>
      <c r="BU22" s="116">
        <f t="shared" si="24"/>
        <v>2</v>
      </c>
      <c r="BW22" s="116">
        <f t="shared" si="13"/>
        <v>0</v>
      </c>
      <c r="BX22" s="72">
        <v>106</v>
      </c>
      <c r="BY22">
        <v>2</v>
      </c>
      <c r="BZ22" s="116">
        <f t="shared" si="14"/>
        <v>2</v>
      </c>
      <c r="CA22" t="str" cm="1">
        <f t="array" ref="CA22:CB22">TRANSPOSE(BL78:BL79)</f>
        <v>The Hon Geva WINN (1955– : #106a)</v>
      </c>
      <c r="CB22" t="str">
        <v>Charles WINN (1959– : #106b)</v>
      </c>
      <c r="CO22" s="151" t="s">
        <v>2146</v>
      </c>
      <c r="CP22" s="5" t="s">
        <v>2133</v>
      </c>
      <c r="CQ22" s="5" t="s">
        <v>842</v>
      </c>
      <c r="CR22" s="5" t="s">
        <v>811</v>
      </c>
      <c r="CS22" s="5"/>
      <c r="CT22" s="5"/>
      <c r="CU22" s="5">
        <v>1882</v>
      </c>
      <c r="CV22" s="5">
        <v>1954</v>
      </c>
      <c r="CW22">
        <f t="shared" si="30"/>
        <v>72</v>
      </c>
      <c r="DC22" s="117">
        <f t="shared" si="15"/>
        <v>62</v>
      </c>
      <c r="DD22" s="116">
        <v>106</v>
      </c>
      <c r="DE22">
        <f t="shared" si="16"/>
        <v>1</v>
      </c>
      <c r="DF22" s="117">
        <v>21</v>
      </c>
      <c r="DG22" s="117">
        <f t="shared" si="17"/>
        <v>42</v>
      </c>
      <c r="DH22" s="99" t="str">
        <f t="shared" si="18"/>
        <v>1 – Ambrose GODDARD (1892– : #42a)</v>
      </c>
    </row>
    <row r="23" spans="1:112" ht="17">
      <c r="A23" s="287">
        <f>'Loyd List 1-190 - Edit'!C23</f>
        <v>21</v>
      </c>
      <c r="B23" s="295" t="str">
        <f>VLOOKUP(A23,'Book Details - NO EDIT'!$U$3:$X$192,4,FALSE)</f>
        <v>Lewis (1819–1841: #21)</v>
      </c>
      <c r="C23" s="287">
        <f>VLOOKUP(A23,'Loyd List 1-190 - Edit'!$P$1:$R$200,3,FALSE)</f>
        <v>4</v>
      </c>
      <c r="D23" s="287">
        <f t="shared" si="25"/>
        <v>6</v>
      </c>
      <c r="E23" s="287">
        <f t="shared" si="2"/>
        <v>1</v>
      </c>
      <c r="F23" s="269" t="str">
        <f t="shared" si="26"/>
        <v xml:space="preserve">6 – William (1809–1879: #10) Eliza (1810–1861: #12) Thomas (1812–1857: #14) Maria (1814–1900: #16) Edward (1815–1815: #17) John (1817–1818: #20)   </v>
      </c>
      <c r="G23" s="125" t="str">
        <f>'Loyd Book 2022 - Print'!N23</f>
        <v xml:space="preserve">6 – William (1809–1879: #10) Eliza (1810–1861: #12) Thomas (1812–1857: #14) Maria (1814–1900: #16) Edward (1815–1815: #17) John (1817–1818: #20)   </v>
      </c>
      <c r="H23" s="125">
        <f t="shared" si="19"/>
        <v>0</v>
      </c>
      <c r="I23" s="117">
        <f t="shared" si="27"/>
        <v>0</v>
      </c>
      <c r="J23" s="116" t="str">
        <f t="shared" si="33"/>
        <v>William (1809–1879: #10)</v>
      </c>
      <c r="K23" s="116" t="str">
        <f t="shared" si="34"/>
        <v>Eliza (1810–1861: #12)</v>
      </c>
      <c r="L23" s="116" t="str">
        <f t="shared" si="34"/>
        <v>Thomas (1812–1857: #14)</v>
      </c>
      <c r="M23" s="116" t="str">
        <f t="shared" si="34"/>
        <v>Maria (1814–1900: #16)</v>
      </c>
      <c r="N23" s="116" t="str">
        <f t="shared" si="34"/>
        <v>Edward (1815–1815: #17)</v>
      </c>
      <c r="O23" s="116" t="str">
        <f t="shared" si="34"/>
        <v>John (1817–1818: #20)</v>
      </c>
      <c r="P23" s="116" t="str">
        <f t="shared" si="34"/>
        <v/>
      </c>
      <c r="Q23" s="116"/>
      <c r="R23" s="116"/>
      <c r="S23" s="117"/>
      <c r="T23" s="117"/>
      <c r="U23" s="117"/>
      <c r="V23" s="117"/>
      <c r="Z23" s="116">
        <f t="shared" si="21"/>
        <v>53</v>
      </c>
      <c r="AA23" s="124">
        <f t="shared" si="3"/>
        <v>1</v>
      </c>
      <c r="AB23" s="281">
        <v>53</v>
      </c>
      <c r="AC23" s="281">
        <v>97</v>
      </c>
      <c r="AD23" s="281"/>
      <c r="AE23" s="281"/>
      <c r="AF23" s="281"/>
      <c r="AG23" s="281"/>
      <c r="AH23" s="281"/>
      <c r="AI23" s="281"/>
      <c r="AJ23" s="281"/>
      <c r="AK23" s="281"/>
      <c r="AL23" s="281"/>
      <c r="AM23" s="272"/>
      <c r="AN23" s="272"/>
      <c r="AO23" s="272"/>
      <c r="AP23" s="272"/>
      <c r="AQ23" s="276">
        <f t="shared" si="4"/>
        <v>1</v>
      </c>
      <c r="AR23" s="117">
        <f t="shared" si="28"/>
        <v>53</v>
      </c>
      <c r="AS23" s="271" t="str">
        <f t="shared" si="39"/>
        <v>Audrey (1922–2005: #97)</v>
      </c>
      <c r="BC23" t="str">
        <f t="shared" si="40"/>
        <v>1 – Audrey (1922–2005: #97)</v>
      </c>
      <c r="BH23" s="116">
        <f t="shared" si="5"/>
        <v>36</v>
      </c>
      <c r="BI23" s="3" t="s">
        <v>2147</v>
      </c>
      <c r="BJ23" s="3" t="s">
        <v>5166</v>
      </c>
      <c r="BK23" t="str">
        <f t="shared" si="6"/>
        <v>Barbara Frances COURTHOPE (1883–1972</v>
      </c>
      <c r="BL23" t="str">
        <f t="shared" si="7"/>
        <v>Barbara COURTHOPE (1883–1972: #36d)</v>
      </c>
      <c r="BM23" t="str">
        <f t="shared" si="8"/>
        <v>Barbara Frances COURTHOPE (1883–1972: #36d)</v>
      </c>
      <c r="BP23" t="str">
        <f t="shared" si="9"/>
        <v>COURTHOPE</v>
      </c>
      <c r="BQ23" t="str">
        <f t="shared" si="10"/>
        <v>Barbara</v>
      </c>
      <c r="BR23" s="116" t="str">
        <f t="shared" si="11"/>
        <v>Barbara</v>
      </c>
      <c r="BS23" s="116">
        <f t="shared" si="12"/>
        <v>107</v>
      </c>
      <c r="BT23" t="str">
        <f t="shared" ref="BT23" si="41">_xlfn.CONCAT(BZ23," – ",CA23," ",CB23," ",CC23," ",CD23," ",CE23)</f>
        <v>5 – Lorraine GRAHAM (1951– : #107a) Nora ORR (1955– : #107b) Michael ORR (1956– : #107c) Ted ORR (1959– : #107d) Heather ORR (1970– : #107e)</v>
      </c>
      <c r="BU23" s="116">
        <f t="shared" si="24"/>
        <v>5</v>
      </c>
      <c r="BW23" s="116">
        <f t="shared" si="13"/>
        <v>0</v>
      </c>
      <c r="BX23" s="72">
        <v>107</v>
      </c>
      <c r="BY23">
        <v>5</v>
      </c>
      <c r="BZ23" s="116">
        <f t="shared" si="14"/>
        <v>5</v>
      </c>
      <c r="CA23" t="str" cm="1">
        <f t="array" ref="CA23:CE23">TRANSPOSE(BL80:BL84)</f>
        <v>Lorraine GRAHAM (1951– : #107a)</v>
      </c>
      <c r="CB23" t="str">
        <v>Nora ORR (1955– : #107b)</v>
      </c>
      <c r="CC23" t="str">
        <v>Michael ORR (1956– : #107c)</v>
      </c>
      <c r="CD23" t="str">
        <v>Ted ORR (1959– : #107d)</v>
      </c>
      <c r="CE23" t="str">
        <v>Heather ORR (1970– : #107e)</v>
      </c>
      <c r="CO23" s="151" t="s">
        <v>2147</v>
      </c>
      <c r="CP23" s="5" t="s">
        <v>2133</v>
      </c>
      <c r="CQ23" s="5" t="s">
        <v>2148</v>
      </c>
      <c r="CR23" s="5" t="s">
        <v>1036</v>
      </c>
      <c r="CS23" s="5"/>
      <c r="CT23" s="5"/>
      <c r="CU23" s="5">
        <v>1883</v>
      </c>
      <c r="CV23" s="5">
        <v>1972</v>
      </c>
      <c r="CW23">
        <f t="shared" si="30"/>
        <v>89</v>
      </c>
      <c r="DC23" s="117">
        <f t="shared" si="15"/>
        <v>63</v>
      </c>
      <c r="DD23" s="116">
        <v>107</v>
      </c>
      <c r="DE23">
        <f t="shared" si="16"/>
        <v>3</v>
      </c>
      <c r="DF23" s="117">
        <v>22</v>
      </c>
      <c r="DG23" s="117">
        <f t="shared" si="17"/>
        <v>44</v>
      </c>
      <c r="DH23" s="99" t="str">
        <f t="shared" si="18"/>
        <v>3 – William (1889–1947: #66) Charles (1891–1973: #72) Reginald (1885–1917: #81)</v>
      </c>
    </row>
    <row r="24" spans="1:112" ht="17">
      <c r="A24" s="287">
        <f>'Loyd List 1-190 - Edit'!C24</f>
        <v>22</v>
      </c>
      <c r="B24" s="295" t="str">
        <f>VLOOKUP(A24,'Book Details - NO EDIT'!$U$3:$X$192,4,FALSE)</f>
        <v>Edward (1820–1890: #22)</v>
      </c>
      <c r="C24" s="287">
        <f>VLOOKUP(A24,'Loyd List 1-190 - Edit'!$P$1:$R$200,3,FALSE)</f>
        <v>8</v>
      </c>
      <c r="D24" s="287">
        <f t="shared" si="25"/>
        <v>7</v>
      </c>
      <c r="E24" s="287">
        <f t="shared" si="2"/>
        <v>1</v>
      </c>
      <c r="F24" s="269" t="str">
        <f t="shared" si="26"/>
        <v xml:space="preserve">7 – Sarah (1810–1858: #11) Lewis (1811–1891: #13) Annie (1813–1834: #15) Kate (1815–1905: #18) Hannah (1817–1907: #19)  William (1821–1885: #23) Fanny (1824–1856: #24) </v>
      </c>
      <c r="G24" s="125" t="str">
        <f>'Loyd Book 2022 - Print'!N24</f>
        <v xml:space="preserve">7 – Sarah (1810–1858: #11) Lewis (1811–1891: #13) Annie (1813–1834: #15) Kate (1815–1905: #18) Hannah (1817–1907: #19)  William (1821–1885: #23) Fanny (1824–1856: #24) </v>
      </c>
      <c r="H24" s="125">
        <f t="shared" si="19"/>
        <v>0</v>
      </c>
      <c r="I24" s="117">
        <f t="shared" si="27"/>
        <v>0</v>
      </c>
      <c r="J24" s="116" t="str">
        <f t="shared" si="33"/>
        <v>Sarah (1810–1858: #11)</v>
      </c>
      <c r="K24" s="116" t="str">
        <f t="shared" si="34"/>
        <v>Lewis (1811–1891: #13)</v>
      </c>
      <c r="L24" s="116" t="str">
        <f t="shared" si="34"/>
        <v>Annie (1813–1834: #15)</v>
      </c>
      <c r="M24" s="116" t="str">
        <f t="shared" si="34"/>
        <v>Kate (1815–1905: #18)</v>
      </c>
      <c r="N24" s="116" t="str">
        <f t="shared" si="34"/>
        <v>Hannah (1817–1907: #19)</v>
      </c>
      <c r="O24" s="116" t="str">
        <f t="shared" si="34"/>
        <v/>
      </c>
      <c r="P24" s="116" t="str">
        <f t="shared" si="34"/>
        <v>William (1821–1885: #23)</v>
      </c>
      <c r="Q24" s="116" t="str">
        <f>IF(VLOOKUP($C24,$AB$2:$AN$67,Q$1,FALSE)=$A24,"",VLOOKUP(VLOOKUP($C24,$AB$2:$AN$67,Q$1,FALSE),$A$1:$B$200,2,FALSE))</f>
        <v>Fanny (1824–1856: #24)</v>
      </c>
      <c r="R24" s="116"/>
      <c r="S24" s="117"/>
      <c r="T24" s="117"/>
      <c r="U24" s="117"/>
      <c r="V24" s="117"/>
      <c r="Z24" s="116">
        <f t="shared" si="21"/>
        <v>54</v>
      </c>
      <c r="AA24" s="124">
        <f t="shared" si="3"/>
        <v>2</v>
      </c>
      <c r="AB24" s="281">
        <v>54</v>
      </c>
      <c r="AC24" s="281">
        <v>89</v>
      </c>
      <c r="AD24" s="281">
        <v>92</v>
      </c>
      <c r="AE24" s="281"/>
      <c r="AF24" s="282"/>
      <c r="AG24" s="281"/>
      <c r="AH24" s="281"/>
      <c r="AI24" s="281"/>
      <c r="AJ24" s="281"/>
      <c r="AK24" s="281"/>
      <c r="AL24" s="281"/>
      <c r="AM24" s="272"/>
      <c r="AN24" s="272"/>
      <c r="AO24" s="272"/>
      <c r="AP24" s="272"/>
      <c r="AQ24" s="276">
        <f t="shared" si="4"/>
        <v>2</v>
      </c>
      <c r="AR24" s="117">
        <f t="shared" si="28"/>
        <v>54</v>
      </c>
      <c r="AS24" s="271" t="str">
        <f t="shared" si="39"/>
        <v>Sir Francis/Frank (1916–2006: #89)</v>
      </c>
      <c r="AT24" s="271" t="str">
        <f>VLOOKUP(AD24,$A$1:$B$192,2,FALSE)</f>
        <v>Daphne (1917–1992: #92)</v>
      </c>
      <c r="AU24" s="271"/>
      <c r="BC24" t="str">
        <f>_xlfn.CONCAT(AQ24," – ",AS24," ",AT24)</f>
        <v>2 – Sir Francis/Frank (1916–2006: #89) Daphne (1917–1992: #92)</v>
      </c>
      <c r="BH24" s="116">
        <f t="shared" si="5"/>
        <v>36</v>
      </c>
      <c r="BI24" s="3" t="s">
        <v>2182</v>
      </c>
      <c r="BJ24" s="3" t="s">
        <v>5167</v>
      </c>
      <c r="BK24" t="str">
        <f t="shared" si="6"/>
        <v>Elinor Joan COURTHOPE (1886–1974</v>
      </c>
      <c r="BL24" t="str">
        <f t="shared" si="7"/>
        <v>Elinor COURTHOPE (1886–1974: #36e)</v>
      </c>
      <c r="BM24" t="str">
        <f t="shared" si="8"/>
        <v>Elinor Joan COURTHOPE (1886–1974: #36e)</v>
      </c>
      <c r="BP24" t="str">
        <f t="shared" si="9"/>
        <v>COURTHOPE</v>
      </c>
      <c r="BQ24" t="str">
        <f t="shared" si="10"/>
        <v>Elinor</v>
      </c>
      <c r="BR24" s="116" t="str">
        <f t="shared" si="11"/>
        <v>Elinor</v>
      </c>
      <c r="BS24" s="116">
        <f t="shared" si="12"/>
        <v>108</v>
      </c>
      <c r="BT24" t="str">
        <f>_xlfn.CONCAT(BZ24," – ",CA24," ",CB24," ",CC24," ",CD24)</f>
        <v>4 – Frances HOYLE (1953– : #108a) Richard HOYLE (1956– : #108b) David HOYLE (1961– : #108c) Peter HOYLE (1963– : #108d)</v>
      </c>
      <c r="BU24" s="116">
        <f t="shared" si="24"/>
        <v>4</v>
      </c>
      <c r="BW24" s="116">
        <f t="shared" si="13"/>
        <v>0</v>
      </c>
      <c r="BX24" s="72">
        <v>108</v>
      </c>
      <c r="BY24">
        <v>4</v>
      </c>
      <c r="BZ24" s="116">
        <f t="shared" si="14"/>
        <v>4</v>
      </c>
      <c r="CA24" t="str" cm="1">
        <f t="array" ref="CA24:CD24">TRANSPOSE(BL85:BL88)</f>
        <v>Frances HOYLE (1953– : #108a)</v>
      </c>
      <c r="CB24" t="str">
        <v>Richard HOYLE (1956– : #108b)</v>
      </c>
      <c r="CC24" t="str">
        <v>David HOYLE (1961– : #108c)</v>
      </c>
      <c r="CD24" t="str">
        <v>Peter HOYLE (1963– : #108d)</v>
      </c>
      <c r="CO24" s="151" t="s">
        <v>2182</v>
      </c>
      <c r="CP24" s="5" t="s">
        <v>2133</v>
      </c>
      <c r="CQ24" s="5" t="s">
        <v>1071</v>
      </c>
      <c r="CR24" s="5" t="s">
        <v>2186</v>
      </c>
      <c r="CS24" s="5"/>
      <c r="CT24" s="5"/>
      <c r="CU24" s="5">
        <v>1886</v>
      </c>
      <c r="CV24" s="5">
        <v>1974</v>
      </c>
      <c r="CW24">
        <f t="shared" si="30"/>
        <v>88</v>
      </c>
      <c r="DC24" s="117">
        <f t="shared" si="15"/>
        <v>64</v>
      </c>
      <c r="DD24" s="116">
        <v>108</v>
      </c>
      <c r="DE24">
        <f t="shared" si="16"/>
        <v>4</v>
      </c>
      <c r="DF24" s="117">
        <v>23</v>
      </c>
      <c r="DG24" s="117">
        <f t="shared" si="17"/>
        <v>45</v>
      </c>
      <c r="DH24" s="99" t="str">
        <f t="shared" si="18"/>
        <v>4 – Cecil (1890–1963: #68) Eric (1891–1967: #73) Alwyne (1894–1917: #79) Ruby (1898–1977: #83)</v>
      </c>
    </row>
    <row r="25" spans="1:112" ht="17">
      <c r="A25" s="287">
        <f>'Loyd List 1-190 - Edit'!C25</f>
        <v>23</v>
      </c>
      <c r="B25" s="295" t="str">
        <f>VLOOKUP(A25,'Book Details - NO EDIT'!$U$3:$X$192,4,FALSE)</f>
        <v>William (1821–1885: #23)</v>
      </c>
      <c r="C25" s="287">
        <f>VLOOKUP(A25,'Loyd List 1-190 - Edit'!$P$1:$R$200,3,FALSE)</f>
        <v>8</v>
      </c>
      <c r="D25" s="287">
        <f t="shared" si="25"/>
        <v>7</v>
      </c>
      <c r="E25" s="287">
        <f t="shared" si="2"/>
        <v>1</v>
      </c>
      <c r="F25" s="269" t="str">
        <f t="shared" si="26"/>
        <v xml:space="preserve">7 – Sarah (1810–1858: #11) Lewis (1811–1891: #13) Annie (1813–1834: #15) Kate (1815–1905: #18) Hannah (1817–1907: #19) Edward (1820–1890: #22)  Fanny (1824–1856: #24) </v>
      </c>
      <c r="G25" s="125" t="str">
        <f>'Loyd Book 2022 - Print'!N25</f>
        <v xml:space="preserve">7 – Sarah (1810–1858: #11) Lewis (1811–1891: #13) Annie (1813–1834: #15) Kate (1815–1905: #18) Hannah (1817–1907: #19) Edward (1820–1890: #22)  Fanny (1824–1856: #24) </v>
      </c>
      <c r="H25" s="125">
        <f t="shared" si="19"/>
        <v>0</v>
      </c>
      <c r="I25" s="117">
        <f t="shared" si="27"/>
        <v>0</v>
      </c>
      <c r="J25" s="116" t="str">
        <f t="shared" si="33"/>
        <v>Sarah (1810–1858: #11)</v>
      </c>
      <c r="K25" s="116" t="str">
        <f t="shared" si="34"/>
        <v>Lewis (1811–1891: #13)</v>
      </c>
      <c r="L25" s="116" t="str">
        <f t="shared" si="34"/>
        <v>Annie (1813–1834: #15)</v>
      </c>
      <c r="M25" s="116" t="str">
        <f t="shared" si="34"/>
        <v>Kate (1815–1905: #18)</v>
      </c>
      <c r="N25" s="116" t="str">
        <f t="shared" si="34"/>
        <v>Hannah (1817–1907: #19)</v>
      </c>
      <c r="O25" s="116" t="str">
        <f t="shared" si="34"/>
        <v>Edward (1820–1890: #22)</v>
      </c>
      <c r="P25" s="116" t="str">
        <f t="shared" si="34"/>
        <v/>
      </c>
      <c r="Q25" s="116" t="str">
        <f>IF(VLOOKUP($C25,$AB$2:$AN$67,Q$1,FALSE)=$A25,"",VLOOKUP(VLOOKUP($C25,$AB$2:$AN$67,Q$1,FALSE),$A$1:$B$200,2,FALSE))</f>
        <v>Fanny (1824–1856: #24)</v>
      </c>
      <c r="R25" s="116"/>
      <c r="S25" s="117"/>
      <c r="T25" s="117"/>
      <c r="U25" s="117"/>
      <c r="V25" s="117"/>
      <c r="Z25" s="116">
        <f t="shared" si="21"/>
        <v>55</v>
      </c>
      <c r="AA25" s="124">
        <f t="shared" si="3"/>
        <v>5</v>
      </c>
      <c r="AB25" s="281">
        <v>55</v>
      </c>
      <c r="AC25" s="281">
        <v>108</v>
      </c>
      <c r="AD25" s="281">
        <v>112</v>
      </c>
      <c r="AE25" s="281">
        <v>116</v>
      </c>
      <c r="AF25" s="281">
        <v>117</v>
      </c>
      <c r="AG25" s="281">
        <v>118</v>
      </c>
      <c r="AH25" s="282"/>
      <c r="AI25" s="282"/>
      <c r="AJ25" s="282"/>
      <c r="AK25" s="282"/>
      <c r="AL25" s="282"/>
      <c r="AM25" s="273"/>
      <c r="AN25" s="272"/>
      <c r="AO25" s="272"/>
      <c r="AP25" s="272"/>
      <c r="AQ25" s="276">
        <f t="shared" si="4"/>
        <v>5</v>
      </c>
      <c r="AR25" s="117">
        <f t="shared" si="28"/>
        <v>55</v>
      </c>
      <c r="AS25" s="271" t="str">
        <f t="shared" si="39"/>
        <v>Jos (1931–: #108)</v>
      </c>
      <c r="AT25" s="271" t="str">
        <f>VLOOKUP(AD25,$A$1:$B$192,2,FALSE)</f>
        <v>Deen (1936–2016: #112)</v>
      </c>
      <c r="AU25" s="271" t="str">
        <f t="shared" ref="AU25:AW26" si="42">VLOOKUP(AE25,$A$1:$B$192,2,FALSE)</f>
        <v>Peggy (1939–: #116)</v>
      </c>
      <c r="AV25" s="271" t="str">
        <f t="shared" si="42"/>
        <v>Patrick (1942–: #117)</v>
      </c>
      <c r="AW25" s="271" t="str">
        <f t="shared" si="42"/>
        <v>Patricia (1942–1942: #118)</v>
      </c>
      <c r="AX25" s="271"/>
      <c r="BC25" t="str">
        <f>_xlfn.CONCAT(AQ25," – ",AS25," ",AT25," ",AU25," ",AV25," ",AW25)</f>
        <v>5 – Jos (1931–: #108) Deen (1936–2016: #112) Peggy (1939–: #116) Patrick (1942–: #117) Patricia (1942–1942: #118)</v>
      </c>
      <c r="BH25" s="116">
        <f t="shared" si="5"/>
        <v>36</v>
      </c>
      <c r="BI25" s="3" t="s">
        <v>2183</v>
      </c>
      <c r="BJ25" s="3" t="s">
        <v>5168</v>
      </c>
      <c r="BK25" t="str">
        <f t="shared" si="6"/>
        <v>Richard Foster COURTHOPE (1888–1889</v>
      </c>
      <c r="BL25" t="str">
        <f t="shared" si="7"/>
        <v>Richard COURTHOPE (1888–1889: #36f)</v>
      </c>
      <c r="BM25" t="str">
        <f t="shared" si="8"/>
        <v>Richard Foster COURTHOPE (1888–1889: #36f)</v>
      </c>
      <c r="BP25" t="str">
        <f t="shared" si="9"/>
        <v>COURTHOPE</v>
      </c>
      <c r="BQ25" t="str">
        <f t="shared" si="10"/>
        <v>Richard</v>
      </c>
      <c r="BR25" s="116" t="str">
        <f t="shared" si="11"/>
        <v>Richard</v>
      </c>
      <c r="BS25" s="116">
        <f t="shared" si="12"/>
        <v>109</v>
      </c>
      <c r="BT25" t="str">
        <f>_xlfn.CONCAT(BZ25," – ",CA25," ",CB25)</f>
        <v>2 – Jennet WALTON (1964– : #109a) Timothy WALTON (1967– : #109b)</v>
      </c>
      <c r="BU25" s="116">
        <f t="shared" si="24"/>
        <v>2</v>
      </c>
      <c r="BW25" s="116">
        <f t="shared" si="13"/>
        <v>0</v>
      </c>
      <c r="BX25" s="72">
        <v>109</v>
      </c>
      <c r="BY25">
        <v>2</v>
      </c>
      <c r="BZ25" s="116">
        <f t="shared" si="14"/>
        <v>2</v>
      </c>
      <c r="CA25" t="str" cm="1">
        <f t="array" ref="CA25:CB25">TRANSPOSE(BL89:BL90)</f>
        <v>Jennet WALTON (1964– : #109a)</v>
      </c>
      <c r="CB25" t="str">
        <v>Timothy WALTON (1967– : #109b)</v>
      </c>
      <c r="CO25" s="151" t="s">
        <v>2183</v>
      </c>
      <c r="CP25" s="5" t="s">
        <v>2133</v>
      </c>
      <c r="CQ25" s="5" t="s">
        <v>928</v>
      </c>
      <c r="CR25" s="5" t="s">
        <v>812</v>
      </c>
      <c r="CS25" s="5"/>
      <c r="CT25" s="5"/>
      <c r="CU25" s="5">
        <v>1888</v>
      </c>
      <c r="CV25" s="5">
        <v>1889</v>
      </c>
      <c r="CW25">
        <f t="shared" si="30"/>
        <v>1</v>
      </c>
      <c r="DC25" s="117">
        <f t="shared" si="15"/>
        <v>65</v>
      </c>
      <c r="DD25" s="116">
        <v>109</v>
      </c>
      <c r="DE25">
        <f t="shared" si="16"/>
        <v>5</v>
      </c>
      <c r="DF25" s="117">
        <v>24</v>
      </c>
      <c r="DG25" s="117">
        <f t="shared" si="17"/>
        <v>46</v>
      </c>
      <c r="DH25" s="99" t="str">
        <f t="shared" si="18"/>
        <v>5 – Diana (1890–1963: #70) Godfrey (1893–1917: #75) Vivian (1894–1972: #78) Wilfred (1896–1955: #82) Eddie (1902–1942: #84)</v>
      </c>
    </row>
    <row r="26" spans="1:112" ht="17">
      <c r="A26" s="287">
        <f>'Loyd List 1-190 - Edit'!C26</f>
        <v>24</v>
      </c>
      <c r="B26" s="295" t="str">
        <f>VLOOKUP(A26,'Book Details - NO EDIT'!$U$3:$X$192,4,FALSE)</f>
        <v>Fanny (1824–1856: #24)</v>
      </c>
      <c r="C26" s="287">
        <f>VLOOKUP(A26,'Loyd List 1-190 - Edit'!$P$1:$R$200,3,FALSE)</f>
        <v>8</v>
      </c>
      <c r="D26" s="287">
        <f t="shared" si="25"/>
        <v>7</v>
      </c>
      <c r="E26" s="287">
        <f t="shared" si="2"/>
        <v>1</v>
      </c>
      <c r="F26" s="269" t="str">
        <f t="shared" si="26"/>
        <v xml:space="preserve">7 – Sarah (1810–1858: #11) Lewis (1811–1891: #13) Annie (1813–1834: #15) Kate (1815–1905: #18) Hannah (1817–1907: #19) Edward (1820–1890: #22) William (1821–1885: #23)  </v>
      </c>
      <c r="G26" s="125" t="str">
        <f>'Loyd Book 2022 - Print'!N26</f>
        <v xml:space="preserve">7 – Sarah (1810–1858: #11) Lewis (1811–1891: #13) Annie (1813–1834: #15) Kate (1815–1905: #18) Hannah (1817–1907: #19) Edward (1820–1890: #22) William (1821–1885: #23)  </v>
      </c>
      <c r="H26" s="125">
        <f t="shared" si="19"/>
        <v>0</v>
      </c>
      <c r="I26" s="117">
        <f t="shared" si="27"/>
        <v>0</v>
      </c>
      <c r="J26" s="116" t="str">
        <f t="shared" si="33"/>
        <v>Sarah (1810–1858: #11)</v>
      </c>
      <c r="K26" s="116" t="str">
        <f t="shared" si="34"/>
        <v>Lewis (1811–1891: #13)</v>
      </c>
      <c r="L26" s="116" t="str">
        <f t="shared" si="34"/>
        <v>Annie (1813–1834: #15)</v>
      </c>
      <c r="M26" s="116" t="str">
        <f t="shared" si="34"/>
        <v>Kate (1815–1905: #18)</v>
      </c>
      <c r="N26" s="116" t="str">
        <f t="shared" si="34"/>
        <v>Hannah (1817–1907: #19)</v>
      </c>
      <c r="O26" s="116" t="str">
        <f t="shared" si="34"/>
        <v>Edward (1820–1890: #22)</v>
      </c>
      <c r="P26" s="116" t="str">
        <f t="shared" si="34"/>
        <v>William (1821–1885: #23)</v>
      </c>
      <c r="Q26" s="116" t="str">
        <f>IF(VLOOKUP($C26,$AB$2:$AN$67,Q$1,FALSE)=$A26,"",VLOOKUP(VLOOKUP($C26,$AB$2:$AN$67,Q$1,FALSE),$A$1:$B$200,2,FALSE))</f>
        <v/>
      </c>
      <c r="R26" s="116"/>
      <c r="S26" s="117"/>
      <c r="T26" s="117"/>
      <c r="U26" s="117"/>
      <c r="V26" s="117"/>
      <c r="Z26" s="116">
        <f t="shared" si="21"/>
        <v>56</v>
      </c>
      <c r="AA26" s="124">
        <f t="shared" si="3"/>
        <v>6</v>
      </c>
      <c r="AB26" s="281">
        <v>56</v>
      </c>
      <c r="AC26" s="281">
        <v>85</v>
      </c>
      <c r="AD26" s="281">
        <v>87</v>
      </c>
      <c r="AE26" s="281">
        <v>91</v>
      </c>
      <c r="AF26" s="281">
        <v>95</v>
      </c>
      <c r="AG26" s="281">
        <v>100</v>
      </c>
      <c r="AH26" s="281">
        <v>101</v>
      </c>
      <c r="AI26" s="282"/>
      <c r="AJ26" s="281"/>
      <c r="AK26" s="281"/>
      <c r="AL26" s="281"/>
      <c r="AM26" s="273"/>
      <c r="AN26" s="272"/>
      <c r="AO26" s="272"/>
      <c r="AP26" s="272"/>
      <c r="AQ26" s="276">
        <f t="shared" si="4"/>
        <v>6</v>
      </c>
      <c r="AR26" s="117">
        <f t="shared" si="28"/>
        <v>56</v>
      </c>
      <c r="AS26" s="271" t="str">
        <f t="shared" si="39"/>
        <v>Anne (1912–2004: #85)</v>
      </c>
      <c r="AT26" s="271" t="str">
        <f>VLOOKUP(AD26,$A$1:$B$192,2,FALSE)</f>
        <v>John (1913–1943: #87)</v>
      </c>
      <c r="AU26" s="271" t="str">
        <f t="shared" si="42"/>
        <v>Martin (1917–1926: #91)</v>
      </c>
      <c r="AV26" s="271" t="str">
        <f t="shared" si="42"/>
        <v>Hester (1920–2002: #95)</v>
      </c>
      <c r="AW26" s="271" t="str">
        <f t="shared" si="42"/>
        <v>Christopher (1923–2013: #100)</v>
      </c>
      <c r="AX26" s="271" t="str">
        <f>VLOOKUP(AH26,$A$1:$B$192,2,FALSE)</f>
        <v>Catherine (1923–2014: #101)</v>
      </c>
      <c r="BC26" t="str">
        <f>_xlfn.CONCAT(AQ26," – ",AS26," ",AT26," ",AU26," ",AV26," ",AW26," ",AX26)</f>
        <v>6 – Anne (1912–2004: #85) John (1913–1943: #87) Martin (1917–1926: #91) Hester (1920–2002: #95) Christopher (1923–2013: #100) Catherine (1923–2014: #101)</v>
      </c>
      <c r="BH26" s="116">
        <f t="shared" si="5"/>
        <v>36</v>
      </c>
      <c r="BI26" s="3" t="s">
        <v>2184</v>
      </c>
      <c r="BJ26" s="3" t="s">
        <v>5169</v>
      </c>
      <c r="BK26" t="str">
        <f t="shared" si="6"/>
        <v>Robert COURTHOPE (1891–1966</v>
      </c>
      <c r="BL26" t="str">
        <f t="shared" si="7"/>
        <v>Robert COURTHOPE (1891–1966: #36g)</v>
      </c>
      <c r="BM26" t="str">
        <f t="shared" si="8"/>
        <v>Robert COURTHOPE (1891–1966: #36g)</v>
      </c>
      <c r="BP26" t="str">
        <f t="shared" si="9"/>
        <v>COURTHOPE</v>
      </c>
      <c r="BQ26" t="str">
        <f t="shared" si="10"/>
        <v>Robert</v>
      </c>
      <c r="BR26" s="116" t="str">
        <f t="shared" si="11"/>
        <v>Robert</v>
      </c>
      <c r="BS26" s="116">
        <f t="shared" si="12"/>
        <v>110</v>
      </c>
      <c r="BT26" t="str">
        <f>_xlfn.CONCAT(BZ26," – ",CA26," ",CB26," ",CC26," ",CD26)</f>
        <v>4 – John BOYCE (1961– : #110a) Joanna BOYCE (1963– : #110b) Robert BOYCE (1964– : #110c) Paula BOYCE (1966– : #110d)</v>
      </c>
      <c r="BU26" s="116">
        <f t="shared" si="24"/>
        <v>4</v>
      </c>
      <c r="BW26" s="116">
        <f t="shared" si="13"/>
        <v>0</v>
      </c>
      <c r="BX26" s="72">
        <v>110</v>
      </c>
      <c r="BY26">
        <v>4</v>
      </c>
      <c r="BZ26" s="116">
        <f t="shared" si="14"/>
        <v>4</v>
      </c>
      <c r="CA26" t="str" cm="1">
        <f t="array" ref="CA26:CD26">TRANSPOSE(BL91:BL94)</f>
        <v>John BOYCE (1961– : #110a)</v>
      </c>
      <c r="CB26" t="str">
        <v>Joanna BOYCE (1963– : #110b)</v>
      </c>
      <c r="CC26" t="str">
        <v>Robert BOYCE (1964– : #110c)</v>
      </c>
      <c r="CD26" t="str">
        <v>Paula BOYCE (1966– : #110d)</v>
      </c>
      <c r="CO26" s="151" t="s">
        <v>2184</v>
      </c>
      <c r="CP26" s="5" t="s">
        <v>2133</v>
      </c>
      <c r="CQ26" s="5" t="s">
        <v>902</v>
      </c>
      <c r="CR26" s="5"/>
      <c r="CS26" s="5"/>
      <c r="CT26" s="5"/>
      <c r="CU26" s="5">
        <v>1891</v>
      </c>
      <c r="CV26" s="5">
        <v>1966</v>
      </c>
      <c r="CW26">
        <f t="shared" si="30"/>
        <v>75</v>
      </c>
      <c r="DC26" s="117">
        <f t="shared" si="15"/>
        <v>66</v>
      </c>
      <c r="DD26" s="116">
        <v>110</v>
      </c>
      <c r="DE26">
        <f t="shared" si="16"/>
        <v>2</v>
      </c>
      <c r="DF26" s="117">
        <v>25</v>
      </c>
      <c r="DG26" s="117">
        <f t="shared" si="17"/>
        <v>47</v>
      </c>
      <c r="DH26" s="99" t="str">
        <f t="shared" si="18"/>
        <v>2 – Loyd HARDCASTLE (1893–1955: #47a) Canon Joseph HARDCASTLE (1899–1972: #47b)</v>
      </c>
    </row>
    <row r="27" spans="1:112" ht="17">
      <c r="A27" s="287">
        <f>'Loyd List 1-190 - Edit'!C27</f>
        <v>25</v>
      </c>
      <c r="B27" s="295" t="str">
        <f>VLOOKUP(A27,'Book Details - NO EDIT'!$U$3:$X$192,4,FALSE)</f>
        <v>Henry (1832–1833: #25)</v>
      </c>
      <c r="C27" s="287">
        <f>VLOOKUP(A27,'Loyd List 1-190 - Edit'!$P$1:$R$200,3,FALSE)</f>
        <v>9</v>
      </c>
      <c r="D27" s="287">
        <f t="shared" si="25"/>
        <v>1</v>
      </c>
      <c r="E27" s="287">
        <f t="shared" si="2"/>
        <v>1</v>
      </c>
      <c r="F27" s="269" t="str">
        <f t="shared" si="26"/>
        <v xml:space="preserve">1 – The Hon Harriet (1837–1920: #26)       </v>
      </c>
      <c r="G27" s="125" t="str">
        <f>'Loyd Book 2022 - Print'!N27</f>
        <v xml:space="preserve">1 – The Hon Harriet (1837–1920: #26)       </v>
      </c>
      <c r="H27" s="125">
        <f t="shared" si="19"/>
        <v>0</v>
      </c>
      <c r="I27" s="117">
        <f t="shared" si="27"/>
        <v>0</v>
      </c>
      <c r="J27" s="116" t="str">
        <f t="shared" si="33"/>
        <v/>
      </c>
      <c r="K27" s="116" t="str">
        <f t="shared" ref="K27:K58" si="43">IF(VLOOKUP($C27,$AB$2:$AN$67,K$1,FALSE)=$A27,"",VLOOKUP(VLOOKUP($C27,$AB$2:$AN$67,K$1,FALSE),$A$1:$B$200,2,FALSE))</f>
        <v>The Hon Harriet (1837–1920: #26)</v>
      </c>
      <c r="L27" s="116"/>
      <c r="M27" s="116"/>
      <c r="N27" s="116"/>
      <c r="O27" s="116"/>
      <c r="P27" s="116"/>
      <c r="Q27" s="116"/>
      <c r="R27" s="116"/>
      <c r="S27" s="117"/>
      <c r="T27" s="117"/>
      <c r="U27" s="117"/>
      <c r="V27" s="117"/>
      <c r="Z27" s="116">
        <f t="shared" si="21"/>
        <v>62</v>
      </c>
      <c r="AA27" s="124">
        <f t="shared" si="3"/>
        <v>1</v>
      </c>
      <c r="AB27" s="281">
        <v>62</v>
      </c>
      <c r="AC27" s="281">
        <v>102</v>
      </c>
      <c r="AD27" s="281"/>
      <c r="AE27" s="281"/>
      <c r="AF27" s="281"/>
      <c r="AG27" s="281"/>
      <c r="AH27" s="281"/>
      <c r="AI27" s="281"/>
      <c r="AJ27" s="281"/>
      <c r="AK27" s="281"/>
      <c r="AL27" s="281"/>
      <c r="AM27" s="272"/>
      <c r="AN27" s="272"/>
      <c r="AO27" s="272"/>
      <c r="AP27" s="272"/>
      <c r="AQ27" s="276">
        <f t="shared" si="4"/>
        <v>1</v>
      </c>
      <c r="AR27" s="117">
        <f t="shared" si="28"/>
        <v>62</v>
      </c>
      <c r="AS27" s="271" t="str">
        <f t="shared" si="39"/>
        <v>Zelda (1923–2014: #102)</v>
      </c>
      <c r="AT27" s="271"/>
      <c r="AU27" s="271"/>
      <c r="BC27" t="str">
        <f t="shared" ref="BC27" si="44">_xlfn.CONCAT(AQ27," – ",AS27,)</f>
        <v>1 – Zelda (1923–2014: #102)</v>
      </c>
      <c r="BH27" s="116">
        <f t="shared" si="5"/>
        <v>36</v>
      </c>
      <c r="BI27" s="3" t="s">
        <v>2185</v>
      </c>
      <c r="BJ27" s="3" t="s">
        <v>5170</v>
      </c>
      <c r="BK27" t="str">
        <f t="shared" si="6"/>
        <v>Margery COURTHOPE (1893–1901</v>
      </c>
      <c r="BL27" t="str">
        <f t="shared" si="7"/>
        <v>Margery COURTHOPE (1893–1901: #36h)</v>
      </c>
      <c r="BM27" t="str">
        <f t="shared" si="8"/>
        <v>Margery COURTHOPE (1893–1901: #36h)</v>
      </c>
      <c r="BP27" t="str">
        <f t="shared" si="9"/>
        <v>COURTHOPE</v>
      </c>
      <c r="BQ27" t="str">
        <f t="shared" si="10"/>
        <v>Margery</v>
      </c>
      <c r="BR27" s="116" t="str">
        <f t="shared" si="11"/>
        <v>Margery</v>
      </c>
      <c r="BS27" s="116">
        <f t="shared" si="12"/>
        <v>112</v>
      </c>
      <c r="BT27" t="str">
        <f>_xlfn.CONCAT(BZ27," – ",CA27," ",CB27," ",CC27," ",CD27)</f>
        <v>4 – Kevin DOWNES (1958– : #112a) Lynda DOWNES (1960– : #112b) Graeme DOWNES (1961– : #112c) Lesley DOWNES (1963– : #112d)</v>
      </c>
      <c r="BU27" s="116">
        <f t="shared" si="24"/>
        <v>4</v>
      </c>
      <c r="BW27" s="116">
        <f t="shared" si="13"/>
        <v>0</v>
      </c>
      <c r="BX27" s="72">
        <v>112</v>
      </c>
      <c r="BY27">
        <v>4</v>
      </c>
      <c r="BZ27" s="116">
        <f t="shared" si="14"/>
        <v>4</v>
      </c>
      <c r="CA27" t="str" cm="1">
        <f t="array" ref="CA27:CD27">TRANSPOSE(BL95:BL98)</f>
        <v>Kevin DOWNES (1958– : #112a)</v>
      </c>
      <c r="CB27" t="str">
        <v>Lynda DOWNES (1960– : #112b)</v>
      </c>
      <c r="CC27" t="str">
        <v>Graeme DOWNES (1961– : #112c)</v>
      </c>
      <c r="CD27" t="str">
        <v>Lesley DOWNES (1963– : #112d)</v>
      </c>
      <c r="CO27" s="151" t="s">
        <v>2185</v>
      </c>
      <c r="CP27" s="5" t="s">
        <v>2133</v>
      </c>
      <c r="CQ27" s="5" t="s">
        <v>2036</v>
      </c>
      <c r="CR27" s="5"/>
      <c r="CS27" s="5"/>
      <c r="CT27" s="5"/>
      <c r="CU27" s="5">
        <v>1893</v>
      </c>
      <c r="CV27" s="5">
        <v>1901</v>
      </c>
      <c r="CW27">
        <f t="shared" si="30"/>
        <v>8</v>
      </c>
      <c r="DC27" s="117">
        <f t="shared" si="15"/>
        <v>67</v>
      </c>
      <c r="DD27" s="116">
        <v>112</v>
      </c>
      <c r="DE27">
        <f t="shared" si="16"/>
        <v>1</v>
      </c>
      <c r="DF27" s="117">
        <v>26</v>
      </c>
      <c r="DG27" s="117">
        <f t="shared" si="17"/>
        <v>48</v>
      </c>
      <c r="DH27" s="99" t="str">
        <f t="shared" si="18"/>
        <v>1 – Mabell D'OYLY (1904–1983: #48a)</v>
      </c>
    </row>
    <row r="28" spans="1:112" ht="20">
      <c r="A28" s="287">
        <f>'Loyd List 1-190 - Edit'!C28</f>
        <v>26</v>
      </c>
      <c r="B28" s="295" t="str">
        <f>VLOOKUP(A28,'Book Details - NO EDIT'!$U$3:$X$192,4,FALSE)</f>
        <v>The Hon Harriet (1837–1920: #26)</v>
      </c>
      <c r="C28" s="287">
        <f>VLOOKUP(A28,'Loyd List 1-190 - Edit'!$P$1:$R$200,3,FALSE)</f>
        <v>9</v>
      </c>
      <c r="D28" s="287">
        <f t="shared" si="25"/>
        <v>1</v>
      </c>
      <c r="E28" s="287">
        <f t="shared" si="2"/>
        <v>1</v>
      </c>
      <c r="F28" s="269" t="str">
        <f t="shared" si="26"/>
        <v xml:space="preserve">1 – Henry (1832–1833: #25)        </v>
      </c>
      <c r="G28" s="125" t="str">
        <f>'Loyd Book 2022 - Print'!N28</f>
        <v xml:space="preserve">1 – Henry (1832–1833: #25)        </v>
      </c>
      <c r="H28" s="125">
        <f t="shared" si="19"/>
        <v>0</v>
      </c>
      <c r="I28" s="117">
        <f t="shared" si="27"/>
        <v>0</v>
      </c>
      <c r="J28" s="116" t="str">
        <f t="shared" si="33"/>
        <v>Henry (1832–1833: #25)</v>
      </c>
      <c r="K28" s="116" t="str">
        <f t="shared" si="43"/>
        <v/>
      </c>
      <c r="L28" s="116"/>
      <c r="M28" s="116"/>
      <c r="N28" s="116"/>
      <c r="O28" s="116"/>
      <c r="P28" s="116"/>
      <c r="Q28" s="116"/>
      <c r="R28" s="116"/>
      <c r="S28" s="117"/>
      <c r="T28" s="117"/>
      <c r="U28" s="117"/>
      <c r="V28" s="117"/>
      <c r="Z28" s="116">
        <f t="shared" si="21"/>
        <v>66</v>
      </c>
      <c r="AA28" s="124">
        <f t="shared" si="3"/>
        <v>3</v>
      </c>
      <c r="AB28" s="281">
        <v>66</v>
      </c>
      <c r="AC28" s="281">
        <v>88</v>
      </c>
      <c r="AD28" s="281">
        <v>96</v>
      </c>
      <c r="AE28" s="281">
        <v>99</v>
      </c>
      <c r="AF28" s="281"/>
      <c r="AG28" s="282"/>
      <c r="AH28" s="281"/>
      <c r="AI28" s="281"/>
      <c r="AJ28" s="281"/>
      <c r="AK28" s="282"/>
      <c r="AL28" s="282"/>
      <c r="AM28" s="273"/>
      <c r="AN28" s="273"/>
      <c r="AO28" s="273"/>
      <c r="AP28" s="273"/>
      <c r="AQ28" s="276">
        <f t="shared" si="4"/>
        <v>3</v>
      </c>
      <c r="AR28" s="117">
        <f t="shared" si="28"/>
        <v>66</v>
      </c>
      <c r="AS28" s="271" t="str">
        <f t="shared" si="39"/>
        <v>Delia (1915–2007: #88)</v>
      </c>
      <c r="AT28" s="271" t="str">
        <f>VLOOKUP(AD28,$A$1:$B$192,2,FALSE)</f>
        <v>Edward (1921–1977: #96)</v>
      </c>
      <c r="AU28" s="271" t="str">
        <f>VLOOKUP(AE28,$A$1:$B$192,2,FALSE)</f>
        <v>Peter (1923–1974: #99)</v>
      </c>
      <c r="BC28" t="str">
        <f>_xlfn.CONCAT(AQ28," – ",AS28," ",AT28," ",AU28)</f>
        <v>3 – Delia (1915–2007: #88) Edward (1921–1977: #96) Peter (1923–1974: #99)</v>
      </c>
      <c r="BH28" s="116">
        <f t="shared" si="5"/>
        <v>42</v>
      </c>
      <c r="BI28" s="3" t="s">
        <v>2413</v>
      </c>
      <c r="BJ28" s="3" t="s">
        <v>4800</v>
      </c>
      <c r="BK28" t="str">
        <f t="shared" si="6"/>
        <v xml:space="preserve">Ambrose William GODDARD (1892– </v>
      </c>
      <c r="BL28" t="str">
        <f t="shared" si="7"/>
        <v>Ambrose GODDARD (1892– : #42a)</v>
      </c>
      <c r="BM28" t="str">
        <f t="shared" si="8"/>
        <v>Ambrose William GODDARD (1892– : #42a)</v>
      </c>
      <c r="BP28" t="str">
        <f t="shared" si="9"/>
        <v>GODDARD</v>
      </c>
      <c r="BQ28" t="str">
        <f t="shared" si="10"/>
        <v>Ambrose</v>
      </c>
      <c r="BR28" s="116" t="str">
        <f t="shared" si="11"/>
        <v>Ambrose</v>
      </c>
      <c r="BS28" s="116">
        <f t="shared" si="12"/>
        <v>115</v>
      </c>
      <c r="BT28" t="str">
        <f t="shared" ref="BT28" si="45">_xlfn.CONCAT(BZ28," – ",CA28," ",CB28," ",CC28," ",CD28," ",CE28)</f>
        <v>5 – The Hon Isabel CROSSLEY (1964– : #115a) The Hon Camilla CROSSLEY (1967– : #115b) The Hon Alicia CROSSLEY (1969– : #115c) The Hon Hugh CROSSLEY (1971– : #115d) The Hon Bridget CROSSLEY (1974– : #115e)</v>
      </c>
      <c r="BU28" s="116">
        <f t="shared" si="24"/>
        <v>5</v>
      </c>
      <c r="BW28" s="116">
        <f t="shared" si="13"/>
        <v>0</v>
      </c>
      <c r="BX28" s="72">
        <v>115</v>
      </c>
      <c r="BY28">
        <v>5</v>
      </c>
      <c r="BZ28" s="116">
        <f t="shared" si="14"/>
        <v>5</v>
      </c>
      <c r="CA28" t="str" cm="1">
        <f t="array" ref="CA28:CE28">TRANSPOSE(BL99:BL103)</f>
        <v>The Hon Isabel CROSSLEY (1964– : #115a)</v>
      </c>
      <c r="CB28" t="str">
        <v>The Hon Camilla CROSSLEY (1967– : #115b)</v>
      </c>
      <c r="CC28" t="str">
        <v>The Hon Alicia CROSSLEY (1969– : #115c)</v>
      </c>
      <c r="CD28" t="str">
        <v>The Hon Hugh CROSSLEY (1971– : #115d)</v>
      </c>
      <c r="CE28" t="str">
        <v>The Hon Bridget CROSSLEY (1974– : #115e)</v>
      </c>
      <c r="CO28" s="151" t="s">
        <v>2413</v>
      </c>
      <c r="CP28" s="6" t="s">
        <v>2195</v>
      </c>
      <c r="CQ28" s="5" t="s">
        <v>2196</v>
      </c>
      <c r="CR28" s="5" t="s">
        <v>830</v>
      </c>
      <c r="CS28" s="5"/>
      <c r="CT28" s="5"/>
      <c r="CU28" s="5">
        <v>1892</v>
      </c>
      <c r="CV28" s="5" t="s">
        <v>3774</v>
      </c>
      <c r="CW28" t="e">
        <f t="shared" si="30"/>
        <v>#VALUE!</v>
      </c>
      <c r="DC28" s="117">
        <f t="shared" si="15"/>
        <v>70</v>
      </c>
      <c r="DD28" s="116">
        <v>115</v>
      </c>
      <c r="DE28">
        <f t="shared" si="16"/>
        <v>1</v>
      </c>
      <c r="DF28" s="117">
        <v>27</v>
      </c>
      <c r="DG28" s="117">
        <f t="shared" si="17"/>
        <v>52</v>
      </c>
      <c r="DH28" s="99" t="str">
        <f t="shared" si="18"/>
        <v>1 – Averil (1917–1993: #90)</v>
      </c>
    </row>
    <row r="29" spans="1:112" ht="20">
      <c r="A29" s="287">
        <f>'Loyd List 1-190 - Edit'!C29</f>
        <v>27</v>
      </c>
      <c r="B29" s="295" t="str">
        <f>VLOOKUP(A29,'Book Details - NO EDIT'!$U$3:$X$192,4,FALSE)</f>
        <v>William (1843–1843: #27)</v>
      </c>
      <c r="C29" s="287">
        <f>VLOOKUP(A29,'Loyd List 1-190 - Edit'!$P$1:$R$200,3,FALSE)</f>
        <v>14</v>
      </c>
      <c r="D29" s="287">
        <f t="shared" si="25"/>
        <v>7</v>
      </c>
      <c r="E29" s="287">
        <f t="shared" si="2"/>
        <v>1</v>
      </c>
      <c r="F29" s="269" t="str">
        <f t="shared" si="26"/>
        <v xml:space="preserve">7 – The Rev Lewis (1844–1905: #28) Arthur (1845–1930: #29) Archie (1847–1922: #30) Frank (1848–1934: #32) Alfred (1849–1881: #33) Ted (1851–1922: #34) Annie (1853–1946: #37) </v>
      </c>
      <c r="G29" s="125" t="str">
        <f>'Loyd Book 2022 - Print'!N29</f>
        <v xml:space="preserve">7 – The Rev Lewis (1844–1905: #28) Arthur (1845–1930: #29) Archie (1847–1922: #30) Frank (1848–1934: #32) Alfred (1849–1881: #33) Ted (1851–1922: #34) Annie (1853–1946: #37) </v>
      </c>
      <c r="H29" s="125">
        <f t="shared" si="19"/>
        <v>0</v>
      </c>
      <c r="I29" s="117">
        <f t="shared" si="27"/>
        <v>0</v>
      </c>
      <c r="J29" s="116" t="str">
        <f t="shared" si="33"/>
        <v/>
      </c>
      <c r="K29" s="116" t="str">
        <f t="shared" si="43"/>
        <v>The Rev Lewis (1844–1905: #28)</v>
      </c>
      <c r="L29" s="116" t="str">
        <f t="shared" ref="L29:Q32" si="46">IF(VLOOKUP($C29,$AB$2:$AN$67,L$1,FALSE)=$A29,"",VLOOKUP(VLOOKUP($C29,$AB$2:$AN$67,L$1,FALSE),$A$1:$B$200,2,FALSE))</f>
        <v>Arthur (1845–1930: #29)</v>
      </c>
      <c r="M29" s="116" t="str">
        <f t="shared" si="46"/>
        <v>Archie (1847–1922: #30)</v>
      </c>
      <c r="N29" s="116" t="str">
        <f t="shared" si="46"/>
        <v>Frank (1848–1934: #32)</v>
      </c>
      <c r="O29" s="116" t="str">
        <f t="shared" si="46"/>
        <v>Alfred (1849–1881: #33)</v>
      </c>
      <c r="P29" s="116" t="str">
        <f t="shared" si="46"/>
        <v>Ted (1851–1922: #34)</v>
      </c>
      <c r="Q29" s="116" t="str">
        <f t="shared" si="46"/>
        <v>Annie (1853–1946: #37)</v>
      </c>
      <c r="R29" s="116"/>
      <c r="S29" s="117"/>
      <c r="T29" s="117"/>
      <c r="U29" s="117"/>
      <c r="V29" s="117"/>
      <c r="Z29" s="116">
        <f t="shared" si="21"/>
        <v>68</v>
      </c>
      <c r="AA29" s="124">
        <f t="shared" si="3"/>
        <v>2</v>
      </c>
      <c r="AB29" s="281">
        <v>68</v>
      </c>
      <c r="AC29" s="281">
        <v>93</v>
      </c>
      <c r="AD29" s="281">
        <v>94</v>
      </c>
      <c r="AE29" s="281"/>
      <c r="AF29" s="281"/>
      <c r="AG29" s="281"/>
      <c r="AH29" s="281"/>
      <c r="AI29" s="281"/>
      <c r="AJ29" s="281"/>
      <c r="AK29" s="281"/>
      <c r="AL29" s="281"/>
      <c r="AM29" s="272"/>
      <c r="AN29" s="272"/>
      <c r="AO29" s="272"/>
      <c r="AP29" s="272"/>
      <c r="AQ29" s="276">
        <f t="shared" si="4"/>
        <v>2</v>
      </c>
      <c r="AR29" s="117">
        <f t="shared" si="28"/>
        <v>68</v>
      </c>
      <c r="AS29" s="271" t="str">
        <f t="shared" si="39"/>
        <v>Jill (1920–2002: #93)</v>
      </c>
      <c r="AT29" s="271" t="str">
        <f>VLOOKUP(AD29,$A$1:$B$192,2,FALSE)</f>
        <v>Alwyne (1920–2014: #94)</v>
      </c>
      <c r="AU29" s="271"/>
      <c r="BC29" t="str">
        <f>_xlfn.CONCAT(AQ29," – ",AS29," ",AT29)</f>
        <v>2 – Jill (1920–2002: #93) Alwyne (1920–2014: #94)</v>
      </c>
      <c r="BH29" s="116">
        <f t="shared" si="5"/>
        <v>47</v>
      </c>
      <c r="BI29" s="3" t="s">
        <v>2202</v>
      </c>
      <c r="BJ29" s="3" t="s">
        <v>5171</v>
      </c>
      <c r="BK29" t="str">
        <f t="shared" si="6"/>
        <v>Alfred Edward Loyd HARDCASTLE (1893–1955</v>
      </c>
      <c r="BL29" t="str">
        <f t="shared" si="7"/>
        <v>Loyd HARDCASTLE (1893–1955: #47a)</v>
      </c>
      <c r="BM29" t="str">
        <f t="shared" si="8"/>
        <v>Alfred Edward Loyd HARDCASTLE (1893–1955: #47a)</v>
      </c>
      <c r="BP29" t="str">
        <f t="shared" si="9"/>
        <v>HARDCASTLE</v>
      </c>
      <c r="BQ29" t="str">
        <f t="shared" si="10"/>
        <v>Alfred</v>
      </c>
      <c r="BR29" s="116" t="str">
        <f t="shared" si="11"/>
        <v>Loyd</v>
      </c>
      <c r="BS29" s="116">
        <f t="shared" si="12"/>
        <v>116</v>
      </c>
      <c r="BT29" t="str">
        <f>_xlfn.CONCAT(BZ29," – ",CA29," ",CB29," ",CC29)</f>
        <v>3 – Carl CLULOW (1970–1970: #116a) Kate CLULOW (1971– : #116b) Clare CLULOW (1973– : #116c)</v>
      </c>
      <c r="BU29" s="116">
        <f t="shared" si="24"/>
        <v>3</v>
      </c>
      <c r="BW29" s="116">
        <f t="shared" si="13"/>
        <v>0</v>
      </c>
      <c r="BX29" s="72">
        <v>116</v>
      </c>
      <c r="BY29">
        <v>3</v>
      </c>
      <c r="BZ29" s="116">
        <f t="shared" si="14"/>
        <v>3</v>
      </c>
      <c r="CA29" t="str" cm="1">
        <f t="array" ref="CA29:CC29">TRANSPOSE(BL104:BL106)</f>
        <v>Carl CLULOW (1970–1970: #116a)</v>
      </c>
      <c r="CB29" t="str">
        <v>Kate CLULOW (1971– : #116b)</v>
      </c>
      <c r="CC29" t="str">
        <v>Clare CLULOW (1973– : #116c)</v>
      </c>
      <c r="CO29" s="151" t="s">
        <v>2202</v>
      </c>
      <c r="CP29" s="6" t="s">
        <v>2200</v>
      </c>
      <c r="CQ29" s="5" t="s">
        <v>1063</v>
      </c>
      <c r="CR29" s="5" t="s">
        <v>811</v>
      </c>
      <c r="CS29" s="5" t="s">
        <v>1497</v>
      </c>
      <c r="CT29" s="5" t="s">
        <v>1497</v>
      </c>
      <c r="CU29" s="5">
        <v>1893</v>
      </c>
      <c r="CV29" s="5">
        <v>1955</v>
      </c>
      <c r="CW29">
        <f t="shared" si="30"/>
        <v>62</v>
      </c>
      <c r="DC29" s="117">
        <f t="shared" si="15"/>
        <v>71</v>
      </c>
      <c r="DD29" s="116">
        <v>116</v>
      </c>
      <c r="DE29">
        <f t="shared" si="16"/>
        <v>1</v>
      </c>
      <c r="DF29" s="117">
        <v>28</v>
      </c>
      <c r="DG29" s="117">
        <f t="shared" si="17"/>
        <v>53</v>
      </c>
      <c r="DH29" s="99" t="str">
        <f t="shared" si="18"/>
        <v>1 – Audrey (1922–2005: #97)</v>
      </c>
    </row>
    <row r="30" spans="1:112" ht="20">
      <c r="A30" s="287">
        <f>'Loyd List 1-190 - Edit'!C30</f>
        <v>28</v>
      </c>
      <c r="B30" s="295" t="str">
        <f>VLOOKUP(A30,'Book Details - NO EDIT'!$U$3:$X$192,4,FALSE)</f>
        <v>The Rev Lewis (1844–1905: #28)</v>
      </c>
      <c r="C30" s="287">
        <f>VLOOKUP(A30,'Loyd List 1-190 - Edit'!$P$1:$R$200,3,FALSE)</f>
        <v>14</v>
      </c>
      <c r="D30" s="287">
        <f t="shared" si="25"/>
        <v>7</v>
      </c>
      <c r="E30" s="287">
        <f t="shared" si="2"/>
        <v>1</v>
      </c>
      <c r="F30" s="269" t="str">
        <f t="shared" si="26"/>
        <v xml:space="preserve">7 – William (1843–1843: #27)  Arthur (1845–1930: #29) Archie (1847–1922: #30) Frank (1848–1934: #32) Alfred (1849–1881: #33) Ted (1851–1922: #34) Annie (1853–1946: #37) </v>
      </c>
      <c r="G30" s="125" t="str">
        <f>'Loyd Book 2022 - Print'!N30</f>
        <v xml:space="preserve">7 – William (1843–1843: #27)  Arthur (1845–1930: #29) Archie (1847–1922: #30) Frank (1848–1934: #32) Alfred (1849–1881: #33) Ted (1851–1922: #34) Annie (1853–1946: #37) </v>
      </c>
      <c r="H30" s="125">
        <f t="shared" si="19"/>
        <v>0</v>
      </c>
      <c r="I30" s="117">
        <f t="shared" si="27"/>
        <v>0</v>
      </c>
      <c r="J30" s="116" t="str">
        <f t="shared" si="33"/>
        <v>William (1843–1843: #27)</v>
      </c>
      <c r="K30" s="116" t="str">
        <f t="shared" si="43"/>
        <v/>
      </c>
      <c r="L30" s="116" t="str">
        <f t="shared" si="46"/>
        <v>Arthur (1845–1930: #29)</v>
      </c>
      <c r="M30" s="116" t="str">
        <f t="shared" si="46"/>
        <v>Archie (1847–1922: #30)</v>
      </c>
      <c r="N30" s="116" t="str">
        <f t="shared" si="46"/>
        <v>Frank (1848–1934: #32)</v>
      </c>
      <c r="O30" s="116" t="str">
        <f t="shared" si="46"/>
        <v>Alfred (1849–1881: #33)</v>
      </c>
      <c r="P30" s="116" t="str">
        <f t="shared" si="46"/>
        <v>Ted (1851–1922: #34)</v>
      </c>
      <c r="Q30" s="116" t="str">
        <f t="shared" si="46"/>
        <v>Annie (1853–1946: #37)</v>
      </c>
      <c r="R30" s="116"/>
      <c r="S30" s="117"/>
      <c r="T30" s="117"/>
      <c r="U30" s="117"/>
      <c r="V30" s="117"/>
      <c r="Z30" s="116">
        <f t="shared" si="21"/>
        <v>71</v>
      </c>
      <c r="AA30" s="124">
        <f t="shared" si="3"/>
        <v>1</v>
      </c>
      <c r="AB30" s="281">
        <v>71</v>
      </c>
      <c r="AC30" s="281">
        <v>86</v>
      </c>
      <c r="AD30" s="281"/>
      <c r="AE30" s="281"/>
      <c r="AF30" s="281"/>
      <c r="AG30" s="281"/>
      <c r="AH30" s="281"/>
      <c r="AI30" s="281"/>
      <c r="AJ30" s="281"/>
      <c r="AK30" s="281"/>
      <c r="AL30" s="281"/>
      <c r="AM30" s="272"/>
      <c r="AN30" s="272"/>
      <c r="AO30" s="272"/>
      <c r="AP30" s="272"/>
      <c r="AQ30" s="276">
        <f t="shared" si="4"/>
        <v>1</v>
      </c>
      <c r="AR30" s="117">
        <f t="shared" si="28"/>
        <v>71</v>
      </c>
      <c r="AS30" s="271" t="str">
        <f t="shared" si="39"/>
        <v>Peter (1913–2008: #86)</v>
      </c>
      <c r="BC30" t="str">
        <f t="shared" ref="BC30:BC32" si="47">_xlfn.CONCAT(AQ30," – ",AS30,)</f>
        <v>1 – Peter (1913–2008: #86)</v>
      </c>
      <c r="BH30" s="116">
        <f t="shared" si="5"/>
        <v>47</v>
      </c>
      <c r="BI30" s="3" t="s">
        <v>2506</v>
      </c>
      <c r="BJ30" s="3" t="s">
        <v>5172</v>
      </c>
      <c r="BK30" t="str">
        <f t="shared" si="6"/>
        <v>Canon Joseph Anthony Loyd HARDCASTLE (1899–1972</v>
      </c>
      <c r="BL30" t="str">
        <f t="shared" si="7"/>
        <v>Canon Joseph HARDCASTLE (1899–1972: #47b)</v>
      </c>
      <c r="BM30" t="str">
        <f t="shared" si="8"/>
        <v>Canon Joseph Anthony Loyd HARDCASTLE (1899–1972: #47b)</v>
      </c>
      <c r="BP30" t="str">
        <f t="shared" si="9"/>
        <v>HARDCASTLE</v>
      </c>
      <c r="BQ30" t="str">
        <f t="shared" si="10"/>
        <v>Canon Joseph</v>
      </c>
      <c r="BR30" s="116" t="str">
        <f t="shared" si="11"/>
        <v>Canon Joseph</v>
      </c>
      <c r="BS30" s="116">
        <f t="shared" si="12"/>
        <v>123</v>
      </c>
      <c r="BT30" t="str">
        <f t="shared" ref="BT30:BT32" si="48">_xlfn.CONCAT(BZ30," – ",CA30," ",CB30)</f>
        <v>2 – Katharine BOSMAN (1978– : #123a) Adam BOSMAN (1980– : #123b)</v>
      </c>
      <c r="BU30" s="116">
        <f t="shared" si="24"/>
        <v>2</v>
      </c>
      <c r="BW30" s="116">
        <f t="shared" si="13"/>
        <v>0</v>
      </c>
      <c r="BX30" s="72">
        <v>123</v>
      </c>
      <c r="BY30">
        <v>2</v>
      </c>
      <c r="BZ30" s="116">
        <f t="shared" si="14"/>
        <v>2</v>
      </c>
      <c r="CA30" t="str" cm="1">
        <f t="array" ref="CA30:CB30">TRANSPOSE(BL107:BL108)</f>
        <v>Katharine BOSMAN (1978– : #123a)</v>
      </c>
      <c r="CB30" t="str">
        <v>Adam BOSMAN (1980– : #123b)</v>
      </c>
      <c r="CO30" s="151" t="s">
        <v>2506</v>
      </c>
      <c r="CP30" s="6" t="s">
        <v>2200</v>
      </c>
      <c r="CQ30" s="5" t="s">
        <v>2504</v>
      </c>
      <c r="CR30" s="5" t="s">
        <v>931</v>
      </c>
      <c r="CS30" s="5" t="s">
        <v>1497</v>
      </c>
      <c r="CT30" s="5"/>
      <c r="CU30" s="5">
        <v>1899</v>
      </c>
      <c r="CV30" s="5">
        <v>1972</v>
      </c>
      <c r="CW30">
        <f t="shared" si="30"/>
        <v>73</v>
      </c>
      <c r="DC30" s="117">
        <f t="shared" si="15"/>
        <v>75</v>
      </c>
      <c r="DD30" s="116">
        <v>123</v>
      </c>
      <c r="DE30">
        <f t="shared" si="16"/>
        <v>2</v>
      </c>
      <c r="DF30" s="117">
        <v>29</v>
      </c>
      <c r="DG30" s="117">
        <f t="shared" si="17"/>
        <v>54</v>
      </c>
      <c r="DH30" s="99" t="str">
        <f t="shared" si="18"/>
        <v>2 – Sir Francis/Frank (1916–2006: #89) Daphne (1917–1992: #92)</v>
      </c>
    </row>
    <row r="31" spans="1:112" ht="20">
      <c r="A31" s="287">
        <f>'Loyd List 1-190 - Edit'!C31</f>
        <v>29</v>
      </c>
      <c r="B31" s="295" t="str">
        <f>VLOOKUP(A31,'Book Details - NO EDIT'!$U$3:$X$192,4,FALSE)</f>
        <v>Arthur (1845–1930: #29)</v>
      </c>
      <c r="C31" s="287">
        <f>VLOOKUP(A31,'Loyd List 1-190 - Edit'!$P$1:$R$200,3,FALSE)</f>
        <v>14</v>
      </c>
      <c r="D31" s="287">
        <f t="shared" si="25"/>
        <v>7</v>
      </c>
      <c r="E31" s="287">
        <f t="shared" si="2"/>
        <v>1</v>
      </c>
      <c r="F31" s="269" t="str">
        <f t="shared" si="26"/>
        <v xml:space="preserve">7 – William (1843–1843: #27) The Rev Lewis (1844–1905: #28)  Archie (1847–1922: #30) Frank (1848–1934: #32) Alfred (1849–1881: #33) Ted (1851–1922: #34) Annie (1853–1946: #37) </v>
      </c>
      <c r="G31" s="125" t="str">
        <f>'Loyd Book 2022 - Print'!N31</f>
        <v xml:space="preserve">7 – William (1843–1843: #27) The Rev Lewis (1844–1905: #28)  Archie (1847–1922: #30) Frank (1848–1934: #32) Alfred (1849–1881: #33) Ted (1851–1922: #34) Annie (1853–1946: #37) </v>
      </c>
      <c r="H31" s="125">
        <f t="shared" si="19"/>
        <v>0</v>
      </c>
      <c r="I31" s="117">
        <f t="shared" si="27"/>
        <v>0</v>
      </c>
      <c r="J31" s="116" t="str">
        <f t="shared" si="33"/>
        <v>William (1843–1843: #27)</v>
      </c>
      <c r="K31" s="116" t="str">
        <f t="shared" si="43"/>
        <v>The Rev Lewis (1844–1905: #28)</v>
      </c>
      <c r="L31" s="116" t="str">
        <f t="shared" si="46"/>
        <v/>
      </c>
      <c r="M31" s="116" t="str">
        <f t="shared" si="46"/>
        <v>Archie (1847–1922: #30)</v>
      </c>
      <c r="N31" s="116" t="str">
        <f t="shared" si="46"/>
        <v>Frank (1848–1934: #32)</v>
      </c>
      <c r="O31" s="116" t="str">
        <f t="shared" si="46"/>
        <v>Alfred (1849–1881: #33)</v>
      </c>
      <c r="P31" s="116" t="str">
        <f t="shared" si="46"/>
        <v>Ted (1851–1922: #34)</v>
      </c>
      <c r="Q31" s="116" t="str">
        <f t="shared" si="46"/>
        <v>Annie (1853–1946: #37)</v>
      </c>
      <c r="R31" s="116"/>
      <c r="S31" s="117"/>
      <c r="T31" s="117"/>
      <c r="U31" s="117"/>
      <c r="V31" s="117"/>
      <c r="Z31" s="116">
        <f t="shared" si="21"/>
        <v>72</v>
      </c>
      <c r="AA31" s="124">
        <f t="shared" si="3"/>
        <v>2</v>
      </c>
      <c r="AB31" s="281">
        <v>72</v>
      </c>
      <c r="AC31" s="281">
        <v>103</v>
      </c>
      <c r="AD31" s="281">
        <v>104</v>
      </c>
      <c r="AE31" s="281"/>
      <c r="AF31" s="281"/>
      <c r="AG31" s="281"/>
      <c r="AH31" s="281"/>
      <c r="AI31" s="281"/>
      <c r="AJ31" s="281"/>
      <c r="AK31" s="281"/>
      <c r="AL31" s="281"/>
      <c r="AM31" s="272"/>
      <c r="AN31" s="272"/>
      <c r="AO31" s="272"/>
      <c r="AP31" s="272"/>
      <c r="AQ31" s="276">
        <f t="shared" si="4"/>
        <v>2</v>
      </c>
      <c r="AR31" s="117">
        <f t="shared" si="28"/>
        <v>72</v>
      </c>
      <c r="AS31" s="271" t="str">
        <f t="shared" ref="AS31:AS38" si="49">VLOOKUP(AC31,$A$1:$B$192,2,FALSE)</f>
        <v>Lavinia (1923–1995: #103)</v>
      </c>
      <c r="AT31" s="271" t="str">
        <f t="shared" ref="AT31:AT38" si="50">VLOOKUP(AD31,$A$1:$B$192,2,FALSE)</f>
        <v>Sir Julian (1926–2018: #104)</v>
      </c>
      <c r="AU31" s="271"/>
      <c r="AV31" s="271"/>
      <c r="BC31" t="str">
        <f>_xlfn.CONCAT(AQ31," – ",AS31," ",AT31)</f>
        <v>2 – Lavinia (1923–1995: #103) Sir Julian (1926–2018: #104)</v>
      </c>
      <c r="BH31" s="116">
        <f t="shared" si="5"/>
        <v>48</v>
      </c>
      <c r="BI31" s="3" t="s">
        <v>2243</v>
      </c>
      <c r="BJ31" s="3" t="s">
        <v>5173</v>
      </c>
      <c r="BK31" t="str">
        <f t="shared" si="6"/>
        <v>Louisa Mabell D'OYLY (1904–1983</v>
      </c>
      <c r="BL31" t="str">
        <f t="shared" si="7"/>
        <v>Mabell D'OYLY (1904–1983: #48a)</v>
      </c>
      <c r="BM31" t="str">
        <f t="shared" si="8"/>
        <v>Louisa Mabell D'OYLY (1904–1983: #48a)</v>
      </c>
      <c r="BP31" t="str">
        <f t="shared" si="9"/>
        <v>D'OYLY</v>
      </c>
      <c r="BQ31" t="str">
        <f t="shared" si="10"/>
        <v>Louisa</v>
      </c>
      <c r="BR31" s="116" t="str">
        <f t="shared" si="11"/>
        <v>Mabell</v>
      </c>
      <c r="BS31" s="116">
        <f t="shared" si="12"/>
        <v>125</v>
      </c>
      <c r="BT31" t="str">
        <f t="shared" si="48"/>
        <v>2 – Bryan HAWKEY (1976– : #125a) Allison HAWKEY (1978– : #125b)</v>
      </c>
      <c r="BU31" s="116">
        <f t="shared" si="24"/>
        <v>2</v>
      </c>
      <c r="BW31" s="116">
        <f t="shared" si="13"/>
        <v>0</v>
      </c>
      <c r="BX31" s="72">
        <v>125</v>
      </c>
      <c r="BY31">
        <v>2</v>
      </c>
      <c r="BZ31" s="116">
        <f t="shared" si="14"/>
        <v>2</v>
      </c>
      <c r="CA31" t="str" cm="1">
        <f t="array" ref="CA31:CB31">TRANSPOSE(BL109:BL110)</f>
        <v>Bryan HAWKEY (1976– : #125a)</v>
      </c>
      <c r="CB31" t="str">
        <v>Allison HAWKEY (1978– : #125b)</v>
      </c>
      <c r="CO31" s="151" t="s">
        <v>2243</v>
      </c>
      <c r="CP31" s="6" t="s">
        <v>2240</v>
      </c>
      <c r="CQ31" s="5" t="s">
        <v>1058</v>
      </c>
      <c r="CR31" s="5" t="s">
        <v>2242</v>
      </c>
      <c r="CS31" s="5"/>
      <c r="CT31" s="5" t="s">
        <v>2242</v>
      </c>
      <c r="CU31" s="5">
        <v>1904</v>
      </c>
      <c r="CV31" s="5">
        <v>1983</v>
      </c>
      <c r="CW31">
        <f t="shared" si="30"/>
        <v>79</v>
      </c>
      <c r="DC31" s="117">
        <f t="shared" si="15"/>
        <v>76</v>
      </c>
      <c r="DD31" s="116">
        <v>125</v>
      </c>
      <c r="DE31">
        <f t="shared" si="16"/>
        <v>5</v>
      </c>
      <c r="DF31" s="117">
        <v>30</v>
      </c>
      <c r="DG31" s="117">
        <f t="shared" si="17"/>
        <v>55</v>
      </c>
      <c r="DH31" s="99" t="str">
        <f t="shared" si="18"/>
        <v>5 – Jos (1931–: #108) Deen (1936–2016: #112) Peggy (1939–: #116) Patrick (1942–: #117) Patricia (1942–1942: #118)</v>
      </c>
    </row>
    <row r="32" spans="1:112" ht="20">
      <c r="A32" s="287">
        <f>'Loyd List 1-190 - Edit'!C32</f>
        <v>30</v>
      </c>
      <c r="B32" s="295" t="str">
        <f>VLOOKUP(A32,'Book Details - NO EDIT'!$U$3:$X$192,4,FALSE)</f>
        <v>Archie (1847–1922: #30)</v>
      </c>
      <c r="C32" s="287">
        <f>VLOOKUP(A32,'Loyd List 1-190 - Edit'!$P$1:$R$200,3,FALSE)</f>
        <v>14</v>
      </c>
      <c r="D32" s="287">
        <f t="shared" si="25"/>
        <v>7</v>
      </c>
      <c r="E32" s="287">
        <f t="shared" si="2"/>
        <v>1</v>
      </c>
      <c r="F32" s="269" t="str">
        <f t="shared" si="26"/>
        <v xml:space="preserve">7 – William (1843–1843: #27) The Rev Lewis (1844–1905: #28) Arthur (1845–1930: #29)  Frank (1848–1934: #32) Alfred (1849–1881: #33) Ted (1851–1922: #34) Annie (1853–1946: #37) </v>
      </c>
      <c r="G32" s="125" t="str">
        <f>'Loyd Book 2022 - Print'!N32</f>
        <v xml:space="preserve">7 – William (1843–1843: #27) The Rev Lewis (1844–1905: #28) Arthur (1845–1930: #29)  Frank (1848–1934: #32) Alfred (1849–1881: #33) Ted (1851–1922: #34) Annie (1853–1946: #37) </v>
      </c>
      <c r="H32" s="125">
        <f t="shared" si="19"/>
        <v>0</v>
      </c>
      <c r="I32" s="117">
        <f t="shared" si="27"/>
        <v>0</v>
      </c>
      <c r="J32" s="116" t="str">
        <f t="shared" si="33"/>
        <v>William (1843–1843: #27)</v>
      </c>
      <c r="K32" s="116" t="str">
        <f t="shared" si="43"/>
        <v>The Rev Lewis (1844–1905: #28)</v>
      </c>
      <c r="L32" s="116" t="str">
        <f t="shared" si="46"/>
        <v>Arthur (1845–1930: #29)</v>
      </c>
      <c r="M32" s="116" t="str">
        <f t="shared" si="46"/>
        <v/>
      </c>
      <c r="N32" s="116" t="str">
        <f t="shared" si="46"/>
        <v>Frank (1848–1934: #32)</v>
      </c>
      <c r="O32" s="116" t="str">
        <f t="shared" si="46"/>
        <v>Alfred (1849–1881: #33)</v>
      </c>
      <c r="P32" s="116" t="str">
        <f t="shared" si="46"/>
        <v>Ted (1851–1922: #34)</v>
      </c>
      <c r="Q32" s="116" t="str">
        <f t="shared" si="46"/>
        <v>Annie (1853–1946: #37)</v>
      </c>
      <c r="R32" s="116"/>
      <c r="S32" s="117"/>
      <c r="T32" s="117"/>
      <c r="U32" s="117"/>
      <c r="V32" s="117"/>
      <c r="Z32" s="116">
        <f t="shared" si="21"/>
        <v>76</v>
      </c>
      <c r="AA32" s="124">
        <f t="shared" si="3"/>
        <v>1</v>
      </c>
      <c r="AB32" s="281">
        <v>76</v>
      </c>
      <c r="AC32" s="281">
        <v>107</v>
      </c>
      <c r="AD32" s="281"/>
      <c r="AE32" s="281"/>
      <c r="AF32" s="281"/>
      <c r="AG32" s="281"/>
      <c r="AH32" s="281"/>
      <c r="AI32" s="281"/>
      <c r="AJ32" s="281"/>
      <c r="AK32" s="281"/>
      <c r="AL32" s="281"/>
      <c r="AM32" s="272"/>
      <c r="AN32" s="272"/>
      <c r="AO32" s="272"/>
      <c r="AP32" s="272"/>
      <c r="AQ32" s="276">
        <f t="shared" si="4"/>
        <v>1</v>
      </c>
      <c r="AR32" s="117">
        <f t="shared" si="28"/>
        <v>76</v>
      </c>
      <c r="AS32" s="271" t="str">
        <f t="shared" si="49"/>
        <v>Wooie (1928–1996: #107)</v>
      </c>
      <c r="AT32" s="271"/>
      <c r="AU32" s="271"/>
      <c r="AV32" s="271"/>
      <c r="BC32" t="str">
        <f t="shared" si="47"/>
        <v>1 – Wooie (1928–1996: #107)</v>
      </c>
      <c r="BH32" s="116">
        <f t="shared" si="5"/>
        <v>63</v>
      </c>
      <c r="BI32" s="3" t="s">
        <v>2249</v>
      </c>
      <c r="BJ32" s="3" t="s">
        <v>5174</v>
      </c>
      <c r="BK32" t="str">
        <f t="shared" si="6"/>
        <v>Frederic Withers Loyd MOORE (1926–2019</v>
      </c>
      <c r="BL32" t="str">
        <f t="shared" si="7"/>
        <v>Loyd MOORE (1926–2019: #63a)</v>
      </c>
      <c r="BM32" t="str">
        <f t="shared" si="8"/>
        <v>Frederic Withers Loyd MOORE (1926–2019: #63a)</v>
      </c>
      <c r="BP32" t="str">
        <f t="shared" si="9"/>
        <v>MOORE</v>
      </c>
      <c r="BQ32" t="str">
        <f t="shared" si="10"/>
        <v>Frederic</v>
      </c>
      <c r="BR32" s="116" t="str">
        <f t="shared" si="11"/>
        <v>Loyd</v>
      </c>
      <c r="BS32" s="116">
        <f t="shared" si="12"/>
        <v>128</v>
      </c>
      <c r="BT32" t="str">
        <f t="shared" si="48"/>
        <v>2 – Chloe PEMBERTON (1991– : #128a) Kate PEMBERTON (1993– : #128b)</v>
      </c>
      <c r="BU32" s="116">
        <f t="shared" si="24"/>
        <v>2</v>
      </c>
      <c r="BW32" s="116">
        <f t="shared" si="13"/>
        <v>0</v>
      </c>
      <c r="BX32" s="72">
        <v>128</v>
      </c>
      <c r="BY32">
        <v>2</v>
      </c>
      <c r="BZ32" s="116">
        <f t="shared" si="14"/>
        <v>2</v>
      </c>
      <c r="CA32" t="str" cm="1">
        <f t="array" ref="CA32:CB32">TRANSPOSE(BL111:BL112)</f>
        <v>Chloe PEMBERTON (1991– : #128a)</v>
      </c>
      <c r="CB32" t="str">
        <v>Kate PEMBERTON (1993– : #128b)</v>
      </c>
      <c r="CO32" s="151" t="s">
        <v>2249</v>
      </c>
      <c r="CP32" s="6" t="s">
        <v>2246</v>
      </c>
      <c r="CQ32" s="5" t="s">
        <v>1083</v>
      </c>
      <c r="CR32" s="5" t="s">
        <v>2247</v>
      </c>
      <c r="CS32" s="5" t="s">
        <v>1497</v>
      </c>
      <c r="CT32" s="5" t="s">
        <v>1497</v>
      </c>
      <c r="CU32" s="5">
        <v>1926</v>
      </c>
      <c r="CV32" s="5">
        <v>2019</v>
      </c>
      <c r="CW32">
        <f t="shared" si="30"/>
        <v>93</v>
      </c>
      <c r="DC32" s="117">
        <f t="shared" si="15"/>
        <v>77</v>
      </c>
      <c r="DD32" s="116">
        <v>128</v>
      </c>
      <c r="DE32">
        <f t="shared" si="16"/>
        <v>6</v>
      </c>
      <c r="DF32" s="117">
        <v>31</v>
      </c>
      <c r="DG32" s="117">
        <f t="shared" si="17"/>
        <v>56</v>
      </c>
      <c r="DH32" s="99" t="str">
        <f t="shared" si="18"/>
        <v>6 – Anne (1912–2004: #85) John (1913–1943: #87) Martin (1917–1926: #91) Hester (1920–2002: #95) Christopher (1923–2013: #100) Catherine (1923–2014: #101)</v>
      </c>
    </row>
    <row r="33" spans="1:112" ht="20">
      <c r="A33" s="287">
        <f>'Loyd List 1-190 - Edit'!C33</f>
        <v>31</v>
      </c>
      <c r="B33" s="295" t="str">
        <f>VLOOKUP(A33,'Book Details - NO EDIT'!$U$3:$X$192,4,FALSE)</f>
        <v>Mary (1848–1934: #31)</v>
      </c>
      <c r="C33" s="287">
        <f>VLOOKUP(A33,'Loyd List 1-190 - Edit'!$P$1:$R$200,3,FALSE)</f>
        <v>22</v>
      </c>
      <c r="D33" s="287">
        <f t="shared" si="25"/>
        <v>6</v>
      </c>
      <c r="E33" s="287">
        <f t="shared" si="2"/>
        <v>1</v>
      </c>
      <c r="F33" s="269" t="str">
        <f t="shared" si="26"/>
        <v xml:space="preserve">6 – Elinor (1853–1895: #36) Fa (1855–1927: #39) Frederic (1856–1936: #41) Meg (1859–1936: #43) Llewellyn (1861–1939: #45) Caroline (1864–1940: #47)  </v>
      </c>
      <c r="G33" s="125" t="str">
        <f>'Loyd Book 2022 - Print'!N33</f>
        <v xml:space="preserve">6 – Elinor (1853–1895: #36) Fa (1855–1927: #39) Frederic (1856–1936: #41) Meg (1859–1936: #43) Llewellyn (1861–1939: #45) Caroline (1864–1940: #47)  </v>
      </c>
      <c r="H33" s="125">
        <f t="shared" si="19"/>
        <v>0</v>
      </c>
      <c r="I33" s="117">
        <f t="shared" si="27"/>
        <v>0</v>
      </c>
      <c r="J33" s="116" t="str">
        <f t="shared" si="33"/>
        <v/>
      </c>
      <c r="K33" s="116" t="str">
        <f t="shared" si="43"/>
        <v>Elinor (1853–1895: #36)</v>
      </c>
      <c r="L33" s="116" t="str">
        <f t="shared" ref="L33:P42" si="51">IF(VLOOKUP($C33,$AB$2:$AN$67,L$1,FALSE)=$A33,"",VLOOKUP(VLOOKUP($C33,$AB$2:$AN$67,L$1,FALSE),$A$1:$B$200,2,FALSE))</f>
        <v>Fa (1855–1927: #39)</v>
      </c>
      <c r="M33" s="116" t="str">
        <f t="shared" si="51"/>
        <v>Frederic (1856–1936: #41)</v>
      </c>
      <c r="N33" s="116" t="str">
        <f t="shared" si="51"/>
        <v>Meg (1859–1936: #43)</v>
      </c>
      <c r="O33" s="116" t="str">
        <f t="shared" si="51"/>
        <v>Llewellyn (1861–1939: #45)</v>
      </c>
      <c r="P33" s="116" t="str">
        <f t="shared" si="51"/>
        <v>Caroline (1864–1940: #47)</v>
      </c>
      <c r="Q33" s="116"/>
      <c r="R33" s="116"/>
      <c r="S33" s="117"/>
      <c r="T33" s="117"/>
      <c r="U33" s="117"/>
      <c r="V33" s="117"/>
      <c r="Z33" s="116">
        <f t="shared" si="21"/>
        <v>77</v>
      </c>
      <c r="AA33" s="124">
        <f t="shared" si="3"/>
        <v>4</v>
      </c>
      <c r="AB33" s="281">
        <v>77</v>
      </c>
      <c r="AC33" s="281">
        <v>98</v>
      </c>
      <c r="AD33" s="281">
        <v>105</v>
      </c>
      <c r="AE33" s="281">
        <v>106</v>
      </c>
      <c r="AF33" s="281">
        <v>111</v>
      </c>
      <c r="AG33" s="281"/>
      <c r="AH33" s="281"/>
      <c r="AI33" s="281"/>
      <c r="AJ33" s="282"/>
      <c r="AK33" s="282"/>
      <c r="AL33" s="282"/>
      <c r="AM33" s="273"/>
      <c r="AN33" s="273"/>
      <c r="AO33" s="273"/>
      <c r="AP33" s="273"/>
      <c r="AQ33" s="276">
        <f t="shared" si="4"/>
        <v>4</v>
      </c>
      <c r="AR33" s="117">
        <f t="shared" si="28"/>
        <v>77</v>
      </c>
      <c r="AS33" s="271" t="str">
        <f t="shared" si="49"/>
        <v>Peter (1922–2022: #98)</v>
      </c>
      <c r="AT33" s="271" t="str">
        <f t="shared" si="50"/>
        <v>Geoffrey (1926–2018: #105)</v>
      </c>
      <c r="AU33" s="271" t="str">
        <f t="shared" ref="AU33:AU38" si="52">VLOOKUP(AE33,$A$1:$B$192,2,FALSE)</f>
        <v>Denise (1928–: #106)</v>
      </c>
      <c r="AV33" s="271" t="str">
        <f t="shared" ref="AV33:AV38" si="53">VLOOKUP(AF33,$A$1:$B$192,2,FALSE)</f>
        <v>Andrew (1934–1975: #111)</v>
      </c>
      <c r="BC33" t="str">
        <f t="shared" ref="BC33:BC35" si="54">_xlfn.CONCAT(AQ33," – ",AS33," ",AT33," ",AU33," ",AV33)</f>
        <v>4 – Peter (1922–2022: #98) Geoffrey (1926–2018: #105) Denise (1928–: #106) Andrew (1934–1975: #111)</v>
      </c>
      <c r="BH33" s="116">
        <f t="shared" si="5"/>
        <v>63</v>
      </c>
      <c r="BI33" s="3" t="s">
        <v>2259</v>
      </c>
      <c r="BJ33" s="3" t="s">
        <v>5175</v>
      </c>
      <c r="BK33" t="str">
        <f t="shared" si="6"/>
        <v>Emma Isabel MOORE (1929–2020</v>
      </c>
      <c r="BL33" t="str">
        <f t="shared" si="7"/>
        <v>Isabel MOORE (1929–2020: #63b)</v>
      </c>
      <c r="BM33" t="str">
        <f t="shared" si="8"/>
        <v>Emma Isabel MOORE (1929–2020: #63b)</v>
      </c>
      <c r="BP33" t="str">
        <f t="shared" si="9"/>
        <v>MOORE</v>
      </c>
      <c r="BQ33" t="str">
        <f t="shared" si="10"/>
        <v>Emma</v>
      </c>
      <c r="BR33" s="116" t="str">
        <f t="shared" si="11"/>
        <v>Isabel</v>
      </c>
      <c r="BS33" s="116">
        <f t="shared" si="12"/>
        <v>137</v>
      </c>
      <c r="BT33" t="str">
        <f>_xlfn.CONCAT(BZ33," – ",CA33,)</f>
        <v>1 – Honor GELL (1998– : #137a)</v>
      </c>
      <c r="BU33" s="116">
        <f t="shared" si="24"/>
        <v>1</v>
      </c>
      <c r="BW33" s="116">
        <f t="shared" si="13"/>
        <v>0</v>
      </c>
      <c r="BX33" s="72">
        <v>137</v>
      </c>
      <c r="BY33">
        <v>1</v>
      </c>
      <c r="BZ33" s="116">
        <f t="shared" si="14"/>
        <v>1</v>
      </c>
      <c r="CA33" t="str" cm="1">
        <f t="array" ref="CA33">TRANSPOSE(BL113)</f>
        <v>Honor GELL (1998– : #137a)</v>
      </c>
      <c r="CO33" s="151" t="s">
        <v>2259</v>
      </c>
      <c r="CP33" s="6" t="s">
        <v>2246</v>
      </c>
      <c r="CQ33" s="5" t="s">
        <v>1452</v>
      </c>
      <c r="CR33" s="5" t="s">
        <v>863</v>
      </c>
      <c r="CS33" s="5"/>
      <c r="CT33" s="5" t="s">
        <v>863</v>
      </c>
      <c r="CU33" s="5">
        <v>1929</v>
      </c>
      <c r="CV33" s="194">
        <v>2020</v>
      </c>
      <c r="CW33">
        <f t="shared" si="30"/>
        <v>91</v>
      </c>
      <c r="DC33" s="117">
        <f t="shared" si="15"/>
        <v>82</v>
      </c>
      <c r="DD33" s="116">
        <v>137</v>
      </c>
      <c r="DE33">
        <f t="shared" si="16"/>
        <v>1</v>
      </c>
      <c r="DF33" s="117">
        <v>32</v>
      </c>
      <c r="DG33" s="117">
        <f t="shared" si="17"/>
        <v>62</v>
      </c>
      <c r="DH33" s="99" t="str">
        <f t="shared" si="18"/>
        <v>1 – Zelda (1923–2014: #102)</v>
      </c>
    </row>
    <row r="34" spans="1:112" ht="20">
      <c r="A34" s="287">
        <f>'Loyd List 1-190 - Edit'!C34</f>
        <v>32</v>
      </c>
      <c r="B34" s="295" t="str">
        <f>VLOOKUP(A34,'Book Details - NO EDIT'!$U$3:$X$192,4,FALSE)</f>
        <v>Frank (1848–1934: #32)</v>
      </c>
      <c r="C34" s="287">
        <f>VLOOKUP(A34,'Loyd List 1-190 - Edit'!$P$1:$R$200,3,FALSE)</f>
        <v>14</v>
      </c>
      <c r="D34" s="287">
        <f t="shared" si="25"/>
        <v>7</v>
      </c>
      <c r="E34" s="287">
        <f t="shared" si="2"/>
        <v>1</v>
      </c>
      <c r="F34" s="269" t="str">
        <f t="shared" si="26"/>
        <v xml:space="preserve">7 – William (1843–1843: #27) The Rev Lewis (1844–1905: #28) Arthur (1845–1930: #29) Archie (1847–1922: #30)  Alfred (1849–1881: #33) Ted (1851–1922: #34) Annie (1853–1946: #37) </v>
      </c>
      <c r="G34" s="125" t="str">
        <f>'Loyd Book 2022 - Print'!N34</f>
        <v xml:space="preserve">7 – William (1843–1843: #27) The Rev Lewis (1844–1905: #28) Arthur (1845–1930: #29) Archie (1847–1922: #30)  Alfred (1849–1881: #33) Ted (1851–1922: #34) Annie (1853–1946: #37) </v>
      </c>
      <c r="H34" s="125">
        <f t="shared" si="19"/>
        <v>0</v>
      </c>
      <c r="I34" s="117">
        <f t="shared" si="27"/>
        <v>0</v>
      </c>
      <c r="J34" s="116" t="str">
        <f t="shared" si="33"/>
        <v>William (1843–1843: #27)</v>
      </c>
      <c r="K34" s="116" t="str">
        <f t="shared" si="43"/>
        <v>The Rev Lewis (1844–1905: #28)</v>
      </c>
      <c r="L34" s="116" t="str">
        <f t="shared" si="51"/>
        <v>Arthur (1845–1930: #29)</v>
      </c>
      <c r="M34" s="116" t="str">
        <f t="shared" si="51"/>
        <v>Archie (1847–1922: #30)</v>
      </c>
      <c r="N34" s="116" t="str">
        <f t="shared" si="51"/>
        <v/>
      </c>
      <c r="O34" s="116" t="str">
        <f t="shared" si="51"/>
        <v>Alfred (1849–1881: #33)</v>
      </c>
      <c r="P34" s="116" t="str">
        <f t="shared" si="51"/>
        <v>Ted (1851–1922: #34)</v>
      </c>
      <c r="Q34" s="116" t="str">
        <f>IF(VLOOKUP($C34,$AB$2:$AN$67,Q$1,FALSE)=$A34,"",VLOOKUP(VLOOKUP($C34,$AB$2:$AN$67,Q$1,FALSE),$A$1:$B$200,2,FALSE))</f>
        <v>Annie (1853–1946: #37)</v>
      </c>
      <c r="R34" s="116"/>
      <c r="S34" s="117"/>
      <c r="T34" s="117"/>
      <c r="U34" s="117"/>
      <c r="V34" s="117"/>
      <c r="Z34" s="116">
        <f t="shared" si="21"/>
        <v>78</v>
      </c>
      <c r="AA34" s="124">
        <f t="shared" si="3"/>
        <v>4</v>
      </c>
      <c r="AB34" s="281">
        <v>78</v>
      </c>
      <c r="AC34" s="281">
        <v>113</v>
      </c>
      <c r="AD34" s="281">
        <v>115</v>
      </c>
      <c r="AE34" s="281">
        <v>127</v>
      </c>
      <c r="AF34" s="281">
        <v>140</v>
      </c>
      <c r="AG34" s="281"/>
      <c r="AH34" s="281"/>
      <c r="AI34" s="281"/>
      <c r="AJ34" s="281"/>
      <c r="AK34" s="281"/>
      <c r="AL34" s="281"/>
      <c r="AM34" s="272"/>
      <c r="AN34" s="272"/>
      <c r="AO34" s="272"/>
      <c r="AP34" s="272"/>
      <c r="AQ34" s="276">
        <f t="shared" si="4"/>
        <v>4</v>
      </c>
      <c r="AR34" s="117">
        <f t="shared" si="28"/>
        <v>78</v>
      </c>
      <c r="AS34" s="271" t="str">
        <f t="shared" si="49"/>
        <v>Willie (1937–1994: #113)</v>
      </c>
      <c r="AT34" s="271" t="str">
        <f t="shared" si="50"/>
        <v>Belinda (1939–2018: #115)</v>
      </c>
      <c r="AU34" s="271" t="str">
        <f t="shared" si="52"/>
        <v>Vivian (1951–: #127)</v>
      </c>
      <c r="AV34" s="271" t="str">
        <f t="shared" si="53"/>
        <v>Ginie (1961–: #140)</v>
      </c>
      <c r="BC34" t="str">
        <f t="shared" si="54"/>
        <v>4 – Willie (1937–1994: #113) Belinda (1939–2018: #115) Vivian (1951–: #127) Ginie (1961–: #140)</v>
      </c>
      <c r="BH34" s="116">
        <f t="shared" si="5"/>
        <v>63</v>
      </c>
      <c r="BI34" s="3" t="s">
        <v>2260</v>
      </c>
      <c r="BJ34" s="3" t="s">
        <v>5176</v>
      </c>
      <c r="BK34" t="str">
        <f t="shared" si="6"/>
        <v>Veronica Ashwell MOORE (1930–1934</v>
      </c>
      <c r="BL34" t="str">
        <f t="shared" si="7"/>
        <v>Veronica MOORE (1930–1934: #63c)</v>
      </c>
      <c r="BM34" t="str">
        <f t="shared" si="8"/>
        <v>Veronica Ashwell MOORE (1930–1934: #63c)</v>
      </c>
      <c r="BP34" t="str">
        <f t="shared" si="9"/>
        <v>MOORE</v>
      </c>
      <c r="BQ34" t="str">
        <f t="shared" si="10"/>
        <v>Veronica</v>
      </c>
      <c r="BR34" s="116" t="str">
        <f t="shared" si="11"/>
        <v>Veronica</v>
      </c>
      <c r="BS34" s="116">
        <f t="shared" si="12"/>
        <v>140</v>
      </c>
      <c r="BT34" t="str">
        <f t="shared" ref="BT34:BT47" si="55">_xlfn.CONCAT(BZ34," – ",CA34," ",CB34)</f>
        <v>2 – Daisy MILLER (1995– : #140a) Violet MILLER (1995– : #140b)</v>
      </c>
      <c r="BU34" s="116">
        <f t="shared" si="24"/>
        <v>2</v>
      </c>
      <c r="BW34" s="116">
        <f t="shared" si="13"/>
        <v>0</v>
      </c>
      <c r="BX34" s="72">
        <v>140</v>
      </c>
      <c r="BY34">
        <v>2</v>
      </c>
      <c r="BZ34" s="116">
        <f t="shared" si="14"/>
        <v>2</v>
      </c>
      <c r="CA34" t="str" cm="1">
        <f t="array" ref="CA34:CB34">TRANSPOSE(BL114:BL115)</f>
        <v>Daisy MILLER (1995– : #140a)</v>
      </c>
      <c r="CB34" t="str">
        <v>Violet MILLER (1995– : #140b)</v>
      </c>
      <c r="CO34" s="151" t="s">
        <v>2260</v>
      </c>
      <c r="CP34" s="6" t="s">
        <v>2246</v>
      </c>
      <c r="CQ34" s="5" t="s">
        <v>2257</v>
      </c>
      <c r="CR34" s="5" t="s">
        <v>2258</v>
      </c>
      <c r="CS34" s="5"/>
      <c r="CT34" s="5"/>
      <c r="CU34" s="5">
        <v>1930</v>
      </c>
      <c r="CV34" s="5">
        <v>1934</v>
      </c>
      <c r="CW34">
        <f t="shared" si="30"/>
        <v>4</v>
      </c>
      <c r="DC34" s="117">
        <f t="shared" si="15"/>
        <v>84</v>
      </c>
      <c r="DD34" s="116">
        <v>140</v>
      </c>
      <c r="DE34">
        <f t="shared" si="16"/>
        <v>3</v>
      </c>
      <c r="DF34" s="117">
        <v>33</v>
      </c>
      <c r="DG34" s="117">
        <f t="shared" si="17"/>
        <v>63</v>
      </c>
      <c r="DH34" s="99" t="str">
        <f t="shared" si="18"/>
        <v>3 – Loyd MOORE (1926–2019: #63a) Isabel MOORE (1929–2020: #63b) Veronica MOORE (1930–1934: #63c)</v>
      </c>
    </row>
    <row r="35" spans="1:112" ht="20">
      <c r="A35" s="287">
        <f>'Loyd List 1-190 - Edit'!C35</f>
        <v>33</v>
      </c>
      <c r="B35" s="295" t="str">
        <f>VLOOKUP(A35,'Book Details - NO EDIT'!$U$3:$X$192,4,FALSE)</f>
        <v>Alfred (1849–1881: #33)</v>
      </c>
      <c r="C35" s="287">
        <f>VLOOKUP(A35,'Loyd List 1-190 - Edit'!$P$1:$R$200,3,FALSE)</f>
        <v>14</v>
      </c>
      <c r="D35" s="287">
        <f t="shared" si="25"/>
        <v>7</v>
      </c>
      <c r="E35" s="287">
        <f t="shared" si="2"/>
        <v>1</v>
      </c>
      <c r="F35" s="269" t="str">
        <f t="shared" si="26"/>
        <v xml:space="preserve">7 – William (1843–1843: #27) The Rev Lewis (1844–1905: #28) Arthur (1845–1930: #29) Archie (1847–1922: #30) Frank (1848–1934: #32)  Ted (1851–1922: #34) Annie (1853–1946: #37) </v>
      </c>
      <c r="G35" s="125" t="str">
        <f>'Loyd Book 2022 - Print'!N35</f>
        <v xml:space="preserve">7 – William (1843–1843: #27) The Rev Lewis (1844–1905: #28) Arthur (1845–1930: #29) Archie (1847–1922: #30) Frank (1848–1934: #32)  Ted (1851–1922: #34) Annie (1853–1946: #37) </v>
      </c>
      <c r="H35" s="125">
        <f t="shared" si="19"/>
        <v>0</v>
      </c>
      <c r="I35" s="117">
        <f t="shared" si="27"/>
        <v>0</v>
      </c>
      <c r="J35" s="116" t="str">
        <f t="shared" si="33"/>
        <v>William (1843–1843: #27)</v>
      </c>
      <c r="K35" s="116" t="str">
        <f t="shared" si="43"/>
        <v>The Rev Lewis (1844–1905: #28)</v>
      </c>
      <c r="L35" s="116" t="str">
        <f t="shared" si="51"/>
        <v>Arthur (1845–1930: #29)</v>
      </c>
      <c r="M35" s="116" t="str">
        <f t="shared" si="51"/>
        <v>Archie (1847–1922: #30)</v>
      </c>
      <c r="N35" s="116" t="str">
        <f t="shared" si="51"/>
        <v>Frank (1848–1934: #32)</v>
      </c>
      <c r="O35" s="116" t="str">
        <f t="shared" si="51"/>
        <v/>
      </c>
      <c r="P35" s="116" t="str">
        <f t="shared" si="51"/>
        <v>Ted (1851–1922: #34)</v>
      </c>
      <c r="Q35" s="116" t="str">
        <f>IF(VLOOKUP($C35,$AB$2:$AN$67,Q$1,FALSE)=$A35,"",VLOOKUP(VLOOKUP($C35,$AB$2:$AN$67,Q$1,FALSE),$A$1:$B$200,2,FALSE))</f>
        <v>Annie (1853–1946: #37)</v>
      </c>
      <c r="R35" s="116"/>
      <c r="S35" s="117"/>
      <c r="T35" s="117"/>
      <c r="U35" s="117"/>
      <c r="V35" s="117"/>
      <c r="Z35" s="116">
        <f t="shared" si="21"/>
        <v>80</v>
      </c>
      <c r="AA35" s="124">
        <f t="shared" ref="AA35:AA61" si="56">COUNTIF(AC35:AN35,"&gt;0")</f>
        <v>4</v>
      </c>
      <c r="AB35" s="281">
        <v>80</v>
      </c>
      <c r="AC35" s="281">
        <v>109</v>
      </c>
      <c r="AD35" s="281">
        <v>110</v>
      </c>
      <c r="AE35" s="281">
        <v>114</v>
      </c>
      <c r="AF35" s="281">
        <v>119</v>
      </c>
      <c r="AG35" s="281"/>
      <c r="AH35" s="281"/>
      <c r="AI35" s="281"/>
      <c r="AJ35" s="282"/>
      <c r="AK35" s="282"/>
      <c r="AL35" s="282"/>
      <c r="AM35" s="273"/>
      <c r="AN35" s="272"/>
      <c r="AO35" s="272"/>
      <c r="AP35" s="272"/>
      <c r="AQ35" s="276">
        <f t="shared" si="4"/>
        <v>4</v>
      </c>
      <c r="AR35" s="117">
        <f t="shared" si="28"/>
        <v>80</v>
      </c>
      <c r="AS35" s="271" t="str">
        <f t="shared" si="49"/>
        <v>Margaret (1932–: #109)</v>
      </c>
      <c r="AT35" s="271" t="str">
        <f t="shared" si="50"/>
        <v>Jean (1933–: #110)</v>
      </c>
      <c r="AU35" s="271" t="str">
        <f t="shared" si="52"/>
        <v>Michael (1938–: #114)</v>
      </c>
      <c r="AV35" s="271" t="str">
        <f t="shared" si="53"/>
        <v>Peter (1942–: #119)</v>
      </c>
      <c r="BC35" t="str">
        <f t="shared" si="54"/>
        <v>4 – Margaret (1932–: #109) Jean (1933–: #110) Michael (1938–: #114) Peter (1942–: #119)</v>
      </c>
      <c r="BH35" s="116">
        <f t="shared" si="5"/>
        <v>65</v>
      </c>
      <c r="BI35" s="3" t="s">
        <v>2265</v>
      </c>
      <c r="BJ35" s="3" t="s">
        <v>4801</v>
      </c>
      <c r="BK35" t="str">
        <f t="shared" si="6"/>
        <v xml:space="preserve">Audrey Haig WHEELER (1913– </v>
      </c>
      <c r="BL35" t="str">
        <f t="shared" si="7"/>
        <v>Audrey WHEELER (1913– : #65a)</v>
      </c>
      <c r="BM35" t="str">
        <f t="shared" si="8"/>
        <v>Audrey Haig WHEELER (1913– : #65a)</v>
      </c>
      <c r="BP35" t="str">
        <f t="shared" si="9"/>
        <v>WHEELER</v>
      </c>
      <c r="BQ35" t="str">
        <f t="shared" si="10"/>
        <v>Audrey</v>
      </c>
      <c r="BR35" s="116" t="str">
        <f t="shared" si="11"/>
        <v>Audrey</v>
      </c>
      <c r="BS35" s="116">
        <f t="shared" si="12"/>
        <v>141</v>
      </c>
      <c r="BT35" t="str">
        <f t="shared" si="55"/>
        <v>2 – Letty BYATT (1996– : #141a) Harry BYATT (1998–2017: #141b)</v>
      </c>
      <c r="BU35" s="116">
        <f t="shared" si="24"/>
        <v>2</v>
      </c>
      <c r="BW35" s="116">
        <f t="shared" si="13"/>
        <v>0</v>
      </c>
      <c r="BX35" s="72">
        <v>141</v>
      </c>
      <c r="BY35">
        <v>2</v>
      </c>
      <c r="BZ35" s="116">
        <f t="shared" si="14"/>
        <v>2</v>
      </c>
      <c r="CA35" t="str" cm="1">
        <f t="array" ref="CA35:CB35">TRANSPOSE(BL116:BL117)</f>
        <v>Letty BYATT (1996– : #141a)</v>
      </c>
      <c r="CB35" t="str">
        <v>Harry BYATT (1998–2017: #141b)</v>
      </c>
      <c r="CO35" s="151" t="s">
        <v>2265</v>
      </c>
      <c r="CP35" s="6" t="s">
        <v>2264</v>
      </c>
      <c r="CQ35" s="5" t="s">
        <v>861</v>
      </c>
      <c r="CR35" s="5" t="s">
        <v>822</v>
      </c>
      <c r="CS35" s="5"/>
      <c r="CT35" s="5"/>
      <c r="CU35" s="5">
        <v>1913</v>
      </c>
      <c r="CV35" s="5" t="s">
        <v>3774</v>
      </c>
      <c r="CW35" t="e">
        <f t="shared" si="30"/>
        <v>#VALUE!</v>
      </c>
      <c r="DC35" s="117">
        <f t="shared" si="15"/>
        <v>85</v>
      </c>
      <c r="DD35" s="116">
        <v>141</v>
      </c>
      <c r="DE35">
        <f t="shared" si="16"/>
        <v>3</v>
      </c>
      <c r="DF35" s="117">
        <v>34</v>
      </c>
      <c r="DG35" s="117">
        <f t="shared" si="17"/>
        <v>65</v>
      </c>
      <c r="DH35" s="99" t="str">
        <f t="shared" si="18"/>
        <v>3 – Audrey WHEELER (1913– : #65a) Norma WHEELER (1924– : #65b) Basil WHEELER (1926– : #65c)</v>
      </c>
    </row>
    <row r="36" spans="1:112" ht="20">
      <c r="A36" s="287">
        <f>'Loyd List 1-190 - Edit'!C36</f>
        <v>34</v>
      </c>
      <c r="B36" s="295" t="str">
        <f>VLOOKUP(A36,'Book Details - NO EDIT'!$U$3:$X$192,4,FALSE)</f>
        <v>Ted (1851–1922: #34)</v>
      </c>
      <c r="C36" s="287">
        <f>VLOOKUP(A36,'Loyd List 1-190 - Edit'!$P$1:$R$200,3,FALSE)</f>
        <v>14</v>
      </c>
      <c r="D36" s="287">
        <f t="shared" si="25"/>
        <v>7</v>
      </c>
      <c r="E36" s="287">
        <f t="shared" si="2"/>
        <v>1</v>
      </c>
      <c r="F36" s="269" t="str">
        <f t="shared" si="26"/>
        <v xml:space="preserve">7 – William (1843–1843: #27) The Rev Lewis (1844–1905: #28) Arthur (1845–1930: #29) Archie (1847–1922: #30) Frank (1848–1934: #32) Alfred (1849–1881: #33)  Annie (1853–1946: #37) </v>
      </c>
      <c r="G36" s="125" t="str">
        <f>'Loyd Book 2022 - Print'!N36</f>
        <v xml:space="preserve">7 – William (1843–1843: #27) The Rev Lewis (1844–1905: #28) Arthur (1845–1930: #29) Archie (1847–1922: #30) Frank (1848–1934: #32) Alfred (1849–1881: #33)  Annie (1853–1946: #37) </v>
      </c>
      <c r="H36" s="125">
        <f t="shared" si="19"/>
        <v>0</v>
      </c>
      <c r="I36" s="117">
        <f t="shared" si="27"/>
        <v>0</v>
      </c>
      <c r="J36" s="116" t="str">
        <f t="shared" si="33"/>
        <v>William (1843–1843: #27)</v>
      </c>
      <c r="K36" s="116" t="str">
        <f t="shared" si="43"/>
        <v>The Rev Lewis (1844–1905: #28)</v>
      </c>
      <c r="L36" s="116" t="str">
        <f t="shared" si="51"/>
        <v>Arthur (1845–1930: #29)</v>
      </c>
      <c r="M36" s="116" t="str">
        <f t="shared" si="51"/>
        <v>Archie (1847–1922: #30)</v>
      </c>
      <c r="N36" s="116" t="str">
        <f t="shared" si="51"/>
        <v>Frank (1848–1934: #32)</v>
      </c>
      <c r="O36" s="116" t="str">
        <f t="shared" si="51"/>
        <v>Alfred (1849–1881: #33)</v>
      </c>
      <c r="P36" s="116" t="str">
        <f t="shared" si="51"/>
        <v/>
      </c>
      <c r="Q36" s="116" t="str">
        <f>IF(VLOOKUP($C36,$AB$2:$AN$67,Q$1,FALSE)=$A36,"",VLOOKUP(VLOOKUP($C36,$AB$2:$AN$67,Q$1,FALSE),$A$1:$B$200,2,FALSE))</f>
        <v>Annie (1853–1946: #37)</v>
      </c>
      <c r="R36" s="116"/>
      <c r="S36" s="117"/>
      <c r="T36" s="117"/>
      <c r="U36" s="117"/>
      <c r="V36" s="117"/>
      <c r="Z36" s="116">
        <f t="shared" si="21"/>
        <v>86</v>
      </c>
      <c r="AA36" s="124">
        <f t="shared" si="56"/>
        <v>3</v>
      </c>
      <c r="AB36" s="281">
        <v>86</v>
      </c>
      <c r="AC36" s="281">
        <v>125</v>
      </c>
      <c r="AD36" s="281">
        <v>130</v>
      </c>
      <c r="AE36" s="281">
        <v>135</v>
      </c>
      <c r="AF36" s="281"/>
      <c r="AG36" s="281"/>
      <c r="AH36" s="281"/>
      <c r="AI36" s="282"/>
      <c r="AJ36" s="282"/>
      <c r="AK36" s="282"/>
      <c r="AL36" s="282"/>
      <c r="AM36" s="273"/>
      <c r="AN36" s="272"/>
      <c r="AO36" s="272"/>
      <c r="AP36" s="272"/>
      <c r="AQ36" s="276">
        <f t="shared" si="4"/>
        <v>3</v>
      </c>
      <c r="AR36" s="117">
        <f t="shared" si="28"/>
        <v>86</v>
      </c>
      <c r="AS36" s="271" t="str">
        <f t="shared" si="49"/>
        <v>Rona (1951–: #125)</v>
      </c>
      <c r="AT36" s="271" t="str">
        <f t="shared" si="50"/>
        <v>David (1952–: #130)</v>
      </c>
      <c r="AU36" s="271" t="str">
        <f t="shared" si="52"/>
        <v>Jim (1955–: #135)</v>
      </c>
      <c r="AV36" s="271"/>
      <c r="BC36" t="str">
        <f>_xlfn.CONCAT(AQ36," – ",AS36," ",AT36," ",AU36)</f>
        <v>3 – Rona (1951–: #125) David (1952–: #130) Jim (1955–: #135)</v>
      </c>
      <c r="BH36" s="116">
        <f t="shared" si="5"/>
        <v>65</v>
      </c>
      <c r="BI36" s="3" t="s">
        <v>2268</v>
      </c>
      <c r="BJ36" s="3" t="s">
        <v>4802</v>
      </c>
      <c r="BK36" t="str">
        <f t="shared" si="6"/>
        <v xml:space="preserve">Norma Monica Haig WHEELER (1924– </v>
      </c>
      <c r="BL36" t="str">
        <f t="shared" si="7"/>
        <v>Norma WHEELER (1924– : #65b)</v>
      </c>
      <c r="BM36" t="str">
        <f t="shared" si="8"/>
        <v>Norma Monica Haig WHEELER (1924– : #65b)</v>
      </c>
      <c r="BP36" t="str">
        <f t="shared" si="9"/>
        <v>WHEELER</v>
      </c>
      <c r="BQ36" t="str">
        <f t="shared" si="10"/>
        <v>Norma</v>
      </c>
      <c r="BR36" s="116" t="str">
        <f t="shared" si="11"/>
        <v>Norma</v>
      </c>
      <c r="BS36" s="116">
        <f t="shared" si="12"/>
        <v>143</v>
      </c>
      <c r="BT36" t="str">
        <f t="shared" si="55"/>
        <v>2 – Emily ASHE (1988– : #143a) Charles ASHE (1990– : #143b)</v>
      </c>
      <c r="BU36" s="116">
        <f t="shared" si="24"/>
        <v>2</v>
      </c>
      <c r="BW36" s="116">
        <f t="shared" si="13"/>
        <v>0</v>
      </c>
      <c r="BX36" s="72">
        <v>143</v>
      </c>
      <c r="BY36">
        <v>2</v>
      </c>
      <c r="BZ36" s="116">
        <f t="shared" si="14"/>
        <v>2</v>
      </c>
      <c r="CA36" t="str" cm="1">
        <f t="array" ref="CA36:CB36">TRANSPOSE(BL118:BL119)</f>
        <v>Emily ASHE (1988– : #143a)</v>
      </c>
      <c r="CB36" t="str">
        <v>Charles ASHE (1990– : #143b)</v>
      </c>
      <c r="CO36" s="151" t="s">
        <v>2268</v>
      </c>
      <c r="CP36" s="6" t="s">
        <v>2264</v>
      </c>
      <c r="CQ36" s="5" t="s">
        <v>2266</v>
      </c>
      <c r="CR36" s="5" t="s">
        <v>2267</v>
      </c>
      <c r="CS36" s="5" t="s">
        <v>822</v>
      </c>
      <c r="CT36" s="5"/>
      <c r="CU36" s="5">
        <v>1924</v>
      </c>
      <c r="CV36" s="5" t="s">
        <v>3774</v>
      </c>
      <c r="CW36" t="e">
        <f t="shared" si="30"/>
        <v>#VALUE!</v>
      </c>
      <c r="DC36" s="117">
        <f t="shared" si="15"/>
        <v>87</v>
      </c>
      <c r="DD36" s="116">
        <v>143</v>
      </c>
      <c r="DE36">
        <f t="shared" si="16"/>
        <v>3</v>
      </c>
      <c r="DF36" s="117">
        <v>35</v>
      </c>
      <c r="DG36" s="117">
        <f t="shared" si="17"/>
        <v>66</v>
      </c>
      <c r="DH36" s="99" t="str">
        <f t="shared" si="18"/>
        <v>3 – Delia (1915–2007: #88) Edward (1921–1977: #96) Peter (1923–1974: #99)</v>
      </c>
    </row>
    <row r="37" spans="1:112" ht="20">
      <c r="A37" s="287">
        <f>'Loyd List 1-190 - Edit'!C37</f>
        <v>35</v>
      </c>
      <c r="B37" s="295" t="str">
        <f>VLOOKUP(A37,'Book Details - NO EDIT'!$U$3:$X$192,4,FALSE)</f>
        <v>Lewis (1852–1908: #35)</v>
      </c>
      <c r="C37" s="287">
        <f>VLOOKUP(A37,'Loyd List 1-190 - Edit'!$P$1:$R$200,3,FALSE)</f>
        <v>23</v>
      </c>
      <c r="D37" s="287">
        <f t="shared" si="25"/>
        <v>8</v>
      </c>
      <c r="E37" s="287">
        <f t="shared" si="2"/>
        <v>1</v>
      </c>
      <c r="F37" s="269" t="str">
        <f t="shared" si="26"/>
        <v>8 – Gertrude (1854–1924: #38) Harriet (1856–1921: #40) Dulcie (1858–1905: #42) Harry (1861–1938: #44) William (1863–1923: #46) Caroline (1865–1938: #48) Mary (1867–1867: #49) Arthur (1868–1911: #50)</v>
      </c>
      <c r="G37" s="125" t="str">
        <f>'Loyd Book 2022 - Print'!N37</f>
        <v>8 – Gertrude (1854–1924: #38) Harriet (1856–1921: #40) Dulcie (1858–1905: #42) Harry (1861–1938: #44) William (1863–1923: #46) Caroline (1865–1938: #48) Mary (1867–1867: #49) Arthur (1868–1911: #50)</v>
      </c>
      <c r="H37" s="125">
        <f t="shared" si="19"/>
        <v>0</v>
      </c>
      <c r="I37" s="117">
        <f t="shared" si="27"/>
        <v>0</v>
      </c>
      <c r="J37" s="116" t="str">
        <f t="shared" si="33"/>
        <v/>
      </c>
      <c r="K37" s="116" t="str">
        <f t="shared" si="43"/>
        <v>Gertrude (1854–1924: #38)</v>
      </c>
      <c r="L37" s="116" t="str">
        <f t="shared" si="51"/>
        <v>Harriet (1856–1921: #40)</v>
      </c>
      <c r="M37" s="116" t="str">
        <f t="shared" si="51"/>
        <v>Dulcie (1858–1905: #42)</v>
      </c>
      <c r="N37" s="116" t="str">
        <f t="shared" si="51"/>
        <v>Harry (1861–1938: #44)</v>
      </c>
      <c r="O37" s="116" t="str">
        <f t="shared" si="51"/>
        <v>William (1863–1923: #46)</v>
      </c>
      <c r="P37" s="116" t="str">
        <f t="shared" si="51"/>
        <v>Caroline (1865–1938: #48)</v>
      </c>
      <c r="Q37" s="116" t="str">
        <f>IF(VLOOKUP($C37,$AB$2:$AN$67,Q$1,FALSE)=$A37,"",VLOOKUP(VLOOKUP($C37,$AB$2:$AN$67,Q$1,FALSE),$A$1:$B$200,2,FALSE))</f>
        <v>Mary (1867–1867: #49)</v>
      </c>
      <c r="R37" s="116" t="str">
        <f>IF(VLOOKUP($C37,$AB$2:$AN$67,R$1,FALSE)=$A37,"",VLOOKUP(VLOOKUP($C37,$AB$2:$AN$67,R$1,FALSE),$A$1:$B$200,2,FALSE))</f>
        <v>Arthur (1868–1911: #50)</v>
      </c>
      <c r="S37" s="117"/>
      <c r="T37" s="117"/>
      <c r="U37" s="117"/>
      <c r="V37" s="117"/>
      <c r="Z37" s="116">
        <f t="shared" si="21"/>
        <v>89</v>
      </c>
      <c r="AA37" s="124">
        <f t="shared" si="56"/>
        <v>2</v>
      </c>
      <c r="AB37" s="281">
        <v>89</v>
      </c>
      <c r="AC37" s="281">
        <v>123</v>
      </c>
      <c r="AD37" s="281">
        <v>129</v>
      </c>
      <c r="AE37" s="281"/>
      <c r="AF37" s="281"/>
      <c r="AG37" s="281"/>
      <c r="AH37" s="281"/>
      <c r="AI37" s="282"/>
      <c r="AJ37" s="281"/>
      <c r="AK37" s="281"/>
      <c r="AL37" s="281"/>
      <c r="AM37" s="272"/>
      <c r="AN37" s="272"/>
      <c r="AO37" s="272"/>
      <c r="AP37" s="272"/>
      <c r="AQ37" s="276">
        <f t="shared" si="4"/>
        <v>2</v>
      </c>
      <c r="AR37" s="117">
        <f t="shared" si="28"/>
        <v>89</v>
      </c>
      <c r="AS37" s="271" t="str">
        <f t="shared" si="49"/>
        <v>Janet (1949–: #123)</v>
      </c>
      <c r="AT37" s="271" t="str">
        <f t="shared" si="50"/>
        <v>Diana (1952–: #129)</v>
      </c>
      <c r="AU37" s="271"/>
      <c r="AV37" s="271"/>
      <c r="BC37" t="str">
        <f>_xlfn.CONCAT(AQ37," – ",AS37," ",AT37)</f>
        <v>2 – Janet (1949–: #123) Diana (1952–: #129)</v>
      </c>
      <c r="BH37" s="116">
        <f t="shared" si="5"/>
        <v>65</v>
      </c>
      <c r="BI37" s="3" t="s">
        <v>2269</v>
      </c>
      <c r="BJ37" s="3" t="s">
        <v>4803</v>
      </c>
      <c r="BK37" t="str">
        <f t="shared" si="6"/>
        <v xml:space="preserve">Basil Norman Haig WHEELER (1926– </v>
      </c>
      <c r="BL37" t="str">
        <f t="shared" si="7"/>
        <v>Basil WHEELER (1926– : #65c)</v>
      </c>
      <c r="BM37" t="str">
        <f t="shared" si="8"/>
        <v>Basil Norman Haig WHEELER (1926– : #65c)</v>
      </c>
      <c r="BP37" t="str">
        <f t="shared" si="9"/>
        <v>WHEELER</v>
      </c>
      <c r="BQ37" t="str">
        <f t="shared" si="10"/>
        <v>Basil</v>
      </c>
      <c r="BR37" s="116" t="str">
        <f t="shared" si="11"/>
        <v>Basil</v>
      </c>
      <c r="BS37" s="116">
        <f t="shared" si="12"/>
        <v>152</v>
      </c>
      <c r="BT37" t="str">
        <f t="shared" si="55"/>
        <v>2 – Clementine WHITCOMB (1999– : #152a) Augustin WHITCOMB (2001– : #152b)</v>
      </c>
      <c r="BU37" s="116">
        <f t="shared" si="24"/>
        <v>2</v>
      </c>
      <c r="BW37" s="116">
        <f t="shared" si="13"/>
        <v>0</v>
      </c>
      <c r="BX37" s="72">
        <v>152</v>
      </c>
      <c r="BY37">
        <v>2</v>
      </c>
      <c r="BZ37" s="116">
        <f t="shared" si="14"/>
        <v>2</v>
      </c>
      <c r="CA37" t="str" cm="1">
        <f t="array" ref="CA37:CB37">TRANSPOSE(BL120:BL121)</f>
        <v>Clementine WHITCOMB (1999– : #152a)</v>
      </c>
      <c r="CB37" t="str">
        <v>Augustin WHITCOMB (2001– : #152b)</v>
      </c>
      <c r="CO37" s="151" t="s">
        <v>2269</v>
      </c>
      <c r="CP37" s="6" t="s">
        <v>2264</v>
      </c>
      <c r="CQ37" s="5" t="s">
        <v>818</v>
      </c>
      <c r="CR37" s="5" t="s">
        <v>841</v>
      </c>
      <c r="CS37" s="5" t="s">
        <v>822</v>
      </c>
      <c r="CT37" s="5"/>
      <c r="CU37" s="5">
        <v>1926</v>
      </c>
      <c r="CV37" s="5" t="s">
        <v>3774</v>
      </c>
      <c r="CW37" t="e">
        <f t="shared" si="30"/>
        <v>#VALUE!</v>
      </c>
      <c r="DC37" s="117">
        <f t="shared" si="15"/>
        <v>91</v>
      </c>
      <c r="DD37" s="116">
        <v>152</v>
      </c>
      <c r="DE37">
        <f t="shared" si="16"/>
        <v>2</v>
      </c>
      <c r="DF37" s="117">
        <v>36</v>
      </c>
      <c r="DG37" s="117">
        <f t="shared" si="17"/>
        <v>68</v>
      </c>
      <c r="DH37" s="99" t="str">
        <f t="shared" si="18"/>
        <v>2 – Jill (1920–2002: #93) Alwyne (1920–2014: #94)</v>
      </c>
    </row>
    <row r="38" spans="1:112" ht="20">
      <c r="A38" s="287">
        <f>'Loyd List 1-190 - Edit'!C38</f>
        <v>36</v>
      </c>
      <c r="B38" s="295" t="str">
        <f>VLOOKUP(A38,'Book Details - NO EDIT'!$U$3:$X$192,4,FALSE)</f>
        <v>Elinor (1853–1895: #36)</v>
      </c>
      <c r="C38" s="287">
        <f>VLOOKUP(A38,'Loyd List 1-190 - Edit'!$P$1:$R$200,3,FALSE)</f>
        <v>22</v>
      </c>
      <c r="D38" s="287">
        <f t="shared" si="25"/>
        <v>6</v>
      </c>
      <c r="E38" s="287">
        <f t="shared" si="2"/>
        <v>1</v>
      </c>
      <c r="F38" s="269" t="str">
        <f t="shared" si="26"/>
        <v xml:space="preserve">6 – Mary (1848–1934: #31)  Fa (1855–1927: #39) Frederic (1856–1936: #41) Meg (1859–1936: #43) Llewellyn (1861–1939: #45) Caroline (1864–1940: #47)  </v>
      </c>
      <c r="G38" s="125" t="str">
        <f>'Loyd Book 2022 - Print'!N38</f>
        <v xml:space="preserve">6 – Mary (1848–1934: #31)  Fa (1855–1927: #39) Frederic (1856–1936: #41) Meg (1859–1936: #43) Llewellyn (1861–1939: #45) Caroline (1864–1940: #47)  </v>
      </c>
      <c r="H38" s="125">
        <f t="shared" si="19"/>
        <v>0</v>
      </c>
      <c r="I38" s="117">
        <f t="shared" si="27"/>
        <v>0</v>
      </c>
      <c r="J38" s="116" t="str">
        <f t="shared" si="33"/>
        <v>Mary (1848–1934: #31)</v>
      </c>
      <c r="K38" s="116" t="str">
        <f t="shared" si="43"/>
        <v/>
      </c>
      <c r="L38" s="116" t="str">
        <f t="shared" si="51"/>
        <v>Fa (1855–1927: #39)</v>
      </c>
      <c r="M38" s="116" t="str">
        <f t="shared" si="51"/>
        <v>Frederic (1856–1936: #41)</v>
      </c>
      <c r="N38" s="116" t="str">
        <f t="shared" si="51"/>
        <v>Meg (1859–1936: #43)</v>
      </c>
      <c r="O38" s="116" t="str">
        <f t="shared" si="51"/>
        <v>Llewellyn (1861–1939: #45)</v>
      </c>
      <c r="P38" s="116" t="str">
        <f t="shared" si="51"/>
        <v>Caroline (1864–1940: #47)</v>
      </c>
      <c r="Q38" s="116"/>
      <c r="R38" s="116"/>
      <c r="S38" s="117"/>
      <c r="T38" s="117"/>
      <c r="U38" s="117"/>
      <c r="V38" s="117"/>
      <c r="Z38" s="116">
        <f t="shared" si="21"/>
        <v>94</v>
      </c>
      <c r="AA38" s="124">
        <f t="shared" si="56"/>
        <v>6</v>
      </c>
      <c r="AB38" s="281">
        <v>94</v>
      </c>
      <c r="AC38" s="281">
        <v>124</v>
      </c>
      <c r="AD38" s="281">
        <v>126</v>
      </c>
      <c r="AE38" s="281">
        <v>131</v>
      </c>
      <c r="AF38" s="281">
        <v>136</v>
      </c>
      <c r="AG38" s="281">
        <v>139</v>
      </c>
      <c r="AH38" s="281">
        <v>142</v>
      </c>
      <c r="AI38" s="281"/>
      <c r="AJ38" s="282"/>
      <c r="AK38" s="282"/>
      <c r="AL38" s="282"/>
      <c r="AM38" s="273"/>
      <c r="AN38" s="273"/>
      <c r="AO38" s="273"/>
      <c r="AP38" s="273"/>
      <c r="AQ38" s="276">
        <f t="shared" si="4"/>
        <v>6</v>
      </c>
      <c r="AR38" s="117">
        <f t="shared" si="28"/>
        <v>94</v>
      </c>
      <c r="AS38" s="271" t="str">
        <f t="shared" si="49"/>
        <v>Rob (1949–: #124)</v>
      </c>
      <c r="AT38" s="271" t="str">
        <f t="shared" si="50"/>
        <v>Paddy (1951–: #126)</v>
      </c>
      <c r="AU38" s="271" t="str">
        <f t="shared" si="52"/>
        <v>Dominic (1953–: #131)</v>
      </c>
      <c r="AV38" s="271" t="str">
        <f t="shared" si="53"/>
        <v>Tim (1957–: #136)</v>
      </c>
      <c r="AW38" s="271" t="str">
        <f>VLOOKUP(AG38,$A$1:$B$192,2,FALSE)</f>
        <v>Alex (1959–: #139)</v>
      </c>
      <c r="AX38" s="271" t="str">
        <f>VLOOKUP(AH38,$A$1:$B$192,2,FALSE)</f>
        <v>Rick (1962–: #142)</v>
      </c>
      <c r="BC38" t="str">
        <f>_xlfn.CONCAT(AQ38," – ",AS38," ",AT38," ",AU38," ",AV38," ",AW38," ",AX38)</f>
        <v>6 – Rob (1949–: #124) Paddy (1951–: #126) Dominic (1953–: #131) Tim (1957–: #136) Alex (1959–: #139) Rick (1962–: #142)</v>
      </c>
      <c r="BH38" s="116">
        <f t="shared" si="5"/>
        <v>70</v>
      </c>
      <c r="BI38" s="3" t="s">
        <v>2277</v>
      </c>
      <c r="BJ38" s="3" t="s">
        <v>5177</v>
      </c>
      <c r="BK38" t="str">
        <f t="shared" si="6"/>
        <v>Cynthia Violet MICKLEM (1921–1990</v>
      </c>
      <c r="BL38" t="str">
        <f t="shared" si="7"/>
        <v>Cynthia MICKLEM (1921–1990: #70a)</v>
      </c>
      <c r="BM38" t="str">
        <f t="shared" si="8"/>
        <v>Cynthia Violet MICKLEM (1921–1990: #70a)</v>
      </c>
      <c r="BP38" t="str">
        <f t="shared" si="9"/>
        <v>MICKLEM</v>
      </c>
      <c r="BQ38" t="str">
        <f t="shared" si="10"/>
        <v>Cynthia</v>
      </c>
      <c r="BR38" s="116" t="str">
        <f t="shared" si="11"/>
        <v>Cynthia</v>
      </c>
      <c r="BS38" s="116">
        <f t="shared" si="12"/>
        <v>154</v>
      </c>
      <c r="BT38" t="str">
        <f>_xlfn.CONCAT(BZ38," – ",CA38," ",CB38," ",CC38)</f>
        <v>3 – Freddie NEWING (2006– : #154a) Gus NEWING (2008– : #154b) Albert NEWING (2015–2015: #154c)</v>
      </c>
      <c r="BU38" s="116">
        <f t="shared" si="24"/>
        <v>3</v>
      </c>
      <c r="BW38" s="116">
        <f t="shared" si="13"/>
        <v>0</v>
      </c>
      <c r="BX38" s="72">
        <v>154</v>
      </c>
      <c r="BY38">
        <v>3</v>
      </c>
      <c r="BZ38" s="116">
        <f t="shared" si="14"/>
        <v>3</v>
      </c>
      <c r="CA38" t="str" cm="1">
        <f t="array" ref="CA38:CC38">TRANSPOSE(BL122:BL124)</f>
        <v>Freddie NEWING (2006– : #154a)</v>
      </c>
      <c r="CB38" t="str">
        <v>Gus NEWING (2008– : #154b)</v>
      </c>
      <c r="CC38" t="str">
        <v>Albert NEWING (2015–2015: #154c)</v>
      </c>
      <c r="CO38" s="151" t="s">
        <v>2277</v>
      </c>
      <c r="CP38" s="6" t="s">
        <v>2278</v>
      </c>
      <c r="CQ38" s="5" t="s">
        <v>2279</v>
      </c>
      <c r="CR38" s="5" t="s">
        <v>1826</v>
      </c>
      <c r="CS38" s="5"/>
      <c r="CT38" s="5"/>
      <c r="CU38" s="5">
        <v>1921</v>
      </c>
      <c r="CV38" s="5">
        <v>1990</v>
      </c>
      <c r="CW38">
        <f t="shared" si="30"/>
        <v>69</v>
      </c>
      <c r="DC38" s="117">
        <f t="shared" si="15"/>
        <v>92</v>
      </c>
      <c r="DD38" s="116">
        <v>154</v>
      </c>
      <c r="DE38">
        <f t="shared" si="16"/>
        <v>6</v>
      </c>
      <c r="DF38" s="117">
        <v>37</v>
      </c>
      <c r="DG38" s="117">
        <f t="shared" si="17"/>
        <v>70</v>
      </c>
      <c r="DH38" s="99" t="str">
        <f t="shared" si="18"/>
        <v>6 – Cynthia MICKLEM (1921–1990: #70a) Dora MICKLEM (1924– : #70b) Anne MICKLEM (1925– : #70c) Tom MICKLEM (1926– : #70d) Elizabeth MICKLEM (1929– : #70e) Nathaniel MICKLEM (1931–1950: #70f)</v>
      </c>
    </row>
    <row r="39" spans="1:112" ht="20">
      <c r="A39" s="287">
        <f>'Loyd List 1-190 - Edit'!C39</f>
        <v>37</v>
      </c>
      <c r="B39" s="295" t="str">
        <f>VLOOKUP(A39,'Book Details - NO EDIT'!$U$3:$X$192,4,FALSE)</f>
        <v>Annie (1853–1946: #37)</v>
      </c>
      <c r="C39" s="287">
        <f>VLOOKUP(A39,'Loyd List 1-190 - Edit'!$P$1:$R$200,3,FALSE)</f>
        <v>14</v>
      </c>
      <c r="D39" s="287">
        <f t="shared" si="25"/>
        <v>7</v>
      </c>
      <c r="E39" s="287">
        <f t="shared" si="2"/>
        <v>1</v>
      </c>
      <c r="F39" s="269" t="str">
        <f t="shared" si="26"/>
        <v xml:space="preserve">7 – William (1843–1843: #27) The Rev Lewis (1844–1905: #28) Arthur (1845–1930: #29) Archie (1847–1922: #30) Frank (1848–1934: #32) Alfred (1849–1881: #33) Ted (1851–1922: #34)  </v>
      </c>
      <c r="G39" s="125" t="str">
        <f>'Loyd Book 2022 - Print'!N39</f>
        <v xml:space="preserve">7 – William (1843–1843: #27) The Rev Lewis (1844–1905: #28) Arthur (1845–1930: #29) Archie (1847–1922: #30) Frank (1848–1934: #32) Alfred (1849–1881: #33) Ted (1851–1922: #34)  </v>
      </c>
      <c r="H39" s="125">
        <f t="shared" si="19"/>
        <v>0</v>
      </c>
      <c r="I39" s="117">
        <f t="shared" si="27"/>
        <v>0</v>
      </c>
      <c r="J39" s="116" t="str">
        <f t="shared" si="33"/>
        <v>William (1843–1843: #27)</v>
      </c>
      <c r="K39" s="116" t="str">
        <f t="shared" si="43"/>
        <v>The Rev Lewis (1844–1905: #28)</v>
      </c>
      <c r="L39" s="116" t="str">
        <f t="shared" si="51"/>
        <v>Arthur (1845–1930: #29)</v>
      </c>
      <c r="M39" s="116" t="str">
        <f t="shared" si="51"/>
        <v>Archie (1847–1922: #30)</v>
      </c>
      <c r="N39" s="116" t="str">
        <f t="shared" si="51"/>
        <v>Frank (1848–1934: #32)</v>
      </c>
      <c r="O39" s="116" t="str">
        <f t="shared" si="51"/>
        <v>Alfred (1849–1881: #33)</v>
      </c>
      <c r="P39" s="116" t="str">
        <f t="shared" si="51"/>
        <v>Ted (1851–1922: #34)</v>
      </c>
      <c r="Q39" s="116" t="str">
        <f>IF(VLOOKUP($C39,$AB$2:$AN$67,Q$1,FALSE)=$A39,"",VLOOKUP(VLOOKUP($C39,$AB$2:$AN$67,Q$1,FALSE),$A$1:$B$200,2,FALSE))</f>
        <v/>
      </c>
      <c r="R39" s="116"/>
      <c r="S39" s="117"/>
      <c r="T39" s="117"/>
      <c r="U39" s="117"/>
      <c r="V39" s="117"/>
      <c r="Z39" s="116">
        <f t="shared" si="21"/>
        <v>96</v>
      </c>
      <c r="AA39" s="124">
        <f t="shared" si="56"/>
        <v>2</v>
      </c>
      <c r="AB39" s="281">
        <v>96</v>
      </c>
      <c r="AC39" s="281">
        <v>120</v>
      </c>
      <c r="AD39" s="281">
        <v>121</v>
      </c>
      <c r="AE39" s="281"/>
      <c r="AF39" s="281"/>
      <c r="AG39" s="281"/>
      <c r="AH39" s="281"/>
      <c r="AI39" s="281"/>
      <c r="AJ39" s="281"/>
      <c r="AK39" s="281"/>
      <c r="AL39" s="281"/>
      <c r="AM39" s="272"/>
      <c r="AN39" s="272"/>
      <c r="AO39" s="272"/>
      <c r="AP39" s="272"/>
      <c r="AQ39" s="276">
        <f t="shared" si="4"/>
        <v>2</v>
      </c>
      <c r="AR39" s="117">
        <f t="shared" si="28"/>
        <v>96</v>
      </c>
      <c r="AS39" s="271" t="str">
        <f t="shared" ref="AS39:AS61" si="57">VLOOKUP(AC39,$A$1:$B$192,2,FALSE)</f>
        <v>Caroline (1947–2022: #120)</v>
      </c>
      <c r="AT39" s="271" t="str">
        <f t="shared" ref="AT39:AT61" si="58">VLOOKUP(AD39,$A$1:$B$192,2,FALSE)</f>
        <v>David (1949–: #121)</v>
      </c>
      <c r="AU39" s="271"/>
      <c r="AV39" s="271"/>
      <c r="AW39" s="271"/>
      <c r="AX39" s="271"/>
      <c r="BC39" t="str">
        <f>_xlfn.CONCAT(AQ39," – ",AS39," ",AT39)</f>
        <v>2 – Caroline (1947–2022: #120) David (1949–: #121)</v>
      </c>
      <c r="BH39" s="116">
        <f t="shared" si="5"/>
        <v>70</v>
      </c>
      <c r="BI39" s="3" t="s">
        <v>2298</v>
      </c>
      <c r="BJ39" s="3" t="s">
        <v>4804</v>
      </c>
      <c r="BK39" t="str">
        <f t="shared" si="6"/>
        <v xml:space="preserve">Dora Margaret MICKLEM (1924– </v>
      </c>
      <c r="BL39" t="str">
        <f t="shared" si="7"/>
        <v>Dora MICKLEM (1924– : #70b)</v>
      </c>
      <c r="BM39" t="str">
        <f t="shared" si="8"/>
        <v>Dora Margaret MICKLEM (1924– : #70b)</v>
      </c>
      <c r="BP39" t="str">
        <f t="shared" si="9"/>
        <v>MICKLEM</v>
      </c>
      <c r="BQ39" t="str">
        <f t="shared" si="10"/>
        <v>Dora</v>
      </c>
      <c r="BR39" s="116" t="str">
        <f t="shared" si="11"/>
        <v>Dora</v>
      </c>
      <c r="BS39" s="116">
        <f t="shared" si="12"/>
        <v>156</v>
      </c>
      <c r="BT39" t="str">
        <f t="shared" si="55"/>
        <v>2 – Peter GRINDAL (2014– : #156a) Dorothy GRINDAL (2016– : #156b)</v>
      </c>
      <c r="BU39" s="116">
        <f t="shared" si="24"/>
        <v>2</v>
      </c>
      <c r="BW39" s="116">
        <f t="shared" si="13"/>
        <v>0</v>
      </c>
      <c r="BX39" s="72">
        <v>156</v>
      </c>
      <c r="BY39">
        <v>2</v>
      </c>
      <c r="BZ39" s="116">
        <f t="shared" si="14"/>
        <v>2</v>
      </c>
      <c r="CA39" t="str" cm="1">
        <f t="array" ref="CA39:CB39">TRANSPOSE(BL125:BL126)</f>
        <v>Peter GRINDAL (2014– : #156a)</v>
      </c>
      <c r="CB39" t="str">
        <v>Dorothy GRINDAL (2016– : #156b)</v>
      </c>
      <c r="CO39" s="151" t="s">
        <v>2298</v>
      </c>
      <c r="CP39" s="6" t="s">
        <v>2278</v>
      </c>
      <c r="CQ39" s="5" t="s">
        <v>2295</v>
      </c>
      <c r="CR39" s="5" t="s">
        <v>882</v>
      </c>
      <c r="CS39" s="5"/>
      <c r="CT39" s="5"/>
      <c r="CU39" s="5">
        <v>1924</v>
      </c>
      <c r="CV39" s="5" t="s">
        <v>3774</v>
      </c>
      <c r="CW39" t="e">
        <f t="shared" si="30"/>
        <v>#VALUE!</v>
      </c>
      <c r="DC39" s="117">
        <f t="shared" si="15"/>
        <v>94</v>
      </c>
      <c r="DD39" s="116">
        <v>156</v>
      </c>
      <c r="DE39">
        <f t="shared" si="16"/>
        <v>1</v>
      </c>
      <c r="DF39" s="117">
        <v>38</v>
      </c>
      <c r="DG39" s="117">
        <f t="shared" si="17"/>
        <v>71</v>
      </c>
      <c r="DH39" s="99" t="str">
        <f t="shared" si="18"/>
        <v>1 – Peter (1913–2008: #86)</v>
      </c>
    </row>
    <row r="40" spans="1:112" ht="20">
      <c r="A40" s="287">
        <f>'Loyd List 1-190 - Edit'!C40</f>
        <v>38</v>
      </c>
      <c r="B40" s="295" t="str">
        <f>VLOOKUP(A40,'Book Details - NO EDIT'!$U$3:$X$192,4,FALSE)</f>
        <v>Gertrude (1854–1924: #38)</v>
      </c>
      <c r="C40" s="287">
        <f>VLOOKUP(A40,'Loyd List 1-190 - Edit'!$P$1:$R$200,3,FALSE)</f>
        <v>23</v>
      </c>
      <c r="D40" s="287">
        <f t="shared" si="25"/>
        <v>8</v>
      </c>
      <c r="E40" s="287">
        <f t="shared" si="2"/>
        <v>1</v>
      </c>
      <c r="F40" s="269" t="str">
        <f t="shared" si="26"/>
        <v>8 – Lewis (1852–1908: #35)  Harriet (1856–1921: #40) Dulcie (1858–1905: #42) Harry (1861–1938: #44) William (1863–1923: #46) Caroline (1865–1938: #48) Mary (1867–1867: #49) Arthur (1868–1911: #50)</v>
      </c>
      <c r="G40" s="125" t="str">
        <f>'Loyd Book 2022 - Print'!N40</f>
        <v>8 – Lewis (1852–1908: #35)  Harriet (1856–1921: #40) Dulcie (1858–1905: #42) Harry (1861–1938: #44) William (1863–1923: #46) Caroline (1865–1938: #48) Mary (1867–1867: #49) Arthur (1868–1911: #50)</v>
      </c>
      <c r="H40" s="125">
        <f t="shared" si="19"/>
        <v>0</v>
      </c>
      <c r="I40" s="117">
        <f t="shared" si="27"/>
        <v>0</v>
      </c>
      <c r="J40" s="116" t="str">
        <f t="shared" si="33"/>
        <v>Lewis (1852–1908: #35)</v>
      </c>
      <c r="K40" s="116" t="str">
        <f t="shared" si="43"/>
        <v/>
      </c>
      <c r="L40" s="116" t="str">
        <f t="shared" si="51"/>
        <v>Harriet (1856–1921: #40)</v>
      </c>
      <c r="M40" s="116" t="str">
        <f t="shared" si="51"/>
        <v>Dulcie (1858–1905: #42)</v>
      </c>
      <c r="N40" s="116" t="str">
        <f t="shared" si="51"/>
        <v>Harry (1861–1938: #44)</v>
      </c>
      <c r="O40" s="116" t="str">
        <f t="shared" si="51"/>
        <v>William (1863–1923: #46)</v>
      </c>
      <c r="P40" s="116" t="str">
        <f t="shared" si="51"/>
        <v>Caroline (1865–1938: #48)</v>
      </c>
      <c r="Q40" s="116" t="str">
        <f>IF(VLOOKUP($C40,$AB$2:$AN$67,Q$1,FALSE)=$A40,"",VLOOKUP(VLOOKUP($C40,$AB$2:$AN$67,Q$1,FALSE),$A$1:$B$200,2,FALSE))</f>
        <v>Mary (1867–1867: #49)</v>
      </c>
      <c r="R40" s="116" t="str">
        <f>IF(VLOOKUP($C40,$AB$2:$AN$67,R$1,FALSE)=$A40,"",VLOOKUP(VLOOKUP($C40,$AB$2:$AN$67,R$1,FALSE),$A$1:$B$200,2,FALSE))</f>
        <v>Arthur (1868–1911: #50)</v>
      </c>
      <c r="S40" s="117"/>
      <c r="T40" s="117"/>
      <c r="U40" s="117"/>
      <c r="V40" s="117"/>
      <c r="Z40" s="116">
        <f t="shared" si="21"/>
        <v>98</v>
      </c>
      <c r="AA40" s="124">
        <f t="shared" si="56"/>
        <v>5</v>
      </c>
      <c r="AB40" s="281">
        <v>98</v>
      </c>
      <c r="AC40" s="281">
        <v>128</v>
      </c>
      <c r="AD40" s="281">
        <v>132</v>
      </c>
      <c r="AE40" s="281">
        <v>134</v>
      </c>
      <c r="AF40" s="281">
        <v>145</v>
      </c>
      <c r="AG40" s="281">
        <v>154</v>
      </c>
      <c r="AH40" s="282"/>
      <c r="AI40" s="282"/>
      <c r="AJ40" s="281"/>
      <c r="AK40" s="281"/>
      <c r="AL40" s="281"/>
      <c r="AM40" s="272"/>
      <c r="AN40" s="272"/>
      <c r="AO40" s="272"/>
      <c r="AP40" s="272"/>
      <c r="AQ40" s="276">
        <f t="shared" si="4"/>
        <v>5</v>
      </c>
      <c r="AR40" s="117">
        <f t="shared" si="28"/>
        <v>98</v>
      </c>
      <c r="AS40" s="271" t="str">
        <f t="shared" si="57"/>
        <v>Julie (1952–: #128)</v>
      </c>
      <c r="AT40" s="271" t="str">
        <f t="shared" si="58"/>
        <v>Penelope (1954–1954: #132)</v>
      </c>
      <c r="AU40" s="271" t="str">
        <f t="shared" ref="AU40:AU59" si="59">VLOOKUP(AE40,$A$1:$B$192,2,FALSE)</f>
        <v>William (1955–: #134)</v>
      </c>
      <c r="AV40" s="271" t="str">
        <f>VLOOKUP(AF40,$A$1:$B$192,2,FALSE)</f>
        <v>Tony (1963–: #145)</v>
      </c>
      <c r="AW40" s="271" t="str">
        <f>VLOOKUP(AG40,$A$1:$B$192,2,FALSE)</f>
        <v>Sophie (1969–: #154)</v>
      </c>
      <c r="AX40" s="271"/>
      <c r="BC40" t="str">
        <f>_xlfn.CONCAT(AQ40," – ",AS40," ",AT40," ",AU40," ",AV40," ",AW40)</f>
        <v>5 – Julie (1952–: #128) Penelope (1954–1954: #132) William (1955–: #134) Tony (1963–: #145) Sophie (1969–: #154)</v>
      </c>
      <c r="BH40" s="116">
        <f t="shared" si="5"/>
        <v>70</v>
      </c>
      <c r="BI40" s="3" t="s">
        <v>2312</v>
      </c>
      <c r="BJ40" s="3" t="s">
        <v>4805</v>
      </c>
      <c r="BK40" t="str">
        <f t="shared" si="6"/>
        <v xml:space="preserve">Anne Gertrude MICKLEM (1925– </v>
      </c>
      <c r="BL40" t="str">
        <f t="shared" si="7"/>
        <v>Anne MICKLEM (1925– : #70c)</v>
      </c>
      <c r="BM40" t="str">
        <f t="shared" si="8"/>
        <v>Anne Gertrude MICKLEM (1925– : #70c)</v>
      </c>
      <c r="BP40" t="str">
        <f t="shared" si="9"/>
        <v>MICKLEM</v>
      </c>
      <c r="BQ40" t="str">
        <f t="shared" si="10"/>
        <v>Anne</v>
      </c>
      <c r="BR40" s="116" t="str">
        <f t="shared" si="11"/>
        <v>Anne</v>
      </c>
      <c r="BS40" s="116">
        <f t="shared" si="12"/>
        <v>157</v>
      </c>
      <c r="BT40" t="str">
        <f t="shared" si="55"/>
        <v>2 – Henry SIMMONDS (2012– : #157a) Emily SIMMONDS (2014– : #157b)</v>
      </c>
      <c r="BU40" s="116">
        <f t="shared" si="24"/>
        <v>2</v>
      </c>
      <c r="BW40" s="116">
        <f t="shared" si="13"/>
        <v>0</v>
      </c>
      <c r="BX40" s="72">
        <v>157</v>
      </c>
      <c r="BY40">
        <v>2</v>
      </c>
      <c r="BZ40" s="116">
        <f t="shared" si="14"/>
        <v>2</v>
      </c>
      <c r="CA40" t="str" cm="1">
        <f t="array" ref="CA40:CB40">TRANSPOSE(BL127:BL128)</f>
        <v>Henry SIMMONDS (2012– : #157a)</v>
      </c>
      <c r="CB40" t="str">
        <v>Emily SIMMONDS (2014– : #157b)</v>
      </c>
      <c r="CO40" s="151" t="s">
        <v>2312</v>
      </c>
      <c r="CP40" s="6" t="s">
        <v>2278</v>
      </c>
      <c r="CQ40" s="5" t="s">
        <v>839</v>
      </c>
      <c r="CR40" s="5" t="s">
        <v>799</v>
      </c>
      <c r="CS40" s="5"/>
      <c r="CT40" s="5"/>
      <c r="CU40" s="5">
        <v>1925</v>
      </c>
      <c r="CV40" s="5" t="s">
        <v>3774</v>
      </c>
      <c r="CW40" t="e">
        <f t="shared" si="30"/>
        <v>#VALUE!</v>
      </c>
      <c r="DC40" s="117">
        <f t="shared" si="15"/>
        <v>95</v>
      </c>
      <c r="DD40" s="116">
        <v>157</v>
      </c>
      <c r="DE40">
        <f t="shared" si="16"/>
        <v>2</v>
      </c>
      <c r="DF40" s="117">
        <v>39</v>
      </c>
      <c r="DG40" s="117">
        <f t="shared" si="17"/>
        <v>72</v>
      </c>
      <c r="DH40" s="99" t="str">
        <f t="shared" si="18"/>
        <v>2 – Lavinia (1923–1995: #103) Sir Julian (1926–2018: #104)</v>
      </c>
    </row>
    <row r="41" spans="1:112" ht="20">
      <c r="A41" s="287">
        <f>'Loyd List 1-190 - Edit'!C41</f>
        <v>39</v>
      </c>
      <c r="B41" s="295" t="str">
        <f>VLOOKUP(A41,'Book Details - NO EDIT'!$U$3:$X$192,4,FALSE)</f>
        <v>Fa (1855–1927: #39)</v>
      </c>
      <c r="C41" s="287">
        <f>VLOOKUP(A41,'Loyd List 1-190 - Edit'!$P$1:$R$200,3,FALSE)</f>
        <v>22</v>
      </c>
      <c r="D41" s="287">
        <f t="shared" si="25"/>
        <v>6</v>
      </c>
      <c r="E41" s="287">
        <f t="shared" si="2"/>
        <v>1</v>
      </c>
      <c r="F41" s="269" t="str">
        <f t="shared" si="26"/>
        <v xml:space="preserve">6 – Mary (1848–1934: #31) Elinor (1853–1895: #36)  Frederic (1856–1936: #41) Meg (1859–1936: #43) Llewellyn (1861–1939: #45) Caroline (1864–1940: #47)  </v>
      </c>
      <c r="G41" s="125" t="str">
        <f>'Loyd Book 2022 - Print'!N41</f>
        <v xml:space="preserve">6 – Mary (1848–1934: #31) Elinor (1853–1895: #36)  Frederic (1856–1936: #41) Meg (1859–1936: #43) Llewellyn (1861–1939: #45) Caroline (1864–1940: #47)  </v>
      </c>
      <c r="H41" s="125">
        <f t="shared" si="19"/>
        <v>0</v>
      </c>
      <c r="I41" s="117">
        <f t="shared" si="27"/>
        <v>0</v>
      </c>
      <c r="J41" s="116" t="str">
        <f t="shared" si="33"/>
        <v>Mary (1848–1934: #31)</v>
      </c>
      <c r="K41" s="116" t="str">
        <f t="shared" si="43"/>
        <v>Elinor (1853–1895: #36)</v>
      </c>
      <c r="L41" s="116" t="str">
        <f t="shared" si="51"/>
        <v/>
      </c>
      <c r="M41" s="116" t="str">
        <f t="shared" si="51"/>
        <v>Frederic (1856–1936: #41)</v>
      </c>
      <c r="N41" s="116" t="str">
        <f t="shared" si="51"/>
        <v>Meg (1859–1936: #43)</v>
      </c>
      <c r="O41" s="116" t="str">
        <f t="shared" si="51"/>
        <v>Llewellyn (1861–1939: #45)</v>
      </c>
      <c r="P41" s="116" t="str">
        <f t="shared" si="51"/>
        <v>Caroline (1864–1940: #47)</v>
      </c>
      <c r="Q41" s="116"/>
      <c r="R41" s="116"/>
      <c r="S41" s="117"/>
      <c r="T41" s="117"/>
      <c r="U41" s="117"/>
      <c r="V41" s="117"/>
      <c r="Z41" s="116">
        <f t="shared" si="21"/>
        <v>99</v>
      </c>
      <c r="AA41" s="124">
        <f t="shared" si="56"/>
        <v>2</v>
      </c>
      <c r="AB41" s="281">
        <v>99</v>
      </c>
      <c r="AC41" s="281">
        <v>137</v>
      </c>
      <c r="AD41" s="281">
        <v>144</v>
      </c>
      <c r="AE41" s="281"/>
      <c r="AF41" s="281"/>
      <c r="AG41" s="281"/>
      <c r="AH41" s="281"/>
      <c r="AI41" s="281"/>
      <c r="AJ41" s="282"/>
      <c r="AK41" s="281"/>
      <c r="AL41" s="281"/>
      <c r="AM41" s="272"/>
      <c r="AN41" s="272"/>
      <c r="AO41" s="272"/>
      <c r="AP41" s="272"/>
      <c r="AQ41" s="276">
        <f t="shared" si="4"/>
        <v>2</v>
      </c>
      <c r="AR41" s="117">
        <f t="shared" si="28"/>
        <v>99</v>
      </c>
      <c r="AS41" s="271" t="str">
        <f t="shared" si="57"/>
        <v>Henrietta (1959–: #137)</v>
      </c>
      <c r="AT41" s="271" t="str">
        <f t="shared" si="58"/>
        <v>Andrew (1962–: #144)</v>
      </c>
      <c r="AU41" s="271"/>
      <c r="AV41" s="271"/>
      <c r="AW41" s="271"/>
      <c r="AX41" s="271"/>
      <c r="BC41" t="str">
        <f>_xlfn.CONCAT(AQ41," – ",AS41," ",AT41)</f>
        <v>2 – Henrietta (1959–: #137) Andrew (1962–: #144)</v>
      </c>
      <c r="BH41" s="116">
        <f t="shared" si="5"/>
        <v>70</v>
      </c>
      <c r="BI41" s="3" t="s">
        <v>2328</v>
      </c>
      <c r="BJ41" s="3" t="s">
        <v>4806</v>
      </c>
      <c r="BK41" t="str">
        <f t="shared" si="6"/>
        <v xml:space="preserve">Thomas Charles Weguelin MICKLEM (1926– </v>
      </c>
      <c r="BL41" t="str">
        <f t="shared" si="7"/>
        <v>Tom MICKLEM (1926– : #70d)</v>
      </c>
      <c r="BM41" t="str">
        <f t="shared" si="8"/>
        <v>Thomas Charles Weguelin MICKLEM (1926– : #70d)</v>
      </c>
      <c r="BP41" t="str">
        <f t="shared" si="9"/>
        <v>MICKLEM</v>
      </c>
      <c r="BQ41" t="str">
        <f t="shared" si="10"/>
        <v>Thomas</v>
      </c>
      <c r="BR41" s="116" t="str">
        <f t="shared" si="11"/>
        <v>Tom</v>
      </c>
      <c r="BS41" s="116">
        <f t="shared" si="12"/>
        <v>158</v>
      </c>
      <c r="BT41" t="str">
        <f>_xlfn.CONCAT(BZ41," – ",CA41,)</f>
        <v>1 – Theodore KYLE (2010– : #158a)</v>
      </c>
      <c r="BU41" s="116">
        <f t="shared" si="24"/>
        <v>1</v>
      </c>
      <c r="BW41" s="116">
        <f t="shared" si="13"/>
        <v>0</v>
      </c>
      <c r="BX41" s="72">
        <v>158</v>
      </c>
      <c r="BY41">
        <v>1</v>
      </c>
      <c r="BZ41" s="116">
        <f t="shared" si="14"/>
        <v>1</v>
      </c>
      <c r="CA41" t="str" cm="1">
        <f t="array" ref="CA41">TRANSPOSE(BL129)</f>
        <v>Theodore KYLE (2010– : #158a)</v>
      </c>
      <c r="CO41" s="151" t="s">
        <v>2328</v>
      </c>
      <c r="CP41" s="6" t="s">
        <v>2278</v>
      </c>
      <c r="CQ41" s="5" t="s">
        <v>852</v>
      </c>
      <c r="CR41" s="5" t="s">
        <v>917</v>
      </c>
      <c r="CS41" s="5" t="s">
        <v>2970</v>
      </c>
      <c r="CT41" s="5" t="s">
        <v>2327</v>
      </c>
      <c r="CU41" s="5">
        <v>1926</v>
      </c>
      <c r="CV41" s="5" t="s">
        <v>3774</v>
      </c>
      <c r="CW41" t="e">
        <f t="shared" si="30"/>
        <v>#VALUE!</v>
      </c>
      <c r="DC41" s="117">
        <f t="shared" si="15"/>
        <v>96</v>
      </c>
      <c r="DD41" s="116">
        <v>158</v>
      </c>
      <c r="DE41">
        <f t="shared" si="16"/>
        <v>1</v>
      </c>
      <c r="DF41" s="117">
        <v>40</v>
      </c>
      <c r="DG41" s="117">
        <f t="shared" si="17"/>
        <v>76</v>
      </c>
      <c r="DH41" s="99" t="str">
        <f t="shared" si="18"/>
        <v>1 – Wooie (1928–1996: #107)</v>
      </c>
    </row>
    <row r="42" spans="1:112" ht="20">
      <c r="A42" s="287">
        <f>'Loyd List 1-190 - Edit'!C42</f>
        <v>40</v>
      </c>
      <c r="B42" s="295" t="str">
        <f>VLOOKUP(A42,'Book Details - NO EDIT'!$U$3:$X$192,4,FALSE)</f>
        <v>Harriet (1856–1921: #40)</v>
      </c>
      <c r="C42" s="287">
        <f>VLOOKUP(A42,'Loyd List 1-190 - Edit'!$P$1:$R$200,3,FALSE)</f>
        <v>23</v>
      </c>
      <c r="D42" s="287">
        <f t="shared" si="25"/>
        <v>8</v>
      </c>
      <c r="E42" s="287">
        <f t="shared" si="2"/>
        <v>1</v>
      </c>
      <c r="F42" s="269" t="str">
        <f t="shared" si="26"/>
        <v>8 – Lewis (1852–1908: #35) Gertrude (1854–1924: #38)  Dulcie (1858–1905: #42) Harry (1861–1938: #44) William (1863–1923: #46) Caroline (1865–1938: #48) Mary (1867–1867: #49) Arthur (1868–1911: #50)</v>
      </c>
      <c r="G42" s="125" t="str">
        <f>'Loyd Book 2022 - Print'!N42</f>
        <v>8 – Lewis (1852–1908: #35) Gertrude (1854–1924: #38)  Dulcie (1858–1905: #42) Harry (1861–1938: #44) William (1863–1923: #46) Caroline (1865–1938: #48) Mary (1867–1867: #49) Arthur (1868–1911: #50)</v>
      </c>
      <c r="H42" s="125">
        <f t="shared" si="19"/>
        <v>0</v>
      </c>
      <c r="I42" s="117">
        <f t="shared" si="27"/>
        <v>0</v>
      </c>
      <c r="J42" s="116" t="str">
        <f t="shared" si="33"/>
        <v>Lewis (1852–1908: #35)</v>
      </c>
      <c r="K42" s="116" t="str">
        <f t="shared" si="43"/>
        <v>Gertrude (1854–1924: #38)</v>
      </c>
      <c r="L42" s="116" t="str">
        <f t="shared" si="51"/>
        <v/>
      </c>
      <c r="M42" s="116" t="str">
        <f t="shared" si="51"/>
        <v>Dulcie (1858–1905: #42)</v>
      </c>
      <c r="N42" s="116" t="str">
        <f t="shared" si="51"/>
        <v>Harry (1861–1938: #44)</v>
      </c>
      <c r="O42" s="116" t="str">
        <f t="shared" si="51"/>
        <v>William (1863–1923: #46)</v>
      </c>
      <c r="P42" s="116" t="str">
        <f t="shared" si="51"/>
        <v>Caroline (1865–1938: #48)</v>
      </c>
      <c r="Q42" s="116" t="str">
        <f>IF(VLOOKUP($C42,$AB$2:$AN$67,Q$1,FALSE)=$A42,"",VLOOKUP(VLOOKUP($C42,$AB$2:$AN$67,Q$1,FALSE),$A$1:$B$200,2,FALSE))</f>
        <v>Mary (1867–1867: #49)</v>
      </c>
      <c r="R42" s="116" t="str">
        <f>IF(VLOOKUP($C42,$AB$2:$AN$67,R$1,FALSE)=$A42,"",VLOOKUP(VLOOKUP($C42,$AB$2:$AN$67,R$1,FALSE),$A$1:$B$200,2,FALSE))</f>
        <v>Arthur (1868–1911: #50)</v>
      </c>
      <c r="S42" s="117"/>
      <c r="T42" s="117"/>
      <c r="U42" s="117"/>
      <c r="V42" s="117"/>
      <c r="Z42" s="116">
        <f t="shared" si="21"/>
        <v>100</v>
      </c>
      <c r="AA42" s="124">
        <f t="shared" si="56"/>
        <v>3</v>
      </c>
      <c r="AB42" s="281">
        <v>100</v>
      </c>
      <c r="AC42" s="281">
        <v>138</v>
      </c>
      <c r="AD42" s="281">
        <v>143</v>
      </c>
      <c r="AE42" s="281">
        <v>150</v>
      </c>
      <c r="AF42" s="281"/>
      <c r="AG42" s="281"/>
      <c r="AH42" s="282"/>
      <c r="AI42" s="281"/>
      <c r="AJ42" s="281"/>
      <c r="AK42" s="281"/>
      <c r="AL42" s="281"/>
      <c r="AM42" s="272"/>
      <c r="AN42" s="272"/>
      <c r="AO42" s="272"/>
      <c r="AP42" s="272"/>
      <c r="AQ42" s="276">
        <f t="shared" si="4"/>
        <v>3</v>
      </c>
      <c r="AR42" s="117">
        <f t="shared" si="28"/>
        <v>100</v>
      </c>
      <c r="AS42" s="271" t="str">
        <f t="shared" si="57"/>
        <v>Thomas (1959–: #138)</v>
      </c>
      <c r="AT42" s="271" t="str">
        <f t="shared" si="58"/>
        <v>Harriet (1962–: #143)</v>
      </c>
      <c r="AU42" s="271" t="str">
        <f t="shared" si="59"/>
        <v>James (1966–: #150)</v>
      </c>
      <c r="AV42" s="271"/>
      <c r="AW42" s="271"/>
      <c r="AX42" s="271"/>
      <c r="BC42" t="str">
        <f>_xlfn.CONCAT(AQ42," – ",AS42," ",AT42," ",AU42)</f>
        <v>3 – Thomas (1959–: #138) Harriet (1962–: #143) James (1966–: #150)</v>
      </c>
      <c r="BH42" s="116">
        <f t="shared" si="5"/>
        <v>70</v>
      </c>
      <c r="BI42" s="3" t="s">
        <v>2346</v>
      </c>
      <c r="BJ42" s="3" t="s">
        <v>4807</v>
      </c>
      <c r="BK42" t="str">
        <f t="shared" si="6"/>
        <v xml:space="preserve">Elizabeth Paula MICKLEM (1929– </v>
      </c>
      <c r="BL42" t="str">
        <f t="shared" si="7"/>
        <v>Elizabeth MICKLEM (1929– : #70e)</v>
      </c>
      <c r="BM42" t="str">
        <f t="shared" si="8"/>
        <v>Elizabeth Paula MICKLEM (1929– : #70e)</v>
      </c>
      <c r="BP42" t="str">
        <f t="shared" si="9"/>
        <v>MICKLEM</v>
      </c>
      <c r="BQ42" t="str">
        <f t="shared" si="10"/>
        <v>Elizabeth</v>
      </c>
      <c r="BR42" s="116" t="str">
        <f t="shared" si="11"/>
        <v>Elizabeth</v>
      </c>
      <c r="BS42" s="116">
        <f t="shared" si="12"/>
        <v>159</v>
      </c>
      <c r="BT42" t="str">
        <f t="shared" si="55"/>
        <v>2 – Thomas GARDENER (2010– : #159a) Alice GARDENER (2013– : #159b)</v>
      </c>
      <c r="BU42" s="116">
        <f t="shared" si="24"/>
        <v>2</v>
      </c>
      <c r="BW42" s="116">
        <f t="shared" si="13"/>
        <v>0</v>
      </c>
      <c r="BX42" s="72">
        <v>159</v>
      </c>
      <c r="BY42">
        <v>2</v>
      </c>
      <c r="BZ42" s="116">
        <f t="shared" si="14"/>
        <v>2</v>
      </c>
      <c r="CA42" t="str" cm="1">
        <f t="array" ref="CA42:CB42">TRANSPOSE(BL130:BL131)</f>
        <v>Thomas GARDENER (2010– : #159a)</v>
      </c>
      <c r="CB42" t="str">
        <v>Alice GARDENER (2013– : #159b)</v>
      </c>
      <c r="CO42" s="151" t="s">
        <v>2346</v>
      </c>
      <c r="CP42" s="6" t="s">
        <v>2278</v>
      </c>
      <c r="CQ42" s="5" t="s">
        <v>952</v>
      </c>
      <c r="CR42" s="5" t="s">
        <v>1752</v>
      </c>
      <c r="CS42" s="5"/>
      <c r="CT42" s="5"/>
      <c r="CU42" s="5">
        <v>1929</v>
      </c>
      <c r="CV42" s="5" t="s">
        <v>3774</v>
      </c>
      <c r="CW42" t="e">
        <f t="shared" si="30"/>
        <v>#VALUE!</v>
      </c>
      <c r="DC42" s="117">
        <f t="shared" si="15"/>
        <v>97</v>
      </c>
      <c r="DD42" s="116">
        <v>159</v>
      </c>
      <c r="DE42">
        <f t="shared" si="16"/>
        <v>4</v>
      </c>
      <c r="DF42" s="117">
        <v>41</v>
      </c>
      <c r="DG42" s="117">
        <f t="shared" si="17"/>
        <v>77</v>
      </c>
      <c r="DH42" s="99" t="str">
        <f t="shared" si="18"/>
        <v>4 – Peter (1922–2022: #98) Geoffrey (1926–2018: #105) Denise (1928–: #106) Andrew (1934–1975: #111)</v>
      </c>
    </row>
    <row r="43" spans="1:112" ht="20">
      <c r="A43" s="287">
        <f>'Loyd List 1-190 - Edit'!C43</f>
        <v>41</v>
      </c>
      <c r="B43" s="295" t="str">
        <f>VLOOKUP(A43,'Book Details - NO EDIT'!$U$3:$X$192,4,FALSE)</f>
        <v>Frederic (1856–1936: #41)</v>
      </c>
      <c r="C43" s="287">
        <f>VLOOKUP(A43,'Loyd List 1-190 - Edit'!$P$1:$R$200,3,FALSE)</f>
        <v>22</v>
      </c>
      <c r="D43" s="287">
        <f t="shared" si="25"/>
        <v>6</v>
      </c>
      <c r="E43" s="287">
        <f t="shared" si="2"/>
        <v>1</v>
      </c>
      <c r="F43" s="269" t="str">
        <f t="shared" si="26"/>
        <v xml:space="preserve">6 – Mary (1848–1934: #31) Elinor (1853–1895: #36) Fa (1855–1927: #39)  Meg (1859–1936: #43) Llewellyn (1861–1939: #45) Caroline (1864–1940: #47)  </v>
      </c>
      <c r="G43" s="125" t="str">
        <f>'Loyd Book 2022 - Print'!N43</f>
        <v xml:space="preserve">6 – Mary (1848–1934: #31) Elinor (1853–1895: #36) Fa (1855–1927: #39)  Meg (1859–1936: #43) Llewellyn (1861–1939: #45) Caroline (1864–1940: #47)  </v>
      </c>
      <c r="H43" s="125">
        <f t="shared" si="19"/>
        <v>0</v>
      </c>
      <c r="I43" s="117">
        <f t="shared" si="27"/>
        <v>0</v>
      </c>
      <c r="J43" s="116" t="str">
        <f t="shared" ref="J43:J74" si="60">IF(VLOOKUP($C43,$AB$2:$AN$67,J$1,FALSE)=$A43,"",VLOOKUP(VLOOKUP($C43,$AB$2:$AN$67,J$1,FALSE),$A$1:$B$200,2,FALSE))</f>
        <v>Mary (1848–1934: #31)</v>
      </c>
      <c r="K43" s="116" t="str">
        <f t="shared" si="43"/>
        <v>Elinor (1853–1895: #36)</v>
      </c>
      <c r="L43" s="116" t="str">
        <f t="shared" ref="L43:P52" si="61">IF(VLOOKUP($C43,$AB$2:$AN$67,L$1,FALSE)=$A43,"",VLOOKUP(VLOOKUP($C43,$AB$2:$AN$67,L$1,FALSE),$A$1:$B$200,2,FALSE))</f>
        <v>Fa (1855–1927: #39)</v>
      </c>
      <c r="M43" s="116" t="str">
        <f t="shared" si="61"/>
        <v/>
      </c>
      <c r="N43" s="116" t="str">
        <f t="shared" si="61"/>
        <v>Meg (1859–1936: #43)</v>
      </c>
      <c r="O43" s="116" t="str">
        <f t="shared" si="61"/>
        <v>Llewellyn (1861–1939: #45)</v>
      </c>
      <c r="P43" s="116" t="str">
        <f t="shared" si="61"/>
        <v>Caroline (1864–1940: #47)</v>
      </c>
      <c r="Q43" s="116"/>
      <c r="R43" s="116"/>
      <c r="S43" s="117"/>
      <c r="T43" s="117"/>
      <c r="U43" s="117"/>
      <c r="V43" s="117"/>
      <c r="Z43" s="116">
        <f t="shared" si="21"/>
        <v>104</v>
      </c>
      <c r="AA43" s="124">
        <f t="shared" si="56"/>
        <v>4</v>
      </c>
      <c r="AB43" s="281">
        <v>104</v>
      </c>
      <c r="AC43" s="281">
        <v>141</v>
      </c>
      <c r="AD43" s="281">
        <v>146</v>
      </c>
      <c r="AE43" s="281">
        <v>148</v>
      </c>
      <c r="AF43" s="281">
        <v>152</v>
      </c>
      <c r="AG43" s="281"/>
      <c r="AH43" s="281"/>
      <c r="AI43" s="281"/>
      <c r="AJ43" s="282"/>
      <c r="AK43" s="282"/>
      <c r="AL43" s="282"/>
      <c r="AM43" s="273"/>
      <c r="AN43" s="273"/>
      <c r="AO43" s="273"/>
      <c r="AP43" s="273"/>
      <c r="AQ43" s="276">
        <f t="shared" si="4"/>
        <v>4</v>
      </c>
      <c r="AR43" s="117">
        <f t="shared" si="28"/>
        <v>104</v>
      </c>
      <c r="AS43" s="271" t="str">
        <f t="shared" si="57"/>
        <v>Alexandra (1961–: #141)</v>
      </c>
      <c r="AT43" s="271" t="str">
        <f t="shared" si="58"/>
        <v>Charles (1963–: #146)</v>
      </c>
      <c r="AU43" s="271" t="str">
        <f t="shared" si="59"/>
        <v>Toby (1966–1966: #148)</v>
      </c>
      <c r="AV43" s="271" t="str">
        <f>VLOOKUP(AF43,$A$1:$B$192,2,FALSE)</f>
        <v>Mary Rose (1967–: #152)</v>
      </c>
      <c r="AW43" s="271"/>
      <c r="AX43" s="271"/>
      <c r="BC43" t="str">
        <f t="shared" ref="BC43" si="62">_xlfn.CONCAT(AQ43," – ",AS43," ",AT43," ",AU43," ",AV43)</f>
        <v>4 – Alexandra (1961–: #141) Charles (1963–: #146) Toby (1966–1966: #148) Mary Rose (1967–: #152)</v>
      </c>
      <c r="BH43" s="116">
        <f t="shared" si="5"/>
        <v>70</v>
      </c>
      <c r="BI43" s="3" t="s">
        <v>2348</v>
      </c>
      <c r="BJ43" s="3" t="s">
        <v>5178</v>
      </c>
      <c r="BK43" t="str">
        <f t="shared" si="6"/>
        <v>Nathaniel Henry Stirling MICKLEM (1931–1950</v>
      </c>
      <c r="BL43" t="str">
        <f t="shared" si="7"/>
        <v>Nathaniel MICKLEM (1931–1950: #70f)</v>
      </c>
      <c r="BM43" t="str">
        <f t="shared" si="8"/>
        <v>Nathaniel Henry Stirling MICKLEM (1931–1950: #70f)</v>
      </c>
      <c r="BP43" t="str">
        <f t="shared" si="9"/>
        <v>MICKLEM</v>
      </c>
      <c r="BQ43" t="str">
        <f t="shared" si="10"/>
        <v>Nathaniel</v>
      </c>
      <c r="BR43" s="116" t="str">
        <f t="shared" si="11"/>
        <v>Nathaniel</v>
      </c>
      <c r="BS43" s="116">
        <f t="shared" si="12"/>
        <v>161</v>
      </c>
      <c r="BT43" t="str">
        <f t="shared" si="55"/>
        <v>2 – Alexia HAYNS (2014– : #161a) Edward HAYNS (2016– : #161b)</v>
      </c>
      <c r="BU43" s="116">
        <f t="shared" si="24"/>
        <v>2</v>
      </c>
      <c r="BW43" s="116">
        <f t="shared" si="13"/>
        <v>0</v>
      </c>
      <c r="BX43" s="72">
        <v>161</v>
      </c>
      <c r="BY43">
        <v>2</v>
      </c>
      <c r="BZ43" s="116">
        <f>9-COUNTIF(CA43:CI43,"")</f>
        <v>2</v>
      </c>
      <c r="CA43" t="str" cm="1">
        <f t="array" ref="CA43:CB43">TRANSPOSE(BL132:BL133)</f>
        <v>Alexia HAYNS (2014– : #161a)</v>
      </c>
      <c r="CB43" t="str">
        <v>Edward HAYNS (2016– : #161b)</v>
      </c>
      <c r="CO43" s="151" t="s">
        <v>2348</v>
      </c>
      <c r="CP43" s="6" t="s">
        <v>2278</v>
      </c>
      <c r="CQ43" s="5" t="s">
        <v>2319</v>
      </c>
      <c r="CR43" s="5" t="s">
        <v>807</v>
      </c>
      <c r="CS43" s="5" t="s">
        <v>2349</v>
      </c>
      <c r="CT43" s="5"/>
      <c r="CU43" s="5">
        <v>1931</v>
      </c>
      <c r="CV43" s="5">
        <v>1950</v>
      </c>
      <c r="CW43">
        <f t="shared" si="30"/>
        <v>19</v>
      </c>
      <c r="DC43" s="117">
        <f t="shared" si="15"/>
        <v>98</v>
      </c>
      <c r="DD43" s="116">
        <v>161</v>
      </c>
      <c r="DE43">
        <f t="shared" si="16"/>
        <v>4</v>
      </c>
      <c r="DF43" s="117">
        <v>42</v>
      </c>
      <c r="DG43" s="117">
        <f t="shared" si="17"/>
        <v>78</v>
      </c>
      <c r="DH43" s="99" t="str">
        <f t="shared" si="18"/>
        <v>4 – Willie (1937–1994: #113) Belinda (1939–2018: #115) Vivian (1951–: #127) Ginie (1961–: #140)</v>
      </c>
    </row>
    <row r="44" spans="1:112" ht="20">
      <c r="A44" s="287">
        <f>'Loyd List 1-190 - Edit'!C44</f>
        <v>42</v>
      </c>
      <c r="B44" s="295" t="str">
        <f>VLOOKUP(A44,'Book Details - NO EDIT'!$U$3:$X$192,4,FALSE)</f>
        <v>Dulcie (1858–1905: #42)</v>
      </c>
      <c r="C44" s="287">
        <f>VLOOKUP(A44,'Loyd List 1-190 - Edit'!$P$1:$R$200,3,FALSE)</f>
        <v>23</v>
      </c>
      <c r="D44" s="287">
        <f t="shared" si="25"/>
        <v>8</v>
      </c>
      <c r="E44" s="287">
        <f t="shared" si="2"/>
        <v>1</v>
      </c>
      <c r="F44" s="269" t="str">
        <f t="shared" si="26"/>
        <v>8 – Lewis (1852–1908: #35) Gertrude (1854–1924: #38) Harriet (1856–1921: #40)  Harry (1861–1938: #44) William (1863–1923: #46) Caroline (1865–1938: #48) Mary (1867–1867: #49) Arthur (1868–1911: #50)</v>
      </c>
      <c r="G44" s="125" t="str">
        <f>'Loyd Book 2022 - Print'!N44</f>
        <v>8 – Lewis (1852–1908: #35) Gertrude (1854–1924: #38) Harriet (1856–1921: #40)  Harry (1861–1938: #44) William (1863–1923: #46) Caroline (1865–1938: #48) Mary (1867–1867: #49) Arthur (1868–1911: #50)</v>
      </c>
      <c r="H44" s="125">
        <f t="shared" si="19"/>
        <v>0</v>
      </c>
      <c r="I44" s="117">
        <f t="shared" si="27"/>
        <v>0</v>
      </c>
      <c r="J44" s="116" t="str">
        <f t="shared" si="60"/>
        <v>Lewis (1852–1908: #35)</v>
      </c>
      <c r="K44" s="116" t="str">
        <f t="shared" si="43"/>
        <v>Gertrude (1854–1924: #38)</v>
      </c>
      <c r="L44" s="116" t="str">
        <f t="shared" si="61"/>
        <v>Harriet (1856–1921: #40)</v>
      </c>
      <c r="M44" s="116" t="str">
        <f t="shared" si="61"/>
        <v/>
      </c>
      <c r="N44" s="116" t="str">
        <f t="shared" si="61"/>
        <v>Harry (1861–1938: #44)</v>
      </c>
      <c r="O44" s="116" t="str">
        <f t="shared" si="61"/>
        <v>William (1863–1923: #46)</v>
      </c>
      <c r="P44" s="116" t="str">
        <f t="shared" si="61"/>
        <v>Caroline (1865–1938: #48)</v>
      </c>
      <c r="Q44" s="116" t="str">
        <f>IF(VLOOKUP($C44,$AB$2:$AN$67,Q$1,FALSE)=$A44,"",VLOOKUP(VLOOKUP($C44,$AB$2:$AN$67,Q$1,FALSE),$A$1:$B$200,2,FALSE))</f>
        <v>Mary (1867–1867: #49)</v>
      </c>
      <c r="R44" s="116" t="str">
        <f>IF(VLOOKUP($C44,$AB$2:$AN$67,R$1,FALSE)=$A44,"",VLOOKUP(VLOOKUP($C44,$AB$2:$AN$67,R$1,FALSE),$A$1:$B$200,2,FALSE))</f>
        <v>Arthur (1868–1911: #50)</v>
      </c>
      <c r="S44" s="117"/>
      <c r="T44" s="117"/>
      <c r="U44" s="117"/>
      <c r="V44" s="117"/>
      <c r="Z44" s="116">
        <f t="shared" si="21"/>
        <v>105</v>
      </c>
      <c r="AA44" s="124">
        <f t="shared" si="56"/>
        <v>2</v>
      </c>
      <c r="AB44" s="281">
        <v>105</v>
      </c>
      <c r="AC44" s="281">
        <v>122</v>
      </c>
      <c r="AD44" s="281">
        <v>133</v>
      </c>
      <c r="AE44" s="281"/>
      <c r="AF44" s="281"/>
      <c r="AG44" s="281"/>
      <c r="AH44" s="281"/>
      <c r="AI44" s="281"/>
      <c r="AJ44" s="281"/>
      <c r="AK44" s="281"/>
      <c r="AL44" s="281"/>
      <c r="AM44" s="272"/>
      <c r="AN44" s="273"/>
      <c r="AO44" s="273"/>
      <c r="AP44" s="273"/>
      <c r="AQ44" s="276">
        <f t="shared" si="4"/>
        <v>2</v>
      </c>
      <c r="AR44" s="117">
        <f t="shared" si="28"/>
        <v>105</v>
      </c>
      <c r="AS44" s="271" t="str">
        <f t="shared" si="57"/>
        <v>Martin (1949–: #122)</v>
      </c>
      <c r="AT44" s="271" t="str">
        <f t="shared" si="58"/>
        <v>Jeremy (1954–: #133)</v>
      </c>
      <c r="AU44" s="271"/>
      <c r="AV44" s="271"/>
      <c r="AW44" s="271"/>
      <c r="AX44" s="271"/>
      <c r="BC44" t="str">
        <f>_xlfn.CONCAT(AQ44," – ",AS44," ",AT44)</f>
        <v>2 – Martin (1949–: #122) Jeremy (1954–: #133)</v>
      </c>
      <c r="BH44" s="116">
        <f t="shared" si="5"/>
        <v>85</v>
      </c>
      <c r="BI44" s="3" t="s">
        <v>1312</v>
      </c>
      <c r="BJ44" s="3" t="s">
        <v>5179</v>
      </c>
      <c r="BK44" t="str">
        <f t="shared" si="6"/>
        <v>Martin James LANE FOX (1938–2016</v>
      </c>
      <c r="BL44" t="str">
        <f t="shared" si="7"/>
        <v>Martin LANE FOX (1938–2016: #85a)</v>
      </c>
      <c r="BM44" t="str">
        <f t="shared" si="8"/>
        <v>Martin James LANE FOX (1938–2016: #85a)</v>
      </c>
      <c r="BP44" t="str">
        <f t="shared" si="9"/>
        <v>LANE FOX</v>
      </c>
      <c r="BQ44" t="str">
        <f t="shared" si="10"/>
        <v>Martin</v>
      </c>
      <c r="BR44" s="116" t="str">
        <f t="shared" si="11"/>
        <v>Martin</v>
      </c>
      <c r="BS44" s="116">
        <f t="shared" si="12"/>
        <v>163</v>
      </c>
      <c r="BT44" t="str">
        <f t="shared" si="55"/>
        <v>2 – 
Thomas DINSMORE (2012– : #163a) Mary DINSMORE (2014– : #163b)</v>
      </c>
      <c r="BU44" s="116">
        <f t="shared" si="24"/>
        <v>2</v>
      </c>
      <c r="BW44" s="116">
        <f t="shared" si="13"/>
        <v>0</v>
      </c>
      <c r="BX44" s="72">
        <v>163</v>
      </c>
      <c r="BY44">
        <v>2</v>
      </c>
      <c r="BZ44" s="116">
        <f>9-COUNTIF(CA44:CI44,"")</f>
        <v>2</v>
      </c>
      <c r="CA44" t="str" cm="1">
        <f t="array" ref="CA44:CB44">TRANSPOSE(BL134:BL135)</f>
        <v xml:space="preserve">
Thomas DINSMORE (2012– : #163a)</v>
      </c>
      <c r="CB44" t="str">
        <v>Mary DINSMORE (2014– : #163b)</v>
      </c>
      <c r="CO44" s="157" t="s">
        <v>1312</v>
      </c>
      <c r="CP44" s="6" t="s">
        <v>1357</v>
      </c>
      <c r="CQ44" s="5" t="s">
        <v>851</v>
      </c>
      <c r="CR44" s="5" t="s">
        <v>918</v>
      </c>
      <c r="CS44" s="5"/>
      <c r="CT44" s="5"/>
      <c r="CU44" s="5">
        <v>1938</v>
      </c>
      <c r="CV44" s="5">
        <v>2016</v>
      </c>
      <c r="CW44">
        <f t="shared" si="30"/>
        <v>78</v>
      </c>
      <c r="DC44" s="117">
        <f t="shared" si="15"/>
        <v>100</v>
      </c>
      <c r="DD44" s="116">
        <v>163</v>
      </c>
      <c r="DE44">
        <f t="shared" si="16"/>
        <v>4</v>
      </c>
      <c r="DF44" s="117">
        <v>43</v>
      </c>
      <c r="DG44" s="117">
        <f t="shared" si="17"/>
        <v>80</v>
      </c>
      <c r="DH44" s="99" t="str">
        <f t="shared" si="18"/>
        <v>4 – Margaret (1932–: #109) Jean (1933–: #110) Michael (1938–: #114) Peter (1942–: #119)</v>
      </c>
    </row>
    <row r="45" spans="1:112" ht="20">
      <c r="A45" s="287">
        <f>'Loyd List 1-190 - Edit'!C45</f>
        <v>43</v>
      </c>
      <c r="B45" s="295" t="str">
        <f>VLOOKUP(A45,'Book Details - NO EDIT'!$U$3:$X$192,4,FALSE)</f>
        <v>Meg (1859–1936: #43)</v>
      </c>
      <c r="C45" s="287">
        <f>VLOOKUP(A45,'Loyd List 1-190 - Edit'!$P$1:$R$200,3,FALSE)</f>
        <v>22</v>
      </c>
      <c r="D45" s="287">
        <f t="shared" si="25"/>
        <v>6</v>
      </c>
      <c r="E45" s="287">
        <f t="shared" si="2"/>
        <v>1</v>
      </c>
      <c r="F45" s="269" t="str">
        <f t="shared" si="26"/>
        <v xml:space="preserve">6 – Mary (1848–1934: #31) Elinor (1853–1895: #36) Fa (1855–1927: #39) Frederic (1856–1936: #41)  Llewellyn (1861–1939: #45) Caroline (1864–1940: #47)  </v>
      </c>
      <c r="G45" s="125" t="str">
        <f>'Loyd Book 2022 - Print'!N45</f>
        <v xml:space="preserve">6 – Mary (1848–1934: #31) Elinor (1853–1895: #36) Fa (1855–1927: #39) Frederic (1856–1936: #41)  Llewellyn (1861–1939: #45) Caroline (1864–1940: #47)  </v>
      </c>
      <c r="H45" s="125">
        <f t="shared" si="19"/>
        <v>0</v>
      </c>
      <c r="I45" s="117">
        <f t="shared" si="27"/>
        <v>0</v>
      </c>
      <c r="J45" s="116" t="str">
        <f t="shared" si="60"/>
        <v>Mary (1848–1934: #31)</v>
      </c>
      <c r="K45" s="116" t="str">
        <f t="shared" si="43"/>
        <v>Elinor (1853–1895: #36)</v>
      </c>
      <c r="L45" s="116" t="str">
        <f t="shared" si="61"/>
        <v>Fa (1855–1927: #39)</v>
      </c>
      <c r="M45" s="116" t="str">
        <f t="shared" si="61"/>
        <v>Frederic (1856–1936: #41)</v>
      </c>
      <c r="N45" s="116" t="str">
        <f t="shared" si="61"/>
        <v/>
      </c>
      <c r="O45" s="116" t="str">
        <f t="shared" si="61"/>
        <v>Llewellyn (1861–1939: #45)</v>
      </c>
      <c r="P45" s="116" t="str">
        <f t="shared" si="61"/>
        <v>Caroline (1864–1940: #47)</v>
      </c>
      <c r="Q45" s="116"/>
      <c r="R45" s="116"/>
      <c r="S45" s="117"/>
      <c r="T45" s="117"/>
      <c r="U45" s="117"/>
      <c r="V45" s="117"/>
      <c r="Z45" s="116">
        <f t="shared" si="21"/>
        <v>113</v>
      </c>
      <c r="AA45" s="124">
        <f t="shared" si="56"/>
        <v>1</v>
      </c>
      <c r="AB45" s="281">
        <v>113</v>
      </c>
      <c r="AC45" s="281">
        <v>149</v>
      </c>
      <c r="AD45" s="281"/>
      <c r="AE45" s="281"/>
      <c r="AF45" s="281"/>
      <c r="AG45" s="281"/>
      <c r="AH45" s="281"/>
      <c r="AI45" s="281"/>
      <c r="AJ45" s="281"/>
      <c r="AK45" s="281"/>
      <c r="AL45" s="281"/>
      <c r="AM45" s="272"/>
      <c r="AN45" s="272"/>
      <c r="AO45" s="272"/>
      <c r="AP45" s="272"/>
      <c r="AQ45" s="276">
        <f t="shared" si="4"/>
        <v>1</v>
      </c>
      <c r="AR45" s="117">
        <f t="shared" si="28"/>
        <v>113</v>
      </c>
      <c r="AS45" s="271" t="str">
        <f t="shared" si="57"/>
        <v>Anthony (1966–: #149)</v>
      </c>
      <c r="AT45" s="271"/>
      <c r="AU45" s="271"/>
      <c r="AV45" s="271"/>
      <c r="AW45" s="271"/>
      <c r="AX45" s="271"/>
      <c r="BC45" t="str">
        <f t="shared" ref="BC45" si="63">_xlfn.CONCAT(AQ45," – ",AS45,)</f>
        <v>1 – Anthony (1966–: #149)</v>
      </c>
      <c r="BH45" s="116">
        <f t="shared" si="5"/>
        <v>85</v>
      </c>
      <c r="BI45" s="3" t="s">
        <v>1313</v>
      </c>
      <c r="BJ45" s="3" t="s">
        <v>4808</v>
      </c>
      <c r="BK45" t="str">
        <f t="shared" si="6"/>
        <v xml:space="preserve">Edward James LANE FOX (1939– </v>
      </c>
      <c r="BL45" t="str">
        <f t="shared" si="7"/>
        <v>Edward LANE FOX (1939– : #85b)</v>
      </c>
      <c r="BM45" t="str">
        <f t="shared" si="8"/>
        <v>Edward James LANE FOX (1939– : #85b)</v>
      </c>
      <c r="BP45" t="str">
        <f t="shared" si="9"/>
        <v>LANE FOX</v>
      </c>
      <c r="BQ45" t="str">
        <f t="shared" si="10"/>
        <v>Edward</v>
      </c>
      <c r="BR45" s="116" t="str">
        <f t="shared" si="11"/>
        <v>Edward</v>
      </c>
      <c r="BS45" s="116">
        <f t="shared" si="12"/>
        <v>164</v>
      </c>
      <c r="BT45" t="str">
        <f>_xlfn.CONCAT(BZ45," – ",CA45," ",CB45," ",CC45)</f>
        <v>3 – Freddie LEASK (2016– : #164a) Hamish LEASK (2018– : #164b) Otto LEASK (2020– : #164c)</v>
      </c>
      <c r="BU45" s="116">
        <f t="shared" si="24"/>
        <v>3</v>
      </c>
      <c r="BW45" s="116">
        <f t="shared" si="13"/>
        <v>0</v>
      </c>
      <c r="BX45" s="72">
        <v>164</v>
      </c>
      <c r="BY45">
        <v>3</v>
      </c>
      <c r="BZ45" s="116">
        <f>9-COUNTIF(CA45:CI45,"")</f>
        <v>3</v>
      </c>
      <c r="CA45" t="str" cm="1">
        <f t="array" ref="CA45:CC45">TRANSPOSE(BL136:BL138)</f>
        <v>Freddie LEASK (2016– : #164a)</v>
      </c>
      <c r="CB45" t="str">
        <v>Hamish LEASK (2018– : #164b)</v>
      </c>
      <c r="CC45" t="str">
        <v>Otto LEASK (2020– : #164c)</v>
      </c>
      <c r="CO45" s="157" t="s">
        <v>1313</v>
      </c>
      <c r="CP45" s="6" t="s">
        <v>1357</v>
      </c>
      <c r="CQ45" s="156" t="s">
        <v>811</v>
      </c>
      <c r="CR45" s="5" t="s">
        <v>918</v>
      </c>
      <c r="CS45" s="5"/>
      <c r="CT45" s="5"/>
      <c r="CU45" s="5">
        <v>1939</v>
      </c>
      <c r="CV45" s="5" t="s">
        <v>3774</v>
      </c>
      <c r="CW45" t="e">
        <f t="shared" si="30"/>
        <v>#VALUE!</v>
      </c>
      <c r="DC45" s="117">
        <f t="shared" si="15"/>
        <v>101</v>
      </c>
      <c r="DD45" s="116">
        <v>164</v>
      </c>
      <c r="DE45">
        <f t="shared" si="16"/>
        <v>4</v>
      </c>
      <c r="DF45" s="117">
        <v>44</v>
      </c>
      <c r="DG45" s="117">
        <f t="shared" si="17"/>
        <v>85</v>
      </c>
      <c r="DH45" s="99" t="str">
        <f t="shared" si="18"/>
        <v>4 – Martin LANE FOX (1938–2016: #85a) Edward LANE FOX (1939– : #85b) Jenny LANE FOX (1944– : #85c) Robin LANE FOX (1946– : #85d)</v>
      </c>
    </row>
    <row r="46" spans="1:112" ht="20">
      <c r="A46" s="287">
        <f>'Loyd List 1-190 - Edit'!C46</f>
        <v>44</v>
      </c>
      <c r="B46" s="295" t="str">
        <f>VLOOKUP(A46,'Book Details - NO EDIT'!$U$3:$X$192,4,FALSE)</f>
        <v>Harry (1861–1938: #44)</v>
      </c>
      <c r="C46" s="287">
        <f>VLOOKUP(A46,'Loyd List 1-190 - Edit'!$P$1:$R$200,3,FALSE)</f>
        <v>23</v>
      </c>
      <c r="D46" s="287">
        <f t="shared" si="25"/>
        <v>8</v>
      </c>
      <c r="E46" s="287">
        <f t="shared" si="2"/>
        <v>1</v>
      </c>
      <c r="F46" s="269" t="str">
        <f t="shared" si="26"/>
        <v>8 – Lewis (1852–1908: #35) Gertrude (1854–1924: #38) Harriet (1856–1921: #40) Dulcie (1858–1905: #42)  William (1863–1923: #46) Caroline (1865–1938: #48) Mary (1867–1867: #49) Arthur (1868–1911: #50)</v>
      </c>
      <c r="G46" s="125" t="str">
        <f>'Loyd Book 2022 - Print'!N46</f>
        <v>8 – Lewis (1852–1908: #35) Gertrude (1854–1924: #38) Harriet (1856–1921: #40) Dulcie (1858–1905: #42)  William (1863–1923: #46) Caroline (1865–1938: #48) Mary (1867–1867: #49) Arthur (1868–1911: #50)</v>
      </c>
      <c r="H46" s="125">
        <f t="shared" si="19"/>
        <v>0</v>
      </c>
      <c r="I46" s="117">
        <f t="shared" si="27"/>
        <v>0</v>
      </c>
      <c r="J46" s="116" t="str">
        <f t="shared" si="60"/>
        <v>Lewis (1852–1908: #35)</v>
      </c>
      <c r="K46" s="116" t="str">
        <f t="shared" si="43"/>
        <v>Gertrude (1854–1924: #38)</v>
      </c>
      <c r="L46" s="116" t="str">
        <f t="shared" si="61"/>
        <v>Harriet (1856–1921: #40)</v>
      </c>
      <c r="M46" s="116" t="str">
        <f t="shared" si="61"/>
        <v>Dulcie (1858–1905: #42)</v>
      </c>
      <c r="N46" s="116" t="str">
        <f t="shared" si="61"/>
        <v/>
      </c>
      <c r="O46" s="116" t="str">
        <f t="shared" si="61"/>
        <v>William (1863–1923: #46)</v>
      </c>
      <c r="P46" s="116" t="str">
        <f t="shared" si="61"/>
        <v>Caroline (1865–1938: #48)</v>
      </c>
      <c r="Q46" s="116" t="str">
        <f>IF(VLOOKUP($C46,$AB$2:$AN$67,Q$1,FALSE)=$A46,"",VLOOKUP(VLOOKUP($C46,$AB$2:$AN$67,Q$1,FALSE),$A$1:$B$200,2,FALSE))</f>
        <v>Mary (1867–1867: #49)</v>
      </c>
      <c r="R46" s="116" t="str">
        <f>IF(VLOOKUP($C46,$AB$2:$AN$67,R$1,FALSE)=$A46,"",VLOOKUP(VLOOKUP($C46,$AB$2:$AN$67,R$1,FALSE),$A$1:$B$200,2,FALSE))</f>
        <v>Arthur (1868–1911: #50)</v>
      </c>
      <c r="S46" s="117"/>
      <c r="T46" s="117"/>
      <c r="U46" s="117"/>
      <c r="V46" s="117"/>
      <c r="Z46" s="116">
        <f t="shared" si="21"/>
        <v>114</v>
      </c>
      <c r="AA46" s="124">
        <f t="shared" si="56"/>
        <v>3</v>
      </c>
      <c r="AB46" s="281">
        <v>114</v>
      </c>
      <c r="AC46" s="281">
        <v>157</v>
      </c>
      <c r="AD46" s="281">
        <v>158</v>
      </c>
      <c r="AE46" s="281">
        <v>159</v>
      </c>
      <c r="AF46" s="281"/>
      <c r="AG46" s="281"/>
      <c r="AH46" s="281"/>
      <c r="AI46" s="281"/>
      <c r="AJ46" s="281"/>
      <c r="AK46" s="281"/>
      <c r="AL46" s="281"/>
      <c r="AM46" s="272"/>
      <c r="AN46" s="272"/>
      <c r="AO46" s="272"/>
      <c r="AP46" s="272"/>
      <c r="AQ46" s="276">
        <f t="shared" si="4"/>
        <v>3</v>
      </c>
      <c r="AR46" s="117">
        <f t="shared" si="28"/>
        <v>114</v>
      </c>
      <c r="AS46" s="271" t="str">
        <f t="shared" si="57"/>
        <v>Tess (1975–: #157)</v>
      </c>
      <c r="AT46" s="271" t="str">
        <f t="shared" si="58"/>
        <v>Chloe (1977–: #158)</v>
      </c>
      <c r="AU46" s="271" t="str">
        <f t="shared" si="59"/>
        <v>Daisy (1979–: #159)</v>
      </c>
      <c r="AV46" s="271"/>
      <c r="AW46" s="271"/>
      <c r="AX46" s="271"/>
      <c r="BC46" t="str">
        <f t="shared" ref="BC46:BC54" si="64">_xlfn.CONCAT(AQ46," – ",AS46," ",AT46," ",AU46)</f>
        <v>3 – Tess (1975–: #157) Chloe (1977–: #158) Daisy (1979–: #159)</v>
      </c>
      <c r="BH46" s="116">
        <f t="shared" si="5"/>
        <v>85</v>
      </c>
      <c r="BI46" s="3" t="s">
        <v>1388</v>
      </c>
      <c r="BJ46" s="3" t="s">
        <v>4809</v>
      </c>
      <c r="BK46" t="str">
        <f t="shared" si="6"/>
        <v xml:space="preserve">Jenny LANE FOX (1944– </v>
      </c>
      <c r="BL46" t="str">
        <f t="shared" si="7"/>
        <v>Jenny LANE FOX (1944– : #85c)</v>
      </c>
      <c r="BM46" t="str">
        <f t="shared" si="8"/>
        <v>Jenny LANE FOX (1944– : #85c)</v>
      </c>
      <c r="BP46" t="str">
        <f t="shared" si="9"/>
        <v>LANE FOX</v>
      </c>
      <c r="BQ46" t="str">
        <f t="shared" si="10"/>
        <v>Jenny</v>
      </c>
      <c r="BR46" s="116" t="str">
        <f t="shared" si="11"/>
        <v>Jenny</v>
      </c>
      <c r="BS46" s="116">
        <f t="shared" si="12"/>
        <v>165</v>
      </c>
      <c r="BT46" t="str">
        <f t="shared" si="55"/>
        <v>2 – Leila PURI (2017– : #165a) Alana PURI (2019– : #165b)</v>
      </c>
      <c r="BU46" s="116">
        <f t="shared" si="24"/>
        <v>2</v>
      </c>
      <c r="BW46" s="116">
        <f t="shared" si="13"/>
        <v>0</v>
      </c>
      <c r="BX46" s="72">
        <v>165</v>
      </c>
      <c r="BY46">
        <v>2</v>
      </c>
      <c r="BZ46" s="116">
        <f t="shared" si="14"/>
        <v>2</v>
      </c>
      <c r="CA46" t="str" cm="1">
        <f t="array" ref="CA46:CB46">TRANSPOSE(BL139:BL140)</f>
        <v>Leila PURI (2017– : #165a)</v>
      </c>
      <c r="CB46" t="str">
        <v>Alana PURI (2019– : #165b)</v>
      </c>
      <c r="CO46" s="157" t="s">
        <v>1388</v>
      </c>
      <c r="CP46" s="6" t="s">
        <v>1357</v>
      </c>
      <c r="CQ46" s="156" t="s">
        <v>1387</v>
      </c>
      <c r="CR46" s="5"/>
      <c r="CS46" s="5"/>
      <c r="CT46" s="5"/>
      <c r="CU46" s="5">
        <v>1944</v>
      </c>
      <c r="CV46" s="5" t="s">
        <v>3774</v>
      </c>
      <c r="CW46" t="e">
        <f t="shared" si="30"/>
        <v>#VALUE!</v>
      </c>
      <c r="DC46" s="117">
        <f t="shared" si="15"/>
        <v>102</v>
      </c>
      <c r="DD46" s="116">
        <v>165</v>
      </c>
      <c r="DE46">
        <f t="shared" si="16"/>
        <v>3</v>
      </c>
      <c r="DF46" s="117">
        <v>45</v>
      </c>
      <c r="DG46" s="117">
        <f t="shared" si="17"/>
        <v>86</v>
      </c>
      <c r="DH46" s="99" t="str">
        <f t="shared" si="18"/>
        <v>3 – Rona (1951–: #125) David (1952–: #130) Jim (1955–: #135)</v>
      </c>
    </row>
    <row r="47" spans="1:112" ht="20">
      <c r="A47" s="287">
        <f>'Loyd List 1-190 - Edit'!C47</f>
        <v>45</v>
      </c>
      <c r="B47" s="295" t="str">
        <f>VLOOKUP(A47,'Book Details - NO EDIT'!$U$3:$X$192,4,FALSE)</f>
        <v>Llewellyn (1861–1939: #45)</v>
      </c>
      <c r="C47" s="287">
        <f>VLOOKUP(A47,'Loyd List 1-190 - Edit'!$P$1:$R$200,3,FALSE)</f>
        <v>22</v>
      </c>
      <c r="D47" s="287">
        <f t="shared" si="25"/>
        <v>6</v>
      </c>
      <c r="E47" s="287">
        <f t="shared" si="2"/>
        <v>1</v>
      </c>
      <c r="F47" s="269" t="str">
        <f t="shared" si="26"/>
        <v xml:space="preserve">6 – Mary (1848–1934: #31) Elinor (1853–1895: #36) Fa (1855–1927: #39) Frederic (1856–1936: #41) Meg (1859–1936: #43)  Caroline (1864–1940: #47)  </v>
      </c>
      <c r="G47" s="125" t="str">
        <f>'Loyd Book 2022 - Print'!N47</f>
        <v xml:space="preserve">6 – Mary (1848–1934: #31) Elinor (1853–1895: #36) Fa (1855–1927: #39) Frederic (1856–1936: #41) Meg (1859–1936: #43)  Caroline (1864–1940: #47)  </v>
      </c>
      <c r="H47" s="125">
        <f t="shared" si="19"/>
        <v>0</v>
      </c>
      <c r="I47" s="117">
        <f t="shared" si="27"/>
        <v>0</v>
      </c>
      <c r="J47" s="116" t="str">
        <f t="shared" si="60"/>
        <v>Mary (1848–1934: #31)</v>
      </c>
      <c r="K47" s="116" t="str">
        <f t="shared" si="43"/>
        <v>Elinor (1853–1895: #36)</v>
      </c>
      <c r="L47" s="116" t="str">
        <f t="shared" si="61"/>
        <v>Fa (1855–1927: #39)</v>
      </c>
      <c r="M47" s="116" t="str">
        <f t="shared" si="61"/>
        <v>Frederic (1856–1936: #41)</v>
      </c>
      <c r="N47" s="116" t="str">
        <f t="shared" si="61"/>
        <v>Meg (1859–1936: #43)</v>
      </c>
      <c r="O47" s="116" t="str">
        <f t="shared" si="61"/>
        <v/>
      </c>
      <c r="P47" s="116" t="str">
        <f t="shared" si="61"/>
        <v>Caroline (1864–1940: #47)</v>
      </c>
      <c r="Q47" s="116"/>
      <c r="R47" s="116"/>
      <c r="S47" s="117"/>
      <c r="T47" s="117"/>
      <c r="U47" s="117"/>
      <c r="V47" s="117"/>
      <c r="Z47" s="116">
        <f t="shared" si="21"/>
        <v>117</v>
      </c>
      <c r="AA47" s="124">
        <f t="shared" si="56"/>
        <v>3</v>
      </c>
      <c r="AB47" s="281">
        <v>117</v>
      </c>
      <c r="AC47" s="281">
        <v>147</v>
      </c>
      <c r="AD47" s="281">
        <v>151</v>
      </c>
      <c r="AE47" s="281">
        <v>153</v>
      </c>
      <c r="AF47" s="282"/>
      <c r="AG47" s="282"/>
      <c r="AH47" s="282"/>
      <c r="AI47" s="282"/>
      <c r="AJ47" s="281"/>
      <c r="AK47" s="281"/>
      <c r="AL47" s="281"/>
      <c r="AM47" s="272"/>
      <c r="AN47" s="272"/>
      <c r="AO47" s="272"/>
      <c r="AP47" s="272"/>
      <c r="AQ47" s="276">
        <f t="shared" si="4"/>
        <v>3</v>
      </c>
      <c r="AR47" s="117">
        <f t="shared" si="28"/>
        <v>117</v>
      </c>
      <c r="AS47" s="271" t="str">
        <f t="shared" si="57"/>
        <v>Susannah (1965–: #147)</v>
      </c>
      <c r="AT47" s="271" t="str">
        <f t="shared" si="58"/>
        <v>Elspeth (1967–: #151)</v>
      </c>
      <c r="AU47" s="271" t="str">
        <f t="shared" si="59"/>
        <v>Richard (1968–: #153)</v>
      </c>
      <c r="AV47" s="271"/>
      <c r="AW47" s="271"/>
      <c r="AX47" s="271"/>
      <c r="BC47" t="str">
        <f t="shared" si="64"/>
        <v>3 – Susannah (1965–: #147) Elspeth (1967–: #151) Richard (1968–: #153)</v>
      </c>
      <c r="BH47" s="116">
        <f t="shared" si="5"/>
        <v>85</v>
      </c>
      <c r="BI47" s="3" t="s">
        <v>1395</v>
      </c>
      <c r="BJ47" s="3" t="s">
        <v>4810</v>
      </c>
      <c r="BK47" t="str">
        <f t="shared" si="6"/>
        <v xml:space="preserve">Robin James LANE FOX (1946– </v>
      </c>
      <c r="BL47" t="str">
        <f t="shared" si="7"/>
        <v>Robin LANE FOX (1946– : #85d)</v>
      </c>
      <c r="BM47" t="str">
        <f t="shared" si="8"/>
        <v>Robin James LANE FOX (1946– : #85d)</v>
      </c>
      <c r="BP47" t="str">
        <f t="shared" si="9"/>
        <v>LANE FOX</v>
      </c>
      <c r="BQ47" t="str">
        <f t="shared" si="10"/>
        <v>Robin</v>
      </c>
      <c r="BR47" s="116" t="str">
        <f t="shared" si="11"/>
        <v>Robin</v>
      </c>
      <c r="BS47" s="116">
        <f t="shared" si="12"/>
        <v>168</v>
      </c>
      <c r="BT47" t="str">
        <f t="shared" si="55"/>
        <v>2 – Nicholas POWELL (2020– : #168a) Florence POWELL  (2022– : #168b)</v>
      </c>
      <c r="BU47" s="116">
        <f t="shared" si="24"/>
        <v>2</v>
      </c>
      <c r="BW47" s="116">
        <f t="shared" si="13"/>
        <v>0</v>
      </c>
      <c r="BX47" s="72">
        <v>168</v>
      </c>
      <c r="BY47">
        <v>2</v>
      </c>
      <c r="BZ47" s="116">
        <f>9-COUNTIF(CA47:CI47,"")</f>
        <v>2</v>
      </c>
      <c r="CA47" t="str" cm="1">
        <f t="array" ref="CA47:CB47">TRANSPOSE(BL141:BL142)</f>
        <v>Nicholas POWELL (2020– : #168a)</v>
      </c>
      <c r="CB47" t="str">
        <v>Florence POWELL  (2022– : #168b)</v>
      </c>
      <c r="CO47" s="157" t="s">
        <v>1395</v>
      </c>
      <c r="CP47" s="6" t="s">
        <v>1357</v>
      </c>
      <c r="CQ47" s="156" t="s">
        <v>897</v>
      </c>
      <c r="CR47" s="5" t="s">
        <v>918</v>
      </c>
      <c r="CS47" s="5"/>
      <c r="CT47" s="5"/>
      <c r="CU47" s="5">
        <v>1946</v>
      </c>
      <c r="CV47" s="5" t="s">
        <v>3774</v>
      </c>
      <c r="CW47" t="e">
        <f t="shared" si="30"/>
        <v>#VALUE!</v>
      </c>
      <c r="DC47" s="117">
        <f t="shared" si="15"/>
        <v>104</v>
      </c>
      <c r="DD47" s="116">
        <v>168</v>
      </c>
      <c r="DE47">
        <f t="shared" si="16"/>
        <v>3</v>
      </c>
      <c r="DF47" s="117">
        <v>46</v>
      </c>
      <c r="DG47" s="117">
        <f t="shared" si="17"/>
        <v>88</v>
      </c>
      <c r="DH47" s="99" t="str">
        <f t="shared" si="18"/>
        <v>3 – Lady Diana BAIRD (1937– : #88a) Michael KEITH (1939–2004: #88b) The Hon Alexander BAIRD (1946– : #88c)</v>
      </c>
    </row>
    <row r="48" spans="1:112" ht="23" customHeight="1">
      <c r="A48" s="287">
        <f>'Loyd List 1-190 - Edit'!C48</f>
        <v>46</v>
      </c>
      <c r="B48" s="295" t="str">
        <f>VLOOKUP(A48,'Book Details - NO EDIT'!$U$3:$X$192,4,FALSE)</f>
        <v>William (1863–1923: #46)</v>
      </c>
      <c r="C48" s="287">
        <f>VLOOKUP(A48,'Loyd List 1-190 - Edit'!$P$1:$R$200,3,FALSE)</f>
        <v>23</v>
      </c>
      <c r="D48" s="287">
        <f t="shared" si="25"/>
        <v>8</v>
      </c>
      <c r="E48" s="287">
        <f t="shared" si="2"/>
        <v>1</v>
      </c>
      <c r="F48" s="269" t="str">
        <f t="shared" si="26"/>
        <v>8 – Lewis (1852–1908: #35) Gertrude (1854–1924: #38) Harriet (1856–1921: #40) Dulcie (1858–1905: #42) Harry (1861–1938: #44)  Caroline (1865–1938: #48) Mary (1867–1867: #49) Arthur (1868–1911: #50)</v>
      </c>
      <c r="G48" s="125" t="str">
        <f>'Loyd Book 2022 - Print'!N48</f>
        <v>8 – Lewis (1852–1908: #35) Gertrude (1854–1924: #38) Harriet (1856–1921: #40) Dulcie (1858–1905: #42) Harry (1861–1938: #44)  Caroline (1865–1938: #48) Mary (1867–1867: #49) Arthur (1868–1911: #50)</v>
      </c>
      <c r="H48" s="125">
        <f t="shared" si="19"/>
        <v>0</v>
      </c>
      <c r="I48" s="117">
        <f t="shared" si="27"/>
        <v>0</v>
      </c>
      <c r="J48" s="116" t="str">
        <f t="shared" si="60"/>
        <v>Lewis (1852–1908: #35)</v>
      </c>
      <c r="K48" s="116" t="str">
        <f t="shared" si="43"/>
        <v>Gertrude (1854–1924: #38)</v>
      </c>
      <c r="L48" s="116" t="str">
        <f t="shared" si="61"/>
        <v>Harriet (1856–1921: #40)</v>
      </c>
      <c r="M48" s="116" t="str">
        <f t="shared" si="61"/>
        <v>Dulcie (1858–1905: #42)</v>
      </c>
      <c r="N48" s="116" t="str">
        <f t="shared" si="61"/>
        <v>Harry (1861–1938: #44)</v>
      </c>
      <c r="O48" s="116" t="str">
        <f t="shared" si="61"/>
        <v/>
      </c>
      <c r="P48" s="116" t="str">
        <f t="shared" si="61"/>
        <v>Caroline (1865–1938: #48)</v>
      </c>
      <c r="Q48" s="116" t="str">
        <f>IF(VLOOKUP($C48,$AB$2:$AN$67,Q$1,FALSE)=$A48,"",VLOOKUP(VLOOKUP($C48,$AB$2:$AN$67,Q$1,FALSE),$A$1:$B$200,2,FALSE))</f>
        <v>Mary (1867–1867: #49)</v>
      </c>
      <c r="R48" s="116" t="str">
        <f>IF(VLOOKUP($C48,$AB$2:$AN$67,R$1,FALSE)=$A48,"",VLOOKUP(VLOOKUP($C48,$AB$2:$AN$67,R$1,FALSE),$A$1:$B$200,2,FALSE))</f>
        <v>Arthur (1868–1911: #50)</v>
      </c>
      <c r="S48" s="117"/>
      <c r="T48" s="117"/>
      <c r="U48" s="117"/>
      <c r="V48" s="117"/>
      <c r="Z48" s="116">
        <f t="shared" si="21"/>
        <v>119</v>
      </c>
      <c r="AA48" s="124">
        <f t="shared" si="56"/>
        <v>4</v>
      </c>
      <c r="AB48" s="281">
        <v>119</v>
      </c>
      <c r="AC48" s="281">
        <v>155</v>
      </c>
      <c r="AD48" s="281">
        <v>156</v>
      </c>
      <c r="AE48" s="281">
        <v>161</v>
      </c>
      <c r="AF48" s="281">
        <v>163</v>
      </c>
      <c r="AG48" s="282"/>
      <c r="AH48" s="281"/>
      <c r="AI48" s="282"/>
      <c r="AJ48" s="282"/>
      <c r="AK48" s="282"/>
      <c r="AL48" s="281"/>
      <c r="AM48" s="272"/>
      <c r="AN48" s="272"/>
      <c r="AO48" s="272"/>
      <c r="AP48" s="272"/>
      <c r="AQ48" s="276">
        <f t="shared" si="4"/>
        <v>4</v>
      </c>
      <c r="AR48" s="117">
        <f t="shared" si="28"/>
        <v>119</v>
      </c>
      <c r="AS48" s="271" t="str">
        <f t="shared" si="57"/>
        <v>William (1973–: #155)</v>
      </c>
      <c r="AT48" s="271" t="str">
        <f t="shared" si="58"/>
        <v>Amy (1975–: #156)</v>
      </c>
      <c r="AU48" s="271" t="str">
        <f t="shared" si="59"/>
        <v>Molly (1982–: #161)</v>
      </c>
      <c r="AV48" s="271" t="str">
        <f>VLOOKUP(AF48,$A$1:$B$192,2,FALSE)</f>
        <v>Harriet (1984–: #163)</v>
      </c>
      <c r="AW48" s="271"/>
      <c r="AX48" s="271"/>
      <c r="BC48" t="str">
        <f t="shared" ref="BC48" si="65">_xlfn.CONCAT(AQ48," – ",AS48," ",AT48," ",AU48," ",AV48)</f>
        <v>4 – William (1973–: #155) Amy (1975–: #156) Molly (1982–: #161) Harriet (1984–: #163)</v>
      </c>
      <c r="BH48" s="116">
        <f t="shared" si="5"/>
        <v>88</v>
      </c>
      <c r="BI48" s="3" t="s">
        <v>1433</v>
      </c>
      <c r="BJ48" s="3" t="s">
        <v>4811</v>
      </c>
      <c r="BK48" t="str">
        <f t="shared" si="6"/>
        <v xml:space="preserve">Lady Diana Elizabeth Virginia Sydney BAIRD (1937– </v>
      </c>
      <c r="BL48" t="str">
        <f t="shared" si="7"/>
        <v>Lady Diana BAIRD (1937– : #88a)</v>
      </c>
      <c r="BM48" t="str">
        <f t="shared" si="8"/>
        <v>Lady Diana Elizabeth Virginia Sydney BAIRD (1937– : #88a)</v>
      </c>
      <c r="BP48" t="str">
        <f t="shared" si="9"/>
        <v>BAIRD</v>
      </c>
      <c r="BQ48" t="str">
        <f t="shared" si="10"/>
        <v>Lady Diana</v>
      </c>
      <c r="BR48" s="116" t="str">
        <f t="shared" si="11"/>
        <v>Lady Diana</v>
      </c>
      <c r="BS48" s="116">
        <f t="shared" si="12"/>
        <v>170</v>
      </c>
      <c r="BT48" t="str">
        <f>_xlfn.CONCAT(BZ48," – ",CA48,)</f>
        <v>1 – Angus POWELL (2021– : #170a)</v>
      </c>
      <c r="BU48" s="116">
        <f t="shared" si="24"/>
        <v>1</v>
      </c>
      <c r="BW48" s="116">
        <f t="shared" si="13"/>
        <v>0</v>
      </c>
      <c r="BX48" s="72">
        <v>170</v>
      </c>
      <c r="BY48">
        <v>1</v>
      </c>
      <c r="BZ48" s="116">
        <f>9-COUNTIF(CA48:CI48,"")</f>
        <v>1</v>
      </c>
      <c r="CA48" t="str" cm="1">
        <f t="array" ref="CA48">TRANSPOSE(BL143)</f>
        <v>Angus POWELL (2021– : #170a)</v>
      </c>
      <c r="CO48" s="157" t="s">
        <v>1433</v>
      </c>
      <c r="CP48" s="6" t="s">
        <v>1430</v>
      </c>
      <c r="CQ48" s="156" t="s">
        <v>1431</v>
      </c>
      <c r="CR48" s="5" t="s">
        <v>952</v>
      </c>
      <c r="CS48" s="5" t="s">
        <v>1432</v>
      </c>
      <c r="CT48" s="5"/>
      <c r="CU48" s="5">
        <v>1937</v>
      </c>
      <c r="CV48" s="5" t="s">
        <v>3774</v>
      </c>
      <c r="CW48" t="e">
        <f t="shared" si="30"/>
        <v>#VALUE!</v>
      </c>
      <c r="DC48" s="117">
        <f t="shared" si="15"/>
        <v>105</v>
      </c>
      <c r="DD48" s="116">
        <v>170</v>
      </c>
      <c r="DE48">
        <f t="shared" si="16"/>
        <v>2</v>
      </c>
      <c r="DF48" s="117">
        <v>47</v>
      </c>
      <c r="DG48" s="117">
        <f t="shared" si="17"/>
        <v>89</v>
      </c>
      <c r="DH48" s="99" t="str">
        <f t="shared" si="18"/>
        <v>2 – Janet (1949–: #123) Diana (1952–: #129)</v>
      </c>
    </row>
    <row r="49" spans="1:112" ht="20">
      <c r="A49" s="287">
        <f>'Loyd List 1-190 - Edit'!C49</f>
        <v>47</v>
      </c>
      <c r="B49" s="295" t="str">
        <f>VLOOKUP(A49,'Book Details - NO EDIT'!$U$3:$X$192,4,FALSE)</f>
        <v>Caroline (1864–1940: #47)</v>
      </c>
      <c r="C49" s="287">
        <f>VLOOKUP(A49,'Loyd List 1-190 - Edit'!$P$1:$R$200,3,FALSE)</f>
        <v>22</v>
      </c>
      <c r="D49" s="287">
        <f t="shared" si="25"/>
        <v>6</v>
      </c>
      <c r="E49" s="287">
        <f t="shared" si="2"/>
        <v>1</v>
      </c>
      <c r="F49" s="269" t="str">
        <f t="shared" si="26"/>
        <v xml:space="preserve">6 – Mary (1848–1934: #31) Elinor (1853–1895: #36) Fa (1855–1927: #39) Frederic (1856–1936: #41) Meg (1859–1936: #43) Llewellyn (1861–1939: #45)   </v>
      </c>
      <c r="G49" s="125" t="str">
        <f>'Loyd Book 2022 - Print'!N49</f>
        <v xml:space="preserve">6 – Mary (1848–1934: #31) Elinor (1853–1895: #36) Fa (1855–1927: #39) Frederic (1856–1936: #41) Meg (1859–1936: #43) Llewellyn (1861–1939: #45)   </v>
      </c>
      <c r="H49" s="125">
        <f t="shared" si="19"/>
        <v>0</v>
      </c>
      <c r="I49" s="117">
        <f t="shared" si="27"/>
        <v>0</v>
      </c>
      <c r="J49" s="116" t="str">
        <f t="shared" si="60"/>
        <v>Mary (1848–1934: #31)</v>
      </c>
      <c r="K49" s="116" t="str">
        <f t="shared" si="43"/>
        <v>Elinor (1853–1895: #36)</v>
      </c>
      <c r="L49" s="116" t="str">
        <f t="shared" si="61"/>
        <v>Fa (1855–1927: #39)</v>
      </c>
      <c r="M49" s="116" t="str">
        <f t="shared" si="61"/>
        <v>Frederic (1856–1936: #41)</v>
      </c>
      <c r="N49" s="116" t="str">
        <f t="shared" si="61"/>
        <v>Meg (1859–1936: #43)</v>
      </c>
      <c r="O49" s="116" t="str">
        <f t="shared" si="61"/>
        <v>Llewellyn (1861–1939: #45)</v>
      </c>
      <c r="P49" s="116" t="str">
        <f t="shared" si="61"/>
        <v/>
      </c>
      <c r="Q49" s="116"/>
      <c r="R49" s="116"/>
      <c r="S49" s="117"/>
      <c r="T49" s="117"/>
      <c r="U49" s="117"/>
      <c r="V49" s="117"/>
      <c r="Z49" s="116">
        <f t="shared" si="21"/>
        <v>121</v>
      </c>
      <c r="AA49" s="124">
        <f t="shared" si="56"/>
        <v>3</v>
      </c>
      <c r="AB49" s="281">
        <v>121</v>
      </c>
      <c r="AC49" s="281">
        <v>169</v>
      </c>
      <c r="AD49" s="281">
        <v>171</v>
      </c>
      <c r="AE49" s="281">
        <v>174</v>
      </c>
      <c r="AF49" s="281"/>
      <c r="AG49" s="281"/>
      <c r="AH49" s="282"/>
      <c r="AI49" s="281"/>
      <c r="AJ49" s="281"/>
      <c r="AK49" s="281"/>
      <c r="AL49" s="281"/>
      <c r="AM49" s="272"/>
      <c r="AN49" s="272"/>
      <c r="AO49" s="272"/>
      <c r="AP49" s="272"/>
      <c r="AQ49" s="276">
        <f t="shared" si="4"/>
        <v>3</v>
      </c>
      <c r="AR49" s="117">
        <f t="shared" si="28"/>
        <v>121</v>
      </c>
      <c r="AS49" s="271" t="str">
        <f t="shared" si="57"/>
        <v>James (1988–: #169)</v>
      </c>
      <c r="AT49" s="271" t="str">
        <f t="shared" si="58"/>
        <v>Rupert (1990–: #171)</v>
      </c>
      <c r="AU49" s="271" t="str">
        <f t="shared" si="59"/>
        <v>Tabitha (1992–: #174)</v>
      </c>
      <c r="AV49" s="271"/>
      <c r="AW49" s="271"/>
      <c r="AX49" s="271"/>
      <c r="BC49" t="str">
        <f t="shared" si="64"/>
        <v>3 – James (1988–: #169) Rupert (1990–: #171) Tabitha (1992–: #174)</v>
      </c>
      <c r="BH49" s="116">
        <f t="shared" si="5"/>
        <v>88</v>
      </c>
      <c r="BI49" s="3" t="s">
        <v>1458</v>
      </c>
      <c r="BJ49" s="3" t="s">
        <v>5180</v>
      </c>
      <c r="BK49" t="str">
        <f t="shared" si="6"/>
        <v>Michael Canning William John KEITH (1939–2004</v>
      </c>
      <c r="BL49" t="str">
        <f t="shared" si="7"/>
        <v>Michael KEITH (1939–2004: #88b)</v>
      </c>
      <c r="BM49" t="str">
        <f t="shared" si="8"/>
        <v>Michael Canning William John KEITH (1939–2004: #88b)</v>
      </c>
      <c r="BP49" t="str">
        <f t="shared" si="9"/>
        <v>KEITH</v>
      </c>
      <c r="BQ49" t="str">
        <f t="shared" si="10"/>
        <v>Michael</v>
      </c>
      <c r="BR49" s="116" t="str">
        <f t="shared" si="11"/>
        <v>Michael</v>
      </c>
      <c r="BS49" s="116"/>
      <c r="BW49" s="116"/>
      <c r="BX49" s="72" t="s">
        <v>2812</v>
      </c>
      <c r="BY49">
        <v>142</v>
      </c>
      <c r="BZ49" s="116">
        <f t="shared" si="14"/>
        <v>0</v>
      </c>
      <c r="CO49" s="157" t="s">
        <v>1458</v>
      </c>
      <c r="CP49" s="6" t="s">
        <v>1457</v>
      </c>
      <c r="CQ49" s="156" t="s">
        <v>891</v>
      </c>
      <c r="CR49" s="5" t="s">
        <v>860</v>
      </c>
      <c r="CS49" s="5" t="s">
        <v>1459</v>
      </c>
      <c r="CT49" s="5"/>
      <c r="CU49" s="5">
        <v>1939</v>
      </c>
      <c r="CV49" s="5">
        <v>2004</v>
      </c>
      <c r="CW49">
        <f t="shared" si="30"/>
        <v>65</v>
      </c>
      <c r="DC49" s="117">
        <f t="shared" si="15"/>
        <v>1</v>
      </c>
      <c r="DD49" s="297">
        <v>1</v>
      </c>
      <c r="DE49">
        <f t="shared" si="16"/>
        <v>3</v>
      </c>
      <c r="DF49" s="117">
        <v>48</v>
      </c>
      <c r="DG49" s="117">
        <f t="shared" si="17"/>
        <v>90</v>
      </c>
      <c r="DH49" s="99" t="str">
        <f t="shared" si="18"/>
        <v>3 – June MARSHAM-TOWNHEND (1942– : #90a) Suki MARSHAM-TOWNHEND (1944– : #90b) Jonathan CLARKE (1950– : #90c)</v>
      </c>
    </row>
    <row r="50" spans="1:112" ht="35">
      <c r="A50" s="287">
        <f>'Loyd List 1-190 - Edit'!C50</f>
        <v>48</v>
      </c>
      <c r="B50" s="295" t="str">
        <f>VLOOKUP(A50,'Book Details - NO EDIT'!$U$3:$X$192,4,FALSE)</f>
        <v>Caroline (1865–1938: #48)</v>
      </c>
      <c r="C50" s="287">
        <f>VLOOKUP(A50,'Loyd List 1-190 - Edit'!$P$1:$R$200,3,FALSE)</f>
        <v>23</v>
      </c>
      <c r="D50" s="287">
        <f t="shared" si="25"/>
        <v>8</v>
      </c>
      <c r="E50" s="287">
        <f t="shared" si="2"/>
        <v>1</v>
      </c>
      <c r="F50" s="269" t="str">
        <f t="shared" si="26"/>
        <v>8 – Lewis (1852–1908: #35) Gertrude (1854–1924: #38) Harriet (1856–1921: #40) Dulcie (1858–1905: #42) Harry (1861–1938: #44) William (1863–1923: #46)  Mary (1867–1867: #49) Arthur (1868–1911: #50)</v>
      </c>
      <c r="G50" s="125" t="str">
        <f>'Loyd Book 2022 - Print'!N50</f>
        <v>8 – Lewis (1852–1908: #35) Gertrude (1854–1924: #38) Harriet (1856–1921: #40) Dulcie (1858–1905: #42) Harry (1861–1938: #44) William (1863–1923: #46)  Mary (1867–1867: #49) Arthur (1868–1911: #50)</v>
      </c>
      <c r="H50" s="125">
        <f t="shared" si="19"/>
        <v>0</v>
      </c>
      <c r="I50" s="117">
        <f t="shared" si="27"/>
        <v>0</v>
      </c>
      <c r="J50" s="116" t="str">
        <f t="shared" si="60"/>
        <v>Lewis (1852–1908: #35)</v>
      </c>
      <c r="K50" s="116" t="str">
        <f t="shared" si="43"/>
        <v>Gertrude (1854–1924: #38)</v>
      </c>
      <c r="L50" s="116" t="str">
        <f t="shared" si="61"/>
        <v>Harriet (1856–1921: #40)</v>
      </c>
      <c r="M50" s="116" t="str">
        <f t="shared" si="61"/>
        <v>Dulcie (1858–1905: #42)</v>
      </c>
      <c r="N50" s="116" t="str">
        <f t="shared" si="61"/>
        <v>Harry (1861–1938: #44)</v>
      </c>
      <c r="O50" s="116" t="str">
        <f t="shared" si="61"/>
        <v>William (1863–1923: #46)</v>
      </c>
      <c r="P50" s="116" t="str">
        <f t="shared" si="61"/>
        <v/>
      </c>
      <c r="Q50" s="116" t="str">
        <f t="shared" ref="Q50:R52" si="66">IF(VLOOKUP($C50,$AB$2:$AN$67,Q$1,FALSE)=$A50,"",VLOOKUP(VLOOKUP($C50,$AB$2:$AN$67,Q$1,FALSE),$A$1:$B$200,2,FALSE))</f>
        <v>Mary (1867–1867: #49)</v>
      </c>
      <c r="R50" s="116" t="str">
        <f t="shared" si="66"/>
        <v>Arthur (1868–1911: #50)</v>
      </c>
      <c r="S50" s="117"/>
      <c r="T50" s="117"/>
      <c r="U50" s="117"/>
      <c r="V50" s="117"/>
      <c r="Z50" s="116">
        <f t="shared" si="21"/>
        <v>130</v>
      </c>
      <c r="AA50" s="124">
        <f t="shared" si="56"/>
        <v>1</v>
      </c>
      <c r="AB50" s="281">
        <v>130</v>
      </c>
      <c r="AC50" s="281">
        <v>166</v>
      </c>
      <c r="AD50" s="281"/>
      <c r="AE50" s="281"/>
      <c r="AF50" s="281"/>
      <c r="AG50" s="281"/>
      <c r="AH50" s="281"/>
      <c r="AI50" s="281"/>
      <c r="AJ50" s="281"/>
      <c r="AK50" s="281"/>
      <c r="AL50" s="281"/>
      <c r="AM50" s="272"/>
      <c r="AN50" s="272"/>
      <c r="AO50" s="272"/>
      <c r="AP50" s="272"/>
      <c r="AQ50" s="276">
        <f t="shared" si="4"/>
        <v>1</v>
      </c>
      <c r="AR50" s="117">
        <f t="shared" si="28"/>
        <v>130</v>
      </c>
      <c r="AS50" s="271" t="str">
        <f t="shared" si="57"/>
        <v>Gareth (1988–: #166)</v>
      </c>
      <c r="AT50" s="271"/>
      <c r="AU50" s="271"/>
      <c r="AV50" s="271"/>
      <c r="AW50" s="271"/>
      <c r="AX50" s="271"/>
      <c r="BC50" t="str">
        <f t="shared" ref="BC50" si="67">_xlfn.CONCAT(AQ50," – ",AS50,)</f>
        <v>1 – Gareth (1988–: #166)</v>
      </c>
      <c r="BH50" s="116">
        <f t="shared" si="5"/>
        <v>88</v>
      </c>
      <c r="BI50" s="3" t="s">
        <v>1467</v>
      </c>
      <c r="BJ50" s="3" t="s">
        <v>4812</v>
      </c>
      <c r="BK50" t="str">
        <f t="shared" si="6"/>
        <v xml:space="preserve">The Hon Alexander David BAIRD (1946– </v>
      </c>
      <c r="BL50" t="str">
        <f t="shared" si="7"/>
        <v>The Hon Alexander BAIRD (1946– : #88c)</v>
      </c>
      <c r="BM50" t="str">
        <f t="shared" si="8"/>
        <v>The Hon Alexander David BAIRD (1946– : #88c)</v>
      </c>
      <c r="BP50" t="str">
        <f t="shared" si="9"/>
        <v>BAIRD</v>
      </c>
      <c r="BQ50" t="str">
        <f t="shared" si="10"/>
        <v>The Hon Alexander</v>
      </c>
      <c r="BR50" s="116" t="str">
        <f t="shared" si="11"/>
        <v>The Hon Alexander</v>
      </c>
      <c r="CO50" s="157" t="s">
        <v>1467</v>
      </c>
      <c r="CP50" s="6" t="s">
        <v>1430</v>
      </c>
      <c r="CQ50" s="156" t="s">
        <v>1466</v>
      </c>
      <c r="CR50" s="5" t="s">
        <v>905</v>
      </c>
      <c r="CS50" s="5"/>
      <c r="CT50" s="5"/>
      <c r="CU50" s="5">
        <v>1946</v>
      </c>
      <c r="CV50" s="5" t="s">
        <v>3774</v>
      </c>
      <c r="CW50" t="e">
        <f t="shared" si="30"/>
        <v>#VALUE!</v>
      </c>
      <c r="DC50" s="117">
        <f t="shared" si="15"/>
        <v>3</v>
      </c>
      <c r="DD50" s="297">
        <v>3</v>
      </c>
      <c r="DE50">
        <f t="shared" si="16"/>
        <v>4</v>
      </c>
      <c r="DF50" s="117">
        <v>49</v>
      </c>
      <c r="DG50" s="117">
        <f t="shared" si="17"/>
        <v>92</v>
      </c>
      <c r="DH50" s="99" t="str">
        <f t="shared" si="18"/>
        <v>4 – Tim TATTON-BROWN (1947– : #92a) Giles TATTON-BROWN (1948– : #92b) Anthea TATTON-BROWN (1951– : #92c) Fanny TATTON-BROWN (1954– : #92d)</v>
      </c>
    </row>
    <row r="51" spans="1:112" ht="40">
      <c r="A51" s="287">
        <f>'Loyd List 1-190 - Edit'!C51</f>
        <v>49</v>
      </c>
      <c r="B51" s="295" t="str">
        <f>VLOOKUP(A51,'Book Details - NO EDIT'!$U$3:$X$192,4,FALSE)</f>
        <v>Mary (1867–1867: #49)</v>
      </c>
      <c r="C51" s="287">
        <f>VLOOKUP(A51,'Loyd List 1-190 - Edit'!$P$1:$R$200,3,FALSE)</f>
        <v>23</v>
      </c>
      <c r="D51" s="287">
        <f t="shared" si="25"/>
        <v>8</v>
      </c>
      <c r="E51" s="287">
        <f t="shared" si="2"/>
        <v>1</v>
      </c>
      <c r="F51" s="269" t="str">
        <f t="shared" si="26"/>
        <v>8 – Lewis (1852–1908: #35) Gertrude (1854–1924: #38) Harriet (1856–1921: #40) Dulcie (1858–1905: #42) Harry (1861–1938: #44) William (1863–1923: #46) Caroline (1865–1938: #48)  Arthur (1868–1911: #50)</v>
      </c>
      <c r="G51" s="125" t="str">
        <f>'Loyd Book 2022 - Print'!N51</f>
        <v>8 – Lewis (1852–1908: #35) Gertrude (1854–1924: #38) Harriet (1856–1921: #40) Dulcie (1858–1905: #42) Harry (1861–1938: #44) William (1863–1923: #46) Caroline (1865–1938: #48)  Arthur (1868–1911: #50)</v>
      </c>
      <c r="H51" s="125">
        <f t="shared" si="19"/>
        <v>0</v>
      </c>
      <c r="I51" s="117">
        <f t="shared" si="27"/>
        <v>0</v>
      </c>
      <c r="J51" s="116" t="str">
        <f t="shared" si="60"/>
        <v>Lewis (1852–1908: #35)</v>
      </c>
      <c r="K51" s="116" t="str">
        <f t="shared" si="43"/>
        <v>Gertrude (1854–1924: #38)</v>
      </c>
      <c r="L51" s="116" t="str">
        <f t="shared" si="61"/>
        <v>Harriet (1856–1921: #40)</v>
      </c>
      <c r="M51" s="116" t="str">
        <f t="shared" si="61"/>
        <v>Dulcie (1858–1905: #42)</v>
      </c>
      <c r="N51" s="116" t="str">
        <f t="shared" si="61"/>
        <v>Harry (1861–1938: #44)</v>
      </c>
      <c r="O51" s="116" t="str">
        <f t="shared" si="61"/>
        <v>William (1863–1923: #46)</v>
      </c>
      <c r="P51" s="116" t="str">
        <f t="shared" si="61"/>
        <v>Caroline (1865–1938: #48)</v>
      </c>
      <c r="Q51" s="116" t="str">
        <f t="shared" si="66"/>
        <v/>
      </c>
      <c r="R51" s="116" t="str">
        <f t="shared" si="66"/>
        <v>Arthur (1868–1911: #50)</v>
      </c>
      <c r="S51" s="117"/>
      <c r="T51" s="117"/>
      <c r="U51" s="117"/>
      <c r="V51" s="117"/>
      <c r="Z51" s="116">
        <f t="shared" si="21"/>
        <v>131</v>
      </c>
      <c r="AA51" s="124">
        <f t="shared" si="56"/>
        <v>3</v>
      </c>
      <c r="AB51" s="281">
        <v>131</v>
      </c>
      <c r="AC51" s="281">
        <v>160</v>
      </c>
      <c r="AD51" s="281">
        <v>162</v>
      </c>
      <c r="AE51" s="281">
        <v>167</v>
      </c>
      <c r="AF51" s="281"/>
      <c r="AG51" s="281"/>
      <c r="AH51" s="281"/>
      <c r="AI51" s="281"/>
      <c r="AJ51" s="282"/>
      <c r="AK51" s="281"/>
      <c r="AL51" s="281"/>
      <c r="AM51" s="272"/>
      <c r="AN51" s="272"/>
      <c r="AO51" s="272"/>
      <c r="AP51" s="272"/>
      <c r="AQ51" s="276">
        <f t="shared" si="4"/>
        <v>3</v>
      </c>
      <c r="AR51" s="117">
        <f t="shared" si="28"/>
        <v>131</v>
      </c>
      <c r="AS51" s="271" t="str">
        <f t="shared" si="57"/>
        <v>John (1982–: #160)</v>
      </c>
      <c r="AT51" s="271" t="str">
        <f t="shared" si="58"/>
        <v>David (1984–: #162)</v>
      </c>
      <c r="AU51" s="271" t="str">
        <f t="shared" si="59"/>
        <v>Ben (1988–: #167)</v>
      </c>
      <c r="AV51" s="271"/>
      <c r="AW51" s="271"/>
      <c r="AX51" s="271"/>
      <c r="BC51" t="str">
        <f t="shared" si="64"/>
        <v>3 – John (1982–: #160) David (1984–: #162) Ben (1988–: #167)</v>
      </c>
      <c r="BH51" s="116">
        <f t="shared" si="5"/>
        <v>90</v>
      </c>
      <c r="BI51" s="3" t="s">
        <v>1471</v>
      </c>
      <c r="BJ51" s="3" t="s">
        <v>4813</v>
      </c>
      <c r="BK51" t="str">
        <f t="shared" si="6"/>
        <v xml:space="preserve">June MARSHAM-TOWNHEND (1942– </v>
      </c>
      <c r="BL51" t="str">
        <f t="shared" si="7"/>
        <v>June MARSHAM-TOWNHEND (1942– : #90a)</v>
      </c>
      <c r="BM51" t="str">
        <f t="shared" si="8"/>
        <v>June MARSHAM-TOWNHEND (1942– : #90a)</v>
      </c>
      <c r="BP51" t="str">
        <f t="shared" si="9"/>
        <v>MARSHAM-TOWNHEND</v>
      </c>
      <c r="BQ51" t="str">
        <f t="shared" si="10"/>
        <v>June</v>
      </c>
      <c r="BR51" s="116" t="str">
        <f t="shared" si="11"/>
        <v>June</v>
      </c>
      <c r="CO51" s="157" t="s">
        <v>1471</v>
      </c>
      <c r="CP51" s="6" t="s">
        <v>2553</v>
      </c>
      <c r="CQ51" s="156" t="s">
        <v>1470</v>
      </c>
      <c r="CR51" s="5"/>
      <c r="CS51" s="5"/>
      <c r="CT51" s="5"/>
      <c r="CU51" s="5">
        <v>1942</v>
      </c>
      <c r="CV51" s="5" t="s">
        <v>3774</v>
      </c>
      <c r="CW51" t="e">
        <f t="shared" si="30"/>
        <v>#VALUE!</v>
      </c>
      <c r="DC51" s="117">
        <f t="shared" si="15"/>
        <v>4</v>
      </c>
      <c r="DD51" s="297">
        <v>4</v>
      </c>
      <c r="DE51">
        <f t="shared" si="16"/>
        <v>6</v>
      </c>
      <c r="DF51" s="117">
        <v>50</v>
      </c>
      <c r="DG51" s="117">
        <f t="shared" si="17"/>
        <v>94</v>
      </c>
      <c r="DH51" s="99" t="str">
        <f t="shared" si="18"/>
        <v>6 – Rob (1949–: #124) Paddy (1951–: #126) Dominic (1953–: #131) Tim (1957–: #136) Alex (1959–: #139) Rick (1962–: #142)</v>
      </c>
    </row>
    <row r="52" spans="1:112" ht="40">
      <c r="A52" s="287">
        <f>'Loyd List 1-190 - Edit'!C52</f>
        <v>50</v>
      </c>
      <c r="B52" s="295" t="str">
        <f>VLOOKUP(A52,'Book Details - NO EDIT'!$U$3:$X$192,4,FALSE)</f>
        <v>Arthur (1868–1911: #50)</v>
      </c>
      <c r="C52" s="287">
        <f>VLOOKUP(A52,'Loyd List 1-190 - Edit'!$P$1:$R$200,3,FALSE)</f>
        <v>23</v>
      </c>
      <c r="D52" s="287">
        <f t="shared" si="25"/>
        <v>8</v>
      </c>
      <c r="E52" s="287">
        <f t="shared" si="2"/>
        <v>1</v>
      </c>
      <c r="F52" s="269" t="str">
        <f t="shared" si="26"/>
        <v xml:space="preserve">8 – Lewis (1852–1908: #35) Gertrude (1854–1924: #38) Harriet (1856–1921: #40) Dulcie (1858–1905: #42) Harry (1861–1938: #44) William (1863–1923: #46) Caroline (1865–1938: #48) Mary (1867–1867: #49) </v>
      </c>
      <c r="G52" s="125" t="str">
        <f>'Loyd Book 2022 - Print'!N52</f>
        <v xml:space="preserve">8 – Lewis (1852–1908: #35) Gertrude (1854–1924: #38) Harriet (1856–1921: #40) Dulcie (1858–1905: #42) Harry (1861–1938: #44) William (1863–1923: #46) Caroline (1865–1938: #48) Mary (1867–1867: #49) </v>
      </c>
      <c r="H52" s="125">
        <f t="shared" si="19"/>
        <v>0</v>
      </c>
      <c r="I52" s="117">
        <f t="shared" si="27"/>
        <v>0</v>
      </c>
      <c r="J52" s="116" t="str">
        <f t="shared" si="60"/>
        <v>Lewis (1852–1908: #35)</v>
      </c>
      <c r="K52" s="116" t="str">
        <f t="shared" si="43"/>
        <v>Gertrude (1854–1924: #38)</v>
      </c>
      <c r="L52" s="116" t="str">
        <f t="shared" si="61"/>
        <v>Harriet (1856–1921: #40)</v>
      </c>
      <c r="M52" s="116" t="str">
        <f t="shared" si="61"/>
        <v>Dulcie (1858–1905: #42)</v>
      </c>
      <c r="N52" s="116" t="str">
        <f t="shared" si="61"/>
        <v>Harry (1861–1938: #44)</v>
      </c>
      <c r="O52" s="116" t="str">
        <f t="shared" si="61"/>
        <v>William (1863–1923: #46)</v>
      </c>
      <c r="P52" s="116" t="str">
        <f t="shared" si="61"/>
        <v>Caroline (1865–1938: #48)</v>
      </c>
      <c r="Q52" s="116" t="str">
        <f t="shared" si="66"/>
        <v>Mary (1867–1867: #49)</v>
      </c>
      <c r="R52" s="116" t="str">
        <f t="shared" si="66"/>
        <v/>
      </c>
      <c r="S52" s="117"/>
      <c r="T52" s="117"/>
      <c r="U52" s="117"/>
      <c r="V52" s="117"/>
      <c r="Z52" s="116">
        <f t="shared" si="21"/>
        <v>135</v>
      </c>
      <c r="AA52" s="124">
        <f t="shared" si="56"/>
        <v>2</v>
      </c>
      <c r="AB52" s="281">
        <v>135</v>
      </c>
      <c r="AC52" s="281">
        <v>173</v>
      </c>
      <c r="AD52" s="281">
        <v>177</v>
      </c>
      <c r="AE52" s="281"/>
      <c r="AF52" s="281"/>
      <c r="AG52" s="281"/>
      <c r="AH52" s="281"/>
      <c r="AI52" s="281"/>
      <c r="AJ52" s="281"/>
      <c r="AK52" s="281"/>
      <c r="AL52" s="281"/>
      <c r="AM52" s="272"/>
      <c r="AN52" s="272"/>
      <c r="AO52" s="272"/>
      <c r="AP52" s="272"/>
      <c r="AQ52" s="276">
        <f t="shared" si="4"/>
        <v>2</v>
      </c>
      <c r="AR52" s="117">
        <f t="shared" si="28"/>
        <v>135</v>
      </c>
      <c r="AS52" s="271" t="str">
        <f t="shared" si="57"/>
        <v>Curtis (1992–: #173)</v>
      </c>
      <c r="AT52" s="271" t="str">
        <f t="shared" si="58"/>
        <v>Spencer (1995–: #177)</v>
      </c>
      <c r="AU52" s="271"/>
      <c r="AV52" s="271"/>
      <c r="AW52" s="271"/>
      <c r="AX52" s="271"/>
      <c r="BC52" t="str">
        <f>_xlfn.CONCAT(AQ52," – ",AS52," ",AT52)</f>
        <v>2 – Curtis (1992–: #173) Spencer (1995–: #177)</v>
      </c>
      <c r="BH52" s="116">
        <f t="shared" si="5"/>
        <v>90</v>
      </c>
      <c r="BI52" s="3" t="s">
        <v>1474</v>
      </c>
      <c r="BJ52" s="3" t="s">
        <v>4814</v>
      </c>
      <c r="BK52" t="str">
        <f t="shared" si="6"/>
        <v xml:space="preserve">Susan MARSHAM-TOWNHEND (1944– </v>
      </c>
      <c r="BL52" t="str">
        <f t="shared" si="7"/>
        <v>Suki MARSHAM-TOWNHEND (1944– : #90b)</v>
      </c>
      <c r="BM52" t="str">
        <f t="shared" si="8"/>
        <v>Susan MARSHAM-TOWNHEND (1944– : #90b)</v>
      </c>
      <c r="BP52" t="str">
        <f t="shared" si="9"/>
        <v>MARSHAM-TOWNHEND</v>
      </c>
      <c r="BQ52" t="str">
        <f t="shared" si="10"/>
        <v>Susan</v>
      </c>
      <c r="BR52" s="116" t="str">
        <f t="shared" si="11"/>
        <v>Suki</v>
      </c>
      <c r="CO52" s="157" t="s">
        <v>1474</v>
      </c>
      <c r="CP52" s="6" t="s">
        <v>2553</v>
      </c>
      <c r="CQ52" s="156" t="s">
        <v>2220</v>
      </c>
      <c r="CR52" s="5"/>
      <c r="CS52" s="5"/>
      <c r="CT52" s="5" t="s">
        <v>3018</v>
      </c>
      <c r="CU52" s="5">
        <v>1944</v>
      </c>
      <c r="CV52" s="5" t="s">
        <v>3774</v>
      </c>
      <c r="CW52" t="e">
        <f t="shared" si="30"/>
        <v>#VALUE!</v>
      </c>
      <c r="DC52" s="117">
        <f t="shared" si="15"/>
        <v>5</v>
      </c>
      <c r="DD52" s="297">
        <v>8</v>
      </c>
      <c r="DE52">
        <f t="shared" si="16"/>
        <v>2</v>
      </c>
      <c r="DF52" s="117">
        <v>51</v>
      </c>
      <c r="DG52" s="117">
        <f t="shared" si="17"/>
        <v>95</v>
      </c>
      <c r="DH52" s="99" t="str">
        <f t="shared" si="18"/>
        <v>2 – Henrietta KNIGHT (1946– : #95a) Ce-Ce KNIGHT (1949–2020: #95b)</v>
      </c>
    </row>
    <row r="53" spans="1:112" ht="20">
      <c r="A53" s="287">
        <f>'Loyd List 1-190 - Edit'!C53</f>
        <v>51</v>
      </c>
      <c r="B53" s="295" t="str">
        <f>VLOOKUP(A53,'Book Details - NO EDIT'!$U$3:$X$192,4,FALSE)</f>
        <v>Lewis (1875–1947: #51)</v>
      </c>
      <c r="C53" s="287">
        <f>VLOOKUP(A53,'Loyd List 1-190 - Edit'!$P$1:$R$200,3,FALSE)</f>
        <v>28</v>
      </c>
      <c r="D53" s="287">
        <f t="shared" si="25"/>
        <v>3</v>
      </c>
      <c r="E53" s="287">
        <f t="shared" si="2"/>
        <v>1</v>
      </c>
      <c r="F53" s="269" t="str">
        <f t="shared" si="26"/>
        <v xml:space="preserve">3 – Tommy (1882–1944: #56) Rt Rev Philip (1884–1952: #58) Kitty (1885–1989: #60)     </v>
      </c>
      <c r="G53" s="125" t="str">
        <f>'Loyd Book 2022 - Print'!N53</f>
        <v xml:space="preserve">3 – Tommy (1882–1944: #56) Rt Rev Philip (1884–1952: #58) Kitty (1885–1989: #60)     </v>
      </c>
      <c r="H53" s="125">
        <f t="shared" si="19"/>
        <v>0</v>
      </c>
      <c r="I53" s="117">
        <f t="shared" si="27"/>
        <v>0</v>
      </c>
      <c r="J53" s="116" t="str">
        <f t="shared" si="60"/>
        <v/>
      </c>
      <c r="K53" s="116" t="str">
        <f t="shared" si="43"/>
        <v>Tommy (1882–1944: #56)</v>
      </c>
      <c r="L53" s="116" t="str">
        <f t="shared" ref="L53:M55" si="68">IF(VLOOKUP($C53,$AB$2:$AN$67,L$1,FALSE)=$A53,"",VLOOKUP(VLOOKUP($C53,$AB$2:$AN$67,L$1,FALSE),$A$1:$B$200,2,FALSE))</f>
        <v>Rt Rev Philip (1884–1952: #58)</v>
      </c>
      <c r="M53" s="116" t="str">
        <f t="shared" si="68"/>
        <v>Kitty (1885–1989: #60)</v>
      </c>
      <c r="N53" s="116"/>
      <c r="O53" s="116"/>
      <c r="P53" s="116"/>
      <c r="Q53" s="116"/>
      <c r="R53" s="116"/>
      <c r="S53" s="117"/>
      <c r="T53" s="117"/>
      <c r="U53" s="117"/>
      <c r="V53" s="117"/>
      <c r="Z53" s="116">
        <f t="shared" si="21"/>
        <v>136</v>
      </c>
      <c r="AA53" s="124">
        <f t="shared" si="56"/>
        <v>3</v>
      </c>
      <c r="AB53" s="281">
        <v>136</v>
      </c>
      <c r="AC53" s="281">
        <v>164</v>
      </c>
      <c r="AD53" s="281">
        <v>165</v>
      </c>
      <c r="AE53" s="281">
        <v>172</v>
      </c>
      <c r="AF53" s="281"/>
      <c r="AG53" s="281"/>
      <c r="AH53" s="281"/>
      <c r="AI53" s="281"/>
      <c r="AJ53" s="281"/>
      <c r="AK53" s="282"/>
      <c r="AL53" s="281"/>
      <c r="AM53" s="272"/>
      <c r="AN53" s="272"/>
      <c r="AO53" s="272"/>
      <c r="AP53" s="272"/>
      <c r="AQ53" s="276">
        <f t="shared" si="4"/>
        <v>3</v>
      </c>
      <c r="AR53" s="117">
        <f t="shared" si="28"/>
        <v>136</v>
      </c>
      <c r="AS53" s="271" t="str">
        <f t="shared" si="57"/>
        <v>Poppy (1984–: #164)</v>
      </c>
      <c r="AT53" s="271" t="str">
        <f t="shared" si="58"/>
        <v>Rose (1986–: #165)</v>
      </c>
      <c r="AU53" s="271" t="str">
        <f t="shared" si="59"/>
        <v>Florina (1991–: #172)</v>
      </c>
      <c r="AV53" s="271"/>
      <c r="AW53" s="271"/>
      <c r="AX53" s="271"/>
      <c r="BC53" t="str">
        <f t="shared" si="64"/>
        <v>3 – Poppy (1984–: #164) Rose (1986–: #165) Florina (1991–: #172)</v>
      </c>
      <c r="BH53" s="116">
        <f t="shared" si="5"/>
        <v>90</v>
      </c>
      <c r="BI53" s="3" t="s">
        <v>1485</v>
      </c>
      <c r="BJ53" s="3" t="s">
        <v>4815</v>
      </c>
      <c r="BK53" t="str">
        <f t="shared" si="6"/>
        <v xml:space="preserve">Jonathan Edmund Stephenson CLARKE (1950– </v>
      </c>
      <c r="BL53" t="str">
        <f t="shared" si="7"/>
        <v>Jonathan CLARKE (1950– : #90c)</v>
      </c>
      <c r="BM53" t="str">
        <f t="shared" si="8"/>
        <v>Jonathan Edmund Stephenson CLARKE (1950– : #90c)</v>
      </c>
      <c r="BP53" t="str">
        <f t="shared" si="9"/>
        <v>CLARKE</v>
      </c>
      <c r="BQ53" t="str">
        <f t="shared" si="10"/>
        <v>Jonathan</v>
      </c>
      <c r="BR53" s="116" t="str">
        <f t="shared" si="11"/>
        <v>Jonathan</v>
      </c>
      <c r="CO53" s="157" t="s">
        <v>1485</v>
      </c>
      <c r="CP53" s="6" t="s">
        <v>1480</v>
      </c>
      <c r="CQ53" s="156" t="s">
        <v>1483</v>
      </c>
      <c r="CR53" s="5" t="s">
        <v>1481</v>
      </c>
      <c r="CS53" s="5" t="s">
        <v>1482</v>
      </c>
      <c r="CT53" s="5"/>
      <c r="CU53" s="5">
        <v>1950</v>
      </c>
      <c r="CV53" s="5" t="s">
        <v>3774</v>
      </c>
      <c r="CW53" t="e">
        <f t="shared" si="30"/>
        <v>#VALUE!</v>
      </c>
      <c r="DC53" s="117">
        <f t="shared" si="15"/>
        <v>6</v>
      </c>
      <c r="DD53" s="297">
        <v>9</v>
      </c>
      <c r="DE53">
        <f t="shared" si="16"/>
        <v>2</v>
      </c>
      <c r="DF53" s="117">
        <v>52</v>
      </c>
      <c r="DG53" s="117">
        <f t="shared" si="17"/>
        <v>96</v>
      </c>
      <c r="DH53" s="99" t="str">
        <f t="shared" si="18"/>
        <v>2 – Caroline (1947–2022: #120) David (1949–: #121)</v>
      </c>
    </row>
    <row r="54" spans="1:112" ht="40">
      <c r="A54" s="287">
        <f>'Loyd List 1-190 - Edit'!C54</f>
        <v>52</v>
      </c>
      <c r="B54" s="295" t="str">
        <f>VLOOKUP(A54,'Book Details - NO EDIT'!$U$3:$X$192,4,FALSE)</f>
        <v>Lewis (1880–1918: #52)</v>
      </c>
      <c r="C54" s="287">
        <f>VLOOKUP(A54,'Loyd List 1-190 - Edit'!$P$1:$R$200,3,FALSE)</f>
        <v>41</v>
      </c>
      <c r="D54" s="287">
        <f t="shared" si="25"/>
        <v>4</v>
      </c>
      <c r="E54" s="287">
        <f t="shared" si="2"/>
        <v>1</v>
      </c>
      <c r="F54" s="269" t="str">
        <f t="shared" si="26"/>
        <v xml:space="preserve">4 – Edward (1881–1962: #53) Evelyn (1885–1962: #59) Mary (1887–1968: #63) Cecily (1891–1891: #74)    </v>
      </c>
      <c r="G54" s="125" t="str">
        <f>'Loyd Book 2022 - Print'!N54</f>
        <v xml:space="preserve">4 – Edward (1881–1962: #53) Evelyn (1885–1962: #59) Mary (1887–1968: #63) Cecily (1891–1891: #74)    </v>
      </c>
      <c r="H54" s="125">
        <f t="shared" si="19"/>
        <v>0</v>
      </c>
      <c r="I54" s="117">
        <f t="shared" si="27"/>
        <v>0</v>
      </c>
      <c r="J54" s="116" t="str">
        <f t="shared" si="60"/>
        <v/>
      </c>
      <c r="K54" s="116" t="str">
        <f t="shared" si="43"/>
        <v>Edward (1881–1962: #53)</v>
      </c>
      <c r="L54" s="116" t="str">
        <f t="shared" si="68"/>
        <v>Evelyn (1885–1962: #59)</v>
      </c>
      <c r="M54" s="116" t="str">
        <f t="shared" si="68"/>
        <v>Mary (1887–1968: #63)</v>
      </c>
      <c r="N54" s="116" t="str">
        <f>IF(VLOOKUP($C54,$AB$2:$AN$67,N$1,FALSE)=$A54,"",VLOOKUP(VLOOKUP($C54,$AB$2:$AN$67,N$1,FALSE),$A$1:$B$200,2,FALSE))</f>
        <v>Cecily (1891–1891: #74)</v>
      </c>
      <c r="O54" s="116"/>
      <c r="P54" s="116"/>
      <c r="Q54" s="116"/>
      <c r="R54" s="116"/>
      <c r="S54" s="117"/>
      <c r="T54" s="117"/>
      <c r="U54" s="117"/>
      <c r="V54" s="117"/>
      <c r="Z54" s="116">
        <f t="shared" si="21"/>
        <v>138</v>
      </c>
      <c r="AA54" s="124">
        <f t="shared" si="56"/>
        <v>3</v>
      </c>
      <c r="AB54" s="281">
        <v>138</v>
      </c>
      <c r="AC54" s="281">
        <v>168</v>
      </c>
      <c r="AD54" s="281">
        <v>170</v>
      </c>
      <c r="AE54" s="281">
        <v>175</v>
      </c>
      <c r="AF54" s="281"/>
      <c r="AG54" s="281"/>
      <c r="AH54" s="281"/>
      <c r="AI54" s="281"/>
      <c r="AJ54" s="282"/>
      <c r="AK54" s="281"/>
      <c r="AL54" s="281"/>
      <c r="AM54" s="272"/>
      <c r="AN54" s="272"/>
      <c r="AO54" s="272"/>
      <c r="AP54" s="272"/>
      <c r="AQ54" s="276">
        <f t="shared" si="4"/>
        <v>3</v>
      </c>
      <c r="AR54" s="117">
        <f t="shared" si="28"/>
        <v>138</v>
      </c>
      <c r="AS54" s="271" t="str">
        <f t="shared" si="57"/>
        <v>Camilla (1988–: #168)</v>
      </c>
      <c r="AT54" s="271" t="str">
        <f t="shared" si="58"/>
        <v>Sophie (1989–: #170)</v>
      </c>
      <c r="AU54" s="271" t="str">
        <f t="shared" si="59"/>
        <v>Kit (1993–: #175)</v>
      </c>
      <c r="AV54" s="271"/>
      <c r="AW54" s="271"/>
      <c r="AX54" s="271"/>
      <c r="BC54" t="str">
        <f t="shared" si="64"/>
        <v>3 – Camilla (1988–: #168) Sophie (1989–: #170) Kit (1993–: #175)</v>
      </c>
      <c r="BH54" s="116">
        <f t="shared" si="5"/>
        <v>92</v>
      </c>
      <c r="BI54" s="3" t="s">
        <v>1498</v>
      </c>
      <c r="BJ54" s="3" t="s">
        <v>4816</v>
      </c>
      <c r="BK54" t="str">
        <f t="shared" si="6"/>
        <v xml:space="preserve">Timothy William Trelawny TATTON-BROWN (1947– </v>
      </c>
      <c r="BL54" t="str">
        <f t="shared" si="7"/>
        <v>Tim TATTON-BROWN (1947– : #92a)</v>
      </c>
      <c r="BM54" t="str">
        <f t="shared" si="8"/>
        <v>Timothy William Trelawny TATTON-BROWN (1947– : #92a)</v>
      </c>
      <c r="BP54" t="str">
        <f t="shared" si="9"/>
        <v>TATTON-BROWN</v>
      </c>
      <c r="BQ54" t="str">
        <f t="shared" si="10"/>
        <v>Timothy</v>
      </c>
      <c r="BR54" s="116" t="str">
        <f t="shared" si="11"/>
        <v>Tim</v>
      </c>
      <c r="CO54" s="157" t="s">
        <v>1498</v>
      </c>
      <c r="CP54" s="6" t="s">
        <v>1494</v>
      </c>
      <c r="CQ54" s="156" t="s">
        <v>919</v>
      </c>
      <c r="CR54" s="5" t="s">
        <v>830</v>
      </c>
      <c r="CS54" s="5" t="s">
        <v>855</v>
      </c>
      <c r="CT54" s="5" t="s">
        <v>1190</v>
      </c>
      <c r="CU54" s="5">
        <v>1947</v>
      </c>
      <c r="CV54" s="5" t="s">
        <v>3774</v>
      </c>
      <c r="CW54" t="e">
        <f t="shared" si="30"/>
        <v>#VALUE!</v>
      </c>
      <c r="DC54" s="117">
        <f t="shared" si="15"/>
        <v>8</v>
      </c>
      <c r="DD54" s="297">
        <v>14</v>
      </c>
      <c r="DE54">
        <f t="shared" si="16"/>
        <v>5</v>
      </c>
      <c r="DF54" s="117">
        <v>53</v>
      </c>
      <c r="DG54" s="117">
        <f t="shared" si="17"/>
        <v>97</v>
      </c>
      <c r="DH54" s="99" t="str">
        <f t="shared" si="18"/>
        <v>5 – Julian SALE (1951– : #97a) Iona SALE (1954– : #97b) Charles SALE (1956–1957: #97c) Roddy SALE (1959– : #97d) Edward SALE (1963– : #97e)</v>
      </c>
    </row>
    <row r="55" spans="1:112" ht="40">
      <c r="A55" s="287">
        <f>'Loyd List 1-190 - Edit'!C55</f>
        <v>53</v>
      </c>
      <c r="B55" s="295" t="str">
        <f>VLOOKUP(A55,'Book Details - NO EDIT'!$U$3:$X$192,4,FALSE)</f>
        <v>Edward (1881–1962: #53)</v>
      </c>
      <c r="C55" s="287">
        <f>VLOOKUP(A55,'Loyd List 1-190 - Edit'!$P$1:$R$200,3,FALSE)</f>
        <v>41</v>
      </c>
      <c r="D55" s="287">
        <f t="shared" si="25"/>
        <v>4</v>
      </c>
      <c r="E55" s="287">
        <f t="shared" si="2"/>
        <v>1</v>
      </c>
      <c r="F55" s="269" t="str">
        <f t="shared" si="26"/>
        <v xml:space="preserve">4 – Lewis (1880–1918: #52)  Evelyn (1885–1962: #59) Mary (1887–1968: #63) Cecily (1891–1891: #74)    </v>
      </c>
      <c r="G55" s="125" t="str">
        <f>'Loyd Book 2022 - Print'!N55</f>
        <v xml:space="preserve">4 – Lewis (1880–1918: #52)  Evelyn (1885–1962: #59) Mary (1887–1968: #63) Cecily (1891–1891: #74)    </v>
      </c>
      <c r="H55" s="125">
        <f t="shared" si="19"/>
        <v>0</v>
      </c>
      <c r="I55" s="117">
        <f t="shared" si="27"/>
        <v>0</v>
      </c>
      <c r="J55" s="116" t="str">
        <f t="shared" si="60"/>
        <v>Lewis (1880–1918: #52)</v>
      </c>
      <c r="K55" s="116" t="str">
        <f t="shared" si="43"/>
        <v/>
      </c>
      <c r="L55" s="116" t="str">
        <f t="shared" si="68"/>
        <v>Evelyn (1885–1962: #59)</v>
      </c>
      <c r="M55" s="116" t="str">
        <f t="shared" si="68"/>
        <v>Mary (1887–1968: #63)</v>
      </c>
      <c r="N55" s="116" t="str">
        <f>IF(VLOOKUP($C55,$AB$2:$AN$67,N$1,FALSE)=$A55,"",VLOOKUP(VLOOKUP($C55,$AB$2:$AN$67,N$1,FALSE),$A$1:$B$200,2,FALSE))</f>
        <v>Cecily (1891–1891: #74)</v>
      </c>
      <c r="O55" s="116"/>
      <c r="P55" s="116"/>
      <c r="Q55" s="116"/>
      <c r="R55" s="116"/>
      <c r="S55" s="117"/>
      <c r="T55" s="117"/>
      <c r="U55" s="117"/>
      <c r="V55" s="117"/>
      <c r="Z55" s="116">
        <f t="shared" si="21"/>
        <v>142</v>
      </c>
      <c r="AA55" s="124">
        <f t="shared" si="56"/>
        <v>2</v>
      </c>
      <c r="AB55" s="281">
        <v>142</v>
      </c>
      <c r="AC55" s="281">
        <v>176</v>
      </c>
      <c r="AD55" s="281">
        <v>179</v>
      </c>
      <c r="AE55" s="281"/>
      <c r="AF55" s="282"/>
      <c r="AG55" s="281"/>
      <c r="AH55" s="281"/>
      <c r="AI55" s="281"/>
      <c r="AJ55" s="281"/>
      <c r="AK55" s="281"/>
      <c r="AL55" s="281"/>
      <c r="AM55" s="272"/>
      <c r="AN55" s="272"/>
      <c r="AO55" s="272"/>
      <c r="AP55" s="272"/>
      <c r="AQ55" s="276">
        <f t="shared" si="4"/>
        <v>2</v>
      </c>
      <c r="AR55" s="117">
        <f t="shared" si="28"/>
        <v>142</v>
      </c>
      <c r="AS55" s="271" t="str">
        <f t="shared" si="57"/>
        <v>Sam (1994–: #176)</v>
      </c>
      <c r="AT55" s="271" t="str">
        <f t="shared" si="58"/>
        <v>Josh (1996–: #179)</v>
      </c>
      <c r="AU55" s="271"/>
      <c r="AV55" s="271"/>
      <c r="AW55" s="271"/>
      <c r="AX55" s="271"/>
      <c r="BC55" t="str">
        <f t="shared" ref="BC55:BC61" si="69">_xlfn.CONCAT(AQ55," – ",AS55," ",AT55)</f>
        <v>2 – Sam (1994–: #176) Josh (1996–: #179)</v>
      </c>
      <c r="BH55" s="116">
        <f t="shared" si="5"/>
        <v>92</v>
      </c>
      <c r="BI55" s="3" t="s">
        <v>1503</v>
      </c>
      <c r="BJ55" s="3" t="s">
        <v>4817</v>
      </c>
      <c r="BK55" t="str">
        <f t="shared" si="6"/>
        <v xml:space="preserve">Giles Eden TATTON-BROWN (1948– </v>
      </c>
      <c r="BL55" t="str">
        <f t="shared" si="7"/>
        <v>Giles TATTON-BROWN (1948– : #92b)</v>
      </c>
      <c r="BM55" t="str">
        <f t="shared" si="8"/>
        <v>Giles Eden TATTON-BROWN (1948– : #92b)</v>
      </c>
      <c r="BP55" t="str">
        <f t="shared" si="9"/>
        <v>TATTON-BROWN</v>
      </c>
      <c r="BQ55" t="str">
        <f t="shared" si="10"/>
        <v>Giles</v>
      </c>
      <c r="BR55" s="116" t="str">
        <f t="shared" si="11"/>
        <v>Giles</v>
      </c>
      <c r="CO55" s="157" t="s">
        <v>1503</v>
      </c>
      <c r="CP55" s="6" t="s">
        <v>1494</v>
      </c>
      <c r="CQ55" s="156" t="s">
        <v>1504</v>
      </c>
      <c r="CR55" s="5" t="s">
        <v>1505</v>
      </c>
      <c r="CS55" s="5"/>
      <c r="CT55" s="5"/>
      <c r="CU55" s="5">
        <v>1948</v>
      </c>
      <c r="CV55" s="5" t="s">
        <v>3774</v>
      </c>
      <c r="CW55" t="e">
        <f t="shared" si="30"/>
        <v>#VALUE!</v>
      </c>
      <c r="DC55" s="117">
        <f t="shared" si="15"/>
        <v>11</v>
      </c>
      <c r="DD55" s="297">
        <v>22</v>
      </c>
      <c r="DE55">
        <f t="shared" si="16"/>
        <v>5</v>
      </c>
      <c r="DF55" s="117">
        <v>54</v>
      </c>
      <c r="DG55" s="117">
        <f t="shared" si="17"/>
        <v>98</v>
      </c>
      <c r="DH55" s="99" t="str">
        <f t="shared" si="18"/>
        <v>5 – Julie (1952–: #128) Penelope (1954–1954: #132) William (1955–: #134) Tony (1963–: #145) Sophie (1969–: #154)</v>
      </c>
    </row>
    <row r="56" spans="1:112" ht="40">
      <c r="A56" s="287">
        <f>'Loyd List 1-190 - Edit'!C56</f>
        <v>54</v>
      </c>
      <c r="B56" s="295" t="str">
        <f>VLOOKUP(A56,'Book Details - NO EDIT'!$U$3:$X$192,4,FALSE)</f>
        <v>Alfred (1882–1919: #54)</v>
      </c>
      <c r="C56" s="287">
        <f>VLOOKUP(A56,'Loyd List 1-190 - Edit'!$P$1:$R$200,3,FALSE)</f>
        <v>32</v>
      </c>
      <c r="D56" s="287">
        <f t="shared" si="25"/>
        <v>1</v>
      </c>
      <c r="E56" s="287">
        <f t="shared" si="2"/>
        <v>1</v>
      </c>
      <c r="F56" s="269" t="str">
        <f t="shared" si="26"/>
        <v xml:space="preserve">1 – Tony/Dodo (1889–1956: #67)       </v>
      </c>
      <c r="G56" s="125" t="str">
        <f>'Loyd Book 2022 - Print'!N56</f>
        <v xml:space="preserve">1 – Tony/Dodo (1889–1956: #67)       </v>
      </c>
      <c r="H56" s="125">
        <f t="shared" si="19"/>
        <v>0</v>
      </c>
      <c r="I56" s="117">
        <f t="shared" si="27"/>
        <v>0</v>
      </c>
      <c r="J56" s="116" t="str">
        <f t="shared" si="60"/>
        <v/>
      </c>
      <c r="K56" s="116" t="str">
        <f t="shared" si="43"/>
        <v>Tony/Dodo (1889–1956: #67)</v>
      </c>
      <c r="L56" s="116"/>
      <c r="M56" s="116"/>
      <c r="N56" s="116"/>
      <c r="O56" s="116"/>
      <c r="P56" s="116"/>
      <c r="Q56" s="116"/>
      <c r="R56" s="116"/>
      <c r="S56" s="117"/>
      <c r="T56" s="117"/>
      <c r="U56" s="117"/>
      <c r="V56" s="117"/>
      <c r="Z56" s="116">
        <f t="shared" si="21"/>
        <v>146</v>
      </c>
      <c r="AA56" s="124">
        <f t="shared" si="56"/>
        <v>2</v>
      </c>
      <c r="AB56" s="281">
        <v>146</v>
      </c>
      <c r="AC56" s="281">
        <v>180</v>
      </c>
      <c r="AD56" s="281">
        <v>182</v>
      </c>
      <c r="AE56" s="282"/>
      <c r="AF56" s="281"/>
      <c r="AG56" s="281"/>
      <c r="AH56" s="281"/>
      <c r="AI56" s="281"/>
      <c r="AJ56" s="281"/>
      <c r="AK56" s="281"/>
      <c r="AL56" s="281"/>
      <c r="AM56" s="272"/>
      <c r="AN56" s="272"/>
      <c r="AO56" s="272"/>
      <c r="AP56" s="272"/>
      <c r="AQ56" s="276">
        <f t="shared" si="4"/>
        <v>2</v>
      </c>
      <c r="AR56" s="117">
        <f t="shared" si="28"/>
        <v>146</v>
      </c>
      <c r="AS56" s="271" t="str">
        <f t="shared" si="57"/>
        <v>George (1998–: #180)</v>
      </c>
      <c r="AT56" s="271" t="str">
        <f t="shared" si="58"/>
        <v>Rosanna (2000–: #182)</v>
      </c>
      <c r="AU56" s="271"/>
      <c r="AV56" s="271"/>
      <c r="AW56" s="271"/>
      <c r="AX56" s="271"/>
      <c r="BC56" t="str">
        <f t="shared" si="69"/>
        <v>2 – George (1998–: #180) Rosanna (2000–: #182)</v>
      </c>
      <c r="BH56" s="116">
        <f t="shared" si="5"/>
        <v>92</v>
      </c>
      <c r="BI56" s="3" t="s">
        <v>1520</v>
      </c>
      <c r="BJ56" s="3" t="s">
        <v>4818</v>
      </c>
      <c r="BK56" t="str">
        <f t="shared" si="6"/>
        <v xml:space="preserve">Anthea Mary TATTON-BROWN (1951– </v>
      </c>
      <c r="BL56" t="str">
        <f t="shared" si="7"/>
        <v>Anthea TATTON-BROWN (1951– : #92c)</v>
      </c>
      <c r="BM56" t="str">
        <f t="shared" si="8"/>
        <v>Anthea Mary TATTON-BROWN (1951– : #92c)</v>
      </c>
      <c r="BP56" t="str">
        <f t="shared" si="9"/>
        <v>TATTON-BROWN</v>
      </c>
      <c r="BQ56" t="str">
        <f t="shared" si="10"/>
        <v>Anthea</v>
      </c>
      <c r="BR56" s="116" t="str">
        <f t="shared" si="11"/>
        <v>Anthea</v>
      </c>
      <c r="CO56" s="157" t="s">
        <v>1520</v>
      </c>
      <c r="CP56" s="6" t="s">
        <v>1494</v>
      </c>
      <c r="CQ56" s="156" t="s">
        <v>1519</v>
      </c>
      <c r="CR56" s="5" t="s">
        <v>870</v>
      </c>
      <c r="CS56" s="5"/>
      <c r="CT56" s="5"/>
      <c r="CU56" s="5">
        <v>1951</v>
      </c>
      <c r="CV56" s="5" t="s">
        <v>3774</v>
      </c>
      <c r="CW56" t="e">
        <f t="shared" si="30"/>
        <v>#VALUE!</v>
      </c>
      <c r="DC56" s="117">
        <f t="shared" si="15"/>
        <v>12</v>
      </c>
      <c r="DD56" s="297">
        <v>23</v>
      </c>
      <c r="DE56">
        <f t="shared" si="16"/>
        <v>2</v>
      </c>
      <c r="DF56" s="117">
        <v>55</v>
      </c>
      <c r="DG56" s="117">
        <f t="shared" si="17"/>
        <v>99</v>
      </c>
      <c r="DH56" s="99" t="str">
        <f t="shared" si="18"/>
        <v>2 – Henrietta (1959–: #137) Andrew (1962–: #144)</v>
      </c>
    </row>
    <row r="57" spans="1:112" ht="40">
      <c r="A57" s="287">
        <f>'Loyd List 1-190 - Edit'!C57</f>
        <v>55</v>
      </c>
      <c r="B57" s="295" t="str">
        <f>VLOOKUP(A57,'Book Details - NO EDIT'!$U$3:$X$192,4,FALSE)</f>
        <v>Dick (1882–1950: #55)</v>
      </c>
      <c r="C57" s="287">
        <f>VLOOKUP(A57,'Loyd List 1-190 - Edit'!$P$1:$R$200,3,FALSE)</f>
        <v>35</v>
      </c>
      <c r="D57" s="287">
        <f t="shared" si="25"/>
        <v>2</v>
      </c>
      <c r="E57" s="287">
        <f t="shared" si="2"/>
        <v>1</v>
      </c>
      <c r="F57" s="269" t="str">
        <f t="shared" si="26"/>
        <v xml:space="preserve">2 – Robert (1884–1917: #57) Gertrude (1887–1917: #64)      </v>
      </c>
      <c r="G57" s="125" t="str">
        <f>'Loyd Book 2022 - Print'!N57</f>
        <v xml:space="preserve">2 – Robert (1884–1917: #57) Gertrude (1887–1917: #64)      </v>
      </c>
      <c r="H57" s="125">
        <f t="shared" si="19"/>
        <v>0</v>
      </c>
      <c r="I57" s="117">
        <f t="shared" si="27"/>
        <v>0</v>
      </c>
      <c r="J57" s="116" t="str">
        <f t="shared" si="60"/>
        <v/>
      </c>
      <c r="K57" s="116" t="str">
        <f t="shared" si="43"/>
        <v>Robert (1884–1917: #57)</v>
      </c>
      <c r="L57" s="116" t="str">
        <f t="shared" ref="L57:L68" si="70">IF(VLOOKUP($C57,$AB$2:$AN$67,L$1,FALSE)=$A57,"",VLOOKUP(VLOOKUP($C57,$AB$2:$AN$67,L$1,FALSE),$A$1:$B$200,2,FALSE))</f>
        <v>Gertrude (1887–1917: #64)</v>
      </c>
      <c r="M57" s="116"/>
      <c r="N57" s="116"/>
      <c r="O57" s="116"/>
      <c r="P57" s="116"/>
      <c r="Q57" s="116"/>
      <c r="R57" s="116"/>
      <c r="S57" s="117"/>
      <c r="T57" s="117"/>
      <c r="U57" s="117"/>
      <c r="V57" s="117"/>
      <c r="Z57" s="116">
        <f t="shared" si="21"/>
        <v>149</v>
      </c>
      <c r="AA57" s="124">
        <f t="shared" si="56"/>
        <v>1</v>
      </c>
      <c r="AB57" s="281">
        <v>149</v>
      </c>
      <c r="AC57" s="281">
        <v>184</v>
      </c>
      <c r="AD57" s="281"/>
      <c r="AE57" s="281"/>
      <c r="AF57" s="281"/>
      <c r="AG57" s="281"/>
      <c r="AH57" s="281"/>
      <c r="AI57" s="281"/>
      <c r="AJ57" s="281"/>
      <c r="AK57" s="281"/>
      <c r="AL57" s="281"/>
      <c r="AM57" s="272"/>
      <c r="AN57" s="272"/>
      <c r="AO57" s="272"/>
      <c r="AP57" s="272"/>
      <c r="AQ57" s="276">
        <f t="shared" si="4"/>
        <v>1</v>
      </c>
      <c r="AR57" s="117">
        <f t="shared" si="28"/>
        <v>149</v>
      </c>
      <c r="AS57" s="271" t="str">
        <f t="shared" si="57"/>
        <v>Delilah (2006–: #184)</v>
      </c>
      <c r="AT57" s="271"/>
      <c r="AU57" s="271"/>
      <c r="AV57" s="271"/>
      <c r="AW57" s="271"/>
      <c r="AX57" s="271"/>
      <c r="BC57" t="str">
        <f t="shared" ref="BC57" si="71">_xlfn.CONCAT(AQ57," – ",AS57,)</f>
        <v>1 – Delilah (2006–: #184)</v>
      </c>
      <c r="BH57" s="116">
        <f t="shared" si="5"/>
        <v>92</v>
      </c>
      <c r="BI57" s="3" t="s">
        <v>1521</v>
      </c>
      <c r="BJ57" s="3" t="s">
        <v>4819</v>
      </c>
      <c r="BK57" t="str">
        <f t="shared" si="6"/>
        <v xml:space="preserve">Frances Maud TATTON-BROWN (1954– </v>
      </c>
      <c r="BL57" t="str">
        <f t="shared" si="7"/>
        <v>Fanny TATTON-BROWN (1954– : #92d)</v>
      </c>
      <c r="BM57" t="str">
        <f t="shared" si="8"/>
        <v>Frances Maud TATTON-BROWN (1954– : #92d)</v>
      </c>
      <c r="BP57" t="str">
        <f t="shared" si="9"/>
        <v>TATTON-BROWN</v>
      </c>
      <c r="BQ57" t="str">
        <f t="shared" si="10"/>
        <v>Frances</v>
      </c>
      <c r="BR57" s="116" t="str">
        <f t="shared" si="11"/>
        <v>Fanny</v>
      </c>
      <c r="CO57" s="157" t="s">
        <v>1521</v>
      </c>
      <c r="CP57" s="6" t="s">
        <v>1494</v>
      </c>
      <c r="CQ57" s="156" t="s">
        <v>1036</v>
      </c>
      <c r="CR57" s="5" t="s">
        <v>854</v>
      </c>
      <c r="CS57" s="5"/>
      <c r="CT57" s="5" t="s">
        <v>2015</v>
      </c>
      <c r="CU57" s="5">
        <v>1954</v>
      </c>
      <c r="CV57" s="5" t="s">
        <v>3774</v>
      </c>
      <c r="CW57" t="e">
        <f t="shared" si="30"/>
        <v>#VALUE!</v>
      </c>
      <c r="DC57" s="117">
        <f t="shared" si="15"/>
        <v>13</v>
      </c>
      <c r="DD57" s="297">
        <v>28</v>
      </c>
      <c r="DE57">
        <f t="shared" si="16"/>
        <v>3</v>
      </c>
      <c r="DF57" s="117">
        <v>56</v>
      </c>
      <c r="DG57" s="117">
        <f t="shared" si="17"/>
        <v>100</v>
      </c>
      <c r="DH57" s="99" t="str">
        <f t="shared" si="18"/>
        <v>3 – Thomas (1959–: #138) Harriet (1962–: #143) James (1966–: #150)</v>
      </c>
    </row>
    <row r="58" spans="1:112" ht="20">
      <c r="A58" s="287">
        <f>'Loyd List 1-190 - Edit'!C58</f>
        <v>56</v>
      </c>
      <c r="B58" s="295" t="str">
        <f>VLOOKUP(A58,'Book Details - NO EDIT'!$U$3:$X$192,4,FALSE)</f>
        <v>Tommy (1882–1944: #56)</v>
      </c>
      <c r="C58" s="287">
        <f>VLOOKUP(A58,'Loyd List 1-190 - Edit'!$P$1:$R$200,3,FALSE)</f>
        <v>28</v>
      </c>
      <c r="D58" s="287">
        <f t="shared" si="25"/>
        <v>3</v>
      </c>
      <c r="E58" s="287">
        <f t="shared" si="2"/>
        <v>1</v>
      </c>
      <c r="F58" s="269" t="str">
        <f t="shared" si="26"/>
        <v xml:space="preserve">3 – Lewis (1875–1947: #51)  Rt Rev Philip (1884–1952: #58) Kitty (1885–1989: #60)     </v>
      </c>
      <c r="G58" s="125" t="str">
        <f>'Loyd Book 2022 - Print'!N58</f>
        <v xml:space="preserve">3 – Lewis (1875–1947: #51)  Rt Rev Philip (1884–1952: #58) Kitty (1885–1989: #60)     </v>
      </c>
      <c r="H58" s="125">
        <f t="shared" si="19"/>
        <v>0</v>
      </c>
      <c r="I58" s="117">
        <f t="shared" si="27"/>
        <v>0</v>
      </c>
      <c r="J58" s="116" t="str">
        <f t="shared" si="60"/>
        <v>Lewis (1875–1947: #51)</v>
      </c>
      <c r="K58" s="116" t="str">
        <f t="shared" si="43"/>
        <v/>
      </c>
      <c r="L58" s="116" t="str">
        <f t="shared" si="70"/>
        <v>Rt Rev Philip (1884–1952: #58)</v>
      </c>
      <c r="M58" s="116" t="str">
        <f>IF(VLOOKUP($C58,$AB$2:$AN$67,M$1,FALSE)=$A58,"",VLOOKUP(VLOOKUP($C58,$AB$2:$AN$67,M$1,FALSE),$A$1:$B$200,2,FALSE))</f>
        <v>Kitty (1885–1989: #60)</v>
      </c>
      <c r="N58" s="116"/>
      <c r="O58" s="116"/>
      <c r="P58" s="116"/>
      <c r="Q58" s="116"/>
      <c r="R58" s="116"/>
      <c r="S58" s="117"/>
      <c r="T58" s="117"/>
      <c r="U58" s="117"/>
      <c r="V58" s="117"/>
      <c r="Z58" s="116">
        <f t="shared" si="21"/>
        <v>150</v>
      </c>
      <c r="AA58" s="124">
        <f t="shared" si="56"/>
        <v>2</v>
      </c>
      <c r="AB58" s="281">
        <v>150</v>
      </c>
      <c r="AC58" s="281">
        <v>178</v>
      </c>
      <c r="AD58" s="281">
        <v>181</v>
      </c>
      <c r="AE58" s="281"/>
      <c r="AF58" s="282"/>
      <c r="AG58" s="281"/>
      <c r="AH58" s="281"/>
      <c r="AI58" s="281"/>
      <c r="AJ58" s="281"/>
      <c r="AK58" s="281"/>
      <c r="AL58" s="281"/>
      <c r="AM58" s="272"/>
      <c r="AN58" s="272"/>
      <c r="AO58" s="272"/>
      <c r="AP58" s="272"/>
      <c r="AQ58" s="276">
        <f t="shared" si="4"/>
        <v>2</v>
      </c>
      <c r="AR58" s="117">
        <f t="shared" si="28"/>
        <v>150</v>
      </c>
      <c r="AS58" s="271" t="str">
        <f t="shared" si="57"/>
        <v>William (1996–: #178)</v>
      </c>
      <c r="AT58" s="271" t="str">
        <f t="shared" si="58"/>
        <v>Eliza (1999–: #181)</v>
      </c>
      <c r="AU58" s="271"/>
      <c r="AV58" s="271"/>
      <c r="AW58" s="271"/>
      <c r="AX58" s="271"/>
      <c r="BC58" t="str">
        <f t="shared" si="69"/>
        <v>2 – William (1996–: #178) Eliza (1999–: #181)</v>
      </c>
      <c r="BH58" s="116">
        <f t="shared" si="5"/>
        <v>95</v>
      </c>
      <c r="BI58" s="3" t="s">
        <v>1529</v>
      </c>
      <c r="BJ58" s="3" t="s">
        <v>4820</v>
      </c>
      <c r="BK58" t="str">
        <f t="shared" si="6"/>
        <v xml:space="preserve">Henrietta Catherine KNIGHT (1946– </v>
      </c>
      <c r="BL58" t="str">
        <f t="shared" si="7"/>
        <v>Henrietta KNIGHT (1946– : #95a)</v>
      </c>
      <c r="BM58" t="str">
        <f t="shared" si="8"/>
        <v>Henrietta Catherine KNIGHT (1946– : #95a)</v>
      </c>
      <c r="BP58" t="str">
        <f t="shared" si="9"/>
        <v>KNIGHT</v>
      </c>
      <c r="BQ58" t="str">
        <f t="shared" si="10"/>
        <v>Henrietta</v>
      </c>
      <c r="BR58" s="116" t="str">
        <f t="shared" si="11"/>
        <v>Henrietta</v>
      </c>
      <c r="CO58" s="157" t="s">
        <v>1529</v>
      </c>
      <c r="CP58" s="6" t="s">
        <v>1528</v>
      </c>
      <c r="CQ58" s="156" t="s">
        <v>921</v>
      </c>
      <c r="CR58" s="5" t="s">
        <v>867</v>
      </c>
      <c r="CS58" s="5"/>
      <c r="CT58" s="5"/>
      <c r="CU58" s="5">
        <v>1946</v>
      </c>
      <c r="CV58" s="5" t="s">
        <v>3774</v>
      </c>
      <c r="CW58" t="e">
        <f t="shared" si="30"/>
        <v>#VALUE!</v>
      </c>
      <c r="DC58" s="117">
        <f t="shared" si="15"/>
        <v>14</v>
      </c>
      <c r="DD58" s="297">
        <v>29</v>
      </c>
      <c r="DE58">
        <f t="shared" si="16"/>
        <v>6</v>
      </c>
      <c r="DF58" s="117">
        <v>57</v>
      </c>
      <c r="DG58" s="117">
        <f t="shared" si="17"/>
        <v>101</v>
      </c>
      <c r="DH58" s="99" t="str">
        <f t="shared" si="18"/>
        <v>6 – Lady Selina MEADE (1950– : #101a) Lady Mary MEADE (1952– : #101b) Lady Julia MEADE (1953– : #101c) Lady Laura MEADE (1957– : #101d) Lady Katherine MEADE (1959– : #101e) Lady Sophia MEADE (1963– : #101f)</v>
      </c>
    </row>
    <row r="59" spans="1:112" ht="20">
      <c r="A59" s="287">
        <f>'Loyd List 1-190 - Edit'!C59</f>
        <v>57</v>
      </c>
      <c r="B59" s="295" t="str">
        <f>VLOOKUP(A59,'Book Details - NO EDIT'!$U$3:$X$192,4,FALSE)</f>
        <v>Robert (1884–1917: #57)</v>
      </c>
      <c r="C59" s="287">
        <f>VLOOKUP(A59,'Loyd List 1-190 - Edit'!$P$1:$R$200,3,FALSE)</f>
        <v>35</v>
      </c>
      <c r="D59" s="287">
        <f t="shared" si="25"/>
        <v>2</v>
      </c>
      <c r="E59" s="287">
        <f t="shared" si="2"/>
        <v>1</v>
      </c>
      <c r="F59" s="269" t="str">
        <f t="shared" si="26"/>
        <v xml:space="preserve">2 – Dick (1882–1950: #55)  Gertrude (1887–1917: #64)      </v>
      </c>
      <c r="G59" s="125" t="str">
        <f>'Loyd Book 2022 - Print'!N59</f>
        <v xml:space="preserve">2 – Dick (1882–1950: #55)  Gertrude (1887–1917: #64)      </v>
      </c>
      <c r="H59" s="125">
        <f t="shared" si="19"/>
        <v>0</v>
      </c>
      <c r="I59" s="117">
        <f t="shared" si="27"/>
        <v>0</v>
      </c>
      <c r="J59" s="116" t="str">
        <f t="shared" si="60"/>
        <v>Dick (1882–1950: #55)</v>
      </c>
      <c r="K59" s="116" t="str">
        <f t="shared" ref="K59:K81" si="72">IF(VLOOKUP($C59,$AB$2:$AN$67,K$1,FALSE)=$A59,"",VLOOKUP(VLOOKUP($C59,$AB$2:$AN$67,K$1,FALSE),$A$1:$B$200,2,FALSE))</f>
        <v/>
      </c>
      <c r="L59" s="116" t="str">
        <f t="shared" si="70"/>
        <v>Gertrude (1887–1917: #64)</v>
      </c>
      <c r="M59" s="116"/>
      <c r="N59" s="116"/>
      <c r="O59" s="116"/>
      <c r="P59" s="116"/>
      <c r="Q59" s="116"/>
      <c r="R59" s="116"/>
      <c r="S59" s="117"/>
      <c r="T59" s="117"/>
      <c r="U59" s="117"/>
      <c r="V59" s="117"/>
      <c r="Z59" s="116">
        <f t="shared" si="21"/>
        <v>155</v>
      </c>
      <c r="AA59" s="124">
        <f t="shared" si="56"/>
        <v>3</v>
      </c>
      <c r="AB59" s="281">
        <v>155</v>
      </c>
      <c r="AC59" s="281">
        <v>183</v>
      </c>
      <c r="AD59" s="281">
        <v>185</v>
      </c>
      <c r="AE59" s="281">
        <v>186</v>
      </c>
      <c r="AF59" s="282"/>
      <c r="AG59" s="281"/>
      <c r="AH59" s="281"/>
      <c r="AI59" s="281"/>
      <c r="AJ59" s="281"/>
      <c r="AK59" s="281"/>
      <c r="AL59" s="281"/>
      <c r="AM59" s="272"/>
      <c r="AN59" s="272"/>
      <c r="AO59" s="272"/>
      <c r="AP59" s="272"/>
      <c r="AQ59" s="276">
        <f t="shared" si="4"/>
        <v>3</v>
      </c>
      <c r="AR59" s="117">
        <f t="shared" si="28"/>
        <v>155</v>
      </c>
      <c r="AS59" s="271" t="str">
        <f t="shared" si="57"/>
        <v>Matilda (2006–: #183)</v>
      </c>
      <c r="AT59" s="271" t="str">
        <f t="shared" si="58"/>
        <v>Katherine (2007–: #185)</v>
      </c>
      <c r="AU59" s="271" t="str">
        <f t="shared" si="59"/>
        <v>Henry (2010–: #186)</v>
      </c>
      <c r="AV59" s="271"/>
      <c r="AW59" s="271"/>
      <c r="AX59" s="271"/>
      <c r="BC59" t="str">
        <f t="shared" ref="BC59" si="73">_xlfn.CONCAT(AQ59," – ",AS59," ",AT59," ",AU59)</f>
        <v>3 – Matilda (2006–: #183) Katherine (2007–: #185) Henry (2010–: #186)</v>
      </c>
      <c r="BH59" s="116">
        <f t="shared" si="5"/>
        <v>95</v>
      </c>
      <c r="BI59" s="3" t="s">
        <v>1530</v>
      </c>
      <c r="BJ59" s="3" t="s">
        <v>5181</v>
      </c>
      <c r="BK59" t="str">
        <f t="shared" si="6"/>
        <v>Celia Elizabeth KNIGHT (1949–2020</v>
      </c>
      <c r="BL59" t="str">
        <f t="shared" si="7"/>
        <v>Ce-Ce KNIGHT (1949–2020: #95b)</v>
      </c>
      <c r="BM59" t="str">
        <f t="shared" si="8"/>
        <v>Celia Elizabeth KNIGHT (1949–2020: #95b)</v>
      </c>
      <c r="BP59" t="str">
        <f t="shared" si="9"/>
        <v>KNIGHT</v>
      </c>
      <c r="BQ59" t="str">
        <f t="shared" si="10"/>
        <v>Celia</v>
      </c>
      <c r="BR59" s="116" t="str">
        <f t="shared" si="11"/>
        <v>Ce-Ce</v>
      </c>
      <c r="CO59" s="157" t="s">
        <v>1530</v>
      </c>
      <c r="CP59" s="6" t="s">
        <v>1528</v>
      </c>
      <c r="CQ59" s="156" t="s">
        <v>1531</v>
      </c>
      <c r="CR59" s="5" t="s">
        <v>952</v>
      </c>
      <c r="CS59" s="5"/>
      <c r="CT59" s="5" t="s">
        <v>2650</v>
      </c>
      <c r="CU59" s="5">
        <v>1949</v>
      </c>
      <c r="CV59" s="5">
        <v>2020</v>
      </c>
      <c r="CW59">
        <f t="shared" si="30"/>
        <v>71</v>
      </c>
      <c r="DC59" s="117">
        <f t="shared" si="15"/>
        <v>15</v>
      </c>
      <c r="DD59" s="297">
        <v>30</v>
      </c>
      <c r="DE59">
        <f t="shared" si="16"/>
        <v>3</v>
      </c>
      <c r="DF59" s="117">
        <v>58</v>
      </c>
      <c r="DG59" s="117">
        <f t="shared" si="17"/>
        <v>102</v>
      </c>
      <c r="DH59" s="99" t="str">
        <f t="shared" si="18"/>
        <v xml:space="preserve">3 – Tess DUNLOP (1956– : #102a) Fergus DUNLOP (1958– : #102b) Celina DUNLOP (1960– : #102c) </v>
      </c>
    </row>
    <row r="60" spans="1:112" ht="20">
      <c r="A60" s="287">
        <f>'Loyd List 1-190 - Edit'!C60</f>
        <v>58</v>
      </c>
      <c r="B60" s="295" t="str">
        <f>VLOOKUP(A60,'Book Details - NO EDIT'!$U$3:$X$192,4,FALSE)</f>
        <v>Rt Rev Philip (1884–1952: #58)</v>
      </c>
      <c r="C60" s="287">
        <f>VLOOKUP(A60,'Loyd List 1-190 - Edit'!$P$1:$R$200,3,FALSE)</f>
        <v>28</v>
      </c>
      <c r="D60" s="287">
        <f t="shared" si="25"/>
        <v>3</v>
      </c>
      <c r="E60" s="287">
        <f t="shared" si="2"/>
        <v>1</v>
      </c>
      <c r="F60" s="269" t="str">
        <f t="shared" si="26"/>
        <v xml:space="preserve">3 – Lewis (1875–1947: #51) Tommy (1882–1944: #56)  Kitty (1885–1989: #60)     </v>
      </c>
      <c r="G60" s="125" t="str">
        <f>'Loyd Book 2022 - Print'!N60</f>
        <v xml:space="preserve">3 – Lewis (1875–1947: #51) Tommy (1882–1944: #56)  Kitty (1885–1989: #60)     </v>
      </c>
      <c r="H60" s="125">
        <f t="shared" si="19"/>
        <v>0</v>
      </c>
      <c r="I60" s="117">
        <f t="shared" si="27"/>
        <v>0</v>
      </c>
      <c r="J60" s="116" t="str">
        <f t="shared" si="60"/>
        <v>Lewis (1875–1947: #51)</v>
      </c>
      <c r="K60" s="116" t="str">
        <f t="shared" si="72"/>
        <v>Tommy (1882–1944: #56)</v>
      </c>
      <c r="L60" s="116" t="str">
        <f t="shared" si="70"/>
        <v/>
      </c>
      <c r="M60" s="116" t="str">
        <f t="shared" ref="M60:M65" si="74">IF(VLOOKUP($C60,$AB$2:$AN$67,M$1,FALSE)=$A60,"",VLOOKUP(VLOOKUP($C60,$AB$2:$AN$67,M$1,FALSE),$A$1:$B$200,2,FALSE))</f>
        <v>Kitty (1885–1989: #60)</v>
      </c>
      <c r="N60" s="116"/>
      <c r="O60" s="116"/>
      <c r="P60" s="116"/>
      <c r="Q60" s="116"/>
      <c r="R60" s="116"/>
      <c r="S60" s="117"/>
      <c r="T60" s="117"/>
      <c r="U60" s="117"/>
      <c r="V60" s="117"/>
      <c r="Z60" s="116">
        <f t="shared" si="21"/>
        <v>162</v>
      </c>
      <c r="AA60" s="124">
        <f t="shared" si="56"/>
        <v>2</v>
      </c>
      <c r="AB60" s="281">
        <v>162</v>
      </c>
      <c r="AC60" s="281">
        <v>188</v>
      </c>
      <c r="AD60" s="281">
        <v>189</v>
      </c>
      <c r="AE60" s="281"/>
      <c r="AF60" s="281"/>
      <c r="AG60" s="281"/>
      <c r="AH60" s="281"/>
      <c r="AI60" s="281"/>
      <c r="AJ60" s="281"/>
      <c r="AK60" s="281"/>
      <c r="AL60" s="281"/>
      <c r="AM60" s="272"/>
      <c r="AN60" s="272"/>
      <c r="AO60" s="272"/>
      <c r="AP60" s="272"/>
      <c r="AQ60" s="276">
        <f t="shared" si="4"/>
        <v>2</v>
      </c>
      <c r="AR60" s="117">
        <f t="shared" si="28"/>
        <v>162</v>
      </c>
      <c r="AS60" s="271" t="str">
        <f t="shared" si="57"/>
        <v>Archie (2017–: #188)</v>
      </c>
      <c r="AT60" s="271" t="str">
        <f t="shared" si="58"/>
        <v>Rory (2019–: #189)</v>
      </c>
      <c r="AU60" s="271"/>
      <c r="AV60" s="271"/>
      <c r="AW60" s="271"/>
      <c r="AX60" s="271"/>
      <c r="BC60" t="str">
        <f t="shared" si="69"/>
        <v>2 – Archie (2017–: #188) Rory (2019–: #189)</v>
      </c>
      <c r="BH60" s="116">
        <f t="shared" si="5"/>
        <v>97</v>
      </c>
      <c r="BI60" s="3" t="s">
        <v>1542</v>
      </c>
      <c r="BJ60" s="3" t="s">
        <v>4821</v>
      </c>
      <c r="BK60" t="str">
        <f t="shared" si="6"/>
        <v xml:space="preserve">Julian Edward Loyd SALE (1951– </v>
      </c>
      <c r="BL60" t="str">
        <f t="shared" si="7"/>
        <v>Julian SALE (1951– : #97a)</v>
      </c>
      <c r="BM60" t="str">
        <f t="shared" si="8"/>
        <v>Julian Edward Loyd SALE (1951– : #97a)</v>
      </c>
      <c r="BP60" t="str">
        <f t="shared" si="9"/>
        <v>SALE</v>
      </c>
      <c r="BQ60" t="str">
        <f t="shared" si="10"/>
        <v>Julian</v>
      </c>
      <c r="BR60" s="116" t="str">
        <f t="shared" si="11"/>
        <v>Julian</v>
      </c>
      <c r="CO60" s="157" t="s">
        <v>1542</v>
      </c>
      <c r="CP60" s="6" t="s">
        <v>1541</v>
      </c>
      <c r="CQ60" s="156" t="s">
        <v>982</v>
      </c>
      <c r="CR60" s="5" t="s">
        <v>811</v>
      </c>
      <c r="CS60" s="5" t="s">
        <v>1497</v>
      </c>
      <c r="CT60" s="5"/>
      <c r="CU60" s="5">
        <v>1951</v>
      </c>
      <c r="CV60" s="5" t="s">
        <v>3774</v>
      </c>
      <c r="CW60" t="e">
        <f t="shared" si="30"/>
        <v>#VALUE!</v>
      </c>
      <c r="DC60" s="117">
        <f t="shared" si="15"/>
        <v>16</v>
      </c>
      <c r="DD60" s="297">
        <v>32</v>
      </c>
      <c r="DE60">
        <f t="shared" si="16"/>
        <v>4</v>
      </c>
      <c r="DF60" s="117">
        <v>59</v>
      </c>
      <c r="DG60" s="117">
        <f t="shared" si="17"/>
        <v>103</v>
      </c>
      <c r="DH60" s="99" t="str">
        <f t="shared" si="18"/>
        <v>4 – James GORE-BROWNE (1947– : #103a) Georgina GORE-BROWNE (1949– : #103b) David GORE-BROWNE (1952–2012: #103c) Patrick GORE-BROWNE (1956– : #103d)</v>
      </c>
    </row>
    <row r="61" spans="1:112" ht="20">
      <c r="A61" s="287">
        <f>'Loyd List 1-190 - Edit'!C61</f>
        <v>59</v>
      </c>
      <c r="B61" s="295" t="str">
        <f>VLOOKUP(A61,'Book Details - NO EDIT'!$U$3:$X$192,4,FALSE)</f>
        <v>Evelyn (1885–1962: #59)</v>
      </c>
      <c r="C61" s="287">
        <f>VLOOKUP(A61,'Loyd List 1-190 - Edit'!$P$1:$R$200,3,FALSE)</f>
        <v>41</v>
      </c>
      <c r="D61" s="287">
        <f t="shared" si="25"/>
        <v>4</v>
      </c>
      <c r="E61" s="287">
        <f t="shared" si="2"/>
        <v>1</v>
      </c>
      <c r="F61" s="269" t="str">
        <f t="shared" si="26"/>
        <v xml:space="preserve">4 – Lewis (1880–1918: #52) Edward (1881–1962: #53)  Mary (1887–1968: #63) Cecily (1891–1891: #74)    </v>
      </c>
      <c r="G61" s="125" t="str">
        <f>'Loyd Book 2022 - Print'!N61</f>
        <v xml:space="preserve">4 – Lewis (1880–1918: #52) Edward (1881–1962: #53)  Mary (1887–1968: #63) Cecily (1891–1891: #74)    </v>
      </c>
      <c r="H61" s="125">
        <f t="shared" si="19"/>
        <v>0</v>
      </c>
      <c r="I61" s="117">
        <f t="shared" si="27"/>
        <v>0</v>
      </c>
      <c r="J61" s="116" t="str">
        <f t="shared" si="60"/>
        <v>Lewis (1880–1918: #52)</v>
      </c>
      <c r="K61" s="116" t="str">
        <f t="shared" si="72"/>
        <v>Edward (1881–1962: #53)</v>
      </c>
      <c r="L61" s="116" t="str">
        <f t="shared" si="70"/>
        <v/>
      </c>
      <c r="M61" s="116" t="str">
        <f t="shared" si="74"/>
        <v>Mary (1887–1968: #63)</v>
      </c>
      <c r="N61" s="116" t="str">
        <f>IF(VLOOKUP($C61,$AB$2:$AN$67,N$1,FALSE)=$A61,"",VLOOKUP(VLOOKUP($C61,$AB$2:$AN$67,N$1,FALSE),$A$1:$B$200,2,FALSE))</f>
        <v>Cecily (1891–1891: #74)</v>
      </c>
      <c r="O61" s="116"/>
      <c r="P61" s="116"/>
      <c r="Q61" s="116"/>
      <c r="R61" s="116"/>
      <c r="S61" s="117"/>
      <c r="T61" s="117"/>
      <c r="U61" s="117"/>
      <c r="V61" s="117"/>
      <c r="Z61" s="116">
        <f t="shared" si="21"/>
        <v>167</v>
      </c>
      <c r="AA61" s="124">
        <f t="shared" si="56"/>
        <v>2</v>
      </c>
      <c r="AB61" s="281">
        <v>167</v>
      </c>
      <c r="AC61" s="281">
        <v>187</v>
      </c>
      <c r="AD61" s="281">
        <v>190</v>
      </c>
      <c r="AE61" s="281"/>
      <c r="AF61" s="282"/>
      <c r="AG61" s="281"/>
      <c r="AH61" s="281"/>
      <c r="AI61" s="281"/>
      <c r="AJ61" s="281"/>
      <c r="AK61" s="281"/>
      <c r="AL61" s="281"/>
      <c r="AM61" s="272"/>
      <c r="AN61" s="272"/>
      <c r="AO61" s="272"/>
      <c r="AP61" s="272"/>
      <c r="AQ61" s="276">
        <f t="shared" si="4"/>
        <v>2</v>
      </c>
      <c r="AR61" s="117">
        <f t="shared" si="28"/>
        <v>167</v>
      </c>
      <c r="AS61" s="271" t="str">
        <f t="shared" si="57"/>
        <v>Olivia (2014–: #187)</v>
      </c>
      <c r="AT61" s="271" t="str">
        <f t="shared" si="58"/>
        <v>Daisy (2021–: #190)</v>
      </c>
      <c r="AU61" s="271"/>
      <c r="AV61" s="271"/>
      <c r="AW61" s="271"/>
      <c r="AX61" s="271"/>
      <c r="BC61" t="str">
        <f t="shared" si="69"/>
        <v>2 – Olivia (2014–: #187) Daisy (2021–: #190)</v>
      </c>
      <c r="BH61" s="116">
        <f t="shared" si="5"/>
        <v>97</v>
      </c>
      <c r="BI61" s="3" t="s">
        <v>1547</v>
      </c>
      <c r="BJ61" s="3" t="s">
        <v>4822</v>
      </c>
      <c r="BK61" t="str">
        <f t="shared" si="6"/>
        <v xml:space="preserve">Iona Marian SALE (1954– </v>
      </c>
      <c r="BL61" t="str">
        <f t="shared" si="7"/>
        <v>Iona SALE (1954– : #97b)</v>
      </c>
      <c r="BM61" t="str">
        <f t="shared" si="8"/>
        <v>Iona Marian SALE (1954– : #97b)</v>
      </c>
      <c r="BP61" t="str">
        <f t="shared" si="9"/>
        <v>SALE</v>
      </c>
      <c r="BQ61" t="str">
        <f t="shared" si="10"/>
        <v>Iona</v>
      </c>
      <c r="BR61" s="116" t="str">
        <f t="shared" si="11"/>
        <v>Iona</v>
      </c>
      <c r="CO61" s="157" t="s">
        <v>1547</v>
      </c>
      <c r="CP61" s="6" t="s">
        <v>1541</v>
      </c>
      <c r="CQ61" s="156" t="s">
        <v>1543</v>
      </c>
      <c r="CR61" s="5" t="s">
        <v>1544</v>
      </c>
      <c r="CS61" s="5"/>
      <c r="CT61" s="5"/>
      <c r="CU61" s="5">
        <v>1954</v>
      </c>
      <c r="CV61" s="5" t="s">
        <v>3774</v>
      </c>
      <c r="CW61" t="e">
        <f t="shared" si="30"/>
        <v>#VALUE!</v>
      </c>
      <c r="DC61" s="117">
        <f t="shared" si="15"/>
        <v>17</v>
      </c>
      <c r="DD61" s="297">
        <v>34</v>
      </c>
      <c r="DE61">
        <f t="shared" si="16"/>
        <v>4</v>
      </c>
      <c r="DF61" s="117">
        <v>60</v>
      </c>
      <c r="DG61" s="117">
        <f t="shared" si="17"/>
        <v>104</v>
      </c>
      <c r="DH61" s="99" t="str">
        <f t="shared" si="18"/>
        <v>4 – Alexandra (1961–: #141) Charles (1963–: #146) Toby (1966–1966: #148) Mary Rose (1967–: #152)</v>
      </c>
    </row>
    <row r="62" spans="1:112" ht="20">
      <c r="A62" s="287">
        <f>'Loyd List 1-190 - Edit'!C62</f>
        <v>60</v>
      </c>
      <c r="B62" s="295" t="str">
        <f>VLOOKUP(A62,'Book Details - NO EDIT'!$U$3:$X$192,4,FALSE)</f>
        <v>Kitty (1885–1989: #60)</v>
      </c>
      <c r="C62" s="287">
        <f>VLOOKUP(A62,'Loyd List 1-190 - Edit'!$P$1:$R$200,3,FALSE)</f>
        <v>28</v>
      </c>
      <c r="D62" s="287">
        <f t="shared" si="25"/>
        <v>3</v>
      </c>
      <c r="E62" s="287">
        <f t="shared" si="2"/>
        <v>1</v>
      </c>
      <c r="F62" s="269" t="str">
        <f t="shared" si="26"/>
        <v xml:space="preserve">3 – Lewis (1875–1947: #51) Tommy (1882–1944: #56) Rt Rev Philip (1884–1952: #58)      </v>
      </c>
      <c r="G62" s="125" t="str">
        <f>'Loyd Book 2022 - Print'!N62</f>
        <v xml:space="preserve">3 – Lewis (1875–1947: #51) Tommy (1882–1944: #56) Rt Rev Philip (1884–1952: #58)      </v>
      </c>
      <c r="H62" s="125">
        <f t="shared" si="19"/>
        <v>0</v>
      </c>
      <c r="I62" s="117">
        <f t="shared" si="27"/>
        <v>0</v>
      </c>
      <c r="J62" s="116" t="str">
        <f t="shared" si="60"/>
        <v>Lewis (1875–1947: #51)</v>
      </c>
      <c r="K62" s="116" t="str">
        <f t="shared" si="72"/>
        <v>Tommy (1882–1944: #56)</v>
      </c>
      <c r="L62" s="116" t="str">
        <f t="shared" si="70"/>
        <v>Rt Rev Philip (1884–1952: #58)</v>
      </c>
      <c r="M62" s="116" t="str">
        <f t="shared" si="74"/>
        <v/>
      </c>
      <c r="N62" s="116"/>
      <c r="O62" s="116"/>
      <c r="P62" s="116"/>
      <c r="Q62" s="116"/>
      <c r="R62" s="116"/>
      <c r="S62" s="117"/>
      <c r="T62" s="117"/>
      <c r="U62" s="117"/>
      <c r="V62" s="117"/>
      <c r="AA62" s="124"/>
      <c r="AB62" s="283"/>
      <c r="AC62" s="283"/>
      <c r="AD62" s="283"/>
      <c r="AE62" s="283"/>
      <c r="AF62" s="283"/>
      <c r="AG62" s="283"/>
      <c r="AH62" s="283"/>
      <c r="AI62" s="283"/>
      <c r="AJ62" s="283"/>
      <c r="AK62" s="283"/>
      <c r="AL62" s="283"/>
      <c r="AM62" s="32"/>
      <c r="AN62" s="32"/>
      <c r="AO62" s="32"/>
      <c r="AP62" s="32"/>
      <c r="AQ62" s="276"/>
      <c r="AR62" s="117"/>
      <c r="BH62" s="116">
        <f t="shared" si="5"/>
        <v>97</v>
      </c>
      <c r="BI62" s="3" t="s">
        <v>1548</v>
      </c>
      <c r="BJ62" s="3" t="s">
        <v>5182</v>
      </c>
      <c r="BK62" t="str">
        <f t="shared" si="6"/>
        <v>Charles Robert SALE (1956–1957</v>
      </c>
      <c r="BL62" t="str">
        <f t="shared" si="7"/>
        <v>Charles SALE (1956–1957: #97c)</v>
      </c>
      <c r="BM62" t="str">
        <f t="shared" si="8"/>
        <v>Charles Robert SALE (1956–1957: #97c)</v>
      </c>
      <c r="BP62" t="str">
        <f t="shared" si="9"/>
        <v>SALE</v>
      </c>
      <c r="BQ62" t="str">
        <f t="shared" si="10"/>
        <v>Charles</v>
      </c>
      <c r="BR62" s="116" t="str">
        <f t="shared" si="11"/>
        <v>Charles</v>
      </c>
      <c r="CO62" s="157" t="s">
        <v>1548</v>
      </c>
      <c r="CP62" s="6" t="s">
        <v>1541</v>
      </c>
      <c r="CQ62" s="156" t="s">
        <v>917</v>
      </c>
      <c r="CR62" s="5" t="s">
        <v>902</v>
      </c>
      <c r="CS62" s="5"/>
      <c r="CT62" s="5"/>
      <c r="CU62" s="5">
        <v>1956</v>
      </c>
      <c r="CV62" s="5">
        <v>1957</v>
      </c>
      <c r="CW62">
        <f t="shared" si="30"/>
        <v>1</v>
      </c>
      <c r="DC62" s="117">
        <f t="shared" si="15"/>
        <v>18</v>
      </c>
      <c r="DD62" s="297">
        <v>35</v>
      </c>
      <c r="DE62">
        <f t="shared" si="16"/>
        <v>2</v>
      </c>
      <c r="DF62" s="117">
        <v>61</v>
      </c>
      <c r="DG62" s="117">
        <f t="shared" si="17"/>
        <v>105</v>
      </c>
      <c r="DH62" s="99" t="str">
        <f t="shared" si="18"/>
        <v>2 – Martin (1949–: #122) Jeremy (1954–: #133)</v>
      </c>
    </row>
    <row r="63" spans="1:112" ht="20">
      <c r="A63" s="287">
        <f>'Loyd List 1-190 - Edit'!C63</f>
        <v>61</v>
      </c>
      <c r="B63" s="295" t="str">
        <f>VLOOKUP(A63,'Book Details - NO EDIT'!$U$3:$X$192,4,FALSE)</f>
        <v>Reggie (1886–1961: #61)</v>
      </c>
      <c r="C63" s="287">
        <f>VLOOKUP(A63,'Loyd List 1-190 - Edit'!$P$1:$R$200,3,FALSE)</f>
        <v>30</v>
      </c>
      <c r="D63" s="287">
        <f t="shared" si="25"/>
        <v>3</v>
      </c>
      <c r="E63" s="287">
        <f t="shared" si="2"/>
        <v>1</v>
      </c>
      <c r="F63" s="269" t="str">
        <f t="shared" si="26"/>
        <v xml:space="preserve">3 – Bobby (1887–1977: #62) Geoffrey (1890–1914: #69) Wilfrid (1893–1971: #77)     </v>
      </c>
      <c r="G63" s="125" t="str">
        <f>'Loyd Book 2022 - Print'!N63</f>
        <v xml:space="preserve">3 – Bobby (1887–1977: #62) Geoffrey (1890–1914: #69) Wilfrid (1893–1971: #77)     </v>
      </c>
      <c r="H63" s="125">
        <f t="shared" si="19"/>
        <v>0</v>
      </c>
      <c r="I63" s="117">
        <f t="shared" si="27"/>
        <v>0</v>
      </c>
      <c r="J63" s="116" t="str">
        <f t="shared" si="60"/>
        <v/>
      </c>
      <c r="K63" s="116" t="str">
        <f t="shared" si="72"/>
        <v>Bobby (1887–1977: #62)</v>
      </c>
      <c r="L63" s="116" t="str">
        <f t="shared" si="70"/>
        <v>Geoffrey (1890–1914: #69)</v>
      </c>
      <c r="M63" s="116" t="str">
        <f t="shared" si="74"/>
        <v>Wilfrid (1893–1971: #77)</v>
      </c>
      <c r="N63" s="116"/>
      <c r="O63" s="116"/>
      <c r="P63" s="116"/>
      <c r="Q63" s="116"/>
      <c r="R63" s="116"/>
      <c r="S63" s="117"/>
      <c r="T63" s="117"/>
      <c r="U63" s="117"/>
      <c r="V63" s="117"/>
      <c r="AA63" s="124"/>
      <c r="AB63" s="283"/>
      <c r="AC63" s="283"/>
      <c r="AD63" s="283"/>
      <c r="AE63" s="283"/>
      <c r="AF63" s="283"/>
      <c r="AG63" s="283"/>
      <c r="AH63" s="283"/>
      <c r="AI63" s="283"/>
      <c r="AJ63" s="283"/>
      <c r="AK63" s="283"/>
      <c r="AL63" s="283"/>
      <c r="AM63" s="32"/>
      <c r="AN63" s="32"/>
      <c r="AO63" s="32"/>
      <c r="AP63" s="32"/>
      <c r="AQ63" s="276"/>
      <c r="AR63" s="117"/>
      <c r="BH63" s="116">
        <f t="shared" si="5"/>
        <v>97</v>
      </c>
      <c r="BI63" s="3" t="s">
        <v>1551</v>
      </c>
      <c r="BJ63" s="3" t="s">
        <v>4823</v>
      </c>
      <c r="BK63" t="str">
        <f t="shared" si="6"/>
        <v xml:space="preserve">Roderick Peter Abell SALE (1959– </v>
      </c>
      <c r="BL63" t="str">
        <f t="shared" si="7"/>
        <v>Roddy SALE (1959– : #97d)</v>
      </c>
      <c r="BM63" t="str">
        <f t="shared" si="8"/>
        <v>Roderick Peter Abell SALE (1959– : #97d)</v>
      </c>
      <c r="BP63" t="str">
        <f t="shared" si="9"/>
        <v>SALE</v>
      </c>
      <c r="BQ63" t="str">
        <f t="shared" si="10"/>
        <v>Roderick</v>
      </c>
      <c r="BR63" s="116" t="str">
        <f t="shared" si="11"/>
        <v>Roddy</v>
      </c>
      <c r="CO63" s="157" t="s">
        <v>1551</v>
      </c>
      <c r="CP63" s="6" t="s">
        <v>1541</v>
      </c>
      <c r="CQ63" s="156" t="s">
        <v>1549</v>
      </c>
      <c r="CR63" s="5" t="s">
        <v>865</v>
      </c>
      <c r="CS63" s="5" t="s">
        <v>2972</v>
      </c>
      <c r="CT63" s="5" t="s">
        <v>2971</v>
      </c>
      <c r="CU63" s="5">
        <v>1959</v>
      </c>
      <c r="CV63" s="5" t="s">
        <v>3774</v>
      </c>
      <c r="CW63" t="e">
        <f t="shared" si="30"/>
        <v>#VALUE!</v>
      </c>
      <c r="DC63" s="117">
        <f t="shared" si="15"/>
        <v>20</v>
      </c>
      <c r="DD63" s="297">
        <v>41</v>
      </c>
      <c r="DE63">
        <f t="shared" si="16"/>
        <v>2</v>
      </c>
      <c r="DF63" s="117">
        <v>62</v>
      </c>
      <c r="DG63" s="117">
        <f t="shared" si="17"/>
        <v>106</v>
      </c>
      <c r="DH63" s="99" t="str">
        <f t="shared" si="18"/>
        <v>2 – The Hon Geva WINN (1955– : #106a) Charles WINN (1959– : #106b)</v>
      </c>
    </row>
    <row r="64" spans="1:112" ht="20">
      <c r="A64" s="287">
        <f>'Loyd List 1-190 - Edit'!C64</f>
        <v>62</v>
      </c>
      <c r="B64" s="295" t="str">
        <f>VLOOKUP(A64,'Book Details - NO EDIT'!$U$3:$X$192,4,FALSE)</f>
        <v>Bobby (1887–1977: #62)</v>
      </c>
      <c r="C64" s="287">
        <f>VLOOKUP(A64,'Loyd List 1-190 - Edit'!$P$1:$R$200,3,FALSE)</f>
        <v>30</v>
      </c>
      <c r="D64" s="287">
        <f t="shared" si="25"/>
        <v>3</v>
      </c>
      <c r="E64" s="287">
        <f t="shared" si="2"/>
        <v>1</v>
      </c>
      <c r="F64" s="269" t="str">
        <f t="shared" si="26"/>
        <v xml:space="preserve">3 – Reggie (1886–1961: #61)  Geoffrey (1890–1914: #69) Wilfrid (1893–1971: #77)     </v>
      </c>
      <c r="G64" s="125" t="str">
        <f>'Loyd Book 2022 - Print'!N64</f>
        <v xml:space="preserve">3 – Reggie (1886–1961: #61)  Geoffrey (1890–1914: #69) Wilfrid (1893–1971: #77)     </v>
      </c>
      <c r="H64" s="125">
        <f t="shared" si="19"/>
        <v>0</v>
      </c>
      <c r="I64" s="117">
        <f t="shared" si="27"/>
        <v>0</v>
      </c>
      <c r="J64" s="116" t="str">
        <f t="shared" si="60"/>
        <v>Reggie (1886–1961: #61)</v>
      </c>
      <c r="K64" s="116" t="str">
        <f t="shared" si="72"/>
        <v/>
      </c>
      <c r="L64" s="116" t="str">
        <f t="shared" si="70"/>
        <v>Geoffrey (1890–1914: #69)</v>
      </c>
      <c r="M64" s="116" t="str">
        <f t="shared" si="74"/>
        <v>Wilfrid (1893–1971: #77)</v>
      </c>
      <c r="N64" s="116"/>
      <c r="O64" s="116"/>
      <c r="P64" s="116"/>
      <c r="Q64" s="116"/>
      <c r="R64" s="116"/>
      <c r="S64" s="117"/>
      <c r="T64" s="117"/>
      <c r="U64" s="117"/>
      <c r="V64" s="117"/>
      <c r="AA64" s="124"/>
      <c r="AB64" s="283"/>
      <c r="AC64" s="283"/>
      <c r="AD64" s="283"/>
      <c r="AE64" s="283"/>
      <c r="AF64" s="283"/>
      <c r="AG64" s="283"/>
      <c r="AH64" s="283"/>
      <c r="AI64" s="283"/>
      <c r="AJ64" s="283"/>
      <c r="AK64" s="283"/>
      <c r="AL64" s="283"/>
      <c r="AM64" s="32"/>
      <c r="AN64" s="32"/>
      <c r="AO64" s="32"/>
      <c r="AP64" s="32"/>
      <c r="AQ64" s="276"/>
      <c r="AR64" s="117"/>
      <c r="BH64" s="116">
        <f t="shared" si="5"/>
        <v>97</v>
      </c>
      <c r="BI64" s="3" t="s">
        <v>1552</v>
      </c>
      <c r="BJ64" s="3" t="s">
        <v>4824</v>
      </c>
      <c r="BK64" t="str">
        <f t="shared" si="6"/>
        <v xml:space="preserve">Edward John Andrew SALE (1963– </v>
      </c>
      <c r="BL64" t="str">
        <f t="shared" si="7"/>
        <v>Edward SALE (1963– : #97e)</v>
      </c>
      <c r="BM64" t="str">
        <f t="shared" si="8"/>
        <v>Edward John Andrew SALE (1963– : #97e)</v>
      </c>
      <c r="BP64" t="str">
        <f t="shared" si="9"/>
        <v>SALE</v>
      </c>
      <c r="BQ64" t="str">
        <f t="shared" si="10"/>
        <v>Edward</v>
      </c>
      <c r="BR64" s="116" t="str">
        <f t="shared" si="11"/>
        <v>Edward</v>
      </c>
      <c r="CO64" s="157" t="s">
        <v>1552</v>
      </c>
      <c r="CP64" s="6" t="s">
        <v>1541</v>
      </c>
      <c r="CQ64" s="156" t="s">
        <v>811</v>
      </c>
      <c r="CR64" s="5" t="s">
        <v>842</v>
      </c>
      <c r="CS64" s="5" t="s">
        <v>885</v>
      </c>
      <c r="CT64" s="5"/>
      <c r="CU64" s="5">
        <v>1963</v>
      </c>
      <c r="CV64" s="5" t="s">
        <v>3774</v>
      </c>
      <c r="CW64" t="e">
        <f t="shared" si="30"/>
        <v>#VALUE!</v>
      </c>
      <c r="DC64" s="117">
        <f t="shared" si="15"/>
        <v>22</v>
      </c>
      <c r="DD64" s="297">
        <v>44</v>
      </c>
      <c r="DE64">
        <f t="shared" si="16"/>
        <v>5</v>
      </c>
      <c r="DF64" s="117">
        <v>63</v>
      </c>
      <c r="DG64" s="117">
        <f t="shared" si="17"/>
        <v>107</v>
      </c>
      <c r="DH64" s="99" t="str">
        <f t="shared" si="18"/>
        <v>5 – Lorraine GRAHAM (1951– : #107a) Nora ORR (1955– : #107b) Michael ORR (1956– : #107c) Ted ORR (1959– : #107d) Heather ORR (1970– : #107e)</v>
      </c>
    </row>
    <row r="65" spans="1:112" ht="20">
      <c r="A65" s="287">
        <f>'Loyd List 1-190 - Edit'!C65</f>
        <v>63</v>
      </c>
      <c r="B65" s="295" t="str">
        <f>VLOOKUP(A65,'Book Details - NO EDIT'!$U$3:$X$192,4,FALSE)</f>
        <v>Mary (1887–1968: #63)</v>
      </c>
      <c r="C65" s="287">
        <f>VLOOKUP(A65,'Loyd List 1-190 - Edit'!$P$1:$R$200,3,FALSE)</f>
        <v>41</v>
      </c>
      <c r="D65" s="287">
        <f t="shared" si="25"/>
        <v>4</v>
      </c>
      <c r="E65" s="287">
        <f t="shared" si="2"/>
        <v>1</v>
      </c>
      <c r="F65" s="269" t="str">
        <f t="shared" si="26"/>
        <v xml:space="preserve">4 – Lewis (1880–1918: #52) Edward (1881–1962: #53) Evelyn (1885–1962: #59)  Cecily (1891–1891: #74)    </v>
      </c>
      <c r="G65" s="125" t="str">
        <f>'Loyd Book 2022 - Print'!N65</f>
        <v xml:space="preserve">4 – Lewis (1880–1918: #52) Edward (1881–1962: #53) Evelyn (1885–1962: #59)  Cecily (1891–1891: #74)    </v>
      </c>
      <c r="H65" s="125">
        <f t="shared" si="19"/>
        <v>0</v>
      </c>
      <c r="I65" s="117">
        <f t="shared" si="27"/>
        <v>0</v>
      </c>
      <c r="J65" s="116" t="str">
        <f t="shared" si="60"/>
        <v>Lewis (1880–1918: #52)</v>
      </c>
      <c r="K65" s="116" t="str">
        <f t="shared" si="72"/>
        <v>Edward (1881–1962: #53)</v>
      </c>
      <c r="L65" s="116" t="str">
        <f t="shared" si="70"/>
        <v>Evelyn (1885–1962: #59)</v>
      </c>
      <c r="M65" s="116" t="str">
        <f t="shared" si="74"/>
        <v/>
      </c>
      <c r="N65" s="116" t="str">
        <f>IF(VLOOKUP($C65,$AB$2:$AN$67,N$1,FALSE)=$A65,"",VLOOKUP(VLOOKUP($C65,$AB$2:$AN$67,N$1,FALSE),$A$1:$B$200,2,FALSE))</f>
        <v>Cecily (1891–1891: #74)</v>
      </c>
      <c r="O65" s="116"/>
      <c r="P65" s="116"/>
      <c r="Q65" s="116"/>
      <c r="R65" s="116"/>
      <c r="S65" s="117"/>
      <c r="T65" s="117"/>
      <c r="U65" s="117"/>
      <c r="V65" s="117"/>
      <c r="AA65" s="124"/>
      <c r="AB65" s="283"/>
      <c r="AC65" s="283"/>
      <c r="AD65" s="283"/>
      <c r="AE65" s="283"/>
      <c r="AF65" s="283"/>
      <c r="AG65" s="283"/>
      <c r="AH65" s="283"/>
      <c r="AI65" s="283"/>
      <c r="AJ65" s="283"/>
      <c r="AK65" s="283"/>
      <c r="AL65" s="283"/>
      <c r="AM65" s="32"/>
      <c r="AN65" s="32"/>
      <c r="AO65" s="32"/>
      <c r="AP65" s="32"/>
      <c r="AQ65" s="276"/>
      <c r="AR65" s="117"/>
      <c r="BH65" s="116">
        <f t="shared" si="5"/>
        <v>101</v>
      </c>
      <c r="BI65" s="3" t="s">
        <v>1560</v>
      </c>
      <c r="BJ65" s="3" t="s">
        <v>4825</v>
      </c>
      <c r="BK65" t="str">
        <f t="shared" si="6"/>
        <v xml:space="preserve">Lady Selina Catherine MEADE (1950– </v>
      </c>
      <c r="BL65" t="str">
        <f t="shared" si="7"/>
        <v>Lady Selina MEADE (1950– : #101a)</v>
      </c>
      <c r="BM65" t="str">
        <f t="shared" si="8"/>
        <v>Lady Selina Catherine MEADE (1950– : #101a)</v>
      </c>
      <c r="BP65" t="str">
        <f t="shared" si="9"/>
        <v>MEADE</v>
      </c>
      <c r="BQ65" t="str">
        <f t="shared" si="10"/>
        <v>Lady Selina</v>
      </c>
      <c r="BR65" s="116" t="str">
        <f t="shared" si="11"/>
        <v>Lady Selina</v>
      </c>
      <c r="CO65" s="157" t="s">
        <v>1560</v>
      </c>
      <c r="CP65" s="6" t="s">
        <v>1559</v>
      </c>
      <c r="CQ65" s="156" t="s">
        <v>1558</v>
      </c>
      <c r="CR65" s="5" t="s">
        <v>867</v>
      </c>
      <c r="CS65" s="5"/>
      <c r="CT65" s="5"/>
      <c r="CU65" s="5">
        <v>1950</v>
      </c>
      <c r="CV65" s="5" t="s">
        <v>3774</v>
      </c>
      <c r="CW65" t="e">
        <f t="shared" si="30"/>
        <v>#VALUE!</v>
      </c>
      <c r="DC65" s="117">
        <f t="shared" si="15"/>
        <v>23</v>
      </c>
      <c r="DD65" s="297">
        <v>45</v>
      </c>
      <c r="DE65">
        <f t="shared" si="16"/>
        <v>4</v>
      </c>
      <c r="DF65" s="117">
        <v>64</v>
      </c>
      <c r="DG65" s="117">
        <f t="shared" si="17"/>
        <v>108</v>
      </c>
      <c r="DH65" s="99" t="str">
        <f t="shared" si="18"/>
        <v>4 – Frances HOYLE (1953– : #108a) Richard HOYLE (1956– : #108b) David HOYLE (1961– : #108c) Peter HOYLE (1963– : #108d)</v>
      </c>
    </row>
    <row r="66" spans="1:112" ht="20">
      <c r="A66" s="287">
        <f>'Loyd List 1-190 - Edit'!C66</f>
        <v>64</v>
      </c>
      <c r="B66" s="295" t="str">
        <f>VLOOKUP(A66,'Book Details - NO EDIT'!$U$3:$X$192,4,FALSE)</f>
        <v>Gertrude (1887–1917: #64)</v>
      </c>
      <c r="C66" s="287">
        <f>VLOOKUP(A66,'Loyd List 1-190 - Edit'!$P$1:$R$200,3,FALSE)</f>
        <v>35</v>
      </c>
      <c r="D66" s="287">
        <f t="shared" si="25"/>
        <v>2</v>
      </c>
      <c r="E66" s="287">
        <f t="shared" si="2"/>
        <v>1</v>
      </c>
      <c r="F66" s="269" t="str">
        <f t="shared" si="26"/>
        <v xml:space="preserve">2 – Dick (1882–1950: #55) Robert (1884–1917: #57)       </v>
      </c>
      <c r="G66" s="125" t="str">
        <f>'Loyd Book 2022 - Print'!N66</f>
        <v xml:space="preserve">2 – Dick (1882–1950: #55) Robert (1884–1917: #57)       </v>
      </c>
      <c r="H66" s="125">
        <f t="shared" si="19"/>
        <v>0</v>
      </c>
      <c r="I66" s="117">
        <f t="shared" si="27"/>
        <v>0</v>
      </c>
      <c r="J66" s="116" t="str">
        <f t="shared" si="60"/>
        <v>Dick (1882–1950: #55)</v>
      </c>
      <c r="K66" s="116" t="str">
        <f t="shared" si="72"/>
        <v>Robert (1884–1917: #57)</v>
      </c>
      <c r="L66" s="116" t="str">
        <f t="shared" si="70"/>
        <v/>
      </c>
      <c r="M66" s="116"/>
      <c r="N66" s="116"/>
      <c r="O66" s="116"/>
      <c r="P66" s="116"/>
      <c r="Q66" s="116"/>
      <c r="R66" s="116"/>
      <c r="S66" s="117"/>
      <c r="T66" s="117"/>
      <c r="U66" s="117"/>
      <c r="V66" s="117"/>
      <c r="AA66" s="124"/>
      <c r="AB66" s="283"/>
      <c r="AC66" s="283"/>
      <c r="AD66" s="283"/>
      <c r="AE66" s="283"/>
      <c r="AF66" s="283"/>
      <c r="AG66" s="283"/>
      <c r="AH66" s="283"/>
      <c r="AI66" s="283"/>
      <c r="AJ66" s="283"/>
      <c r="AK66" s="283"/>
      <c r="AL66" s="283"/>
      <c r="AM66" s="32"/>
      <c r="AN66" s="32"/>
      <c r="AO66" s="32"/>
      <c r="AP66" s="32"/>
      <c r="AQ66" s="276"/>
      <c r="AR66" s="117"/>
      <c r="BH66" s="116">
        <f t="shared" si="5"/>
        <v>101</v>
      </c>
      <c r="BI66" s="3" t="s">
        <v>1567</v>
      </c>
      <c r="BJ66" s="3" t="s">
        <v>4826</v>
      </c>
      <c r="BK66" t="str">
        <f t="shared" si="6"/>
        <v xml:space="preserve">Lady Mary Jane MEADE (1952– </v>
      </c>
      <c r="BL66" t="str">
        <f t="shared" si="7"/>
        <v>Lady Mary MEADE (1952– : #101b)</v>
      </c>
      <c r="BM66" t="str">
        <f t="shared" si="8"/>
        <v>Lady Mary Jane MEADE (1952– : #101b)</v>
      </c>
      <c r="BP66" t="str">
        <f t="shared" si="9"/>
        <v>MEADE</v>
      </c>
      <c r="BQ66" t="str">
        <f t="shared" si="10"/>
        <v>Lady Mary</v>
      </c>
      <c r="BR66" s="116" t="str">
        <f t="shared" si="11"/>
        <v>Lady Mary</v>
      </c>
      <c r="CO66" s="157" t="s">
        <v>1567</v>
      </c>
      <c r="CP66" s="6" t="s">
        <v>1559</v>
      </c>
      <c r="CQ66" s="156" t="s">
        <v>1566</v>
      </c>
      <c r="CR66" s="5" t="s">
        <v>922</v>
      </c>
      <c r="CS66" s="5"/>
      <c r="CT66" s="5"/>
      <c r="CU66" s="5">
        <v>1952</v>
      </c>
      <c r="CV66" s="5" t="s">
        <v>3774</v>
      </c>
      <c r="CW66" t="e">
        <f t="shared" si="30"/>
        <v>#VALUE!</v>
      </c>
      <c r="DC66" s="117">
        <f t="shared" si="15"/>
        <v>24</v>
      </c>
      <c r="DD66" s="297">
        <v>46</v>
      </c>
      <c r="DE66">
        <f t="shared" si="16"/>
        <v>2</v>
      </c>
      <c r="DF66" s="117">
        <v>65</v>
      </c>
      <c r="DG66" s="117">
        <f t="shared" si="17"/>
        <v>109</v>
      </c>
      <c r="DH66" s="99" t="str">
        <f t="shared" si="18"/>
        <v>2 – Jennet WALTON (1964– : #109a) Timothy WALTON (1967– : #109b)</v>
      </c>
    </row>
    <row r="67" spans="1:112" ht="20">
      <c r="A67" s="287">
        <f>'Loyd List 1-190 - Edit'!C67</f>
        <v>65</v>
      </c>
      <c r="B67" s="295" t="str">
        <f>VLOOKUP(A67,'Book Details - NO EDIT'!$U$3:$X$192,4,FALSE)</f>
        <v>Nan (1889–1967: #65)</v>
      </c>
      <c r="C67" s="287">
        <f>VLOOKUP(A67,'Loyd List 1-190 - Edit'!$P$1:$R$200,3,FALSE)</f>
        <v>34</v>
      </c>
      <c r="D67" s="287">
        <f t="shared" si="25"/>
        <v>2</v>
      </c>
      <c r="E67" s="287">
        <f t="shared" ref="E67:E130" si="75">COUNTIF($AC$3:$AN$61,A67)</f>
        <v>1</v>
      </c>
      <c r="F67" s="269" t="str">
        <f t="shared" si="26"/>
        <v xml:space="preserve">2 – Arthur (1890–1974: #71) Edward (1893–1932: #76)      </v>
      </c>
      <c r="G67" s="125" t="str">
        <f>'Loyd Book 2022 - Print'!N67</f>
        <v xml:space="preserve">2 – Arthur (1890–1974: #71) Edward (1893–1932: #76)      </v>
      </c>
      <c r="H67" s="125">
        <f t="shared" si="19"/>
        <v>0</v>
      </c>
      <c r="I67" s="117">
        <f t="shared" si="27"/>
        <v>0</v>
      </c>
      <c r="J67" s="116" t="str">
        <f t="shared" si="60"/>
        <v/>
      </c>
      <c r="K67" s="116" t="str">
        <f t="shared" si="72"/>
        <v>Arthur (1890–1974: #71)</v>
      </c>
      <c r="L67" s="116" t="str">
        <f t="shared" si="70"/>
        <v>Edward (1893–1932: #76)</v>
      </c>
      <c r="M67" s="116"/>
      <c r="N67" s="116"/>
      <c r="O67" s="116"/>
      <c r="P67" s="116"/>
      <c r="Q67" s="116"/>
      <c r="R67" s="116"/>
      <c r="S67" s="117"/>
      <c r="T67" s="117"/>
      <c r="U67" s="117"/>
      <c r="V67" s="117"/>
      <c r="AA67" s="124"/>
      <c r="AB67" s="283"/>
      <c r="AC67" s="283"/>
      <c r="AD67" s="283"/>
      <c r="AE67" s="283"/>
      <c r="AF67" s="283"/>
      <c r="AG67" s="283"/>
      <c r="AH67" s="283"/>
      <c r="AI67" s="283"/>
      <c r="AJ67" s="283"/>
      <c r="AK67" s="283"/>
      <c r="AL67" s="283"/>
      <c r="AM67" s="32"/>
      <c r="AN67" s="32"/>
      <c r="AO67" s="32"/>
      <c r="AP67" s="32"/>
      <c r="AQ67" s="276"/>
      <c r="AR67" s="117"/>
      <c r="BH67" s="116">
        <f t="shared" ref="BH67:BH130" si="76">VALUE(IF(LEN(BI67)=2,LEFT(BI67,1),IF(LEN(BI67)=3,LEFT(BI67,2),IF(LEN(BI67)=4,LEFT(BI67,3)))))</f>
        <v>101</v>
      </c>
      <c r="BI67" s="3" t="s">
        <v>1579</v>
      </c>
      <c r="BJ67" s="3" t="s">
        <v>4827</v>
      </c>
      <c r="BK67" t="str">
        <f t="shared" ref="BK67:BK130" si="77">LEFT(BJ67,LEN(BJ67)-1)</f>
        <v xml:space="preserve">Lady Julia Elizabeth MEADE (1953– </v>
      </c>
      <c r="BL67" t="str">
        <f t="shared" ref="BL67:BL130" si="78">_xlfn.CONCAT(BR67," ",BP67," (",CU67,"–",CV67,": #",BI67,")")</f>
        <v>Lady Julia MEADE (1953– : #101c)</v>
      </c>
      <c r="BM67" t="str">
        <f t="shared" ref="BM67:BM130" si="79">_xlfn.CONCAT(BK67,": #",BI67,")")</f>
        <v>Lady Julia Elizabeth MEADE (1953– : #101c)</v>
      </c>
      <c r="BP67" t="str">
        <f t="shared" ref="BP67:BP130" si="80">VLOOKUP(BI67,$CO$1:$CV$291,2,FALSE)</f>
        <v>MEADE</v>
      </c>
      <c r="BQ67" t="str">
        <f t="shared" ref="BQ67:BQ130" si="81">VLOOKUP($BI67,$CO$1:$CV$291,3,FALSE)</f>
        <v>Lady Julia</v>
      </c>
      <c r="BR67" s="116" t="str">
        <f t="shared" ref="BR67:BR130" si="82">IF(VLOOKUP($BI67,$CO$1:$CV$291,6,FALSE)=0,BQ67,VLOOKUP($BI67,$CO$1:$CV$291,6,FALSE))</f>
        <v>Lady Julia</v>
      </c>
      <c r="CO67" s="157" t="s">
        <v>1579</v>
      </c>
      <c r="CP67" s="6" t="s">
        <v>1559</v>
      </c>
      <c r="CQ67" s="156" t="s">
        <v>1578</v>
      </c>
      <c r="CR67" s="5" t="s">
        <v>952</v>
      </c>
      <c r="CS67" s="5"/>
      <c r="CT67" s="5"/>
      <c r="CU67" s="5">
        <v>1953</v>
      </c>
      <c r="CV67" s="5" t="s">
        <v>3774</v>
      </c>
      <c r="CW67" t="e">
        <f t="shared" si="30"/>
        <v>#VALUE!</v>
      </c>
      <c r="DC67" s="117">
        <f t="shared" ref="DC67:DC106" si="83">106-RANK(DD67,$DD$2:$DD$106)</f>
        <v>27</v>
      </c>
      <c r="DD67" s="297">
        <v>52</v>
      </c>
      <c r="DE67">
        <f t="shared" ref="DE67:DE106" si="84">VALUE(LEFT(DH67,1))</f>
        <v>4</v>
      </c>
      <c r="DF67" s="117">
        <v>66</v>
      </c>
      <c r="DG67" s="117">
        <f t="shared" ref="DG67:DG106" si="85">VALUE(VLOOKUP(DF67,$DC$2:$DD$106,2,FALSE))</f>
        <v>110</v>
      </c>
      <c r="DH67" s="99" t="str">
        <f t="shared" ref="DH67:DH106" si="86">IF(ISNA(VLOOKUP(VALUE(DG67),$AR$2:$BC$61,12,FALSE)),VLOOKUP(VALUE(DG67),$BS$2:$BT$48,2,FALSE),VLOOKUP(VALUE(DG67),$AR$2:$BC$61,12,FALSE))</f>
        <v>4 – John BOYCE (1961– : #110a) Joanna BOYCE (1963– : #110b) Robert BOYCE (1964– : #110c) Paula BOYCE (1966– : #110d)</v>
      </c>
    </row>
    <row r="68" spans="1:112" ht="20">
      <c r="A68" s="287">
        <f>'Loyd List 1-190 - Edit'!C68</f>
        <v>66</v>
      </c>
      <c r="B68" s="295" t="str">
        <f>VLOOKUP(A68,'Book Details - NO EDIT'!$U$3:$X$192,4,FALSE)</f>
        <v>William (1889–1947: #66)</v>
      </c>
      <c r="C68" s="287">
        <f>VLOOKUP(A68,'Loyd List 1-190 - Edit'!$P$1:$R$200,3,FALSE)</f>
        <v>44</v>
      </c>
      <c r="D68" s="287">
        <f t="shared" si="25"/>
        <v>2</v>
      </c>
      <c r="E68" s="287">
        <f t="shared" si="75"/>
        <v>1</v>
      </c>
      <c r="F68" s="269" t="str">
        <f t="shared" si="26"/>
        <v xml:space="preserve">2 – Charles (1891–1973: #72) Reginald (1885–1917: #81)      </v>
      </c>
      <c r="G68" s="125" t="str">
        <f>'Loyd Book 2022 - Print'!N68</f>
        <v xml:space="preserve">2 – Charles (1891–1973: #72) Reginald (1885–1917: #81)      </v>
      </c>
      <c r="H68" s="125">
        <f t="shared" ref="H68:H131" si="87">VALUE(LEFT(F68,1))-VALUE(LEFT(G68,1))</f>
        <v>0</v>
      </c>
      <c r="I68" s="117">
        <f t="shared" si="27"/>
        <v>0</v>
      </c>
      <c r="J68" s="116" t="str">
        <f t="shared" si="60"/>
        <v/>
      </c>
      <c r="K68" s="116" t="str">
        <f t="shared" si="72"/>
        <v>Charles (1891–1973: #72)</v>
      </c>
      <c r="L68" s="116" t="str">
        <f t="shared" si="70"/>
        <v>Reginald (1885–1917: #81)</v>
      </c>
      <c r="M68" s="116"/>
      <c r="N68" s="116"/>
      <c r="O68" s="116"/>
      <c r="P68" s="116"/>
      <c r="Q68" s="116"/>
      <c r="R68" s="116"/>
      <c r="S68" s="117"/>
      <c r="T68" s="117"/>
      <c r="U68" s="117"/>
      <c r="V68" s="117"/>
      <c r="AA68" s="124"/>
      <c r="AQ68" s="276"/>
      <c r="AR68" s="117"/>
      <c r="BH68" s="116">
        <f t="shared" si="76"/>
        <v>101</v>
      </c>
      <c r="BI68" s="3" t="s">
        <v>1587</v>
      </c>
      <c r="BJ68" s="3" t="s">
        <v>4828</v>
      </c>
      <c r="BK68" t="str">
        <f t="shared" si="77"/>
        <v xml:space="preserve">Lady Laura Louise MEADE (1957– </v>
      </c>
      <c r="BL68" t="str">
        <f t="shared" si="78"/>
        <v>Lady Laura MEADE (1957– : #101d)</v>
      </c>
      <c r="BM68" t="str">
        <f t="shared" si="79"/>
        <v>Lady Laura Louise MEADE (1957– : #101d)</v>
      </c>
      <c r="BP68" t="str">
        <f t="shared" si="80"/>
        <v>MEADE</v>
      </c>
      <c r="BQ68" t="str">
        <f t="shared" si="81"/>
        <v>Lady Laura</v>
      </c>
      <c r="BR68" s="116" t="str">
        <f t="shared" si="82"/>
        <v>Lady Laura</v>
      </c>
      <c r="CO68" s="157" t="s">
        <v>1587</v>
      </c>
      <c r="CP68" s="6" t="s">
        <v>1559</v>
      </c>
      <c r="CQ68" s="156" t="s">
        <v>1586</v>
      </c>
      <c r="CR68" s="5" t="s">
        <v>1436</v>
      </c>
      <c r="CS68" s="5"/>
      <c r="CT68" s="5"/>
      <c r="CU68" s="5">
        <v>1957</v>
      </c>
      <c r="CV68" s="5" t="s">
        <v>3774</v>
      </c>
      <c r="CW68" t="e">
        <f t="shared" si="30"/>
        <v>#VALUE!</v>
      </c>
      <c r="DC68" s="117">
        <f t="shared" si="83"/>
        <v>28</v>
      </c>
      <c r="DD68" s="297">
        <v>53</v>
      </c>
      <c r="DE68">
        <f t="shared" si="84"/>
        <v>4</v>
      </c>
      <c r="DF68" s="117">
        <v>67</v>
      </c>
      <c r="DG68" s="117">
        <f t="shared" si="85"/>
        <v>112</v>
      </c>
      <c r="DH68" s="99" t="str">
        <f t="shared" si="86"/>
        <v>4 – Kevin DOWNES (1958– : #112a) Lynda DOWNES (1960– : #112b) Graeme DOWNES (1961– : #112c) Lesley DOWNES (1963– : #112d)</v>
      </c>
    </row>
    <row r="69" spans="1:112" ht="35">
      <c r="A69" s="287">
        <f>'Loyd List 1-190 - Edit'!C69</f>
        <v>67</v>
      </c>
      <c r="B69" s="295" t="str">
        <f>VLOOKUP(A69,'Book Details - NO EDIT'!$U$3:$X$192,4,FALSE)</f>
        <v>Tony/Dodo (1889–1956: #67)</v>
      </c>
      <c r="C69" s="287">
        <f>VLOOKUP(A69,'Loyd List 1-190 - Edit'!$P$1:$R$200,3,FALSE)</f>
        <v>32</v>
      </c>
      <c r="D69" s="287">
        <f t="shared" ref="D69:D132" si="88">VLOOKUP(C69,$Z$3:$AA$67,2,FALSE)-1</f>
        <v>1</v>
      </c>
      <c r="E69" s="287">
        <f t="shared" si="75"/>
        <v>1</v>
      </c>
      <c r="F69" s="269" t="str">
        <f t="shared" ref="F69:F132" si="89">IF(D69=0,"0 – Only Child",IF(J69="",_xlfn.CONCAT(D69," – ",K69," ",L69," ",M69," ",N69," ",O69," ",P69," ",Q69," ",R69),_xlfn.CONCAT(D69," – ",J69," ",K69," ",L69," ",M69," ",N69," ",O69," ",P69," ",Q69," ",R69)))</f>
        <v xml:space="preserve">1 – Alfred (1882–1919: #54)        </v>
      </c>
      <c r="G69" s="125" t="str">
        <f>'Loyd Book 2022 - Print'!N69</f>
        <v xml:space="preserve">1 – Alfred (1882–1919: #54)        </v>
      </c>
      <c r="H69" s="125">
        <f t="shared" si="87"/>
        <v>0</v>
      </c>
      <c r="I69" s="117">
        <f t="shared" ref="I69:I132" si="90">10-COUNTIF(J69:R69,"")-1-D69</f>
        <v>0</v>
      </c>
      <c r="J69" s="116" t="str">
        <f t="shared" si="60"/>
        <v>Alfred (1882–1919: #54)</v>
      </c>
      <c r="K69" s="116" t="str">
        <f t="shared" si="72"/>
        <v/>
      </c>
      <c r="L69" s="116"/>
      <c r="M69" s="116"/>
      <c r="N69" s="116"/>
      <c r="O69" s="116"/>
      <c r="P69" s="116"/>
      <c r="Q69" s="116"/>
      <c r="R69" s="116"/>
      <c r="S69" s="117"/>
      <c r="T69" s="117"/>
      <c r="U69" s="117"/>
      <c r="V69" s="117"/>
      <c r="AA69" s="124"/>
      <c r="AQ69" s="276"/>
      <c r="AR69" s="117"/>
      <c r="BH69" s="116">
        <f t="shared" si="76"/>
        <v>101</v>
      </c>
      <c r="BI69" s="3" t="s">
        <v>1598</v>
      </c>
      <c r="BJ69" s="3" t="s">
        <v>4829</v>
      </c>
      <c r="BK69" t="str">
        <f t="shared" si="77"/>
        <v xml:space="preserve">Lady Katherine Anne MEADE (1959– </v>
      </c>
      <c r="BL69" t="str">
        <f t="shared" si="78"/>
        <v>Lady Katherine MEADE (1959– : #101e)</v>
      </c>
      <c r="BM69" t="str">
        <f t="shared" si="79"/>
        <v>Lady Katherine Anne MEADE (1959– : #101e)</v>
      </c>
      <c r="BP69" t="str">
        <f t="shared" si="80"/>
        <v>MEADE</v>
      </c>
      <c r="BQ69" t="str">
        <f t="shared" si="81"/>
        <v>Lady Katherine</v>
      </c>
      <c r="BR69" s="116" t="str">
        <f t="shared" si="82"/>
        <v>Lady Katherine</v>
      </c>
      <c r="CO69" s="157" t="s">
        <v>1598</v>
      </c>
      <c r="CP69" s="6" t="s">
        <v>1559</v>
      </c>
      <c r="CQ69" s="156" t="s">
        <v>1597</v>
      </c>
      <c r="CR69" s="5" t="s">
        <v>839</v>
      </c>
      <c r="CS69" s="5"/>
      <c r="CT69" s="5"/>
      <c r="CU69" s="5">
        <v>1959</v>
      </c>
      <c r="CV69" s="5" t="s">
        <v>3774</v>
      </c>
      <c r="CW69" t="e">
        <f t="shared" ref="CW69:CW132" si="91">CV69-CU69</f>
        <v>#VALUE!</v>
      </c>
      <c r="DC69" s="117">
        <f t="shared" si="83"/>
        <v>29</v>
      </c>
      <c r="DD69" s="297">
        <v>54</v>
      </c>
      <c r="DE69">
        <f t="shared" si="84"/>
        <v>1</v>
      </c>
      <c r="DF69" s="117">
        <v>68</v>
      </c>
      <c r="DG69" s="117">
        <f t="shared" si="85"/>
        <v>113</v>
      </c>
      <c r="DH69" s="99" t="str">
        <f t="shared" si="86"/>
        <v>1 – Anthony (1966–: #149)</v>
      </c>
    </row>
    <row r="70" spans="1:112" ht="20">
      <c r="A70" s="287">
        <f>'Loyd List 1-190 - Edit'!C70</f>
        <v>68</v>
      </c>
      <c r="B70" s="295" t="str">
        <f>VLOOKUP(A70,'Book Details - NO EDIT'!$U$3:$X$192,4,FALSE)</f>
        <v>Cecil (1890–1963: #68)</v>
      </c>
      <c r="C70" s="287">
        <f>VLOOKUP(A70,'Loyd List 1-190 - Edit'!$P$1:$R$200,3,FALSE)</f>
        <v>45</v>
      </c>
      <c r="D70" s="287">
        <f t="shared" si="88"/>
        <v>3</v>
      </c>
      <c r="E70" s="287">
        <f t="shared" si="75"/>
        <v>1</v>
      </c>
      <c r="F70" s="269" t="str">
        <f t="shared" si="89"/>
        <v xml:space="preserve">3 – Eric (1891–1967: #73) Alwyne (1894–1917: #79) Ruby (1898–1977: #83)     </v>
      </c>
      <c r="G70" s="125" t="str">
        <f>'Loyd Book 2022 - Print'!N70</f>
        <v xml:space="preserve">3 – Eric (1891–1967: #73) Alwyne (1894–1917: #79) Ruby (1898–1977: #83)     </v>
      </c>
      <c r="H70" s="125">
        <f t="shared" si="87"/>
        <v>0</v>
      </c>
      <c r="I70" s="117">
        <f t="shared" si="90"/>
        <v>0</v>
      </c>
      <c r="J70" s="116" t="str">
        <f t="shared" si="60"/>
        <v/>
      </c>
      <c r="K70" s="116" t="str">
        <f t="shared" si="72"/>
        <v>Eric (1891–1967: #73)</v>
      </c>
      <c r="L70" s="116" t="str">
        <f t="shared" ref="L70:M72" si="92">IF(VLOOKUP($C70,$AB$2:$AN$67,L$1,FALSE)=$A70,"",VLOOKUP(VLOOKUP($C70,$AB$2:$AN$67,L$1,FALSE),$A$1:$B$200,2,FALSE))</f>
        <v>Alwyne (1894–1917: #79)</v>
      </c>
      <c r="M70" s="116" t="str">
        <f t="shared" si="92"/>
        <v>Ruby (1898–1977: #83)</v>
      </c>
      <c r="N70" s="116"/>
      <c r="O70" s="116"/>
      <c r="P70" s="116"/>
      <c r="Q70" s="116"/>
      <c r="R70" s="116"/>
      <c r="S70" s="117"/>
      <c r="T70" s="117"/>
      <c r="U70" s="117"/>
      <c r="V70" s="117"/>
      <c r="AA70" s="124"/>
      <c r="BH70" s="116">
        <f t="shared" si="76"/>
        <v>101</v>
      </c>
      <c r="BI70" s="3" t="s">
        <v>1607</v>
      </c>
      <c r="BJ70" s="3" t="s">
        <v>4830</v>
      </c>
      <c r="BK70" t="str">
        <f t="shared" si="77"/>
        <v xml:space="preserve">Lady Sophia Hester MEADE (1963– </v>
      </c>
      <c r="BL70" t="str">
        <f t="shared" si="78"/>
        <v>Lady Sophia MEADE (1963– : #101f)</v>
      </c>
      <c r="BM70" t="str">
        <f t="shared" si="79"/>
        <v>Lady Sophia Hester MEADE (1963– : #101f)</v>
      </c>
      <c r="BP70" t="str">
        <f t="shared" si="80"/>
        <v>MEADE</v>
      </c>
      <c r="BQ70" t="str">
        <f t="shared" si="81"/>
        <v>Lady Sophia</v>
      </c>
      <c r="BR70" s="116" t="str">
        <f t="shared" si="82"/>
        <v>Lady Sophia</v>
      </c>
      <c r="CO70" s="157" t="s">
        <v>1607</v>
      </c>
      <c r="CP70" s="6" t="s">
        <v>1559</v>
      </c>
      <c r="CQ70" s="156" t="s">
        <v>1605</v>
      </c>
      <c r="CR70" s="160" t="s">
        <v>859</v>
      </c>
      <c r="CS70" s="5"/>
      <c r="CT70" s="5"/>
      <c r="CU70" s="5">
        <v>1963</v>
      </c>
      <c r="CV70" s="5" t="s">
        <v>3774</v>
      </c>
      <c r="CW70" t="e">
        <f t="shared" si="91"/>
        <v>#VALUE!</v>
      </c>
      <c r="DC70" s="117">
        <f t="shared" si="83"/>
        <v>30</v>
      </c>
      <c r="DD70" s="297">
        <v>55</v>
      </c>
      <c r="DE70">
        <f t="shared" si="84"/>
        <v>3</v>
      </c>
      <c r="DF70" s="117">
        <v>69</v>
      </c>
      <c r="DG70" s="117">
        <f t="shared" si="85"/>
        <v>114</v>
      </c>
      <c r="DH70" s="99" t="str">
        <f t="shared" si="86"/>
        <v>3 – Tess (1975–: #157) Chloe (1977–: #158) Daisy (1979–: #159)</v>
      </c>
    </row>
    <row r="71" spans="1:112" ht="20">
      <c r="A71" s="287">
        <f>'Loyd List 1-190 - Edit'!C71</f>
        <v>69</v>
      </c>
      <c r="B71" s="295" t="str">
        <f>VLOOKUP(A71,'Book Details - NO EDIT'!$U$3:$X$192,4,FALSE)</f>
        <v>Geoffrey (1890–1914: #69)</v>
      </c>
      <c r="C71" s="287">
        <f>VLOOKUP(A71,'Loyd List 1-190 - Edit'!$P$1:$R$200,3,FALSE)</f>
        <v>30</v>
      </c>
      <c r="D71" s="287">
        <f t="shared" si="88"/>
        <v>3</v>
      </c>
      <c r="E71" s="287">
        <f t="shared" si="75"/>
        <v>1</v>
      </c>
      <c r="F71" s="269" t="str">
        <f t="shared" si="89"/>
        <v xml:space="preserve">3 – Reggie (1886–1961: #61) Bobby (1887–1977: #62)  Wilfrid (1893–1971: #77)     </v>
      </c>
      <c r="G71" s="125" t="str">
        <f>'Loyd Book 2022 - Print'!N71</f>
        <v xml:space="preserve">3 – Reggie (1886–1961: #61) Bobby (1887–1977: #62)  Wilfrid (1893–1971: #77)     </v>
      </c>
      <c r="H71" s="125">
        <f t="shared" si="87"/>
        <v>0</v>
      </c>
      <c r="I71" s="117">
        <f t="shared" si="90"/>
        <v>0</v>
      </c>
      <c r="J71" s="116" t="str">
        <f t="shared" si="60"/>
        <v>Reggie (1886–1961: #61)</v>
      </c>
      <c r="K71" s="116" t="str">
        <f t="shared" si="72"/>
        <v>Bobby (1887–1977: #62)</v>
      </c>
      <c r="L71" s="116" t="str">
        <f t="shared" si="92"/>
        <v/>
      </c>
      <c r="M71" s="116" t="str">
        <f t="shared" si="92"/>
        <v>Wilfrid (1893–1971: #77)</v>
      </c>
      <c r="N71" s="116"/>
      <c r="O71" s="116"/>
      <c r="P71" s="116"/>
      <c r="Q71" s="116"/>
      <c r="R71" s="116"/>
      <c r="S71" s="117"/>
      <c r="T71" s="117"/>
      <c r="U71" s="117"/>
      <c r="V71" s="117"/>
      <c r="AA71" s="124"/>
      <c r="BH71" s="116">
        <f t="shared" si="76"/>
        <v>102</v>
      </c>
      <c r="BI71" s="3" t="s">
        <v>1617</v>
      </c>
      <c r="BJ71" s="3" t="s">
        <v>4831</v>
      </c>
      <c r="BK71" t="str">
        <f t="shared" si="77"/>
        <v xml:space="preserve">Teressa Mary DUNLOP (1956– </v>
      </c>
      <c r="BL71" t="str">
        <f t="shared" si="78"/>
        <v>Tess DUNLOP (1956– : #102a)</v>
      </c>
      <c r="BM71" t="str">
        <f t="shared" si="79"/>
        <v>Teressa Mary DUNLOP (1956– : #102a)</v>
      </c>
      <c r="BP71" t="str">
        <f t="shared" si="80"/>
        <v>DUNLOP</v>
      </c>
      <c r="BQ71" t="str">
        <f t="shared" si="81"/>
        <v>Teressa</v>
      </c>
      <c r="BR71" s="116" t="str">
        <f t="shared" si="82"/>
        <v>Tess</v>
      </c>
      <c r="CO71" s="157" t="s">
        <v>1617</v>
      </c>
      <c r="CP71" s="6" t="s">
        <v>1615</v>
      </c>
      <c r="CQ71" s="156" t="s">
        <v>1616</v>
      </c>
      <c r="CR71" s="160" t="s">
        <v>870</v>
      </c>
      <c r="CS71" s="5"/>
      <c r="CT71" s="5" t="s">
        <v>3681</v>
      </c>
      <c r="CU71" s="5">
        <v>1956</v>
      </c>
      <c r="CV71" s="5" t="s">
        <v>3774</v>
      </c>
      <c r="CW71" t="e">
        <f t="shared" si="91"/>
        <v>#VALUE!</v>
      </c>
      <c r="DC71" s="117">
        <f t="shared" si="83"/>
        <v>31</v>
      </c>
      <c r="DD71" s="297">
        <v>56</v>
      </c>
      <c r="DE71">
        <f t="shared" si="84"/>
        <v>5</v>
      </c>
      <c r="DF71" s="117">
        <v>70</v>
      </c>
      <c r="DG71" s="117">
        <f t="shared" si="85"/>
        <v>115</v>
      </c>
      <c r="DH71" s="99" t="str">
        <f t="shared" si="86"/>
        <v>5 – The Hon Isabel CROSSLEY (1964– : #115a) The Hon Camilla CROSSLEY (1967– : #115b) The Hon Alicia CROSSLEY (1969– : #115c) The Hon Hugh CROSSLEY (1971– : #115d) The Hon Bridget CROSSLEY (1974– : #115e)</v>
      </c>
    </row>
    <row r="72" spans="1:112" ht="20">
      <c r="A72" s="287">
        <f>'Loyd List 1-190 - Edit'!C72</f>
        <v>70</v>
      </c>
      <c r="B72" s="295" t="str">
        <f>VLOOKUP(A72,'Book Details - NO EDIT'!$U$3:$X$192,4,FALSE)</f>
        <v>Diana (1890–1963: #70)</v>
      </c>
      <c r="C72" s="287">
        <f>VLOOKUP(A72,'Loyd List 1-190 - Edit'!$P$1:$R$200,3,FALSE)</f>
        <v>46</v>
      </c>
      <c r="D72" s="287">
        <f t="shared" si="88"/>
        <v>4</v>
      </c>
      <c r="E72" s="287">
        <f t="shared" si="75"/>
        <v>1</v>
      </c>
      <c r="F72" s="269" t="str">
        <f t="shared" si="89"/>
        <v xml:space="preserve">4 – Godfrey (1893–1917: #75) Vivian (1894–1972: #78) Wilfred (1896–1955: #82) Eddie (1902–1942: #84)    </v>
      </c>
      <c r="G72" s="125" t="str">
        <f>'Loyd Book 2022 - Print'!N72</f>
        <v xml:space="preserve">4 – Godfrey (1893–1917: #75) Vivian (1894–1972: #78) Wilfred (1896–1955: #82) Eddie (1902–1942: #84)    </v>
      </c>
      <c r="H72" s="125">
        <f t="shared" si="87"/>
        <v>0</v>
      </c>
      <c r="I72" s="117">
        <f t="shared" si="90"/>
        <v>0</v>
      </c>
      <c r="J72" s="116" t="str">
        <f t="shared" si="60"/>
        <v/>
      </c>
      <c r="K72" s="116" t="str">
        <f t="shared" si="72"/>
        <v>Godfrey (1893–1917: #75)</v>
      </c>
      <c r="L72" s="116" t="str">
        <f t="shared" si="92"/>
        <v>Vivian (1894–1972: #78)</v>
      </c>
      <c r="M72" s="116" t="str">
        <f t="shared" si="92"/>
        <v>Wilfred (1896–1955: #82)</v>
      </c>
      <c r="N72" s="116" t="str">
        <f>IF(VLOOKUP($C72,$AB$2:$AN$67,N$1,FALSE)=$A72,"",VLOOKUP(VLOOKUP($C72,$AB$2:$AN$67,N$1,FALSE),$A$1:$B$200,2,FALSE))</f>
        <v>Eddie (1902–1942: #84)</v>
      </c>
      <c r="O72" s="116"/>
      <c r="P72" s="116"/>
      <c r="Q72" s="116"/>
      <c r="R72" s="116"/>
      <c r="S72" s="117"/>
      <c r="T72" s="117"/>
      <c r="U72" s="117"/>
      <c r="V72" s="117"/>
      <c r="AA72" s="124"/>
      <c r="BH72" s="116">
        <f t="shared" si="76"/>
        <v>102</v>
      </c>
      <c r="BI72" s="3" t="s">
        <v>1619</v>
      </c>
      <c r="BJ72" s="3" t="s">
        <v>4832</v>
      </c>
      <c r="BK72" t="str">
        <f t="shared" si="77"/>
        <v xml:space="preserve">Lindsay Fergus DUNLOP (1958– </v>
      </c>
      <c r="BL72" t="str">
        <f t="shared" si="78"/>
        <v>Fergus DUNLOP (1958– : #102b)</v>
      </c>
      <c r="BM72" t="str">
        <f t="shared" si="79"/>
        <v>Lindsay Fergus DUNLOP (1958– : #102b)</v>
      </c>
      <c r="BP72" t="str">
        <f t="shared" si="80"/>
        <v>DUNLOP</v>
      </c>
      <c r="BQ72" t="str">
        <f t="shared" si="81"/>
        <v>Lindsay</v>
      </c>
      <c r="BR72" s="116" t="str">
        <f t="shared" si="82"/>
        <v>Fergus</v>
      </c>
      <c r="CO72" s="157" t="s">
        <v>1619</v>
      </c>
      <c r="CP72" s="6" t="s">
        <v>1615</v>
      </c>
      <c r="CQ72" s="156" t="s">
        <v>843</v>
      </c>
      <c r="CR72" s="160" t="s">
        <v>1618</v>
      </c>
      <c r="CS72" s="5"/>
      <c r="CT72" s="5" t="s">
        <v>1618</v>
      </c>
      <c r="CU72" s="5">
        <v>1958</v>
      </c>
      <c r="CV72" s="5" t="s">
        <v>3774</v>
      </c>
      <c r="CW72" t="e">
        <f t="shared" si="91"/>
        <v>#VALUE!</v>
      </c>
      <c r="DC72" s="117">
        <f t="shared" si="83"/>
        <v>32</v>
      </c>
      <c r="DD72" s="297">
        <v>62</v>
      </c>
      <c r="DE72">
        <f t="shared" si="84"/>
        <v>3</v>
      </c>
      <c r="DF72" s="117">
        <v>71</v>
      </c>
      <c r="DG72" s="117">
        <f t="shared" si="85"/>
        <v>116</v>
      </c>
      <c r="DH72" s="99" t="str">
        <f t="shared" si="86"/>
        <v>3 – Carl CLULOW (1970–1970: #116a) Kate CLULOW (1971– : #116b) Clare CLULOW (1973– : #116c)</v>
      </c>
    </row>
    <row r="73" spans="1:112" ht="20">
      <c r="A73" s="287">
        <f>'Loyd List 1-190 - Edit'!C73</f>
        <v>71</v>
      </c>
      <c r="B73" s="295" t="str">
        <f>VLOOKUP(A73,'Book Details - NO EDIT'!$U$3:$X$192,4,FALSE)</f>
        <v>Arthur (1890–1974: #71)</v>
      </c>
      <c r="C73" s="287">
        <f>VLOOKUP(A73,'Loyd List 1-190 - Edit'!$P$1:$R$200,3,FALSE)</f>
        <v>34</v>
      </c>
      <c r="D73" s="287">
        <f t="shared" si="88"/>
        <v>2</v>
      </c>
      <c r="E73" s="287">
        <f t="shared" si="75"/>
        <v>1</v>
      </c>
      <c r="F73" s="269" t="str">
        <f t="shared" si="89"/>
        <v xml:space="preserve">2 – Nan (1889–1967: #65)  Edward (1893–1932: #76)      </v>
      </c>
      <c r="G73" s="125" t="str">
        <f>'Loyd Book 2022 - Print'!N73</f>
        <v xml:space="preserve">2 – Nan (1889–1967: #65)  Edward (1893–1932: #76)      </v>
      </c>
      <c r="H73" s="125">
        <f t="shared" si="87"/>
        <v>0</v>
      </c>
      <c r="I73" s="117">
        <f t="shared" si="90"/>
        <v>0</v>
      </c>
      <c r="J73" s="116" t="str">
        <f t="shared" si="60"/>
        <v>Nan (1889–1967: #65)</v>
      </c>
      <c r="K73" s="116" t="str">
        <f t="shared" si="72"/>
        <v/>
      </c>
      <c r="L73" s="116" t="str">
        <f t="shared" ref="L73:L81" si="93">IF(VLOOKUP($C73,$AB$2:$AN$67,L$1,FALSE)=$A73,"",VLOOKUP(VLOOKUP($C73,$AB$2:$AN$67,L$1,FALSE),$A$1:$B$200,2,FALSE))</f>
        <v>Edward (1893–1932: #76)</v>
      </c>
      <c r="M73" s="116"/>
      <c r="N73" s="116"/>
      <c r="O73" s="116"/>
      <c r="P73" s="116"/>
      <c r="Q73" s="116"/>
      <c r="R73" s="116"/>
      <c r="S73" s="117"/>
      <c r="T73" s="117"/>
      <c r="U73" s="117"/>
      <c r="V73" s="117"/>
      <c r="AA73" s="124"/>
      <c r="BH73" s="116">
        <f t="shared" si="76"/>
        <v>102</v>
      </c>
      <c r="BI73" s="3" t="s">
        <v>1626</v>
      </c>
      <c r="BJ73" s="3" t="s">
        <v>4833</v>
      </c>
      <c r="BK73" t="str">
        <f t="shared" si="77"/>
        <v xml:space="preserve">Celina Elizabeth DUNLOP (1960– </v>
      </c>
      <c r="BL73" t="str">
        <f t="shared" si="78"/>
        <v>Celina DUNLOP (1960– : #102c)</v>
      </c>
      <c r="BM73" t="str">
        <f t="shared" si="79"/>
        <v>Celina Elizabeth DUNLOP (1960– : #102c)</v>
      </c>
      <c r="BP73" t="str">
        <f t="shared" si="80"/>
        <v>DUNLOP</v>
      </c>
      <c r="BQ73" t="str">
        <f t="shared" si="81"/>
        <v>Celina</v>
      </c>
      <c r="BR73" s="116" t="str">
        <f t="shared" si="82"/>
        <v>Celina</v>
      </c>
      <c r="CO73" s="157" t="s">
        <v>1626</v>
      </c>
      <c r="CP73" s="6" t="s">
        <v>1615</v>
      </c>
      <c r="CQ73" s="156" t="s">
        <v>1625</v>
      </c>
      <c r="CR73" s="160" t="s">
        <v>952</v>
      </c>
      <c r="CS73" s="5"/>
      <c r="CT73" s="5"/>
      <c r="CU73" s="5">
        <v>1960</v>
      </c>
      <c r="CV73" s="5" t="s">
        <v>3774</v>
      </c>
      <c r="CW73" t="e">
        <f t="shared" si="91"/>
        <v>#VALUE!</v>
      </c>
      <c r="DC73" s="117">
        <f t="shared" si="83"/>
        <v>35</v>
      </c>
      <c r="DD73" s="297">
        <v>66</v>
      </c>
      <c r="DE73">
        <f t="shared" si="84"/>
        <v>3</v>
      </c>
      <c r="DF73" s="117">
        <v>72</v>
      </c>
      <c r="DG73" s="117">
        <f t="shared" si="85"/>
        <v>117</v>
      </c>
      <c r="DH73" s="99" t="str">
        <f t="shared" si="86"/>
        <v>3 – Susannah (1965–: #147) Elspeth (1967–: #151) Richard (1968–: #153)</v>
      </c>
    </row>
    <row r="74" spans="1:112" ht="40">
      <c r="A74" s="287">
        <f>'Loyd List 1-190 - Edit'!C74</f>
        <v>72</v>
      </c>
      <c r="B74" s="295" t="str">
        <f>VLOOKUP(A74,'Book Details - NO EDIT'!$U$3:$X$192,4,FALSE)</f>
        <v>Charles (1891–1973: #72)</v>
      </c>
      <c r="C74" s="287">
        <f>VLOOKUP(A74,'Loyd List 1-190 - Edit'!$P$1:$R$200,3,FALSE)</f>
        <v>44</v>
      </c>
      <c r="D74" s="287">
        <f t="shared" si="88"/>
        <v>2</v>
      </c>
      <c r="E74" s="287">
        <f t="shared" si="75"/>
        <v>1</v>
      </c>
      <c r="F74" s="269" t="str">
        <f t="shared" si="89"/>
        <v xml:space="preserve">2 – William (1889–1947: #66)  Reginald (1885–1917: #81)      </v>
      </c>
      <c r="G74" s="125" t="str">
        <f>'Loyd Book 2022 - Print'!N74</f>
        <v xml:space="preserve">2 – William (1889–1947: #66)  Reginald (1885–1917: #81)      </v>
      </c>
      <c r="H74" s="125">
        <f t="shared" si="87"/>
        <v>0</v>
      </c>
      <c r="I74" s="117">
        <f t="shared" si="90"/>
        <v>0</v>
      </c>
      <c r="J74" s="116" t="str">
        <f t="shared" si="60"/>
        <v>William (1889–1947: #66)</v>
      </c>
      <c r="K74" s="116" t="str">
        <f t="shared" si="72"/>
        <v/>
      </c>
      <c r="L74" s="116" t="str">
        <f t="shared" si="93"/>
        <v>Reginald (1885–1917: #81)</v>
      </c>
      <c r="M74" s="116"/>
      <c r="N74" s="116"/>
      <c r="O74" s="116"/>
      <c r="P74" s="116"/>
      <c r="Q74" s="116"/>
      <c r="R74" s="116"/>
      <c r="S74" s="117"/>
      <c r="T74" s="117"/>
      <c r="U74" s="117"/>
      <c r="V74" s="117"/>
      <c r="AA74" s="124"/>
      <c r="BH74" s="116">
        <f t="shared" si="76"/>
        <v>103</v>
      </c>
      <c r="BI74" s="3" t="s">
        <v>1629</v>
      </c>
      <c r="BJ74" s="3" t="s">
        <v>4834</v>
      </c>
      <c r="BK74" t="str">
        <f t="shared" si="77"/>
        <v xml:space="preserve">James Anthony GORE-BROWNE (1947– </v>
      </c>
      <c r="BL74" t="str">
        <f t="shared" si="78"/>
        <v>James GORE-BROWNE (1947– : #103a)</v>
      </c>
      <c r="BM74" t="str">
        <f t="shared" si="79"/>
        <v>James Anthony GORE-BROWNE (1947– : #103a)</v>
      </c>
      <c r="BP74" t="str">
        <f t="shared" si="80"/>
        <v>GORE-BROWNE</v>
      </c>
      <c r="BQ74" t="str">
        <f t="shared" si="81"/>
        <v>James</v>
      </c>
      <c r="BR74" s="116" t="str">
        <f t="shared" si="82"/>
        <v>James</v>
      </c>
      <c r="CO74" s="157" t="s">
        <v>1629</v>
      </c>
      <c r="CP74" s="6" t="s">
        <v>1628</v>
      </c>
      <c r="CQ74" s="156" t="s">
        <v>918</v>
      </c>
      <c r="CR74" s="160" t="s">
        <v>931</v>
      </c>
      <c r="CS74" s="5"/>
      <c r="CT74" s="5"/>
      <c r="CU74" s="5">
        <v>1947</v>
      </c>
      <c r="CV74" s="5" t="s">
        <v>3774</v>
      </c>
      <c r="CW74" t="e">
        <f t="shared" si="91"/>
        <v>#VALUE!</v>
      </c>
      <c r="DC74" s="117">
        <f t="shared" si="83"/>
        <v>36</v>
      </c>
      <c r="DD74" s="297">
        <v>68</v>
      </c>
      <c r="DE74">
        <f t="shared" si="84"/>
        <v>4</v>
      </c>
      <c r="DF74" s="117">
        <v>73</v>
      </c>
      <c r="DG74" s="117">
        <f t="shared" si="85"/>
        <v>119</v>
      </c>
      <c r="DH74" s="99" t="str">
        <f t="shared" si="86"/>
        <v>4 – William (1973–: #155) Amy (1975–: #156) Molly (1982–: #161) Harriet (1984–: #163)</v>
      </c>
    </row>
    <row r="75" spans="1:112" ht="40">
      <c r="A75" s="287">
        <f>'Loyd List 1-190 - Edit'!C75</f>
        <v>73</v>
      </c>
      <c r="B75" s="295" t="str">
        <f>VLOOKUP(A75,'Book Details - NO EDIT'!$U$3:$X$192,4,FALSE)</f>
        <v>Eric (1891–1967: #73)</v>
      </c>
      <c r="C75" s="287">
        <f>VLOOKUP(A75,'Loyd List 1-190 - Edit'!$P$1:$R$200,3,FALSE)</f>
        <v>45</v>
      </c>
      <c r="D75" s="287">
        <f t="shared" si="88"/>
        <v>3</v>
      </c>
      <c r="E75" s="287">
        <f t="shared" si="75"/>
        <v>1</v>
      </c>
      <c r="F75" s="269" t="str">
        <f t="shared" si="89"/>
        <v xml:space="preserve">3 – Cecil (1890–1963: #68)  Alwyne (1894–1917: #79) Ruby (1898–1977: #83)     </v>
      </c>
      <c r="G75" s="125" t="str">
        <f>'Loyd Book 2022 - Print'!N75</f>
        <v xml:space="preserve">3 – Cecil (1890–1963: #68)  Alwyne (1894–1917: #79) Ruby (1898–1977: #83)     </v>
      </c>
      <c r="H75" s="125">
        <f t="shared" si="87"/>
        <v>0</v>
      </c>
      <c r="I75" s="117">
        <f t="shared" si="90"/>
        <v>0</v>
      </c>
      <c r="J75" s="116" t="str">
        <f t="shared" ref="J75:J106" si="94">IF(VLOOKUP($C75,$AB$2:$AN$67,J$1,FALSE)=$A75,"",VLOOKUP(VLOOKUP($C75,$AB$2:$AN$67,J$1,FALSE),$A$1:$B$200,2,FALSE))</f>
        <v>Cecil (1890–1963: #68)</v>
      </c>
      <c r="K75" s="116" t="str">
        <f t="shared" si="72"/>
        <v/>
      </c>
      <c r="L75" s="116" t="str">
        <f t="shared" si="93"/>
        <v>Alwyne (1894–1917: #79)</v>
      </c>
      <c r="M75" s="116" t="str">
        <f>IF(VLOOKUP($C75,$AB$2:$AN$67,M$1,FALSE)=$A75,"",VLOOKUP(VLOOKUP($C75,$AB$2:$AN$67,M$1,FALSE),$A$1:$B$200,2,FALSE))</f>
        <v>Ruby (1898–1977: #83)</v>
      </c>
      <c r="N75" s="116"/>
      <c r="O75" s="116"/>
      <c r="P75" s="116"/>
      <c r="Q75" s="116"/>
      <c r="R75" s="116"/>
      <c r="S75" s="117"/>
      <c r="T75" s="117"/>
      <c r="U75" s="117"/>
      <c r="V75" s="117"/>
      <c r="AA75" s="124"/>
      <c r="BH75" s="116">
        <f t="shared" si="76"/>
        <v>103</v>
      </c>
      <c r="BI75" s="3" t="s">
        <v>1633</v>
      </c>
      <c r="BJ75" s="3" t="s">
        <v>4835</v>
      </c>
      <c r="BK75" t="str">
        <f t="shared" si="77"/>
        <v xml:space="preserve">Georgina Mary GORE-BROWNE (1949– </v>
      </c>
      <c r="BL75" t="str">
        <f t="shared" si="78"/>
        <v>Georgina GORE-BROWNE (1949– : #103b)</v>
      </c>
      <c r="BM75" t="str">
        <f t="shared" si="79"/>
        <v>Georgina Mary GORE-BROWNE (1949– : #103b)</v>
      </c>
      <c r="BP75" t="str">
        <f t="shared" si="80"/>
        <v>GORE-BROWNE</v>
      </c>
      <c r="BQ75" t="str">
        <f t="shared" si="81"/>
        <v>Georgina</v>
      </c>
      <c r="BR75" s="116" t="str">
        <f t="shared" si="82"/>
        <v>Georgina</v>
      </c>
      <c r="CO75" s="157" t="s">
        <v>1633</v>
      </c>
      <c r="CP75" s="6" t="s">
        <v>1628</v>
      </c>
      <c r="CQ75" s="156" t="s">
        <v>846</v>
      </c>
      <c r="CR75" s="160" t="s">
        <v>870</v>
      </c>
      <c r="CS75" s="5"/>
      <c r="CT75" s="5"/>
      <c r="CU75" s="5">
        <v>1949</v>
      </c>
      <c r="CV75" s="5" t="s">
        <v>3774</v>
      </c>
      <c r="CW75" t="e">
        <f t="shared" si="91"/>
        <v>#VALUE!</v>
      </c>
      <c r="DC75" s="117">
        <f t="shared" si="83"/>
        <v>38</v>
      </c>
      <c r="DD75" s="297">
        <v>71</v>
      </c>
      <c r="DE75">
        <f t="shared" si="84"/>
        <v>3</v>
      </c>
      <c r="DF75" s="117">
        <v>74</v>
      </c>
      <c r="DG75" s="117">
        <f t="shared" si="85"/>
        <v>121</v>
      </c>
      <c r="DH75" s="99" t="str">
        <f t="shared" si="86"/>
        <v>3 – James (1988–: #169) Rupert (1990–: #171) Tabitha (1992–: #174)</v>
      </c>
    </row>
    <row r="76" spans="1:112" ht="40">
      <c r="A76" s="287">
        <f>'Loyd List 1-190 - Edit'!C76</f>
        <v>74</v>
      </c>
      <c r="B76" s="295" t="str">
        <f>VLOOKUP(A76,'Book Details - NO EDIT'!$U$3:$X$192,4,FALSE)</f>
        <v>Cecily (1891–1891: #74)</v>
      </c>
      <c r="C76" s="287">
        <f>VLOOKUP(A76,'Loyd List 1-190 - Edit'!$P$1:$R$200,3,FALSE)</f>
        <v>41</v>
      </c>
      <c r="D76" s="287">
        <f t="shared" si="88"/>
        <v>4</v>
      </c>
      <c r="E76" s="287">
        <f t="shared" si="75"/>
        <v>1</v>
      </c>
      <c r="F76" s="269" t="str">
        <f t="shared" si="89"/>
        <v xml:space="preserve">4 – Lewis (1880–1918: #52) Edward (1881–1962: #53) Evelyn (1885–1962: #59) Mary (1887–1968: #63)     </v>
      </c>
      <c r="G76" s="125" t="str">
        <f>'Loyd Book 2022 - Print'!N76</f>
        <v xml:space="preserve">4 – Lewis (1880–1918: #52) Edward (1881–1962: #53) Evelyn (1885–1962: #59) Mary (1887–1968: #63)     </v>
      </c>
      <c r="H76" s="125">
        <f t="shared" si="87"/>
        <v>0</v>
      </c>
      <c r="I76" s="117">
        <f t="shared" si="90"/>
        <v>0</v>
      </c>
      <c r="J76" s="116" t="str">
        <f t="shared" si="94"/>
        <v>Lewis (1880–1918: #52)</v>
      </c>
      <c r="K76" s="116" t="str">
        <f t="shared" si="72"/>
        <v>Edward (1881–1962: #53)</v>
      </c>
      <c r="L76" s="116" t="str">
        <f t="shared" si="93"/>
        <v>Evelyn (1885–1962: #59)</v>
      </c>
      <c r="M76" s="116" t="str">
        <f>IF(VLOOKUP($C76,$AB$2:$AN$67,M$1,FALSE)=$A76,"",VLOOKUP(VLOOKUP($C76,$AB$2:$AN$67,M$1,FALSE),$A$1:$B$200,2,FALSE))</f>
        <v>Mary (1887–1968: #63)</v>
      </c>
      <c r="N76" s="116" t="str">
        <f>IF(VLOOKUP($C76,$AB$2:$AN$67,N$1,FALSE)=$A76,"",VLOOKUP(VLOOKUP($C76,$AB$2:$AN$67,N$1,FALSE),$A$1:$B$200,2,FALSE))</f>
        <v/>
      </c>
      <c r="O76" s="116"/>
      <c r="P76" s="116"/>
      <c r="Q76" s="116"/>
      <c r="R76" s="116"/>
      <c r="S76" s="117"/>
      <c r="T76" s="117"/>
      <c r="U76" s="117"/>
      <c r="V76" s="117"/>
      <c r="AA76" s="124"/>
      <c r="BH76" s="116">
        <f t="shared" si="76"/>
        <v>103</v>
      </c>
      <c r="BI76" s="3" t="s">
        <v>1645</v>
      </c>
      <c r="BJ76" s="3" t="s">
        <v>5183</v>
      </c>
      <c r="BK76" t="str">
        <f t="shared" si="77"/>
        <v>David Charles GORE-BROWNE (1952–2012</v>
      </c>
      <c r="BL76" t="str">
        <f t="shared" si="78"/>
        <v>David GORE-BROWNE (1952–2012: #103c)</v>
      </c>
      <c r="BM76" t="str">
        <f t="shared" si="79"/>
        <v>David Charles GORE-BROWNE (1952–2012: #103c)</v>
      </c>
      <c r="BP76" t="str">
        <f t="shared" si="80"/>
        <v>GORE-BROWNE</v>
      </c>
      <c r="BQ76" t="str">
        <f t="shared" si="81"/>
        <v>David</v>
      </c>
      <c r="BR76" s="116" t="str">
        <f t="shared" si="82"/>
        <v>David</v>
      </c>
      <c r="CO76" s="157" t="s">
        <v>1645</v>
      </c>
      <c r="CP76" s="6" t="s">
        <v>1628</v>
      </c>
      <c r="CQ76" s="156" t="s">
        <v>905</v>
      </c>
      <c r="CR76" s="160" t="s">
        <v>917</v>
      </c>
      <c r="CS76" s="5"/>
      <c r="CT76" s="5"/>
      <c r="CU76" s="5">
        <v>1952</v>
      </c>
      <c r="CV76" s="5">
        <v>2012</v>
      </c>
      <c r="CW76">
        <f t="shared" si="91"/>
        <v>60</v>
      </c>
      <c r="DC76" s="117">
        <f t="shared" si="83"/>
        <v>39</v>
      </c>
      <c r="DD76" s="297">
        <v>72</v>
      </c>
      <c r="DE76">
        <f t="shared" si="84"/>
        <v>2</v>
      </c>
      <c r="DF76" s="117">
        <v>75</v>
      </c>
      <c r="DG76" s="117">
        <f t="shared" si="85"/>
        <v>123</v>
      </c>
      <c r="DH76" s="99" t="str">
        <f t="shared" si="86"/>
        <v>2 – Katharine BOSMAN (1978– : #123a) Adam BOSMAN (1980– : #123b)</v>
      </c>
    </row>
    <row r="77" spans="1:112" ht="40">
      <c r="A77" s="287">
        <f>'Loyd List 1-190 - Edit'!C77</f>
        <v>75</v>
      </c>
      <c r="B77" s="295" t="str">
        <f>VLOOKUP(A77,'Book Details - NO EDIT'!$U$3:$X$192,4,FALSE)</f>
        <v>Godfrey (1893–1917: #75)</v>
      </c>
      <c r="C77" s="287">
        <f>VLOOKUP(A77,'Loyd List 1-190 - Edit'!$P$1:$R$200,3,FALSE)</f>
        <v>46</v>
      </c>
      <c r="D77" s="287">
        <f t="shared" si="88"/>
        <v>4</v>
      </c>
      <c r="E77" s="287">
        <f t="shared" si="75"/>
        <v>1</v>
      </c>
      <c r="F77" s="269" t="str">
        <f t="shared" si="89"/>
        <v xml:space="preserve">4 – Diana (1890–1963: #70)  Vivian (1894–1972: #78) Wilfred (1896–1955: #82) Eddie (1902–1942: #84)    </v>
      </c>
      <c r="G77" s="125" t="str">
        <f>'Loyd Book 2022 - Print'!N77</f>
        <v xml:space="preserve">4 – Diana (1890–1963: #70)  Vivian (1894–1972: #78) Wilfred (1896–1955: #82) Eddie (1902–1942: #84)    </v>
      </c>
      <c r="H77" s="125">
        <f t="shared" si="87"/>
        <v>0</v>
      </c>
      <c r="I77" s="117">
        <f t="shared" si="90"/>
        <v>0</v>
      </c>
      <c r="J77" s="116" t="str">
        <f t="shared" si="94"/>
        <v>Diana (1890–1963: #70)</v>
      </c>
      <c r="K77" s="116" t="str">
        <f t="shared" si="72"/>
        <v/>
      </c>
      <c r="L77" s="116" t="str">
        <f t="shared" si="93"/>
        <v>Vivian (1894–1972: #78)</v>
      </c>
      <c r="M77" s="116" t="str">
        <f>IF(VLOOKUP($C77,$AB$2:$AN$67,M$1,FALSE)=$A77,"",VLOOKUP(VLOOKUP($C77,$AB$2:$AN$67,M$1,FALSE),$A$1:$B$200,2,FALSE))</f>
        <v>Wilfred (1896–1955: #82)</v>
      </c>
      <c r="N77" s="116" t="str">
        <f>IF(VLOOKUP($C77,$AB$2:$AN$67,N$1,FALSE)=$A77,"",VLOOKUP(VLOOKUP($C77,$AB$2:$AN$67,N$1,FALSE),$A$1:$B$200,2,FALSE))</f>
        <v>Eddie (1902–1942: #84)</v>
      </c>
      <c r="O77" s="116"/>
      <c r="P77" s="116"/>
      <c r="Q77" s="116"/>
      <c r="R77" s="116"/>
      <c r="S77" s="117"/>
      <c r="T77" s="117"/>
      <c r="U77" s="117"/>
      <c r="V77" s="117"/>
      <c r="AA77" s="124"/>
      <c r="BH77" s="116">
        <f t="shared" si="76"/>
        <v>103</v>
      </c>
      <c r="BI77" s="3" t="s">
        <v>1652</v>
      </c>
      <c r="BJ77" s="3" t="s">
        <v>4836</v>
      </c>
      <c r="BK77" t="str">
        <f t="shared" si="77"/>
        <v xml:space="preserve">Patrick Robert GORE-BROWNE (1956– </v>
      </c>
      <c r="BL77" t="str">
        <f t="shared" si="78"/>
        <v>Patrick GORE-BROWNE (1956– : #103d)</v>
      </c>
      <c r="BM77" t="str">
        <f t="shared" si="79"/>
        <v>Patrick Robert GORE-BROWNE (1956– : #103d)</v>
      </c>
      <c r="BP77" t="str">
        <f t="shared" si="80"/>
        <v>GORE-BROWNE</v>
      </c>
      <c r="BQ77" t="str">
        <f t="shared" si="81"/>
        <v>Patrick</v>
      </c>
      <c r="BR77" s="116" t="str">
        <f t="shared" si="82"/>
        <v>Patrick</v>
      </c>
      <c r="CO77" s="157" t="s">
        <v>1652</v>
      </c>
      <c r="CP77" s="6" t="s">
        <v>1628</v>
      </c>
      <c r="CQ77" s="156" t="s">
        <v>896</v>
      </c>
      <c r="CR77" s="160" t="s">
        <v>902</v>
      </c>
      <c r="CS77" s="5"/>
      <c r="CT77" s="5"/>
      <c r="CU77" s="5">
        <v>1956</v>
      </c>
      <c r="CV77" s="5" t="s">
        <v>3774</v>
      </c>
      <c r="CW77" t="e">
        <f t="shared" si="91"/>
        <v>#VALUE!</v>
      </c>
      <c r="DC77" s="117">
        <f t="shared" si="83"/>
        <v>40</v>
      </c>
      <c r="DD77" s="297">
        <v>76</v>
      </c>
      <c r="DE77">
        <f t="shared" si="84"/>
        <v>2</v>
      </c>
      <c r="DF77" s="117">
        <v>76</v>
      </c>
      <c r="DG77" s="117">
        <f t="shared" si="85"/>
        <v>125</v>
      </c>
      <c r="DH77" s="99" t="str">
        <f t="shared" si="86"/>
        <v>2 – Bryan HAWKEY (1976– : #125a) Allison HAWKEY (1978– : #125b)</v>
      </c>
    </row>
    <row r="78" spans="1:112" ht="20">
      <c r="A78" s="287">
        <f>'Loyd List 1-190 - Edit'!C78</f>
        <v>76</v>
      </c>
      <c r="B78" s="295" t="str">
        <f>VLOOKUP(A78,'Book Details - NO EDIT'!$U$3:$X$192,4,FALSE)</f>
        <v>Edward (1893–1932: #76)</v>
      </c>
      <c r="C78" s="287">
        <f>VLOOKUP(A78,'Loyd List 1-190 - Edit'!$P$1:$R$200,3,FALSE)</f>
        <v>34</v>
      </c>
      <c r="D78" s="287">
        <f t="shared" si="88"/>
        <v>2</v>
      </c>
      <c r="E78" s="287">
        <f t="shared" si="75"/>
        <v>1</v>
      </c>
      <c r="F78" s="269" t="str">
        <f t="shared" si="89"/>
        <v xml:space="preserve">2 – Nan (1889–1967: #65) Arthur (1890–1974: #71)       </v>
      </c>
      <c r="G78" s="125" t="str">
        <f>'Loyd Book 2022 - Print'!N78</f>
        <v xml:space="preserve">2 – Nan (1889–1967: #65) Arthur (1890–1974: #71)       </v>
      </c>
      <c r="H78" s="125">
        <f t="shared" si="87"/>
        <v>0</v>
      </c>
      <c r="I78" s="117">
        <f t="shared" si="90"/>
        <v>0</v>
      </c>
      <c r="J78" s="116" t="str">
        <f t="shared" si="94"/>
        <v>Nan (1889–1967: #65)</v>
      </c>
      <c r="K78" s="116" t="str">
        <f t="shared" si="72"/>
        <v>Arthur (1890–1974: #71)</v>
      </c>
      <c r="L78" s="116" t="str">
        <f t="shared" si="93"/>
        <v/>
      </c>
      <c r="M78" s="116"/>
      <c r="N78" s="116"/>
      <c r="O78" s="116"/>
      <c r="P78" s="116"/>
      <c r="Q78" s="116"/>
      <c r="R78" s="116"/>
      <c r="S78" s="117"/>
      <c r="T78" s="117"/>
      <c r="U78" s="117"/>
      <c r="V78" s="117"/>
      <c r="AA78" s="124"/>
      <c r="BH78" s="116">
        <f t="shared" si="76"/>
        <v>106</v>
      </c>
      <c r="BI78" s="3" t="s">
        <v>1661</v>
      </c>
      <c r="BJ78" s="3" t="s">
        <v>4837</v>
      </c>
      <c r="BK78" t="str">
        <f t="shared" si="77"/>
        <v xml:space="preserve">The Hon Geva Charlotte Caroline WINN (1955– </v>
      </c>
      <c r="BL78" t="str">
        <f t="shared" si="78"/>
        <v>The Hon Geva WINN (1955– : #106a)</v>
      </c>
      <c r="BM78" t="str">
        <f t="shared" si="79"/>
        <v>The Hon Geva Charlotte Caroline WINN (1955– : #106a)</v>
      </c>
      <c r="BP78" t="str">
        <f t="shared" si="80"/>
        <v>WINN</v>
      </c>
      <c r="BQ78" t="str">
        <f t="shared" si="81"/>
        <v>The Hon Geva</v>
      </c>
      <c r="BR78" s="116" t="str">
        <f t="shared" si="82"/>
        <v>The Hon Geva</v>
      </c>
      <c r="CO78" s="157" t="s">
        <v>1661</v>
      </c>
      <c r="CP78" s="6" t="s">
        <v>1658</v>
      </c>
      <c r="CQ78" s="156" t="s">
        <v>1659</v>
      </c>
      <c r="CR78" s="160" t="s">
        <v>876</v>
      </c>
      <c r="CS78" s="5" t="s">
        <v>903</v>
      </c>
      <c r="CT78" s="5"/>
      <c r="CU78" s="5">
        <v>1955</v>
      </c>
      <c r="CV78" s="5" t="s">
        <v>3774</v>
      </c>
      <c r="CW78" t="e">
        <f t="shared" si="91"/>
        <v>#VALUE!</v>
      </c>
      <c r="DC78" s="117">
        <f t="shared" si="83"/>
        <v>41</v>
      </c>
      <c r="DD78" s="297">
        <v>77</v>
      </c>
      <c r="DE78">
        <f t="shared" si="84"/>
        <v>2</v>
      </c>
      <c r="DF78" s="117">
        <v>77</v>
      </c>
      <c r="DG78" s="117">
        <f t="shared" si="85"/>
        <v>128</v>
      </c>
      <c r="DH78" s="99" t="str">
        <f t="shared" si="86"/>
        <v>2 – Chloe PEMBERTON (1991– : #128a) Kate PEMBERTON (1993– : #128b)</v>
      </c>
    </row>
    <row r="79" spans="1:112" ht="20">
      <c r="A79" s="287">
        <f>'Loyd List 1-190 - Edit'!C79</f>
        <v>77</v>
      </c>
      <c r="B79" s="295" t="str">
        <f>VLOOKUP(A79,'Book Details - NO EDIT'!$U$3:$X$192,4,FALSE)</f>
        <v>Wilfrid (1893–1971: #77)</v>
      </c>
      <c r="C79" s="287">
        <f>VLOOKUP(A79,'Loyd List 1-190 - Edit'!$P$1:$R$200,3,FALSE)</f>
        <v>30</v>
      </c>
      <c r="D79" s="287">
        <f t="shared" si="88"/>
        <v>3</v>
      </c>
      <c r="E79" s="287">
        <f t="shared" si="75"/>
        <v>1</v>
      </c>
      <c r="F79" s="269" t="str">
        <f t="shared" si="89"/>
        <v xml:space="preserve">3 – Reggie (1886–1961: #61) Bobby (1887–1977: #62) Geoffrey (1890–1914: #69)      </v>
      </c>
      <c r="G79" s="125" t="str">
        <f>'Loyd Book 2022 - Print'!N79</f>
        <v xml:space="preserve">3 – Reggie (1886–1961: #61) Bobby (1887–1977: #62) Geoffrey (1890–1914: #69)      </v>
      </c>
      <c r="H79" s="125">
        <f t="shared" si="87"/>
        <v>0</v>
      </c>
      <c r="I79" s="117">
        <f t="shared" si="90"/>
        <v>0</v>
      </c>
      <c r="J79" s="116" t="str">
        <f t="shared" si="94"/>
        <v>Reggie (1886–1961: #61)</v>
      </c>
      <c r="K79" s="116" t="str">
        <f t="shared" si="72"/>
        <v>Bobby (1887–1977: #62)</v>
      </c>
      <c r="L79" s="116" t="str">
        <f t="shared" si="93"/>
        <v>Geoffrey (1890–1914: #69)</v>
      </c>
      <c r="M79" s="116" t="str">
        <f>IF(VLOOKUP($C79,$AB$2:$AN$67,M$1,FALSE)=$A79,"",VLOOKUP(VLOOKUP($C79,$AB$2:$AN$67,M$1,FALSE),$A$1:$B$200,2,FALSE))</f>
        <v/>
      </c>
      <c r="N79" s="116"/>
      <c r="O79" s="116"/>
      <c r="P79" s="116"/>
      <c r="Q79" s="116"/>
      <c r="R79" s="116"/>
      <c r="S79" s="117"/>
      <c r="T79" s="117"/>
      <c r="U79" s="117"/>
      <c r="V79" s="117"/>
      <c r="AA79" s="124"/>
      <c r="BH79" s="116">
        <f t="shared" si="76"/>
        <v>106</v>
      </c>
      <c r="BI79" s="3" t="s">
        <v>1671</v>
      </c>
      <c r="BJ79" s="3" t="s">
        <v>4838</v>
      </c>
      <c r="BK79" t="str">
        <f t="shared" si="77"/>
        <v xml:space="preserve">Charles Rowland Andrew WINN (1959– </v>
      </c>
      <c r="BL79" t="str">
        <f t="shared" si="78"/>
        <v>Charles WINN (1959– : #106b)</v>
      </c>
      <c r="BM79" t="str">
        <f t="shared" si="79"/>
        <v>Charles Rowland Andrew WINN (1959– : #106b)</v>
      </c>
      <c r="BP79" t="str">
        <f t="shared" si="80"/>
        <v>WINN</v>
      </c>
      <c r="BQ79" t="str">
        <f t="shared" si="81"/>
        <v>Charles</v>
      </c>
      <c r="BR79" s="116" t="str">
        <f t="shared" si="82"/>
        <v>Charles</v>
      </c>
      <c r="CO79" s="157" t="s">
        <v>1671</v>
      </c>
      <c r="CP79" s="6" t="s">
        <v>1658</v>
      </c>
      <c r="CQ79" s="156" t="s">
        <v>917</v>
      </c>
      <c r="CR79" s="5" t="s">
        <v>1670</v>
      </c>
      <c r="CS79" s="5" t="s">
        <v>885</v>
      </c>
      <c r="CT79" s="5"/>
      <c r="CU79" s="5">
        <v>1959</v>
      </c>
      <c r="CV79" s="5" t="s">
        <v>3774</v>
      </c>
      <c r="CW79" t="e">
        <f t="shared" si="91"/>
        <v>#VALUE!</v>
      </c>
      <c r="DC79" s="117">
        <f t="shared" si="83"/>
        <v>42</v>
      </c>
      <c r="DD79" s="297">
        <v>78</v>
      </c>
      <c r="DE79">
        <f t="shared" si="84"/>
        <v>1</v>
      </c>
      <c r="DF79" s="117">
        <v>78</v>
      </c>
      <c r="DG79" s="117">
        <f t="shared" si="85"/>
        <v>130</v>
      </c>
      <c r="DH79" s="99" t="str">
        <f t="shared" si="86"/>
        <v>1 – Gareth (1988–: #166)</v>
      </c>
    </row>
    <row r="80" spans="1:112" ht="20">
      <c r="A80" s="287">
        <f>'Loyd List 1-190 - Edit'!C80</f>
        <v>78</v>
      </c>
      <c r="B80" s="295" t="str">
        <f>VLOOKUP(A80,'Book Details - NO EDIT'!$U$3:$X$192,4,FALSE)</f>
        <v>Vivian (1894–1972: #78)</v>
      </c>
      <c r="C80" s="287">
        <f>VLOOKUP(A80,'Loyd List 1-190 - Edit'!$P$1:$R$200,3,FALSE)</f>
        <v>46</v>
      </c>
      <c r="D80" s="287">
        <f t="shared" si="88"/>
        <v>4</v>
      </c>
      <c r="E80" s="287">
        <f t="shared" si="75"/>
        <v>1</v>
      </c>
      <c r="F80" s="269" t="str">
        <f t="shared" si="89"/>
        <v xml:space="preserve">4 – Diana (1890–1963: #70) Godfrey (1893–1917: #75)  Wilfred (1896–1955: #82) Eddie (1902–1942: #84)    </v>
      </c>
      <c r="G80" s="125" t="str">
        <f>'Loyd Book 2022 - Print'!N80</f>
        <v xml:space="preserve">4 – Diana (1890–1963: #70) Godfrey (1893–1917: #75)  Wilfred (1896–1955: #82) Eddie (1902–1942: #84)    </v>
      </c>
      <c r="H80" s="125">
        <f t="shared" si="87"/>
        <v>0</v>
      </c>
      <c r="I80" s="117">
        <f t="shared" si="90"/>
        <v>0</v>
      </c>
      <c r="J80" s="116" t="str">
        <f t="shared" si="94"/>
        <v>Diana (1890–1963: #70)</v>
      </c>
      <c r="K80" s="116" t="str">
        <f t="shared" si="72"/>
        <v>Godfrey (1893–1917: #75)</v>
      </c>
      <c r="L80" s="116" t="str">
        <f t="shared" si="93"/>
        <v/>
      </c>
      <c r="M80" s="116" t="str">
        <f>IF(VLOOKUP($C80,$AB$2:$AN$67,M$1,FALSE)=$A80,"",VLOOKUP(VLOOKUP($C80,$AB$2:$AN$67,M$1,FALSE),$A$1:$B$200,2,FALSE))</f>
        <v>Wilfred (1896–1955: #82)</v>
      </c>
      <c r="N80" s="116" t="str">
        <f>IF(VLOOKUP($C80,$AB$2:$AN$67,N$1,FALSE)=$A80,"",VLOOKUP(VLOOKUP($C80,$AB$2:$AN$67,N$1,FALSE),$A$1:$B$200,2,FALSE))</f>
        <v>Eddie (1902–1942: #84)</v>
      </c>
      <c r="O80" s="116"/>
      <c r="P80" s="116"/>
      <c r="Q80" s="116"/>
      <c r="R80" s="116"/>
      <c r="S80" s="117"/>
      <c r="T80" s="117"/>
      <c r="U80" s="117"/>
      <c r="V80" s="117"/>
      <c r="AA80" s="124"/>
      <c r="BH80" s="116">
        <f t="shared" si="76"/>
        <v>107</v>
      </c>
      <c r="BI80" s="3" t="s">
        <v>1684</v>
      </c>
      <c r="BJ80" s="3" t="s">
        <v>4839</v>
      </c>
      <c r="BK80" t="str">
        <f t="shared" si="77"/>
        <v xml:space="preserve">Lorraine Mary GRAHAM (1951– </v>
      </c>
      <c r="BL80" t="str">
        <f t="shared" si="78"/>
        <v>Lorraine GRAHAM (1951– : #107a)</v>
      </c>
      <c r="BM80" t="str">
        <f t="shared" si="79"/>
        <v>Lorraine Mary GRAHAM (1951– : #107a)</v>
      </c>
      <c r="BP80" t="str">
        <f t="shared" si="80"/>
        <v>GRAHAM</v>
      </c>
      <c r="BQ80" t="str">
        <f t="shared" si="81"/>
        <v>Lorraine</v>
      </c>
      <c r="BR80" s="116" t="str">
        <f t="shared" si="82"/>
        <v>Lorraine</v>
      </c>
      <c r="CO80" s="157" t="s">
        <v>1684</v>
      </c>
      <c r="CP80" s="6" t="s">
        <v>1681</v>
      </c>
      <c r="CQ80" s="156" t="s">
        <v>1682</v>
      </c>
      <c r="CR80" s="5" t="s">
        <v>870</v>
      </c>
      <c r="CS80" s="5"/>
      <c r="CT80" s="5"/>
      <c r="CU80" s="5">
        <v>1951</v>
      </c>
      <c r="CV80" s="5" t="s">
        <v>3774</v>
      </c>
      <c r="CW80" t="e">
        <f t="shared" si="91"/>
        <v>#VALUE!</v>
      </c>
      <c r="DC80" s="117">
        <f t="shared" si="83"/>
        <v>43</v>
      </c>
      <c r="DD80" s="297">
        <v>80</v>
      </c>
      <c r="DE80">
        <f t="shared" si="84"/>
        <v>3</v>
      </c>
      <c r="DF80" s="117">
        <v>79</v>
      </c>
      <c r="DG80" s="117">
        <f t="shared" si="85"/>
        <v>131</v>
      </c>
      <c r="DH80" s="99" t="str">
        <f t="shared" si="86"/>
        <v>3 – John (1982–: #160) David (1984–: #162) Ben (1988–: #167)</v>
      </c>
    </row>
    <row r="81" spans="1:112" ht="20">
      <c r="A81" s="287">
        <f>'Loyd List 1-190 - Edit'!C81</f>
        <v>79</v>
      </c>
      <c r="B81" s="295" t="str">
        <f>VLOOKUP(A81,'Book Details - NO EDIT'!$U$3:$X$192,4,FALSE)</f>
        <v>Alwyne (1894–1917: #79)</v>
      </c>
      <c r="C81" s="287">
        <f>VLOOKUP(A81,'Loyd List 1-190 - Edit'!$P$1:$R$200,3,FALSE)</f>
        <v>45</v>
      </c>
      <c r="D81" s="287">
        <f t="shared" si="88"/>
        <v>3</v>
      </c>
      <c r="E81" s="287">
        <f t="shared" si="75"/>
        <v>1</v>
      </c>
      <c r="F81" s="269" t="str">
        <f t="shared" si="89"/>
        <v xml:space="preserve">3 – Cecil (1890–1963: #68) Eric (1891–1967: #73)  Ruby (1898–1977: #83)     </v>
      </c>
      <c r="G81" s="125" t="str">
        <f>'Loyd Book 2022 - Print'!N81</f>
        <v xml:space="preserve">3 – Cecil (1890–1963: #68) Eric (1891–1967: #73)  Ruby (1898–1977: #83)     </v>
      </c>
      <c r="H81" s="125">
        <f t="shared" si="87"/>
        <v>0</v>
      </c>
      <c r="I81" s="117">
        <f t="shared" si="90"/>
        <v>0</v>
      </c>
      <c r="J81" s="116" t="str">
        <f t="shared" si="94"/>
        <v>Cecil (1890–1963: #68)</v>
      </c>
      <c r="K81" s="116" t="str">
        <f t="shared" si="72"/>
        <v>Eric (1891–1967: #73)</v>
      </c>
      <c r="L81" s="116" t="str">
        <f t="shared" si="93"/>
        <v/>
      </c>
      <c r="M81" s="116" t="str">
        <f>IF(VLOOKUP($C81,$AB$2:$AN$67,M$1,FALSE)=$A81,"",VLOOKUP(VLOOKUP($C81,$AB$2:$AN$67,M$1,FALSE),$A$1:$B$200,2,FALSE))</f>
        <v>Ruby (1898–1977: #83)</v>
      </c>
      <c r="N81" s="116"/>
      <c r="O81" s="116"/>
      <c r="P81" s="116"/>
      <c r="Q81" s="116"/>
      <c r="R81" s="116"/>
      <c r="S81" s="117"/>
      <c r="T81" s="117"/>
      <c r="U81" s="117"/>
      <c r="V81" s="117"/>
      <c r="AA81" s="124"/>
      <c r="BH81" s="116">
        <f t="shared" si="76"/>
        <v>107</v>
      </c>
      <c r="BI81" s="3" t="s">
        <v>1697</v>
      </c>
      <c r="BJ81" s="3" t="s">
        <v>4840</v>
      </c>
      <c r="BK81" t="str">
        <f t="shared" si="77"/>
        <v xml:space="preserve">Nora Ann ORR (1955– </v>
      </c>
      <c r="BL81" t="str">
        <f t="shared" si="78"/>
        <v>Nora ORR (1955– : #107b)</v>
      </c>
      <c r="BM81" t="str">
        <f t="shared" si="79"/>
        <v>Nora Ann ORR (1955– : #107b)</v>
      </c>
      <c r="BP81" t="str">
        <f t="shared" si="80"/>
        <v>ORR</v>
      </c>
      <c r="BQ81" t="str">
        <f t="shared" si="81"/>
        <v>Nora</v>
      </c>
      <c r="BR81" s="116" t="str">
        <f t="shared" si="82"/>
        <v>Nora</v>
      </c>
      <c r="CO81" s="157" t="s">
        <v>1697</v>
      </c>
      <c r="CP81" s="6" t="s">
        <v>1695</v>
      </c>
      <c r="CQ81" s="156" t="s">
        <v>1696</v>
      </c>
      <c r="CR81" s="5" t="s">
        <v>1010</v>
      </c>
      <c r="CS81" s="5"/>
      <c r="CT81" s="5"/>
      <c r="CU81" s="5">
        <v>1955</v>
      </c>
      <c r="CV81" s="5" t="s">
        <v>3774</v>
      </c>
      <c r="CW81" t="e">
        <f t="shared" si="91"/>
        <v>#VALUE!</v>
      </c>
      <c r="DC81" s="117">
        <f t="shared" si="83"/>
        <v>45</v>
      </c>
      <c r="DD81" s="297">
        <v>86</v>
      </c>
      <c r="DE81">
        <f t="shared" si="84"/>
        <v>2</v>
      </c>
      <c r="DF81" s="117">
        <v>80</v>
      </c>
      <c r="DG81" s="117">
        <f t="shared" si="85"/>
        <v>135</v>
      </c>
      <c r="DH81" s="99" t="str">
        <f t="shared" si="86"/>
        <v>2 – Curtis (1992–: #173) Spencer (1995–: #177)</v>
      </c>
    </row>
    <row r="82" spans="1:112" ht="20">
      <c r="A82" s="287">
        <f>'Loyd List 1-190 - Edit'!C82</f>
        <v>80</v>
      </c>
      <c r="B82" s="295" t="str">
        <f>VLOOKUP(A82,'Book Details - NO EDIT'!$U$3:$X$192,4,FALSE)</f>
        <v>Eric (1894–1963: #80)</v>
      </c>
      <c r="C82" s="287">
        <f>VLOOKUP(A82,'Loyd List 1-190 - Edit'!$P$1:$R$200,3,FALSE)</f>
        <v>29</v>
      </c>
      <c r="D82" s="287">
        <f t="shared" si="88"/>
        <v>0</v>
      </c>
      <c r="E82" s="287">
        <f t="shared" si="75"/>
        <v>1</v>
      </c>
      <c r="F82" s="269" t="str">
        <f t="shared" si="89"/>
        <v>0 – Only Child</v>
      </c>
      <c r="G82" s="125" t="str">
        <f>'Loyd Book 2022 - Print'!N82</f>
        <v>0 – Only chlid</v>
      </c>
      <c r="H82" s="125">
        <f t="shared" si="87"/>
        <v>0</v>
      </c>
      <c r="I82" s="117">
        <f t="shared" si="90"/>
        <v>0</v>
      </c>
      <c r="J82" s="116" t="str">
        <f t="shared" si="94"/>
        <v/>
      </c>
      <c r="K82" s="116"/>
      <c r="L82" s="116"/>
      <c r="M82" s="116"/>
      <c r="N82" s="116"/>
      <c r="O82" s="116"/>
      <c r="P82" s="116"/>
      <c r="Q82" s="116"/>
      <c r="R82" s="116"/>
      <c r="S82" s="117"/>
      <c r="T82" s="117"/>
      <c r="U82" s="117"/>
      <c r="V82" s="117"/>
      <c r="AA82" s="124"/>
      <c r="BH82" s="116">
        <f t="shared" si="76"/>
        <v>107</v>
      </c>
      <c r="BI82" s="3" t="s">
        <v>1702</v>
      </c>
      <c r="BJ82" s="3" t="s">
        <v>4841</v>
      </c>
      <c r="BK82" t="str">
        <f t="shared" si="77"/>
        <v xml:space="preserve">Michael Kirkman Loyd ORR (1956– </v>
      </c>
      <c r="BL82" t="str">
        <f t="shared" si="78"/>
        <v>Michael ORR (1956– : #107c)</v>
      </c>
      <c r="BM82" t="str">
        <f t="shared" si="79"/>
        <v>Michael Kirkman Loyd ORR (1956– : #107c)</v>
      </c>
      <c r="BP82" t="str">
        <f t="shared" si="80"/>
        <v>ORR</v>
      </c>
      <c r="BQ82" t="str">
        <f t="shared" si="81"/>
        <v>Michael</v>
      </c>
      <c r="BR82" s="116" t="str">
        <f t="shared" si="82"/>
        <v>Michael</v>
      </c>
      <c r="CO82" s="157" t="s">
        <v>1702</v>
      </c>
      <c r="CP82" s="6" t="s">
        <v>1695</v>
      </c>
      <c r="CQ82" s="156" t="s">
        <v>891</v>
      </c>
      <c r="CR82" s="5" t="s">
        <v>819</v>
      </c>
      <c r="CS82" s="5" t="s">
        <v>1497</v>
      </c>
      <c r="CT82" s="5"/>
      <c r="CU82" s="5">
        <v>1956</v>
      </c>
      <c r="CV82" s="5" t="s">
        <v>3774</v>
      </c>
      <c r="CW82" t="e">
        <f t="shared" si="91"/>
        <v>#VALUE!</v>
      </c>
      <c r="DC82" s="117">
        <f t="shared" si="83"/>
        <v>47</v>
      </c>
      <c r="DD82" s="297">
        <v>89</v>
      </c>
      <c r="DE82">
        <f t="shared" si="84"/>
        <v>3</v>
      </c>
      <c r="DF82" s="117">
        <v>81</v>
      </c>
      <c r="DG82" s="117">
        <f t="shared" si="85"/>
        <v>136</v>
      </c>
      <c r="DH82" s="99" t="str">
        <f t="shared" si="86"/>
        <v>3 – Poppy (1984–: #164) Rose (1986–: #165) Florina (1991–: #172)</v>
      </c>
    </row>
    <row r="83" spans="1:112" ht="20">
      <c r="A83" s="287">
        <f>'Loyd List 1-190 - Edit'!C83</f>
        <v>81</v>
      </c>
      <c r="B83" s="295" t="str">
        <f>VLOOKUP(A83,'Book Details - NO EDIT'!$U$3:$X$192,4,FALSE)</f>
        <v>Reginald (1885–1917: #81)</v>
      </c>
      <c r="C83" s="287">
        <f>VLOOKUP(A83,'Loyd List 1-190 - Edit'!$P$1:$R$200,3,FALSE)</f>
        <v>44</v>
      </c>
      <c r="D83" s="287">
        <f t="shared" si="88"/>
        <v>2</v>
      </c>
      <c r="E83" s="287">
        <f t="shared" si="75"/>
        <v>1</v>
      </c>
      <c r="F83" s="269" t="str">
        <f t="shared" si="89"/>
        <v xml:space="preserve">2 – William (1889–1947: #66) Charles (1891–1973: #72)       </v>
      </c>
      <c r="G83" s="125" t="str">
        <f>'Loyd Book 2022 - Print'!N83</f>
        <v xml:space="preserve">2 – William (1889–1947: #66) Charles (1891–1973: #72)       </v>
      </c>
      <c r="H83" s="125">
        <f t="shared" si="87"/>
        <v>0</v>
      </c>
      <c r="I83" s="117">
        <f t="shared" si="90"/>
        <v>0</v>
      </c>
      <c r="J83" s="116" t="str">
        <f t="shared" si="94"/>
        <v>William (1889–1947: #66)</v>
      </c>
      <c r="K83" s="116" t="str">
        <f t="shared" ref="K83:L87" si="95">IF(VLOOKUP($C83,$AB$2:$AN$67,K$1,FALSE)=$A83,"",VLOOKUP(VLOOKUP($C83,$AB$2:$AN$67,K$1,FALSE),$A$1:$B$200,2,FALSE))</f>
        <v>Charles (1891–1973: #72)</v>
      </c>
      <c r="L83" s="116" t="str">
        <f t="shared" si="95"/>
        <v/>
      </c>
      <c r="M83" s="116"/>
      <c r="N83" s="116"/>
      <c r="O83" s="116"/>
      <c r="P83" s="116"/>
      <c r="Q83" s="116"/>
      <c r="R83" s="116"/>
      <c r="S83" s="117"/>
      <c r="T83" s="117"/>
      <c r="U83" s="117"/>
      <c r="V83" s="117"/>
      <c r="AA83" s="124"/>
      <c r="BH83" s="116">
        <f t="shared" si="76"/>
        <v>107</v>
      </c>
      <c r="BI83" s="3" t="s">
        <v>1711</v>
      </c>
      <c r="BJ83" s="3" t="s">
        <v>4842</v>
      </c>
      <c r="BK83" t="str">
        <f t="shared" si="77"/>
        <v xml:space="preserve">Edward William ORR (1959– </v>
      </c>
      <c r="BL83" t="str">
        <f t="shared" si="78"/>
        <v>Ted ORR (1959– : #107d)</v>
      </c>
      <c r="BM83" t="str">
        <f t="shared" si="79"/>
        <v>Edward William ORR (1959– : #107d)</v>
      </c>
      <c r="BP83" t="str">
        <f t="shared" si="80"/>
        <v>ORR</v>
      </c>
      <c r="BQ83" t="str">
        <f t="shared" si="81"/>
        <v>Edward</v>
      </c>
      <c r="BR83" s="116" t="str">
        <f t="shared" si="82"/>
        <v>Ted</v>
      </c>
      <c r="CO83" s="157" t="s">
        <v>1711</v>
      </c>
      <c r="CP83" s="6" t="s">
        <v>1695</v>
      </c>
      <c r="CQ83" s="156" t="s">
        <v>811</v>
      </c>
      <c r="CR83" s="5" t="s">
        <v>830</v>
      </c>
      <c r="CS83" s="5"/>
      <c r="CT83" s="5" t="s">
        <v>1179</v>
      </c>
      <c r="CU83" s="5">
        <v>1959</v>
      </c>
      <c r="CV83" s="5" t="s">
        <v>3774</v>
      </c>
      <c r="CW83" t="e">
        <f t="shared" si="91"/>
        <v>#VALUE!</v>
      </c>
      <c r="DC83" s="117">
        <f t="shared" si="83"/>
        <v>50</v>
      </c>
      <c r="DD83" s="297">
        <v>94</v>
      </c>
      <c r="DE83">
        <f t="shared" si="84"/>
        <v>1</v>
      </c>
      <c r="DF83" s="117">
        <v>82</v>
      </c>
      <c r="DG83" s="117">
        <f t="shared" si="85"/>
        <v>137</v>
      </c>
      <c r="DH83" s="99" t="str">
        <f t="shared" si="86"/>
        <v>1 – Honor GELL (1998– : #137a)</v>
      </c>
    </row>
    <row r="84" spans="1:112" ht="20">
      <c r="A84" s="287">
        <f>'Loyd List 1-190 - Edit'!C84</f>
        <v>82</v>
      </c>
      <c r="B84" s="295" t="str">
        <f>VLOOKUP(A84,'Book Details - NO EDIT'!$U$3:$X$192,4,FALSE)</f>
        <v>Wilfred (1896–1955: #82)</v>
      </c>
      <c r="C84" s="287">
        <f>VLOOKUP(A84,'Loyd List 1-190 - Edit'!$P$1:$R$200,3,FALSE)</f>
        <v>46</v>
      </c>
      <c r="D84" s="287">
        <f t="shared" si="88"/>
        <v>4</v>
      </c>
      <c r="E84" s="287">
        <f t="shared" si="75"/>
        <v>1</v>
      </c>
      <c r="F84" s="269" t="str">
        <f t="shared" si="89"/>
        <v xml:space="preserve">4 – Diana (1890–1963: #70) Godfrey (1893–1917: #75) Vivian (1894–1972: #78)  Eddie (1902–1942: #84)    </v>
      </c>
      <c r="G84" s="125" t="str">
        <f>'Loyd Book 2022 - Print'!N84</f>
        <v xml:space="preserve">4 – Diana (1890–1963: #70) Godfrey (1893–1917: #75) Vivian (1894–1972: #78)  Eddie (1902–1942: #84)    </v>
      </c>
      <c r="H84" s="125">
        <f t="shared" si="87"/>
        <v>0</v>
      </c>
      <c r="I84" s="117">
        <f t="shared" si="90"/>
        <v>0</v>
      </c>
      <c r="J84" s="116" t="str">
        <f t="shared" si="94"/>
        <v>Diana (1890–1963: #70)</v>
      </c>
      <c r="K84" s="116" t="str">
        <f t="shared" si="95"/>
        <v>Godfrey (1893–1917: #75)</v>
      </c>
      <c r="L84" s="116" t="str">
        <f t="shared" si="95"/>
        <v>Vivian (1894–1972: #78)</v>
      </c>
      <c r="M84" s="116" t="str">
        <f>IF(VLOOKUP($C84,$AB$2:$AN$67,M$1,FALSE)=$A84,"",VLOOKUP(VLOOKUP($C84,$AB$2:$AN$67,M$1,FALSE),$A$1:$B$200,2,FALSE))</f>
        <v/>
      </c>
      <c r="N84" s="116" t="str">
        <f>IF(VLOOKUP($C84,$AB$2:$AN$67,N$1,FALSE)=$A84,"",VLOOKUP(VLOOKUP($C84,$AB$2:$AN$67,N$1,FALSE),$A$1:$B$200,2,FALSE))</f>
        <v>Eddie (1902–1942: #84)</v>
      </c>
      <c r="O84" s="116"/>
      <c r="P84" s="116"/>
      <c r="Q84" s="116"/>
      <c r="R84" s="116"/>
      <c r="S84" s="117"/>
      <c r="T84" s="117"/>
      <c r="U84" s="117"/>
      <c r="V84" s="117"/>
      <c r="AA84" s="124"/>
      <c r="BH84" s="116">
        <f t="shared" si="76"/>
        <v>107</v>
      </c>
      <c r="BI84" s="3" t="s">
        <v>1718</v>
      </c>
      <c r="BJ84" s="3" t="s">
        <v>4843</v>
      </c>
      <c r="BK84" t="str">
        <f t="shared" si="77"/>
        <v xml:space="preserve">Heather Lynn ORR (1970– </v>
      </c>
      <c r="BL84" t="str">
        <f t="shared" si="78"/>
        <v>Heather ORR (1970– : #107e)</v>
      </c>
      <c r="BM84" t="str">
        <f t="shared" si="79"/>
        <v>Heather Lynn ORR (1970– : #107e)</v>
      </c>
      <c r="BP84" t="str">
        <f t="shared" si="80"/>
        <v>ORR</v>
      </c>
      <c r="BQ84" t="str">
        <f t="shared" si="81"/>
        <v>Heather</v>
      </c>
      <c r="BR84" s="116" t="str">
        <f t="shared" si="82"/>
        <v>Heather</v>
      </c>
      <c r="CO84" s="157" t="s">
        <v>1718</v>
      </c>
      <c r="CP84" s="6" t="s">
        <v>1695</v>
      </c>
      <c r="CQ84" s="156" t="s">
        <v>1647</v>
      </c>
      <c r="CR84" s="5" t="s">
        <v>1716</v>
      </c>
      <c r="CS84" s="5"/>
      <c r="CT84" s="5"/>
      <c r="CU84" s="5">
        <v>1970</v>
      </c>
      <c r="CV84" s="5" t="s">
        <v>3774</v>
      </c>
      <c r="CW84" t="e">
        <f t="shared" si="91"/>
        <v>#VALUE!</v>
      </c>
      <c r="DC84" s="117">
        <f t="shared" si="83"/>
        <v>52</v>
      </c>
      <c r="DD84" s="297">
        <v>96</v>
      </c>
      <c r="DE84">
        <f t="shared" si="84"/>
        <v>3</v>
      </c>
      <c r="DF84" s="117">
        <v>83</v>
      </c>
      <c r="DG84" s="117">
        <f t="shared" si="85"/>
        <v>138</v>
      </c>
      <c r="DH84" s="99" t="str">
        <f t="shared" si="86"/>
        <v>3 – Camilla (1988–: #168) Sophie (1989–: #170) Kit (1993–: #175)</v>
      </c>
    </row>
    <row r="85" spans="1:112" ht="17">
      <c r="A85" s="287">
        <f>'Loyd List 1-190 - Edit'!C85</f>
        <v>83</v>
      </c>
      <c r="B85" s="295" t="str">
        <f>VLOOKUP(A85,'Book Details - NO EDIT'!$U$3:$X$192,4,FALSE)</f>
        <v>Ruby (1898–1977: #83)</v>
      </c>
      <c r="C85" s="287">
        <f>VLOOKUP(A85,'Loyd List 1-190 - Edit'!$P$1:$R$200,3,FALSE)</f>
        <v>45</v>
      </c>
      <c r="D85" s="287">
        <f t="shared" si="88"/>
        <v>3</v>
      </c>
      <c r="E85" s="287">
        <f t="shared" si="75"/>
        <v>1</v>
      </c>
      <c r="F85" s="269" t="str">
        <f t="shared" si="89"/>
        <v xml:space="preserve">3 – Cecil (1890–1963: #68) Eric (1891–1967: #73) Alwyne (1894–1917: #79)      </v>
      </c>
      <c r="G85" s="125" t="str">
        <f>'Loyd Book 2022 - Print'!N85</f>
        <v xml:space="preserve">3 – Cecil (1890–1963: #68) Eric (1891–1967: #73) Alwyne (1894–1917: #79)      </v>
      </c>
      <c r="H85" s="125">
        <f t="shared" si="87"/>
        <v>0</v>
      </c>
      <c r="I85" s="117">
        <f t="shared" si="90"/>
        <v>0</v>
      </c>
      <c r="J85" s="116" t="str">
        <f t="shared" si="94"/>
        <v>Cecil (1890–1963: #68)</v>
      </c>
      <c r="K85" s="116" t="str">
        <f t="shared" si="95"/>
        <v>Eric (1891–1967: #73)</v>
      </c>
      <c r="L85" s="116" t="str">
        <f t="shared" si="95"/>
        <v>Alwyne (1894–1917: #79)</v>
      </c>
      <c r="M85" s="116" t="str">
        <f>IF(VLOOKUP($C85,$AB$2:$AN$67,M$1,FALSE)=$A85,"",VLOOKUP(VLOOKUP($C85,$AB$2:$AN$67,M$1,FALSE),$A$1:$B$200,2,FALSE))</f>
        <v/>
      </c>
      <c r="N85" s="116"/>
      <c r="O85" s="116"/>
      <c r="P85" s="116"/>
      <c r="Q85" s="116"/>
      <c r="R85" s="116"/>
      <c r="S85" s="117"/>
      <c r="T85" s="117"/>
      <c r="U85" s="117"/>
      <c r="V85" s="117"/>
      <c r="AA85" s="124"/>
      <c r="BH85" s="116">
        <f t="shared" si="76"/>
        <v>108</v>
      </c>
      <c r="BI85" s="3" t="s">
        <v>1721</v>
      </c>
      <c r="BJ85" s="3" t="s">
        <v>4844</v>
      </c>
      <c r="BK85" t="str">
        <f t="shared" si="77"/>
        <v xml:space="preserve">Frances Mary HOYLE (1953– </v>
      </c>
      <c r="BL85" t="str">
        <f t="shared" si="78"/>
        <v>Frances HOYLE (1953– : #108a)</v>
      </c>
      <c r="BM85" t="str">
        <f t="shared" si="79"/>
        <v>Frances Mary HOYLE (1953– : #108a)</v>
      </c>
      <c r="BP85" t="str">
        <f t="shared" si="80"/>
        <v>HOYLE</v>
      </c>
      <c r="BQ85" t="str">
        <f t="shared" si="81"/>
        <v>Frances</v>
      </c>
      <c r="BR85" s="116" t="str">
        <f t="shared" si="82"/>
        <v>Frances</v>
      </c>
      <c r="CO85" s="157" t="s">
        <v>1721</v>
      </c>
      <c r="CP85" s="156" t="s">
        <v>1720</v>
      </c>
      <c r="CQ85" s="5" t="s">
        <v>1036</v>
      </c>
      <c r="CR85" s="5" t="s">
        <v>870</v>
      </c>
      <c r="CS85" s="5"/>
      <c r="CT85" s="5"/>
      <c r="CU85" s="5">
        <v>1953</v>
      </c>
      <c r="CV85" s="5" t="s">
        <v>3774</v>
      </c>
      <c r="CW85" t="e">
        <f t="shared" si="91"/>
        <v>#VALUE!</v>
      </c>
      <c r="DC85" s="117">
        <f t="shared" si="83"/>
        <v>54</v>
      </c>
      <c r="DD85" s="297">
        <v>98</v>
      </c>
      <c r="DE85">
        <f t="shared" si="84"/>
        <v>2</v>
      </c>
      <c r="DF85" s="117">
        <v>84</v>
      </c>
      <c r="DG85" s="117">
        <f t="shared" si="85"/>
        <v>140</v>
      </c>
      <c r="DH85" s="99" t="str">
        <f t="shared" si="86"/>
        <v>2 – Daisy MILLER (1995– : #140a) Violet MILLER (1995– : #140b)</v>
      </c>
    </row>
    <row r="86" spans="1:112" ht="20">
      <c r="A86" s="287">
        <f>'Loyd List 1-190 - Edit'!C86</f>
        <v>84</v>
      </c>
      <c r="B86" s="295" t="str">
        <f>VLOOKUP(A86,'Book Details - NO EDIT'!$U$3:$X$192,4,FALSE)</f>
        <v>Eddie (1902–1942: #84)</v>
      </c>
      <c r="C86" s="287">
        <f>VLOOKUP(A86,'Loyd List 1-190 - Edit'!$P$1:$R$200,3,FALSE)</f>
        <v>46</v>
      </c>
      <c r="D86" s="287">
        <f t="shared" si="88"/>
        <v>4</v>
      </c>
      <c r="E86" s="287">
        <f t="shared" si="75"/>
        <v>1</v>
      </c>
      <c r="F86" s="269" t="str">
        <f t="shared" si="89"/>
        <v xml:space="preserve">4 – Diana (1890–1963: #70) Godfrey (1893–1917: #75) Vivian (1894–1972: #78) Wilfred (1896–1955: #82)     </v>
      </c>
      <c r="G86" s="125" t="str">
        <f>'Loyd Book 2022 - Print'!N86</f>
        <v xml:space="preserve">4 – Diana (1890–1963: #70) Godfrey (1893–1917: #75) Vivian (1894–1972: #78) Wilfred (1896–1955: #82)     </v>
      </c>
      <c r="H86" s="125">
        <f t="shared" si="87"/>
        <v>0</v>
      </c>
      <c r="I86" s="117">
        <f t="shared" si="90"/>
        <v>0</v>
      </c>
      <c r="J86" s="116" t="str">
        <f t="shared" si="94"/>
        <v>Diana (1890–1963: #70)</v>
      </c>
      <c r="K86" s="116" t="str">
        <f t="shared" si="95"/>
        <v>Godfrey (1893–1917: #75)</v>
      </c>
      <c r="L86" s="116" t="str">
        <f t="shared" si="95"/>
        <v>Vivian (1894–1972: #78)</v>
      </c>
      <c r="M86" s="116" t="str">
        <f>IF(VLOOKUP($C86,$AB$2:$AN$67,M$1,FALSE)=$A86,"",VLOOKUP(VLOOKUP($C86,$AB$2:$AN$67,M$1,FALSE),$A$1:$B$200,2,FALSE))</f>
        <v>Wilfred (1896–1955: #82)</v>
      </c>
      <c r="N86" s="116" t="str">
        <f>IF(VLOOKUP($C86,$AB$2:$AN$67,N$1,FALSE)=$A86,"",VLOOKUP(VLOOKUP($C86,$AB$2:$AN$67,N$1,FALSE),$A$1:$B$200,2,FALSE))</f>
        <v/>
      </c>
      <c r="O86" s="116"/>
      <c r="P86" s="116"/>
      <c r="Q86" s="116"/>
      <c r="R86" s="116"/>
      <c r="S86" s="117"/>
      <c r="T86" s="117"/>
      <c r="U86" s="117"/>
      <c r="V86" s="117"/>
      <c r="AA86" s="124"/>
      <c r="BH86" s="116">
        <f t="shared" si="76"/>
        <v>108</v>
      </c>
      <c r="BI86" s="3" t="s">
        <v>1727</v>
      </c>
      <c r="BJ86" s="3" t="s">
        <v>4845</v>
      </c>
      <c r="BK86" t="str">
        <f t="shared" si="77"/>
        <v xml:space="preserve">Richard William Lewis HOYLE (1956– </v>
      </c>
      <c r="BL86" t="str">
        <f t="shared" si="78"/>
        <v>Richard HOYLE (1956– : #108b)</v>
      </c>
      <c r="BM86" t="str">
        <f t="shared" si="79"/>
        <v>Richard William Lewis HOYLE (1956– : #108b)</v>
      </c>
      <c r="BP86" t="str">
        <f t="shared" si="80"/>
        <v>HOYLE</v>
      </c>
      <c r="BQ86" t="str">
        <f t="shared" si="81"/>
        <v>Richard</v>
      </c>
      <c r="BR86" s="116" t="str">
        <f t="shared" si="82"/>
        <v>Richard</v>
      </c>
      <c r="CO86" s="157" t="s">
        <v>1727</v>
      </c>
      <c r="CP86" s="6" t="s">
        <v>1720</v>
      </c>
      <c r="CQ86" s="156" t="s">
        <v>928</v>
      </c>
      <c r="CR86" s="5" t="s">
        <v>830</v>
      </c>
      <c r="CS86" s="5" t="s">
        <v>914</v>
      </c>
      <c r="CT86" s="5"/>
      <c r="CU86" s="5">
        <v>1956</v>
      </c>
      <c r="CV86" s="5" t="s">
        <v>3774</v>
      </c>
      <c r="CW86" t="e">
        <f t="shared" si="91"/>
        <v>#VALUE!</v>
      </c>
      <c r="DC86" s="117">
        <f t="shared" si="83"/>
        <v>55</v>
      </c>
      <c r="DD86" s="297">
        <v>99</v>
      </c>
      <c r="DE86">
        <f t="shared" si="84"/>
        <v>2</v>
      </c>
      <c r="DF86" s="117">
        <v>85</v>
      </c>
      <c r="DG86" s="117">
        <f t="shared" si="85"/>
        <v>141</v>
      </c>
      <c r="DH86" s="99" t="str">
        <f t="shared" si="86"/>
        <v>2 – Letty BYATT (1996– : #141a) Harry BYATT (1998–2017: #141b)</v>
      </c>
    </row>
    <row r="87" spans="1:112" ht="20">
      <c r="A87" s="287">
        <f>'Loyd List 1-190 - Edit'!C87</f>
        <v>85</v>
      </c>
      <c r="B87" s="295" t="str">
        <f>VLOOKUP(A87,'Book Details - NO EDIT'!$U$3:$X$192,4,FALSE)</f>
        <v>Anne (1912–2004: #85)</v>
      </c>
      <c r="C87" s="287">
        <f>VLOOKUP(A87,'Loyd List 1-190 - Edit'!$P$1:$R$200,3,FALSE)</f>
        <v>56</v>
      </c>
      <c r="D87" s="287">
        <f t="shared" si="88"/>
        <v>5</v>
      </c>
      <c r="E87" s="287">
        <f t="shared" si="75"/>
        <v>1</v>
      </c>
      <c r="F87" s="269" t="str">
        <f t="shared" si="89"/>
        <v xml:space="preserve">5 – John (1913–1943: #87) Martin (1917–1926: #91) Hester (1920–2002: #95) Christopher (1923–2013: #100) Catherine (1923–2014: #101)   </v>
      </c>
      <c r="G87" s="125" t="str">
        <f>'Loyd Book 2022 - Print'!N87</f>
        <v xml:space="preserve">5 – John (1913–1943: #87) Martin (1917–1926: #91) Hester (1920–2002: #95) Christopher (1923–2013: #100) Catherine (1923–2014: #101)   </v>
      </c>
      <c r="H87" s="125">
        <f t="shared" si="87"/>
        <v>0</v>
      </c>
      <c r="I87" s="117">
        <f t="shared" si="90"/>
        <v>0</v>
      </c>
      <c r="J87" s="116" t="str">
        <f t="shared" si="94"/>
        <v/>
      </c>
      <c r="K87" s="116" t="str">
        <f t="shared" si="95"/>
        <v>John (1913–1943: #87)</v>
      </c>
      <c r="L87" s="116" t="str">
        <f t="shared" si="95"/>
        <v>Martin (1917–1926: #91)</v>
      </c>
      <c r="M87" s="116" t="str">
        <f>IF(VLOOKUP($C87,$AB$2:$AN$67,M$1,FALSE)=$A87,"",VLOOKUP(VLOOKUP($C87,$AB$2:$AN$67,M$1,FALSE),$A$1:$B$200,2,FALSE))</f>
        <v>Hester (1920–2002: #95)</v>
      </c>
      <c r="N87" s="116" t="str">
        <f>IF(VLOOKUP($C87,$AB$2:$AN$67,N$1,FALSE)=$A87,"",VLOOKUP(VLOOKUP($C87,$AB$2:$AN$67,N$1,FALSE),$A$1:$B$200,2,FALSE))</f>
        <v>Christopher (1923–2013: #100)</v>
      </c>
      <c r="O87" s="116" t="str">
        <f>IF(VLOOKUP($C87,$AB$2:$AN$67,O$1,FALSE)=$A87,"",VLOOKUP(VLOOKUP($C87,$AB$2:$AN$67,O$1,FALSE),$A$1:$B$200,2,FALSE))</f>
        <v>Catherine (1923–2014: #101)</v>
      </c>
      <c r="P87" s="116"/>
      <c r="Q87" s="116"/>
      <c r="R87" s="116"/>
      <c r="S87" s="117"/>
      <c r="T87" s="117"/>
      <c r="U87" s="117"/>
      <c r="V87" s="117"/>
      <c r="AA87" s="124"/>
      <c r="BH87" s="116">
        <f t="shared" si="76"/>
        <v>108</v>
      </c>
      <c r="BI87" s="3" t="s">
        <v>1731</v>
      </c>
      <c r="BJ87" s="3" t="s">
        <v>4846</v>
      </c>
      <c r="BK87" t="str">
        <f t="shared" si="77"/>
        <v xml:space="preserve">David John HOYLE (1961– </v>
      </c>
      <c r="BL87" t="str">
        <f t="shared" si="78"/>
        <v>David HOYLE (1961– : #108c)</v>
      </c>
      <c r="BM87" t="str">
        <f t="shared" si="79"/>
        <v>David John HOYLE (1961– : #108c)</v>
      </c>
      <c r="BP87" t="str">
        <f t="shared" si="80"/>
        <v>HOYLE</v>
      </c>
      <c r="BQ87" t="str">
        <f t="shared" si="81"/>
        <v>David</v>
      </c>
      <c r="BR87" s="116" t="str">
        <f t="shared" si="82"/>
        <v>David</v>
      </c>
      <c r="CO87" s="157" t="s">
        <v>1731</v>
      </c>
      <c r="CP87" s="6" t="s">
        <v>1720</v>
      </c>
      <c r="CQ87" s="156" t="s">
        <v>905</v>
      </c>
      <c r="CR87" s="5" t="s">
        <v>842</v>
      </c>
      <c r="CS87" s="5"/>
      <c r="CT87" s="5"/>
      <c r="CU87" s="5">
        <v>1961</v>
      </c>
      <c r="CV87" s="5" t="s">
        <v>3774</v>
      </c>
      <c r="CW87" t="e">
        <f t="shared" si="91"/>
        <v>#VALUE!</v>
      </c>
      <c r="DC87" s="117">
        <f t="shared" si="83"/>
        <v>56</v>
      </c>
      <c r="DD87" s="297">
        <v>100</v>
      </c>
      <c r="DE87">
        <f t="shared" si="84"/>
        <v>2</v>
      </c>
      <c r="DF87" s="117">
        <v>86</v>
      </c>
      <c r="DG87" s="117">
        <f t="shared" si="85"/>
        <v>142</v>
      </c>
      <c r="DH87" s="99" t="str">
        <f t="shared" si="86"/>
        <v>2 – Sam (1994–: #176) Josh (1996–: #179)</v>
      </c>
    </row>
    <row r="88" spans="1:112" ht="20">
      <c r="A88" s="287">
        <f>'Loyd List 1-190 - Edit'!C88</f>
        <v>86</v>
      </c>
      <c r="B88" s="295" t="str">
        <f>VLOOKUP(A88,'Book Details - NO EDIT'!$U$3:$X$192,4,FALSE)</f>
        <v>Peter (1913–2008: #86)</v>
      </c>
      <c r="C88" s="287">
        <f>VLOOKUP(A88,'Loyd List 1-190 - Edit'!$P$1:$R$200,3,FALSE)</f>
        <v>71</v>
      </c>
      <c r="D88" s="287">
        <f t="shared" si="88"/>
        <v>0</v>
      </c>
      <c r="E88" s="287">
        <f t="shared" si="75"/>
        <v>1</v>
      </c>
      <c r="F88" s="269" t="str">
        <f t="shared" si="89"/>
        <v>0 – Only Child</v>
      </c>
      <c r="G88" s="125" t="str">
        <f>'Loyd Book 2022 - Print'!N88</f>
        <v>0 – Only chlid</v>
      </c>
      <c r="H88" s="125">
        <f t="shared" si="87"/>
        <v>0</v>
      </c>
      <c r="I88" s="117">
        <f t="shared" si="90"/>
        <v>0</v>
      </c>
      <c r="J88" s="116" t="str">
        <f t="shared" si="94"/>
        <v/>
      </c>
      <c r="K88" s="116"/>
      <c r="L88" s="116"/>
      <c r="M88" s="116"/>
      <c r="N88" s="116"/>
      <c r="O88" s="116"/>
      <c r="P88" s="116"/>
      <c r="Q88" s="116"/>
      <c r="R88" s="116"/>
      <c r="S88" s="117"/>
      <c r="T88" s="117"/>
      <c r="U88" s="117"/>
      <c r="V88" s="117"/>
      <c r="AA88" s="124"/>
      <c r="BH88" s="116">
        <f t="shared" si="76"/>
        <v>108</v>
      </c>
      <c r="BI88" s="3" t="s">
        <v>1734</v>
      </c>
      <c r="BJ88" s="3" t="s">
        <v>4847</v>
      </c>
      <c r="BK88" t="str">
        <f t="shared" si="77"/>
        <v xml:space="preserve">Peter James HOYLE (1963– </v>
      </c>
      <c r="BL88" t="str">
        <f t="shared" si="78"/>
        <v>Peter HOYLE (1963– : #108d)</v>
      </c>
      <c r="BM88" t="str">
        <f t="shared" si="79"/>
        <v>Peter James HOYLE (1963– : #108d)</v>
      </c>
      <c r="BP88" t="str">
        <f t="shared" si="80"/>
        <v>HOYLE</v>
      </c>
      <c r="BQ88" t="str">
        <f t="shared" si="81"/>
        <v>Peter</v>
      </c>
      <c r="BR88" s="116" t="str">
        <f t="shared" si="82"/>
        <v>Peter</v>
      </c>
      <c r="CO88" s="157" t="s">
        <v>1734</v>
      </c>
      <c r="CP88" s="6" t="s">
        <v>1720</v>
      </c>
      <c r="CQ88" s="156" t="s">
        <v>865</v>
      </c>
      <c r="CR88" s="5" t="s">
        <v>918</v>
      </c>
      <c r="CS88" s="5"/>
      <c r="CT88" s="5"/>
      <c r="CU88" s="5">
        <v>1963</v>
      </c>
      <c r="CV88" s="5" t="s">
        <v>3774</v>
      </c>
      <c r="CW88" t="e">
        <f t="shared" si="91"/>
        <v>#VALUE!</v>
      </c>
      <c r="DC88" s="117">
        <f t="shared" si="83"/>
        <v>60</v>
      </c>
      <c r="DD88" s="297">
        <v>104</v>
      </c>
      <c r="DE88">
        <f t="shared" si="84"/>
        <v>2</v>
      </c>
      <c r="DF88" s="117">
        <v>87</v>
      </c>
      <c r="DG88" s="117">
        <f t="shared" si="85"/>
        <v>143</v>
      </c>
      <c r="DH88" s="99" t="str">
        <f t="shared" si="86"/>
        <v>2 – Emily ASHE (1988– : #143a) Charles ASHE (1990– : #143b)</v>
      </c>
    </row>
    <row r="89" spans="1:112" ht="20">
      <c r="A89" s="287">
        <f>'Loyd List 1-190 - Edit'!C89</f>
        <v>87</v>
      </c>
      <c r="B89" s="295" t="str">
        <f>VLOOKUP(A89,'Book Details - NO EDIT'!$U$3:$X$192,4,FALSE)</f>
        <v>John (1913–1943: #87)</v>
      </c>
      <c r="C89" s="287">
        <f>VLOOKUP(A89,'Loyd List 1-190 - Edit'!$P$1:$R$200,3,FALSE)</f>
        <v>56</v>
      </c>
      <c r="D89" s="287">
        <f t="shared" si="88"/>
        <v>5</v>
      </c>
      <c r="E89" s="287">
        <f t="shared" si="75"/>
        <v>1</v>
      </c>
      <c r="F89" s="269" t="str">
        <f t="shared" si="89"/>
        <v xml:space="preserve">5 – Anne (1912–2004: #85)  Martin (1917–1926: #91) Hester (1920–2002: #95) Christopher (1923–2013: #100) Catherine (1923–2014: #101)   </v>
      </c>
      <c r="G89" s="125" t="str">
        <f>'Loyd Book 2022 - Print'!N89</f>
        <v xml:space="preserve">5 – Anne (1912–2004: #85)  Martin (1917–1926: #91) Hester (1920–2002: #95) Christopher (1923–2013: #100) Catherine (1923–2014: #101)   </v>
      </c>
      <c r="H89" s="125">
        <f t="shared" si="87"/>
        <v>0</v>
      </c>
      <c r="I89" s="117">
        <f t="shared" si="90"/>
        <v>0</v>
      </c>
      <c r="J89" s="116" t="str">
        <f t="shared" si="94"/>
        <v>Anne (1912–2004: #85)</v>
      </c>
      <c r="K89" s="116" t="str">
        <f>IF(VLOOKUP($C89,$AB$2:$AN$67,K$1,FALSE)=$A89,"",VLOOKUP(VLOOKUP($C89,$AB$2:$AN$67,K$1,FALSE),$A$1:$B$200,2,FALSE))</f>
        <v/>
      </c>
      <c r="L89" s="116" t="str">
        <f>IF(VLOOKUP($C89,$AB$2:$AN$67,L$1,FALSE)=$A89,"",VLOOKUP(VLOOKUP($C89,$AB$2:$AN$67,L$1,FALSE),$A$1:$B$200,2,FALSE))</f>
        <v>Martin (1917–1926: #91)</v>
      </c>
      <c r="M89" s="116" t="str">
        <f>IF(VLOOKUP($C89,$AB$2:$AN$67,M$1,FALSE)=$A89,"",VLOOKUP(VLOOKUP($C89,$AB$2:$AN$67,M$1,FALSE),$A$1:$B$200,2,FALSE))</f>
        <v>Hester (1920–2002: #95)</v>
      </c>
      <c r="N89" s="116" t="str">
        <f>IF(VLOOKUP($C89,$AB$2:$AN$67,N$1,FALSE)=$A89,"",VLOOKUP(VLOOKUP($C89,$AB$2:$AN$67,N$1,FALSE),$A$1:$B$200,2,FALSE))</f>
        <v>Christopher (1923–2013: #100)</v>
      </c>
      <c r="O89" s="116" t="str">
        <f>IF(VLOOKUP($C89,$AB$2:$AN$67,O$1,FALSE)=$A89,"",VLOOKUP(VLOOKUP($C89,$AB$2:$AN$67,O$1,FALSE),$A$1:$B$200,2,FALSE))</f>
        <v>Catherine (1923–2014: #101)</v>
      </c>
      <c r="P89" s="116"/>
      <c r="Q89" s="116"/>
      <c r="R89" s="116"/>
      <c r="S89" s="117"/>
      <c r="T89" s="117"/>
      <c r="U89" s="117"/>
      <c r="V89" s="117"/>
      <c r="AA89" s="124"/>
      <c r="BH89" s="116">
        <f t="shared" si="76"/>
        <v>109</v>
      </c>
      <c r="BI89" s="3" t="s">
        <v>1739</v>
      </c>
      <c r="BJ89" s="3" t="s">
        <v>4848</v>
      </c>
      <c r="BK89" t="str">
        <f t="shared" si="77"/>
        <v xml:space="preserve">Jennet WALTON (1964– </v>
      </c>
      <c r="BL89" t="str">
        <f t="shared" si="78"/>
        <v>Jennet WALTON (1964– : #109a)</v>
      </c>
      <c r="BM89" t="str">
        <f t="shared" si="79"/>
        <v>Jennet WALTON (1964– : #109a)</v>
      </c>
      <c r="BP89" t="str">
        <f t="shared" si="80"/>
        <v>WALTON</v>
      </c>
      <c r="BQ89" t="str">
        <f t="shared" si="81"/>
        <v>Jennet</v>
      </c>
      <c r="BR89" s="116" t="str">
        <f t="shared" si="82"/>
        <v>Jennet</v>
      </c>
      <c r="CO89" s="157" t="s">
        <v>1739</v>
      </c>
      <c r="CP89" s="6" t="s">
        <v>1738</v>
      </c>
      <c r="CQ89" s="156" t="s">
        <v>2754</v>
      </c>
      <c r="CR89" s="5"/>
      <c r="CS89" s="5"/>
      <c r="CT89" s="5"/>
      <c r="CU89" s="5">
        <v>1964</v>
      </c>
      <c r="CV89" s="5" t="s">
        <v>3774</v>
      </c>
      <c r="CW89" t="e">
        <f t="shared" si="91"/>
        <v>#VALUE!</v>
      </c>
      <c r="DC89" s="117">
        <f t="shared" si="83"/>
        <v>61</v>
      </c>
      <c r="DD89" s="297">
        <v>105</v>
      </c>
      <c r="DE89">
        <f t="shared" si="84"/>
        <v>2</v>
      </c>
      <c r="DF89" s="117">
        <v>88</v>
      </c>
      <c r="DG89" s="117">
        <f t="shared" si="85"/>
        <v>146</v>
      </c>
      <c r="DH89" s="99" t="str">
        <f t="shared" si="86"/>
        <v>2 – George (1998–: #180) Rosanna (2000–: #182)</v>
      </c>
    </row>
    <row r="90" spans="1:112" ht="20">
      <c r="A90" s="287">
        <f>'Loyd List 1-190 - Edit'!C90</f>
        <v>88</v>
      </c>
      <c r="B90" s="295" t="str">
        <f>VLOOKUP(A90,'Book Details - NO EDIT'!$U$3:$X$192,4,FALSE)</f>
        <v>Delia (1915–2007: #88)</v>
      </c>
      <c r="C90" s="287">
        <f>VLOOKUP(A90,'Loyd List 1-190 - Edit'!$P$1:$R$200,3,FALSE)</f>
        <v>66</v>
      </c>
      <c r="D90" s="287">
        <f t="shared" si="88"/>
        <v>2</v>
      </c>
      <c r="E90" s="287">
        <f t="shared" si="75"/>
        <v>1</v>
      </c>
      <c r="F90" s="269" t="str">
        <f t="shared" si="89"/>
        <v xml:space="preserve">2 – Edward (1921–1977: #96) Peter (1923–1974: #99)      </v>
      </c>
      <c r="G90" s="125" t="str">
        <f>'Loyd Book 2022 - Print'!N90</f>
        <v xml:space="preserve">2 – Edward (1921–1977: #96) Peter (1923–1974: #99)      </v>
      </c>
      <c r="H90" s="125">
        <f t="shared" si="87"/>
        <v>0</v>
      </c>
      <c r="I90" s="117">
        <f t="shared" si="90"/>
        <v>0</v>
      </c>
      <c r="J90" s="116" t="str">
        <f t="shared" si="94"/>
        <v/>
      </c>
      <c r="K90" s="116" t="str">
        <f>IF(VLOOKUP($C90,$AB$2:$AN$67,K$1,FALSE)=$A90,"",VLOOKUP(VLOOKUP($C90,$AB$2:$AN$67,K$1,FALSE),$A$1:$B$200,2,FALSE))</f>
        <v>Edward (1921–1977: #96)</v>
      </c>
      <c r="L90" s="116" t="str">
        <f>IF(VLOOKUP($C90,$AB$2:$AN$67,L$1,FALSE)=$A90,"",VLOOKUP(VLOOKUP($C90,$AB$2:$AN$67,L$1,FALSE),$A$1:$B$200,2,FALSE))</f>
        <v>Peter (1923–1974: #99)</v>
      </c>
      <c r="M90" s="116"/>
      <c r="N90" s="116"/>
      <c r="O90" s="116"/>
      <c r="P90" s="116"/>
      <c r="Q90" s="116"/>
      <c r="R90" s="116"/>
      <c r="S90" s="117"/>
      <c r="T90" s="117"/>
      <c r="U90" s="117"/>
      <c r="V90" s="117"/>
      <c r="AA90" s="124"/>
      <c r="BH90" s="116">
        <f t="shared" si="76"/>
        <v>109</v>
      </c>
      <c r="BI90" s="3" t="s">
        <v>1740</v>
      </c>
      <c r="BJ90" s="3" t="s">
        <v>4849</v>
      </c>
      <c r="BK90" t="str">
        <f t="shared" si="77"/>
        <v xml:space="preserve">Timothy WALTON (1967– </v>
      </c>
      <c r="BL90" t="str">
        <f t="shared" si="78"/>
        <v>Timothy WALTON (1967– : #109b)</v>
      </c>
      <c r="BM90" t="str">
        <f t="shared" si="79"/>
        <v>Timothy WALTON (1967– : #109b)</v>
      </c>
      <c r="BP90" t="str">
        <f t="shared" si="80"/>
        <v>WALTON</v>
      </c>
      <c r="BQ90" t="str">
        <f t="shared" si="81"/>
        <v>Timothy</v>
      </c>
      <c r="BR90" s="116" t="str">
        <f t="shared" si="82"/>
        <v>Timothy</v>
      </c>
      <c r="CO90" s="157" t="s">
        <v>1740</v>
      </c>
      <c r="CP90" s="6" t="s">
        <v>1738</v>
      </c>
      <c r="CQ90" s="156" t="s">
        <v>919</v>
      </c>
      <c r="CR90" s="5"/>
      <c r="CS90" s="5"/>
      <c r="CT90" s="5"/>
      <c r="CU90" s="5">
        <v>1967</v>
      </c>
      <c r="CV90" s="5" t="s">
        <v>3774</v>
      </c>
      <c r="CW90" t="e">
        <f t="shared" si="91"/>
        <v>#VALUE!</v>
      </c>
      <c r="DC90" s="117">
        <f t="shared" si="83"/>
        <v>68</v>
      </c>
      <c r="DD90" s="297">
        <v>113</v>
      </c>
      <c r="DE90">
        <f t="shared" si="84"/>
        <v>1</v>
      </c>
      <c r="DF90" s="117">
        <v>89</v>
      </c>
      <c r="DG90" s="117">
        <f t="shared" si="85"/>
        <v>149</v>
      </c>
      <c r="DH90" s="99" t="str">
        <f t="shared" si="86"/>
        <v>1 – Delilah (2006–: #184)</v>
      </c>
    </row>
    <row r="91" spans="1:112" ht="20">
      <c r="A91" s="287">
        <f>'Loyd List 1-190 - Edit'!C91</f>
        <v>89</v>
      </c>
      <c r="B91" s="295" t="str">
        <f>VLOOKUP(A91,'Book Details - NO EDIT'!$U$3:$X$192,4,FALSE)</f>
        <v>Sir Francis/Frank (1916–2006: #89)</v>
      </c>
      <c r="C91" s="287">
        <f>VLOOKUP(A91,'Loyd List 1-190 - Edit'!$P$1:$R$200,3,FALSE)</f>
        <v>54</v>
      </c>
      <c r="D91" s="287">
        <f t="shared" si="88"/>
        <v>1</v>
      </c>
      <c r="E91" s="287">
        <f t="shared" si="75"/>
        <v>1</v>
      </c>
      <c r="F91" s="269" t="str">
        <f t="shared" si="89"/>
        <v xml:space="preserve">1 – Daphne (1917–1992: #92)       </v>
      </c>
      <c r="G91" s="125" t="str">
        <f>'Loyd Book 2022 - Print'!N91</f>
        <v xml:space="preserve">1 – Daphne (1917–1992: #92)       </v>
      </c>
      <c r="H91" s="125">
        <f t="shared" si="87"/>
        <v>0</v>
      </c>
      <c r="I91" s="117">
        <f t="shared" si="90"/>
        <v>0</v>
      </c>
      <c r="J91" s="116" t="str">
        <f t="shared" si="94"/>
        <v/>
      </c>
      <c r="K91" s="116" t="str">
        <f>IF(VLOOKUP($C91,$AB$2:$AN$67,K$1,FALSE)=$A91,"",VLOOKUP(VLOOKUP($C91,$AB$2:$AN$67,K$1,FALSE),$A$1:$B$200,2,FALSE))</f>
        <v>Daphne (1917–1992: #92)</v>
      </c>
      <c r="L91" s="116"/>
      <c r="M91" s="116"/>
      <c r="N91" s="116"/>
      <c r="O91" s="116"/>
      <c r="P91" s="116"/>
      <c r="Q91" s="116"/>
      <c r="R91" s="116"/>
      <c r="S91" s="117"/>
      <c r="T91" s="117"/>
      <c r="U91" s="117"/>
      <c r="V91" s="117"/>
      <c r="AA91" s="124"/>
      <c r="BH91" s="116">
        <f t="shared" si="76"/>
        <v>110</v>
      </c>
      <c r="BI91" s="3" t="s">
        <v>1744</v>
      </c>
      <c r="BJ91" s="3" t="s">
        <v>4850</v>
      </c>
      <c r="BK91" t="str">
        <f t="shared" si="77"/>
        <v xml:space="preserve">John Drummond BOYCE (1961– </v>
      </c>
      <c r="BL91" t="str">
        <f t="shared" si="78"/>
        <v>John BOYCE (1961– : #110a)</v>
      </c>
      <c r="BM91" t="str">
        <f t="shared" si="79"/>
        <v>John Drummond BOYCE (1961– : #110a)</v>
      </c>
      <c r="BP91" t="str">
        <f t="shared" si="80"/>
        <v>BOYCE</v>
      </c>
      <c r="BQ91" t="str">
        <f t="shared" si="81"/>
        <v>John</v>
      </c>
      <c r="BR91" s="116" t="str">
        <f t="shared" si="82"/>
        <v>John</v>
      </c>
      <c r="CO91" s="157" t="s">
        <v>1744</v>
      </c>
      <c r="CP91" s="6" t="s">
        <v>1742</v>
      </c>
      <c r="CQ91" s="5" t="s">
        <v>842</v>
      </c>
      <c r="CR91" s="5" t="s">
        <v>1743</v>
      </c>
      <c r="CS91" s="5"/>
      <c r="CT91" s="5"/>
      <c r="CU91" s="5">
        <v>1961</v>
      </c>
      <c r="CV91" s="5" t="s">
        <v>3774</v>
      </c>
      <c r="CW91" t="e">
        <f t="shared" si="91"/>
        <v>#VALUE!</v>
      </c>
      <c r="DC91" s="117">
        <f t="shared" si="83"/>
        <v>69</v>
      </c>
      <c r="DD91" s="297">
        <v>114</v>
      </c>
      <c r="DE91">
        <f t="shared" si="84"/>
        <v>2</v>
      </c>
      <c r="DF91" s="117">
        <v>90</v>
      </c>
      <c r="DG91" s="117">
        <f t="shared" si="85"/>
        <v>150</v>
      </c>
      <c r="DH91" s="99" t="str">
        <f t="shared" si="86"/>
        <v>2 – William (1996–: #178) Eliza (1999–: #181)</v>
      </c>
    </row>
    <row r="92" spans="1:112" ht="20">
      <c r="A92" s="287">
        <f>'Loyd List 1-190 - Edit'!C92</f>
        <v>90</v>
      </c>
      <c r="B92" s="295" t="str">
        <f>VLOOKUP(A92,'Book Details - NO EDIT'!$U$3:$X$192,4,FALSE)</f>
        <v>Averil (1917–1993: #90)</v>
      </c>
      <c r="C92" s="287">
        <f>VLOOKUP(A92,'Loyd List 1-190 - Edit'!$P$1:$R$200,3,FALSE)</f>
        <v>52</v>
      </c>
      <c r="D92" s="287">
        <f t="shared" si="88"/>
        <v>0</v>
      </c>
      <c r="E92" s="287">
        <f t="shared" si="75"/>
        <v>1</v>
      </c>
      <c r="F92" s="269" t="str">
        <f t="shared" si="89"/>
        <v>0 – Only Child</v>
      </c>
      <c r="G92" s="125" t="str">
        <f>'Loyd Book 2022 - Print'!N92</f>
        <v>0 – Only chlid</v>
      </c>
      <c r="H92" s="125">
        <f t="shared" si="87"/>
        <v>0</v>
      </c>
      <c r="I92" s="117">
        <f t="shared" si="90"/>
        <v>0</v>
      </c>
      <c r="J92" s="116" t="str">
        <f t="shared" si="94"/>
        <v/>
      </c>
      <c r="K92" s="116"/>
      <c r="L92" s="116"/>
      <c r="M92" s="116"/>
      <c r="N92" s="116"/>
      <c r="O92" s="116"/>
      <c r="P92" s="116"/>
      <c r="Q92" s="116"/>
      <c r="R92" s="116"/>
      <c r="S92" s="117"/>
      <c r="T92" s="117"/>
      <c r="U92" s="117"/>
      <c r="V92" s="117"/>
      <c r="AA92" s="124"/>
      <c r="BH92" s="116">
        <f t="shared" si="76"/>
        <v>110</v>
      </c>
      <c r="BI92" s="3" t="s">
        <v>1749</v>
      </c>
      <c r="BJ92" s="3" t="s">
        <v>4851</v>
      </c>
      <c r="BK92" t="str">
        <f t="shared" si="77"/>
        <v xml:space="preserve">Joanna Mary BOYCE (1963– </v>
      </c>
      <c r="BL92" t="str">
        <f t="shared" si="78"/>
        <v>Joanna BOYCE (1963– : #110b)</v>
      </c>
      <c r="BM92" t="str">
        <f t="shared" si="79"/>
        <v>Joanna Mary BOYCE (1963– : #110b)</v>
      </c>
      <c r="BP92" t="str">
        <f t="shared" si="80"/>
        <v>BOYCE</v>
      </c>
      <c r="BQ92" t="str">
        <f t="shared" si="81"/>
        <v>Joanna</v>
      </c>
      <c r="BR92" s="116" t="str">
        <f t="shared" si="82"/>
        <v>Joanna</v>
      </c>
      <c r="CO92" s="157" t="s">
        <v>1749</v>
      </c>
      <c r="CP92" s="6" t="s">
        <v>1742</v>
      </c>
      <c r="CQ92" s="5" t="s">
        <v>936</v>
      </c>
      <c r="CR92" s="5" t="s">
        <v>870</v>
      </c>
      <c r="CS92" s="5"/>
      <c r="CT92" s="5"/>
      <c r="CU92" s="5">
        <v>1963</v>
      </c>
      <c r="CV92" s="5" t="s">
        <v>3774</v>
      </c>
      <c r="CW92" t="e">
        <f t="shared" si="91"/>
        <v>#VALUE!</v>
      </c>
      <c r="DC92" s="117">
        <f t="shared" si="83"/>
        <v>72</v>
      </c>
      <c r="DD92" s="297">
        <v>117</v>
      </c>
      <c r="DE92">
        <f t="shared" si="84"/>
        <v>2</v>
      </c>
      <c r="DF92" s="117">
        <v>91</v>
      </c>
      <c r="DG92" s="117">
        <f t="shared" si="85"/>
        <v>152</v>
      </c>
      <c r="DH92" s="99" t="str">
        <f t="shared" si="86"/>
        <v>2 – Clementine WHITCOMB (1999– : #152a) Augustin WHITCOMB (2001– : #152b)</v>
      </c>
    </row>
    <row r="93" spans="1:112" ht="20">
      <c r="A93" s="287">
        <f>'Loyd List 1-190 - Edit'!C93</f>
        <v>91</v>
      </c>
      <c r="B93" s="295" t="str">
        <f>VLOOKUP(A93,'Book Details - NO EDIT'!$U$3:$X$192,4,FALSE)</f>
        <v>Martin (1917–1926: #91)</v>
      </c>
      <c r="C93" s="287">
        <f>VLOOKUP(A93,'Loyd List 1-190 - Edit'!$P$1:$R$200,3,FALSE)</f>
        <v>56</v>
      </c>
      <c r="D93" s="287">
        <f t="shared" si="88"/>
        <v>5</v>
      </c>
      <c r="E93" s="287">
        <f t="shared" si="75"/>
        <v>1</v>
      </c>
      <c r="F93" s="269" t="str">
        <f t="shared" si="89"/>
        <v xml:space="preserve">5 – Anne (1912–2004: #85) John (1913–1943: #87)  Hester (1920–2002: #95) Christopher (1923–2013: #100) Catherine (1923–2014: #101)   </v>
      </c>
      <c r="G93" s="125" t="str">
        <f>'Loyd Book 2022 - Print'!N93</f>
        <v xml:space="preserve">5 – Anne (1912–2004: #85) John (1913–1943: #87)  Hester (1920–2002: #95) Christopher (1923–2013: #100) Catherine (1923–2014: #101)   </v>
      </c>
      <c r="H93" s="125">
        <f t="shared" si="87"/>
        <v>0</v>
      </c>
      <c r="I93" s="117">
        <f t="shared" si="90"/>
        <v>0</v>
      </c>
      <c r="J93" s="116" t="str">
        <f t="shared" si="94"/>
        <v>Anne (1912–2004: #85)</v>
      </c>
      <c r="K93" s="116" t="str">
        <f>IF(VLOOKUP($C93,$AB$2:$AN$67,K$1,FALSE)=$A93,"",VLOOKUP(VLOOKUP($C93,$AB$2:$AN$67,K$1,FALSE),$A$1:$B$200,2,FALSE))</f>
        <v>John (1913–1943: #87)</v>
      </c>
      <c r="L93" s="116" t="str">
        <f>IF(VLOOKUP($C93,$AB$2:$AN$67,L$1,FALSE)=$A93,"",VLOOKUP(VLOOKUP($C93,$AB$2:$AN$67,L$1,FALSE),$A$1:$B$200,2,FALSE))</f>
        <v/>
      </c>
      <c r="M93" s="116" t="str">
        <f>IF(VLOOKUP($C93,$AB$2:$AN$67,M$1,FALSE)=$A93,"",VLOOKUP(VLOOKUP($C93,$AB$2:$AN$67,M$1,FALSE),$A$1:$B$200,2,FALSE))</f>
        <v>Hester (1920–2002: #95)</v>
      </c>
      <c r="N93" s="116" t="str">
        <f>IF(VLOOKUP($C93,$AB$2:$AN$67,N$1,FALSE)=$A93,"",VLOOKUP(VLOOKUP($C93,$AB$2:$AN$67,N$1,FALSE),$A$1:$B$200,2,FALSE))</f>
        <v>Christopher (1923–2013: #100)</v>
      </c>
      <c r="O93" s="116" t="str">
        <f>IF(VLOOKUP($C93,$AB$2:$AN$67,O$1,FALSE)=$A93,"",VLOOKUP(VLOOKUP($C93,$AB$2:$AN$67,O$1,FALSE),$A$1:$B$200,2,FALSE))</f>
        <v>Catherine (1923–2014: #101)</v>
      </c>
      <c r="P93" s="116"/>
      <c r="Q93" s="116"/>
      <c r="R93" s="116"/>
      <c r="S93" s="117"/>
      <c r="T93" s="117"/>
      <c r="U93" s="117"/>
      <c r="V93" s="117"/>
      <c r="AA93" s="124"/>
      <c r="BH93" s="116">
        <f t="shared" si="76"/>
        <v>110</v>
      </c>
      <c r="BI93" s="3" t="s">
        <v>1750</v>
      </c>
      <c r="BJ93" s="3" t="s">
        <v>4852</v>
      </c>
      <c r="BK93" t="str">
        <f t="shared" si="77"/>
        <v xml:space="preserve">Robert Eric BOYCE (1964– </v>
      </c>
      <c r="BL93" t="str">
        <f t="shared" si="78"/>
        <v>Robert BOYCE (1964– : #110c)</v>
      </c>
      <c r="BM93" t="str">
        <f t="shared" si="79"/>
        <v>Robert Eric BOYCE (1964– : #110c)</v>
      </c>
      <c r="BP93" t="str">
        <f t="shared" si="80"/>
        <v>BOYCE</v>
      </c>
      <c r="BQ93" t="str">
        <f t="shared" si="81"/>
        <v>Robert</v>
      </c>
      <c r="BR93" s="116" t="str">
        <f t="shared" si="82"/>
        <v>Robert</v>
      </c>
      <c r="CO93" s="157" t="s">
        <v>1750</v>
      </c>
      <c r="CP93" s="6" t="s">
        <v>1742</v>
      </c>
      <c r="CQ93" s="5" t="s">
        <v>902</v>
      </c>
      <c r="CR93" s="5" t="s">
        <v>810</v>
      </c>
      <c r="CS93" s="5"/>
      <c r="CT93" s="5"/>
      <c r="CU93" s="5">
        <v>1964</v>
      </c>
      <c r="CV93" s="5" t="s">
        <v>3774</v>
      </c>
      <c r="CW93" t="e">
        <f t="shared" si="91"/>
        <v>#VALUE!</v>
      </c>
      <c r="DC93" s="117">
        <f t="shared" si="83"/>
        <v>73</v>
      </c>
      <c r="DD93" s="297">
        <v>119</v>
      </c>
      <c r="DE93">
        <f t="shared" si="84"/>
        <v>3</v>
      </c>
      <c r="DF93" s="117">
        <v>92</v>
      </c>
      <c r="DG93" s="117">
        <f t="shared" si="85"/>
        <v>154</v>
      </c>
      <c r="DH93" s="99" t="str">
        <f t="shared" si="86"/>
        <v>3 – Freddie NEWING (2006– : #154a) Gus NEWING (2008– : #154b) Albert NEWING (2015–2015: #154c)</v>
      </c>
    </row>
    <row r="94" spans="1:112" ht="20">
      <c r="A94" s="287">
        <f>'Loyd List 1-190 - Edit'!C94</f>
        <v>92</v>
      </c>
      <c r="B94" s="295" t="str">
        <f>VLOOKUP(A94,'Book Details - NO EDIT'!$U$3:$X$192,4,FALSE)</f>
        <v>Daphne (1917–1992: #92)</v>
      </c>
      <c r="C94" s="287">
        <f>VLOOKUP(A94,'Loyd List 1-190 - Edit'!$P$1:$R$200,3,FALSE)</f>
        <v>54</v>
      </c>
      <c r="D94" s="287">
        <f t="shared" si="88"/>
        <v>1</v>
      </c>
      <c r="E94" s="287">
        <f t="shared" si="75"/>
        <v>1</v>
      </c>
      <c r="F94" s="269" t="str">
        <f t="shared" si="89"/>
        <v xml:space="preserve">1 – Sir Francis/Frank (1916–2006: #89)        </v>
      </c>
      <c r="G94" s="125" t="str">
        <f>'Loyd Book 2022 - Print'!N94</f>
        <v xml:space="preserve">1 – Sir Francis/Frank (1916–2006: #89)        </v>
      </c>
      <c r="H94" s="125">
        <f t="shared" si="87"/>
        <v>0</v>
      </c>
      <c r="I94" s="117">
        <f t="shared" si="90"/>
        <v>0</v>
      </c>
      <c r="J94" s="116" t="str">
        <f t="shared" si="94"/>
        <v>Sir Francis/Frank (1916–2006: #89)</v>
      </c>
      <c r="K94" s="116" t="str">
        <f>IF(VLOOKUP($C94,$AB$2:$AN$67,K$1,FALSE)=$A94,"",VLOOKUP(VLOOKUP($C94,$AB$2:$AN$67,K$1,FALSE),$A$1:$B$200,2,FALSE))</f>
        <v/>
      </c>
      <c r="L94" s="116"/>
      <c r="M94" s="116"/>
      <c r="N94" s="116"/>
      <c r="O94" s="116"/>
      <c r="P94" s="116"/>
      <c r="Q94" s="116"/>
      <c r="R94" s="116"/>
      <c r="S94" s="117"/>
      <c r="T94" s="117"/>
      <c r="U94" s="117"/>
      <c r="V94" s="117"/>
      <c r="AA94" s="124"/>
      <c r="BH94" s="116">
        <f t="shared" si="76"/>
        <v>110</v>
      </c>
      <c r="BI94" s="3" t="s">
        <v>1751</v>
      </c>
      <c r="BJ94" s="3" t="s">
        <v>4853</v>
      </c>
      <c r="BK94" t="str">
        <f t="shared" si="77"/>
        <v xml:space="preserve">Paula Margaret BOYCE (1966– </v>
      </c>
      <c r="BL94" t="str">
        <f t="shared" si="78"/>
        <v>Paula BOYCE (1966– : #110d)</v>
      </c>
      <c r="BM94" t="str">
        <f t="shared" si="79"/>
        <v>Paula Margaret BOYCE (1966– : #110d)</v>
      </c>
      <c r="BP94" t="str">
        <f t="shared" si="80"/>
        <v>BOYCE</v>
      </c>
      <c r="BQ94" t="str">
        <f t="shared" si="81"/>
        <v>Paula</v>
      </c>
      <c r="BR94" s="116" t="str">
        <f t="shared" si="82"/>
        <v>Paula</v>
      </c>
      <c r="CO94" s="157" t="s">
        <v>1751</v>
      </c>
      <c r="CP94" s="6" t="s">
        <v>1742</v>
      </c>
      <c r="CQ94" s="5" t="s">
        <v>1752</v>
      </c>
      <c r="CR94" s="5" t="s">
        <v>882</v>
      </c>
      <c r="CS94" s="5"/>
      <c r="CT94" s="5"/>
      <c r="CU94" s="5">
        <v>1966</v>
      </c>
      <c r="CV94" s="5" t="s">
        <v>3774</v>
      </c>
      <c r="CW94" t="e">
        <f t="shared" si="91"/>
        <v>#VALUE!</v>
      </c>
      <c r="DC94" s="117">
        <f t="shared" si="83"/>
        <v>74</v>
      </c>
      <c r="DD94" s="297">
        <v>121</v>
      </c>
      <c r="DE94">
        <f t="shared" si="84"/>
        <v>3</v>
      </c>
      <c r="DF94" s="117">
        <v>93</v>
      </c>
      <c r="DG94" s="117">
        <f t="shared" si="85"/>
        <v>155</v>
      </c>
      <c r="DH94" s="99" t="str">
        <f t="shared" si="86"/>
        <v>3 – Matilda (2006–: #183) Katherine (2007–: #185) Henry (2010–: #186)</v>
      </c>
    </row>
    <row r="95" spans="1:112" ht="20">
      <c r="A95" s="287">
        <f>'Loyd List 1-190 - Edit'!C95</f>
        <v>93</v>
      </c>
      <c r="B95" s="295" t="str">
        <f>VLOOKUP(A95,'Book Details - NO EDIT'!$U$3:$X$192,4,FALSE)</f>
        <v>Jill (1920–2002: #93)</v>
      </c>
      <c r="C95" s="287">
        <f>VLOOKUP(A95,'Loyd List 1-190 - Edit'!$P$1:$R$200,3,FALSE)</f>
        <v>68</v>
      </c>
      <c r="D95" s="287">
        <f t="shared" si="88"/>
        <v>1</v>
      </c>
      <c r="E95" s="287">
        <f t="shared" si="75"/>
        <v>1</v>
      </c>
      <c r="F95" s="269" t="str">
        <f t="shared" si="89"/>
        <v xml:space="preserve">1 – Alwyne (1920–2014: #94)       </v>
      </c>
      <c r="G95" s="125" t="str">
        <f>'Loyd Book 2022 - Print'!N95</f>
        <v xml:space="preserve">1 – Alwyne (1920–2014: #94)       </v>
      </c>
      <c r="H95" s="125">
        <f t="shared" si="87"/>
        <v>0</v>
      </c>
      <c r="I95" s="117">
        <f t="shared" si="90"/>
        <v>0</v>
      </c>
      <c r="J95" s="116" t="str">
        <f t="shared" si="94"/>
        <v/>
      </c>
      <c r="K95" s="116" t="str">
        <f>IF(VLOOKUP($C95,$AB$2:$AN$67,K$1,FALSE)=$A95,"",VLOOKUP(VLOOKUP($C95,$AB$2:$AN$67,K$1,FALSE),$A$1:$B$200,2,FALSE))</f>
        <v>Alwyne (1920–2014: #94)</v>
      </c>
      <c r="L95" s="116"/>
      <c r="M95" s="116"/>
      <c r="N95" s="116"/>
      <c r="O95" s="116"/>
      <c r="P95" s="116"/>
      <c r="Q95" s="116"/>
      <c r="R95" s="116"/>
      <c r="S95" s="117"/>
      <c r="T95" s="117"/>
      <c r="U95" s="117"/>
      <c r="V95" s="117"/>
      <c r="AA95" s="124"/>
      <c r="BH95" s="116">
        <f t="shared" si="76"/>
        <v>112</v>
      </c>
      <c r="BI95" s="3" t="s">
        <v>1760</v>
      </c>
      <c r="BJ95" s="3" t="s">
        <v>4854</v>
      </c>
      <c r="BK95" t="str">
        <f t="shared" si="77"/>
        <v xml:space="preserve">Kevin John DOWNES (1958– </v>
      </c>
      <c r="BL95" t="str">
        <f t="shared" si="78"/>
        <v>Kevin DOWNES (1958– : #112a)</v>
      </c>
      <c r="BM95" t="str">
        <f t="shared" si="79"/>
        <v>Kevin John DOWNES (1958– : #112a)</v>
      </c>
      <c r="BP95" t="str">
        <f t="shared" si="80"/>
        <v>DOWNES</v>
      </c>
      <c r="BQ95" t="str">
        <f t="shared" si="81"/>
        <v>Kevin</v>
      </c>
      <c r="BR95" s="116" t="str">
        <f t="shared" si="82"/>
        <v>Kevin</v>
      </c>
      <c r="CO95" s="157" t="s">
        <v>1760</v>
      </c>
      <c r="CP95" s="6" t="s">
        <v>1758</v>
      </c>
      <c r="CQ95" s="5" t="s">
        <v>1759</v>
      </c>
      <c r="CR95" s="5" t="s">
        <v>842</v>
      </c>
      <c r="CS95" s="5"/>
      <c r="CT95" s="5"/>
      <c r="CU95" s="5">
        <v>1958</v>
      </c>
      <c r="CV95" s="5" t="s">
        <v>3774</v>
      </c>
      <c r="CW95" t="e">
        <f t="shared" si="91"/>
        <v>#VALUE!</v>
      </c>
      <c r="DC95" s="117">
        <f t="shared" si="83"/>
        <v>78</v>
      </c>
      <c r="DD95" s="297">
        <v>130</v>
      </c>
      <c r="DE95">
        <f t="shared" si="84"/>
        <v>2</v>
      </c>
      <c r="DF95" s="117">
        <v>94</v>
      </c>
      <c r="DG95" s="117">
        <f t="shared" si="85"/>
        <v>156</v>
      </c>
      <c r="DH95" s="99" t="str">
        <f t="shared" si="86"/>
        <v>2 – Peter GRINDAL (2014– : #156a) Dorothy GRINDAL (2016– : #156b)</v>
      </c>
    </row>
    <row r="96" spans="1:112" ht="20">
      <c r="A96" s="287">
        <f>'Loyd List 1-190 - Edit'!C96</f>
        <v>94</v>
      </c>
      <c r="B96" s="295" t="str">
        <f>VLOOKUP(A96,'Book Details - NO EDIT'!$U$3:$X$192,4,FALSE)</f>
        <v>Alwyne (1920–2014: #94)</v>
      </c>
      <c r="C96" s="287">
        <f>VLOOKUP(A96,'Loyd List 1-190 - Edit'!$P$1:$R$200,3,FALSE)</f>
        <v>68</v>
      </c>
      <c r="D96" s="287">
        <f t="shared" si="88"/>
        <v>1</v>
      </c>
      <c r="E96" s="287">
        <f t="shared" si="75"/>
        <v>1</v>
      </c>
      <c r="F96" s="269" t="str">
        <f t="shared" si="89"/>
        <v xml:space="preserve">1 – Jill (1920–2002: #93)        </v>
      </c>
      <c r="G96" s="125" t="str">
        <f>'Loyd Book 2022 - Print'!N96</f>
        <v xml:space="preserve">1 – Jill (1920–2002: #93)        </v>
      </c>
      <c r="H96" s="125">
        <f t="shared" si="87"/>
        <v>0</v>
      </c>
      <c r="I96" s="117">
        <f t="shared" si="90"/>
        <v>0</v>
      </c>
      <c r="J96" s="116" t="str">
        <f t="shared" si="94"/>
        <v>Jill (1920–2002: #93)</v>
      </c>
      <c r="K96" s="116" t="str">
        <f>IF(VLOOKUP($C96,$AB$2:$AN$67,K$1,FALSE)=$A96,"",VLOOKUP(VLOOKUP($C96,$AB$2:$AN$67,K$1,FALSE),$A$1:$B$200,2,FALSE))</f>
        <v/>
      </c>
      <c r="L96" s="116"/>
      <c r="M96" s="116"/>
      <c r="N96" s="116"/>
      <c r="O96" s="116"/>
      <c r="P96" s="116"/>
      <c r="Q96" s="116"/>
      <c r="R96" s="116"/>
      <c r="S96" s="117"/>
      <c r="T96" s="117"/>
      <c r="U96" s="117"/>
      <c r="V96" s="117"/>
      <c r="AA96" s="124"/>
      <c r="BH96" s="116">
        <f t="shared" si="76"/>
        <v>112</v>
      </c>
      <c r="BI96" s="3" t="s">
        <v>1761</v>
      </c>
      <c r="BJ96" s="3" t="s">
        <v>4855</v>
      </c>
      <c r="BK96" t="str">
        <f t="shared" si="77"/>
        <v xml:space="preserve">Lynda Carol DOWNES (1960– </v>
      </c>
      <c r="BL96" t="str">
        <f t="shared" si="78"/>
        <v>Lynda DOWNES (1960– : #112b)</v>
      </c>
      <c r="BM96" t="str">
        <f t="shared" si="79"/>
        <v>Lynda Carol DOWNES (1960– : #112b)</v>
      </c>
      <c r="BP96" t="str">
        <f t="shared" si="80"/>
        <v>DOWNES</v>
      </c>
      <c r="BQ96" t="str">
        <f t="shared" si="81"/>
        <v>Lynda</v>
      </c>
      <c r="BR96" s="116" t="str">
        <f t="shared" si="82"/>
        <v>Lynda</v>
      </c>
      <c r="CO96" s="157" t="s">
        <v>1761</v>
      </c>
      <c r="CP96" s="6" t="s">
        <v>1758</v>
      </c>
      <c r="CQ96" s="5" t="s">
        <v>1764</v>
      </c>
      <c r="CR96" s="5" t="s">
        <v>1765</v>
      </c>
      <c r="CS96" s="5"/>
      <c r="CT96" s="5"/>
      <c r="CU96" s="5">
        <v>1960</v>
      </c>
      <c r="CV96" s="5" t="s">
        <v>3774</v>
      </c>
      <c r="CW96" t="e">
        <f t="shared" si="91"/>
        <v>#VALUE!</v>
      </c>
      <c r="DC96" s="117">
        <f t="shared" si="83"/>
        <v>79</v>
      </c>
      <c r="DD96" s="297">
        <v>131</v>
      </c>
      <c r="DE96">
        <f t="shared" si="84"/>
        <v>2</v>
      </c>
      <c r="DF96" s="117">
        <v>95</v>
      </c>
      <c r="DG96" s="117">
        <f t="shared" si="85"/>
        <v>157</v>
      </c>
      <c r="DH96" s="99" t="str">
        <f t="shared" si="86"/>
        <v>2 – Henry SIMMONDS (2012– : #157a) Emily SIMMONDS (2014– : #157b)</v>
      </c>
    </row>
    <row r="97" spans="1:112" ht="20">
      <c r="A97" s="287">
        <f>'Loyd List 1-190 - Edit'!C97</f>
        <v>95</v>
      </c>
      <c r="B97" s="295" t="str">
        <f>VLOOKUP(A97,'Book Details - NO EDIT'!$U$3:$X$192,4,FALSE)</f>
        <v>Hester (1920–2002: #95)</v>
      </c>
      <c r="C97" s="287">
        <f>VLOOKUP(A97,'Loyd List 1-190 - Edit'!$P$1:$R$200,3,FALSE)</f>
        <v>56</v>
      </c>
      <c r="D97" s="287">
        <f t="shared" si="88"/>
        <v>5</v>
      </c>
      <c r="E97" s="287">
        <f t="shared" si="75"/>
        <v>1</v>
      </c>
      <c r="F97" s="269" t="str">
        <f t="shared" si="89"/>
        <v xml:space="preserve">5 – Anne (1912–2004: #85) John (1913–1943: #87) Martin (1917–1926: #91)  Christopher (1923–2013: #100) Catherine (1923–2014: #101)   </v>
      </c>
      <c r="G97" s="125" t="str">
        <f>'Loyd Book 2022 - Print'!N97</f>
        <v xml:space="preserve">5 – Anne (1912–2004: #85) John (1913–1943: #87) Martin (1917–1926: #91)  Christopher (1923–2013: #100) Catherine (1923–2014: #101)   </v>
      </c>
      <c r="H97" s="125">
        <f t="shared" si="87"/>
        <v>0</v>
      </c>
      <c r="I97" s="117">
        <f t="shared" si="90"/>
        <v>0</v>
      </c>
      <c r="J97" s="116" t="str">
        <f t="shared" si="94"/>
        <v>Anne (1912–2004: #85)</v>
      </c>
      <c r="K97" s="116" t="str">
        <f>IF(VLOOKUP($C97,$AB$2:$AN$67,K$1,FALSE)=$A97,"",VLOOKUP(VLOOKUP($C97,$AB$2:$AN$67,K$1,FALSE),$A$1:$B$200,2,FALSE))</f>
        <v>John (1913–1943: #87)</v>
      </c>
      <c r="L97" s="116" t="str">
        <f>IF(VLOOKUP($C97,$AB$2:$AN$67,L$1,FALSE)=$A97,"",VLOOKUP(VLOOKUP($C97,$AB$2:$AN$67,L$1,FALSE),$A$1:$B$200,2,FALSE))</f>
        <v>Martin (1917–1926: #91)</v>
      </c>
      <c r="M97" s="116" t="str">
        <f>IF(VLOOKUP($C97,$AB$2:$AN$67,M$1,FALSE)=$A97,"",VLOOKUP(VLOOKUP($C97,$AB$2:$AN$67,M$1,FALSE),$A$1:$B$200,2,FALSE))</f>
        <v/>
      </c>
      <c r="N97" s="116" t="str">
        <f>IF(VLOOKUP($C97,$AB$2:$AN$67,N$1,FALSE)=$A97,"",VLOOKUP(VLOOKUP($C97,$AB$2:$AN$67,N$1,FALSE),$A$1:$B$200,2,FALSE))</f>
        <v>Christopher (1923–2013: #100)</v>
      </c>
      <c r="O97" s="116" t="str">
        <f>IF(VLOOKUP($C97,$AB$2:$AN$67,O$1,FALSE)=$A97,"",VLOOKUP(VLOOKUP($C97,$AB$2:$AN$67,O$1,FALSE),$A$1:$B$200,2,FALSE))</f>
        <v>Catherine (1923–2014: #101)</v>
      </c>
      <c r="P97" s="116"/>
      <c r="Q97" s="116"/>
      <c r="R97" s="116"/>
      <c r="S97" s="117"/>
      <c r="T97" s="117"/>
      <c r="U97" s="117"/>
      <c r="V97" s="117"/>
      <c r="AA97" s="124"/>
      <c r="BH97" s="116">
        <f t="shared" si="76"/>
        <v>112</v>
      </c>
      <c r="BI97" s="3" t="s">
        <v>1762</v>
      </c>
      <c r="BJ97" s="3" t="s">
        <v>4856</v>
      </c>
      <c r="BK97" t="str">
        <f t="shared" si="77"/>
        <v xml:space="preserve">Graeme Richard DOWNES (1961– </v>
      </c>
      <c r="BL97" t="str">
        <f t="shared" si="78"/>
        <v>Graeme DOWNES (1961– : #112c)</v>
      </c>
      <c r="BM97" t="str">
        <f t="shared" si="79"/>
        <v>Graeme Richard DOWNES (1961– : #112c)</v>
      </c>
      <c r="BP97" t="str">
        <f t="shared" si="80"/>
        <v>DOWNES</v>
      </c>
      <c r="BQ97" t="str">
        <f t="shared" si="81"/>
        <v>Graeme</v>
      </c>
      <c r="BR97" s="116" t="str">
        <f t="shared" si="82"/>
        <v>Graeme</v>
      </c>
      <c r="CO97" s="157" t="s">
        <v>1762</v>
      </c>
      <c r="CP97" s="6" t="s">
        <v>1758</v>
      </c>
      <c r="CQ97" s="5" t="s">
        <v>1766</v>
      </c>
      <c r="CR97" s="5" t="s">
        <v>928</v>
      </c>
      <c r="CS97" s="5"/>
      <c r="CT97" s="5"/>
      <c r="CU97" s="5">
        <v>1961</v>
      </c>
      <c r="CV97" s="5" t="s">
        <v>3774</v>
      </c>
      <c r="CW97" t="e">
        <f t="shared" si="91"/>
        <v>#VALUE!</v>
      </c>
      <c r="DC97" s="117">
        <f t="shared" si="83"/>
        <v>80</v>
      </c>
      <c r="DD97" s="297">
        <v>135</v>
      </c>
      <c r="DE97">
        <f t="shared" si="84"/>
        <v>1</v>
      </c>
      <c r="DF97" s="117">
        <v>96</v>
      </c>
      <c r="DG97" s="117">
        <f t="shared" si="85"/>
        <v>158</v>
      </c>
      <c r="DH97" s="99" t="str">
        <f t="shared" si="86"/>
        <v>1 – Theodore KYLE (2010– : #158a)</v>
      </c>
    </row>
    <row r="98" spans="1:112" ht="20">
      <c r="A98" s="287">
        <f>'Loyd List 1-190 - Edit'!C98</f>
        <v>96</v>
      </c>
      <c r="B98" s="295" t="str">
        <f>VLOOKUP(A98,'Book Details - NO EDIT'!$U$3:$X$192,4,FALSE)</f>
        <v>Edward (1921–1977: #96)</v>
      </c>
      <c r="C98" s="287">
        <f>VLOOKUP(A98,'Loyd List 1-190 - Edit'!$P$1:$R$200,3,FALSE)</f>
        <v>66</v>
      </c>
      <c r="D98" s="287">
        <f t="shared" si="88"/>
        <v>2</v>
      </c>
      <c r="E98" s="287">
        <f t="shared" si="75"/>
        <v>1</v>
      </c>
      <c r="F98" s="269" t="str">
        <f t="shared" si="89"/>
        <v xml:space="preserve">2 – Delia (1915–2007: #88)  Peter (1923–1974: #99)      </v>
      </c>
      <c r="G98" s="125" t="str">
        <f>'Loyd Book 2022 - Print'!N98</f>
        <v xml:space="preserve">2 – Delia (1915–2007: #88)  Peter (1923–1974: #99)      </v>
      </c>
      <c r="H98" s="125">
        <f t="shared" si="87"/>
        <v>0</v>
      </c>
      <c r="I98" s="117">
        <f t="shared" si="90"/>
        <v>0</v>
      </c>
      <c r="J98" s="116" t="str">
        <f t="shared" si="94"/>
        <v>Delia (1915–2007: #88)</v>
      </c>
      <c r="K98" s="116" t="str">
        <f>IF(VLOOKUP($C98,$AB$2:$AN$67,K$1,FALSE)=$A98,"",VLOOKUP(VLOOKUP($C98,$AB$2:$AN$67,K$1,FALSE),$A$1:$B$200,2,FALSE))</f>
        <v/>
      </c>
      <c r="L98" s="116" t="str">
        <f>IF(VLOOKUP($C98,$AB$2:$AN$67,L$1,FALSE)=$A98,"",VLOOKUP(VLOOKUP($C98,$AB$2:$AN$67,L$1,FALSE),$A$1:$B$200,2,FALSE))</f>
        <v>Peter (1923–1974: #99)</v>
      </c>
      <c r="M98" s="116"/>
      <c r="N98" s="116"/>
      <c r="O98" s="116"/>
      <c r="P98" s="116"/>
      <c r="Q98" s="116"/>
      <c r="R98" s="116"/>
      <c r="S98" s="117"/>
      <c r="T98" s="117"/>
      <c r="U98" s="117"/>
      <c r="V98" s="117"/>
      <c r="AA98" s="124"/>
      <c r="BH98" s="116">
        <f t="shared" si="76"/>
        <v>112</v>
      </c>
      <c r="BI98" s="3" t="s">
        <v>1763</v>
      </c>
      <c r="BJ98" s="3" t="s">
        <v>4857</v>
      </c>
      <c r="BK98" t="str">
        <f t="shared" si="77"/>
        <v xml:space="preserve">Lesley Karen DOWNES (1963– </v>
      </c>
      <c r="BL98" t="str">
        <f t="shared" si="78"/>
        <v>Lesley DOWNES (1963– : #112d)</v>
      </c>
      <c r="BM98" t="str">
        <f t="shared" si="79"/>
        <v>Lesley Karen DOWNES (1963– : #112d)</v>
      </c>
      <c r="BP98" t="str">
        <f t="shared" si="80"/>
        <v>DOWNES</v>
      </c>
      <c r="BQ98" t="str">
        <f t="shared" si="81"/>
        <v>Lesley</v>
      </c>
      <c r="BR98" s="116" t="str">
        <f t="shared" si="82"/>
        <v>Lesley</v>
      </c>
      <c r="CO98" s="157" t="s">
        <v>1763</v>
      </c>
      <c r="CP98" s="6" t="s">
        <v>1758</v>
      </c>
      <c r="CQ98" s="5" t="s">
        <v>1767</v>
      </c>
      <c r="CR98" s="5" t="s">
        <v>1768</v>
      </c>
      <c r="CS98" s="5"/>
      <c r="CT98" s="5"/>
      <c r="CU98" s="5">
        <v>1963</v>
      </c>
      <c r="CV98" s="5" t="s">
        <v>3774</v>
      </c>
      <c r="CW98" t="e">
        <f t="shared" si="91"/>
        <v>#VALUE!</v>
      </c>
      <c r="DC98" s="117">
        <f t="shared" si="83"/>
        <v>81</v>
      </c>
      <c r="DD98" s="297">
        <v>136</v>
      </c>
      <c r="DE98">
        <f t="shared" si="84"/>
        <v>2</v>
      </c>
      <c r="DF98" s="117">
        <v>97</v>
      </c>
      <c r="DG98" s="117">
        <f t="shared" si="85"/>
        <v>159</v>
      </c>
      <c r="DH98" s="99" t="str">
        <f t="shared" si="86"/>
        <v>2 – Thomas GARDENER (2010– : #159a) Alice GARDENER (2013– : #159b)</v>
      </c>
    </row>
    <row r="99" spans="1:112" ht="25" customHeight="1">
      <c r="A99" s="287">
        <f>'Loyd List 1-190 - Edit'!C99</f>
        <v>97</v>
      </c>
      <c r="B99" s="295" t="str">
        <f>VLOOKUP(A99,'Book Details - NO EDIT'!$U$3:$X$192,4,FALSE)</f>
        <v>Audrey (1922–2005: #97)</v>
      </c>
      <c r="C99" s="287">
        <f>VLOOKUP(A99,'Loyd List 1-190 - Edit'!$P$1:$R$200,3,FALSE)</f>
        <v>53</v>
      </c>
      <c r="D99" s="287">
        <f t="shared" si="88"/>
        <v>0</v>
      </c>
      <c r="E99" s="287">
        <f t="shared" si="75"/>
        <v>1</v>
      </c>
      <c r="F99" s="269" t="str">
        <f t="shared" si="89"/>
        <v>0 – Only Child</v>
      </c>
      <c r="G99" s="125" t="str">
        <f>'Loyd Book 2022 - Print'!N99</f>
        <v>0 – Only chlid</v>
      </c>
      <c r="H99" s="125">
        <f t="shared" si="87"/>
        <v>0</v>
      </c>
      <c r="I99" s="117">
        <f t="shared" si="90"/>
        <v>0</v>
      </c>
      <c r="J99" s="116" t="str">
        <f t="shared" si="94"/>
        <v/>
      </c>
      <c r="K99" s="116"/>
      <c r="L99" s="116"/>
      <c r="M99" s="116"/>
      <c r="N99" s="116"/>
      <c r="O99" s="116"/>
      <c r="P99" s="116"/>
      <c r="Q99" s="116"/>
      <c r="R99" s="116"/>
      <c r="S99" s="117"/>
      <c r="T99" s="117"/>
      <c r="U99" s="117"/>
      <c r="V99" s="117"/>
      <c r="AA99" s="124"/>
      <c r="BH99" s="116">
        <f t="shared" si="76"/>
        <v>115</v>
      </c>
      <c r="BI99" s="3" t="s">
        <v>1773</v>
      </c>
      <c r="BJ99" s="3" t="s">
        <v>4858</v>
      </c>
      <c r="BK99" t="str">
        <f t="shared" si="77"/>
        <v xml:space="preserve">The Hon Isabel Alicia Clare CROSSLEY (1964– </v>
      </c>
      <c r="BL99" t="str">
        <f t="shared" si="78"/>
        <v>The Hon Isabel CROSSLEY (1964– : #115a)</v>
      </c>
      <c r="BM99" t="str">
        <f t="shared" si="79"/>
        <v>The Hon Isabel Alicia Clare CROSSLEY (1964– : #115a)</v>
      </c>
      <c r="BP99" t="str">
        <f t="shared" si="80"/>
        <v>CROSSLEY</v>
      </c>
      <c r="BQ99" t="str">
        <f t="shared" si="81"/>
        <v>The Hon Isabel</v>
      </c>
      <c r="BR99" s="116" t="str">
        <f t="shared" si="82"/>
        <v>The Hon Isabel</v>
      </c>
      <c r="CO99" s="157" t="s">
        <v>1773</v>
      </c>
      <c r="CP99" s="6" t="s">
        <v>1770</v>
      </c>
      <c r="CQ99" s="5" t="s">
        <v>1771</v>
      </c>
      <c r="CR99" s="5" t="s">
        <v>1772</v>
      </c>
      <c r="CS99" s="5" t="s">
        <v>1654</v>
      </c>
      <c r="CT99" s="5"/>
      <c r="CU99" s="5">
        <v>1964</v>
      </c>
      <c r="CV99" s="5" t="s">
        <v>3774</v>
      </c>
      <c r="CW99" t="e">
        <f t="shared" si="91"/>
        <v>#VALUE!</v>
      </c>
      <c r="DC99" s="117">
        <f t="shared" si="83"/>
        <v>83</v>
      </c>
      <c r="DD99" s="297">
        <v>138</v>
      </c>
      <c r="DE99">
        <f t="shared" si="84"/>
        <v>2</v>
      </c>
      <c r="DF99" s="117">
        <v>98</v>
      </c>
      <c r="DG99" s="117">
        <f t="shared" si="85"/>
        <v>161</v>
      </c>
      <c r="DH99" s="99" t="str">
        <f t="shared" si="86"/>
        <v>2 – Alexia HAYNS (2014– : #161a) Edward HAYNS (2016– : #161b)</v>
      </c>
    </row>
    <row r="100" spans="1:112" ht="27" customHeight="1">
      <c r="A100" s="287">
        <f>'Loyd List 1-190 - Edit'!C100</f>
        <v>98</v>
      </c>
      <c r="B100" s="295" t="str">
        <f>VLOOKUP(A100,'Book Details - NO EDIT'!$U$3:$X$192,4,FALSE)</f>
        <v>Peter (1922–2022: #98)</v>
      </c>
      <c r="C100" s="287">
        <f>VLOOKUP(A100,'Loyd List 1-190 - Edit'!$P$1:$R$200,3,FALSE)</f>
        <v>77</v>
      </c>
      <c r="D100" s="287">
        <f t="shared" si="88"/>
        <v>3</v>
      </c>
      <c r="E100" s="287">
        <f t="shared" si="75"/>
        <v>1</v>
      </c>
      <c r="F100" s="269" t="str">
        <f t="shared" si="89"/>
        <v xml:space="preserve">3 – Geoffrey (1926–2018: #105) Denise (1928–: #106) Andrew (1934–1975: #111)     </v>
      </c>
      <c r="G100" s="125" t="str">
        <f>'Loyd Book 2022 - Print'!N100</f>
        <v xml:space="preserve">3 – Geoffrey (1926–2018: #105) Denise (1928–: #106) Andrew (1934–1975: #111)     </v>
      </c>
      <c r="H100" s="125">
        <f t="shared" si="87"/>
        <v>0</v>
      </c>
      <c r="I100" s="117">
        <f t="shared" si="90"/>
        <v>0</v>
      </c>
      <c r="J100" s="116" t="str">
        <f t="shared" si="94"/>
        <v/>
      </c>
      <c r="K100" s="116" t="str">
        <f>IF(VLOOKUP($C100,$AB$2:$AN$67,K$1,FALSE)=$A100,"",VLOOKUP(VLOOKUP($C100,$AB$2:$AN$67,K$1,FALSE),$A$1:$B$200,2,FALSE))</f>
        <v>Geoffrey (1926–2018: #105)</v>
      </c>
      <c r="L100" s="116" t="str">
        <f>IF(VLOOKUP($C100,$AB$2:$AN$67,L$1,FALSE)=$A100,"",VLOOKUP(VLOOKUP($C100,$AB$2:$AN$67,L$1,FALSE),$A$1:$B$200,2,FALSE))</f>
        <v>Denise (1928–: #106)</v>
      </c>
      <c r="M100" s="116" t="str">
        <f>IF(VLOOKUP($C100,$AB$2:$AN$67,M$1,FALSE)=$A100,"",VLOOKUP(VLOOKUP($C100,$AB$2:$AN$67,M$1,FALSE),$A$1:$B$200,2,FALSE))</f>
        <v>Andrew (1934–1975: #111)</v>
      </c>
      <c r="N100" s="116"/>
      <c r="O100" s="116"/>
      <c r="P100" s="116"/>
      <c r="Q100" s="116"/>
      <c r="R100" s="116"/>
      <c r="S100" s="117"/>
      <c r="T100" s="117"/>
      <c r="U100" s="117"/>
      <c r="V100" s="117"/>
      <c r="AA100" s="124"/>
      <c r="BH100" s="116">
        <f t="shared" si="76"/>
        <v>115</v>
      </c>
      <c r="BI100" s="3" t="s">
        <v>1780</v>
      </c>
      <c r="BJ100" s="3" t="s">
        <v>4859</v>
      </c>
      <c r="BK100" t="str">
        <f t="shared" si="77"/>
        <v xml:space="preserve">The Hon Camilla Mary Lara CROSSLEY (1967– </v>
      </c>
      <c r="BL100" t="str">
        <f t="shared" si="78"/>
        <v>The Hon Camilla CROSSLEY (1967– : #115b)</v>
      </c>
      <c r="BM100" t="str">
        <f t="shared" si="79"/>
        <v>The Hon Camilla Mary Lara CROSSLEY (1967– : #115b)</v>
      </c>
      <c r="BP100" t="str">
        <f t="shared" si="80"/>
        <v>CROSSLEY</v>
      </c>
      <c r="BQ100" t="str">
        <f t="shared" si="81"/>
        <v>The Hon Camilla</v>
      </c>
      <c r="BR100" s="116" t="str">
        <f t="shared" si="82"/>
        <v>The Hon Camilla</v>
      </c>
      <c r="CO100" s="157" t="s">
        <v>1780</v>
      </c>
      <c r="CP100" s="6" t="s">
        <v>1770</v>
      </c>
      <c r="CQ100" s="5" t="s">
        <v>1779</v>
      </c>
      <c r="CR100" s="5" t="s">
        <v>870</v>
      </c>
      <c r="CS100" s="5" t="s">
        <v>1775</v>
      </c>
      <c r="CT100" s="5"/>
      <c r="CU100" s="5">
        <v>1967</v>
      </c>
      <c r="CV100" s="5" t="s">
        <v>3774</v>
      </c>
      <c r="CW100" t="e">
        <f t="shared" si="91"/>
        <v>#VALUE!</v>
      </c>
      <c r="DC100" s="117">
        <f t="shared" si="83"/>
        <v>86</v>
      </c>
      <c r="DD100" s="297">
        <v>142</v>
      </c>
      <c r="DE100">
        <f t="shared" si="84"/>
        <v>2</v>
      </c>
      <c r="DF100" s="117">
        <v>99</v>
      </c>
      <c r="DG100" s="117">
        <f t="shared" si="85"/>
        <v>162</v>
      </c>
      <c r="DH100" s="99" t="str">
        <f t="shared" si="86"/>
        <v>2 – Archie (2017–: #188) Rory (2019–: #189)</v>
      </c>
    </row>
    <row r="101" spans="1:112" ht="20">
      <c r="A101" s="287">
        <f>'Loyd List 1-190 - Edit'!C101</f>
        <v>99</v>
      </c>
      <c r="B101" s="295" t="str">
        <f>VLOOKUP(A101,'Book Details - NO EDIT'!$U$3:$X$192,4,FALSE)</f>
        <v>Peter (1923–1974: #99)</v>
      </c>
      <c r="C101" s="287">
        <f>VLOOKUP(A101,'Loyd List 1-190 - Edit'!$P$1:$R$200,3,FALSE)</f>
        <v>66</v>
      </c>
      <c r="D101" s="287">
        <f t="shared" si="88"/>
        <v>2</v>
      </c>
      <c r="E101" s="287">
        <f t="shared" si="75"/>
        <v>1</v>
      </c>
      <c r="F101" s="269" t="str">
        <f t="shared" si="89"/>
        <v xml:space="preserve">2 – Delia (1915–2007: #88) Edward (1921–1977: #96)       </v>
      </c>
      <c r="G101" s="125" t="str">
        <f>'Loyd Book 2022 - Print'!N101</f>
        <v xml:space="preserve">2 – Delia (1915–2007: #88) Edward (1921–1977: #96)       </v>
      </c>
      <c r="H101" s="125">
        <f t="shared" si="87"/>
        <v>0</v>
      </c>
      <c r="I101" s="117">
        <f t="shared" si="90"/>
        <v>0</v>
      </c>
      <c r="J101" s="116" t="str">
        <f t="shared" si="94"/>
        <v>Delia (1915–2007: #88)</v>
      </c>
      <c r="K101" s="116" t="str">
        <f t="shared" ref="K101:L103" si="96">IF(VLOOKUP($C101,$AB$2:$AN$67,K$1,FALSE)=$A101,"",VLOOKUP(VLOOKUP($C101,$AB$2:$AN$67,K$1,FALSE),$A$1:$B$200,2,FALSE))</f>
        <v>Edward (1921–1977: #96)</v>
      </c>
      <c r="L101" s="116" t="str">
        <f t="shared" si="96"/>
        <v/>
      </c>
      <c r="M101" s="116"/>
      <c r="N101" s="116"/>
      <c r="O101" s="116"/>
      <c r="P101" s="116"/>
      <c r="Q101" s="116"/>
      <c r="R101" s="116"/>
      <c r="S101" s="117"/>
      <c r="T101" s="117"/>
      <c r="U101" s="117"/>
      <c r="V101" s="117"/>
      <c r="AA101" s="124"/>
      <c r="BH101" s="116">
        <f t="shared" si="76"/>
        <v>115</v>
      </c>
      <c r="BI101" s="3" t="s">
        <v>1787</v>
      </c>
      <c r="BJ101" s="3" t="s">
        <v>4860</v>
      </c>
      <c r="BK101" t="str">
        <f t="shared" si="77"/>
        <v xml:space="preserve">The Hon Alicia Phyllis Belinda CROSSLEY (1969– </v>
      </c>
      <c r="BL101" t="str">
        <f t="shared" si="78"/>
        <v>The Hon Alicia CROSSLEY (1969– : #115c)</v>
      </c>
      <c r="BM101" t="str">
        <f t="shared" si="79"/>
        <v>The Hon Alicia Phyllis Belinda CROSSLEY (1969– : #115c)</v>
      </c>
      <c r="BP101" t="str">
        <f t="shared" si="80"/>
        <v>CROSSLEY</v>
      </c>
      <c r="BQ101" t="str">
        <f t="shared" si="81"/>
        <v>The Hon Alicia</v>
      </c>
      <c r="BR101" s="116" t="str">
        <f t="shared" si="82"/>
        <v>The Hon Alicia</v>
      </c>
      <c r="CO101" s="157" t="s">
        <v>1787</v>
      </c>
      <c r="CP101" s="6" t="s">
        <v>1770</v>
      </c>
      <c r="CQ101" s="5" t="s">
        <v>1785</v>
      </c>
      <c r="CR101" s="5" t="s">
        <v>1786</v>
      </c>
      <c r="CS101" s="5" t="s">
        <v>892</v>
      </c>
      <c r="CT101" s="5"/>
      <c r="CU101" s="5">
        <v>1969</v>
      </c>
      <c r="CV101" s="5" t="s">
        <v>3774</v>
      </c>
      <c r="CW101" t="e">
        <f t="shared" si="91"/>
        <v>#VALUE!</v>
      </c>
      <c r="DC101" s="117">
        <f t="shared" si="83"/>
        <v>88</v>
      </c>
      <c r="DD101" s="297">
        <v>146</v>
      </c>
      <c r="DE101">
        <f t="shared" si="84"/>
        <v>2</v>
      </c>
      <c r="DF101" s="117">
        <v>100</v>
      </c>
      <c r="DG101" s="117">
        <f t="shared" si="85"/>
        <v>163</v>
      </c>
      <c r="DH101" s="99" t="str">
        <f t="shared" si="86"/>
        <v>2 – 
Thomas DINSMORE (2012– : #163a) Mary DINSMORE (2014– : #163b)</v>
      </c>
    </row>
    <row r="102" spans="1:112" ht="20">
      <c r="A102" s="287">
        <f>'Loyd List 1-190 - Edit'!C102</f>
        <v>100</v>
      </c>
      <c r="B102" s="295" t="str">
        <f>VLOOKUP(A102,'Book Details - NO EDIT'!$U$3:$X$192,4,FALSE)</f>
        <v>Christopher (1923–2013: #100)</v>
      </c>
      <c r="C102" s="287">
        <f>VLOOKUP(A102,'Loyd List 1-190 - Edit'!$P$1:$R$200,3,FALSE)</f>
        <v>56</v>
      </c>
      <c r="D102" s="287">
        <f t="shared" si="88"/>
        <v>5</v>
      </c>
      <c r="E102" s="287">
        <f t="shared" si="75"/>
        <v>1</v>
      </c>
      <c r="F102" s="269" t="str">
        <f t="shared" si="89"/>
        <v xml:space="preserve">5 – Anne (1912–2004: #85) John (1913–1943: #87) Martin (1917–1926: #91) Hester (1920–2002: #95)  Catherine (1923–2014: #101)   </v>
      </c>
      <c r="G102" s="125" t="str">
        <f>'Loyd Book 2022 - Print'!N102</f>
        <v xml:space="preserve">5 – Anne (1912–2004: #85) John (1913–1943: #87) Martin (1917–1926: #91) Hester (1920–2002: #95)  Catherine (1923–2014: #101)   </v>
      </c>
      <c r="H102" s="125">
        <f t="shared" si="87"/>
        <v>0</v>
      </c>
      <c r="I102" s="117">
        <f t="shared" si="90"/>
        <v>0</v>
      </c>
      <c r="J102" s="116" t="str">
        <f t="shared" si="94"/>
        <v>Anne (1912–2004: #85)</v>
      </c>
      <c r="K102" s="116" t="str">
        <f t="shared" si="96"/>
        <v>John (1913–1943: #87)</v>
      </c>
      <c r="L102" s="116" t="str">
        <f t="shared" si="96"/>
        <v>Martin (1917–1926: #91)</v>
      </c>
      <c r="M102" s="116" t="str">
        <f t="shared" ref="M102:O103" si="97">IF(VLOOKUP($C102,$AB$2:$AN$67,M$1,FALSE)=$A102,"",VLOOKUP(VLOOKUP($C102,$AB$2:$AN$67,M$1,FALSE),$A$1:$B$200,2,FALSE))</f>
        <v>Hester (1920–2002: #95)</v>
      </c>
      <c r="N102" s="116" t="str">
        <f t="shared" si="97"/>
        <v/>
      </c>
      <c r="O102" s="116" t="str">
        <f t="shared" si="97"/>
        <v>Catherine (1923–2014: #101)</v>
      </c>
      <c r="P102" s="116"/>
      <c r="Q102" s="116"/>
      <c r="R102" s="116"/>
      <c r="S102" s="117"/>
      <c r="T102" s="117"/>
      <c r="U102" s="117"/>
      <c r="V102" s="117"/>
      <c r="AA102" s="124"/>
      <c r="BH102" s="116">
        <f t="shared" si="76"/>
        <v>115</v>
      </c>
      <c r="BI102" s="3" t="s">
        <v>1791</v>
      </c>
      <c r="BJ102" s="3" t="s">
        <v>4861</v>
      </c>
      <c r="BK102" t="str">
        <f t="shared" si="77"/>
        <v xml:space="preserve">The Hon Hugh Francis Savile CROSSLEY (1971– </v>
      </c>
      <c r="BL102" t="str">
        <f t="shared" si="78"/>
        <v>The Hon Hugh CROSSLEY (1971– : #115d)</v>
      </c>
      <c r="BM102" t="str">
        <f t="shared" si="79"/>
        <v>The Hon Hugh Francis Savile CROSSLEY (1971– : #115d)</v>
      </c>
      <c r="BP102" t="str">
        <f t="shared" si="80"/>
        <v>CROSSLEY</v>
      </c>
      <c r="BQ102" t="str">
        <f t="shared" si="81"/>
        <v>The Hon Hugh</v>
      </c>
      <c r="BR102" s="116" t="str">
        <f t="shared" si="82"/>
        <v>The Hon Hugh</v>
      </c>
      <c r="CO102" s="157" t="s">
        <v>1791</v>
      </c>
      <c r="CP102" s="6" t="s">
        <v>1770</v>
      </c>
      <c r="CQ102" s="5" t="s">
        <v>1789</v>
      </c>
      <c r="CR102" s="5" t="s">
        <v>848</v>
      </c>
      <c r="CS102" s="5" t="s">
        <v>1790</v>
      </c>
      <c r="CT102" s="5"/>
      <c r="CU102" s="5">
        <v>1971</v>
      </c>
      <c r="CV102" s="5" t="s">
        <v>3774</v>
      </c>
      <c r="CW102" t="e">
        <f t="shared" si="91"/>
        <v>#VALUE!</v>
      </c>
      <c r="DC102" s="117">
        <f t="shared" si="83"/>
        <v>89</v>
      </c>
      <c r="DD102" s="297">
        <v>149</v>
      </c>
      <c r="DE102">
        <f t="shared" si="84"/>
        <v>3</v>
      </c>
      <c r="DF102" s="117">
        <v>101</v>
      </c>
      <c r="DG102" s="117">
        <f t="shared" si="85"/>
        <v>164</v>
      </c>
      <c r="DH102" s="99" t="str">
        <f t="shared" si="86"/>
        <v>3 – Freddie LEASK (2016– : #164a) Hamish LEASK (2018– : #164b) Otto LEASK (2020– : #164c)</v>
      </c>
    </row>
    <row r="103" spans="1:112" ht="26" customHeight="1">
      <c r="A103" s="287">
        <f>'Loyd List 1-190 - Edit'!C103</f>
        <v>101</v>
      </c>
      <c r="B103" s="295" t="str">
        <f>VLOOKUP(A103,'Book Details - NO EDIT'!$U$3:$X$192,4,FALSE)</f>
        <v>Catherine (1923–2014: #101)</v>
      </c>
      <c r="C103" s="287">
        <f>VLOOKUP(A103,'Loyd List 1-190 - Edit'!$P$1:$R$200,3,FALSE)</f>
        <v>56</v>
      </c>
      <c r="D103" s="287">
        <f t="shared" si="88"/>
        <v>5</v>
      </c>
      <c r="E103" s="287">
        <f t="shared" si="75"/>
        <v>1</v>
      </c>
      <c r="F103" s="269" t="str">
        <f t="shared" si="89"/>
        <v xml:space="preserve">5 – Anne (1912–2004: #85) John (1913–1943: #87) Martin (1917–1926: #91) Hester (1920–2002: #95) Christopher (1923–2013: #100)    </v>
      </c>
      <c r="G103" s="125" t="str">
        <f>'Loyd Book 2022 - Print'!N103</f>
        <v xml:space="preserve">5 – Anne (1912–2004: #85) John (1913–1943: #87) Martin (1917–1926: #91) Hester (1920–2002: #95) Christopher (1923–2013: #100)    </v>
      </c>
      <c r="H103" s="125">
        <f t="shared" si="87"/>
        <v>0</v>
      </c>
      <c r="I103" s="117">
        <f t="shared" si="90"/>
        <v>0</v>
      </c>
      <c r="J103" s="116" t="str">
        <f t="shared" si="94"/>
        <v>Anne (1912–2004: #85)</v>
      </c>
      <c r="K103" s="116" t="str">
        <f t="shared" si="96"/>
        <v>John (1913–1943: #87)</v>
      </c>
      <c r="L103" s="116" t="str">
        <f t="shared" si="96"/>
        <v>Martin (1917–1926: #91)</v>
      </c>
      <c r="M103" s="116" t="str">
        <f t="shared" si="97"/>
        <v>Hester (1920–2002: #95)</v>
      </c>
      <c r="N103" s="116" t="str">
        <f t="shared" si="97"/>
        <v>Christopher (1923–2013: #100)</v>
      </c>
      <c r="O103" s="116" t="str">
        <f t="shared" si="97"/>
        <v/>
      </c>
      <c r="P103" s="116"/>
      <c r="Q103" s="116"/>
      <c r="R103" s="116"/>
      <c r="S103" s="117"/>
      <c r="T103" s="117"/>
      <c r="U103" s="117"/>
      <c r="V103" s="117"/>
      <c r="AA103" s="124"/>
      <c r="BH103" s="116">
        <f t="shared" si="76"/>
        <v>115</v>
      </c>
      <c r="BI103" s="3" t="s">
        <v>1793</v>
      </c>
      <c r="BJ103" s="3" t="s">
        <v>4862</v>
      </c>
      <c r="BK103" t="str">
        <f t="shared" si="77"/>
        <v xml:space="preserve">The Hon Bridget Vivian CROSSLEY (1974– </v>
      </c>
      <c r="BL103" t="str">
        <f t="shared" si="78"/>
        <v>The Hon Bridget CROSSLEY (1974– : #115e)</v>
      </c>
      <c r="BM103" t="str">
        <f t="shared" si="79"/>
        <v>The Hon Bridget Vivian CROSSLEY (1974– : #115e)</v>
      </c>
      <c r="BP103" t="str">
        <f t="shared" si="80"/>
        <v>CROSSLEY</v>
      </c>
      <c r="BQ103" t="str">
        <f t="shared" si="81"/>
        <v>The Hon Bridget</v>
      </c>
      <c r="BR103" s="116" t="str">
        <f t="shared" si="82"/>
        <v>The Hon Bridget</v>
      </c>
      <c r="CO103" s="157" t="s">
        <v>1793</v>
      </c>
      <c r="CP103" s="6" t="s">
        <v>1770</v>
      </c>
      <c r="CQ103" s="5" t="s">
        <v>1792</v>
      </c>
      <c r="CR103" s="5" t="s">
        <v>824</v>
      </c>
      <c r="CS103" s="5"/>
      <c r="CT103" s="5"/>
      <c r="CU103" s="5">
        <v>1974</v>
      </c>
      <c r="CV103" s="5" t="s">
        <v>3774</v>
      </c>
      <c r="CW103" t="e">
        <f t="shared" si="91"/>
        <v>#VALUE!</v>
      </c>
      <c r="DC103" s="117">
        <f t="shared" si="83"/>
        <v>90</v>
      </c>
      <c r="DD103" s="297">
        <v>150</v>
      </c>
      <c r="DE103">
        <f t="shared" si="84"/>
        <v>2</v>
      </c>
      <c r="DF103" s="117">
        <v>102</v>
      </c>
      <c r="DG103" s="117">
        <f t="shared" si="85"/>
        <v>165</v>
      </c>
      <c r="DH103" s="99" t="str">
        <f t="shared" si="86"/>
        <v>2 – Leila PURI (2017– : #165a) Alana PURI (2019– : #165b)</v>
      </c>
    </row>
    <row r="104" spans="1:112" ht="20">
      <c r="A104" s="287">
        <f>'Loyd List 1-190 - Edit'!C104</f>
        <v>102</v>
      </c>
      <c r="B104" s="295" t="str">
        <f>VLOOKUP(A104,'Book Details - NO EDIT'!$U$3:$X$192,4,FALSE)</f>
        <v>Zelda (1923–2014: #102)</v>
      </c>
      <c r="C104" s="287">
        <f>VLOOKUP(A104,'Loyd List 1-190 - Edit'!$P$1:$R$200,3,FALSE)</f>
        <v>62</v>
      </c>
      <c r="D104" s="287">
        <f t="shared" si="88"/>
        <v>0</v>
      </c>
      <c r="E104" s="287">
        <f t="shared" si="75"/>
        <v>1</v>
      </c>
      <c r="F104" s="269" t="str">
        <f t="shared" si="89"/>
        <v>0 – Only Child</v>
      </c>
      <c r="G104" s="125" t="str">
        <f>'Loyd Book 2022 - Print'!N104</f>
        <v>0 – Only chlid</v>
      </c>
      <c r="H104" s="125">
        <f t="shared" si="87"/>
        <v>0</v>
      </c>
      <c r="I104" s="117">
        <f t="shared" si="90"/>
        <v>0</v>
      </c>
      <c r="J104" s="116" t="str">
        <f t="shared" si="94"/>
        <v/>
      </c>
      <c r="K104" s="116"/>
      <c r="L104" s="116"/>
      <c r="M104" s="116"/>
      <c r="N104" s="116"/>
      <c r="O104" s="116"/>
      <c r="P104" s="116"/>
      <c r="Q104" s="116"/>
      <c r="R104" s="116"/>
      <c r="S104" s="117"/>
      <c r="T104" s="117"/>
      <c r="U104" s="117"/>
      <c r="V104" s="117"/>
      <c r="AA104" s="124"/>
      <c r="BH104" s="116">
        <f t="shared" si="76"/>
        <v>116</v>
      </c>
      <c r="BI104" s="3" t="s">
        <v>1798</v>
      </c>
      <c r="BJ104" s="3" t="s">
        <v>5184</v>
      </c>
      <c r="BK104" t="str">
        <f t="shared" si="77"/>
        <v>Carl CLULOW (1970–1970</v>
      </c>
      <c r="BL104" t="str">
        <f t="shared" si="78"/>
        <v>Carl CLULOW (1970–1970: #116a)</v>
      </c>
      <c r="BM104" t="str">
        <f t="shared" si="79"/>
        <v>Carl CLULOW (1970–1970: #116a)</v>
      </c>
      <c r="BP104" t="str">
        <f t="shared" si="80"/>
        <v>CLULOW</v>
      </c>
      <c r="BQ104" t="str">
        <f t="shared" si="81"/>
        <v>Carl</v>
      </c>
      <c r="BR104" s="116" t="str">
        <f t="shared" si="82"/>
        <v>Carl</v>
      </c>
      <c r="CO104" s="157" t="s">
        <v>1798</v>
      </c>
      <c r="CP104" s="6" t="s">
        <v>1795</v>
      </c>
      <c r="CQ104" s="5" t="s">
        <v>1796</v>
      </c>
      <c r="CR104" s="5"/>
      <c r="CS104" s="5"/>
      <c r="CT104" s="5"/>
      <c r="CU104" s="5">
        <v>1970</v>
      </c>
      <c r="CV104" s="5">
        <v>1970</v>
      </c>
      <c r="CW104">
        <f t="shared" si="91"/>
        <v>0</v>
      </c>
      <c r="DC104" s="117">
        <f t="shared" si="83"/>
        <v>93</v>
      </c>
      <c r="DD104" s="297">
        <v>155</v>
      </c>
      <c r="DE104">
        <f t="shared" si="84"/>
        <v>2</v>
      </c>
      <c r="DF104" s="117">
        <v>103</v>
      </c>
      <c r="DG104" s="117">
        <f t="shared" si="85"/>
        <v>167</v>
      </c>
      <c r="DH104" s="99" t="str">
        <f t="shared" si="86"/>
        <v>2 – Olivia (2014–: #187) Daisy (2021–: #190)</v>
      </c>
    </row>
    <row r="105" spans="1:112" ht="20">
      <c r="A105" s="287">
        <f>'Loyd List 1-190 - Edit'!C105</f>
        <v>103</v>
      </c>
      <c r="B105" s="295" t="str">
        <f>VLOOKUP(A105,'Book Details - NO EDIT'!$U$3:$X$192,4,FALSE)</f>
        <v>Lavinia (1923–1995: #103)</v>
      </c>
      <c r="C105" s="287">
        <f>VLOOKUP(A105,'Loyd List 1-190 - Edit'!$P$1:$R$200,3,FALSE)</f>
        <v>72</v>
      </c>
      <c r="D105" s="287">
        <f t="shared" si="88"/>
        <v>1</v>
      </c>
      <c r="E105" s="287">
        <f t="shared" si="75"/>
        <v>1</v>
      </c>
      <c r="F105" s="269" t="str">
        <f t="shared" si="89"/>
        <v xml:space="preserve">1 – Sir Julian (1926–2018: #104)       </v>
      </c>
      <c r="G105" s="125" t="str">
        <f>'Loyd Book 2022 - Print'!N105</f>
        <v xml:space="preserve">1 – Sir Julian (1926–2018: #104)       </v>
      </c>
      <c r="H105" s="125">
        <f t="shared" si="87"/>
        <v>0</v>
      </c>
      <c r="I105" s="117">
        <f t="shared" si="90"/>
        <v>0</v>
      </c>
      <c r="J105" s="116" t="str">
        <f t="shared" si="94"/>
        <v/>
      </c>
      <c r="K105" s="116" t="str">
        <f>IF(VLOOKUP($C105,$AB$2:$AN$67,K$1,FALSE)=$A105,"",VLOOKUP(VLOOKUP($C105,$AB$2:$AN$67,K$1,FALSE),$A$1:$B$200,2,FALSE))</f>
        <v>Sir Julian (1926–2018: #104)</v>
      </c>
      <c r="L105" s="116"/>
      <c r="M105" s="116"/>
      <c r="N105" s="116"/>
      <c r="O105" s="116"/>
      <c r="P105" s="116"/>
      <c r="Q105" s="116"/>
      <c r="R105" s="116"/>
      <c r="S105" s="117"/>
      <c r="T105" s="117"/>
      <c r="U105" s="117"/>
      <c r="V105" s="117"/>
      <c r="AA105" s="124"/>
      <c r="BH105" s="116">
        <f t="shared" si="76"/>
        <v>116</v>
      </c>
      <c r="BI105" s="3" t="s">
        <v>1799</v>
      </c>
      <c r="BJ105" s="3" t="s">
        <v>4863</v>
      </c>
      <c r="BK105" t="str">
        <f t="shared" si="77"/>
        <v xml:space="preserve">Kate CLULOW (1971– </v>
      </c>
      <c r="BL105" t="str">
        <f t="shared" si="78"/>
        <v>Kate CLULOW (1971– : #116b)</v>
      </c>
      <c r="BM105" t="str">
        <f t="shared" si="79"/>
        <v>Kate CLULOW (1971– : #116b)</v>
      </c>
      <c r="BP105" t="str">
        <f t="shared" si="80"/>
        <v>CLULOW</v>
      </c>
      <c r="BQ105" t="str">
        <f t="shared" si="81"/>
        <v>Kate</v>
      </c>
      <c r="BR105" s="116" t="str">
        <f t="shared" si="82"/>
        <v>Kate</v>
      </c>
      <c r="CO105" s="157" t="s">
        <v>1799</v>
      </c>
      <c r="CP105" s="6" t="s">
        <v>1795</v>
      </c>
      <c r="CQ105" s="5" t="s">
        <v>985</v>
      </c>
      <c r="CR105" s="5"/>
      <c r="CS105" s="5"/>
      <c r="CT105" s="5"/>
      <c r="CU105" s="5">
        <v>1971</v>
      </c>
      <c r="CV105" s="5" t="s">
        <v>3774</v>
      </c>
      <c r="CW105" t="e">
        <f t="shared" si="91"/>
        <v>#VALUE!</v>
      </c>
      <c r="DC105" s="117">
        <f t="shared" si="83"/>
        <v>99</v>
      </c>
      <c r="DD105" s="297">
        <v>162</v>
      </c>
      <c r="DE105">
        <f t="shared" si="84"/>
        <v>2</v>
      </c>
      <c r="DF105" s="117">
        <v>104</v>
      </c>
      <c r="DG105" s="117">
        <f t="shared" si="85"/>
        <v>168</v>
      </c>
      <c r="DH105" s="99" t="str">
        <f t="shared" si="86"/>
        <v>2 – Nicholas POWELL (2020– : #168a) Florence POWELL  (2022– : #168b)</v>
      </c>
    </row>
    <row r="106" spans="1:112" ht="20">
      <c r="A106" s="287">
        <f>'Loyd List 1-190 - Edit'!C106</f>
        <v>104</v>
      </c>
      <c r="B106" s="295" t="str">
        <f>VLOOKUP(A106,'Book Details - NO EDIT'!$U$3:$X$192,4,FALSE)</f>
        <v>Sir Julian (1926–2018: #104)</v>
      </c>
      <c r="C106" s="287">
        <f>VLOOKUP(A106,'Loyd List 1-190 - Edit'!$P$1:$R$200,3,FALSE)</f>
        <v>72</v>
      </c>
      <c r="D106" s="287">
        <f t="shared" si="88"/>
        <v>1</v>
      </c>
      <c r="E106" s="287">
        <f t="shared" si="75"/>
        <v>1</v>
      </c>
      <c r="F106" s="269" t="str">
        <f t="shared" si="89"/>
        <v xml:space="preserve">1 – Lavinia (1923–1995: #103)        </v>
      </c>
      <c r="G106" s="125" t="str">
        <f>'Loyd Book 2022 - Print'!N106</f>
        <v xml:space="preserve">1 – Lavinia (1923–1995: #103)        </v>
      </c>
      <c r="H106" s="125">
        <f t="shared" si="87"/>
        <v>0</v>
      </c>
      <c r="I106" s="117">
        <f t="shared" si="90"/>
        <v>0</v>
      </c>
      <c r="J106" s="116" t="str">
        <f t="shared" si="94"/>
        <v>Lavinia (1923–1995: #103)</v>
      </c>
      <c r="K106" s="116" t="str">
        <f>IF(VLOOKUP($C106,$AB$2:$AN$67,K$1,FALSE)=$A106,"",VLOOKUP(VLOOKUP($C106,$AB$2:$AN$67,K$1,FALSE),$A$1:$B$200,2,FALSE))</f>
        <v/>
      </c>
      <c r="L106" s="116"/>
      <c r="M106" s="116"/>
      <c r="N106" s="116"/>
      <c r="O106" s="116"/>
      <c r="P106" s="116"/>
      <c r="Q106" s="116"/>
      <c r="R106" s="116"/>
      <c r="S106" s="117"/>
      <c r="T106" s="117"/>
      <c r="U106" s="117"/>
      <c r="V106" s="117"/>
      <c r="AA106" s="124"/>
      <c r="BH106" s="116">
        <f t="shared" si="76"/>
        <v>116</v>
      </c>
      <c r="BI106" s="3" t="s">
        <v>1800</v>
      </c>
      <c r="BJ106" s="3" t="s">
        <v>4864</v>
      </c>
      <c r="BK106" t="str">
        <f t="shared" si="77"/>
        <v xml:space="preserve">Clare CLULOW (1973– </v>
      </c>
      <c r="BL106" t="str">
        <f t="shared" si="78"/>
        <v>Clare CLULOW (1973– : #116c)</v>
      </c>
      <c r="BM106" t="str">
        <f t="shared" si="79"/>
        <v>Clare CLULOW (1973– : #116c)</v>
      </c>
      <c r="BP106" t="str">
        <f t="shared" si="80"/>
        <v>CLULOW</v>
      </c>
      <c r="BQ106" t="str">
        <f t="shared" si="81"/>
        <v>Clare</v>
      </c>
      <c r="BR106" s="116" t="str">
        <f t="shared" si="82"/>
        <v>Clare</v>
      </c>
      <c r="CO106" s="157" t="s">
        <v>1800</v>
      </c>
      <c r="CP106" s="6" t="s">
        <v>1795</v>
      </c>
      <c r="CQ106" s="5" t="s">
        <v>1654</v>
      </c>
      <c r="CR106" s="5"/>
      <c r="CS106" s="5"/>
      <c r="CT106" s="5"/>
      <c r="CU106" s="5">
        <v>1973</v>
      </c>
      <c r="CV106" s="5" t="s">
        <v>3774</v>
      </c>
      <c r="CW106" t="e">
        <f t="shared" si="91"/>
        <v>#VALUE!</v>
      </c>
      <c r="DC106" s="117">
        <f t="shared" si="83"/>
        <v>103</v>
      </c>
      <c r="DD106" s="297">
        <v>167</v>
      </c>
      <c r="DE106">
        <f t="shared" si="84"/>
        <v>1</v>
      </c>
      <c r="DF106" s="117">
        <v>105</v>
      </c>
      <c r="DG106" s="117">
        <f t="shared" si="85"/>
        <v>170</v>
      </c>
      <c r="DH106" s="99" t="str">
        <f t="shared" si="86"/>
        <v>1 – Angus POWELL (2021– : #170a)</v>
      </c>
    </row>
    <row r="107" spans="1:112" ht="20">
      <c r="A107" s="287">
        <f>'Loyd List 1-190 - Edit'!C107</f>
        <v>105</v>
      </c>
      <c r="B107" s="295" t="str">
        <f>VLOOKUP(A107,'Book Details - NO EDIT'!$U$3:$X$192,4,FALSE)</f>
        <v>Geoffrey (1926–2018: #105)</v>
      </c>
      <c r="C107" s="287">
        <f>VLOOKUP(A107,'Loyd List 1-190 - Edit'!$P$1:$R$200,3,FALSE)</f>
        <v>77</v>
      </c>
      <c r="D107" s="287">
        <f t="shared" si="88"/>
        <v>3</v>
      </c>
      <c r="E107" s="287">
        <f t="shared" si="75"/>
        <v>1</v>
      </c>
      <c r="F107" s="269" t="str">
        <f t="shared" si="89"/>
        <v xml:space="preserve">3 – Peter (1922–2022: #98)  Denise (1928–: #106) Andrew (1934–1975: #111)     </v>
      </c>
      <c r="G107" s="125" t="str">
        <f>'Loyd Book 2022 - Print'!N107</f>
        <v xml:space="preserve">3 – Peter (1922–2022: #98)  Denise (1928–: #106) Andrew (1934–1975: #111)     </v>
      </c>
      <c r="H107" s="125">
        <f t="shared" si="87"/>
        <v>0</v>
      </c>
      <c r="I107" s="117">
        <f t="shared" si="90"/>
        <v>0</v>
      </c>
      <c r="J107" s="116" t="str">
        <f t="shared" ref="J107:J138" si="98">IF(VLOOKUP($C107,$AB$2:$AN$67,J$1,FALSE)=$A107,"",VLOOKUP(VLOOKUP($C107,$AB$2:$AN$67,J$1,FALSE),$A$1:$B$200,2,FALSE))</f>
        <v>Peter (1922–2022: #98)</v>
      </c>
      <c r="K107" s="116" t="str">
        <f>IF(VLOOKUP($C107,$AB$2:$AN$67,K$1,FALSE)=$A107,"",VLOOKUP(VLOOKUP($C107,$AB$2:$AN$67,K$1,FALSE),$A$1:$B$200,2,FALSE))</f>
        <v/>
      </c>
      <c r="L107" s="116" t="str">
        <f>IF(VLOOKUP($C107,$AB$2:$AN$67,L$1,FALSE)=$A107,"",VLOOKUP(VLOOKUP($C107,$AB$2:$AN$67,L$1,FALSE),$A$1:$B$200,2,FALSE))</f>
        <v>Denise (1928–: #106)</v>
      </c>
      <c r="M107" s="116" t="str">
        <f>IF(VLOOKUP($C107,$AB$2:$AN$67,M$1,FALSE)=$A107,"",VLOOKUP(VLOOKUP($C107,$AB$2:$AN$67,M$1,FALSE),$A$1:$B$200,2,FALSE))</f>
        <v>Andrew (1934–1975: #111)</v>
      </c>
      <c r="N107" s="116"/>
      <c r="O107" s="116"/>
      <c r="P107" s="116"/>
      <c r="Q107" s="116"/>
      <c r="R107" s="116"/>
      <c r="S107" s="117"/>
      <c r="T107" s="117"/>
      <c r="U107" s="117"/>
      <c r="V107" s="117"/>
      <c r="AA107" s="124"/>
      <c r="BH107" s="116">
        <f t="shared" si="76"/>
        <v>123</v>
      </c>
      <c r="BI107" s="3" t="s">
        <v>1806</v>
      </c>
      <c r="BJ107" s="3" t="s">
        <v>4865</v>
      </c>
      <c r="BK107" t="str">
        <f t="shared" si="77"/>
        <v xml:space="preserve">Katharine Jane Loyd BOSMAN (1978– </v>
      </c>
      <c r="BL107" t="str">
        <f t="shared" si="78"/>
        <v>Katharine BOSMAN (1978– : #123a)</v>
      </c>
      <c r="BM107" t="str">
        <f t="shared" si="79"/>
        <v>Katharine Jane Loyd BOSMAN (1978– : #123a)</v>
      </c>
      <c r="BP107" t="str">
        <f t="shared" si="80"/>
        <v>BOSMAN</v>
      </c>
      <c r="BQ107" t="str">
        <f t="shared" si="81"/>
        <v>Katharine</v>
      </c>
      <c r="BR107" s="116" t="str">
        <f t="shared" si="82"/>
        <v>Katharine</v>
      </c>
      <c r="CO107" s="157" t="s">
        <v>1806</v>
      </c>
      <c r="CP107" s="6" t="s">
        <v>1803</v>
      </c>
      <c r="CQ107" s="5" t="s">
        <v>907</v>
      </c>
      <c r="CR107" s="5" t="s">
        <v>922</v>
      </c>
      <c r="CS107" s="5" t="s">
        <v>1497</v>
      </c>
      <c r="CT107" s="5"/>
      <c r="CU107" s="5">
        <v>1978</v>
      </c>
      <c r="CV107" s="5" t="s">
        <v>3774</v>
      </c>
      <c r="CW107" t="e">
        <f t="shared" si="91"/>
        <v>#VALUE!</v>
      </c>
    </row>
    <row r="108" spans="1:112" ht="20">
      <c r="A108" s="287">
        <f>'Loyd List 1-190 - Edit'!C108</f>
        <v>106</v>
      </c>
      <c r="B108" s="295" t="str">
        <f>VLOOKUP(A108,'Book Details - NO EDIT'!$U$3:$X$192,4,FALSE)</f>
        <v>Denise (1928–: #106)</v>
      </c>
      <c r="C108" s="287">
        <f>VLOOKUP(A108,'Loyd List 1-190 - Edit'!$P$1:$R$200,3,FALSE)</f>
        <v>77</v>
      </c>
      <c r="D108" s="287">
        <f t="shared" si="88"/>
        <v>3</v>
      </c>
      <c r="E108" s="287">
        <f t="shared" si="75"/>
        <v>1</v>
      </c>
      <c r="F108" s="269" t="str">
        <f t="shared" si="89"/>
        <v xml:space="preserve">3 – Peter (1922–2022: #98) Geoffrey (1926–2018: #105)  Andrew (1934–1975: #111)     </v>
      </c>
      <c r="G108" s="125" t="str">
        <f>'Loyd Book 2022 - Print'!N108</f>
        <v xml:space="preserve">3 – Peter (1922–2022: #98) Geoffrey (1926–2018: #105)  Andrew (1934–1975: #111)     </v>
      </c>
      <c r="H108" s="125">
        <f t="shared" si="87"/>
        <v>0</v>
      </c>
      <c r="I108" s="117">
        <f t="shared" si="90"/>
        <v>0</v>
      </c>
      <c r="J108" s="116" t="str">
        <f t="shared" si="98"/>
        <v>Peter (1922–2022: #98)</v>
      </c>
      <c r="K108" s="116" t="str">
        <f>IF(VLOOKUP($C108,$AB$2:$AN$67,K$1,FALSE)=$A108,"",VLOOKUP(VLOOKUP($C108,$AB$2:$AN$67,K$1,FALSE),$A$1:$B$200,2,FALSE))</f>
        <v>Geoffrey (1926–2018: #105)</v>
      </c>
      <c r="L108" s="116" t="str">
        <f>IF(VLOOKUP($C108,$AB$2:$AN$67,L$1,FALSE)=$A108,"",VLOOKUP(VLOOKUP($C108,$AB$2:$AN$67,L$1,FALSE),$A$1:$B$200,2,FALSE))</f>
        <v/>
      </c>
      <c r="M108" s="116" t="str">
        <f>IF(VLOOKUP($C108,$AB$2:$AN$67,M$1,FALSE)=$A108,"",VLOOKUP(VLOOKUP($C108,$AB$2:$AN$67,M$1,FALSE),$A$1:$B$200,2,FALSE))</f>
        <v>Andrew (1934–1975: #111)</v>
      </c>
      <c r="N108" s="116"/>
      <c r="O108" s="116"/>
      <c r="P108" s="116"/>
      <c r="Q108" s="116"/>
      <c r="R108" s="116"/>
      <c r="S108" s="117"/>
      <c r="T108" s="117"/>
      <c r="U108" s="117"/>
      <c r="V108" s="117"/>
      <c r="AA108" s="124"/>
      <c r="BH108" s="116">
        <f t="shared" si="76"/>
        <v>123</v>
      </c>
      <c r="BI108" s="3" t="s">
        <v>1807</v>
      </c>
      <c r="BJ108" s="3" t="s">
        <v>4866</v>
      </c>
      <c r="BK108" t="str">
        <f t="shared" si="77"/>
        <v xml:space="preserve">Adam Terrence Loyd BOSMAN (1980– </v>
      </c>
      <c r="BL108" t="str">
        <f t="shared" si="78"/>
        <v>Adam BOSMAN (1980– : #123b)</v>
      </c>
      <c r="BM108" t="str">
        <f t="shared" si="79"/>
        <v>Adam Terrence Loyd BOSMAN (1980– : #123b)</v>
      </c>
      <c r="BP108" t="str">
        <f t="shared" si="80"/>
        <v>BOSMAN</v>
      </c>
      <c r="BQ108" t="str">
        <f t="shared" si="81"/>
        <v>Adam</v>
      </c>
      <c r="BR108" s="116" t="str">
        <f t="shared" si="82"/>
        <v>Adam</v>
      </c>
      <c r="CO108" s="157" t="s">
        <v>1807</v>
      </c>
      <c r="CP108" s="6" t="s">
        <v>1803</v>
      </c>
      <c r="CQ108" s="5" t="s">
        <v>1804</v>
      </c>
      <c r="CR108" s="5" t="s">
        <v>1805</v>
      </c>
      <c r="CS108" s="5" t="s">
        <v>1497</v>
      </c>
      <c r="CT108" s="5"/>
      <c r="CU108" s="5">
        <v>1980</v>
      </c>
      <c r="CV108" s="5" t="s">
        <v>3774</v>
      </c>
      <c r="CW108" t="e">
        <f t="shared" si="91"/>
        <v>#VALUE!</v>
      </c>
    </row>
    <row r="109" spans="1:112" ht="20">
      <c r="A109" s="287">
        <f>'Loyd List 1-190 - Edit'!C109</f>
        <v>107</v>
      </c>
      <c r="B109" s="295" t="str">
        <f>VLOOKUP(A109,'Book Details - NO EDIT'!$U$3:$X$192,4,FALSE)</f>
        <v>Wooie (1928–1996: #107)</v>
      </c>
      <c r="C109" s="287">
        <f>VLOOKUP(A109,'Loyd List 1-190 - Edit'!$P$1:$R$200,3,FALSE)</f>
        <v>76</v>
      </c>
      <c r="D109" s="287">
        <f t="shared" si="88"/>
        <v>0</v>
      </c>
      <c r="E109" s="287">
        <f t="shared" si="75"/>
        <v>1</v>
      </c>
      <c r="F109" s="269" t="str">
        <f t="shared" si="89"/>
        <v>0 – Only Child</v>
      </c>
      <c r="G109" s="125" t="str">
        <f>'Loyd Book 2022 - Print'!N109</f>
        <v>0 – Only chlid</v>
      </c>
      <c r="H109" s="125">
        <f t="shared" si="87"/>
        <v>0</v>
      </c>
      <c r="I109" s="117">
        <f t="shared" si="90"/>
        <v>0</v>
      </c>
      <c r="J109" s="116" t="str">
        <f t="shared" si="98"/>
        <v/>
      </c>
      <c r="K109" s="116"/>
      <c r="L109" s="116"/>
      <c r="M109" s="116"/>
      <c r="N109" s="116"/>
      <c r="O109" s="116"/>
      <c r="P109" s="116"/>
      <c r="Q109" s="116"/>
      <c r="R109" s="116"/>
      <c r="S109" s="117"/>
      <c r="T109" s="117"/>
      <c r="U109" s="117"/>
      <c r="V109" s="117"/>
      <c r="AA109" s="124"/>
      <c r="BH109" s="116">
        <f t="shared" si="76"/>
        <v>125</v>
      </c>
      <c r="BI109" s="3" t="s">
        <v>1811</v>
      </c>
      <c r="BJ109" s="3" t="s">
        <v>4867</v>
      </c>
      <c r="BK109" t="str">
        <f t="shared" si="77"/>
        <v xml:space="preserve">Bryan Patrick HAWKEY (1976– </v>
      </c>
      <c r="BL109" t="str">
        <f t="shared" si="78"/>
        <v>Bryan HAWKEY (1976– : #125a)</v>
      </c>
      <c r="BM109" t="str">
        <f t="shared" si="79"/>
        <v>Bryan Patrick HAWKEY (1976– : #125a)</v>
      </c>
      <c r="BP109" t="str">
        <f t="shared" si="80"/>
        <v>HAWKEY</v>
      </c>
      <c r="BQ109" t="str">
        <f t="shared" si="81"/>
        <v>Bryan</v>
      </c>
      <c r="BR109" s="116" t="str">
        <f t="shared" si="82"/>
        <v>Bryan</v>
      </c>
      <c r="CO109" s="157" t="s">
        <v>1811</v>
      </c>
      <c r="CP109" s="6" t="s">
        <v>1809</v>
      </c>
      <c r="CQ109" s="5" t="s">
        <v>920</v>
      </c>
      <c r="CR109" s="5" t="s">
        <v>896</v>
      </c>
      <c r="CS109" s="5"/>
      <c r="CT109" s="5"/>
      <c r="CU109" s="5">
        <v>1976</v>
      </c>
      <c r="CV109" s="5" t="s">
        <v>3774</v>
      </c>
      <c r="CW109" t="e">
        <f t="shared" si="91"/>
        <v>#VALUE!</v>
      </c>
    </row>
    <row r="110" spans="1:112" ht="20">
      <c r="A110" s="287">
        <f>'Loyd List 1-190 - Edit'!C110</f>
        <v>108</v>
      </c>
      <c r="B110" s="295" t="str">
        <f>VLOOKUP(A110,'Book Details - NO EDIT'!$U$3:$X$192,4,FALSE)</f>
        <v>Jos (1931–: #108)</v>
      </c>
      <c r="C110" s="287">
        <f>VLOOKUP(A110,'Loyd List 1-190 - Edit'!$P$1:$R$200,3,FALSE)</f>
        <v>55</v>
      </c>
      <c r="D110" s="287">
        <f t="shared" si="88"/>
        <v>4</v>
      </c>
      <c r="E110" s="287">
        <f t="shared" si="75"/>
        <v>1</v>
      </c>
      <c r="F110" s="269" t="str">
        <f t="shared" si="89"/>
        <v xml:space="preserve">4 – Deen (1936–2016: #112) Peggy (1939–: #116) Patrick (1942–: #117) Patricia (1942–1942: #118)    </v>
      </c>
      <c r="G110" s="125" t="str">
        <f>'Loyd Book 2022 - Print'!N110</f>
        <v xml:space="preserve">4 – Deen (1936–2016: #112) Peggy (1939–: #116) Patrick (1942–: #117) Patricia (1942–1942: #118)    </v>
      </c>
      <c r="H110" s="125">
        <f t="shared" si="87"/>
        <v>0</v>
      </c>
      <c r="I110" s="117">
        <f t="shared" si="90"/>
        <v>0</v>
      </c>
      <c r="J110" s="116" t="str">
        <f t="shared" si="98"/>
        <v/>
      </c>
      <c r="K110" s="116" t="str">
        <f>IF(VLOOKUP($C110,$AB$2:$AN$67,K$1,FALSE)=$A110,"",VLOOKUP(VLOOKUP($C110,$AB$2:$AN$67,K$1,FALSE),$A$1:$B$200,2,FALSE))</f>
        <v>Deen (1936–2016: #112)</v>
      </c>
      <c r="L110" s="116" t="str">
        <f>IF(VLOOKUP($C110,$AB$2:$AN$67,L$1,FALSE)=$A110,"",VLOOKUP(VLOOKUP($C110,$AB$2:$AN$67,L$1,FALSE),$A$1:$B$200,2,FALSE))</f>
        <v>Peggy (1939–: #116)</v>
      </c>
      <c r="M110" s="116" t="str">
        <f>IF(VLOOKUP($C110,$AB$2:$AN$67,M$1,FALSE)=$A110,"",VLOOKUP(VLOOKUP($C110,$AB$2:$AN$67,M$1,FALSE),$A$1:$B$200,2,FALSE))</f>
        <v>Patrick (1942–: #117)</v>
      </c>
      <c r="N110" s="116" t="str">
        <f>IF(VLOOKUP($C110,$AB$2:$AN$67,N$1,FALSE)=$A110,"",VLOOKUP(VLOOKUP($C110,$AB$2:$AN$67,N$1,FALSE),$A$1:$B$200,2,FALSE))</f>
        <v>Patricia (1942–1942: #118)</v>
      </c>
      <c r="O110" s="116"/>
      <c r="P110" s="116"/>
      <c r="Q110" s="116"/>
      <c r="R110" s="116"/>
      <c r="S110" s="117"/>
      <c r="T110" s="117"/>
      <c r="U110" s="117"/>
      <c r="V110" s="117"/>
      <c r="AA110" s="124"/>
      <c r="BH110" s="116">
        <f t="shared" si="76"/>
        <v>125</v>
      </c>
      <c r="BI110" s="3" t="s">
        <v>1812</v>
      </c>
      <c r="BJ110" s="3" t="s">
        <v>4868</v>
      </c>
      <c r="BK110" t="str">
        <f t="shared" si="77"/>
        <v xml:space="preserve">Allison Mary HAWKEY (1978– </v>
      </c>
      <c r="BL110" t="str">
        <f t="shared" si="78"/>
        <v>Allison HAWKEY (1978– : #125b)</v>
      </c>
      <c r="BM110" t="str">
        <f t="shared" si="79"/>
        <v>Allison Mary HAWKEY (1978– : #125b)</v>
      </c>
      <c r="BP110" t="str">
        <f t="shared" si="80"/>
        <v>HAWKEY</v>
      </c>
      <c r="BQ110" t="str">
        <f t="shared" si="81"/>
        <v>Allison</v>
      </c>
      <c r="BR110" s="116" t="str">
        <f t="shared" si="82"/>
        <v>Allison</v>
      </c>
      <c r="CO110" s="157" t="s">
        <v>1812</v>
      </c>
      <c r="CP110" s="6" t="s">
        <v>1809</v>
      </c>
      <c r="CQ110" s="5" t="s">
        <v>1810</v>
      </c>
      <c r="CR110" s="5" t="s">
        <v>870</v>
      </c>
      <c r="CS110" s="5"/>
      <c r="CT110" s="5"/>
      <c r="CU110" s="5">
        <v>1978</v>
      </c>
      <c r="CV110" s="5" t="s">
        <v>3774</v>
      </c>
      <c r="CW110" t="e">
        <f t="shared" si="91"/>
        <v>#VALUE!</v>
      </c>
    </row>
    <row r="111" spans="1:112" ht="20">
      <c r="A111" s="287">
        <f>'Loyd List 1-190 - Edit'!C111</f>
        <v>109</v>
      </c>
      <c r="B111" s="295" t="str">
        <f>VLOOKUP(A111,'Book Details - NO EDIT'!$U$3:$X$192,4,FALSE)</f>
        <v>Margaret (1932–: #109)</v>
      </c>
      <c r="C111" s="287">
        <f>VLOOKUP(A111,'Loyd List 1-190 - Edit'!$P$1:$R$200,3,FALSE)</f>
        <v>80</v>
      </c>
      <c r="D111" s="287">
        <f t="shared" si="88"/>
        <v>3</v>
      </c>
      <c r="E111" s="287">
        <f t="shared" si="75"/>
        <v>1</v>
      </c>
      <c r="F111" s="269" t="str">
        <f t="shared" si="89"/>
        <v xml:space="preserve">3 – Jean (1933–: #110) Michael (1938–: #114) Peter (1942–: #119)     </v>
      </c>
      <c r="G111" s="125" t="str">
        <f>'Loyd Book 2022 - Print'!N111</f>
        <v xml:space="preserve">3 – Jean (1933–: #110) Michael (1938–: #114) Peter (1942–: #119)     </v>
      </c>
      <c r="H111" s="125">
        <f t="shared" si="87"/>
        <v>0</v>
      </c>
      <c r="I111" s="117">
        <f t="shared" si="90"/>
        <v>0</v>
      </c>
      <c r="J111" s="116" t="str">
        <f t="shared" si="98"/>
        <v/>
      </c>
      <c r="K111" s="116" t="str">
        <f t="shared" ref="K111:M121" si="99">IF(VLOOKUP($C111,$AB$2:$AN$67,K$1,FALSE)=$A111,"",VLOOKUP(VLOOKUP($C111,$AB$2:$AN$67,K$1,FALSE),$A$1:$B$200,2,FALSE))</f>
        <v>Jean (1933–: #110)</v>
      </c>
      <c r="L111" s="116" t="str">
        <f t="shared" si="99"/>
        <v>Michael (1938–: #114)</v>
      </c>
      <c r="M111" s="116" t="str">
        <f t="shared" si="99"/>
        <v>Peter (1942–: #119)</v>
      </c>
      <c r="N111" s="116"/>
      <c r="O111" s="116"/>
      <c r="P111" s="116"/>
      <c r="Q111" s="116"/>
      <c r="R111" s="116"/>
      <c r="S111" s="117"/>
      <c r="T111" s="117"/>
      <c r="U111" s="117"/>
      <c r="V111" s="117"/>
      <c r="AA111" s="124"/>
      <c r="BH111" s="116">
        <f t="shared" si="76"/>
        <v>128</v>
      </c>
      <c r="BI111" s="3" t="s">
        <v>1816</v>
      </c>
      <c r="BJ111" s="3" t="s">
        <v>4869</v>
      </c>
      <c r="BK111" t="str">
        <f t="shared" si="77"/>
        <v xml:space="preserve">Chloe Louise PEMBERTON (1991– </v>
      </c>
      <c r="BL111" t="str">
        <f t="shared" si="78"/>
        <v>Chloe PEMBERTON (1991– : #128a)</v>
      </c>
      <c r="BM111" t="str">
        <f t="shared" si="79"/>
        <v>Chloe Louise PEMBERTON (1991– : #128a)</v>
      </c>
      <c r="BP111" t="str">
        <f t="shared" si="80"/>
        <v>PEMBERTON</v>
      </c>
      <c r="BQ111" t="str">
        <f t="shared" si="81"/>
        <v>Chloe</v>
      </c>
      <c r="BR111" s="116" t="str">
        <f t="shared" si="82"/>
        <v>Chloe</v>
      </c>
      <c r="CO111" s="157" t="s">
        <v>1816</v>
      </c>
      <c r="CP111" s="6" t="s">
        <v>1814</v>
      </c>
      <c r="CQ111" s="5" t="s">
        <v>944</v>
      </c>
      <c r="CR111" s="5" t="s">
        <v>1436</v>
      </c>
      <c r="CS111" s="5"/>
      <c r="CT111" s="5"/>
      <c r="CU111" s="5">
        <v>1991</v>
      </c>
      <c r="CV111" s="5" t="s">
        <v>3774</v>
      </c>
      <c r="CW111" t="e">
        <f t="shared" si="91"/>
        <v>#VALUE!</v>
      </c>
    </row>
    <row r="112" spans="1:112" ht="20">
      <c r="A112" s="287">
        <f>'Loyd List 1-190 - Edit'!C112</f>
        <v>110</v>
      </c>
      <c r="B112" s="295" t="str">
        <f>VLOOKUP(A112,'Book Details - NO EDIT'!$U$3:$X$192,4,FALSE)</f>
        <v>Jean (1933–: #110)</v>
      </c>
      <c r="C112" s="287">
        <f>VLOOKUP(A112,'Loyd List 1-190 - Edit'!$P$1:$R$200,3,FALSE)</f>
        <v>80</v>
      </c>
      <c r="D112" s="287">
        <f t="shared" si="88"/>
        <v>3</v>
      </c>
      <c r="E112" s="287">
        <f t="shared" si="75"/>
        <v>1</v>
      </c>
      <c r="F112" s="269" t="str">
        <f t="shared" si="89"/>
        <v xml:space="preserve">3 – Margaret (1932–: #109)  Michael (1938–: #114) Peter (1942–: #119)     </v>
      </c>
      <c r="G112" s="125" t="str">
        <f>'Loyd Book 2022 - Print'!N112</f>
        <v xml:space="preserve">3 – Margaret (1932–: #109)  Michael (1938–: #114) Peter (1942–: #119)     </v>
      </c>
      <c r="H112" s="125">
        <f t="shared" si="87"/>
        <v>0</v>
      </c>
      <c r="I112" s="117">
        <f t="shared" si="90"/>
        <v>0</v>
      </c>
      <c r="J112" s="116" t="str">
        <f t="shared" si="98"/>
        <v>Margaret (1932–: #109)</v>
      </c>
      <c r="K112" s="116" t="str">
        <f t="shared" si="99"/>
        <v/>
      </c>
      <c r="L112" s="116" t="str">
        <f t="shared" si="99"/>
        <v>Michael (1938–: #114)</v>
      </c>
      <c r="M112" s="116" t="str">
        <f t="shared" si="99"/>
        <v>Peter (1942–: #119)</v>
      </c>
      <c r="N112" s="116"/>
      <c r="O112" s="116"/>
      <c r="P112" s="116"/>
      <c r="Q112" s="116"/>
      <c r="R112" s="116"/>
      <c r="S112" s="117"/>
      <c r="T112" s="117"/>
      <c r="U112" s="117"/>
      <c r="V112" s="117"/>
      <c r="AA112" s="124"/>
      <c r="BH112" s="116">
        <f t="shared" si="76"/>
        <v>128</v>
      </c>
      <c r="BI112" s="3" t="s">
        <v>1817</v>
      </c>
      <c r="BJ112" s="3" t="s">
        <v>4870</v>
      </c>
      <c r="BK112" t="str">
        <f t="shared" si="77"/>
        <v xml:space="preserve">Kate Isobel PEMBERTON (1993– </v>
      </c>
      <c r="BL112" t="str">
        <f t="shared" si="78"/>
        <v>Kate PEMBERTON (1993– : #128b)</v>
      </c>
      <c r="BM112" t="str">
        <f t="shared" si="79"/>
        <v>Kate Isobel PEMBERTON (1993– : #128b)</v>
      </c>
      <c r="BP112" t="str">
        <f t="shared" si="80"/>
        <v>PEMBERTON</v>
      </c>
      <c r="BQ112" t="str">
        <f t="shared" si="81"/>
        <v>Kate</v>
      </c>
      <c r="BR112" s="116" t="str">
        <f t="shared" si="82"/>
        <v>Kate</v>
      </c>
      <c r="CO112" s="157" t="s">
        <v>1817</v>
      </c>
      <c r="CP112" s="6" t="s">
        <v>1814</v>
      </c>
      <c r="CQ112" s="5" t="s">
        <v>985</v>
      </c>
      <c r="CR112" s="5" t="s">
        <v>1815</v>
      </c>
      <c r="CS112" s="5"/>
      <c r="CT112" s="5"/>
      <c r="CU112" s="5">
        <v>1993</v>
      </c>
      <c r="CV112" s="5" t="s">
        <v>3774</v>
      </c>
      <c r="CW112" t="e">
        <f t="shared" si="91"/>
        <v>#VALUE!</v>
      </c>
    </row>
    <row r="113" spans="1:101" ht="20">
      <c r="A113" s="287">
        <f>'Loyd List 1-190 - Edit'!C113</f>
        <v>111</v>
      </c>
      <c r="B113" s="295" t="str">
        <f>VLOOKUP(A113,'Book Details - NO EDIT'!$U$3:$X$192,4,FALSE)</f>
        <v>Andrew (1934–1975: #111)</v>
      </c>
      <c r="C113" s="287">
        <f>VLOOKUP(A113,'Loyd List 1-190 - Edit'!$P$1:$R$200,3,FALSE)</f>
        <v>77</v>
      </c>
      <c r="D113" s="287">
        <f t="shared" si="88"/>
        <v>3</v>
      </c>
      <c r="E113" s="287">
        <f t="shared" si="75"/>
        <v>1</v>
      </c>
      <c r="F113" s="269" t="str">
        <f t="shared" si="89"/>
        <v xml:space="preserve">3 – Peter (1922–2022: #98) Geoffrey (1926–2018: #105) Denise (1928–: #106)      </v>
      </c>
      <c r="G113" s="125" t="str">
        <f>'Loyd Book 2022 - Print'!N113</f>
        <v xml:space="preserve">3 – Peter (1922–2022: #98) Geoffrey (1926–2018: #105) Denise (1928–: #106)      </v>
      </c>
      <c r="H113" s="125">
        <f t="shared" si="87"/>
        <v>0</v>
      </c>
      <c r="I113" s="117">
        <f t="shared" si="90"/>
        <v>0</v>
      </c>
      <c r="J113" s="116" t="str">
        <f t="shared" si="98"/>
        <v>Peter (1922–2022: #98)</v>
      </c>
      <c r="K113" s="116" t="str">
        <f t="shared" si="99"/>
        <v>Geoffrey (1926–2018: #105)</v>
      </c>
      <c r="L113" s="116" t="str">
        <f t="shared" si="99"/>
        <v>Denise (1928–: #106)</v>
      </c>
      <c r="M113" s="116" t="str">
        <f t="shared" si="99"/>
        <v/>
      </c>
      <c r="N113" s="116"/>
      <c r="O113" s="116"/>
      <c r="P113" s="116"/>
      <c r="Q113" s="116"/>
      <c r="R113" s="116"/>
      <c r="S113" s="117"/>
      <c r="T113" s="117"/>
      <c r="U113" s="117"/>
      <c r="V113" s="117"/>
      <c r="AA113" s="124"/>
      <c r="BH113" s="116">
        <f t="shared" si="76"/>
        <v>137</v>
      </c>
      <c r="BI113" s="3" t="s">
        <v>1823</v>
      </c>
      <c r="BJ113" s="3" t="s">
        <v>4871</v>
      </c>
      <c r="BK113" t="str">
        <f t="shared" si="77"/>
        <v xml:space="preserve">Honor Constance Virginia GELL (1998– </v>
      </c>
      <c r="BL113" t="str">
        <f t="shared" si="78"/>
        <v>Honor GELL (1998– : #137a)</v>
      </c>
      <c r="BM113" t="str">
        <f t="shared" si="79"/>
        <v>Honor Constance Virginia GELL (1998– : #137a)</v>
      </c>
      <c r="BP113" t="str">
        <f t="shared" si="80"/>
        <v>GELL</v>
      </c>
      <c r="BQ113" t="str">
        <f t="shared" si="81"/>
        <v>Honor</v>
      </c>
      <c r="BR113" s="116" t="str">
        <f t="shared" si="82"/>
        <v>Honor</v>
      </c>
      <c r="CO113" s="157" t="s">
        <v>1823</v>
      </c>
      <c r="CP113" s="6" t="s">
        <v>1820</v>
      </c>
      <c r="CQ113" s="5" t="s">
        <v>1821</v>
      </c>
      <c r="CR113" s="5" t="s">
        <v>1822</v>
      </c>
      <c r="CS113" s="5" t="s">
        <v>845</v>
      </c>
      <c r="CT113" s="5"/>
      <c r="CU113" s="5">
        <v>1998</v>
      </c>
      <c r="CV113" s="5" t="s">
        <v>3774</v>
      </c>
      <c r="CW113" t="e">
        <f t="shared" si="91"/>
        <v>#VALUE!</v>
      </c>
    </row>
    <row r="114" spans="1:101" ht="20">
      <c r="A114" s="287">
        <f>'Loyd List 1-190 - Edit'!C114</f>
        <v>112</v>
      </c>
      <c r="B114" s="295" t="str">
        <f>VLOOKUP(A114,'Book Details - NO EDIT'!$U$3:$X$192,4,FALSE)</f>
        <v>Deen (1936–2016: #112)</v>
      </c>
      <c r="C114" s="287">
        <f>VLOOKUP(A114,'Loyd List 1-190 - Edit'!$P$1:$R$200,3,FALSE)</f>
        <v>55</v>
      </c>
      <c r="D114" s="287">
        <f t="shared" si="88"/>
        <v>4</v>
      </c>
      <c r="E114" s="287">
        <f t="shared" si="75"/>
        <v>1</v>
      </c>
      <c r="F114" s="269" t="str">
        <f t="shared" si="89"/>
        <v xml:space="preserve">4 – Jos (1931–: #108)  Peggy (1939–: #116) Patrick (1942–: #117) Patricia (1942–1942: #118)    </v>
      </c>
      <c r="G114" s="125" t="str">
        <f>'Loyd Book 2022 - Print'!N114</f>
        <v xml:space="preserve">4 – Jos (1931–: #108)  Peggy (1939–: #116) Patrick (1942–: #117) Patricia (1942–1942: #118)    </v>
      </c>
      <c r="H114" s="125">
        <f t="shared" si="87"/>
        <v>0</v>
      </c>
      <c r="I114" s="117">
        <f t="shared" si="90"/>
        <v>0</v>
      </c>
      <c r="J114" s="116" t="str">
        <f t="shared" si="98"/>
        <v>Jos (1931–: #108)</v>
      </c>
      <c r="K114" s="116" t="str">
        <f t="shared" si="99"/>
        <v/>
      </c>
      <c r="L114" s="116" t="str">
        <f t="shared" si="99"/>
        <v>Peggy (1939–: #116)</v>
      </c>
      <c r="M114" s="116" t="str">
        <f t="shared" si="99"/>
        <v>Patrick (1942–: #117)</v>
      </c>
      <c r="N114" s="116" t="str">
        <f>IF(VLOOKUP($C114,$AB$2:$AN$67,N$1,FALSE)=$A114,"",VLOOKUP(VLOOKUP($C114,$AB$2:$AN$67,N$1,FALSE),$A$1:$B$200,2,FALSE))</f>
        <v>Patricia (1942–1942: #118)</v>
      </c>
      <c r="O114" s="116"/>
      <c r="P114" s="116"/>
      <c r="Q114" s="116"/>
      <c r="R114" s="116"/>
      <c r="S114" s="117"/>
      <c r="T114" s="117"/>
      <c r="U114" s="117"/>
      <c r="V114" s="117"/>
      <c r="AA114" s="124"/>
      <c r="BH114" s="116">
        <f t="shared" si="76"/>
        <v>140</v>
      </c>
      <c r="BI114" s="3" t="s">
        <v>3265</v>
      </c>
      <c r="BJ114" s="3" t="s">
        <v>4872</v>
      </c>
      <c r="BK114" t="str">
        <f t="shared" si="77"/>
        <v xml:space="preserve">Daisy Elizabeth MILLER (1995– </v>
      </c>
      <c r="BL114" t="str">
        <f t="shared" si="78"/>
        <v>Daisy MILLER (1995– : #140a)</v>
      </c>
      <c r="BM114" t="str">
        <f t="shared" si="79"/>
        <v>Daisy Elizabeth MILLER (1995– : #140a)</v>
      </c>
      <c r="BP114" t="str">
        <f t="shared" si="80"/>
        <v>MILLER</v>
      </c>
      <c r="BQ114" t="str">
        <f t="shared" si="81"/>
        <v>Daisy</v>
      </c>
      <c r="BR114" s="116" t="str">
        <f t="shared" si="82"/>
        <v>Daisy</v>
      </c>
      <c r="CO114" s="157" t="s">
        <v>3265</v>
      </c>
      <c r="CP114" s="6" t="s">
        <v>1825</v>
      </c>
      <c r="CQ114" s="5" t="s">
        <v>946</v>
      </c>
      <c r="CR114" s="5" t="s">
        <v>952</v>
      </c>
      <c r="CS114" s="5"/>
      <c r="CT114" s="5"/>
      <c r="CU114" s="5">
        <v>1995</v>
      </c>
      <c r="CV114" s="5" t="s">
        <v>3774</v>
      </c>
      <c r="CW114" t="e">
        <f t="shared" si="91"/>
        <v>#VALUE!</v>
      </c>
    </row>
    <row r="115" spans="1:101" ht="20">
      <c r="A115" s="287">
        <f>'Loyd List 1-190 - Edit'!C115</f>
        <v>113</v>
      </c>
      <c r="B115" s="295" t="str">
        <f>VLOOKUP(A115,'Book Details - NO EDIT'!$U$3:$X$192,4,FALSE)</f>
        <v>Willie (1937–1994: #113)</v>
      </c>
      <c r="C115" s="287">
        <f>VLOOKUP(A115,'Loyd List 1-190 - Edit'!$P$1:$R$200,3,FALSE)</f>
        <v>78</v>
      </c>
      <c r="D115" s="287">
        <f t="shared" si="88"/>
        <v>3</v>
      </c>
      <c r="E115" s="287">
        <f t="shared" si="75"/>
        <v>1</v>
      </c>
      <c r="F115" s="269" t="str">
        <f t="shared" si="89"/>
        <v xml:space="preserve">3 – Belinda (1939–2018: #115) Vivian (1951–: #127) Ginie (1961–: #140)     </v>
      </c>
      <c r="G115" s="125" t="str">
        <f>'Loyd Book 2022 - Print'!N115</f>
        <v xml:space="preserve">3 – Belinda (1939–2018: #115) Vivian (1951–: #127) Ginie (1961–: #140)     </v>
      </c>
      <c r="H115" s="125">
        <f t="shared" si="87"/>
        <v>0</v>
      </c>
      <c r="I115" s="117">
        <f t="shared" si="90"/>
        <v>0</v>
      </c>
      <c r="J115" s="116" t="str">
        <f t="shared" si="98"/>
        <v/>
      </c>
      <c r="K115" s="116" t="str">
        <f t="shared" si="99"/>
        <v>Belinda (1939–2018: #115)</v>
      </c>
      <c r="L115" s="116" t="str">
        <f t="shared" si="99"/>
        <v>Vivian (1951–: #127)</v>
      </c>
      <c r="M115" s="116" t="str">
        <f t="shared" si="99"/>
        <v>Ginie (1961–: #140)</v>
      </c>
      <c r="N115" s="116"/>
      <c r="O115" s="116"/>
      <c r="P115" s="116"/>
      <c r="Q115" s="116"/>
      <c r="R115" s="116"/>
      <c r="S115" s="117"/>
      <c r="T115" s="117"/>
      <c r="U115" s="117"/>
      <c r="V115" s="117"/>
      <c r="AA115" s="124"/>
      <c r="BH115" s="116">
        <f t="shared" si="76"/>
        <v>140</v>
      </c>
      <c r="BI115" s="3" t="s">
        <v>3266</v>
      </c>
      <c r="BJ115" s="3" t="s">
        <v>4873</v>
      </c>
      <c r="BK115" t="str">
        <f t="shared" si="77"/>
        <v xml:space="preserve">Violet Emma MILLER (1995– </v>
      </c>
      <c r="BL115" t="str">
        <f t="shared" si="78"/>
        <v>Violet MILLER (1995– : #140b)</v>
      </c>
      <c r="BM115" t="str">
        <f t="shared" si="79"/>
        <v>Violet Emma MILLER (1995– : #140b)</v>
      </c>
      <c r="BP115" t="str">
        <f t="shared" si="80"/>
        <v>MILLER</v>
      </c>
      <c r="BQ115" t="str">
        <f t="shared" si="81"/>
        <v>Violet</v>
      </c>
      <c r="BR115" s="116" t="str">
        <f t="shared" si="82"/>
        <v>Violet</v>
      </c>
      <c r="CO115" s="157" t="s">
        <v>3266</v>
      </c>
      <c r="CP115" s="6" t="s">
        <v>1825</v>
      </c>
      <c r="CQ115" s="5" t="s">
        <v>1826</v>
      </c>
      <c r="CR115" s="5" t="s">
        <v>1452</v>
      </c>
      <c r="CS115" s="5"/>
      <c r="CT115" s="5"/>
      <c r="CU115" s="5">
        <v>1995</v>
      </c>
      <c r="CV115" s="5" t="s">
        <v>3774</v>
      </c>
      <c r="CW115" t="e">
        <f t="shared" si="91"/>
        <v>#VALUE!</v>
      </c>
    </row>
    <row r="116" spans="1:101" ht="35">
      <c r="A116" s="287">
        <f>'Loyd List 1-190 - Edit'!C116</f>
        <v>114</v>
      </c>
      <c r="B116" s="295" t="str">
        <f>VLOOKUP(A116,'Book Details - NO EDIT'!$U$3:$X$192,4,FALSE)</f>
        <v>Michael (1938–: #114)</v>
      </c>
      <c r="C116" s="287">
        <f>VLOOKUP(A116,'Loyd List 1-190 - Edit'!$P$1:$R$200,3,FALSE)</f>
        <v>80</v>
      </c>
      <c r="D116" s="287">
        <f t="shared" si="88"/>
        <v>3</v>
      </c>
      <c r="E116" s="287">
        <f t="shared" si="75"/>
        <v>1</v>
      </c>
      <c r="F116" s="269" t="str">
        <f t="shared" si="89"/>
        <v xml:space="preserve">3 – Margaret (1932–: #109) Jean (1933–: #110)  Peter (1942–: #119)     </v>
      </c>
      <c r="G116" s="125" t="str">
        <f>'Loyd Book 2022 - Print'!N116</f>
        <v xml:space="preserve">3 – Margaret (1932–: #109) Jean (1933–: #110)  Peter (1942–: #119)     </v>
      </c>
      <c r="H116" s="125">
        <f t="shared" si="87"/>
        <v>0</v>
      </c>
      <c r="I116" s="117">
        <f t="shared" si="90"/>
        <v>0</v>
      </c>
      <c r="J116" s="116" t="str">
        <f t="shared" si="98"/>
        <v>Margaret (1932–: #109)</v>
      </c>
      <c r="K116" s="116" t="str">
        <f t="shared" si="99"/>
        <v>Jean (1933–: #110)</v>
      </c>
      <c r="L116" s="116" t="str">
        <f t="shared" si="99"/>
        <v/>
      </c>
      <c r="M116" s="116" t="str">
        <f t="shared" si="99"/>
        <v>Peter (1942–: #119)</v>
      </c>
      <c r="N116" s="116"/>
      <c r="O116" s="116"/>
      <c r="P116" s="116"/>
      <c r="Q116" s="116"/>
      <c r="R116" s="116"/>
      <c r="S116" s="117"/>
      <c r="T116" s="117"/>
      <c r="U116" s="117"/>
      <c r="V116" s="117"/>
      <c r="AA116" s="124"/>
      <c r="BH116" s="116">
        <f t="shared" si="76"/>
        <v>141</v>
      </c>
      <c r="BI116" s="3" t="s">
        <v>1833</v>
      </c>
      <c r="BJ116" s="3" t="s">
        <v>4874</v>
      </c>
      <c r="BK116" t="str">
        <f t="shared" si="77"/>
        <v xml:space="preserve">Letitia May Rose Campbell BYATT (1996– </v>
      </c>
      <c r="BL116" t="str">
        <f t="shared" si="78"/>
        <v>Letty BYATT (1996– : #141a)</v>
      </c>
      <c r="BM116" t="str">
        <f t="shared" si="79"/>
        <v>Letitia May Rose Campbell BYATT (1996– : #141a)</v>
      </c>
      <c r="BP116" t="str">
        <f t="shared" si="80"/>
        <v>BYATT</v>
      </c>
      <c r="BQ116" t="str">
        <f t="shared" si="81"/>
        <v>Letitia</v>
      </c>
      <c r="BR116" s="116" t="str">
        <f t="shared" si="82"/>
        <v>Letty</v>
      </c>
      <c r="CO116" s="157" t="s">
        <v>1833</v>
      </c>
      <c r="CP116" s="6" t="s">
        <v>1830</v>
      </c>
      <c r="CQ116" s="5" t="s">
        <v>1665</v>
      </c>
      <c r="CR116" s="5" t="s">
        <v>800</v>
      </c>
      <c r="CS116" s="5" t="s">
        <v>3590</v>
      </c>
      <c r="CT116" s="5" t="s">
        <v>3589</v>
      </c>
      <c r="CU116" s="5">
        <v>1996</v>
      </c>
      <c r="CV116" s="5" t="s">
        <v>3774</v>
      </c>
      <c r="CW116" t="e">
        <f t="shared" si="91"/>
        <v>#VALUE!</v>
      </c>
    </row>
    <row r="117" spans="1:101" ht="35">
      <c r="A117" s="287">
        <f>'Loyd List 1-190 - Edit'!C117</f>
        <v>115</v>
      </c>
      <c r="B117" s="295" t="str">
        <f>VLOOKUP(A117,'Book Details - NO EDIT'!$U$3:$X$192,4,FALSE)</f>
        <v>Belinda (1939–2018: #115)</v>
      </c>
      <c r="C117" s="287">
        <f>VLOOKUP(A117,'Loyd List 1-190 - Edit'!$P$1:$R$200,3,FALSE)</f>
        <v>78</v>
      </c>
      <c r="D117" s="287">
        <f t="shared" si="88"/>
        <v>3</v>
      </c>
      <c r="E117" s="287">
        <f t="shared" si="75"/>
        <v>1</v>
      </c>
      <c r="F117" s="269" t="str">
        <f t="shared" si="89"/>
        <v xml:space="preserve">3 – Willie (1937–1994: #113)  Vivian (1951–: #127) Ginie (1961–: #140)     </v>
      </c>
      <c r="G117" s="125" t="str">
        <f>'Loyd Book 2022 - Print'!N117</f>
        <v xml:space="preserve">3 – Willie (1937–1994: #113)  Vivian (1951–: #127) Ginie (1961–: #140)     </v>
      </c>
      <c r="H117" s="125">
        <f t="shared" si="87"/>
        <v>0</v>
      </c>
      <c r="I117" s="117">
        <f t="shared" si="90"/>
        <v>0</v>
      </c>
      <c r="J117" s="116" t="str">
        <f t="shared" si="98"/>
        <v>Willie (1937–1994: #113)</v>
      </c>
      <c r="K117" s="116" t="str">
        <f t="shared" si="99"/>
        <v/>
      </c>
      <c r="L117" s="116" t="str">
        <f t="shared" si="99"/>
        <v>Vivian (1951–: #127)</v>
      </c>
      <c r="M117" s="116" t="str">
        <f t="shared" si="99"/>
        <v>Ginie (1961–: #140)</v>
      </c>
      <c r="N117" s="116"/>
      <c r="O117" s="116"/>
      <c r="P117" s="116"/>
      <c r="Q117" s="116"/>
      <c r="R117" s="116"/>
      <c r="S117" s="117"/>
      <c r="T117" s="117"/>
      <c r="U117" s="117"/>
      <c r="V117" s="117"/>
      <c r="AA117" s="124"/>
      <c r="BH117" s="116">
        <f t="shared" si="76"/>
        <v>141</v>
      </c>
      <c r="BI117" s="3" t="s">
        <v>1834</v>
      </c>
      <c r="BJ117" s="3" t="s">
        <v>5185</v>
      </c>
      <c r="BK117" t="str">
        <f t="shared" si="77"/>
        <v>Henry Hew Duncan Campbell BYATT (1998–2017</v>
      </c>
      <c r="BL117" t="str">
        <f t="shared" si="78"/>
        <v>Harry BYATT (1998–2017: #141b)</v>
      </c>
      <c r="BM117" t="str">
        <f t="shared" si="79"/>
        <v>Henry Hew Duncan Campbell BYATT (1998–2017: #141b)</v>
      </c>
      <c r="BP117" t="str">
        <f t="shared" si="80"/>
        <v>BYATT</v>
      </c>
      <c r="BQ117" t="str">
        <f t="shared" si="81"/>
        <v>Henry</v>
      </c>
      <c r="BR117" s="116" t="str">
        <f t="shared" si="82"/>
        <v>Harry</v>
      </c>
      <c r="CO117" s="157" t="s">
        <v>1834</v>
      </c>
      <c r="CP117" s="6" t="s">
        <v>1830</v>
      </c>
      <c r="CQ117" s="5" t="s">
        <v>807</v>
      </c>
      <c r="CR117" s="5" t="s">
        <v>1831</v>
      </c>
      <c r="CS117" s="5" t="s">
        <v>3591</v>
      </c>
      <c r="CT117" s="5" t="s">
        <v>1635</v>
      </c>
      <c r="CU117" s="5">
        <v>1998</v>
      </c>
      <c r="CV117" s="5">
        <v>2017</v>
      </c>
      <c r="CW117">
        <f t="shared" si="91"/>
        <v>19</v>
      </c>
    </row>
    <row r="118" spans="1:101" ht="20">
      <c r="A118" s="287">
        <f>'Loyd List 1-190 - Edit'!C118</f>
        <v>116</v>
      </c>
      <c r="B118" s="295" t="str">
        <f>VLOOKUP(A118,'Book Details - NO EDIT'!$U$3:$X$192,4,FALSE)</f>
        <v>Peggy (1939–: #116)</v>
      </c>
      <c r="C118" s="287">
        <f>VLOOKUP(A118,'Loyd List 1-190 - Edit'!$P$1:$R$200,3,FALSE)</f>
        <v>55</v>
      </c>
      <c r="D118" s="287">
        <f t="shared" si="88"/>
        <v>4</v>
      </c>
      <c r="E118" s="287">
        <f t="shared" si="75"/>
        <v>1</v>
      </c>
      <c r="F118" s="269" t="str">
        <f t="shared" si="89"/>
        <v xml:space="preserve">4 – Jos (1931–: #108) Deen (1936–2016: #112)  Patrick (1942–: #117) Patricia (1942–1942: #118)    </v>
      </c>
      <c r="G118" s="125" t="str">
        <f>'Loyd Book 2022 - Print'!N118</f>
        <v xml:space="preserve">4 – Jos (1931–: #108) Deen (1936–2016: #112)  Patrick (1942–: #117) Patricia (1942–1942: #118)    </v>
      </c>
      <c r="H118" s="125">
        <f t="shared" si="87"/>
        <v>0</v>
      </c>
      <c r="I118" s="117">
        <f t="shared" si="90"/>
        <v>0</v>
      </c>
      <c r="J118" s="116" t="str">
        <f t="shared" si="98"/>
        <v>Jos (1931–: #108)</v>
      </c>
      <c r="K118" s="116" t="str">
        <f t="shared" si="99"/>
        <v>Deen (1936–2016: #112)</v>
      </c>
      <c r="L118" s="116" t="str">
        <f t="shared" si="99"/>
        <v/>
      </c>
      <c r="M118" s="116" t="str">
        <f t="shared" si="99"/>
        <v>Patrick (1942–: #117)</v>
      </c>
      <c r="N118" s="116" t="str">
        <f>IF(VLOOKUP($C118,$AB$2:$AN$67,N$1,FALSE)=$A118,"",VLOOKUP(VLOOKUP($C118,$AB$2:$AN$67,N$1,FALSE),$A$1:$B$200,2,FALSE))</f>
        <v>Patricia (1942–1942: #118)</v>
      </c>
      <c r="O118" s="116"/>
      <c r="P118" s="116"/>
      <c r="Q118" s="116"/>
      <c r="R118" s="116"/>
      <c r="S118" s="117"/>
      <c r="T118" s="117"/>
      <c r="U118" s="117"/>
      <c r="V118" s="117"/>
      <c r="AA118" s="124"/>
      <c r="BH118" s="116">
        <f t="shared" si="76"/>
        <v>143</v>
      </c>
      <c r="BI118" s="3" t="s">
        <v>1838</v>
      </c>
      <c r="BJ118" s="3" t="s">
        <v>4875</v>
      </c>
      <c r="BK118" t="str">
        <f t="shared" si="77"/>
        <v xml:space="preserve">Emily Harriert ASHE (1988– </v>
      </c>
      <c r="BL118" t="str">
        <f t="shared" si="78"/>
        <v>Emily ASHE (1988– : #143a)</v>
      </c>
      <c r="BM118" t="str">
        <f t="shared" si="79"/>
        <v>Emily Harriert ASHE (1988– : #143a)</v>
      </c>
      <c r="BP118" t="str">
        <f t="shared" si="80"/>
        <v>ASHE</v>
      </c>
      <c r="BQ118" t="str">
        <f t="shared" si="81"/>
        <v>Emily</v>
      </c>
      <c r="BR118" s="116" t="str">
        <f t="shared" si="82"/>
        <v>Emily</v>
      </c>
      <c r="CO118" s="157" t="s">
        <v>1838</v>
      </c>
      <c r="CP118" s="6" t="s">
        <v>1836</v>
      </c>
      <c r="CQ118" s="5" t="s">
        <v>1380</v>
      </c>
      <c r="CR118" s="5" t="s">
        <v>1630</v>
      </c>
      <c r="CS118" s="5"/>
      <c r="CT118" s="5"/>
      <c r="CU118" s="5">
        <v>1988</v>
      </c>
      <c r="CV118" s="5" t="s">
        <v>3774</v>
      </c>
      <c r="CW118" t="e">
        <f t="shared" si="91"/>
        <v>#VALUE!</v>
      </c>
    </row>
    <row r="119" spans="1:101" ht="20">
      <c r="A119" s="287">
        <f>'Loyd List 1-190 - Edit'!C119</f>
        <v>117</v>
      </c>
      <c r="B119" s="295" t="str">
        <f>VLOOKUP(A119,'Book Details - NO EDIT'!$U$3:$X$192,4,FALSE)</f>
        <v>Patrick (1942–: #117)</v>
      </c>
      <c r="C119" s="287">
        <f>VLOOKUP(A119,'Loyd List 1-190 - Edit'!$P$1:$R$200,3,FALSE)</f>
        <v>55</v>
      </c>
      <c r="D119" s="287">
        <f t="shared" si="88"/>
        <v>4</v>
      </c>
      <c r="E119" s="287">
        <f t="shared" si="75"/>
        <v>1</v>
      </c>
      <c r="F119" s="269" t="str">
        <f t="shared" si="89"/>
        <v xml:space="preserve">4 – Jos (1931–: #108) Deen (1936–2016: #112) Peggy (1939–: #116)  Patricia (1942–1942: #118)    </v>
      </c>
      <c r="G119" s="125" t="str">
        <f>'Loyd Book 2022 - Print'!N119</f>
        <v xml:space="preserve">4 – Jos (1931–: #108) Deen (1936–2016: #112) Peggy (1939–: #116)  Patricia (1942–1942: #118)    </v>
      </c>
      <c r="H119" s="125">
        <f t="shared" si="87"/>
        <v>0</v>
      </c>
      <c r="I119" s="117">
        <f t="shared" si="90"/>
        <v>0</v>
      </c>
      <c r="J119" s="116" t="str">
        <f t="shared" si="98"/>
        <v>Jos (1931–: #108)</v>
      </c>
      <c r="K119" s="116" t="str">
        <f t="shared" si="99"/>
        <v>Deen (1936–2016: #112)</v>
      </c>
      <c r="L119" s="116" t="str">
        <f t="shared" si="99"/>
        <v>Peggy (1939–: #116)</v>
      </c>
      <c r="M119" s="116" t="str">
        <f t="shared" si="99"/>
        <v/>
      </c>
      <c r="N119" s="116" t="str">
        <f>IF(VLOOKUP($C119,$AB$2:$AN$67,N$1,FALSE)=$A119,"",VLOOKUP(VLOOKUP($C119,$AB$2:$AN$67,N$1,FALSE),$A$1:$B$200,2,FALSE))</f>
        <v>Patricia (1942–1942: #118)</v>
      </c>
      <c r="O119" s="116"/>
      <c r="P119" s="116"/>
      <c r="Q119" s="116"/>
      <c r="R119" s="116"/>
      <c r="S119" s="117"/>
      <c r="T119" s="117"/>
      <c r="U119" s="117"/>
      <c r="V119" s="117"/>
      <c r="AA119" s="124"/>
      <c r="BH119" s="116">
        <f t="shared" si="76"/>
        <v>143</v>
      </c>
      <c r="BI119" s="3" t="s">
        <v>1839</v>
      </c>
      <c r="BJ119" s="3" t="s">
        <v>4876</v>
      </c>
      <c r="BK119" t="str">
        <f t="shared" si="77"/>
        <v xml:space="preserve">Charles Windham ASHE (1990– </v>
      </c>
      <c r="BL119" t="str">
        <f t="shared" si="78"/>
        <v>Charles ASHE (1990– : #143b)</v>
      </c>
      <c r="BM119" t="str">
        <f t="shared" si="79"/>
        <v>Charles Windham ASHE (1990– : #143b)</v>
      </c>
      <c r="BP119" t="str">
        <f t="shared" si="80"/>
        <v>ASHE</v>
      </c>
      <c r="BQ119" t="str">
        <f t="shared" si="81"/>
        <v>Charles</v>
      </c>
      <c r="BR119" s="116" t="str">
        <f t="shared" si="82"/>
        <v>Charles</v>
      </c>
      <c r="CO119" s="157" t="s">
        <v>1839</v>
      </c>
      <c r="CP119" s="6" t="s">
        <v>1836</v>
      </c>
      <c r="CQ119" s="5" t="s">
        <v>917</v>
      </c>
      <c r="CR119" s="5" t="s">
        <v>1837</v>
      </c>
      <c r="CS119" s="5"/>
      <c r="CT119" s="5"/>
      <c r="CU119" s="5">
        <v>1990</v>
      </c>
      <c r="CV119" s="5" t="s">
        <v>3774</v>
      </c>
      <c r="CW119" t="e">
        <f t="shared" si="91"/>
        <v>#VALUE!</v>
      </c>
    </row>
    <row r="120" spans="1:101" ht="20">
      <c r="A120" s="287">
        <f>'Loyd List 1-190 - Edit'!C120</f>
        <v>118</v>
      </c>
      <c r="B120" s="295" t="str">
        <f>VLOOKUP(A120,'Book Details - NO EDIT'!$U$3:$X$192,4,FALSE)</f>
        <v>Patricia (1942–1942: #118)</v>
      </c>
      <c r="C120" s="287">
        <f>VLOOKUP(A120,'Loyd List 1-190 - Edit'!$P$1:$R$200,3,FALSE)</f>
        <v>55</v>
      </c>
      <c r="D120" s="287">
        <f t="shared" si="88"/>
        <v>4</v>
      </c>
      <c r="E120" s="287">
        <f t="shared" si="75"/>
        <v>1</v>
      </c>
      <c r="F120" s="269" t="str">
        <f t="shared" si="89"/>
        <v xml:space="preserve">4 – Jos (1931–: #108) Deen (1936–2016: #112) Peggy (1939–: #116) Patrick (1942–: #117)     </v>
      </c>
      <c r="G120" s="125" t="str">
        <f>'Loyd Book 2022 - Print'!N120</f>
        <v xml:space="preserve">4 – Jos (1931–: #108) Deen (1936–2016: #112) Peggy (1939–: #116) Patrick (1942–: #117)     </v>
      </c>
      <c r="H120" s="125">
        <f t="shared" si="87"/>
        <v>0</v>
      </c>
      <c r="I120" s="117">
        <f t="shared" si="90"/>
        <v>0</v>
      </c>
      <c r="J120" s="116" t="str">
        <f t="shared" si="98"/>
        <v>Jos (1931–: #108)</v>
      </c>
      <c r="K120" s="116" t="str">
        <f t="shared" si="99"/>
        <v>Deen (1936–2016: #112)</v>
      </c>
      <c r="L120" s="116" t="str">
        <f t="shared" si="99"/>
        <v>Peggy (1939–: #116)</v>
      </c>
      <c r="M120" s="116" t="str">
        <f t="shared" si="99"/>
        <v>Patrick (1942–: #117)</v>
      </c>
      <c r="N120" s="116" t="str">
        <f>IF(VLOOKUP($C120,$AB$2:$AN$67,N$1,FALSE)=$A120,"",VLOOKUP(VLOOKUP($C120,$AB$2:$AN$67,N$1,FALSE),$A$1:$B$200,2,FALSE))</f>
        <v/>
      </c>
      <c r="O120" s="116"/>
      <c r="P120" s="116"/>
      <c r="Q120" s="116"/>
      <c r="R120" s="116"/>
      <c r="S120" s="117"/>
      <c r="T120" s="117"/>
      <c r="U120" s="117"/>
      <c r="V120" s="117"/>
      <c r="AA120" s="124"/>
      <c r="BH120" s="116">
        <f t="shared" si="76"/>
        <v>152</v>
      </c>
      <c r="BI120" s="3" t="s">
        <v>1842</v>
      </c>
      <c r="BJ120" s="3" t="s">
        <v>4877</v>
      </c>
      <c r="BK120" t="str">
        <f t="shared" si="77"/>
        <v xml:space="preserve">Clementine WHITCOMB (1999– </v>
      </c>
      <c r="BL120" t="str">
        <f t="shared" si="78"/>
        <v>Clementine WHITCOMB (1999– : #152a)</v>
      </c>
      <c r="BM120" t="str">
        <f t="shared" si="79"/>
        <v>Clementine WHITCOMB (1999– : #152a)</v>
      </c>
      <c r="BP120" t="str">
        <f t="shared" si="80"/>
        <v>WHITCOMB</v>
      </c>
      <c r="BQ120" t="str">
        <f t="shared" si="81"/>
        <v>Clementine</v>
      </c>
      <c r="BR120" s="116" t="str">
        <f t="shared" si="82"/>
        <v>Clementine</v>
      </c>
      <c r="CO120" s="157" t="s">
        <v>1842</v>
      </c>
      <c r="CP120" s="6" t="s">
        <v>1841</v>
      </c>
      <c r="CQ120" s="5" t="s">
        <v>1595</v>
      </c>
      <c r="CR120" s="5"/>
      <c r="CS120" s="5"/>
      <c r="CT120" s="5"/>
      <c r="CU120" s="5">
        <v>1999</v>
      </c>
      <c r="CV120" s="5" t="s">
        <v>3774</v>
      </c>
      <c r="CW120" t="e">
        <f t="shared" si="91"/>
        <v>#VALUE!</v>
      </c>
    </row>
    <row r="121" spans="1:101" ht="20">
      <c r="A121" s="287">
        <f>'Loyd List 1-190 - Edit'!C121</f>
        <v>119</v>
      </c>
      <c r="B121" s="295" t="str">
        <f>VLOOKUP(A121,'Book Details - NO EDIT'!$U$3:$X$192,4,FALSE)</f>
        <v>Peter (1942–: #119)</v>
      </c>
      <c r="C121" s="287">
        <f>VLOOKUP(A121,'Loyd List 1-190 - Edit'!$P$1:$R$200,3,FALSE)</f>
        <v>80</v>
      </c>
      <c r="D121" s="287">
        <f t="shared" si="88"/>
        <v>3</v>
      </c>
      <c r="E121" s="287">
        <f t="shared" si="75"/>
        <v>1</v>
      </c>
      <c r="F121" s="269" t="str">
        <f t="shared" si="89"/>
        <v xml:space="preserve">3 – Margaret (1932–: #109) Jean (1933–: #110) Michael (1938–: #114)      </v>
      </c>
      <c r="G121" s="125" t="str">
        <f>'Loyd Book 2022 - Print'!N121</f>
        <v xml:space="preserve">3 – Margaret (1932–: #109) Jean (1933–: #110) Michael (1938–: #114)      </v>
      </c>
      <c r="H121" s="125">
        <f t="shared" si="87"/>
        <v>0</v>
      </c>
      <c r="I121" s="117">
        <f t="shared" si="90"/>
        <v>0</v>
      </c>
      <c r="J121" s="116" t="str">
        <f t="shared" si="98"/>
        <v>Margaret (1932–: #109)</v>
      </c>
      <c r="K121" s="116" t="str">
        <f t="shared" si="99"/>
        <v>Jean (1933–: #110)</v>
      </c>
      <c r="L121" s="116" t="str">
        <f t="shared" si="99"/>
        <v>Michael (1938–: #114)</v>
      </c>
      <c r="M121" s="116" t="str">
        <f t="shared" si="99"/>
        <v/>
      </c>
      <c r="N121" s="116"/>
      <c r="O121" s="116"/>
      <c r="P121" s="116"/>
      <c r="Q121" s="116"/>
      <c r="R121" s="116"/>
      <c r="S121" s="117"/>
      <c r="T121" s="117"/>
      <c r="U121" s="117"/>
      <c r="V121" s="117"/>
      <c r="AA121" s="124"/>
      <c r="BH121" s="116">
        <f t="shared" si="76"/>
        <v>152</v>
      </c>
      <c r="BI121" s="3" t="s">
        <v>3055</v>
      </c>
      <c r="BJ121" s="3" t="s">
        <v>4878</v>
      </c>
      <c r="BK121" t="str">
        <f t="shared" si="77"/>
        <v xml:space="preserve">Augustin WHITCOMB (2001– </v>
      </c>
      <c r="BL121" t="str">
        <f t="shared" si="78"/>
        <v>Augustin WHITCOMB (2001– : #152b)</v>
      </c>
      <c r="BM121" t="str">
        <f t="shared" si="79"/>
        <v>Augustin WHITCOMB (2001– : #152b)</v>
      </c>
      <c r="BP121" t="str">
        <f t="shared" si="80"/>
        <v>WHITCOMB</v>
      </c>
      <c r="BQ121" t="str">
        <f t="shared" si="81"/>
        <v>Augustin</v>
      </c>
      <c r="BR121" s="116" t="str">
        <f t="shared" si="82"/>
        <v>Augustin</v>
      </c>
      <c r="CO121" s="184" t="s">
        <v>3055</v>
      </c>
      <c r="CP121" s="161" t="s">
        <v>1841</v>
      </c>
      <c r="CQ121" s="137" t="s">
        <v>3764</v>
      </c>
      <c r="CR121" s="137"/>
      <c r="CS121" s="137"/>
      <c r="CT121" s="137"/>
      <c r="CU121" s="137">
        <v>2001</v>
      </c>
      <c r="CV121" s="137" t="s">
        <v>3774</v>
      </c>
      <c r="CW121" t="e">
        <f t="shared" si="91"/>
        <v>#VALUE!</v>
      </c>
    </row>
    <row r="122" spans="1:101" ht="20">
      <c r="A122" s="287">
        <f>'Loyd List 1-190 - Edit'!C122</f>
        <v>120</v>
      </c>
      <c r="B122" s="295" t="str">
        <f>VLOOKUP(A122,'Book Details - NO EDIT'!$U$3:$X$192,4,FALSE)</f>
        <v>Caroline (1947–2022: #120)</v>
      </c>
      <c r="C122" s="287">
        <f>VLOOKUP(A122,'Loyd List 1-190 - Edit'!$P$1:$R$200,3,FALSE)</f>
        <v>96</v>
      </c>
      <c r="D122" s="287">
        <f t="shared" si="88"/>
        <v>1</v>
      </c>
      <c r="E122" s="287">
        <f t="shared" si="75"/>
        <v>1</v>
      </c>
      <c r="F122" s="269" t="str">
        <f t="shared" si="89"/>
        <v xml:space="preserve">1 – David (1949–: #121)       </v>
      </c>
      <c r="G122" s="125" t="str">
        <f>'Loyd Book 2022 - Print'!N122</f>
        <v xml:space="preserve">1 – David (1949–: #121)       </v>
      </c>
      <c r="H122" s="125">
        <f t="shared" si="87"/>
        <v>0</v>
      </c>
      <c r="I122" s="117">
        <f t="shared" si="90"/>
        <v>0</v>
      </c>
      <c r="J122" s="116" t="str">
        <f t="shared" si="98"/>
        <v/>
      </c>
      <c r="K122" s="116" t="str">
        <f t="shared" ref="K122:K150" si="100">IF(VLOOKUP($C122,$AB$2:$AN$67,K$1,FALSE)=$A122,"",VLOOKUP(VLOOKUP($C122,$AB$2:$AN$67,K$1,FALSE),$A$1:$B$200,2,FALSE))</f>
        <v>David (1949–: #121)</v>
      </c>
      <c r="L122" s="116"/>
      <c r="M122" s="116"/>
      <c r="N122" s="116"/>
      <c r="O122" s="116"/>
      <c r="P122" s="116"/>
      <c r="Q122" s="116"/>
      <c r="R122" s="116"/>
      <c r="S122" s="117"/>
      <c r="T122" s="117"/>
      <c r="U122" s="117"/>
      <c r="V122" s="117"/>
      <c r="AA122" s="124"/>
      <c r="BH122" s="116">
        <f t="shared" si="76"/>
        <v>154</v>
      </c>
      <c r="BI122" s="3" t="s">
        <v>3056</v>
      </c>
      <c r="BJ122" s="3" t="s">
        <v>4879</v>
      </c>
      <c r="BK122" t="str">
        <f t="shared" si="77"/>
        <v xml:space="preserve">Frederick Otto NEWING (2006– </v>
      </c>
      <c r="BL122" t="str">
        <f t="shared" si="78"/>
        <v>Freddie NEWING (2006– : #154a)</v>
      </c>
      <c r="BM122" t="str">
        <f t="shared" si="79"/>
        <v>Frederick Otto NEWING (2006– : #154a)</v>
      </c>
      <c r="BP122" t="str">
        <f t="shared" si="80"/>
        <v>NEWING</v>
      </c>
      <c r="BQ122" t="str">
        <f t="shared" si="81"/>
        <v>Frederick</v>
      </c>
      <c r="BR122" s="116" t="str">
        <f t="shared" si="82"/>
        <v>Freddie</v>
      </c>
      <c r="CO122" s="184" t="s">
        <v>3056</v>
      </c>
      <c r="CP122" s="161" t="s">
        <v>3057</v>
      </c>
      <c r="CQ122" s="137" t="s">
        <v>1632</v>
      </c>
      <c r="CR122" s="137" t="s">
        <v>3058</v>
      </c>
      <c r="CS122" s="137"/>
      <c r="CT122" s="137" t="s">
        <v>3059</v>
      </c>
      <c r="CU122" s="137">
        <v>2006</v>
      </c>
      <c r="CV122" s="137" t="s">
        <v>3774</v>
      </c>
      <c r="CW122" t="e">
        <f t="shared" si="91"/>
        <v>#VALUE!</v>
      </c>
    </row>
    <row r="123" spans="1:101" ht="20">
      <c r="A123" s="287">
        <f>'Loyd List 1-190 - Edit'!C123</f>
        <v>121</v>
      </c>
      <c r="B123" s="295" t="str">
        <f>VLOOKUP(A123,'Book Details - NO EDIT'!$U$3:$X$192,4,FALSE)</f>
        <v>David (1949–: #121)</v>
      </c>
      <c r="C123" s="287">
        <f>VLOOKUP(A123,'Loyd List 1-190 - Edit'!$P$1:$R$200,3,FALSE)</f>
        <v>96</v>
      </c>
      <c r="D123" s="287">
        <f t="shared" si="88"/>
        <v>1</v>
      </c>
      <c r="E123" s="287">
        <f t="shared" si="75"/>
        <v>1</v>
      </c>
      <c r="F123" s="269" t="str">
        <f t="shared" si="89"/>
        <v xml:space="preserve">1 – Caroline (1947–2022: #120)        </v>
      </c>
      <c r="G123" s="125" t="str">
        <f>'Loyd Book 2022 - Print'!N123</f>
        <v xml:space="preserve">1 – Caroline (1947–2022: #120)        </v>
      </c>
      <c r="H123" s="125">
        <f t="shared" si="87"/>
        <v>0</v>
      </c>
      <c r="I123" s="117">
        <f t="shared" si="90"/>
        <v>0</v>
      </c>
      <c r="J123" s="116" t="str">
        <f t="shared" si="98"/>
        <v>Caroline (1947–2022: #120)</v>
      </c>
      <c r="K123" s="116" t="str">
        <f t="shared" si="100"/>
        <v/>
      </c>
      <c r="L123" s="116"/>
      <c r="M123" s="116"/>
      <c r="N123" s="116"/>
      <c r="O123" s="116"/>
      <c r="P123" s="116"/>
      <c r="Q123" s="116"/>
      <c r="R123" s="116"/>
      <c r="S123" s="117"/>
      <c r="T123" s="117"/>
      <c r="U123" s="117"/>
      <c r="V123" s="117"/>
      <c r="AA123" s="124"/>
      <c r="BH123" s="116">
        <f t="shared" si="76"/>
        <v>154</v>
      </c>
      <c r="BI123" s="3" t="s">
        <v>3060</v>
      </c>
      <c r="BJ123" s="3" t="s">
        <v>4880</v>
      </c>
      <c r="BK123" t="str">
        <f t="shared" si="77"/>
        <v xml:space="preserve">Henry Augustus NEWING (2008– </v>
      </c>
      <c r="BL123" t="str">
        <f t="shared" si="78"/>
        <v>Gus NEWING (2008– : #154b)</v>
      </c>
      <c r="BM123" t="str">
        <f t="shared" si="79"/>
        <v>Henry Augustus NEWING (2008– : #154b)</v>
      </c>
      <c r="BP123" t="str">
        <f t="shared" si="80"/>
        <v>NEWING</v>
      </c>
      <c r="BQ123" t="str">
        <f t="shared" si="81"/>
        <v>Henry</v>
      </c>
      <c r="BR123" s="116" t="str">
        <f t="shared" si="82"/>
        <v>Gus</v>
      </c>
      <c r="CO123" s="184" t="s">
        <v>3060</v>
      </c>
      <c r="CP123" s="161" t="s">
        <v>3057</v>
      </c>
      <c r="CQ123" s="137" t="s">
        <v>807</v>
      </c>
      <c r="CR123" s="137" t="s">
        <v>3062</v>
      </c>
      <c r="CS123" s="137"/>
      <c r="CT123" s="137" t="s">
        <v>3063</v>
      </c>
      <c r="CU123" s="137">
        <v>2008</v>
      </c>
      <c r="CV123" s="137" t="s">
        <v>3774</v>
      </c>
      <c r="CW123" t="e">
        <f t="shared" si="91"/>
        <v>#VALUE!</v>
      </c>
    </row>
    <row r="124" spans="1:101" ht="20">
      <c r="A124" s="287">
        <f>'Loyd List 1-190 - Edit'!C124</f>
        <v>122</v>
      </c>
      <c r="B124" s="295" t="str">
        <f>VLOOKUP(A124,'Book Details - NO EDIT'!$U$3:$X$192,4,FALSE)</f>
        <v>Martin (1949–: #122)</v>
      </c>
      <c r="C124" s="287">
        <f>VLOOKUP(A124,'Loyd List 1-190 - Edit'!$P$1:$R$200,3,FALSE)</f>
        <v>105</v>
      </c>
      <c r="D124" s="287">
        <f t="shared" si="88"/>
        <v>1</v>
      </c>
      <c r="E124" s="287">
        <f t="shared" si="75"/>
        <v>1</v>
      </c>
      <c r="F124" s="269" t="str">
        <f t="shared" si="89"/>
        <v xml:space="preserve">1 – Jeremy (1954–: #133)       </v>
      </c>
      <c r="G124" s="125" t="str">
        <f>'Loyd Book 2022 - Print'!N124</f>
        <v xml:space="preserve">1 – Jeremy (1954–: #133)       </v>
      </c>
      <c r="H124" s="125">
        <f t="shared" si="87"/>
        <v>0</v>
      </c>
      <c r="I124" s="117">
        <f t="shared" si="90"/>
        <v>0</v>
      </c>
      <c r="J124" s="116" t="str">
        <f t="shared" si="98"/>
        <v/>
      </c>
      <c r="K124" s="116" t="str">
        <f t="shared" si="100"/>
        <v>Jeremy (1954–: #133)</v>
      </c>
      <c r="L124" s="116"/>
      <c r="M124" s="116"/>
      <c r="N124" s="116"/>
      <c r="O124" s="116"/>
      <c r="P124" s="116"/>
      <c r="Q124" s="116"/>
      <c r="R124" s="116"/>
      <c r="S124" s="117"/>
      <c r="T124" s="117"/>
      <c r="U124" s="117"/>
      <c r="V124" s="117"/>
      <c r="AA124" s="124"/>
      <c r="BH124" s="116">
        <f t="shared" si="76"/>
        <v>154</v>
      </c>
      <c r="BI124" s="3" t="s">
        <v>3061</v>
      </c>
      <c r="BJ124" s="3" t="s">
        <v>5186</v>
      </c>
      <c r="BK124" t="str">
        <f t="shared" si="77"/>
        <v>Albert NEWING (2015–2015</v>
      </c>
      <c r="BL124" t="str">
        <f t="shared" si="78"/>
        <v>Albert NEWING (2015–2015: #154c)</v>
      </c>
      <c r="BM124" t="str">
        <f t="shared" si="79"/>
        <v>Albert NEWING (2015–2015: #154c)</v>
      </c>
      <c r="BP124" t="str">
        <f t="shared" si="80"/>
        <v>NEWING</v>
      </c>
      <c r="BQ124" t="str">
        <f t="shared" si="81"/>
        <v>Albert</v>
      </c>
      <c r="BR124" s="116" t="str">
        <f t="shared" si="82"/>
        <v>Albert</v>
      </c>
      <c r="CO124" s="184" t="s">
        <v>3061</v>
      </c>
      <c r="CP124" s="161" t="s">
        <v>3057</v>
      </c>
      <c r="CQ124" s="137" t="s">
        <v>3064</v>
      </c>
      <c r="CR124" s="137"/>
      <c r="CS124" s="137"/>
      <c r="CT124" s="137"/>
      <c r="CU124" s="137">
        <v>2015</v>
      </c>
      <c r="CV124" s="137">
        <v>2015</v>
      </c>
      <c r="CW124">
        <f t="shared" si="91"/>
        <v>0</v>
      </c>
    </row>
    <row r="125" spans="1:101" ht="20">
      <c r="A125" s="287">
        <f>'Loyd List 1-190 - Edit'!C125</f>
        <v>123</v>
      </c>
      <c r="B125" s="295" t="str">
        <f>VLOOKUP(A125,'Book Details - NO EDIT'!$U$3:$X$192,4,FALSE)</f>
        <v>Janet (1949–: #123)</v>
      </c>
      <c r="C125" s="287">
        <f>VLOOKUP(A125,'Loyd List 1-190 - Edit'!$P$1:$R$200,3,FALSE)</f>
        <v>89</v>
      </c>
      <c r="D125" s="287">
        <f t="shared" si="88"/>
        <v>1</v>
      </c>
      <c r="E125" s="287">
        <f t="shared" si="75"/>
        <v>1</v>
      </c>
      <c r="F125" s="269" t="str">
        <f t="shared" si="89"/>
        <v xml:space="preserve">1 – Diana (1952–: #129)       </v>
      </c>
      <c r="G125" s="125" t="str">
        <f>'Loyd Book 2022 - Print'!N125</f>
        <v xml:space="preserve">1 – Diana (1952–: #129)       </v>
      </c>
      <c r="H125" s="125">
        <f t="shared" si="87"/>
        <v>0</v>
      </c>
      <c r="I125" s="117">
        <f t="shared" si="90"/>
        <v>0</v>
      </c>
      <c r="J125" s="116" t="str">
        <f t="shared" si="98"/>
        <v/>
      </c>
      <c r="K125" s="116" t="str">
        <f t="shared" si="100"/>
        <v>Diana (1952–: #129)</v>
      </c>
      <c r="L125" s="116"/>
      <c r="M125" s="116"/>
      <c r="N125" s="116"/>
      <c r="O125" s="116"/>
      <c r="P125" s="116"/>
      <c r="Q125" s="116"/>
      <c r="R125" s="116"/>
      <c r="S125" s="117"/>
      <c r="T125" s="117"/>
      <c r="U125" s="117"/>
      <c r="V125" s="117"/>
      <c r="AA125" s="124"/>
      <c r="BH125" s="116">
        <f t="shared" si="76"/>
        <v>156</v>
      </c>
      <c r="BI125" s="3" t="s">
        <v>3067</v>
      </c>
      <c r="BJ125" s="3" t="s">
        <v>4881</v>
      </c>
      <c r="BK125" t="str">
        <f t="shared" si="77"/>
        <v xml:space="preserve">Michael Peter GRINDAL (2014– </v>
      </c>
      <c r="BL125" t="str">
        <f t="shared" si="78"/>
        <v>Peter GRINDAL (2014– : #156a)</v>
      </c>
      <c r="BM125" t="str">
        <f t="shared" si="79"/>
        <v>Michael Peter GRINDAL (2014– : #156a)</v>
      </c>
      <c r="BP125" t="str">
        <f t="shared" si="80"/>
        <v>GRINDAL</v>
      </c>
      <c r="BQ125" t="str">
        <f t="shared" si="81"/>
        <v>Michael</v>
      </c>
      <c r="BR125" s="116" t="str">
        <f t="shared" si="82"/>
        <v>Peter</v>
      </c>
      <c r="CO125" s="184" t="s">
        <v>3067</v>
      </c>
      <c r="CP125" s="161" t="s">
        <v>3068</v>
      </c>
      <c r="CQ125" s="137" t="s">
        <v>891</v>
      </c>
      <c r="CR125" s="137" t="s">
        <v>865</v>
      </c>
      <c r="CS125" s="137"/>
      <c r="CT125" s="137" t="s">
        <v>865</v>
      </c>
      <c r="CU125" s="137">
        <v>2014</v>
      </c>
      <c r="CV125" s="137" t="s">
        <v>3774</v>
      </c>
      <c r="CW125" t="e">
        <f t="shared" si="91"/>
        <v>#VALUE!</v>
      </c>
    </row>
    <row r="126" spans="1:101" ht="20">
      <c r="A126" s="287">
        <f>'Loyd List 1-190 - Edit'!C126</f>
        <v>124</v>
      </c>
      <c r="B126" s="295" t="str">
        <f>VLOOKUP(A126,'Book Details - NO EDIT'!$U$3:$X$192,4,FALSE)</f>
        <v>Rob (1949–: #124)</v>
      </c>
      <c r="C126" s="287">
        <f>VLOOKUP(A126,'Loyd List 1-190 - Edit'!$P$1:$R$200,3,FALSE)</f>
        <v>94</v>
      </c>
      <c r="D126" s="287">
        <f t="shared" si="88"/>
        <v>5</v>
      </c>
      <c r="E126" s="287">
        <f t="shared" si="75"/>
        <v>1</v>
      </c>
      <c r="F126" s="269" t="str">
        <f t="shared" si="89"/>
        <v xml:space="preserve">5 – Paddy (1951–: #126) Dominic (1953–: #131) Tim (1957–: #136) Alex (1959–: #139) Rick (1962–: #142)   </v>
      </c>
      <c r="G126" s="125" t="str">
        <f>'Loyd Book 2022 - Print'!N126</f>
        <v xml:space="preserve">5 – Paddy (1951–: #126) Dominic (1953–: #131) Tim (1957–: #136) Alex (1959–: #139) Rick (1962–: #142)   </v>
      </c>
      <c r="H126" s="125">
        <f t="shared" si="87"/>
        <v>0</v>
      </c>
      <c r="I126" s="117">
        <f t="shared" si="90"/>
        <v>0</v>
      </c>
      <c r="J126" s="116" t="str">
        <f t="shared" si="98"/>
        <v/>
      </c>
      <c r="K126" s="116" t="str">
        <f t="shared" si="100"/>
        <v>Paddy (1951–: #126)</v>
      </c>
      <c r="L126" s="116" t="str">
        <f>IF(VLOOKUP($C126,$AB$2:$AN$67,L$1,FALSE)=$A126,"",VLOOKUP(VLOOKUP($C126,$AB$2:$AN$67,L$1,FALSE),$A$1:$B$200,2,FALSE))</f>
        <v>Dominic (1953–: #131)</v>
      </c>
      <c r="M126" s="116" t="str">
        <f>IF(VLOOKUP($C126,$AB$2:$AN$67,M$1,FALSE)=$A126,"",VLOOKUP(VLOOKUP($C126,$AB$2:$AN$67,M$1,FALSE),$A$1:$B$200,2,FALSE))</f>
        <v>Tim (1957–: #136)</v>
      </c>
      <c r="N126" s="116" t="str">
        <f>IF(VLOOKUP($C126,$AB$2:$AN$67,N$1,FALSE)=$A126,"",VLOOKUP(VLOOKUP($C126,$AB$2:$AN$67,N$1,FALSE),$A$1:$B$200,2,FALSE))</f>
        <v>Alex (1959–: #139)</v>
      </c>
      <c r="O126" s="116" t="str">
        <f>IF(VLOOKUP($C126,$AB$2:$AN$67,O$1,FALSE)=$A126,"",VLOOKUP(VLOOKUP($C126,$AB$2:$AN$67,O$1,FALSE),$A$1:$B$200,2,FALSE))</f>
        <v>Rick (1962–: #142)</v>
      </c>
      <c r="P126" s="116"/>
      <c r="Q126" s="116"/>
      <c r="R126" s="116"/>
      <c r="S126" s="117"/>
      <c r="T126" s="117"/>
      <c r="U126" s="117"/>
      <c r="V126" s="117"/>
      <c r="AA126" s="124"/>
      <c r="BH126" s="116">
        <f t="shared" si="76"/>
        <v>156</v>
      </c>
      <c r="BI126" s="3" t="s">
        <v>3069</v>
      </c>
      <c r="BJ126" s="3" t="s">
        <v>4882</v>
      </c>
      <c r="BK126" t="str">
        <f t="shared" si="77"/>
        <v xml:space="preserve">Dorothy Mary Jennifer GRINDAL (2016– </v>
      </c>
      <c r="BL126" t="str">
        <f t="shared" si="78"/>
        <v>Dorothy GRINDAL (2016– : #156b)</v>
      </c>
      <c r="BM126" t="str">
        <f t="shared" si="79"/>
        <v>Dorothy Mary Jennifer GRINDAL (2016– : #156b)</v>
      </c>
      <c r="BP126" t="str">
        <f t="shared" si="80"/>
        <v>GRINDAL</v>
      </c>
      <c r="BQ126" t="str">
        <f t="shared" si="81"/>
        <v>Dorothy</v>
      </c>
      <c r="BR126" s="116" t="str">
        <f t="shared" si="82"/>
        <v>Dorothy</v>
      </c>
      <c r="CO126" s="184" t="s">
        <v>3069</v>
      </c>
      <c r="CP126" s="161" t="s">
        <v>3068</v>
      </c>
      <c r="CQ126" s="137" t="s">
        <v>2090</v>
      </c>
      <c r="CR126" s="137" t="s">
        <v>870</v>
      </c>
      <c r="CS126" s="137" t="s">
        <v>2080</v>
      </c>
      <c r="CT126" s="137"/>
      <c r="CU126" s="137">
        <v>2016</v>
      </c>
      <c r="CV126" s="137" t="s">
        <v>3774</v>
      </c>
      <c r="CW126" t="e">
        <f t="shared" si="91"/>
        <v>#VALUE!</v>
      </c>
    </row>
    <row r="127" spans="1:101" ht="20">
      <c r="A127" s="287">
        <f>'Loyd List 1-190 - Edit'!C127</f>
        <v>125</v>
      </c>
      <c r="B127" s="295" t="str">
        <f>VLOOKUP(A127,'Book Details - NO EDIT'!$U$3:$X$192,4,FALSE)</f>
        <v>Rona (1951–: #125)</v>
      </c>
      <c r="C127" s="287">
        <f>VLOOKUP(A127,'Loyd List 1-190 - Edit'!$P$1:$R$200,3,FALSE)</f>
        <v>86</v>
      </c>
      <c r="D127" s="287">
        <f t="shared" si="88"/>
        <v>2</v>
      </c>
      <c r="E127" s="287">
        <f t="shared" si="75"/>
        <v>1</v>
      </c>
      <c r="F127" s="269" t="str">
        <f t="shared" si="89"/>
        <v xml:space="preserve">2 – David (1952–: #130) Jim (1955–: #135)      </v>
      </c>
      <c r="G127" s="125" t="str">
        <f>'Loyd Book 2022 - Print'!N127</f>
        <v xml:space="preserve">2 – David (1952–: #130) Jim (1955–: #135)      </v>
      </c>
      <c r="H127" s="125">
        <f t="shared" si="87"/>
        <v>0</v>
      </c>
      <c r="I127" s="117">
        <f t="shared" si="90"/>
        <v>0</v>
      </c>
      <c r="J127" s="116" t="str">
        <f t="shared" si="98"/>
        <v/>
      </c>
      <c r="K127" s="116" t="str">
        <f t="shared" si="100"/>
        <v>David (1952–: #130)</v>
      </c>
      <c r="L127" s="116" t="str">
        <f>IF(VLOOKUP($C127,$AB$2:$AN$67,L$1,FALSE)=$A127,"",VLOOKUP(VLOOKUP($C127,$AB$2:$AN$67,L$1,FALSE),$A$1:$B$200,2,FALSE))</f>
        <v>Jim (1955–: #135)</v>
      </c>
      <c r="M127" s="116"/>
      <c r="N127" s="116"/>
      <c r="O127" s="116"/>
      <c r="P127" s="116"/>
      <c r="Q127" s="116"/>
      <c r="R127" s="116"/>
      <c r="S127" s="117"/>
      <c r="T127" s="117"/>
      <c r="U127" s="117"/>
      <c r="V127" s="117"/>
      <c r="AA127" s="124"/>
      <c r="BH127" s="116">
        <f t="shared" si="76"/>
        <v>157</v>
      </c>
      <c r="BI127" s="3" t="s">
        <v>3070</v>
      </c>
      <c r="BJ127" s="3" t="s">
        <v>4883</v>
      </c>
      <c r="BK127" t="str">
        <f t="shared" si="77"/>
        <v xml:space="preserve">Henry John Loyd SIMMONDS (2012– </v>
      </c>
      <c r="BL127" t="str">
        <f t="shared" si="78"/>
        <v>Henry SIMMONDS (2012– : #157a)</v>
      </c>
      <c r="BM127" t="str">
        <f t="shared" si="79"/>
        <v>Henry John Loyd SIMMONDS (2012– : #157a)</v>
      </c>
      <c r="BP127" t="str">
        <f t="shared" si="80"/>
        <v>SIMMONDS</v>
      </c>
      <c r="BQ127" t="str">
        <f t="shared" si="81"/>
        <v>Henry</v>
      </c>
      <c r="BR127" s="116" t="str">
        <f t="shared" si="82"/>
        <v>Henry</v>
      </c>
      <c r="CO127" s="184" t="s">
        <v>3070</v>
      </c>
      <c r="CP127" s="161" t="s">
        <v>3071</v>
      </c>
      <c r="CQ127" s="137" t="s">
        <v>807</v>
      </c>
      <c r="CR127" s="137" t="s">
        <v>842</v>
      </c>
      <c r="CS127" s="137" t="s">
        <v>1497</v>
      </c>
      <c r="CT127" s="137"/>
      <c r="CU127" s="137">
        <v>2012</v>
      </c>
      <c r="CV127" s="137" t="s">
        <v>3774</v>
      </c>
      <c r="CW127" t="e">
        <f t="shared" si="91"/>
        <v>#VALUE!</v>
      </c>
    </row>
    <row r="128" spans="1:101" ht="20">
      <c r="A128" s="287">
        <f>'Loyd List 1-190 - Edit'!C128</f>
        <v>126</v>
      </c>
      <c r="B128" s="295" t="str">
        <f>VLOOKUP(A128,'Book Details - NO EDIT'!$U$3:$X$192,4,FALSE)</f>
        <v>Paddy (1951–: #126)</v>
      </c>
      <c r="C128" s="287">
        <f>VLOOKUP(A128,'Loyd List 1-190 - Edit'!$P$1:$R$200,3,FALSE)</f>
        <v>94</v>
      </c>
      <c r="D128" s="287">
        <f t="shared" si="88"/>
        <v>5</v>
      </c>
      <c r="E128" s="287">
        <f t="shared" si="75"/>
        <v>1</v>
      </c>
      <c r="F128" s="269" t="str">
        <f t="shared" si="89"/>
        <v xml:space="preserve">5 – Rob (1949–: #124)  Dominic (1953–: #131) Tim (1957–: #136) Alex (1959–: #139) Rick (1962–: #142)   </v>
      </c>
      <c r="G128" s="125" t="str">
        <f>'Loyd Book 2022 - Print'!N128</f>
        <v xml:space="preserve">5 – Rob (1949–: #124)  Dominic (1953–: #131) Tim (1957–: #136) Alex (1959–: #139) Rick (1962–: #142)   </v>
      </c>
      <c r="H128" s="125">
        <f t="shared" si="87"/>
        <v>0</v>
      </c>
      <c r="I128" s="117">
        <f t="shared" si="90"/>
        <v>0</v>
      </c>
      <c r="J128" s="116" t="str">
        <f t="shared" si="98"/>
        <v>Rob (1949–: #124)</v>
      </c>
      <c r="K128" s="116" t="str">
        <f t="shared" si="100"/>
        <v/>
      </c>
      <c r="L128" s="116" t="str">
        <f>IF(VLOOKUP($C128,$AB$2:$AN$67,L$1,FALSE)=$A128,"",VLOOKUP(VLOOKUP($C128,$AB$2:$AN$67,L$1,FALSE),$A$1:$B$200,2,FALSE))</f>
        <v>Dominic (1953–: #131)</v>
      </c>
      <c r="M128" s="116" t="str">
        <f>IF(VLOOKUP($C128,$AB$2:$AN$67,M$1,FALSE)=$A128,"",VLOOKUP(VLOOKUP($C128,$AB$2:$AN$67,M$1,FALSE),$A$1:$B$200,2,FALSE))</f>
        <v>Tim (1957–: #136)</v>
      </c>
      <c r="N128" s="116" t="str">
        <f>IF(VLOOKUP($C128,$AB$2:$AN$67,N$1,FALSE)=$A128,"",VLOOKUP(VLOOKUP($C128,$AB$2:$AN$67,N$1,FALSE),$A$1:$B$200,2,FALSE))</f>
        <v>Alex (1959–: #139)</v>
      </c>
      <c r="O128" s="116" t="str">
        <f>IF(VLOOKUP($C128,$AB$2:$AN$67,O$1,FALSE)=$A128,"",VLOOKUP(VLOOKUP($C128,$AB$2:$AN$67,O$1,FALSE),$A$1:$B$200,2,FALSE))</f>
        <v>Rick (1962–: #142)</v>
      </c>
      <c r="P128" s="116"/>
      <c r="Q128" s="116"/>
      <c r="R128" s="116"/>
      <c r="S128" s="117"/>
      <c r="T128" s="117"/>
      <c r="U128" s="117"/>
      <c r="V128" s="117"/>
      <c r="AA128" s="124"/>
      <c r="BH128" s="116">
        <f t="shared" si="76"/>
        <v>157</v>
      </c>
      <c r="BI128" s="3" t="s">
        <v>3072</v>
      </c>
      <c r="BJ128" s="3" t="s">
        <v>4884</v>
      </c>
      <c r="BK128" t="str">
        <f t="shared" si="77"/>
        <v xml:space="preserve">Emily Mary Loyd SIMMONDS (2014– </v>
      </c>
      <c r="BL128" t="str">
        <f t="shared" si="78"/>
        <v>Emily SIMMONDS (2014– : #157b)</v>
      </c>
      <c r="BM128" t="str">
        <f t="shared" si="79"/>
        <v>Emily Mary Loyd SIMMONDS (2014– : #157b)</v>
      </c>
      <c r="BP128" t="str">
        <f t="shared" si="80"/>
        <v>SIMMONDS</v>
      </c>
      <c r="BQ128" t="str">
        <f t="shared" si="81"/>
        <v>Emily</v>
      </c>
      <c r="BR128" s="116" t="str">
        <f t="shared" si="82"/>
        <v>Emily</v>
      </c>
      <c r="CO128" s="184" t="s">
        <v>3072</v>
      </c>
      <c r="CP128" s="161" t="s">
        <v>3071</v>
      </c>
      <c r="CQ128" s="137" t="s">
        <v>1380</v>
      </c>
      <c r="CR128" s="137" t="s">
        <v>870</v>
      </c>
      <c r="CS128" s="137" t="s">
        <v>1497</v>
      </c>
      <c r="CT128" s="137"/>
      <c r="CU128" s="137">
        <v>2014</v>
      </c>
      <c r="CV128" s="137" t="s">
        <v>3774</v>
      </c>
      <c r="CW128" t="e">
        <f t="shared" si="91"/>
        <v>#VALUE!</v>
      </c>
    </row>
    <row r="129" spans="1:101" ht="20">
      <c r="A129" s="287">
        <f>'Loyd List 1-190 - Edit'!C129</f>
        <v>127</v>
      </c>
      <c r="B129" s="295" t="str">
        <f>VLOOKUP(A129,'Book Details - NO EDIT'!$U$3:$X$192,4,FALSE)</f>
        <v>Vivian (1951–: #127)</v>
      </c>
      <c r="C129" s="287">
        <f>VLOOKUP(A129,'Loyd List 1-190 - Edit'!$P$1:$R$200,3,FALSE)</f>
        <v>78</v>
      </c>
      <c r="D129" s="287">
        <f t="shared" si="88"/>
        <v>3</v>
      </c>
      <c r="E129" s="287">
        <f t="shared" si="75"/>
        <v>1</v>
      </c>
      <c r="F129" s="269" t="str">
        <f t="shared" si="89"/>
        <v xml:space="preserve">3 – Willie (1937–1994: #113) Belinda (1939–2018: #115)  Ginie (1961–: #140)     </v>
      </c>
      <c r="G129" s="125" t="str">
        <f>'Loyd Book 2022 - Print'!N129</f>
        <v xml:space="preserve">3 – Willie (1937–1994: #113) Belinda (1939–2018: #115)  Ginie (1961–: #140)     </v>
      </c>
      <c r="H129" s="125">
        <f t="shared" si="87"/>
        <v>0</v>
      </c>
      <c r="I129" s="117">
        <f t="shared" si="90"/>
        <v>0</v>
      </c>
      <c r="J129" s="116" t="str">
        <f t="shared" si="98"/>
        <v>Willie (1937–1994: #113)</v>
      </c>
      <c r="K129" s="116" t="str">
        <f t="shared" si="100"/>
        <v>Belinda (1939–2018: #115)</v>
      </c>
      <c r="L129" s="116" t="str">
        <f>IF(VLOOKUP($C129,$AB$2:$AN$67,L$1,FALSE)=$A129,"",VLOOKUP(VLOOKUP($C129,$AB$2:$AN$67,L$1,FALSE),$A$1:$B$200,2,FALSE))</f>
        <v/>
      </c>
      <c r="M129" s="116" t="str">
        <f>IF(VLOOKUP($C129,$AB$2:$AN$67,M$1,FALSE)=$A129,"",VLOOKUP(VLOOKUP($C129,$AB$2:$AN$67,M$1,FALSE),$A$1:$B$200,2,FALSE))</f>
        <v>Ginie (1961–: #140)</v>
      </c>
      <c r="N129" s="116"/>
      <c r="O129" s="116"/>
      <c r="P129" s="116"/>
      <c r="Q129" s="116"/>
      <c r="R129" s="116"/>
      <c r="S129" s="117"/>
      <c r="T129" s="117"/>
      <c r="U129" s="117"/>
      <c r="V129" s="117"/>
      <c r="AA129" s="124"/>
      <c r="BH129" s="116">
        <f t="shared" si="76"/>
        <v>158</v>
      </c>
      <c r="BI129" s="3" t="s">
        <v>3076</v>
      </c>
      <c r="BJ129" s="3" t="s">
        <v>4885</v>
      </c>
      <c r="BK129" t="str">
        <f t="shared" si="77"/>
        <v xml:space="preserve">Theodore Richard KYLE (2010– </v>
      </c>
      <c r="BL129" t="str">
        <f t="shared" si="78"/>
        <v>Theodore KYLE (2010– : #158a)</v>
      </c>
      <c r="BM129" t="str">
        <f t="shared" si="79"/>
        <v>Theodore Richard KYLE (2010– : #158a)</v>
      </c>
      <c r="BP129" t="str">
        <f t="shared" si="80"/>
        <v>KYLE</v>
      </c>
      <c r="BQ129" t="str">
        <f t="shared" si="81"/>
        <v>Theodore</v>
      </c>
      <c r="BR129" s="116" t="str">
        <f t="shared" si="82"/>
        <v>Theodore</v>
      </c>
      <c r="CO129" s="184" t="s">
        <v>3076</v>
      </c>
      <c r="CP129" s="161" t="s">
        <v>3075</v>
      </c>
      <c r="CQ129" s="137" t="s">
        <v>3077</v>
      </c>
      <c r="CR129" s="137" t="s">
        <v>928</v>
      </c>
      <c r="CS129" s="137"/>
      <c r="CT129" s="137"/>
      <c r="CU129" s="137">
        <v>2010</v>
      </c>
      <c r="CV129" s="137" t="s">
        <v>3774</v>
      </c>
      <c r="CW129" t="e">
        <f t="shared" si="91"/>
        <v>#VALUE!</v>
      </c>
    </row>
    <row r="130" spans="1:101" ht="20">
      <c r="A130" s="287">
        <f>'Loyd List 1-190 - Edit'!C130</f>
        <v>128</v>
      </c>
      <c r="B130" s="295" t="str">
        <f>VLOOKUP(A130,'Book Details - NO EDIT'!$U$3:$X$192,4,FALSE)</f>
        <v>Julie (1952–: #128)</v>
      </c>
      <c r="C130" s="287">
        <f>VLOOKUP(A130,'Loyd List 1-190 - Edit'!$P$1:$R$200,3,FALSE)</f>
        <v>98</v>
      </c>
      <c r="D130" s="287">
        <f t="shared" si="88"/>
        <v>4</v>
      </c>
      <c r="E130" s="287">
        <f t="shared" si="75"/>
        <v>1</v>
      </c>
      <c r="F130" s="269" t="str">
        <f t="shared" si="89"/>
        <v xml:space="preserve">4 – Penelope (1954–1954: #132) William (1955–: #134) Tony (1963–: #145) Sophie (1969–: #154)    </v>
      </c>
      <c r="G130" s="125" t="str">
        <f>'Loyd Book 2022 - Print'!N130</f>
        <v xml:space="preserve">4 – Penelope (1954–1954: #132) William (1955–: #134) Tony (1963–: #145) Sophie (1969–: #154)    </v>
      </c>
      <c r="H130" s="125">
        <f t="shared" si="87"/>
        <v>0</v>
      </c>
      <c r="I130" s="117">
        <f t="shared" si="90"/>
        <v>0</v>
      </c>
      <c r="J130" s="116" t="str">
        <f t="shared" si="98"/>
        <v/>
      </c>
      <c r="K130" s="116" t="str">
        <f t="shared" si="100"/>
        <v>Penelope (1954–1954: #132)</v>
      </c>
      <c r="L130" s="116" t="str">
        <f>IF(VLOOKUP($C130,$AB$2:$AN$67,L$1,FALSE)=$A130,"",VLOOKUP(VLOOKUP($C130,$AB$2:$AN$67,L$1,FALSE),$A$1:$B$200,2,FALSE))</f>
        <v>William (1955–: #134)</v>
      </c>
      <c r="M130" s="116" t="str">
        <f>IF(VLOOKUP($C130,$AB$2:$AN$67,M$1,FALSE)=$A130,"",VLOOKUP(VLOOKUP($C130,$AB$2:$AN$67,M$1,FALSE),$A$1:$B$200,2,FALSE))</f>
        <v>Tony (1963–: #145)</v>
      </c>
      <c r="N130" s="116" t="str">
        <f>IF(VLOOKUP($C130,$AB$2:$AN$67,N$1,FALSE)=$A130,"",VLOOKUP(VLOOKUP($C130,$AB$2:$AN$67,N$1,FALSE),$A$1:$B$200,2,FALSE))</f>
        <v>Sophie (1969–: #154)</v>
      </c>
      <c r="O130" s="116"/>
      <c r="P130" s="116"/>
      <c r="Q130" s="116"/>
      <c r="R130" s="116"/>
      <c r="S130" s="117"/>
      <c r="T130" s="117"/>
      <c r="U130" s="117"/>
      <c r="V130" s="117"/>
      <c r="AA130" s="124"/>
      <c r="BH130" s="116">
        <f t="shared" si="76"/>
        <v>159</v>
      </c>
      <c r="BI130" s="3" t="s">
        <v>3080</v>
      </c>
      <c r="BJ130" s="3" t="s">
        <v>4886</v>
      </c>
      <c r="BK130" t="str">
        <f t="shared" si="77"/>
        <v xml:space="preserve">Thomas Philip Loyd GARDENER (2010– </v>
      </c>
      <c r="BL130" t="str">
        <f t="shared" si="78"/>
        <v>Thomas GARDENER (2010– : #159a)</v>
      </c>
      <c r="BM130" t="str">
        <f t="shared" si="79"/>
        <v>Thomas Philip Loyd GARDENER (2010– : #159a)</v>
      </c>
      <c r="BP130" t="str">
        <f t="shared" si="80"/>
        <v>GARDENER</v>
      </c>
      <c r="BQ130" t="str">
        <f t="shared" si="81"/>
        <v>Thomas</v>
      </c>
      <c r="BR130" s="116" t="str">
        <f t="shared" si="82"/>
        <v>Thomas</v>
      </c>
      <c r="CO130" s="184" t="s">
        <v>3080</v>
      </c>
      <c r="CP130" s="161" t="s">
        <v>3079</v>
      </c>
      <c r="CQ130" s="137" t="s">
        <v>852</v>
      </c>
      <c r="CR130" s="137" t="s">
        <v>977</v>
      </c>
      <c r="CS130" s="137" t="s">
        <v>1497</v>
      </c>
      <c r="CT130" s="137"/>
      <c r="CU130" s="137">
        <v>2010</v>
      </c>
      <c r="CV130" s="137" t="s">
        <v>3774</v>
      </c>
      <c r="CW130" t="e">
        <f t="shared" si="91"/>
        <v>#VALUE!</v>
      </c>
    </row>
    <row r="131" spans="1:101" ht="20">
      <c r="A131" s="287">
        <f>'Loyd List 1-190 - Edit'!C131</f>
        <v>129</v>
      </c>
      <c r="B131" s="295" t="str">
        <f>VLOOKUP(A131,'Book Details - NO EDIT'!$U$3:$X$192,4,FALSE)</f>
        <v>Diana (1952–: #129)</v>
      </c>
      <c r="C131" s="287">
        <f>VLOOKUP(A131,'Loyd List 1-190 - Edit'!$P$1:$R$200,3,FALSE)</f>
        <v>89</v>
      </c>
      <c r="D131" s="287">
        <f t="shared" si="88"/>
        <v>1</v>
      </c>
      <c r="E131" s="287">
        <f t="shared" ref="E131:E192" si="101">COUNTIF($AC$3:$AN$61,A131)</f>
        <v>1</v>
      </c>
      <c r="F131" s="269" t="str">
        <f t="shared" si="89"/>
        <v xml:space="preserve">1 – Janet (1949–: #123)        </v>
      </c>
      <c r="G131" s="125" t="str">
        <f>'Loyd Book 2022 - Print'!N131</f>
        <v xml:space="preserve">1 – Janet (1949–: #123)        </v>
      </c>
      <c r="H131" s="125">
        <f t="shared" si="87"/>
        <v>0</v>
      </c>
      <c r="I131" s="117">
        <f t="shared" si="90"/>
        <v>0</v>
      </c>
      <c r="J131" s="116" t="str">
        <f t="shared" si="98"/>
        <v>Janet (1949–: #123)</v>
      </c>
      <c r="K131" s="116" t="str">
        <f t="shared" si="100"/>
        <v/>
      </c>
      <c r="L131" s="116"/>
      <c r="M131" s="116"/>
      <c r="N131" s="116"/>
      <c r="O131" s="116"/>
      <c r="P131" s="116"/>
      <c r="Q131" s="116"/>
      <c r="R131" s="116"/>
      <c r="S131" s="117"/>
      <c r="T131" s="117"/>
      <c r="U131" s="117"/>
      <c r="V131" s="117"/>
      <c r="AA131" s="124"/>
      <c r="BH131" s="116">
        <f t="shared" ref="BH131:BH143" si="102">VALUE(IF(LEN(BI131)=2,LEFT(BI131,1),IF(LEN(BI131)=3,LEFT(BI131,2),IF(LEN(BI131)=4,LEFT(BI131,3)))))</f>
        <v>159</v>
      </c>
      <c r="BI131" s="3" t="s">
        <v>3081</v>
      </c>
      <c r="BJ131" s="3" t="s">
        <v>4887</v>
      </c>
      <c r="BK131" t="str">
        <f t="shared" ref="BK131:BK143" si="103">LEFT(BJ131,LEN(BJ131)-1)</f>
        <v xml:space="preserve">Alice Daphne Straker GARDENER (2013– </v>
      </c>
      <c r="BL131" t="str">
        <f t="shared" ref="BL131:BL143" si="104">_xlfn.CONCAT(BR131," ",BP131," (",CU131,"–",CV131,": #",BI131,")")</f>
        <v>Alice GARDENER (2013– : #159b)</v>
      </c>
      <c r="BM131" t="str">
        <f t="shared" ref="BM131:BM143" si="105">_xlfn.CONCAT(BK131,": #",BI131,")")</f>
        <v>Alice Daphne Straker GARDENER (2013– : #159b)</v>
      </c>
      <c r="BP131" t="str">
        <f t="shared" ref="BP131:BP143" si="106">VLOOKUP(BI131,$CO$1:$CV$291,2,FALSE)</f>
        <v>GARDENER</v>
      </c>
      <c r="BQ131" t="str">
        <f t="shared" ref="BQ131:BQ143" si="107">VLOOKUP($BI131,$CO$1:$CV$291,3,FALSE)</f>
        <v>Alice</v>
      </c>
      <c r="BR131" s="116" t="str">
        <f t="shared" ref="BR131:BR143" si="108">IF(VLOOKUP($BI131,$CO$1:$CV$291,6,FALSE)=0,BQ131,VLOOKUP($BI131,$CO$1:$CV$291,6,FALSE))</f>
        <v>Alice</v>
      </c>
      <c r="CO131" s="184" t="s">
        <v>3081</v>
      </c>
      <c r="CP131" s="161" t="s">
        <v>3079</v>
      </c>
      <c r="CQ131" s="137" t="s">
        <v>1988</v>
      </c>
      <c r="CR131" s="137" t="s">
        <v>853</v>
      </c>
      <c r="CS131" s="137" t="s">
        <v>3082</v>
      </c>
      <c r="CT131" s="137"/>
      <c r="CU131" s="137">
        <v>2013</v>
      </c>
      <c r="CV131" s="137" t="s">
        <v>3774</v>
      </c>
      <c r="CW131" t="e">
        <f t="shared" si="91"/>
        <v>#VALUE!</v>
      </c>
    </row>
    <row r="132" spans="1:101" ht="20">
      <c r="A132" s="287">
        <f>'Loyd List 1-190 - Edit'!C132</f>
        <v>130</v>
      </c>
      <c r="B132" s="295" t="str">
        <f>VLOOKUP(A132,'Book Details - NO EDIT'!$U$3:$X$192,4,FALSE)</f>
        <v>David (1952–: #130)</v>
      </c>
      <c r="C132" s="287">
        <f>VLOOKUP(A132,'Loyd List 1-190 - Edit'!$P$1:$R$200,3,FALSE)</f>
        <v>86</v>
      </c>
      <c r="D132" s="287">
        <f t="shared" si="88"/>
        <v>2</v>
      </c>
      <c r="E132" s="287">
        <f t="shared" si="101"/>
        <v>1</v>
      </c>
      <c r="F132" s="269" t="str">
        <f t="shared" si="89"/>
        <v xml:space="preserve">2 – Rona (1951–: #125)  Jim (1955–: #135)      </v>
      </c>
      <c r="G132" s="125" t="str">
        <f>'Loyd Book 2022 - Print'!N132</f>
        <v xml:space="preserve">2 – Rona (1951–: #125)  Jim (1955–: #135)      </v>
      </c>
      <c r="H132" s="125">
        <f t="shared" ref="H132:H192" si="109">VALUE(LEFT(F132,1))-VALUE(LEFT(G132,1))</f>
        <v>0</v>
      </c>
      <c r="I132" s="117">
        <f t="shared" si="90"/>
        <v>0</v>
      </c>
      <c r="J132" s="116" t="str">
        <f t="shared" si="98"/>
        <v>Rona (1951–: #125)</v>
      </c>
      <c r="K132" s="116" t="str">
        <f t="shared" si="100"/>
        <v/>
      </c>
      <c r="L132" s="116" t="str">
        <f>IF(VLOOKUP($C132,$AB$2:$AN$67,L$1,FALSE)=$A132,"",VLOOKUP(VLOOKUP($C132,$AB$2:$AN$67,L$1,FALSE),$A$1:$B$200,2,FALSE))</f>
        <v>Jim (1955–: #135)</v>
      </c>
      <c r="M132" s="116"/>
      <c r="N132" s="116"/>
      <c r="O132" s="116"/>
      <c r="P132" s="116"/>
      <c r="Q132" s="116"/>
      <c r="R132" s="116"/>
      <c r="S132" s="117"/>
      <c r="T132" s="117"/>
      <c r="U132" s="117"/>
      <c r="V132" s="117"/>
      <c r="AA132" s="124"/>
      <c r="BH132" s="116">
        <f t="shared" si="102"/>
        <v>161</v>
      </c>
      <c r="BI132" s="3" t="s">
        <v>3085</v>
      </c>
      <c r="BJ132" s="3" t="s">
        <v>4888</v>
      </c>
      <c r="BK132" t="str">
        <f t="shared" si="103"/>
        <v xml:space="preserve">Alexia Charlotte HAYNS (2014– </v>
      </c>
      <c r="BL132" t="str">
        <f t="shared" si="104"/>
        <v>Alexia HAYNS (2014– : #161a)</v>
      </c>
      <c r="BM132" t="str">
        <f t="shared" si="105"/>
        <v>Alexia Charlotte HAYNS (2014– : #161a)</v>
      </c>
      <c r="BP132" t="str">
        <f t="shared" si="106"/>
        <v>HAYNS</v>
      </c>
      <c r="BQ132" t="str">
        <f t="shared" si="107"/>
        <v>Alexia</v>
      </c>
      <c r="BR132" s="116" t="str">
        <f t="shared" si="108"/>
        <v>Alexia</v>
      </c>
      <c r="CO132" s="184" t="s">
        <v>3085</v>
      </c>
      <c r="CP132" s="161" t="s">
        <v>3084</v>
      </c>
      <c r="CQ132" s="137" t="s">
        <v>3086</v>
      </c>
      <c r="CR132" s="137" t="s">
        <v>876</v>
      </c>
      <c r="CS132" s="137"/>
      <c r="CT132" s="137"/>
      <c r="CU132" s="137">
        <v>2014</v>
      </c>
      <c r="CV132" s="137" t="s">
        <v>3774</v>
      </c>
      <c r="CW132" t="e">
        <f t="shared" si="91"/>
        <v>#VALUE!</v>
      </c>
    </row>
    <row r="133" spans="1:101" ht="20">
      <c r="A133" s="287">
        <f>'Loyd List 1-190 - Edit'!C133</f>
        <v>131</v>
      </c>
      <c r="B133" s="295" t="str">
        <f>VLOOKUP(A133,'Book Details - NO EDIT'!$U$3:$X$192,4,FALSE)</f>
        <v>Dominic (1953–: #131)</v>
      </c>
      <c r="C133" s="287">
        <f>VLOOKUP(A133,'Loyd List 1-190 - Edit'!$P$1:$R$200,3,FALSE)</f>
        <v>94</v>
      </c>
      <c r="D133" s="287">
        <f t="shared" ref="D133:D192" si="110">VLOOKUP(C133,$Z$3:$AA$67,2,FALSE)-1</f>
        <v>5</v>
      </c>
      <c r="E133" s="287">
        <f t="shared" si="101"/>
        <v>1</v>
      </c>
      <c r="F133" s="269" t="str">
        <f t="shared" ref="F133:F192" si="111">IF(D133=0,"0 – Only Child",IF(J133="",_xlfn.CONCAT(D133," – ",K133," ",L133," ",M133," ",N133," ",O133," ",P133," ",Q133," ",R133),_xlfn.CONCAT(D133," – ",J133," ",K133," ",L133," ",M133," ",N133," ",O133," ",P133," ",Q133," ",R133)))</f>
        <v xml:space="preserve">5 – Rob (1949–: #124) Paddy (1951–: #126)  Tim (1957–: #136) Alex (1959–: #139) Rick (1962–: #142)   </v>
      </c>
      <c r="G133" s="125" t="str">
        <f>'Loyd Book 2022 - Print'!N133</f>
        <v xml:space="preserve">5 – Rob (1949–: #124) Paddy (1951–: #126)  Tim (1957–: #136) Alex (1959–: #139) Rick (1962–: #142)   </v>
      </c>
      <c r="H133" s="125">
        <f t="shared" si="109"/>
        <v>0</v>
      </c>
      <c r="I133" s="117">
        <f t="shared" ref="I133:I196" si="112">10-COUNTIF(J133:R133,"")-1-D133</f>
        <v>0</v>
      </c>
      <c r="J133" s="116" t="str">
        <f t="shared" si="98"/>
        <v>Rob (1949–: #124)</v>
      </c>
      <c r="K133" s="116" t="str">
        <f t="shared" si="100"/>
        <v>Paddy (1951–: #126)</v>
      </c>
      <c r="L133" s="116" t="str">
        <f>IF(VLOOKUP($C133,$AB$2:$AN$67,L$1,FALSE)=$A133,"",VLOOKUP(VLOOKUP($C133,$AB$2:$AN$67,L$1,FALSE),$A$1:$B$200,2,FALSE))</f>
        <v/>
      </c>
      <c r="M133" s="116" t="str">
        <f>IF(VLOOKUP($C133,$AB$2:$AN$67,M$1,FALSE)=$A133,"",VLOOKUP(VLOOKUP($C133,$AB$2:$AN$67,M$1,FALSE),$A$1:$B$200,2,FALSE))</f>
        <v>Tim (1957–: #136)</v>
      </c>
      <c r="N133" s="116" t="str">
        <f>IF(VLOOKUP($C133,$AB$2:$AN$67,N$1,FALSE)=$A133,"",VLOOKUP(VLOOKUP($C133,$AB$2:$AN$67,N$1,FALSE),$A$1:$B$200,2,FALSE))</f>
        <v>Alex (1959–: #139)</v>
      </c>
      <c r="O133" s="116" t="str">
        <f>IF(VLOOKUP($C133,$AB$2:$AN$67,O$1,FALSE)=$A133,"",VLOOKUP(VLOOKUP($C133,$AB$2:$AN$67,O$1,FALSE),$A$1:$B$200,2,FALSE))</f>
        <v>Rick (1962–: #142)</v>
      </c>
      <c r="P133" s="116"/>
      <c r="Q133" s="116"/>
      <c r="R133" s="116"/>
      <c r="S133" s="117"/>
      <c r="T133" s="117"/>
      <c r="U133" s="117"/>
      <c r="V133" s="117"/>
      <c r="AA133" s="124"/>
      <c r="BH133" s="116">
        <f t="shared" si="102"/>
        <v>161</v>
      </c>
      <c r="BI133" s="3" t="s">
        <v>3087</v>
      </c>
      <c r="BJ133" s="3" t="s">
        <v>4889</v>
      </c>
      <c r="BK133" t="str">
        <f t="shared" si="103"/>
        <v xml:space="preserve">Edward Loyd Bickford HAYNS (2016– </v>
      </c>
      <c r="BL133" t="str">
        <f t="shared" si="104"/>
        <v>Edward HAYNS (2016– : #161b)</v>
      </c>
      <c r="BM133" t="str">
        <f t="shared" si="105"/>
        <v>Edward Loyd Bickford HAYNS (2016– : #161b)</v>
      </c>
      <c r="BP133" t="str">
        <f t="shared" si="106"/>
        <v>HAYNS</v>
      </c>
      <c r="BQ133" t="str">
        <f t="shared" si="107"/>
        <v>Edward</v>
      </c>
      <c r="BR133" s="116" t="str">
        <f t="shared" si="108"/>
        <v>Edward</v>
      </c>
      <c r="CO133" s="184" t="s">
        <v>3087</v>
      </c>
      <c r="CP133" s="161" t="s">
        <v>3084</v>
      </c>
      <c r="CQ133" s="137" t="s">
        <v>811</v>
      </c>
      <c r="CR133" s="137" t="s">
        <v>1497</v>
      </c>
      <c r="CS133" s="137" t="s">
        <v>3088</v>
      </c>
      <c r="CT133" s="137"/>
      <c r="CU133" s="137">
        <v>2016</v>
      </c>
      <c r="CV133" s="137" t="s">
        <v>3774</v>
      </c>
      <c r="CW133" t="e">
        <f t="shared" ref="CW133:CW196" si="113">CV133-CU133</f>
        <v>#VALUE!</v>
      </c>
    </row>
    <row r="134" spans="1:101" ht="17" customHeight="1">
      <c r="A134" s="287">
        <f>'Loyd List 1-190 - Edit'!C134</f>
        <v>132</v>
      </c>
      <c r="B134" s="295" t="str">
        <f>VLOOKUP(A134,'Book Details - NO EDIT'!$U$3:$X$192,4,FALSE)</f>
        <v>Penelope (1954–1954: #132)</v>
      </c>
      <c r="C134" s="287">
        <f>VLOOKUP(A134,'Loyd List 1-190 - Edit'!$P$1:$R$200,3,FALSE)</f>
        <v>98</v>
      </c>
      <c r="D134" s="287">
        <f t="shared" si="110"/>
        <v>4</v>
      </c>
      <c r="E134" s="287">
        <f t="shared" si="101"/>
        <v>1</v>
      </c>
      <c r="F134" s="269" t="str">
        <f t="shared" si="111"/>
        <v xml:space="preserve">4 – Julie (1952–: #128)  William (1955–: #134) Tony (1963–: #145) Sophie (1969–: #154)    </v>
      </c>
      <c r="G134" s="125" t="str">
        <f>'Loyd Book 2022 - Print'!N134</f>
        <v xml:space="preserve">4 – Julie (1952–: #128)  William (1955–: #134) Tony (1963–: #145) Sophie (1969–: #154)    </v>
      </c>
      <c r="H134" s="125">
        <f t="shared" si="109"/>
        <v>0</v>
      </c>
      <c r="I134" s="117">
        <f t="shared" si="112"/>
        <v>0</v>
      </c>
      <c r="J134" s="116" t="str">
        <f t="shared" si="98"/>
        <v>Julie (1952–: #128)</v>
      </c>
      <c r="K134" s="116" t="str">
        <f t="shared" si="100"/>
        <v/>
      </c>
      <c r="L134" s="116" t="str">
        <f>IF(VLOOKUP($C134,$AB$2:$AN$67,L$1,FALSE)=$A134,"",VLOOKUP(VLOOKUP($C134,$AB$2:$AN$67,L$1,FALSE),$A$1:$B$200,2,FALSE))</f>
        <v>William (1955–: #134)</v>
      </c>
      <c r="M134" s="116" t="str">
        <f>IF(VLOOKUP($C134,$AB$2:$AN$67,M$1,FALSE)=$A134,"",VLOOKUP(VLOOKUP($C134,$AB$2:$AN$67,M$1,FALSE),$A$1:$B$200,2,FALSE))</f>
        <v>Tony (1963–: #145)</v>
      </c>
      <c r="N134" s="116" t="str">
        <f>IF(VLOOKUP($C134,$AB$2:$AN$67,N$1,FALSE)=$A134,"",VLOOKUP(VLOOKUP($C134,$AB$2:$AN$67,N$1,FALSE),$A$1:$B$200,2,FALSE))</f>
        <v>Sophie (1969–: #154)</v>
      </c>
      <c r="O134" s="116"/>
      <c r="P134" s="116"/>
      <c r="Q134" s="116"/>
      <c r="R134" s="116"/>
      <c r="S134" s="117"/>
      <c r="T134" s="117"/>
      <c r="U134" s="117"/>
      <c r="V134" s="117"/>
      <c r="AA134" s="124"/>
      <c r="BH134" s="116">
        <f t="shared" si="102"/>
        <v>163</v>
      </c>
      <c r="BI134" s="3" t="s">
        <v>3654</v>
      </c>
      <c r="BJ134" s="7" t="s">
        <v>4890</v>
      </c>
      <c r="BK134" t="str">
        <f t="shared" si="103"/>
        <v xml:space="preserve">
Thomas Stephen DINSMORE (2012– </v>
      </c>
      <c r="BL134" t="str">
        <f t="shared" si="104"/>
        <v xml:space="preserve">
Thomas DINSMORE (2012– : #163a)</v>
      </c>
      <c r="BM134" t="str">
        <f t="shared" si="105"/>
        <v xml:space="preserve">
Thomas Stephen DINSMORE (2012– : #163a)</v>
      </c>
      <c r="BP134" t="str">
        <f t="shared" si="106"/>
        <v>DINSMORE</v>
      </c>
      <c r="BQ134" t="str">
        <f t="shared" si="107"/>
        <v xml:space="preserve">
Thomas</v>
      </c>
      <c r="BR134" s="116" t="str">
        <f t="shared" si="108"/>
        <v xml:space="preserve">
Thomas</v>
      </c>
      <c r="CO134" s="184" t="s">
        <v>3654</v>
      </c>
      <c r="CP134" s="161" t="s">
        <v>4107</v>
      </c>
      <c r="CQ134" s="137" t="s">
        <v>3655</v>
      </c>
      <c r="CR134" s="137" t="s">
        <v>2170</v>
      </c>
      <c r="CS134" s="137"/>
      <c r="CT134" s="137"/>
      <c r="CU134" s="137">
        <v>2012</v>
      </c>
      <c r="CV134" s="137" t="s">
        <v>3774</v>
      </c>
      <c r="CW134" t="e">
        <f t="shared" si="113"/>
        <v>#VALUE!</v>
      </c>
    </row>
    <row r="135" spans="1:101" ht="20">
      <c r="A135" s="287">
        <f>'Loyd List 1-190 - Edit'!C135</f>
        <v>133</v>
      </c>
      <c r="B135" s="295" t="str">
        <f>VLOOKUP(A135,'Book Details - NO EDIT'!$U$3:$X$192,4,FALSE)</f>
        <v>Jeremy (1954–: #133)</v>
      </c>
      <c r="C135" s="287">
        <f>VLOOKUP(A135,'Loyd List 1-190 - Edit'!$P$1:$R$200,3,FALSE)</f>
        <v>105</v>
      </c>
      <c r="D135" s="287">
        <f t="shared" si="110"/>
        <v>1</v>
      </c>
      <c r="E135" s="287">
        <f t="shared" si="101"/>
        <v>1</v>
      </c>
      <c r="F135" s="269" t="str">
        <f t="shared" si="111"/>
        <v xml:space="preserve">1 – Martin (1949–: #122)        </v>
      </c>
      <c r="G135" s="125" t="str">
        <f>'Loyd Book 2022 - Print'!N135</f>
        <v xml:space="preserve">1 – Martin (1949–: #122)        </v>
      </c>
      <c r="H135" s="125">
        <f t="shared" si="109"/>
        <v>0</v>
      </c>
      <c r="I135" s="117">
        <f t="shared" si="112"/>
        <v>0</v>
      </c>
      <c r="J135" s="116" t="str">
        <f t="shared" si="98"/>
        <v>Martin (1949–: #122)</v>
      </c>
      <c r="K135" s="116" t="str">
        <f t="shared" si="100"/>
        <v/>
      </c>
      <c r="L135" s="116"/>
      <c r="M135" s="116"/>
      <c r="N135" s="116"/>
      <c r="O135" s="116"/>
      <c r="P135" s="116"/>
      <c r="Q135" s="116"/>
      <c r="R135" s="116"/>
      <c r="S135" s="117"/>
      <c r="T135" s="117"/>
      <c r="U135" s="117"/>
      <c r="V135" s="117"/>
      <c r="AA135" s="124"/>
      <c r="BH135" s="116">
        <f t="shared" si="102"/>
        <v>163</v>
      </c>
      <c r="BI135" s="3" t="s">
        <v>3656</v>
      </c>
      <c r="BJ135" s="3" t="s">
        <v>4891</v>
      </c>
      <c r="BK135" t="str">
        <f t="shared" si="103"/>
        <v xml:space="preserve">Mary Charlotte DINSMORE (2014– </v>
      </c>
      <c r="BL135" t="str">
        <f t="shared" si="104"/>
        <v>Mary DINSMORE (2014– : #163b)</v>
      </c>
      <c r="BM135" t="str">
        <f t="shared" si="105"/>
        <v>Mary Charlotte DINSMORE (2014– : #163b)</v>
      </c>
      <c r="BP135" t="str">
        <f t="shared" si="106"/>
        <v>DINSMORE</v>
      </c>
      <c r="BQ135" t="str">
        <f t="shared" si="107"/>
        <v>Mary</v>
      </c>
      <c r="BR135" s="116" t="str">
        <f t="shared" si="108"/>
        <v>Mary</v>
      </c>
      <c r="CO135" s="184" t="s">
        <v>3656</v>
      </c>
      <c r="CP135" s="161" t="s">
        <v>4107</v>
      </c>
      <c r="CQ135" s="137" t="s">
        <v>870</v>
      </c>
      <c r="CR135" s="137" t="s">
        <v>3657</v>
      </c>
      <c r="CS135" s="137"/>
      <c r="CT135" s="137"/>
      <c r="CU135" s="137">
        <v>2014</v>
      </c>
      <c r="CV135" s="137" t="s">
        <v>3774</v>
      </c>
      <c r="CW135" t="e">
        <f t="shared" si="113"/>
        <v>#VALUE!</v>
      </c>
    </row>
    <row r="136" spans="1:101" ht="20">
      <c r="A136" s="287">
        <f>'Loyd List 1-190 - Edit'!C136</f>
        <v>134</v>
      </c>
      <c r="B136" s="295" t="str">
        <f>VLOOKUP(A136,'Book Details - NO EDIT'!$U$3:$X$192,4,FALSE)</f>
        <v>William (1955–: #134)</v>
      </c>
      <c r="C136" s="287">
        <f>VLOOKUP(A136,'Loyd List 1-190 - Edit'!$P$1:$R$200,3,FALSE)</f>
        <v>98</v>
      </c>
      <c r="D136" s="287">
        <f t="shared" si="110"/>
        <v>4</v>
      </c>
      <c r="E136" s="287">
        <f t="shared" si="101"/>
        <v>1</v>
      </c>
      <c r="F136" s="269" t="str">
        <f t="shared" si="111"/>
        <v xml:space="preserve">4 – Julie (1952–: #128) Penelope (1954–1954: #132)  Tony (1963–: #145) Sophie (1969–: #154)    </v>
      </c>
      <c r="G136" s="125" t="str">
        <f>'Loyd Book 2022 - Print'!N136</f>
        <v xml:space="preserve">4 – Julie (1952–: #128) Penelope (1954–1954: #132)  Tony (1963–: #145) Sophie (1969–: #154)    </v>
      </c>
      <c r="H136" s="125">
        <f t="shared" si="109"/>
        <v>0</v>
      </c>
      <c r="I136" s="117">
        <f t="shared" si="112"/>
        <v>0</v>
      </c>
      <c r="J136" s="116" t="str">
        <f t="shared" si="98"/>
        <v>Julie (1952–: #128)</v>
      </c>
      <c r="K136" s="116" t="str">
        <f t="shared" si="100"/>
        <v>Penelope (1954–1954: #132)</v>
      </c>
      <c r="L136" s="116" t="str">
        <f>IF(VLOOKUP($C136,$AB$2:$AN$67,L$1,FALSE)=$A136,"",VLOOKUP(VLOOKUP($C136,$AB$2:$AN$67,L$1,FALSE),$A$1:$B$200,2,FALSE))</f>
        <v/>
      </c>
      <c r="M136" s="116" t="str">
        <f>IF(VLOOKUP($C136,$AB$2:$AN$67,M$1,FALSE)=$A136,"",VLOOKUP(VLOOKUP($C136,$AB$2:$AN$67,M$1,FALSE),$A$1:$B$200,2,FALSE))</f>
        <v>Tony (1963–: #145)</v>
      </c>
      <c r="N136" s="116" t="str">
        <f>IF(VLOOKUP($C136,$AB$2:$AN$67,N$1,FALSE)=$A136,"",VLOOKUP(VLOOKUP($C136,$AB$2:$AN$67,N$1,FALSE),$A$1:$B$200,2,FALSE))</f>
        <v>Sophie (1969–: #154)</v>
      </c>
      <c r="O136" s="116"/>
      <c r="P136" s="116"/>
      <c r="Q136" s="116"/>
      <c r="R136" s="116"/>
      <c r="S136" s="117"/>
      <c r="T136" s="117"/>
      <c r="U136" s="117"/>
      <c r="V136" s="117"/>
      <c r="AA136" s="124"/>
      <c r="BH136" s="116">
        <f t="shared" si="102"/>
        <v>164</v>
      </c>
      <c r="BI136" s="3" t="s">
        <v>3094</v>
      </c>
      <c r="BJ136" s="3" t="s">
        <v>4892</v>
      </c>
      <c r="BK136" t="str">
        <f t="shared" si="103"/>
        <v xml:space="preserve">Fredrick Peter Loyd LEASK (2016– </v>
      </c>
      <c r="BL136" t="str">
        <f t="shared" si="104"/>
        <v>Freddie LEASK (2016– : #164a)</v>
      </c>
      <c r="BM136" t="str">
        <f t="shared" si="105"/>
        <v>Fredrick Peter Loyd LEASK (2016– : #164a)</v>
      </c>
      <c r="BP136" t="str">
        <f t="shared" si="106"/>
        <v>LEASK</v>
      </c>
      <c r="BQ136" t="str">
        <f t="shared" si="107"/>
        <v>Fredrick</v>
      </c>
      <c r="BR136" s="116" t="str">
        <f t="shared" si="108"/>
        <v>Freddie</v>
      </c>
      <c r="CO136" s="184" t="s">
        <v>3094</v>
      </c>
      <c r="CP136" s="161" t="s">
        <v>3093</v>
      </c>
      <c r="CQ136" s="137" t="s">
        <v>3095</v>
      </c>
      <c r="CR136" s="137" t="s">
        <v>865</v>
      </c>
      <c r="CS136" s="137" t="s">
        <v>1497</v>
      </c>
      <c r="CT136" s="137" t="s">
        <v>3059</v>
      </c>
      <c r="CU136" s="137">
        <v>2016</v>
      </c>
      <c r="CV136" s="137" t="s">
        <v>3774</v>
      </c>
      <c r="CW136" t="e">
        <f t="shared" si="113"/>
        <v>#VALUE!</v>
      </c>
    </row>
    <row r="137" spans="1:101" ht="20">
      <c r="A137" s="287">
        <f>'Loyd List 1-190 - Edit'!C137</f>
        <v>135</v>
      </c>
      <c r="B137" s="295" t="str">
        <f>VLOOKUP(A137,'Book Details - NO EDIT'!$U$3:$X$192,4,FALSE)</f>
        <v>Jim (1955–: #135)</v>
      </c>
      <c r="C137" s="287">
        <f>VLOOKUP(A137,'Loyd List 1-190 - Edit'!$P$1:$R$200,3,FALSE)</f>
        <v>86</v>
      </c>
      <c r="D137" s="287">
        <f t="shared" si="110"/>
        <v>2</v>
      </c>
      <c r="E137" s="287">
        <f t="shared" si="101"/>
        <v>1</v>
      </c>
      <c r="F137" s="269" t="str">
        <f t="shared" si="111"/>
        <v xml:space="preserve">2 – Rona (1951–: #125) David (1952–: #130)       </v>
      </c>
      <c r="G137" s="125" t="str">
        <f>'Loyd Book 2022 - Print'!N137</f>
        <v xml:space="preserve">2 – Rona (1951–: #125) David (1952–: #130)       </v>
      </c>
      <c r="H137" s="125">
        <f t="shared" si="109"/>
        <v>0</v>
      </c>
      <c r="I137" s="117">
        <f t="shared" si="112"/>
        <v>0</v>
      </c>
      <c r="J137" s="116" t="str">
        <f t="shared" si="98"/>
        <v>Rona (1951–: #125)</v>
      </c>
      <c r="K137" s="116" t="str">
        <f t="shared" si="100"/>
        <v>David (1952–: #130)</v>
      </c>
      <c r="L137" s="116" t="str">
        <f>IF(VLOOKUP($C137,$AB$2:$AN$67,L$1,FALSE)=$A137,"",VLOOKUP(VLOOKUP($C137,$AB$2:$AN$67,L$1,FALSE),$A$1:$B$200,2,FALSE))</f>
        <v/>
      </c>
      <c r="M137" s="116"/>
      <c r="N137" s="116"/>
      <c r="O137" s="116"/>
      <c r="P137" s="116"/>
      <c r="Q137" s="116"/>
      <c r="R137" s="116"/>
      <c r="S137" s="117"/>
      <c r="T137" s="117"/>
      <c r="U137" s="117"/>
      <c r="V137" s="117"/>
      <c r="AA137" s="124"/>
      <c r="BH137" s="116">
        <f t="shared" si="102"/>
        <v>164</v>
      </c>
      <c r="BI137" s="3" t="s">
        <v>3096</v>
      </c>
      <c r="BJ137" s="3" t="s">
        <v>4893</v>
      </c>
      <c r="BK137" t="str">
        <f t="shared" si="103"/>
        <v xml:space="preserve">Hamish Alexander Cormack LEASK (2018– </v>
      </c>
      <c r="BL137" t="str">
        <f t="shared" si="104"/>
        <v>Hamish LEASK (2018– : #164b)</v>
      </c>
      <c r="BM137" t="str">
        <f t="shared" si="105"/>
        <v>Hamish Alexander Cormack LEASK (2018– : #164b)</v>
      </c>
      <c r="BP137" t="str">
        <f t="shared" si="106"/>
        <v>LEASK</v>
      </c>
      <c r="BQ137" t="str">
        <f t="shared" si="107"/>
        <v>Hamish</v>
      </c>
      <c r="BR137" s="116" t="str">
        <f t="shared" si="108"/>
        <v>Hamish</v>
      </c>
      <c r="CO137" s="184" t="s">
        <v>3096</v>
      </c>
      <c r="CP137" s="161" t="s">
        <v>3093</v>
      </c>
      <c r="CQ137" s="137" t="s">
        <v>3098</v>
      </c>
      <c r="CR137" s="137" t="s">
        <v>924</v>
      </c>
      <c r="CS137" s="137" t="s">
        <v>3099</v>
      </c>
      <c r="CT137" s="137"/>
      <c r="CU137" s="137">
        <v>2018</v>
      </c>
      <c r="CV137" s="137" t="s">
        <v>3774</v>
      </c>
      <c r="CW137" t="e">
        <f t="shared" si="113"/>
        <v>#VALUE!</v>
      </c>
    </row>
    <row r="138" spans="1:101" ht="20">
      <c r="A138" s="287">
        <f>'Loyd List 1-190 - Edit'!C138</f>
        <v>136</v>
      </c>
      <c r="B138" s="295" t="str">
        <f>VLOOKUP(A138,'Book Details - NO EDIT'!$U$3:$X$192,4,FALSE)</f>
        <v>Tim (1957–: #136)</v>
      </c>
      <c r="C138" s="287">
        <f>VLOOKUP(A138,'Loyd List 1-190 - Edit'!$P$1:$R$200,3,FALSE)</f>
        <v>94</v>
      </c>
      <c r="D138" s="287">
        <f t="shared" si="110"/>
        <v>5</v>
      </c>
      <c r="E138" s="287">
        <f t="shared" si="101"/>
        <v>1</v>
      </c>
      <c r="F138" s="269" t="str">
        <f t="shared" si="111"/>
        <v xml:space="preserve">5 – Rob (1949–: #124) Paddy (1951–: #126) Dominic (1953–: #131)  Alex (1959–: #139) Rick (1962–: #142)   </v>
      </c>
      <c r="G138" s="125" t="str">
        <f>'Loyd Book 2022 - Print'!N138</f>
        <v xml:space="preserve">5 – Rob (1949–: #124) Paddy (1951–: #126) Dominic (1953–: #131)  Alex (1959–: #139) Rick (1962–: #142)   </v>
      </c>
      <c r="H138" s="125">
        <f t="shared" si="109"/>
        <v>0</v>
      </c>
      <c r="I138" s="117">
        <f t="shared" si="112"/>
        <v>0</v>
      </c>
      <c r="J138" s="116" t="str">
        <f t="shared" si="98"/>
        <v>Rob (1949–: #124)</v>
      </c>
      <c r="K138" s="116" t="str">
        <f t="shared" si="100"/>
        <v>Paddy (1951–: #126)</v>
      </c>
      <c r="L138" s="116" t="str">
        <f>IF(VLOOKUP($C138,$AB$2:$AN$67,L$1,FALSE)=$A138,"",VLOOKUP(VLOOKUP($C138,$AB$2:$AN$67,L$1,FALSE),$A$1:$B$200,2,FALSE))</f>
        <v>Dominic (1953–: #131)</v>
      </c>
      <c r="M138" s="116" t="str">
        <f>IF(VLOOKUP($C138,$AB$2:$AN$67,M$1,FALSE)=$A138,"",VLOOKUP(VLOOKUP($C138,$AB$2:$AN$67,M$1,FALSE),$A$1:$B$200,2,FALSE))</f>
        <v/>
      </c>
      <c r="N138" s="116" t="str">
        <f>IF(VLOOKUP($C138,$AB$2:$AN$67,N$1,FALSE)=$A138,"",VLOOKUP(VLOOKUP($C138,$AB$2:$AN$67,N$1,FALSE),$A$1:$B$200,2,FALSE))</f>
        <v>Alex (1959–: #139)</v>
      </c>
      <c r="O138" s="116" t="str">
        <f>IF(VLOOKUP($C138,$AB$2:$AN$67,O$1,FALSE)=$A138,"",VLOOKUP(VLOOKUP($C138,$AB$2:$AN$67,O$1,FALSE),$A$1:$B$200,2,FALSE))</f>
        <v>Rick (1962–: #142)</v>
      </c>
      <c r="P138" s="116"/>
      <c r="Q138" s="116"/>
      <c r="R138" s="116"/>
      <c r="S138" s="117"/>
      <c r="T138" s="117"/>
      <c r="U138" s="117"/>
      <c r="V138" s="117"/>
      <c r="AA138" s="124"/>
      <c r="BH138" s="116">
        <f t="shared" si="102"/>
        <v>164</v>
      </c>
      <c r="BI138" s="3" t="s">
        <v>3097</v>
      </c>
      <c r="BJ138" s="3" t="s">
        <v>4894</v>
      </c>
      <c r="BK138" t="str">
        <f t="shared" si="103"/>
        <v xml:space="preserve">Otto Angus Davis LEASK (2020– </v>
      </c>
      <c r="BL138" t="str">
        <f t="shared" si="104"/>
        <v>Otto LEASK (2020– : #164c)</v>
      </c>
      <c r="BM138" t="str">
        <f t="shared" si="105"/>
        <v>Otto Angus Davis LEASK (2020– : #164c)</v>
      </c>
      <c r="BP138" t="str">
        <f t="shared" si="106"/>
        <v>LEASK</v>
      </c>
      <c r="BQ138" t="str">
        <f t="shared" si="107"/>
        <v>Otto</v>
      </c>
      <c r="BR138" s="116" t="str">
        <f t="shared" si="108"/>
        <v>Otto</v>
      </c>
      <c r="CO138" s="184" t="s">
        <v>3097</v>
      </c>
      <c r="CP138" s="161" t="s">
        <v>3093</v>
      </c>
      <c r="CQ138" s="137" t="s">
        <v>3058</v>
      </c>
      <c r="CR138" s="137" t="s">
        <v>1442</v>
      </c>
      <c r="CS138" s="137" t="s">
        <v>3102</v>
      </c>
      <c r="CT138" s="137"/>
      <c r="CU138" s="137">
        <v>2020</v>
      </c>
      <c r="CV138" s="137" t="s">
        <v>3774</v>
      </c>
      <c r="CW138" t="e">
        <f t="shared" si="113"/>
        <v>#VALUE!</v>
      </c>
    </row>
    <row r="139" spans="1:101" ht="20">
      <c r="A139" s="287">
        <f>'Loyd List 1-190 - Edit'!C139</f>
        <v>137</v>
      </c>
      <c r="B139" s="295" t="str">
        <f>VLOOKUP(A139,'Book Details - NO EDIT'!$U$3:$X$192,4,FALSE)</f>
        <v>Henrietta (1959–: #137)</v>
      </c>
      <c r="C139" s="287">
        <f>VLOOKUP(A139,'Loyd List 1-190 - Edit'!$P$1:$R$200,3,FALSE)</f>
        <v>99</v>
      </c>
      <c r="D139" s="287">
        <f t="shared" si="110"/>
        <v>1</v>
      </c>
      <c r="E139" s="287">
        <f t="shared" si="101"/>
        <v>1</v>
      </c>
      <c r="F139" s="269" t="str">
        <f t="shared" si="111"/>
        <v xml:space="preserve">1 – Andrew (1962–: #144)       </v>
      </c>
      <c r="G139" s="125" t="str">
        <f>'Loyd Book 2022 - Print'!N139</f>
        <v xml:space="preserve">1 – Andrew (1962–: #144)       </v>
      </c>
      <c r="H139" s="125">
        <f t="shared" si="109"/>
        <v>0</v>
      </c>
      <c r="I139" s="117">
        <f t="shared" si="112"/>
        <v>0</v>
      </c>
      <c r="J139" s="116" t="str">
        <f t="shared" ref="J139:J170" si="114">IF(VLOOKUP($C139,$AB$2:$AN$67,J$1,FALSE)=$A139,"",VLOOKUP(VLOOKUP($C139,$AB$2:$AN$67,J$1,FALSE),$A$1:$B$200,2,FALSE))</f>
        <v/>
      </c>
      <c r="K139" s="116" t="str">
        <f t="shared" si="100"/>
        <v>Andrew (1962–: #144)</v>
      </c>
      <c r="L139" s="116"/>
      <c r="M139" s="116"/>
      <c r="N139" s="116"/>
      <c r="O139" s="116"/>
      <c r="P139" s="116"/>
      <c r="Q139" s="116"/>
      <c r="R139" s="116"/>
      <c r="S139" s="117"/>
      <c r="T139" s="117"/>
      <c r="U139" s="117"/>
      <c r="V139" s="117"/>
      <c r="AA139" s="124"/>
      <c r="BH139" s="116">
        <f t="shared" si="102"/>
        <v>165</v>
      </c>
      <c r="BI139" s="3" t="s">
        <v>3105</v>
      </c>
      <c r="BJ139" s="3" t="s">
        <v>4895</v>
      </c>
      <c r="BK139" t="str">
        <f t="shared" si="103"/>
        <v xml:space="preserve">Leila Cherry PURI (2017– </v>
      </c>
      <c r="BL139" t="str">
        <f t="shared" si="104"/>
        <v>Leila PURI (2017– : #165a)</v>
      </c>
      <c r="BM139" t="str">
        <f t="shared" si="105"/>
        <v>Leila Cherry PURI (2017– : #165a)</v>
      </c>
      <c r="BP139" t="str">
        <f t="shared" si="106"/>
        <v>PURI</v>
      </c>
      <c r="BQ139" t="str">
        <f t="shared" si="107"/>
        <v>Leila</v>
      </c>
      <c r="BR139" s="116" t="str">
        <f t="shared" si="108"/>
        <v>Leila</v>
      </c>
      <c r="CO139" s="184" t="s">
        <v>3105</v>
      </c>
      <c r="CP139" s="161" t="s">
        <v>3106</v>
      </c>
      <c r="CQ139" s="137" t="s">
        <v>3107</v>
      </c>
      <c r="CR139" s="137" t="s">
        <v>3108</v>
      </c>
      <c r="CS139" s="137"/>
      <c r="CT139" s="137"/>
      <c r="CU139" s="137">
        <v>2017</v>
      </c>
      <c r="CV139" s="137" t="s">
        <v>3774</v>
      </c>
      <c r="CW139" t="e">
        <f t="shared" si="113"/>
        <v>#VALUE!</v>
      </c>
    </row>
    <row r="140" spans="1:101" ht="20">
      <c r="A140" s="287">
        <f>'Loyd List 1-190 - Edit'!C140</f>
        <v>138</v>
      </c>
      <c r="B140" s="295" t="str">
        <f>VLOOKUP(A140,'Book Details - NO EDIT'!$U$3:$X$192,4,FALSE)</f>
        <v>Thomas (1959–: #138)</v>
      </c>
      <c r="C140" s="287">
        <f>VLOOKUP(A140,'Loyd List 1-190 - Edit'!$P$1:$R$200,3,FALSE)</f>
        <v>100</v>
      </c>
      <c r="D140" s="287">
        <f t="shared" si="110"/>
        <v>2</v>
      </c>
      <c r="E140" s="287">
        <f t="shared" si="101"/>
        <v>1</v>
      </c>
      <c r="F140" s="269" t="str">
        <f t="shared" si="111"/>
        <v xml:space="preserve">2 – Harriet (1962–: #143) James (1966–: #150)      </v>
      </c>
      <c r="G140" s="125" t="str">
        <f>'Loyd Book 2022 - Print'!N140</f>
        <v xml:space="preserve">2 – Harriet (1962–: #143) James (1966–: #150)      </v>
      </c>
      <c r="H140" s="125">
        <f t="shared" si="109"/>
        <v>0</v>
      </c>
      <c r="I140" s="117">
        <f t="shared" si="112"/>
        <v>0</v>
      </c>
      <c r="J140" s="116" t="str">
        <f t="shared" si="114"/>
        <v/>
      </c>
      <c r="K140" s="116" t="str">
        <f t="shared" si="100"/>
        <v>Harriet (1962–: #143)</v>
      </c>
      <c r="L140" s="116" t="str">
        <f t="shared" ref="L140:L145" si="115">IF(VLOOKUP($C140,$AB$2:$AN$67,L$1,FALSE)=$A140,"",VLOOKUP(VLOOKUP($C140,$AB$2:$AN$67,L$1,FALSE),$A$1:$B$200,2,FALSE))</f>
        <v>James (1966–: #150)</v>
      </c>
      <c r="M140" s="116"/>
      <c r="N140" s="116"/>
      <c r="O140" s="116"/>
      <c r="P140" s="116"/>
      <c r="Q140" s="116"/>
      <c r="R140" s="116"/>
      <c r="S140" s="117"/>
      <c r="T140" s="117"/>
      <c r="U140" s="117"/>
      <c r="V140" s="117"/>
      <c r="AA140" s="124"/>
      <c r="BH140" s="116">
        <f t="shared" si="102"/>
        <v>165</v>
      </c>
      <c r="BI140" s="3" t="s">
        <v>3109</v>
      </c>
      <c r="BJ140" s="3" t="s">
        <v>4896</v>
      </c>
      <c r="BK140" t="str">
        <f t="shared" si="103"/>
        <v xml:space="preserve">Alana Kailash PURI (2019– </v>
      </c>
      <c r="BL140" t="str">
        <f t="shared" si="104"/>
        <v>Alana PURI (2019– : #165b)</v>
      </c>
      <c r="BM140" t="str">
        <f t="shared" si="105"/>
        <v>Alana Kailash PURI (2019– : #165b)</v>
      </c>
      <c r="BP140" t="str">
        <f t="shared" si="106"/>
        <v>PURI</v>
      </c>
      <c r="BQ140" t="str">
        <f t="shared" si="107"/>
        <v>Alana</v>
      </c>
      <c r="BR140" s="116" t="str">
        <f t="shared" si="108"/>
        <v>Alana</v>
      </c>
      <c r="CO140" s="184" t="s">
        <v>3109</v>
      </c>
      <c r="CP140" s="161" t="s">
        <v>3106</v>
      </c>
      <c r="CQ140" s="137" t="s">
        <v>3110</v>
      </c>
      <c r="CR140" s="137" t="s">
        <v>3111</v>
      </c>
      <c r="CS140" s="137"/>
      <c r="CT140" s="137"/>
      <c r="CU140" s="137">
        <v>2019</v>
      </c>
      <c r="CV140" s="137" t="s">
        <v>3774</v>
      </c>
      <c r="CW140" t="e">
        <f t="shared" si="113"/>
        <v>#VALUE!</v>
      </c>
    </row>
    <row r="141" spans="1:101" ht="20">
      <c r="A141" s="287">
        <f>'Loyd List 1-190 - Edit'!C141</f>
        <v>139</v>
      </c>
      <c r="B141" s="295" t="str">
        <f>VLOOKUP(A141,'Book Details - NO EDIT'!$U$3:$X$192,4,FALSE)</f>
        <v>Alex (1959–: #139)</v>
      </c>
      <c r="C141" s="287">
        <f>VLOOKUP(A141,'Loyd List 1-190 - Edit'!$P$1:$R$200,3,FALSE)</f>
        <v>94</v>
      </c>
      <c r="D141" s="287">
        <f t="shared" si="110"/>
        <v>5</v>
      </c>
      <c r="E141" s="287">
        <f t="shared" si="101"/>
        <v>1</v>
      </c>
      <c r="F141" s="269" t="str">
        <f t="shared" si="111"/>
        <v xml:space="preserve">5 – Rob (1949–: #124) Paddy (1951–: #126) Dominic (1953–: #131) Tim (1957–: #136)  Rick (1962–: #142)   </v>
      </c>
      <c r="G141" s="125" t="str">
        <f>'Loyd Book 2022 - Print'!N141</f>
        <v xml:space="preserve">5 – Rob (1949–: #124) Paddy (1951–: #126) Dominic (1953–: #131) Tim (1957–: #136)  Rick (1962–: #142)   </v>
      </c>
      <c r="H141" s="125">
        <f t="shared" si="109"/>
        <v>0</v>
      </c>
      <c r="I141" s="117">
        <f t="shared" si="112"/>
        <v>0</v>
      </c>
      <c r="J141" s="116" t="str">
        <f t="shared" si="114"/>
        <v>Rob (1949–: #124)</v>
      </c>
      <c r="K141" s="116" t="str">
        <f t="shared" si="100"/>
        <v>Paddy (1951–: #126)</v>
      </c>
      <c r="L141" s="116" t="str">
        <f t="shared" si="115"/>
        <v>Dominic (1953–: #131)</v>
      </c>
      <c r="M141" s="116" t="str">
        <f>IF(VLOOKUP($C141,$AB$2:$AN$67,M$1,FALSE)=$A141,"",VLOOKUP(VLOOKUP($C141,$AB$2:$AN$67,M$1,FALSE),$A$1:$B$200,2,FALSE))</f>
        <v>Tim (1957–: #136)</v>
      </c>
      <c r="N141" s="116" t="str">
        <f>IF(VLOOKUP($C141,$AB$2:$AN$67,N$1,FALSE)=$A141,"",VLOOKUP(VLOOKUP($C141,$AB$2:$AN$67,N$1,FALSE),$A$1:$B$200,2,FALSE))</f>
        <v/>
      </c>
      <c r="O141" s="116" t="str">
        <f>IF(VLOOKUP($C141,$AB$2:$AN$67,O$1,FALSE)=$A141,"",VLOOKUP(VLOOKUP($C141,$AB$2:$AN$67,O$1,FALSE),$A$1:$B$200,2,FALSE))</f>
        <v>Rick (1962–: #142)</v>
      </c>
      <c r="P141" s="116"/>
      <c r="Q141" s="116"/>
      <c r="R141" s="116"/>
      <c r="S141" s="117"/>
      <c r="T141" s="117"/>
      <c r="U141" s="117"/>
      <c r="V141" s="117"/>
      <c r="AA141" s="124"/>
      <c r="BH141" s="116">
        <f t="shared" si="102"/>
        <v>168</v>
      </c>
      <c r="BI141" s="3" t="s">
        <v>3114</v>
      </c>
      <c r="BJ141" s="3" t="s">
        <v>4897</v>
      </c>
      <c r="BK141" t="str">
        <f t="shared" si="103"/>
        <v xml:space="preserve">Nicholas Rudyard Wroughton POWELL (2020– </v>
      </c>
      <c r="BL141" t="str">
        <f t="shared" si="104"/>
        <v>Nicholas POWELL (2020– : #168a)</v>
      </c>
      <c r="BM141" t="str">
        <f t="shared" si="105"/>
        <v>Nicholas Rudyard Wroughton POWELL (2020– : #168a)</v>
      </c>
      <c r="BP141" t="str">
        <f t="shared" si="106"/>
        <v>POWELL</v>
      </c>
      <c r="BQ141" t="str">
        <f t="shared" si="107"/>
        <v>Nicholas</v>
      </c>
      <c r="BR141" s="116" t="str">
        <f t="shared" si="108"/>
        <v>Nicholas</v>
      </c>
      <c r="CO141" s="184" t="s">
        <v>3114</v>
      </c>
      <c r="CP141" s="161" t="s">
        <v>2151</v>
      </c>
      <c r="CQ141" s="137" t="s">
        <v>1589</v>
      </c>
      <c r="CR141" s="137" t="s">
        <v>3115</v>
      </c>
      <c r="CS141" s="137" t="s">
        <v>3116</v>
      </c>
      <c r="CT141" s="137"/>
      <c r="CU141" s="137">
        <v>2020</v>
      </c>
      <c r="CV141" s="137" t="s">
        <v>3774</v>
      </c>
      <c r="CW141" t="e">
        <f t="shared" si="113"/>
        <v>#VALUE!</v>
      </c>
    </row>
    <row r="142" spans="1:101" ht="20">
      <c r="A142" s="287">
        <f>'Loyd List 1-190 - Edit'!C142</f>
        <v>140</v>
      </c>
      <c r="B142" s="295" t="str">
        <f>VLOOKUP(A142,'Book Details - NO EDIT'!$U$3:$X$192,4,FALSE)</f>
        <v>Ginie (1961–: #140)</v>
      </c>
      <c r="C142" s="287">
        <f>VLOOKUP(A142,'Loyd List 1-190 - Edit'!$P$1:$R$200,3,FALSE)</f>
        <v>78</v>
      </c>
      <c r="D142" s="287">
        <f t="shared" si="110"/>
        <v>3</v>
      </c>
      <c r="E142" s="287">
        <f t="shared" si="101"/>
        <v>1</v>
      </c>
      <c r="F142" s="269" t="str">
        <f t="shared" si="111"/>
        <v xml:space="preserve">3 – Willie (1937–1994: #113) Belinda (1939–2018: #115) Vivian (1951–: #127)      </v>
      </c>
      <c r="G142" s="125" t="str">
        <f>'Loyd Book 2022 - Print'!N142</f>
        <v xml:space="preserve">3 – Willie (1937–1994: #113) Belinda (1939–2018: #115) Vivian (1951–: #127)      </v>
      </c>
      <c r="H142" s="125">
        <f t="shared" si="109"/>
        <v>0</v>
      </c>
      <c r="I142" s="117">
        <f t="shared" si="112"/>
        <v>0</v>
      </c>
      <c r="J142" s="116" t="str">
        <f t="shared" si="114"/>
        <v>Willie (1937–1994: #113)</v>
      </c>
      <c r="K142" s="116" t="str">
        <f t="shared" si="100"/>
        <v>Belinda (1939–2018: #115)</v>
      </c>
      <c r="L142" s="116" t="str">
        <f t="shared" si="115"/>
        <v>Vivian (1951–: #127)</v>
      </c>
      <c r="M142" s="116" t="str">
        <f>IF(VLOOKUP($C142,$AB$2:$AN$67,M$1,FALSE)=$A142,"",VLOOKUP(VLOOKUP($C142,$AB$2:$AN$67,M$1,FALSE),$A$1:$B$200,2,FALSE))</f>
        <v/>
      </c>
      <c r="N142" s="116"/>
      <c r="O142" s="116"/>
      <c r="P142" s="116"/>
      <c r="Q142" s="116"/>
      <c r="R142" s="116"/>
      <c r="S142" s="117"/>
      <c r="T142" s="117"/>
      <c r="U142" s="117"/>
      <c r="V142" s="117"/>
      <c r="AA142" s="124"/>
      <c r="BH142" s="116">
        <f t="shared" si="102"/>
        <v>168</v>
      </c>
      <c r="BI142" s="3" t="s">
        <v>4065</v>
      </c>
      <c r="BJ142" s="3" t="s">
        <v>4898</v>
      </c>
      <c r="BK142" t="str">
        <f t="shared" si="103"/>
        <v xml:space="preserve">Florence Sofia Berners POWELL (2022– </v>
      </c>
      <c r="BL142" t="str">
        <f t="shared" si="104"/>
        <v>Florence POWELL  (2022– : #168b)</v>
      </c>
      <c r="BM142" t="str">
        <f t="shared" si="105"/>
        <v>Florence Sofia Berners POWELL (2022– : #168b)</v>
      </c>
      <c r="BP142" t="str">
        <f t="shared" si="106"/>
        <v>POWELL </v>
      </c>
      <c r="BQ142" t="str">
        <f t="shared" si="107"/>
        <v>Florence</v>
      </c>
      <c r="BR142" s="116" t="str">
        <f t="shared" si="108"/>
        <v>Florence</v>
      </c>
      <c r="CO142" s="184" t="s">
        <v>4065</v>
      </c>
      <c r="CP142" s="161" t="s">
        <v>4064</v>
      </c>
      <c r="CQ142" s="137" t="s">
        <v>2211</v>
      </c>
      <c r="CR142" s="137" t="s">
        <v>4066</v>
      </c>
      <c r="CS142" s="137" t="s">
        <v>4067</v>
      </c>
      <c r="CT142" s="137"/>
      <c r="CU142" s="137">
        <v>2022</v>
      </c>
      <c r="CV142" s="137" t="s">
        <v>3774</v>
      </c>
      <c r="CW142" t="e">
        <f t="shared" si="113"/>
        <v>#VALUE!</v>
      </c>
    </row>
    <row r="143" spans="1:101" ht="20">
      <c r="A143" s="287">
        <f>'Loyd List 1-190 - Edit'!C143</f>
        <v>141</v>
      </c>
      <c r="B143" s="295" t="str">
        <f>VLOOKUP(A143,'Book Details - NO EDIT'!$U$3:$X$192,4,FALSE)</f>
        <v>Alexandra (1961–: #141)</v>
      </c>
      <c r="C143" s="287">
        <f>VLOOKUP(A143,'Loyd List 1-190 - Edit'!$P$1:$R$200,3,FALSE)</f>
        <v>104</v>
      </c>
      <c r="D143" s="287">
        <f t="shared" si="110"/>
        <v>3</v>
      </c>
      <c r="E143" s="287">
        <f t="shared" si="101"/>
        <v>1</v>
      </c>
      <c r="F143" s="269" t="str">
        <f t="shared" si="111"/>
        <v xml:space="preserve">3 – Charles (1963–: #146) Toby (1966–1966: #148) Mary Rose (1967–: #152)     </v>
      </c>
      <c r="G143" s="125" t="str">
        <f>'Loyd Book 2022 - Print'!N143</f>
        <v xml:space="preserve">3 – Charles (1963–: #146) Toby (1966–1966: #148) Mary Rose (1967–: #152)     </v>
      </c>
      <c r="H143" s="125">
        <f t="shared" si="109"/>
        <v>0</v>
      </c>
      <c r="I143" s="117">
        <f t="shared" si="112"/>
        <v>0</v>
      </c>
      <c r="J143" s="116" t="str">
        <f t="shared" si="114"/>
        <v/>
      </c>
      <c r="K143" s="116" t="str">
        <f t="shared" si="100"/>
        <v>Charles (1963–: #146)</v>
      </c>
      <c r="L143" s="116" t="str">
        <f t="shared" si="115"/>
        <v>Toby (1966–1966: #148)</v>
      </c>
      <c r="M143" s="116" t="str">
        <f>IF(VLOOKUP($C143,$AB$2:$AN$67,M$1,FALSE)=$A143,"",VLOOKUP(VLOOKUP($C143,$AB$2:$AN$67,M$1,FALSE),$A$1:$B$200,2,FALSE))</f>
        <v>Mary Rose (1967–: #152)</v>
      </c>
      <c r="N143" s="116"/>
      <c r="O143" s="116"/>
      <c r="P143" s="116"/>
      <c r="Q143" s="116"/>
      <c r="R143" s="116"/>
      <c r="S143" s="117"/>
      <c r="T143" s="117"/>
      <c r="U143" s="117"/>
      <c r="V143" s="117"/>
      <c r="AA143" s="124"/>
      <c r="BH143" s="116">
        <f t="shared" si="102"/>
        <v>170</v>
      </c>
      <c r="BI143" s="3" t="s">
        <v>3117</v>
      </c>
      <c r="BJ143" s="3" t="s">
        <v>4899</v>
      </c>
      <c r="BK143" t="str">
        <f t="shared" si="103"/>
        <v xml:space="preserve">Angus Thomas Folliott POWELL (2021– </v>
      </c>
      <c r="BL143" t="str">
        <f t="shared" si="104"/>
        <v>Angus POWELL (2021– : #170a)</v>
      </c>
      <c r="BM143" t="str">
        <f t="shared" si="105"/>
        <v>Angus Thomas Folliott POWELL (2021– : #170a)</v>
      </c>
      <c r="BP143" t="str">
        <f t="shared" si="106"/>
        <v>POWELL</v>
      </c>
      <c r="BQ143" t="str">
        <f t="shared" si="107"/>
        <v>Angus</v>
      </c>
      <c r="BR143" s="116" t="str">
        <f t="shared" si="108"/>
        <v>Angus</v>
      </c>
      <c r="CO143" s="184" t="s">
        <v>3117</v>
      </c>
      <c r="CP143" s="161" t="s">
        <v>2151</v>
      </c>
      <c r="CQ143" s="137" t="s">
        <v>1442</v>
      </c>
      <c r="CR143" s="137" t="s">
        <v>852</v>
      </c>
      <c r="CS143" s="137" t="s">
        <v>3118</v>
      </c>
      <c r="CT143" s="137"/>
      <c r="CU143" s="137">
        <v>2021</v>
      </c>
      <c r="CV143" s="137" t="s">
        <v>3774</v>
      </c>
      <c r="CW143" t="e">
        <f t="shared" si="113"/>
        <v>#VALUE!</v>
      </c>
    </row>
    <row r="144" spans="1:101" ht="20">
      <c r="A144" s="287">
        <f>'Loyd List 1-190 - Edit'!C144</f>
        <v>142</v>
      </c>
      <c r="B144" s="295" t="str">
        <f>VLOOKUP(A144,'Book Details - NO EDIT'!$U$3:$X$192,4,FALSE)</f>
        <v>Rick (1962–: #142)</v>
      </c>
      <c r="C144" s="287">
        <f>VLOOKUP(A144,'Loyd List 1-190 - Edit'!$P$1:$R$200,3,FALSE)</f>
        <v>94</v>
      </c>
      <c r="D144" s="287">
        <f t="shared" si="110"/>
        <v>5</v>
      </c>
      <c r="E144" s="287">
        <f t="shared" si="101"/>
        <v>1</v>
      </c>
      <c r="F144" s="269" t="str">
        <f t="shared" si="111"/>
        <v xml:space="preserve">5 – Rob (1949–: #124) Paddy (1951–: #126) Dominic (1953–: #131) Tim (1957–: #136) Alex (1959–: #139)    </v>
      </c>
      <c r="G144" s="125" t="str">
        <f>'Loyd Book 2022 - Print'!N144</f>
        <v xml:space="preserve">5 – Rob (1949–: #124) Paddy (1951–: #126) Dominic (1953–: #131) Tim (1957–: #136) Alex (1959–: #139)    </v>
      </c>
      <c r="H144" s="125">
        <f t="shared" si="109"/>
        <v>0</v>
      </c>
      <c r="I144" s="117">
        <f t="shared" si="112"/>
        <v>0</v>
      </c>
      <c r="J144" s="116" t="str">
        <f t="shared" si="114"/>
        <v>Rob (1949–: #124)</v>
      </c>
      <c r="K144" s="116" t="str">
        <f t="shared" si="100"/>
        <v>Paddy (1951–: #126)</v>
      </c>
      <c r="L144" s="116" t="str">
        <f t="shared" si="115"/>
        <v>Dominic (1953–: #131)</v>
      </c>
      <c r="M144" s="116" t="str">
        <f>IF(VLOOKUP($C144,$AB$2:$AN$67,M$1,FALSE)=$A144,"",VLOOKUP(VLOOKUP($C144,$AB$2:$AN$67,M$1,FALSE),$A$1:$B$200,2,FALSE))</f>
        <v>Tim (1957–: #136)</v>
      </c>
      <c r="N144" s="116" t="str">
        <f>IF(VLOOKUP($C144,$AB$2:$AN$67,N$1,FALSE)=$A144,"",VLOOKUP(VLOOKUP($C144,$AB$2:$AN$67,N$1,FALSE),$A$1:$B$200,2,FALSE))</f>
        <v>Alex (1959–: #139)</v>
      </c>
      <c r="O144" s="116" t="str">
        <f>IF(VLOOKUP($C144,$AB$2:$AN$67,O$1,FALSE)=$A144,"",VLOOKUP(VLOOKUP($C144,$AB$2:$AN$67,O$1,FALSE),$A$1:$B$200,2,FALSE))</f>
        <v/>
      </c>
      <c r="P144" s="116"/>
      <c r="Q144" s="116"/>
      <c r="R144" s="116"/>
      <c r="S144" s="117"/>
      <c r="T144" s="117"/>
      <c r="U144" s="117"/>
      <c r="V144" s="117"/>
      <c r="AA144" s="124"/>
      <c r="CO144" s="157" t="s">
        <v>1960</v>
      </c>
      <c r="CP144" s="6" t="s">
        <v>1948</v>
      </c>
      <c r="CQ144" s="5" t="s">
        <v>830</v>
      </c>
      <c r="CR144" s="5"/>
      <c r="CS144" s="5"/>
      <c r="CT144" s="5"/>
      <c r="CU144" s="189" t="s">
        <v>3284</v>
      </c>
      <c r="CV144" s="5">
        <v>1908</v>
      </c>
      <c r="CW144" t="e">
        <f t="shared" si="113"/>
        <v>#VALUE!</v>
      </c>
    </row>
    <row r="145" spans="1:101" ht="20">
      <c r="A145" s="287">
        <f>'Loyd List 1-190 - Edit'!C145</f>
        <v>143</v>
      </c>
      <c r="B145" s="295" t="str">
        <f>VLOOKUP(A145,'Book Details - NO EDIT'!$U$3:$X$192,4,FALSE)</f>
        <v>Harriet (1962–: #143)</v>
      </c>
      <c r="C145" s="287">
        <f>VLOOKUP(A145,'Loyd List 1-190 - Edit'!$P$1:$R$200,3,FALSE)</f>
        <v>100</v>
      </c>
      <c r="D145" s="287">
        <f t="shared" si="110"/>
        <v>2</v>
      </c>
      <c r="E145" s="287">
        <f t="shared" si="101"/>
        <v>1</v>
      </c>
      <c r="F145" s="269" t="str">
        <f t="shared" si="111"/>
        <v xml:space="preserve">2 – Thomas (1959–: #138)  James (1966–: #150)      </v>
      </c>
      <c r="G145" s="125" t="str">
        <f>'Loyd Book 2022 - Print'!N145</f>
        <v xml:space="preserve">2 – Thomas (1959–: #138)  James (1966–: #150)      </v>
      </c>
      <c r="H145" s="125">
        <f t="shared" si="109"/>
        <v>0</v>
      </c>
      <c r="I145" s="117">
        <f t="shared" si="112"/>
        <v>0</v>
      </c>
      <c r="J145" s="116" t="str">
        <f t="shared" si="114"/>
        <v>Thomas (1959–: #138)</v>
      </c>
      <c r="K145" s="116" t="str">
        <f t="shared" si="100"/>
        <v/>
      </c>
      <c r="L145" s="116" t="str">
        <f t="shared" si="115"/>
        <v>James (1966–: #150)</v>
      </c>
      <c r="M145" s="116"/>
      <c r="N145" s="116"/>
      <c r="O145" s="116"/>
      <c r="P145" s="116"/>
      <c r="Q145" s="116"/>
      <c r="R145" s="116"/>
      <c r="S145" s="117"/>
      <c r="T145" s="117"/>
      <c r="U145" s="117"/>
      <c r="V145" s="117"/>
      <c r="AA145" s="124"/>
      <c r="CO145" s="157" t="s">
        <v>1970</v>
      </c>
      <c r="CP145" s="6" t="s">
        <v>1948</v>
      </c>
      <c r="CQ145" s="5" t="s">
        <v>867</v>
      </c>
      <c r="CR145" s="5"/>
      <c r="CS145" s="5"/>
      <c r="CT145" s="5"/>
      <c r="CU145" s="5">
        <v>1829</v>
      </c>
      <c r="CV145" s="5">
        <v>1866</v>
      </c>
      <c r="CW145">
        <f t="shared" si="113"/>
        <v>37</v>
      </c>
    </row>
    <row r="146" spans="1:101" ht="20">
      <c r="A146" s="287">
        <f>'Loyd List 1-190 - Edit'!C146</f>
        <v>144</v>
      </c>
      <c r="B146" s="295" t="str">
        <f>VLOOKUP(A146,'Book Details - NO EDIT'!$U$3:$X$192,4,FALSE)</f>
        <v>Andrew (1962–: #144)</v>
      </c>
      <c r="C146" s="287">
        <f>VLOOKUP(A146,'Loyd List 1-190 - Edit'!$P$1:$R$200,3,FALSE)</f>
        <v>99</v>
      </c>
      <c r="D146" s="287">
        <f t="shared" si="110"/>
        <v>1</v>
      </c>
      <c r="E146" s="287">
        <f t="shared" si="101"/>
        <v>1</v>
      </c>
      <c r="F146" s="269" t="str">
        <f t="shared" si="111"/>
        <v xml:space="preserve">1 – Henrietta (1959–: #137)        </v>
      </c>
      <c r="G146" s="125" t="str">
        <f>'Loyd Book 2022 - Print'!N146</f>
        <v xml:space="preserve">1 – Henrietta (1959–: #137)        </v>
      </c>
      <c r="H146" s="125">
        <f t="shared" si="109"/>
        <v>0</v>
      </c>
      <c r="I146" s="117">
        <f t="shared" si="112"/>
        <v>0</v>
      </c>
      <c r="J146" s="116" t="str">
        <f t="shared" si="114"/>
        <v>Henrietta (1959–: #137)</v>
      </c>
      <c r="K146" s="116" t="str">
        <f t="shared" si="100"/>
        <v/>
      </c>
      <c r="L146" s="116"/>
      <c r="M146" s="116"/>
      <c r="N146" s="116"/>
      <c r="O146" s="116"/>
      <c r="P146" s="116"/>
      <c r="Q146" s="116"/>
      <c r="R146" s="116"/>
      <c r="S146" s="117"/>
      <c r="T146" s="117"/>
      <c r="U146" s="117"/>
      <c r="V146" s="117"/>
      <c r="AA146" s="124"/>
      <c r="CO146" s="157" t="s">
        <v>2034</v>
      </c>
      <c r="CP146" s="6" t="s">
        <v>2022</v>
      </c>
      <c r="CQ146" s="5" t="s">
        <v>2030</v>
      </c>
      <c r="CR146" s="5" t="s">
        <v>830</v>
      </c>
      <c r="CS146" s="5" t="s">
        <v>2031</v>
      </c>
      <c r="CT146" s="5"/>
      <c r="CU146" s="5">
        <v>1879</v>
      </c>
      <c r="CV146" s="5">
        <v>1891</v>
      </c>
      <c r="CW146">
        <f t="shared" si="113"/>
        <v>12</v>
      </c>
    </row>
    <row r="147" spans="1:101" ht="20">
      <c r="A147" s="287">
        <f>'Loyd List 1-190 - Edit'!C147</f>
        <v>145</v>
      </c>
      <c r="B147" s="295" t="str">
        <f>VLOOKUP(A147,'Book Details - NO EDIT'!$U$3:$X$192,4,FALSE)</f>
        <v>Tony (1963–: #145)</v>
      </c>
      <c r="C147" s="287">
        <f>VLOOKUP(A147,'Loyd List 1-190 - Edit'!$P$1:$R$200,3,FALSE)</f>
        <v>98</v>
      </c>
      <c r="D147" s="287">
        <f t="shared" si="110"/>
        <v>4</v>
      </c>
      <c r="E147" s="287">
        <f t="shared" si="101"/>
        <v>1</v>
      </c>
      <c r="F147" s="269" t="str">
        <f t="shared" si="111"/>
        <v xml:space="preserve">4 – Julie (1952–: #128) Penelope (1954–1954: #132) William (1955–: #134)  Sophie (1969–: #154)    </v>
      </c>
      <c r="G147" s="125" t="str">
        <f>'Loyd Book 2022 - Print'!N147</f>
        <v xml:space="preserve">4 – Julie (1952–: #128) Penelope (1954–1954: #132) William (1955–: #134)  Sophie (1969–: #154)    </v>
      </c>
      <c r="H147" s="125">
        <f t="shared" si="109"/>
        <v>0</v>
      </c>
      <c r="I147" s="117">
        <f t="shared" si="112"/>
        <v>0</v>
      </c>
      <c r="J147" s="116" t="str">
        <f t="shared" si="114"/>
        <v>Julie (1952–: #128)</v>
      </c>
      <c r="K147" s="116" t="str">
        <f t="shared" si="100"/>
        <v>Penelope (1954–1954: #132)</v>
      </c>
      <c r="L147" s="116" t="str">
        <f>IF(VLOOKUP($C147,$AB$2:$AN$67,L$1,FALSE)=$A147,"",VLOOKUP(VLOOKUP($C147,$AB$2:$AN$67,L$1,FALSE),$A$1:$B$200,2,FALSE))</f>
        <v>William (1955–: #134)</v>
      </c>
      <c r="M147" s="116" t="str">
        <f>IF(VLOOKUP($C147,$AB$2:$AN$67,M$1,FALSE)=$A147,"",VLOOKUP(VLOOKUP($C147,$AB$2:$AN$67,M$1,FALSE),$A$1:$B$200,2,FALSE))</f>
        <v/>
      </c>
      <c r="N147" s="116" t="str">
        <f>IF(VLOOKUP($C147,$AB$2:$AN$67,N$1,FALSE)=$A147,"",VLOOKUP(VLOOKUP($C147,$AB$2:$AN$67,N$1,FALSE),$A$1:$B$200,2,FALSE))</f>
        <v>Sophie (1969–: #154)</v>
      </c>
      <c r="O147" s="116"/>
      <c r="P147" s="116"/>
      <c r="Q147" s="116"/>
      <c r="R147" s="116"/>
      <c r="S147" s="117"/>
      <c r="T147" s="117"/>
      <c r="U147" s="117"/>
      <c r="V147" s="117"/>
      <c r="AA147" s="124"/>
      <c r="BH147" t="str">
        <f t="shared" ref="BH147:BH178" si="116">IF(LEN(BI147)=2,LEFT(BI147,1),IF(LEN(BI147)=3,LEFT(BI147,2),IF(LEN(BI147)=4,LEFT(BI147,3))))</f>
        <v>2a</v>
      </c>
      <c r="BI147" s="3" t="s">
        <v>1960</v>
      </c>
      <c r="BJ147" s="3" t="s">
        <v>5187</v>
      </c>
      <c r="BK147" t="str">
        <f t="shared" ref="BK147:BK178" si="117">LEFT(BJ147,LEN(BJ147)-1)</f>
        <v>William DAVIES (Date unknown–1908</v>
      </c>
      <c r="BL147" t="str">
        <f t="shared" ref="BL147:BL178" si="118">_xlfn.CONCAT(BK147,": #",BI147,")")</f>
        <v>William DAVIES (Date unknown–1908: #2aa)</v>
      </c>
      <c r="CO147" s="157" t="s">
        <v>2035</v>
      </c>
      <c r="CP147" s="6" t="s">
        <v>2022</v>
      </c>
      <c r="CQ147" s="5" t="s">
        <v>2036</v>
      </c>
      <c r="CR147" s="5" t="s">
        <v>867</v>
      </c>
      <c r="CS147" s="5"/>
      <c r="CT147" s="5"/>
      <c r="CU147" s="5">
        <v>1880</v>
      </c>
      <c r="CV147" s="5">
        <v>1963</v>
      </c>
      <c r="CW147">
        <f t="shared" si="113"/>
        <v>83</v>
      </c>
    </row>
    <row r="148" spans="1:101" ht="20">
      <c r="A148" s="287">
        <f>'Loyd List 1-190 - Edit'!C148</f>
        <v>146</v>
      </c>
      <c r="B148" s="295" t="str">
        <f>VLOOKUP(A148,'Book Details - NO EDIT'!$U$3:$X$192,4,FALSE)</f>
        <v>Charles (1963–: #146)</v>
      </c>
      <c r="C148" s="287">
        <f>VLOOKUP(A148,'Loyd List 1-190 - Edit'!$P$1:$R$200,3,FALSE)</f>
        <v>104</v>
      </c>
      <c r="D148" s="287">
        <f t="shared" si="110"/>
        <v>3</v>
      </c>
      <c r="E148" s="287">
        <f t="shared" si="101"/>
        <v>1</v>
      </c>
      <c r="F148" s="269" t="str">
        <f t="shared" si="111"/>
        <v xml:space="preserve">3 – Alexandra (1961–: #141)  Toby (1966–1966: #148) Mary Rose (1967–: #152)     </v>
      </c>
      <c r="G148" s="125" t="str">
        <f>'Loyd Book 2022 - Print'!N148</f>
        <v xml:space="preserve">3 – Alexandra (1961–: #141)  Toby (1966–1966: #148) Mary Rose (1967–: #152)     </v>
      </c>
      <c r="H148" s="125">
        <f t="shared" si="109"/>
        <v>0</v>
      </c>
      <c r="I148" s="117">
        <f t="shared" si="112"/>
        <v>0</v>
      </c>
      <c r="J148" s="116" t="str">
        <f t="shared" si="114"/>
        <v>Alexandra (1961–: #141)</v>
      </c>
      <c r="K148" s="116" t="str">
        <f t="shared" si="100"/>
        <v/>
      </c>
      <c r="L148" s="116" t="str">
        <f>IF(VLOOKUP($C148,$AB$2:$AN$67,L$1,FALSE)=$A148,"",VLOOKUP(VLOOKUP($C148,$AB$2:$AN$67,L$1,FALSE),$A$1:$B$200,2,FALSE))</f>
        <v>Toby (1966–1966: #148)</v>
      </c>
      <c r="M148" s="116" t="str">
        <f>IF(VLOOKUP($C148,$AB$2:$AN$67,M$1,FALSE)=$A148,"",VLOOKUP(VLOOKUP($C148,$AB$2:$AN$67,M$1,FALSE),$A$1:$B$200,2,FALSE))</f>
        <v>Mary Rose (1967–: #152)</v>
      </c>
      <c r="N148" s="116"/>
      <c r="O148" s="116"/>
      <c r="P148" s="116"/>
      <c r="Q148" s="116"/>
      <c r="R148" s="116"/>
      <c r="S148" s="117"/>
      <c r="T148" s="117"/>
      <c r="U148" s="117"/>
      <c r="V148" s="117"/>
      <c r="AA148" s="124"/>
      <c r="BH148" t="str">
        <f t="shared" si="116"/>
        <v>2c</v>
      </c>
      <c r="BI148" s="3" t="s">
        <v>1970</v>
      </c>
      <c r="BJ148" s="3" t="s">
        <v>5188</v>
      </c>
      <c r="BK148" t="str">
        <f t="shared" si="117"/>
        <v>Catherine DAVIES (1829–1866</v>
      </c>
      <c r="BL148" t="str">
        <f t="shared" si="118"/>
        <v>Catherine DAVIES (1829–1866: #2ca)</v>
      </c>
      <c r="CO148" s="157" t="s">
        <v>2089</v>
      </c>
      <c r="CP148" s="6" t="s">
        <v>2022</v>
      </c>
      <c r="CQ148" s="5" t="s">
        <v>2068</v>
      </c>
      <c r="CR148" s="5" t="s">
        <v>918</v>
      </c>
      <c r="CS148" s="5"/>
      <c r="CT148" s="5"/>
      <c r="CU148" s="5">
        <v>1882</v>
      </c>
      <c r="CV148" s="5">
        <v>1941</v>
      </c>
      <c r="CW148">
        <f t="shared" si="113"/>
        <v>59</v>
      </c>
    </row>
    <row r="149" spans="1:101" ht="20">
      <c r="A149" s="287">
        <f>'Loyd List 1-190 - Edit'!C149</f>
        <v>147</v>
      </c>
      <c r="B149" s="295" t="str">
        <f>VLOOKUP(A149,'Book Details - NO EDIT'!$U$3:$X$192,4,FALSE)</f>
        <v>Susannah (1965–: #147)</v>
      </c>
      <c r="C149" s="287">
        <f>VLOOKUP(A149,'Loyd List 1-190 - Edit'!$P$1:$R$200,3,FALSE)</f>
        <v>117</v>
      </c>
      <c r="D149" s="287">
        <f t="shared" si="110"/>
        <v>2</v>
      </c>
      <c r="E149" s="287">
        <f t="shared" si="101"/>
        <v>1</v>
      </c>
      <c r="F149" s="269" t="str">
        <f t="shared" si="111"/>
        <v xml:space="preserve">2 – Elspeth (1967–: #151) Richard (1968–: #153)      </v>
      </c>
      <c r="G149" s="125" t="str">
        <f>'Loyd Book 2022 - Print'!N149</f>
        <v xml:space="preserve">2 – Elspeth (1967–: #151) Richard (1968–: #153)      </v>
      </c>
      <c r="H149" s="125">
        <f t="shared" si="109"/>
        <v>0</v>
      </c>
      <c r="I149" s="117">
        <f t="shared" si="112"/>
        <v>0</v>
      </c>
      <c r="J149" s="116" t="str">
        <f t="shared" si="114"/>
        <v/>
      </c>
      <c r="K149" s="116" t="str">
        <f t="shared" si="100"/>
        <v>Elspeth (1967–: #151)</v>
      </c>
      <c r="L149" s="116" t="str">
        <f>IF(VLOOKUP($C149,$AB$2:$AN$67,L$1,FALSE)=$A149,"",VLOOKUP(VLOOKUP($C149,$AB$2:$AN$67,L$1,FALSE),$A$1:$B$200,2,FALSE))</f>
        <v>Richard (1968–: #153)</v>
      </c>
      <c r="M149" s="116"/>
      <c r="N149" s="116"/>
      <c r="O149" s="116"/>
      <c r="P149" s="116"/>
      <c r="Q149" s="116"/>
      <c r="R149" s="116"/>
      <c r="S149" s="117"/>
      <c r="T149" s="117"/>
      <c r="U149" s="117"/>
      <c r="V149" s="117"/>
      <c r="AA149" s="124"/>
      <c r="BH149" t="str">
        <f t="shared" si="116"/>
        <v>18b</v>
      </c>
      <c r="BI149" s="3" t="s">
        <v>2034</v>
      </c>
      <c r="BJ149" s="3" t="s">
        <v>5189</v>
      </c>
      <c r="BK149" t="str">
        <f t="shared" si="117"/>
        <v>Malcolm William Prout NICOL (1879–1891</v>
      </c>
      <c r="BL149" t="str">
        <f t="shared" si="118"/>
        <v>Malcolm William Prout NICOL (1879–1891: #18ba)</v>
      </c>
      <c r="CO149" s="157" t="s">
        <v>2093</v>
      </c>
      <c r="CP149" s="6" t="s">
        <v>2022</v>
      </c>
      <c r="CQ149" s="5" t="s">
        <v>2090</v>
      </c>
      <c r="CR149" s="5" t="s">
        <v>2091</v>
      </c>
      <c r="CS149" s="5"/>
      <c r="CT149" s="5"/>
      <c r="CU149" s="5">
        <v>1885</v>
      </c>
      <c r="CV149" s="5">
        <v>1964</v>
      </c>
      <c r="CW149">
        <f t="shared" si="113"/>
        <v>79</v>
      </c>
    </row>
    <row r="150" spans="1:101" ht="20">
      <c r="A150" s="287">
        <f>'Loyd List 1-190 - Edit'!C150</f>
        <v>148</v>
      </c>
      <c r="B150" s="295" t="str">
        <f>VLOOKUP(A150,'Book Details - NO EDIT'!$U$3:$X$192,4,FALSE)</f>
        <v>Toby (1966–1966: #148)</v>
      </c>
      <c r="C150" s="287">
        <f>VLOOKUP(A150,'Loyd List 1-190 - Edit'!$P$1:$R$200,3,FALSE)</f>
        <v>104</v>
      </c>
      <c r="D150" s="287">
        <f t="shared" si="110"/>
        <v>3</v>
      </c>
      <c r="E150" s="287">
        <f t="shared" si="101"/>
        <v>1</v>
      </c>
      <c r="F150" s="269" t="str">
        <f t="shared" si="111"/>
        <v xml:space="preserve">3 – Alexandra (1961–: #141) Charles (1963–: #146)  Mary Rose (1967–: #152)     </v>
      </c>
      <c r="G150" s="125" t="str">
        <f>'Loyd Book 2022 - Print'!N150</f>
        <v xml:space="preserve">3 – Alexandra (1961–: #141) Charles (1963–: #146)  Mary Rose (1967–: #152)     </v>
      </c>
      <c r="H150" s="125">
        <f t="shared" si="109"/>
        <v>0</v>
      </c>
      <c r="I150" s="117">
        <f t="shared" si="112"/>
        <v>0</v>
      </c>
      <c r="J150" s="116" t="str">
        <f t="shared" si="114"/>
        <v>Alexandra (1961–: #141)</v>
      </c>
      <c r="K150" s="116" t="str">
        <f t="shared" si="100"/>
        <v>Charles (1963–: #146)</v>
      </c>
      <c r="L150" s="116" t="str">
        <f>IF(VLOOKUP($C150,$AB$2:$AN$67,L$1,FALSE)=$A150,"",VLOOKUP(VLOOKUP($C150,$AB$2:$AN$67,L$1,FALSE),$A$1:$B$200,2,FALSE))</f>
        <v/>
      </c>
      <c r="M150" s="116" t="str">
        <f>IF(VLOOKUP($C150,$AB$2:$AN$67,M$1,FALSE)=$A150,"",VLOOKUP(VLOOKUP($C150,$AB$2:$AN$67,M$1,FALSE),$A$1:$B$200,2,FALSE))</f>
        <v>Mary Rose (1967–: #152)</v>
      </c>
      <c r="N150" s="116"/>
      <c r="O150" s="116"/>
      <c r="P150" s="116"/>
      <c r="Q150" s="116"/>
      <c r="R150" s="116"/>
      <c r="S150" s="117"/>
      <c r="T150" s="117"/>
      <c r="U150" s="117"/>
      <c r="V150" s="117"/>
      <c r="AA150" s="124"/>
      <c r="BH150" t="str">
        <f t="shared" si="116"/>
        <v>18b</v>
      </c>
      <c r="BI150" s="3" t="s">
        <v>2035</v>
      </c>
      <c r="BJ150" s="3" t="s">
        <v>5190</v>
      </c>
      <c r="BK150" t="str">
        <f t="shared" si="117"/>
        <v>Margery Catherine NICOL (1880–1963</v>
      </c>
      <c r="BL150" t="str">
        <f t="shared" si="118"/>
        <v>Margery Catherine NICOL (1880–1963: #18bb)</v>
      </c>
      <c r="CO150" s="157" t="s">
        <v>2103</v>
      </c>
      <c r="CP150" s="6" t="s">
        <v>2022</v>
      </c>
      <c r="CQ150" s="5" t="s">
        <v>1826</v>
      </c>
      <c r="CR150" s="5" t="s">
        <v>2023</v>
      </c>
      <c r="CS150" s="5" t="s">
        <v>2003</v>
      </c>
      <c r="CT150" s="5"/>
      <c r="CU150" s="5">
        <v>1887</v>
      </c>
      <c r="CV150" s="5">
        <v>1957</v>
      </c>
      <c r="CW150">
        <f t="shared" si="113"/>
        <v>70</v>
      </c>
    </row>
    <row r="151" spans="1:101" ht="17">
      <c r="A151" s="287">
        <f>'Loyd List 1-190 - Edit'!C151</f>
        <v>149</v>
      </c>
      <c r="B151" s="295" t="str">
        <f>VLOOKUP(A151,'Book Details - NO EDIT'!$U$3:$X$192,4,FALSE)</f>
        <v>Anthony (1966–: #149)</v>
      </c>
      <c r="C151" s="287">
        <f>VLOOKUP(A151,'Loyd List 1-190 - Edit'!$P$1:$R$200,3,FALSE)</f>
        <v>113</v>
      </c>
      <c r="D151" s="287">
        <f t="shared" si="110"/>
        <v>0</v>
      </c>
      <c r="E151" s="287">
        <f t="shared" si="101"/>
        <v>1</v>
      </c>
      <c r="F151" s="269" t="str">
        <f t="shared" si="111"/>
        <v>0 – Only Child</v>
      </c>
      <c r="G151" s="125" t="str">
        <f>'Loyd Book 2022 - Print'!N151</f>
        <v>0 – Only chlid</v>
      </c>
      <c r="H151" s="125">
        <f t="shared" si="109"/>
        <v>0</v>
      </c>
      <c r="I151" s="117">
        <f t="shared" si="112"/>
        <v>0</v>
      </c>
      <c r="J151" s="116" t="str">
        <f t="shared" si="114"/>
        <v/>
      </c>
      <c r="K151" s="116"/>
      <c r="L151" s="116"/>
      <c r="M151" s="116"/>
      <c r="N151" s="116"/>
      <c r="O151" s="116"/>
      <c r="P151" s="116"/>
      <c r="Q151" s="116"/>
      <c r="R151" s="116"/>
      <c r="S151" s="117"/>
      <c r="T151" s="117"/>
      <c r="U151" s="117"/>
      <c r="V151" s="117"/>
      <c r="AA151" s="124"/>
      <c r="BH151" t="str">
        <f t="shared" si="116"/>
        <v>18b</v>
      </c>
      <c r="BI151" s="3" t="s">
        <v>2089</v>
      </c>
      <c r="BJ151" s="3" t="s">
        <v>5191</v>
      </c>
      <c r="BK151" t="str">
        <f t="shared" si="117"/>
        <v>Randall James NICOL (1882–1941</v>
      </c>
      <c r="BL151" t="str">
        <f t="shared" si="118"/>
        <v>Randall James NICOL (1882–1941: #18bc)</v>
      </c>
      <c r="CO151" s="157" t="s">
        <v>2138</v>
      </c>
      <c r="CP151" s="5" t="s">
        <v>2133</v>
      </c>
      <c r="CQ151" s="5" t="s">
        <v>2137</v>
      </c>
      <c r="CR151" s="5" t="s">
        <v>1993</v>
      </c>
      <c r="CS151" s="5"/>
      <c r="CT151" s="5" t="s">
        <v>1993</v>
      </c>
      <c r="CU151" s="5">
        <v>1900</v>
      </c>
      <c r="CV151" s="5">
        <v>1974</v>
      </c>
      <c r="CW151">
        <f t="shared" si="113"/>
        <v>74</v>
      </c>
    </row>
    <row r="152" spans="1:101" ht="17">
      <c r="A152" s="287">
        <f>'Loyd List 1-190 - Edit'!C152</f>
        <v>150</v>
      </c>
      <c r="B152" s="295" t="str">
        <f>VLOOKUP(A152,'Book Details - NO EDIT'!$U$3:$X$192,4,FALSE)</f>
        <v>James (1966–: #150)</v>
      </c>
      <c r="C152" s="287">
        <f>VLOOKUP(A152,'Loyd List 1-190 - Edit'!$P$1:$R$200,3,FALSE)</f>
        <v>100</v>
      </c>
      <c r="D152" s="287">
        <f t="shared" si="110"/>
        <v>2</v>
      </c>
      <c r="E152" s="287">
        <f t="shared" si="101"/>
        <v>1</v>
      </c>
      <c r="F152" s="269" t="str">
        <f t="shared" si="111"/>
        <v xml:space="preserve">2 – Thomas (1959–: #138) Harriet (1962–: #143)       </v>
      </c>
      <c r="G152" s="125" t="str">
        <f>'Loyd Book 2022 - Print'!N152</f>
        <v xml:space="preserve">2 – Thomas (1959–: #138) Harriet (1962–: #143)       </v>
      </c>
      <c r="H152" s="125">
        <f t="shared" si="109"/>
        <v>0</v>
      </c>
      <c r="I152" s="117">
        <f t="shared" si="112"/>
        <v>0</v>
      </c>
      <c r="J152" s="116" t="str">
        <f t="shared" si="114"/>
        <v>Thomas (1959–: #138)</v>
      </c>
      <c r="K152" s="116" t="str">
        <f t="shared" ref="K152:L167" si="119">IF(VLOOKUP($C152,$AB$2:$AN$67,K$1,FALSE)=$A152,"",VLOOKUP(VLOOKUP($C152,$AB$2:$AN$67,K$1,FALSE),$A$1:$B$200,2,FALSE))</f>
        <v>Harriet (1962–: #143)</v>
      </c>
      <c r="L152" s="116" t="str">
        <f t="shared" si="119"/>
        <v/>
      </c>
      <c r="M152" s="116"/>
      <c r="N152" s="116"/>
      <c r="O152" s="116"/>
      <c r="P152" s="116"/>
      <c r="Q152" s="116"/>
      <c r="R152" s="116"/>
      <c r="S152" s="117"/>
      <c r="T152" s="117"/>
      <c r="U152" s="117"/>
      <c r="V152" s="117"/>
      <c r="AA152" s="124"/>
      <c r="BH152" t="str">
        <f t="shared" si="116"/>
        <v>18b</v>
      </c>
      <c r="BI152" s="3" t="s">
        <v>2093</v>
      </c>
      <c r="BJ152" s="3" t="s">
        <v>5192</v>
      </c>
      <c r="BK152" t="str">
        <f t="shared" si="117"/>
        <v>Dorothy Ada NICOL (1885–1964</v>
      </c>
      <c r="BL152" t="str">
        <f t="shared" si="118"/>
        <v>Dorothy Ada NICOL (1885–1964: #18bd)</v>
      </c>
      <c r="CO152" s="157" t="s">
        <v>2139</v>
      </c>
      <c r="CP152" s="5" t="s">
        <v>2133</v>
      </c>
      <c r="CQ152" s="5" t="s">
        <v>2140</v>
      </c>
      <c r="CR152" s="5" t="s">
        <v>853</v>
      </c>
      <c r="CS152" s="5"/>
      <c r="CT152" s="5" t="s">
        <v>853</v>
      </c>
      <c r="CU152" s="5">
        <v>1902</v>
      </c>
      <c r="CV152" s="5">
        <v>1980</v>
      </c>
      <c r="CW152">
        <f t="shared" si="113"/>
        <v>78</v>
      </c>
    </row>
    <row r="153" spans="1:101" ht="17">
      <c r="A153" s="287">
        <f>'Loyd List 1-190 - Edit'!C153</f>
        <v>151</v>
      </c>
      <c r="B153" s="295" t="str">
        <f>VLOOKUP(A153,'Book Details - NO EDIT'!$U$3:$X$192,4,FALSE)</f>
        <v>Elspeth (1967–: #151)</v>
      </c>
      <c r="C153" s="287">
        <f>VLOOKUP(A153,'Loyd List 1-190 - Edit'!$P$1:$R$200,3,FALSE)</f>
        <v>117</v>
      </c>
      <c r="D153" s="287">
        <f t="shared" si="110"/>
        <v>2</v>
      </c>
      <c r="E153" s="287">
        <f t="shared" si="101"/>
        <v>1</v>
      </c>
      <c r="F153" s="269" t="str">
        <f t="shared" si="111"/>
        <v xml:space="preserve">2 – Susannah (1965–: #147)  Richard (1968–: #153)      </v>
      </c>
      <c r="G153" s="125" t="str">
        <f>'Loyd Book 2022 - Print'!N153</f>
        <v xml:space="preserve">2 – Susannah (1965–: #147)  Richard (1968–: #153)      </v>
      </c>
      <c r="H153" s="125">
        <f t="shared" si="109"/>
        <v>0</v>
      </c>
      <c r="I153" s="117">
        <f t="shared" si="112"/>
        <v>0</v>
      </c>
      <c r="J153" s="116" t="str">
        <f t="shared" si="114"/>
        <v>Susannah (1965–: #147)</v>
      </c>
      <c r="K153" s="116" t="str">
        <f t="shared" si="119"/>
        <v/>
      </c>
      <c r="L153" s="116" t="str">
        <f t="shared" si="119"/>
        <v>Richard (1968–: #153)</v>
      </c>
      <c r="M153" s="116"/>
      <c r="N153" s="116"/>
      <c r="O153" s="116"/>
      <c r="P153" s="116"/>
      <c r="Q153" s="116"/>
      <c r="R153" s="116"/>
      <c r="S153" s="117"/>
      <c r="T153" s="117"/>
      <c r="U153" s="117"/>
      <c r="V153" s="117"/>
      <c r="AA153" s="124"/>
      <c r="BH153" t="str">
        <f t="shared" si="116"/>
        <v>18e</v>
      </c>
      <c r="BI153" s="3" t="s">
        <v>2103</v>
      </c>
      <c r="BJ153" s="3" t="s">
        <v>5193</v>
      </c>
      <c r="BK153" t="str">
        <f t="shared" si="117"/>
        <v>Violet Dyce Norah NICOL (1887–1957</v>
      </c>
      <c r="BL153" t="str">
        <f t="shared" si="118"/>
        <v>Violet Dyce Norah NICOL (1887–1957: #18ea)</v>
      </c>
      <c r="CO153" s="157" t="s">
        <v>2152</v>
      </c>
      <c r="CP153" s="5" t="s">
        <v>2151</v>
      </c>
      <c r="CQ153" s="5" t="s">
        <v>1071</v>
      </c>
      <c r="CR153" s="5" t="s">
        <v>870</v>
      </c>
      <c r="CS153" s="5"/>
      <c r="CT153" s="5"/>
      <c r="CU153" s="5">
        <v>1911</v>
      </c>
      <c r="CV153" s="5">
        <v>1997</v>
      </c>
      <c r="CW153">
        <f t="shared" si="113"/>
        <v>86</v>
      </c>
    </row>
    <row r="154" spans="1:101" ht="17">
      <c r="A154" s="287">
        <f>'Loyd List 1-190 - Edit'!C154</f>
        <v>152</v>
      </c>
      <c r="B154" s="295" t="str">
        <f>VLOOKUP(A154,'Book Details - NO EDIT'!$U$3:$X$192,4,FALSE)</f>
        <v>Mary Rose (1967–: #152)</v>
      </c>
      <c r="C154" s="287">
        <f>VLOOKUP(A154,'Loyd List 1-190 - Edit'!$P$1:$R$200,3,FALSE)</f>
        <v>104</v>
      </c>
      <c r="D154" s="287">
        <f t="shared" si="110"/>
        <v>3</v>
      </c>
      <c r="E154" s="287">
        <f t="shared" si="101"/>
        <v>1</v>
      </c>
      <c r="F154" s="269" t="str">
        <f t="shared" si="111"/>
        <v xml:space="preserve">3 – Alexandra (1961–: #141) Charles (1963–: #146) Toby (1966–1966: #148)      </v>
      </c>
      <c r="G154" s="125" t="str">
        <f>'Loyd Book 2022 - Print'!N154</f>
        <v xml:space="preserve">3 – Alexandra (1961–: #141) Charles (1963–: #146) Toby (1966–1966: #148)      </v>
      </c>
      <c r="H154" s="125">
        <f t="shared" si="109"/>
        <v>0</v>
      </c>
      <c r="I154" s="117">
        <f t="shared" si="112"/>
        <v>0</v>
      </c>
      <c r="J154" s="116" t="str">
        <f t="shared" si="114"/>
        <v>Alexandra (1961–: #141)</v>
      </c>
      <c r="K154" s="116" t="str">
        <f t="shared" si="119"/>
        <v>Charles (1963–: #146)</v>
      </c>
      <c r="L154" s="116" t="str">
        <f t="shared" si="119"/>
        <v>Toby (1966–1966: #148)</v>
      </c>
      <c r="M154" s="116" t="str">
        <f>IF(VLOOKUP($C154,$AB$2:$AN$67,M$1,FALSE)=$A154,"",VLOOKUP(VLOOKUP($C154,$AB$2:$AN$67,M$1,FALSE),$A$1:$B$200,2,FALSE))</f>
        <v/>
      </c>
      <c r="N154" s="116"/>
      <c r="O154" s="116"/>
      <c r="P154" s="116"/>
      <c r="Q154" s="116"/>
      <c r="R154" s="116"/>
      <c r="S154" s="117"/>
      <c r="T154" s="117"/>
      <c r="U154" s="117"/>
      <c r="V154" s="117"/>
      <c r="AA154" s="124"/>
      <c r="BH154" t="str">
        <f t="shared" si="116"/>
        <v>36a</v>
      </c>
      <c r="BI154" s="3" t="s">
        <v>2138</v>
      </c>
      <c r="BJ154" s="3" t="s">
        <v>5194</v>
      </c>
      <c r="BK154" t="str">
        <f t="shared" si="117"/>
        <v>The Hon Hilda Beryl COURTHOPE (1900–1974</v>
      </c>
      <c r="BL154" t="str">
        <f t="shared" si="118"/>
        <v>The Hon Hilda Beryl COURTHOPE (1900–1974: #36aa)</v>
      </c>
      <c r="CO154" s="157" t="s">
        <v>2154</v>
      </c>
      <c r="CP154" s="5" t="s">
        <v>2151</v>
      </c>
      <c r="CQ154" s="5" t="s">
        <v>842</v>
      </c>
      <c r="CR154" s="5" t="s">
        <v>807</v>
      </c>
      <c r="CS154" s="5" t="s">
        <v>2153</v>
      </c>
      <c r="CT154" s="5"/>
      <c r="CU154" s="5">
        <v>1913</v>
      </c>
      <c r="CV154" s="5">
        <v>1944</v>
      </c>
      <c r="CW154">
        <f t="shared" si="113"/>
        <v>31</v>
      </c>
    </row>
    <row r="155" spans="1:101" ht="20">
      <c r="A155" s="287">
        <f>'Loyd List 1-190 - Edit'!C155</f>
        <v>153</v>
      </c>
      <c r="B155" s="295" t="str">
        <f>VLOOKUP(A155,'Book Details - NO EDIT'!$U$3:$X$192,4,FALSE)</f>
        <v>Richard (1968–: #153)</v>
      </c>
      <c r="C155" s="287">
        <f>VLOOKUP(A155,'Loyd List 1-190 - Edit'!$P$1:$R$200,3,FALSE)</f>
        <v>117</v>
      </c>
      <c r="D155" s="287">
        <f t="shared" si="110"/>
        <v>2</v>
      </c>
      <c r="E155" s="287">
        <f t="shared" si="101"/>
        <v>1</v>
      </c>
      <c r="F155" s="269" t="str">
        <f t="shared" si="111"/>
        <v xml:space="preserve">2 – Susannah (1965–: #147) Elspeth (1967–: #151)       </v>
      </c>
      <c r="G155" s="125" t="str">
        <f>'Loyd Book 2022 - Print'!N155</f>
        <v xml:space="preserve">2 – Susannah (1965–: #147) Elspeth (1967–: #151)       </v>
      </c>
      <c r="H155" s="125">
        <f t="shared" si="109"/>
        <v>0</v>
      </c>
      <c r="I155" s="117">
        <f t="shared" si="112"/>
        <v>0</v>
      </c>
      <c r="J155" s="116" t="str">
        <f t="shared" si="114"/>
        <v>Susannah (1965–: #147)</v>
      </c>
      <c r="K155" s="116" t="str">
        <f t="shared" si="119"/>
        <v>Elspeth (1967–: #151)</v>
      </c>
      <c r="L155" s="116" t="str">
        <f t="shared" si="119"/>
        <v/>
      </c>
      <c r="M155" s="116"/>
      <c r="N155" s="116"/>
      <c r="O155" s="116"/>
      <c r="P155" s="116"/>
      <c r="Q155" s="116"/>
      <c r="R155" s="116"/>
      <c r="S155" s="117"/>
      <c r="T155" s="117"/>
      <c r="U155" s="117"/>
      <c r="V155" s="117"/>
      <c r="AA155" s="124"/>
      <c r="BH155" t="str">
        <f t="shared" si="116"/>
        <v>36a</v>
      </c>
      <c r="BI155" s="3" t="s">
        <v>2139</v>
      </c>
      <c r="BJ155" s="3" t="s">
        <v>5195</v>
      </c>
      <c r="BK155" t="str">
        <f t="shared" si="117"/>
        <v>The Hon Elinor Daphne COURTHOPE (1902–1980</v>
      </c>
      <c r="BL155" t="str">
        <f t="shared" si="118"/>
        <v>The Hon Elinor Daphne COURTHOPE (1902–1980: #36ab)</v>
      </c>
      <c r="CO155" s="157" t="s">
        <v>2207</v>
      </c>
      <c r="CP155" s="6" t="s">
        <v>2200</v>
      </c>
      <c r="CQ155" s="5" t="s">
        <v>811</v>
      </c>
      <c r="CR155" s="5" t="s">
        <v>842</v>
      </c>
      <c r="CS155" s="5" t="s">
        <v>2204</v>
      </c>
      <c r="CT155" s="5" t="s">
        <v>842</v>
      </c>
      <c r="CU155" s="5">
        <v>1923</v>
      </c>
      <c r="CV155" s="5" t="s">
        <v>3774</v>
      </c>
      <c r="CW155" t="e">
        <f t="shared" si="113"/>
        <v>#VALUE!</v>
      </c>
    </row>
    <row r="156" spans="1:101" ht="20">
      <c r="A156" s="287">
        <f>'Loyd List 1-190 - Edit'!C156</f>
        <v>154</v>
      </c>
      <c r="B156" s="295" t="str">
        <f>VLOOKUP(A156,'Book Details - NO EDIT'!$U$3:$X$192,4,FALSE)</f>
        <v>Sophie (1969–: #154)</v>
      </c>
      <c r="C156" s="287">
        <f>VLOOKUP(A156,'Loyd List 1-190 - Edit'!$P$1:$R$200,3,FALSE)</f>
        <v>98</v>
      </c>
      <c r="D156" s="287">
        <f t="shared" si="110"/>
        <v>4</v>
      </c>
      <c r="E156" s="287">
        <f t="shared" si="101"/>
        <v>1</v>
      </c>
      <c r="F156" s="269" t="str">
        <f t="shared" si="111"/>
        <v xml:space="preserve">4 – Julie (1952–: #128) Penelope (1954–1954: #132) William (1955–: #134) Tony (1963–: #145)     </v>
      </c>
      <c r="G156" s="125" t="str">
        <f>'Loyd Book 2022 - Print'!N156</f>
        <v xml:space="preserve">4 – Julie (1952–: #128) Penelope (1954–1954: #132) William (1955–: #134) Tony (1963–: #145)     </v>
      </c>
      <c r="H156" s="125">
        <f t="shared" si="109"/>
        <v>0</v>
      </c>
      <c r="I156" s="117">
        <f t="shared" si="112"/>
        <v>0</v>
      </c>
      <c r="J156" s="116" t="str">
        <f t="shared" si="114"/>
        <v>Julie (1952–: #128)</v>
      </c>
      <c r="K156" s="116" t="str">
        <f t="shared" si="119"/>
        <v>Penelope (1954–1954: #132)</v>
      </c>
      <c r="L156" s="116" t="str">
        <f t="shared" si="119"/>
        <v>William (1955–: #134)</v>
      </c>
      <c r="M156" s="116" t="str">
        <f>IF(VLOOKUP($C156,$AB$2:$AN$67,M$1,FALSE)=$A156,"",VLOOKUP(VLOOKUP($C156,$AB$2:$AN$67,M$1,FALSE),$A$1:$B$200,2,FALSE))</f>
        <v>Tony (1963–: #145)</v>
      </c>
      <c r="N156" s="116"/>
      <c r="O156" s="116"/>
      <c r="P156" s="116"/>
      <c r="Q156" s="116"/>
      <c r="R156" s="116"/>
      <c r="S156" s="117"/>
      <c r="T156" s="117"/>
      <c r="U156" s="117"/>
      <c r="V156" s="117"/>
      <c r="AA156" s="124"/>
      <c r="BH156" t="str">
        <f t="shared" si="116"/>
        <v>36d</v>
      </c>
      <c r="BI156" s="3" t="s">
        <v>2152</v>
      </c>
      <c r="BJ156" s="3" t="s">
        <v>5196</v>
      </c>
      <c r="BK156" t="str">
        <f t="shared" si="117"/>
        <v>Elinor Mary POWELL (1911–1997</v>
      </c>
      <c r="BL156" t="str">
        <f t="shared" si="118"/>
        <v>Elinor Mary POWELL (1911–1997: #36da)</v>
      </c>
      <c r="CO156" s="157" t="s">
        <v>2226</v>
      </c>
      <c r="CP156" s="6" t="s">
        <v>2200</v>
      </c>
      <c r="CQ156" s="5" t="s">
        <v>2225</v>
      </c>
      <c r="CR156" s="5" t="s">
        <v>2204</v>
      </c>
      <c r="CS156" s="5"/>
      <c r="CT156" s="5"/>
      <c r="CU156" s="5">
        <v>1954</v>
      </c>
      <c r="CV156" s="5" t="s">
        <v>3774</v>
      </c>
      <c r="CW156" t="e">
        <f t="shared" si="113"/>
        <v>#VALUE!</v>
      </c>
    </row>
    <row r="157" spans="1:101" ht="20">
      <c r="A157" s="287">
        <f>'Loyd List 1-190 - Edit'!C157</f>
        <v>155</v>
      </c>
      <c r="B157" s="295" t="str">
        <f>VLOOKUP(A157,'Book Details - NO EDIT'!$U$3:$X$192,4,FALSE)</f>
        <v>William (1973–: #155)</v>
      </c>
      <c r="C157" s="287">
        <f>VLOOKUP(A157,'Loyd List 1-190 - Edit'!$P$1:$R$200,3,FALSE)</f>
        <v>119</v>
      </c>
      <c r="D157" s="287">
        <f t="shared" si="110"/>
        <v>3</v>
      </c>
      <c r="E157" s="287">
        <f t="shared" si="101"/>
        <v>1</v>
      </c>
      <c r="F157" s="269" t="str">
        <f t="shared" si="111"/>
        <v xml:space="preserve">3 – Amy (1975–: #156) Molly (1982–: #161) Harriet (1984–: #163)     </v>
      </c>
      <c r="G157" s="125" t="str">
        <f>'Loyd Book 2022 - Print'!N157</f>
        <v xml:space="preserve">3 – Amy (1975–: #156) Molly (1982–: #161) Harriet (1984–: #163)     </v>
      </c>
      <c r="H157" s="125">
        <f t="shared" si="109"/>
        <v>0</v>
      </c>
      <c r="I157" s="117">
        <f t="shared" si="112"/>
        <v>0</v>
      </c>
      <c r="J157" s="116" t="str">
        <f t="shared" si="114"/>
        <v/>
      </c>
      <c r="K157" s="116" t="str">
        <f t="shared" si="119"/>
        <v>Amy (1975–: #156)</v>
      </c>
      <c r="L157" s="116" t="str">
        <f t="shared" si="119"/>
        <v>Molly (1982–: #161)</v>
      </c>
      <c r="M157" s="116" t="str">
        <f>IF(VLOOKUP($C157,$AB$2:$AN$67,M$1,FALSE)=$A157,"",VLOOKUP(VLOOKUP($C157,$AB$2:$AN$67,M$1,FALSE),$A$1:$B$200,2,FALSE))</f>
        <v>Harriet (1984–: #163)</v>
      </c>
      <c r="N157" s="116"/>
      <c r="O157" s="116"/>
      <c r="P157" s="116"/>
      <c r="Q157" s="116"/>
      <c r="R157" s="116"/>
      <c r="S157" s="117"/>
      <c r="T157" s="117"/>
      <c r="U157" s="117"/>
      <c r="V157" s="117"/>
      <c r="AA157" s="124"/>
      <c r="BH157" t="str">
        <f t="shared" si="116"/>
        <v>36d</v>
      </c>
      <c r="BI157" s="3" t="s">
        <v>2154</v>
      </c>
      <c r="BJ157" s="3" t="s">
        <v>5197</v>
      </c>
      <c r="BK157" t="str">
        <f t="shared" si="117"/>
        <v>John Henry Courthope POWELL (1913–1944</v>
      </c>
      <c r="BL157" t="str">
        <f t="shared" si="118"/>
        <v>John Henry Courthope POWELL (1913–1944: #36db)</v>
      </c>
      <c r="CO157" s="157" t="s">
        <v>2250</v>
      </c>
      <c r="CP157" s="6" t="s">
        <v>2246</v>
      </c>
      <c r="CQ157" s="5" t="s">
        <v>804</v>
      </c>
      <c r="CR157" s="5" t="s">
        <v>830</v>
      </c>
      <c r="CS157" s="5"/>
      <c r="CT157" s="5"/>
      <c r="CU157" s="5">
        <v>1950</v>
      </c>
      <c r="CV157" s="5" t="s">
        <v>3774</v>
      </c>
      <c r="CW157" t="e">
        <f t="shared" si="113"/>
        <v>#VALUE!</v>
      </c>
    </row>
    <row r="158" spans="1:101" ht="20">
      <c r="A158" s="287">
        <f>'Loyd List 1-190 - Edit'!C158</f>
        <v>156</v>
      </c>
      <c r="B158" s="295" t="str">
        <f>VLOOKUP(A158,'Book Details - NO EDIT'!$U$3:$X$192,4,FALSE)</f>
        <v>Amy (1975–: #156)</v>
      </c>
      <c r="C158" s="287">
        <f>VLOOKUP(A158,'Loyd List 1-190 - Edit'!$P$1:$R$200,3,FALSE)</f>
        <v>119</v>
      </c>
      <c r="D158" s="287">
        <f t="shared" si="110"/>
        <v>3</v>
      </c>
      <c r="E158" s="287">
        <f t="shared" si="101"/>
        <v>1</v>
      </c>
      <c r="F158" s="269" t="str">
        <f t="shared" si="111"/>
        <v xml:space="preserve">3 – William (1973–: #155)  Molly (1982–: #161) Harriet (1984–: #163)     </v>
      </c>
      <c r="G158" s="125" t="str">
        <f>'Loyd Book 2022 - Print'!N158</f>
        <v xml:space="preserve">3 – William (1973–: #155)  Molly (1982–: #161) Harriet (1984–: #163)     </v>
      </c>
      <c r="H158" s="125">
        <f t="shared" si="109"/>
        <v>0</v>
      </c>
      <c r="I158" s="117">
        <f t="shared" si="112"/>
        <v>0</v>
      </c>
      <c r="J158" s="116" t="str">
        <f t="shared" si="114"/>
        <v>William (1973–: #155)</v>
      </c>
      <c r="K158" s="116" t="str">
        <f t="shared" si="119"/>
        <v/>
      </c>
      <c r="L158" s="116" t="str">
        <f t="shared" si="119"/>
        <v>Molly (1982–: #161)</v>
      </c>
      <c r="M158" s="116" t="str">
        <f>IF(VLOOKUP($C158,$AB$2:$AN$67,M$1,FALSE)=$A158,"",VLOOKUP(VLOOKUP($C158,$AB$2:$AN$67,M$1,FALSE),$A$1:$B$200,2,FALSE))</f>
        <v>Harriet (1984–: #163)</v>
      </c>
      <c r="N158" s="116"/>
      <c r="O158" s="116"/>
      <c r="P158" s="116"/>
      <c r="Q158" s="116"/>
      <c r="R158" s="116"/>
      <c r="S158" s="117"/>
      <c r="T158" s="117"/>
      <c r="U158" s="117"/>
      <c r="V158" s="117"/>
      <c r="AA158" s="124"/>
      <c r="BH158" t="str">
        <f t="shared" si="116"/>
        <v>47a</v>
      </c>
      <c r="BI158" s="3" t="s">
        <v>2207</v>
      </c>
      <c r="BJ158" s="3" t="s">
        <v>4900</v>
      </c>
      <c r="BK158" t="str">
        <f t="shared" si="117"/>
        <v xml:space="preserve">Edward John Brierly HARDCASTLE (1923– </v>
      </c>
      <c r="BL158" t="str">
        <f t="shared" si="118"/>
        <v>Edward John Brierly HARDCASTLE (1923– : #47aa)</v>
      </c>
      <c r="CO158" s="157" t="s">
        <v>2251</v>
      </c>
      <c r="CP158" s="6" t="s">
        <v>2246</v>
      </c>
      <c r="CQ158" s="5" t="s">
        <v>953</v>
      </c>
      <c r="CR158" s="5" t="s">
        <v>1687</v>
      </c>
      <c r="CS158" s="5"/>
      <c r="CT158" s="5"/>
      <c r="CU158" s="5">
        <v>1985</v>
      </c>
      <c r="CV158" s="5" t="s">
        <v>3774</v>
      </c>
      <c r="CW158" t="e">
        <f t="shared" si="113"/>
        <v>#VALUE!</v>
      </c>
    </row>
    <row r="159" spans="1:101" ht="20">
      <c r="A159" s="287">
        <f>'Loyd List 1-190 - Edit'!C159</f>
        <v>157</v>
      </c>
      <c r="B159" s="295" t="str">
        <f>VLOOKUP(A159,'Book Details - NO EDIT'!$U$3:$X$192,4,FALSE)</f>
        <v>Tess (1975–: #157)</v>
      </c>
      <c r="C159" s="287">
        <f>VLOOKUP(A159,'Loyd List 1-190 - Edit'!$P$1:$R$200,3,FALSE)</f>
        <v>114</v>
      </c>
      <c r="D159" s="287">
        <f t="shared" si="110"/>
        <v>2</v>
      </c>
      <c r="E159" s="287">
        <f t="shared" si="101"/>
        <v>1</v>
      </c>
      <c r="F159" s="269" t="str">
        <f t="shared" si="111"/>
        <v xml:space="preserve">2 – Chloe (1977–: #158) Daisy (1979–: #159)      </v>
      </c>
      <c r="G159" s="125" t="str">
        <f>'Loyd Book 2022 - Print'!N159</f>
        <v xml:space="preserve">2 – Chloe (1977–: #158) Daisy (1979–: #159)      </v>
      </c>
      <c r="H159" s="125">
        <f t="shared" si="109"/>
        <v>0</v>
      </c>
      <c r="I159" s="117">
        <f t="shared" si="112"/>
        <v>0</v>
      </c>
      <c r="J159" s="116" t="str">
        <f t="shared" si="114"/>
        <v/>
      </c>
      <c r="K159" s="116" t="str">
        <f t="shared" si="119"/>
        <v>Chloe (1977–: #158)</v>
      </c>
      <c r="L159" s="116" t="str">
        <f t="shared" si="119"/>
        <v>Daisy (1979–: #159)</v>
      </c>
      <c r="M159" s="116"/>
      <c r="N159" s="116"/>
      <c r="O159" s="116"/>
      <c r="P159" s="116"/>
      <c r="Q159" s="116"/>
      <c r="R159" s="116"/>
      <c r="S159" s="117"/>
      <c r="T159" s="117"/>
      <c r="U159" s="117"/>
      <c r="V159" s="117"/>
      <c r="AA159" s="124"/>
      <c r="BH159" t="str">
        <f t="shared" si="116"/>
        <v>47a</v>
      </c>
      <c r="BI159" s="3" t="s">
        <v>2226</v>
      </c>
      <c r="BJ159" s="3" t="s">
        <v>4901</v>
      </c>
      <c r="BK159" t="str">
        <f t="shared" si="117"/>
        <v xml:space="preserve">Priscilla Brierly HARDCASTLE (1954– </v>
      </c>
      <c r="BL159" t="str">
        <f t="shared" si="118"/>
        <v>Priscilla Brierly HARDCASTLE (1954– : #47ab)</v>
      </c>
      <c r="CO159" s="157" t="s">
        <v>2273</v>
      </c>
      <c r="CP159" s="6" t="s">
        <v>2264</v>
      </c>
      <c r="CQ159" s="5" t="s">
        <v>2271</v>
      </c>
      <c r="CR159" s="5" t="s">
        <v>2272</v>
      </c>
      <c r="CS159" s="5"/>
      <c r="CT159" s="5"/>
      <c r="CU159" s="5">
        <v>1971</v>
      </c>
      <c r="CV159" s="5" t="s">
        <v>3774</v>
      </c>
      <c r="CW159" t="e">
        <f t="shared" si="113"/>
        <v>#VALUE!</v>
      </c>
    </row>
    <row r="160" spans="1:101" ht="20">
      <c r="A160" s="287">
        <f>'Loyd List 1-190 - Edit'!C160</f>
        <v>158</v>
      </c>
      <c r="B160" s="295" t="str">
        <f>VLOOKUP(A160,'Book Details - NO EDIT'!$U$3:$X$192,4,FALSE)</f>
        <v>Chloe (1977–: #158)</v>
      </c>
      <c r="C160" s="287">
        <f>VLOOKUP(A160,'Loyd List 1-190 - Edit'!$P$1:$R$200,3,FALSE)</f>
        <v>114</v>
      </c>
      <c r="D160" s="287">
        <f t="shared" si="110"/>
        <v>2</v>
      </c>
      <c r="E160" s="287">
        <f t="shared" si="101"/>
        <v>1</v>
      </c>
      <c r="F160" s="269" t="str">
        <f t="shared" si="111"/>
        <v xml:space="preserve">2 – Tess (1975–: #157)  Daisy (1979–: #159)      </v>
      </c>
      <c r="G160" s="125" t="str">
        <f>'Loyd Book 2022 - Print'!N160</f>
        <v xml:space="preserve">2 – Tess (1975–: #157)  Daisy (1979–: #159)      </v>
      </c>
      <c r="H160" s="125">
        <f t="shared" si="109"/>
        <v>0</v>
      </c>
      <c r="I160" s="117">
        <f t="shared" si="112"/>
        <v>0</v>
      </c>
      <c r="J160" s="116" t="str">
        <f t="shared" si="114"/>
        <v>Tess (1975–: #157)</v>
      </c>
      <c r="K160" s="116" t="str">
        <f t="shared" si="119"/>
        <v/>
      </c>
      <c r="L160" s="116" t="str">
        <f t="shared" si="119"/>
        <v>Daisy (1979–: #159)</v>
      </c>
      <c r="M160" s="116"/>
      <c r="N160" s="116"/>
      <c r="O160" s="116"/>
      <c r="P160" s="116"/>
      <c r="Q160" s="116"/>
      <c r="R160" s="116"/>
      <c r="S160" s="117"/>
      <c r="T160" s="117"/>
      <c r="U160" s="117"/>
      <c r="V160" s="117"/>
      <c r="AA160" s="124"/>
      <c r="BH160" t="str">
        <f t="shared" si="116"/>
        <v>63a</v>
      </c>
      <c r="BI160" s="3" t="s">
        <v>2250</v>
      </c>
      <c r="BJ160" s="3" t="s">
        <v>4902</v>
      </c>
      <c r="BK160" t="str">
        <f t="shared" si="117"/>
        <v xml:space="preserve">Arthur William MOORE (1950– </v>
      </c>
      <c r="BL160" t="str">
        <f t="shared" si="118"/>
        <v>Arthur William MOORE (1950– : #63aa)</v>
      </c>
      <c r="CO160" s="157" t="s">
        <v>2275</v>
      </c>
      <c r="CP160" s="6" t="s">
        <v>2264</v>
      </c>
      <c r="CQ160" s="5" t="s">
        <v>1768</v>
      </c>
      <c r="CR160" s="5" t="s">
        <v>2274</v>
      </c>
      <c r="CS160" s="5"/>
      <c r="CT160" s="5"/>
      <c r="CU160" s="5">
        <v>1973</v>
      </c>
      <c r="CV160" s="5" t="s">
        <v>3774</v>
      </c>
      <c r="CW160" t="e">
        <f t="shared" si="113"/>
        <v>#VALUE!</v>
      </c>
    </row>
    <row r="161" spans="1:101" ht="20">
      <c r="A161" s="287">
        <f>'Loyd List 1-190 - Edit'!C161</f>
        <v>159</v>
      </c>
      <c r="B161" s="295" t="str">
        <f>VLOOKUP(A161,'Book Details - NO EDIT'!$U$3:$X$192,4,FALSE)</f>
        <v>Daisy (1979–: #159)</v>
      </c>
      <c r="C161" s="287">
        <f>VLOOKUP(A161,'Loyd List 1-190 - Edit'!$P$1:$R$200,3,FALSE)</f>
        <v>114</v>
      </c>
      <c r="D161" s="287">
        <f t="shared" si="110"/>
        <v>2</v>
      </c>
      <c r="E161" s="287">
        <f t="shared" si="101"/>
        <v>1</v>
      </c>
      <c r="F161" s="269" t="str">
        <f t="shared" si="111"/>
        <v xml:space="preserve">2 – Tess (1975–: #157) Chloe (1977–: #158)       </v>
      </c>
      <c r="G161" s="125" t="str">
        <f>'Loyd Book 2022 - Print'!N161</f>
        <v xml:space="preserve">2 – Tess (1975–: #157) Chloe (1977–: #158)       </v>
      </c>
      <c r="H161" s="125">
        <f t="shared" si="109"/>
        <v>0</v>
      </c>
      <c r="I161" s="117">
        <f t="shared" si="112"/>
        <v>0</v>
      </c>
      <c r="J161" s="116" t="str">
        <f t="shared" si="114"/>
        <v>Tess (1975–: #157)</v>
      </c>
      <c r="K161" s="116" t="str">
        <f t="shared" si="119"/>
        <v>Chloe (1977–: #158)</v>
      </c>
      <c r="L161" s="116" t="str">
        <f t="shared" si="119"/>
        <v/>
      </c>
      <c r="M161" s="116"/>
      <c r="N161" s="116"/>
      <c r="O161" s="116"/>
      <c r="P161" s="116"/>
      <c r="Q161" s="116"/>
      <c r="R161" s="116"/>
      <c r="S161" s="117"/>
      <c r="T161" s="117"/>
      <c r="U161" s="117"/>
      <c r="V161" s="117"/>
      <c r="AA161" s="124"/>
      <c r="BH161" t="str">
        <f t="shared" si="116"/>
        <v>63a</v>
      </c>
      <c r="BI161" s="3" t="s">
        <v>2251</v>
      </c>
      <c r="BJ161" s="3" t="s">
        <v>4903</v>
      </c>
      <c r="BK161" t="str">
        <f t="shared" si="117"/>
        <v xml:space="preserve">Gareth Allen MOORE (1985– </v>
      </c>
      <c r="BL161" t="str">
        <f t="shared" si="118"/>
        <v>Gareth Allen MOORE (1985– : #63ab)</v>
      </c>
      <c r="CO161" s="157" t="s">
        <v>2282</v>
      </c>
      <c r="CP161" s="6" t="s">
        <v>2281</v>
      </c>
      <c r="CQ161" s="5" t="s">
        <v>830</v>
      </c>
      <c r="CR161" s="5" t="s">
        <v>928</v>
      </c>
      <c r="CS161" s="5" t="s">
        <v>917</v>
      </c>
      <c r="CT161" s="5"/>
      <c r="CU161" s="5">
        <v>1951</v>
      </c>
      <c r="CV161" s="5" t="s">
        <v>3774</v>
      </c>
      <c r="CW161" t="e">
        <f t="shared" si="113"/>
        <v>#VALUE!</v>
      </c>
    </row>
    <row r="162" spans="1:101" ht="20">
      <c r="A162" s="287">
        <f>'Loyd List 1-190 - Edit'!C162</f>
        <v>160</v>
      </c>
      <c r="B162" s="295" t="str">
        <f>VLOOKUP(A162,'Book Details - NO EDIT'!$U$3:$X$192,4,FALSE)</f>
        <v>John (1982–: #160)</v>
      </c>
      <c r="C162" s="287">
        <f>VLOOKUP(A162,'Loyd List 1-190 - Edit'!$P$1:$R$200,3,FALSE)</f>
        <v>131</v>
      </c>
      <c r="D162" s="287">
        <f t="shared" si="110"/>
        <v>2</v>
      </c>
      <c r="E162" s="287">
        <f t="shared" si="101"/>
        <v>1</v>
      </c>
      <c r="F162" s="269" t="str">
        <f t="shared" si="111"/>
        <v xml:space="preserve">2 – David (1984–: #162) Ben (1988–: #167)      </v>
      </c>
      <c r="G162" s="125" t="str">
        <f>'Loyd Book 2022 - Print'!N162</f>
        <v xml:space="preserve">2 – David (1984–: #162) Ben (1988–: #167)      </v>
      </c>
      <c r="H162" s="125">
        <f t="shared" si="109"/>
        <v>0</v>
      </c>
      <c r="I162" s="117">
        <f t="shared" si="112"/>
        <v>0</v>
      </c>
      <c r="J162" s="116" t="str">
        <f t="shared" si="114"/>
        <v/>
      </c>
      <c r="K162" s="116" t="str">
        <f t="shared" si="119"/>
        <v>David (1984–: #162)</v>
      </c>
      <c r="L162" s="116" t="str">
        <f t="shared" si="119"/>
        <v>Ben (1988–: #167)</v>
      </c>
      <c r="M162" s="116"/>
      <c r="N162" s="116"/>
      <c r="O162" s="116"/>
      <c r="P162" s="116"/>
      <c r="Q162" s="116"/>
      <c r="R162" s="116"/>
      <c r="S162" s="117"/>
      <c r="T162" s="117"/>
      <c r="U162" s="117"/>
      <c r="V162" s="117"/>
      <c r="AA162" s="124"/>
      <c r="BH162" t="str">
        <f t="shared" si="116"/>
        <v>65c</v>
      </c>
      <c r="BI162" s="3" t="s">
        <v>2273</v>
      </c>
      <c r="BJ162" s="3" t="s">
        <v>4904</v>
      </c>
      <c r="BK162" t="str">
        <f t="shared" si="117"/>
        <v xml:space="preserve">Vanessa Chantal WHEELER (1971– </v>
      </c>
      <c r="BL162" t="str">
        <f t="shared" si="118"/>
        <v>Vanessa Chantal WHEELER (1971– : #65ca)</v>
      </c>
      <c r="CO162" s="157" t="s">
        <v>2287</v>
      </c>
      <c r="CP162" s="6" t="s">
        <v>2281</v>
      </c>
      <c r="CQ162" s="5" t="s">
        <v>1391</v>
      </c>
      <c r="CR162" s="5" t="s">
        <v>798</v>
      </c>
      <c r="CS162" s="5" t="s">
        <v>2286</v>
      </c>
      <c r="CT162" s="5"/>
      <c r="CU162" s="5">
        <v>1952</v>
      </c>
      <c r="CV162" s="5" t="s">
        <v>3774</v>
      </c>
      <c r="CW162" t="e">
        <f t="shared" si="113"/>
        <v>#VALUE!</v>
      </c>
    </row>
    <row r="163" spans="1:101" ht="20">
      <c r="A163" s="287">
        <f>'Loyd List 1-190 - Edit'!C163</f>
        <v>161</v>
      </c>
      <c r="B163" s="295" t="str">
        <f>VLOOKUP(A163,'Book Details - NO EDIT'!$U$3:$X$192,4,FALSE)</f>
        <v>Molly (1982–: #161)</v>
      </c>
      <c r="C163" s="287">
        <f>VLOOKUP(A163,'Loyd List 1-190 - Edit'!$P$1:$R$200,3,FALSE)</f>
        <v>119</v>
      </c>
      <c r="D163" s="287">
        <f t="shared" si="110"/>
        <v>3</v>
      </c>
      <c r="E163" s="287">
        <f t="shared" si="101"/>
        <v>1</v>
      </c>
      <c r="F163" s="269" t="str">
        <f t="shared" si="111"/>
        <v xml:space="preserve">3 – William (1973–: #155) Amy (1975–: #156)  Harriet (1984–: #163)     </v>
      </c>
      <c r="G163" s="125" t="str">
        <f>'Loyd Book 2022 - Print'!N163</f>
        <v xml:space="preserve">3 – William (1973–: #155) Amy (1975–: #156)  Harriet (1984–: #163)     </v>
      </c>
      <c r="H163" s="125">
        <f t="shared" si="109"/>
        <v>0</v>
      </c>
      <c r="I163" s="117">
        <f t="shared" si="112"/>
        <v>0</v>
      </c>
      <c r="J163" s="116" t="str">
        <f t="shared" si="114"/>
        <v>William (1973–: #155)</v>
      </c>
      <c r="K163" s="116" t="str">
        <f t="shared" si="119"/>
        <v>Amy (1975–: #156)</v>
      </c>
      <c r="L163" s="116" t="str">
        <f t="shared" si="119"/>
        <v/>
      </c>
      <c r="M163" s="116" t="str">
        <f>IF(VLOOKUP($C163,$AB$2:$AN$67,M$1,FALSE)=$A163,"",VLOOKUP(VLOOKUP($C163,$AB$2:$AN$67,M$1,FALSE),$A$1:$B$200,2,FALSE))</f>
        <v>Harriet (1984–: #163)</v>
      </c>
      <c r="N163" s="116"/>
      <c r="O163" s="116"/>
      <c r="P163" s="116"/>
      <c r="Q163" s="116"/>
      <c r="R163" s="116"/>
      <c r="S163" s="117"/>
      <c r="T163" s="117"/>
      <c r="U163" s="117"/>
      <c r="V163" s="117"/>
      <c r="AA163" s="124"/>
      <c r="BH163" t="str">
        <f t="shared" si="116"/>
        <v>65c</v>
      </c>
      <c r="BI163" s="3" t="s">
        <v>2275</v>
      </c>
      <c r="BJ163" s="3" t="s">
        <v>4905</v>
      </c>
      <c r="BK163" t="str">
        <f t="shared" si="117"/>
        <v xml:space="preserve">Karen Natalie WHEELER (1973– </v>
      </c>
      <c r="BL163" t="str">
        <f t="shared" si="118"/>
        <v>Karen Natalie WHEELER (1973– : #65cb)</v>
      </c>
      <c r="CO163" s="157" t="s">
        <v>2294</v>
      </c>
      <c r="CP163" s="6" t="s">
        <v>2281</v>
      </c>
      <c r="CQ163" s="5" t="s">
        <v>885</v>
      </c>
      <c r="CR163" s="5" t="s">
        <v>842</v>
      </c>
      <c r="CS163" s="5" t="s">
        <v>2293</v>
      </c>
      <c r="CT163" s="5"/>
      <c r="CU163" s="5">
        <v>1960</v>
      </c>
      <c r="CV163" s="5" t="s">
        <v>3774</v>
      </c>
      <c r="CW163" t="e">
        <f t="shared" si="113"/>
        <v>#VALUE!</v>
      </c>
    </row>
    <row r="164" spans="1:101" ht="20">
      <c r="A164" s="287">
        <f>'Loyd List 1-190 - Edit'!C164</f>
        <v>162</v>
      </c>
      <c r="B164" s="295" t="str">
        <f>VLOOKUP(A164,'Book Details - NO EDIT'!$U$3:$X$192,4,FALSE)</f>
        <v>David (1984–: #162)</v>
      </c>
      <c r="C164" s="287">
        <f>VLOOKUP(A164,'Loyd List 1-190 - Edit'!$P$1:$R$200,3,FALSE)</f>
        <v>131</v>
      </c>
      <c r="D164" s="287">
        <f t="shared" si="110"/>
        <v>2</v>
      </c>
      <c r="E164" s="287">
        <f t="shared" si="101"/>
        <v>1</v>
      </c>
      <c r="F164" s="269" t="str">
        <f t="shared" si="111"/>
        <v xml:space="preserve">2 – John (1982–: #160)  Ben (1988–: #167)      </v>
      </c>
      <c r="G164" s="125" t="str">
        <f>'Loyd Book 2022 - Print'!N164</f>
        <v xml:space="preserve">2 – John (1982–: #160)  Ben (1988–: #167)      </v>
      </c>
      <c r="H164" s="125">
        <f t="shared" si="109"/>
        <v>0</v>
      </c>
      <c r="I164" s="117">
        <f t="shared" si="112"/>
        <v>0</v>
      </c>
      <c r="J164" s="116" t="str">
        <f t="shared" si="114"/>
        <v>John (1982–: #160)</v>
      </c>
      <c r="K164" s="116" t="str">
        <f t="shared" si="119"/>
        <v/>
      </c>
      <c r="L164" s="116" t="str">
        <f t="shared" si="119"/>
        <v>Ben (1988–: #167)</v>
      </c>
      <c r="M164" s="116"/>
      <c r="N164" s="116"/>
      <c r="O164" s="116"/>
      <c r="P164" s="116"/>
      <c r="Q164" s="116"/>
      <c r="R164" s="116"/>
      <c r="S164" s="117"/>
      <c r="T164" s="117"/>
      <c r="U164" s="117"/>
      <c r="V164" s="117"/>
      <c r="AA164" s="124"/>
      <c r="BH164" t="str">
        <f t="shared" si="116"/>
        <v>70a</v>
      </c>
      <c r="BI164" s="3" t="s">
        <v>2282</v>
      </c>
      <c r="BJ164" s="3" t="s">
        <v>4906</v>
      </c>
      <c r="BK164" t="str">
        <f t="shared" si="117"/>
        <v xml:space="preserve">William Richard Charles SHEARER (1951– </v>
      </c>
      <c r="BL164" t="str">
        <f t="shared" si="118"/>
        <v>William Richard Charles SHEARER (1951– : #70aa)</v>
      </c>
      <c r="CO164" s="157" t="s">
        <v>2299</v>
      </c>
      <c r="CP164" s="6" t="s">
        <v>2296</v>
      </c>
      <c r="CQ164" s="5" t="s">
        <v>917</v>
      </c>
      <c r="CR164" s="5" t="s">
        <v>865</v>
      </c>
      <c r="CS164" s="5"/>
      <c r="CT164" s="5" t="s">
        <v>865</v>
      </c>
      <c r="CU164" s="5">
        <v>1955</v>
      </c>
      <c r="CV164" s="5" t="s">
        <v>3774</v>
      </c>
      <c r="CW164" t="e">
        <f t="shared" si="113"/>
        <v>#VALUE!</v>
      </c>
    </row>
    <row r="165" spans="1:101" ht="20">
      <c r="A165" s="287">
        <f>'Loyd List 1-190 - Edit'!C165</f>
        <v>163</v>
      </c>
      <c r="B165" s="295" t="str">
        <f>VLOOKUP(A165,'Book Details - NO EDIT'!$U$3:$X$192,4,FALSE)</f>
        <v>Harriet (1984–: #163)</v>
      </c>
      <c r="C165" s="287">
        <f>VLOOKUP(A165,'Loyd List 1-190 - Edit'!$P$1:$R$200,3,FALSE)</f>
        <v>119</v>
      </c>
      <c r="D165" s="287">
        <f t="shared" si="110"/>
        <v>3</v>
      </c>
      <c r="E165" s="287">
        <f t="shared" si="101"/>
        <v>1</v>
      </c>
      <c r="F165" s="269" t="str">
        <f t="shared" si="111"/>
        <v xml:space="preserve">3 – William (1973–: #155) Amy (1975–: #156) Molly (1982–: #161)      </v>
      </c>
      <c r="G165" s="125" t="str">
        <f>'Loyd Book 2022 - Print'!N165</f>
        <v xml:space="preserve">3 – William (1973–: #155) Amy (1975–: #156) Molly (1982–: #161)      </v>
      </c>
      <c r="H165" s="125">
        <f t="shared" si="109"/>
        <v>0</v>
      </c>
      <c r="I165" s="117">
        <f t="shared" si="112"/>
        <v>0</v>
      </c>
      <c r="J165" s="116" t="str">
        <f t="shared" si="114"/>
        <v>William (1973–: #155)</v>
      </c>
      <c r="K165" s="116" t="str">
        <f t="shared" si="119"/>
        <v>Amy (1975–: #156)</v>
      </c>
      <c r="L165" s="116" t="str">
        <f t="shared" si="119"/>
        <v>Molly (1982–: #161)</v>
      </c>
      <c r="M165" s="116" t="str">
        <f>IF(VLOOKUP($C165,$AB$2:$AN$67,M$1,FALSE)=$A165,"",VLOOKUP(VLOOKUP($C165,$AB$2:$AN$67,M$1,FALSE),$A$1:$B$200,2,FALSE))</f>
        <v/>
      </c>
      <c r="N165" s="116"/>
      <c r="O165" s="116"/>
      <c r="P165" s="116"/>
      <c r="Q165" s="116"/>
      <c r="R165" s="116"/>
      <c r="S165" s="117"/>
      <c r="T165" s="117"/>
      <c r="U165" s="117"/>
      <c r="V165" s="117"/>
      <c r="AA165" s="124"/>
      <c r="BH165" t="str">
        <f t="shared" si="116"/>
        <v>70a</v>
      </c>
      <c r="BI165" s="3" t="s">
        <v>2287</v>
      </c>
      <c r="BJ165" s="3" t="s">
        <v>4907</v>
      </c>
      <c r="BK165" t="str">
        <f t="shared" si="117"/>
        <v xml:space="preserve">Rosemary Diana Esther SHEARER (1952– </v>
      </c>
      <c r="BL165" t="str">
        <f t="shared" si="118"/>
        <v>Rosemary Diana Esther SHEARER (1952– : #70ab)</v>
      </c>
      <c r="CO165" s="157" t="s">
        <v>2305</v>
      </c>
      <c r="CP165" s="6" t="s">
        <v>2296</v>
      </c>
      <c r="CQ165" s="5" t="s">
        <v>903</v>
      </c>
      <c r="CR165" s="5" t="s">
        <v>882</v>
      </c>
      <c r="CS165" s="5" t="s">
        <v>1752</v>
      </c>
      <c r="CT165" s="5"/>
      <c r="CU165" s="5">
        <v>1959</v>
      </c>
      <c r="CV165" s="5" t="s">
        <v>3774</v>
      </c>
      <c r="CW165" t="e">
        <f t="shared" si="113"/>
        <v>#VALUE!</v>
      </c>
    </row>
    <row r="166" spans="1:101" ht="20">
      <c r="A166" s="287">
        <f>'Loyd List 1-190 - Edit'!C166</f>
        <v>164</v>
      </c>
      <c r="B166" s="295" t="str">
        <f>VLOOKUP(A166,'Book Details - NO EDIT'!$U$3:$X$192,4,FALSE)</f>
        <v>Poppy (1984–: #164)</v>
      </c>
      <c r="C166" s="287">
        <f>VLOOKUP(A166,'Loyd List 1-190 - Edit'!$P$1:$R$200,3,FALSE)</f>
        <v>136</v>
      </c>
      <c r="D166" s="287">
        <f t="shared" si="110"/>
        <v>2</v>
      </c>
      <c r="E166" s="287">
        <f t="shared" si="101"/>
        <v>1</v>
      </c>
      <c r="F166" s="269" t="str">
        <f t="shared" si="111"/>
        <v xml:space="preserve">2 – Rose (1986–: #165) Florina (1991–: #172)      </v>
      </c>
      <c r="G166" s="125" t="str">
        <f>'Loyd Book 2022 - Print'!N166</f>
        <v xml:space="preserve">2 – Rose (1986–: #165) Florina (1991–: #172)      </v>
      </c>
      <c r="H166" s="125">
        <f t="shared" si="109"/>
        <v>0</v>
      </c>
      <c r="I166" s="117">
        <f t="shared" si="112"/>
        <v>0</v>
      </c>
      <c r="J166" s="116" t="str">
        <f t="shared" si="114"/>
        <v/>
      </c>
      <c r="K166" s="116" t="str">
        <f t="shared" si="119"/>
        <v>Rose (1986–: #165)</v>
      </c>
      <c r="L166" s="116" t="str">
        <f t="shared" si="119"/>
        <v>Florina (1991–: #172)</v>
      </c>
      <c r="M166" s="116"/>
      <c r="N166" s="116"/>
      <c r="O166" s="116"/>
      <c r="P166" s="116"/>
      <c r="Q166" s="116"/>
      <c r="R166" s="116"/>
      <c r="S166" s="117"/>
      <c r="T166" s="117"/>
      <c r="U166" s="117"/>
      <c r="V166" s="117"/>
      <c r="AA166" s="124"/>
      <c r="BH166" t="str">
        <f t="shared" si="116"/>
        <v>70a</v>
      </c>
      <c r="BI166" s="3" t="s">
        <v>2294</v>
      </c>
      <c r="BJ166" s="3" t="s">
        <v>4908</v>
      </c>
      <c r="BK166" t="str">
        <f t="shared" si="117"/>
        <v xml:space="preserve">Andrew John Micklem SHEARER (1960– </v>
      </c>
      <c r="BL166" t="str">
        <f t="shared" si="118"/>
        <v>Andrew John Micklem SHEARER (1960– : #70ac)</v>
      </c>
      <c r="CO166" s="157" t="s">
        <v>2317</v>
      </c>
      <c r="CP166" s="6" t="s">
        <v>2314</v>
      </c>
      <c r="CQ166" s="5" t="s">
        <v>804</v>
      </c>
      <c r="CR166" s="5" t="s">
        <v>2315</v>
      </c>
      <c r="CS166" s="5" t="s">
        <v>2293</v>
      </c>
      <c r="CT166" s="5" t="s">
        <v>2315</v>
      </c>
      <c r="CU166" s="5">
        <v>1951</v>
      </c>
      <c r="CV166" s="5" t="s">
        <v>3774</v>
      </c>
      <c r="CW166" t="e">
        <f t="shared" si="113"/>
        <v>#VALUE!</v>
      </c>
    </row>
    <row r="167" spans="1:101" ht="20">
      <c r="A167" s="287">
        <f>'Loyd List 1-190 - Edit'!C167</f>
        <v>165</v>
      </c>
      <c r="B167" s="295" t="str">
        <f>VLOOKUP(A167,'Book Details - NO EDIT'!$U$3:$X$192,4,FALSE)</f>
        <v>Rose (1986–: #165)</v>
      </c>
      <c r="C167" s="287">
        <f>VLOOKUP(A167,'Loyd List 1-190 - Edit'!$P$1:$R$200,3,FALSE)</f>
        <v>136</v>
      </c>
      <c r="D167" s="287">
        <f t="shared" si="110"/>
        <v>2</v>
      </c>
      <c r="E167" s="287">
        <f t="shared" si="101"/>
        <v>1</v>
      </c>
      <c r="F167" s="269" t="str">
        <f t="shared" si="111"/>
        <v xml:space="preserve">2 – Poppy (1984–: #164)  Florina (1991–: #172)      </v>
      </c>
      <c r="G167" s="125" t="str">
        <f>'Loyd Book 2022 - Print'!N167</f>
        <v xml:space="preserve">2 – Poppy (1984–: #164)  Florina (1991–: #172)      </v>
      </c>
      <c r="H167" s="125">
        <f t="shared" si="109"/>
        <v>0</v>
      </c>
      <c r="I167" s="117">
        <f t="shared" si="112"/>
        <v>0</v>
      </c>
      <c r="J167" s="116" t="str">
        <f t="shared" si="114"/>
        <v>Poppy (1984–: #164)</v>
      </c>
      <c r="K167" s="116" t="str">
        <f t="shared" si="119"/>
        <v/>
      </c>
      <c r="L167" s="116" t="str">
        <f t="shared" si="119"/>
        <v>Florina (1991–: #172)</v>
      </c>
      <c r="M167" s="116"/>
      <c r="N167" s="116"/>
      <c r="O167" s="116"/>
      <c r="P167" s="116"/>
      <c r="Q167" s="116"/>
      <c r="R167" s="116"/>
      <c r="S167" s="117"/>
      <c r="T167" s="117"/>
      <c r="U167" s="117"/>
      <c r="V167" s="117"/>
      <c r="AA167" s="124"/>
      <c r="BH167" t="str">
        <f t="shared" si="116"/>
        <v>70b</v>
      </c>
      <c r="BI167" s="3" t="s">
        <v>2299</v>
      </c>
      <c r="BJ167" s="3" t="s">
        <v>4909</v>
      </c>
      <c r="BK167" t="str">
        <f t="shared" si="117"/>
        <v xml:space="preserve">Charles Peter MELITUS (1955– </v>
      </c>
      <c r="BL167" t="str">
        <f t="shared" si="118"/>
        <v>Charles Peter MELITUS (1955– : #70ba)</v>
      </c>
      <c r="CO167" s="157" t="s">
        <v>3296</v>
      </c>
      <c r="CP167" s="6" t="s">
        <v>2314</v>
      </c>
      <c r="CQ167" s="5" t="s">
        <v>842</v>
      </c>
      <c r="CR167" s="5" t="s">
        <v>2319</v>
      </c>
      <c r="CS167" s="5" t="s">
        <v>2293</v>
      </c>
      <c r="CT167" s="5" t="s">
        <v>3295</v>
      </c>
      <c r="CU167" s="5">
        <v>1953</v>
      </c>
      <c r="CV167" s="5" t="s">
        <v>3774</v>
      </c>
      <c r="CW167" t="e">
        <f t="shared" si="113"/>
        <v>#VALUE!</v>
      </c>
    </row>
    <row r="168" spans="1:101" ht="20">
      <c r="A168" s="287">
        <f>'Loyd List 1-190 - Edit'!C168</f>
        <v>166</v>
      </c>
      <c r="B168" s="295" t="str">
        <f>VLOOKUP(A168,'Book Details - NO EDIT'!$U$3:$X$192,4,FALSE)</f>
        <v>Gareth (1988–: #166)</v>
      </c>
      <c r="C168" s="287">
        <f>VLOOKUP(A168,'Loyd List 1-190 - Edit'!$P$1:$R$200,3,FALSE)</f>
        <v>130</v>
      </c>
      <c r="D168" s="287">
        <f t="shared" si="110"/>
        <v>0</v>
      </c>
      <c r="E168" s="287">
        <f t="shared" si="101"/>
        <v>1</v>
      </c>
      <c r="F168" s="269" t="str">
        <f t="shared" si="111"/>
        <v>0 – Only Child</v>
      </c>
      <c r="G168" s="125" t="str">
        <f>'Loyd Book 2022 - Print'!N168</f>
        <v>0 – Only chlid</v>
      </c>
      <c r="H168" s="125">
        <f t="shared" si="109"/>
        <v>0</v>
      </c>
      <c r="I168" s="117">
        <f t="shared" si="112"/>
        <v>0</v>
      </c>
      <c r="J168" s="116" t="str">
        <f t="shared" si="114"/>
        <v/>
      </c>
      <c r="K168" s="116"/>
      <c r="L168" s="116"/>
      <c r="M168" s="116"/>
      <c r="N168" s="116"/>
      <c r="O168" s="116"/>
      <c r="P168" s="116"/>
      <c r="Q168" s="116"/>
      <c r="R168" s="116"/>
      <c r="S168" s="117"/>
      <c r="T168" s="117"/>
      <c r="U168" s="117"/>
      <c r="V168" s="117"/>
      <c r="AA168" s="124"/>
      <c r="BH168" t="str">
        <f t="shared" si="116"/>
        <v>70b</v>
      </c>
      <c r="BI168" s="3" t="s">
        <v>2305</v>
      </c>
      <c r="BJ168" s="3" t="s">
        <v>4910</v>
      </c>
      <c r="BK168" t="str">
        <f t="shared" si="117"/>
        <v xml:space="preserve">Caroline Margaret Paula MELITUS (1959– </v>
      </c>
      <c r="BL168" t="str">
        <f t="shared" si="118"/>
        <v>Caroline Margaret Paula MELITUS (1959– : #70bb)</v>
      </c>
      <c r="CO168" s="157" t="s">
        <v>3297</v>
      </c>
      <c r="CP168" s="6" t="s">
        <v>2314</v>
      </c>
      <c r="CQ168" s="5" t="s">
        <v>807</v>
      </c>
      <c r="CR168" s="5" t="s">
        <v>917</v>
      </c>
      <c r="CS168" s="5" t="s">
        <v>2293</v>
      </c>
      <c r="CT168" s="5"/>
      <c r="CU168" s="5">
        <v>1953</v>
      </c>
      <c r="CV168" s="5" t="s">
        <v>3774</v>
      </c>
      <c r="CW168" t="e">
        <f t="shared" si="113"/>
        <v>#VALUE!</v>
      </c>
    </row>
    <row r="169" spans="1:101" ht="20">
      <c r="A169" s="287">
        <f>'Loyd List 1-190 - Edit'!C169</f>
        <v>167</v>
      </c>
      <c r="B169" s="295" t="str">
        <f>VLOOKUP(A169,'Book Details - NO EDIT'!$U$3:$X$192,4,FALSE)</f>
        <v>Ben (1988–: #167)</v>
      </c>
      <c r="C169" s="287">
        <f>VLOOKUP(A169,'Loyd List 1-190 - Edit'!$P$1:$R$200,3,FALSE)</f>
        <v>131</v>
      </c>
      <c r="D169" s="287">
        <f t="shared" si="110"/>
        <v>2</v>
      </c>
      <c r="E169" s="287">
        <f t="shared" si="101"/>
        <v>1</v>
      </c>
      <c r="F169" s="269" t="str">
        <f t="shared" si="111"/>
        <v xml:space="preserve">2 – John (1982–: #160) David (1984–: #162)       </v>
      </c>
      <c r="G169" s="125" t="str">
        <f>'Loyd Book 2022 - Print'!N169</f>
        <v xml:space="preserve">2 – John (1982–: #160) David (1984–: #162)       </v>
      </c>
      <c r="H169" s="125">
        <f t="shared" si="109"/>
        <v>0</v>
      </c>
      <c r="I169" s="117">
        <f t="shared" si="112"/>
        <v>0</v>
      </c>
      <c r="J169" s="116" t="str">
        <f t="shared" si="114"/>
        <v>John (1982–: #160)</v>
      </c>
      <c r="K169" s="116" t="str">
        <f t="shared" ref="K169:L174" si="120">IF(VLOOKUP($C169,$AB$2:$AN$67,K$1,FALSE)=$A169,"",VLOOKUP(VLOOKUP($C169,$AB$2:$AN$67,K$1,FALSE),$A$1:$B$200,2,FALSE))</f>
        <v>David (1984–: #162)</v>
      </c>
      <c r="L169" s="116" t="str">
        <f t="shared" si="120"/>
        <v/>
      </c>
      <c r="M169" s="116"/>
      <c r="N169" s="116"/>
      <c r="O169" s="116"/>
      <c r="P169" s="116"/>
      <c r="Q169" s="116"/>
      <c r="R169" s="116"/>
      <c r="S169" s="117"/>
      <c r="T169" s="117"/>
      <c r="U169" s="117"/>
      <c r="V169" s="117"/>
      <c r="AA169" s="124"/>
      <c r="BH169" t="str">
        <f t="shared" si="116"/>
        <v>70c</v>
      </c>
      <c r="BI169" s="3" t="s">
        <v>2317</v>
      </c>
      <c r="BJ169" s="3" t="s">
        <v>4911</v>
      </c>
      <c r="BK169" t="str">
        <f t="shared" si="117"/>
        <v xml:space="preserve">Arthur Hugo Micklem PAGE (1951– </v>
      </c>
      <c r="BL169" t="str">
        <f t="shared" si="118"/>
        <v>Arthur Hugo Micklem PAGE (1951– : #70ca)</v>
      </c>
      <c r="CO169" s="157" t="s">
        <v>2320</v>
      </c>
      <c r="CP169" s="6" t="s">
        <v>2314</v>
      </c>
      <c r="CQ169" s="5" t="s">
        <v>971</v>
      </c>
      <c r="CR169" s="5" t="s">
        <v>918</v>
      </c>
      <c r="CS169" s="5" t="s">
        <v>1369</v>
      </c>
      <c r="CT169" s="5"/>
      <c r="CU169" s="5">
        <v>1963</v>
      </c>
      <c r="CV169" s="5" t="s">
        <v>3774</v>
      </c>
      <c r="CW169" t="e">
        <f t="shared" si="113"/>
        <v>#VALUE!</v>
      </c>
    </row>
    <row r="170" spans="1:101" ht="20">
      <c r="A170" s="287">
        <f>'Loyd List 1-190 - Edit'!C170</f>
        <v>168</v>
      </c>
      <c r="B170" s="295" t="str">
        <f>VLOOKUP(A170,'Book Details - NO EDIT'!$U$3:$X$192,4,FALSE)</f>
        <v>Camilla (1988–: #168)</v>
      </c>
      <c r="C170" s="287">
        <f>VLOOKUP(A170,'Loyd List 1-190 - Edit'!$P$1:$R$200,3,FALSE)</f>
        <v>138</v>
      </c>
      <c r="D170" s="287">
        <f t="shared" si="110"/>
        <v>2</v>
      </c>
      <c r="E170" s="287">
        <f t="shared" si="101"/>
        <v>1</v>
      </c>
      <c r="F170" s="269" t="str">
        <f t="shared" si="111"/>
        <v xml:space="preserve">2 – Sophie (1989–: #170) Kit (1993–: #175)      </v>
      </c>
      <c r="G170" s="125" t="str">
        <f>'Loyd Book 2022 - Print'!N170</f>
        <v xml:space="preserve">2 – Sophie (1989–: #170) Kit (1993–: #175)      </v>
      </c>
      <c r="H170" s="125">
        <f t="shared" si="109"/>
        <v>0</v>
      </c>
      <c r="I170" s="117">
        <f t="shared" si="112"/>
        <v>0</v>
      </c>
      <c r="J170" s="116" t="str">
        <f t="shared" si="114"/>
        <v/>
      </c>
      <c r="K170" s="116" t="str">
        <f t="shared" si="120"/>
        <v>Sophie (1989–: #170)</v>
      </c>
      <c r="L170" s="116" t="str">
        <f t="shared" si="120"/>
        <v>Kit (1993–: #175)</v>
      </c>
      <c r="M170" s="116"/>
      <c r="N170" s="116"/>
      <c r="O170" s="116"/>
      <c r="P170" s="116"/>
      <c r="Q170" s="116"/>
      <c r="R170" s="116"/>
      <c r="S170" s="117"/>
      <c r="T170" s="117"/>
      <c r="U170" s="117"/>
      <c r="V170" s="117"/>
      <c r="AA170" s="124"/>
      <c r="BH170" t="str">
        <f t="shared" si="116"/>
        <v>70c</v>
      </c>
      <c r="BI170" s="3" t="s">
        <v>3296</v>
      </c>
      <c r="BJ170" s="3" t="s">
        <v>4912</v>
      </c>
      <c r="BK170" t="str">
        <f t="shared" si="117"/>
        <v xml:space="preserve">John Nathaniel Micklem PAGE (1953– </v>
      </c>
      <c r="BL170" t="str">
        <f t="shared" si="118"/>
        <v>John Nathaniel Micklem PAGE (1953– : #70cb)</v>
      </c>
      <c r="CO170" s="157" t="s">
        <v>2332</v>
      </c>
      <c r="CP170" s="6" t="s">
        <v>2278</v>
      </c>
      <c r="CQ170" s="5" t="s">
        <v>1490</v>
      </c>
      <c r="CR170" s="5" t="s">
        <v>2330</v>
      </c>
      <c r="CS170" s="5"/>
      <c r="CT170" s="5"/>
      <c r="CU170" s="5">
        <v>1958</v>
      </c>
      <c r="CV170" s="5" t="s">
        <v>3774</v>
      </c>
      <c r="CW170" t="e">
        <f t="shared" si="113"/>
        <v>#VALUE!</v>
      </c>
    </row>
    <row r="171" spans="1:101" ht="20">
      <c r="A171" s="287">
        <f>'Loyd List 1-190 - Edit'!C171</f>
        <v>169</v>
      </c>
      <c r="B171" s="295" t="str">
        <f>VLOOKUP(A171,'Book Details - NO EDIT'!$U$3:$X$192,4,FALSE)</f>
        <v>James (1988–: #169)</v>
      </c>
      <c r="C171" s="287">
        <f>VLOOKUP(A171,'Loyd List 1-190 - Edit'!$P$1:$R$200,3,FALSE)</f>
        <v>121</v>
      </c>
      <c r="D171" s="287">
        <f t="shared" si="110"/>
        <v>2</v>
      </c>
      <c r="E171" s="287">
        <f t="shared" si="101"/>
        <v>1</v>
      </c>
      <c r="F171" s="269" t="str">
        <f t="shared" si="111"/>
        <v xml:space="preserve">2 – Rupert (1990–: #171) Tabitha (1992–: #174)      </v>
      </c>
      <c r="G171" s="125" t="str">
        <f>'Loyd Book 2022 - Print'!N171</f>
        <v xml:space="preserve">2 – Rupert (1990–: #171) Tabitha (1992–: #174)      </v>
      </c>
      <c r="H171" s="125">
        <f t="shared" si="109"/>
        <v>0</v>
      </c>
      <c r="I171" s="117">
        <f t="shared" si="112"/>
        <v>0</v>
      </c>
      <c r="J171" s="116" t="str">
        <f t="shared" ref="J171:J192" si="121">IF(VLOOKUP($C171,$AB$2:$AN$67,J$1,FALSE)=$A171,"",VLOOKUP(VLOOKUP($C171,$AB$2:$AN$67,J$1,FALSE),$A$1:$B$200,2,FALSE))</f>
        <v/>
      </c>
      <c r="K171" s="116" t="str">
        <f t="shared" si="120"/>
        <v>Rupert (1990–: #171)</v>
      </c>
      <c r="L171" s="116" t="str">
        <f t="shared" si="120"/>
        <v>Tabitha (1992–: #174)</v>
      </c>
      <c r="M171" s="116"/>
      <c r="N171" s="116"/>
      <c r="O171" s="116"/>
      <c r="P171" s="116"/>
      <c r="Q171" s="116"/>
      <c r="R171" s="116"/>
      <c r="S171" s="117"/>
      <c r="T171" s="117"/>
      <c r="U171" s="117"/>
      <c r="V171" s="117"/>
      <c r="AA171" s="124"/>
      <c r="BH171" t="str">
        <f t="shared" si="116"/>
        <v>70c</v>
      </c>
      <c r="BI171" s="3" t="s">
        <v>3297</v>
      </c>
      <c r="BJ171" s="3" t="s">
        <v>4913</v>
      </c>
      <c r="BK171" t="str">
        <f t="shared" si="117"/>
        <v xml:space="preserve">Henry Charles Micklem PAGE (1953– </v>
      </c>
      <c r="BL171" t="str">
        <f t="shared" si="118"/>
        <v>Henry Charles Micklem PAGE (1953– : #70cc)</v>
      </c>
      <c r="CO171" s="157" t="s">
        <v>2334</v>
      </c>
      <c r="CP171" s="6" t="s">
        <v>2278</v>
      </c>
      <c r="CQ171" s="5" t="s">
        <v>916</v>
      </c>
      <c r="CR171" s="5" t="s">
        <v>917</v>
      </c>
      <c r="CS171" s="5" t="s">
        <v>2333</v>
      </c>
      <c r="CT171" s="5"/>
      <c r="CU171" s="5">
        <v>1961</v>
      </c>
      <c r="CV171" s="5" t="s">
        <v>3774</v>
      </c>
      <c r="CW171" t="e">
        <f t="shared" si="113"/>
        <v>#VALUE!</v>
      </c>
    </row>
    <row r="172" spans="1:101" ht="20">
      <c r="A172" s="287">
        <f>'Loyd List 1-190 - Edit'!C172</f>
        <v>170</v>
      </c>
      <c r="B172" s="295" t="str">
        <f>VLOOKUP(A172,'Book Details - NO EDIT'!$U$3:$X$192,4,FALSE)</f>
        <v>Sophie (1989–: #170)</v>
      </c>
      <c r="C172" s="287">
        <f>VLOOKUP(A172,'Loyd List 1-190 - Edit'!$P$1:$R$200,3,FALSE)</f>
        <v>138</v>
      </c>
      <c r="D172" s="287">
        <f t="shared" si="110"/>
        <v>2</v>
      </c>
      <c r="E172" s="287">
        <f t="shared" si="101"/>
        <v>1</v>
      </c>
      <c r="F172" s="269" t="str">
        <f t="shared" si="111"/>
        <v xml:space="preserve">2 – Camilla (1988–: #168)  Kit (1993–: #175)      </v>
      </c>
      <c r="G172" s="125" t="str">
        <f>'Loyd Book 2022 - Print'!N172</f>
        <v xml:space="preserve">2 – Camilla (1988–: #168)  Kit (1993–: #175)      </v>
      </c>
      <c r="H172" s="125">
        <f t="shared" si="109"/>
        <v>0</v>
      </c>
      <c r="I172" s="117">
        <f t="shared" si="112"/>
        <v>0</v>
      </c>
      <c r="J172" s="116" t="str">
        <f t="shared" si="121"/>
        <v>Camilla (1988–: #168)</v>
      </c>
      <c r="K172" s="116" t="str">
        <f t="shared" si="120"/>
        <v/>
      </c>
      <c r="L172" s="116" t="str">
        <f t="shared" si="120"/>
        <v>Kit (1993–: #175)</v>
      </c>
      <c r="M172" s="116"/>
      <c r="N172" s="116"/>
      <c r="O172" s="116"/>
      <c r="P172" s="116"/>
      <c r="Q172" s="116"/>
      <c r="R172" s="116"/>
      <c r="S172" s="117"/>
      <c r="T172" s="117"/>
      <c r="U172" s="117"/>
      <c r="V172" s="117"/>
      <c r="AA172" s="124"/>
      <c r="BH172" t="str">
        <f t="shared" si="116"/>
        <v>70c</v>
      </c>
      <c r="BI172" s="3" t="s">
        <v>2320</v>
      </c>
      <c r="BJ172" s="3" t="s">
        <v>4914</v>
      </c>
      <c r="BK172" t="str">
        <f t="shared" si="117"/>
        <v xml:space="preserve">Rupert James Oliver PAGE (1963– </v>
      </c>
      <c r="BL172" t="str">
        <f t="shared" si="118"/>
        <v>Rupert James Oliver PAGE (1963– : #70cd)</v>
      </c>
      <c r="CO172" s="157" t="s">
        <v>2338</v>
      </c>
      <c r="CP172" s="6" t="s">
        <v>2278</v>
      </c>
      <c r="CQ172" s="5" t="s">
        <v>2335</v>
      </c>
      <c r="CR172" s="5" t="s">
        <v>798</v>
      </c>
      <c r="CS172" s="5"/>
      <c r="CT172" s="5" t="s">
        <v>2337</v>
      </c>
      <c r="CU172" s="5">
        <v>1964</v>
      </c>
      <c r="CV172" s="5" t="s">
        <v>3774</v>
      </c>
      <c r="CW172" t="e">
        <f t="shared" si="113"/>
        <v>#VALUE!</v>
      </c>
    </row>
    <row r="173" spans="1:101" ht="20">
      <c r="A173" s="287">
        <f>'Loyd List 1-190 - Edit'!C173</f>
        <v>171</v>
      </c>
      <c r="B173" s="295" t="str">
        <f>VLOOKUP(A173,'Book Details - NO EDIT'!$U$3:$X$192,4,FALSE)</f>
        <v>Rupert (1990–: #171)</v>
      </c>
      <c r="C173" s="287">
        <f>VLOOKUP(A173,'Loyd List 1-190 - Edit'!$P$1:$R$200,3,FALSE)</f>
        <v>121</v>
      </c>
      <c r="D173" s="287">
        <f t="shared" si="110"/>
        <v>2</v>
      </c>
      <c r="E173" s="287">
        <f t="shared" si="101"/>
        <v>1</v>
      </c>
      <c r="F173" s="269" t="str">
        <f t="shared" si="111"/>
        <v xml:space="preserve">2 – James (1988–: #169)  Tabitha (1992–: #174)      </v>
      </c>
      <c r="G173" s="125" t="str">
        <f>'Loyd Book 2022 - Print'!N173</f>
        <v xml:space="preserve">2 – James (1988–: #169)  Tabitha (1992–: #174)      </v>
      </c>
      <c r="H173" s="125">
        <f t="shared" si="109"/>
        <v>0</v>
      </c>
      <c r="I173" s="117">
        <f t="shared" si="112"/>
        <v>0</v>
      </c>
      <c r="J173" s="116" t="str">
        <f t="shared" si="121"/>
        <v>James (1988–: #169)</v>
      </c>
      <c r="K173" s="116" t="str">
        <f t="shared" si="120"/>
        <v/>
      </c>
      <c r="L173" s="116" t="str">
        <f t="shared" si="120"/>
        <v>Tabitha (1992–: #174)</v>
      </c>
      <c r="M173" s="116"/>
      <c r="N173" s="116"/>
      <c r="O173" s="116"/>
      <c r="P173" s="116"/>
      <c r="Q173" s="116"/>
      <c r="R173" s="116"/>
      <c r="S173" s="117"/>
      <c r="T173" s="117"/>
      <c r="U173" s="117"/>
      <c r="V173" s="117"/>
      <c r="AA173" s="124"/>
      <c r="BH173" t="str">
        <f t="shared" si="116"/>
        <v>70d</v>
      </c>
      <c r="BI173" s="3" t="s">
        <v>2332</v>
      </c>
      <c r="BJ173" s="3" t="s">
        <v>4915</v>
      </c>
      <c r="BK173" t="str">
        <f t="shared" si="117"/>
        <v xml:space="preserve">Philippa Rhona MICKLEM (1958– </v>
      </c>
      <c r="BL173" t="str">
        <f t="shared" si="118"/>
        <v>Philippa Rhona MICKLEM (1958– : #70da)</v>
      </c>
      <c r="CO173" s="157" t="s">
        <v>1360</v>
      </c>
      <c r="CP173" s="6" t="s">
        <v>1357</v>
      </c>
      <c r="CQ173" s="156" t="s">
        <v>876</v>
      </c>
      <c r="CR173" s="5" t="s">
        <v>870</v>
      </c>
      <c r="CS173" s="5"/>
      <c r="CT173" s="5"/>
      <c r="CU173" s="5">
        <v>1967</v>
      </c>
      <c r="CV173" s="5" t="s">
        <v>3774</v>
      </c>
      <c r="CW173" t="e">
        <f t="shared" si="113"/>
        <v>#VALUE!</v>
      </c>
    </row>
    <row r="174" spans="1:101" ht="20">
      <c r="A174" s="287">
        <f>'Loyd List 1-190 - Edit'!C174</f>
        <v>172</v>
      </c>
      <c r="B174" s="295" t="str">
        <f>VLOOKUP(A174,'Book Details - NO EDIT'!$U$3:$X$192,4,FALSE)</f>
        <v>Florina (1991–: #172)</v>
      </c>
      <c r="C174" s="287">
        <f>VLOOKUP(A174,'Loyd List 1-190 - Edit'!$P$1:$R$200,3,FALSE)</f>
        <v>136</v>
      </c>
      <c r="D174" s="287">
        <f t="shared" si="110"/>
        <v>2</v>
      </c>
      <c r="E174" s="287">
        <f t="shared" si="101"/>
        <v>1</v>
      </c>
      <c r="F174" s="269" t="str">
        <f t="shared" si="111"/>
        <v xml:space="preserve">2 – Poppy (1984–: #164) Rose (1986–: #165)       </v>
      </c>
      <c r="G174" s="125" t="str">
        <f>'Loyd Book 2022 - Print'!N174</f>
        <v xml:space="preserve">2 – Poppy (1984–: #164) Rose (1986–: #165)       </v>
      </c>
      <c r="H174" s="125">
        <f t="shared" si="109"/>
        <v>0</v>
      </c>
      <c r="I174" s="117">
        <f t="shared" si="112"/>
        <v>0</v>
      </c>
      <c r="J174" s="116" t="str">
        <f t="shared" si="121"/>
        <v>Poppy (1984–: #164)</v>
      </c>
      <c r="K174" s="116" t="str">
        <f t="shared" si="120"/>
        <v>Rose (1986–: #165)</v>
      </c>
      <c r="L174" s="116" t="str">
        <f t="shared" si="120"/>
        <v/>
      </c>
      <c r="M174" s="116"/>
      <c r="N174" s="116"/>
      <c r="O174" s="116"/>
      <c r="P174" s="116"/>
      <c r="Q174" s="116"/>
      <c r="R174" s="116"/>
      <c r="S174" s="117"/>
      <c r="T174" s="117"/>
      <c r="U174" s="117"/>
      <c r="V174" s="117"/>
      <c r="AA174" s="124"/>
      <c r="BH174" t="str">
        <f t="shared" si="116"/>
        <v>70d</v>
      </c>
      <c r="BI174" s="3" t="s">
        <v>2334</v>
      </c>
      <c r="BJ174" s="3" t="s">
        <v>4916</v>
      </c>
      <c r="BK174" t="str">
        <f t="shared" si="117"/>
        <v xml:space="preserve">Jeremy Charles Cracroft MICKLEM (1961– </v>
      </c>
      <c r="BL174" t="str">
        <f t="shared" si="118"/>
        <v>Jeremy Charles Cracroft MICKLEM (1961– : #70db)</v>
      </c>
      <c r="CO174" s="157" t="s">
        <v>1366</v>
      </c>
      <c r="CP174" s="6" t="s">
        <v>1357</v>
      </c>
      <c r="CQ174" s="156" t="s">
        <v>1369</v>
      </c>
      <c r="CR174" s="5" t="s">
        <v>918</v>
      </c>
      <c r="CS174" s="5"/>
      <c r="CT174" s="5"/>
      <c r="CU174" s="5">
        <v>1968</v>
      </c>
      <c r="CV174" s="5" t="s">
        <v>3774</v>
      </c>
      <c r="CW174" t="e">
        <f t="shared" si="113"/>
        <v>#VALUE!</v>
      </c>
    </row>
    <row r="175" spans="1:101" ht="20">
      <c r="A175" s="287">
        <f>'Loyd List 1-190 - Edit'!C175</f>
        <v>173</v>
      </c>
      <c r="B175" s="295" t="str">
        <f>VLOOKUP(A175,'Book Details - NO EDIT'!$U$3:$X$192,4,FALSE)</f>
        <v>Curtis (1992–: #173)</v>
      </c>
      <c r="C175" s="287">
        <f>VLOOKUP(A175,'Loyd List 1-190 - Edit'!$P$1:$R$200,3,FALSE)</f>
        <v>135</v>
      </c>
      <c r="D175" s="287">
        <f t="shared" si="110"/>
        <v>1</v>
      </c>
      <c r="E175" s="287">
        <f t="shared" si="101"/>
        <v>1</v>
      </c>
      <c r="F175" s="269" t="str">
        <f t="shared" si="111"/>
        <v xml:space="preserve">1 – Spencer (1995–: #177)       </v>
      </c>
      <c r="G175" s="125" t="str">
        <f>'Loyd Book 2022 - Print'!N175</f>
        <v xml:space="preserve">1 – Spencer (1995–: #177)       </v>
      </c>
      <c r="H175" s="125">
        <f t="shared" si="109"/>
        <v>0</v>
      </c>
      <c r="I175" s="117">
        <f t="shared" si="112"/>
        <v>0</v>
      </c>
      <c r="J175" s="116" t="str">
        <f t="shared" si="121"/>
        <v/>
      </c>
      <c r="K175" s="116" t="str">
        <f t="shared" ref="K175:K185" si="122">IF(VLOOKUP($C175,$AB$2:$AN$67,K$1,FALSE)=$A175,"",VLOOKUP(VLOOKUP($C175,$AB$2:$AN$67,K$1,FALSE),$A$1:$B$200,2,FALSE))</f>
        <v>Spencer (1995–: #177)</v>
      </c>
      <c r="L175" s="116"/>
      <c r="M175" s="116"/>
      <c r="N175" s="116"/>
      <c r="O175" s="116"/>
      <c r="P175" s="116"/>
      <c r="Q175" s="116"/>
      <c r="R175" s="116"/>
      <c r="S175" s="117"/>
      <c r="T175" s="117"/>
      <c r="U175" s="117"/>
      <c r="V175" s="117"/>
      <c r="AA175" s="124"/>
      <c r="BH175" t="str">
        <f t="shared" si="116"/>
        <v>70d</v>
      </c>
      <c r="BI175" s="3" t="s">
        <v>2338</v>
      </c>
      <c r="BJ175" s="3" t="s">
        <v>4917</v>
      </c>
      <c r="BK175" t="str">
        <f t="shared" si="117"/>
        <v xml:space="preserve">Sylvia Diana MICKLEM (1964– </v>
      </c>
      <c r="BL175" t="str">
        <f t="shared" si="118"/>
        <v>Sylvia Diana MICKLEM (1964– : #70dc)</v>
      </c>
      <c r="CO175" s="157" t="s">
        <v>1375</v>
      </c>
      <c r="CP175" s="6" t="s">
        <v>1357</v>
      </c>
      <c r="CQ175" s="156" t="s">
        <v>938</v>
      </c>
      <c r="CR175" s="5" t="s">
        <v>839</v>
      </c>
      <c r="CS175" s="5"/>
      <c r="CT175" s="5"/>
      <c r="CU175" s="5">
        <v>1972</v>
      </c>
      <c r="CV175" s="5" t="s">
        <v>3774</v>
      </c>
      <c r="CW175" t="e">
        <f t="shared" si="113"/>
        <v>#VALUE!</v>
      </c>
    </row>
    <row r="176" spans="1:101" ht="20">
      <c r="A176" s="287">
        <f>'Loyd List 1-190 - Edit'!C176</f>
        <v>174</v>
      </c>
      <c r="B176" s="295" t="str">
        <f>VLOOKUP(A176,'Book Details - NO EDIT'!$U$3:$X$192,4,FALSE)</f>
        <v>Tabitha (1992–: #174)</v>
      </c>
      <c r="C176" s="287">
        <f>VLOOKUP(A176,'Loyd List 1-190 - Edit'!$P$1:$R$200,3,FALSE)</f>
        <v>121</v>
      </c>
      <c r="D176" s="287">
        <f t="shared" si="110"/>
        <v>2</v>
      </c>
      <c r="E176" s="287">
        <f t="shared" si="101"/>
        <v>1</v>
      </c>
      <c r="F176" s="269" t="str">
        <f t="shared" si="111"/>
        <v xml:space="preserve">2 – James (1988–: #169) Rupert (1990–: #171)       </v>
      </c>
      <c r="G176" s="125" t="str">
        <f>'Loyd Book 2022 - Print'!N176</f>
        <v xml:space="preserve">2 – James (1988–: #169) Rupert (1990–: #171)       </v>
      </c>
      <c r="H176" s="125">
        <f t="shared" si="109"/>
        <v>0</v>
      </c>
      <c r="I176" s="117">
        <f t="shared" si="112"/>
        <v>0</v>
      </c>
      <c r="J176" s="116" t="str">
        <f t="shared" si="121"/>
        <v>James (1988–: #169)</v>
      </c>
      <c r="K176" s="116" t="str">
        <f t="shared" si="122"/>
        <v>Rupert (1990–: #171)</v>
      </c>
      <c r="L176" s="116"/>
      <c r="M176" s="116"/>
      <c r="N176" s="116"/>
      <c r="O176" s="116"/>
      <c r="P176" s="116"/>
      <c r="Q176" s="116"/>
      <c r="R176" s="116"/>
      <c r="S176" s="117"/>
      <c r="T176" s="117"/>
      <c r="U176" s="117"/>
      <c r="V176" s="117"/>
      <c r="AA176" s="124"/>
      <c r="BH176" t="str">
        <f t="shared" si="116"/>
        <v>85a</v>
      </c>
      <c r="BI176" s="3" t="s">
        <v>1360</v>
      </c>
      <c r="BJ176" s="3" t="s">
        <v>4918</v>
      </c>
      <c r="BK176" t="str">
        <f t="shared" si="117"/>
        <v xml:space="preserve">Charlotte Mary LANE FOX (1967– </v>
      </c>
      <c r="BL176" t="str">
        <f t="shared" si="118"/>
        <v>Charlotte Mary LANE FOX (1967– : #85aa)</v>
      </c>
      <c r="CO176" s="157" t="s">
        <v>1378</v>
      </c>
      <c r="CP176" s="6" t="s">
        <v>1357</v>
      </c>
      <c r="CQ176" s="156" t="s">
        <v>1376</v>
      </c>
      <c r="CR176" s="5" t="s">
        <v>922</v>
      </c>
      <c r="CS176" s="5"/>
      <c r="CT176" s="5"/>
      <c r="CU176" s="5">
        <v>1965</v>
      </c>
      <c r="CV176" s="5" t="s">
        <v>3774</v>
      </c>
      <c r="CW176" t="e">
        <f t="shared" si="113"/>
        <v>#VALUE!</v>
      </c>
    </row>
    <row r="177" spans="1:101" ht="20">
      <c r="A177" s="287">
        <f>'Loyd List 1-190 - Edit'!C177</f>
        <v>175</v>
      </c>
      <c r="B177" s="295" t="str">
        <f>VLOOKUP(A177,'Book Details - NO EDIT'!$U$3:$X$192,4,FALSE)</f>
        <v>Kit (1993–: #175)</v>
      </c>
      <c r="C177" s="287">
        <f>VLOOKUP(A177,'Loyd List 1-190 - Edit'!$P$1:$R$200,3,FALSE)</f>
        <v>138</v>
      </c>
      <c r="D177" s="287">
        <f t="shared" si="110"/>
        <v>2</v>
      </c>
      <c r="E177" s="287">
        <f t="shared" si="101"/>
        <v>1</v>
      </c>
      <c r="F177" s="269" t="str">
        <f t="shared" si="111"/>
        <v xml:space="preserve">2 – Camilla (1988–: #168) Sophie (1989–: #170)       </v>
      </c>
      <c r="G177" s="125" t="str">
        <f>'Loyd Book 2022 - Print'!N177</f>
        <v xml:space="preserve">2 – Camilla (1988–: #168) Sophie (1989–: #170)       </v>
      </c>
      <c r="H177" s="125">
        <f t="shared" si="109"/>
        <v>0</v>
      </c>
      <c r="I177" s="117">
        <f t="shared" si="112"/>
        <v>0</v>
      </c>
      <c r="J177" s="116" t="str">
        <f t="shared" si="121"/>
        <v>Camilla (1988–: #168)</v>
      </c>
      <c r="K177" s="116" t="str">
        <f t="shared" si="122"/>
        <v>Sophie (1989–: #170)</v>
      </c>
      <c r="L177" s="116"/>
      <c r="M177" s="116"/>
      <c r="N177" s="116"/>
      <c r="O177" s="116"/>
      <c r="P177" s="116"/>
      <c r="Q177" s="116"/>
      <c r="R177" s="116"/>
      <c r="S177" s="117"/>
      <c r="T177" s="117"/>
      <c r="U177" s="117"/>
      <c r="V177" s="117"/>
      <c r="AA177" s="124"/>
      <c r="BH177" t="str">
        <f t="shared" si="116"/>
        <v>85a</v>
      </c>
      <c r="BI177" s="3" t="s">
        <v>1366</v>
      </c>
      <c r="BJ177" s="3" t="s">
        <v>4919</v>
      </c>
      <c r="BK177" t="str">
        <f t="shared" si="117"/>
        <v xml:space="preserve">Oliver James LANE FOX (1968– </v>
      </c>
      <c r="BL177" t="str">
        <f t="shared" si="118"/>
        <v>Oliver James LANE FOX (1968– : #85ab)</v>
      </c>
      <c r="CO177" s="157" t="s">
        <v>1379</v>
      </c>
      <c r="CP177" s="6" t="s">
        <v>1357</v>
      </c>
      <c r="CQ177" s="156" t="s">
        <v>1377</v>
      </c>
      <c r="CR177" s="5" t="s">
        <v>870</v>
      </c>
      <c r="CS177" s="5"/>
      <c r="CT177" s="5"/>
      <c r="CU177" s="5">
        <v>1967</v>
      </c>
      <c r="CV177" s="5" t="s">
        <v>3774</v>
      </c>
      <c r="CW177" t="e">
        <f t="shared" si="113"/>
        <v>#VALUE!</v>
      </c>
    </row>
    <row r="178" spans="1:101" ht="20">
      <c r="A178" s="287">
        <f>'Loyd List 1-190 - Edit'!C178</f>
        <v>176</v>
      </c>
      <c r="B178" s="295" t="str">
        <f>VLOOKUP(A178,'Book Details - NO EDIT'!$U$3:$X$192,4,FALSE)</f>
        <v>Sam (1994–: #176)</v>
      </c>
      <c r="C178" s="287">
        <f>VLOOKUP(A178,'Loyd List 1-190 - Edit'!$P$1:$R$200,3,FALSE)</f>
        <v>142</v>
      </c>
      <c r="D178" s="287">
        <f t="shared" si="110"/>
        <v>1</v>
      </c>
      <c r="E178" s="287">
        <f t="shared" si="101"/>
        <v>1</v>
      </c>
      <c r="F178" s="269" t="str">
        <f t="shared" si="111"/>
        <v xml:space="preserve">1 – Josh (1996–: #179)       </v>
      </c>
      <c r="G178" s="125" t="str">
        <f>'Loyd Book 2022 - Print'!N178</f>
        <v xml:space="preserve">1 – Josh (1996–: #179)       </v>
      </c>
      <c r="H178" s="125">
        <f t="shared" si="109"/>
        <v>0</v>
      </c>
      <c r="I178" s="117">
        <f t="shared" si="112"/>
        <v>0</v>
      </c>
      <c r="J178" s="116" t="str">
        <f t="shared" si="121"/>
        <v/>
      </c>
      <c r="K178" s="116" t="str">
        <f t="shared" si="122"/>
        <v>Josh (1996–: #179)</v>
      </c>
      <c r="L178" s="116"/>
      <c r="M178" s="116"/>
      <c r="N178" s="116"/>
      <c r="O178" s="116"/>
      <c r="P178" s="116"/>
      <c r="Q178" s="116"/>
      <c r="R178" s="116"/>
      <c r="S178" s="117"/>
      <c r="T178" s="117"/>
      <c r="U178" s="117"/>
      <c r="V178" s="117"/>
      <c r="AA178" s="124"/>
      <c r="BH178" t="str">
        <f t="shared" si="116"/>
        <v>85a</v>
      </c>
      <c r="BI178" s="3" t="s">
        <v>1375</v>
      </c>
      <c r="BJ178" s="3" t="s">
        <v>4920</v>
      </c>
      <c r="BK178" t="str">
        <f t="shared" si="117"/>
        <v xml:space="preserve">Sophie Anne LANE FOX (1972– </v>
      </c>
      <c r="BL178" t="str">
        <f t="shared" si="118"/>
        <v>Sophie Anne LANE FOX (1972– : #85ac)</v>
      </c>
      <c r="CO178" s="157" t="s">
        <v>1385</v>
      </c>
      <c r="CP178" s="6" t="s">
        <v>1357</v>
      </c>
      <c r="CQ178" s="156" t="s">
        <v>1380</v>
      </c>
      <c r="CR178" s="5" t="s">
        <v>976</v>
      </c>
      <c r="CS178" s="5"/>
      <c r="CT178" s="5"/>
      <c r="CU178" s="5">
        <v>1969</v>
      </c>
      <c r="CV178" s="5" t="s">
        <v>3774</v>
      </c>
      <c r="CW178" t="e">
        <f t="shared" si="113"/>
        <v>#VALUE!</v>
      </c>
    </row>
    <row r="179" spans="1:101" ht="20">
      <c r="A179" s="287">
        <f>'Loyd List 1-190 - Edit'!C179</f>
        <v>177</v>
      </c>
      <c r="B179" s="295" t="str">
        <f>VLOOKUP(A179,'Book Details - NO EDIT'!$U$3:$X$192,4,FALSE)</f>
        <v>Spencer (1995–: #177)</v>
      </c>
      <c r="C179" s="287">
        <f>VLOOKUP(A179,'Loyd List 1-190 - Edit'!$P$1:$R$200,3,FALSE)</f>
        <v>135</v>
      </c>
      <c r="D179" s="287">
        <f t="shared" si="110"/>
        <v>1</v>
      </c>
      <c r="E179" s="287">
        <f t="shared" si="101"/>
        <v>1</v>
      </c>
      <c r="F179" s="269" t="str">
        <f t="shared" si="111"/>
        <v xml:space="preserve">1 – Curtis (1992–: #173)        </v>
      </c>
      <c r="G179" s="125" t="str">
        <f>'Loyd Book 2022 - Print'!N179</f>
        <v xml:space="preserve">1 – Curtis (1992–: #173)        </v>
      </c>
      <c r="H179" s="125">
        <f t="shared" si="109"/>
        <v>0</v>
      </c>
      <c r="I179" s="117">
        <f t="shared" si="112"/>
        <v>0</v>
      </c>
      <c r="J179" s="116" t="str">
        <f t="shared" si="121"/>
        <v>Curtis (1992–: #173)</v>
      </c>
      <c r="K179" s="116" t="str">
        <f t="shared" si="122"/>
        <v/>
      </c>
      <c r="L179" s="116"/>
      <c r="M179" s="116"/>
      <c r="N179" s="116"/>
      <c r="O179" s="116"/>
      <c r="P179" s="116"/>
      <c r="Q179" s="116"/>
      <c r="R179" s="116"/>
      <c r="S179" s="117"/>
      <c r="T179" s="117"/>
      <c r="U179" s="117"/>
      <c r="V179" s="117"/>
      <c r="AA179" s="124"/>
      <c r="BH179" t="str">
        <f t="shared" ref="BH179:BH197" si="123">IF(LEN(BI179)=2,LEFT(BI179,1),IF(LEN(BI179)=3,LEFT(BI179,2),IF(LEN(BI179)=4,LEFT(BI179,3))))</f>
        <v>85b</v>
      </c>
      <c r="BI179" s="3" t="s">
        <v>1378</v>
      </c>
      <c r="BJ179" s="3" t="s">
        <v>4921</v>
      </c>
      <c r="BK179" t="str">
        <f t="shared" ref="BK179:BK197" si="124">LEFT(BJ179,LEN(BJ179)-1)</f>
        <v xml:space="preserve">Lucy Jane LANE FOX (1965– </v>
      </c>
      <c r="BL179" t="str">
        <f t="shared" ref="BL179:BL197" si="125">_xlfn.CONCAT(BK179,": #",BI179,")")</f>
        <v>Lucy Jane LANE FOX (1965– : #85ba)</v>
      </c>
      <c r="CO179" s="157" t="s">
        <v>1386</v>
      </c>
      <c r="CP179" s="6" t="s">
        <v>1357</v>
      </c>
      <c r="CQ179" s="156" t="s">
        <v>917</v>
      </c>
      <c r="CR179" s="5" t="s">
        <v>918</v>
      </c>
      <c r="CS179" s="5"/>
      <c r="CT179" s="5"/>
      <c r="CU179" s="5">
        <v>1977</v>
      </c>
      <c r="CV179" s="5" t="s">
        <v>3774</v>
      </c>
      <c r="CW179" t="e">
        <f t="shared" si="113"/>
        <v>#VALUE!</v>
      </c>
    </row>
    <row r="180" spans="1:101" ht="40">
      <c r="A180" s="287">
        <f>'Loyd List 1-190 - Edit'!C180</f>
        <v>178</v>
      </c>
      <c r="B180" s="295" t="str">
        <f>VLOOKUP(A180,'Book Details - NO EDIT'!$U$3:$X$192,4,FALSE)</f>
        <v>William (1996–: #178)</v>
      </c>
      <c r="C180" s="287">
        <f>VLOOKUP(A180,'Loyd List 1-190 - Edit'!$P$1:$R$200,3,FALSE)</f>
        <v>150</v>
      </c>
      <c r="D180" s="287">
        <f t="shared" si="110"/>
        <v>1</v>
      </c>
      <c r="E180" s="287">
        <f t="shared" si="101"/>
        <v>1</v>
      </c>
      <c r="F180" s="269" t="str">
        <f t="shared" si="111"/>
        <v xml:space="preserve">1 – Eliza (1999–: #181)       </v>
      </c>
      <c r="G180" s="125" t="str">
        <f>'Loyd Book 2022 - Print'!N180</f>
        <v xml:space="preserve">1 – Eliza (1999–: #181)       </v>
      </c>
      <c r="H180" s="125">
        <f t="shared" si="109"/>
        <v>0</v>
      </c>
      <c r="I180" s="117">
        <f t="shared" si="112"/>
        <v>0</v>
      </c>
      <c r="J180" s="116" t="str">
        <f t="shared" si="121"/>
        <v/>
      </c>
      <c r="K180" s="116" t="str">
        <f t="shared" si="122"/>
        <v>Eliza (1999–: #181)</v>
      </c>
      <c r="L180" s="116"/>
      <c r="M180" s="116"/>
      <c r="N180" s="116"/>
      <c r="O180" s="116"/>
      <c r="P180" s="116"/>
      <c r="Q180" s="116"/>
      <c r="R180" s="116"/>
      <c r="S180" s="117"/>
      <c r="T180" s="117"/>
      <c r="U180" s="117"/>
      <c r="V180" s="117"/>
      <c r="AA180" s="124"/>
      <c r="BH180" t="str">
        <f t="shared" si="123"/>
        <v>85b</v>
      </c>
      <c r="BI180" s="3" t="s">
        <v>1379</v>
      </c>
      <c r="BJ180" s="3" t="s">
        <v>4922</v>
      </c>
      <c r="BK180" t="str">
        <f t="shared" si="124"/>
        <v xml:space="preserve">Serena Mary LANE FOX (1967– </v>
      </c>
      <c r="BL180" t="str">
        <f t="shared" si="125"/>
        <v>Serena Mary LANE FOX (1967– : #85bb)</v>
      </c>
      <c r="CO180" s="157" t="s">
        <v>1393</v>
      </c>
      <c r="CP180" s="6" t="s">
        <v>1389</v>
      </c>
      <c r="CQ180" s="156" t="s">
        <v>918</v>
      </c>
      <c r="CR180" s="5" t="s">
        <v>1063</v>
      </c>
      <c r="CS180" s="5" t="s">
        <v>1390</v>
      </c>
      <c r="CT180" s="5"/>
      <c r="CU180" s="5">
        <v>1978</v>
      </c>
      <c r="CV180" s="5" t="s">
        <v>3774</v>
      </c>
      <c r="CW180" t="e">
        <f t="shared" si="113"/>
        <v>#VALUE!</v>
      </c>
    </row>
    <row r="181" spans="1:101" ht="40">
      <c r="A181" s="287">
        <f>'Loyd List 1-190 - Edit'!C181</f>
        <v>179</v>
      </c>
      <c r="B181" s="295" t="str">
        <f>VLOOKUP(A181,'Book Details - NO EDIT'!$U$3:$X$192,4,FALSE)</f>
        <v>Josh (1996–: #179)</v>
      </c>
      <c r="C181" s="287">
        <f>VLOOKUP(A181,'Loyd List 1-190 - Edit'!$P$1:$R$200,3,FALSE)</f>
        <v>142</v>
      </c>
      <c r="D181" s="287">
        <f t="shared" si="110"/>
        <v>1</v>
      </c>
      <c r="E181" s="287">
        <f t="shared" si="101"/>
        <v>1</v>
      </c>
      <c r="F181" s="269" t="str">
        <f t="shared" si="111"/>
        <v xml:space="preserve">1 – Sam (1994–: #176)        </v>
      </c>
      <c r="G181" s="125" t="str">
        <f>'Loyd Book 2022 - Print'!N181</f>
        <v xml:space="preserve">1 – Sam (1994–: #176)        </v>
      </c>
      <c r="H181" s="125">
        <f t="shared" si="109"/>
        <v>0</v>
      </c>
      <c r="I181" s="117">
        <f t="shared" si="112"/>
        <v>0</v>
      </c>
      <c r="J181" s="116" t="str">
        <f t="shared" si="121"/>
        <v>Sam (1994–: #176)</v>
      </c>
      <c r="K181" s="116" t="str">
        <f t="shared" si="122"/>
        <v/>
      </c>
      <c r="L181" s="116"/>
      <c r="M181" s="116"/>
      <c r="N181" s="116"/>
      <c r="O181" s="116"/>
      <c r="P181" s="116"/>
      <c r="Q181" s="116"/>
      <c r="R181" s="116"/>
      <c r="S181" s="117"/>
      <c r="T181" s="117"/>
      <c r="U181" s="117"/>
      <c r="V181" s="117"/>
      <c r="AA181" s="124"/>
      <c r="BH181" t="str">
        <f t="shared" si="123"/>
        <v>85b</v>
      </c>
      <c r="BI181" s="3" t="s">
        <v>1385</v>
      </c>
      <c r="BJ181" s="3" t="s">
        <v>4923</v>
      </c>
      <c r="BK181" t="str">
        <f t="shared" si="124"/>
        <v xml:space="preserve">Emily Laura LANE FOX (1969– </v>
      </c>
      <c r="BL181" t="str">
        <f t="shared" si="125"/>
        <v>Emily Laura LANE FOX (1969– : #85bc)</v>
      </c>
      <c r="CO181" s="157" t="s">
        <v>1394</v>
      </c>
      <c r="CP181" s="6" t="s">
        <v>1389</v>
      </c>
      <c r="CQ181" s="156" t="s">
        <v>1036</v>
      </c>
      <c r="CR181" s="5" t="s">
        <v>1391</v>
      </c>
      <c r="CS181" s="5" t="s">
        <v>1392</v>
      </c>
      <c r="CT181" s="5"/>
      <c r="CU181" s="5">
        <v>1980</v>
      </c>
      <c r="CV181" s="5" t="s">
        <v>3774</v>
      </c>
      <c r="CW181" t="e">
        <f t="shared" si="113"/>
        <v>#VALUE!</v>
      </c>
    </row>
    <row r="182" spans="1:101" ht="20">
      <c r="A182" s="287">
        <f>'Loyd List 1-190 - Edit'!C182</f>
        <v>180</v>
      </c>
      <c r="B182" s="295" t="str">
        <f>VLOOKUP(A182,'Book Details - NO EDIT'!$U$3:$X$192,4,FALSE)</f>
        <v>George (1998–: #180)</v>
      </c>
      <c r="C182" s="287">
        <f>VLOOKUP(A182,'Loyd List 1-190 - Edit'!$P$1:$R$200,3,FALSE)</f>
        <v>146</v>
      </c>
      <c r="D182" s="287">
        <f t="shared" si="110"/>
        <v>1</v>
      </c>
      <c r="E182" s="287">
        <f t="shared" si="101"/>
        <v>1</v>
      </c>
      <c r="F182" s="269" t="str">
        <f t="shared" si="111"/>
        <v xml:space="preserve">1 – Rosanna (2000–: #182)       </v>
      </c>
      <c r="G182" s="125" t="str">
        <f>'Loyd Book 2022 - Print'!N182</f>
        <v xml:space="preserve">1 – Rosanna (2000–: #182)       </v>
      </c>
      <c r="H182" s="125">
        <f t="shared" si="109"/>
        <v>0</v>
      </c>
      <c r="I182" s="117">
        <f t="shared" si="112"/>
        <v>0</v>
      </c>
      <c r="J182" s="116" t="str">
        <f t="shared" si="121"/>
        <v/>
      </c>
      <c r="K182" s="116" t="str">
        <f t="shared" si="122"/>
        <v>Rosanna (2000–: #182)</v>
      </c>
      <c r="L182" s="116"/>
      <c r="M182" s="116"/>
      <c r="N182" s="116"/>
      <c r="O182" s="116"/>
      <c r="P182" s="116"/>
      <c r="Q182" s="116"/>
      <c r="R182" s="116"/>
      <c r="S182" s="117"/>
      <c r="T182" s="117"/>
      <c r="U182" s="117"/>
      <c r="V182" s="117"/>
      <c r="AA182" s="124"/>
      <c r="BH182" t="str">
        <f t="shared" si="123"/>
        <v>85b</v>
      </c>
      <c r="BI182" s="3" t="s">
        <v>1386</v>
      </c>
      <c r="BJ182" s="3" t="s">
        <v>4924</v>
      </c>
      <c r="BK182" t="str">
        <f t="shared" si="124"/>
        <v xml:space="preserve">Charles James LANE FOX (1977– </v>
      </c>
      <c r="BL182" t="str">
        <f t="shared" si="125"/>
        <v>Charles James LANE FOX (1977– : #85bd)</v>
      </c>
      <c r="CO182" s="157" t="s">
        <v>1427</v>
      </c>
      <c r="CP182" s="6" t="s">
        <v>1357</v>
      </c>
      <c r="CQ182" s="156" t="s">
        <v>1396</v>
      </c>
      <c r="CR182" s="5"/>
      <c r="CS182" s="5"/>
      <c r="CT182" s="5"/>
      <c r="CU182" s="5">
        <v>1973</v>
      </c>
      <c r="CV182" s="5" t="s">
        <v>3774</v>
      </c>
      <c r="CW182" t="e">
        <f t="shared" si="113"/>
        <v>#VALUE!</v>
      </c>
    </row>
    <row r="183" spans="1:101" ht="20">
      <c r="A183" s="287">
        <f>'Loyd List 1-190 - Edit'!C183</f>
        <v>181</v>
      </c>
      <c r="B183" s="295" t="str">
        <f>VLOOKUP(A183,'Book Details - NO EDIT'!$U$3:$X$192,4,FALSE)</f>
        <v>Eliza (1999–: #181)</v>
      </c>
      <c r="C183" s="287">
        <f>VLOOKUP(A183,'Loyd List 1-190 - Edit'!$P$1:$R$200,3,FALSE)</f>
        <v>150</v>
      </c>
      <c r="D183" s="287">
        <f t="shared" si="110"/>
        <v>1</v>
      </c>
      <c r="E183" s="287">
        <f t="shared" si="101"/>
        <v>1</v>
      </c>
      <c r="F183" s="269" t="str">
        <f t="shared" si="111"/>
        <v xml:space="preserve">1 – William (1996–: #178)        </v>
      </c>
      <c r="G183" s="125" t="str">
        <f>'Loyd Book 2022 - Print'!N183</f>
        <v xml:space="preserve">1 – William (1996–: #178)        </v>
      </c>
      <c r="H183" s="125">
        <f t="shared" si="109"/>
        <v>0</v>
      </c>
      <c r="I183" s="117">
        <f t="shared" si="112"/>
        <v>0</v>
      </c>
      <c r="J183" s="116" t="str">
        <f t="shared" si="121"/>
        <v>William (1996–: #178)</v>
      </c>
      <c r="K183" s="116" t="str">
        <f t="shared" si="122"/>
        <v/>
      </c>
      <c r="L183" s="116"/>
      <c r="M183" s="116"/>
      <c r="N183" s="116"/>
      <c r="O183" s="116"/>
      <c r="P183" s="116"/>
      <c r="Q183" s="116"/>
      <c r="R183" s="116"/>
      <c r="S183" s="117"/>
      <c r="T183" s="117"/>
      <c r="U183" s="117"/>
      <c r="V183" s="117"/>
      <c r="AA183" s="124"/>
      <c r="BH183" t="str">
        <f t="shared" si="123"/>
        <v>85c</v>
      </c>
      <c r="BI183" s="3" t="s">
        <v>1393</v>
      </c>
      <c r="BJ183" s="3" t="s">
        <v>4925</v>
      </c>
      <c r="BK183" t="str">
        <f t="shared" si="124"/>
        <v xml:space="preserve">James Alfred Louis TENNYSON d'EYNCOURT (1978– </v>
      </c>
      <c r="BL183" t="str">
        <f t="shared" si="125"/>
        <v>James Alfred Louis TENNYSON d'EYNCOURT (1978– : #85ca)</v>
      </c>
      <c r="CO183" s="157" t="s">
        <v>1428</v>
      </c>
      <c r="CP183" s="6" t="s">
        <v>1357</v>
      </c>
      <c r="CQ183" s="156" t="s">
        <v>807</v>
      </c>
      <c r="CR183" s="5" t="s">
        <v>918</v>
      </c>
      <c r="CS183" s="5"/>
      <c r="CT183" s="5"/>
      <c r="CU183" s="5">
        <v>1974</v>
      </c>
      <c r="CV183" s="5" t="s">
        <v>3774</v>
      </c>
      <c r="CW183" t="e">
        <f t="shared" si="113"/>
        <v>#VALUE!</v>
      </c>
    </row>
    <row r="184" spans="1:101" ht="20">
      <c r="A184" s="287">
        <f>'Loyd List 1-190 - Edit'!C184</f>
        <v>182</v>
      </c>
      <c r="B184" s="295" t="str">
        <f>VLOOKUP(A184,'Book Details - NO EDIT'!$U$3:$X$192,4,FALSE)</f>
        <v>Rosanna (2000–: #182)</v>
      </c>
      <c r="C184" s="287">
        <f>VLOOKUP(A184,'Loyd List 1-190 - Edit'!$P$1:$R$200,3,FALSE)</f>
        <v>146</v>
      </c>
      <c r="D184" s="287">
        <f t="shared" si="110"/>
        <v>1</v>
      </c>
      <c r="E184" s="287">
        <f t="shared" si="101"/>
        <v>1</v>
      </c>
      <c r="F184" s="269" t="str">
        <f t="shared" si="111"/>
        <v xml:space="preserve">1 – George (1998–: #180)        </v>
      </c>
      <c r="G184" s="125" t="str">
        <f>'Loyd Book 2022 - Print'!N184</f>
        <v xml:space="preserve">1 – George (1998–: #180)        </v>
      </c>
      <c r="H184" s="125">
        <f t="shared" si="109"/>
        <v>0</v>
      </c>
      <c r="I184" s="117">
        <f t="shared" si="112"/>
        <v>0</v>
      </c>
      <c r="J184" s="116" t="str">
        <f t="shared" si="121"/>
        <v>George (1998–: #180)</v>
      </c>
      <c r="K184" s="116" t="str">
        <f t="shared" si="122"/>
        <v/>
      </c>
      <c r="L184" s="116"/>
      <c r="M184" s="116"/>
      <c r="N184" s="116"/>
      <c r="O184" s="116"/>
      <c r="P184" s="116"/>
      <c r="Q184" s="116"/>
      <c r="R184" s="116"/>
      <c r="S184" s="117"/>
      <c r="T184" s="117"/>
      <c r="U184" s="117"/>
      <c r="V184" s="117"/>
      <c r="AA184" s="124"/>
      <c r="BH184" t="str">
        <f t="shared" si="123"/>
        <v>85c</v>
      </c>
      <c r="BI184" s="3" t="s">
        <v>1394</v>
      </c>
      <c r="BJ184" s="3" t="s">
        <v>4926</v>
      </c>
      <c r="BK184" t="str">
        <f t="shared" si="124"/>
        <v xml:space="preserve">Frances Rosemary Amaryllis TENNYSON d'EYNCOURT (1980– </v>
      </c>
      <c r="BL184" t="str">
        <f t="shared" si="125"/>
        <v>Frances Rosemary Amaryllis TENNYSON d'EYNCOURT (1980– : #85cb)</v>
      </c>
      <c r="CO184" s="157" t="s">
        <v>1437</v>
      </c>
      <c r="CP184" s="6" t="s">
        <v>1445</v>
      </c>
      <c r="CQ184" s="156" t="s">
        <v>928</v>
      </c>
      <c r="CR184" s="5" t="s">
        <v>1434</v>
      </c>
      <c r="CS184" s="5"/>
      <c r="CT184" s="5"/>
      <c r="CU184" s="5">
        <v>1958</v>
      </c>
      <c r="CV184" s="5" t="s">
        <v>3774</v>
      </c>
      <c r="CW184" t="e">
        <f t="shared" si="113"/>
        <v>#VALUE!</v>
      </c>
    </row>
    <row r="185" spans="1:101" ht="20">
      <c r="A185" s="287">
        <f>'Loyd List 1-190 - Edit'!C185</f>
        <v>183</v>
      </c>
      <c r="B185" s="295" t="str">
        <f>VLOOKUP(A185,'Book Details - NO EDIT'!$U$3:$X$192,4,FALSE)</f>
        <v>Matilda (2006–: #183)</v>
      </c>
      <c r="C185" s="287">
        <f>VLOOKUP(A185,'Loyd List 1-190 - Edit'!$P$1:$R$200,3,FALSE)</f>
        <v>155</v>
      </c>
      <c r="D185" s="287">
        <f t="shared" si="110"/>
        <v>2</v>
      </c>
      <c r="E185" s="287">
        <f t="shared" si="101"/>
        <v>1</v>
      </c>
      <c r="F185" s="269" t="str">
        <f t="shared" si="111"/>
        <v xml:space="preserve">2 – Katherine (2007–: #185) Henry (2010–: #186)      </v>
      </c>
      <c r="G185" s="125" t="str">
        <f>'Loyd Book 2022 - Print'!N185</f>
        <v xml:space="preserve">2 – Katherine (2007–: #185) Henry (2010–: #186)      </v>
      </c>
      <c r="H185" s="125">
        <f t="shared" si="109"/>
        <v>0</v>
      </c>
      <c r="I185" s="117">
        <f t="shared" si="112"/>
        <v>0</v>
      </c>
      <c r="J185" s="116" t="str">
        <f t="shared" si="121"/>
        <v/>
      </c>
      <c r="K185" s="116" t="str">
        <f t="shared" si="122"/>
        <v>Katherine (2007–: #185)</v>
      </c>
      <c r="L185" s="116" t="str">
        <f>IF(VLOOKUP($C185,$AB$2:$AN$67,L$1,FALSE)=$A185,"",VLOOKUP(VLOOKUP($C185,$AB$2:$AN$67,L$1,FALSE),$A$1:$B$200,2,FALSE))</f>
        <v>Henry (2010–: #186)</v>
      </c>
      <c r="M185" s="116"/>
      <c r="N185" s="116"/>
      <c r="O185" s="116"/>
      <c r="P185" s="116"/>
      <c r="Q185" s="116"/>
      <c r="R185" s="116"/>
      <c r="S185" s="117"/>
      <c r="T185" s="117"/>
      <c r="U185" s="117"/>
      <c r="V185" s="117"/>
      <c r="AA185" s="124"/>
      <c r="BH185" t="str">
        <f t="shared" si="123"/>
        <v>85d</v>
      </c>
      <c r="BI185" s="3" t="s">
        <v>1427</v>
      </c>
      <c r="BJ185" s="3" t="s">
        <v>4927</v>
      </c>
      <c r="BK185" t="str">
        <f t="shared" si="124"/>
        <v xml:space="preserve">Martha LANE FOX (1973– </v>
      </c>
      <c r="BL185" t="str">
        <f t="shared" si="125"/>
        <v>Martha LANE FOX (1973– : #85da)</v>
      </c>
      <c r="CO185" s="157" t="s">
        <v>1438</v>
      </c>
      <c r="CP185" s="6" t="s">
        <v>1445</v>
      </c>
      <c r="CQ185" s="156" t="s">
        <v>811</v>
      </c>
      <c r="CR185" s="5"/>
      <c r="CS185" s="5"/>
      <c r="CT185" s="5"/>
      <c r="CU185" s="5">
        <v>1960</v>
      </c>
      <c r="CV185" s="5" t="s">
        <v>3774</v>
      </c>
      <c r="CW185" t="e">
        <f t="shared" si="113"/>
        <v>#VALUE!</v>
      </c>
    </row>
    <row r="186" spans="1:101" ht="20">
      <c r="A186" s="287">
        <f>'Loyd List 1-190 - Edit'!C186</f>
        <v>184</v>
      </c>
      <c r="B186" s="295" t="str">
        <f>VLOOKUP(A186,'Book Details - NO EDIT'!$U$3:$X$192,4,FALSE)</f>
        <v>Delilah (2006–: #184)</v>
      </c>
      <c r="C186" s="287">
        <f>VLOOKUP(A186,'Loyd List 1-190 - Edit'!$P$1:$R$200,3,FALSE)</f>
        <v>149</v>
      </c>
      <c r="D186" s="287">
        <f t="shared" si="110"/>
        <v>0</v>
      </c>
      <c r="E186" s="287">
        <f t="shared" si="101"/>
        <v>1</v>
      </c>
      <c r="F186" s="269" t="str">
        <f t="shared" si="111"/>
        <v>0 – Only Child</v>
      </c>
      <c r="G186" s="125" t="str">
        <f>'Loyd Book 2022 - Print'!N186</f>
        <v>0 – Only chlid</v>
      </c>
      <c r="H186" s="125">
        <f t="shared" si="109"/>
        <v>0</v>
      </c>
      <c r="I186" s="117">
        <f t="shared" si="112"/>
        <v>0</v>
      </c>
      <c r="J186" s="116" t="str">
        <f t="shared" si="121"/>
        <v/>
      </c>
      <c r="K186" s="116"/>
      <c r="L186" s="116"/>
      <c r="M186" s="116"/>
      <c r="N186" s="116"/>
      <c r="O186" s="116"/>
      <c r="P186" s="116"/>
      <c r="Q186" s="116"/>
      <c r="R186" s="116"/>
      <c r="S186" s="117"/>
      <c r="T186" s="117"/>
      <c r="U186" s="117"/>
      <c r="V186" s="117"/>
      <c r="AA186" s="124"/>
      <c r="BH186" t="str">
        <f t="shared" si="123"/>
        <v>85d</v>
      </c>
      <c r="BI186" s="3" t="s">
        <v>1428</v>
      </c>
      <c r="BJ186" s="3" t="s">
        <v>4928</v>
      </c>
      <c r="BK186" t="str">
        <f t="shared" si="124"/>
        <v xml:space="preserve">Henry James LANE FOX (1974– </v>
      </c>
      <c r="BL186" t="str">
        <f t="shared" si="125"/>
        <v>Henry James LANE FOX (1974– : #85db)</v>
      </c>
      <c r="CO186" s="157" t="s">
        <v>1446</v>
      </c>
      <c r="CP186" s="6" t="s">
        <v>1445</v>
      </c>
      <c r="CQ186" s="156" t="s">
        <v>846</v>
      </c>
      <c r="CR186" s="5" t="s">
        <v>870</v>
      </c>
      <c r="CS186" s="5"/>
      <c r="CT186" s="5"/>
      <c r="CU186" s="5">
        <v>1964</v>
      </c>
      <c r="CV186" s="5" t="s">
        <v>3774</v>
      </c>
      <c r="CW186" t="e">
        <f t="shared" si="113"/>
        <v>#VALUE!</v>
      </c>
    </row>
    <row r="187" spans="1:101" ht="20">
      <c r="A187" s="287">
        <f>'Loyd List 1-190 - Edit'!C187</f>
        <v>185</v>
      </c>
      <c r="B187" s="295" t="str">
        <f>VLOOKUP(A187,'Book Details - NO EDIT'!$U$3:$X$192,4,FALSE)</f>
        <v>Katherine (2007–: #185)</v>
      </c>
      <c r="C187" s="287">
        <f>VLOOKUP(A187,'Loyd List 1-190 - Edit'!$P$1:$R$200,3,FALSE)</f>
        <v>155</v>
      </c>
      <c r="D187" s="287">
        <f t="shared" si="110"/>
        <v>2</v>
      </c>
      <c r="E187" s="287">
        <f t="shared" si="101"/>
        <v>1</v>
      </c>
      <c r="F187" s="269" t="str">
        <f t="shared" si="111"/>
        <v xml:space="preserve">2 – Matilda (2006–: #183)  Henry (2010–: #186)      </v>
      </c>
      <c r="G187" s="125" t="str">
        <f>'Loyd Book 2022 - Print'!N187</f>
        <v xml:space="preserve">2 – Matilda (2006–: #183)  Henry (2010–: #186)      </v>
      </c>
      <c r="H187" s="125">
        <f t="shared" si="109"/>
        <v>0</v>
      </c>
      <c r="I187" s="117">
        <f t="shared" si="112"/>
        <v>0</v>
      </c>
      <c r="J187" s="116" t="str">
        <f t="shared" si="121"/>
        <v>Matilda (2006–: #183)</v>
      </c>
      <c r="K187" s="116" t="str">
        <f>IF(VLOOKUP($C187,$AB$2:$AN$67,K$1,FALSE)=$A187,"",VLOOKUP(VLOOKUP($C187,$AB$2:$AN$67,K$1,FALSE),$A$1:$B$200,2,FALSE))</f>
        <v/>
      </c>
      <c r="L187" s="116" t="str">
        <f>IF(VLOOKUP($C187,$AB$2:$AN$67,L$1,FALSE)=$A187,"",VLOOKUP(VLOOKUP($C187,$AB$2:$AN$67,L$1,FALSE),$A$1:$B$200,2,FALSE))</f>
        <v>Henry (2010–: #186)</v>
      </c>
      <c r="M187" s="116"/>
      <c r="N187" s="116"/>
      <c r="O187" s="116"/>
      <c r="P187" s="116"/>
      <c r="Q187" s="116"/>
      <c r="R187" s="116"/>
      <c r="S187" s="117"/>
      <c r="T187" s="117"/>
      <c r="U187" s="117"/>
      <c r="V187" s="117"/>
      <c r="AA187" s="124"/>
      <c r="BH187" t="str">
        <f t="shared" si="123"/>
        <v>88a</v>
      </c>
      <c r="BI187" s="3" t="s">
        <v>1437</v>
      </c>
      <c r="BJ187" s="3" t="s">
        <v>4929</v>
      </c>
      <c r="BK187" t="str">
        <f t="shared" si="124"/>
        <v xml:space="preserve">Richard Ian HOLMAN (1958– </v>
      </c>
      <c r="BL187" t="str">
        <f t="shared" si="125"/>
        <v>Richard Ian HOLMAN (1958– : #88aa)</v>
      </c>
      <c r="CO187" s="157" t="s">
        <v>1453</v>
      </c>
      <c r="CP187" s="6" t="s">
        <v>1445</v>
      </c>
      <c r="CQ187" s="156" t="s">
        <v>1452</v>
      </c>
      <c r="CR187" s="5" t="s">
        <v>876</v>
      </c>
      <c r="CS187" s="5"/>
      <c r="CT187" s="5"/>
      <c r="CU187" s="5">
        <v>1966</v>
      </c>
      <c r="CV187" s="5" t="s">
        <v>3774</v>
      </c>
      <c r="CW187" t="e">
        <f t="shared" si="113"/>
        <v>#VALUE!</v>
      </c>
    </row>
    <row r="188" spans="1:101" ht="20">
      <c r="A188" s="287">
        <f>'Loyd List 1-190 - Edit'!C188</f>
        <v>186</v>
      </c>
      <c r="B188" s="295" t="str">
        <f>VLOOKUP(A188,'Book Details - NO EDIT'!$U$3:$X$192,4,FALSE)</f>
        <v>Henry (2010–: #186)</v>
      </c>
      <c r="C188" s="287">
        <f>VLOOKUP(A188,'Loyd List 1-190 - Edit'!$P$1:$R$200,3,FALSE)</f>
        <v>155</v>
      </c>
      <c r="D188" s="287">
        <f t="shared" si="110"/>
        <v>2</v>
      </c>
      <c r="E188" s="287">
        <f t="shared" si="101"/>
        <v>1</v>
      </c>
      <c r="F188" s="269" t="str">
        <f t="shared" si="111"/>
        <v xml:space="preserve">2 – Matilda (2006–: #183) Katherine (2007–: #185)       </v>
      </c>
      <c r="G188" s="125" t="str">
        <f>'Loyd Book 2022 - Print'!N188</f>
        <v xml:space="preserve">2 – Matilda (2006–: #183) Katherine (2007–: #185)       </v>
      </c>
      <c r="H188" s="125">
        <f t="shared" si="109"/>
        <v>0</v>
      </c>
      <c r="I188" s="117">
        <f t="shared" si="112"/>
        <v>0</v>
      </c>
      <c r="J188" s="116" t="str">
        <f t="shared" si="121"/>
        <v>Matilda (2006–: #183)</v>
      </c>
      <c r="K188" s="116" t="str">
        <f>IF(VLOOKUP($C188,$AB$2:$AN$67,K$1,FALSE)=$A188,"",VLOOKUP(VLOOKUP($C188,$AB$2:$AN$67,K$1,FALSE),$A$1:$B$200,2,FALSE))</f>
        <v>Katherine (2007–: #185)</v>
      </c>
      <c r="L188" s="116" t="str">
        <f>IF(VLOOKUP($C188,$AB$2:$AN$67,L$1,FALSE)=$A188,"",VLOOKUP(VLOOKUP($C188,$AB$2:$AN$67,L$1,FALSE),$A$1:$B$200,2,FALSE))</f>
        <v/>
      </c>
      <c r="M188" s="116"/>
      <c r="N188" s="116"/>
      <c r="O188" s="116"/>
      <c r="P188" s="116"/>
      <c r="Q188" s="116"/>
      <c r="R188" s="116"/>
      <c r="S188" s="117"/>
      <c r="T188" s="117"/>
      <c r="U188" s="117"/>
      <c r="V188" s="117"/>
      <c r="AA188" s="124"/>
      <c r="BH188" t="str">
        <f t="shared" si="123"/>
        <v>88a</v>
      </c>
      <c r="BI188" s="3" t="s">
        <v>1438</v>
      </c>
      <c r="BJ188" s="3" t="s">
        <v>4930</v>
      </c>
      <c r="BK188" t="str">
        <f t="shared" si="124"/>
        <v xml:space="preserve">Edward HOLMAN (1960– </v>
      </c>
      <c r="BL188" t="str">
        <f t="shared" si="125"/>
        <v>Edward HOLMAN (1960– : #88ab)</v>
      </c>
      <c r="CO188" s="157" t="s">
        <v>1460</v>
      </c>
      <c r="CP188" s="6" t="s">
        <v>1457</v>
      </c>
      <c r="CQ188" s="156" t="s">
        <v>918</v>
      </c>
      <c r="CR188" s="5" t="s">
        <v>830</v>
      </c>
      <c r="CS188" s="5" t="s">
        <v>1462</v>
      </c>
      <c r="CT188" s="5"/>
      <c r="CU188" s="5">
        <v>1976</v>
      </c>
      <c r="CV188" s="5" t="s">
        <v>3774</v>
      </c>
      <c r="CW188" t="e">
        <f t="shared" si="113"/>
        <v>#VALUE!</v>
      </c>
    </row>
    <row r="189" spans="1:101" ht="52">
      <c r="A189" s="287">
        <f>'Loyd List 1-190 - Edit'!C189</f>
        <v>187</v>
      </c>
      <c r="B189" s="295" t="str">
        <f>VLOOKUP(A189,'Book Details - NO EDIT'!$U$3:$X$192,4,FALSE)</f>
        <v>Olivia (2014–: #187)</v>
      </c>
      <c r="C189" s="287">
        <f>VLOOKUP(A189,'Loyd List 1-190 - Edit'!$P$1:$R$200,3,FALSE)</f>
        <v>167</v>
      </c>
      <c r="D189" s="287">
        <f t="shared" si="110"/>
        <v>1</v>
      </c>
      <c r="E189" s="287">
        <f t="shared" si="101"/>
        <v>1</v>
      </c>
      <c r="F189" s="269" t="str">
        <f t="shared" si="111"/>
        <v xml:space="preserve">1 – Daisy (2021–: #190)       </v>
      </c>
      <c r="G189" s="125" t="str">
        <f>'Loyd Book 2022 - Print'!N189</f>
        <v xml:space="preserve">1 – Daisy (2021–: #190)       </v>
      </c>
      <c r="H189" s="125">
        <f t="shared" si="109"/>
        <v>0</v>
      </c>
      <c r="I189" s="117">
        <f t="shared" si="112"/>
        <v>0</v>
      </c>
      <c r="J189" s="116" t="str">
        <f t="shared" si="121"/>
        <v/>
      </c>
      <c r="K189" s="116" t="str">
        <f t="shared" ref="K189:K200" si="126">IF(VLOOKUP($C189,$AB$2:$AN$67,K$1,FALSE)=$A189,"",VLOOKUP(VLOOKUP($C189,$AB$2:$AN$67,K$1,FALSE),$A$1:$B$200,2,FALSE))</f>
        <v>Daisy (2021–: #190)</v>
      </c>
      <c r="L189" s="116"/>
      <c r="M189" s="116"/>
      <c r="N189" s="116"/>
      <c r="O189" s="116"/>
      <c r="P189" s="116"/>
      <c r="Q189" s="116"/>
      <c r="R189" s="116"/>
      <c r="S189" s="117"/>
      <c r="T189" s="117"/>
      <c r="U189" s="117"/>
      <c r="V189" s="117"/>
      <c r="AA189" s="124"/>
      <c r="BH189" t="str">
        <f t="shared" si="123"/>
        <v>88a</v>
      </c>
      <c r="BI189" s="3" t="s">
        <v>1446</v>
      </c>
      <c r="BJ189" s="3" t="s">
        <v>4931</v>
      </c>
      <c r="BK189" t="str">
        <f t="shared" si="124"/>
        <v xml:space="preserve">Georgina Mary HOLMAN (1964– </v>
      </c>
      <c r="BL189" t="str">
        <f t="shared" si="125"/>
        <v>Georgina Mary HOLMAN (1964– : #88ac)</v>
      </c>
      <c r="CO189" s="157" t="s">
        <v>1461</v>
      </c>
      <c r="CP189" s="6" t="s">
        <v>1457</v>
      </c>
      <c r="CQ189" s="156" t="s">
        <v>1463</v>
      </c>
      <c r="CR189" s="5" t="s">
        <v>1464</v>
      </c>
      <c r="CS189" s="5" t="s">
        <v>1465</v>
      </c>
      <c r="CT189" s="5"/>
      <c r="CU189" s="5">
        <v>1978</v>
      </c>
      <c r="CV189" s="5" t="s">
        <v>3774</v>
      </c>
      <c r="CW189" t="e">
        <f t="shared" si="113"/>
        <v>#VALUE!</v>
      </c>
    </row>
    <row r="190" spans="1:101" ht="20">
      <c r="A190" s="287">
        <f>'Loyd List 1-190 - Edit'!C190</f>
        <v>188</v>
      </c>
      <c r="B190" s="295" t="str">
        <f>VLOOKUP(A190,'Book Details - NO EDIT'!$U$3:$X$192,4,FALSE)</f>
        <v>Archie (2017–: #188)</v>
      </c>
      <c r="C190" s="287">
        <f>VLOOKUP(A190,'Loyd List 1-190 - Edit'!$P$1:$R$200,3,FALSE)</f>
        <v>162</v>
      </c>
      <c r="D190" s="287">
        <f t="shared" si="110"/>
        <v>1</v>
      </c>
      <c r="E190" s="287">
        <f t="shared" si="101"/>
        <v>1</v>
      </c>
      <c r="F190" s="269" t="str">
        <f t="shared" si="111"/>
        <v xml:space="preserve">1 – Rory (2019–: #189)       </v>
      </c>
      <c r="G190" s="125" t="str">
        <f>'Loyd Book 2022 - Print'!N190</f>
        <v xml:space="preserve">1 – Rory (2019–: #189)       </v>
      </c>
      <c r="H190" s="125">
        <f t="shared" si="109"/>
        <v>0</v>
      </c>
      <c r="I190" s="117">
        <f t="shared" si="112"/>
        <v>0</v>
      </c>
      <c r="J190" s="116" t="str">
        <f t="shared" si="121"/>
        <v/>
      </c>
      <c r="K190" s="116" t="str">
        <f t="shared" si="126"/>
        <v>Rory (2019–: #189)</v>
      </c>
      <c r="L190" s="116"/>
      <c r="M190" s="116"/>
      <c r="N190" s="116"/>
      <c r="O190" s="116"/>
      <c r="P190" s="116"/>
      <c r="Q190" s="116"/>
      <c r="R190" s="116"/>
      <c r="S190" s="117"/>
      <c r="T190" s="117"/>
      <c r="U190" s="117"/>
      <c r="V190" s="117"/>
      <c r="AA190" s="124"/>
      <c r="BH190" t="str">
        <f t="shared" si="123"/>
        <v>88a</v>
      </c>
      <c r="BI190" s="3" t="s">
        <v>1453</v>
      </c>
      <c r="BJ190" s="3" t="s">
        <v>4932</v>
      </c>
      <c r="BK190" t="str">
        <f t="shared" si="124"/>
        <v xml:space="preserve">Emma Charlotte HOLMAN (1966– </v>
      </c>
      <c r="BL190" t="str">
        <f t="shared" si="125"/>
        <v>Emma Charlotte HOLMAN (1966– : #88ad)</v>
      </c>
      <c r="CO190" s="157" t="s">
        <v>2551</v>
      </c>
      <c r="CP190" s="6" t="s">
        <v>1472</v>
      </c>
      <c r="CQ190" s="156" t="s">
        <v>1380</v>
      </c>
      <c r="CR190" s="5" t="s">
        <v>985</v>
      </c>
      <c r="CS190" s="5"/>
      <c r="CT190" s="5"/>
      <c r="CU190" s="5">
        <v>1975</v>
      </c>
      <c r="CV190" s="5" t="s">
        <v>3774</v>
      </c>
      <c r="CW190" t="e">
        <f t="shared" si="113"/>
        <v>#VALUE!</v>
      </c>
    </row>
    <row r="191" spans="1:101" ht="20">
      <c r="A191" s="287">
        <f>'Loyd List 1-190 - Edit'!C191</f>
        <v>189</v>
      </c>
      <c r="B191" s="295" t="str">
        <f>VLOOKUP(A191,'Book Details - NO EDIT'!$U$3:$X$192,4,FALSE)</f>
        <v>Rory (2019–: #189)</v>
      </c>
      <c r="C191" s="287">
        <f>VLOOKUP(A191,'Loyd List 1-190 - Edit'!$P$1:$R$200,3,FALSE)</f>
        <v>162</v>
      </c>
      <c r="D191" s="287">
        <f t="shared" si="110"/>
        <v>1</v>
      </c>
      <c r="E191" s="287">
        <f t="shared" si="101"/>
        <v>1</v>
      </c>
      <c r="F191" s="269" t="str">
        <f t="shared" si="111"/>
        <v xml:space="preserve">1 – Archie (2017–: #188)        </v>
      </c>
      <c r="G191" s="125" t="str">
        <f>'Loyd Book 2022 - Print'!N191</f>
        <v xml:space="preserve">1 – Archie (2017–: #188)        </v>
      </c>
      <c r="H191" s="125">
        <f t="shared" si="109"/>
        <v>0</v>
      </c>
      <c r="I191" s="117">
        <f t="shared" si="112"/>
        <v>0</v>
      </c>
      <c r="J191" s="116" t="str">
        <f t="shared" si="121"/>
        <v>Archie (2017–: #188)</v>
      </c>
      <c r="K191" s="116" t="str">
        <f t="shared" si="126"/>
        <v/>
      </c>
      <c r="L191" s="116"/>
      <c r="M191" s="116"/>
      <c r="N191" s="116"/>
      <c r="O191" s="116"/>
      <c r="P191" s="116"/>
      <c r="Q191" s="116"/>
      <c r="R191" s="116"/>
      <c r="S191" s="117"/>
      <c r="T191" s="117"/>
      <c r="U191" s="117"/>
      <c r="V191" s="117"/>
      <c r="AA191" s="124"/>
      <c r="BH191" t="str">
        <f t="shared" si="123"/>
        <v>88b</v>
      </c>
      <c r="BI191" s="3" t="s">
        <v>1460</v>
      </c>
      <c r="BJ191" s="3" t="s">
        <v>4933</v>
      </c>
      <c r="BK191" t="str">
        <f t="shared" si="124"/>
        <v xml:space="preserve">James William Falconer KEITH (1976– </v>
      </c>
      <c r="BL191" t="str">
        <f t="shared" si="125"/>
        <v>James William Falconer KEITH (1976– : #88ba)</v>
      </c>
      <c r="CO191" s="157" t="s">
        <v>2555</v>
      </c>
      <c r="CP191" s="6" t="s">
        <v>2552</v>
      </c>
      <c r="CQ191" s="156" t="s">
        <v>2554</v>
      </c>
      <c r="CR191" s="5" t="s">
        <v>842</v>
      </c>
      <c r="CS191" s="5"/>
      <c r="CT191" s="5"/>
      <c r="CU191" s="5">
        <v>1980</v>
      </c>
      <c r="CV191" s="5" t="s">
        <v>3774</v>
      </c>
      <c r="CW191" t="e">
        <f t="shared" si="113"/>
        <v>#VALUE!</v>
      </c>
    </row>
    <row r="192" spans="1:101" ht="40">
      <c r="A192" s="287">
        <f>'Loyd List 1-190 - Edit'!C192</f>
        <v>190</v>
      </c>
      <c r="B192" s="295" t="str">
        <f>VLOOKUP(A192,'Book Details - NO EDIT'!$U$3:$X$192,4,FALSE)</f>
        <v>Daisy (2021–: #190)</v>
      </c>
      <c r="C192" s="287">
        <f>VLOOKUP(A192,'Loyd List 1-190 - Edit'!$P$1:$R$200,3,FALSE)</f>
        <v>167</v>
      </c>
      <c r="D192" s="287">
        <f t="shared" si="110"/>
        <v>1</v>
      </c>
      <c r="E192" s="287">
        <f t="shared" si="101"/>
        <v>1</v>
      </c>
      <c r="F192" s="269" t="str">
        <f t="shared" si="111"/>
        <v xml:space="preserve">1 – Olivia (2014–: #187)        </v>
      </c>
      <c r="G192" s="125" t="str">
        <f>'Loyd Book 2022 - Print'!N192</f>
        <v xml:space="preserve">1 – Olivia (2014–: #187)        </v>
      </c>
      <c r="H192" s="125">
        <f t="shared" si="109"/>
        <v>0</v>
      </c>
      <c r="I192" s="117">
        <f t="shared" si="112"/>
        <v>0</v>
      </c>
      <c r="J192" s="116" t="str">
        <f t="shared" si="121"/>
        <v>Olivia (2014–: #187)</v>
      </c>
      <c r="K192" s="116" t="str">
        <f t="shared" si="126"/>
        <v/>
      </c>
      <c r="L192" s="116"/>
      <c r="M192" s="116"/>
      <c r="N192" s="116"/>
      <c r="O192" s="116"/>
      <c r="P192" s="116"/>
      <c r="Q192" s="116"/>
      <c r="R192" s="116"/>
      <c r="S192" s="117"/>
      <c r="T192" s="117"/>
      <c r="U192" s="117"/>
      <c r="V192" s="117"/>
      <c r="AA192" s="124"/>
      <c r="BH192" t="str">
        <f t="shared" si="123"/>
        <v>88c</v>
      </c>
      <c r="BI192" s="3" t="s">
        <v>1461</v>
      </c>
      <c r="BJ192" s="3" t="s">
        <v>4934</v>
      </c>
      <c r="BK192" t="str">
        <f t="shared" si="124"/>
        <v xml:space="preserve">The Honourable Iona Delia Mary Gaddis KEITH (1978– </v>
      </c>
      <c r="BL192" t="str">
        <f t="shared" si="125"/>
        <v>The Honourable Iona Delia Mary Gaddis KEITH (1978– : #88ca)</v>
      </c>
      <c r="CO192" s="157" t="s">
        <v>1478</v>
      </c>
      <c r="CP192" s="6" t="s">
        <v>1475</v>
      </c>
      <c r="CQ192" s="156" t="s">
        <v>1476</v>
      </c>
      <c r="CR192" s="5"/>
      <c r="CS192" s="5"/>
      <c r="CT192" s="5"/>
      <c r="CU192" s="5">
        <v>1972</v>
      </c>
      <c r="CV192" s="5" t="s">
        <v>3774</v>
      </c>
      <c r="CW192" t="e">
        <f t="shared" si="113"/>
        <v>#VALUE!</v>
      </c>
    </row>
    <row r="193" spans="1:101" ht="40">
      <c r="A193" s="117"/>
      <c r="B193" s="296"/>
      <c r="C193" s="117"/>
      <c r="D193" s="117"/>
      <c r="F193" s="31"/>
      <c r="I193" s="117">
        <f t="shared" si="112"/>
        <v>0</v>
      </c>
      <c r="J193" s="116"/>
      <c r="K193" s="116" t="str">
        <f t="shared" si="126"/>
        <v/>
      </c>
      <c r="L193" s="116" t="str">
        <f t="shared" ref="L193:M200" si="127">IF(VLOOKUP($C193,$AB$2:$AN$67,L$1,FALSE)=$A193,"",VLOOKUP(VLOOKUP($C193,$AB$2:$AN$67,L$1,FALSE),$A$1:$B$200,2,FALSE))</f>
        <v/>
      </c>
      <c r="M193" s="116" t="str">
        <f t="shared" si="127"/>
        <v/>
      </c>
      <c r="N193" s="116"/>
      <c r="O193" s="116"/>
      <c r="P193" s="116"/>
      <c r="Q193" s="116"/>
      <c r="R193" s="116"/>
      <c r="BH193" t="str">
        <f t="shared" si="123"/>
        <v>90a</v>
      </c>
      <c r="BI193" s="3" t="s">
        <v>2551</v>
      </c>
      <c r="BJ193" s="3" t="s">
        <v>4935</v>
      </c>
      <c r="BK193" t="str">
        <f t="shared" si="124"/>
        <v xml:space="preserve">Emily Kate NORMAN (1975– </v>
      </c>
      <c r="BL193" t="str">
        <f t="shared" si="125"/>
        <v>Emily Kate NORMAN (1975– : #90aa)</v>
      </c>
      <c r="CO193" s="157" t="s">
        <v>1479</v>
      </c>
      <c r="CP193" s="6" t="s">
        <v>1475</v>
      </c>
      <c r="CQ193" s="156" t="s">
        <v>1477</v>
      </c>
      <c r="CR193" s="5"/>
      <c r="CS193" s="5"/>
      <c r="CT193" s="5"/>
      <c r="CU193" s="5">
        <v>1975</v>
      </c>
      <c r="CV193" s="5" t="s">
        <v>3774</v>
      </c>
      <c r="CW193" t="e">
        <f t="shared" si="113"/>
        <v>#VALUE!</v>
      </c>
    </row>
    <row r="194" spans="1:101" ht="20">
      <c r="A194" s="117"/>
      <c r="B194" s="296"/>
      <c r="C194" s="117"/>
      <c r="D194" s="117"/>
      <c r="F194" s="31"/>
      <c r="I194" s="117">
        <f t="shared" si="112"/>
        <v>0</v>
      </c>
      <c r="J194" s="116"/>
      <c r="K194" s="116" t="str">
        <f t="shared" si="126"/>
        <v/>
      </c>
      <c r="L194" s="116" t="str">
        <f t="shared" si="127"/>
        <v/>
      </c>
      <c r="M194" s="116" t="str">
        <f t="shared" si="127"/>
        <v/>
      </c>
      <c r="N194" s="116"/>
      <c r="O194" s="116"/>
      <c r="P194" s="116"/>
      <c r="Q194" s="116"/>
      <c r="R194" s="116"/>
      <c r="BH194" t="str">
        <f t="shared" si="123"/>
        <v>90a</v>
      </c>
      <c r="BI194" s="3" t="s">
        <v>2555</v>
      </c>
      <c r="BJ194" s="3" t="s">
        <v>4936</v>
      </c>
      <c r="BK194" t="str">
        <f t="shared" si="124"/>
        <v xml:space="preserve">Lachlan John RANKIN (1980– </v>
      </c>
      <c r="BL194" t="str">
        <f t="shared" si="125"/>
        <v>Lachlan John RANKIN (1980– : #90ab)</v>
      </c>
      <c r="CO194" s="157" t="s">
        <v>1486</v>
      </c>
      <c r="CP194" s="6" t="s">
        <v>1480</v>
      </c>
      <c r="CQ194" s="156" t="s">
        <v>1489</v>
      </c>
      <c r="CR194" s="5" t="s">
        <v>1436</v>
      </c>
      <c r="CS194" s="5" t="s">
        <v>1482</v>
      </c>
      <c r="CT194" s="5"/>
      <c r="CU194" s="5">
        <v>1976</v>
      </c>
      <c r="CV194" s="5" t="s">
        <v>3774</v>
      </c>
      <c r="CW194" t="e">
        <f t="shared" si="113"/>
        <v>#VALUE!</v>
      </c>
    </row>
    <row r="195" spans="1:101" ht="20">
      <c r="A195" s="117"/>
      <c r="B195" s="296"/>
      <c r="C195" s="117"/>
      <c r="D195" s="117"/>
      <c r="F195" s="31"/>
      <c r="I195" s="117">
        <f t="shared" si="112"/>
        <v>0</v>
      </c>
      <c r="J195" s="116"/>
      <c r="K195" s="116" t="str">
        <f t="shared" si="126"/>
        <v/>
      </c>
      <c r="L195" s="116" t="str">
        <f t="shared" si="127"/>
        <v/>
      </c>
      <c r="M195" s="116" t="str">
        <f t="shared" si="127"/>
        <v/>
      </c>
      <c r="N195" s="116"/>
      <c r="O195" s="116"/>
      <c r="P195" s="116"/>
      <c r="Q195" s="116"/>
      <c r="R195" s="116"/>
      <c r="BH195" t="str">
        <f t="shared" si="123"/>
        <v>90b</v>
      </c>
      <c r="BI195" s="3" t="s">
        <v>1478</v>
      </c>
      <c r="BJ195" s="3" t="s">
        <v>4937</v>
      </c>
      <c r="BK195" t="str">
        <f t="shared" si="124"/>
        <v xml:space="preserve">Cesare STUDIATI BERNI (1972– </v>
      </c>
      <c r="BL195" t="str">
        <f t="shared" si="125"/>
        <v>Cesare STUDIATI BERNI (1972– : #90ba)</v>
      </c>
      <c r="CO195" s="157" t="s">
        <v>1487</v>
      </c>
      <c r="CP195" s="6" t="s">
        <v>1480</v>
      </c>
      <c r="CQ195" s="156" t="s">
        <v>1490</v>
      </c>
      <c r="CR195" s="5" t="s">
        <v>1491</v>
      </c>
      <c r="CS195" s="5" t="s">
        <v>1482</v>
      </c>
      <c r="CT195" s="5"/>
      <c r="CU195" s="5">
        <v>1980</v>
      </c>
      <c r="CV195" s="5">
        <v>1980</v>
      </c>
      <c r="CW195">
        <f t="shared" si="113"/>
        <v>0</v>
      </c>
    </row>
    <row r="196" spans="1:101" ht="20">
      <c r="A196" s="117"/>
      <c r="B196" s="296"/>
      <c r="C196" s="117"/>
      <c r="D196" s="117"/>
      <c r="F196" s="31"/>
      <c r="I196" s="117">
        <f t="shared" si="112"/>
        <v>0</v>
      </c>
      <c r="J196" s="116"/>
      <c r="K196" s="116" t="str">
        <f t="shared" si="126"/>
        <v/>
      </c>
      <c r="L196" s="116" t="str">
        <f t="shared" si="127"/>
        <v/>
      </c>
      <c r="M196" s="116" t="str">
        <f t="shared" si="127"/>
        <v/>
      </c>
      <c r="N196" s="116"/>
      <c r="O196" s="116"/>
      <c r="P196" s="116"/>
      <c r="Q196" s="116"/>
      <c r="R196" s="116"/>
      <c r="BH196" t="str">
        <f t="shared" si="123"/>
        <v>90b</v>
      </c>
      <c r="BI196" s="3" t="s">
        <v>1479</v>
      </c>
      <c r="BJ196" s="3" t="s">
        <v>4938</v>
      </c>
      <c r="BK196" t="str">
        <f t="shared" si="124"/>
        <v xml:space="preserve">Viola STUDIATI BERNI (1975– </v>
      </c>
      <c r="BL196" t="str">
        <f t="shared" si="125"/>
        <v>Viola STUDIATI BERNI (1975– : #90bb)</v>
      </c>
      <c r="CO196" s="157" t="s">
        <v>1488</v>
      </c>
      <c r="CP196" s="6" t="s">
        <v>1480</v>
      </c>
      <c r="CQ196" s="156" t="s">
        <v>1492</v>
      </c>
      <c r="CR196" s="5" t="s">
        <v>937</v>
      </c>
      <c r="CS196" s="5" t="s">
        <v>1482</v>
      </c>
      <c r="CT196" s="5"/>
      <c r="CU196" s="5">
        <v>1982</v>
      </c>
      <c r="CV196" s="5" t="s">
        <v>3774</v>
      </c>
      <c r="CW196" t="e">
        <f t="shared" si="113"/>
        <v>#VALUE!</v>
      </c>
    </row>
    <row r="197" spans="1:101" ht="40">
      <c r="A197" s="117"/>
      <c r="B197" s="296"/>
      <c r="C197" s="117"/>
      <c r="D197" s="117"/>
      <c r="F197" s="31"/>
      <c r="I197" s="117">
        <f>10-COUNTIF(J197:R197,"")-1-D197</f>
        <v>0</v>
      </c>
      <c r="J197" s="116"/>
      <c r="K197" s="116" t="str">
        <f t="shared" si="126"/>
        <v/>
      </c>
      <c r="L197" s="116" t="str">
        <f t="shared" si="127"/>
        <v/>
      </c>
      <c r="M197" s="116" t="str">
        <f t="shared" si="127"/>
        <v/>
      </c>
      <c r="N197" s="116"/>
      <c r="O197" s="116"/>
      <c r="P197" s="116"/>
      <c r="Q197" s="116"/>
      <c r="R197" s="116"/>
      <c r="BH197" t="str">
        <f t="shared" si="123"/>
        <v>90c</v>
      </c>
      <c r="BI197" s="3" t="s">
        <v>1486</v>
      </c>
      <c r="BJ197" s="3" t="s">
        <v>4939</v>
      </c>
      <c r="BK197" t="str">
        <f t="shared" si="124"/>
        <v xml:space="preserve">Georgina Louise Stephenson CLARKE (1976– </v>
      </c>
      <c r="BL197" t="str">
        <f t="shared" si="125"/>
        <v>Georgina Louise Stephenson CLARKE (1976– : #90ca)</v>
      </c>
      <c r="CO197" s="157" t="s">
        <v>1499</v>
      </c>
      <c r="CP197" s="6" t="s">
        <v>1494</v>
      </c>
      <c r="CQ197" s="156" t="s">
        <v>1495</v>
      </c>
      <c r="CR197" s="5" t="s">
        <v>855</v>
      </c>
      <c r="CS197" s="5"/>
      <c r="CT197" s="5"/>
      <c r="CU197" s="5">
        <v>1980</v>
      </c>
      <c r="CV197" s="5" t="s">
        <v>3774</v>
      </c>
      <c r="CW197" t="e">
        <f t="shared" ref="CW197:CW260" si="128">CV197-CU197</f>
        <v>#VALUE!</v>
      </c>
    </row>
    <row r="198" spans="1:101" ht="40">
      <c r="A198" s="117"/>
      <c r="B198" s="296"/>
      <c r="C198" s="117"/>
      <c r="D198" s="117"/>
      <c r="F198" s="31"/>
      <c r="I198" s="117">
        <f>10-COUNTIF(J198:R198,"")-1-D198</f>
        <v>0</v>
      </c>
      <c r="J198" s="116"/>
      <c r="K198" s="116" t="str">
        <f t="shared" si="126"/>
        <v/>
      </c>
      <c r="L198" s="116" t="str">
        <f t="shared" si="127"/>
        <v/>
      </c>
      <c r="M198" s="116" t="str">
        <f t="shared" si="127"/>
        <v/>
      </c>
      <c r="N198" s="116"/>
      <c r="O198" s="116"/>
      <c r="P198" s="116"/>
      <c r="Q198" s="116"/>
      <c r="R198" s="116"/>
      <c r="BH198" t="str">
        <f t="shared" ref="BH198:BH261" si="129">IF(LEN(BI198)=2,LEFT(BI198,1),IF(LEN(BI198)=3,LEFT(BI198,2),IF(LEN(BI198)=4,LEFT(BI198,3))))</f>
        <v>90c</v>
      </c>
      <c r="BI198" s="3" t="s">
        <v>1487</v>
      </c>
      <c r="BJ198" s="3" t="s">
        <v>5198</v>
      </c>
      <c r="BK198" t="str">
        <f t="shared" ref="BK198:BK261" si="130">LEFT(BJ198,LEN(BJ198)-1)</f>
        <v>Philippa Francesca Stephenson CLARKE (1980–1980</v>
      </c>
      <c r="BL198" t="str">
        <f t="shared" ref="BL198:BL261" si="131">_xlfn.CONCAT(BK198,": #",BI198,")")</f>
        <v>Philippa Francesca Stephenson CLARKE (1980–1980: #90cb)</v>
      </c>
      <c r="CO198" s="157" t="s">
        <v>1500</v>
      </c>
      <c r="CP198" s="6" t="s">
        <v>1494</v>
      </c>
      <c r="CQ198" s="156" t="s">
        <v>1496</v>
      </c>
      <c r="CR198" s="5" t="s">
        <v>1380</v>
      </c>
      <c r="CS198" s="5" t="s">
        <v>884</v>
      </c>
      <c r="CT198" s="5"/>
      <c r="CU198" s="5">
        <v>1983</v>
      </c>
      <c r="CV198" s="5" t="s">
        <v>3774</v>
      </c>
      <c r="CW198" t="e">
        <f t="shared" si="128"/>
        <v>#VALUE!</v>
      </c>
    </row>
    <row r="199" spans="1:101" ht="40">
      <c r="A199" s="117"/>
      <c r="B199" s="296"/>
      <c r="C199" s="117"/>
      <c r="D199" s="117"/>
      <c r="F199" s="31"/>
      <c r="I199" s="117">
        <f>10-COUNTIF(J199:R199,"")-1-D199</f>
        <v>0</v>
      </c>
      <c r="J199" s="116"/>
      <c r="K199" s="116" t="str">
        <f t="shared" si="126"/>
        <v/>
      </c>
      <c r="L199" s="116" t="str">
        <f t="shared" si="127"/>
        <v/>
      </c>
      <c r="M199" s="116" t="str">
        <f t="shared" si="127"/>
        <v/>
      </c>
      <c r="N199" s="116"/>
      <c r="O199" s="116"/>
      <c r="P199" s="116"/>
      <c r="Q199" s="116"/>
      <c r="R199" s="116"/>
      <c r="BH199" t="str">
        <f t="shared" si="129"/>
        <v>90c</v>
      </c>
      <c r="BI199" s="3" t="s">
        <v>1488</v>
      </c>
      <c r="BJ199" s="3" t="s">
        <v>4940</v>
      </c>
      <c r="BK199" t="str">
        <f t="shared" si="130"/>
        <v xml:space="preserve">Marina Rose Stephenson CLARKE (1982– </v>
      </c>
      <c r="BL199" t="str">
        <f t="shared" si="131"/>
        <v>Marina Rose Stephenson CLARKE (1982– : #90cc)</v>
      </c>
      <c r="CO199" s="157" t="s">
        <v>1501</v>
      </c>
      <c r="CP199" s="6" t="s">
        <v>1494</v>
      </c>
      <c r="CQ199" s="156" t="s">
        <v>1376</v>
      </c>
      <c r="CR199" s="5" t="s">
        <v>1010</v>
      </c>
      <c r="CS199" s="5"/>
      <c r="CT199" s="5"/>
      <c r="CU199" s="5">
        <v>1984</v>
      </c>
      <c r="CV199" s="5" t="s">
        <v>3774</v>
      </c>
      <c r="CW199" t="e">
        <f t="shared" si="128"/>
        <v>#VALUE!</v>
      </c>
    </row>
    <row r="200" spans="1:101" ht="40">
      <c r="A200" s="117"/>
      <c r="B200" s="296"/>
      <c r="C200" s="117"/>
      <c r="D200" s="117"/>
      <c r="F200" s="31"/>
      <c r="I200" s="117">
        <f>10-COUNTIF(J200:R200,"")-1-D200</f>
        <v>0</v>
      </c>
      <c r="J200" s="116"/>
      <c r="K200" s="116" t="str">
        <f t="shared" si="126"/>
        <v/>
      </c>
      <c r="L200" s="116" t="str">
        <f t="shared" si="127"/>
        <v/>
      </c>
      <c r="M200" s="116" t="str">
        <f t="shared" si="127"/>
        <v/>
      </c>
      <c r="N200" s="116"/>
      <c r="O200" s="116"/>
      <c r="P200" s="116"/>
      <c r="Q200" s="116"/>
      <c r="R200" s="116"/>
      <c r="BH200" t="str">
        <f t="shared" si="129"/>
        <v>92a</v>
      </c>
      <c r="BI200" s="3" t="s">
        <v>1499</v>
      </c>
      <c r="BJ200" s="3" t="s">
        <v>4941</v>
      </c>
      <c r="BK200" t="str">
        <f t="shared" si="130"/>
        <v xml:space="preserve">Hugh Trelawny TATTON-BROWN (1980– </v>
      </c>
      <c r="BL200" t="str">
        <f t="shared" si="131"/>
        <v>Hugh Trelawny TATTON-BROWN (1980– : #92aa)</v>
      </c>
      <c r="CO200" s="157" t="s">
        <v>1502</v>
      </c>
      <c r="CP200" s="6" t="s">
        <v>1494</v>
      </c>
      <c r="CQ200" s="156" t="s">
        <v>902</v>
      </c>
      <c r="CR200" s="5" t="s">
        <v>830</v>
      </c>
      <c r="CS200" s="5" t="s">
        <v>1497</v>
      </c>
      <c r="CT200" s="5"/>
      <c r="CU200" s="5">
        <v>1993</v>
      </c>
      <c r="CV200" s="5" t="s">
        <v>3774</v>
      </c>
      <c r="CW200" t="e">
        <f t="shared" si="128"/>
        <v>#VALUE!</v>
      </c>
    </row>
    <row r="201" spans="1:101" ht="40">
      <c r="BH201" t="str">
        <f t="shared" si="129"/>
        <v>92a</v>
      </c>
      <c r="BI201" s="3" t="s">
        <v>1500</v>
      </c>
      <c r="BJ201" s="3" t="s">
        <v>4942</v>
      </c>
      <c r="BK201" t="str">
        <f t="shared" si="130"/>
        <v xml:space="preserve">Miranda Emily Jean TATTON-BROWN (1983– </v>
      </c>
      <c r="BL201" t="str">
        <f t="shared" si="131"/>
        <v>Miranda Emily Jean TATTON-BROWN (1983– : #92ab)</v>
      </c>
      <c r="CO201" s="157" t="s">
        <v>1506</v>
      </c>
      <c r="CP201" s="6" t="s">
        <v>1494</v>
      </c>
      <c r="CQ201" s="156" t="s">
        <v>1510</v>
      </c>
      <c r="CR201" s="5" t="s">
        <v>853</v>
      </c>
      <c r="CS201" s="5" t="s">
        <v>1511</v>
      </c>
      <c r="CT201" s="5"/>
      <c r="CU201" s="5">
        <v>1971</v>
      </c>
      <c r="CV201" s="5" t="s">
        <v>3774</v>
      </c>
      <c r="CW201" t="e">
        <f t="shared" si="128"/>
        <v>#VALUE!</v>
      </c>
    </row>
    <row r="202" spans="1:101" ht="40">
      <c r="BH202" t="str">
        <f t="shared" si="129"/>
        <v>92a</v>
      </c>
      <c r="BI202" s="3" t="s">
        <v>1501</v>
      </c>
      <c r="BJ202" s="3" t="s">
        <v>4943</v>
      </c>
      <c r="BK202" t="str">
        <f t="shared" si="130"/>
        <v xml:space="preserve">Lucy Ann TATTON-BROWN (1984– </v>
      </c>
      <c r="BL202" t="str">
        <f t="shared" si="131"/>
        <v>Lucy Ann TATTON-BROWN (1984– : #92ac)</v>
      </c>
      <c r="CO202" s="157" t="s">
        <v>1507</v>
      </c>
      <c r="CP202" s="6" t="s">
        <v>1494</v>
      </c>
      <c r="CQ202" s="156" t="s">
        <v>925</v>
      </c>
      <c r="CR202" s="5" t="s">
        <v>902</v>
      </c>
      <c r="CS202" s="5" t="s">
        <v>1390</v>
      </c>
      <c r="CT202" s="5" t="s">
        <v>1196</v>
      </c>
      <c r="CU202" s="5">
        <v>1973</v>
      </c>
      <c r="CV202" s="5" t="s">
        <v>3774</v>
      </c>
      <c r="CW202" t="e">
        <f t="shared" si="128"/>
        <v>#VALUE!</v>
      </c>
    </row>
    <row r="203" spans="1:101" ht="40">
      <c r="BH203" t="str">
        <f t="shared" si="129"/>
        <v>92a</v>
      </c>
      <c r="BI203" s="3" t="s">
        <v>1502</v>
      </c>
      <c r="BJ203" s="3" t="s">
        <v>4944</v>
      </c>
      <c r="BK203" t="str">
        <f t="shared" si="130"/>
        <v xml:space="preserve">Robert William Loyd TATTON-BROWN (1993– </v>
      </c>
      <c r="BL203" t="str">
        <f t="shared" si="131"/>
        <v>Robert William Loyd TATTON-BROWN (1993– : #92ad)</v>
      </c>
      <c r="CO203" s="157" t="s">
        <v>1508</v>
      </c>
      <c r="CP203" s="6" t="s">
        <v>1494</v>
      </c>
      <c r="CQ203" s="156" t="s">
        <v>946</v>
      </c>
      <c r="CR203" s="5" t="s">
        <v>854</v>
      </c>
      <c r="CS203" s="5"/>
      <c r="CT203" s="5"/>
      <c r="CU203" s="5">
        <v>1983</v>
      </c>
      <c r="CV203" s="5" t="s">
        <v>3774</v>
      </c>
      <c r="CW203" t="e">
        <f t="shared" si="128"/>
        <v>#VALUE!</v>
      </c>
    </row>
    <row r="204" spans="1:101" ht="40">
      <c r="BH204" t="str">
        <f t="shared" si="129"/>
        <v>92b</v>
      </c>
      <c r="BI204" s="3" t="s">
        <v>1506</v>
      </c>
      <c r="BJ204" s="3" t="s">
        <v>4945</v>
      </c>
      <c r="BK204" t="str">
        <f t="shared" si="130"/>
        <v xml:space="preserve">Olivia Daphne Noelle TATTON-BROWN (1971– </v>
      </c>
      <c r="BL204" t="str">
        <f t="shared" si="131"/>
        <v>Olivia Daphne Noelle TATTON-BROWN (1971– : #92ba)</v>
      </c>
      <c r="CO204" s="157" t="s">
        <v>1509</v>
      </c>
      <c r="CP204" s="6" t="s">
        <v>1494</v>
      </c>
      <c r="CQ204" s="156" t="s">
        <v>1517</v>
      </c>
      <c r="CR204" s="5" t="s">
        <v>1518</v>
      </c>
      <c r="CS204" s="5" t="s">
        <v>1505</v>
      </c>
      <c r="CT204" s="5"/>
      <c r="CU204" s="5">
        <v>1985</v>
      </c>
      <c r="CV204" s="5" t="s">
        <v>3774</v>
      </c>
      <c r="CW204" t="e">
        <f t="shared" si="128"/>
        <v>#VALUE!</v>
      </c>
    </row>
    <row r="205" spans="1:101" ht="20">
      <c r="BH205" t="str">
        <f t="shared" si="129"/>
        <v>92b</v>
      </c>
      <c r="BI205" s="3" t="s">
        <v>1507</v>
      </c>
      <c r="BJ205" s="3" t="s">
        <v>4946</v>
      </c>
      <c r="BK205" t="str">
        <f t="shared" si="130"/>
        <v xml:space="preserve">Benjamin Robert Louis TATTON-BROWN (1973– </v>
      </c>
      <c r="BL205" t="str">
        <f t="shared" si="131"/>
        <v>Benjamin Robert Louis TATTON-BROWN (1973– : #92bb)</v>
      </c>
      <c r="CO205" s="157" t="s">
        <v>1524</v>
      </c>
      <c r="CP205" s="6" t="s">
        <v>1523</v>
      </c>
      <c r="CQ205" s="156" t="s">
        <v>1483</v>
      </c>
      <c r="CR205" s="5" t="s">
        <v>830</v>
      </c>
      <c r="CS205" s="5" t="s">
        <v>902</v>
      </c>
      <c r="CT205" s="5"/>
      <c r="CU205" s="5">
        <v>1982</v>
      </c>
      <c r="CV205" s="5" t="s">
        <v>3774</v>
      </c>
      <c r="CW205" t="e">
        <f t="shared" si="128"/>
        <v>#VALUE!</v>
      </c>
    </row>
    <row r="206" spans="1:101" ht="20">
      <c r="BH206" t="str">
        <f t="shared" si="129"/>
        <v>92b</v>
      </c>
      <c r="BI206" s="3" t="s">
        <v>1508</v>
      </c>
      <c r="BJ206" s="3" t="s">
        <v>4947</v>
      </c>
      <c r="BK206" t="str">
        <f t="shared" si="130"/>
        <v xml:space="preserve">Daisy Maud TATTON-BROWN (1983– </v>
      </c>
      <c r="BL206" t="str">
        <f t="shared" si="131"/>
        <v>Daisy Maud TATTON-BROWN (1983– : #92bc)</v>
      </c>
      <c r="CO206" s="157" t="s">
        <v>1525</v>
      </c>
      <c r="CP206" s="6" t="s">
        <v>1523</v>
      </c>
      <c r="CQ206" s="156" t="s">
        <v>1526</v>
      </c>
      <c r="CR206" s="5" t="s">
        <v>853</v>
      </c>
      <c r="CS206" s="5" t="s">
        <v>899</v>
      </c>
      <c r="CT206" s="5"/>
      <c r="CU206" s="5">
        <v>1987</v>
      </c>
      <c r="CV206" s="5" t="s">
        <v>3774</v>
      </c>
      <c r="CW206" t="e">
        <f t="shared" si="128"/>
        <v>#VALUE!</v>
      </c>
    </row>
    <row r="207" spans="1:101" ht="34">
      <c r="BH207" t="str">
        <f t="shared" si="129"/>
        <v>92b</v>
      </c>
      <c r="BI207" s="3" t="s">
        <v>1509</v>
      </c>
      <c r="BJ207" s="3" t="s">
        <v>4948</v>
      </c>
      <c r="BK207" t="str">
        <f t="shared" si="130"/>
        <v xml:space="preserve">Gregory Mark Eden TATTON-BROWN (1985– </v>
      </c>
      <c r="BL207" t="str">
        <f t="shared" si="131"/>
        <v>Gregory Mark Eden TATTON-BROWN (1985– : #92bd)</v>
      </c>
      <c r="CO207" s="157" t="s">
        <v>1537</v>
      </c>
      <c r="CP207" s="156" t="s">
        <v>1532</v>
      </c>
      <c r="CQ207" s="156" t="s">
        <v>1536</v>
      </c>
      <c r="CR207" s="5" t="s">
        <v>1533</v>
      </c>
      <c r="CS207" s="5"/>
      <c r="CT207" s="5"/>
      <c r="CU207" s="5">
        <v>1983</v>
      </c>
      <c r="CV207" s="5" t="s">
        <v>3774</v>
      </c>
      <c r="CW207" t="e">
        <f t="shared" si="128"/>
        <v>#VALUE!</v>
      </c>
    </row>
    <row r="208" spans="1:101" ht="34">
      <c r="BH208" t="str">
        <f t="shared" si="129"/>
        <v>92d</v>
      </c>
      <c r="BI208" s="3" t="s">
        <v>1524</v>
      </c>
      <c r="BJ208" s="3" t="s">
        <v>4949</v>
      </c>
      <c r="BK208" t="str">
        <f t="shared" si="130"/>
        <v xml:space="preserve">Jonathan William Robert SURTEES (1982– </v>
      </c>
      <c r="BL208" t="str">
        <f t="shared" si="131"/>
        <v>Jonathan William Robert SURTEES (1982– : #92da)</v>
      </c>
      <c r="CO208" s="157" t="s">
        <v>1538</v>
      </c>
      <c r="CP208" s="156" t="s">
        <v>1532</v>
      </c>
      <c r="CQ208" s="156" t="s">
        <v>1535</v>
      </c>
      <c r="CR208" s="5" t="s">
        <v>913</v>
      </c>
      <c r="CS208" s="5"/>
      <c r="CT208" s="5"/>
      <c r="CU208" s="5">
        <v>1985</v>
      </c>
      <c r="CV208" s="5" t="s">
        <v>3774</v>
      </c>
      <c r="CW208" t="e">
        <f t="shared" si="128"/>
        <v>#VALUE!</v>
      </c>
    </row>
    <row r="209" spans="60:101" ht="17">
      <c r="BH209" t="str">
        <f t="shared" si="129"/>
        <v>92d</v>
      </c>
      <c r="BI209" s="3" t="s">
        <v>1525</v>
      </c>
      <c r="BJ209" s="3" t="s">
        <v>4950</v>
      </c>
      <c r="BK209" t="str">
        <f t="shared" si="130"/>
        <v xml:space="preserve">Rosamund Daphne Patricia SURTEES (1987– </v>
      </c>
      <c r="BL209" t="str">
        <f t="shared" si="131"/>
        <v>Rosamund Daphne Patricia SURTEES (1987– : #92db)</v>
      </c>
      <c r="CO209" s="157" t="s">
        <v>1539</v>
      </c>
      <c r="CP209" s="156" t="s">
        <v>1532</v>
      </c>
      <c r="CQ209" s="156" t="s">
        <v>1534</v>
      </c>
      <c r="CR209" s="5" t="s">
        <v>921</v>
      </c>
      <c r="CS209" s="5"/>
      <c r="CT209" s="5"/>
      <c r="CU209" s="5">
        <v>1992</v>
      </c>
      <c r="CV209" s="5" t="s">
        <v>3774</v>
      </c>
      <c r="CW209" t="e">
        <f t="shared" si="128"/>
        <v>#VALUE!</v>
      </c>
    </row>
    <row r="210" spans="60:101" ht="20">
      <c r="BH210" t="str">
        <f t="shared" si="129"/>
        <v>95b</v>
      </c>
      <c r="BI210" s="3" t="s">
        <v>1537</v>
      </c>
      <c r="BJ210" s="3" t="s">
        <v>4951</v>
      </c>
      <c r="BK210" t="str">
        <f t="shared" si="130"/>
        <v xml:space="preserve">THE Hon William Guy VESTEY (1983– </v>
      </c>
      <c r="BL210" t="str">
        <f t="shared" si="131"/>
        <v>THE Hon William Guy VESTEY (1983– : #95ba)</v>
      </c>
      <c r="CO210" s="157" t="s">
        <v>1545</v>
      </c>
      <c r="CP210" s="6" t="s">
        <v>1541</v>
      </c>
      <c r="CQ210" s="156" t="s">
        <v>924</v>
      </c>
      <c r="CR210" s="5" t="s">
        <v>902</v>
      </c>
      <c r="CS210" s="5" t="s">
        <v>1497</v>
      </c>
      <c r="CT210" s="5"/>
      <c r="CU210" s="5">
        <v>1991</v>
      </c>
      <c r="CV210" s="5" t="s">
        <v>3774</v>
      </c>
      <c r="CW210" t="e">
        <f t="shared" si="128"/>
        <v>#VALUE!</v>
      </c>
    </row>
    <row r="211" spans="60:101" ht="20">
      <c r="BH211" t="str">
        <f t="shared" si="129"/>
        <v>95b</v>
      </c>
      <c r="BI211" s="3" t="s">
        <v>1538</v>
      </c>
      <c r="BJ211" s="3" t="s">
        <v>4952</v>
      </c>
      <c r="BK211" t="str">
        <f t="shared" si="130"/>
        <v xml:space="preserve">THE Hon Arthur George VESTEY (1985– </v>
      </c>
      <c r="BL211" t="str">
        <f t="shared" si="131"/>
        <v>THE Hon Arthur George VESTEY (1985– : #95bb)</v>
      </c>
      <c r="CO211" s="157" t="s">
        <v>1546</v>
      </c>
      <c r="CP211" s="6" t="s">
        <v>1541</v>
      </c>
      <c r="CQ211" s="156" t="s">
        <v>1369</v>
      </c>
      <c r="CR211" s="5" t="s">
        <v>811</v>
      </c>
      <c r="CS211" s="5" t="s">
        <v>905</v>
      </c>
      <c r="CT211" s="5"/>
      <c r="CU211" s="5">
        <v>1995</v>
      </c>
      <c r="CV211" s="5" t="s">
        <v>3774</v>
      </c>
      <c r="CW211" t="e">
        <f t="shared" si="128"/>
        <v>#VALUE!</v>
      </c>
    </row>
    <row r="212" spans="60:101" ht="20">
      <c r="BH212" t="str">
        <f t="shared" si="129"/>
        <v>95b</v>
      </c>
      <c r="BI212" s="3" t="s">
        <v>1539</v>
      </c>
      <c r="BJ212" s="3" t="s">
        <v>4953</v>
      </c>
      <c r="BK212" t="str">
        <f t="shared" si="130"/>
        <v xml:space="preserve">The Hon Mary Henrietta VESTEY (1992– </v>
      </c>
      <c r="BL212" t="str">
        <f t="shared" si="131"/>
        <v>The Hon Mary Henrietta VESTEY (1992– : #95bc)</v>
      </c>
      <c r="CO212" s="157" t="s">
        <v>1555</v>
      </c>
      <c r="CP212" s="6" t="s">
        <v>1541</v>
      </c>
      <c r="CQ212" s="156" t="s">
        <v>1060</v>
      </c>
      <c r="CR212" s="5" t="s">
        <v>852</v>
      </c>
      <c r="CS212" s="5" t="s">
        <v>804</v>
      </c>
      <c r="CT212" s="5"/>
      <c r="CU212" s="5">
        <v>1995</v>
      </c>
      <c r="CV212" s="5" t="s">
        <v>3774</v>
      </c>
      <c r="CW212" t="e">
        <f t="shared" si="128"/>
        <v>#VALUE!</v>
      </c>
    </row>
    <row r="213" spans="60:101" ht="20">
      <c r="BH213" t="str">
        <f t="shared" si="129"/>
        <v>97a</v>
      </c>
      <c r="BI213" s="3" t="s">
        <v>1545</v>
      </c>
      <c r="BJ213" s="3" t="s">
        <v>4954</v>
      </c>
      <c r="BK213" t="str">
        <f t="shared" si="130"/>
        <v xml:space="preserve">Alexander Robert Loyd SALE (1991– </v>
      </c>
      <c r="BL213" t="str">
        <f t="shared" si="131"/>
        <v>Alexander Robert Loyd SALE (1991– : #97aa)</v>
      </c>
      <c r="CO213" s="157" t="s">
        <v>1556</v>
      </c>
      <c r="CP213" s="6" t="s">
        <v>1541</v>
      </c>
      <c r="CQ213" s="156" t="s">
        <v>1553</v>
      </c>
      <c r="CR213" s="5" t="s">
        <v>1554</v>
      </c>
      <c r="CS213" s="5"/>
      <c r="CT213" s="5" t="s">
        <v>4090</v>
      </c>
      <c r="CU213" s="5">
        <v>1997</v>
      </c>
      <c r="CV213" s="5" t="s">
        <v>3774</v>
      </c>
      <c r="CW213" t="e">
        <f t="shared" si="128"/>
        <v>#VALUE!</v>
      </c>
    </row>
    <row r="214" spans="60:101" ht="20">
      <c r="BH214" t="str">
        <f t="shared" si="129"/>
        <v>97a</v>
      </c>
      <c r="BI214" s="3" t="s">
        <v>1546</v>
      </c>
      <c r="BJ214" s="3" t="s">
        <v>4955</v>
      </c>
      <c r="BK214" t="str">
        <f t="shared" si="130"/>
        <v xml:space="preserve">Oliver Edward David SALE (1995– </v>
      </c>
      <c r="BL214" t="str">
        <f t="shared" si="131"/>
        <v>Oliver Edward David SALE (1995– : #97ab)</v>
      </c>
      <c r="CO214" s="157" t="s">
        <v>3945</v>
      </c>
      <c r="CP214" s="6" t="s">
        <v>1541</v>
      </c>
      <c r="CQ214" s="156" t="s">
        <v>3609</v>
      </c>
      <c r="CR214" s="5" t="s">
        <v>1988</v>
      </c>
      <c r="CS214" s="5"/>
      <c r="CT214" s="5"/>
      <c r="CU214" s="5">
        <v>2002</v>
      </c>
      <c r="CV214" s="5" t="s">
        <v>3774</v>
      </c>
      <c r="CW214" t="e">
        <f t="shared" si="128"/>
        <v>#VALUE!</v>
      </c>
    </row>
    <row r="215" spans="60:101" ht="20">
      <c r="BH215" t="str">
        <f t="shared" si="129"/>
        <v>97e</v>
      </c>
      <c r="BI215" s="3" t="s">
        <v>1555</v>
      </c>
      <c r="BJ215" s="3" t="s">
        <v>4956</v>
      </c>
      <c r="BK215" t="str">
        <f t="shared" si="130"/>
        <v xml:space="preserve">Frank Thomas Arthur SALE (1995– </v>
      </c>
      <c r="BL215" t="str">
        <f t="shared" si="131"/>
        <v>Frank Thomas Arthur SALE (1995– : #97ea)</v>
      </c>
      <c r="CO215" s="157" t="s">
        <v>1564</v>
      </c>
      <c r="CP215" s="6" t="s">
        <v>1561</v>
      </c>
      <c r="CQ215" s="156" t="s">
        <v>1562</v>
      </c>
      <c r="CR215" s="5" t="s">
        <v>971</v>
      </c>
      <c r="CS215" s="5" t="s">
        <v>842</v>
      </c>
      <c r="CT215" s="5"/>
      <c r="CU215" s="5">
        <v>1974</v>
      </c>
      <c r="CV215" s="5" t="s">
        <v>3774</v>
      </c>
      <c r="CW215" t="e">
        <f t="shared" si="128"/>
        <v>#VALUE!</v>
      </c>
    </row>
    <row r="216" spans="60:101" ht="20">
      <c r="BH216" t="str">
        <f t="shared" si="129"/>
        <v>97e</v>
      </c>
      <c r="BI216" s="3" t="s">
        <v>1556</v>
      </c>
      <c r="BJ216" s="3" t="s">
        <v>4957</v>
      </c>
      <c r="BK216" t="str">
        <f t="shared" si="130"/>
        <v xml:space="preserve">Constancy Nancy SALE (1997– </v>
      </c>
      <c r="BL216" t="str">
        <f t="shared" si="131"/>
        <v>Constancy Nancy SALE (1997– : #97eb)</v>
      </c>
      <c r="CO216" s="157" t="s">
        <v>1565</v>
      </c>
      <c r="CP216" s="6" t="s">
        <v>1561</v>
      </c>
      <c r="CQ216" s="156" t="s">
        <v>867</v>
      </c>
      <c r="CR216" s="5" t="s">
        <v>1563</v>
      </c>
      <c r="CS216" s="5" t="s">
        <v>927</v>
      </c>
      <c r="CT216" s="5"/>
      <c r="CU216" s="5">
        <v>1979</v>
      </c>
      <c r="CV216" s="5" t="s">
        <v>3774</v>
      </c>
      <c r="CW216" t="e">
        <f t="shared" si="128"/>
        <v>#VALUE!</v>
      </c>
    </row>
    <row r="217" spans="60:101" ht="40">
      <c r="BH217" t="str">
        <f t="shared" si="129"/>
        <v>97e</v>
      </c>
      <c r="BI217" s="3" t="s">
        <v>3945</v>
      </c>
      <c r="BJ217" s="3" t="s">
        <v>4958</v>
      </c>
      <c r="BK217" t="str">
        <f t="shared" si="130"/>
        <v xml:space="preserve">Grace Alice SALE (2002– </v>
      </c>
      <c r="BL217" t="str">
        <f t="shared" si="131"/>
        <v>Grace Alice SALE (2002– : #97ec)</v>
      </c>
      <c r="CO217" s="157" t="s">
        <v>1574</v>
      </c>
      <c r="CP217" s="6" t="s">
        <v>1568</v>
      </c>
      <c r="CQ217" s="156" t="s">
        <v>1571</v>
      </c>
      <c r="CR217" s="5" t="s">
        <v>1569</v>
      </c>
      <c r="CS217" s="5" t="s">
        <v>1570</v>
      </c>
      <c r="CT217" s="5"/>
      <c r="CU217" s="5">
        <v>1985</v>
      </c>
      <c r="CV217" s="5" t="s">
        <v>3774</v>
      </c>
      <c r="CW217" t="e">
        <f t="shared" si="128"/>
        <v>#VALUE!</v>
      </c>
    </row>
    <row r="218" spans="60:101" ht="40">
      <c r="BH218" t="b">
        <f t="shared" si="129"/>
        <v>0</v>
      </c>
      <c r="BI218" s="3" t="s">
        <v>1564</v>
      </c>
      <c r="BJ218" s="3" t="s">
        <v>4959</v>
      </c>
      <c r="BK218" t="str">
        <f t="shared" si="130"/>
        <v xml:space="preserve">Lawrence Rupert John TIMPSON (1974– </v>
      </c>
      <c r="BL218" t="str">
        <f t="shared" si="131"/>
        <v>Lawrence Rupert John TIMPSON (1974– : #101aa)</v>
      </c>
      <c r="CO218" s="157" t="s">
        <v>1575</v>
      </c>
      <c r="CP218" s="6" t="s">
        <v>1568</v>
      </c>
      <c r="CQ218" s="156" t="s">
        <v>1572</v>
      </c>
      <c r="CR218" s="5" t="s">
        <v>1573</v>
      </c>
      <c r="CS218" s="5" t="s">
        <v>913</v>
      </c>
      <c r="CT218" s="5"/>
      <c r="CU218" s="5">
        <v>1989</v>
      </c>
      <c r="CV218" s="5" t="s">
        <v>3774</v>
      </c>
      <c r="CW218" t="e">
        <f t="shared" si="128"/>
        <v>#VALUE!</v>
      </c>
    </row>
    <row r="219" spans="60:101" ht="40">
      <c r="BH219" t="b">
        <f t="shared" si="129"/>
        <v>0</v>
      </c>
      <c r="BI219" s="3" t="s">
        <v>1565</v>
      </c>
      <c r="BJ219" s="3" t="s">
        <v>4960</v>
      </c>
      <c r="BK219" t="str">
        <f t="shared" si="130"/>
        <v xml:space="preserve">Catherine Selina Alexandra TIMPSON (1979– </v>
      </c>
      <c r="BL219" t="str">
        <f t="shared" si="131"/>
        <v>Catherine Selina Alexandra TIMPSON (1979– : #101ab)</v>
      </c>
      <c r="CO219" s="157" t="s">
        <v>1577</v>
      </c>
      <c r="CP219" s="6" t="s">
        <v>1568</v>
      </c>
      <c r="CQ219" s="156" t="s">
        <v>1576</v>
      </c>
      <c r="CR219" s="5" t="s">
        <v>867</v>
      </c>
      <c r="CS219" s="5"/>
      <c r="CT219" s="5"/>
      <c r="CU219" s="5">
        <v>1992</v>
      </c>
      <c r="CV219" s="5" t="s">
        <v>3774</v>
      </c>
      <c r="CW219" t="e">
        <f t="shared" si="128"/>
        <v>#VALUE!</v>
      </c>
    </row>
    <row r="220" spans="60:101" ht="20">
      <c r="BH220" t="b">
        <f t="shared" si="129"/>
        <v>0</v>
      </c>
      <c r="BI220" s="3" t="s">
        <v>1574</v>
      </c>
      <c r="BJ220" s="3" t="s">
        <v>4961</v>
      </c>
      <c r="BK220" t="str">
        <f t="shared" si="130"/>
        <v xml:space="preserve">Viscount John Armar Galbraith LOWRY-CORRY (1985– </v>
      </c>
      <c r="BL220" t="str">
        <f t="shared" si="131"/>
        <v>Viscount John Armar Galbraith LOWRY-CORRY (1985– : #101ba)</v>
      </c>
      <c r="CO220" s="157" t="s">
        <v>1582</v>
      </c>
      <c r="CP220" s="6" t="s">
        <v>1580</v>
      </c>
      <c r="CQ220" s="156" t="s">
        <v>1581</v>
      </c>
      <c r="CR220" s="5" t="s">
        <v>1481</v>
      </c>
      <c r="CS220" s="5"/>
      <c r="CT220" s="5"/>
      <c r="CU220" s="5">
        <v>1987</v>
      </c>
      <c r="CV220" s="5" t="s">
        <v>3774</v>
      </c>
      <c r="CW220" t="e">
        <f t="shared" si="128"/>
        <v>#VALUE!</v>
      </c>
    </row>
    <row r="221" spans="60:101" ht="20">
      <c r="BH221" t="b">
        <f t="shared" si="129"/>
        <v>0</v>
      </c>
      <c r="BI221" s="3" t="s">
        <v>1575</v>
      </c>
      <c r="BJ221" s="3" t="s">
        <v>4962</v>
      </c>
      <c r="BK221" t="str">
        <f t="shared" si="130"/>
        <v xml:space="preserve">The Hon Montagu Gilford George LOWRY-CORRY (1989– </v>
      </c>
      <c r="BL221" t="str">
        <f t="shared" si="131"/>
        <v>The Hon Montagu Gilford George LOWRY-CORRY (1989– : #101bb)</v>
      </c>
      <c r="CO221" s="157" t="s">
        <v>1584</v>
      </c>
      <c r="CP221" s="6" t="s">
        <v>1580</v>
      </c>
      <c r="CQ221" s="156" t="s">
        <v>807</v>
      </c>
      <c r="CR221" s="5" t="s">
        <v>917</v>
      </c>
      <c r="CS221" s="5"/>
      <c r="CT221" s="5"/>
      <c r="CU221" s="5">
        <v>1989</v>
      </c>
      <c r="CV221" s="5" t="s">
        <v>3774</v>
      </c>
      <c r="CW221" t="e">
        <f t="shared" si="128"/>
        <v>#VALUE!</v>
      </c>
    </row>
    <row r="222" spans="60:101" ht="20">
      <c r="BH222" t="b">
        <f t="shared" si="129"/>
        <v>0</v>
      </c>
      <c r="BI222" s="3" t="s">
        <v>1577</v>
      </c>
      <c r="BJ222" s="3" t="s">
        <v>4963</v>
      </c>
      <c r="BK222" t="str">
        <f t="shared" si="130"/>
        <v xml:space="preserve">Lady Martha Catherine LOWRY-CORRY (1992– </v>
      </c>
      <c r="BL222" t="str">
        <f t="shared" si="131"/>
        <v>Lady Martha Catherine LOWRY-CORRY (1992– : #101bc)</v>
      </c>
      <c r="CO222" s="157" t="s">
        <v>1585</v>
      </c>
      <c r="CP222" s="6" t="s">
        <v>1580</v>
      </c>
      <c r="CQ222" s="156" t="s">
        <v>1583</v>
      </c>
      <c r="CR222" s="5" t="s">
        <v>842</v>
      </c>
      <c r="CS222" s="5"/>
      <c r="CT222" s="5"/>
      <c r="CU222" s="5">
        <v>1993</v>
      </c>
      <c r="CV222" s="5" t="s">
        <v>3774</v>
      </c>
      <c r="CW222" t="e">
        <f t="shared" si="128"/>
        <v>#VALUE!</v>
      </c>
    </row>
    <row r="223" spans="60:101" ht="20">
      <c r="BH223" t="b">
        <f t="shared" si="129"/>
        <v>0</v>
      </c>
      <c r="BI223" s="3" t="s">
        <v>1582</v>
      </c>
      <c r="BJ223" s="3" t="s">
        <v>4964</v>
      </c>
      <c r="BK223" t="str">
        <f t="shared" si="130"/>
        <v xml:space="preserve">Milo Edmund HISCOX (1987– </v>
      </c>
      <c r="BL223" t="str">
        <f t="shared" si="131"/>
        <v>Milo Edmund HISCOX (1987– : #101ca)</v>
      </c>
      <c r="CO223" s="157" t="s">
        <v>1592</v>
      </c>
      <c r="CP223" s="6" t="s">
        <v>1588</v>
      </c>
      <c r="CQ223" s="156" t="s">
        <v>1589</v>
      </c>
      <c r="CR223" s="5" t="s">
        <v>842</v>
      </c>
      <c r="CS223" s="5" t="s">
        <v>1590</v>
      </c>
      <c r="CT223" s="5"/>
      <c r="CU223" s="5">
        <v>1982</v>
      </c>
      <c r="CV223" s="5" t="s">
        <v>3774</v>
      </c>
      <c r="CW223" t="e">
        <f t="shared" si="128"/>
        <v>#VALUE!</v>
      </c>
    </row>
    <row r="224" spans="60:101" ht="20">
      <c r="BH224" t="b">
        <f t="shared" si="129"/>
        <v>0</v>
      </c>
      <c r="BI224" s="3" t="s">
        <v>1584</v>
      </c>
      <c r="BJ224" s="3" t="s">
        <v>4965</v>
      </c>
      <c r="BK224" t="str">
        <f t="shared" si="130"/>
        <v xml:space="preserve">Henry Charles HISCOX (1989– </v>
      </c>
      <c r="BL224" t="str">
        <f t="shared" si="131"/>
        <v>Henry Charles HISCOX (1989– : #101cb)</v>
      </c>
      <c r="CO224" s="157" t="s">
        <v>1593</v>
      </c>
      <c r="CP224" s="6" t="s">
        <v>1588</v>
      </c>
      <c r="CQ224" s="156" t="s">
        <v>1591</v>
      </c>
      <c r="CR224" s="5" t="s">
        <v>1436</v>
      </c>
      <c r="CS224" s="5" t="s">
        <v>867</v>
      </c>
      <c r="CT224" s="5"/>
      <c r="CU224" s="5">
        <v>1984</v>
      </c>
      <c r="CV224" s="5" t="s">
        <v>3774</v>
      </c>
      <c r="CW224" t="e">
        <f t="shared" si="128"/>
        <v>#VALUE!</v>
      </c>
    </row>
    <row r="225" spans="60:101" ht="20">
      <c r="BH225" t="b">
        <f t="shared" si="129"/>
        <v>0</v>
      </c>
      <c r="BI225" s="3" t="s">
        <v>1585</v>
      </c>
      <c r="BJ225" s="3" t="s">
        <v>4966</v>
      </c>
      <c r="BK225" t="str">
        <f t="shared" si="130"/>
        <v xml:space="preserve">Sydney John HISCOX (1993– </v>
      </c>
      <c r="BL225" t="str">
        <f t="shared" si="131"/>
        <v>Sydney John HISCOX (1993– : #101cc)</v>
      </c>
      <c r="CO225" s="157" t="s">
        <v>1596</v>
      </c>
      <c r="CP225" s="6" t="s">
        <v>1588</v>
      </c>
      <c r="CQ225" s="156" t="s">
        <v>1595</v>
      </c>
      <c r="CR225" s="5" t="s">
        <v>1594</v>
      </c>
      <c r="CS225" s="5"/>
      <c r="CT225" s="5"/>
      <c r="CU225" s="5">
        <v>1988</v>
      </c>
      <c r="CV225" s="5" t="s">
        <v>3774</v>
      </c>
      <c r="CW225" t="e">
        <f t="shared" si="128"/>
        <v>#VALUE!</v>
      </c>
    </row>
    <row r="226" spans="60:101" ht="20">
      <c r="BH226" t="b">
        <f t="shared" si="129"/>
        <v>0</v>
      </c>
      <c r="BI226" s="3" t="s">
        <v>1592</v>
      </c>
      <c r="BJ226" s="3" t="s">
        <v>4967</v>
      </c>
      <c r="BK226" t="str">
        <f t="shared" si="130"/>
        <v xml:space="preserve">Nicholas John Howard REID (1982– </v>
      </c>
      <c r="BL226" t="str">
        <f t="shared" si="131"/>
        <v>Nicholas John Howard REID (1982– : #101da)</v>
      </c>
      <c r="CO226" s="157" t="s">
        <v>1601</v>
      </c>
      <c r="CP226" s="6" t="s">
        <v>1599</v>
      </c>
      <c r="CQ226" s="156" t="s">
        <v>852</v>
      </c>
      <c r="CR226" s="5" t="s">
        <v>902</v>
      </c>
      <c r="CS226" s="5" t="s">
        <v>979</v>
      </c>
      <c r="CT226" s="5"/>
      <c r="CU226" s="5">
        <v>1991</v>
      </c>
      <c r="CV226" s="5" t="s">
        <v>3774</v>
      </c>
      <c r="CW226" t="e">
        <f t="shared" si="128"/>
        <v>#VALUE!</v>
      </c>
    </row>
    <row r="227" spans="60:101" ht="20">
      <c r="BH227" t="b">
        <f t="shared" si="129"/>
        <v>0</v>
      </c>
      <c r="BI227" s="3" t="s">
        <v>1593</v>
      </c>
      <c r="BJ227" s="3" t="s">
        <v>4968</v>
      </c>
      <c r="BK227" t="str">
        <f t="shared" si="130"/>
        <v xml:space="preserve">Amelia Louise Catherine REID (1984– </v>
      </c>
      <c r="BL227" t="str">
        <f t="shared" si="131"/>
        <v>Amelia Louise Catherine REID (1984– : #101db)</v>
      </c>
      <c r="CO227" s="157" t="s">
        <v>1602</v>
      </c>
      <c r="CP227" s="6" t="s">
        <v>1599</v>
      </c>
      <c r="CQ227" s="156" t="s">
        <v>913</v>
      </c>
      <c r="CR227" s="160" t="s">
        <v>1481</v>
      </c>
      <c r="CS227" s="5" t="s">
        <v>979</v>
      </c>
      <c r="CT227" s="5"/>
      <c r="CU227" s="5">
        <v>1993</v>
      </c>
      <c r="CV227" s="5" t="s">
        <v>3774</v>
      </c>
      <c r="CW227" t="e">
        <f t="shared" si="128"/>
        <v>#VALUE!</v>
      </c>
    </row>
    <row r="228" spans="60:101" ht="20">
      <c r="BH228" t="b">
        <f t="shared" si="129"/>
        <v>0</v>
      </c>
      <c r="BI228" s="3" t="s">
        <v>1596</v>
      </c>
      <c r="BJ228" s="3" t="s">
        <v>4969</v>
      </c>
      <c r="BK228" t="str">
        <f t="shared" si="130"/>
        <v xml:space="preserve">Clementine Julia REID (1988– </v>
      </c>
      <c r="BL228" t="str">
        <f t="shared" si="131"/>
        <v>Clementine Julia REID (1988– : #101dc)</v>
      </c>
      <c r="CO228" s="157" t="s">
        <v>1604</v>
      </c>
      <c r="CP228" s="6" t="s">
        <v>1599</v>
      </c>
      <c r="CQ228" s="156" t="s">
        <v>976</v>
      </c>
      <c r="CR228" s="160" t="s">
        <v>1603</v>
      </c>
      <c r="CS228" s="5" t="s">
        <v>979</v>
      </c>
      <c r="CT228" s="5"/>
      <c r="CU228" s="5">
        <v>1996</v>
      </c>
      <c r="CV228" s="5" t="s">
        <v>3774</v>
      </c>
      <c r="CW228" t="e">
        <f t="shared" si="128"/>
        <v>#VALUE!</v>
      </c>
    </row>
    <row r="229" spans="60:101" ht="20">
      <c r="BH229" t="b">
        <f t="shared" si="129"/>
        <v>0</v>
      </c>
      <c r="BI229" s="3" t="s">
        <v>1601</v>
      </c>
      <c r="BJ229" s="3" t="s">
        <v>4970</v>
      </c>
      <c r="BK229" t="str">
        <f t="shared" si="130"/>
        <v xml:space="preserve">Thomas Robert Hamilton WILLS (1991– </v>
      </c>
      <c r="BL229" t="str">
        <f t="shared" si="131"/>
        <v>Thomas Robert Hamilton WILLS (1991– : #101ea)</v>
      </c>
      <c r="CO229" s="157" t="s">
        <v>1611</v>
      </c>
      <c r="CP229" s="6" t="s">
        <v>1609</v>
      </c>
      <c r="CQ229" s="160" t="s">
        <v>928</v>
      </c>
      <c r="CR229" s="5" t="s">
        <v>1610</v>
      </c>
      <c r="CS229" s="5"/>
      <c r="CT229" s="5"/>
      <c r="CU229" s="5">
        <v>1993</v>
      </c>
      <c r="CV229" s="5" t="s">
        <v>3774</v>
      </c>
      <c r="CW229" t="e">
        <f t="shared" si="128"/>
        <v>#VALUE!</v>
      </c>
    </row>
    <row r="230" spans="60:101" ht="20">
      <c r="BH230" t="b">
        <f t="shared" si="129"/>
        <v>0</v>
      </c>
      <c r="BI230" s="3" t="s">
        <v>1602</v>
      </c>
      <c r="BJ230" s="3" t="s">
        <v>4971</v>
      </c>
      <c r="BK230" t="str">
        <f t="shared" si="130"/>
        <v xml:space="preserve">George Edmund Hamilton WILLS (1993– </v>
      </c>
      <c r="BL230" t="str">
        <f t="shared" si="131"/>
        <v>George Edmund Hamilton WILLS (1993– : #101eb)</v>
      </c>
      <c r="CO230" s="157" t="s">
        <v>1613</v>
      </c>
      <c r="CP230" s="6" t="s">
        <v>1609</v>
      </c>
      <c r="CQ230" s="160" t="s">
        <v>1612</v>
      </c>
      <c r="CR230" s="5" t="s">
        <v>1610</v>
      </c>
      <c r="CS230" s="5"/>
      <c r="CT230" s="5"/>
      <c r="CU230" s="5">
        <v>1996</v>
      </c>
      <c r="CV230" s="5" t="s">
        <v>3774</v>
      </c>
      <c r="CW230" t="e">
        <f t="shared" si="128"/>
        <v>#VALUE!</v>
      </c>
    </row>
    <row r="231" spans="60:101" ht="20">
      <c r="BH231" t="b">
        <f t="shared" si="129"/>
        <v>0</v>
      </c>
      <c r="BI231" s="3" t="s">
        <v>1604</v>
      </c>
      <c r="BJ231" s="3" t="s">
        <v>4972</v>
      </c>
      <c r="BK231" t="str">
        <f t="shared" si="130"/>
        <v xml:space="preserve">Laura Felicity Hamilton WILLS (1996– </v>
      </c>
      <c r="BL231" t="str">
        <f t="shared" si="131"/>
        <v>Laura Felicity Hamilton WILLS (1996– : #101ec)</v>
      </c>
      <c r="CO231" s="157" t="s">
        <v>1624</v>
      </c>
      <c r="CP231" s="6" t="s">
        <v>1615</v>
      </c>
      <c r="CQ231" s="156" t="s">
        <v>1621</v>
      </c>
      <c r="CR231" s="160" t="s">
        <v>1622</v>
      </c>
      <c r="CS231" s="5" t="s">
        <v>1623</v>
      </c>
      <c r="CT231" s="5"/>
      <c r="CU231" s="5">
        <v>1998</v>
      </c>
      <c r="CV231" s="5" t="s">
        <v>3774</v>
      </c>
      <c r="CW231" t="e">
        <f t="shared" si="128"/>
        <v>#VALUE!</v>
      </c>
    </row>
    <row r="232" spans="60:101" ht="20">
      <c r="BH232" t="b">
        <f t="shared" si="129"/>
        <v>0</v>
      </c>
      <c r="BI232" s="3" t="s">
        <v>1611</v>
      </c>
      <c r="BJ232" s="3" t="s">
        <v>4973</v>
      </c>
      <c r="BK232" t="str">
        <f t="shared" si="130"/>
        <v xml:space="preserve">Richard Garnett HEYWOOD (1993– </v>
      </c>
      <c r="BL232" t="str">
        <f t="shared" si="131"/>
        <v>Richard Garnett HEYWOOD (1993– : #101fa)</v>
      </c>
      <c r="CO232" s="157" t="s">
        <v>3858</v>
      </c>
      <c r="CP232" s="6" t="s">
        <v>1615</v>
      </c>
      <c r="CQ232" s="156" t="s">
        <v>842</v>
      </c>
      <c r="CR232" s="160" t="s">
        <v>1618</v>
      </c>
      <c r="CS232" s="5" t="s">
        <v>1623</v>
      </c>
      <c r="CT232" s="5"/>
      <c r="CU232" s="5">
        <v>2000</v>
      </c>
      <c r="CV232" s="5" t="s">
        <v>3774</v>
      </c>
      <c r="CW232" t="e">
        <f t="shared" si="128"/>
        <v>#VALUE!</v>
      </c>
    </row>
    <row r="233" spans="60:101" ht="40">
      <c r="BH233" t="b">
        <f t="shared" si="129"/>
        <v>0</v>
      </c>
      <c r="BI233" s="3" t="s">
        <v>1613</v>
      </c>
      <c r="BJ233" s="3" t="s">
        <v>4974</v>
      </c>
      <c r="BK233" t="str">
        <f t="shared" si="130"/>
        <v xml:space="preserve">Alec Garnett HEYWOOD (1996– </v>
      </c>
      <c r="BL233" t="str">
        <f t="shared" si="131"/>
        <v>Alec Garnett HEYWOOD (1996– : #101fb)</v>
      </c>
      <c r="CO233" s="157" t="s">
        <v>1631</v>
      </c>
      <c r="CP233" s="6" t="s">
        <v>1628</v>
      </c>
      <c r="CQ233" s="156" t="s">
        <v>1492</v>
      </c>
      <c r="CR233" s="160" t="s">
        <v>929</v>
      </c>
      <c r="CS233" s="5"/>
      <c r="CT233" s="5"/>
      <c r="CU233" s="5">
        <v>1984</v>
      </c>
      <c r="CV233" s="5" t="s">
        <v>3774</v>
      </c>
      <c r="CW233" t="e">
        <f t="shared" si="128"/>
        <v>#VALUE!</v>
      </c>
    </row>
    <row r="234" spans="60:101" ht="40">
      <c r="BH234" t="b">
        <f t="shared" si="129"/>
        <v>0</v>
      </c>
      <c r="BI234" s="3" t="s">
        <v>1624</v>
      </c>
      <c r="BJ234" s="3" t="s">
        <v>4975</v>
      </c>
      <c r="BK234" t="str">
        <f t="shared" si="130"/>
        <v xml:space="preserve">Ella Genevieve Elgin DUNLOP (1998– </v>
      </c>
      <c r="BL234" t="str">
        <f t="shared" si="131"/>
        <v>Ella Genevieve Elgin DUNLOP (1998– : #102ba)</v>
      </c>
      <c r="CO234" s="157" t="s">
        <v>1634</v>
      </c>
      <c r="CP234" s="6" t="s">
        <v>1628</v>
      </c>
      <c r="CQ234" s="156" t="s">
        <v>1632</v>
      </c>
      <c r="CR234" s="160" t="s">
        <v>807</v>
      </c>
      <c r="CS234" s="5"/>
      <c r="CT234" s="5"/>
      <c r="CU234" s="5">
        <v>1987</v>
      </c>
      <c r="CV234" s="5" t="s">
        <v>3774</v>
      </c>
      <c r="CW234" t="e">
        <f t="shared" si="128"/>
        <v>#VALUE!</v>
      </c>
    </row>
    <row r="235" spans="60:101" ht="40">
      <c r="BH235" t="b">
        <f t="shared" si="129"/>
        <v>0</v>
      </c>
      <c r="BI235" s="3" t="s">
        <v>3858</v>
      </c>
      <c r="BJ235" s="3"/>
      <c r="BK235" t="e">
        <f t="shared" si="130"/>
        <v>#VALUE!</v>
      </c>
      <c r="BL235" t="e">
        <f t="shared" si="131"/>
        <v>#VALUE!</v>
      </c>
      <c r="CO235" s="157" t="s">
        <v>1637</v>
      </c>
      <c r="CP235" s="6" t="s">
        <v>1628</v>
      </c>
      <c r="CQ235" s="156" t="s">
        <v>1635</v>
      </c>
      <c r="CR235" s="160" t="s">
        <v>1636</v>
      </c>
      <c r="CS235" s="5"/>
      <c r="CT235" s="5"/>
      <c r="CU235" s="5">
        <v>1988</v>
      </c>
      <c r="CV235" s="5" t="s">
        <v>3774</v>
      </c>
      <c r="CW235" t="e">
        <f t="shared" si="128"/>
        <v>#VALUE!</v>
      </c>
    </row>
    <row r="236" spans="60:101" ht="20">
      <c r="BH236" t="b">
        <f t="shared" si="129"/>
        <v>0</v>
      </c>
      <c r="BI236" s="3" t="s">
        <v>1631</v>
      </c>
      <c r="BJ236" s="3" t="s">
        <v>4976</v>
      </c>
      <c r="BK236" t="str">
        <f t="shared" si="130"/>
        <v xml:space="preserve">Marina Harriet GORE-BROWNE (1984– </v>
      </c>
      <c r="BL236" t="str">
        <f t="shared" si="131"/>
        <v>Marina Harriet GORE-BROWNE (1984– : #103aa)</v>
      </c>
      <c r="CO236" s="157" t="s">
        <v>1639</v>
      </c>
      <c r="CP236" s="6" t="s">
        <v>1638</v>
      </c>
      <c r="CQ236" s="156" t="s">
        <v>811</v>
      </c>
      <c r="CR236" s="160" t="s">
        <v>852</v>
      </c>
      <c r="CS236" s="5"/>
      <c r="CT236" s="5"/>
      <c r="CU236" s="5">
        <v>1971</v>
      </c>
      <c r="CV236" s="5" t="s">
        <v>3774</v>
      </c>
      <c r="CW236" t="e">
        <f t="shared" si="128"/>
        <v>#VALUE!</v>
      </c>
    </row>
    <row r="237" spans="60:101" ht="20">
      <c r="BH237" t="b">
        <f t="shared" si="129"/>
        <v>0</v>
      </c>
      <c r="BI237" s="3" t="s">
        <v>1634</v>
      </c>
      <c r="BJ237" s="3" t="s">
        <v>4977</v>
      </c>
      <c r="BK237" t="str">
        <f t="shared" si="130"/>
        <v xml:space="preserve">Frederick Henry GORE-BROWNE (1987– </v>
      </c>
      <c r="BL237" t="str">
        <f t="shared" si="131"/>
        <v>Frederick Henry GORE-BROWNE (1987– : #103ab)</v>
      </c>
      <c r="CO237" s="157" t="s">
        <v>1641</v>
      </c>
      <c r="CP237" s="6" t="s">
        <v>1638</v>
      </c>
      <c r="CQ237" s="156" t="s">
        <v>1640</v>
      </c>
      <c r="CR237" s="160" t="s">
        <v>870</v>
      </c>
      <c r="CS237" s="5"/>
      <c r="CT237" s="5" t="s">
        <v>1376</v>
      </c>
      <c r="CU237" s="5">
        <v>1973</v>
      </c>
      <c r="CV237" s="5" t="s">
        <v>3774</v>
      </c>
      <c r="CW237" t="e">
        <f t="shared" si="128"/>
        <v>#VALUE!</v>
      </c>
    </row>
    <row r="238" spans="60:101" ht="20">
      <c r="BH238" t="b">
        <f t="shared" si="129"/>
        <v>0</v>
      </c>
      <c r="BI238" s="3" t="s">
        <v>1637</v>
      </c>
      <c r="BJ238" s="3" t="s">
        <v>4978</v>
      </c>
      <c r="BK238" t="str">
        <f t="shared" si="130"/>
        <v xml:space="preserve">Harry Alastair GORE-BROWNE (1988– </v>
      </c>
      <c r="BL238" t="str">
        <f t="shared" si="131"/>
        <v>Harry Alastair GORE-BROWNE (1988– : #103ac)</v>
      </c>
      <c r="CO238" s="157" t="s">
        <v>1642</v>
      </c>
      <c r="CP238" s="6" t="s">
        <v>1638</v>
      </c>
      <c r="CQ238" s="156" t="s">
        <v>1589</v>
      </c>
      <c r="CR238" s="160" t="s">
        <v>918</v>
      </c>
      <c r="CS238" s="5"/>
      <c r="CT238" s="5"/>
      <c r="CU238" s="5">
        <v>1976</v>
      </c>
      <c r="CV238" s="5" t="s">
        <v>3774</v>
      </c>
      <c r="CW238" t="e">
        <f t="shared" si="128"/>
        <v>#VALUE!</v>
      </c>
    </row>
    <row r="239" spans="60:101" ht="20">
      <c r="BH239" t="b">
        <f t="shared" si="129"/>
        <v>0</v>
      </c>
      <c r="BI239" s="3" t="s">
        <v>1639</v>
      </c>
      <c r="BJ239" s="3" t="s">
        <v>4979</v>
      </c>
      <c r="BK239" t="str">
        <f t="shared" si="130"/>
        <v xml:space="preserve">Edward Thomas PILKINGTON (1971– </v>
      </c>
      <c r="BL239" t="str">
        <f t="shared" si="131"/>
        <v>Edward Thomas PILKINGTON (1971– : #103ba)</v>
      </c>
      <c r="CO239" s="157" t="s">
        <v>1651</v>
      </c>
      <c r="CP239" s="6" t="s">
        <v>1638</v>
      </c>
      <c r="CQ239" s="156" t="s">
        <v>1644</v>
      </c>
      <c r="CR239" s="160" t="s">
        <v>846</v>
      </c>
      <c r="CS239" s="5"/>
      <c r="CT239" s="5"/>
      <c r="CU239" s="5">
        <v>1979</v>
      </c>
      <c r="CV239" s="5" t="s">
        <v>3774</v>
      </c>
      <c r="CW239" t="e">
        <f t="shared" si="128"/>
        <v>#VALUE!</v>
      </c>
    </row>
    <row r="240" spans="60:101" ht="40">
      <c r="BH240" t="b">
        <f t="shared" si="129"/>
        <v>0</v>
      </c>
      <c r="BI240" s="3" t="s">
        <v>1641</v>
      </c>
      <c r="BJ240" s="3" t="s">
        <v>4980</v>
      </c>
      <c r="BK240" t="str">
        <f t="shared" si="130"/>
        <v xml:space="preserve">Lucinda Mary PILKINGTON (1973– </v>
      </c>
      <c r="BL240" t="str">
        <f t="shared" si="131"/>
        <v>Lucinda Mary PILKINGTON (1973– : #103bb)</v>
      </c>
      <c r="CO240" s="157" t="s">
        <v>1646</v>
      </c>
      <c r="CP240" s="6" t="s">
        <v>1628</v>
      </c>
      <c r="CQ240" s="156" t="s">
        <v>830</v>
      </c>
      <c r="CR240" s="160" t="s">
        <v>852</v>
      </c>
      <c r="CS240" s="5"/>
      <c r="CT240" s="5"/>
      <c r="CU240" s="5">
        <v>1988</v>
      </c>
      <c r="CV240" s="5" t="s">
        <v>3774</v>
      </c>
      <c r="CW240" t="e">
        <f t="shared" si="128"/>
        <v>#VALUE!</v>
      </c>
    </row>
    <row r="241" spans="60:101" ht="40">
      <c r="BH241" t="b">
        <f t="shared" si="129"/>
        <v>0</v>
      </c>
      <c r="BI241" s="3" t="s">
        <v>1642</v>
      </c>
      <c r="BJ241" s="3" t="s">
        <v>4981</v>
      </c>
      <c r="BK241" t="str">
        <f t="shared" si="130"/>
        <v xml:space="preserve">Nicholas James PILKINGTON (1976– </v>
      </c>
      <c r="BL241" t="str">
        <f t="shared" si="131"/>
        <v>Nicholas James PILKINGTON (1976– : #103bc)</v>
      </c>
      <c r="CO241" s="157" t="s">
        <v>1649</v>
      </c>
      <c r="CP241" s="6" t="s">
        <v>1628</v>
      </c>
      <c r="CQ241" s="156" t="s">
        <v>1647</v>
      </c>
      <c r="CR241" s="160" t="s">
        <v>903</v>
      </c>
      <c r="CS241" s="5" t="s">
        <v>1648</v>
      </c>
      <c r="CT241" s="5"/>
      <c r="CU241" s="5">
        <v>1990</v>
      </c>
      <c r="CV241" s="5" t="s">
        <v>3774</v>
      </c>
      <c r="CW241" t="e">
        <f t="shared" si="128"/>
        <v>#VALUE!</v>
      </c>
    </row>
    <row r="242" spans="60:101" ht="40">
      <c r="BH242" t="b">
        <f t="shared" si="129"/>
        <v>0</v>
      </c>
      <c r="BI242" s="3" t="s">
        <v>1651</v>
      </c>
      <c r="BJ242" s="3" t="s">
        <v>4982</v>
      </c>
      <c r="BK242" t="str">
        <f t="shared" si="130"/>
        <v xml:space="preserve">Claire Georgina PILKINGTON (1979– </v>
      </c>
      <c r="BL242" t="str">
        <f t="shared" si="131"/>
        <v>Claire Georgina PILKINGTON (1979– : #103bd)</v>
      </c>
      <c r="CO242" s="157" t="s">
        <v>1650</v>
      </c>
      <c r="CP242" s="6" t="s">
        <v>1628</v>
      </c>
      <c r="CQ242" s="156" t="s">
        <v>937</v>
      </c>
      <c r="CR242" s="160" t="s">
        <v>952</v>
      </c>
      <c r="CS242" s="5" t="s">
        <v>871</v>
      </c>
      <c r="CT242" s="5"/>
      <c r="CU242" s="5">
        <v>1991</v>
      </c>
      <c r="CV242" s="5" t="s">
        <v>3774</v>
      </c>
      <c r="CW242" t="e">
        <f t="shared" si="128"/>
        <v>#VALUE!</v>
      </c>
    </row>
    <row r="243" spans="60:101" ht="40">
      <c r="BH243" t="b">
        <f t="shared" si="129"/>
        <v>0</v>
      </c>
      <c r="BI243" s="3" t="s">
        <v>1646</v>
      </c>
      <c r="BJ243" s="3" t="s">
        <v>4983</v>
      </c>
      <c r="BK243" t="str">
        <f t="shared" si="130"/>
        <v xml:space="preserve">William Thomas GORE-BROWNE (1988– </v>
      </c>
      <c r="BL243" t="str">
        <f t="shared" si="131"/>
        <v>William Thomas GORE-BROWNE (1988– : #103ca)</v>
      </c>
      <c r="CO243" s="157" t="s">
        <v>1653</v>
      </c>
      <c r="CP243" s="6" t="s">
        <v>1628</v>
      </c>
      <c r="CQ243" s="156" t="s">
        <v>938</v>
      </c>
      <c r="CR243" s="160" t="s">
        <v>870</v>
      </c>
      <c r="CS243" s="5"/>
      <c r="CT243" s="5"/>
      <c r="CU243" s="5">
        <v>1985</v>
      </c>
      <c r="CV243" s="5" t="s">
        <v>3774</v>
      </c>
      <c r="CW243" t="e">
        <f t="shared" si="128"/>
        <v>#VALUE!</v>
      </c>
    </row>
    <row r="244" spans="60:101" ht="40">
      <c r="BH244" t="b">
        <f t="shared" si="129"/>
        <v>0</v>
      </c>
      <c r="BI244" s="3" t="s">
        <v>1649</v>
      </c>
      <c r="BJ244" s="3" t="s">
        <v>4984</v>
      </c>
      <c r="BK244" t="str">
        <f t="shared" si="130"/>
        <v xml:space="preserve">Heather Caroline Mona GORE-BROWNE (1990– </v>
      </c>
      <c r="BL244" t="str">
        <f t="shared" si="131"/>
        <v>Heather Caroline Mona GORE-BROWNE (1990– : #103cb)</v>
      </c>
      <c r="CO244" s="157" t="s">
        <v>1643</v>
      </c>
      <c r="CP244" s="6" t="s">
        <v>1628</v>
      </c>
      <c r="CQ244" s="156" t="s">
        <v>952</v>
      </c>
      <c r="CR244" s="160" t="s">
        <v>1654</v>
      </c>
      <c r="CS244" s="5"/>
      <c r="CT244" s="5"/>
      <c r="CU244" s="5">
        <v>1988</v>
      </c>
      <c r="CV244" s="5" t="s">
        <v>3774</v>
      </c>
      <c r="CW244" t="e">
        <f t="shared" si="128"/>
        <v>#VALUE!</v>
      </c>
    </row>
    <row r="245" spans="60:101" ht="40">
      <c r="BH245" t="b">
        <f t="shared" si="129"/>
        <v>0</v>
      </c>
      <c r="BI245" s="3" t="s">
        <v>1650</v>
      </c>
      <c r="BJ245" s="3" t="s">
        <v>4985</v>
      </c>
      <c r="BK245" t="str">
        <f t="shared" si="130"/>
        <v xml:space="preserve">Rose Elizabeth Lavinia GORE-BROWNE (1991– </v>
      </c>
      <c r="BL245" t="str">
        <f t="shared" si="131"/>
        <v>Rose Elizabeth Lavinia GORE-BROWNE (1991– : #103cc)</v>
      </c>
      <c r="CO245" s="157" t="s">
        <v>1655</v>
      </c>
      <c r="CP245" s="6" t="s">
        <v>1628</v>
      </c>
      <c r="CQ245" s="156" t="s">
        <v>846</v>
      </c>
      <c r="CR245" s="160" t="s">
        <v>998</v>
      </c>
      <c r="CS245" s="5"/>
      <c r="CT245" s="5"/>
      <c r="CU245" s="5">
        <v>1992</v>
      </c>
      <c r="CV245" s="5" t="s">
        <v>3774</v>
      </c>
      <c r="CW245" t="e">
        <f t="shared" si="128"/>
        <v>#VALUE!</v>
      </c>
    </row>
    <row r="246" spans="60:101" ht="20">
      <c r="BH246" t="b">
        <f t="shared" si="129"/>
        <v>0</v>
      </c>
      <c r="BI246" s="3" t="s">
        <v>1653</v>
      </c>
      <c r="BJ246" s="3" t="s">
        <v>4986</v>
      </c>
      <c r="BK246" t="str">
        <f t="shared" si="130"/>
        <v xml:space="preserve">Sophie Mary GORE-BROWNE (1985– </v>
      </c>
      <c r="BL246" t="str">
        <f t="shared" si="131"/>
        <v>Sophie Mary GORE-BROWNE (1985– : #103da)</v>
      </c>
      <c r="CO246" s="157" t="s">
        <v>1662</v>
      </c>
      <c r="CP246" s="6" t="s">
        <v>1660</v>
      </c>
      <c r="CQ246" s="156" t="s">
        <v>3803</v>
      </c>
      <c r="CR246" s="156" t="s">
        <v>876</v>
      </c>
      <c r="CS246" s="5" t="s">
        <v>937</v>
      </c>
      <c r="CT246" s="5" t="s">
        <v>876</v>
      </c>
      <c r="CU246" s="5">
        <v>1988</v>
      </c>
      <c r="CV246" s="5" t="s">
        <v>3774</v>
      </c>
      <c r="CW246" t="e">
        <f t="shared" si="128"/>
        <v>#VALUE!</v>
      </c>
    </row>
    <row r="247" spans="60:101" ht="20">
      <c r="BH247" t="b">
        <f t="shared" si="129"/>
        <v>0</v>
      </c>
      <c r="BI247" s="3" t="s">
        <v>1643</v>
      </c>
      <c r="BJ247" s="3" t="s">
        <v>4987</v>
      </c>
      <c r="BK247" t="str">
        <f t="shared" si="130"/>
        <v xml:space="preserve">Elizabeth Clare GORE-BROWNE (1988– </v>
      </c>
      <c r="BL247" t="str">
        <f t="shared" si="131"/>
        <v>Elizabeth Clare GORE-BROWNE (1988– : #103db)</v>
      </c>
      <c r="CO247" s="157" t="s">
        <v>1664</v>
      </c>
      <c r="CP247" s="6" t="s">
        <v>1660</v>
      </c>
      <c r="CQ247" s="156" t="s">
        <v>954</v>
      </c>
      <c r="CR247" s="5" t="s">
        <v>929</v>
      </c>
      <c r="CS247" s="5" t="s">
        <v>1663</v>
      </c>
      <c r="CT247" s="5" t="s">
        <v>1663</v>
      </c>
      <c r="CU247" s="5">
        <v>1989</v>
      </c>
      <c r="CV247" s="5" t="s">
        <v>3774</v>
      </c>
      <c r="CW247" t="e">
        <f t="shared" si="128"/>
        <v>#VALUE!</v>
      </c>
    </row>
    <row r="248" spans="60:101" ht="20">
      <c r="BH248" t="b">
        <f t="shared" si="129"/>
        <v>0</v>
      </c>
      <c r="BI248" s="3" t="s">
        <v>1655</v>
      </c>
      <c r="BJ248" s="3" t="s">
        <v>4988</v>
      </c>
      <c r="BK248" t="str">
        <f t="shared" si="130"/>
        <v xml:space="preserve">Georgina Sarah GORE-BROWNE (1992– </v>
      </c>
      <c r="BL248" t="str">
        <f t="shared" si="131"/>
        <v>Georgina Sarah GORE-BROWNE (1992– : #103dc)</v>
      </c>
      <c r="CO248" s="157" t="s">
        <v>1667</v>
      </c>
      <c r="CP248" s="6" t="s">
        <v>1660</v>
      </c>
      <c r="CQ248" s="156" t="s">
        <v>1665</v>
      </c>
      <c r="CR248" s="5" t="s">
        <v>998</v>
      </c>
      <c r="CS248" s="5" t="s">
        <v>1988</v>
      </c>
      <c r="CT248" s="5" t="s">
        <v>1666</v>
      </c>
      <c r="CU248" s="5">
        <v>1991</v>
      </c>
      <c r="CV248" s="5" t="s">
        <v>3774</v>
      </c>
      <c r="CW248" t="e">
        <f t="shared" si="128"/>
        <v>#VALUE!</v>
      </c>
    </row>
    <row r="249" spans="60:101" ht="20">
      <c r="BH249" t="b">
        <f t="shared" si="129"/>
        <v>0</v>
      </c>
      <c r="BI249" s="3" t="s">
        <v>1662</v>
      </c>
      <c r="BJ249" s="3" t="s">
        <v>4989</v>
      </c>
      <c r="BK249" t="str">
        <f t="shared" si="130"/>
        <v xml:space="preserve">Helena Charlotte Rose BLACKETT (1988– </v>
      </c>
      <c r="BL249" t="str">
        <f t="shared" si="131"/>
        <v>Helena Charlotte Rose BLACKETT (1988– : #106aa)</v>
      </c>
      <c r="CO249" s="157" t="s">
        <v>1668</v>
      </c>
      <c r="CP249" s="6" t="s">
        <v>1660</v>
      </c>
      <c r="CQ249" s="156" t="s">
        <v>1669</v>
      </c>
      <c r="CR249" s="5" t="s">
        <v>945</v>
      </c>
      <c r="CS249" s="5" t="s">
        <v>1058</v>
      </c>
      <c r="CT249" s="5"/>
      <c r="CU249" s="5">
        <v>1993</v>
      </c>
      <c r="CV249" s="5" t="s">
        <v>3774</v>
      </c>
      <c r="CW249" t="e">
        <f t="shared" si="128"/>
        <v>#VALUE!</v>
      </c>
    </row>
    <row r="250" spans="60:101" ht="35">
      <c r="BH250" t="b">
        <f t="shared" si="129"/>
        <v>0</v>
      </c>
      <c r="BI250" s="3" t="s">
        <v>1664</v>
      </c>
      <c r="BJ250" s="3" t="s">
        <v>4990</v>
      </c>
      <c r="BK250" t="str">
        <f t="shared" si="130"/>
        <v xml:space="preserve">Camilla Harriet Eve BLACKETT (1989– </v>
      </c>
      <c r="BL250" t="str">
        <f t="shared" si="131"/>
        <v>Camilla Harriet Eve BLACKETT (1989– : #106ab)</v>
      </c>
      <c r="CO250" s="157" t="s">
        <v>1675</v>
      </c>
      <c r="CP250" s="6" t="s">
        <v>1658</v>
      </c>
      <c r="CQ250" s="156" t="s">
        <v>1672</v>
      </c>
      <c r="CR250" s="5" t="s">
        <v>917</v>
      </c>
      <c r="CS250" s="5" t="s">
        <v>1673</v>
      </c>
      <c r="CT250" s="5"/>
      <c r="CU250" s="5">
        <v>1986</v>
      </c>
      <c r="CV250" s="5" t="s">
        <v>3774</v>
      </c>
      <c r="CW250" t="e">
        <f t="shared" si="128"/>
        <v>#VALUE!</v>
      </c>
    </row>
    <row r="251" spans="60:101" ht="35">
      <c r="BH251" t="b">
        <f t="shared" si="129"/>
        <v>0</v>
      </c>
      <c r="BI251" s="3" t="s">
        <v>1667</v>
      </c>
      <c r="BJ251" s="3" t="s">
        <v>4991</v>
      </c>
      <c r="BK251" t="str">
        <f t="shared" si="130"/>
        <v xml:space="preserve">Letitia Sarah Alice BLACKETT (1991– </v>
      </c>
      <c r="BL251" t="str">
        <f t="shared" si="131"/>
        <v>Letitia Sarah Alice BLACKETT (1991– : #106ac)</v>
      </c>
      <c r="CO251" s="157" t="s">
        <v>1678</v>
      </c>
      <c r="CP251" s="6" t="s">
        <v>1658</v>
      </c>
      <c r="CQ251" s="156" t="s">
        <v>1676</v>
      </c>
      <c r="CR251" s="5" t="s">
        <v>1677</v>
      </c>
      <c r="CS251" s="5" t="s">
        <v>927</v>
      </c>
      <c r="CT251" s="5"/>
      <c r="CU251" s="5">
        <v>1993</v>
      </c>
      <c r="CV251" s="5" t="s">
        <v>3774</v>
      </c>
      <c r="CW251" t="e">
        <f t="shared" si="128"/>
        <v>#VALUE!</v>
      </c>
    </row>
    <row r="252" spans="60:101" ht="20">
      <c r="BH252" t="b">
        <f t="shared" si="129"/>
        <v>0</v>
      </c>
      <c r="BI252" s="3" t="s">
        <v>1668</v>
      </c>
      <c r="BJ252" s="3" t="s">
        <v>4992</v>
      </c>
      <c r="BK252" t="str">
        <f t="shared" si="130"/>
        <v xml:space="preserve">Annabel Victoria Louisa BLACKETT (1993– </v>
      </c>
      <c r="BL252" t="str">
        <f t="shared" si="131"/>
        <v>Annabel Victoria Louisa BLACKETT (1993– : #106ad)</v>
      </c>
      <c r="CO252" s="157" t="s">
        <v>1686</v>
      </c>
      <c r="CP252" s="6" t="s">
        <v>1685</v>
      </c>
      <c r="CQ252" s="156" t="s">
        <v>811</v>
      </c>
      <c r="CR252" s="5" t="s">
        <v>1687</v>
      </c>
      <c r="CS252" s="5"/>
      <c r="CT252" s="5"/>
      <c r="CU252" s="5">
        <v>1976</v>
      </c>
      <c r="CV252" s="5" t="s">
        <v>3774</v>
      </c>
      <c r="CW252" t="e">
        <f t="shared" si="128"/>
        <v>#VALUE!</v>
      </c>
    </row>
    <row r="253" spans="60:101" ht="20">
      <c r="BH253" t="b">
        <f t="shared" si="129"/>
        <v>0</v>
      </c>
      <c r="BI253" s="3" t="s">
        <v>1675</v>
      </c>
      <c r="BJ253" s="3" t="s">
        <v>4993</v>
      </c>
      <c r="BK253" t="str">
        <f t="shared" si="130"/>
        <v xml:space="preserve">The Hon Rowland Charles Sebastian Henry WINN (1986– </v>
      </c>
      <c r="BL253" t="str">
        <f t="shared" si="131"/>
        <v>The Hon Rowland Charles Sebastian Henry WINN (1986– : #106ba)</v>
      </c>
      <c r="CO253" s="157" t="s">
        <v>3263</v>
      </c>
      <c r="CP253" s="6" t="s">
        <v>1688</v>
      </c>
      <c r="CQ253" s="156" t="s">
        <v>1689</v>
      </c>
      <c r="CR253" s="5" t="s">
        <v>1590</v>
      </c>
      <c r="CS253" s="5"/>
      <c r="CT253" s="5"/>
      <c r="CU253" s="5">
        <v>1981</v>
      </c>
      <c r="CV253" s="5" t="s">
        <v>3774</v>
      </c>
      <c r="CW253" t="e">
        <f t="shared" si="128"/>
        <v>#VALUE!</v>
      </c>
    </row>
    <row r="254" spans="60:101" ht="20">
      <c r="BH254" t="b">
        <f t="shared" si="129"/>
        <v>0</v>
      </c>
      <c r="BI254" s="3" t="s">
        <v>1678</v>
      </c>
      <c r="BJ254" s="3" t="s">
        <v>4994</v>
      </c>
      <c r="BK254" t="str">
        <f t="shared" si="130"/>
        <v xml:space="preserve">The Hon Henrietta Sophia Alexandra WINN (1993– </v>
      </c>
      <c r="BL254" t="str">
        <f t="shared" si="131"/>
        <v>The Hon Henrietta Sophia Alexandra WINN (1993– : #106bb)</v>
      </c>
      <c r="CO254" s="157" t="s">
        <v>3264</v>
      </c>
      <c r="CP254" s="6" t="s">
        <v>1688</v>
      </c>
      <c r="CQ254" s="156" t="s">
        <v>891</v>
      </c>
      <c r="CR254" s="5" t="s">
        <v>830</v>
      </c>
      <c r="CS254" s="5"/>
      <c r="CT254" s="5"/>
      <c r="CU254" s="5">
        <v>1981</v>
      </c>
      <c r="CV254" s="5" t="s">
        <v>3774</v>
      </c>
      <c r="CW254" t="e">
        <f t="shared" si="128"/>
        <v>#VALUE!</v>
      </c>
    </row>
    <row r="255" spans="60:101" ht="20">
      <c r="BH255" t="b">
        <f t="shared" si="129"/>
        <v>0</v>
      </c>
      <c r="BI255" s="3" t="s">
        <v>1686</v>
      </c>
      <c r="BJ255" s="3" t="s">
        <v>4995</v>
      </c>
      <c r="BK255" t="str">
        <f t="shared" si="130"/>
        <v xml:space="preserve">Edward Allen RUSSELL (1976– </v>
      </c>
      <c r="BL255" t="str">
        <f t="shared" si="131"/>
        <v>Edward Allen RUSSELL (1976– : #107aa)</v>
      </c>
      <c r="CO255" s="157" t="s">
        <v>1694</v>
      </c>
      <c r="CP255" s="6" t="s">
        <v>1688</v>
      </c>
      <c r="CQ255" s="156" t="s">
        <v>1692</v>
      </c>
      <c r="CR255" s="5" t="s">
        <v>1693</v>
      </c>
      <c r="CS255" s="5"/>
      <c r="CT255" s="5"/>
      <c r="CU255" s="5">
        <v>1983</v>
      </c>
      <c r="CV255" s="5" t="s">
        <v>3774</v>
      </c>
      <c r="CW255" t="e">
        <f t="shared" si="128"/>
        <v>#VALUE!</v>
      </c>
    </row>
    <row r="256" spans="60:101" ht="20">
      <c r="BH256" t="b">
        <f t="shared" si="129"/>
        <v>0</v>
      </c>
      <c r="BI256" s="3" t="s">
        <v>3263</v>
      </c>
      <c r="BJ256" s="3" t="s">
        <v>4996</v>
      </c>
      <c r="BK256" t="str">
        <f t="shared" si="130"/>
        <v xml:space="preserve">Mathew Howard AMY (1981– </v>
      </c>
      <c r="BL256" t="str">
        <f t="shared" si="131"/>
        <v>Mathew Howard AMY (1981– : #107ab)</v>
      </c>
      <c r="CO256" s="157" t="s">
        <v>1699</v>
      </c>
      <c r="CP256" s="6" t="s">
        <v>1698</v>
      </c>
      <c r="CQ256" s="156" t="s">
        <v>866</v>
      </c>
      <c r="CR256" s="5" t="s">
        <v>1687</v>
      </c>
      <c r="CS256" s="5"/>
      <c r="CT256" s="5"/>
      <c r="CU256" s="5">
        <v>1973</v>
      </c>
      <c r="CV256" s="5" t="s">
        <v>3774</v>
      </c>
      <c r="CW256" t="e">
        <f t="shared" si="128"/>
        <v>#VALUE!</v>
      </c>
    </row>
    <row r="257" spans="60:101" ht="20">
      <c r="BH257" t="b">
        <f t="shared" si="129"/>
        <v>0</v>
      </c>
      <c r="BI257" s="3" t="s">
        <v>3264</v>
      </c>
      <c r="BJ257" s="3" t="s">
        <v>4997</v>
      </c>
      <c r="BK257" t="str">
        <f t="shared" si="130"/>
        <v xml:space="preserve">Michael William AMY (1981– </v>
      </c>
      <c r="BL257" t="str">
        <f t="shared" si="131"/>
        <v>Michael William AMY (1981– : #107ac)</v>
      </c>
      <c r="CO257" s="157" t="s">
        <v>1700</v>
      </c>
      <c r="CP257" s="6" t="s">
        <v>1698</v>
      </c>
      <c r="CQ257" s="156" t="s">
        <v>913</v>
      </c>
      <c r="CR257" s="5" t="s">
        <v>830</v>
      </c>
      <c r="CS257" s="5"/>
      <c r="CT257" s="5"/>
      <c r="CU257" s="5">
        <v>1976</v>
      </c>
      <c r="CV257" s="5" t="s">
        <v>3774</v>
      </c>
      <c r="CW257" t="e">
        <f t="shared" si="128"/>
        <v>#VALUE!</v>
      </c>
    </row>
    <row r="258" spans="60:101" ht="20">
      <c r="BH258" t="b">
        <f t="shared" si="129"/>
        <v>0</v>
      </c>
      <c r="BI258" s="3" t="s">
        <v>1694</v>
      </c>
      <c r="BJ258" s="3" t="s">
        <v>4998</v>
      </c>
      <c r="BK258" t="str">
        <f t="shared" si="130"/>
        <v xml:space="preserve">Jonathon Glen AMY (1983– </v>
      </c>
      <c r="BL258" t="str">
        <f t="shared" si="131"/>
        <v>Jonathon Glen AMY (1983– : #107ad)</v>
      </c>
      <c r="CO258" s="157" t="s">
        <v>1701</v>
      </c>
      <c r="CP258" s="6" t="s">
        <v>1698</v>
      </c>
      <c r="CQ258" s="156" t="s">
        <v>916</v>
      </c>
      <c r="CR258" s="5" t="s">
        <v>918</v>
      </c>
      <c r="CS258" s="5"/>
      <c r="CT258" s="5"/>
      <c r="CU258" s="5">
        <v>1979</v>
      </c>
      <c r="CV258" s="5" t="s">
        <v>3774</v>
      </c>
      <c r="CW258" t="e">
        <f t="shared" si="128"/>
        <v>#VALUE!</v>
      </c>
    </row>
    <row r="259" spans="60:101" ht="20">
      <c r="BH259" t="b">
        <f t="shared" si="129"/>
        <v>0</v>
      </c>
      <c r="BI259" s="3" t="s">
        <v>1699</v>
      </c>
      <c r="BJ259" s="3" t="s">
        <v>4999</v>
      </c>
      <c r="BK259" t="str">
        <f t="shared" si="130"/>
        <v xml:space="preserve">Christopher Allen THOMPSON (1973– </v>
      </c>
      <c r="BL259" t="str">
        <f t="shared" si="131"/>
        <v>Christopher Allen THOMPSON (1973– : #107ba)</v>
      </c>
      <c r="CO259" s="157" t="s">
        <v>1705</v>
      </c>
      <c r="CP259" s="6" t="s">
        <v>1695</v>
      </c>
      <c r="CQ259" s="156" t="s">
        <v>1703</v>
      </c>
      <c r="CR259" s="5" t="s">
        <v>1704</v>
      </c>
      <c r="CS259" s="5"/>
      <c r="CT259" s="5"/>
      <c r="CU259" s="5">
        <v>1978</v>
      </c>
      <c r="CV259" s="5" t="s">
        <v>3774</v>
      </c>
      <c r="CW259" t="e">
        <f t="shared" si="128"/>
        <v>#VALUE!</v>
      </c>
    </row>
    <row r="260" spans="60:101" ht="20">
      <c r="BH260" t="b">
        <f t="shared" si="129"/>
        <v>0</v>
      </c>
      <c r="BI260" s="3" t="s">
        <v>1700</v>
      </c>
      <c r="BJ260" s="3" t="s">
        <v>5000</v>
      </c>
      <c r="BK260" t="str">
        <f t="shared" si="130"/>
        <v xml:space="preserve">George William THOMPSON (1976– </v>
      </c>
      <c r="BL260" t="str">
        <f t="shared" si="131"/>
        <v>George William THOMPSON (1976– : #107bb)</v>
      </c>
      <c r="CO260" s="157" t="s">
        <v>1709</v>
      </c>
      <c r="CP260" s="6" t="s">
        <v>1695</v>
      </c>
      <c r="CQ260" s="156" t="s">
        <v>861</v>
      </c>
      <c r="CR260" s="5" t="s">
        <v>1707</v>
      </c>
      <c r="CS260" s="5"/>
      <c r="CT260" s="5"/>
      <c r="CU260" s="5">
        <v>1980</v>
      </c>
      <c r="CV260" s="5" t="s">
        <v>3774</v>
      </c>
      <c r="CW260" t="e">
        <f t="shared" si="128"/>
        <v>#VALUE!</v>
      </c>
    </row>
    <row r="261" spans="60:101" ht="20">
      <c r="BH261" t="b">
        <f t="shared" si="129"/>
        <v>0</v>
      </c>
      <c r="BI261" s="3" t="s">
        <v>1701</v>
      </c>
      <c r="BJ261" s="3" t="s">
        <v>5001</v>
      </c>
      <c r="BK261" t="str">
        <f t="shared" si="130"/>
        <v xml:space="preserve">Jeremy James THOMPSON (1979– </v>
      </c>
      <c r="BL261" t="str">
        <f t="shared" si="131"/>
        <v>Jeremy James THOMPSON (1979– : #107bc)</v>
      </c>
      <c r="CO261" s="157" t="s">
        <v>1710</v>
      </c>
      <c r="CP261" s="6" t="s">
        <v>1695</v>
      </c>
      <c r="CQ261" s="156" t="s">
        <v>891</v>
      </c>
      <c r="CR261" s="5" t="s">
        <v>1708</v>
      </c>
      <c r="CS261" s="5" t="s">
        <v>819</v>
      </c>
      <c r="CT261" s="5"/>
      <c r="CU261" s="5">
        <v>1984</v>
      </c>
      <c r="CV261" s="5" t="s">
        <v>3774</v>
      </c>
      <c r="CW261" t="e">
        <f t="shared" ref="CW261:CW291" si="132">CV261-CU261</f>
        <v>#VALUE!</v>
      </c>
    </row>
    <row r="262" spans="60:101" ht="20">
      <c r="BH262" t="b">
        <f t="shared" ref="BH262:BH294" si="133">IF(LEN(BI262)=2,LEFT(BI262,1),IF(LEN(BI262)=3,LEFT(BI262,2),IF(LEN(BI262)=4,LEFT(BI262,3))))</f>
        <v>0</v>
      </c>
      <c r="BI262" s="3" t="s">
        <v>1705</v>
      </c>
      <c r="BJ262" s="3" t="s">
        <v>5002</v>
      </c>
      <c r="BK262" t="str">
        <f t="shared" ref="BK262:BK294" si="134">LEFT(BJ262,LEN(BJ262)-1)</f>
        <v xml:space="preserve">Charitie Lee ORR (1978– </v>
      </c>
      <c r="BL262" t="str">
        <f t="shared" ref="BL262:BL294" si="135">_xlfn.CONCAT(BK262,": #",BI262,")")</f>
        <v>Charitie Lee ORR (1978– : #107ca)</v>
      </c>
      <c r="CO262" s="157" t="s">
        <v>3299</v>
      </c>
      <c r="CP262" s="6" t="s">
        <v>1695</v>
      </c>
      <c r="CQ262" s="156" t="s">
        <v>3300</v>
      </c>
      <c r="CR262" s="5" t="s">
        <v>811</v>
      </c>
      <c r="CS262" s="5"/>
      <c r="CT262" s="5"/>
      <c r="CU262" s="5">
        <v>1986</v>
      </c>
      <c r="CV262" s="5" t="s">
        <v>3774</v>
      </c>
      <c r="CW262" t="e">
        <f t="shared" si="132"/>
        <v>#VALUE!</v>
      </c>
    </row>
    <row r="263" spans="60:101" ht="20">
      <c r="BH263" t="b">
        <f t="shared" si="133"/>
        <v>0</v>
      </c>
      <c r="BI263" s="3" t="s">
        <v>1709</v>
      </c>
      <c r="BJ263" s="3" t="s">
        <v>5003</v>
      </c>
      <c r="BK263" t="str">
        <f t="shared" si="134"/>
        <v xml:space="preserve">Audrey Dawn ORR (1980– </v>
      </c>
      <c r="BL263" t="str">
        <f t="shared" si="135"/>
        <v>Audrey Dawn ORR (1980– : #107cb)</v>
      </c>
      <c r="CO263" s="157" t="s">
        <v>1714</v>
      </c>
      <c r="CP263" s="6" t="s">
        <v>1695</v>
      </c>
      <c r="CQ263" s="156" t="s">
        <v>1712</v>
      </c>
      <c r="CR263" s="5" t="s">
        <v>1713</v>
      </c>
      <c r="CS263" s="5"/>
      <c r="CT263" s="5"/>
      <c r="CU263" s="5">
        <v>1979</v>
      </c>
      <c r="CV263" s="5" t="s">
        <v>3774</v>
      </c>
      <c r="CW263" t="e">
        <f t="shared" si="132"/>
        <v>#VALUE!</v>
      </c>
    </row>
    <row r="264" spans="60:101" ht="20">
      <c r="BH264" t="b">
        <f t="shared" si="133"/>
        <v>0</v>
      </c>
      <c r="BI264" s="3" t="s">
        <v>1710</v>
      </c>
      <c r="BJ264" s="3" t="s">
        <v>5004</v>
      </c>
      <c r="BK264" t="str">
        <f t="shared" si="134"/>
        <v xml:space="preserve">Michael Travis Kirkman ORR (1984– </v>
      </c>
      <c r="BL264" t="str">
        <f t="shared" si="135"/>
        <v>Michael Travis Kirkman ORR (1984– : #107cc)</v>
      </c>
      <c r="CO264" s="157" t="s">
        <v>1715</v>
      </c>
      <c r="CP264" s="6" t="s">
        <v>1695</v>
      </c>
      <c r="CQ264" s="156" t="s">
        <v>919</v>
      </c>
      <c r="CR264" s="5" t="s">
        <v>918</v>
      </c>
      <c r="CS264" s="5"/>
      <c r="CT264" s="5"/>
      <c r="CU264" s="5">
        <v>1980</v>
      </c>
      <c r="CV264" s="5" t="s">
        <v>3774</v>
      </c>
      <c r="CW264" t="e">
        <f t="shared" si="132"/>
        <v>#VALUE!</v>
      </c>
    </row>
    <row r="265" spans="60:101" ht="20">
      <c r="BH265" t="b">
        <f t="shared" si="133"/>
        <v>0</v>
      </c>
      <c r="BI265" s="3" t="s">
        <v>3299</v>
      </c>
      <c r="BJ265" s="3" t="s">
        <v>5005</v>
      </c>
      <c r="BK265" t="str">
        <f t="shared" si="134"/>
        <v xml:space="preserve">Seth Edward ORR (1986– </v>
      </c>
      <c r="BL265" t="str">
        <f t="shared" si="135"/>
        <v>Seth Edward ORR (1986– : #107cd)</v>
      </c>
      <c r="CO265" s="157" t="s">
        <v>1723</v>
      </c>
      <c r="CP265" s="6" t="s">
        <v>1722</v>
      </c>
      <c r="CQ265" s="156" t="s">
        <v>1725</v>
      </c>
      <c r="CR265" s="5" t="s">
        <v>842</v>
      </c>
      <c r="CS265" s="5"/>
      <c r="CT265" s="5"/>
      <c r="CU265" s="5">
        <v>1976</v>
      </c>
      <c r="CV265" s="5" t="s">
        <v>3774</v>
      </c>
      <c r="CW265" t="e">
        <f t="shared" si="132"/>
        <v>#VALUE!</v>
      </c>
    </row>
    <row r="266" spans="60:101" ht="20">
      <c r="BH266" t="b">
        <f t="shared" si="133"/>
        <v>0</v>
      </c>
      <c r="BI266" s="3" t="s">
        <v>1714</v>
      </c>
      <c r="BJ266" s="3" t="s">
        <v>5006</v>
      </c>
      <c r="BK266" t="str">
        <f t="shared" si="134"/>
        <v xml:space="preserve">Brandy Marie ORR (1979– </v>
      </c>
      <c r="BL266" t="str">
        <f t="shared" si="135"/>
        <v>Brandy Marie ORR (1979– : #107da)</v>
      </c>
      <c r="CO266" s="157" t="s">
        <v>1724</v>
      </c>
      <c r="CP266" s="6" t="s">
        <v>1722</v>
      </c>
      <c r="CQ266" s="156" t="s">
        <v>932</v>
      </c>
      <c r="CR266" s="5" t="s">
        <v>865</v>
      </c>
      <c r="CS266" s="5"/>
      <c r="CT266" s="5"/>
      <c r="CU266" s="5">
        <v>1982</v>
      </c>
      <c r="CV266" s="5" t="s">
        <v>3774</v>
      </c>
      <c r="CW266" t="e">
        <f t="shared" si="132"/>
        <v>#VALUE!</v>
      </c>
    </row>
    <row r="267" spans="60:101" ht="20">
      <c r="BH267" t="b">
        <f t="shared" si="133"/>
        <v>0</v>
      </c>
      <c r="BI267" s="3" t="s">
        <v>1715</v>
      </c>
      <c r="BJ267" s="3" t="s">
        <v>5007</v>
      </c>
      <c r="BK267" t="str">
        <f t="shared" si="134"/>
        <v xml:space="preserve">Timothy James ORR (1980– </v>
      </c>
      <c r="BL267" t="str">
        <f t="shared" si="135"/>
        <v>Timothy James ORR (1980– : #107db)</v>
      </c>
      <c r="CO267" s="157" t="s">
        <v>1728</v>
      </c>
      <c r="CP267" s="6" t="s">
        <v>1720</v>
      </c>
      <c r="CQ267" s="156" t="s">
        <v>1726</v>
      </c>
      <c r="CR267" s="5" t="s">
        <v>866</v>
      </c>
      <c r="CS267" s="5" t="s">
        <v>928</v>
      </c>
      <c r="CT267" s="5"/>
      <c r="CU267" s="5">
        <v>1982</v>
      </c>
      <c r="CV267" s="5" t="s">
        <v>3774</v>
      </c>
      <c r="CW267" t="e">
        <f t="shared" si="132"/>
        <v>#VALUE!</v>
      </c>
    </row>
    <row r="268" spans="60:101" ht="20">
      <c r="BH268" t="b">
        <f t="shared" si="133"/>
        <v>0</v>
      </c>
      <c r="BI268" s="3" t="s">
        <v>1723</v>
      </c>
      <c r="BJ268" s="3" t="s">
        <v>5008</v>
      </c>
      <c r="BK268" t="str">
        <f t="shared" si="134"/>
        <v xml:space="preserve">Daniel John CARTER (1976– </v>
      </c>
      <c r="BL268" t="str">
        <f t="shared" si="135"/>
        <v>Daniel John CARTER (1976– : #108aa)</v>
      </c>
      <c r="CO268" s="157" t="s">
        <v>1730</v>
      </c>
      <c r="CP268" s="6" t="s">
        <v>1720</v>
      </c>
      <c r="CQ268" s="156" t="s">
        <v>1729</v>
      </c>
      <c r="CR268" s="5" t="s">
        <v>885</v>
      </c>
      <c r="CS268" s="5"/>
      <c r="CT268" s="5"/>
      <c r="CU268" s="5">
        <v>1985</v>
      </c>
      <c r="CV268" s="5" t="s">
        <v>3774</v>
      </c>
      <c r="CW268" t="e">
        <f t="shared" si="132"/>
        <v>#VALUE!</v>
      </c>
    </row>
    <row r="269" spans="60:101" ht="20">
      <c r="BH269" t="b">
        <f t="shared" si="133"/>
        <v>0</v>
      </c>
      <c r="BI269" s="3" t="s">
        <v>1724</v>
      </c>
      <c r="BJ269" s="3" t="s">
        <v>5009</v>
      </c>
      <c r="BK269" t="str">
        <f t="shared" si="134"/>
        <v xml:space="preserve">Simon Peter CARTER (1982– </v>
      </c>
      <c r="BL269" t="str">
        <f t="shared" si="135"/>
        <v>Simon Peter CARTER (1982– : #108ab)</v>
      </c>
      <c r="CO269" s="157" t="s">
        <v>1733</v>
      </c>
      <c r="CP269" s="6" t="s">
        <v>1720</v>
      </c>
      <c r="CQ269" s="156" t="s">
        <v>1732</v>
      </c>
      <c r="CR269" s="5" t="s">
        <v>1436</v>
      </c>
      <c r="CS269" s="5"/>
      <c r="CT269" s="5"/>
      <c r="CU269" s="5">
        <v>1985</v>
      </c>
      <c r="CV269" s="5" t="s">
        <v>3774</v>
      </c>
      <c r="CW269" t="e">
        <f t="shared" si="132"/>
        <v>#VALUE!</v>
      </c>
    </row>
    <row r="270" spans="60:101" ht="20">
      <c r="BH270" t="b">
        <f t="shared" si="133"/>
        <v>0</v>
      </c>
      <c r="BI270" s="3" t="s">
        <v>1728</v>
      </c>
      <c r="BJ270" s="3" t="s">
        <v>5010</v>
      </c>
      <c r="BK270" t="str">
        <f t="shared" si="134"/>
        <v xml:space="preserve">Matthew Christopher Richard HOYLE (1982– </v>
      </c>
      <c r="BL270" t="str">
        <f t="shared" si="135"/>
        <v>Matthew Christopher Richard HOYLE (1982– : #108ba)</v>
      </c>
      <c r="CO270" s="157" t="s">
        <v>3658</v>
      </c>
      <c r="CP270" s="6" t="s">
        <v>1738</v>
      </c>
      <c r="CQ270" s="156" t="s">
        <v>934</v>
      </c>
      <c r="CR270" s="5" t="s">
        <v>3661</v>
      </c>
      <c r="CS270" s="5" t="s">
        <v>3662</v>
      </c>
      <c r="CT270" s="5"/>
      <c r="CU270" s="5">
        <v>2008</v>
      </c>
      <c r="CV270" s="5" t="s">
        <v>3774</v>
      </c>
      <c r="CW270" t="e">
        <f t="shared" si="132"/>
        <v>#VALUE!</v>
      </c>
    </row>
    <row r="271" spans="60:101" ht="20">
      <c r="BH271" t="b">
        <f t="shared" si="133"/>
        <v>0</v>
      </c>
      <c r="BI271" s="3" t="s">
        <v>1730</v>
      </c>
      <c r="BJ271" s="3" t="s">
        <v>5011</v>
      </c>
      <c r="BK271" t="str">
        <f t="shared" si="134"/>
        <v xml:space="preserve">Darren Andrew HOYLE (1985– </v>
      </c>
      <c r="BL271" t="str">
        <f t="shared" si="135"/>
        <v>Darren Andrew HOYLE (1985– : #108bb)</v>
      </c>
      <c r="CO271" s="157" t="s">
        <v>3665</v>
      </c>
      <c r="CP271" s="6" t="s">
        <v>1738</v>
      </c>
      <c r="CQ271" s="156" t="s">
        <v>3659</v>
      </c>
      <c r="CR271" s="5" t="s">
        <v>3660</v>
      </c>
      <c r="CS271" s="5"/>
      <c r="CT271" s="5"/>
      <c r="CU271" s="5">
        <v>2012</v>
      </c>
      <c r="CV271" s="5" t="s">
        <v>3774</v>
      </c>
      <c r="CW271" t="e">
        <f t="shared" si="132"/>
        <v>#VALUE!</v>
      </c>
    </row>
    <row r="272" spans="60:101" ht="20">
      <c r="BH272" t="b">
        <f t="shared" si="133"/>
        <v>0</v>
      </c>
      <c r="BI272" s="3" t="s">
        <v>1733</v>
      </c>
      <c r="BJ272" s="3" t="s">
        <v>5012</v>
      </c>
      <c r="BK272" t="str">
        <f t="shared" si="134"/>
        <v xml:space="preserve">Tanya Louise HOYLE (1985– </v>
      </c>
      <c r="BL272" t="str">
        <f t="shared" si="135"/>
        <v>Tanya Louise HOYLE (1985– : #108ca)</v>
      </c>
      <c r="CO272" s="157" t="s">
        <v>3666</v>
      </c>
      <c r="CP272" s="6" t="s">
        <v>1738</v>
      </c>
      <c r="CQ272" s="156" t="s">
        <v>925</v>
      </c>
      <c r="CR272" s="5" t="s">
        <v>3663</v>
      </c>
      <c r="CS272" s="5" t="s">
        <v>3664</v>
      </c>
      <c r="CT272" s="5"/>
      <c r="CU272" s="5">
        <v>2013</v>
      </c>
      <c r="CV272" s="5" t="s">
        <v>3774</v>
      </c>
      <c r="CW272" t="e">
        <f t="shared" si="132"/>
        <v>#VALUE!</v>
      </c>
    </row>
    <row r="273" spans="60:101" ht="20">
      <c r="BH273" t="b">
        <f t="shared" si="133"/>
        <v>0</v>
      </c>
      <c r="BI273" s="3" t="s">
        <v>3658</v>
      </c>
      <c r="BJ273" s="3" t="s">
        <v>5013</v>
      </c>
      <c r="BK273" t="str">
        <f t="shared" si="134"/>
        <v xml:space="preserve">Toby Chui Bao WALTON (2008– </v>
      </c>
      <c r="BL273" t="str">
        <f t="shared" si="135"/>
        <v>Toby Chui Bao WALTON (2008– : #109ba)</v>
      </c>
      <c r="CO273" s="157" t="s">
        <v>3667</v>
      </c>
      <c r="CP273" s="6" t="s">
        <v>1738</v>
      </c>
      <c r="CQ273" s="156" t="s">
        <v>863</v>
      </c>
      <c r="CR273" s="5" t="s">
        <v>3668</v>
      </c>
      <c r="CS273" s="5" t="s">
        <v>3669</v>
      </c>
      <c r="CT273" s="5"/>
      <c r="CU273" s="5">
        <v>2016</v>
      </c>
      <c r="CV273" s="5" t="s">
        <v>3774</v>
      </c>
      <c r="CW273" t="e">
        <f t="shared" si="132"/>
        <v>#VALUE!</v>
      </c>
    </row>
    <row r="274" spans="60:101" ht="20">
      <c r="BH274" t="b">
        <f t="shared" si="133"/>
        <v>0</v>
      </c>
      <c r="BI274" s="3" t="s">
        <v>3665</v>
      </c>
      <c r="BJ274" s="3" t="s">
        <v>5014</v>
      </c>
      <c r="BK274" t="str">
        <f t="shared" si="134"/>
        <v xml:space="preserve">Leo Giap WALTON (2012– </v>
      </c>
      <c r="BL274" t="str">
        <f t="shared" si="135"/>
        <v>Leo Giap WALTON (2012– : #109bb)</v>
      </c>
      <c r="CO274" s="157" t="s">
        <v>1745</v>
      </c>
      <c r="CP274" s="6" t="s">
        <v>1742</v>
      </c>
      <c r="CQ274" s="5" t="s">
        <v>866</v>
      </c>
      <c r="CR274" s="5" t="s">
        <v>1743</v>
      </c>
      <c r="CS274" s="5"/>
      <c r="CT274" s="5"/>
      <c r="CU274" s="5">
        <v>1990</v>
      </c>
      <c r="CV274" s="5" t="s">
        <v>3774</v>
      </c>
      <c r="CW274" t="e">
        <f t="shared" si="132"/>
        <v>#VALUE!</v>
      </c>
    </row>
    <row r="275" spans="60:101" ht="20">
      <c r="BH275" t="b">
        <f t="shared" si="133"/>
        <v>0</v>
      </c>
      <c r="BI275" s="3" t="s">
        <v>3666</v>
      </c>
      <c r="BJ275" s="3" t="s">
        <v>5015</v>
      </c>
      <c r="BK275" t="str">
        <f t="shared" si="134"/>
        <v xml:space="preserve">Benjamin Hai Nam WALTON (2013– </v>
      </c>
      <c r="BL275" t="str">
        <f t="shared" si="135"/>
        <v>Benjamin Hai Nam WALTON (2013– : #109bc)</v>
      </c>
      <c r="CO275" s="157" t="s">
        <v>1746</v>
      </c>
      <c r="CP275" s="6" t="s">
        <v>1742</v>
      </c>
      <c r="CQ275" s="5" t="s">
        <v>885</v>
      </c>
      <c r="CR275" s="5" t="s">
        <v>924</v>
      </c>
      <c r="CS275" s="5"/>
      <c r="CT275" s="5"/>
      <c r="CU275" s="5">
        <v>1991</v>
      </c>
      <c r="CV275" s="5" t="s">
        <v>3774</v>
      </c>
      <c r="CW275" t="e">
        <f t="shared" si="132"/>
        <v>#VALUE!</v>
      </c>
    </row>
    <row r="276" spans="60:101" ht="20">
      <c r="BH276" t="b">
        <f t="shared" si="133"/>
        <v>0</v>
      </c>
      <c r="BI276" s="3" t="s">
        <v>3667</v>
      </c>
      <c r="BJ276" s="3" t="s">
        <v>5016</v>
      </c>
      <c r="BK276" t="str">
        <f t="shared" si="134"/>
        <v xml:space="preserve">Isabel Xuyen Mai WALTON (2016– </v>
      </c>
      <c r="BL276" t="str">
        <f t="shared" si="135"/>
        <v>Isabel Xuyen Mai WALTON (2016– : #109bd)</v>
      </c>
      <c r="CO276" s="157" t="s">
        <v>1748</v>
      </c>
      <c r="CP276" s="6" t="s">
        <v>1742</v>
      </c>
      <c r="CQ276" s="5" t="s">
        <v>897</v>
      </c>
      <c r="CR276" s="5" t="s">
        <v>1747</v>
      </c>
      <c r="CS276" s="5"/>
      <c r="CT276" s="5"/>
      <c r="CU276" s="5">
        <v>1997</v>
      </c>
      <c r="CV276" s="5">
        <v>2019</v>
      </c>
      <c r="CW276">
        <f t="shared" si="132"/>
        <v>22</v>
      </c>
    </row>
    <row r="277" spans="60:101" ht="20">
      <c r="BH277" t="b">
        <f t="shared" si="133"/>
        <v>0</v>
      </c>
      <c r="BI277" s="3" t="s">
        <v>1745</v>
      </c>
      <c r="BJ277" s="3" t="s">
        <v>5017</v>
      </c>
      <c r="BK277" t="str">
        <f t="shared" si="134"/>
        <v xml:space="preserve">Christopher Drummond BOYCE (1990– </v>
      </c>
      <c r="BL277" t="str">
        <f t="shared" si="135"/>
        <v>Christopher Drummond BOYCE (1990– : #110aa)</v>
      </c>
      <c r="CO277" s="157" t="s">
        <v>3674</v>
      </c>
      <c r="CP277" s="6" t="s">
        <v>1742</v>
      </c>
      <c r="CQ277" s="5" t="s">
        <v>1022</v>
      </c>
      <c r="CR277" s="5" t="s">
        <v>867</v>
      </c>
      <c r="CS277" s="5"/>
      <c r="CT277" s="5"/>
      <c r="CU277" s="5">
        <v>2011</v>
      </c>
      <c r="CV277" s="5" t="s">
        <v>3228</v>
      </c>
      <c r="CW277" t="e">
        <f t="shared" si="132"/>
        <v>#VALUE!</v>
      </c>
    </row>
    <row r="278" spans="60:101" ht="40">
      <c r="BH278" t="b">
        <f t="shared" si="133"/>
        <v>0</v>
      </c>
      <c r="BI278" s="3" t="s">
        <v>1746</v>
      </c>
      <c r="BJ278" s="3" t="s">
        <v>5018</v>
      </c>
      <c r="BK278" t="str">
        <f t="shared" si="134"/>
        <v xml:space="preserve">Andrew Alexander BOYCE (1991– </v>
      </c>
      <c r="BL278" t="str">
        <f t="shared" si="135"/>
        <v>Andrew Alexander BOYCE (1991– : #110ab)</v>
      </c>
      <c r="CO278" s="157" t="s">
        <v>1756</v>
      </c>
      <c r="CP278" s="6" t="s">
        <v>3677</v>
      </c>
      <c r="CQ278" s="5" t="s">
        <v>1754</v>
      </c>
      <c r="CR278" s="5" t="s">
        <v>1755</v>
      </c>
      <c r="CS278" s="5"/>
      <c r="CT278" s="5"/>
      <c r="CU278" s="5">
        <v>1999</v>
      </c>
      <c r="CV278" s="5" t="s">
        <v>3228</v>
      </c>
      <c r="CW278" t="e">
        <f t="shared" si="132"/>
        <v>#VALUE!</v>
      </c>
    </row>
    <row r="279" spans="60:101" ht="40">
      <c r="BH279" t="b">
        <f t="shared" si="133"/>
        <v>0</v>
      </c>
      <c r="BI279" s="3" t="s">
        <v>1748</v>
      </c>
      <c r="BJ279" s="3" t="s">
        <v>5199</v>
      </c>
      <c r="BK279" t="str">
        <f t="shared" si="134"/>
        <v>Robin Oscar BOYCE (1997–2019</v>
      </c>
      <c r="BL279" t="str">
        <f t="shared" si="135"/>
        <v>Robin Oscar BOYCE (1997–2019: #110ac)</v>
      </c>
      <c r="CO279" s="157" t="s">
        <v>3676</v>
      </c>
      <c r="CP279" s="6" t="s">
        <v>3677</v>
      </c>
      <c r="CQ279" s="5" t="s">
        <v>3678</v>
      </c>
      <c r="CR279" s="5" t="s">
        <v>1743</v>
      </c>
      <c r="CS279" s="5"/>
      <c r="CT279" s="5"/>
      <c r="CU279" s="5">
        <v>2002</v>
      </c>
      <c r="CV279" s="5"/>
      <c r="CW279">
        <f t="shared" si="132"/>
        <v>-2002</v>
      </c>
    </row>
    <row r="280" spans="60:101" ht="20">
      <c r="BH280" t="b">
        <f t="shared" si="133"/>
        <v>0</v>
      </c>
      <c r="BI280" s="3" t="s">
        <v>3674</v>
      </c>
      <c r="BJ280" s="3" t="s">
        <v>5019</v>
      </c>
      <c r="BK280" t="str">
        <f t="shared" si="134"/>
        <v xml:space="preserve">Hannah Catherine BOYCE (2011– </v>
      </c>
      <c r="BL280" t="str">
        <f t="shared" si="135"/>
        <v>Hannah Catherine BOYCE (2011– : #110ca)</v>
      </c>
      <c r="CO280" s="157" t="s">
        <v>1776</v>
      </c>
      <c r="CP280" s="6" t="s">
        <v>1774</v>
      </c>
      <c r="CQ280" s="5" t="s">
        <v>925</v>
      </c>
      <c r="CR280" s="5"/>
      <c r="CS280" s="5"/>
      <c r="CT280" s="5"/>
      <c r="CU280" s="5">
        <v>1988</v>
      </c>
      <c r="CV280" s="5" t="s">
        <v>3228</v>
      </c>
      <c r="CW280" t="e">
        <f t="shared" si="132"/>
        <v>#VALUE!</v>
      </c>
    </row>
    <row r="281" spans="60:101" ht="20">
      <c r="BH281" t="b">
        <f t="shared" si="133"/>
        <v>0</v>
      </c>
      <c r="BI281" s="3" t="s">
        <v>1756</v>
      </c>
      <c r="BJ281" s="3" t="s">
        <v>5020</v>
      </c>
      <c r="BK281" t="str">
        <f t="shared" si="134"/>
        <v xml:space="preserve">Karina Boyce BOYCE de CASTRO (1999– </v>
      </c>
      <c r="BL281" t="str">
        <f t="shared" si="135"/>
        <v>Karina Boyce BOYCE de CASTRO (1999– : #110da)</v>
      </c>
      <c r="CO281" s="157" t="s">
        <v>1777</v>
      </c>
      <c r="CP281" s="6" t="s">
        <v>1774</v>
      </c>
      <c r="CQ281" s="5" t="s">
        <v>1775</v>
      </c>
      <c r="CR281" s="5"/>
      <c r="CS281" s="5"/>
      <c r="CT281" s="5"/>
      <c r="CU281" s="5">
        <v>1992</v>
      </c>
      <c r="CV281" s="5" t="s">
        <v>3228</v>
      </c>
      <c r="CW281" t="e">
        <f t="shared" si="132"/>
        <v>#VALUE!</v>
      </c>
    </row>
    <row r="282" spans="60:101" ht="20">
      <c r="BH282" t="b">
        <f t="shared" si="133"/>
        <v>0</v>
      </c>
      <c r="BI282" s="3" t="s">
        <v>3676</v>
      </c>
      <c r="BJ282" s="3" t="s">
        <v>5021</v>
      </c>
      <c r="BK282" t="str">
        <f t="shared" si="134"/>
        <v xml:space="preserve">Matheus Drummond BOYCE de CASTRO (2002– </v>
      </c>
      <c r="BL282" t="str">
        <f t="shared" si="135"/>
        <v>Matheus Drummond BOYCE de CASTRO (2002– : #110db)</v>
      </c>
      <c r="CO282" s="157" t="s">
        <v>1778</v>
      </c>
      <c r="CP282" s="6" t="s">
        <v>1774</v>
      </c>
      <c r="CQ282" s="5" t="s">
        <v>1747</v>
      </c>
      <c r="CR282" s="5"/>
      <c r="CS282" s="5"/>
      <c r="CT282" s="5"/>
      <c r="CU282" s="5">
        <v>1996</v>
      </c>
      <c r="CV282" s="5" t="s">
        <v>3228</v>
      </c>
      <c r="CW282" t="e">
        <f t="shared" si="132"/>
        <v>#VALUE!</v>
      </c>
    </row>
    <row r="283" spans="60:101" ht="20">
      <c r="BH283" t="b">
        <f t="shared" si="133"/>
        <v>0</v>
      </c>
      <c r="BI283" s="3" t="s">
        <v>1776</v>
      </c>
      <c r="BJ283" s="3" t="s">
        <v>5022</v>
      </c>
      <c r="BK283" t="str">
        <f t="shared" si="134"/>
        <v xml:space="preserve">Benjamin CATOR (1988– </v>
      </c>
      <c r="BL283" t="str">
        <f t="shared" si="135"/>
        <v>Benjamin CATOR (1988– : #115aa)</v>
      </c>
      <c r="CO283" s="157" t="s">
        <v>1782</v>
      </c>
      <c r="CP283" s="6" t="s">
        <v>1781</v>
      </c>
      <c r="CQ283" s="5" t="s">
        <v>1581</v>
      </c>
      <c r="CR283" s="5"/>
      <c r="CS283" s="5"/>
      <c r="CT283" s="5"/>
      <c r="CU283" s="5">
        <v>1995</v>
      </c>
      <c r="CV283" s="5" t="s">
        <v>3228</v>
      </c>
      <c r="CW283" t="e">
        <f t="shared" si="132"/>
        <v>#VALUE!</v>
      </c>
    </row>
    <row r="284" spans="60:101" ht="20">
      <c r="BH284" t="b">
        <f t="shared" si="133"/>
        <v>0</v>
      </c>
      <c r="BI284" s="3" t="s">
        <v>1777</v>
      </c>
      <c r="BJ284" s="3" t="s">
        <v>5023</v>
      </c>
      <c r="BK284" t="str">
        <f t="shared" si="134"/>
        <v xml:space="preserve">Lara CATOR (1992– </v>
      </c>
      <c r="BL284" t="str">
        <f t="shared" si="135"/>
        <v>Lara CATOR (1992– : #115ab)</v>
      </c>
      <c r="CO284" s="157" t="s">
        <v>1783</v>
      </c>
      <c r="CP284" s="6" t="s">
        <v>1781</v>
      </c>
      <c r="CQ284" s="5" t="s">
        <v>1181</v>
      </c>
      <c r="CR284" s="5"/>
      <c r="CS284" s="5"/>
      <c r="CT284" s="5"/>
      <c r="CU284" s="5">
        <v>1997</v>
      </c>
      <c r="CV284" s="5" t="s">
        <v>3228</v>
      </c>
      <c r="CW284" t="e">
        <f t="shared" si="132"/>
        <v>#VALUE!</v>
      </c>
    </row>
    <row r="285" spans="60:101" ht="20">
      <c r="BH285" t="b">
        <f t="shared" si="133"/>
        <v>0</v>
      </c>
      <c r="BI285" s="3" t="s">
        <v>1778</v>
      </c>
      <c r="BJ285" s="3" t="s">
        <v>5024</v>
      </c>
      <c r="BK285" t="str">
        <f t="shared" si="134"/>
        <v xml:space="preserve">Oscar CATOR (1996– </v>
      </c>
      <c r="BL285" t="str">
        <f t="shared" si="135"/>
        <v>Oscar CATOR (1996– : #115ac)</v>
      </c>
      <c r="CO285" s="157" t="s">
        <v>1784</v>
      </c>
      <c r="CP285" s="6" t="s">
        <v>1781</v>
      </c>
      <c r="CQ285" s="5" t="s">
        <v>870</v>
      </c>
      <c r="CR285" s="5" t="s">
        <v>1772</v>
      </c>
      <c r="CS285" s="5" t="s">
        <v>1644</v>
      </c>
      <c r="CT285" s="5"/>
      <c r="CU285" s="5">
        <v>1999</v>
      </c>
      <c r="CV285" s="5" t="s">
        <v>3228</v>
      </c>
      <c r="CW285" t="e">
        <f t="shared" si="132"/>
        <v>#VALUE!</v>
      </c>
    </row>
    <row r="286" spans="60:101" ht="20">
      <c r="BH286" t="b">
        <f t="shared" si="133"/>
        <v>0</v>
      </c>
      <c r="BI286" s="3" t="s">
        <v>1782</v>
      </c>
      <c r="BJ286" s="3" t="s">
        <v>5025</v>
      </c>
      <c r="BK286" t="str">
        <f t="shared" si="134"/>
        <v xml:space="preserve">Milo SOAMES (1995– </v>
      </c>
      <c r="BL286" t="str">
        <f t="shared" si="135"/>
        <v>Milo SOAMES (1995– : #115ba)</v>
      </c>
      <c r="CO286" s="157" t="s">
        <v>3686</v>
      </c>
      <c r="CP286" s="6" t="s">
        <v>3687</v>
      </c>
      <c r="CQ286" s="5" t="s">
        <v>3688</v>
      </c>
      <c r="CR286" s="5" t="s">
        <v>876</v>
      </c>
      <c r="CS286" s="5" t="s">
        <v>1497</v>
      </c>
      <c r="CT286" s="5" t="s">
        <v>3689</v>
      </c>
      <c r="CU286" s="5">
        <v>2012</v>
      </c>
      <c r="CV286" s="5" t="s">
        <v>3228</v>
      </c>
      <c r="CW286" t="e">
        <f t="shared" si="132"/>
        <v>#VALUE!</v>
      </c>
    </row>
    <row r="287" spans="60:101" ht="20">
      <c r="BH287" t="b">
        <f t="shared" si="133"/>
        <v>0</v>
      </c>
      <c r="BI287" s="3" t="s">
        <v>1783</v>
      </c>
      <c r="BJ287" s="3" t="s">
        <v>5026</v>
      </c>
      <c r="BK287" t="str">
        <f t="shared" si="134"/>
        <v xml:space="preserve">Tommy SOAMES (1997– </v>
      </c>
      <c r="BL287" t="str">
        <f t="shared" si="135"/>
        <v>Tommy SOAMES (1997– : #115bb)</v>
      </c>
      <c r="CO287" s="157" t="s">
        <v>3691</v>
      </c>
      <c r="CP287" s="6" t="s">
        <v>3687</v>
      </c>
      <c r="CQ287" s="5" t="s">
        <v>3692</v>
      </c>
      <c r="CR287" s="5" t="s">
        <v>1805</v>
      </c>
      <c r="CS287" s="5" t="s">
        <v>865</v>
      </c>
      <c r="CT287" s="5"/>
      <c r="CU287" s="5">
        <v>2015</v>
      </c>
      <c r="CV287" s="5" t="s">
        <v>3228</v>
      </c>
      <c r="CW287" t="e">
        <f t="shared" si="132"/>
        <v>#VALUE!</v>
      </c>
    </row>
    <row r="288" spans="60:101" ht="20">
      <c r="BH288" t="b">
        <f t="shared" si="133"/>
        <v>0</v>
      </c>
      <c r="BI288" s="3" t="s">
        <v>1784</v>
      </c>
      <c r="BJ288" s="3" t="s">
        <v>5027</v>
      </c>
      <c r="BK288" t="str">
        <f t="shared" si="134"/>
        <v xml:space="preserve">Mary Alicia Claire SOAMES (1999– </v>
      </c>
      <c r="BL288" t="str">
        <f t="shared" si="135"/>
        <v>Mary Alicia Claire SOAMES (1999– : #115bc)</v>
      </c>
      <c r="CO288" s="157" t="s">
        <v>3696</v>
      </c>
      <c r="CP288" s="6" t="s">
        <v>3707</v>
      </c>
      <c r="CQ288" s="5" t="s">
        <v>3699</v>
      </c>
      <c r="CR288" s="5" t="s">
        <v>3700</v>
      </c>
      <c r="CS288" s="5"/>
      <c r="CT288" s="5"/>
      <c r="CU288" s="5">
        <v>2005</v>
      </c>
      <c r="CV288" s="5" t="s">
        <v>3228</v>
      </c>
      <c r="CW288" t="e">
        <f t="shared" si="132"/>
        <v>#VALUE!</v>
      </c>
    </row>
    <row r="289" spans="60:101" ht="20">
      <c r="BH289" t="b">
        <f t="shared" si="133"/>
        <v>0</v>
      </c>
      <c r="BI289" s="3" t="s">
        <v>3686</v>
      </c>
      <c r="BJ289" s="3" t="s">
        <v>5028</v>
      </c>
      <c r="BK289" t="str">
        <f t="shared" si="134"/>
        <v xml:space="preserve">Eva Charlotte Loyd TALBOT (2012– </v>
      </c>
      <c r="BL289" t="str">
        <f t="shared" si="135"/>
        <v>Eva Charlotte Loyd TALBOT (2012– : #123aa)</v>
      </c>
      <c r="CO289" s="157" t="s">
        <v>3697</v>
      </c>
      <c r="CP289" s="6" t="s">
        <v>1803</v>
      </c>
      <c r="CQ289" s="5" t="s">
        <v>3703</v>
      </c>
      <c r="CR289" s="5" t="s">
        <v>1063</v>
      </c>
      <c r="CS289" s="5" t="s">
        <v>3704</v>
      </c>
      <c r="CT289" s="5"/>
      <c r="CU289" s="5">
        <v>2017</v>
      </c>
      <c r="CV289" s="5" t="s">
        <v>3228</v>
      </c>
      <c r="CW289" t="e">
        <f t="shared" si="132"/>
        <v>#VALUE!</v>
      </c>
    </row>
    <row r="290" spans="60:101" ht="20">
      <c r="BH290" t="b">
        <f t="shared" si="133"/>
        <v>0</v>
      </c>
      <c r="BI290" s="3" t="s">
        <v>3691</v>
      </c>
      <c r="BJ290" s="3" t="s">
        <v>5029</v>
      </c>
      <c r="BK290" t="str">
        <f t="shared" si="134"/>
        <v xml:space="preserve">Arlo Terrence Peter TALBOT (2015– </v>
      </c>
      <c r="BL290" t="str">
        <f t="shared" si="135"/>
        <v>Arlo Terrence Peter TALBOT (2015– : #123ab)</v>
      </c>
      <c r="CO290" s="157" t="s">
        <v>3698</v>
      </c>
      <c r="CP290" s="6" t="s">
        <v>1803</v>
      </c>
      <c r="CQ290" s="5" t="s">
        <v>3706</v>
      </c>
      <c r="CR290" s="5" t="s">
        <v>1805</v>
      </c>
      <c r="CS290" s="5"/>
      <c r="CT290" s="5"/>
      <c r="CU290" s="5">
        <v>2020</v>
      </c>
      <c r="CV290" s="5" t="s">
        <v>3228</v>
      </c>
      <c r="CW290" t="e">
        <f t="shared" si="132"/>
        <v>#VALUE!</v>
      </c>
    </row>
    <row r="291" spans="60:101" ht="40">
      <c r="BH291" t="b">
        <f t="shared" si="133"/>
        <v>0</v>
      </c>
      <c r="BI291" s="3" t="s">
        <v>3696</v>
      </c>
      <c r="BJ291" s="3" t="s">
        <v>5030</v>
      </c>
      <c r="BK291" t="str">
        <f t="shared" si="134"/>
        <v xml:space="preserve">Rufus Mali CORVINO (2005– </v>
      </c>
      <c r="BL291" t="str">
        <f t="shared" si="135"/>
        <v>Rufus Mali CORVINO (2005– : #123ba)</v>
      </c>
      <c r="CO291" s="184" t="s">
        <v>3051</v>
      </c>
      <c r="CP291" s="161" t="s">
        <v>3052</v>
      </c>
      <c r="CQ291" s="137" t="s">
        <v>1988</v>
      </c>
      <c r="CR291" s="137" t="s">
        <v>3053</v>
      </c>
      <c r="CS291" s="137"/>
      <c r="CT291" s="137"/>
      <c r="CU291" s="137">
        <v>2020</v>
      </c>
      <c r="CV291" s="137" t="s">
        <v>3228</v>
      </c>
      <c r="CW291" t="e">
        <f t="shared" si="132"/>
        <v>#VALUE!</v>
      </c>
    </row>
    <row r="292" spans="60:101">
      <c r="BH292" t="b">
        <f t="shared" si="133"/>
        <v>0</v>
      </c>
      <c r="BI292" s="3" t="s">
        <v>3697</v>
      </c>
      <c r="BJ292" s="3" t="s">
        <v>5031</v>
      </c>
      <c r="BK292" t="str">
        <f t="shared" si="134"/>
        <v xml:space="preserve">Hal Alfred Layzell BOSMAN (2017– </v>
      </c>
      <c r="BL292" t="str">
        <f t="shared" si="135"/>
        <v>Hal Alfred Layzell BOSMAN (2017– : #123bb)</v>
      </c>
    </row>
    <row r="293" spans="60:101">
      <c r="BH293" t="b">
        <f t="shared" si="133"/>
        <v>0</v>
      </c>
      <c r="BI293" s="3" t="s">
        <v>3698</v>
      </c>
      <c r="BJ293" s="3" t="s">
        <v>5032</v>
      </c>
      <c r="BK293" t="str">
        <f t="shared" si="134"/>
        <v xml:space="preserve">Rocky Terrence BOSMAN (2020– </v>
      </c>
      <c r="BL293" t="str">
        <f t="shared" si="135"/>
        <v>Rocky Terrence BOSMAN (2020– : #123bc)</v>
      </c>
    </row>
    <row r="294" spans="60:101">
      <c r="BH294" t="b">
        <f t="shared" si="133"/>
        <v>0</v>
      </c>
      <c r="BI294" s="3" t="s">
        <v>3051</v>
      </c>
      <c r="BJ294" s="3" t="s">
        <v>5033</v>
      </c>
      <c r="BK294" t="str">
        <f t="shared" si="134"/>
        <v xml:space="preserve">Alice Isla RUSSELL-STONEHAM (2020– </v>
      </c>
      <c r="BL294" t="str">
        <f t="shared" si="135"/>
        <v>Alice Isla RUSSELL-STONEHAM (2020– : #143aa)</v>
      </c>
    </row>
    <row r="296" spans="60:101">
      <c r="BH296" t="str">
        <f t="shared" ref="BH296:BH326" si="136">IF(LEN(BI296)=2,LEFT(BI296,1),IF(LEN(BI296)=3,LEFT(BI296,2),IF(LEN(BI296)=4,LEFT(BI296,3))))</f>
        <v>2aa</v>
      </c>
      <c r="BI296" s="3" t="s">
        <v>1961</v>
      </c>
      <c r="BJ296" s="3" t="s">
        <v>5200</v>
      </c>
      <c r="BK296" t="str">
        <f t="shared" ref="BK296:BK326" si="137">LEFT(BJ296,LEN(BJ296)-1)</f>
        <v>William DAVIES (1860/61–1943</v>
      </c>
      <c r="BL296" t="str">
        <f t="shared" ref="BL296:BL326" si="138">_xlfn.CONCAT(BK296,": #",BI296,")")</f>
        <v>William DAVIES (1860/61–1943: #2aaa)</v>
      </c>
    </row>
    <row r="297" spans="60:101">
      <c r="BH297" t="str">
        <f t="shared" si="136"/>
        <v>2ca</v>
      </c>
      <c r="BI297" s="3" t="s">
        <v>1978</v>
      </c>
      <c r="BJ297" s="3" t="s">
        <v>5201</v>
      </c>
      <c r="BK297" t="str">
        <f t="shared" si="137"/>
        <v>The REV Roderick Loyd PROTHEROE (1852–1905</v>
      </c>
      <c r="BL297" t="str">
        <f t="shared" si="138"/>
        <v>The REV Roderick Loyd PROTHEROE (1852–1905: #2caa)</v>
      </c>
    </row>
    <row r="298" spans="60:101">
      <c r="BH298" t="str">
        <f t="shared" si="136"/>
        <v>2ca</v>
      </c>
      <c r="BI298" s="3" t="s">
        <v>1979</v>
      </c>
      <c r="BJ298" s="3" t="s">
        <v>5202</v>
      </c>
      <c r="BK298" t="str">
        <f t="shared" si="137"/>
        <v>The REV William Loyd PROTHEROE (1855–1915</v>
      </c>
      <c r="BL298" t="str">
        <f t="shared" si="138"/>
        <v>The REV William Loyd PROTHEROE (1855–1915: #2cab)</v>
      </c>
    </row>
    <row r="299" spans="60:101">
      <c r="BH299" t="b">
        <f t="shared" si="136"/>
        <v>0</v>
      </c>
      <c r="BI299" s="3" t="s">
        <v>2042</v>
      </c>
      <c r="BJ299" s="3" t="s">
        <v>5203</v>
      </c>
      <c r="BK299" t="str">
        <f t="shared" si="137"/>
        <v>Sir Edward Redston WARNER (1991–2002</v>
      </c>
      <c r="BL299" t="str">
        <f t="shared" si="138"/>
        <v>Sir Edward Redston WARNER (1991–2002: #18bba)</v>
      </c>
    </row>
    <row r="300" spans="60:101">
      <c r="BH300" t="b">
        <f t="shared" si="136"/>
        <v>0</v>
      </c>
      <c r="BI300" s="3" t="s">
        <v>2039</v>
      </c>
      <c r="BJ300" s="3" t="s">
        <v>5204</v>
      </c>
      <c r="BK300" t="str">
        <f t="shared" si="137"/>
        <v>John Wilmot WARNER (later NICOL) (1912–2008</v>
      </c>
      <c r="BL300" t="str">
        <f t="shared" si="138"/>
        <v>John Wilmot WARNER (later NICOL) (1912–2008: #18bbb)</v>
      </c>
    </row>
    <row r="301" spans="60:101">
      <c r="BH301" t="b">
        <f t="shared" si="136"/>
        <v>0</v>
      </c>
      <c r="BI301" s="3" t="s">
        <v>2087</v>
      </c>
      <c r="BJ301" s="3" t="s">
        <v>5205</v>
      </c>
      <c r="BK301" t="str">
        <f t="shared" si="137"/>
        <v>Peter Eric Henry WARNER (1915–2003</v>
      </c>
      <c r="BL301" t="str">
        <f t="shared" si="138"/>
        <v>Peter Eric Henry WARNER (1915–2003: #18bbc)</v>
      </c>
    </row>
    <row r="302" spans="60:101">
      <c r="BH302" t="b">
        <f t="shared" si="136"/>
        <v>0</v>
      </c>
      <c r="BI302" s="3" t="s">
        <v>2107</v>
      </c>
      <c r="BJ302" s="3" t="s">
        <v>5206</v>
      </c>
      <c r="BK302" t="str">
        <f t="shared" si="137"/>
        <v>Brenda DUGDALE (1911–1987</v>
      </c>
      <c r="BL302" t="str">
        <f t="shared" si="138"/>
        <v>Brenda DUGDALE (1911–1987: #18eaa)</v>
      </c>
    </row>
    <row r="303" spans="60:101">
      <c r="BH303" t="b">
        <f t="shared" si="136"/>
        <v>0</v>
      </c>
      <c r="BI303" s="3" t="s">
        <v>2157</v>
      </c>
      <c r="BJ303" s="3" t="s">
        <v>5034</v>
      </c>
      <c r="BK303" t="str">
        <f t="shared" si="137"/>
        <v xml:space="preserve">Elizabeth Clare POWELL (1942– </v>
      </c>
      <c r="BL303" t="str">
        <f t="shared" si="138"/>
        <v>Elizabeth Clare POWELL (1942– : #36dba)</v>
      </c>
    </row>
    <row r="304" spans="60:101">
      <c r="BH304" t="b">
        <f t="shared" si="136"/>
        <v>0</v>
      </c>
      <c r="BI304" s="3" t="s">
        <v>2165</v>
      </c>
      <c r="BJ304" s="3" t="s">
        <v>5035</v>
      </c>
      <c r="BK304" t="str">
        <f t="shared" si="137"/>
        <v xml:space="preserve">Margaret Ann POWELL (1944– </v>
      </c>
      <c r="BL304" t="str">
        <f t="shared" si="138"/>
        <v>Margaret Ann POWELL (1944– : #36dbb)</v>
      </c>
    </row>
    <row r="305" spans="60:64">
      <c r="BH305" t="b">
        <f t="shared" si="136"/>
        <v>0</v>
      </c>
      <c r="BI305" s="3" t="s">
        <v>2208</v>
      </c>
      <c r="BJ305" s="3" t="s">
        <v>5036</v>
      </c>
      <c r="BK305" t="str">
        <f t="shared" si="137"/>
        <v xml:space="preserve">Mary Jean HARDCASTLE (1951– </v>
      </c>
      <c r="BL305" t="str">
        <f t="shared" si="138"/>
        <v>Mary Jean HARDCASTLE (1951– : #47aaa)</v>
      </c>
    </row>
    <row r="306" spans="60:64">
      <c r="BH306" t="b">
        <f t="shared" si="136"/>
        <v>0</v>
      </c>
      <c r="BI306" s="3" t="s">
        <v>2215</v>
      </c>
      <c r="BJ306" s="3" t="s">
        <v>5037</v>
      </c>
      <c r="BK306" t="str">
        <f t="shared" si="137"/>
        <v xml:space="preserve">John Michael HARDCASTLE (1953– </v>
      </c>
      <c r="BL306" t="str">
        <f t="shared" si="138"/>
        <v>John Michael HARDCASTLE (1953– : #47aab)</v>
      </c>
    </row>
    <row r="307" spans="60:64">
      <c r="BH307" t="b">
        <f t="shared" si="136"/>
        <v>0</v>
      </c>
      <c r="BI307" s="3" t="s">
        <v>2224</v>
      </c>
      <c r="BJ307" s="3" t="s">
        <v>5038</v>
      </c>
      <c r="BK307" t="str">
        <f t="shared" si="137"/>
        <v xml:space="preserve">Anthony David HARDCASTLE (1954– </v>
      </c>
      <c r="BL307" t="str">
        <f t="shared" si="138"/>
        <v>Anthony David HARDCASTLE (1954– : #47aac)</v>
      </c>
    </row>
    <row r="308" spans="60:64">
      <c r="BH308" t="b">
        <f t="shared" si="136"/>
        <v>0</v>
      </c>
      <c r="BI308" s="3" t="s">
        <v>2230</v>
      </c>
      <c r="BJ308" s="3" t="s">
        <v>5039</v>
      </c>
      <c r="BK308" t="str">
        <f t="shared" si="137"/>
        <v xml:space="preserve">Martin Christopher DREWE (1951– </v>
      </c>
      <c r="BL308" t="str">
        <f t="shared" si="138"/>
        <v>Martin Christopher DREWE (1951– : #47aba)</v>
      </c>
    </row>
    <row r="309" spans="60:64">
      <c r="BH309" t="b">
        <f t="shared" si="136"/>
        <v>0</v>
      </c>
      <c r="BI309" s="3" t="s">
        <v>2232</v>
      </c>
      <c r="BJ309" s="3" t="s">
        <v>5040</v>
      </c>
      <c r="BK309" t="str">
        <f t="shared" si="137"/>
        <v xml:space="preserve">Gillian Frances DREWE (1953– </v>
      </c>
      <c r="BL309" t="str">
        <f t="shared" si="138"/>
        <v>Gillian Frances DREWE (1953– : #47abb)</v>
      </c>
    </row>
    <row r="310" spans="60:64">
      <c r="BH310" t="b">
        <f t="shared" si="136"/>
        <v>0</v>
      </c>
      <c r="BI310" s="3" t="s">
        <v>2234</v>
      </c>
      <c r="BJ310" s="3" t="s">
        <v>5041</v>
      </c>
      <c r="BK310" t="str">
        <f t="shared" si="137"/>
        <v xml:space="preserve">Charles Loyd DREWE (1957– </v>
      </c>
      <c r="BL310" t="str">
        <f t="shared" si="138"/>
        <v>Charles Loyd DREWE (1957– : #47abc)</v>
      </c>
    </row>
    <row r="311" spans="60:64">
      <c r="BH311" t="b">
        <f t="shared" si="136"/>
        <v>0</v>
      </c>
      <c r="BI311" s="3" t="s">
        <v>2255</v>
      </c>
      <c r="BJ311" s="3" t="s">
        <v>5207</v>
      </c>
      <c r="BK311" t="str">
        <f t="shared" si="137"/>
        <v>Isabel Eleanor MOORE (1989–2021</v>
      </c>
      <c r="BL311" t="str">
        <f t="shared" si="138"/>
        <v>Isabel Eleanor MOORE (1989–2021: #63aba)</v>
      </c>
    </row>
    <row r="312" spans="60:64">
      <c r="BH312" t="b">
        <f t="shared" si="136"/>
        <v>0</v>
      </c>
      <c r="BI312" s="3" t="s">
        <v>2256</v>
      </c>
      <c r="BJ312" s="3" t="s">
        <v>5042</v>
      </c>
      <c r="BK312" t="str">
        <f t="shared" si="137"/>
        <v xml:space="preserve">Alistair William MOORE (1991– </v>
      </c>
      <c r="BL312" t="str">
        <f t="shared" si="138"/>
        <v>Alistair William MOORE (1991– : #63abb)</v>
      </c>
    </row>
    <row r="313" spans="60:64">
      <c r="BH313" t="b">
        <f t="shared" si="136"/>
        <v>0</v>
      </c>
      <c r="BI313" s="3" t="s">
        <v>2284</v>
      </c>
      <c r="BJ313" s="3" t="s">
        <v>5043</v>
      </c>
      <c r="BK313" t="str">
        <f t="shared" si="137"/>
        <v xml:space="preserve">Henry Charles Anthony SHEARER (1981– </v>
      </c>
      <c r="BL313" t="str">
        <f t="shared" si="138"/>
        <v>Henry Charles Anthony SHEARER (1981– : #70aaa)</v>
      </c>
    </row>
    <row r="314" spans="60:64">
      <c r="BH314" t="b">
        <f t="shared" si="136"/>
        <v>0</v>
      </c>
      <c r="BI314" s="3" t="s">
        <v>2285</v>
      </c>
      <c r="BJ314" s="3" t="s">
        <v>5044</v>
      </c>
      <c r="BK314" t="str">
        <f t="shared" si="137"/>
        <v xml:space="preserve">Emma Jane SHEARER (1986– </v>
      </c>
      <c r="BL314" t="str">
        <f t="shared" si="138"/>
        <v>Emma Jane SHEARER (1986– : #70aab)</v>
      </c>
    </row>
    <row r="315" spans="60:64">
      <c r="BH315" t="b">
        <f t="shared" si="136"/>
        <v>0</v>
      </c>
      <c r="BI315" s="3" t="s">
        <v>2291</v>
      </c>
      <c r="BJ315" s="3" t="s">
        <v>5045</v>
      </c>
      <c r="BK315" t="str">
        <f t="shared" si="137"/>
        <v xml:space="preserve">Christopher John ANDREY (1982– </v>
      </c>
      <c r="BL315" t="str">
        <f t="shared" si="138"/>
        <v>Christopher John ANDREY (1982– : #70aba)</v>
      </c>
    </row>
    <row r="316" spans="60:64">
      <c r="BH316" t="b">
        <f t="shared" si="136"/>
        <v>0</v>
      </c>
      <c r="BI316" s="3" t="s">
        <v>2292</v>
      </c>
      <c r="BJ316" s="3" t="s">
        <v>5046</v>
      </c>
      <c r="BK316" t="str">
        <f t="shared" si="137"/>
        <v xml:space="preserve">Amanda Charlotte ANDREY (1987– </v>
      </c>
      <c r="BL316" t="str">
        <f t="shared" si="138"/>
        <v>Amanda Charlotte ANDREY (1987– : #70abb)</v>
      </c>
    </row>
    <row r="317" spans="60:64">
      <c r="BH317" t="b">
        <f t="shared" si="136"/>
        <v>0</v>
      </c>
      <c r="BI317" s="3" t="s">
        <v>2303</v>
      </c>
      <c r="BJ317" s="3" t="s">
        <v>5047</v>
      </c>
      <c r="BK317" t="str">
        <f t="shared" si="137"/>
        <v xml:space="preserve">Zoe Adele MELITUS (1979– </v>
      </c>
      <c r="BL317" t="str">
        <f t="shared" si="138"/>
        <v>Zoe Adele MELITUS (1979– : #70baa)</v>
      </c>
    </row>
    <row r="318" spans="60:64">
      <c r="BH318" t="b">
        <f t="shared" si="136"/>
        <v>0</v>
      </c>
      <c r="BI318" s="3" t="s">
        <v>2304</v>
      </c>
      <c r="BJ318" s="3" t="s">
        <v>5048</v>
      </c>
      <c r="BK318" t="str">
        <f t="shared" si="137"/>
        <v xml:space="preserve">Jonathan Peter MELITUS (1988– </v>
      </c>
      <c r="BL318" t="str">
        <f t="shared" si="138"/>
        <v>Jonathan Peter MELITUS (1988– : #70bab)</v>
      </c>
    </row>
    <row r="319" spans="60:64">
      <c r="BH319" t="b">
        <f t="shared" si="136"/>
        <v>0</v>
      </c>
      <c r="BI319" s="3" t="s">
        <v>2308</v>
      </c>
      <c r="BJ319" s="3" t="s">
        <v>5049</v>
      </c>
      <c r="BK319" t="str">
        <f t="shared" si="137"/>
        <v xml:space="preserve">Sophia Caroline CHALDECOTT (1989– </v>
      </c>
      <c r="BL319" t="str">
        <f t="shared" si="138"/>
        <v>Sophia Caroline CHALDECOTT (1989– : #70bba)</v>
      </c>
    </row>
    <row r="320" spans="60:64">
      <c r="BH320" t="b">
        <f t="shared" si="136"/>
        <v>0</v>
      </c>
      <c r="BI320" s="3" t="s">
        <v>2309</v>
      </c>
      <c r="BJ320" s="3" t="s">
        <v>5050</v>
      </c>
      <c r="BK320" t="str">
        <f t="shared" si="137"/>
        <v xml:space="preserve">Lucy Maria CHALDECOTT (1992– </v>
      </c>
      <c r="BL320" t="str">
        <f t="shared" si="138"/>
        <v>Lucy Maria CHALDECOTT (1992– : #70bbb)</v>
      </c>
    </row>
    <row r="321" spans="60:64">
      <c r="BH321" t="b">
        <f t="shared" si="136"/>
        <v>0</v>
      </c>
      <c r="BI321" s="3" t="s">
        <v>2310</v>
      </c>
      <c r="BJ321" s="3" t="s">
        <v>5051</v>
      </c>
      <c r="BK321" t="str">
        <f t="shared" si="137"/>
        <v xml:space="preserve">Thomas Owen CHALDECOTT (1999– </v>
      </c>
      <c r="BL321" t="str">
        <f t="shared" si="138"/>
        <v>Thomas Owen CHALDECOTT (1999– : #70bbc)</v>
      </c>
    </row>
    <row r="322" spans="60:64">
      <c r="BH322" t="b">
        <f t="shared" si="136"/>
        <v>0</v>
      </c>
      <c r="BI322" s="3" t="s">
        <v>3298</v>
      </c>
      <c r="BJ322" s="3" t="s">
        <v>5052</v>
      </c>
      <c r="BK322" t="str">
        <f t="shared" si="137"/>
        <v xml:space="preserve">George Arthur Louis PAGE (1998– </v>
      </c>
      <c r="BL322" t="str">
        <f t="shared" si="138"/>
        <v>George Arthur Louis PAGE (1998– : #70cca)</v>
      </c>
    </row>
    <row r="323" spans="60:64">
      <c r="BH323" t="b">
        <f t="shared" si="136"/>
        <v>0</v>
      </c>
      <c r="BI323" s="3" t="s">
        <v>2343</v>
      </c>
      <c r="BJ323" s="3" t="s">
        <v>5053</v>
      </c>
      <c r="BK323" t="str">
        <f t="shared" si="137"/>
        <v xml:space="preserve">Simeon Nathaniel Benjamin GOW (1990– </v>
      </c>
      <c r="BL323" t="str">
        <f t="shared" si="138"/>
        <v>Simeon Nathaniel Benjamin GOW (1990– : #70dca)</v>
      </c>
    </row>
    <row r="324" spans="60:64">
      <c r="BH324" t="b">
        <f t="shared" si="136"/>
        <v>0</v>
      </c>
      <c r="BI324" s="3" t="s">
        <v>2344</v>
      </c>
      <c r="BJ324" s="3" t="s">
        <v>5054</v>
      </c>
      <c r="BK324" t="str">
        <f t="shared" si="137"/>
        <v xml:space="preserve">Christopher Gavin Thomas GOW (1996– </v>
      </c>
      <c r="BL324" t="str">
        <f t="shared" si="138"/>
        <v>Christopher Gavin Thomas GOW (1996– : #70dcb)</v>
      </c>
    </row>
    <row r="325" spans="60:64">
      <c r="BH325" t="b">
        <f t="shared" si="136"/>
        <v>0</v>
      </c>
      <c r="BI325" s="3" t="s">
        <v>2345</v>
      </c>
      <c r="BJ325" s="3" t="s">
        <v>5055</v>
      </c>
      <c r="BK325" t="str">
        <f t="shared" si="137"/>
        <v xml:space="preserve">Joanna Louise GOW (1998– </v>
      </c>
      <c r="BL325" t="str">
        <f t="shared" si="138"/>
        <v>Joanna Louise GOW (1998– : #70dcc)</v>
      </c>
    </row>
    <row r="326" spans="60:64">
      <c r="BH326" t="b">
        <f t="shared" si="136"/>
        <v>0</v>
      </c>
      <c r="BI326" s="3" t="s">
        <v>1367</v>
      </c>
      <c r="BJ326" s="3" t="s">
        <v>5056</v>
      </c>
      <c r="BK326" t="str">
        <f t="shared" si="137"/>
        <v xml:space="preserve">Matilda Prudence ELLIS (1995– </v>
      </c>
      <c r="BL326" t="str">
        <f t="shared" si="138"/>
        <v>Matilda Prudence ELLIS (1995– : #85aaa)</v>
      </c>
    </row>
    <row r="327" spans="60:64">
      <c r="BH327" t="b">
        <f t="shared" ref="BH327:BH390" si="139">IF(LEN(BI327)=2,LEFT(BI327,1),IF(LEN(BI327)=3,LEFT(BI327,2),IF(LEN(BI327)=4,LEFT(BI327,3))))</f>
        <v>0</v>
      </c>
      <c r="BI327" s="3" t="s">
        <v>1368</v>
      </c>
      <c r="BJ327" s="3" t="s">
        <v>5057</v>
      </c>
      <c r="BK327" t="str">
        <f t="shared" ref="BK327:BK390" si="140">LEFT(BJ327,LEN(BJ327)-1)</f>
        <v xml:space="preserve">Tabitha Hope ELLIS (1997– </v>
      </c>
      <c r="BL327" t="str">
        <f t="shared" ref="BL327:BL390" si="141">_xlfn.CONCAT(BK327,": #",BI327,")")</f>
        <v>Tabitha Hope ELLIS (1997– : #85aab)</v>
      </c>
    </row>
    <row r="328" spans="60:64">
      <c r="BH328" t="b">
        <f t="shared" si="139"/>
        <v>0</v>
      </c>
      <c r="BI328" s="3" t="s">
        <v>1372</v>
      </c>
      <c r="BJ328" s="3" t="s">
        <v>5058</v>
      </c>
      <c r="BK328" t="str">
        <f t="shared" si="140"/>
        <v xml:space="preserve">Esme Grace G LANE FOX (1998– </v>
      </c>
      <c r="BL328" t="str">
        <f t="shared" si="141"/>
        <v>Esme Grace G LANE FOX (1998– : #85aba)</v>
      </c>
    </row>
    <row r="329" spans="60:64">
      <c r="BH329" t="b">
        <f t="shared" si="139"/>
        <v>0</v>
      </c>
      <c r="BI329" s="3" t="s">
        <v>1374</v>
      </c>
      <c r="BJ329" s="3" t="s">
        <v>5059</v>
      </c>
      <c r="BK329" t="str">
        <f t="shared" si="140"/>
        <v xml:space="preserve">Georgia Rose LANE FOX (2000– </v>
      </c>
      <c r="BL329" t="str">
        <f t="shared" si="141"/>
        <v>Georgia Rose LANE FOX (2000– : #85abb)</v>
      </c>
    </row>
    <row r="330" spans="60:64">
      <c r="BH330" t="b">
        <f t="shared" si="139"/>
        <v>0</v>
      </c>
      <c r="BI330" s="3" t="s">
        <v>1384</v>
      </c>
      <c r="BJ330" s="3" t="s">
        <v>5060</v>
      </c>
      <c r="BK330" t="str">
        <f t="shared" si="140"/>
        <v xml:space="preserve">Lily Joanna GASZTOWTT (1997– </v>
      </c>
      <c r="BL330" t="str">
        <f t="shared" si="141"/>
        <v>Lily Joanna GASZTOWTT (1997– : #85bca)</v>
      </c>
    </row>
    <row r="331" spans="60:64">
      <c r="BH331" t="b">
        <f t="shared" si="139"/>
        <v>0</v>
      </c>
      <c r="BI331" s="3" t="s">
        <v>1439</v>
      </c>
      <c r="BJ331" s="3" t="s">
        <v>5061</v>
      </c>
      <c r="BK331" t="str">
        <f t="shared" si="140"/>
        <v xml:space="preserve">Louise Saragh HOLMAN-BAIRD (1986– </v>
      </c>
      <c r="BL331" t="str">
        <f t="shared" si="141"/>
        <v>Louise Saragh HOLMAN-BAIRD (1986– : #88aaa)</v>
      </c>
    </row>
    <row r="332" spans="60:64">
      <c r="BH332" t="b">
        <f t="shared" si="139"/>
        <v>0</v>
      </c>
      <c r="BI332" s="3" t="s">
        <v>1440</v>
      </c>
      <c r="BJ332" s="3" t="s">
        <v>5062</v>
      </c>
      <c r="BK332" t="str">
        <f t="shared" si="140"/>
        <v xml:space="preserve">Angus John HOLMAN-BAIRD (1997– </v>
      </c>
      <c r="BL332" t="str">
        <f t="shared" si="141"/>
        <v>Angus John HOLMAN-BAIRD (1997– : #88aab)</v>
      </c>
    </row>
    <row r="333" spans="60:64">
      <c r="BH333" t="b">
        <f t="shared" si="139"/>
        <v>0</v>
      </c>
      <c r="BI333" s="3" t="s">
        <v>1441</v>
      </c>
      <c r="BJ333" s="3" t="s">
        <v>5063</v>
      </c>
      <c r="BK333" t="str">
        <f t="shared" si="140"/>
        <v xml:space="preserve">Amelia Jo HOLMAN-BAIRD (1998– </v>
      </c>
      <c r="BL333" t="str">
        <f t="shared" si="141"/>
        <v>Amelia Jo HOLMAN-BAIRD (1998– : #88aac)</v>
      </c>
    </row>
    <row r="334" spans="60:64">
      <c r="BH334" t="b">
        <f t="shared" si="139"/>
        <v>0</v>
      </c>
      <c r="BI334" s="3" t="s">
        <v>1449</v>
      </c>
      <c r="BJ334" s="3" t="s">
        <v>5064</v>
      </c>
      <c r="BK334" t="str">
        <f t="shared" si="140"/>
        <v xml:space="preserve">William John STIRRUP (1992– </v>
      </c>
      <c r="BL334" t="str">
        <f t="shared" si="141"/>
        <v>William John STIRRUP (1992– : #88aca)</v>
      </c>
    </row>
    <row r="335" spans="60:64">
      <c r="BH335" t="b">
        <f t="shared" si="139"/>
        <v>0</v>
      </c>
      <c r="BI335" s="3" t="s">
        <v>1450</v>
      </c>
      <c r="BJ335" s="3" t="s">
        <v>5065</v>
      </c>
      <c r="BK335" t="str">
        <f t="shared" si="140"/>
        <v xml:space="preserve">Timothy Charles STIRRUP (1994– </v>
      </c>
      <c r="BL335" t="str">
        <f t="shared" si="141"/>
        <v>Timothy Charles STIRRUP (1994– : #88acb)</v>
      </c>
    </row>
    <row r="336" spans="60:64">
      <c r="BH336" t="b">
        <f t="shared" si="139"/>
        <v>0</v>
      </c>
      <c r="BI336" s="3" t="s">
        <v>1451</v>
      </c>
      <c r="BJ336" s="3" t="s">
        <v>5066</v>
      </c>
      <c r="BK336" t="str">
        <f t="shared" si="140"/>
        <v xml:space="preserve">Isabelle Diana STIRRUP (1997– </v>
      </c>
      <c r="BL336" t="str">
        <f t="shared" si="141"/>
        <v>Isabelle Diana STIRRUP (1997– : #88acc)</v>
      </c>
    </row>
    <row r="337" spans="60:64">
      <c r="BH337" t="b">
        <f t="shared" si="139"/>
        <v>0</v>
      </c>
      <c r="BI337" s="3" t="s">
        <v>1455</v>
      </c>
      <c r="BJ337" s="3" t="s">
        <v>5067</v>
      </c>
      <c r="BK337" t="str">
        <f t="shared" si="140"/>
        <v xml:space="preserve">Sophie Charlotte COLE (1992– </v>
      </c>
      <c r="BL337" t="str">
        <f t="shared" si="141"/>
        <v>Sophie Charlotte COLE (1992– : #88ada)</v>
      </c>
    </row>
    <row r="338" spans="60:64">
      <c r="BH338" t="b">
        <f t="shared" si="139"/>
        <v>0</v>
      </c>
      <c r="BI338" s="3" t="s">
        <v>1456</v>
      </c>
      <c r="BJ338" s="3" t="s">
        <v>5068</v>
      </c>
      <c r="BK338" t="str">
        <f t="shared" si="140"/>
        <v xml:space="preserve">Patrick James COLE (1994– </v>
      </c>
      <c r="BL338" t="str">
        <f t="shared" si="141"/>
        <v>Patrick James COLE (1994– : #88adb)</v>
      </c>
    </row>
    <row r="339" spans="60:64">
      <c r="BH339" t="b">
        <f t="shared" si="139"/>
        <v>0</v>
      </c>
      <c r="BI339" s="3" t="s">
        <v>3748</v>
      </c>
      <c r="BJ339" s="3" t="s">
        <v>5069</v>
      </c>
      <c r="BK339" t="str">
        <f t="shared" si="140"/>
        <v xml:space="preserve">Jake Michael TATTON-BROWN (2016– </v>
      </c>
      <c r="BL339" t="str">
        <f t="shared" si="141"/>
        <v>Jake Michael TATTON-BROWN (2016– : #92aaa)</v>
      </c>
    </row>
    <row r="340" spans="60:64">
      <c r="BH340" t="b">
        <f t="shared" si="139"/>
        <v>0</v>
      </c>
      <c r="BI340" s="3" t="s">
        <v>3749</v>
      </c>
      <c r="BJ340" s="3" t="s">
        <v>5070</v>
      </c>
      <c r="BK340" t="str">
        <f t="shared" si="140"/>
        <v xml:space="preserve">Zachery Finn TATTON-BROWN (2016– </v>
      </c>
      <c r="BL340" t="str">
        <f t="shared" si="141"/>
        <v>Zachery Finn TATTON-BROWN (2016– : #92aab)</v>
      </c>
    </row>
    <row r="341" spans="60:64">
      <c r="BH341" t="b">
        <f t="shared" si="139"/>
        <v>0</v>
      </c>
      <c r="BI341" s="3" t="s">
        <v>3756</v>
      </c>
      <c r="BJ341" s="3" t="s">
        <v>5071</v>
      </c>
      <c r="BK341" t="str">
        <f t="shared" si="140"/>
        <v xml:space="preserve">Maia Veronica Kaur BATTEY (2014– </v>
      </c>
      <c r="BL341" t="str">
        <f t="shared" si="141"/>
        <v>Maia Veronica Kaur BATTEY (2014– : #92aca)</v>
      </c>
    </row>
    <row r="342" spans="60:64">
      <c r="BH342" t="b">
        <f t="shared" si="139"/>
        <v>0</v>
      </c>
      <c r="BI342" s="3" t="s">
        <v>3757</v>
      </c>
      <c r="BJ342" s="3" t="s">
        <v>5072</v>
      </c>
      <c r="BK342" t="str">
        <f t="shared" si="140"/>
        <v xml:space="preserve">Cara Ann Rose BATTEY (2017– </v>
      </c>
      <c r="BL342" t="str">
        <f t="shared" si="141"/>
        <v>Cara Ann Rose BATTEY (2017– : #92acb)</v>
      </c>
    </row>
    <row r="343" spans="60:64">
      <c r="BH343" t="b">
        <f t="shared" si="139"/>
        <v>0</v>
      </c>
      <c r="BI343" s="3" t="s">
        <v>1516</v>
      </c>
      <c r="BJ343" s="3" t="s">
        <v>5073</v>
      </c>
      <c r="BK343" t="str">
        <f t="shared" si="140"/>
        <v xml:space="preserve">Octavia Kenya ANDERSEN (1999– </v>
      </c>
      <c r="BL343" t="str">
        <f t="shared" si="141"/>
        <v>Octavia Kenya ANDERSEN (1999– : #92baa)</v>
      </c>
    </row>
    <row r="344" spans="60:64">
      <c r="BH344" t="b">
        <f t="shared" si="139"/>
        <v>0</v>
      </c>
      <c r="BI344" s="3" t="s">
        <v>3630</v>
      </c>
      <c r="BJ344" s="3" t="s">
        <v>5074</v>
      </c>
      <c r="BK344" t="str">
        <f t="shared" si="140"/>
        <v xml:space="preserve">Augustus Eden ANDERSEN (2003– </v>
      </c>
      <c r="BL344" t="str">
        <f t="shared" si="141"/>
        <v>Augustus Eden ANDERSEN (2003– : #92bab)</v>
      </c>
    </row>
    <row r="345" spans="60:64">
      <c r="BH345" t="b">
        <f t="shared" si="139"/>
        <v>0</v>
      </c>
      <c r="BI345" s="3" t="s">
        <v>3631</v>
      </c>
      <c r="BJ345" s="3" t="s">
        <v>5075</v>
      </c>
      <c r="BK345" t="str">
        <f t="shared" si="140"/>
        <v xml:space="preserve">Felix Edgar Oliver TATTON-BROWN (2004– </v>
      </c>
      <c r="BL345" t="str">
        <f t="shared" si="141"/>
        <v>Felix Edgar Oliver TATTON-BROWN (2004– : #92bba)</v>
      </c>
    </row>
    <row r="346" spans="60:64">
      <c r="BH346" t="b">
        <f t="shared" si="139"/>
        <v>0</v>
      </c>
      <c r="BI346" s="3" t="s">
        <v>3632</v>
      </c>
      <c r="BJ346" s="3" t="s">
        <v>5076</v>
      </c>
      <c r="BK346" t="str">
        <f t="shared" si="140"/>
        <v xml:space="preserve">Marius Cesar Fabien TATTON-BROWN (2004– </v>
      </c>
      <c r="BL346" t="str">
        <f t="shared" si="141"/>
        <v>Marius Cesar Fabien TATTON-BROWN (2004– : #92bbb)</v>
      </c>
    </row>
    <row r="347" spans="60:64">
      <c r="BH347" t="b">
        <f t="shared" si="139"/>
        <v>0</v>
      </c>
      <c r="BI347" s="3" t="s">
        <v>3633</v>
      </c>
      <c r="BJ347" s="3" t="s">
        <v>5077</v>
      </c>
      <c r="BK347" t="str">
        <f t="shared" si="140"/>
        <v xml:space="preserve">Poppy May TATTON-BROWN (2008– </v>
      </c>
      <c r="BL347" t="str">
        <f t="shared" si="141"/>
        <v>Poppy May TATTON-BROWN (2008– : #92bbc)</v>
      </c>
    </row>
    <row r="348" spans="60:64">
      <c r="BH348" t="b">
        <f t="shared" si="139"/>
        <v>0</v>
      </c>
      <c r="BI348" s="3" t="s">
        <v>3642</v>
      </c>
      <c r="BJ348" s="3" t="s">
        <v>5078</v>
      </c>
      <c r="BK348" t="str">
        <f t="shared" si="140"/>
        <v xml:space="preserve">Rose Henrietta BOURNE (2014– </v>
      </c>
      <c r="BL348" t="str">
        <f t="shared" si="141"/>
        <v>Rose Henrietta BOURNE (2014– : #92bca)</v>
      </c>
    </row>
    <row r="349" spans="60:64">
      <c r="BH349" t="b">
        <f t="shared" si="139"/>
        <v>0</v>
      </c>
      <c r="BI349" s="3" t="s">
        <v>3644</v>
      </c>
      <c r="BJ349" s="3" t="s">
        <v>5079</v>
      </c>
      <c r="BK349" t="str">
        <f t="shared" si="140"/>
        <v xml:space="preserve">Basil Louis BOURNE (2016– </v>
      </c>
      <c r="BL349" t="str">
        <f t="shared" si="141"/>
        <v>Basil Louis BOURNE (2016– : #92bcb)</v>
      </c>
    </row>
    <row r="350" spans="60:64">
      <c r="BH350" t="b">
        <f t="shared" si="139"/>
        <v>0</v>
      </c>
      <c r="BI350" s="3" t="s">
        <v>3645</v>
      </c>
      <c r="BJ350" s="3" t="s">
        <v>5080</v>
      </c>
      <c r="BK350" t="str">
        <f t="shared" si="140"/>
        <v xml:space="preserve">Montague Alfred BOURNE (2020– </v>
      </c>
      <c r="BL350" t="str">
        <f t="shared" si="141"/>
        <v>Montague Alfred BOURNE (2020– : #92bcc)</v>
      </c>
    </row>
    <row r="351" spans="60:64">
      <c r="BH351" t="b">
        <f t="shared" si="139"/>
        <v>0</v>
      </c>
      <c r="BI351" s="3" t="s">
        <v>3649</v>
      </c>
      <c r="BJ351" s="3" t="s">
        <v>5081</v>
      </c>
      <c r="BK351" t="str">
        <f t="shared" si="140"/>
        <v xml:space="preserve">Alice Clementine Mary TATTON-BROWN (2013– </v>
      </c>
      <c r="BL351" t="str">
        <f t="shared" si="141"/>
        <v>Alice Clementine Mary TATTON-BROWN (2013– : #92bda)</v>
      </c>
    </row>
    <row r="352" spans="60:64">
      <c r="BH352" t="b">
        <f t="shared" si="139"/>
        <v>0</v>
      </c>
      <c r="BI352" s="3" t="s">
        <v>3650</v>
      </c>
      <c r="BJ352" s="3" t="s">
        <v>5082</v>
      </c>
      <c r="BK352" t="str">
        <f t="shared" si="140"/>
        <v xml:space="preserve">Théodore Eden Louis TATTON-BROWN (2018– </v>
      </c>
      <c r="BL352" t="str">
        <f t="shared" si="141"/>
        <v>Théodore Eden Louis TATTON-BROWN (2018– : #92bdb)</v>
      </c>
    </row>
    <row r="353" spans="60:64">
      <c r="BH353" t="b">
        <f t="shared" si="139"/>
        <v>0</v>
      </c>
      <c r="BI353" s="3" t="s">
        <v>3651</v>
      </c>
      <c r="BJ353" s="3" t="s">
        <v>5083</v>
      </c>
      <c r="BK353" t="str">
        <f t="shared" si="140"/>
        <v xml:space="preserve">Oscar Arthur Alexandre TATTON-BROWN (2021– </v>
      </c>
      <c r="BL353" t="str">
        <f t="shared" si="141"/>
        <v>Oscar Arthur Alexandre TATTON-BROWN (2021– : #92bdc)</v>
      </c>
    </row>
    <row r="354" spans="60:64">
      <c r="BH354" t="b">
        <f t="shared" si="139"/>
        <v>0</v>
      </c>
      <c r="BI354" s="3" t="s">
        <v>3722</v>
      </c>
      <c r="BJ354" s="3" t="s">
        <v>5084</v>
      </c>
      <c r="BK354" t="str">
        <f t="shared" si="140"/>
        <v xml:space="preserve">Ella Victoria VESTEY (2015– </v>
      </c>
      <c r="BL354" t="str">
        <f t="shared" si="141"/>
        <v>Ella Victoria VESTEY (2015– : #95baa)</v>
      </c>
    </row>
    <row r="355" spans="60:64">
      <c r="BH355" t="b">
        <f t="shared" si="139"/>
        <v>0</v>
      </c>
      <c r="BI355" s="3" t="s">
        <v>3723</v>
      </c>
      <c r="BJ355" s="3" t="s">
        <v>5085</v>
      </c>
      <c r="BK355" t="str">
        <f t="shared" si="140"/>
        <v xml:space="preserve">Samuel Oscar Mark VESTEY (2018– </v>
      </c>
      <c r="BL355" t="str">
        <f t="shared" si="141"/>
        <v>Samuel Oscar Mark VESTEY (2018– : #95bab)</v>
      </c>
    </row>
    <row r="356" spans="60:64">
      <c r="BH356" t="b">
        <f t="shared" si="139"/>
        <v>0</v>
      </c>
      <c r="BI356" s="3" t="s">
        <v>3726</v>
      </c>
      <c r="BJ356" s="3" t="s">
        <v>5086</v>
      </c>
      <c r="BK356" t="str">
        <f t="shared" si="140"/>
        <v xml:space="preserve">Frank William VESTEY (2016– </v>
      </c>
      <c r="BL356" t="str">
        <f t="shared" si="141"/>
        <v>Frank William VESTEY (2016– : #95bba)</v>
      </c>
    </row>
    <row r="357" spans="60:64">
      <c r="BH357" t="b">
        <f t="shared" si="139"/>
        <v>0</v>
      </c>
      <c r="BI357" s="3" t="s">
        <v>3729</v>
      </c>
      <c r="BJ357" s="3" t="s">
        <v>5087</v>
      </c>
      <c r="BK357" t="str">
        <f t="shared" si="140"/>
        <v xml:space="preserve">Cosima Dora VESTEY (2018– </v>
      </c>
      <c r="BL357" t="str">
        <f t="shared" si="141"/>
        <v>Cosima Dora VESTEY (2018– : #95bbb)</v>
      </c>
    </row>
    <row r="358" spans="60:64">
      <c r="BH358" t="b">
        <f t="shared" si="139"/>
        <v>0</v>
      </c>
      <c r="BI358" s="3" t="s">
        <v>3727</v>
      </c>
      <c r="BJ358" s="3" t="s">
        <v>5088</v>
      </c>
      <c r="BK358" t="str">
        <f t="shared" si="140"/>
        <v xml:space="preserve">Daisy Celia VESTEY (2021– </v>
      </c>
      <c r="BL358" t="str">
        <f t="shared" si="141"/>
        <v>Daisy Celia VESTEY (2021– : #95bbc)</v>
      </c>
    </row>
    <row r="359" spans="60:64">
      <c r="BH359" t="b">
        <f t="shared" si="139"/>
        <v>0</v>
      </c>
      <c r="BI359" s="3" t="s">
        <v>3730</v>
      </c>
      <c r="BJ359" s="3" t="s">
        <v>5089</v>
      </c>
      <c r="BK359" t="str">
        <f t="shared" si="140"/>
        <v xml:space="preserve">Lyra Celia VESTEY (2021– </v>
      </c>
      <c r="BL359" t="str">
        <f t="shared" si="141"/>
        <v>Lyra Celia VESTEY (2021– : #95bca)</v>
      </c>
    </row>
    <row r="360" spans="60:64">
      <c r="BH360" t="b">
        <f t="shared" si="139"/>
        <v>0</v>
      </c>
      <c r="BI360" s="3" t="s">
        <v>3738</v>
      </c>
      <c r="BJ360" s="3" t="s">
        <v>5090</v>
      </c>
      <c r="BK360" t="str">
        <f t="shared" si="140"/>
        <v xml:space="preserve">Frederick John Wilfred HOLLAND (2019– </v>
      </c>
      <c r="BL360" t="str">
        <f t="shared" si="141"/>
        <v>Frederick John Wilfred HOLLAND (2019– : #106aaa)</v>
      </c>
    </row>
    <row r="361" spans="60:64">
      <c r="BH361" t="b">
        <f t="shared" si="139"/>
        <v>0</v>
      </c>
      <c r="BI361" s="3" t="s">
        <v>3822</v>
      </c>
      <c r="BJ361" s="3" t="s">
        <v>5208</v>
      </c>
      <c r="BK361" t="str">
        <f t="shared" si="140"/>
        <v>Zander Edward William HOLLAND (2022–2022</v>
      </c>
      <c r="BL361" t="str">
        <f t="shared" si="141"/>
        <v>Zander Edward William HOLLAND (2022–2022: #106aab)</v>
      </c>
    </row>
    <row r="362" spans="60:64">
      <c r="BH362" t="b">
        <f t="shared" si="139"/>
        <v>0</v>
      </c>
      <c r="BI362" s="3" t="s">
        <v>3823</v>
      </c>
      <c r="BJ362" s="3" t="s">
        <v>5091</v>
      </c>
      <c r="BK362" t="str">
        <f t="shared" si="140"/>
        <v xml:space="preserve">Rupert Leo James TELFORD (2022– </v>
      </c>
      <c r="BL362" t="str">
        <f t="shared" si="141"/>
        <v>Rupert Leo James TELFORD (2022– : #106aba)</v>
      </c>
    </row>
    <row r="363" spans="60:64">
      <c r="BH363" t="b">
        <f t="shared" si="139"/>
        <v>0</v>
      </c>
      <c r="BI363" s="3" t="s">
        <v>3672</v>
      </c>
      <c r="BJ363" s="3" t="s">
        <v>5092</v>
      </c>
      <c r="BK363" t="str">
        <f t="shared" si="140"/>
        <v xml:space="preserve">Rowan Emily BOYCE (2021– </v>
      </c>
      <c r="BL363" t="str">
        <f t="shared" si="141"/>
        <v>Rowan Emily BOYCE (2021– : #110aaa)</v>
      </c>
    </row>
    <row r="364" spans="60:64">
      <c r="BH364" t="b">
        <f t="shared" si="139"/>
        <v>0</v>
      </c>
      <c r="BI364" s="3" t="s">
        <v>1963</v>
      </c>
      <c r="BJ364" s="3" t="s">
        <v>5209</v>
      </c>
      <c r="BK364" t="str">
        <f t="shared" si="140"/>
        <v>Margaret Elizabeth DAVIES (1897–1982</v>
      </c>
      <c r="BL364" t="str">
        <f t="shared" si="141"/>
        <v>Margaret Elizabeth DAVIES (1897–1982: #2aaaa)</v>
      </c>
    </row>
    <row r="365" spans="60:64">
      <c r="BH365" t="b">
        <f t="shared" si="139"/>
        <v>0</v>
      </c>
      <c r="BI365" s="3" t="s">
        <v>1982</v>
      </c>
      <c r="BJ365" s="3" t="s">
        <v>5210</v>
      </c>
      <c r="BK365" t="str">
        <f t="shared" si="140"/>
        <v>Canon William Loyd Musgrave PROTHEROE (1885–1962</v>
      </c>
      <c r="BL365" t="str">
        <f t="shared" si="141"/>
        <v>Canon William Loyd Musgrave PROTHEROE (1885–1962: #2caba)</v>
      </c>
    </row>
    <row r="366" spans="60:64">
      <c r="BH366" t="b">
        <f t="shared" si="139"/>
        <v>0</v>
      </c>
      <c r="BI366" s="3" t="s">
        <v>1991</v>
      </c>
      <c r="BJ366" s="3" t="s">
        <v>5093</v>
      </c>
      <c r="BK366" t="str">
        <f t="shared" si="140"/>
        <v xml:space="preserve">Alice Muriel Loyd PROTHEROE (1886– </v>
      </c>
      <c r="BL366" t="str">
        <f t="shared" si="141"/>
        <v>Alice Muriel Loyd PROTHEROE (1886– : #2cabb)</v>
      </c>
    </row>
    <row r="367" spans="60:64">
      <c r="BH367" t="b">
        <f t="shared" si="139"/>
        <v>0</v>
      </c>
      <c r="BI367" s="3" t="s">
        <v>3289</v>
      </c>
      <c r="BJ367" s="3" t="s">
        <v>5211</v>
      </c>
      <c r="BK367" t="str">
        <f t="shared" si="140"/>
        <v>Edward Loyd Musgrave PROTHEROE (1888–1905</v>
      </c>
      <c r="BL367" t="str">
        <f t="shared" si="141"/>
        <v>Edward Loyd Musgrave PROTHEROE (1888–1905: #2cabc)</v>
      </c>
    </row>
    <row r="368" spans="60:64">
      <c r="BH368" t="b">
        <f t="shared" si="139"/>
        <v>0</v>
      </c>
      <c r="BI368" s="3" t="s">
        <v>3290</v>
      </c>
      <c r="BJ368" s="3" t="s">
        <v>5212</v>
      </c>
      <c r="BK368" t="str">
        <f t="shared" si="140"/>
        <v>Roderick Norman Loyd PROTHEROE (1890–1905</v>
      </c>
      <c r="BL368" t="str">
        <f t="shared" si="141"/>
        <v>Roderick Norman Loyd PROTHEROE (1890–1905: #2cabd)</v>
      </c>
    </row>
    <row r="369" spans="60:64">
      <c r="BH369" t="b">
        <f t="shared" si="139"/>
        <v>0</v>
      </c>
      <c r="BI369" s="3" t="s">
        <v>3291</v>
      </c>
      <c r="BJ369" s="3" t="s">
        <v>5213</v>
      </c>
      <c r="BK369" t="str">
        <f t="shared" si="140"/>
        <v>Norah Evelyn Loyd PROTHEROE (1899–1905</v>
      </c>
      <c r="BL369" t="str">
        <f t="shared" si="141"/>
        <v>Norah Evelyn Loyd PROTHEROE (1899–1905: #2cabe)</v>
      </c>
    </row>
    <row r="370" spans="60:64">
      <c r="BH370" t="b">
        <f t="shared" si="139"/>
        <v>0</v>
      </c>
      <c r="BI370" s="3" t="s">
        <v>2046</v>
      </c>
      <c r="BJ370" s="3" t="s">
        <v>5094</v>
      </c>
      <c r="BK370" t="str">
        <f t="shared" si="140"/>
        <v xml:space="preserve">Robert Paul Redston WARNER (later RAMSAY) (1945– </v>
      </c>
      <c r="BL370" t="str">
        <f t="shared" si="141"/>
        <v>Robert Paul Redston WARNER (later RAMSAY) (1945– : #18bbaa)</v>
      </c>
    </row>
    <row r="371" spans="60:64">
      <c r="BH371" t="b">
        <f t="shared" si="139"/>
        <v>0</v>
      </c>
      <c r="BI371" s="3" t="s">
        <v>2407</v>
      </c>
      <c r="BJ371" s="3" t="s">
        <v>5095</v>
      </c>
      <c r="BK371" t="str">
        <f t="shared" si="140"/>
        <v xml:space="preserve">Elizabeth Margery WARNER (1947– </v>
      </c>
      <c r="BL371" t="str">
        <f t="shared" si="141"/>
        <v>Elizabeth Margery WARNER (1947– : #18bbab)</v>
      </c>
    </row>
    <row r="372" spans="60:64">
      <c r="BH372" t="b">
        <f t="shared" si="139"/>
        <v>0</v>
      </c>
      <c r="BI372" s="3" t="s">
        <v>2062</v>
      </c>
      <c r="BJ372" s="3" t="s">
        <v>5096</v>
      </c>
      <c r="BK372" t="str">
        <f t="shared" si="140"/>
        <v xml:space="preserve">Nigel George WARNER (1947– </v>
      </c>
      <c r="BL372" t="str">
        <f t="shared" si="141"/>
        <v>Nigel George WARNER (1947– : #18bbac)</v>
      </c>
    </row>
    <row r="373" spans="60:64">
      <c r="BH373" t="b">
        <f t="shared" si="139"/>
        <v>0</v>
      </c>
      <c r="BI373" s="3" t="s">
        <v>2410</v>
      </c>
      <c r="BJ373" s="3" t="s">
        <v>5097</v>
      </c>
      <c r="BK373" t="str">
        <f t="shared" si="140"/>
        <v xml:space="preserve">Alan Tristram Nicholas WARNER (1949– </v>
      </c>
      <c r="BL373" t="str">
        <f t="shared" si="141"/>
        <v>Alan Tristram Nicholas WARNER (1949– : #18bbad)</v>
      </c>
    </row>
    <row r="374" spans="60:64">
      <c r="BH374" t="b">
        <f t="shared" si="139"/>
        <v>0</v>
      </c>
      <c r="BI374" s="3" t="s">
        <v>2069</v>
      </c>
      <c r="BJ374" s="3" t="s">
        <v>5098</v>
      </c>
      <c r="BK374" t="str">
        <f t="shared" si="140"/>
        <v xml:space="preserve">Randall Lewis NICOL (1947– </v>
      </c>
      <c r="BL374" t="str">
        <f t="shared" si="141"/>
        <v>Randall Lewis NICOL (1947– : #18bbba)</v>
      </c>
    </row>
    <row r="375" spans="60:64">
      <c r="BH375" t="b">
        <f t="shared" si="139"/>
        <v>0</v>
      </c>
      <c r="BI375" s="3" t="s">
        <v>2070</v>
      </c>
      <c r="BJ375" s="3" t="s">
        <v>5099</v>
      </c>
      <c r="BK375" t="str">
        <f t="shared" si="140"/>
        <v xml:space="preserve">Andrew Harry NICOL (1949– </v>
      </c>
      <c r="BL375" t="str">
        <f t="shared" si="141"/>
        <v>Andrew Harry NICOL (1949– : #18bbbb)</v>
      </c>
    </row>
    <row r="376" spans="60:64">
      <c r="BH376" t="b">
        <f t="shared" si="139"/>
        <v>0</v>
      </c>
      <c r="BI376" s="3" t="s">
        <v>2077</v>
      </c>
      <c r="BJ376" s="3" t="s">
        <v>5100</v>
      </c>
      <c r="BK376" t="str">
        <f t="shared" si="140"/>
        <v xml:space="preserve">Malcolm James NICOL (1953– </v>
      </c>
      <c r="BL376" t="str">
        <f t="shared" si="141"/>
        <v>Malcolm James NICOL (1953– : #18bbbc)</v>
      </c>
    </row>
    <row r="377" spans="60:64">
      <c r="BH377" t="b">
        <f t="shared" si="139"/>
        <v>0</v>
      </c>
      <c r="BI377" s="3" t="s">
        <v>2159</v>
      </c>
      <c r="BJ377" s="3" t="s">
        <v>5101</v>
      </c>
      <c r="BK377" t="str">
        <f t="shared" si="140"/>
        <v xml:space="preserve">Robert Andrew SCOTT-DEMPSTER (1967– </v>
      </c>
      <c r="BL377" t="str">
        <f t="shared" si="141"/>
        <v>Robert Andrew SCOTT-DEMPSTER (1967– : #36dbaa)</v>
      </c>
    </row>
    <row r="378" spans="60:64">
      <c r="BH378" t="b">
        <f t="shared" si="139"/>
        <v>0</v>
      </c>
      <c r="BI378" s="3" t="s">
        <v>2163</v>
      </c>
      <c r="BJ378" s="3" t="s">
        <v>5102</v>
      </c>
      <c r="BK378" t="str">
        <f t="shared" si="140"/>
        <v xml:space="preserve">Clare Ann SCOTT-DEMPSTER (1969– </v>
      </c>
      <c r="BL378" t="str">
        <f t="shared" si="141"/>
        <v>Clare Ann SCOTT-DEMPSTER (1969– : #36dbab)</v>
      </c>
    </row>
    <row r="379" spans="60:64">
      <c r="BH379" t="b">
        <f t="shared" si="139"/>
        <v>0</v>
      </c>
      <c r="BI379" s="3" t="s">
        <v>2164</v>
      </c>
      <c r="BJ379" s="3" t="s">
        <v>5103</v>
      </c>
      <c r="BK379" t="str">
        <f t="shared" si="140"/>
        <v xml:space="preserve">Harry Colin SCOTT-DEMPSTER (1985– </v>
      </c>
      <c r="BL379" t="str">
        <f t="shared" si="141"/>
        <v>Harry Colin SCOTT-DEMPSTER (1985– : #36dbac)</v>
      </c>
    </row>
    <row r="380" spans="60:64">
      <c r="BH380" t="b">
        <f t="shared" si="139"/>
        <v>0</v>
      </c>
      <c r="BI380" s="3" t="s">
        <v>2168</v>
      </c>
      <c r="BJ380" s="3" t="s">
        <v>5104</v>
      </c>
      <c r="BK380" t="str">
        <f t="shared" si="140"/>
        <v xml:space="preserve">Jane Margaret LINDSAY (1966– </v>
      </c>
      <c r="BL380" t="str">
        <f t="shared" si="141"/>
        <v>Jane Margaret LINDSAY (1966– : #36dbba)</v>
      </c>
    </row>
    <row r="381" spans="60:64">
      <c r="BH381" t="b">
        <f t="shared" si="139"/>
        <v>0</v>
      </c>
      <c r="BI381" s="3" t="s">
        <v>2175</v>
      </c>
      <c r="BJ381" s="3" t="s">
        <v>5105</v>
      </c>
      <c r="BK381" t="str">
        <f t="shared" si="140"/>
        <v xml:space="preserve">Richard Stephen LINDSAY (1969– </v>
      </c>
      <c r="BL381" t="str">
        <f t="shared" si="141"/>
        <v>Richard Stephen LINDSAY (1969– : #36dbbb)</v>
      </c>
    </row>
    <row r="382" spans="60:64">
      <c r="BH382" t="b">
        <f t="shared" si="139"/>
        <v>0</v>
      </c>
      <c r="BI382" s="3" t="s">
        <v>2180</v>
      </c>
      <c r="BJ382" s="3" t="s">
        <v>5106</v>
      </c>
      <c r="BK382" t="str">
        <f t="shared" si="140"/>
        <v xml:space="preserve">Charles Ludovic LINDSAY (1974– </v>
      </c>
      <c r="BL382" t="str">
        <f t="shared" si="141"/>
        <v>Charles Ludovic LINDSAY (1974– : #36dbbc)</v>
      </c>
    </row>
    <row r="383" spans="60:64">
      <c r="BH383" t="b">
        <f t="shared" si="139"/>
        <v>0</v>
      </c>
      <c r="BI383" s="3" t="s">
        <v>2181</v>
      </c>
      <c r="BJ383" s="3" t="s">
        <v>5107</v>
      </c>
      <c r="BK383" t="str">
        <f t="shared" si="140"/>
        <v xml:space="preserve">Andrew James Ronald LINDSAY (1977– </v>
      </c>
      <c r="BL383" t="str">
        <f t="shared" si="141"/>
        <v>Andrew James Ronald LINDSAY (1977– : #36dbbd)</v>
      </c>
    </row>
    <row r="384" spans="60:64">
      <c r="BH384" t="b">
        <f t="shared" si="139"/>
        <v>0</v>
      </c>
      <c r="BI384" s="3" t="s">
        <v>2212</v>
      </c>
      <c r="BJ384" s="3" t="s">
        <v>5108</v>
      </c>
      <c r="BK384" t="str">
        <f t="shared" si="140"/>
        <v xml:space="preserve">Florence Mary HALLETT (1977– </v>
      </c>
      <c r="BL384" t="str">
        <f t="shared" si="141"/>
        <v>Florence Mary HALLETT (1977– : #47aaaa)</v>
      </c>
    </row>
    <row r="385" spans="60:64">
      <c r="BH385" t="b">
        <f t="shared" si="139"/>
        <v>0</v>
      </c>
      <c r="BI385" s="3" t="s">
        <v>2214</v>
      </c>
      <c r="BJ385" s="3" t="s">
        <v>5109</v>
      </c>
      <c r="BK385" t="str">
        <f t="shared" si="140"/>
        <v xml:space="preserve">Lillian Alice HALLETT (1980– </v>
      </c>
      <c r="BL385" t="str">
        <f t="shared" si="141"/>
        <v>Lillian Alice HALLETT (1980– : #47aaab)</v>
      </c>
    </row>
    <row r="386" spans="60:64">
      <c r="BH386" t="b">
        <f t="shared" si="139"/>
        <v>0</v>
      </c>
      <c r="BI386" s="3" t="s">
        <v>2414</v>
      </c>
      <c r="BJ386" s="3" t="s">
        <v>5110</v>
      </c>
      <c r="BK386" t="str">
        <f t="shared" si="140"/>
        <v xml:space="preserve">Linda Constance Elizabeth HARDCASTLE (1979– </v>
      </c>
      <c r="BL386" t="str">
        <f t="shared" si="141"/>
        <v>Linda Constance Elizabeth HARDCASTLE (1979– : #47aaba)</v>
      </c>
    </row>
    <row r="387" spans="60:64">
      <c r="BH387" t="b">
        <f t="shared" si="139"/>
        <v>0</v>
      </c>
      <c r="BI387" s="3" t="s">
        <v>2222</v>
      </c>
      <c r="BJ387" s="3" t="s">
        <v>5111</v>
      </c>
      <c r="BK387" t="str">
        <f t="shared" si="140"/>
        <v xml:space="preserve">Susan Jean Alexandra HARDCASTLE (1980– </v>
      </c>
      <c r="BL387" t="str">
        <f t="shared" si="141"/>
        <v>Susan Jean Alexandra HARDCASTLE (1980– : #47aabb)</v>
      </c>
    </row>
    <row r="388" spans="60:64">
      <c r="BH388" t="b">
        <f t="shared" si="139"/>
        <v>0</v>
      </c>
      <c r="BI388" s="3" t="s">
        <v>2223</v>
      </c>
      <c r="BJ388" s="3" t="s">
        <v>5112</v>
      </c>
      <c r="BK388" t="str">
        <f t="shared" si="140"/>
        <v xml:space="preserve">David Robert Edwin HARDCASTLE (1982– </v>
      </c>
      <c r="BL388" t="str">
        <f t="shared" si="141"/>
        <v>David Robert Edwin HARDCASTLE (1982– : #47aabc)</v>
      </c>
    </row>
    <row r="389" spans="60:64">
      <c r="BH389" t="b">
        <f t="shared" si="139"/>
        <v>0</v>
      </c>
      <c r="BI389" s="3" t="s">
        <v>2238</v>
      </c>
      <c r="BJ389" s="3" t="s">
        <v>5113</v>
      </c>
      <c r="BK389" t="str">
        <f t="shared" si="140"/>
        <v xml:space="preserve">Michael Alwyn Karel DREWE (1987– </v>
      </c>
      <c r="BL389" t="str">
        <f t="shared" si="141"/>
        <v>Michael Alwyn Karel DREWE (1987– : #47abca)</v>
      </c>
    </row>
    <row r="390" spans="60:64">
      <c r="BH390" t="b">
        <f t="shared" si="139"/>
        <v>0</v>
      </c>
      <c r="BI390" s="3" t="s">
        <v>1984</v>
      </c>
      <c r="BJ390" s="3" t="s">
        <v>5214</v>
      </c>
      <c r="BK390" t="str">
        <f t="shared" si="140"/>
        <v>William Loyd PROTHEROE (1921–1942</v>
      </c>
      <c r="BL390" t="str">
        <f t="shared" si="141"/>
        <v>William Loyd PROTHEROE (1921–1942: #2cabaa)</v>
      </c>
    </row>
    <row r="391" spans="60:64">
      <c r="BH391" t="b">
        <f t="shared" ref="BH391:BH422" si="142">IF(LEN(BI391)=2,LEFT(BI391,1),IF(LEN(BI391)=3,LEFT(BI391,2),IF(LEN(BI391)=4,LEFT(BI391,3))))</f>
        <v>0</v>
      </c>
      <c r="BI391" s="3" t="s">
        <v>1985</v>
      </c>
      <c r="BJ391" s="3" t="s">
        <v>5114</v>
      </c>
      <c r="BK391" t="str">
        <f t="shared" ref="BK391:BK422" si="143">LEFT(BJ391,LEN(BJ391)-1)</f>
        <v xml:space="preserve">Sheila Evelyn PROTHEROE (1924– </v>
      </c>
      <c r="BL391" t="str">
        <f t="shared" ref="BL391:BL422" si="144">_xlfn.CONCAT(BK391,": #",BI391,")")</f>
        <v>Sheila Evelyn PROTHEROE (1924– : #2cabab)</v>
      </c>
    </row>
    <row r="392" spans="60:64">
      <c r="BH392" t="b">
        <f t="shared" si="142"/>
        <v>0</v>
      </c>
      <c r="BI392" s="3" t="s">
        <v>1995</v>
      </c>
      <c r="BJ392" s="3" t="s">
        <v>5115</v>
      </c>
      <c r="BK392" t="str">
        <f t="shared" si="143"/>
        <v xml:space="preserve">Beryl Mary Loyd APPS (1925– </v>
      </c>
      <c r="BL392" t="str">
        <f t="shared" si="144"/>
        <v>Beryl Mary Loyd APPS (1925– : #2cabba)</v>
      </c>
    </row>
    <row r="393" spans="60:64">
      <c r="BH393" t="b">
        <f t="shared" si="142"/>
        <v>0</v>
      </c>
      <c r="BI393" s="3" t="s">
        <v>2049</v>
      </c>
      <c r="BJ393" s="3" t="s">
        <v>5116</v>
      </c>
      <c r="BK393" t="str">
        <f t="shared" si="143"/>
        <v xml:space="preserve">Gilbert Aubrey Warner RAMSAY (1980– </v>
      </c>
      <c r="BL393" t="str">
        <f t="shared" si="144"/>
        <v>Gilbert Aubrey Warner RAMSAY (1980– : #18bbaaa)</v>
      </c>
    </row>
    <row r="394" spans="60:64">
      <c r="BH394" t="b">
        <f t="shared" si="142"/>
        <v>0</v>
      </c>
      <c r="BI394" s="3" t="s">
        <v>2050</v>
      </c>
      <c r="BJ394" s="3" t="s">
        <v>5117</v>
      </c>
      <c r="BK394" t="str">
        <f t="shared" si="143"/>
        <v xml:space="preserve">Sophie Charlotte RAMSAY (1982– </v>
      </c>
      <c r="BL394" t="str">
        <f t="shared" si="144"/>
        <v>Sophie Charlotte RAMSAY (1982– : #18bbaab)</v>
      </c>
    </row>
    <row r="395" spans="60:64">
      <c r="BH395" t="b">
        <f t="shared" si="142"/>
        <v>0</v>
      </c>
      <c r="BI395" s="3" t="s">
        <v>2051</v>
      </c>
      <c r="BJ395" s="3" t="s">
        <v>5118</v>
      </c>
      <c r="BK395" t="str">
        <f t="shared" si="143"/>
        <v xml:space="preserve">Adam Alexander RAMSAY (1985– </v>
      </c>
      <c r="BL395" t="str">
        <f t="shared" si="144"/>
        <v>Adam Alexander RAMSAY (1985– : #18bbaac)</v>
      </c>
    </row>
    <row r="396" spans="60:64">
      <c r="BH396" t="b">
        <f t="shared" si="142"/>
        <v>0</v>
      </c>
      <c r="BI396" s="3" t="s">
        <v>2052</v>
      </c>
      <c r="BJ396" s="3" t="s">
        <v>5119</v>
      </c>
      <c r="BK396" t="str">
        <f t="shared" si="143"/>
        <v xml:space="preserve">George Finlay RAMSAY (1988– </v>
      </c>
      <c r="BL396" t="str">
        <f t="shared" si="144"/>
        <v>George Finlay RAMSAY (1988– : #18bbaad)</v>
      </c>
    </row>
    <row r="397" spans="60:64">
      <c r="BH397" t="b">
        <f t="shared" si="142"/>
        <v>0</v>
      </c>
      <c r="BI397" s="3" t="s">
        <v>2408</v>
      </c>
      <c r="BJ397" s="3" t="s">
        <v>5120</v>
      </c>
      <c r="BK397" t="str">
        <f t="shared" si="143"/>
        <v xml:space="preserve">John BERRY (1976– </v>
      </c>
      <c r="BL397" t="str">
        <f t="shared" si="144"/>
        <v>John BERRY (1976– : #18bbaba)</v>
      </c>
    </row>
    <row r="398" spans="60:64">
      <c r="BH398" t="b">
        <f t="shared" si="142"/>
        <v>0</v>
      </c>
      <c r="BI398" s="3" t="s">
        <v>2409</v>
      </c>
      <c r="BJ398" s="3" t="s">
        <v>5121</v>
      </c>
      <c r="BK398" t="str">
        <f t="shared" si="143"/>
        <v xml:space="preserve">Robert BERRY (1978– </v>
      </c>
      <c r="BL398" t="str">
        <f t="shared" si="144"/>
        <v>Robert BERRY (1978– : #18bbabb)</v>
      </c>
    </row>
    <row r="399" spans="60:64">
      <c r="BH399" t="b">
        <f t="shared" si="142"/>
        <v>0</v>
      </c>
      <c r="BI399" s="3" t="s">
        <v>2411</v>
      </c>
      <c r="BJ399" s="3" t="s">
        <v>5122</v>
      </c>
      <c r="BK399" t="str">
        <f t="shared" si="143"/>
        <v xml:space="preserve">Nicholas Redston WARNER (1985– </v>
      </c>
      <c r="BL399" t="str">
        <f t="shared" si="144"/>
        <v>Nicholas Redston WARNER (1985– : #18bbada)</v>
      </c>
    </row>
    <row r="400" spans="60:64">
      <c r="BH400" t="b">
        <f t="shared" si="142"/>
        <v>0</v>
      </c>
      <c r="BI400" s="3" t="s">
        <v>2412</v>
      </c>
      <c r="BJ400" s="3" t="s">
        <v>5123</v>
      </c>
      <c r="BK400" t="str">
        <f t="shared" si="143"/>
        <v xml:space="preserve">Harriet Voase WARNER (1988– </v>
      </c>
      <c r="BL400" t="str">
        <f t="shared" si="144"/>
        <v>Harriet Voase WARNER (1988– : #18bbadb)</v>
      </c>
    </row>
    <row r="401" spans="60:64">
      <c r="BH401" t="b">
        <f t="shared" si="142"/>
        <v>0</v>
      </c>
      <c r="BI401" s="3" t="s">
        <v>2072</v>
      </c>
      <c r="BJ401" s="3" t="s">
        <v>5124</v>
      </c>
      <c r="BK401" t="str">
        <f t="shared" si="143"/>
        <v xml:space="preserve">Helen Louise NICOL (1982– </v>
      </c>
      <c r="BL401" t="str">
        <f t="shared" si="144"/>
        <v>Helen Louise NICOL (1982– : #18bbbba)</v>
      </c>
    </row>
    <row r="402" spans="60:64">
      <c r="BH402" t="b">
        <f t="shared" si="142"/>
        <v>0</v>
      </c>
      <c r="BI402" s="3" t="s">
        <v>2073</v>
      </c>
      <c r="BJ402" s="3" t="s">
        <v>5125</v>
      </c>
      <c r="BK402" t="str">
        <f t="shared" si="143"/>
        <v xml:space="preserve">Lucinda Rachel NICOL (1984– </v>
      </c>
      <c r="BL402" t="str">
        <f t="shared" si="144"/>
        <v>Lucinda Rachel NICOL (1984– : #18bbbbb)</v>
      </c>
    </row>
    <row r="403" spans="60:64">
      <c r="BH403" t="b">
        <f t="shared" si="142"/>
        <v>0</v>
      </c>
      <c r="BI403" s="3" t="s">
        <v>2075</v>
      </c>
      <c r="BJ403" s="3" t="s">
        <v>5215</v>
      </c>
      <c r="BK403" t="str">
        <f t="shared" si="143"/>
        <v>Johnathan Michael NICOL (1987–1988</v>
      </c>
      <c r="BL403" t="str">
        <f t="shared" si="144"/>
        <v>Johnathan Michael NICOL (1987–1988: #18bbbbc)</v>
      </c>
    </row>
    <row r="404" spans="60:64">
      <c r="BH404" t="b">
        <f t="shared" si="142"/>
        <v>0</v>
      </c>
      <c r="BI404" s="3" t="s">
        <v>2076</v>
      </c>
      <c r="BJ404" s="3" t="s">
        <v>5126</v>
      </c>
      <c r="BK404" t="str">
        <f t="shared" si="143"/>
        <v xml:space="preserve">James Peter Robert NICOL (1991– </v>
      </c>
      <c r="BL404" t="str">
        <f t="shared" si="144"/>
        <v>James Peter Robert NICOL (1991– : #18bbbbd)</v>
      </c>
    </row>
    <row r="405" spans="60:64">
      <c r="BH405" t="b">
        <f t="shared" si="142"/>
        <v>0</v>
      </c>
      <c r="BI405" s="3" t="s">
        <v>2356</v>
      </c>
      <c r="BJ405" s="3" t="s">
        <v>5127</v>
      </c>
      <c r="BK405" t="str">
        <f t="shared" si="143"/>
        <v xml:space="preserve">Abigail Elizabeth NICOL (1985– </v>
      </c>
      <c r="BL405" t="str">
        <f t="shared" si="144"/>
        <v>Abigail Elizabeth NICOL (1985– : #18bbbca)</v>
      </c>
    </row>
    <row r="406" spans="60:64">
      <c r="BH406" t="b">
        <f t="shared" si="142"/>
        <v>0</v>
      </c>
      <c r="BI406" s="3" t="s">
        <v>3267</v>
      </c>
      <c r="BJ406" s="3" t="s">
        <v>5128</v>
      </c>
      <c r="BK406" t="str">
        <f t="shared" si="143"/>
        <v xml:space="preserve">Jennifer Catherine NICOL (1985– </v>
      </c>
      <c r="BL406" t="str">
        <f t="shared" si="144"/>
        <v>Jennifer Catherine NICOL (1985– : #18bbbcb)</v>
      </c>
    </row>
    <row r="407" spans="60:64">
      <c r="BH407" t="b">
        <f t="shared" si="142"/>
        <v>0</v>
      </c>
      <c r="BI407" s="3" t="s">
        <v>2081</v>
      </c>
      <c r="BJ407" s="3" t="s">
        <v>5129</v>
      </c>
      <c r="BK407" t="str">
        <f t="shared" si="143"/>
        <v xml:space="preserve">Alice Mary Rose NICOL (1988– </v>
      </c>
      <c r="BL407" t="str">
        <f t="shared" si="144"/>
        <v>Alice Mary Rose NICOL (1988– : #18bbbcc)</v>
      </c>
    </row>
    <row r="408" spans="60:64">
      <c r="BH408" t="b">
        <f t="shared" si="142"/>
        <v>0</v>
      </c>
      <c r="BI408" s="3" t="s">
        <v>2357</v>
      </c>
      <c r="BJ408" s="3" t="s">
        <v>5130</v>
      </c>
      <c r="BK408" t="str">
        <f t="shared" si="143"/>
        <v xml:space="preserve">Catherine Margaret NICOL (1990– </v>
      </c>
      <c r="BL408" t="str">
        <f t="shared" si="144"/>
        <v>Catherine Margaret NICOL (1990– : #18bbbcd)</v>
      </c>
    </row>
    <row r="409" spans="60:64">
      <c r="BH409" t="b">
        <f t="shared" si="142"/>
        <v>0</v>
      </c>
      <c r="BI409" s="3" t="s">
        <v>2084</v>
      </c>
      <c r="BJ409" s="3" t="s">
        <v>5131</v>
      </c>
      <c r="BK409" t="str">
        <f t="shared" si="143"/>
        <v xml:space="preserve">Elisabeth Iona NICOL (1990– </v>
      </c>
      <c r="BL409" t="str">
        <f t="shared" si="144"/>
        <v>Elisabeth Iona NICOL (1990– : #18bbbce)</v>
      </c>
    </row>
    <row r="410" spans="60:64">
      <c r="BH410" t="b">
        <f t="shared" si="142"/>
        <v>0</v>
      </c>
      <c r="BI410" s="3" t="s">
        <v>2085</v>
      </c>
      <c r="BJ410" s="3" t="s">
        <v>5132</v>
      </c>
      <c r="BK410" t="str">
        <f t="shared" si="143"/>
        <v xml:space="preserve">Lydia Clare Diana NICOL (1992– </v>
      </c>
      <c r="BL410" t="str">
        <f t="shared" si="144"/>
        <v>Lydia Clare Diana NICOL (1992– : #18bbbcf)</v>
      </c>
    </row>
    <row r="411" spans="60:64">
      <c r="BH411" t="b">
        <f t="shared" si="142"/>
        <v>0</v>
      </c>
      <c r="BI411" s="3" t="s">
        <v>3268</v>
      </c>
      <c r="BJ411" s="3" t="s">
        <v>5133</v>
      </c>
      <c r="BK411" t="str">
        <f t="shared" si="143"/>
        <v xml:space="preserve">Patrick William John Perry NICOL (1995– </v>
      </c>
      <c r="BL411" t="str">
        <f t="shared" si="144"/>
        <v>Patrick William John Perry NICOL (1995– : #18bbbcg)</v>
      </c>
    </row>
    <row r="412" spans="60:64">
      <c r="BH412" t="b">
        <f t="shared" si="142"/>
        <v>0</v>
      </c>
      <c r="BI412" s="3" t="s">
        <v>2161</v>
      </c>
      <c r="BJ412" s="3" t="s">
        <v>5134</v>
      </c>
      <c r="BK412" t="str">
        <f t="shared" si="143"/>
        <v xml:space="preserve">Lorne Robert SCOTT-DEMPSTER (1998– </v>
      </c>
      <c r="BL412" t="str">
        <f t="shared" si="144"/>
        <v>Lorne Robert SCOTT-DEMPSTER (1998– : #36dbaaa)</v>
      </c>
    </row>
    <row r="413" spans="60:64">
      <c r="BH413" t="b">
        <f t="shared" si="142"/>
        <v>0</v>
      </c>
      <c r="BI413" s="3" t="s">
        <v>2172</v>
      </c>
      <c r="BJ413" s="3" t="s">
        <v>5135</v>
      </c>
      <c r="BK413" t="str">
        <f t="shared" si="143"/>
        <v xml:space="preserve">Cosmo Stephen Buckle GRAHAM (1995– </v>
      </c>
      <c r="BL413" t="str">
        <f t="shared" si="144"/>
        <v>Cosmo Stephen Buckle GRAHAM (1995– : #36dbbaa)</v>
      </c>
    </row>
    <row r="414" spans="60:64">
      <c r="BH414" t="b">
        <f t="shared" si="142"/>
        <v>0</v>
      </c>
      <c r="BI414" s="3" t="s">
        <v>2174</v>
      </c>
      <c r="BJ414" s="3" t="s">
        <v>5136</v>
      </c>
      <c r="BK414" t="str">
        <f t="shared" si="143"/>
        <v xml:space="preserve">Ludovic James Buckle GRAHAM (1997– </v>
      </c>
      <c r="BL414" t="str">
        <f t="shared" si="144"/>
        <v>Ludovic James Buckle GRAHAM (1997– : #36dbbab)</v>
      </c>
    </row>
    <row r="415" spans="60:64">
      <c r="BH415" t="b">
        <f t="shared" si="142"/>
        <v>0</v>
      </c>
      <c r="BI415" s="3" t="s">
        <v>2178</v>
      </c>
      <c r="BJ415" s="3" t="s">
        <v>5137</v>
      </c>
      <c r="BK415" t="str">
        <f t="shared" si="143"/>
        <v xml:space="preserve">Oscar James Montague LINDSAY (1998– </v>
      </c>
      <c r="BL415" t="str">
        <f t="shared" si="144"/>
        <v>Oscar James Montague LINDSAY (1998– : #36dbbba)</v>
      </c>
    </row>
    <row r="416" spans="60:64">
      <c r="BH416" t="b">
        <f t="shared" si="142"/>
        <v>0</v>
      </c>
      <c r="BI416" s="3" t="s">
        <v>3602</v>
      </c>
      <c r="BJ416" s="3" t="s">
        <v>5138</v>
      </c>
      <c r="BK416" t="str">
        <f t="shared" si="143"/>
        <v xml:space="preserve">William BERRY (2008– </v>
      </c>
      <c r="BL416" t="str">
        <f t="shared" si="144"/>
        <v>William BERRY (2008– : #18bbabaa)</v>
      </c>
    </row>
    <row r="417" spans="60:64">
      <c r="BH417" t="b">
        <f t="shared" si="142"/>
        <v>0</v>
      </c>
      <c r="BI417" s="3" t="s">
        <v>3604</v>
      </c>
      <c r="BJ417" s="3" t="s">
        <v>5139</v>
      </c>
      <c r="BK417" t="str">
        <f t="shared" si="143"/>
        <v xml:space="preserve">Mungo James BERRY (2010– </v>
      </c>
      <c r="BL417" t="str">
        <f t="shared" si="144"/>
        <v>Mungo James BERRY (2010– : #18bbabab)</v>
      </c>
    </row>
    <row r="418" spans="60:64">
      <c r="BH418" t="b">
        <f t="shared" si="142"/>
        <v>0</v>
      </c>
      <c r="BI418" s="3" t="s">
        <v>3606</v>
      </c>
      <c r="BJ418" s="3" t="s">
        <v>5140</v>
      </c>
      <c r="BK418" t="str">
        <f t="shared" si="143"/>
        <v xml:space="preserve">Ursula Hermione Grace BERRY (2010– </v>
      </c>
      <c r="BL418" t="str">
        <f t="shared" si="144"/>
        <v>Ursula Hermione Grace BERRY (2010– : #18bbabba)</v>
      </c>
    </row>
    <row r="419" spans="60:64">
      <c r="BH419" t="b">
        <f t="shared" si="142"/>
        <v>0</v>
      </c>
      <c r="BI419" s="3" t="s">
        <v>3610</v>
      </c>
      <c r="BJ419" s="3" t="s">
        <v>5141</v>
      </c>
      <c r="BK419" t="str">
        <f t="shared" si="143"/>
        <v xml:space="preserve">Arthur Oran James BERRY (2013– </v>
      </c>
      <c r="BL419" t="str">
        <f t="shared" si="144"/>
        <v>Arthur Oran James BERRY (2013– : #18bbabbb)</v>
      </c>
    </row>
    <row r="420" spans="60:64">
      <c r="BH420" t="b">
        <f t="shared" si="142"/>
        <v>0</v>
      </c>
      <c r="BI420" s="3" t="s">
        <v>3621</v>
      </c>
      <c r="BJ420" s="3" t="s">
        <v>5142</v>
      </c>
      <c r="BK420" t="str">
        <f t="shared" si="143"/>
        <v xml:space="preserve">Camilla Rose Aimee WARNER (2017– </v>
      </c>
      <c r="BL420" t="str">
        <f t="shared" si="144"/>
        <v>Camilla Rose Aimee WARNER (2017– : #18bbadaa)</v>
      </c>
    </row>
    <row r="421" spans="60:64">
      <c r="BH421" t="b">
        <f t="shared" si="142"/>
        <v>0</v>
      </c>
      <c r="BI421" s="3" t="s">
        <v>3623</v>
      </c>
      <c r="BJ421" s="3" t="s">
        <v>5143</v>
      </c>
      <c r="BK421" t="str">
        <f t="shared" si="143"/>
        <v xml:space="preserve">William Peter Redston WARNER (2018– </v>
      </c>
      <c r="BL421" t="str">
        <f t="shared" si="144"/>
        <v>William Peter Redston WARNER (2018– : #18bbadab)</v>
      </c>
    </row>
    <row r="422" spans="60:64">
      <c r="BH422" t="b">
        <f t="shared" si="142"/>
        <v>0</v>
      </c>
      <c r="BI422" s="3" t="s">
        <v>3624</v>
      </c>
      <c r="BJ422" s="3" t="s">
        <v>5144</v>
      </c>
      <c r="BK422" t="str">
        <f t="shared" si="143"/>
        <v xml:space="preserve">Oliver James Robert WARNER (2020– </v>
      </c>
      <c r="BL422" t="str">
        <f t="shared" si="144"/>
        <v>Oliver James Robert WARNER (2020– : #18bbadac)</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FB1D-04B0-8843-992C-D5A92E16BDFF}">
  <dimension ref="A1:IC191"/>
  <sheetViews>
    <sheetView zoomScale="92" zoomScaleNormal="92" workbookViewId="0">
      <pane xSplit="6" ySplit="1" topLeftCell="P59" activePane="bottomRight" state="frozen"/>
      <selection pane="topRight" activeCell="G1" sqref="G1"/>
      <selection pane="bottomLeft" activeCell="A2" sqref="A2"/>
      <selection pane="bottomRight" activeCell="S35" sqref="S35"/>
    </sheetView>
  </sheetViews>
  <sheetFormatPr baseColWidth="10" defaultRowHeight="16"/>
  <cols>
    <col min="2" max="2" width="34.33203125" bestFit="1" customWidth="1"/>
    <col min="4" max="4" width="27.83203125" bestFit="1" customWidth="1"/>
    <col min="6" max="6" width="16.83203125" bestFit="1" customWidth="1"/>
    <col min="7" max="7" width="179.83203125" bestFit="1" customWidth="1"/>
    <col min="8" max="8" width="16.83203125" customWidth="1"/>
    <col min="9" max="9" width="23.6640625" bestFit="1" customWidth="1"/>
    <col min="10" max="10" width="30" bestFit="1" customWidth="1"/>
    <col min="11" max="11" width="22.5" bestFit="1" customWidth="1"/>
    <col min="12" max="12" width="23.83203125" bestFit="1" customWidth="1"/>
    <col min="13" max="13" width="22.5" bestFit="1" customWidth="1"/>
    <col min="14" max="14" width="24.33203125" bestFit="1" customWidth="1"/>
    <col min="15" max="15" width="23.6640625" bestFit="1" customWidth="1"/>
    <col min="16" max="16" width="21.83203125" bestFit="1" customWidth="1"/>
    <col min="19" max="19" width="22.6640625" customWidth="1"/>
    <col min="20" max="20" width="12.1640625" customWidth="1"/>
    <col min="33" max="33" width="31" bestFit="1" customWidth="1"/>
    <col min="34" max="34" width="30" bestFit="1" customWidth="1"/>
    <col min="35" max="35" width="27.5" bestFit="1" customWidth="1"/>
    <col min="37" max="37" width="12.1640625" bestFit="1" customWidth="1"/>
    <col min="38" max="38" width="13.83203125" bestFit="1" customWidth="1"/>
    <col min="39" max="39" width="22.6640625" bestFit="1" customWidth="1"/>
    <col min="41" max="42" width="22.83203125" customWidth="1"/>
    <col min="43" max="43" width="195" bestFit="1" customWidth="1"/>
    <col min="45" max="45" width="15.1640625" bestFit="1" customWidth="1"/>
    <col min="46" max="46" width="18" bestFit="1" customWidth="1"/>
    <col min="47" max="54" width="2.6640625" bestFit="1" customWidth="1"/>
    <col min="55" max="144" width="4" bestFit="1" customWidth="1"/>
    <col min="145" max="235" width="5.1640625" bestFit="1" customWidth="1"/>
    <col min="236" max="236" width="7.6640625" bestFit="1" customWidth="1"/>
    <col min="237" max="237" width="11.6640625" bestFit="1" customWidth="1"/>
    <col min="238" max="238" width="12.83203125" bestFit="1" customWidth="1"/>
    <col min="239" max="239" width="20.1640625" bestFit="1" customWidth="1"/>
    <col min="240" max="240" width="12.83203125" bestFit="1" customWidth="1"/>
    <col min="241" max="241" width="20.1640625" bestFit="1" customWidth="1"/>
    <col min="242" max="242" width="12.83203125" bestFit="1" customWidth="1"/>
    <col min="243" max="243" width="20.1640625" bestFit="1" customWidth="1"/>
    <col min="244" max="244" width="12.83203125" bestFit="1" customWidth="1"/>
    <col min="245" max="245" width="20.1640625" bestFit="1" customWidth="1"/>
    <col min="246" max="246" width="12.83203125" bestFit="1" customWidth="1"/>
    <col min="247" max="247" width="20.1640625" bestFit="1" customWidth="1"/>
    <col min="248" max="248" width="12.83203125" bestFit="1" customWidth="1"/>
    <col min="249" max="249" width="20.1640625" bestFit="1" customWidth="1"/>
    <col min="250" max="250" width="12.83203125" bestFit="1" customWidth="1"/>
    <col min="251" max="251" width="20.1640625" bestFit="1" customWidth="1"/>
    <col min="252" max="252" width="12.83203125" bestFit="1" customWidth="1"/>
    <col min="253" max="253" width="20.1640625" bestFit="1" customWidth="1"/>
    <col min="254" max="254" width="12.83203125" bestFit="1" customWidth="1"/>
    <col min="255" max="255" width="20.1640625" bestFit="1" customWidth="1"/>
    <col min="256" max="256" width="12.83203125" bestFit="1" customWidth="1"/>
    <col min="257" max="257" width="20.1640625" bestFit="1" customWidth="1"/>
    <col min="258" max="258" width="12.83203125" bestFit="1" customWidth="1"/>
    <col min="259" max="259" width="20.1640625" bestFit="1" customWidth="1"/>
    <col min="260" max="260" width="12.83203125" bestFit="1" customWidth="1"/>
    <col min="261" max="261" width="20.1640625" bestFit="1" customWidth="1"/>
    <col min="262" max="262" width="12.83203125" bestFit="1" customWidth="1"/>
    <col min="263" max="263" width="20.1640625" bestFit="1" customWidth="1"/>
    <col min="264" max="264" width="12.83203125" bestFit="1" customWidth="1"/>
    <col min="265" max="265" width="20.1640625" bestFit="1" customWidth="1"/>
    <col min="266" max="266" width="12.83203125" bestFit="1" customWidth="1"/>
    <col min="267" max="267" width="20.1640625" bestFit="1" customWidth="1"/>
    <col min="268" max="268" width="12.83203125" bestFit="1" customWidth="1"/>
    <col min="269" max="269" width="20.1640625" bestFit="1" customWidth="1"/>
    <col min="270" max="270" width="12.83203125" bestFit="1" customWidth="1"/>
    <col min="271" max="271" width="20.1640625" bestFit="1" customWidth="1"/>
    <col min="272" max="272" width="12.83203125" bestFit="1" customWidth="1"/>
    <col min="273" max="273" width="20.1640625" bestFit="1" customWidth="1"/>
    <col min="274" max="274" width="12.83203125" bestFit="1" customWidth="1"/>
    <col min="275" max="275" width="20.1640625" bestFit="1" customWidth="1"/>
    <col min="276" max="276" width="12.83203125" bestFit="1" customWidth="1"/>
    <col min="277" max="277" width="20.1640625" bestFit="1" customWidth="1"/>
    <col min="278" max="278" width="12.83203125" bestFit="1" customWidth="1"/>
    <col min="279" max="279" width="20.1640625" bestFit="1" customWidth="1"/>
    <col min="280" max="280" width="12.83203125" bestFit="1" customWidth="1"/>
    <col min="281" max="281" width="20.1640625" bestFit="1" customWidth="1"/>
    <col min="282" max="282" width="12.83203125" bestFit="1" customWidth="1"/>
    <col min="283" max="283" width="20.1640625" bestFit="1" customWidth="1"/>
    <col min="284" max="284" width="12.83203125" bestFit="1" customWidth="1"/>
    <col min="285" max="285" width="20.1640625" bestFit="1" customWidth="1"/>
    <col min="286" max="286" width="12.83203125" bestFit="1" customWidth="1"/>
    <col min="287" max="287" width="20.1640625" bestFit="1" customWidth="1"/>
    <col min="288" max="288" width="12.83203125" bestFit="1" customWidth="1"/>
    <col min="289" max="289" width="25" bestFit="1" customWidth="1"/>
    <col min="290" max="290" width="17.6640625" bestFit="1" customWidth="1"/>
    <col min="291" max="350" width="4.1640625" bestFit="1" customWidth="1"/>
    <col min="351" max="351" width="10.83203125" bestFit="1" customWidth="1"/>
    <col min="352" max="352" width="15.6640625" bestFit="1" customWidth="1"/>
    <col min="353" max="353" width="12.83203125" bestFit="1" customWidth="1"/>
    <col min="354" max="354" width="15.6640625" bestFit="1" customWidth="1"/>
    <col min="355" max="355" width="12.83203125" bestFit="1" customWidth="1"/>
    <col min="356" max="356" width="15.6640625" bestFit="1" customWidth="1"/>
    <col min="357" max="357" width="12.83203125" bestFit="1" customWidth="1"/>
    <col min="358" max="358" width="15.6640625" bestFit="1" customWidth="1"/>
    <col min="359" max="359" width="12.83203125" bestFit="1" customWidth="1"/>
    <col min="360" max="360" width="15.6640625" bestFit="1" customWidth="1"/>
    <col min="361" max="361" width="12.83203125" bestFit="1" customWidth="1"/>
    <col min="362" max="362" width="15.6640625" bestFit="1" customWidth="1"/>
    <col min="363" max="363" width="12.83203125" bestFit="1" customWidth="1"/>
    <col min="364" max="364" width="15.6640625" bestFit="1" customWidth="1"/>
    <col min="365" max="365" width="12.83203125" bestFit="1" customWidth="1"/>
    <col min="366" max="366" width="15.6640625" bestFit="1" customWidth="1"/>
    <col min="367" max="367" width="12.83203125" bestFit="1" customWidth="1"/>
    <col min="368" max="368" width="15.6640625" bestFit="1" customWidth="1"/>
    <col min="369" max="369" width="12.83203125" bestFit="1" customWidth="1"/>
    <col min="370" max="370" width="15.6640625" bestFit="1" customWidth="1"/>
    <col min="371" max="371" width="12.83203125" bestFit="1" customWidth="1"/>
    <col min="372" max="372" width="15.6640625" bestFit="1" customWidth="1"/>
    <col min="373" max="373" width="12.83203125" bestFit="1" customWidth="1"/>
    <col min="374" max="374" width="15.6640625" bestFit="1" customWidth="1"/>
    <col min="375" max="375" width="12.83203125" bestFit="1" customWidth="1"/>
    <col min="376" max="376" width="15.6640625" bestFit="1" customWidth="1"/>
    <col min="377" max="377" width="12.83203125" bestFit="1" customWidth="1"/>
    <col min="378" max="378" width="15.6640625" bestFit="1" customWidth="1"/>
    <col min="379" max="379" width="12.83203125" bestFit="1" customWidth="1"/>
    <col min="380" max="380" width="15.6640625" bestFit="1" customWidth="1"/>
    <col min="381" max="381" width="12.83203125" bestFit="1" customWidth="1"/>
    <col min="382" max="382" width="15.6640625" bestFit="1" customWidth="1"/>
    <col min="383" max="383" width="12.83203125" bestFit="1" customWidth="1"/>
    <col min="384" max="384" width="15.6640625" bestFit="1" customWidth="1"/>
    <col min="385" max="385" width="12.83203125" bestFit="1" customWidth="1"/>
    <col min="386" max="386" width="15.6640625" bestFit="1" customWidth="1"/>
    <col min="387" max="387" width="12.83203125" bestFit="1" customWidth="1"/>
    <col min="388" max="388" width="15.6640625" bestFit="1" customWidth="1"/>
    <col min="389" max="389" width="12.83203125" bestFit="1" customWidth="1"/>
    <col min="390" max="390" width="15.6640625" bestFit="1" customWidth="1"/>
    <col min="391" max="391" width="12.83203125" bestFit="1" customWidth="1"/>
    <col min="392" max="392" width="15.6640625" bestFit="1" customWidth="1"/>
    <col min="393" max="393" width="12.83203125" bestFit="1" customWidth="1"/>
    <col min="394" max="394" width="15.6640625" bestFit="1" customWidth="1"/>
    <col min="395" max="395" width="12.83203125" bestFit="1" customWidth="1"/>
    <col min="396" max="396" width="15.6640625" bestFit="1" customWidth="1"/>
    <col min="397" max="397" width="12.83203125" bestFit="1" customWidth="1"/>
    <col min="398" max="398" width="15.6640625" bestFit="1" customWidth="1"/>
    <col min="399" max="399" width="12.83203125" bestFit="1" customWidth="1"/>
    <col min="400" max="400" width="15.6640625" bestFit="1" customWidth="1"/>
    <col min="401" max="401" width="12.83203125" bestFit="1" customWidth="1"/>
    <col min="402" max="402" width="15.6640625" bestFit="1" customWidth="1"/>
    <col min="403" max="403" width="12.83203125" bestFit="1" customWidth="1"/>
    <col min="404" max="404" width="15.6640625" bestFit="1" customWidth="1"/>
    <col min="405" max="405" width="12.83203125" bestFit="1" customWidth="1"/>
    <col min="406" max="406" width="15.6640625" bestFit="1" customWidth="1"/>
    <col min="407" max="407" width="12.83203125" bestFit="1" customWidth="1"/>
    <col min="408" max="408" width="15.6640625" bestFit="1" customWidth="1"/>
    <col min="409" max="409" width="12.83203125" bestFit="1" customWidth="1"/>
    <col min="410" max="410" width="15.6640625" bestFit="1" customWidth="1"/>
    <col min="411" max="411" width="12.83203125" bestFit="1" customWidth="1"/>
    <col min="412" max="412" width="15.6640625" bestFit="1" customWidth="1"/>
    <col min="413" max="413" width="12.83203125" bestFit="1" customWidth="1"/>
    <col min="414" max="414" width="15.6640625" bestFit="1" customWidth="1"/>
    <col min="415" max="415" width="12.83203125" bestFit="1" customWidth="1"/>
    <col min="416" max="416" width="15.6640625" bestFit="1" customWidth="1"/>
    <col min="417" max="417" width="12.83203125" bestFit="1" customWidth="1"/>
    <col min="418" max="418" width="15.6640625" bestFit="1" customWidth="1"/>
    <col min="419" max="419" width="12.83203125" bestFit="1" customWidth="1"/>
    <col min="420" max="420" width="15.6640625" bestFit="1" customWidth="1"/>
    <col min="421" max="421" width="12.83203125" bestFit="1" customWidth="1"/>
    <col min="422" max="422" width="15.6640625" bestFit="1" customWidth="1"/>
    <col min="423" max="423" width="12.83203125" bestFit="1" customWidth="1"/>
    <col min="424" max="424" width="15.6640625" bestFit="1" customWidth="1"/>
    <col min="425" max="425" width="12.83203125" bestFit="1" customWidth="1"/>
    <col min="426" max="426" width="15.6640625" bestFit="1" customWidth="1"/>
    <col min="427" max="427" width="12.83203125" bestFit="1" customWidth="1"/>
    <col min="428" max="428" width="15.6640625" bestFit="1" customWidth="1"/>
    <col min="429" max="429" width="12.83203125" bestFit="1" customWidth="1"/>
    <col min="430" max="430" width="15.6640625" bestFit="1" customWidth="1"/>
    <col min="431" max="431" width="12.83203125" bestFit="1" customWidth="1"/>
    <col min="432" max="432" width="15.6640625" bestFit="1" customWidth="1"/>
    <col min="433" max="433" width="12.83203125" bestFit="1" customWidth="1"/>
    <col min="434" max="434" width="15.6640625" bestFit="1" customWidth="1"/>
    <col min="435" max="435" width="12.83203125" bestFit="1" customWidth="1"/>
    <col min="436" max="436" width="15.6640625" bestFit="1" customWidth="1"/>
    <col min="437" max="437" width="12.83203125" bestFit="1" customWidth="1"/>
    <col min="438" max="438" width="15.6640625" bestFit="1" customWidth="1"/>
    <col min="439" max="439" width="12.83203125" bestFit="1" customWidth="1"/>
    <col min="440" max="440" width="15.6640625" bestFit="1" customWidth="1"/>
    <col min="441" max="441" width="12.83203125" bestFit="1" customWidth="1"/>
    <col min="442" max="442" width="15.6640625" bestFit="1" customWidth="1"/>
    <col min="443" max="443" width="12.83203125" bestFit="1" customWidth="1"/>
    <col min="444" max="444" width="15.6640625" bestFit="1" customWidth="1"/>
    <col min="445" max="445" width="12.83203125" bestFit="1" customWidth="1"/>
    <col min="446" max="446" width="15.6640625" bestFit="1" customWidth="1"/>
    <col min="447" max="447" width="12.83203125" bestFit="1" customWidth="1"/>
    <col min="448" max="448" width="15.6640625" bestFit="1" customWidth="1"/>
    <col min="449" max="449" width="12.83203125" bestFit="1" customWidth="1"/>
    <col min="450" max="450" width="15.6640625" bestFit="1" customWidth="1"/>
    <col min="451" max="451" width="12.83203125" bestFit="1" customWidth="1"/>
    <col min="452" max="452" width="15.6640625" bestFit="1" customWidth="1"/>
    <col min="453" max="453" width="12.83203125" bestFit="1" customWidth="1"/>
    <col min="454" max="454" width="15.6640625" bestFit="1" customWidth="1"/>
    <col min="455" max="455" width="12.83203125" bestFit="1" customWidth="1"/>
    <col min="456" max="456" width="15.6640625" bestFit="1" customWidth="1"/>
    <col min="457" max="457" width="12.83203125" bestFit="1" customWidth="1"/>
    <col min="458" max="458" width="15.6640625" bestFit="1" customWidth="1"/>
    <col min="459" max="459" width="12.83203125" bestFit="1" customWidth="1"/>
    <col min="460" max="460" width="15.6640625" bestFit="1" customWidth="1"/>
    <col min="461" max="461" width="12.83203125" bestFit="1" customWidth="1"/>
    <col min="462" max="462" width="15.6640625" bestFit="1" customWidth="1"/>
    <col min="463" max="463" width="12.83203125" bestFit="1" customWidth="1"/>
    <col min="464" max="464" width="15.6640625" bestFit="1" customWidth="1"/>
    <col min="465" max="465" width="12.83203125" bestFit="1" customWidth="1"/>
    <col min="466" max="466" width="15.6640625" bestFit="1" customWidth="1"/>
    <col min="467" max="467" width="12.83203125" bestFit="1" customWidth="1"/>
    <col min="468" max="468" width="15.6640625" bestFit="1" customWidth="1"/>
    <col min="469" max="469" width="12.83203125" bestFit="1" customWidth="1"/>
    <col min="470" max="470" width="15.6640625" bestFit="1" customWidth="1"/>
    <col min="471" max="471" width="12.83203125" bestFit="1" customWidth="1"/>
    <col min="472" max="472" width="15.6640625" bestFit="1" customWidth="1"/>
    <col min="473" max="473" width="12.83203125" bestFit="1" customWidth="1"/>
    <col min="474" max="474" width="15.6640625" bestFit="1" customWidth="1"/>
    <col min="475" max="475" width="12.83203125" bestFit="1" customWidth="1"/>
    <col min="476" max="476" width="15.6640625" bestFit="1" customWidth="1"/>
    <col min="477" max="477" width="12.83203125" bestFit="1" customWidth="1"/>
    <col min="478" max="478" width="15.6640625" bestFit="1" customWidth="1"/>
    <col min="479" max="479" width="12.83203125" bestFit="1" customWidth="1"/>
    <col min="480" max="480" width="15.6640625" bestFit="1" customWidth="1"/>
    <col min="481" max="481" width="12.83203125" bestFit="1" customWidth="1"/>
    <col min="482" max="482" width="15.6640625" bestFit="1" customWidth="1"/>
    <col min="483" max="483" width="12.83203125" bestFit="1" customWidth="1"/>
    <col min="484" max="484" width="15.6640625" bestFit="1" customWidth="1"/>
    <col min="485" max="485" width="12.83203125" bestFit="1" customWidth="1"/>
    <col min="486" max="486" width="15.6640625" bestFit="1" customWidth="1"/>
    <col min="487" max="487" width="12.83203125" bestFit="1" customWidth="1"/>
    <col min="488" max="488" width="15.6640625" bestFit="1" customWidth="1"/>
    <col min="489" max="489" width="12.83203125" bestFit="1" customWidth="1"/>
    <col min="490" max="490" width="15.6640625" bestFit="1" customWidth="1"/>
    <col min="491" max="491" width="12.83203125" bestFit="1" customWidth="1"/>
    <col min="492" max="492" width="15.6640625" bestFit="1" customWidth="1"/>
    <col min="493" max="493" width="12.83203125" bestFit="1" customWidth="1"/>
    <col min="494" max="494" width="15.6640625" bestFit="1" customWidth="1"/>
    <col min="495" max="495" width="12.83203125" bestFit="1" customWidth="1"/>
    <col min="496" max="496" width="15.6640625" bestFit="1" customWidth="1"/>
    <col min="497" max="497" width="12.83203125" bestFit="1" customWidth="1"/>
    <col min="498" max="498" width="15.6640625" bestFit="1" customWidth="1"/>
    <col min="499" max="499" width="12.83203125" bestFit="1" customWidth="1"/>
    <col min="500" max="500" width="15.6640625" bestFit="1" customWidth="1"/>
    <col min="501" max="501" width="12.83203125" bestFit="1" customWidth="1"/>
    <col min="502" max="502" width="15.6640625" bestFit="1" customWidth="1"/>
    <col min="503" max="503" width="12.83203125" bestFit="1" customWidth="1"/>
    <col min="504" max="504" width="15.6640625" bestFit="1" customWidth="1"/>
    <col min="505" max="505" width="12.83203125" bestFit="1" customWidth="1"/>
    <col min="506" max="506" width="15.6640625" bestFit="1" customWidth="1"/>
    <col min="507" max="507" width="12.83203125" bestFit="1" customWidth="1"/>
    <col min="508" max="508" width="15.6640625" bestFit="1" customWidth="1"/>
    <col min="509" max="509" width="12.83203125" bestFit="1" customWidth="1"/>
    <col min="510" max="510" width="15.6640625" bestFit="1" customWidth="1"/>
    <col min="511" max="511" width="12.83203125" bestFit="1" customWidth="1"/>
    <col min="512" max="512" width="15.6640625" bestFit="1" customWidth="1"/>
    <col min="513" max="513" width="12.83203125" bestFit="1" customWidth="1"/>
    <col min="514" max="514" width="15.6640625" bestFit="1" customWidth="1"/>
    <col min="515" max="515" width="12.83203125" bestFit="1" customWidth="1"/>
    <col min="516" max="516" width="15.6640625" bestFit="1" customWidth="1"/>
    <col min="517" max="517" width="12.83203125" bestFit="1" customWidth="1"/>
    <col min="518" max="518" width="15.6640625" bestFit="1" customWidth="1"/>
    <col min="519" max="519" width="12.83203125" bestFit="1" customWidth="1"/>
    <col min="520" max="520" width="15.6640625" bestFit="1" customWidth="1"/>
    <col min="521" max="521" width="12.83203125" bestFit="1" customWidth="1"/>
    <col min="522" max="522" width="15.6640625" bestFit="1" customWidth="1"/>
    <col min="523" max="523" width="12.83203125" bestFit="1" customWidth="1"/>
    <col min="524" max="524" width="15.6640625" bestFit="1" customWidth="1"/>
    <col min="525" max="525" width="12.83203125" bestFit="1" customWidth="1"/>
    <col min="526" max="526" width="15.6640625" bestFit="1" customWidth="1"/>
    <col min="527" max="527" width="12.83203125" bestFit="1" customWidth="1"/>
    <col min="528" max="528" width="15.6640625" bestFit="1" customWidth="1"/>
    <col min="529" max="529" width="12.83203125" bestFit="1" customWidth="1"/>
    <col min="530" max="530" width="15.6640625" bestFit="1" customWidth="1"/>
    <col min="531" max="531" width="12.83203125" bestFit="1" customWidth="1"/>
    <col min="532" max="532" width="15.6640625" bestFit="1" customWidth="1"/>
    <col min="533" max="533" width="17.6640625" bestFit="1" customWidth="1"/>
    <col min="534" max="534" width="20.5" bestFit="1" customWidth="1"/>
  </cols>
  <sheetData>
    <row r="1" spans="1:237" ht="40" customHeight="1" thickBot="1">
      <c r="A1" s="12" t="str">
        <f>'Book Details - NO EDIT'!A2</f>
        <v>Loyd #</v>
      </c>
      <c r="B1" s="45" t="str">
        <f>'Loyd List 1-190 - Edit'!Q1</f>
        <v>Name</v>
      </c>
      <c r="C1" s="44" t="str">
        <f>'Loyd List 1-190 - Edit'!R1</f>
        <v>Father's Loyd #</v>
      </c>
      <c r="D1" s="44" t="str">
        <f>'Loyd List 1-190 - Edit'!T1</f>
        <v>GParent #</v>
      </c>
      <c r="F1" s="60" t="s">
        <v>2996</v>
      </c>
      <c r="G1" s="60" t="s">
        <v>2997</v>
      </c>
      <c r="I1">
        <v>1</v>
      </c>
      <c r="J1">
        <v>2</v>
      </c>
      <c r="K1">
        <v>3</v>
      </c>
      <c r="L1">
        <v>4</v>
      </c>
      <c r="M1">
        <v>5</v>
      </c>
      <c r="N1">
        <v>6</v>
      </c>
      <c r="O1">
        <v>7</v>
      </c>
      <c r="P1">
        <v>8</v>
      </c>
      <c r="Q1">
        <v>9</v>
      </c>
      <c r="T1" t="s">
        <v>2819</v>
      </c>
      <c r="U1">
        <v>1</v>
      </c>
      <c r="V1">
        <f>U1+1</f>
        <v>2</v>
      </c>
      <c r="W1">
        <f t="shared" ref="W1:AB1" si="0">V1+1</f>
        <v>3</v>
      </c>
      <c r="X1">
        <f t="shared" si="0"/>
        <v>4</v>
      </c>
      <c r="Y1">
        <f t="shared" si="0"/>
        <v>5</v>
      </c>
      <c r="Z1">
        <f>Y1+1</f>
        <v>6</v>
      </c>
      <c r="AA1">
        <f t="shared" si="0"/>
        <v>7</v>
      </c>
      <c r="AB1">
        <f t="shared" si="0"/>
        <v>8</v>
      </c>
      <c r="AC1">
        <f>AB1+1</f>
        <v>9</v>
      </c>
      <c r="AS1" s="111" t="s">
        <v>2968</v>
      </c>
      <c r="AT1" s="111" t="s">
        <v>2813</v>
      </c>
    </row>
    <row r="2" spans="1:237" ht="17" thickBot="1">
      <c r="A2" s="12">
        <f>'Book Details - NO EDIT'!A3</f>
        <v>1</v>
      </c>
      <c r="B2" s="112" t="str">
        <f>'Book Details - NO EDIT'!X3</f>
        <v>William (1729–1800: #1)</v>
      </c>
      <c r="C2" s="113">
        <f>'Book Details - NO EDIT'!L3</f>
        <v>0</v>
      </c>
      <c r="D2" s="44">
        <f>'Loyd List 1-190 - Edit'!T3</f>
        <v>-1</v>
      </c>
      <c r="F2" s="124">
        <v>5</v>
      </c>
      <c r="G2" s="103" t="s">
        <v>4433</v>
      </c>
      <c r="S2" t="s">
        <v>2818</v>
      </c>
      <c r="T2" t="s">
        <v>2817</v>
      </c>
      <c r="U2" t="s">
        <v>2816</v>
      </c>
      <c r="V2" t="s">
        <v>2816</v>
      </c>
      <c r="W2" t="s">
        <v>2816</v>
      </c>
      <c r="X2" t="s">
        <v>2816</v>
      </c>
      <c r="Y2" t="s">
        <v>2816</v>
      </c>
      <c r="Z2" t="s">
        <v>2816</v>
      </c>
      <c r="AA2" t="s">
        <v>2816</v>
      </c>
      <c r="AB2" t="s">
        <v>2816</v>
      </c>
      <c r="AC2" t="s">
        <v>2816</v>
      </c>
      <c r="AP2" s="60" t="str">
        <f>S2</f>
        <v>Father Loyd #</v>
      </c>
      <c r="AQ2" s="126" t="s">
        <v>3016</v>
      </c>
      <c r="AS2" s="111" t="s">
        <v>2811</v>
      </c>
      <c r="AT2">
        <v>1</v>
      </c>
      <c r="AU2">
        <v>2</v>
      </c>
      <c r="AV2">
        <v>3</v>
      </c>
      <c r="AW2">
        <v>4</v>
      </c>
      <c r="AX2">
        <v>5</v>
      </c>
      <c r="AY2">
        <v>6</v>
      </c>
      <c r="AZ2">
        <v>7</v>
      </c>
      <c r="BA2">
        <v>8</v>
      </c>
      <c r="BB2">
        <v>9</v>
      </c>
      <c r="BC2">
        <v>10</v>
      </c>
      <c r="BD2">
        <v>11</v>
      </c>
      <c r="BE2">
        <v>12</v>
      </c>
      <c r="BF2">
        <v>13</v>
      </c>
      <c r="BG2">
        <v>14</v>
      </c>
      <c r="BH2">
        <v>15</v>
      </c>
      <c r="BI2">
        <v>16</v>
      </c>
      <c r="BJ2">
        <v>17</v>
      </c>
      <c r="BK2">
        <v>18</v>
      </c>
      <c r="BL2">
        <v>19</v>
      </c>
      <c r="BM2">
        <v>20</v>
      </c>
      <c r="BN2">
        <v>21</v>
      </c>
      <c r="BO2">
        <v>22</v>
      </c>
      <c r="BP2">
        <v>23</v>
      </c>
      <c r="BQ2">
        <v>24</v>
      </c>
      <c r="BR2">
        <v>25</v>
      </c>
      <c r="BS2">
        <v>26</v>
      </c>
      <c r="BT2">
        <v>27</v>
      </c>
      <c r="BU2">
        <v>28</v>
      </c>
      <c r="BV2">
        <v>29</v>
      </c>
      <c r="BW2">
        <v>30</v>
      </c>
      <c r="BX2">
        <v>31</v>
      </c>
      <c r="BY2">
        <v>32</v>
      </c>
      <c r="BZ2">
        <v>33</v>
      </c>
      <c r="CA2">
        <v>34</v>
      </c>
      <c r="CB2">
        <v>35</v>
      </c>
      <c r="CC2">
        <v>36</v>
      </c>
      <c r="CD2">
        <v>37</v>
      </c>
      <c r="CE2">
        <v>38</v>
      </c>
      <c r="CF2">
        <v>39</v>
      </c>
      <c r="CG2">
        <v>40</v>
      </c>
      <c r="CH2">
        <v>41</v>
      </c>
      <c r="CI2">
        <v>42</v>
      </c>
      <c r="CJ2">
        <v>43</v>
      </c>
      <c r="CK2">
        <v>44</v>
      </c>
      <c r="CL2">
        <v>45</v>
      </c>
      <c r="CM2">
        <v>46</v>
      </c>
      <c r="CN2">
        <v>47</v>
      </c>
      <c r="CO2">
        <v>48</v>
      </c>
      <c r="CP2">
        <v>49</v>
      </c>
      <c r="CQ2">
        <v>50</v>
      </c>
      <c r="CR2">
        <v>51</v>
      </c>
      <c r="CS2">
        <v>52</v>
      </c>
      <c r="CT2">
        <v>53</v>
      </c>
      <c r="CU2">
        <v>54</v>
      </c>
      <c r="CV2">
        <v>55</v>
      </c>
      <c r="CW2">
        <v>56</v>
      </c>
      <c r="CX2">
        <v>57</v>
      </c>
      <c r="CY2">
        <v>58</v>
      </c>
      <c r="CZ2">
        <v>59</v>
      </c>
      <c r="DA2">
        <v>60</v>
      </c>
      <c r="DB2">
        <v>61</v>
      </c>
      <c r="DC2">
        <v>62</v>
      </c>
      <c r="DD2">
        <v>63</v>
      </c>
      <c r="DE2">
        <v>64</v>
      </c>
      <c r="DF2">
        <v>65</v>
      </c>
      <c r="DG2">
        <v>66</v>
      </c>
      <c r="DH2">
        <v>67</v>
      </c>
      <c r="DI2">
        <v>68</v>
      </c>
      <c r="DJ2">
        <v>69</v>
      </c>
      <c r="DK2">
        <v>70</v>
      </c>
      <c r="DL2">
        <v>71</v>
      </c>
      <c r="DM2">
        <v>72</v>
      </c>
      <c r="DN2">
        <v>73</v>
      </c>
      <c r="DO2">
        <v>74</v>
      </c>
      <c r="DP2">
        <v>75</v>
      </c>
      <c r="DQ2">
        <v>76</v>
      </c>
      <c r="DR2">
        <v>77</v>
      </c>
      <c r="DS2">
        <v>78</v>
      </c>
      <c r="DT2">
        <v>79</v>
      </c>
      <c r="DU2">
        <v>80</v>
      </c>
      <c r="DV2">
        <v>81</v>
      </c>
      <c r="DW2">
        <v>82</v>
      </c>
      <c r="DX2">
        <v>83</v>
      </c>
      <c r="DY2">
        <v>84</v>
      </c>
      <c r="DZ2">
        <v>85</v>
      </c>
      <c r="EA2">
        <v>86</v>
      </c>
      <c r="EB2">
        <v>87</v>
      </c>
      <c r="EC2">
        <v>88</v>
      </c>
      <c r="ED2">
        <v>89</v>
      </c>
      <c r="EE2">
        <v>90</v>
      </c>
      <c r="EF2">
        <v>91</v>
      </c>
      <c r="EG2">
        <v>92</v>
      </c>
      <c r="EH2">
        <v>93</v>
      </c>
      <c r="EI2">
        <v>94</v>
      </c>
      <c r="EJ2">
        <v>95</v>
      </c>
      <c r="EK2">
        <v>96</v>
      </c>
      <c r="EL2">
        <v>97</v>
      </c>
      <c r="EM2">
        <v>98</v>
      </c>
      <c r="EN2">
        <v>99</v>
      </c>
      <c r="EO2">
        <v>100</v>
      </c>
      <c r="EP2">
        <v>101</v>
      </c>
      <c r="EQ2">
        <v>102</v>
      </c>
      <c r="ER2">
        <v>103</v>
      </c>
      <c r="ES2">
        <v>104</v>
      </c>
      <c r="ET2">
        <v>105</v>
      </c>
      <c r="EU2">
        <v>106</v>
      </c>
      <c r="EV2">
        <v>107</v>
      </c>
      <c r="EW2">
        <v>108</v>
      </c>
      <c r="EX2">
        <v>109</v>
      </c>
      <c r="EY2">
        <v>110</v>
      </c>
      <c r="EZ2">
        <v>111</v>
      </c>
      <c r="FA2">
        <v>112</v>
      </c>
      <c r="FB2">
        <v>113</v>
      </c>
      <c r="FC2">
        <v>114</v>
      </c>
      <c r="FD2">
        <v>115</v>
      </c>
      <c r="FE2">
        <v>116</v>
      </c>
      <c r="FF2">
        <v>117</v>
      </c>
      <c r="FG2">
        <v>118</v>
      </c>
      <c r="FH2">
        <v>119</v>
      </c>
      <c r="FI2">
        <v>120</v>
      </c>
      <c r="FJ2">
        <v>121</v>
      </c>
      <c r="FK2">
        <v>122</v>
      </c>
      <c r="FL2">
        <v>123</v>
      </c>
      <c r="FM2">
        <v>124</v>
      </c>
      <c r="FN2">
        <v>125</v>
      </c>
      <c r="FO2">
        <v>126</v>
      </c>
      <c r="FP2">
        <v>127</v>
      </c>
      <c r="FQ2">
        <v>128</v>
      </c>
      <c r="FR2">
        <v>129</v>
      </c>
      <c r="FS2">
        <v>130</v>
      </c>
      <c r="FT2">
        <v>131</v>
      </c>
      <c r="FU2">
        <v>132</v>
      </c>
      <c r="FV2">
        <v>133</v>
      </c>
      <c r="FW2">
        <v>134</v>
      </c>
      <c r="FX2">
        <v>135</v>
      </c>
      <c r="FY2">
        <v>136</v>
      </c>
      <c r="FZ2">
        <v>137</v>
      </c>
      <c r="GA2">
        <v>138</v>
      </c>
      <c r="GB2">
        <v>139</v>
      </c>
      <c r="GC2">
        <v>140</v>
      </c>
      <c r="GD2">
        <v>141</v>
      </c>
      <c r="GE2">
        <v>142</v>
      </c>
      <c r="GF2">
        <v>143</v>
      </c>
      <c r="GG2">
        <v>144</v>
      </c>
      <c r="GH2">
        <v>145</v>
      </c>
      <c r="GI2">
        <v>146</v>
      </c>
      <c r="GJ2">
        <v>147</v>
      </c>
      <c r="GK2">
        <v>148</v>
      </c>
      <c r="GL2">
        <v>149</v>
      </c>
      <c r="GM2">
        <v>150</v>
      </c>
      <c r="GN2">
        <v>151</v>
      </c>
      <c r="GO2">
        <v>152</v>
      </c>
      <c r="GP2">
        <v>153</v>
      </c>
      <c r="GQ2">
        <v>154</v>
      </c>
      <c r="GR2">
        <v>155</v>
      </c>
      <c r="GS2">
        <v>156</v>
      </c>
      <c r="GT2">
        <v>157</v>
      </c>
      <c r="GU2">
        <v>158</v>
      </c>
      <c r="GV2">
        <v>159</v>
      </c>
      <c r="GW2">
        <v>160</v>
      </c>
      <c r="GX2">
        <v>161</v>
      </c>
      <c r="GY2">
        <v>162</v>
      </c>
      <c r="GZ2">
        <v>163</v>
      </c>
      <c r="HA2">
        <v>164</v>
      </c>
      <c r="HB2">
        <v>165</v>
      </c>
      <c r="HC2">
        <v>166</v>
      </c>
      <c r="HD2">
        <v>167</v>
      </c>
      <c r="HE2">
        <v>168</v>
      </c>
      <c r="HF2">
        <v>169</v>
      </c>
      <c r="HG2">
        <v>170</v>
      </c>
      <c r="HH2">
        <v>171</v>
      </c>
      <c r="HI2">
        <v>172</v>
      </c>
      <c r="HJ2">
        <v>173</v>
      </c>
      <c r="HK2">
        <v>174</v>
      </c>
      <c r="HL2">
        <v>175</v>
      </c>
      <c r="HM2">
        <v>176</v>
      </c>
      <c r="HN2">
        <v>177</v>
      </c>
      <c r="HO2">
        <v>178</v>
      </c>
      <c r="HP2">
        <v>179</v>
      </c>
      <c r="HQ2">
        <v>180</v>
      </c>
      <c r="HR2">
        <v>181</v>
      </c>
      <c r="HS2">
        <v>182</v>
      </c>
      <c r="HT2">
        <v>183</v>
      </c>
      <c r="HU2">
        <v>184</v>
      </c>
      <c r="HV2">
        <v>185</v>
      </c>
      <c r="HW2">
        <v>186</v>
      </c>
      <c r="HX2">
        <v>187</v>
      </c>
      <c r="HY2">
        <v>188</v>
      </c>
      <c r="HZ2">
        <v>189</v>
      </c>
      <c r="IA2">
        <v>190</v>
      </c>
      <c r="IB2" t="s">
        <v>3138</v>
      </c>
      <c r="IC2" t="s">
        <v>2812</v>
      </c>
    </row>
    <row r="3" spans="1:237" ht="17" thickBot="1">
      <c r="A3" s="12">
        <f>'Book Details - NO EDIT'!A4</f>
        <v>2</v>
      </c>
      <c r="B3" s="112" t="str">
        <f>'Book Details - NO EDIT'!X4</f>
        <v>Jane (1765–1832: #2)</v>
      </c>
      <c r="C3" s="113">
        <f>'Book Details - NO EDIT'!L4</f>
        <v>1</v>
      </c>
      <c r="D3" s="44">
        <f>'Loyd List 1-190 - Edit'!T4</f>
        <v>0</v>
      </c>
      <c r="F3" s="124">
        <f>VLOOKUP($C3,$S$3:$AC$80,U$1+1,FALSE)-1</f>
        <v>6</v>
      </c>
      <c r="G3" s="125" t="str">
        <f>_xlfn.CONCAT(F3," – ",IF(F3=0,"Only chlid",IF(I3="",_xlfn.CONCAT(J3," ",K3," ",L3," ",M3," ",N3," ",O3," ",P3," ",Q3),_xlfn.CONCAT(I3," ",J3," ",K3," ",L3," ",M3," ",N3," ",O3," ",P3," ",Q3))))</f>
        <v xml:space="preserve">6 – Lewis LOYD (1768–1858: #3) William (1770–1828: #4) Catherine (1772–1798: #5) Thomas (1775–1853: #6) Gwenllian (1777–1779: #7) Edward (1780–1863: #8)  </v>
      </c>
      <c r="H3" s="124"/>
      <c r="I3" s="124" t="str">
        <f>IF(VLOOKUP($C3,$S$3:$AC$80,U$1+2,FALSE)=$A3,"",VLOOKUP(VLOOKUP($C3,$S$3:$AC$80,U$1+2,FALSE),$A$2:$B$230,2,FALSE))</f>
        <v/>
      </c>
      <c r="J3" s="124" t="str">
        <f t="shared" ref="J3:O3" si="1">IF(VLOOKUP($C3,$S$3:$AC$80,V$1+2,FALSE)=$A3,"",VLOOKUP(VLOOKUP($C3,$S$3:$AC$80,V$1+2,FALSE),$A$2:$B$230,2,FALSE))</f>
        <v>Lewis LOYD (1768–1858: #3)</v>
      </c>
      <c r="K3" s="124" t="str">
        <f t="shared" si="1"/>
        <v>William (1770–1828: #4)</v>
      </c>
      <c r="L3" s="124" t="str">
        <f t="shared" si="1"/>
        <v>Catherine (1772–1798: #5)</v>
      </c>
      <c r="M3" s="124" t="str">
        <f t="shared" si="1"/>
        <v>Thomas (1775–1853: #6)</v>
      </c>
      <c r="N3" s="124" t="str">
        <f t="shared" si="1"/>
        <v>Gwenllian (1777–1779: #7)</v>
      </c>
      <c r="O3" s="124" t="str">
        <f t="shared" si="1"/>
        <v>Edward (1780–1863: #8)</v>
      </c>
      <c r="P3" s="124"/>
      <c r="Q3" s="124"/>
      <c r="R3" s="124"/>
      <c r="S3">
        <f t="shared" ref="S3:S34" si="2">AS3</f>
        <v>0</v>
      </c>
      <c r="T3">
        <f>COUNTIF(AT3:IB3,"&gt;0")</f>
        <v>1</v>
      </c>
      <c r="U3">
        <f>IF($T3&gt;=U$1,LARGE($AT3:$IB3,$T3-U$1+1),"")</f>
        <v>1</v>
      </c>
      <c r="V3" t="str">
        <f t="shared" ref="V3:AC18" si="3">IF($T3&gt;=V$1,LARGE($AT3:$IB3,$T3-V$1+1),"")</f>
        <v/>
      </c>
      <c r="W3" t="str">
        <f t="shared" si="3"/>
        <v/>
      </c>
      <c r="X3" t="str">
        <f t="shared" si="3"/>
        <v/>
      </c>
      <c r="Y3" t="str">
        <f t="shared" si="3"/>
        <v/>
      </c>
      <c r="Z3" t="str">
        <f t="shared" si="3"/>
        <v/>
      </c>
      <c r="AA3" t="str">
        <f t="shared" si="3"/>
        <v/>
      </c>
      <c r="AB3" t="str">
        <f t="shared" si="3"/>
        <v/>
      </c>
      <c r="AC3" t="str">
        <f t="shared" si="3"/>
        <v/>
      </c>
      <c r="AG3" t="str">
        <f>IF(LEN(U3)&gt;0,VLOOKUP(U3,$A$2:$B$220,2,FALSE),"")</f>
        <v>William (1729–1800: #1)</v>
      </c>
      <c r="AH3" t="str">
        <f t="shared" ref="AH3:AO3" si="4">IF(LEN(V3)&gt;0,VLOOKUP(V3,$A$2:$B$220,2,FALSE),"")</f>
        <v/>
      </c>
      <c r="AI3" t="str">
        <f t="shared" si="4"/>
        <v/>
      </c>
      <c r="AJ3" t="str">
        <f t="shared" si="4"/>
        <v/>
      </c>
      <c r="AK3" t="str">
        <f t="shared" si="4"/>
        <v/>
      </c>
      <c r="AL3" t="str">
        <f t="shared" si="4"/>
        <v/>
      </c>
      <c r="AM3" t="str">
        <f t="shared" si="4"/>
        <v/>
      </c>
      <c r="AN3" t="str">
        <f t="shared" si="4"/>
        <v/>
      </c>
      <c r="AO3" t="str">
        <f t="shared" si="4"/>
        <v/>
      </c>
      <c r="AP3" s="60">
        <f>S3</f>
        <v>0</v>
      </c>
      <c r="AQ3" s="60" t="str">
        <f>_xlfn.CONCAT(T3," - ",IF(AH3="",AG3,IF(AI3="",_xlfn.CONCAT(AG3,"; ",AH3),IF(AJ3="",_xlfn.CONCAT(AG3,"; ",AH3,"; ",AI3),IF(AK3="",_xlfn.CONCAT(AG3,"; ",AH3,"; ",AI3,"; ",AJ3),IF(AL3="",_xlfn.CONCAT(AG3,"; ",AH3,"; ",AI3,"; ",AJ3,"; ",AK3),IF(AM3="",_xlfn.CONCAT(AG3,"; ",AH3,"; ",AI3,"; ",AJ3,"; ",AK3,"; ",AL3),IF(AN3="",_xlfn.CONCAT(AG3,"; ",AH3,"; ",AI3,"; ",AJ3,"; ",AK3,"; ",AL3,"; ",AM3),IF(AO3="",_xlfn.CONCAT(AG3,"; ",AH3,"; ",AI3,"; ",AJ3,"; ",AK3,"; ",AL3,"; ",AM3,"; ",AN3),_xlfn.CONCAT(AG3,"; ",AH3,"; ",AI3,"; ",AJ3,"; ",AK3,"; ",AL3,"; ",AM3,"; ",AN3,"; ",AO3))))))))))</f>
        <v>1 - William (1729–1800: #1)</v>
      </c>
      <c r="AS3" s="72">
        <v>0</v>
      </c>
      <c r="AT3">
        <v>1</v>
      </c>
      <c r="IC3">
        <v>1</v>
      </c>
    </row>
    <row r="4" spans="1:237" ht="17" thickBot="1">
      <c r="A4" s="12">
        <f>'Book Details - NO EDIT'!A5</f>
        <v>3</v>
      </c>
      <c r="B4" s="112" t="str">
        <f>'Book Details - NO EDIT'!X5</f>
        <v>Lewis LOYD (1768–1858: #3)</v>
      </c>
      <c r="C4" s="113">
        <f>'Book Details - NO EDIT'!L5</f>
        <v>1</v>
      </c>
      <c r="D4" s="44">
        <f>'Loyd List 1-190 - Edit'!T5</f>
        <v>0</v>
      </c>
      <c r="F4" s="124">
        <f t="shared" ref="F4:F67" si="5">VLOOKUP($C4,$S$3:$AC$80,U$1+1,FALSE)-1</f>
        <v>6</v>
      </c>
      <c r="G4" s="125" t="str">
        <f t="shared" ref="G4:G67" si="6">_xlfn.CONCAT(F4," – ",IF(F4=0,"Only chlid",IF(I4="",_xlfn.CONCAT(J4," ",K4," ",L4," ",M4," ",N4," ",O4," ",P4," ",Q4),_xlfn.CONCAT(I4," ",J4," ",K4," ",L4," ",M4," ",N4," ",O4," ",P4," ",Q4))))</f>
        <v xml:space="preserve">6 – Jane (1765–1832: #2)  William (1770–1828: #4) Catherine (1772–1798: #5) Thomas (1775–1853: #6) Gwenllian (1777–1779: #7) Edward (1780–1863: #8)  </v>
      </c>
      <c r="H4" s="124"/>
      <c r="I4" s="124" t="str">
        <f t="shared" ref="I4:I67" si="7">IF(VLOOKUP($C4,$S$3:$AC$80,U$1+2,FALSE)=$A4,"",VLOOKUP(VLOOKUP($C4,$S$3:$AC$80,U$1+2,FALSE),$A$2:$B$230,2,FALSE))</f>
        <v>Jane (1765–1832: #2)</v>
      </c>
      <c r="J4" s="124" t="str">
        <f t="shared" ref="J4:J67" si="8">IF(VLOOKUP($C4,$S$3:$AC$80,V$1+2,FALSE)=$A4,"",VLOOKUP(VLOOKUP($C4,$S$3:$AC$80,V$1+2,FALSE),$A$2:$B$230,2,FALSE))</f>
        <v/>
      </c>
      <c r="K4" s="124" t="str">
        <f t="shared" ref="K4:K67" si="9">IF(VLOOKUP($C4,$S$3:$AC$80,W$1+2,FALSE)=$A4,"",VLOOKUP(VLOOKUP($C4,$S$3:$AC$80,W$1+2,FALSE),$A$2:$B$230,2,FALSE))</f>
        <v>William (1770–1828: #4)</v>
      </c>
      <c r="L4" s="124" t="str">
        <f t="shared" ref="L4:L64" si="10">IF(VLOOKUP($C4,$S$3:$AC$80,X$1+2,FALSE)=$A4,"",VLOOKUP(VLOOKUP($C4,$S$3:$AC$80,X$1+2,FALSE),$A$2:$B$230,2,FALSE))</f>
        <v>Catherine (1772–1798: #5)</v>
      </c>
      <c r="M4" s="124" t="str">
        <f t="shared" ref="M4:M64" si="11">IF(VLOOKUP($C4,$S$3:$AC$80,Y$1+2,FALSE)=$A4,"",VLOOKUP(VLOOKUP($C4,$S$3:$AC$80,Y$1+2,FALSE),$A$2:$B$230,2,FALSE))</f>
        <v>Thomas (1775–1853: #6)</v>
      </c>
      <c r="N4" s="124" t="str">
        <f t="shared" ref="N4:N51" si="12">IF(VLOOKUP($C4,$S$3:$AC$80,Z$1+2,FALSE)=$A4,"",VLOOKUP(VLOOKUP($C4,$S$3:$AC$80,Z$1+2,FALSE),$A$2:$B$230,2,FALSE))</f>
        <v>Gwenllian (1777–1779: #7)</v>
      </c>
      <c r="O4" s="124" t="str">
        <f t="shared" ref="O4:O51" si="13">IF(VLOOKUP($C4,$S$3:$AC$80,AA$1+2,FALSE)=$A4,"",VLOOKUP(VLOOKUP($C4,$S$3:$AC$80,AA$1+2,FALSE),$A$2:$B$230,2,FALSE))</f>
        <v>Edward (1780–1863: #8)</v>
      </c>
      <c r="P4" s="124"/>
      <c r="Q4" s="124"/>
      <c r="S4">
        <f t="shared" si="2"/>
        <v>1</v>
      </c>
      <c r="T4">
        <f t="shared" ref="T4:T61" si="14">COUNTIF(AT4:IB4,"&gt;0")</f>
        <v>7</v>
      </c>
      <c r="U4">
        <f t="shared" ref="U4:AC35" si="15">IF($T4&gt;=U$1,LARGE($AT4:$IB4,$T4-U$1+1),"")</f>
        <v>2</v>
      </c>
      <c r="V4">
        <f t="shared" si="3"/>
        <v>3</v>
      </c>
      <c r="W4">
        <f t="shared" si="3"/>
        <v>4</v>
      </c>
      <c r="X4">
        <f t="shared" si="3"/>
        <v>5</v>
      </c>
      <c r="Y4">
        <f t="shared" si="3"/>
        <v>6</v>
      </c>
      <c r="Z4">
        <f t="shared" si="3"/>
        <v>7</v>
      </c>
      <c r="AA4">
        <f t="shared" si="3"/>
        <v>8</v>
      </c>
      <c r="AB4" t="str">
        <f t="shared" si="3"/>
        <v/>
      </c>
      <c r="AC4" t="str">
        <f t="shared" si="3"/>
        <v/>
      </c>
      <c r="AG4" t="str">
        <f t="shared" ref="AG4:AG57" si="16">IF(LEN(U4)&gt;0,VLOOKUP(U4,$A$2:$B$220,2,FALSE),"")</f>
        <v>Jane (1765–1832: #2)</v>
      </c>
      <c r="AH4" t="str">
        <f t="shared" ref="AH4:AH58" si="17">IF(LEN(V4)&gt;0,VLOOKUP(V4,$A$2:$B$220,2,FALSE),"")</f>
        <v>Lewis LOYD (1768–1858: #3)</v>
      </c>
      <c r="AI4" t="str">
        <f t="shared" ref="AI4:AI58" si="18">IF(LEN(W4)&gt;0,VLOOKUP(W4,$A$2:$B$220,2,FALSE),"")</f>
        <v>William (1770–1828: #4)</v>
      </c>
      <c r="AJ4" t="str">
        <f t="shared" ref="AJ4:AJ58" si="19">IF(LEN(X4)&gt;0,VLOOKUP(X4,$A$2:$B$220,2,FALSE),"")</f>
        <v>Catherine (1772–1798: #5)</v>
      </c>
      <c r="AK4" t="str">
        <f t="shared" ref="AK4:AK58" si="20">IF(LEN(Y4)&gt;0,VLOOKUP(Y4,$A$2:$B$220,2,FALSE),"")</f>
        <v>Thomas (1775–1853: #6)</v>
      </c>
      <c r="AL4" t="str">
        <f t="shared" ref="AL4:AL58" si="21">IF(LEN(Z4)&gt;0,VLOOKUP(Z4,$A$2:$B$220,2,FALSE),"")</f>
        <v>Gwenllian (1777–1779: #7)</v>
      </c>
      <c r="AM4" t="str">
        <f t="shared" ref="AM4:AM58" si="22">IF(LEN(AA4)&gt;0,VLOOKUP(AA4,$A$2:$B$220,2,FALSE),"")</f>
        <v>Edward (1780–1863: #8)</v>
      </c>
      <c r="AN4" t="str">
        <f t="shared" ref="AN4:AN58" si="23">IF(LEN(AB4)&gt;0,VLOOKUP(AB4,$A$2:$B$220,2,FALSE),"")</f>
        <v/>
      </c>
      <c r="AO4" t="str">
        <f t="shared" ref="AO4:AO58" si="24">IF(LEN(AC4)&gt;0,VLOOKUP(AC4,$A$2:$B$220,2,FALSE),"")</f>
        <v/>
      </c>
      <c r="AP4" s="60">
        <f t="shared" ref="AP4:AP56" si="25">S4</f>
        <v>1</v>
      </c>
      <c r="AQ4" s="60" t="str">
        <f t="shared" ref="AQ4:AQ61" si="26">_xlfn.CONCAT(T4," - ",IF(AH4="",AG4,IF(AI4="",_xlfn.CONCAT(AG4,"; ",AH4),IF(AJ4="",_xlfn.CONCAT(AG4,"; ",AH4,"; ",AI4),IF(AK4="",_xlfn.CONCAT(AG4,"; ",AH4,"; ",AI4,"; ",AJ4),IF(AL4="",_xlfn.CONCAT(AG4,"; ",AH4,"; ",AI4,"; ",AJ4,"; ",AK4),IF(AM4="",_xlfn.CONCAT(AG4,"; ",AH4,"; ",AI4,"; ",AJ4,"; ",AK4,"; ",AL4),IF(AN4="",_xlfn.CONCAT(AG4,"; ",AH4,"; ",AI4,"; ",AJ4,"; ",AK4,"; ",AL4,"; ",AM4),IF(AO4="",_xlfn.CONCAT(AG4,"; ",AH4,"; ",AI4,"; ",AJ4,"; ",AK4,"; ",AL4,"; ",AM4,"; ",AN4),_xlfn.CONCAT(AG4,"; ",AH4,"; ",AI4,"; ",AJ4,"; ",AK4,"; ",AL4,"; ",AM4,"; ",AN4,"; ",AO4))))))))))</f>
        <v>7 - Jane (1765–1832: #2); Lewis LOYD (1768–1858: #3); William (1770–1828: #4); Catherine (1772–1798: #5); Thomas (1775–1853: #6); Gwenllian (1777–1779: #7); Edward (1780–1863: #8)</v>
      </c>
      <c r="AS4" s="72">
        <v>1</v>
      </c>
      <c r="AU4">
        <v>2</v>
      </c>
      <c r="AV4">
        <v>3</v>
      </c>
      <c r="AW4">
        <v>4</v>
      </c>
      <c r="AX4">
        <v>5</v>
      </c>
      <c r="AY4">
        <v>6</v>
      </c>
      <c r="AZ4">
        <v>7</v>
      </c>
      <c r="BA4">
        <v>8</v>
      </c>
      <c r="IC4">
        <v>35</v>
      </c>
    </row>
    <row r="5" spans="1:237" ht="17" thickBot="1">
      <c r="A5" s="12">
        <f>'Book Details - NO EDIT'!A6</f>
        <v>4</v>
      </c>
      <c r="B5" s="112" t="str">
        <f>'Book Details - NO EDIT'!X6</f>
        <v>William (1770–1828: #4)</v>
      </c>
      <c r="C5" s="113">
        <f>'Book Details - NO EDIT'!L6</f>
        <v>1</v>
      </c>
      <c r="D5" s="44">
        <f>'Loyd List 1-190 - Edit'!T6</f>
        <v>0</v>
      </c>
      <c r="F5" s="124">
        <f t="shared" si="5"/>
        <v>6</v>
      </c>
      <c r="G5" s="125" t="str">
        <f t="shared" si="6"/>
        <v xml:space="preserve">6 – Jane (1765–1832: #2) Lewis LOYD (1768–1858: #3)  Catherine (1772–1798: #5) Thomas (1775–1853: #6) Gwenllian (1777–1779: #7) Edward (1780–1863: #8)  </v>
      </c>
      <c r="H5" s="124"/>
      <c r="I5" s="124" t="str">
        <f t="shared" si="7"/>
        <v>Jane (1765–1832: #2)</v>
      </c>
      <c r="J5" s="124" t="str">
        <f t="shared" si="8"/>
        <v>Lewis LOYD (1768–1858: #3)</v>
      </c>
      <c r="K5" s="124" t="str">
        <f t="shared" si="9"/>
        <v/>
      </c>
      <c r="L5" s="124" t="str">
        <f t="shared" si="10"/>
        <v>Catherine (1772–1798: #5)</v>
      </c>
      <c r="M5" s="124" t="str">
        <f t="shared" si="11"/>
        <v>Thomas (1775–1853: #6)</v>
      </c>
      <c r="N5" s="124" t="str">
        <f t="shared" si="12"/>
        <v>Gwenllian (1777–1779: #7)</v>
      </c>
      <c r="O5" s="124" t="str">
        <f t="shared" si="13"/>
        <v>Edward (1780–1863: #8)</v>
      </c>
      <c r="P5" s="124"/>
      <c r="Q5" s="124"/>
      <c r="S5">
        <f t="shared" si="2"/>
        <v>3</v>
      </c>
      <c r="T5">
        <f t="shared" si="14"/>
        <v>1</v>
      </c>
      <c r="U5">
        <f t="shared" si="15"/>
        <v>9</v>
      </c>
      <c r="V5" t="str">
        <f t="shared" si="3"/>
        <v/>
      </c>
      <c r="W5" t="str">
        <f t="shared" si="3"/>
        <v/>
      </c>
      <c r="X5" t="str">
        <f t="shared" si="3"/>
        <v/>
      </c>
      <c r="Y5" t="str">
        <f t="shared" si="3"/>
        <v/>
      </c>
      <c r="Z5" t="str">
        <f t="shared" si="3"/>
        <v/>
      </c>
      <c r="AA5" t="str">
        <f t="shared" si="3"/>
        <v/>
      </c>
      <c r="AB5" t="str">
        <f t="shared" si="3"/>
        <v/>
      </c>
      <c r="AC5" t="str">
        <f t="shared" si="3"/>
        <v/>
      </c>
      <c r="AG5" t="str">
        <f t="shared" si="16"/>
        <v>Samuel (1796–1883: #9)</v>
      </c>
      <c r="AH5" t="str">
        <f t="shared" si="17"/>
        <v/>
      </c>
      <c r="AI5" t="str">
        <f t="shared" si="18"/>
        <v/>
      </c>
      <c r="AJ5" t="str">
        <f t="shared" si="19"/>
        <v/>
      </c>
      <c r="AK5" t="str">
        <f t="shared" si="20"/>
        <v/>
      </c>
      <c r="AL5" t="str">
        <f t="shared" si="21"/>
        <v/>
      </c>
      <c r="AM5" t="str">
        <f t="shared" si="22"/>
        <v/>
      </c>
      <c r="AN5" t="str">
        <f t="shared" si="23"/>
        <v/>
      </c>
      <c r="AO5" t="str">
        <f t="shared" si="24"/>
        <v/>
      </c>
      <c r="AP5" s="60">
        <f t="shared" si="25"/>
        <v>3</v>
      </c>
      <c r="AQ5" s="60" t="str">
        <f t="shared" si="26"/>
        <v>1 - Samuel (1796–1883: #9)</v>
      </c>
      <c r="AS5" s="72">
        <v>3</v>
      </c>
      <c r="BB5">
        <v>9</v>
      </c>
      <c r="IC5">
        <v>9</v>
      </c>
    </row>
    <row r="6" spans="1:237" ht="17" thickBot="1">
      <c r="A6" s="12">
        <f>'Book Details - NO EDIT'!A7</f>
        <v>5</v>
      </c>
      <c r="B6" s="112" t="str">
        <f>'Book Details - NO EDIT'!X7</f>
        <v>Catherine (1772–1798: #5)</v>
      </c>
      <c r="C6" s="113">
        <f>'Book Details - NO EDIT'!L7</f>
        <v>1</v>
      </c>
      <c r="D6" s="44">
        <f>'Loyd List 1-190 - Edit'!T7</f>
        <v>0</v>
      </c>
      <c r="F6" s="124">
        <f t="shared" si="5"/>
        <v>6</v>
      </c>
      <c r="G6" s="125" t="str">
        <f t="shared" si="6"/>
        <v xml:space="preserve">6 – Jane (1765–1832: #2) Lewis LOYD (1768–1858: #3) William (1770–1828: #4)  Thomas (1775–1853: #6) Gwenllian (1777–1779: #7) Edward (1780–1863: #8)  </v>
      </c>
      <c r="H6" s="124"/>
      <c r="I6" s="124" t="str">
        <f t="shared" si="7"/>
        <v>Jane (1765–1832: #2)</v>
      </c>
      <c r="J6" s="124" t="str">
        <f t="shared" si="8"/>
        <v>Lewis LOYD (1768–1858: #3)</v>
      </c>
      <c r="K6" s="124" t="str">
        <f t="shared" si="9"/>
        <v>William (1770–1828: #4)</v>
      </c>
      <c r="L6" s="124" t="str">
        <f t="shared" si="10"/>
        <v/>
      </c>
      <c r="M6" s="124" t="str">
        <f t="shared" si="11"/>
        <v>Thomas (1775–1853: #6)</v>
      </c>
      <c r="N6" s="124" t="str">
        <f t="shared" si="12"/>
        <v>Gwenllian (1777–1779: #7)</v>
      </c>
      <c r="O6" s="124" t="str">
        <f t="shared" si="13"/>
        <v>Edward (1780–1863: #8)</v>
      </c>
      <c r="P6" s="124"/>
      <c r="Q6" s="124"/>
      <c r="S6">
        <f t="shared" si="2"/>
        <v>4</v>
      </c>
      <c r="T6">
        <f t="shared" si="14"/>
        <v>7</v>
      </c>
      <c r="U6">
        <f t="shared" si="15"/>
        <v>10</v>
      </c>
      <c r="V6">
        <f t="shared" si="3"/>
        <v>12</v>
      </c>
      <c r="W6">
        <f t="shared" si="3"/>
        <v>14</v>
      </c>
      <c r="X6">
        <f t="shared" si="3"/>
        <v>16</v>
      </c>
      <c r="Y6">
        <f t="shared" si="3"/>
        <v>17</v>
      </c>
      <c r="Z6">
        <f t="shared" si="3"/>
        <v>20</v>
      </c>
      <c r="AA6">
        <f t="shared" si="3"/>
        <v>21</v>
      </c>
      <c r="AB6" t="str">
        <f t="shared" si="3"/>
        <v/>
      </c>
      <c r="AC6" t="str">
        <f t="shared" si="3"/>
        <v/>
      </c>
      <c r="AG6" t="str">
        <f t="shared" si="16"/>
        <v>William (1809–1879: #10)</v>
      </c>
      <c r="AH6" t="str">
        <f t="shared" si="17"/>
        <v>Eliza (1810–1861: #12)</v>
      </c>
      <c r="AI6" t="str">
        <f t="shared" si="18"/>
        <v>Thomas (1812–1857: #14)</v>
      </c>
      <c r="AJ6" t="str">
        <f t="shared" si="19"/>
        <v>Maria (1814–1900: #16)</v>
      </c>
      <c r="AK6" t="str">
        <f t="shared" si="20"/>
        <v>Edward (1815–1815: #17)</v>
      </c>
      <c r="AL6" t="str">
        <f t="shared" si="21"/>
        <v>John (1817–1818: #20)</v>
      </c>
      <c r="AM6" t="str">
        <f t="shared" si="22"/>
        <v>Lewis (1819–1841: #21)</v>
      </c>
      <c r="AN6" t="str">
        <f t="shared" si="23"/>
        <v/>
      </c>
      <c r="AO6" t="str">
        <f t="shared" si="24"/>
        <v/>
      </c>
      <c r="AP6" s="60">
        <f t="shared" si="25"/>
        <v>4</v>
      </c>
      <c r="AQ6" s="60" t="str">
        <f t="shared" si="26"/>
        <v>7 - William (1809–1879: #10); Eliza (1810–1861: #12); Thomas (1812–1857: #14); Maria (1814–1900: #16); Edward (1815–1815: #17); John (1817–1818: #20); Lewis (1819–1841: #21)</v>
      </c>
      <c r="AS6" s="72">
        <v>4</v>
      </c>
      <c r="BC6">
        <v>10</v>
      </c>
      <c r="BE6">
        <v>12</v>
      </c>
      <c r="BG6">
        <v>14</v>
      </c>
      <c r="BI6">
        <v>16</v>
      </c>
      <c r="BJ6">
        <v>17</v>
      </c>
      <c r="BM6">
        <v>20</v>
      </c>
      <c r="BN6">
        <v>21</v>
      </c>
      <c r="IC6">
        <v>110</v>
      </c>
    </row>
    <row r="7" spans="1:237" ht="17" thickBot="1">
      <c r="A7" s="12">
        <f>'Book Details - NO EDIT'!A8</f>
        <v>6</v>
      </c>
      <c r="B7" s="112" t="str">
        <f>'Book Details - NO EDIT'!X8</f>
        <v>Thomas (1775–1853: #6)</v>
      </c>
      <c r="C7" s="113">
        <f>'Book Details - NO EDIT'!L8</f>
        <v>1</v>
      </c>
      <c r="D7" s="44">
        <f>'Loyd List 1-190 - Edit'!T8</f>
        <v>0</v>
      </c>
      <c r="F7" s="124">
        <f t="shared" si="5"/>
        <v>6</v>
      </c>
      <c r="G7" s="125" t="str">
        <f t="shared" si="6"/>
        <v xml:space="preserve">6 – Jane (1765–1832: #2) Lewis LOYD (1768–1858: #3) William (1770–1828: #4) Catherine (1772–1798: #5)  Gwenllian (1777–1779: #7) Edward (1780–1863: #8)  </v>
      </c>
      <c r="H7" s="124"/>
      <c r="I7" s="124" t="str">
        <f t="shared" si="7"/>
        <v>Jane (1765–1832: #2)</v>
      </c>
      <c r="J7" s="124" t="str">
        <f t="shared" si="8"/>
        <v>Lewis LOYD (1768–1858: #3)</v>
      </c>
      <c r="K7" s="124" t="str">
        <f t="shared" si="9"/>
        <v>William (1770–1828: #4)</v>
      </c>
      <c r="L7" s="124" t="str">
        <f t="shared" si="10"/>
        <v>Catherine (1772–1798: #5)</v>
      </c>
      <c r="M7" s="124" t="str">
        <f t="shared" si="11"/>
        <v/>
      </c>
      <c r="N7" s="124" t="str">
        <f t="shared" si="12"/>
        <v>Gwenllian (1777–1779: #7)</v>
      </c>
      <c r="O7" s="124" t="str">
        <f t="shared" si="13"/>
        <v>Edward (1780–1863: #8)</v>
      </c>
      <c r="P7" s="124"/>
      <c r="Q7" s="124"/>
      <c r="S7">
        <f t="shared" si="2"/>
        <v>8</v>
      </c>
      <c r="T7">
        <f t="shared" si="14"/>
        <v>8</v>
      </c>
      <c r="U7">
        <f t="shared" si="15"/>
        <v>11</v>
      </c>
      <c r="V7">
        <f t="shared" si="3"/>
        <v>13</v>
      </c>
      <c r="W7">
        <f t="shared" si="3"/>
        <v>15</v>
      </c>
      <c r="X7">
        <f t="shared" si="3"/>
        <v>18</v>
      </c>
      <c r="Y7">
        <f t="shared" si="3"/>
        <v>19</v>
      </c>
      <c r="Z7">
        <f t="shared" si="3"/>
        <v>22</v>
      </c>
      <c r="AA7">
        <f t="shared" si="3"/>
        <v>23</v>
      </c>
      <c r="AB7">
        <f t="shared" si="3"/>
        <v>24</v>
      </c>
      <c r="AC7" t="str">
        <f t="shared" si="3"/>
        <v/>
      </c>
      <c r="AG7" t="str">
        <f t="shared" si="16"/>
        <v>Sarah (1810–1858: #11)</v>
      </c>
      <c r="AH7" t="str">
        <f t="shared" si="17"/>
        <v>Lewis (1811–1891: #13)</v>
      </c>
      <c r="AI7" t="str">
        <f t="shared" si="18"/>
        <v>Annie (1813–1834: #15)</v>
      </c>
      <c r="AJ7" t="str">
        <f t="shared" si="19"/>
        <v>Kate (1815–1905: #18)</v>
      </c>
      <c r="AK7" t="str">
        <f t="shared" si="20"/>
        <v>Hannah (1817–1907: #19)</v>
      </c>
      <c r="AL7" t="str">
        <f t="shared" si="21"/>
        <v>Edward (1820–1890: #22)</v>
      </c>
      <c r="AM7" t="str">
        <f t="shared" si="22"/>
        <v>William (1821–1885: #23)</v>
      </c>
      <c r="AN7" t="str">
        <f t="shared" si="23"/>
        <v>Fanny (1824–1856: #24)</v>
      </c>
      <c r="AO7" t="str">
        <f t="shared" si="24"/>
        <v/>
      </c>
      <c r="AP7" s="60">
        <f t="shared" si="25"/>
        <v>8</v>
      </c>
      <c r="AQ7" s="60" t="str">
        <f t="shared" si="26"/>
        <v>8 - Sarah (1810–1858: #11); Lewis (1811–1891: #13); Annie (1813–1834: #15); Kate (1815–1905: #18); Hannah (1817–1907: #19); Edward (1820–1890: #22); William (1821–1885: #23); Fanny (1824–1856: #24)</v>
      </c>
      <c r="AS7" s="72">
        <v>8</v>
      </c>
      <c r="BD7">
        <v>11</v>
      </c>
      <c r="BF7">
        <v>13</v>
      </c>
      <c r="BH7">
        <v>15</v>
      </c>
      <c r="BK7">
        <v>18</v>
      </c>
      <c r="BL7">
        <v>19</v>
      </c>
      <c r="BO7">
        <v>22</v>
      </c>
      <c r="BP7">
        <v>23</v>
      </c>
      <c r="BQ7">
        <v>24</v>
      </c>
      <c r="IC7">
        <v>145</v>
      </c>
    </row>
    <row r="8" spans="1:237" ht="17" thickBot="1">
      <c r="A8" s="12">
        <f>'Book Details - NO EDIT'!A9</f>
        <v>7</v>
      </c>
      <c r="B8" s="112" t="str">
        <f>'Book Details - NO EDIT'!X9</f>
        <v>Gwenllian (1777–1779: #7)</v>
      </c>
      <c r="C8" s="113">
        <f>'Book Details - NO EDIT'!L9</f>
        <v>1</v>
      </c>
      <c r="D8" s="44">
        <f>'Loyd List 1-190 - Edit'!T9</f>
        <v>0</v>
      </c>
      <c r="F8" s="124">
        <f t="shared" si="5"/>
        <v>6</v>
      </c>
      <c r="G8" s="125" t="str">
        <f t="shared" si="6"/>
        <v xml:space="preserve">6 – Jane (1765–1832: #2) Lewis LOYD (1768–1858: #3) William (1770–1828: #4) Catherine (1772–1798: #5) Thomas (1775–1853: #6)  Edward (1780–1863: #8)  </v>
      </c>
      <c r="H8" s="124"/>
      <c r="I8" s="124" t="str">
        <f t="shared" si="7"/>
        <v>Jane (1765–1832: #2)</v>
      </c>
      <c r="J8" s="124" t="str">
        <f t="shared" si="8"/>
        <v>Lewis LOYD (1768–1858: #3)</v>
      </c>
      <c r="K8" s="124" t="str">
        <f t="shared" si="9"/>
        <v>William (1770–1828: #4)</v>
      </c>
      <c r="L8" s="124" t="str">
        <f t="shared" si="10"/>
        <v>Catherine (1772–1798: #5)</v>
      </c>
      <c r="M8" s="124" t="str">
        <f t="shared" si="11"/>
        <v>Thomas (1775–1853: #6)</v>
      </c>
      <c r="N8" s="124" t="str">
        <f t="shared" si="12"/>
        <v/>
      </c>
      <c r="O8" s="124" t="str">
        <f t="shared" si="13"/>
        <v>Edward (1780–1863: #8)</v>
      </c>
      <c r="P8" s="124"/>
      <c r="Q8" s="124"/>
      <c r="S8">
        <f t="shared" si="2"/>
        <v>9</v>
      </c>
      <c r="T8">
        <f t="shared" si="14"/>
        <v>2</v>
      </c>
      <c r="U8">
        <f t="shared" si="15"/>
        <v>25</v>
      </c>
      <c r="V8">
        <f t="shared" si="3"/>
        <v>26</v>
      </c>
      <c r="W8" t="str">
        <f t="shared" si="3"/>
        <v/>
      </c>
      <c r="X8" t="str">
        <f t="shared" si="3"/>
        <v/>
      </c>
      <c r="Y8" t="str">
        <f t="shared" si="3"/>
        <v/>
      </c>
      <c r="Z8" t="str">
        <f t="shared" si="3"/>
        <v/>
      </c>
      <c r="AA8" t="str">
        <f t="shared" si="3"/>
        <v/>
      </c>
      <c r="AB8" t="str">
        <f t="shared" si="3"/>
        <v/>
      </c>
      <c r="AC8" t="str">
        <f t="shared" si="3"/>
        <v/>
      </c>
      <c r="AG8" t="str">
        <f t="shared" si="16"/>
        <v>Henry (1832–1833: #25)</v>
      </c>
      <c r="AH8" t="str">
        <f t="shared" si="17"/>
        <v>The Hon Harriet (1837–1920: #26)</v>
      </c>
      <c r="AI8" t="str">
        <f t="shared" si="18"/>
        <v/>
      </c>
      <c r="AJ8" t="str">
        <f t="shared" si="19"/>
        <v/>
      </c>
      <c r="AK8" t="str">
        <f t="shared" si="20"/>
        <v/>
      </c>
      <c r="AL8" t="str">
        <f t="shared" si="21"/>
        <v/>
      </c>
      <c r="AM8" t="str">
        <f t="shared" si="22"/>
        <v/>
      </c>
      <c r="AN8" t="str">
        <f t="shared" si="23"/>
        <v/>
      </c>
      <c r="AO8" t="str">
        <f t="shared" si="24"/>
        <v/>
      </c>
      <c r="AP8" s="60">
        <f t="shared" si="25"/>
        <v>9</v>
      </c>
      <c r="AQ8" s="60" t="str">
        <f t="shared" si="26"/>
        <v>2 - Henry (1832–1833: #25); The Hon Harriet (1837–1920: #26)</v>
      </c>
      <c r="AS8" s="72">
        <v>9</v>
      </c>
      <c r="BR8">
        <v>25</v>
      </c>
      <c r="BS8">
        <v>26</v>
      </c>
      <c r="IC8">
        <v>51</v>
      </c>
    </row>
    <row r="9" spans="1:237" ht="17" thickBot="1">
      <c r="A9" s="12">
        <f>'Book Details - NO EDIT'!A10</f>
        <v>8</v>
      </c>
      <c r="B9" s="112" t="str">
        <f>'Book Details - NO EDIT'!X10</f>
        <v>Edward (1780–1863: #8)</v>
      </c>
      <c r="C9" s="113">
        <f>'Book Details - NO EDIT'!L10</f>
        <v>1</v>
      </c>
      <c r="D9" s="44">
        <f>'Loyd List 1-190 - Edit'!T10</f>
        <v>0</v>
      </c>
      <c r="F9" s="124">
        <f t="shared" si="5"/>
        <v>6</v>
      </c>
      <c r="G9" s="125" t="str">
        <f t="shared" si="6"/>
        <v xml:space="preserve">6 – Jane (1765–1832: #2) Lewis LOYD (1768–1858: #3) William (1770–1828: #4) Catherine (1772–1798: #5) Thomas (1775–1853: #6) Gwenllian (1777–1779: #7)   </v>
      </c>
      <c r="H9" s="124"/>
      <c r="I9" s="124" t="str">
        <f t="shared" si="7"/>
        <v>Jane (1765–1832: #2)</v>
      </c>
      <c r="J9" s="124" t="str">
        <f t="shared" si="8"/>
        <v>Lewis LOYD (1768–1858: #3)</v>
      </c>
      <c r="K9" s="124" t="str">
        <f t="shared" si="9"/>
        <v>William (1770–1828: #4)</v>
      </c>
      <c r="L9" s="124" t="str">
        <f t="shared" si="10"/>
        <v>Catherine (1772–1798: #5)</v>
      </c>
      <c r="M9" s="124" t="str">
        <f t="shared" si="11"/>
        <v>Thomas (1775–1853: #6)</v>
      </c>
      <c r="N9" s="124" t="str">
        <f t="shared" si="12"/>
        <v>Gwenllian (1777–1779: #7)</v>
      </c>
      <c r="O9" s="124" t="str">
        <f t="shared" si="13"/>
        <v/>
      </c>
      <c r="P9" s="124"/>
      <c r="Q9" s="124"/>
      <c r="S9">
        <f t="shared" si="2"/>
        <v>14</v>
      </c>
      <c r="T9">
        <f t="shared" si="14"/>
        <v>8</v>
      </c>
      <c r="U9">
        <f t="shared" si="15"/>
        <v>27</v>
      </c>
      <c r="V9">
        <f t="shared" si="3"/>
        <v>28</v>
      </c>
      <c r="W9">
        <f t="shared" si="3"/>
        <v>29</v>
      </c>
      <c r="X9">
        <f t="shared" si="3"/>
        <v>30</v>
      </c>
      <c r="Y9">
        <f t="shared" si="3"/>
        <v>32</v>
      </c>
      <c r="Z9">
        <f t="shared" si="3"/>
        <v>33</v>
      </c>
      <c r="AA9">
        <f t="shared" si="3"/>
        <v>34</v>
      </c>
      <c r="AB9">
        <f t="shared" si="3"/>
        <v>37</v>
      </c>
      <c r="AC9" t="str">
        <f t="shared" si="3"/>
        <v/>
      </c>
      <c r="AG9" t="str">
        <f t="shared" si="16"/>
        <v>William (1843–1843: #27)</v>
      </c>
      <c r="AH9" t="str">
        <f t="shared" si="17"/>
        <v>The Rev Lewis (1844–1905: #28)</v>
      </c>
      <c r="AI9" t="str">
        <f t="shared" si="18"/>
        <v>Arthur (1845–1930: #29)</v>
      </c>
      <c r="AJ9" t="str">
        <f t="shared" si="19"/>
        <v>Archie (1847–1922: #30)</v>
      </c>
      <c r="AK9" t="str">
        <f t="shared" si="20"/>
        <v>Frank (1848–1934: #32)</v>
      </c>
      <c r="AL9" t="str">
        <f t="shared" si="21"/>
        <v>Alfred (1849–1881: #33)</v>
      </c>
      <c r="AM9" t="str">
        <f t="shared" si="22"/>
        <v>Ted (1851–1922: #34)</v>
      </c>
      <c r="AN9" t="str">
        <f t="shared" si="23"/>
        <v>Annie (1853–1946: #37)</v>
      </c>
      <c r="AO9" t="str">
        <f t="shared" si="24"/>
        <v/>
      </c>
      <c r="AP9" s="60">
        <f t="shared" si="25"/>
        <v>14</v>
      </c>
      <c r="AQ9" s="60" t="str">
        <f t="shared" si="26"/>
        <v>8 - William (1843–1843: #27); The Rev Lewis (1844–1905: #28); Arthur (1845–1930: #29); Archie (1847–1922: #30); Frank (1848–1934: #32); Alfred (1849–1881: #33); Ted (1851–1922: #34); Annie (1853–1946: #37)</v>
      </c>
      <c r="AS9" s="72">
        <v>14</v>
      </c>
      <c r="BT9">
        <v>27</v>
      </c>
      <c r="BU9">
        <v>28</v>
      </c>
      <c r="BV9">
        <v>29</v>
      </c>
      <c r="BW9">
        <v>30</v>
      </c>
      <c r="BY9">
        <v>32</v>
      </c>
      <c r="BZ9">
        <v>33</v>
      </c>
      <c r="CA9">
        <v>34</v>
      </c>
      <c r="CD9">
        <v>37</v>
      </c>
      <c r="IC9">
        <v>250</v>
      </c>
    </row>
    <row r="10" spans="1:237" ht="17" thickBot="1">
      <c r="A10" s="12">
        <f>'Book Details - NO EDIT'!A11</f>
        <v>9</v>
      </c>
      <c r="B10" s="112" t="str">
        <f>'Book Details - NO EDIT'!X11</f>
        <v>Samuel (1796–1883: #9)</v>
      </c>
      <c r="C10" s="113">
        <f>'Book Details - NO EDIT'!L11</f>
        <v>3</v>
      </c>
      <c r="D10" s="44">
        <f>'Loyd List 1-190 - Edit'!T11</f>
        <v>1</v>
      </c>
      <c r="F10" s="124">
        <f t="shared" si="5"/>
        <v>0</v>
      </c>
      <c r="G10" s="125" t="str">
        <f t="shared" si="6"/>
        <v>0 – Only chlid</v>
      </c>
      <c r="H10" s="124"/>
      <c r="I10" s="124" t="str">
        <f t="shared" si="7"/>
        <v/>
      </c>
      <c r="J10" s="124"/>
      <c r="K10" s="124"/>
      <c r="L10" s="124"/>
      <c r="M10" s="124"/>
      <c r="N10" s="124"/>
      <c r="O10" s="124"/>
      <c r="P10" s="124"/>
      <c r="Q10" s="124"/>
      <c r="S10">
        <f t="shared" si="2"/>
        <v>22</v>
      </c>
      <c r="T10">
        <f t="shared" si="14"/>
        <v>7</v>
      </c>
      <c r="U10">
        <f t="shared" si="15"/>
        <v>31</v>
      </c>
      <c r="V10">
        <f t="shared" si="3"/>
        <v>36</v>
      </c>
      <c r="W10">
        <f t="shared" si="3"/>
        <v>39</v>
      </c>
      <c r="X10">
        <f t="shared" si="3"/>
        <v>41</v>
      </c>
      <c r="Y10">
        <f t="shared" si="3"/>
        <v>43</v>
      </c>
      <c r="Z10">
        <f t="shared" si="3"/>
        <v>45</v>
      </c>
      <c r="AA10">
        <f t="shared" si="3"/>
        <v>47</v>
      </c>
      <c r="AB10" t="str">
        <f t="shared" si="3"/>
        <v/>
      </c>
      <c r="AC10" t="str">
        <f t="shared" si="3"/>
        <v/>
      </c>
      <c r="AG10" t="str">
        <f t="shared" si="16"/>
        <v>Mary (1848–1934: #31)</v>
      </c>
      <c r="AH10" t="str">
        <f t="shared" si="17"/>
        <v>Elinor (1853–1895: #36)</v>
      </c>
      <c r="AI10" t="str">
        <f t="shared" si="18"/>
        <v>Fa (1855–1927: #39)</v>
      </c>
      <c r="AJ10" t="str">
        <f t="shared" si="19"/>
        <v>Frederic (1856–1936: #41)</v>
      </c>
      <c r="AK10" t="str">
        <f t="shared" si="20"/>
        <v>Meg (1859–1936: #43)</v>
      </c>
      <c r="AL10" t="str">
        <f t="shared" si="21"/>
        <v>Llewellyn (1861–1939: #45)</v>
      </c>
      <c r="AM10" t="str">
        <f t="shared" si="22"/>
        <v>Caroline (1864–1940: #47)</v>
      </c>
      <c r="AN10" t="str">
        <f t="shared" si="23"/>
        <v/>
      </c>
      <c r="AO10" t="str">
        <f t="shared" si="24"/>
        <v/>
      </c>
      <c r="AP10" s="60">
        <f t="shared" si="25"/>
        <v>22</v>
      </c>
      <c r="AQ10" s="60" t="str">
        <f t="shared" si="26"/>
        <v>7 - Mary (1848–1934: #31); Elinor (1853–1895: #36); Fa (1855–1927: #39); Frederic (1856–1936: #41); Meg (1859–1936: #43); Llewellyn (1861–1939: #45); Caroline (1864–1940: #47)</v>
      </c>
      <c r="AS10" s="72">
        <v>22</v>
      </c>
      <c r="BX10">
        <v>31</v>
      </c>
      <c r="CC10">
        <v>36</v>
      </c>
      <c r="CF10">
        <v>39</v>
      </c>
      <c r="CH10">
        <v>41</v>
      </c>
      <c r="CJ10">
        <v>43</v>
      </c>
      <c r="CL10">
        <v>45</v>
      </c>
      <c r="CN10">
        <v>47</v>
      </c>
      <c r="IC10">
        <v>282</v>
      </c>
    </row>
    <row r="11" spans="1:237" ht="17" thickBot="1">
      <c r="A11" s="12">
        <f>'Book Details - NO EDIT'!A12</f>
        <v>10</v>
      </c>
      <c r="B11" s="112" t="str">
        <f>'Book Details - NO EDIT'!X12</f>
        <v>William (1809–1879: #10)</v>
      </c>
      <c r="C11" s="113">
        <f>'Book Details - NO EDIT'!L12</f>
        <v>4</v>
      </c>
      <c r="D11" s="44">
        <f>'Loyd List 1-190 - Edit'!T12</f>
        <v>1</v>
      </c>
      <c r="F11" s="124">
        <f t="shared" si="5"/>
        <v>6</v>
      </c>
      <c r="G11" s="125" t="str">
        <f t="shared" si="6"/>
        <v xml:space="preserve">6 – Eliza (1810–1861: #12) Thomas (1812–1857: #14) Maria (1814–1900: #16) Edward (1815–1815: #17) John (1817–1818: #20) Lewis (1819–1841: #21)  </v>
      </c>
      <c r="H11" s="124"/>
      <c r="I11" s="124" t="str">
        <f t="shared" si="7"/>
        <v/>
      </c>
      <c r="J11" s="124" t="str">
        <f t="shared" si="8"/>
        <v>Eliza (1810–1861: #12)</v>
      </c>
      <c r="K11" s="124" t="str">
        <f t="shared" si="9"/>
        <v>Thomas (1812–1857: #14)</v>
      </c>
      <c r="L11" s="124" t="str">
        <f t="shared" si="10"/>
        <v>Maria (1814–1900: #16)</v>
      </c>
      <c r="M11" s="124" t="str">
        <f t="shared" si="11"/>
        <v>Edward (1815–1815: #17)</v>
      </c>
      <c r="N11" s="124" t="str">
        <f t="shared" si="12"/>
        <v>John (1817–1818: #20)</v>
      </c>
      <c r="O11" s="124" t="str">
        <f t="shared" si="13"/>
        <v>Lewis (1819–1841: #21)</v>
      </c>
      <c r="P11" s="124"/>
      <c r="Q11" s="124"/>
      <c r="S11">
        <f t="shared" si="2"/>
        <v>23</v>
      </c>
      <c r="T11">
        <f t="shared" si="14"/>
        <v>9</v>
      </c>
      <c r="U11">
        <f t="shared" si="15"/>
        <v>35</v>
      </c>
      <c r="V11">
        <f t="shared" si="3"/>
        <v>38</v>
      </c>
      <c r="W11">
        <f t="shared" si="3"/>
        <v>40</v>
      </c>
      <c r="X11">
        <f t="shared" si="3"/>
        <v>42</v>
      </c>
      <c r="Y11">
        <f t="shared" si="3"/>
        <v>44</v>
      </c>
      <c r="Z11">
        <f t="shared" si="3"/>
        <v>46</v>
      </c>
      <c r="AA11">
        <f t="shared" si="3"/>
        <v>48</v>
      </c>
      <c r="AB11">
        <f t="shared" si="3"/>
        <v>49</v>
      </c>
      <c r="AC11">
        <f t="shared" si="3"/>
        <v>50</v>
      </c>
      <c r="AG11" t="str">
        <f t="shared" si="16"/>
        <v>Lewis (1852–1908: #35)</v>
      </c>
      <c r="AH11" t="str">
        <f t="shared" si="17"/>
        <v>Gertrude (1854–1924: #38)</v>
      </c>
      <c r="AI11" t="str">
        <f t="shared" si="18"/>
        <v>Harriet (1856–1921: #40)</v>
      </c>
      <c r="AJ11" t="str">
        <f t="shared" si="19"/>
        <v>Dulcie (1858–1905: #42)</v>
      </c>
      <c r="AK11" t="str">
        <f t="shared" si="20"/>
        <v>Harry (1861–1938: #44)</v>
      </c>
      <c r="AL11" t="str">
        <f t="shared" si="21"/>
        <v>William (1863–1923: #46)</v>
      </c>
      <c r="AM11" t="str">
        <f t="shared" si="22"/>
        <v>Caroline (1865–1938: #48)</v>
      </c>
      <c r="AN11" t="str">
        <f t="shared" si="23"/>
        <v>Mary (1867–1867: #49)</v>
      </c>
      <c r="AO11" t="str">
        <f t="shared" si="24"/>
        <v>Arthur (1868–1911: #50)</v>
      </c>
      <c r="AP11" s="60">
        <f t="shared" si="25"/>
        <v>23</v>
      </c>
      <c r="AQ11" s="60" t="str">
        <f t="shared" si="26"/>
        <v>9 - Lewis (1852–1908: #35); Gertrude (1854–1924: #38); Harriet (1856–1921: #40); Dulcie (1858–1905: #42); Harry (1861–1938: #44); William (1863–1923: #46); Caroline (1865–1938: #48); Mary (1867–1867: #49); Arthur (1868–1911: #50)</v>
      </c>
      <c r="AS11" s="72">
        <v>23</v>
      </c>
      <c r="CB11">
        <v>35</v>
      </c>
      <c r="CE11">
        <v>38</v>
      </c>
      <c r="CG11">
        <v>40</v>
      </c>
      <c r="CI11">
        <v>42</v>
      </c>
      <c r="CK11">
        <v>44</v>
      </c>
      <c r="CM11">
        <v>46</v>
      </c>
      <c r="CO11">
        <v>48</v>
      </c>
      <c r="CP11">
        <v>49</v>
      </c>
      <c r="CQ11">
        <v>50</v>
      </c>
      <c r="IC11">
        <v>392</v>
      </c>
    </row>
    <row r="12" spans="1:237" ht="17" thickBot="1">
      <c r="A12" s="12">
        <f>'Book Details - NO EDIT'!A13</f>
        <v>11</v>
      </c>
      <c r="B12" s="112" t="str">
        <f>'Book Details - NO EDIT'!X13</f>
        <v>Sarah (1810–1858: #11)</v>
      </c>
      <c r="C12" s="113">
        <f>'Book Details - NO EDIT'!L13</f>
        <v>8</v>
      </c>
      <c r="D12" s="44">
        <f>'Loyd List 1-190 - Edit'!T13</f>
        <v>1</v>
      </c>
      <c r="F12" s="124">
        <f t="shared" si="5"/>
        <v>7</v>
      </c>
      <c r="G12" s="125" t="str">
        <f t="shared" si="6"/>
        <v xml:space="preserve">7 – Lewis (1811–1891: #13) Annie (1813–1834: #15) Kate (1815–1905: #18) Hannah (1817–1907: #19) Edward (1820–1890: #22) William (1821–1885: #23) Fanny (1824–1856: #24) </v>
      </c>
      <c r="H12" s="124"/>
      <c r="I12" s="124" t="str">
        <f t="shared" si="7"/>
        <v/>
      </c>
      <c r="J12" s="124" t="str">
        <f t="shared" si="8"/>
        <v>Lewis (1811–1891: #13)</v>
      </c>
      <c r="K12" s="124" t="str">
        <f t="shared" si="9"/>
        <v>Annie (1813–1834: #15)</v>
      </c>
      <c r="L12" s="124" t="str">
        <f t="shared" si="10"/>
        <v>Kate (1815–1905: #18)</v>
      </c>
      <c r="M12" s="124" t="str">
        <f t="shared" si="11"/>
        <v>Hannah (1817–1907: #19)</v>
      </c>
      <c r="N12" s="124" t="str">
        <f t="shared" si="12"/>
        <v>Edward (1820–1890: #22)</v>
      </c>
      <c r="O12" s="124" t="str">
        <f t="shared" si="13"/>
        <v>William (1821–1885: #23)</v>
      </c>
      <c r="P12" s="124" t="str">
        <f t="shared" ref="P12:P51" si="27">IF(VLOOKUP($C12,$S$3:$AC$80,AB$1+2,FALSE)=$A12,"",VLOOKUP(VLOOKUP($C12,$S$3:$AC$80,AB$1+2,FALSE),$A$2:$B$230,2,FALSE))</f>
        <v>Fanny (1824–1856: #24)</v>
      </c>
      <c r="Q12" s="124"/>
      <c r="S12">
        <f t="shared" si="2"/>
        <v>28</v>
      </c>
      <c r="T12">
        <f t="shared" si="14"/>
        <v>4</v>
      </c>
      <c r="U12">
        <f t="shared" si="15"/>
        <v>51</v>
      </c>
      <c r="V12">
        <f t="shared" si="3"/>
        <v>56</v>
      </c>
      <c r="W12">
        <f t="shared" si="3"/>
        <v>58</v>
      </c>
      <c r="X12">
        <f t="shared" si="3"/>
        <v>60</v>
      </c>
      <c r="Y12" t="str">
        <f t="shared" si="3"/>
        <v/>
      </c>
      <c r="Z12" t="str">
        <f t="shared" si="3"/>
        <v/>
      </c>
      <c r="AA12" t="str">
        <f t="shared" si="3"/>
        <v/>
      </c>
      <c r="AB12" t="str">
        <f t="shared" si="3"/>
        <v/>
      </c>
      <c r="AC12" t="str">
        <f t="shared" si="3"/>
        <v/>
      </c>
      <c r="AG12" t="str">
        <f t="shared" si="16"/>
        <v>Lewis (1875–1947: #51)</v>
      </c>
      <c r="AH12" t="str">
        <f t="shared" si="17"/>
        <v>Tommy (1882–1944: #56)</v>
      </c>
      <c r="AI12" t="str">
        <f t="shared" si="18"/>
        <v>Rt Rev Philip (1884–1952: #58)</v>
      </c>
      <c r="AJ12" t="str">
        <f t="shared" si="19"/>
        <v>Kitty (1885–1989: #60)</v>
      </c>
      <c r="AK12" t="str">
        <f t="shared" si="20"/>
        <v/>
      </c>
      <c r="AL12" t="str">
        <f t="shared" si="21"/>
        <v/>
      </c>
      <c r="AM12" t="str">
        <f t="shared" si="22"/>
        <v/>
      </c>
      <c r="AN12" t="str">
        <f t="shared" si="23"/>
        <v/>
      </c>
      <c r="AO12" t="str">
        <f t="shared" si="24"/>
        <v/>
      </c>
      <c r="AP12" s="60">
        <f t="shared" si="25"/>
        <v>28</v>
      </c>
      <c r="AQ12" s="60" t="str">
        <f t="shared" si="26"/>
        <v>4 - Lewis (1875–1947: #51); Tommy (1882–1944: #56); Rt Rev Philip (1884–1952: #58); Kitty (1885–1989: #60)</v>
      </c>
      <c r="AS12" s="72">
        <v>28</v>
      </c>
      <c r="CR12">
        <v>51</v>
      </c>
      <c r="CW12">
        <v>56</v>
      </c>
      <c r="CY12">
        <v>58</v>
      </c>
      <c r="DA12">
        <v>60</v>
      </c>
      <c r="IC12">
        <v>225</v>
      </c>
    </row>
    <row r="13" spans="1:237" ht="17" thickBot="1">
      <c r="A13" s="12">
        <f>'Book Details - NO EDIT'!A14</f>
        <v>12</v>
      </c>
      <c r="B13" s="112" t="str">
        <f>'Book Details - NO EDIT'!X14</f>
        <v>Eliza (1810–1861: #12)</v>
      </c>
      <c r="C13" s="113">
        <f>'Book Details - NO EDIT'!L14</f>
        <v>4</v>
      </c>
      <c r="D13" s="44">
        <f>'Loyd List 1-190 - Edit'!T14</f>
        <v>1</v>
      </c>
      <c r="F13" s="124">
        <f t="shared" si="5"/>
        <v>6</v>
      </c>
      <c r="G13" s="125" t="str">
        <f t="shared" si="6"/>
        <v xml:space="preserve">6 – William (1809–1879: #10)  Thomas (1812–1857: #14) Maria (1814–1900: #16) Edward (1815–1815: #17) John (1817–1818: #20) Lewis (1819–1841: #21)  </v>
      </c>
      <c r="H13" s="124"/>
      <c r="I13" s="124" t="str">
        <f t="shared" si="7"/>
        <v>William (1809–1879: #10)</v>
      </c>
      <c r="J13" s="124" t="str">
        <f t="shared" si="8"/>
        <v/>
      </c>
      <c r="K13" s="124" t="str">
        <f t="shared" si="9"/>
        <v>Thomas (1812–1857: #14)</v>
      </c>
      <c r="L13" s="124" t="str">
        <f t="shared" si="10"/>
        <v>Maria (1814–1900: #16)</v>
      </c>
      <c r="M13" s="124" t="str">
        <f t="shared" si="11"/>
        <v>Edward (1815–1815: #17)</v>
      </c>
      <c r="N13" s="124" t="str">
        <f t="shared" si="12"/>
        <v>John (1817–1818: #20)</v>
      </c>
      <c r="O13" s="124" t="str">
        <f t="shared" si="13"/>
        <v>Lewis (1819–1841: #21)</v>
      </c>
      <c r="P13" s="124"/>
      <c r="Q13" s="124"/>
      <c r="S13">
        <f t="shared" si="2"/>
        <v>29</v>
      </c>
      <c r="T13">
        <f t="shared" si="14"/>
        <v>1</v>
      </c>
      <c r="U13">
        <f t="shared" si="15"/>
        <v>80</v>
      </c>
      <c r="V13" t="str">
        <f t="shared" si="3"/>
        <v/>
      </c>
      <c r="W13" t="str">
        <f t="shared" si="3"/>
        <v/>
      </c>
      <c r="X13" t="str">
        <f t="shared" si="3"/>
        <v/>
      </c>
      <c r="Y13" t="str">
        <f t="shared" si="3"/>
        <v/>
      </c>
      <c r="Z13" t="str">
        <f t="shared" si="3"/>
        <v/>
      </c>
      <c r="AA13" t="str">
        <f t="shared" si="3"/>
        <v/>
      </c>
      <c r="AB13" t="str">
        <f t="shared" si="3"/>
        <v/>
      </c>
      <c r="AC13" t="str">
        <f t="shared" si="3"/>
        <v/>
      </c>
      <c r="AG13" t="str">
        <f t="shared" si="16"/>
        <v>Eric (1894–1963: #80)</v>
      </c>
      <c r="AH13" t="str">
        <f t="shared" si="17"/>
        <v/>
      </c>
      <c r="AI13" t="str">
        <f t="shared" si="18"/>
        <v/>
      </c>
      <c r="AJ13" t="str">
        <f t="shared" si="19"/>
        <v/>
      </c>
      <c r="AK13" t="str">
        <f t="shared" si="20"/>
        <v/>
      </c>
      <c r="AL13" t="str">
        <f t="shared" si="21"/>
        <v/>
      </c>
      <c r="AM13" t="str">
        <f t="shared" si="22"/>
        <v/>
      </c>
      <c r="AN13" t="str">
        <f t="shared" si="23"/>
        <v/>
      </c>
      <c r="AO13" t="str">
        <f t="shared" si="24"/>
        <v/>
      </c>
      <c r="AP13" s="60">
        <f t="shared" si="25"/>
        <v>29</v>
      </c>
      <c r="AQ13" s="60" t="str">
        <f t="shared" si="26"/>
        <v>1 - Eric (1894–1963: #80)</v>
      </c>
      <c r="AS13" s="72">
        <v>29</v>
      </c>
      <c r="DU13">
        <v>80</v>
      </c>
      <c r="IC13">
        <v>80</v>
      </c>
    </row>
    <row r="14" spans="1:237" ht="17" thickBot="1">
      <c r="A14" s="12">
        <f>'Book Details - NO EDIT'!A15</f>
        <v>13</v>
      </c>
      <c r="B14" s="112" t="str">
        <f>'Book Details - NO EDIT'!X15</f>
        <v>Lewis (1811–1891: #13)</v>
      </c>
      <c r="C14" s="113">
        <f>'Book Details - NO EDIT'!L15</f>
        <v>8</v>
      </c>
      <c r="D14" s="44">
        <f>'Loyd List 1-190 - Edit'!T15</f>
        <v>1</v>
      </c>
      <c r="F14" s="124">
        <f t="shared" si="5"/>
        <v>7</v>
      </c>
      <c r="G14" s="125" t="str">
        <f t="shared" si="6"/>
        <v xml:space="preserve">7 – Sarah (1810–1858: #11)  Annie (1813–1834: #15) Kate (1815–1905: #18) Hannah (1817–1907: #19) Edward (1820–1890: #22) William (1821–1885: #23) Fanny (1824–1856: #24) </v>
      </c>
      <c r="H14" s="124"/>
      <c r="I14" s="124" t="str">
        <f t="shared" si="7"/>
        <v>Sarah (1810–1858: #11)</v>
      </c>
      <c r="J14" s="124" t="str">
        <f t="shared" si="8"/>
        <v/>
      </c>
      <c r="K14" s="124" t="str">
        <f t="shared" si="9"/>
        <v>Annie (1813–1834: #15)</v>
      </c>
      <c r="L14" s="124" t="str">
        <f t="shared" si="10"/>
        <v>Kate (1815–1905: #18)</v>
      </c>
      <c r="M14" s="124" t="str">
        <f t="shared" si="11"/>
        <v>Hannah (1817–1907: #19)</v>
      </c>
      <c r="N14" s="124" t="str">
        <f t="shared" si="12"/>
        <v>Edward (1820–1890: #22)</v>
      </c>
      <c r="O14" s="124" t="str">
        <f t="shared" si="13"/>
        <v>William (1821–1885: #23)</v>
      </c>
      <c r="P14" s="124" t="str">
        <f t="shared" si="27"/>
        <v>Fanny (1824–1856: #24)</v>
      </c>
      <c r="Q14" s="124"/>
      <c r="S14">
        <f t="shared" si="2"/>
        <v>30</v>
      </c>
      <c r="T14">
        <f t="shared" si="14"/>
        <v>4</v>
      </c>
      <c r="U14">
        <f t="shared" si="15"/>
        <v>61</v>
      </c>
      <c r="V14">
        <f t="shared" si="3"/>
        <v>62</v>
      </c>
      <c r="W14">
        <f t="shared" si="3"/>
        <v>69</v>
      </c>
      <c r="X14">
        <f t="shared" si="3"/>
        <v>77</v>
      </c>
      <c r="Y14" t="str">
        <f t="shared" si="3"/>
        <v/>
      </c>
      <c r="Z14" t="str">
        <f t="shared" si="3"/>
        <v/>
      </c>
      <c r="AA14" t="str">
        <f t="shared" si="3"/>
        <v/>
      </c>
      <c r="AB14" t="str">
        <f t="shared" si="3"/>
        <v/>
      </c>
      <c r="AC14" t="str">
        <f t="shared" si="3"/>
        <v/>
      </c>
      <c r="AG14" t="str">
        <f t="shared" si="16"/>
        <v>Reggie (1886–1961: #61)</v>
      </c>
      <c r="AH14" t="str">
        <f t="shared" si="17"/>
        <v>Bobby (1887–1977: #62)</v>
      </c>
      <c r="AI14" t="str">
        <f t="shared" si="18"/>
        <v>Geoffrey (1890–1914: #69)</v>
      </c>
      <c r="AJ14" t="str">
        <f t="shared" si="19"/>
        <v>Wilfrid (1893–1971: #77)</v>
      </c>
      <c r="AK14" t="str">
        <f t="shared" si="20"/>
        <v/>
      </c>
      <c r="AL14" t="str">
        <f t="shared" si="21"/>
        <v/>
      </c>
      <c r="AM14" t="str">
        <f t="shared" si="22"/>
        <v/>
      </c>
      <c r="AN14" t="str">
        <f t="shared" si="23"/>
        <v/>
      </c>
      <c r="AO14" t="str">
        <f t="shared" si="24"/>
        <v/>
      </c>
      <c r="AP14" s="60">
        <f t="shared" si="25"/>
        <v>30</v>
      </c>
      <c r="AQ14" s="60" t="str">
        <f t="shared" si="26"/>
        <v>4 - Reggie (1886–1961: #61); Bobby (1887–1977: #62); Geoffrey (1890–1914: #69); Wilfrid (1893–1971: #77)</v>
      </c>
      <c r="AS14" s="72">
        <v>30</v>
      </c>
      <c r="DB14">
        <v>61</v>
      </c>
      <c r="DC14">
        <v>62</v>
      </c>
      <c r="DJ14">
        <v>69</v>
      </c>
      <c r="DR14">
        <v>77</v>
      </c>
      <c r="IC14">
        <v>269</v>
      </c>
    </row>
    <row r="15" spans="1:237" ht="17" thickBot="1">
      <c r="A15" s="12">
        <f>'Book Details - NO EDIT'!A16</f>
        <v>14</v>
      </c>
      <c r="B15" s="112" t="str">
        <f>'Book Details - NO EDIT'!X16</f>
        <v>Thomas (1812–1857: #14)</v>
      </c>
      <c r="C15" s="113">
        <f>'Book Details - NO EDIT'!L16</f>
        <v>4</v>
      </c>
      <c r="D15" s="44">
        <f>'Loyd List 1-190 - Edit'!T16</f>
        <v>1</v>
      </c>
      <c r="F15" s="124">
        <f t="shared" si="5"/>
        <v>6</v>
      </c>
      <c r="G15" s="125" t="str">
        <f t="shared" si="6"/>
        <v xml:space="preserve">6 – William (1809–1879: #10) Eliza (1810–1861: #12)  Maria (1814–1900: #16) Edward (1815–1815: #17) John (1817–1818: #20) Lewis (1819–1841: #21)  </v>
      </c>
      <c r="H15" s="124"/>
      <c r="I15" s="124" t="str">
        <f t="shared" si="7"/>
        <v>William (1809–1879: #10)</v>
      </c>
      <c r="J15" s="124" t="str">
        <f t="shared" si="8"/>
        <v>Eliza (1810–1861: #12)</v>
      </c>
      <c r="K15" s="124" t="str">
        <f t="shared" si="9"/>
        <v/>
      </c>
      <c r="L15" s="124" t="str">
        <f t="shared" si="10"/>
        <v>Maria (1814–1900: #16)</v>
      </c>
      <c r="M15" s="124" t="str">
        <f t="shared" si="11"/>
        <v>Edward (1815–1815: #17)</v>
      </c>
      <c r="N15" s="124" t="str">
        <f t="shared" si="12"/>
        <v>John (1817–1818: #20)</v>
      </c>
      <c r="O15" s="124" t="str">
        <f t="shared" si="13"/>
        <v>Lewis (1819–1841: #21)</v>
      </c>
      <c r="P15" s="124"/>
      <c r="Q15" s="124"/>
      <c r="S15">
        <f t="shared" si="2"/>
        <v>32</v>
      </c>
      <c r="T15">
        <f t="shared" si="14"/>
        <v>2</v>
      </c>
      <c r="U15">
        <f t="shared" si="15"/>
        <v>54</v>
      </c>
      <c r="V15">
        <f t="shared" si="3"/>
        <v>67</v>
      </c>
      <c r="W15" t="str">
        <f t="shared" si="3"/>
        <v/>
      </c>
      <c r="X15" t="str">
        <f t="shared" si="3"/>
        <v/>
      </c>
      <c r="Y15" t="str">
        <f t="shared" si="3"/>
        <v/>
      </c>
      <c r="Z15" t="str">
        <f t="shared" si="3"/>
        <v/>
      </c>
      <c r="AA15" t="str">
        <f t="shared" si="3"/>
        <v/>
      </c>
      <c r="AB15" t="str">
        <f t="shared" si="3"/>
        <v/>
      </c>
      <c r="AC15" t="str">
        <f t="shared" si="3"/>
        <v/>
      </c>
      <c r="AG15" t="str">
        <f t="shared" si="16"/>
        <v>Alfred (1882–1919: #54)</v>
      </c>
      <c r="AH15" t="str">
        <f t="shared" si="17"/>
        <v>Tony/Dodo (1889–1956: #67)</v>
      </c>
      <c r="AI15" t="str">
        <f t="shared" si="18"/>
        <v/>
      </c>
      <c r="AJ15" t="str">
        <f t="shared" si="19"/>
        <v/>
      </c>
      <c r="AK15" t="str">
        <f t="shared" si="20"/>
        <v/>
      </c>
      <c r="AL15" t="str">
        <f t="shared" si="21"/>
        <v/>
      </c>
      <c r="AM15" t="str">
        <f t="shared" si="22"/>
        <v/>
      </c>
      <c r="AN15" t="str">
        <f t="shared" si="23"/>
        <v/>
      </c>
      <c r="AO15" t="str">
        <f t="shared" si="24"/>
        <v/>
      </c>
      <c r="AP15" s="60">
        <f t="shared" si="25"/>
        <v>32</v>
      </c>
      <c r="AQ15" s="60" t="str">
        <f t="shared" si="26"/>
        <v>2 - Alfred (1882–1919: #54); Tony/Dodo (1889–1956: #67)</v>
      </c>
      <c r="AS15" s="72">
        <v>32</v>
      </c>
      <c r="CU15">
        <v>54</v>
      </c>
      <c r="DH15">
        <v>67</v>
      </c>
      <c r="IC15">
        <v>121</v>
      </c>
    </row>
    <row r="16" spans="1:237" ht="17" thickBot="1">
      <c r="A16" s="12">
        <f>'Book Details - NO EDIT'!A17</f>
        <v>15</v>
      </c>
      <c r="B16" s="112" t="str">
        <f>'Book Details - NO EDIT'!X17</f>
        <v>Annie (1813–1834: #15)</v>
      </c>
      <c r="C16" s="113">
        <f>'Book Details - NO EDIT'!L17</f>
        <v>8</v>
      </c>
      <c r="D16" s="44">
        <f>'Loyd List 1-190 - Edit'!T17</f>
        <v>1</v>
      </c>
      <c r="F16" s="124">
        <f t="shared" si="5"/>
        <v>7</v>
      </c>
      <c r="G16" s="125" t="str">
        <f t="shared" si="6"/>
        <v xml:space="preserve">7 – Sarah (1810–1858: #11) Lewis (1811–1891: #13)  Kate (1815–1905: #18) Hannah (1817–1907: #19) Edward (1820–1890: #22) William (1821–1885: #23) Fanny (1824–1856: #24) </v>
      </c>
      <c r="H16" s="124"/>
      <c r="I16" s="124" t="str">
        <f t="shared" si="7"/>
        <v>Sarah (1810–1858: #11)</v>
      </c>
      <c r="J16" s="124" t="str">
        <f t="shared" si="8"/>
        <v>Lewis (1811–1891: #13)</v>
      </c>
      <c r="K16" s="124" t="str">
        <f t="shared" si="9"/>
        <v/>
      </c>
      <c r="L16" s="124" t="str">
        <f t="shared" si="10"/>
        <v>Kate (1815–1905: #18)</v>
      </c>
      <c r="M16" s="124" t="str">
        <f t="shared" si="11"/>
        <v>Hannah (1817–1907: #19)</v>
      </c>
      <c r="N16" s="124" t="str">
        <f t="shared" si="12"/>
        <v>Edward (1820–1890: #22)</v>
      </c>
      <c r="O16" s="124" t="str">
        <f t="shared" si="13"/>
        <v>William (1821–1885: #23)</v>
      </c>
      <c r="P16" s="124" t="str">
        <f t="shared" si="27"/>
        <v>Fanny (1824–1856: #24)</v>
      </c>
      <c r="Q16" s="124"/>
      <c r="S16">
        <f t="shared" si="2"/>
        <v>34</v>
      </c>
      <c r="T16">
        <f t="shared" si="14"/>
        <v>3</v>
      </c>
      <c r="U16">
        <f t="shared" si="15"/>
        <v>65</v>
      </c>
      <c r="V16">
        <f t="shared" si="3"/>
        <v>71</v>
      </c>
      <c r="W16">
        <f t="shared" si="3"/>
        <v>76</v>
      </c>
      <c r="X16" t="str">
        <f t="shared" si="3"/>
        <v/>
      </c>
      <c r="Y16" t="str">
        <f t="shared" si="3"/>
        <v/>
      </c>
      <c r="Z16" t="str">
        <f t="shared" si="3"/>
        <v/>
      </c>
      <c r="AA16" t="str">
        <f t="shared" si="3"/>
        <v/>
      </c>
      <c r="AB16" t="str">
        <f t="shared" si="3"/>
        <v/>
      </c>
      <c r="AC16" t="str">
        <f t="shared" si="3"/>
        <v/>
      </c>
      <c r="AG16" t="str">
        <f t="shared" si="16"/>
        <v>Nan (1889–1967: #65)</v>
      </c>
      <c r="AH16" t="str">
        <f t="shared" si="17"/>
        <v>Arthur (1890–1974: #71)</v>
      </c>
      <c r="AI16" t="str">
        <f t="shared" si="18"/>
        <v>Edward (1893–1932: #76)</v>
      </c>
      <c r="AJ16" t="str">
        <f t="shared" si="19"/>
        <v/>
      </c>
      <c r="AK16" t="str">
        <f t="shared" si="20"/>
        <v/>
      </c>
      <c r="AL16" t="str">
        <f t="shared" si="21"/>
        <v/>
      </c>
      <c r="AM16" t="str">
        <f t="shared" si="22"/>
        <v/>
      </c>
      <c r="AN16" t="str">
        <f t="shared" si="23"/>
        <v/>
      </c>
      <c r="AO16" t="str">
        <f t="shared" si="24"/>
        <v/>
      </c>
      <c r="AP16" s="60">
        <f t="shared" si="25"/>
        <v>34</v>
      </c>
      <c r="AQ16" s="60" t="str">
        <f t="shared" si="26"/>
        <v>3 - Nan (1889–1967: #65); Arthur (1890–1974: #71); Edward (1893–1932: #76)</v>
      </c>
      <c r="AS16" s="72">
        <v>34</v>
      </c>
      <c r="DF16">
        <v>65</v>
      </c>
      <c r="DL16">
        <v>71</v>
      </c>
      <c r="DQ16">
        <v>76</v>
      </c>
      <c r="IC16">
        <v>212</v>
      </c>
    </row>
    <row r="17" spans="1:237" ht="17" thickBot="1">
      <c r="A17" s="12">
        <f>'Book Details - NO EDIT'!A18</f>
        <v>16</v>
      </c>
      <c r="B17" s="112" t="str">
        <f>'Book Details - NO EDIT'!X18</f>
        <v>Maria (1814–1900: #16)</v>
      </c>
      <c r="C17" s="113">
        <f>'Book Details - NO EDIT'!L18</f>
        <v>4</v>
      </c>
      <c r="D17" s="44">
        <f>'Loyd List 1-190 - Edit'!T18</f>
        <v>1</v>
      </c>
      <c r="F17" s="124">
        <f t="shared" si="5"/>
        <v>6</v>
      </c>
      <c r="G17" s="125" t="str">
        <f t="shared" si="6"/>
        <v xml:space="preserve">6 – William (1809–1879: #10) Eliza (1810–1861: #12) Thomas (1812–1857: #14)  Edward (1815–1815: #17) John (1817–1818: #20) Lewis (1819–1841: #21)  </v>
      </c>
      <c r="H17" s="124"/>
      <c r="I17" s="124" t="str">
        <f t="shared" si="7"/>
        <v>William (1809–1879: #10)</v>
      </c>
      <c r="J17" s="124" t="str">
        <f t="shared" si="8"/>
        <v>Eliza (1810–1861: #12)</v>
      </c>
      <c r="K17" s="124" t="str">
        <f t="shared" si="9"/>
        <v>Thomas (1812–1857: #14)</v>
      </c>
      <c r="L17" s="124" t="str">
        <f t="shared" si="10"/>
        <v/>
      </c>
      <c r="M17" s="124" t="str">
        <f t="shared" si="11"/>
        <v>Edward (1815–1815: #17)</v>
      </c>
      <c r="N17" s="124" t="str">
        <f t="shared" si="12"/>
        <v>John (1817–1818: #20)</v>
      </c>
      <c r="O17" s="124" t="str">
        <f t="shared" si="13"/>
        <v>Lewis (1819–1841: #21)</v>
      </c>
      <c r="P17" s="124"/>
      <c r="Q17" s="124"/>
      <c r="S17">
        <f t="shared" si="2"/>
        <v>35</v>
      </c>
      <c r="T17">
        <f t="shared" si="14"/>
        <v>3</v>
      </c>
      <c r="U17">
        <f t="shared" si="15"/>
        <v>55</v>
      </c>
      <c r="V17">
        <f t="shared" si="3"/>
        <v>57</v>
      </c>
      <c r="W17">
        <f t="shared" si="3"/>
        <v>64</v>
      </c>
      <c r="X17" t="str">
        <f t="shared" si="3"/>
        <v/>
      </c>
      <c r="Y17" t="str">
        <f t="shared" si="3"/>
        <v/>
      </c>
      <c r="Z17" t="str">
        <f t="shared" si="3"/>
        <v/>
      </c>
      <c r="AA17" t="str">
        <f t="shared" si="3"/>
        <v/>
      </c>
      <c r="AB17" t="str">
        <f t="shared" si="3"/>
        <v/>
      </c>
      <c r="AC17" t="str">
        <f t="shared" si="3"/>
        <v/>
      </c>
      <c r="AG17" t="str">
        <f t="shared" si="16"/>
        <v>Dick (1882–1950: #55)</v>
      </c>
      <c r="AH17" t="str">
        <f t="shared" si="17"/>
        <v>Robert (1884–1917: #57)</v>
      </c>
      <c r="AI17" t="str">
        <f t="shared" si="18"/>
        <v>Gertrude (1887–1917: #64)</v>
      </c>
      <c r="AJ17" t="str">
        <f t="shared" si="19"/>
        <v/>
      </c>
      <c r="AK17" t="str">
        <f t="shared" si="20"/>
        <v/>
      </c>
      <c r="AL17" t="str">
        <f t="shared" si="21"/>
        <v/>
      </c>
      <c r="AM17" t="str">
        <f t="shared" si="22"/>
        <v/>
      </c>
      <c r="AN17" t="str">
        <f t="shared" si="23"/>
        <v/>
      </c>
      <c r="AO17" t="str">
        <f t="shared" si="24"/>
        <v/>
      </c>
      <c r="AP17" s="60">
        <f t="shared" si="25"/>
        <v>35</v>
      </c>
      <c r="AQ17" s="60" t="str">
        <f t="shared" si="26"/>
        <v>3 - Dick (1882–1950: #55); Robert (1884–1917: #57); Gertrude (1887–1917: #64)</v>
      </c>
      <c r="AS17" s="72">
        <v>35</v>
      </c>
      <c r="CV17">
        <v>55</v>
      </c>
      <c r="CX17">
        <v>57</v>
      </c>
      <c r="DE17">
        <v>64</v>
      </c>
      <c r="IC17">
        <v>176</v>
      </c>
    </row>
    <row r="18" spans="1:237" ht="17" thickBot="1">
      <c r="A18" s="12">
        <f>'Book Details - NO EDIT'!A19</f>
        <v>17</v>
      </c>
      <c r="B18" s="112" t="str">
        <f>'Book Details - NO EDIT'!X19</f>
        <v>Edward (1815–1815: #17)</v>
      </c>
      <c r="C18" s="113">
        <f>'Book Details - NO EDIT'!L19</f>
        <v>4</v>
      </c>
      <c r="D18" s="44">
        <f>'Loyd List 1-190 - Edit'!T19</f>
        <v>1</v>
      </c>
      <c r="F18" s="124">
        <f t="shared" si="5"/>
        <v>6</v>
      </c>
      <c r="G18" s="125" t="str">
        <f t="shared" si="6"/>
        <v xml:space="preserve">6 – William (1809–1879: #10) Eliza (1810–1861: #12) Thomas (1812–1857: #14) Maria (1814–1900: #16)  John (1817–1818: #20) Lewis (1819–1841: #21)  </v>
      </c>
      <c r="H18" s="124"/>
      <c r="I18" s="124" t="str">
        <f t="shared" si="7"/>
        <v>William (1809–1879: #10)</v>
      </c>
      <c r="J18" s="124" t="str">
        <f t="shared" si="8"/>
        <v>Eliza (1810–1861: #12)</v>
      </c>
      <c r="K18" s="124" t="str">
        <f t="shared" si="9"/>
        <v>Thomas (1812–1857: #14)</v>
      </c>
      <c r="L18" s="124" t="str">
        <f t="shared" si="10"/>
        <v>Maria (1814–1900: #16)</v>
      </c>
      <c r="M18" s="124" t="str">
        <f t="shared" si="11"/>
        <v/>
      </c>
      <c r="N18" s="124" t="str">
        <f t="shared" si="12"/>
        <v>John (1817–1818: #20)</v>
      </c>
      <c r="O18" s="124" t="str">
        <f t="shared" si="13"/>
        <v>Lewis (1819–1841: #21)</v>
      </c>
      <c r="P18" s="124"/>
      <c r="Q18" s="124"/>
      <c r="S18">
        <f t="shared" si="2"/>
        <v>41</v>
      </c>
      <c r="T18">
        <f t="shared" si="14"/>
        <v>5</v>
      </c>
      <c r="U18">
        <f t="shared" si="15"/>
        <v>52</v>
      </c>
      <c r="V18">
        <f t="shared" si="3"/>
        <v>53</v>
      </c>
      <c r="W18">
        <f t="shared" si="3"/>
        <v>59</v>
      </c>
      <c r="X18">
        <f t="shared" si="3"/>
        <v>63</v>
      </c>
      <c r="Y18">
        <f t="shared" si="3"/>
        <v>74</v>
      </c>
      <c r="Z18" t="str">
        <f t="shared" si="3"/>
        <v/>
      </c>
      <c r="AA18" t="str">
        <f t="shared" si="3"/>
        <v/>
      </c>
      <c r="AB18" t="str">
        <f t="shared" si="3"/>
        <v/>
      </c>
      <c r="AC18" t="str">
        <f t="shared" si="3"/>
        <v/>
      </c>
      <c r="AG18" t="str">
        <f t="shared" si="16"/>
        <v>Lewis (1880–1918: #52)</v>
      </c>
      <c r="AH18" t="str">
        <f t="shared" si="17"/>
        <v>Edward (1881–1962: #53)</v>
      </c>
      <c r="AI18" t="str">
        <f t="shared" si="18"/>
        <v>Evelyn (1885–1962: #59)</v>
      </c>
      <c r="AJ18" t="str">
        <f t="shared" si="19"/>
        <v>Mary (1887–1968: #63)</v>
      </c>
      <c r="AK18" t="str">
        <f t="shared" si="20"/>
        <v>Cecily (1891–1891: #74)</v>
      </c>
      <c r="AL18" t="str">
        <f t="shared" si="21"/>
        <v/>
      </c>
      <c r="AM18" t="str">
        <f t="shared" si="22"/>
        <v/>
      </c>
      <c r="AN18" t="str">
        <f t="shared" si="23"/>
        <v/>
      </c>
      <c r="AO18" t="str">
        <f t="shared" si="24"/>
        <v/>
      </c>
      <c r="AP18" s="60">
        <f t="shared" si="25"/>
        <v>41</v>
      </c>
      <c r="AQ18" s="60" t="str">
        <f t="shared" si="26"/>
        <v>5 - Lewis (1880–1918: #52); Edward (1881–1962: #53); Evelyn (1885–1962: #59); Mary (1887–1968: #63); Cecily (1891–1891: #74)</v>
      </c>
      <c r="AS18" s="72">
        <v>41</v>
      </c>
      <c r="CS18">
        <v>52</v>
      </c>
      <c r="CT18">
        <v>53</v>
      </c>
      <c r="CZ18">
        <v>59</v>
      </c>
      <c r="DD18">
        <v>63</v>
      </c>
      <c r="DO18">
        <v>74</v>
      </c>
      <c r="IC18">
        <v>301</v>
      </c>
    </row>
    <row r="19" spans="1:237" ht="17" thickBot="1">
      <c r="A19" s="12">
        <f>'Book Details - NO EDIT'!A20</f>
        <v>18</v>
      </c>
      <c r="B19" s="112" t="str">
        <f>'Book Details - NO EDIT'!X20</f>
        <v>Kate (1815–1905: #18)</v>
      </c>
      <c r="C19" s="113">
        <f>'Book Details - NO EDIT'!L20</f>
        <v>8</v>
      </c>
      <c r="D19" s="44">
        <f>'Loyd List 1-190 - Edit'!T20</f>
        <v>1</v>
      </c>
      <c r="F19" s="124">
        <f t="shared" si="5"/>
        <v>7</v>
      </c>
      <c r="G19" s="125" t="str">
        <f t="shared" si="6"/>
        <v xml:space="preserve">7 – Sarah (1810–1858: #11) Lewis (1811–1891: #13) Annie (1813–1834: #15)  Hannah (1817–1907: #19) Edward (1820–1890: #22) William (1821–1885: #23) Fanny (1824–1856: #24) </v>
      </c>
      <c r="H19" s="124"/>
      <c r="I19" s="124" t="str">
        <f t="shared" si="7"/>
        <v>Sarah (1810–1858: #11)</v>
      </c>
      <c r="J19" s="124" t="str">
        <f t="shared" si="8"/>
        <v>Lewis (1811–1891: #13)</v>
      </c>
      <c r="K19" s="124" t="str">
        <f t="shared" si="9"/>
        <v>Annie (1813–1834: #15)</v>
      </c>
      <c r="L19" s="124" t="str">
        <f t="shared" si="10"/>
        <v/>
      </c>
      <c r="M19" s="124" t="str">
        <f t="shared" si="11"/>
        <v>Hannah (1817–1907: #19)</v>
      </c>
      <c r="N19" s="124" t="str">
        <f t="shared" si="12"/>
        <v>Edward (1820–1890: #22)</v>
      </c>
      <c r="O19" s="124" t="str">
        <f t="shared" si="13"/>
        <v>William (1821–1885: #23)</v>
      </c>
      <c r="P19" s="124" t="str">
        <f t="shared" si="27"/>
        <v>Fanny (1824–1856: #24)</v>
      </c>
      <c r="Q19" s="124"/>
      <c r="S19">
        <f t="shared" si="2"/>
        <v>44</v>
      </c>
      <c r="T19">
        <f t="shared" si="14"/>
        <v>3</v>
      </c>
      <c r="U19">
        <f t="shared" si="15"/>
        <v>66</v>
      </c>
      <c r="V19">
        <f t="shared" si="15"/>
        <v>72</v>
      </c>
      <c r="W19">
        <f t="shared" si="15"/>
        <v>81</v>
      </c>
      <c r="X19" t="str">
        <f t="shared" si="15"/>
        <v/>
      </c>
      <c r="Y19" t="str">
        <f t="shared" si="15"/>
        <v/>
      </c>
      <c r="Z19" t="str">
        <f t="shared" si="15"/>
        <v/>
      </c>
      <c r="AA19" t="str">
        <f t="shared" si="15"/>
        <v/>
      </c>
      <c r="AB19" t="str">
        <f t="shared" si="15"/>
        <v/>
      </c>
      <c r="AC19" t="str">
        <f t="shared" si="15"/>
        <v/>
      </c>
      <c r="AG19" t="str">
        <f t="shared" si="16"/>
        <v>William (1889–1947: #66)</v>
      </c>
      <c r="AH19" t="str">
        <f t="shared" si="17"/>
        <v>Charles (1891–1973: #72)</v>
      </c>
      <c r="AI19" t="str">
        <f t="shared" si="18"/>
        <v>Reginald (1885–1917: #81)</v>
      </c>
      <c r="AJ19" t="str">
        <f t="shared" si="19"/>
        <v/>
      </c>
      <c r="AK19" t="str">
        <f t="shared" si="20"/>
        <v/>
      </c>
      <c r="AL19" t="str">
        <f t="shared" si="21"/>
        <v/>
      </c>
      <c r="AM19" t="str">
        <f t="shared" si="22"/>
        <v/>
      </c>
      <c r="AN19" t="str">
        <f t="shared" si="23"/>
        <v/>
      </c>
      <c r="AO19" t="str">
        <f t="shared" si="24"/>
        <v/>
      </c>
      <c r="AP19" s="60">
        <f t="shared" si="25"/>
        <v>44</v>
      </c>
      <c r="AQ19" s="60" t="str">
        <f t="shared" si="26"/>
        <v>3 - William (1889–1947: #66); Charles (1891–1973: #72); Reginald (1885–1917: #81)</v>
      </c>
      <c r="AS19" s="72">
        <v>44</v>
      </c>
      <c r="DG19">
        <v>66</v>
      </c>
      <c r="DM19">
        <v>72</v>
      </c>
      <c r="DV19">
        <v>81</v>
      </c>
      <c r="IC19">
        <v>219</v>
      </c>
    </row>
    <row r="20" spans="1:237" ht="17" thickBot="1">
      <c r="A20" s="12">
        <f>'Book Details - NO EDIT'!A21</f>
        <v>19</v>
      </c>
      <c r="B20" s="112" t="str">
        <f>'Book Details - NO EDIT'!X21</f>
        <v>Hannah (1817–1907: #19)</v>
      </c>
      <c r="C20" s="113">
        <f>'Book Details - NO EDIT'!L21</f>
        <v>8</v>
      </c>
      <c r="D20" s="44">
        <f>'Loyd List 1-190 - Edit'!T21</f>
        <v>1</v>
      </c>
      <c r="F20" s="124">
        <f t="shared" si="5"/>
        <v>7</v>
      </c>
      <c r="G20" s="125" t="str">
        <f t="shared" si="6"/>
        <v xml:space="preserve">7 – Sarah (1810–1858: #11) Lewis (1811–1891: #13) Annie (1813–1834: #15) Kate (1815–1905: #18)  Edward (1820–1890: #22) William (1821–1885: #23) Fanny (1824–1856: #24) </v>
      </c>
      <c r="H20" s="124"/>
      <c r="I20" s="124" t="str">
        <f t="shared" si="7"/>
        <v>Sarah (1810–1858: #11)</v>
      </c>
      <c r="J20" s="124" t="str">
        <f t="shared" si="8"/>
        <v>Lewis (1811–1891: #13)</v>
      </c>
      <c r="K20" s="124" t="str">
        <f t="shared" si="9"/>
        <v>Annie (1813–1834: #15)</v>
      </c>
      <c r="L20" s="124" t="str">
        <f t="shared" si="10"/>
        <v>Kate (1815–1905: #18)</v>
      </c>
      <c r="M20" s="124" t="str">
        <f t="shared" si="11"/>
        <v/>
      </c>
      <c r="N20" s="124" t="str">
        <f t="shared" si="12"/>
        <v>Edward (1820–1890: #22)</v>
      </c>
      <c r="O20" s="124" t="str">
        <f t="shared" si="13"/>
        <v>William (1821–1885: #23)</v>
      </c>
      <c r="P20" s="124" t="str">
        <f t="shared" si="27"/>
        <v>Fanny (1824–1856: #24)</v>
      </c>
      <c r="Q20" s="124"/>
      <c r="S20">
        <f t="shared" si="2"/>
        <v>45</v>
      </c>
      <c r="T20">
        <f t="shared" si="14"/>
        <v>4</v>
      </c>
      <c r="U20">
        <f t="shared" si="15"/>
        <v>68</v>
      </c>
      <c r="V20">
        <f t="shared" si="15"/>
        <v>73</v>
      </c>
      <c r="W20">
        <f t="shared" si="15"/>
        <v>79</v>
      </c>
      <c r="X20">
        <f t="shared" si="15"/>
        <v>83</v>
      </c>
      <c r="Y20" t="str">
        <f t="shared" si="15"/>
        <v/>
      </c>
      <c r="Z20" t="str">
        <f t="shared" si="15"/>
        <v/>
      </c>
      <c r="AA20" t="str">
        <f t="shared" si="15"/>
        <v/>
      </c>
      <c r="AB20" t="str">
        <f t="shared" si="15"/>
        <v/>
      </c>
      <c r="AC20" t="str">
        <f t="shared" si="15"/>
        <v/>
      </c>
      <c r="AG20" t="str">
        <f t="shared" si="16"/>
        <v>Cecil (1890–1963: #68)</v>
      </c>
      <c r="AH20" t="str">
        <f t="shared" si="17"/>
        <v>Eric (1891–1967: #73)</v>
      </c>
      <c r="AI20" t="str">
        <f t="shared" si="18"/>
        <v>Alwyne (1894–1917: #79)</v>
      </c>
      <c r="AJ20" t="str">
        <f t="shared" si="19"/>
        <v>Ruby (1898–1977: #83)</v>
      </c>
      <c r="AK20" t="str">
        <f t="shared" si="20"/>
        <v/>
      </c>
      <c r="AL20" t="str">
        <f t="shared" si="21"/>
        <v/>
      </c>
      <c r="AM20" t="str">
        <f t="shared" si="22"/>
        <v/>
      </c>
      <c r="AN20" t="str">
        <f t="shared" si="23"/>
        <v/>
      </c>
      <c r="AO20" t="str">
        <f t="shared" si="24"/>
        <v/>
      </c>
      <c r="AP20" s="60">
        <f t="shared" si="25"/>
        <v>45</v>
      </c>
      <c r="AQ20" s="60" t="str">
        <f t="shared" si="26"/>
        <v>4 - Cecil (1890–1963: #68); Eric (1891–1967: #73); Alwyne (1894–1917: #79); Ruby (1898–1977: #83)</v>
      </c>
      <c r="AS20" s="72">
        <v>45</v>
      </c>
      <c r="DI20">
        <v>68</v>
      </c>
      <c r="DN20">
        <v>73</v>
      </c>
      <c r="DT20">
        <v>79</v>
      </c>
      <c r="DX20">
        <v>83</v>
      </c>
      <c r="IC20">
        <v>303</v>
      </c>
    </row>
    <row r="21" spans="1:237" ht="17" thickBot="1">
      <c r="A21" s="12">
        <f>'Book Details - NO EDIT'!A22</f>
        <v>20</v>
      </c>
      <c r="B21" s="112" t="str">
        <f>'Book Details - NO EDIT'!X22</f>
        <v>John (1817–1818: #20)</v>
      </c>
      <c r="C21" s="113">
        <f>'Book Details - NO EDIT'!L22</f>
        <v>4</v>
      </c>
      <c r="D21" s="44">
        <f>'Loyd List 1-190 - Edit'!T22</f>
        <v>1</v>
      </c>
      <c r="F21" s="124">
        <f t="shared" si="5"/>
        <v>6</v>
      </c>
      <c r="G21" s="125" t="str">
        <f t="shared" si="6"/>
        <v xml:space="preserve">6 – William (1809–1879: #10) Eliza (1810–1861: #12) Thomas (1812–1857: #14) Maria (1814–1900: #16) Edward (1815–1815: #17)  Lewis (1819–1841: #21)  </v>
      </c>
      <c r="H21" s="124"/>
      <c r="I21" s="124" t="str">
        <f t="shared" si="7"/>
        <v>William (1809–1879: #10)</v>
      </c>
      <c r="J21" s="124" t="str">
        <f t="shared" si="8"/>
        <v>Eliza (1810–1861: #12)</v>
      </c>
      <c r="K21" s="124" t="str">
        <f t="shared" si="9"/>
        <v>Thomas (1812–1857: #14)</v>
      </c>
      <c r="L21" s="124" t="str">
        <f t="shared" si="10"/>
        <v>Maria (1814–1900: #16)</v>
      </c>
      <c r="M21" s="124" t="str">
        <f t="shared" si="11"/>
        <v>Edward (1815–1815: #17)</v>
      </c>
      <c r="N21" s="124" t="str">
        <f t="shared" si="12"/>
        <v/>
      </c>
      <c r="O21" s="124" t="str">
        <f t="shared" si="13"/>
        <v>Lewis (1819–1841: #21)</v>
      </c>
      <c r="P21" s="124"/>
      <c r="Q21" s="124"/>
      <c r="S21">
        <f t="shared" si="2"/>
        <v>46</v>
      </c>
      <c r="T21">
        <f t="shared" si="14"/>
        <v>5</v>
      </c>
      <c r="U21">
        <f t="shared" si="15"/>
        <v>70</v>
      </c>
      <c r="V21">
        <f t="shared" si="15"/>
        <v>75</v>
      </c>
      <c r="W21">
        <f t="shared" si="15"/>
        <v>78</v>
      </c>
      <c r="X21">
        <f t="shared" si="15"/>
        <v>82</v>
      </c>
      <c r="Y21">
        <f t="shared" si="15"/>
        <v>84</v>
      </c>
      <c r="Z21" t="str">
        <f t="shared" si="15"/>
        <v/>
      </c>
      <c r="AA21" t="str">
        <f t="shared" si="15"/>
        <v/>
      </c>
      <c r="AB21" t="str">
        <f t="shared" si="15"/>
        <v/>
      </c>
      <c r="AC21" t="str">
        <f t="shared" si="15"/>
        <v/>
      </c>
      <c r="AG21" t="str">
        <f t="shared" si="16"/>
        <v>Diana (1890–1963: #70)</v>
      </c>
      <c r="AH21" t="str">
        <f t="shared" si="17"/>
        <v>Godfrey (1893–1917: #75)</v>
      </c>
      <c r="AI21" t="str">
        <f t="shared" si="18"/>
        <v>Vivian (1894–1972: #78)</v>
      </c>
      <c r="AJ21" t="str">
        <f t="shared" si="19"/>
        <v>Wilfred (1896–1955: #82)</v>
      </c>
      <c r="AK21" t="str">
        <f t="shared" si="20"/>
        <v>Eddie (1902–1942: #84)</v>
      </c>
      <c r="AL21" t="str">
        <f t="shared" si="21"/>
        <v/>
      </c>
      <c r="AM21" t="str">
        <f t="shared" si="22"/>
        <v/>
      </c>
      <c r="AN21" t="str">
        <f t="shared" si="23"/>
        <v/>
      </c>
      <c r="AO21" t="str">
        <f t="shared" si="24"/>
        <v/>
      </c>
      <c r="AP21" s="60">
        <f t="shared" si="25"/>
        <v>46</v>
      </c>
      <c r="AQ21" s="60" t="str">
        <f t="shared" si="26"/>
        <v>5 - Diana (1890–1963: #70); Godfrey (1893–1917: #75); Vivian (1894–1972: #78); Wilfred (1896–1955: #82); Eddie (1902–1942: #84)</v>
      </c>
      <c r="AS21" s="72">
        <v>46</v>
      </c>
      <c r="DK21">
        <v>70</v>
      </c>
      <c r="DP21">
        <v>75</v>
      </c>
      <c r="DS21">
        <v>78</v>
      </c>
      <c r="DW21">
        <v>82</v>
      </c>
      <c r="DY21">
        <v>84</v>
      </c>
      <c r="IC21">
        <v>389</v>
      </c>
    </row>
    <row r="22" spans="1:237" ht="17" thickBot="1">
      <c r="A22" s="12">
        <f>'Book Details - NO EDIT'!A23</f>
        <v>21</v>
      </c>
      <c r="B22" s="112" t="str">
        <f>'Book Details - NO EDIT'!X23</f>
        <v>Lewis (1819–1841: #21)</v>
      </c>
      <c r="C22" s="113">
        <f>'Book Details - NO EDIT'!L23</f>
        <v>4</v>
      </c>
      <c r="D22" s="44">
        <f>'Loyd List 1-190 - Edit'!T23</f>
        <v>1</v>
      </c>
      <c r="F22" s="124">
        <f t="shared" si="5"/>
        <v>6</v>
      </c>
      <c r="G22" s="125" t="str">
        <f t="shared" si="6"/>
        <v xml:space="preserve">6 – William (1809–1879: #10) Eliza (1810–1861: #12) Thomas (1812–1857: #14) Maria (1814–1900: #16) Edward (1815–1815: #17) John (1817–1818: #20)   </v>
      </c>
      <c r="H22" s="124"/>
      <c r="I22" s="124" t="str">
        <f t="shared" si="7"/>
        <v>William (1809–1879: #10)</v>
      </c>
      <c r="J22" s="124" t="str">
        <f t="shared" si="8"/>
        <v>Eliza (1810–1861: #12)</v>
      </c>
      <c r="K22" s="124" t="str">
        <f t="shared" si="9"/>
        <v>Thomas (1812–1857: #14)</v>
      </c>
      <c r="L22" s="124" t="str">
        <f t="shared" si="10"/>
        <v>Maria (1814–1900: #16)</v>
      </c>
      <c r="M22" s="124" t="str">
        <f t="shared" si="11"/>
        <v>Edward (1815–1815: #17)</v>
      </c>
      <c r="N22" s="124" t="str">
        <f t="shared" si="12"/>
        <v>John (1817–1818: #20)</v>
      </c>
      <c r="O22" s="124" t="str">
        <f t="shared" si="13"/>
        <v/>
      </c>
      <c r="P22" s="124"/>
      <c r="Q22" s="124"/>
      <c r="S22">
        <f t="shared" si="2"/>
        <v>52</v>
      </c>
      <c r="T22">
        <f t="shared" si="14"/>
        <v>1</v>
      </c>
      <c r="U22">
        <f t="shared" si="15"/>
        <v>90</v>
      </c>
      <c r="V22" t="str">
        <f t="shared" si="15"/>
        <v/>
      </c>
      <c r="W22" t="str">
        <f t="shared" si="15"/>
        <v/>
      </c>
      <c r="X22" t="str">
        <f t="shared" si="15"/>
        <v/>
      </c>
      <c r="Y22" t="str">
        <f t="shared" si="15"/>
        <v/>
      </c>
      <c r="Z22" t="str">
        <f t="shared" si="15"/>
        <v/>
      </c>
      <c r="AA22" t="str">
        <f t="shared" si="15"/>
        <v/>
      </c>
      <c r="AB22" t="str">
        <f t="shared" si="15"/>
        <v/>
      </c>
      <c r="AC22" t="str">
        <f t="shared" si="15"/>
        <v/>
      </c>
      <c r="AG22" t="str">
        <f t="shared" si="16"/>
        <v>Averil (1917–1993: #90)</v>
      </c>
      <c r="AH22" t="str">
        <f t="shared" si="17"/>
        <v/>
      </c>
      <c r="AI22" t="str">
        <f t="shared" si="18"/>
        <v/>
      </c>
      <c r="AJ22" t="str">
        <f t="shared" si="19"/>
        <v/>
      </c>
      <c r="AK22" t="str">
        <f t="shared" si="20"/>
        <v/>
      </c>
      <c r="AL22" t="str">
        <f t="shared" si="21"/>
        <v/>
      </c>
      <c r="AM22" t="str">
        <f t="shared" si="22"/>
        <v/>
      </c>
      <c r="AN22" t="str">
        <f t="shared" si="23"/>
        <v/>
      </c>
      <c r="AO22" t="str">
        <f t="shared" si="24"/>
        <v/>
      </c>
      <c r="AP22" s="60">
        <f t="shared" si="25"/>
        <v>52</v>
      </c>
      <c r="AQ22" s="60" t="str">
        <f t="shared" si="26"/>
        <v>1 - Averil (1917–1993: #90)</v>
      </c>
      <c r="AS22" s="72">
        <v>52</v>
      </c>
      <c r="EE22">
        <v>90</v>
      </c>
      <c r="IC22">
        <v>90</v>
      </c>
    </row>
    <row r="23" spans="1:237" ht="17" thickBot="1">
      <c r="A23" s="12">
        <f>'Book Details - NO EDIT'!A24</f>
        <v>22</v>
      </c>
      <c r="B23" s="112" t="str">
        <f>'Book Details - NO EDIT'!X24</f>
        <v>Edward (1820–1890: #22)</v>
      </c>
      <c r="C23" s="113">
        <f>'Book Details - NO EDIT'!L24</f>
        <v>8</v>
      </c>
      <c r="D23" s="44">
        <f>'Loyd List 1-190 - Edit'!T24</f>
        <v>1</v>
      </c>
      <c r="F23" s="124">
        <f t="shared" si="5"/>
        <v>7</v>
      </c>
      <c r="G23" s="125" t="str">
        <f t="shared" si="6"/>
        <v xml:space="preserve">7 – Sarah (1810–1858: #11) Lewis (1811–1891: #13) Annie (1813–1834: #15) Kate (1815–1905: #18) Hannah (1817–1907: #19)  William (1821–1885: #23) Fanny (1824–1856: #24) </v>
      </c>
      <c r="H23" s="124"/>
      <c r="I23" s="124" t="str">
        <f t="shared" si="7"/>
        <v>Sarah (1810–1858: #11)</v>
      </c>
      <c r="J23" s="124" t="str">
        <f t="shared" si="8"/>
        <v>Lewis (1811–1891: #13)</v>
      </c>
      <c r="K23" s="124" t="str">
        <f t="shared" si="9"/>
        <v>Annie (1813–1834: #15)</v>
      </c>
      <c r="L23" s="124" t="str">
        <f t="shared" si="10"/>
        <v>Kate (1815–1905: #18)</v>
      </c>
      <c r="M23" s="124" t="str">
        <f t="shared" si="11"/>
        <v>Hannah (1817–1907: #19)</v>
      </c>
      <c r="N23" s="124" t="str">
        <f t="shared" si="12"/>
        <v/>
      </c>
      <c r="O23" s="124" t="str">
        <f t="shared" si="13"/>
        <v>William (1821–1885: #23)</v>
      </c>
      <c r="P23" s="124" t="str">
        <f t="shared" si="27"/>
        <v>Fanny (1824–1856: #24)</v>
      </c>
      <c r="Q23" s="124"/>
      <c r="S23">
        <f t="shared" si="2"/>
        <v>53</v>
      </c>
      <c r="T23">
        <f t="shared" si="14"/>
        <v>1</v>
      </c>
      <c r="U23">
        <f t="shared" si="15"/>
        <v>97</v>
      </c>
      <c r="V23" t="str">
        <f t="shared" si="15"/>
        <v/>
      </c>
      <c r="W23" t="str">
        <f t="shared" si="15"/>
        <v/>
      </c>
      <c r="X23" t="str">
        <f t="shared" si="15"/>
        <v/>
      </c>
      <c r="Y23" t="str">
        <f t="shared" si="15"/>
        <v/>
      </c>
      <c r="Z23" t="str">
        <f t="shared" si="15"/>
        <v/>
      </c>
      <c r="AA23" t="str">
        <f t="shared" si="15"/>
        <v/>
      </c>
      <c r="AB23" t="str">
        <f t="shared" si="15"/>
        <v/>
      </c>
      <c r="AC23" t="str">
        <f t="shared" si="15"/>
        <v/>
      </c>
      <c r="AG23" t="str">
        <f t="shared" si="16"/>
        <v>Audrey (1922–2005: #97)</v>
      </c>
      <c r="AH23" t="str">
        <f t="shared" si="17"/>
        <v/>
      </c>
      <c r="AI23" t="str">
        <f t="shared" si="18"/>
        <v/>
      </c>
      <c r="AJ23" t="str">
        <f t="shared" si="19"/>
        <v/>
      </c>
      <c r="AK23" t="str">
        <f t="shared" si="20"/>
        <v/>
      </c>
      <c r="AL23" t="str">
        <f t="shared" si="21"/>
        <v/>
      </c>
      <c r="AM23" t="str">
        <f t="shared" si="22"/>
        <v/>
      </c>
      <c r="AN23" t="str">
        <f t="shared" si="23"/>
        <v/>
      </c>
      <c r="AO23" t="str">
        <f t="shared" si="24"/>
        <v/>
      </c>
      <c r="AP23" s="60">
        <f t="shared" si="25"/>
        <v>53</v>
      </c>
      <c r="AQ23" s="60" t="str">
        <f t="shared" si="26"/>
        <v>1 - Audrey (1922–2005: #97)</v>
      </c>
      <c r="AS23" s="72">
        <v>53</v>
      </c>
      <c r="EL23">
        <v>97</v>
      </c>
      <c r="IC23">
        <v>97</v>
      </c>
    </row>
    <row r="24" spans="1:237" ht="17" thickBot="1">
      <c r="A24" s="12">
        <f>'Book Details - NO EDIT'!A25</f>
        <v>23</v>
      </c>
      <c r="B24" s="112" t="str">
        <f>'Book Details - NO EDIT'!X25</f>
        <v>William (1821–1885: #23)</v>
      </c>
      <c r="C24" s="113">
        <f>'Book Details - NO EDIT'!L25</f>
        <v>8</v>
      </c>
      <c r="D24" s="44">
        <f>'Loyd List 1-190 - Edit'!T25</f>
        <v>1</v>
      </c>
      <c r="F24" s="124">
        <f t="shared" si="5"/>
        <v>7</v>
      </c>
      <c r="G24" s="125" t="str">
        <f t="shared" si="6"/>
        <v xml:space="preserve">7 – Sarah (1810–1858: #11) Lewis (1811–1891: #13) Annie (1813–1834: #15) Kate (1815–1905: #18) Hannah (1817–1907: #19) Edward (1820–1890: #22)  Fanny (1824–1856: #24) </v>
      </c>
      <c r="H24" s="124"/>
      <c r="I24" s="124" t="str">
        <f t="shared" si="7"/>
        <v>Sarah (1810–1858: #11)</v>
      </c>
      <c r="J24" s="124" t="str">
        <f t="shared" si="8"/>
        <v>Lewis (1811–1891: #13)</v>
      </c>
      <c r="K24" s="124" t="str">
        <f t="shared" si="9"/>
        <v>Annie (1813–1834: #15)</v>
      </c>
      <c r="L24" s="124" t="str">
        <f t="shared" si="10"/>
        <v>Kate (1815–1905: #18)</v>
      </c>
      <c r="M24" s="124" t="str">
        <f t="shared" si="11"/>
        <v>Hannah (1817–1907: #19)</v>
      </c>
      <c r="N24" s="124" t="str">
        <f t="shared" si="12"/>
        <v>Edward (1820–1890: #22)</v>
      </c>
      <c r="O24" s="124" t="str">
        <f t="shared" si="13"/>
        <v/>
      </c>
      <c r="P24" s="124" t="str">
        <f t="shared" si="27"/>
        <v>Fanny (1824–1856: #24)</v>
      </c>
      <c r="Q24" s="124"/>
      <c r="S24">
        <f t="shared" si="2"/>
        <v>54</v>
      </c>
      <c r="T24">
        <f t="shared" si="14"/>
        <v>2</v>
      </c>
      <c r="U24">
        <f t="shared" si="15"/>
        <v>89</v>
      </c>
      <c r="V24">
        <f t="shared" si="15"/>
        <v>92</v>
      </c>
      <c r="W24" t="str">
        <f t="shared" si="15"/>
        <v/>
      </c>
      <c r="X24" t="str">
        <f t="shared" si="15"/>
        <v/>
      </c>
      <c r="Y24" t="str">
        <f t="shared" si="15"/>
        <v/>
      </c>
      <c r="Z24" t="str">
        <f t="shared" si="15"/>
        <v/>
      </c>
      <c r="AA24" t="str">
        <f t="shared" si="15"/>
        <v/>
      </c>
      <c r="AB24" t="str">
        <f t="shared" si="15"/>
        <v/>
      </c>
      <c r="AC24" t="str">
        <f t="shared" si="15"/>
        <v/>
      </c>
      <c r="AG24" t="str">
        <f t="shared" si="16"/>
        <v>Sir Francis/Frank (1916–2006: #89)</v>
      </c>
      <c r="AH24" t="str">
        <f t="shared" si="17"/>
        <v>Daphne (1917–1992: #92)</v>
      </c>
      <c r="AI24" t="str">
        <f t="shared" si="18"/>
        <v/>
      </c>
      <c r="AJ24" t="str">
        <f t="shared" si="19"/>
        <v/>
      </c>
      <c r="AK24" t="str">
        <f t="shared" si="20"/>
        <v/>
      </c>
      <c r="AL24" t="str">
        <f t="shared" si="21"/>
        <v/>
      </c>
      <c r="AM24" t="str">
        <f t="shared" si="22"/>
        <v/>
      </c>
      <c r="AN24" t="str">
        <f t="shared" si="23"/>
        <v/>
      </c>
      <c r="AO24" t="str">
        <f t="shared" si="24"/>
        <v/>
      </c>
      <c r="AP24" s="60">
        <f t="shared" si="25"/>
        <v>54</v>
      </c>
      <c r="AQ24" s="60" t="str">
        <f t="shared" si="26"/>
        <v>2 - Sir Francis/Frank (1916–2006: #89); Daphne (1917–1992: #92)</v>
      </c>
      <c r="AS24" s="72">
        <v>54</v>
      </c>
      <c r="ED24">
        <v>89</v>
      </c>
      <c r="EG24">
        <v>92</v>
      </c>
      <c r="IC24">
        <v>181</v>
      </c>
    </row>
    <row r="25" spans="1:237" ht="17" thickBot="1">
      <c r="A25" s="12">
        <f>'Book Details - NO EDIT'!A26</f>
        <v>24</v>
      </c>
      <c r="B25" s="112" t="str">
        <f>'Book Details - NO EDIT'!X26</f>
        <v>Fanny (1824–1856: #24)</v>
      </c>
      <c r="C25" s="113">
        <f>'Book Details - NO EDIT'!L26</f>
        <v>8</v>
      </c>
      <c r="D25" s="44">
        <f>'Loyd List 1-190 - Edit'!T26</f>
        <v>1</v>
      </c>
      <c r="F25" s="124">
        <f t="shared" si="5"/>
        <v>7</v>
      </c>
      <c r="G25" s="125" t="str">
        <f t="shared" si="6"/>
        <v xml:space="preserve">7 – Sarah (1810–1858: #11) Lewis (1811–1891: #13) Annie (1813–1834: #15) Kate (1815–1905: #18) Hannah (1817–1907: #19) Edward (1820–1890: #22) William (1821–1885: #23)  </v>
      </c>
      <c r="H25" s="124"/>
      <c r="I25" s="124" t="str">
        <f t="shared" si="7"/>
        <v>Sarah (1810–1858: #11)</v>
      </c>
      <c r="J25" s="124" t="str">
        <f t="shared" si="8"/>
        <v>Lewis (1811–1891: #13)</v>
      </c>
      <c r="K25" s="124" t="str">
        <f t="shared" si="9"/>
        <v>Annie (1813–1834: #15)</v>
      </c>
      <c r="L25" s="124" t="str">
        <f t="shared" si="10"/>
        <v>Kate (1815–1905: #18)</v>
      </c>
      <c r="M25" s="124" t="str">
        <f t="shared" si="11"/>
        <v>Hannah (1817–1907: #19)</v>
      </c>
      <c r="N25" s="124" t="str">
        <f t="shared" si="12"/>
        <v>Edward (1820–1890: #22)</v>
      </c>
      <c r="O25" s="124" t="str">
        <f t="shared" si="13"/>
        <v>William (1821–1885: #23)</v>
      </c>
      <c r="P25" s="124" t="str">
        <f t="shared" si="27"/>
        <v/>
      </c>
      <c r="Q25" s="124"/>
      <c r="S25">
        <f t="shared" si="2"/>
        <v>55</v>
      </c>
      <c r="T25">
        <f t="shared" si="14"/>
        <v>5</v>
      </c>
      <c r="U25">
        <f t="shared" si="15"/>
        <v>108</v>
      </c>
      <c r="V25">
        <f t="shared" si="15"/>
        <v>112</v>
      </c>
      <c r="W25">
        <f t="shared" si="15"/>
        <v>116</v>
      </c>
      <c r="X25">
        <f t="shared" si="15"/>
        <v>117</v>
      </c>
      <c r="Y25">
        <f t="shared" si="15"/>
        <v>118</v>
      </c>
      <c r="Z25" t="str">
        <f t="shared" si="15"/>
        <v/>
      </c>
      <c r="AA25" t="str">
        <f t="shared" si="15"/>
        <v/>
      </c>
      <c r="AB25" t="str">
        <f t="shared" si="15"/>
        <v/>
      </c>
      <c r="AC25" t="str">
        <f t="shared" si="15"/>
        <v/>
      </c>
      <c r="AG25" t="str">
        <f t="shared" si="16"/>
        <v>Jos (1931–: #108)</v>
      </c>
      <c r="AH25" t="str">
        <f t="shared" si="17"/>
        <v>Deen (1936–2016: #112)</v>
      </c>
      <c r="AI25" t="str">
        <f t="shared" si="18"/>
        <v>Peggy (1939–: #116)</v>
      </c>
      <c r="AJ25" t="str">
        <f t="shared" si="19"/>
        <v>Patrick (1942–: #117)</v>
      </c>
      <c r="AK25" t="str">
        <f t="shared" si="20"/>
        <v>Patricia (1942–1942: #118)</v>
      </c>
      <c r="AL25" t="str">
        <f t="shared" si="21"/>
        <v/>
      </c>
      <c r="AM25" t="str">
        <f t="shared" si="22"/>
        <v/>
      </c>
      <c r="AN25" t="str">
        <f t="shared" si="23"/>
        <v/>
      </c>
      <c r="AO25" t="str">
        <f t="shared" si="24"/>
        <v/>
      </c>
      <c r="AP25" s="60">
        <f t="shared" si="25"/>
        <v>55</v>
      </c>
      <c r="AQ25" s="60" t="str">
        <f t="shared" si="26"/>
        <v>5 - Jos (1931–: #108); Deen (1936–2016: #112); Peggy (1939–: #116); Patrick (1942–: #117); Patricia (1942–1942: #118)</v>
      </c>
      <c r="AS25" s="72">
        <v>55</v>
      </c>
      <c r="EW25">
        <v>108</v>
      </c>
      <c r="FA25">
        <v>112</v>
      </c>
      <c r="FE25">
        <v>116</v>
      </c>
      <c r="FF25">
        <v>117</v>
      </c>
      <c r="FG25">
        <v>118</v>
      </c>
      <c r="IC25">
        <v>571</v>
      </c>
    </row>
    <row r="26" spans="1:237" ht="17" thickBot="1">
      <c r="A26" s="12">
        <f>'Book Details - NO EDIT'!A27</f>
        <v>25</v>
      </c>
      <c r="B26" s="112" t="str">
        <f>'Book Details - NO EDIT'!X27</f>
        <v>Henry (1832–1833: #25)</v>
      </c>
      <c r="C26" s="113">
        <f>'Book Details - NO EDIT'!L27</f>
        <v>9</v>
      </c>
      <c r="D26" s="44">
        <f>'Loyd List 1-190 - Edit'!T27</f>
        <v>3</v>
      </c>
      <c r="F26" s="124">
        <f t="shared" si="5"/>
        <v>1</v>
      </c>
      <c r="G26" s="125" t="str">
        <f t="shared" si="6"/>
        <v xml:space="preserve">1 – The Hon Harriet (1837–1920: #26)       </v>
      </c>
      <c r="H26" s="124"/>
      <c r="I26" s="124" t="str">
        <f t="shared" si="7"/>
        <v/>
      </c>
      <c r="J26" s="124" t="str">
        <f t="shared" si="8"/>
        <v>The Hon Harriet (1837–1920: #26)</v>
      </c>
      <c r="K26" s="124"/>
      <c r="L26" s="124"/>
      <c r="M26" s="124"/>
      <c r="N26" s="124"/>
      <c r="O26" s="124"/>
      <c r="P26" s="124"/>
      <c r="Q26" s="124"/>
      <c r="S26">
        <f t="shared" si="2"/>
        <v>56</v>
      </c>
      <c r="T26">
        <f t="shared" si="14"/>
        <v>6</v>
      </c>
      <c r="U26">
        <f t="shared" si="15"/>
        <v>85</v>
      </c>
      <c r="V26">
        <f t="shared" si="15"/>
        <v>87</v>
      </c>
      <c r="W26">
        <f t="shared" si="15"/>
        <v>91</v>
      </c>
      <c r="X26">
        <f t="shared" si="15"/>
        <v>95</v>
      </c>
      <c r="Y26">
        <f t="shared" si="15"/>
        <v>100</v>
      </c>
      <c r="Z26">
        <f t="shared" si="15"/>
        <v>101</v>
      </c>
      <c r="AA26" t="str">
        <f t="shared" si="15"/>
        <v/>
      </c>
      <c r="AB26" t="str">
        <f t="shared" si="15"/>
        <v/>
      </c>
      <c r="AC26" t="str">
        <f t="shared" si="15"/>
        <v/>
      </c>
      <c r="AG26" t="str">
        <f t="shared" si="16"/>
        <v>Anne (1912–2004: #85)</v>
      </c>
      <c r="AH26" t="str">
        <f t="shared" si="17"/>
        <v>John (1913–1943: #87)</v>
      </c>
      <c r="AI26" t="str">
        <f t="shared" si="18"/>
        <v>Martin (1917–1926: #91)</v>
      </c>
      <c r="AJ26" t="str">
        <f t="shared" si="19"/>
        <v>Hester (1920–2002: #95)</v>
      </c>
      <c r="AK26" t="str">
        <f t="shared" si="20"/>
        <v>Christopher (1923–2013: #100)</v>
      </c>
      <c r="AL26" t="str">
        <f t="shared" si="21"/>
        <v>Catherine (1923–2014: #101)</v>
      </c>
      <c r="AM26" t="str">
        <f t="shared" si="22"/>
        <v/>
      </c>
      <c r="AN26" t="str">
        <f t="shared" si="23"/>
        <v/>
      </c>
      <c r="AO26" t="str">
        <f t="shared" si="24"/>
        <v/>
      </c>
      <c r="AP26" s="60">
        <f t="shared" si="25"/>
        <v>56</v>
      </c>
      <c r="AQ26" s="60" t="str">
        <f t="shared" si="26"/>
        <v>6 - Anne (1912–2004: #85); John (1913–1943: #87); Martin (1917–1926: #91); Hester (1920–2002: #95); Christopher (1923–2013: #100); Catherine (1923–2014: #101)</v>
      </c>
      <c r="AS26" s="72">
        <v>56</v>
      </c>
      <c r="DZ26">
        <v>85</v>
      </c>
      <c r="EB26">
        <v>87</v>
      </c>
      <c r="EF26">
        <v>91</v>
      </c>
      <c r="EJ26">
        <v>95</v>
      </c>
      <c r="EO26">
        <v>100</v>
      </c>
      <c r="EP26">
        <v>101</v>
      </c>
      <c r="IC26">
        <v>559</v>
      </c>
    </row>
    <row r="27" spans="1:237" ht="17" thickBot="1">
      <c r="A27" s="12">
        <f>'Book Details - NO EDIT'!A28</f>
        <v>26</v>
      </c>
      <c r="B27" s="112" t="str">
        <f>'Book Details - NO EDIT'!X28</f>
        <v>The Hon Harriet (1837–1920: #26)</v>
      </c>
      <c r="C27" s="113">
        <f>'Book Details - NO EDIT'!L28</f>
        <v>9</v>
      </c>
      <c r="D27" s="44">
        <f>'Loyd List 1-190 - Edit'!T28</f>
        <v>3</v>
      </c>
      <c r="F27" s="124">
        <f t="shared" si="5"/>
        <v>1</v>
      </c>
      <c r="G27" s="125" t="str">
        <f t="shared" si="6"/>
        <v xml:space="preserve">1 – Henry (1832–1833: #25)        </v>
      </c>
      <c r="H27" s="124"/>
      <c r="I27" s="124" t="str">
        <f t="shared" si="7"/>
        <v>Henry (1832–1833: #25)</v>
      </c>
      <c r="J27" s="124" t="str">
        <f t="shared" si="8"/>
        <v/>
      </c>
      <c r="K27" s="124"/>
      <c r="L27" s="124"/>
      <c r="M27" s="124"/>
      <c r="N27" s="124"/>
      <c r="O27" s="124"/>
      <c r="P27" s="124"/>
      <c r="Q27" s="124"/>
      <c r="S27">
        <f t="shared" si="2"/>
        <v>62</v>
      </c>
      <c r="T27">
        <f t="shared" si="14"/>
        <v>1</v>
      </c>
      <c r="U27">
        <f t="shared" si="15"/>
        <v>102</v>
      </c>
      <c r="V27" t="str">
        <f t="shared" si="15"/>
        <v/>
      </c>
      <c r="W27" t="str">
        <f t="shared" si="15"/>
        <v/>
      </c>
      <c r="X27" t="str">
        <f t="shared" si="15"/>
        <v/>
      </c>
      <c r="Y27" t="str">
        <f t="shared" si="15"/>
        <v/>
      </c>
      <c r="Z27" t="str">
        <f t="shared" si="15"/>
        <v/>
      </c>
      <c r="AA27" t="str">
        <f t="shared" si="15"/>
        <v/>
      </c>
      <c r="AB27" t="str">
        <f t="shared" si="15"/>
        <v/>
      </c>
      <c r="AC27" t="str">
        <f t="shared" si="15"/>
        <v/>
      </c>
      <c r="AG27" t="str">
        <f t="shared" si="16"/>
        <v>Zelda (1923–2014: #102)</v>
      </c>
      <c r="AH27" t="str">
        <f t="shared" si="17"/>
        <v/>
      </c>
      <c r="AI27" t="str">
        <f t="shared" si="18"/>
        <v/>
      </c>
      <c r="AJ27" t="str">
        <f t="shared" si="19"/>
        <v/>
      </c>
      <c r="AK27" t="str">
        <f t="shared" si="20"/>
        <v/>
      </c>
      <c r="AL27" t="str">
        <f t="shared" si="21"/>
        <v/>
      </c>
      <c r="AM27" t="str">
        <f t="shared" si="22"/>
        <v/>
      </c>
      <c r="AN27" t="str">
        <f t="shared" si="23"/>
        <v/>
      </c>
      <c r="AO27" t="str">
        <f t="shared" si="24"/>
        <v/>
      </c>
      <c r="AP27" s="60">
        <f t="shared" si="25"/>
        <v>62</v>
      </c>
      <c r="AQ27" s="60" t="str">
        <f t="shared" si="26"/>
        <v>1 - Zelda (1923–2014: #102)</v>
      </c>
      <c r="AS27" s="72">
        <v>62</v>
      </c>
      <c r="EQ27">
        <v>102</v>
      </c>
      <c r="IC27">
        <v>102</v>
      </c>
    </row>
    <row r="28" spans="1:237" ht="17" thickBot="1">
      <c r="A28" s="12">
        <f>'Book Details - NO EDIT'!A29</f>
        <v>27</v>
      </c>
      <c r="B28" s="112" t="str">
        <f>'Book Details - NO EDIT'!X29</f>
        <v>William (1843–1843: #27)</v>
      </c>
      <c r="C28" s="113">
        <f>'Book Details - NO EDIT'!L29</f>
        <v>14</v>
      </c>
      <c r="D28" s="44">
        <f>'Loyd List 1-190 - Edit'!T29</f>
        <v>4</v>
      </c>
      <c r="F28" s="124">
        <f t="shared" si="5"/>
        <v>7</v>
      </c>
      <c r="G28" s="125" t="str">
        <f t="shared" si="6"/>
        <v xml:space="preserve">7 – The Rev Lewis (1844–1905: #28) Arthur (1845–1930: #29) Archie (1847–1922: #30) Frank (1848–1934: #32) Alfred (1849–1881: #33) Ted (1851–1922: #34) Annie (1853–1946: #37) </v>
      </c>
      <c r="H28" s="124"/>
      <c r="I28" s="124" t="str">
        <f t="shared" si="7"/>
        <v/>
      </c>
      <c r="J28" s="124" t="str">
        <f t="shared" si="8"/>
        <v>The Rev Lewis (1844–1905: #28)</v>
      </c>
      <c r="K28" s="124" t="str">
        <f t="shared" si="9"/>
        <v>Arthur (1845–1930: #29)</v>
      </c>
      <c r="L28" s="124" t="str">
        <f t="shared" si="10"/>
        <v>Archie (1847–1922: #30)</v>
      </c>
      <c r="M28" s="124" t="str">
        <f t="shared" si="11"/>
        <v>Frank (1848–1934: #32)</v>
      </c>
      <c r="N28" s="124" t="str">
        <f t="shared" si="12"/>
        <v>Alfred (1849–1881: #33)</v>
      </c>
      <c r="O28" s="124" t="str">
        <f t="shared" si="13"/>
        <v>Ted (1851–1922: #34)</v>
      </c>
      <c r="P28" s="124" t="str">
        <f t="shared" si="27"/>
        <v>Annie (1853–1946: #37)</v>
      </c>
      <c r="Q28" s="124"/>
      <c r="S28">
        <f t="shared" si="2"/>
        <v>66</v>
      </c>
      <c r="T28">
        <f t="shared" si="14"/>
        <v>3</v>
      </c>
      <c r="U28">
        <f t="shared" si="15"/>
        <v>88</v>
      </c>
      <c r="V28">
        <f t="shared" si="15"/>
        <v>96</v>
      </c>
      <c r="W28">
        <f t="shared" si="15"/>
        <v>99</v>
      </c>
      <c r="X28" t="str">
        <f t="shared" si="15"/>
        <v/>
      </c>
      <c r="Y28" t="str">
        <f t="shared" si="15"/>
        <v/>
      </c>
      <c r="Z28" t="str">
        <f t="shared" si="15"/>
        <v/>
      </c>
      <c r="AA28" t="str">
        <f t="shared" si="15"/>
        <v/>
      </c>
      <c r="AB28" t="str">
        <f t="shared" si="15"/>
        <v/>
      </c>
      <c r="AC28" t="str">
        <f t="shared" si="15"/>
        <v/>
      </c>
      <c r="AG28" t="str">
        <f t="shared" si="16"/>
        <v>Delia (1915–2007: #88)</v>
      </c>
      <c r="AH28" t="str">
        <f t="shared" si="17"/>
        <v>Edward (1921–1977: #96)</v>
      </c>
      <c r="AI28" t="str">
        <f t="shared" si="18"/>
        <v>Peter (1923–1974: #99)</v>
      </c>
      <c r="AJ28" t="str">
        <f t="shared" si="19"/>
        <v/>
      </c>
      <c r="AK28" t="str">
        <f t="shared" si="20"/>
        <v/>
      </c>
      <c r="AL28" t="str">
        <f t="shared" si="21"/>
        <v/>
      </c>
      <c r="AM28" t="str">
        <f t="shared" si="22"/>
        <v/>
      </c>
      <c r="AN28" t="str">
        <f t="shared" si="23"/>
        <v/>
      </c>
      <c r="AO28" t="str">
        <f t="shared" si="24"/>
        <v/>
      </c>
      <c r="AP28" s="60">
        <f t="shared" si="25"/>
        <v>66</v>
      </c>
      <c r="AQ28" s="60" t="str">
        <f t="shared" si="26"/>
        <v>3 - Delia (1915–2007: #88); Edward (1921–1977: #96); Peter (1923–1974: #99)</v>
      </c>
      <c r="AS28" s="72">
        <v>66</v>
      </c>
      <c r="EC28">
        <v>88</v>
      </c>
      <c r="EK28">
        <v>96</v>
      </c>
      <c r="EN28">
        <v>99</v>
      </c>
      <c r="IC28">
        <v>283</v>
      </c>
    </row>
    <row r="29" spans="1:237" ht="17" thickBot="1">
      <c r="A29" s="12">
        <f>'Book Details - NO EDIT'!A30</f>
        <v>28</v>
      </c>
      <c r="B29" s="112" t="str">
        <f>'Book Details - NO EDIT'!X30</f>
        <v>The Rev Lewis (1844–1905: #28)</v>
      </c>
      <c r="C29" s="113">
        <f>'Book Details - NO EDIT'!L30</f>
        <v>14</v>
      </c>
      <c r="D29" s="44">
        <f>'Loyd List 1-190 - Edit'!T30</f>
        <v>4</v>
      </c>
      <c r="F29" s="124">
        <f t="shared" si="5"/>
        <v>7</v>
      </c>
      <c r="G29" s="125" t="str">
        <f t="shared" si="6"/>
        <v xml:space="preserve">7 – William (1843–1843: #27)  Arthur (1845–1930: #29) Archie (1847–1922: #30) Frank (1848–1934: #32) Alfred (1849–1881: #33) Ted (1851–1922: #34) Annie (1853–1946: #37) </v>
      </c>
      <c r="H29" s="124"/>
      <c r="I29" s="124" t="str">
        <f t="shared" si="7"/>
        <v>William (1843–1843: #27)</v>
      </c>
      <c r="J29" s="124" t="str">
        <f t="shared" si="8"/>
        <v/>
      </c>
      <c r="K29" s="124" t="str">
        <f t="shared" si="9"/>
        <v>Arthur (1845–1930: #29)</v>
      </c>
      <c r="L29" s="124" t="str">
        <f t="shared" si="10"/>
        <v>Archie (1847–1922: #30)</v>
      </c>
      <c r="M29" s="124" t="str">
        <f t="shared" si="11"/>
        <v>Frank (1848–1934: #32)</v>
      </c>
      <c r="N29" s="124" t="str">
        <f t="shared" si="12"/>
        <v>Alfred (1849–1881: #33)</v>
      </c>
      <c r="O29" s="124" t="str">
        <f t="shared" si="13"/>
        <v>Ted (1851–1922: #34)</v>
      </c>
      <c r="P29" s="124" t="str">
        <f t="shared" si="27"/>
        <v>Annie (1853–1946: #37)</v>
      </c>
      <c r="Q29" s="124"/>
      <c r="S29">
        <f t="shared" si="2"/>
        <v>68</v>
      </c>
      <c r="T29">
        <f t="shared" si="14"/>
        <v>2</v>
      </c>
      <c r="U29">
        <f t="shared" si="15"/>
        <v>93</v>
      </c>
      <c r="V29">
        <f t="shared" si="15"/>
        <v>94</v>
      </c>
      <c r="W29" t="str">
        <f t="shared" si="15"/>
        <v/>
      </c>
      <c r="X29" t="str">
        <f t="shared" si="15"/>
        <v/>
      </c>
      <c r="Y29" t="str">
        <f t="shared" si="15"/>
        <v/>
      </c>
      <c r="Z29" t="str">
        <f t="shared" si="15"/>
        <v/>
      </c>
      <c r="AA29" t="str">
        <f t="shared" si="15"/>
        <v/>
      </c>
      <c r="AB29" t="str">
        <f t="shared" si="15"/>
        <v/>
      </c>
      <c r="AC29" t="str">
        <f t="shared" si="15"/>
        <v/>
      </c>
      <c r="AG29" t="str">
        <f t="shared" si="16"/>
        <v>Jill (1920–2002: #93)</v>
      </c>
      <c r="AH29" t="str">
        <f t="shared" si="17"/>
        <v>Alwyne (1920–2014: #94)</v>
      </c>
      <c r="AI29" t="str">
        <f t="shared" si="18"/>
        <v/>
      </c>
      <c r="AJ29" t="str">
        <f t="shared" si="19"/>
        <v/>
      </c>
      <c r="AK29" t="str">
        <f t="shared" si="20"/>
        <v/>
      </c>
      <c r="AL29" t="str">
        <f t="shared" si="21"/>
        <v/>
      </c>
      <c r="AM29" t="str">
        <f t="shared" si="22"/>
        <v/>
      </c>
      <c r="AN29" t="str">
        <f t="shared" si="23"/>
        <v/>
      </c>
      <c r="AO29" t="str">
        <f t="shared" si="24"/>
        <v/>
      </c>
      <c r="AP29" s="60">
        <f t="shared" si="25"/>
        <v>68</v>
      </c>
      <c r="AQ29" s="60" t="str">
        <f t="shared" si="26"/>
        <v>2 - Jill (1920–2002: #93); Alwyne (1920–2014: #94)</v>
      </c>
      <c r="AS29" s="72">
        <v>68</v>
      </c>
      <c r="EH29">
        <v>93</v>
      </c>
      <c r="EI29">
        <v>94</v>
      </c>
      <c r="IC29">
        <v>187</v>
      </c>
    </row>
    <row r="30" spans="1:237" ht="17" thickBot="1">
      <c r="A30" s="12">
        <f>'Book Details - NO EDIT'!A31</f>
        <v>29</v>
      </c>
      <c r="B30" s="112" t="str">
        <f>'Book Details - NO EDIT'!X31</f>
        <v>Arthur (1845–1930: #29)</v>
      </c>
      <c r="C30" s="113">
        <f>'Book Details - NO EDIT'!L31</f>
        <v>14</v>
      </c>
      <c r="D30" s="44">
        <f>'Loyd List 1-190 - Edit'!T31</f>
        <v>4</v>
      </c>
      <c r="F30" s="124">
        <f t="shared" si="5"/>
        <v>7</v>
      </c>
      <c r="G30" s="125" t="str">
        <f t="shared" si="6"/>
        <v xml:space="preserve">7 – William (1843–1843: #27) The Rev Lewis (1844–1905: #28)  Archie (1847–1922: #30) Frank (1848–1934: #32) Alfred (1849–1881: #33) Ted (1851–1922: #34) Annie (1853–1946: #37) </v>
      </c>
      <c r="H30" s="124"/>
      <c r="I30" s="124" t="str">
        <f t="shared" si="7"/>
        <v>William (1843–1843: #27)</v>
      </c>
      <c r="J30" s="124" t="str">
        <f t="shared" si="8"/>
        <v>The Rev Lewis (1844–1905: #28)</v>
      </c>
      <c r="K30" s="124" t="str">
        <f t="shared" si="9"/>
        <v/>
      </c>
      <c r="L30" s="124" t="str">
        <f t="shared" si="10"/>
        <v>Archie (1847–1922: #30)</v>
      </c>
      <c r="M30" s="124" t="str">
        <f t="shared" si="11"/>
        <v>Frank (1848–1934: #32)</v>
      </c>
      <c r="N30" s="124" t="str">
        <f t="shared" si="12"/>
        <v>Alfred (1849–1881: #33)</v>
      </c>
      <c r="O30" s="124" t="str">
        <f t="shared" si="13"/>
        <v>Ted (1851–1922: #34)</v>
      </c>
      <c r="P30" s="124" t="str">
        <f t="shared" si="27"/>
        <v>Annie (1853–1946: #37)</v>
      </c>
      <c r="Q30" s="124"/>
      <c r="S30">
        <f t="shared" si="2"/>
        <v>71</v>
      </c>
      <c r="T30">
        <f t="shared" si="14"/>
        <v>1</v>
      </c>
      <c r="U30">
        <f t="shared" si="15"/>
        <v>86</v>
      </c>
      <c r="V30" t="str">
        <f t="shared" si="15"/>
        <v/>
      </c>
      <c r="W30" t="str">
        <f t="shared" si="15"/>
        <v/>
      </c>
      <c r="X30" t="str">
        <f t="shared" si="15"/>
        <v/>
      </c>
      <c r="Y30" t="str">
        <f t="shared" si="15"/>
        <v/>
      </c>
      <c r="Z30" t="str">
        <f t="shared" si="15"/>
        <v/>
      </c>
      <c r="AA30" t="str">
        <f t="shared" si="15"/>
        <v/>
      </c>
      <c r="AB30" t="str">
        <f t="shared" si="15"/>
        <v/>
      </c>
      <c r="AC30" t="str">
        <f t="shared" si="15"/>
        <v/>
      </c>
      <c r="AG30" t="str">
        <f t="shared" si="16"/>
        <v>Peter (1913–2008: #86)</v>
      </c>
      <c r="AH30" t="str">
        <f t="shared" si="17"/>
        <v/>
      </c>
      <c r="AI30" t="str">
        <f t="shared" si="18"/>
        <v/>
      </c>
      <c r="AJ30" t="str">
        <f t="shared" si="19"/>
        <v/>
      </c>
      <c r="AK30" t="str">
        <f t="shared" si="20"/>
        <v/>
      </c>
      <c r="AL30" t="str">
        <f t="shared" si="21"/>
        <v/>
      </c>
      <c r="AM30" t="str">
        <f t="shared" si="22"/>
        <v/>
      </c>
      <c r="AN30" t="str">
        <f t="shared" si="23"/>
        <v/>
      </c>
      <c r="AO30" t="str">
        <f t="shared" si="24"/>
        <v/>
      </c>
      <c r="AP30" s="60">
        <f t="shared" si="25"/>
        <v>71</v>
      </c>
      <c r="AQ30" s="60" t="str">
        <f t="shared" si="26"/>
        <v>1 - Peter (1913–2008: #86)</v>
      </c>
      <c r="AS30" s="72">
        <v>71</v>
      </c>
      <c r="EA30">
        <v>86</v>
      </c>
      <c r="IC30">
        <v>86</v>
      </c>
    </row>
    <row r="31" spans="1:237" ht="17" thickBot="1">
      <c r="A31" s="12">
        <f>'Book Details - NO EDIT'!A32</f>
        <v>30</v>
      </c>
      <c r="B31" s="112" t="str">
        <f>'Book Details - NO EDIT'!X32</f>
        <v>Archie (1847–1922: #30)</v>
      </c>
      <c r="C31" s="113">
        <f>'Book Details - NO EDIT'!L32</f>
        <v>14</v>
      </c>
      <c r="D31" s="44">
        <f>'Loyd List 1-190 - Edit'!T32</f>
        <v>4</v>
      </c>
      <c r="F31" s="124">
        <f t="shared" si="5"/>
        <v>7</v>
      </c>
      <c r="G31" s="125" t="str">
        <f t="shared" si="6"/>
        <v xml:space="preserve">7 – William (1843–1843: #27) The Rev Lewis (1844–1905: #28) Arthur (1845–1930: #29)  Frank (1848–1934: #32) Alfred (1849–1881: #33) Ted (1851–1922: #34) Annie (1853–1946: #37) </v>
      </c>
      <c r="H31" s="124"/>
      <c r="I31" s="124" t="str">
        <f t="shared" si="7"/>
        <v>William (1843–1843: #27)</v>
      </c>
      <c r="J31" s="124" t="str">
        <f t="shared" si="8"/>
        <v>The Rev Lewis (1844–1905: #28)</v>
      </c>
      <c r="K31" s="124" t="str">
        <f t="shared" si="9"/>
        <v>Arthur (1845–1930: #29)</v>
      </c>
      <c r="L31" s="124" t="str">
        <f t="shared" si="10"/>
        <v/>
      </c>
      <c r="M31" s="124" t="str">
        <f t="shared" si="11"/>
        <v>Frank (1848–1934: #32)</v>
      </c>
      <c r="N31" s="124" t="str">
        <f t="shared" si="12"/>
        <v>Alfred (1849–1881: #33)</v>
      </c>
      <c r="O31" s="124" t="str">
        <f t="shared" si="13"/>
        <v>Ted (1851–1922: #34)</v>
      </c>
      <c r="P31" s="124" t="str">
        <f t="shared" si="27"/>
        <v>Annie (1853–1946: #37)</v>
      </c>
      <c r="Q31" s="124"/>
      <c r="S31">
        <f t="shared" si="2"/>
        <v>72</v>
      </c>
      <c r="T31">
        <f t="shared" si="14"/>
        <v>2</v>
      </c>
      <c r="U31">
        <f t="shared" si="15"/>
        <v>103</v>
      </c>
      <c r="V31">
        <f t="shared" si="15"/>
        <v>104</v>
      </c>
      <c r="W31" t="str">
        <f t="shared" si="15"/>
        <v/>
      </c>
      <c r="X31" t="str">
        <f t="shared" si="15"/>
        <v/>
      </c>
      <c r="Y31" t="str">
        <f t="shared" si="15"/>
        <v/>
      </c>
      <c r="Z31" t="str">
        <f t="shared" si="15"/>
        <v/>
      </c>
      <c r="AA31" t="str">
        <f t="shared" si="15"/>
        <v/>
      </c>
      <c r="AB31" t="str">
        <f t="shared" si="15"/>
        <v/>
      </c>
      <c r="AC31" t="str">
        <f t="shared" si="15"/>
        <v/>
      </c>
      <c r="AG31" t="str">
        <f t="shared" si="16"/>
        <v>Lavinia (1923–1995: #103)</v>
      </c>
      <c r="AH31" t="str">
        <f t="shared" si="17"/>
        <v>Sir Julian (1926–2018: #104)</v>
      </c>
      <c r="AI31" t="str">
        <f t="shared" si="18"/>
        <v/>
      </c>
      <c r="AJ31" t="str">
        <f t="shared" si="19"/>
        <v/>
      </c>
      <c r="AK31" t="str">
        <f t="shared" si="20"/>
        <v/>
      </c>
      <c r="AL31" t="str">
        <f t="shared" si="21"/>
        <v/>
      </c>
      <c r="AM31" t="str">
        <f t="shared" si="22"/>
        <v/>
      </c>
      <c r="AN31" t="str">
        <f t="shared" si="23"/>
        <v/>
      </c>
      <c r="AO31" t="str">
        <f t="shared" si="24"/>
        <v/>
      </c>
      <c r="AP31" s="60">
        <f t="shared" si="25"/>
        <v>72</v>
      </c>
      <c r="AQ31" s="60" t="str">
        <f t="shared" si="26"/>
        <v>2 - Lavinia (1923–1995: #103); Sir Julian (1926–2018: #104)</v>
      </c>
      <c r="AS31" s="72">
        <v>72</v>
      </c>
      <c r="ER31">
        <v>103</v>
      </c>
      <c r="ES31">
        <v>104</v>
      </c>
      <c r="IC31">
        <v>207</v>
      </c>
    </row>
    <row r="32" spans="1:237" ht="17" thickBot="1">
      <c r="A32" s="12">
        <f>'Book Details - NO EDIT'!A33</f>
        <v>31</v>
      </c>
      <c r="B32" s="112" t="str">
        <f>'Book Details - NO EDIT'!X33</f>
        <v>Mary (1848–1934: #31)</v>
      </c>
      <c r="C32" s="113">
        <f>'Book Details - NO EDIT'!L33</f>
        <v>22</v>
      </c>
      <c r="D32" s="44">
        <f>'Loyd List 1-190 - Edit'!T33</f>
        <v>8</v>
      </c>
      <c r="F32" s="124">
        <f t="shared" si="5"/>
        <v>6</v>
      </c>
      <c r="G32" s="125" t="str">
        <f t="shared" si="6"/>
        <v xml:space="preserve">6 – Elinor (1853–1895: #36) Fa (1855–1927: #39) Frederic (1856–1936: #41) Meg (1859–1936: #43) Llewellyn (1861–1939: #45) Caroline (1864–1940: #47)  </v>
      </c>
      <c r="H32" s="124"/>
      <c r="I32" s="124" t="str">
        <f t="shared" si="7"/>
        <v/>
      </c>
      <c r="J32" s="124" t="str">
        <f t="shared" si="8"/>
        <v>Elinor (1853–1895: #36)</v>
      </c>
      <c r="K32" s="124" t="str">
        <f t="shared" si="9"/>
        <v>Fa (1855–1927: #39)</v>
      </c>
      <c r="L32" s="124" t="str">
        <f t="shared" si="10"/>
        <v>Frederic (1856–1936: #41)</v>
      </c>
      <c r="M32" s="124" t="str">
        <f t="shared" si="11"/>
        <v>Meg (1859–1936: #43)</v>
      </c>
      <c r="N32" s="124" t="str">
        <f t="shared" si="12"/>
        <v>Llewellyn (1861–1939: #45)</v>
      </c>
      <c r="O32" s="124" t="str">
        <f t="shared" si="13"/>
        <v>Caroline (1864–1940: #47)</v>
      </c>
      <c r="P32" s="124"/>
      <c r="Q32" s="124"/>
      <c r="S32">
        <f t="shared" si="2"/>
        <v>76</v>
      </c>
      <c r="T32">
        <f t="shared" si="14"/>
        <v>1</v>
      </c>
      <c r="U32">
        <f t="shared" si="15"/>
        <v>107</v>
      </c>
      <c r="V32" t="str">
        <f t="shared" si="15"/>
        <v/>
      </c>
      <c r="W32" t="str">
        <f t="shared" si="15"/>
        <v/>
      </c>
      <c r="X32" t="str">
        <f t="shared" si="15"/>
        <v/>
      </c>
      <c r="Y32" t="str">
        <f t="shared" si="15"/>
        <v/>
      </c>
      <c r="Z32" t="str">
        <f t="shared" si="15"/>
        <v/>
      </c>
      <c r="AA32" t="str">
        <f t="shared" si="15"/>
        <v/>
      </c>
      <c r="AB32" t="str">
        <f t="shared" si="15"/>
        <v/>
      </c>
      <c r="AC32" t="str">
        <f t="shared" si="15"/>
        <v/>
      </c>
      <c r="AG32" t="str">
        <f t="shared" si="16"/>
        <v>Wooie (1928–1996: #107)</v>
      </c>
      <c r="AH32" t="str">
        <f t="shared" si="17"/>
        <v/>
      </c>
      <c r="AI32" t="str">
        <f t="shared" si="18"/>
        <v/>
      </c>
      <c r="AJ32" t="str">
        <f t="shared" si="19"/>
        <v/>
      </c>
      <c r="AK32" t="str">
        <f t="shared" si="20"/>
        <v/>
      </c>
      <c r="AL32" t="str">
        <f t="shared" si="21"/>
        <v/>
      </c>
      <c r="AM32" t="str">
        <f t="shared" si="22"/>
        <v/>
      </c>
      <c r="AN32" t="str">
        <f t="shared" si="23"/>
        <v/>
      </c>
      <c r="AO32" t="str">
        <f t="shared" si="24"/>
        <v/>
      </c>
      <c r="AP32" s="60">
        <f t="shared" si="25"/>
        <v>76</v>
      </c>
      <c r="AQ32" s="60" t="str">
        <f t="shared" si="26"/>
        <v>1 - Wooie (1928–1996: #107)</v>
      </c>
      <c r="AS32" s="72">
        <v>76</v>
      </c>
      <c r="EV32">
        <v>107</v>
      </c>
      <c r="IC32">
        <v>107</v>
      </c>
    </row>
    <row r="33" spans="1:237" ht="17" thickBot="1">
      <c r="A33" s="12">
        <f>'Book Details - NO EDIT'!A34</f>
        <v>32</v>
      </c>
      <c r="B33" s="112" t="str">
        <f>'Book Details - NO EDIT'!X34</f>
        <v>Frank (1848–1934: #32)</v>
      </c>
      <c r="C33" s="113">
        <f>'Book Details - NO EDIT'!L34</f>
        <v>14</v>
      </c>
      <c r="D33" s="44">
        <f>'Loyd List 1-190 - Edit'!T34</f>
        <v>4</v>
      </c>
      <c r="F33" s="124">
        <f t="shared" si="5"/>
        <v>7</v>
      </c>
      <c r="G33" s="125" t="str">
        <f t="shared" si="6"/>
        <v xml:space="preserve">7 – William (1843–1843: #27) The Rev Lewis (1844–1905: #28) Arthur (1845–1930: #29) Archie (1847–1922: #30)  Alfred (1849–1881: #33) Ted (1851–1922: #34) Annie (1853–1946: #37) </v>
      </c>
      <c r="H33" s="124"/>
      <c r="I33" s="124" t="str">
        <f t="shared" si="7"/>
        <v>William (1843–1843: #27)</v>
      </c>
      <c r="J33" s="124" t="str">
        <f t="shared" si="8"/>
        <v>The Rev Lewis (1844–1905: #28)</v>
      </c>
      <c r="K33" s="124" t="str">
        <f t="shared" si="9"/>
        <v>Arthur (1845–1930: #29)</v>
      </c>
      <c r="L33" s="124" t="str">
        <f t="shared" si="10"/>
        <v>Archie (1847–1922: #30)</v>
      </c>
      <c r="M33" s="124" t="str">
        <f t="shared" si="11"/>
        <v/>
      </c>
      <c r="N33" s="124" t="str">
        <f t="shared" si="12"/>
        <v>Alfred (1849–1881: #33)</v>
      </c>
      <c r="O33" s="124" t="str">
        <f t="shared" si="13"/>
        <v>Ted (1851–1922: #34)</v>
      </c>
      <c r="P33" s="124" t="str">
        <f t="shared" si="27"/>
        <v>Annie (1853–1946: #37)</v>
      </c>
      <c r="Q33" s="124"/>
      <c r="S33">
        <f t="shared" si="2"/>
        <v>77</v>
      </c>
      <c r="T33">
        <f t="shared" si="14"/>
        <v>4</v>
      </c>
      <c r="U33">
        <f t="shared" si="15"/>
        <v>98</v>
      </c>
      <c r="V33">
        <f t="shared" si="15"/>
        <v>105</v>
      </c>
      <c r="W33">
        <f t="shared" si="15"/>
        <v>106</v>
      </c>
      <c r="X33">
        <f t="shared" si="15"/>
        <v>111</v>
      </c>
      <c r="Y33" t="str">
        <f t="shared" si="15"/>
        <v/>
      </c>
      <c r="Z33" t="str">
        <f t="shared" si="15"/>
        <v/>
      </c>
      <c r="AA33" t="str">
        <f t="shared" si="15"/>
        <v/>
      </c>
      <c r="AB33" t="str">
        <f t="shared" si="15"/>
        <v/>
      </c>
      <c r="AC33" t="str">
        <f t="shared" si="15"/>
        <v/>
      </c>
      <c r="AG33" t="str">
        <f t="shared" si="16"/>
        <v>Peter (1922–2022: #98)</v>
      </c>
      <c r="AH33" t="str">
        <f t="shared" si="17"/>
        <v>Geoffrey (1926–2018: #105)</v>
      </c>
      <c r="AI33" t="str">
        <f t="shared" si="18"/>
        <v>Denise (1928–: #106)</v>
      </c>
      <c r="AJ33" t="str">
        <f t="shared" si="19"/>
        <v>Andrew (1934–1975: #111)</v>
      </c>
      <c r="AK33" t="str">
        <f t="shared" si="20"/>
        <v/>
      </c>
      <c r="AL33" t="str">
        <f t="shared" si="21"/>
        <v/>
      </c>
      <c r="AM33" t="str">
        <f t="shared" si="22"/>
        <v/>
      </c>
      <c r="AN33" t="str">
        <f t="shared" si="23"/>
        <v/>
      </c>
      <c r="AO33" t="str">
        <f t="shared" si="24"/>
        <v/>
      </c>
      <c r="AP33" s="60">
        <f t="shared" si="25"/>
        <v>77</v>
      </c>
      <c r="AQ33" s="60" t="str">
        <f t="shared" si="26"/>
        <v>4 - Peter (1922–2022: #98); Geoffrey (1926–2018: #105); Denise (1928–: #106); Andrew (1934–1975: #111)</v>
      </c>
      <c r="AS33" s="72">
        <v>77</v>
      </c>
      <c r="EM33">
        <v>98</v>
      </c>
      <c r="ET33">
        <v>105</v>
      </c>
      <c r="EU33">
        <v>106</v>
      </c>
      <c r="EZ33">
        <v>111</v>
      </c>
      <c r="IC33">
        <v>420</v>
      </c>
    </row>
    <row r="34" spans="1:237" ht="17" thickBot="1">
      <c r="A34" s="12">
        <f>'Book Details - NO EDIT'!A35</f>
        <v>33</v>
      </c>
      <c r="B34" s="112" t="str">
        <f>'Book Details - NO EDIT'!X35</f>
        <v>Alfred (1849–1881: #33)</v>
      </c>
      <c r="C34" s="113">
        <f>'Book Details - NO EDIT'!L35</f>
        <v>14</v>
      </c>
      <c r="D34" s="44">
        <f>'Loyd List 1-190 - Edit'!T35</f>
        <v>4</v>
      </c>
      <c r="F34" s="124">
        <f t="shared" si="5"/>
        <v>7</v>
      </c>
      <c r="G34" s="125" t="str">
        <f t="shared" si="6"/>
        <v xml:space="preserve">7 – William (1843–1843: #27) The Rev Lewis (1844–1905: #28) Arthur (1845–1930: #29) Archie (1847–1922: #30) Frank (1848–1934: #32)  Ted (1851–1922: #34) Annie (1853–1946: #37) </v>
      </c>
      <c r="H34" s="124"/>
      <c r="I34" s="124" t="str">
        <f t="shared" si="7"/>
        <v>William (1843–1843: #27)</v>
      </c>
      <c r="J34" s="124" t="str">
        <f t="shared" si="8"/>
        <v>The Rev Lewis (1844–1905: #28)</v>
      </c>
      <c r="K34" s="124" t="str">
        <f t="shared" si="9"/>
        <v>Arthur (1845–1930: #29)</v>
      </c>
      <c r="L34" s="124" t="str">
        <f t="shared" si="10"/>
        <v>Archie (1847–1922: #30)</v>
      </c>
      <c r="M34" s="124" t="str">
        <f t="shared" si="11"/>
        <v>Frank (1848–1934: #32)</v>
      </c>
      <c r="N34" s="124" t="str">
        <f t="shared" si="12"/>
        <v/>
      </c>
      <c r="O34" s="124" t="str">
        <f t="shared" si="13"/>
        <v>Ted (1851–1922: #34)</v>
      </c>
      <c r="P34" s="124" t="str">
        <f t="shared" si="27"/>
        <v>Annie (1853–1946: #37)</v>
      </c>
      <c r="Q34" s="124"/>
      <c r="S34">
        <f t="shared" si="2"/>
        <v>78</v>
      </c>
      <c r="T34">
        <f t="shared" si="14"/>
        <v>4</v>
      </c>
      <c r="U34">
        <f t="shared" si="15"/>
        <v>113</v>
      </c>
      <c r="V34">
        <f t="shared" si="15"/>
        <v>115</v>
      </c>
      <c r="W34">
        <f t="shared" si="15"/>
        <v>127</v>
      </c>
      <c r="X34">
        <f t="shared" si="15"/>
        <v>140</v>
      </c>
      <c r="Y34" t="str">
        <f t="shared" si="15"/>
        <v/>
      </c>
      <c r="Z34" t="str">
        <f t="shared" si="15"/>
        <v/>
      </c>
      <c r="AA34" t="str">
        <f t="shared" si="15"/>
        <v/>
      </c>
      <c r="AB34" t="str">
        <f t="shared" si="15"/>
        <v/>
      </c>
      <c r="AC34" t="str">
        <f t="shared" si="15"/>
        <v/>
      </c>
      <c r="AG34" t="str">
        <f t="shared" si="16"/>
        <v>Willie (1937–1994: #113)</v>
      </c>
      <c r="AH34" t="str">
        <f t="shared" si="17"/>
        <v>Belinda (1939–2018: #115)</v>
      </c>
      <c r="AI34" t="str">
        <f t="shared" si="18"/>
        <v>Vivian (1951–: #127)</v>
      </c>
      <c r="AJ34" t="str">
        <f t="shared" si="19"/>
        <v>Ginie (1961–: #140)</v>
      </c>
      <c r="AK34" t="str">
        <f t="shared" si="20"/>
        <v/>
      </c>
      <c r="AL34" t="str">
        <f t="shared" si="21"/>
        <v/>
      </c>
      <c r="AM34" t="str">
        <f t="shared" si="22"/>
        <v/>
      </c>
      <c r="AN34" t="str">
        <f t="shared" si="23"/>
        <v/>
      </c>
      <c r="AO34" t="str">
        <f t="shared" si="24"/>
        <v/>
      </c>
      <c r="AP34" s="60">
        <f t="shared" si="25"/>
        <v>78</v>
      </c>
      <c r="AQ34" s="60" t="str">
        <f t="shared" si="26"/>
        <v>4 - Willie (1937–1994: #113); Belinda (1939–2018: #115); Vivian (1951–: #127); Ginie (1961–: #140)</v>
      </c>
      <c r="AS34" s="72">
        <v>78</v>
      </c>
      <c r="FB34">
        <v>113</v>
      </c>
      <c r="FD34">
        <v>115</v>
      </c>
      <c r="FP34">
        <v>127</v>
      </c>
      <c r="GC34">
        <v>140</v>
      </c>
      <c r="IC34">
        <v>495</v>
      </c>
    </row>
    <row r="35" spans="1:237" ht="17" thickBot="1">
      <c r="A35" s="12">
        <f>'Book Details - NO EDIT'!A36</f>
        <v>34</v>
      </c>
      <c r="B35" s="112" t="str">
        <f>'Book Details - NO EDIT'!X36</f>
        <v>Ted (1851–1922: #34)</v>
      </c>
      <c r="C35" s="113">
        <f>'Book Details - NO EDIT'!L36</f>
        <v>14</v>
      </c>
      <c r="D35" s="44">
        <f>'Loyd List 1-190 - Edit'!T36</f>
        <v>4</v>
      </c>
      <c r="F35" s="124">
        <f t="shared" si="5"/>
        <v>7</v>
      </c>
      <c r="G35" s="125" t="str">
        <f t="shared" si="6"/>
        <v xml:space="preserve">7 – William (1843–1843: #27) The Rev Lewis (1844–1905: #28) Arthur (1845–1930: #29) Archie (1847–1922: #30) Frank (1848–1934: #32) Alfred (1849–1881: #33)  Annie (1853–1946: #37) </v>
      </c>
      <c r="H35" s="124"/>
      <c r="I35" s="124" t="str">
        <f t="shared" si="7"/>
        <v>William (1843–1843: #27)</v>
      </c>
      <c r="J35" s="124" t="str">
        <f t="shared" si="8"/>
        <v>The Rev Lewis (1844–1905: #28)</v>
      </c>
      <c r="K35" s="124" t="str">
        <f t="shared" si="9"/>
        <v>Arthur (1845–1930: #29)</v>
      </c>
      <c r="L35" s="124" t="str">
        <f t="shared" si="10"/>
        <v>Archie (1847–1922: #30)</v>
      </c>
      <c r="M35" s="124" t="str">
        <f t="shared" si="11"/>
        <v>Frank (1848–1934: #32)</v>
      </c>
      <c r="N35" s="124" t="str">
        <f t="shared" si="12"/>
        <v>Alfred (1849–1881: #33)</v>
      </c>
      <c r="O35" s="124" t="str">
        <f t="shared" si="13"/>
        <v/>
      </c>
      <c r="P35" s="124" t="str">
        <f t="shared" si="27"/>
        <v>Annie (1853–1946: #37)</v>
      </c>
      <c r="Q35" s="124"/>
      <c r="S35">
        <f t="shared" ref="S35:S57" si="28">AS35</f>
        <v>80</v>
      </c>
      <c r="T35">
        <f t="shared" si="14"/>
        <v>4</v>
      </c>
      <c r="U35">
        <f t="shared" si="15"/>
        <v>109</v>
      </c>
      <c r="V35">
        <f t="shared" si="15"/>
        <v>110</v>
      </c>
      <c r="W35">
        <f t="shared" si="15"/>
        <v>114</v>
      </c>
      <c r="X35">
        <f t="shared" si="15"/>
        <v>119</v>
      </c>
      <c r="Y35" t="str">
        <f t="shared" si="15"/>
        <v/>
      </c>
      <c r="Z35" t="str">
        <f t="shared" si="15"/>
        <v/>
      </c>
      <c r="AA35" t="str">
        <f t="shared" si="15"/>
        <v/>
      </c>
      <c r="AB35" t="str">
        <f t="shared" si="15"/>
        <v/>
      </c>
      <c r="AC35" t="str">
        <f t="shared" si="15"/>
        <v/>
      </c>
      <c r="AG35" t="str">
        <f t="shared" si="16"/>
        <v>Margaret (1932–: #109)</v>
      </c>
      <c r="AH35" t="str">
        <f t="shared" si="17"/>
        <v>Jean (1933–: #110)</v>
      </c>
      <c r="AI35" t="str">
        <f t="shared" si="18"/>
        <v>Michael (1938–: #114)</v>
      </c>
      <c r="AJ35" t="str">
        <f t="shared" si="19"/>
        <v>Peter (1942–: #119)</v>
      </c>
      <c r="AK35" t="str">
        <f t="shared" si="20"/>
        <v/>
      </c>
      <c r="AL35" t="str">
        <f t="shared" si="21"/>
        <v/>
      </c>
      <c r="AM35" t="str">
        <f t="shared" si="22"/>
        <v/>
      </c>
      <c r="AN35" t="str">
        <f t="shared" si="23"/>
        <v/>
      </c>
      <c r="AO35" t="str">
        <f t="shared" si="24"/>
        <v/>
      </c>
      <c r="AP35" s="60">
        <f t="shared" si="25"/>
        <v>80</v>
      </c>
      <c r="AQ35" s="60" t="str">
        <f t="shared" si="26"/>
        <v>4 - Margaret (1932–: #109); Jean (1933–: #110); Michael (1938–: #114); Peter (1942–: #119)</v>
      </c>
      <c r="AS35" s="72">
        <v>80</v>
      </c>
      <c r="EX35">
        <v>109</v>
      </c>
      <c r="EY35">
        <v>110</v>
      </c>
      <c r="FC35">
        <v>114</v>
      </c>
      <c r="FH35">
        <v>119</v>
      </c>
      <c r="IC35">
        <v>452</v>
      </c>
    </row>
    <row r="36" spans="1:237" ht="17" thickBot="1">
      <c r="A36" s="12">
        <f>'Book Details - NO EDIT'!A37</f>
        <v>35</v>
      </c>
      <c r="B36" s="112" t="str">
        <f>'Book Details - NO EDIT'!X37</f>
        <v>Lewis (1852–1908: #35)</v>
      </c>
      <c r="C36" s="113">
        <f>'Book Details - NO EDIT'!L37</f>
        <v>23</v>
      </c>
      <c r="D36" s="44">
        <f>'Loyd List 1-190 - Edit'!T37</f>
        <v>8</v>
      </c>
      <c r="F36" s="124">
        <f t="shared" si="5"/>
        <v>8</v>
      </c>
      <c r="G36" s="125" t="str">
        <f t="shared" si="6"/>
        <v>8 – Gertrude (1854–1924: #38) Harriet (1856–1921: #40) Dulcie (1858–1905: #42) Harry (1861–1938: #44) William (1863–1923: #46) Caroline (1865–1938: #48) Mary (1867–1867: #49) Arthur (1868–1911: #50)</v>
      </c>
      <c r="H36" s="124"/>
      <c r="I36" s="124" t="str">
        <f t="shared" si="7"/>
        <v/>
      </c>
      <c r="J36" s="124" t="str">
        <f t="shared" si="8"/>
        <v>Gertrude (1854–1924: #38)</v>
      </c>
      <c r="K36" s="124" t="str">
        <f t="shared" si="9"/>
        <v>Harriet (1856–1921: #40)</v>
      </c>
      <c r="L36" s="124" t="str">
        <f t="shared" si="10"/>
        <v>Dulcie (1858–1905: #42)</v>
      </c>
      <c r="M36" s="124" t="str">
        <f t="shared" si="11"/>
        <v>Harry (1861–1938: #44)</v>
      </c>
      <c r="N36" s="124" t="str">
        <f t="shared" si="12"/>
        <v>William (1863–1923: #46)</v>
      </c>
      <c r="O36" s="124" t="str">
        <f t="shared" si="13"/>
        <v>Caroline (1865–1938: #48)</v>
      </c>
      <c r="P36" s="124" t="str">
        <f t="shared" si="27"/>
        <v>Mary (1867–1867: #49)</v>
      </c>
      <c r="Q36" s="124" t="str">
        <f t="shared" ref="Q36:Q51" si="29">IF(VLOOKUP($C36,$S$3:$AC$80,AC$1+2,FALSE)=$A36,"",VLOOKUP(VLOOKUP($C36,$S$3:$AC$80,AC$1+2,FALSE),$A$2:$B$230,2,FALSE))</f>
        <v>Arthur (1868–1911: #50)</v>
      </c>
      <c r="S36">
        <f t="shared" si="28"/>
        <v>86</v>
      </c>
      <c r="T36">
        <f t="shared" si="14"/>
        <v>3</v>
      </c>
      <c r="U36">
        <f t="shared" ref="U36:AC57" si="30">IF($T36&gt;=U$1,LARGE($AT36:$IB36,$T36-U$1+1),"")</f>
        <v>125</v>
      </c>
      <c r="V36">
        <f t="shared" si="30"/>
        <v>130</v>
      </c>
      <c r="W36">
        <f t="shared" si="30"/>
        <v>135</v>
      </c>
      <c r="X36" t="str">
        <f t="shared" si="30"/>
        <v/>
      </c>
      <c r="Y36" t="str">
        <f t="shared" si="30"/>
        <v/>
      </c>
      <c r="Z36" t="str">
        <f t="shared" si="30"/>
        <v/>
      </c>
      <c r="AA36" t="str">
        <f t="shared" si="30"/>
        <v/>
      </c>
      <c r="AB36" t="str">
        <f t="shared" si="30"/>
        <v/>
      </c>
      <c r="AC36" t="str">
        <f t="shared" si="30"/>
        <v/>
      </c>
      <c r="AG36" t="str">
        <f t="shared" si="16"/>
        <v>Rona (1951–: #125)</v>
      </c>
      <c r="AH36" t="str">
        <f t="shared" si="17"/>
        <v>David (1952–: #130)</v>
      </c>
      <c r="AI36" t="str">
        <f t="shared" si="18"/>
        <v>Jim (1955–: #135)</v>
      </c>
      <c r="AJ36" t="str">
        <f t="shared" si="19"/>
        <v/>
      </c>
      <c r="AK36" t="str">
        <f t="shared" si="20"/>
        <v/>
      </c>
      <c r="AL36" t="str">
        <f t="shared" si="21"/>
        <v/>
      </c>
      <c r="AM36" t="str">
        <f t="shared" si="22"/>
        <v/>
      </c>
      <c r="AN36" t="str">
        <f t="shared" si="23"/>
        <v/>
      </c>
      <c r="AO36" t="str">
        <f t="shared" si="24"/>
        <v/>
      </c>
      <c r="AP36" s="60">
        <f t="shared" si="25"/>
        <v>86</v>
      </c>
      <c r="AQ36" s="60" t="str">
        <f t="shared" si="26"/>
        <v>3 - Rona (1951–: #125); David (1952–: #130); Jim (1955–: #135)</v>
      </c>
      <c r="AS36" s="72">
        <v>86</v>
      </c>
      <c r="FN36">
        <v>125</v>
      </c>
      <c r="FS36">
        <v>130</v>
      </c>
      <c r="FX36">
        <v>135</v>
      </c>
      <c r="IC36">
        <v>390</v>
      </c>
    </row>
    <row r="37" spans="1:237" ht="17" thickBot="1">
      <c r="A37" s="12">
        <f>'Book Details - NO EDIT'!A38</f>
        <v>36</v>
      </c>
      <c r="B37" s="112" t="str">
        <f>'Book Details - NO EDIT'!X38</f>
        <v>Elinor (1853–1895: #36)</v>
      </c>
      <c r="C37" s="113">
        <f>'Book Details - NO EDIT'!L38</f>
        <v>22</v>
      </c>
      <c r="D37" s="44">
        <f>'Loyd List 1-190 - Edit'!T38</f>
        <v>8</v>
      </c>
      <c r="F37" s="124">
        <f t="shared" si="5"/>
        <v>6</v>
      </c>
      <c r="G37" s="125" t="str">
        <f t="shared" si="6"/>
        <v xml:space="preserve">6 – Mary (1848–1934: #31)  Fa (1855–1927: #39) Frederic (1856–1936: #41) Meg (1859–1936: #43) Llewellyn (1861–1939: #45) Caroline (1864–1940: #47)  </v>
      </c>
      <c r="H37" s="124"/>
      <c r="I37" s="124" t="str">
        <f t="shared" si="7"/>
        <v>Mary (1848–1934: #31)</v>
      </c>
      <c r="J37" s="124" t="str">
        <f t="shared" si="8"/>
        <v/>
      </c>
      <c r="K37" s="124" t="str">
        <f t="shared" si="9"/>
        <v>Fa (1855–1927: #39)</v>
      </c>
      <c r="L37" s="124" t="str">
        <f t="shared" si="10"/>
        <v>Frederic (1856–1936: #41)</v>
      </c>
      <c r="M37" s="124" t="str">
        <f t="shared" si="11"/>
        <v>Meg (1859–1936: #43)</v>
      </c>
      <c r="N37" s="124" t="str">
        <f t="shared" si="12"/>
        <v>Llewellyn (1861–1939: #45)</v>
      </c>
      <c r="O37" s="124" t="str">
        <f t="shared" si="13"/>
        <v>Caroline (1864–1940: #47)</v>
      </c>
      <c r="P37" s="124"/>
      <c r="Q37" s="124"/>
      <c r="S37">
        <f t="shared" si="28"/>
        <v>89</v>
      </c>
      <c r="T37">
        <f t="shared" si="14"/>
        <v>2</v>
      </c>
      <c r="U37">
        <f t="shared" si="30"/>
        <v>123</v>
      </c>
      <c r="V37">
        <f t="shared" si="30"/>
        <v>129</v>
      </c>
      <c r="W37" t="str">
        <f t="shared" si="30"/>
        <v/>
      </c>
      <c r="X37" t="str">
        <f t="shared" si="30"/>
        <v/>
      </c>
      <c r="Y37" t="str">
        <f t="shared" si="30"/>
        <v/>
      </c>
      <c r="Z37" t="str">
        <f t="shared" si="30"/>
        <v/>
      </c>
      <c r="AA37" t="str">
        <f t="shared" si="30"/>
        <v/>
      </c>
      <c r="AB37" t="str">
        <f t="shared" si="30"/>
        <v/>
      </c>
      <c r="AC37" t="str">
        <f t="shared" si="30"/>
        <v/>
      </c>
      <c r="AG37" t="str">
        <f t="shared" si="16"/>
        <v>Janet (1949–: #123)</v>
      </c>
      <c r="AH37" t="str">
        <f t="shared" si="17"/>
        <v>Diana (1952–: #129)</v>
      </c>
      <c r="AI37" t="str">
        <f t="shared" si="18"/>
        <v/>
      </c>
      <c r="AJ37" t="str">
        <f t="shared" si="19"/>
        <v/>
      </c>
      <c r="AK37" t="str">
        <f t="shared" si="20"/>
        <v/>
      </c>
      <c r="AL37" t="str">
        <f t="shared" si="21"/>
        <v/>
      </c>
      <c r="AM37" t="str">
        <f t="shared" si="22"/>
        <v/>
      </c>
      <c r="AN37" t="str">
        <f t="shared" si="23"/>
        <v/>
      </c>
      <c r="AO37" t="str">
        <f t="shared" si="24"/>
        <v/>
      </c>
      <c r="AP37" s="60">
        <f t="shared" si="25"/>
        <v>89</v>
      </c>
      <c r="AQ37" s="60" t="str">
        <f t="shared" si="26"/>
        <v>2 - Janet (1949–: #123); Diana (1952–: #129)</v>
      </c>
      <c r="AS37" s="72">
        <v>89</v>
      </c>
      <c r="FL37">
        <v>123</v>
      </c>
      <c r="FR37">
        <v>129</v>
      </c>
      <c r="IC37">
        <v>252</v>
      </c>
    </row>
    <row r="38" spans="1:237" ht="17" thickBot="1">
      <c r="A38" s="12">
        <f>'Book Details - NO EDIT'!A39</f>
        <v>37</v>
      </c>
      <c r="B38" s="112" t="str">
        <f>'Book Details - NO EDIT'!X39</f>
        <v>Annie (1853–1946: #37)</v>
      </c>
      <c r="C38" s="113">
        <f>'Book Details - NO EDIT'!L39</f>
        <v>14</v>
      </c>
      <c r="D38" s="44">
        <f>'Loyd List 1-190 - Edit'!T39</f>
        <v>4</v>
      </c>
      <c r="F38" s="124">
        <f t="shared" si="5"/>
        <v>7</v>
      </c>
      <c r="G38" s="125" t="str">
        <f t="shared" si="6"/>
        <v xml:space="preserve">7 – William (1843–1843: #27) The Rev Lewis (1844–1905: #28) Arthur (1845–1930: #29) Archie (1847–1922: #30) Frank (1848–1934: #32) Alfred (1849–1881: #33) Ted (1851–1922: #34)  </v>
      </c>
      <c r="H38" s="124"/>
      <c r="I38" s="124" t="str">
        <f t="shared" si="7"/>
        <v>William (1843–1843: #27)</v>
      </c>
      <c r="J38" s="124" t="str">
        <f t="shared" si="8"/>
        <v>The Rev Lewis (1844–1905: #28)</v>
      </c>
      <c r="K38" s="124" t="str">
        <f t="shared" si="9"/>
        <v>Arthur (1845–1930: #29)</v>
      </c>
      <c r="L38" s="124" t="str">
        <f t="shared" si="10"/>
        <v>Archie (1847–1922: #30)</v>
      </c>
      <c r="M38" s="124" t="str">
        <f t="shared" si="11"/>
        <v>Frank (1848–1934: #32)</v>
      </c>
      <c r="N38" s="124" t="str">
        <f t="shared" si="12"/>
        <v>Alfred (1849–1881: #33)</v>
      </c>
      <c r="O38" s="124" t="str">
        <f t="shared" si="13"/>
        <v>Ted (1851–1922: #34)</v>
      </c>
      <c r="P38" s="124"/>
      <c r="Q38" s="124"/>
      <c r="S38">
        <f t="shared" si="28"/>
        <v>94</v>
      </c>
      <c r="T38">
        <f t="shared" si="14"/>
        <v>6</v>
      </c>
      <c r="U38">
        <f t="shared" si="30"/>
        <v>124</v>
      </c>
      <c r="V38">
        <f t="shared" si="30"/>
        <v>126</v>
      </c>
      <c r="W38">
        <f t="shared" si="30"/>
        <v>131</v>
      </c>
      <c r="X38">
        <f t="shared" si="30"/>
        <v>136</v>
      </c>
      <c r="Y38">
        <f t="shared" si="30"/>
        <v>139</v>
      </c>
      <c r="Z38">
        <f t="shared" si="30"/>
        <v>142</v>
      </c>
      <c r="AA38" t="str">
        <f t="shared" si="30"/>
        <v/>
      </c>
      <c r="AB38" t="str">
        <f t="shared" si="30"/>
        <v/>
      </c>
      <c r="AC38" t="str">
        <f t="shared" si="30"/>
        <v/>
      </c>
      <c r="AG38" t="str">
        <f t="shared" si="16"/>
        <v>Rob (1949–: #124)</v>
      </c>
      <c r="AH38" t="str">
        <f t="shared" si="17"/>
        <v>Paddy (1951–: #126)</v>
      </c>
      <c r="AI38" t="str">
        <f t="shared" si="18"/>
        <v>Dominic (1953–: #131)</v>
      </c>
      <c r="AJ38" t="str">
        <f t="shared" si="19"/>
        <v>Tim (1957–: #136)</v>
      </c>
      <c r="AK38" t="str">
        <f t="shared" si="20"/>
        <v>Alex (1959–: #139)</v>
      </c>
      <c r="AL38" t="str">
        <f t="shared" si="21"/>
        <v>Rick (1962–: #142)</v>
      </c>
      <c r="AM38" t="str">
        <f t="shared" si="22"/>
        <v/>
      </c>
      <c r="AN38" t="str">
        <f t="shared" si="23"/>
        <v/>
      </c>
      <c r="AO38" t="str">
        <f t="shared" si="24"/>
        <v/>
      </c>
      <c r="AP38" s="60">
        <f t="shared" si="25"/>
        <v>94</v>
      </c>
      <c r="AQ38" s="60" t="str">
        <f t="shared" si="26"/>
        <v>6 - Rob (1949–: #124); Paddy (1951–: #126); Dominic (1953–: #131); Tim (1957–: #136); Alex (1959–: #139); Rick (1962–: #142)</v>
      </c>
      <c r="AS38" s="72">
        <v>94</v>
      </c>
      <c r="FM38">
        <v>124</v>
      </c>
      <c r="FO38">
        <v>126</v>
      </c>
      <c r="FT38">
        <v>131</v>
      </c>
      <c r="FY38">
        <v>136</v>
      </c>
      <c r="GB38">
        <v>139</v>
      </c>
      <c r="GE38">
        <v>142</v>
      </c>
      <c r="IC38">
        <v>798</v>
      </c>
    </row>
    <row r="39" spans="1:237" ht="17" thickBot="1">
      <c r="A39" s="12">
        <f>'Book Details - NO EDIT'!A40</f>
        <v>38</v>
      </c>
      <c r="B39" s="112" t="str">
        <f>'Book Details - NO EDIT'!X40</f>
        <v>Gertrude (1854–1924: #38)</v>
      </c>
      <c r="C39" s="113">
        <f>'Book Details - NO EDIT'!L40</f>
        <v>23</v>
      </c>
      <c r="D39" s="44">
        <f>'Loyd List 1-190 - Edit'!T40</f>
        <v>8</v>
      </c>
      <c r="F39" s="124">
        <f t="shared" si="5"/>
        <v>8</v>
      </c>
      <c r="G39" s="125" t="str">
        <f t="shared" si="6"/>
        <v>8 – Lewis (1852–1908: #35)  Harriet (1856–1921: #40) Dulcie (1858–1905: #42) Harry (1861–1938: #44) William (1863–1923: #46) Caroline (1865–1938: #48) Mary (1867–1867: #49) Arthur (1868–1911: #50)</v>
      </c>
      <c r="H39" s="124"/>
      <c r="I39" s="124" t="str">
        <f t="shared" si="7"/>
        <v>Lewis (1852–1908: #35)</v>
      </c>
      <c r="J39" s="124" t="str">
        <f t="shared" si="8"/>
        <v/>
      </c>
      <c r="K39" s="124" t="str">
        <f t="shared" si="9"/>
        <v>Harriet (1856–1921: #40)</v>
      </c>
      <c r="L39" s="124" t="str">
        <f t="shared" si="10"/>
        <v>Dulcie (1858–1905: #42)</v>
      </c>
      <c r="M39" s="124" t="str">
        <f t="shared" si="11"/>
        <v>Harry (1861–1938: #44)</v>
      </c>
      <c r="N39" s="124" t="str">
        <f t="shared" si="12"/>
        <v>William (1863–1923: #46)</v>
      </c>
      <c r="O39" s="124" t="str">
        <f t="shared" si="13"/>
        <v>Caroline (1865–1938: #48)</v>
      </c>
      <c r="P39" s="124" t="str">
        <f t="shared" si="27"/>
        <v>Mary (1867–1867: #49)</v>
      </c>
      <c r="Q39" s="124" t="str">
        <f t="shared" si="29"/>
        <v>Arthur (1868–1911: #50)</v>
      </c>
      <c r="S39">
        <f t="shared" si="28"/>
        <v>96</v>
      </c>
      <c r="T39">
        <f t="shared" si="14"/>
        <v>2</v>
      </c>
      <c r="U39">
        <f t="shared" si="30"/>
        <v>120</v>
      </c>
      <c r="V39">
        <f t="shared" si="30"/>
        <v>121</v>
      </c>
      <c r="W39" t="str">
        <f t="shared" si="30"/>
        <v/>
      </c>
      <c r="X39" t="str">
        <f t="shared" si="30"/>
        <v/>
      </c>
      <c r="Y39" t="str">
        <f t="shared" si="30"/>
        <v/>
      </c>
      <c r="Z39" t="str">
        <f t="shared" si="30"/>
        <v/>
      </c>
      <c r="AA39" t="str">
        <f t="shared" si="30"/>
        <v/>
      </c>
      <c r="AB39" t="str">
        <f t="shared" si="30"/>
        <v/>
      </c>
      <c r="AC39" t="str">
        <f t="shared" si="30"/>
        <v/>
      </c>
      <c r="AG39" t="str">
        <f t="shared" si="16"/>
        <v>Caroline (1947–2022: #120)</v>
      </c>
      <c r="AH39" t="str">
        <f t="shared" si="17"/>
        <v>David (1949–: #121)</v>
      </c>
      <c r="AI39" t="str">
        <f t="shared" si="18"/>
        <v/>
      </c>
      <c r="AJ39" t="str">
        <f t="shared" si="19"/>
        <v/>
      </c>
      <c r="AK39" t="str">
        <f t="shared" si="20"/>
        <v/>
      </c>
      <c r="AL39" t="str">
        <f t="shared" si="21"/>
        <v/>
      </c>
      <c r="AM39" t="str">
        <f t="shared" si="22"/>
        <v/>
      </c>
      <c r="AN39" t="str">
        <f t="shared" si="23"/>
        <v/>
      </c>
      <c r="AO39" t="str">
        <f t="shared" si="24"/>
        <v/>
      </c>
      <c r="AP39" s="60">
        <f t="shared" si="25"/>
        <v>96</v>
      </c>
      <c r="AQ39" s="60" t="str">
        <f t="shared" si="26"/>
        <v>2 - Caroline (1947–2022: #120); David (1949–: #121)</v>
      </c>
      <c r="AS39" s="72">
        <v>96</v>
      </c>
      <c r="FI39">
        <v>120</v>
      </c>
      <c r="FJ39">
        <v>121</v>
      </c>
      <c r="IC39">
        <v>241</v>
      </c>
    </row>
    <row r="40" spans="1:237" ht="17" thickBot="1">
      <c r="A40" s="12">
        <f>'Book Details - NO EDIT'!A41</f>
        <v>39</v>
      </c>
      <c r="B40" s="112" t="str">
        <f>'Book Details - NO EDIT'!X41</f>
        <v>Fa (1855–1927: #39)</v>
      </c>
      <c r="C40" s="113">
        <f>'Book Details - NO EDIT'!L41</f>
        <v>22</v>
      </c>
      <c r="D40" s="44">
        <f>'Loyd List 1-190 - Edit'!T41</f>
        <v>8</v>
      </c>
      <c r="F40" s="124">
        <f t="shared" si="5"/>
        <v>6</v>
      </c>
      <c r="G40" s="125" t="str">
        <f t="shared" si="6"/>
        <v xml:space="preserve">6 – Mary (1848–1934: #31) Elinor (1853–1895: #36)  Frederic (1856–1936: #41) Meg (1859–1936: #43) Llewellyn (1861–1939: #45) Caroline (1864–1940: #47)  </v>
      </c>
      <c r="H40" s="124"/>
      <c r="I40" s="124" t="str">
        <f t="shared" si="7"/>
        <v>Mary (1848–1934: #31)</v>
      </c>
      <c r="J40" s="124" t="str">
        <f t="shared" si="8"/>
        <v>Elinor (1853–1895: #36)</v>
      </c>
      <c r="K40" s="124" t="str">
        <f t="shared" si="9"/>
        <v/>
      </c>
      <c r="L40" s="124" t="str">
        <f t="shared" si="10"/>
        <v>Frederic (1856–1936: #41)</v>
      </c>
      <c r="M40" s="124" t="str">
        <f t="shared" si="11"/>
        <v>Meg (1859–1936: #43)</v>
      </c>
      <c r="N40" s="124" t="str">
        <f t="shared" si="12"/>
        <v>Llewellyn (1861–1939: #45)</v>
      </c>
      <c r="O40" s="124" t="str">
        <f t="shared" si="13"/>
        <v>Caroline (1864–1940: #47)</v>
      </c>
      <c r="P40" s="124"/>
      <c r="Q40" s="124"/>
      <c r="S40">
        <f t="shared" si="28"/>
        <v>98</v>
      </c>
      <c r="T40">
        <f t="shared" si="14"/>
        <v>5</v>
      </c>
      <c r="U40">
        <f t="shared" si="30"/>
        <v>128</v>
      </c>
      <c r="V40">
        <f t="shared" si="30"/>
        <v>132</v>
      </c>
      <c r="W40">
        <f t="shared" si="30"/>
        <v>134</v>
      </c>
      <c r="X40">
        <f t="shared" si="30"/>
        <v>145</v>
      </c>
      <c r="Y40">
        <f t="shared" si="30"/>
        <v>154</v>
      </c>
      <c r="Z40" t="str">
        <f t="shared" si="30"/>
        <v/>
      </c>
      <c r="AA40" t="str">
        <f t="shared" si="30"/>
        <v/>
      </c>
      <c r="AB40" t="str">
        <f t="shared" si="30"/>
        <v/>
      </c>
      <c r="AC40" t="str">
        <f t="shared" si="30"/>
        <v/>
      </c>
      <c r="AG40" t="str">
        <f t="shared" si="16"/>
        <v>Julie (1952–: #128)</v>
      </c>
      <c r="AH40" t="str">
        <f t="shared" si="17"/>
        <v>Penelope (1954–1954: #132)</v>
      </c>
      <c r="AI40" t="str">
        <f t="shared" si="18"/>
        <v>William (1955–: #134)</v>
      </c>
      <c r="AJ40" t="str">
        <f t="shared" si="19"/>
        <v>Tony (1963–: #145)</v>
      </c>
      <c r="AK40" t="str">
        <f t="shared" si="20"/>
        <v>Sophie (1969–: #154)</v>
      </c>
      <c r="AL40" t="str">
        <f t="shared" si="21"/>
        <v/>
      </c>
      <c r="AM40" t="str">
        <f t="shared" si="22"/>
        <v/>
      </c>
      <c r="AN40" t="str">
        <f t="shared" si="23"/>
        <v/>
      </c>
      <c r="AO40" t="str">
        <f t="shared" si="24"/>
        <v/>
      </c>
      <c r="AP40" s="60">
        <f t="shared" si="25"/>
        <v>98</v>
      </c>
      <c r="AQ40" s="60" t="str">
        <f t="shared" si="26"/>
        <v>5 - Julie (1952–: #128); Penelope (1954–1954: #132); William (1955–: #134); Tony (1963–: #145); Sophie (1969–: #154)</v>
      </c>
      <c r="AS40" s="72">
        <v>98</v>
      </c>
      <c r="FQ40">
        <v>128</v>
      </c>
      <c r="FU40">
        <v>132</v>
      </c>
      <c r="FW40">
        <v>134</v>
      </c>
      <c r="GH40">
        <v>145</v>
      </c>
      <c r="GQ40">
        <v>154</v>
      </c>
      <c r="IC40">
        <v>693</v>
      </c>
    </row>
    <row r="41" spans="1:237" ht="17" thickBot="1">
      <c r="A41" s="12">
        <f>'Book Details - NO EDIT'!A42</f>
        <v>40</v>
      </c>
      <c r="B41" s="112" t="str">
        <f>'Book Details - NO EDIT'!X42</f>
        <v>Harriet (1856–1921: #40)</v>
      </c>
      <c r="C41" s="113">
        <f>'Book Details - NO EDIT'!L42</f>
        <v>23</v>
      </c>
      <c r="D41" s="44">
        <f>'Loyd List 1-190 - Edit'!T42</f>
        <v>8</v>
      </c>
      <c r="F41" s="124">
        <f t="shared" si="5"/>
        <v>8</v>
      </c>
      <c r="G41" s="125" t="str">
        <f t="shared" si="6"/>
        <v>8 – Lewis (1852–1908: #35) Gertrude (1854–1924: #38)  Dulcie (1858–1905: #42) Harry (1861–1938: #44) William (1863–1923: #46) Caroline (1865–1938: #48) Mary (1867–1867: #49) Arthur (1868–1911: #50)</v>
      </c>
      <c r="H41" s="124"/>
      <c r="I41" s="124" t="str">
        <f t="shared" si="7"/>
        <v>Lewis (1852–1908: #35)</v>
      </c>
      <c r="J41" s="124" t="str">
        <f t="shared" si="8"/>
        <v>Gertrude (1854–1924: #38)</v>
      </c>
      <c r="K41" s="124" t="str">
        <f t="shared" si="9"/>
        <v/>
      </c>
      <c r="L41" s="124" t="str">
        <f t="shared" si="10"/>
        <v>Dulcie (1858–1905: #42)</v>
      </c>
      <c r="M41" s="124" t="str">
        <f t="shared" si="11"/>
        <v>Harry (1861–1938: #44)</v>
      </c>
      <c r="N41" s="124" t="str">
        <f t="shared" si="12"/>
        <v>William (1863–1923: #46)</v>
      </c>
      <c r="O41" s="124" t="str">
        <f t="shared" si="13"/>
        <v>Caroline (1865–1938: #48)</v>
      </c>
      <c r="P41" s="124" t="str">
        <f t="shared" si="27"/>
        <v>Mary (1867–1867: #49)</v>
      </c>
      <c r="Q41" s="124" t="str">
        <f t="shared" si="29"/>
        <v>Arthur (1868–1911: #50)</v>
      </c>
      <c r="S41">
        <f t="shared" si="28"/>
        <v>99</v>
      </c>
      <c r="T41">
        <f t="shared" si="14"/>
        <v>2</v>
      </c>
      <c r="U41">
        <f t="shared" si="30"/>
        <v>137</v>
      </c>
      <c r="V41">
        <f t="shared" si="30"/>
        <v>144</v>
      </c>
      <c r="W41" t="str">
        <f t="shared" si="30"/>
        <v/>
      </c>
      <c r="X41" t="str">
        <f t="shared" si="30"/>
        <v/>
      </c>
      <c r="Y41" t="str">
        <f t="shared" si="30"/>
        <v/>
      </c>
      <c r="Z41" t="str">
        <f t="shared" si="30"/>
        <v/>
      </c>
      <c r="AA41" t="str">
        <f t="shared" si="30"/>
        <v/>
      </c>
      <c r="AB41" t="str">
        <f t="shared" si="30"/>
        <v/>
      </c>
      <c r="AC41" t="str">
        <f t="shared" si="30"/>
        <v/>
      </c>
      <c r="AG41" t="str">
        <f t="shared" si="16"/>
        <v>Henrietta (1959–: #137)</v>
      </c>
      <c r="AH41" t="str">
        <f t="shared" si="17"/>
        <v>Andrew (1962–: #144)</v>
      </c>
      <c r="AI41" t="str">
        <f t="shared" si="18"/>
        <v/>
      </c>
      <c r="AJ41" t="str">
        <f t="shared" si="19"/>
        <v/>
      </c>
      <c r="AK41" t="str">
        <f t="shared" si="20"/>
        <v/>
      </c>
      <c r="AL41" t="str">
        <f t="shared" si="21"/>
        <v/>
      </c>
      <c r="AM41" t="str">
        <f t="shared" si="22"/>
        <v/>
      </c>
      <c r="AN41" t="str">
        <f t="shared" si="23"/>
        <v/>
      </c>
      <c r="AO41" t="str">
        <f t="shared" si="24"/>
        <v/>
      </c>
      <c r="AP41" s="60">
        <f t="shared" si="25"/>
        <v>99</v>
      </c>
      <c r="AQ41" s="60" t="str">
        <f t="shared" si="26"/>
        <v>2 - Henrietta (1959–: #137); Andrew (1962–: #144)</v>
      </c>
      <c r="AS41" s="72">
        <v>99</v>
      </c>
      <c r="FZ41">
        <v>137</v>
      </c>
      <c r="GG41">
        <v>144</v>
      </c>
      <c r="IC41">
        <v>281</v>
      </c>
    </row>
    <row r="42" spans="1:237" ht="17" thickBot="1">
      <c r="A42" s="12">
        <f>'Book Details - NO EDIT'!A43</f>
        <v>41</v>
      </c>
      <c r="B42" s="112" t="str">
        <f>'Book Details - NO EDIT'!X43</f>
        <v>Frederic (1856–1936: #41)</v>
      </c>
      <c r="C42" s="113">
        <f>'Book Details - NO EDIT'!L43</f>
        <v>22</v>
      </c>
      <c r="D42" s="44">
        <f>'Loyd List 1-190 - Edit'!T43</f>
        <v>8</v>
      </c>
      <c r="F42" s="124">
        <f t="shared" si="5"/>
        <v>6</v>
      </c>
      <c r="G42" s="125" t="str">
        <f t="shared" si="6"/>
        <v xml:space="preserve">6 – Mary (1848–1934: #31) Elinor (1853–1895: #36) Fa (1855–1927: #39)  Meg (1859–1936: #43) Llewellyn (1861–1939: #45) Caroline (1864–1940: #47)  </v>
      </c>
      <c r="H42" s="124"/>
      <c r="I42" s="124" t="str">
        <f t="shared" si="7"/>
        <v>Mary (1848–1934: #31)</v>
      </c>
      <c r="J42" s="124" t="str">
        <f t="shared" si="8"/>
        <v>Elinor (1853–1895: #36)</v>
      </c>
      <c r="K42" s="124" t="str">
        <f t="shared" si="9"/>
        <v>Fa (1855–1927: #39)</v>
      </c>
      <c r="L42" s="124" t="str">
        <f t="shared" si="10"/>
        <v/>
      </c>
      <c r="M42" s="124" t="str">
        <f t="shared" si="11"/>
        <v>Meg (1859–1936: #43)</v>
      </c>
      <c r="N42" s="124" t="str">
        <f t="shared" si="12"/>
        <v>Llewellyn (1861–1939: #45)</v>
      </c>
      <c r="O42" s="124" t="str">
        <f t="shared" si="13"/>
        <v>Caroline (1864–1940: #47)</v>
      </c>
      <c r="P42" s="124"/>
      <c r="Q42" s="124"/>
      <c r="S42">
        <f t="shared" si="28"/>
        <v>100</v>
      </c>
      <c r="T42">
        <f t="shared" si="14"/>
        <v>3</v>
      </c>
      <c r="U42">
        <f t="shared" si="30"/>
        <v>138</v>
      </c>
      <c r="V42">
        <f t="shared" si="30"/>
        <v>143</v>
      </c>
      <c r="W42">
        <f t="shared" si="30"/>
        <v>150</v>
      </c>
      <c r="X42" t="str">
        <f t="shared" si="30"/>
        <v/>
      </c>
      <c r="Y42" t="str">
        <f t="shared" si="30"/>
        <v/>
      </c>
      <c r="Z42" t="str">
        <f t="shared" si="30"/>
        <v/>
      </c>
      <c r="AA42" t="str">
        <f t="shared" si="30"/>
        <v/>
      </c>
      <c r="AB42" t="str">
        <f t="shared" si="30"/>
        <v/>
      </c>
      <c r="AC42" t="str">
        <f t="shared" si="30"/>
        <v/>
      </c>
      <c r="AG42" t="str">
        <f t="shared" si="16"/>
        <v>Thomas (1959–: #138)</v>
      </c>
      <c r="AH42" t="str">
        <f t="shared" si="17"/>
        <v>Harriet (1962–: #143)</v>
      </c>
      <c r="AI42" t="str">
        <f t="shared" si="18"/>
        <v>James (1966–: #150)</v>
      </c>
      <c r="AJ42" t="str">
        <f t="shared" si="19"/>
        <v/>
      </c>
      <c r="AK42" t="str">
        <f t="shared" si="20"/>
        <v/>
      </c>
      <c r="AL42" t="str">
        <f t="shared" si="21"/>
        <v/>
      </c>
      <c r="AM42" t="str">
        <f t="shared" si="22"/>
        <v/>
      </c>
      <c r="AN42" t="str">
        <f t="shared" si="23"/>
        <v/>
      </c>
      <c r="AO42" t="str">
        <f t="shared" si="24"/>
        <v/>
      </c>
      <c r="AP42" s="60">
        <f t="shared" si="25"/>
        <v>100</v>
      </c>
      <c r="AQ42" s="60" t="str">
        <f t="shared" si="26"/>
        <v>3 - Thomas (1959–: #138); Harriet (1962–: #143); James (1966–: #150)</v>
      </c>
      <c r="AS42" s="72">
        <v>100</v>
      </c>
      <c r="GA42">
        <v>138</v>
      </c>
      <c r="GF42">
        <v>143</v>
      </c>
      <c r="GM42">
        <v>150</v>
      </c>
      <c r="IC42">
        <v>431</v>
      </c>
    </row>
    <row r="43" spans="1:237" ht="17" thickBot="1">
      <c r="A43" s="12">
        <f>'Book Details - NO EDIT'!A44</f>
        <v>42</v>
      </c>
      <c r="B43" s="112" t="str">
        <f>'Book Details - NO EDIT'!X44</f>
        <v>Dulcie (1858–1905: #42)</v>
      </c>
      <c r="C43" s="113">
        <f>'Book Details - NO EDIT'!L44</f>
        <v>23</v>
      </c>
      <c r="D43" s="44">
        <f>'Loyd List 1-190 - Edit'!T44</f>
        <v>8</v>
      </c>
      <c r="F43" s="124">
        <f t="shared" si="5"/>
        <v>8</v>
      </c>
      <c r="G43" s="125" t="str">
        <f t="shared" si="6"/>
        <v>8 – Lewis (1852–1908: #35) Gertrude (1854–1924: #38) Harriet (1856–1921: #40)  Harry (1861–1938: #44) William (1863–1923: #46) Caroline (1865–1938: #48) Mary (1867–1867: #49) Arthur (1868–1911: #50)</v>
      </c>
      <c r="H43" s="124"/>
      <c r="I43" s="124" t="str">
        <f t="shared" si="7"/>
        <v>Lewis (1852–1908: #35)</v>
      </c>
      <c r="J43" s="124" t="str">
        <f t="shared" si="8"/>
        <v>Gertrude (1854–1924: #38)</v>
      </c>
      <c r="K43" s="124" t="str">
        <f t="shared" si="9"/>
        <v>Harriet (1856–1921: #40)</v>
      </c>
      <c r="L43" s="124" t="str">
        <f t="shared" si="10"/>
        <v/>
      </c>
      <c r="M43" s="124" t="str">
        <f t="shared" si="11"/>
        <v>Harry (1861–1938: #44)</v>
      </c>
      <c r="N43" s="124" t="str">
        <f t="shared" si="12"/>
        <v>William (1863–1923: #46)</v>
      </c>
      <c r="O43" s="124" t="str">
        <f t="shared" si="13"/>
        <v>Caroline (1865–1938: #48)</v>
      </c>
      <c r="P43" s="124" t="str">
        <f t="shared" si="27"/>
        <v>Mary (1867–1867: #49)</v>
      </c>
      <c r="Q43" s="124" t="str">
        <f t="shared" si="29"/>
        <v>Arthur (1868–1911: #50)</v>
      </c>
      <c r="S43">
        <f t="shared" si="28"/>
        <v>104</v>
      </c>
      <c r="T43">
        <f t="shared" si="14"/>
        <v>4</v>
      </c>
      <c r="U43">
        <f t="shared" si="30"/>
        <v>141</v>
      </c>
      <c r="V43">
        <f t="shared" si="30"/>
        <v>146</v>
      </c>
      <c r="W43">
        <f t="shared" si="30"/>
        <v>148</v>
      </c>
      <c r="X43">
        <f t="shared" si="30"/>
        <v>152</v>
      </c>
      <c r="Y43" t="str">
        <f t="shared" si="30"/>
        <v/>
      </c>
      <c r="Z43" t="str">
        <f t="shared" si="30"/>
        <v/>
      </c>
      <c r="AA43" t="str">
        <f t="shared" si="30"/>
        <v/>
      </c>
      <c r="AB43" t="str">
        <f t="shared" si="30"/>
        <v/>
      </c>
      <c r="AC43" t="str">
        <f t="shared" si="30"/>
        <v/>
      </c>
      <c r="AG43" t="str">
        <f t="shared" si="16"/>
        <v>Alexandra (1961–: #141)</v>
      </c>
      <c r="AH43" t="str">
        <f t="shared" si="17"/>
        <v>Charles (1963–: #146)</v>
      </c>
      <c r="AI43" t="str">
        <f t="shared" si="18"/>
        <v>Toby (1966–1966: #148)</v>
      </c>
      <c r="AJ43" t="str">
        <f t="shared" si="19"/>
        <v>Mary Rose (1967–: #152)</v>
      </c>
      <c r="AK43" t="str">
        <f t="shared" si="20"/>
        <v/>
      </c>
      <c r="AL43" t="str">
        <f t="shared" si="21"/>
        <v/>
      </c>
      <c r="AM43" t="str">
        <f t="shared" si="22"/>
        <v/>
      </c>
      <c r="AN43" t="str">
        <f t="shared" si="23"/>
        <v/>
      </c>
      <c r="AO43" t="str">
        <f t="shared" si="24"/>
        <v/>
      </c>
      <c r="AP43" s="60">
        <f t="shared" si="25"/>
        <v>104</v>
      </c>
      <c r="AQ43" s="60" t="str">
        <f t="shared" si="26"/>
        <v>4 - Alexandra (1961–: #141); Charles (1963–: #146); Toby (1966–1966: #148); Mary Rose (1967–: #152)</v>
      </c>
      <c r="AS43" s="72">
        <v>104</v>
      </c>
      <c r="GD43">
        <v>141</v>
      </c>
      <c r="GI43">
        <v>146</v>
      </c>
      <c r="GK43">
        <v>148</v>
      </c>
      <c r="GO43">
        <v>152</v>
      </c>
      <c r="IC43">
        <v>587</v>
      </c>
    </row>
    <row r="44" spans="1:237" ht="17" thickBot="1">
      <c r="A44" s="12">
        <f>'Book Details - NO EDIT'!A45</f>
        <v>43</v>
      </c>
      <c r="B44" s="112" t="str">
        <f>'Book Details - NO EDIT'!X45</f>
        <v>Meg (1859–1936: #43)</v>
      </c>
      <c r="C44" s="113">
        <f>'Book Details - NO EDIT'!L45</f>
        <v>22</v>
      </c>
      <c r="D44" s="44">
        <f>'Loyd List 1-190 - Edit'!T45</f>
        <v>8</v>
      </c>
      <c r="F44" s="124">
        <f t="shared" si="5"/>
        <v>6</v>
      </c>
      <c r="G44" s="125" t="str">
        <f t="shared" si="6"/>
        <v xml:space="preserve">6 – Mary (1848–1934: #31) Elinor (1853–1895: #36) Fa (1855–1927: #39) Frederic (1856–1936: #41)  Llewellyn (1861–1939: #45) Caroline (1864–1940: #47)  </v>
      </c>
      <c r="H44" s="124"/>
      <c r="I44" s="124" t="str">
        <f t="shared" si="7"/>
        <v>Mary (1848–1934: #31)</v>
      </c>
      <c r="J44" s="124" t="str">
        <f t="shared" si="8"/>
        <v>Elinor (1853–1895: #36)</v>
      </c>
      <c r="K44" s="124" t="str">
        <f t="shared" si="9"/>
        <v>Fa (1855–1927: #39)</v>
      </c>
      <c r="L44" s="124" t="str">
        <f t="shared" si="10"/>
        <v>Frederic (1856–1936: #41)</v>
      </c>
      <c r="M44" s="124" t="str">
        <f t="shared" si="11"/>
        <v/>
      </c>
      <c r="N44" s="124" t="str">
        <f t="shared" si="12"/>
        <v>Llewellyn (1861–1939: #45)</v>
      </c>
      <c r="O44" s="124" t="str">
        <f t="shared" si="13"/>
        <v>Caroline (1864–1940: #47)</v>
      </c>
      <c r="P44" s="124"/>
      <c r="Q44" s="124"/>
      <c r="S44">
        <f t="shared" si="28"/>
        <v>105</v>
      </c>
      <c r="T44">
        <f t="shared" si="14"/>
        <v>2</v>
      </c>
      <c r="U44">
        <f t="shared" si="30"/>
        <v>122</v>
      </c>
      <c r="V44">
        <f t="shared" si="30"/>
        <v>133</v>
      </c>
      <c r="W44" t="str">
        <f t="shared" si="30"/>
        <v/>
      </c>
      <c r="X44" t="str">
        <f t="shared" si="30"/>
        <v/>
      </c>
      <c r="Y44" t="str">
        <f t="shared" si="30"/>
        <v/>
      </c>
      <c r="Z44" t="str">
        <f t="shared" si="30"/>
        <v/>
      </c>
      <c r="AA44" t="str">
        <f t="shared" si="30"/>
        <v/>
      </c>
      <c r="AB44" t="str">
        <f t="shared" si="30"/>
        <v/>
      </c>
      <c r="AC44" t="str">
        <f t="shared" si="30"/>
        <v/>
      </c>
      <c r="AG44" t="str">
        <f t="shared" si="16"/>
        <v>Martin (1949–: #122)</v>
      </c>
      <c r="AH44" t="str">
        <f t="shared" si="17"/>
        <v>Jeremy (1954–: #133)</v>
      </c>
      <c r="AI44" t="str">
        <f t="shared" si="18"/>
        <v/>
      </c>
      <c r="AJ44" t="str">
        <f t="shared" si="19"/>
        <v/>
      </c>
      <c r="AK44" t="str">
        <f t="shared" si="20"/>
        <v/>
      </c>
      <c r="AL44" t="str">
        <f t="shared" si="21"/>
        <v/>
      </c>
      <c r="AM44" t="str">
        <f t="shared" si="22"/>
        <v/>
      </c>
      <c r="AN44" t="str">
        <f t="shared" si="23"/>
        <v/>
      </c>
      <c r="AO44" t="str">
        <f t="shared" si="24"/>
        <v/>
      </c>
      <c r="AP44" s="60">
        <f t="shared" si="25"/>
        <v>105</v>
      </c>
      <c r="AQ44" s="60" t="str">
        <f t="shared" si="26"/>
        <v>2 - Martin (1949–: #122); Jeremy (1954–: #133)</v>
      </c>
      <c r="AS44" s="72">
        <v>105</v>
      </c>
      <c r="FK44">
        <v>122</v>
      </c>
      <c r="FV44">
        <v>133</v>
      </c>
      <c r="IC44">
        <v>255</v>
      </c>
    </row>
    <row r="45" spans="1:237" ht="17" thickBot="1">
      <c r="A45" s="12">
        <f>'Book Details - NO EDIT'!A46</f>
        <v>44</v>
      </c>
      <c r="B45" s="112" t="str">
        <f>'Book Details - NO EDIT'!X46</f>
        <v>Harry (1861–1938: #44)</v>
      </c>
      <c r="C45" s="113">
        <f>'Book Details - NO EDIT'!L46</f>
        <v>23</v>
      </c>
      <c r="D45" s="44">
        <f>'Loyd List 1-190 - Edit'!T46</f>
        <v>8</v>
      </c>
      <c r="F45" s="124">
        <f t="shared" si="5"/>
        <v>8</v>
      </c>
      <c r="G45" s="125" t="str">
        <f t="shared" si="6"/>
        <v>8 – Lewis (1852–1908: #35) Gertrude (1854–1924: #38) Harriet (1856–1921: #40) Dulcie (1858–1905: #42)  William (1863–1923: #46) Caroline (1865–1938: #48) Mary (1867–1867: #49) Arthur (1868–1911: #50)</v>
      </c>
      <c r="H45" s="124"/>
      <c r="I45" s="124" t="str">
        <f t="shared" si="7"/>
        <v>Lewis (1852–1908: #35)</v>
      </c>
      <c r="J45" s="124" t="str">
        <f t="shared" si="8"/>
        <v>Gertrude (1854–1924: #38)</v>
      </c>
      <c r="K45" s="124" t="str">
        <f t="shared" si="9"/>
        <v>Harriet (1856–1921: #40)</v>
      </c>
      <c r="L45" s="124" t="str">
        <f t="shared" si="10"/>
        <v>Dulcie (1858–1905: #42)</v>
      </c>
      <c r="M45" s="124" t="str">
        <f t="shared" si="11"/>
        <v/>
      </c>
      <c r="N45" s="124" t="str">
        <f t="shared" si="12"/>
        <v>William (1863–1923: #46)</v>
      </c>
      <c r="O45" s="124" t="str">
        <f t="shared" si="13"/>
        <v>Caroline (1865–1938: #48)</v>
      </c>
      <c r="P45" s="124" t="str">
        <f t="shared" si="27"/>
        <v>Mary (1867–1867: #49)</v>
      </c>
      <c r="Q45" s="124" t="str">
        <f t="shared" si="29"/>
        <v>Arthur (1868–1911: #50)</v>
      </c>
      <c r="S45">
        <f t="shared" si="28"/>
        <v>113</v>
      </c>
      <c r="T45">
        <f t="shared" si="14"/>
        <v>1</v>
      </c>
      <c r="U45">
        <f t="shared" si="30"/>
        <v>149</v>
      </c>
      <c r="V45" t="str">
        <f t="shared" si="30"/>
        <v/>
      </c>
      <c r="W45" t="str">
        <f t="shared" si="30"/>
        <v/>
      </c>
      <c r="X45" t="str">
        <f t="shared" si="30"/>
        <v/>
      </c>
      <c r="Y45" t="str">
        <f t="shared" si="30"/>
        <v/>
      </c>
      <c r="Z45" t="str">
        <f t="shared" si="30"/>
        <v/>
      </c>
      <c r="AA45" t="str">
        <f t="shared" si="30"/>
        <v/>
      </c>
      <c r="AB45" t="str">
        <f t="shared" si="30"/>
        <v/>
      </c>
      <c r="AC45" t="str">
        <f t="shared" si="30"/>
        <v/>
      </c>
      <c r="AG45" t="str">
        <f t="shared" si="16"/>
        <v>Anthony (1966–: #149)</v>
      </c>
      <c r="AH45" t="str">
        <f t="shared" si="17"/>
        <v/>
      </c>
      <c r="AI45" t="str">
        <f t="shared" si="18"/>
        <v/>
      </c>
      <c r="AJ45" t="str">
        <f t="shared" si="19"/>
        <v/>
      </c>
      <c r="AK45" t="str">
        <f t="shared" si="20"/>
        <v/>
      </c>
      <c r="AL45" t="str">
        <f t="shared" si="21"/>
        <v/>
      </c>
      <c r="AM45" t="str">
        <f t="shared" si="22"/>
        <v/>
      </c>
      <c r="AN45" t="str">
        <f t="shared" si="23"/>
        <v/>
      </c>
      <c r="AO45" t="str">
        <f t="shared" si="24"/>
        <v/>
      </c>
      <c r="AP45" s="60">
        <f t="shared" si="25"/>
        <v>113</v>
      </c>
      <c r="AQ45" s="60" t="str">
        <f t="shared" si="26"/>
        <v>1 - Anthony (1966–: #149)</v>
      </c>
      <c r="AS45" s="72">
        <v>113</v>
      </c>
      <c r="GL45">
        <v>149</v>
      </c>
      <c r="IC45">
        <v>149</v>
      </c>
    </row>
    <row r="46" spans="1:237" ht="17" thickBot="1">
      <c r="A46" s="12">
        <f>'Book Details - NO EDIT'!A47</f>
        <v>45</v>
      </c>
      <c r="B46" s="112" t="str">
        <f>'Book Details - NO EDIT'!X47</f>
        <v>Llewellyn (1861–1939: #45)</v>
      </c>
      <c r="C46" s="113">
        <f>'Book Details - NO EDIT'!L47</f>
        <v>22</v>
      </c>
      <c r="D46" s="44">
        <f>'Loyd List 1-190 - Edit'!T47</f>
        <v>8</v>
      </c>
      <c r="F46" s="124">
        <f t="shared" si="5"/>
        <v>6</v>
      </c>
      <c r="G46" s="125" t="str">
        <f t="shared" si="6"/>
        <v xml:space="preserve">6 – Mary (1848–1934: #31) Elinor (1853–1895: #36) Fa (1855–1927: #39) Frederic (1856–1936: #41) Meg (1859–1936: #43)  Caroline (1864–1940: #47)  </v>
      </c>
      <c r="H46" s="124"/>
      <c r="I46" s="124" t="str">
        <f t="shared" si="7"/>
        <v>Mary (1848–1934: #31)</v>
      </c>
      <c r="J46" s="124" t="str">
        <f t="shared" si="8"/>
        <v>Elinor (1853–1895: #36)</v>
      </c>
      <c r="K46" s="124" t="str">
        <f t="shared" si="9"/>
        <v>Fa (1855–1927: #39)</v>
      </c>
      <c r="L46" s="124" t="str">
        <f t="shared" si="10"/>
        <v>Frederic (1856–1936: #41)</v>
      </c>
      <c r="M46" s="124" t="str">
        <f t="shared" si="11"/>
        <v>Meg (1859–1936: #43)</v>
      </c>
      <c r="N46" s="124" t="str">
        <f t="shared" si="12"/>
        <v/>
      </c>
      <c r="O46" s="124" t="str">
        <f t="shared" si="13"/>
        <v>Caroline (1864–1940: #47)</v>
      </c>
      <c r="P46" s="124"/>
      <c r="Q46" s="124"/>
      <c r="S46">
        <f t="shared" si="28"/>
        <v>114</v>
      </c>
      <c r="T46">
        <f t="shared" si="14"/>
        <v>3</v>
      </c>
      <c r="U46">
        <f t="shared" si="30"/>
        <v>157</v>
      </c>
      <c r="V46">
        <f t="shared" si="30"/>
        <v>158</v>
      </c>
      <c r="W46">
        <f t="shared" si="30"/>
        <v>159</v>
      </c>
      <c r="X46" t="str">
        <f t="shared" si="30"/>
        <v/>
      </c>
      <c r="Y46" t="str">
        <f t="shared" si="30"/>
        <v/>
      </c>
      <c r="Z46" t="str">
        <f t="shared" si="30"/>
        <v/>
      </c>
      <c r="AA46" t="str">
        <f t="shared" si="30"/>
        <v/>
      </c>
      <c r="AB46" t="str">
        <f t="shared" si="30"/>
        <v/>
      </c>
      <c r="AC46" t="str">
        <f t="shared" si="30"/>
        <v/>
      </c>
      <c r="AG46" t="str">
        <f t="shared" si="16"/>
        <v>Tess (1975–: #157)</v>
      </c>
      <c r="AH46" t="str">
        <f t="shared" si="17"/>
        <v>Chloe (1977–: #158)</v>
      </c>
      <c r="AI46" t="str">
        <f t="shared" si="18"/>
        <v>Daisy (1979–: #159)</v>
      </c>
      <c r="AJ46" t="str">
        <f t="shared" si="19"/>
        <v/>
      </c>
      <c r="AK46" t="str">
        <f t="shared" si="20"/>
        <v/>
      </c>
      <c r="AL46" t="str">
        <f t="shared" si="21"/>
        <v/>
      </c>
      <c r="AM46" t="str">
        <f t="shared" si="22"/>
        <v/>
      </c>
      <c r="AN46" t="str">
        <f t="shared" si="23"/>
        <v/>
      </c>
      <c r="AO46" t="str">
        <f t="shared" si="24"/>
        <v/>
      </c>
      <c r="AP46" s="60">
        <f t="shared" si="25"/>
        <v>114</v>
      </c>
      <c r="AQ46" s="60" t="str">
        <f t="shared" si="26"/>
        <v>3 - Tess (1975–: #157); Chloe (1977–: #158); Daisy (1979–: #159)</v>
      </c>
      <c r="AS46" s="72">
        <v>114</v>
      </c>
      <c r="GT46">
        <v>157</v>
      </c>
      <c r="GU46">
        <v>158</v>
      </c>
      <c r="GV46">
        <v>159</v>
      </c>
      <c r="IC46">
        <v>474</v>
      </c>
    </row>
    <row r="47" spans="1:237" ht="17" thickBot="1">
      <c r="A47" s="12">
        <f>'Book Details - NO EDIT'!A48</f>
        <v>46</v>
      </c>
      <c r="B47" s="112" t="str">
        <f>'Book Details - NO EDIT'!X48</f>
        <v>William (1863–1923: #46)</v>
      </c>
      <c r="C47" s="113">
        <f>'Book Details - NO EDIT'!L48</f>
        <v>23</v>
      </c>
      <c r="D47" s="44">
        <f>'Loyd List 1-190 - Edit'!T48</f>
        <v>8</v>
      </c>
      <c r="F47" s="124">
        <f t="shared" si="5"/>
        <v>8</v>
      </c>
      <c r="G47" s="125" t="str">
        <f t="shared" si="6"/>
        <v>8 – Lewis (1852–1908: #35) Gertrude (1854–1924: #38) Harriet (1856–1921: #40) Dulcie (1858–1905: #42) Harry (1861–1938: #44)  Caroline (1865–1938: #48) Mary (1867–1867: #49) Arthur (1868–1911: #50)</v>
      </c>
      <c r="H47" s="124"/>
      <c r="I47" s="124" t="str">
        <f t="shared" si="7"/>
        <v>Lewis (1852–1908: #35)</v>
      </c>
      <c r="J47" s="124" t="str">
        <f t="shared" si="8"/>
        <v>Gertrude (1854–1924: #38)</v>
      </c>
      <c r="K47" s="124" t="str">
        <f t="shared" si="9"/>
        <v>Harriet (1856–1921: #40)</v>
      </c>
      <c r="L47" s="124" t="str">
        <f t="shared" si="10"/>
        <v>Dulcie (1858–1905: #42)</v>
      </c>
      <c r="M47" s="124" t="str">
        <f t="shared" si="11"/>
        <v>Harry (1861–1938: #44)</v>
      </c>
      <c r="N47" s="124" t="str">
        <f t="shared" si="12"/>
        <v/>
      </c>
      <c r="O47" s="124" t="str">
        <f t="shared" si="13"/>
        <v>Caroline (1865–1938: #48)</v>
      </c>
      <c r="P47" s="124" t="str">
        <f t="shared" si="27"/>
        <v>Mary (1867–1867: #49)</v>
      </c>
      <c r="Q47" s="124" t="str">
        <f t="shared" si="29"/>
        <v>Arthur (1868–1911: #50)</v>
      </c>
      <c r="S47">
        <f t="shared" si="28"/>
        <v>117</v>
      </c>
      <c r="T47">
        <f t="shared" si="14"/>
        <v>3</v>
      </c>
      <c r="U47">
        <f t="shared" si="30"/>
        <v>147</v>
      </c>
      <c r="V47">
        <f t="shared" si="30"/>
        <v>151</v>
      </c>
      <c r="W47">
        <f t="shared" si="30"/>
        <v>153</v>
      </c>
      <c r="X47" t="str">
        <f t="shared" si="30"/>
        <v/>
      </c>
      <c r="Y47" t="str">
        <f t="shared" si="30"/>
        <v/>
      </c>
      <c r="Z47" t="str">
        <f t="shared" si="30"/>
        <v/>
      </c>
      <c r="AA47" t="str">
        <f t="shared" si="30"/>
        <v/>
      </c>
      <c r="AB47" t="str">
        <f t="shared" si="30"/>
        <v/>
      </c>
      <c r="AC47" t="str">
        <f t="shared" si="30"/>
        <v/>
      </c>
      <c r="AG47" t="str">
        <f t="shared" si="16"/>
        <v>Susannah (1965–: #147)</v>
      </c>
      <c r="AH47" t="str">
        <f t="shared" si="17"/>
        <v>Elspeth (1967–: #151)</v>
      </c>
      <c r="AI47" t="str">
        <f t="shared" si="18"/>
        <v>Richard (1968–: #153)</v>
      </c>
      <c r="AJ47" t="str">
        <f t="shared" si="19"/>
        <v/>
      </c>
      <c r="AK47" t="str">
        <f t="shared" si="20"/>
        <v/>
      </c>
      <c r="AL47" t="str">
        <f t="shared" si="21"/>
        <v/>
      </c>
      <c r="AM47" t="str">
        <f t="shared" si="22"/>
        <v/>
      </c>
      <c r="AN47" t="str">
        <f t="shared" si="23"/>
        <v/>
      </c>
      <c r="AO47" t="str">
        <f t="shared" si="24"/>
        <v/>
      </c>
      <c r="AP47" s="60">
        <f t="shared" si="25"/>
        <v>117</v>
      </c>
      <c r="AQ47" s="60" t="str">
        <f t="shared" si="26"/>
        <v>3 - Susannah (1965–: #147); Elspeth (1967–: #151); Richard (1968–: #153)</v>
      </c>
      <c r="AS47" s="72">
        <v>117</v>
      </c>
      <c r="GJ47">
        <v>147</v>
      </c>
      <c r="GN47">
        <v>151</v>
      </c>
      <c r="GP47">
        <v>153</v>
      </c>
      <c r="IC47">
        <v>451</v>
      </c>
    </row>
    <row r="48" spans="1:237" ht="17" thickBot="1">
      <c r="A48" s="12">
        <f>'Book Details - NO EDIT'!A49</f>
        <v>47</v>
      </c>
      <c r="B48" s="112" t="str">
        <f>'Book Details - NO EDIT'!X49</f>
        <v>Caroline (1864–1940: #47)</v>
      </c>
      <c r="C48" s="113">
        <f>'Book Details - NO EDIT'!L49</f>
        <v>22</v>
      </c>
      <c r="D48" s="44">
        <f>'Loyd List 1-190 - Edit'!T49</f>
        <v>8</v>
      </c>
      <c r="F48" s="124">
        <f t="shared" si="5"/>
        <v>6</v>
      </c>
      <c r="G48" s="125" t="str">
        <f t="shared" si="6"/>
        <v xml:space="preserve">6 – Mary (1848–1934: #31) Elinor (1853–1895: #36) Fa (1855–1927: #39) Frederic (1856–1936: #41) Meg (1859–1936: #43) Llewellyn (1861–1939: #45)   </v>
      </c>
      <c r="H48" s="124"/>
      <c r="I48" s="124" t="str">
        <f t="shared" si="7"/>
        <v>Mary (1848–1934: #31)</v>
      </c>
      <c r="J48" s="124" t="str">
        <f t="shared" si="8"/>
        <v>Elinor (1853–1895: #36)</v>
      </c>
      <c r="K48" s="124" t="str">
        <f t="shared" si="9"/>
        <v>Fa (1855–1927: #39)</v>
      </c>
      <c r="L48" s="124" t="str">
        <f t="shared" si="10"/>
        <v>Frederic (1856–1936: #41)</v>
      </c>
      <c r="M48" s="124" t="str">
        <f t="shared" si="11"/>
        <v>Meg (1859–1936: #43)</v>
      </c>
      <c r="N48" s="124" t="str">
        <f t="shared" si="12"/>
        <v>Llewellyn (1861–1939: #45)</v>
      </c>
      <c r="O48" s="124" t="str">
        <f t="shared" si="13"/>
        <v/>
      </c>
      <c r="P48" s="124"/>
      <c r="Q48" s="124"/>
      <c r="S48">
        <f t="shared" si="28"/>
        <v>119</v>
      </c>
      <c r="T48">
        <f t="shared" si="14"/>
        <v>4</v>
      </c>
      <c r="U48">
        <f t="shared" si="30"/>
        <v>155</v>
      </c>
      <c r="V48">
        <f t="shared" si="30"/>
        <v>156</v>
      </c>
      <c r="W48">
        <f t="shared" si="30"/>
        <v>161</v>
      </c>
      <c r="X48">
        <f t="shared" si="30"/>
        <v>163</v>
      </c>
      <c r="Y48" t="str">
        <f t="shared" si="30"/>
        <v/>
      </c>
      <c r="Z48" t="str">
        <f t="shared" si="30"/>
        <v/>
      </c>
      <c r="AA48" t="str">
        <f t="shared" si="30"/>
        <v/>
      </c>
      <c r="AB48" t="str">
        <f t="shared" si="30"/>
        <v/>
      </c>
      <c r="AC48" t="str">
        <f t="shared" si="30"/>
        <v/>
      </c>
      <c r="AG48" t="str">
        <f t="shared" si="16"/>
        <v>William (1973–: #155)</v>
      </c>
      <c r="AH48" t="str">
        <f t="shared" si="17"/>
        <v>Amy (1975–: #156)</v>
      </c>
      <c r="AI48" t="str">
        <f t="shared" si="18"/>
        <v>Molly (1982–: #161)</v>
      </c>
      <c r="AJ48" t="str">
        <f t="shared" si="19"/>
        <v>Harriet (1984–: #163)</v>
      </c>
      <c r="AK48" t="str">
        <f t="shared" si="20"/>
        <v/>
      </c>
      <c r="AL48" t="str">
        <f t="shared" si="21"/>
        <v/>
      </c>
      <c r="AM48" t="str">
        <f t="shared" si="22"/>
        <v/>
      </c>
      <c r="AN48" t="str">
        <f t="shared" si="23"/>
        <v/>
      </c>
      <c r="AO48" t="str">
        <f t="shared" si="24"/>
        <v/>
      </c>
      <c r="AP48" s="60">
        <f t="shared" si="25"/>
        <v>119</v>
      </c>
      <c r="AQ48" s="60" t="str">
        <f t="shared" si="26"/>
        <v>4 - William (1973–: #155); Amy (1975–: #156); Molly (1982–: #161); Harriet (1984–: #163)</v>
      </c>
      <c r="AS48" s="72">
        <v>119</v>
      </c>
      <c r="GR48">
        <v>155</v>
      </c>
      <c r="GS48">
        <v>156</v>
      </c>
      <c r="GX48">
        <v>161</v>
      </c>
      <c r="GZ48">
        <v>163</v>
      </c>
      <c r="IC48">
        <v>635</v>
      </c>
    </row>
    <row r="49" spans="1:237" ht="17" thickBot="1">
      <c r="A49" s="12">
        <f>'Book Details - NO EDIT'!A50</f>
        <v>48</v>
      </c>
      <c r="B49" s="112" t="str">
        <f>'Book Details - NO EDIT'!X50</f>
        <v>Caroline (1865–1938: #48)</v>
      </c>
      <c r="C49" s="113">
        <f>'Book Details - NO EDIT'!L50</f>
        <v>23</v>
      </c>
      <c r="D49" s="44">
        <f>'Loyd List 1-190 - Edit'!T50</f>
        <v>8</v>
      </c>
      <c r="F49" s="124">
        <f t="shared" si="5"/>
        <v>8</v>
      </c>
      <c r="G49" s="125" t="str">
        <f t="shared" si="6"/>
        <v>8 – Lewis (1852–1908: #35) Gertrude (1854–1924: #38) Harriet (1856–1921: #40) Dulcie (1858–1905: #42) Harry (1861–1938: #44) William (1863–1923: #46)  Mary (1867–1867: #49) Arthur (1868–1911: #50)</v>
      </c>
      <c r="H49" s="124"/>
      <c r="I49" s="124" t="str">
        <f t="shared" si="7"/>
        <v>Lewis (1852–1908: #35)</v>
      </c>
      <c r="J49" s="124" t="str">
        <f t="shared" si="8"/>
        <v>Gertrude (1854–1924: #38)</v>
      </c>
      <c r="K49" s="124" t="str">
        <f t="shared" si="9"/>
        <v>Harriet (1856–1921: #40)</v>
      </c>
      <c r="L49" s="124" t="str">
        <f t="shared" si="10"/>
        <v>Dulcie (1858–1905: #42)</v>
      </c>
      <c r="M49" s="124" t="str">
        <f t="shared" si="11"/>
        <v>Harry (1861–1938: #44)</v>
      </c>
      <c r="N49" s="124" t="str">
        <f t="shared" si="12"/>
        <v>William (1863–1923: #46)</v>
      </c>
      <c r="O49" s="124" t="str">
        <f t="shared" si="13"/>
        <v/>
      </c>
      <c r="P49" s="124" t="str">
        <f t="shared" si="27"/>
        <v>Mary (1867–1867: #49)</v>
      </c>
      <c r="Q49" s="124" t="str">
        <f t="shared" si="29"/>
        <v>Arthur (1868–1911: #50)</v>
      </c>
      <c r="S49">
        <f t="shared" si="28"/>
        <v>121</v>
      </c>
      <c r="T49">
        <f t="shared" si="14"/>
        <v>3</v>
      </c>
      <c r="U49">
        <f t="shared" si="30"/>
        <v>169</v>
      </c>
      <c r="V49">
        <f t="shared" si="30"/>
        <v>171</v>
      </c>
      <c r="W49">
        <f t="shared" si="30"/>
        <v>174</v>
      </c>
      <c r="X49" t="str">
        <f t="shared" si="30"/>
        <v/>
      </c>
      <c r="Y49" t="str">
        <f t="shared" si="30"/>
        <v/>
      </c>
      <c r="Z49" t="str">
        <f t="shared" si="30"/>
        <v/>
      </c>
      <c r="AA49" t="str">
        <f t="shared" si="30"/>
        <v/>
      </c>
      <c r="AB49" t="str">
        <f t="shared" si="30"/>
        <v/>
      </c>
      <c r="AC49" t="str">
        <f t="shared" si="30"/>
        <v/>
      </c>
      <c r="AG49" t="str">
        <f t="shared" si="16"/>
        <v>James (1988–: #169)</v>
      </c>
      <c r="AH49" t="str">
        <f t="shared" si="17"/>
        <v>Rupert (1990–: #171)</v>
      </c>
      <c r="AI49" t="str">
        <f t="shared" si="18"/>
        <v>Tabitha (1992–: #174)</v>
      </c>
      <c r="AJ49" t="str">
        <f t="shared" si="19"/>
        <v/>
      </c>
      <c r="AK49" t="str">
        <f t="shared" si="20"/>
        <v/>
      </c>
      <c r="AL49" t="str">
        <f t="shared" si="21"/>
        <v/>
      </c>
      <c r="AM49" t="str">
        <f t="shared" si="22"/>
        <v/>
      </c>
      <c r="AN49" t="str">
        <f t="shared" si="23"/>
        <v/>
      </c>
      <c r="AO49" t="str">
        <f t="shared" si="24"/>
        <v/>
      </c>
      <c r="AP49" s="60">
        <f t="shared" si="25"/>
        <v>121</v>
      </c>
      <c r="AQ49" s="60" t="str">
        <f t="shared" si="26"/>
        <v>3 - James (1988–: #169); Rupert (1990–: #171); Tabitha (1992–: #174)</v>
      </c>
      <c r="AS49" s="72">
        <v>121</v>
      </c>
      <c r="HF49">
        <v>169</v>
      </c>
      <c r="HH49">
        <v>171</v>
      </c>
      <c r="HK49">
        <v>174</v>
      </c>
      <c r="IC49">
        <v>514</v>
      </c>
    </row>
    <row r="50" spans="1:237" ht="17" thickBot="1">
      <c r="A50" s="12">
        <f>'Book Details - NO EDIT'!A51</f>
        <v>49</v>
      </c>
      <c r="B50" s="112" t="str">
        <f>'Book Details - NO EDIT'!X51</f>
        <v>Mary (1867–1867: #49)</v>
      </c>
      <c r="C50" s="113">
        <f>'Book Details - NO EDIT'!L51</f>
        <v>23</v>
      </c>
      <c r="D50" s="44">
        <f>'Loyd List 1-190 - Edit'!T51</f>
        <v>8</v>
      </c>
      <c r="F50" s="124">
        <f t="shared" si="5"/>
        <v>8</v>
      </c>
      <c r="G50" s="125" t="str">
        <f t="shared" si="6"/>
        <v>8 – Lewis (1852–1908: #35) Gertrude (1854–1924: #38) Harriet (1856–1921: #40) Dulcie (1858–1905: #42) Harry (1861–1938: #44) William (1863–1923: #46) Caroline (1865–1938: #48)  Arthur (1868–1911: #50)</v>
      </c>
      <c r="H50" s="124"/>
      <c r="I50" s="124" t="str">
        <f t="shared" si="7"/>
        <v>Lewis (1852–1908: #35)</v>
      </c>
      <c r="J50" s="124" t="str">
        <f t="shared" si="8"/>
        <v>Gertrude (1854–1924: #38)</v>
      </c>
      <c r="K50" s="124" t="str">
        <f t="shared" si="9"/>
        <v>Harriet (1856–1921: #40)</v>
      </c>
      <c r="L50" s="124" t="str">
        <f t="shared" si="10"/>
        <v>Dulcie (1858–1905: #42)</v>
      </c>
      <c r="M50" s="124" t="str">
        <f t="shared" si="11"/>
        <v>Harry (1861–1938: #44)</v>
      </c>
      <c r="N50" s="124" t="str">
        <f t="shared" si="12"/>
        <v>William (1863–1923: #46)</v>
      </c>
      <c r="O50" s="124" t="str">
        <f t="shared" si="13"/>
        <v>Caroline (1865–1938: #48)</v>
      </c>
      <c r="P50" s="124" t="str">
        <f t="shared" si="27"/>
        <v/>
      </c>
      <c r="Q50" s="124" t="str">
        <f t="shared" si="29"/>
        <v>Arthur (1868–1911: #50)</v>
      </c>
      <c r="S50">
        <f t="shared" si="28"/>
        <v>130</v>
      </c>
      <c r="T50">
        <f t="shared" si="14"/>
        <v>1</v>
      </c>
      <c r="U50">
        <f t="shared" si="30"/>
        <v>166</v>
      </c>
      <c r="V50" t="str">
        <f t="shared" si="30"/>
        <v/>
      </c>
      <c r="W50" t="str">
        <f t="shared" si="30"/>
        <v/>
      </c>
      <c r="X50" t="str">
        <f t="shared" si="30"/>
        <v/>
      </c>
      <c r="Y50" t="str">
        <f t="shared" si="30"/>
        <v/>
      </c>
      <c r="Z50" t="str">
        <f t="shared" si="30"/>
        <v/>
      </c>
      <c r="AA50" t="str">
        <f t="shared" si="30"/>
        <v/>
      </c>
      <c r="AB50" t="str">
        <f t="shared" si="30"/>
        <v/>
      </c>
      <c r="AC50" t="str">
        <f t="shared" si="30"/>
        <v/>
      </c>
      <c r="AG50" t="str">
        <f t="shared" si="16"/>
        <v>Gareth (1988–: #166)</v>
      </c>
      <c r="AH50" t="str">
        <f t="shared" si="17"/>
        <v/>
      </c>
      <c r="AI50" t="str">
        <f t="shared" si="18"/>
        <v/>
      </c>
      <c r="AJ50" t="str">
        <f t="shared" si="19"/>
        <v/>
      </c>
      <c r="AK50" t="str">
        <f t="shared" si="20"/>
        <v/>
      </c>
      <c r="AL50" t="str">
        <f t="shared" si="21"/>
        <v/>
      </c>
      <c r="AM50" t="str">
        <f t="shared" si="22"/>
        <v/>
      </c>
      <c r="AN50" t="str">
        <f t="shared" si="23"/>
        <v/>
      </c>
      <c r="AO50" t="str">
        <f t="shared" si="24"/>
        <v/>
      </c>
      <c r="AP50" s="60">
        <f t="shared" si="25"/>
        <v>130</v>
      </c>
      <c r="AQ50" s="60" t="str">
        <f t="shared" si="26"/>
        <v>1 - Gareth (1988–: #166)</v>
      </c>
      <c r="AS50" s="72">
        <v>130</v>
      </c>
      <c r="HC50">
        <v>166</v>
      </c>
      <c r="IC50">
        <v>166</v>
      </c>
    </row>
    <row r="51" spans="1:237" ht="17" thickBot="1">
      <c r="A51" s="12">
        <f>'Book Details - NO EDIT'!A52</f>
        <v>50</v>
      </c>
      <c r="B51" s="112" t="str">
        <f>'Book Details - NO EDIT'!X52</f>
        <v>Arthur (1868–1911: #50)</v>
      </c>
      <c r="C51" s="113">
        <f>'Book Details - NO EDIT'!L52</f>
        <v>23</v>
      </c>
      <c r="D51" s="44">
        <f>'Loyd List 1-190 - Edit'!T52</f>
        <v>8</v>
      </c>
      <c r="F51" s="124">
        <f t="shared" si="5"/>
        <v>8</v>
      </c>
      <c r="G51" s="125" t="str">
        <f t="shared" si="6"/>
        <v xml:space="preserve">8 – Lewis (1852–1908: #35) Gertrude (1854–1924: #38) Harriet (1856–1921: #40) Dulcie (1858–1905: #42) Harry (1861–1938: #44) William (1863–1923: #46) Caroline (1865–1938: #48) Mary (1867–1867: #49) </v>
      </c>
      <c r="H51" s="124"/>
      <c r="I51" s="124" t="str">
        <f t="shared" si="7"/>
        <v>Lewis (1852–1908: #35)</v>
      </c>
      <c r="J51" s="124" t="str">
        <f t="shared" si="8"/>
        <v>Gertrude (1854–1924: #38)</v>
      </c>
      <c r="K51" s="124" t="str">
        <f t="shared" si="9"/>
        <v>Harriet (1856–1921: #40)</v>
      </c>
      <c r="L51" s="124" t="str">
        <f t="shared" si="10"/>
        <v>Dulcie (1858–1905: #42)</v>
      </c>
      <c r="M51" s="124" t="str">
        <f t="shared" si="11"/>
        <v>Harry (1861–1938: #44)</v>
      </c>
      <c r="N51" s="124" t="str">
        <f t="shared" si="12"/>
        <v>William (1863–1923: #46)</v>
      </c>
      <c r="O51" s="124" t="str">
        <f t="shared" si="13"/>
        <v>Caroline (1865–1938: #48)</v>
      </c>
      <c r="P51" s="124" t="str">
        <f t="shared" si="27"/>
        <v>Mary (1867–1867: #49)</v>
      </c>
      <c r="Q51" s="124" t="str">
        <f t="shared" si="29"/>
        <v/>
      </c>
      <c r="S51">
        <f t="shared" si="28"/>
        <v>131</v>
      </c>
      <c r="T51">
        <f t="shared" si="14"/>
        <v>3</v>
      </c>
      <c r="U51">
        <f t="shared" si="30"/>
        <v>160</v>
      </c>
      <c r="V51">
        <f t="shared" si="30"/>
        <v>162</v>
      </c>
      <c r="W51">
        <f t="shared" si="30"/>
        <v>167</v>
      </c>
      <c r="X51" t="str">
        <f t="shared" si="30"/>
        <v/>
      </c>
      <c r="Y51" t="str">
        <f t="shared" si="30"/>
        <v/>
      </c>
      <c r="Z51" t="str">
        <f t="shared" si="30"/>
        <v/>
      </c>
      <c r="AA51" t="str">
        <f t="shared" si="30"/>
        <v/>
      </c>
      <c r="AB51" t="str">
        <f t="shared" si="30"/>
        <v/>
      </c>
      <c r="AC51" t="str">
        <f t="shared" si="30"/>
        <v/>
      </c>
      <c r="AG51" t="str">
        <f t="shared" si="16"/>
        <v>John (1982–: #160)</v>
      </c>
      <c r="AH51" t="str">
        <f t="shared" si="17"/>
        <v>David (1984–: #162)</v>
      </c>
      <c r="AI51" t="str">
        <f t="shared" si="18"/>
        <v>Ben (1988–: #167)</v>
      </c>
      <c r="AJ51" t="str">
        <f t="shared" si="19"/>
        <v/>
      </c>
      <c r="AK51" t="str">
        <f t="shared" si="20"/>
        <v/>
      </c>
      <c r="AL51" t="str">
        <f t="shared" si="21"/>
        <v/>
      </c>
      <c r="AM51" t="str">
        <f t="shared" si="22"/>
        <v/>
      </c>
      <c r="AN51" t="str">
        <f t="shared" si="23"/>
        <v/>
      </c>
      <c r="AO51" t="str">
        <f t="shared" si="24"/>
        <v/>
      </c>
      <c r="AP51" s="60">
        <f t="shared" si="25"/>
        <v>131</v>
      </c>
      <c r="AQ51" s="60" t="str">
        <f t="shared" si="26"/>
        <v>3 - John (1982–: #160); David (1984–: #162); Ben (1988–: #167)</v>
      </c>
      <c r="AS51" s="72">
        <v>131</v>
      </c>
      <c r="GW51">
        <v>160</v>
      </c>
      <c r="GY51">
        <v>162</v>
      </c>
      <c r="HD51">
        <v>167</v>
      </c>
      <c r="IC51">
        <v>489</v>
      </c>
    </row>
    <row r="52" spans="1:237" ht="17" thickBot="1">
      <c r="A52" s="12">
        <f>'Book Details - NO EDIT'!A53</f>
        <v>51</v>
      </c>
      <c r="B52" s="112" t="str">
        <f>'Book Details - NO EDIT'!X53</f>
        <v>Lewis (1875–1947: #51)</v>
      </c>
      <c r="C52" s="113">
        <f>'Book Details - NO EDIT'!L53</f>
        <v>28</v>
      </c>
      <c r="D52" s="44">
        <f>'Loyd List 1-190 - Edit'!T53</f>
        <v>14</v>
      </c>
      <c r="F52" s="124">
        <f t="shared" si="5"/>
        <v>3</v>
      </c>
      <c r="G52" s="125" t="str">
        <f t="shared" si="6"/>
        <v xml:space="preserve">3 – Tommy (1882–1944: #56) Rt Rev Philip (1884–1952: #58) Kitty (1885–1989: #60)     </v>
      </c>
      <c r="H52" s="124"/>
      <c r="I52" s="124" t="str">
        <f t="shared" si="7"/>
        <v/>
      </c>
      <c r="J52" s="124" t="str">
        <f t="shared" si="8"/>
        <v>Tommy (1882–1944: #56)</v>
      </c>
      <c r="K52" s="124" t="str">
        <f t="shared" si="9"/>
        <v>Rt Rev Philip (1884–1952: #58)</v>
      </c>
      <c r="L52" s="124" t="str">
        <f t="shared" si="10"/>
        <v>Kitty (1885–1989: #60)</v>
      </c>
      <c r="M52" s="124"/>
      <c r="N52" s="124"/>
      <c r="O52" s="124"/>
      <c r="P52" s="124"/>
      <c r="Q52" s="124"/>
      <c r="S52">
        <f t="shared" si="28"/>
        <v>135</v>
      </c>
      <c r="T52">
        <f t="shared" si="14"/>
        <v>2</v>
      </c>
      <c r="U52">
        <f t="shared" si="30"/>
        <v>173</v>
      </c>
      <c r="V52">
        <f t="shared" si="30"/>
        <v>177</v>
      </c>
      <c r="W52" t="str">
        <f t="shared" si="30"/>
        <v/>
      </c>
      <c r="X52" t="str">
        <f t="shared" si="30"/>
        <v/>
      </c>
      <c r="Y52" t="str">
        <f t="shared" si="30"/>
        <v/>
      </c>
      <c r="Z52" t="str">
        <f t="shared" si="30"/>
        <v/>
      </c>
      <c r="AA52" t="str">
        <f t="shared" si="30"/>
        <v/>
      </c>
      <c r="AB52" t="str">
        <f t="shared" si="30"/>
        <v/>
      </c>
      <c r="AC52" t="str">
        <f t="shared" si="30"/>
        <v/>
      </c>
      <c r="AG52" t="str">
        <f t="shared" si="16"/>
        <v>Curtis (1992–: #173)</v>
      </c>
      <c r="AH52" t="str">
        <f t="shared" si="17"/>
        <v>Spencer (1995–: #177)</v>
      </c>
      <c r="AI52" t="str">
        <f t="shared" si="18"/>
        <v/>
      </c>
      <c r="AJ52" t="str">
        <f t="shared" si="19"/>
        <v/>
      </c>
      <c r="AK52" t="str">
        <f t="shared" si="20"/>
        <v/>
      </c>
      <c r="AL52" t="str">
        <f t="shared" si="21"/>
        <v/>
      </c>
      <c r="AM52" t="str">
        <f t="shared" si="22"/>
        <v/>
      </c>
      <c r="AN52" t="str">
        <f t="shared" si="23"/>
        <v/>
      </c>
      <c r="AO52" t="str">
        <f t="shared" si="24"/>
        <v/>
      </c>
      <c r="AP52" s="60">
        <f t="shared" si="25"/>
        <v>135</v>
      </c>
      <c r="AQ52" s="60" t="str">
        <f t="shared" si="26"/>
        <v>2 - Curtis (1992–: #173); Spencer (1995–: #177)</v>
      </c>
      <c r="AS52" s="72">
        <v>135</v>
      </c>
      <c r="HJ52">
        <v>173</v>
      </c>
      <c r="HN52">
        <v>177</v>
      </c>
      <c r="IC52">
        <v>350</v>
      </c>
    </row>
    <row r="53" spans="1:237" ht="17" thickBot="1">
      <c r="A53" s="12">
        <f>'Book Details - NO EDIT'!A54</f>
        <v>52</v>
      </c>
      <c r="B53" s="112" t="str">
        <f>'Book Details - NO EDIT'!X54</f>
        <v>Lewis (1880–1918: #52)</v>
      </c>
      <c r="C53" s="113">
        <f>'Book Details - NO EDIT'!L54</f>
        <v>41</v>
      </c>
      <c r="D53" s="44">
        <f>'Loyd List 1-190 - Edit'!T54</f>
        <v>22</v>
      </c>
      <c r="F53" s="124">
        <f t="shared" si="5"/>
        <v>4</v>
      </c>
      <c r="G53" s="125" t="str">
        <f t="shared" si="6"/>
        <v xml:space="preserve">4 – Edward (1881–1962: #53) Evelyn (1885–1962: #59) Mary (1887–1968: #63) Cecily (1891–1891: #74)    </v>
      </c>
      <c r="H53" s="124"/>
      <c r="I53" s="124" t="str">
        <f t="shared" si="7"/>
        <v/>
      </c>
      <c r="J53" s="124" t="str">
        <f t="shared" si="8"/>
        <v>Edward (1881–1962: #53)</v>
      </c>
      <c r="K53" s="124" t="str">
        <f t="shared" si="9"/>
        <v>Evelyn (1885–1962: #59)</v>
      </c>
      <c r="L53" s="124" t="str">
        <f t="shared" si="10"/>
        <v>Mary (1887–1968: #63)</v>
      </c>
      <c r="M53" s="124" t="str">
        <f t="shared" si="11"/>
        <v>Cecily (1891–1891: #74)</v>
      </c>
      <c r="N53" s="124"/>
      <c r="O53" s="124"/>
      <c r="P53" s="124"/>
      <c r="Q53" s="124"/>
      <c r="S53">
        <f t="shared" si="28"/>
        <v>136</v>
      </c>
      <c r="T53">
        <f t="shared" si="14"/>
        <v>3</v>
      </c>
      <c r="U53">
        <f t="shared" si="30"/>
        <v>164</v>
      </c>
      <c r="V53">
        <f t="shared" si="30"/>
        <v>165</v>
      </c>
      <c r="W53">
        <f t="shared" si="30"/>
        <v>172</v>
      </c>
      <c r="X53" t="str">
        <f t="shared" si="30"/>
        <v/>
      </c>
      <c r="Y53" t="str">
        <f t="shared" si="30"/>
        <v/>
      </c>
      <c r="Z53" t="str">
        <f t="shared" si="30"/>
        <v/>
      </c>
      <c r="AA53" t="str">
        <f t="shared" si="30"/>
        <v/>
      </c>
      <c r="AB53" t="str">
        <f t="shared" si="30"/>
        <v/>
      </c>
      <c r="AC53" t="str">
        <f t="shared" si="30"/>
        <v/>
      </c>
      <c r="AG53" t="str">
        <f t="shared" si="16"/>
        <v>Poppy (1984–: #164)</v>
      </c>
      <c r="AH53" t="str">
        <f t="shared" si="17"/>
        <v>Rose (1986–: #165)</v>
      </c>
      <c r="AI53" t="str">
        <f t="shared" si="18"/>
        <v>Florina (1991–: #172)</v>
      </c>
      <c r="AJ53" t="str">
        <f t="shared" si="19"/>
        <v/>
      </c>
      <c r="AK53" t="str">
        <f t="shared" si="20"/>
        <v/>
      </c>
      <c r="AL53" t="str">
        <f t="shared" si="21"/>
        <v/>
      </c>
      <c r="AM53" t="str">
        <f t="shared" si="22"/>
        <v/>
      </c>
      <c r="AN53" t="str">
        <f t="shared" si="23"/>
        <v/>
      </c>
      <c r="AO53" t="str">
        <f t="shared" si="24"/>
        <v/>
      </c>
      <c r="AP53" s="60">
        <f t="shared" si="25"/>
        <v>136</v>
      </c>
      <c r="AQ53" s="60" t="str">
        <f t="shared" si="26"/>
        <v>3 - Poppy (1984–: #164); Rose (1986–: #165); Florina (1991–: #172)</v>
      </c>
      <c r="AS53" s="72">
        <v>136</v>
      </c>
      <c r="HA53">
        <v>164</v>
      </c>
      <c r="HB53">
        <v>165</v>
      </c>
      <c r="HI53">
        <v>172</v>
      </c>
      <c r="IC53">
        <v>501</v>
      </c>
    </row>
    <row r="54" spans="1:237" ht="17" thickBot="1">
      <c r="A54" s="12">
        <f>'Book Details - NO EDIT'!A55</f>
        <v>53</v>
      </c>
      <c r="B54" s="112" t="str">
        <f>'Book Details - NO EDIT'!X55</f>
        <v>Edward (1881–1962: #53)</v>
      </c>
      <c r="C54" s="113">
        <f>'Book Details - NO EDIT'!L55</f>
        <v>41</v>
      </c>
      <c r="D54" s="44">
        <f>'Loyd List 1-190 - Edit'!T55</f>
        <v>22</v>
      </c>
      <c r="F54" s="124">
        <f t="shared" si="5"/>
        <v>4</v>
      </c>
      <c r="G54" s="125" t="str">
        <f t="shared" si="6"/>
        <v xml:space="preserve">4 – Lewis (1880–1918: #52)  Evelyn (1885–1962: #59) Mary (1887–1968: #63) Cecily (1891–1891: #74)    </v>
      </c>
      <c r="H54" s="124"/>
      <c r="I54" s="124" t="str">
        <f t="shared" si="7"/>
        <v>Lewis (1880–1918: #52)</v>
      </c>
      <c r="J54" s="124" t="str">
        <f t="shared" si="8"/>
        <v/>
      </c>
      <c r="K54" s="124" t="str">
        <f t="shared" si="9"/>
        <v>Evelyn (1885–1962: #59)</v>
      </c>
      <c r="L54" s="124" t="str">
        <f t="shared" si="10"/>
        <v>Mary (1887–1968: #63)</v>
      </c>
      <c r="M54" s="124" t="str">
        <f t="shared" si="11"/>
        <v>Cecily (1891–1891: #74)</v>
      </c>
      <c r="N54" s="124"/>
      <c r="O54" s="124"/>
      <c r="P54" s="124"/>
      <c r="Q54" s="124"/>
      <c r="S54">
        <f t="shared" si="28"/>
        <v>138</v>
      </c>
      <c r="T54">
        <f t="shared" si="14"/>
        <v>3</v>
      </c>
      <c r="U54">
        <f t="shared" si="30"/>
        <v>168</v>
      </c>
      <c r="V54">
        <f t="shared" si="30"/>
        <v>170</v>
      </c>
      <c r="W54">
        <f t="shared" si="30"/>
        <v>175</v>
      </c>
      <c r="X54" t="str">
        <f t="shared" si="30"/>
        <v/>
      </c>
      <c r="Y54" t="str">
        <f t="shared" si="30"/>
        <v/>
      </c>
      <c r="Z54" t="str">
        <f t="shared" si="30"/>
        <v/>
      </c>
      <c r="AA54" t="str">
        <f t="shared" si="30"/>
        <v/>
      </c>
      <c r="AB54" t="str">
        <f t="shared" si="30"/>
        <v/>
      </c>
      <c r="AC54" t="str">
        <f t="shared" si="30"/>
        <v/>
      </c>
      <c r="AG54" t="str">
        <f t="shared" si="16"/>
        <v>Camilla (1988–: #168)</v>
      </c>
      <c r="AH54" t="str">
        <f t="shared" si="17"/>
        <v>Sophie (1989–: #170)</v>
      </c>
      <c r="AI54" t="str">
        <f t="shared" si="18"/>
        <v>Kit (1993–: #175)</v>
      </c>
      <c r="AJ54" t="str">
        <f t="shared" si="19"/>
        <v/>
      </c>
      <c r="AK54" t="str">
        <f t="shared" si="20"/>
        <v/>
      </c>
      <c r="AL54" t="str">
        <f t="shared" si="21"/>
        <v/>
      </c>
      <c r="AM54" t="str">
        <f t="shared" si="22"/>
        <v/>
      </c>
      <c r="AN54" t="str">
        <f t="shared" si="23"/>
        <v/>
      </c>
      <c r="AO54" t="str">
        <f t="shared" si="24"/>
        <v/>
      </c>
      <c r="AP54" s="60">
        <f t="shared" si="25"/>
        <v>138</v>
      </c>
      <c r="AQ54" s="60" t="str">
        <f t="shared" si="26"/>
        <v>3 - Camilla (1988–: #168); Sophie (1989–: #170); Kit (1993–: #175)</v>
      </c>
      <c r="AS54" s="72">
        <v>138</v>
      </c>
      <c r="HE54">
        <v>168</v>
      </c>
      <c r="HG54">
        <v>170</v>
      </c>
      <c r="HL54">
        <v>175</v>
      </c>
      <c r="IC54">
        <v>513</v>
      </c>
    </row>
    <row r="55" spans="1:237" ht="17" thickBot="1">
      <c r="A55" s="12">
        <f>'Book Details - NO EDIT'!A56</f>
        <v>54</v>
      </c>
      <c r="B55" s="112" t="str">
        <f>'Book Details - NO EDIT'!X56</f>
        <v>Alfred (1882–1919: #54)</v>
      </c>
      <c r="C55" s="113">
        <f>'Book Details - NO EDIT'!L56</f>
        <v>32</v>
      </c>
      <c r="D55" s="44">
        <f>'Loyd List 1-190 - Edit'!T56</f>
        <v>14</v>
      </c>
      <c r="F55" s="124">
        <f t="shared" si="5"/>
        <v>1</v>
      </c>
      <c r="G55" s="125" t="str">
        <f t="shared" si="6"/>
        <v xml:space="preserve">1 – Tony/Dodo (1889–1956: #67)       </v>
      </c>
      <c r="H55" s="124"/>
      <c r="I55" s="124" t="str">
        <f t="shared" si="7"/>
        <v/>
      </c>
      <c r="J55" s="124" t="str">
        <f t="shared" si="8"/>
        <v>Tony/Dodo (1889–1956: #67)</v>
      </c>
      <c r="K55" s="124"/>
      <c r="L55" s="124"/>
      <c r="M55" s="124"/>
      <c r="N55" s="124"/>
      <c r="O55" s="124"/>
      <c r="P55" s="124"/>
      <c r="Q55" s="124"/>
      <c r="S55">
        <f t="shared" si="28"/>
        <v>142</v>
      </c>
      <c r="T55">
        <f t="shared" si="14"/>
        <v>2</v>
      </c>
      <c r="U55">
        <f t="shared" si="30"/>
        <v>176</v>
      </c>
      <c r="V55">
        <f t="shared" si="30"/>
        <v>179</v>
      </c>
      <c r="W55" t="str">
        <f t="shared" si="30"/>
        <v/>
      </c>
      <c r="X55" t="str">
        <f t="shared" si="30"/>
        <v/>
      </c>
      <c r="Y55" t="str">
        <f t="shared" si="30"/>
        <v/>
      </c>
      <c r="Z55" t="str">
        <f t="shared" si="30"/>
        <v/>
      </c>
      <c r="AA55" t="str">
        <f t="shared" si="30"/>
        <v/>
      </c>
      <c r="AB55" t="str">
        <f t="shared" si="30"/>
        <v/>
      </c>
      <c r="AC55" t="str">
        <f t="shared" si="30"/>
        <v/>
      </c>
      <c r="AG55" t="str">
        <f t="shared" si="16"/>
        <v>Sam (1994–: #176)</v>
      </c>
      <c r="AH55" t="str">
        <f t="shared" si="17"/>
        <v>Josh (1996–: #179)</v>
      </c>
      <c r="AI55" t="str">
        <f t="shared" si="18"/>
        <v/>
      </c>
      <c r="AJ55" t="str">
        <f t="shared" si="19"/>
        <v/>
      </c>
      <c r="AK55" t="str">
        <f t="shared" si="20"/>
        <v/>
      </c>
      <c r="AL55" t="str">
        <f t="shared" si="21"/>
        <v/>
      </c>
      <c r="AM55" t="str">
        <f t="shared" si="22"/>
        <v/>
      </c>
      <c r="AN55" t="str">
        <f t="shared" si="23"/>
        <v/>
      </c>
      <c r="AO55" t="str">
        <f t="shared" si="24"/>
        <v/>
      </c>
      <c r="AP55" s="60">
        <f t="shared" si="25"/>
        <v>142</v>
      </c>
      <c r="AQ55" s="60" t="str">
        <f t="shared" si="26"/>
        <v>2 - Sam (1994–: #176); Josh (1996–: #179)</v>
      </c>
      <c r="AS55" s="72">
        <v>142</v>
      </c>
      <c r="HM55">
        <v>176</v>
      </c>
      <c r="HP55">
        <v>179</v>
      </c>
      <c r="IC55">
        <v>355</v>
      </c>
    </row>
    <row r="56" spans="1:237" ht="17" thickBot="1">
      <c r="A56" s="12">
        <f>'Book Details - NO EDIT'!A57</f>
        <v>55</v>
      </c>
      <c r="B56" s="112" t="str">
        <f>'Book Details - NO EDIT'!X57</f>
        <v>Dick (1882–1950: #55)</v>
      </c>
      <c r="C56" s="113">
        <f>'Book Details - NO EDIT'!L57</f>
        <v>35</v>
      </c>
      <c r="D56" s="44">
        <f>'Loyd List 1-190 - Edit'!T57</f>
        <v>23</v>
      </c>
      <c r="F56" s="124">
        <f t="shared" si="5"/>
        <v>2</v>
      </c>
      <c r="G56" s="125" t="str">
        <f t="shared" si="6"/>
        <v xml:space="preserve">2 – Robert (1884–1917: #57) Gertrude (1887–1917: #64)      </v>
      </c>
      <c r="H56" s="124"/>
      <c r="I56" s="124" t="str">
        <f t="shared" si="7"/>
        <v/>
      </c>
      <c r="J56" s="124" t="str">
        <f t="shared" si="8"/>
        <v>Robert (1884–1917: #57)</v>
      </c>
      <c r="K56" s="124" t="str">
        <f t="shared" si="9"/>
        <v>Gertrude (1887–1917: #64)</v>
      </c>
      <c r="L56" s="124"/>
      <c r="M56" s="124"/>
      <c r="N56" s="124"/>
      <c r="O56" s="124"/>
      <c r="P56" s="124"/>
      <c r="Q56" s="124"/>
      <c r="S56">
        <f t="shared" si="28"/>
        <v>146</v>
      </c>
      <c r="T56">
        <f t="shared" si="14"/>
        <v>2</v>
      </c>
      <c r="U56">
        <f t="shared" si="30"/>
        <v>180</v>
      </c>
      <c r="V56">
        <f t="shared" si="30"/>
        <v>182</v>
      </c>
      <c r="W56" t="str">
        <f t="shared" si="30"/>
        <v/>
      </c>
      <c r="X56" t="str">
        <f t="shared" si="30"/>
        <v/>
      </c>
      <c r="Y56" t="str">
        <f t="shared" si="30"/>
        <v/>
      </c>
      <c r="Z56" t="str">
        <f t="shared" si="30"/>
        <v/>
      </c>
      <c r="AA56" t="str">
        <f t="shared" si="30"/>
        <v/>
      </c>
      <c r="AB56" t="str">
        <f t="shared" si="30"/>
        <v/>
      </c>
      <c r="AC56" t="str">
        <f t="shared" si="30"/>
        <v/>
      </c>
      <c r="AG56" t="str">
        <f t="shared" si="16"/>
        <v>George (1998–: #180)</v>
      </c>
      <c r="AH56" t="str">
        <f t="shared" si="17"/>
        <v>Rosanna (2000–: #182)</v>
      </c>
      <c r="AI56" t="str">
        <f t="shared" si="18"/>
        <v/>
      </c>
      <c r="AJ56" t="str">
        <f t="shared" si="19"/>
        <v/>
      </c>
      <c r="AK56" t="str">
        <f t="shared" si="20"/>
        <v/>
      </c>
      <c r="AL56" t="str">
        <f t="shared" si="21"/>
        <v/>
      </c>
      <c r="AM56" t="str">
        <f t="shared" si="22"/>
        <v/>
      </c>
      <c r="AN56" t="str">
        <f t="shared" si="23"/>
        <v/>
      </c>
      <c r="AO56" t="str">
        <f t="shared" si="24"/>
        <v/>
      </c>
      <c r="AP56" s="60">
        <f t="shared" si="25"/>
        <v>146</v>
      </c>
      <c r="AQ56" s="60" t="str">
        <f t="shared" si="26"/>
        <v>2 - George (1998–: #180); Rosanna (2000–: #182)</v>
      </c>
      <c r="AS56" s="72">
        <v>146</v>
      </c>
      <c r="HQ56">
        <v>180</v>
      </c>
      <c r="HS56">
        <v>182</v>
      </c>
      <c r="IC56">
        <v>362</v>
      </c>
    </row>
    <row r="57" spans="1:237" ht="17" thickBot="1">
      <c r="A57" s="12">
        <f>'Book Details - NO EDIT'!A58</f>
        <v>56</v>
      </c>
      <c r="B57" s="112" t="str">
        <f>'Book Details - NO EDIT'!X58</f>
        <v>Tommy (1882–1944: #56)</v>
      </c>
      <c r="C57" s="113">
        <f>'Book Details - NO EDIT'!L58</f>
        <v>28</v>
      </c>
      <c r="D57" s="44">
        <f>'Loyd List 1-190 - Edit'!T58</f>
        <v>14</v>
      </c>
      <c r="F57" s="124">
        <f t="shared" si="5"/>
        <v>3</v>
      </c>
      <c r="G57" s="125" t="str">
        <f t="shared" si="6"/>
        <v xml:space="preserve">3 – Lewis (1875–1947: #51)  Rt Rev Philip (1884–1952: #58) Kitty (1885–1989: #60)     </v>
      </c>
      <c r="H57" s="124"/>
      <c r="I57" s="124" t="str">
        <f t="shared" si="7"/>
        <v>Lewis (1875–1947: #51)</v>
      </c>
      <c r="J57" s="124" t="str">
        <f t="shared" si="8"/>
        <v/>
      </c>
      <c r="K57" s="124" t="str">
        <f t="shared" si="9"/>
        <v>Rt Rev Philip (1884–1952: #58)</v>
      </c>
      <c r="L57" s="124" t="str">
        <f t="shared" si="10"/>
        <v>Kitty (1885–1989: #60)</v>
      </c>
      <c r="M57" s="124"/>
      <c r="N57" s="124"/>
      <c r="O57" s="124"/>
      <c r="P57" s="124"/>
      <c r="Q57" s="124"/>
      <c r="S57">
        <f t="shared" si="28"/>
        <v>149</v>
      </c>
      <c r="T57">
        <f t="shared" si="14"/>
        <v>1</v>
      </c>
      <c r="U57">
        <f t="shared" si="30"/>
        <v>184</v>
      </c>
      <c r="V57" t="str">
        <f t="shared" si="30"/>
        <v/>
      </c>
      <c r="W57" t="str">
        <f t="shared" si="30"/>
        <v/>
      </c>
      <c r="X57" t="str">
        <f t="shared" si="30"/>
        <v/>
      </c>
      <c r="Y57" t="str">
        <f t="shared" si="30"/>
        <v/>
      </c>
      <c r="Z57" t="str">
        <f t="shared" si="30"/>
        <v/>
      </c>
      <c r="AA57" t="str">
        <f t="shared" si="30"/>
        <v/>
      </c>
      <c r="AB57" t="str">
        <f t="shared" si="30"/>
        <v/>
      </c>
      <c r="AC57" t="str">
        <f t="shared" si="30"/>
        <v/>
      </c>
      <c r="AG57" t="str">
        <f t="shared" si="16"/>
        <v>Delilah (2006–: #184)</v>
      </c>
      <c r="AH57" t="str">
        <f t="shared" si="17"/>
        <v/>
      </c>
      <c r="AI57" t="str">
        <f t="shared" si="18"/>
        <v/>
      </c>
      <c r="AJ57" t="str">
        <f t="shared" si="19"/>
        <v/>
      </c>
      <c r="AK57" t="str">
        <f t="shared" si="20"/>
        <v/>
      </c>
      <c r="AL57" t="str">
        <f t="shared" si="21"/>
        <v/>
      </c>
      <c r="AM57" t="str">
        <f t="shared" si="22"/>
        <v/>
      </c>
      <c r="AN57" t="str">
        <f t="shared" si="23"/>
        <v/>
      </c>
      <c r="AO57" t="str">
        <f t="shared" si="24"/>
        <v/>
      </c>
      <c r="AP57" s="60">
        <f>S57</f>
        <v>149</v>
      </c>
      <c r="AQ57" s="60" t="str">
        <f t="shared" si="26"/>
        <v>1 - Delilah (2006–: #184)</v>
      </c>
      <c r="AS57" s="72">
        <v>149</v>
      </c>
      <c r="HU57">
        <v>184</v>
      </c>
      <c r="IC57">
        <v>184</v>
      </c>
    </row>
    <row r="58" spans="1:237" ht="17" thickBot="1">
      <c r="A58" s="12">
        <f>'Book Details - NO EDIT'!A59</f>
        <v>57</v>
      </c>
      <c r="B58" s="112" t="str">
        <f>'Book Details - NO EDIT'!X59</f>
        <v>Robert (1884–1917: #57)</v>
      </c>
      <c r="C58" s="113">
        <f>'Book Details - NO EDIT'!L59</f>
        <v>35</v>
      </c>
      <c r="D58" s="44">
        <f>'Loyd List 1-190 - Edit'!T59</f>
        <v>23</v>
      </c>
      <c r="F58" s="124">
        <f t="shared" si="5"/>
        <v>2</v>
      </c>
      <c r="G58" s="125" t="str">
        <f t="shared" si="6"/>
        <v xml:space="preserve">2 – Dick (1882–1950: #55)  Gertrude (1887–1917: #64)      </v>
      </c>
      <c r="H58" s="124"/>
      <c r="I58" s="124" t="str">
        <f t="shared" si="7"/>
        <v>Dick (1882–1950: #55)</v>
      </c>
      <c r="J58" s="124" t="str">
        <f t="shared" si="8"/>
        <v/>
      </c>
      <c r="K58" s="124" t="str">
        <f t="shared" si="9"/>
        <v>Gertrude (1887–1917: #64)</v>
      </c>
      <c r="L58" s="124"/>
      <c r="M58" s="124"/>
      <c r="N58" s="124"/>
      <c r="O58" s="124"/>
      <c r="P58" s="124"/>
      <c r="Q58" s="124"/>
      <c r="S58">
        <f>AS58</f>
        <v>150</v>
      </c>
      <c r="T58">
        <f t="shared" si="14"/>
        <v>2</v>
      </c>
      <c r="U58">
        <f>IF($T58&gt;=U$1,LARGE($AT58:$IB58,$T58-U$1+1),"")</f>
        <v>178</v>
      </c>
      <c r="V58">
        <f t="shared" ref="V58:AC61" si="31">IF($T58&gt;=V$1,LARGE($AT58:$IB58,$T58-V$1+1),"")</f>
        <v>181</v>
      </c>
      <c r="W58" t="str">
        <f t="shared" si="31"/>
        <v/>
      </c>
      <c r="X58" t="str">
        <f t="shared" si="31"/>
        <v/>
      </c>
      <c r="Y58" t="str">
        <f t="shared" si="31"/>
        <v/>
      </c>
      <c r="Z58" t="str">
        <f t="shared" si="31"/>
        <v/>
      </c>
      <c r="AA58" t="str">
        <f t="shared" si="31"/>
        <v/>
      </c>
      <c r="AB58" t="str">
        <f t="shared" si="31"/>
        <v/>
      </c>
      <c r="AC58" t="str">
        <f t="shared" si="31"/>
        <v/>
      </c>
      <c r="AG58" t="str">
        <f>IF(LEN(U58)&gt;0,VLOOKUP(U58,$A$2:$B$220,2,FALSE),"")</f>
        <v>William (1996–: #178)</v>
      </c>
      <c r="AH58" t="str">
        <f t="shared" si="17"/>
        <v>Eliza (1999–: #181)</v>
      </c>
      <c r="AI58" t="str">
        <f t="shared" si="18"/>
        <v/>
      </c>
      <c r="AJ58" t="str">
        <f t="shared" si="19"/>
        <v/>
      </c>
      <c r="AK58" t="str">
        <f t="shared" si="20"/>
        <v/>
      </c>
      <c r="AL58" t="str">
        <f t="shared" si="21"/>
        <v/>
      </c>
      <c r="AM58" t="str">
        <f t="shared" si="22"/>
        <v/>
      </c>
      <c r="AN58" t="str">
        <f t="shared" si="23"/>
        <v/>
      </c>
      <c r="AO58" t="str">
        <f t="shared" si="24"/>
        <v/>
      </c>
      <c r="AP58" s="60">
        <f>S58</f>
        <v>150</v>
      </c>
      <c r="AQ58" s="60" t="str">
        <f t="shared" si="26"/>
        <v>2 - William (1996–: #178); Eliza (1999–: #181)</v>
      </c>
      <c r="AS58" s="72">
        <v>150</v>
      </c>
      <c r="HO58">
        <v>178</v>
      </c>
      <c r="HR58">
        <v>181</v>
      </c>
      <c r="IC58">
        <v>359</v>
      </c>
    </row>
    <row r="59" spans="1:237" ht="17" thickBot="1">
      <c r="A59" s="12">
        <f>'Book Details - NO EDIT'!A60</f>
        <v>58</v>
      </c>
      <c r="B59" s="112" t="str">
        <f>'Book Details - NO EDIT'!X60</f>
        <v>Rt Rev Philip (1884–1952: #58)</v>
      </c>
      <c r="C59" s="113">
        <f>'Book Details - NO EDIT'!L60</f>
        <v>28</v>
      </c>
      <c r="D59" s="44">
        <f>'Loyd List 1-190 - Edit'!T60</f>
        <v>14</v>
      </c>
      <c r="F59" s="124">
        <f t="shared" si="5"/>
        <v>3</v>
      </c>
      <c r="G59" s="125" t="str">
        <f t="shared" si="6"/>
        <v xml:space="preserve">3 – Lewis (1875–1947: #51) Tommy (1882–1944: #56)  Kitty (1885–1989: #60)     </v>
      </c>
      <c r="H59" s="124"/>
      <c r="I59" s="124" t="str">
        <f t="shared" si="7"/>
        <v>Lewis (1875–1947: #51)</v>
      </c>
      <c r="J59" s="124" t="str">
        <f t="shared" si="8"/>
        <v>Tommy (1882–1944: #56)</v>
      </c>
      <c r="K59" s="124" t="str">
        <f t="shared" si="9"/>
        <v/>
      </c>
      <c r="L59" s="124" t="str">
        <f t="shared" si="10"/>
        <v>Kitty (1885–1989: #60)</v>
      </c>
      <c r="M59" s="124"/>
      <c r="N59" s="124"/>
      <c r="O59" s="124"/>
      <c r="P59" s="124"/>
      <c r="Q59" s="124"/>
      <c r="S59">
        <f>AS59</f>
        <v>155</v>
      </c>
      <c r="T59">
        <f t="shared" si="14"/>
        <v>3</v>
      </c>
      <c r="U59">
        <f>IF($T59&gt;=U$1,LARGE($AT59:$IB59,$T59-U$1+1),"")</f>
        <v>183</v>
      </c>
      <c r="V59">
        <f t="shared" si="31"/>
        <v>185</v>
      </c>
      <c r="W59">
        <f t="shared" si="31"/>
        <v>186</v>
      </c>
      <c r="X59" t="str">
        <f t="shared" si="31"/>
        <v/>
      </c>
      <c r="Y59" t="str">
        <f t="shared" si="31"/>
        <v/>
      </c>
      <c r="Z59" t="str">
        <f t="shared" si="31"/>
        <v/>
      </c>
      <c r="AA59" t="str">
        <f t="shared" si="31"/>
        <v/>
      </c>
      <c r="AB59" t="str">
        <f t="shared" si="31"/>
        <v/>
      </c>
      <c r="AC59" t="str">
        <f t="shared" si="31"/>
        <v/>
      </c>
      <c r="AG59" t="str">
        <f>IF(LEN(U59)&gt;0,VLOOKUP(U59,$A$2:$B$220,2,FALSE),"")</f>
        <v>Matilda (2006–: #183)</v>
      </c>
      <c r="AH59" t="str">
        <f t="shared" ref="AH59:AO61" si="32">IF(LEN(V59)&gt;0,VLOOKUP(V59,$A$2:$B$220,2,FALSE),"")</f>
        <v>Katherine (2007–: #185)</v>
      </c>
      <c r="AI59" t="str">
        <f t="shared" si="32"/>
        <v>Henry (2010–: #186)</v>
      </c>
      <c r="AJ59" t="str">
        <f t="shared" si="32"/>
        <v/>
      </c>
      <c r="AK59" t="str">
        <f t="shared" si="32"/>
        <v/>
      </c>
      <c r="AL59" t="str">
        <f t="shared" si="32"/>
        <v/>
      </c>
      <c r="AM59" t="str">
        <f t="shared" si="32"/>
        <v/>
      </c>
      <c r="AN59" t="str">
        <f t="shared" si="32"/>
        <v/>
      </c>
      <c r="AO59" t="str">
        <f t="shared" si="32"/>
        <v/>
      </c>
      <c r="AP59" s="60">
        <f>S59</f>
        <v>155</v>
      </c>
      <c r="AQ59" s="60" t="str">
        <f t="shared" si="26"/>
        <v>3 - Matilda (2006–: #183); Katherine (2007–: #185); Henry (2010–: #186)</v>
      </c>
      <c r="AS59" s="72">
        <v>155</v>
      </c>
      <c r="HT59">
        <v>183</v>
      </c>
      <c r="HV59">
        <v>185</v>
      </c>
      <c r="HW59">
        <v>186</v>
      </c>
      <c r="IC59">
        <v>554</v>
      </c>
    </row>
    <row r="60" spans="1:237" ht="17" thickBot="1">
      <c r="A60" s="12">
        <f>'Book Details - NO EDIT'!A61</f>
        <v>59</v>
      </c>
      <c r="B60" s="112" t="str">
        <f>'Book Details - NO EDIT'!X61</f>
        <v>Evelyn (1885–1962: #59)</v>
      </c>
      <c r="C60" s="113">
        <f>'Book Details - NO EDIT'!L61</f>
        <v>41</v>
      </c>
      <c r="D60" s="44">
        <f>'Loyd List 1-190 - Edit'!T61</f>
        <v>22</v>
      </c>
      <c r="F60" s="124">
        <f t="shared" si="5"/>
        <v>4</v>
      </c>
      <c r="G60" s="125" t="str">
        <f t="shared" si="6"/>
        <v xml:space="preserve">4 – Lewis (1880–1918: #52) Edward (1881–1962: #53)  Mary (1887–1968: #63) Cecily (1891–1891: #74)    </v>
      </c>
      <c r="H60" s="124"/>
      <c r="I60" s="124" t="str">
        <f t="shared" si="7"/>
        <v>Lewis (1880–1918: #52)</v>
      </c>
      <c r="J60" s="124" t="str">
        <f t="shared" si="8"/>
        <v>Edward (1881–1962: #53)</v>
      </c>
      <c r="K60" s="124" t="str">
        <f t="shared" si="9"/>
        <v/>
      </c>
      <c r="L60" s="124" t="str">
        <f t="shared" si="10"/>
        <v>Mary (1887–1968: #63)</v>
      </c>
      <c r="M60" s="124" t="str">
        <f t="shared" si="11"/>
        <v>Cecily (1891–1891: #74)</v>
      </c>
      <c r="N60" s="124"/>
      <c r="O60" s="124"/>
      <c r="P60" s="124"/>
      <c r="Q60" s="124"/>
      <c r="S60">
        <f>AS60</f>
        <v>162</v>
      </c>
      <c r="T60">
        <f t="shared" si="14"/>
        <v>2</v>
      </c>
      <c r="U60">
        <f>IF($T60&gt;=U$1,LARGE($AT60:$IB60,$T60-U$1+1),"")</f>
        <v>188</v>
      </c>
      <c r="V60">
        <f t="shared" si="31"/>
        <v>189</v>
      </c>
      <c r="W60" t="str">
        <f t="shared" si="31"/>
        <v/>
      </c>
      <c r="X60" t="str">
        <f t="shared" si="31"/>
        <v/>
      </c>
      <c r="Y60" t="str">
        <f t="shared" si="31"/>
        <v/>
      </c>
      <c r="Z60" t="str">
        <f t="shared" si="31"/>
        <v/>
      </c>
      <c r="AA60" t="str">
        <f t="shared" si="31"/>
        <v/>
      </c>
      <c r="AB60" t="str">
        <f t="shared" si="31"/>
        <v/>
      </c>
      <c r="AC60" t="str">
        <f t="shared" si="31"/>
        <v/>
      </c>
      <c r="AG60" t="str">
        <f>IF(LEN(U60)&gt;0,VLOOKUP(U60,$A$2:$B$220,2,FALSE),"")</f>
        <v>Archie (2017–: #188)</v>
      </c>
      <c r="AH60" t="str">
        <f t="shared" si="32"/>
        <v>Rory (2019–: #189)</v>
      </c>
      <c r="AI60" t="str">
        <f t="shared" si="32"/>
        <v/>
      </c>
      <c r="AJ60" t="str">
        <f t="shared" si="32"/>
        <v/>
      </c>
      <c r="AK60" t="str">
        <f t="shared" si="32"/>
        <v/>
      </c>
      <c r="AL60" t="str">
        <f t="shared" si="32"/>
        <v/>
      </c>
      <c r="AM60" t="str">
        <f t="shared" si="32"/>
        <v/>
      </c>
      <c r="AN60" t="str">
        <f t="shared" si="32"/>
        <v/>
      </c>
      <c r="AO60" t="str">
        <f t="shared" si="32"/>
        <v/>
      </c>
      <c r="AP60" s="60">
        <f>S60</f>
        <v>162</v>
      </c>
      <c r="AQ60" s="60" t="str">
        <f t="shared" si="26"/>
        <v>2 - Archie (2017–: #188); Rory (2019–: #189)</v>
      </c>
      <c r="AS60" s="72">
        <v>162</v>
      </c>
      <c r="HY60">
        <v>188</v>
      </c>
      <c r="HZ60">
        <v>189</v>
      </c>
      <c r="IC60">
        <v>377</v>
      </c>
    </row>
    <row r="61" spans="1:237" ht="17" thickBot="1">
      <c r="A61" s="12">
        <f>'Book Details - NO EDIT'!A62</f>
        <v>60</v>
      </c>
      <c r="B61" s="112" t="str">
        <f>'Book Details - NO EDIT'!X62</f>
        <v>Kitty (1885–1989: #60)</v>
      </c>
      <c r="C61" s="113">
        <f>'Book Details - NO EDIT'!L62</f>
        <v>28</v>
      </c>
      <c r="D61" s="44">
        <f>'Loyd List 1-190 - Edit'!T62</f>
        <v>14</v>
      </c>
      <c r="F61" s="124">
        <f t="shared" si="5"/>
        <v>3</v>
      </c>
      <c r="G61" s="125" t="str">
        <f t="shared" si="6"/>
        <v xml:space="preserve">3 – Lewis (1875–1947: #51) Tommy (1882–1944: #56) Rt Rev Philip (1884–1952: #58)      </v>
      </c>
      <c r="H61" s="124"/>
      <c r="I61" s="124" t="str">
        <f t="shared" si="7"/>
        <v>Lewis (1875–1947: #51)</v>
      </c>
      <c r="J61" s="124" t="str">
        <f t="shared" si="8"/>
        <v>Tommy (1882–1944: #56)</v>
      </c>
      <c r="K61" s="124" t="str">
        <f t="shared" si="9"/>
        <v>Rt Rev Philip (1884–1952: #58)</v>
      </c>
      <c r="L61" s="124" t="str">
        <f t="shared" si="10"/>
        <v/>
      </c>
      <c r="M61" s="124"/>
      <c r="N61" s="124"/>
      <c r="O61" s="124"/>
      <c r="P61" s="124"/>
      <c r="Q61" s="124"/>
      <c r="S61">
        <f>AS61</f>
        <v>167</v>
      </c>
      <c r="T61">
        <f t="shared" si="14"/>
        <v>2</v>
      </c>
      <c r="U61">
        <f>IF($T61&gt;=U$1,LARGE($AT61:$IB61,$T61-U$1+1),"")</f>
        <v>187</v>
      </c>
      <c r="V61">
        <f t="shared" si="31"/>
        <v>190</v>
      </c>
      <c r="W61" t="str">
        <f t="shared" si="31"/>
        <v/>
      </c>
      <c r="X61" t="str">
        <f t="shared" si="31"/>
        <v/>
      </c>
      <c r="Y61" t="str">
        <f t="shared" si="31"/>
        <v/>
      </c>
      <c r="Z61" t="str">
        <f t="shared" si="31"/>
        <v/>
      </c>
      <c r="AA61" t="str">
        <f t="shared" si="31"/>
        <v/>
      </c>
      <c r="AB61" t="str">
        <f t="shared" si="31"/>
        <v/>
      </c>
      <c r="AC61" t="str">
        <f t="shared" si="31"/>
        <v/>
      </c>
      <c r="AG61" t="str">
        <f>IF(LEN(U61)&gt;0,VLOOKUP(U61,$A$2:$B$220,2,FALSE),"")</f>
        <v>Olivia (2014–: #187)</v>
      </c>
      <c r="AH61" t="str">
        <f t="shared" si="32"/>
        <v>Daisy (2021–: #190)</v>
      </c>
      <c r="AI61" t="str">
        <f t="shared" si="32"/>
        <v/>
      </c>
      <c r="AJ61" t="str">
        <f t="shared" si="32"/>
        <v/>
      </c>
      <c r="AK61" t="str">
        <f t="shared" si="32"/>
        <v/>
      </c>
      <c r="AL61" t="str">
        <f t="shared" si="32"/>
        <v/>
      </c>
      <c r="AM61" t="str">
        <f t="shared" si="32"/>
        <v/>
      </c>
      <c r="AN61" t="str">
        <f t="shared" si="32"/>
        <v/>
      </c>
      <c r="AO61" t="str">
        <f t="shared" si="32"/>
        <v/>
      </c>
      <c r="AP61" s="60">
        <f>S61</f>
        <v>167</v>
      </c>
      <c r="AQ61" s="60" t="str">
        <f t="shared" si="26"/>
        <v>2 - Olivia (2014–: #187); Daisy (2021–: #190)</v>
      </c>
      <c r="AS61" s="72">
        <v>167</v>
      </c>
      <c r="HX61">
        <v>187</v>
      </c>
      <c r="IA61">
        <v>190</v>
      </c>
      <c r="IC61">
        <v>377</v>
      </c>
    </row>
    <row r="62" spans="1:237" ht="17" thickBot="1">
      <c r="A62" s="12">
        <f>'Book Details - NO EDIT'!A63</f>
        <v>61</v>
      </c>
      <c r="B62" s="112" t="str">
        <f>'Book Details - NO EDIT'!X63</f>
        <v>Reggie (1886–1961: #61)</v>
      </c>
      <c r="C62" s="113">
        <f>'Book Details - NO EDIT'!L63</f>
        <v>30</v>
      </c>
      <c r="D62" s="44">
        <f>'Loyd List 1-190 - Edit'!T63</f>
        <v>14</v>
      </c>
      <c r="F62" s="124">
        <f t="shared" si="5"/>
        <v>3</v>
      </c>
      <c r="G62" s="125" t="str">
        <f t="shared" si="6"/>
        <v xml:space="preserve">3 – Bobby (1887–1977: #62) Geoffrey (1890–1914: #69) Wilfrid (1893–1971: #77)     </v>
      </c>
      <c r="H62" s="124"/>
      <c r="I62" s="124" t="str">
        <f t="shared" si="7"/>
        <v/>
      </c>
      <c r="J62" s="124" t="str">
        <f t="shared" si="8"/>
        <v>Bobby (1887–1977: #62)</v>
      </c>
      <c r="K62" s="124" t="str">
        <f t="shared" si="9"/>
        <v>Geoffrey (1890–1914: #69)</v>
      </c>
      <c r="L62" s="124" t="str">
        <f t="shared" si="10"/>
        <v>Wilfrid (1893–1971: #77)</v>
      </c>
      <c r="M62" s="124"/>
      <c r="N62" s="124"/>
      <c r="O62" s="124"/>
      <c r="P62" s="124"/>
      <c r="Q62" s="124"/>
      <c r="AG62" t="str">
        <f t="shared" ref="AG62:AG67" si="33">IF(LEN(U62)&gt;0,VLOOKUP(U62,$A$2:$B$220,2,FALSE),"")</f>
        <v/>
      </c>
      <c r="AH62" t="str">
        <f t="shared" ref="AH62:AH67" si="34">IF(LEN(V62)&gt;0,VLOOKUP(V62,$A$2:$B$183,2,FALSE),"")</f>
        <v/>
      </c>
      <c r="AP62" s="60"/>
      <c r="AQ62" s="60"/>
      <c r="AS62" s="72" t="s">
        <v>3138</v>
      </c>
    </row>
    <row r="63" spans="1:237" ht="17" thickBot="1">
      <c r="A63" s="12">
        <f>'Book Details - NO EDIT'!A64</f>
        <v>62</v>
      </c>
      <c r="B63" s="112" t="str">
        <f>'Book Details - NO EDIT'!X64</f>
        <v>Bobby (1887–1977: #62)</v>
      </c>
      <c r="C63" s="113">
        <f>'Book Details - NO EDIT'!L64</f>
        <v>30</v>
      </c>
      <c r="D63" s="44">
        <f>'Loyd List 1-190 - Edit'!T64</f>
        <v>14</v>
      </c>
      <c r="F63" s="124">
        <f t="shared" si="5"/>
        <v>3</v>
      </c>
      <c r="G63" s="125" t="str">
        <f t="shared" si="6"/>
        <v xml:space="preserve">3 – Reggie (1886–1961: #61)  Geoffrey (1890–1914: #69) Wilfrid (1893–1971: #77)     </v>
      </c>
      <c r="H63" s="124"/>
      <c r="I63" s="124" t="str">
        <f t="shared" si="7"/>
        <v>Reggie (1886–1961: #61)</v>
      </c>
      <c r="J63" s="124" t="str">
        <f t="shared" si="8"/>
        <v/>
      </c>
      <c r="K63" s="124" t="str">
        <f t="shared" si="9"/>
        <v>Geoffrey (1890–1914: #69)</v>
      </c>
      <c r="L63" s="124" t="str">
        <f t="shared" si="10"/>
        <v>Wilfrid (1893–1971: #77)</v>
      </c>
      <c r="M63" s="124"/>
      <c r="N63" s="124"/>
      <c r="O63" s="124"/>
      <c r="P63" s="124"/>
      <c r="Q63" s="124"/>
      <c r="AG63" t="str">
        <f t="shared" si="33"/>
        <v/>
      </c>
      <c r="AH63" t="str">
        <f t="shared" si="34"/>
        <v/>
      </c>
      <c r="AP63" s="60"/>
      <c r="AQ63" s="60"/>
      <c r="AS63" s="72" t="s">
        <v>2812</v>
      </c>
      <c r="AT63">
        <v>1</v>
      </c>
      <c r="AU63">
        <v>2</v>
      </c>
      <c r="AV63">
        <v>3</v>
      </c>
      <c r="AW63">
        <v>4</v>
      </c>
      <c r="AX63">
        <v>5</v>
      </c>
      <c r="AY63">
        <v>6</v>
      </c>
      <c r="AZ63">
        <v>7</v>
      </c>
      <c r="BA63">
        <v>8</v>
      </c>
      <c r="BB63">
        <v>9</v>
      </c>
      <c r="BC63">
        <v>10</v>
      </c>
      <c r="BD63">
        <v>11</v>
      </c>
      <c r="BE63">
        <v>12</v>
      </c>
      <c r="BF63">
        <v>13</v>
      </c>
      <c r="BG63">
        <v>14</v>
      </c>
      <c r="BH63">
        <v>15</v>
      </c>
      <c r="BI63">
        <v>16</v>
      </c>
      <c r="BJ63">
        <v>17</v>
      </c>
      <c r="BK63">
        <v>18</v>
      </c>
      <c r="BL63">
        <v>19</v>
      </c>
      <c r="BM63">
        <v>20</v>
      </c>
      <c r="BN63">
        <v>21</v>
      </c>
      <c r="BO63">
        <v>22</v>
      </c>
      <c r="BP63">
        <v>23</v>
      </c>
      <c r="BQ63">
        <v>24</v>
      </c>
      <c r="BR63">
        <v>25</v>
      </c>
      <c r="BS63">
        <v>26</v>
      </c>
      <c r="BT63">
        <v>27</v>
      </c>
      <c r="BU63">
        <v>28</v>
      </c>
      <c r="BV63">
        <v>29</v>
      </c>
      <c r="BW63">
        <v>30</v>
      </c>
      <c r="BX63">
        <v>31</v>
      </c>
      <c r="BY63">
        <v>32</v>
      </c>
      <c r="BZ63">
        <v>33</v>
      </c>
      <c r="CA63">
        <v>34</v>
      </c>
      <c r="CB63">
        <v>35</v>
      </c>
      <c r="CC63">
        <v>36</v>
      </c>
      <c r="CD63">
        <v>37</v>
      </c>
      <c r="CE63">
        <v>38</v>
      </c>
      <c r="CF63">
        <v>39</v>
      </c>
      <c r="CG63">
        <v>40</v>
      </c>
      <c r="CH63">
        <v>41</v>
      </c>
      <c r="CI63">
        <v>42</v>
      </c>
      <c r="CJ63">
        <v>43</v>
      </c>
      <c r="CK63">
        <v>44</v>
      </c>
      <c r="CL63">
        <v>45</v>
      </c>
      <c r="CM63">
        <v>46</v>
      </c>
      <c r="CN63">
        <v>47</v>
      </c>
      <c r="CO63">
        <v>48</v>
      </c>
      <c r="CP63">
        <v>49</v>
      </c>
      <c r="CQ63">
        <v>50</v>
      </c>
      <c r="CR63">
        <v>51</v>
      </c>
      <c r="CS63">
        <v>52</v>
      </c>
      <c r="CT63">
        <v>53</v>
      </c>
      <c r="CU63">
        <v>54</v>
      </c>
      <c r="CV63">
        <v>55</v>
      </c>
      <c r="CW63">
        <v>56</v>
      </c>
      <c r="CX63">
        <v>57</v>
      </c>
      <c r="CY63">
        <v>58</v>
      </c>
      <c r="CZ63">
        <v>59</v>
      </c>
      <c r="DA63">
        <v>60</v>
      </c>
      <c r="DB63">
        <v>61</v>
      </c>
      <c r="DC63">
        <v>62</v>
      </c>
      <c r="DD63">
        <v>63</v>
      </c>
      <c r="DE63">
        <v>64</v>
      </c>
      <c r="DF63">
        <v>65</v>
      </c>
      <c r="DG63">
        <v>66</v>
      </c>
      <c r="DH63">
        <v>67</v>
      </c>
      <c r="DI63">
        <v>68</v>
      </c>
      <c r="DJ63">
        <v>69</v>
      </c>
      <c r="DK63">
        <v>70</v>
      </c>
      <c r="DL63">
        <v>71</v>
      </c>
      <c r="DM63">
        <v>72</v>
      </c>
      <c r="DN63">
        <v>73</v>
      </c>
      <c r="DO63">
        <v>74</v>
      </c>
      <c r="DP63">
        <v>75</v>
      </c>
      <c r="DQ63">
        <v>76</v>
      </c>
      <c r="DR63">
        <v>77</v>
      </c>
      <c r="DS63">
        <v>78</v>
      </c>
      <c r="DT63">
        <v>79</v>
      </c>
      <c r="DU63">
        <v>80</v>
      </c>
      <c r="DV63">
        <v>81</v>
      </c>
      <c r="DW63">
        <v>82</v>
      </c>
      <c r="DX63">
        <v>83</v>
      </c>
      <c r="DY63">
        <v>84</v>
      </c>
      <c r="DZ63">
        <v>85</v>
      </c>
      <c r="EA63">
        <v>86</v>
      </c>
      <c r="EB63">
        <v>87</v>
      </c>
      <c r="EC63">
        <v>88</v>
      </c>
      <c r="ED63">
        <v>89</v>
      </c>
      <c r="EE63">
        <v>90</v>
      </c>
      <c r="EF63">
        <v>91</v>
      </c>
      <c r="EG63">
        <v>92</v>
      </c>
      <c r="EH63">
        <v>93</v>
      </c>
      <c r="EI63">
        <v>94</v>
      </c>
      <c r="EJ63">
        <v>95</v>
      </c>
      <c r="EK63">
        <v>96</v>
      </c>
      <c r="EL63">
        <v>97</v>
      </c>
      <c r="EM63">
        <v>98</v>
      </c>
      <c r="EN63">
        <v>99</v>
      </c>
      <c r="EO63">
        <v>100</v>
      </c>
      <c r="EP63">
        <v>101</v>
      </c>
      <c r="EQ63">
        <v>102</v>
      </c>
      <c r="ER63">
        <v>103</v>
      </c>
      <c r="ES63">
        <v>104</v>
      </c>
      <c r="ET63">
        <v>105</v>
      </c>
      <c r="EU63">
        <v>106</v>
      </c>
      <c r="EV63">
        <v>107</v>
      </c>
      <c r="EW63">
        <v>108</v>
      </c>
      <c r="EX63">
        <v>109</v>
      </c>
      <c r="EY63">
        <v>110</v>
      </c>
      <c r="EZ63">
        <v>111</v>
      </c>
      <c r="FA63">
        <v>112</v>
      </c>
      <c r="FB63">
        <v>113</v>
      </c>
      <c r="FC63">
        <v>114</v>
      </c>
      <c r="FD63">
        <v>115</v>
      </c>
      <c r="FE63">
        <v>116</v>
      </c>
      <c r="FF63">
        <v>117</v>
      </c>
      <c r="FG63">
        <v>118</v>
      </c>
      <c r="FH63">
        <v>119</v>
      </c>
      <c r="FI63">
        <v>120</v>
      </c>
      <c r="FJ63">
        <v>121</v>
      </c>
      <c r="FK63">
        <v>122</v>
      </c>
      <c r="FL63">
        <v>123</v>
      </c>
      <c r="FM63">
        <v>124</v>
      </c>
      <c r="FN63">
        <v>125</v>
      </c>
      <c r="FO63">
        <v>126</v>
      </c>
      <c r="FP63">
        <v>127</v>
      </c>
      <c r="FQ63">
        <v>128</v>
      </c>
      <c r="FR63">
        <v>129</v>
      </c>
      <c r="FS63">
        <v>130</v>
      </c>
      <c r="FT63">
        <v>131</v>
      </c>
      <c r="FU63">
        <v>132</v>
      </c>
      <c r="FV63">
        <v>133</v>
      </c>
      <c r="FW63">
        <v>134</v>
      </c>
      <c r="FX63">
        <v>135</v>
      </c>
      <c r="FY63">
        <v>136</v>
      </c>
      <c r="FZ63">
        <v>137</v>
      </c>
      <c r="GA63">
        <v>138</v>
      </c>
      <c r="GB63">
        <v>139</v>
      </c>
      <c r="GC63">
        <v>140</v>
      </c>
      <c r="GD63">
        <v>141</v>
      </c>
      <c r="GE63">
        <v>142</v>
      </c>
      <c r="GF63">
        <v>143</v>
      </c>
      <c r="GG63">
        <v>144</v>
      </c>
      <c r="GH63">
        <v>145</v>
      </c>
      <c r="GI63">
        <v>146</v>
      </c>
      <c r="GJ63">
        <v>147</v>
      </c>
      <c r="GK63">
        <v>148</v>
      </c>
      <c r="GL63">
        <v>149</v>
      </c>
      <c r="GM63">
        <v>150</v>
      </c>
      <c r="GN63">
        <v>151</v>
      </c>
      <c r="GO63">
        <v>152</v>
      </c>
      <c r="GP63">
        <v>153</v>
      </c>
      <c r="GQ63">
        <v>154</v>
      </c>
      <c r="GR63">
        <v>155</v>
      </c>
      <c r="GS63">
        <v>156</v>
      </c>
      <c r="GT63">
        <v>157</v>
      </c>
      <c r="GU63">
        <v>158</v>
      </c>
      <c r="GV63">
        <v>159</v>
      </c>
      <c r="GW63">
        <v>160</v>
      </c>
      <c r="GX63">
        <v>161</v>
      </c>
      <c r="GY63">
        <v>162</v>
      </c>
      <c r="GZ63">
        <v>163</v>
      </c>
      <c r="HA63">
        <v>164</v>
      </c>
      <c r="HB63">
        <v>165</v>
      </c>
      <c r="HC63">
        <v>166</v>
      </c>
      <c r="HD63">
        <v>167</v>
      </c>
      <c r="HE63">
        <v>168</v>
      </c>
      <c r="HF63">
        <v>169</v>
      </c>
      <c r="HG63">
        <v>170</v>
      </c>
      <c r="HH63">
        <v>171</v>
      </c>
      <c r="HI63">
        <v>172</v>
      </c>
      <c r="HJ63">
        <v>173</v>
      </c>
      <c r="HK63">
        <v>174</v>
      </c>
      <c r="HL63">
        <v>175</v>
      </c>
      <c r="HM63">
        <v>176</v>
      </c>
      <c r="HN63">
        <v>177</v>
      </c>
      <c r="HO63">
        <v>178</v>
      </c>
      <c r="HP63">
        <v>179</v>
      </c>
      <c r="HQ63">
        <v>180</v>
      </c>
      <c r="HR63">
        <v>181</v>
      </c>
      <c r="HS63">
        <v>182</v>
      </c>
      <c r="HT63">
        <v>183</v>
      </c>
      <c r="HU63">
        <v>184</v>
      </c>
      <c r="HV63">
        <v>185</v>
      </c>
      <c r="HW63">
        <v>186</v>
      </c>
      <c r="HX63">
        <v>187</v>
      </c>
      <c r="HY63">
        <v>188</v>
      </c>
      <c r="HZ63">
        <v>189</v>
      </c>
      <c r="IA63">
        <v>190</v>
      </c>
      <c r="IC63">
        <v>18145</v>
      </c>
    </row>
    <row r="64" spans="1:237" ht="17" thickBot="1">
      <c r="A64" s="12">
        <f>'Book Details - NO EDIT'!A65</f>
        <v>63</v>
      </c>
      <c r="B64" s="112" t="str">
        <f>'Book Details - NO EDIT'!X65</f>
        <v>Mary (1887–1968: #63)</v>
      </c>
      <c r="C64" s="113">
        <f>'Book Details - NO EDIT'!L65</f>
        <v>41</v>
      </c>
      <c r="D64" s="44">
        <f>'Loyd List 1-190 - Edit'!T65</f>
        <v>22</v>
      </c>
      <c r="F64" s="124">
        <f t="shared" si="5"/>
        <v>4</v>
      </c>
      <c r="G64" s="125" t="str">
        <f t="shared" si="6"/>
        <v xml:space="preserve">4 – Lewis (1880–1918: #52) Edward (1881–1962: #53) Evelyn (1885–1962: #59)  Cecily (1891–1891: #74)    </v>
      </c>
      <c r="H64" s="124"/>
      <c r="I64" s="124" t="str">
        <f t="shared" si="7"/>
        <v>Lewis (1880–1918: #52)</v>
      </c>
      <c r="J64" s="124" t="str">
        <f t="shared" si="8"/>
        <v>Edward (1881–1962: #53)</v>
      </c>
      <c r="K64" s="124" t="str">
        <f t="shared" si="9"/>
        <v>Evelyn (1885–1962: #59)</v>
      </c>
      <c r="L64" s="124" t="str">
        <f t="shared" si="10"/>
        <v/>
      </c>
      <c r="M64" s="124" t="str">
        <f t="shared" si="11"/>
        <v>Cecily (1891–1891: #74)</v>
      </c>
      <c r="N64" s="124"/>
      <c r="O64" s="124"/>
      <c r="P64" s="124"/>
      <c r="Q64" s="124"/>
      <c r="AG64" t="str">
        <f t="shared" si="33"/>
        <v/>
      </c>
      <c r="AH64" t="str">
        <f t="shared" si="34"/>
        <v/>
      </c>
      <c r="AP64" s="60"/>
      <c r="AQ64" s="60"/>
    </row>
    <row r="65" spans="1:43" ht="17" thickBot="1">
      <c r="A65" s="12">
        <f>'Book Details - NO EDIT'!A66</f>
        <v>64</v>
      </c>
      <c r="B65" s="112" t="str">
        <f>'Book Details - NO EDIT'!X66</f>
        <v>Gertrude (1887–1917: #64)</v>
      </c>
      <c r="C65" s="113">
        <f>'Book Details - NO EDIT'!L66</f>
        <v>35</v>
      </c>
      <c r="D65" s="44">
        <f>'Loyd List 1-190 - Edit'!T66</f>
        <v>23</v>
      </c>
      <c r="F65" s="124">
        <f t="shared" si="5"/>
        <v>2</v>
      </c>
      <c r="G65" s="125" t="str">
        <f t="shared" si="6"/>
        <v xml:space="preserve">2 – Dick (1882–1950: #55) Robert (1884–1917: #57)       </v>
      </c>
      <c r="H65" s="124"/>
      <c r="I65" s="124" t="str">
        <f t="shared" si="7"/>
        <v>Dick (1882–1950: #55)</v>
      </c>
      <c r="J65" s="124" t="str">
        <f t="shared" si="8"/>
        <v>Robert (1884–1917: #57)</v>
      </c>
      <c r="K65" s="124" t="str">
        <f t="shared" si="9"/>
        <v/>
      </c>
      <c r="L65" s="124"/>
      <c r="M65" s="124"/>
      <c r="N65" s="124"/>
      <c r="O65" s="124"/>
      <c r="P65" s="124"/>
      <c r="Q65" s="124"/>
      <c r="AG65" t="str">
        <f t="shared" si="33"/>
        <v/>
      </c>
      <c r="AH65" t="str">
        <f t="shared" si="34"/>
        <v/>
      </c>
      <c r="AP65" s="60"/>
      <c r="AQ65" s="60"/>
    </row>
    <row r="66" spans="1:43" ht="17" thickBot="1">
      <c r="A66" s="12">
        <f>'Book Details - NO EDIT'!A67</f>
        <v>65</v>
      </c>
      <c r="B66" s="112" t="str">
        <f>'Book Details - NO EDIT'!X67</f>
        <v>Nan (1889–1967: #65)</v>
      </c>
      <c r="C66" s="113">
        <f>'Book Details - NO EDIT'!L67</f>
        <v>34</v>
      </c>
      <c r="D66" s="44">
        <f>'Loyd List 1-190 - Edit'!T67</f>
        <v>14</v>
      </c>
      <c r="F66" s="124">
        <f t="shared" si="5"/>
        <v>2</v>
      </c>
      <c r="G66" s="125" t="str">
        <f t="shared" si="6"/>
        <v xml:space="preserve">2 – Arthur (1890–1974: #71) Edward (1893–1932: #76)      </v>
      </c>
      <c r="H66" s="124"/>
      <c r="I66" s="124" t="str">
        <f t="shared" si="7"/>
        <v/>
      </c>
      <c r="J66" s="124" t="str">
        <f t="shared" si="8"/>
        <v>Arthur (1890–1974: #71)</v>
      </c>
      <c r="K66" s="124" t="str">
        <f t="shared" si="9"/>
        <v>Edward (1893–1932: #76)</v>
      </c>
      <c r="L66" s="124"/>
      <c r="M66" s="124"/>
      <c r="N66" s="124"/>
      <c r="O66" s="124"/>
      <c r="P66" s="124"/>
      <c r="Q66" s="124"/>
      <c r="AG66" t="str">
        <f t="shared" si="33"/>
        <v/>
      </c>
      <c r="AH66" t="str">
        <f t="shared" si="34"/>
        <v/>
      </c>
      <c r="AP66" s="60"/>
      <c r="AQ66" s="60"/>
    </row>
    <row r="67" spans="1:43" ht="17" thickBot="1">
      <c r="A67" s="12">
        <f>'Book Details - NO EDIT'!A68</f>
        <v>66</v>
      </c>
      <c r="B67" s="112" t="str">
        <f>'Book Details - NO EDIT'!X68</f>
        <v>William (1889–1947: #66)</v>
      </c>
      <c r="C67" s="113">
        <f>'Book Details - NO EDIT'!L68</f>
        <v>44</v>
      </c>
      <c r="D67" s="44">
        <f>'Loyd List 1-190 - Edit'!T68</f>
        <v>23</v>
      </c>
      <c r="F67" s="124">
        <f t="shared" si="5"/>
        <v>2</v>
      </c>
      <c r="G67" s="125" t="str">
        <f t="shared" si="6"/>
        <v xml:space="preserve">2 – Charles (1891–1973: #72) Reginald (1885–1917: #81)      </v>
      </c>
      <c r="H67" s="124"/>
      <c r="I67" s="124" t="str">
        <f t="shared" si="7"/>
        <v/>
      </c>
      <c r="J67" s="124" t="str">
        <f t="shared" si="8"/>
        <v>Charles (1891–1973: #72)</v>
      </c>
      <c r="K67" s="124" t="str">
        <f t="shared" si="9"/>
        <v>Reginald (1885–1917: #81)</v>
      </c>
      <c r="L67" s="124"/>
      <c r="M67" s="124"/>
      <c r="N67" s="124"/>
      <c r="O67" s="124"/>
      <c r="P67" s="124"/>
      <c r="Q67" s="124"/>
      <c r="AG67" t="str">
        <f t="shared" si="33"/>
        <v/>
      </c>
      <c r="AH67" t="str">
        <f t="shared" si="34"/>
        <v/>
      </c>
      <c r="AP67" s="60"/>
      <c r="AQ67" s="60"/>
    </row>
    <row r="68" spans="1:43" ht="17" thickBot="1">
      <c r="A68" s="12">
        <f>'Book Details - NO EDIT'!A69</f>
        <v>67</v>
      </c>
      <c r="B68" s="112" t="str">
        <f>'Book Details - NO EDIT'!X69</f>
        <v>Tony/Dodo (1889–1956: #67)</v>
      </c>
      <c r="C68" s="113">
        <f>'Book Details - NO EDIT'!L69</f>
        <v>32</v>
      </c>
      <c r="D68" s="44">
        <f>'Loyd List 1-190 - Edit'!T69</f>
        <v>14</v>
      </c>
      <c r="F68" s="124">
        <f t="shared" ref="F68:F131" si="35">VLOOKUP($C68,$S$3:$AC$80,U$1+1,FALSE)-1</f>
        <v>1</v>
      </c>
      <c r="G68" s="125" t="str">
        <f t="shared" ref="G68:G131" si="36">_xlfn.CONCAT(F68," – ",IF(F68=0,"Only chlid",IF(I68="",_xlfn.CONCAT(J68," ",K68," ",L68," ",M68," ",N68," ",O68," ",P68," ",Q68),_xlfn.CONCAT(I68," ",J68," ",K68," ",L68," ",M68," ",N68," ",O68," ",P68," ",Q68))))</f>
        <v xml:space="preserve">1 – Alfred (1882–1919: #54)        </v>
      </c>
      <c r="H68" s="124"/>
      <c r="I68" s="124" t="str">
        <f t="shared" ref="I68:I131" si="37">IF(VLOOKUP($C68,$S$3:$AC$80,U$1+2,FALSE)=$A68,"",VLOOKUP(VLOOKUP($C68,$S$3:$AC$80,U$1+2,FALSE),$A$2:$B$230,2,FALSE))</f>
        <v>Alfred (1882–1919: #54)</v>
      </c>
      <c r="J68" s="124" t="str">
        <f t="shared" ref="J68:J131" si="38">IF(VLOOKUP($C68,$S$3:$AC$80,V$1+2,FALSE)=$A68,"",VLOOKUP(VLOOKUP($C68,$S$3:$AC$80,V$1+2,FALSE),$A$2:$B$230,2,FALSE))</f>
        <v/>
      </c>
      <c r="K68" s="124"/>
      <c r="L68" s="124"/>
      <c r="M68" s="124"/>
      <c r="N68" s="124"/>
      <c r="O68" s="124"/>
      <c r="P68" s="124"/>
      <c r="Q68" s="124"/>
      <c r="AP68" s="60"/>
      <c r="AQ68" s="60"/>
    </row>
    <row r="69" spans="1:43" ht="17" thickBot="1">
      <c r="A69" s="12">
        <f>'Book Details - NO EDIT'!A70</f>
        <v>68</v>
      </c>
      <c r="B69" s="112" t="str">
        <f>'Book Details - NO EDIT'!X70</f>
        <v>Cecil (1890–1963: #68)</v>
      </c>
      <c r="C69" s="113">
        <f>'Book Details - NO EDIT'!L70</f>
        <v>45</v>
      </c>
      <c r="D69" s="44">
        <f>'Loyd List 1-190 - Edit'!T70</f>
        <v>22</v>
      </c>
      <c r="F69" s="124">
        <f t="shared" si="35"/>
        <v>3</v>
      </c>
      <c r="G69" s="125" t="str">
        <f t="shared" si="36"/>
        <v xml:space="preserve">3 – Eric (1891–1967: #73) Alwyne (1894–1917: #79) Ruby (1898–1977: #83)     </v>
      </c>
      <c r="H69" s="124"/>
      <c r="I69" s="124" t="str">
        <f t="shared" si="37"/>
        <v/>
      </c>
      <c r="J69" s="124" t="str">
        <f t="shared" si="38"/>
        <v>Eric (1891–1967: #73)</v>
      </c>
      <c r="K69" s="124" t="str">
        <f t="shared" ref="K69:K131" si="39">IF(VLOOKUP($C69,$S$3:$AC$80,W$1+2,FALSE)=$A69,"",VLOOKUP(VLOOKUP($C69,$S$3:$AC$80,W$1+2,FALSE),$A$2:$B$230,2,FALSE))</f>
        <v>Alwyne (1894–1917: #79)</v>
      </c>
      <c r="L69" s="124" t="str">
        <f t="shared" ref="L69:L129" si="40">IF(VLOOKUP($C69,$S$3:$AC$80,X$1+2,FALSE)=$A69,"",VLOOKUP(VLOOKUP($C69,$S$3:$AC$80,X$1+2,FALSE),$A$2:$B$230,2,FALSE))</f>
        <v>Ruby (1898–1977: #83)</v>
      </c>
      <c r="M69" s="124"/>
      <c r="N69" s="124"/>
      <c r="O69" s="124"/>
      <c r="P69" s="124"/>
      <c r="Q69" s="124"/>
    </row>
    <row r="70" spans="1:43" ht="17" thickBot="1">
      <c r="A70" s="12">
        <f>'Book Details - NO EDIT'!A71</f>
        <v>69</v>
      </c>
      <c r="B70" s="112" t="str">
        <f>'Book Details - NO EDIT'!X71</f>
        <v>Geoffrey (1890–1914: #69)</v>
      </c>
      <c r="C70" s="113">
        <f>'Book Details - NO EDIT'!L71</f>
        <v>30</v>
      </c>
      <c r="D70" s="44">
        <f>'Loyd List 1-190 - Edit'!T71</f>
        <v>14</v>
      </c>
      <c r="F70" s="124">
        <f t="shared" si="35"/>
        <v>3</v>
      </c>
      <c r="G70" s="125" t="str">
        <f t="shared" si="36"/>
        <v xml:space="preserve">3 – Reggie (1886–1961: #61) Bobby (1887–1977: #62)  Wilfrid (1893–1971: #77)     </v>
      </c>
      <c r="H70" s="124"/>
      <c r="I70" s="124" t="str">
        <f t="shared" si="37"/>
        <v>Reggie (1886–1961: #61)</v>
      </c>
      <c r="J70" s="124" t="str">
        <f t="shared" si="38"/>
        <v>Bobby (1887–1977: #62)</v>
      </c>
      <c r="K70" s="124" t="str">
        <f t="shared" si="39"/>
        <v/>
      </c>
      <c r="L70" s="124" t="str">
        <f t="shared" si="40"/>
        <v>Wilfrid (1893–1971: #77)</v>
      </c>
      <c r="M70" s="124"/>
      <c r="N70" s="124"/>
      <c r="O70" s="124"/>
      <c r="P70" s="124"/>
      <c r="Q70" s="124"/>
    </row>
    <row r="71" spans="1:43" ht="17" thickBot="1">
      <c r="A71" s="12">
        <f>'Book Details - NO EDIT'!A72</f>
        <v>70</v>
      </c>
      <c r="B71" s="112" t="str">
        <f>'Book Details - NO EDIT'!X72</f>
        <v>Diana (1890–1963: #70)</v>
      </c>
      <c r="C71" s="113">
        <f>'Book Details - NO EDIT'!L72</f>
        <v>46</v>
      </c>
      <c r="D71" s="44">
        <f>'Loyd List 1-190 - Edit'!T72</f>
        <v>23</v>
      </c>
      <c r="F71" s="124">
        <f t="shared" si="35"/>
        <v>4</v>
      </c>
      <c r="G71" s="125" t="str">
        <f t="shared" si="36"/>
        <v xml:space="preserve">4 – Godfrey (1893–1917: #75) Vivian (1894–1972: #78) Wilfred (1896–1955: #82) Eddie (1902–1942: #84)    </v>
      </c>
      <c r="H71" s="124"/>
      <c r="I71" s="124" t="str">
        <f t="shared" si="37"/>
        <v/>
      </c>
      <c r="J71" s="124" t="str">
        <f t="shared" si="38"/>
        <v>Godfrey (1893–1917: #75)</v>
      </c>
      <c r="K71" s="124" t="str">
        <f t="shared" si="39"/>
        <v>Vivian (1894–1972: #78)</v>
      </c>
      <c r="L71" s="124" t="str">
        <f t="shared" si="40"/>
        <v>Wilfred (1896–1955: #82)</v>
      </c>
      <c r="M71" s="124" t="str">
        <f>IF(VLOOKUP($C71,$S$3:$AC$80,Y$1+2,FALSE)=$A71,"",VLOOKUP(VLOOKUP($C71,$S$3:$AC$80,Y$1+2,FALSE),$A$2:$B$230,2,FALSE))</f>
        <v>Eddie (1902–1942: #84)</v>
      </c>
      <c r="N71" s="124"/>
      <c r="O71" s="124"/>
      <c r="P71" s="124"/>
      <c r="Q71" s="124"/>
    </row>
    <row r="72" spans="1:43" ht="17" thickBot="1">
      <c r="A72" s="12">
        <f>'Book Details - NO EDIT'!A73</f>
        <v>71</v>
      </c>
      <c r="B72" s="112" t="str">
        <f>'Book Details - NO EDIT'!X73</f>
        <v>Arthur (1890–1974: #71)</v>
      </c>
      <c r="C72" s="113">
        <f>'Book Details - NO EDIT'!L73</f>
        <v>34</v>
      </c>
      <c r="D72" s="44">
        <f>'Loyd List 1-190 - Edit'!T73</f>
        <v>14</v>
      </c>
      <c r="F72" s="124">
        <f t="shared" si="35"/>
        <v>2</v>
      </c>
      <c r="G72" s="125" t="str">
        <f t="shared" si="36"/>
        <v xml:space="preserve">2 – Nan (1889–1967: #65)  Edward (1893–1932: #76)      </v>
      </c>
      <c r="H72" s="124"/>
      <c r="I72" s="124" t="str">
        <f t="shared" si="37"/>
        <v>Nan (1889–1967: #65)</v>
      </c>
      <c r="J72" s="124" t="str">
        <f t="shared" si="38"/>
        <v/>
      </c>
      <c r="K72" s="124" t="str">
        <f t="shared" si="39"/>
        <v>Edward (1893–1932: #76)</v>
      </c>
      <c r="L72" s="124"/>
      <c r="M72" s="124"/>
      <c r="N72" s="124"/>
      <c r="O72" s="124"/>
      <c r="P72" s="124"/>
      <c r="Q72" s="124"/>
    </row>
    <row r="73" spans="1:43" ht="17" thickBot="1">
      <c r="A73" s="12">
        <f>'Book Details - NO EDIT'!A74</f>
        <v>72</v>
      </c>
      <c r="B73" s="112" t="str">
        <f>'Book Details - NO EDIT'!X74</f>
        <v>Charles (1891–1973: #72)</v>
      </c>
      <c r="C73" s="113">
        <f>'Book Details - NO EDIT'!L74</f>
        <v>44</v>
      </c>
      <c r="D73" s="44">
        <f>'Loyd List 1-190 - Edit'!T74</f>
        <v>23</v>
      </c>
      <c r="F73" s="124">
        <f t="shared" si="35"/>
        <v>2</v>
      </c>
      <c r="G73" s="125" t="str">
        <f t="shared" si="36"/>
        <v xml:space="preserve">2 – William (1889–1947: #66)  Reginald (1885–1917: #81)      </v>
      </c>
      <c r="H73" s="124"/>
      <c r="I73" s="124" t="str">
        <f t="shared" si="37"/>
        <v>William (1889–1947: #66)</v>
      </c>
      <c r="J73" s="124" t="str">
        <f t="shared" si="38"/>
        <v/>
      </c>
      <c r="K73" s="124" t="str">
        <f t="shared" si="39"/>
        <v>Reginald (1885–1917: #81)</v>
      </c>
      <c r="L73" s="124"/>
      <c r="M73" s="124"/>
      <c r="N73" s="124"/>
      <c r="O73" s="124"/>
      <c r="P73" s="124"/>
      <c r="Q73" s="124"/>
    </row>
    <row r="74" spans="1:43" ht="17" thickBot="1">
      <c r="A74" s="12">
        <f>'Book Details - NO EDIT'!A75</f>
        <v>73</v>
      </c>
      <c r="B74" s="112" t="str">
        <f>'Book Details - NO EDIT'!X75</f>
        <v>Eric (1891–1967: #73)</v>
      </c>
      <c r="C74" s="113">
        <f>'Book Details - NO EDIT'!L75</f>
        <v>45</v>
      </c>
      <c r="D74" s="44">
        <f>'Loyd List 1-190 - Edit'!T75</f>
        <v>22</v>
      </c>
      <c r="F74" s="124">
        <f t="shared" si="35"/>
        <v>3</v>
      </c>
      <c r="G74" s="125" t="str">
        <f t="shared" si="36"/>
        <v xml:space="preserve">3 – Cecil (1890–1963: #68)  Alwyne (1894–1917: #79) Ruby (1898–1977: #83)     </v>
      </c>
      <c r="H74" s="124"/>
      <c r="I74" s="124" t="str">
        <f t="shared" si="37"/>
        <v>Cecil (1890–1963: #68)</v>
      </c>
      <c r="J74" s="124" t="str">
        <f t="shared" si="38"/>
        <v/>
      </c>
      <c r="K74" s="124" t="str">
        <f t="shared" si="39"/>
        <v>Alwyne (1894–1917: #79)</v>
      </c>
      <c r="L74" s="124" t="str">
        <f t="shared" si="40"/>
        <v>Ruby (1898–1977: #83)</v>
      </c>
      <c r="M74" s="124"/>
      <c r="N74" s="124"/>
      <c r="O74" s="124"/>
      <c r="P74" s="124"/>
      <c r="Q74" s="124"/>
    </row>
    <row r="75" spans="1:43" ht="17" thickBot="1">
      <c r="A75" s="12">
        <f>'Book Details - NO EDIT'!A76</f>
        <v>74</v>
      </c>
      <c r="B75" s="112" t="str">
        <f>'Book Details - NO EDIT'!X76</f>
        <v>Cecily (1891–1891: #74)</v>
      </c>
      <c r="C75" s="113">
        <f>'Book Details - NO EDIT'!L76</f>
        <v>41</v>
      </c>
      <c r="D75" s="44">
        <f>'Loyd List 1-190 - Edit'!T76</f>
        <v>22</v>
      </c>
      <c r="F75" s="124">
        <f t="shared" si="35"/>
        <v>4</v>
      </c>
      <c r="G75" s="125" t="str">
        <f t="shared" si="36"/>
        <v xml:space="preserve">4 – Lewis (1880–1918: #52) Edward (1881–1962: #53) Evelyn (1885–1962: #59) Mary (1887–1968: #63)     </v>
      </c>
      <c r="H75" s="124"/>
      <c r="I75" s="124" t="str">
        <f t="shared" si="37"/>
        <v>Lewis (1880–1918: #52)</v>
      </c>
      <c r="J75" s="124" t="str">
        <f t="shared" si="38"/>
        <v>Edward (1881–1962: #53)</v>
      </c>
      <c r="K75" s="124" t="str">
        <f t="shared" si="39"/>
        <v>Evelyn (1885–1962: #59)</v>
      </c>
      <c r="L75" s="124" t="str">
        <f t="shared" si="40"/>
        <v>Mary (1887–1968: #63)</v>
      </c>
      <c r="M75" s="124" t="str">
        <f>IF(VLOOKUP($C75,$S$3:$AC$80,Y$1+2,FALSE)=$A75,"",VLOOKUP(VLOOKUP($C75,$S$3:$AC$80,Y$1+2,FALSE),$A$2:$B$230,2,FALSE))</f>
        <v/>
      </c>
      <c r="N75" s="124"/>
      <c r="O75" s="124"/>
      <c r="P75" s="124"/>
      <c r="Q75" s="124"/>
    </row>
    <row r="76" spans="1:43" ht="17" thickBot="1">
      <c r="A76" s="12">
        <f>'Book Details - NO EDIT'!A77</f>
        <v>75</v>
      </c>
      <c r="B76" s="112" t="str">
        <f>'Book Details - NO EDIT'!X77</f>
        <v>Godfrey (1893–1917: #75)</v>
      </c>
      <c r="C76" s="113">
        <f>'Book Details - NO EDIT'!L77</f>
        <v>46</v>
      </c>
      <c r="D76" s="44">
        <f>'Loyd List 1-190 - Edit'!T77</f>
        <v>23</v>
      </c>
      <c r="F76" s="124">
        <f t="shared" si="35"/>
        <v>4</v>
      </c>
      <c r="G76" s="125" t="str">
        <f t="shared" si="36"/>
        <v xml:space="preserve">4 – Diana (1890–1963: #70)  Vivian (1894–1972: #78) Wilfred (1896–1955: #82) Eddie (1902–1942: #84)    </v>
      </c>
      <c r="H76" s="124"/>
      <c r="I76" s="124" t="str">
        <f t="shared" si="37"/>
        <v>Diana (1890–1963: #70)</v>
      </c>
      <c r="J76" s="124" t="str">
        <f t="shared" si="38"/>
        <v/>
      </c>
      <c r="K76" s="124" t="str">
        <f t="shared" si="39"/>
        <v>Vivian (1894–1972: #78)</v>
      </c>
      <c r="L76" s="124" t="str">
        <f t="shared" si="40"/>
        <v>Wilfred (1896–1955: #82)</v>
      </c>
      <c r="M76" s="124" t="str">
        <f>IF(VLOOKUP($C76,$S$3:$AC$80,Y$1+2,FALSE)=$A76,"",VLOOKUP(VLOOKUP($C76,$S$3:$AC$80,Y$1+2,FALSE),$A$2:$B$230,2,FALSE))</f>
        <v>Eddie (1902–1942: #84)</v>
      </c>
      <c r="N76" s="124"/>
      <c r="O76" s="124"/>
      <c r="P76" s="124"/>
      <c r="Q76" s="124"/>
    </row>
    <row r="77" spans="1:43" ht="17" thickBot="1">
      <c r="A77" s="12">
        <f>'Book Details - NO EDIT'!A78</f>
        <v>76</v>
      </c>
      <c r="B77" s="112" t="str">
        <f>'Book Details - NO EDIT'!X78</f>
        <v>Edward (1893–1932: #76)</v>
      </c>
      <c r="C77" s="113">
        <f>'Book Details - NO EDIT'!L78</f>
        <v>34</v>
      </c>
      <c r="D77" s="44">
        <f>'Loyd List 1-190 - Edit'!T78</f>
        <v>14</v>
      </c>
      <c r="F77" s="124">
        <f t="shared" si="35"/>
        <v>2</v>
      </c>
      <c r="G77" s="125" t="str">
        <f t="shared" si="36"/>
        <v xml:space="preserve">2 – Nan (1889–1967: #65) Arthur (1890–1974: #71)       </v>
      </c>
      <c r="H77" s="124"/>
      <c r="I77" s="124" t="str">
        <f t="shared" si="37"/>
        <v>Nan (1889–1967: #65)</v>
      </c>
      <c r="J77" s="124" t="str">
        <f t="shared" si="38"/>
        <v>Arthur (1890–1974: #71)</v>
      </c>
      <c r="K77" s="124" t="str">
        <f t="shared" si="39"/>
        <v/>
      </c>
      <c r="L77" s="124"/>
      <c r="M77" s="124"/>
      <c r="N77" s="124"/>
      <c r="O77" s="124"/>
      <c r="P77" s="124"/>
      <c r="Q77" s="124"/>
    </row>
    <row r="78" spans="1:43" ht="17" thickBot="1">
      <c r="A78" s="12">
        <f>'Book Details - NO EDIT'!A79</f>
        <v>77</v>
      </c>
      <c r="B78" s="112" t="str">
        <f>'Book Details - NO EDIT'!X79</f>
        <v>Wilfrid (1893–1971: #77)</v>
      </c>
      <c r="C78" s="113">
        <f>'Book Details - NO EDIT'!L79</f>
        <v>30</v>
      </c>
      <c r="D78" s="44">
        <f>'Loyd List 1-190 - Edit'!T79</f>
        <v>14</v>
      </c>
      <c r="F78" s="124">
        <f t="shared" si="35"/>
        <v>3</v>
      </c>
      <c r="G78" s="125" t="str">
        <f t="shared" si="36"/>
        <v xml:space="preserve">3 – Reggie (1886–1961: #61) Bobby (1887–1977: #62) Geoffrey (1890–1914: #69)      </v>
      </c>
      <c r="H78" s="124"/>
      <c r="I78" s="124" t="str">
        <f t="shared" si="37"/>
        <v>Reggie (1886–1961: #61)</v>
      </c>
      <c r="J78" s="124" t="str">
        <f t="shared" si="38"/>
        <v>Bobby (1887–1977: #62)</v>
      </c>
      <c r="K78" s="124" t="str">
        <f t="shared" si="39"/>
        <v>Geoffrey (1890–1914: #69)</v>
      </c>
      <c r="L78" s="124"/>
      <c r="M78" s="124"/>
      <c r="N78" s="124"/>
      <c r="O78" s="124"/>
      <c r="P78" s="124"/>
      <c r="Q78" s="124"/>
    </row>
    <row r="79" spans="1:43" ht="17" thickBot="1">
      <c r="A79" s="12">
        <f>'Book Details - NO EDIT'!A80</f>
        <v>78</v>
      </c>
      <c r="B79" s="112" t="str">
        <f>'Book Details - NO EDIT'!X80</f>
        <v>Vivian (1894–1972: #78)</v>
      </c>
      <c r="C79" s="113">
        <f>'Book Details - NO EDIT'!L80</f>
        <v>46</v>
      </c>
      <c r="D79" s="44">
        <f>'Loyd List 1-190 - Edit'!T80</f>
        <v>23</v>
      </c>
      <c r="F79" s="124">
        <f t="shared" si="35"/>
        <v>4</v>
      </c>
      <c r="G79" s="125" t="str">
        <f t="shared" si="36"/>
        <v xml:space="preserve">4 – Diana (1890–1963: #70) Godfrey (1893–1917: #75)  Wilfred (1896–1955: #82) Eddie (1902–1942: #84)    </v>
      </c>
      <c r="H79" s="124"/>
      <c r="I79" s="124" t="str">
        <f t="shared" si="37"/>
        <v>Diana (1890–1963: #70)</v>
      </c>
      <c r="J79" s="124" t="str">
        <f t="shared" si="38"/>
        <v>Godfrey (1893–1917: #75)</v>
      </c>
      <c r="K79" s="124" t="str">
        <f t="shared" si="39"/>
        <v/>
      </c>
      <c r="L79" s="124" t="str">
        <f t="shared" si="40"/>
        <v>Wilfred (1896–1955: #82)</v>
      </c>
      <c r="M79" s="124" t="str">
        <f>IF(VLOOKUP($C79,$S$3:$AC$80,Y$1+2,FALSE)=$A79,"",VLOOKUP(VLOOKUP($C79,$S$3:$AC$80,Y$1+2,FALSE),$A$2:$B$230,2,FALSE))</f>
        <v>Eddie (1902–1942: #84)</v>
      </c>
      <c r="N79" s="124"/>
      <c r="O79" s="124"/>
      <c r="P79" s="124"/>
      <c r="Q79" s="124"/>
    </row>
    <row r="80" spans="1:43" ht="17" thickBot="1">
      <c r="A80" s="12">
        <f>'Book Details - NO EDIT'!A81</f>
        <v>79</v>
      </c>
      <c r="B80" s="112" t="str">
        <f>'Book Details - NO EDIT'!X81</f>
        <v>Alwyne (1894–1917: #79)</v>
      </c>
      <c r="C80" s="113">
        <f>'Book Details - NO EDIT'!L81</f>
        <v>45</v>
      </c>
      <c r="D80" s="44">
        <f>'Loyd List 1-190 - Edit'!T81</f>
        <v>22</v>
      </c>
      <c r="F80" s="124">
        <f t="shared" si="35"/>
        <v>3</v>
      </c>
      <c r="G80" s="125" t="str">
        <f t="shared" si="36"/>
        <v xml:space="preserve">3 – Cecil (1890–1963: #68) Eric (1891–1967: #73)  Ruby (1898–1977: #83)     </v>
      </c>
      <c r="H80" s="124"/>
      <c r="I80" s="124" t="str">
        <f t="shared" si="37"/>
        <v>Cecil (1890–1963: #68)</v>
      </c>
      <c r="J80" s="124" t="str">
        <f t="shared" si="38"/>
        <v>Eric (1891–1967: #73)</v>
      </c>
      <c r="K80" s="124" t="str">
        <f t="shared" si="39"/>
        <v/>
      </c>
      <c r="L80" s="124" t="str">
        <f t="shared" si="40"/>
        <v>Ruby (1898–1977: #83)</v>
      </c>
      <c r="M80" s="124"/>
      <c r="N80" s="124"/>
      <c r="O80" s="124"/>
      <c r="P80" s="124"/>
      <c r="Q80" s="124"/>
    </row>
    <row r="81" spans="1:17" ht="17" thickBot="1">
      <c r="A81" s="12">
        <f>'Book Details - NO EDIT'!A82</f>
        <v>80</v>
      </c>
      <c r="B81" s="112" t="str">
        <f>'Book Details - NO EDIT'!X82</f>
        <v>Eric (1894–1963: #80)</v>
      </c>
      <c r="C81" s="113">
        <f>'Book Details - NO EDIT'!L82</f>
        <v>29</v>
      </c>
      <c r="D81" s="44">
        <f>'Loyd List 1-190 - Edit'!T82</f>
        <v>14</v>
      </c>
      <c r="F81" s="124">
        <f t="shared" si="35"/>
        <v>0</v>
      </c>
      <c r="G81" s="125" t="str">
        <f t="shared" si="36"/>
        <v>0 – Only chlid</v>
      </c>
      <c r="H81" s="124"/>
      <c r="I81" s="124" t="str">
        <f t="shared" si="37"/>
        <v/>
      </c>
      <c r="J81" s="124"/>
      <c r="K81" s="124"/>
      <c r="L81" s="124"/>
      <c r="M81" s="124"/>
      <c r="N81" s="124"/>
      <c r="O81" s="124"/>
      <c r="P81" s="124"/>
      <c r="Q81" s="124"/>
    </row>
    <row r="82" spans="1:17" ht="17" thickBot="1">
      <c r="A82" s="12">
        <f>'Book Details - NO EDIT'!A83</f>
        <v>81</v>
      </c>
      <c r="B82" s="112" t="str">
        <f>'Book Details - NO EDIT'!X83</f>
        <v>Reginald (1885–1917: #81)</v>
      </c>
      <c r="C82" s="113">
        <f>'Book Details - NO EDIT'!L83</f>
        <v>44</v>
      </c>
      <c r="D82" s="44">
        <f>'Loyd List 1-190 - Edit'!T83</f>
        <v>23</v>
      </c>
      <c r="F82" s="124">
        <f t="shared" si="35"/>
        <v>2</v>
      </c>
      <c r="G82" s="125" t="str">
        <f t="shared" si="36"/>
        <v xml:space="preserve">2 – William (1889–1947: #66) Charles (1891–1973: #72)       </v>
      </c>
      <c r="H82" s="124"/>
      <c r="I82" s="124" t="str">
        <f t="shared" si="37"/>
        <v>William (1889–1947: #66)</v>
      </c>
      <c r="J82" s="124" t="str">
        <f t="shared" si="38"/>
        <v>Charles (1891–1973: #72)</v>
      </c>
      <c r="K82" s="124" t="str">
        <f t="shared" si="39"/>
        <v/>
      </c>
      <c r="L82" s="124"/>
      <c r="M82" s="124"/>
      <c r="N82" s="124"/>
      <c r="O82" s="124"/>
      <c r="P82" s="124"/>
      <c r="Q82" s="124"/>
    </row>
    <row r="83" spans="1:17" ht="17" thickBot="1">
      <c r="A83" s="12">
        <f>'Book Details - NO EDIT'!A84</f>
        <v>82</v>
      </c>
      <c r="B83" s="112" t="str">
        <f>'Book Details - NO EDIT'!X84</f>
        <v>Wilfred (1896–1955: #82)</v>
      </c>
      <c r="C83" s="113">
        <f>'Book Details - NO EDIT'!L84</f>
        <v>46</v>
      </c>
      <c r="D83" s="44">
        <f>'Loyd List 1-190 - Edit'!T84</f>
        <v>23</v>
      </c>
      <c r="F83" s="124">
        <f t="shared" si="35"/>
        <v>4</v>
      </c>
      <c r="G83" s="125" t="str">
        <f t="shared" si="36"/>
        <v xml:space="preserve">4 – Diana (1890–1963: #70) Godfrey (1893–1917: #75) Vivian (1894–1972: #78)  Eddie (1902–1942: #84)    </v>
      </c>
      <c r="H83" s="124"/>
      <c r="I83" s="124" t="str">
        <f t="shared" si="37"/>
        <v>Diana (1890–1963: #70)</v>
      </c>
      <c r="J83" s="124" t="str">
        <f t="shared" si="38"/>
        <v>Godfrey (1893–1917: #75)</v>
      </c>
      <c r="K83" s="124" t="str">
        <f t="shared" si="39"/>
        <v>Vivian (1894–1972: #78)</v>
      </c>
      <c r="L83" s="124" t="str">
        <f t="shared" si="40"/>
        <v/>
      </c>
      <c r="M83" s="124" t="str">
        <f>IF(VLOOKUP($C83,$S$3:$AC$80,Y$1+2,FALSE)=$A83,"",VLOOKUP(VLOOKUP($C83,$S$3:$AC$80,Y$1+2,FALSE),$A$2:$B$230,2,FALSE))</f>
        <v>Eddie (1902–1942: #84)</v>
      </c>
      <c r="N83" s="124"/>
      <c r="O83" s="124"/>
      <c r="P83" s="124"/>
      <c r="Q83" s="124"/>
    </row>
    <row r="84" spans="1:17" ht="17" thickBot="1">
      <c r="A84" s="12">
        <f>'Book Details - NO EDIT'!A85</f>
        <v>83</v>
      </c>
      <c r="B84" s="112" t="str">
        <f>'Book Details - NO EDIT'!X85</f>
        <v>Ruby (1898–1977: #83)</v>
      </c>
      <c r="C84" s="113">
        <f>'Book Details - NO EDIT'!L85</f>
        <v>45</v>
      </c>
      <c r="D84" s="44">
        <f>'Loyd List 1-190 - Edit'!T85</f>
        <v>22</v>
      </c>
      <c r="F84" s="124">
        <f t="shared" si="35"/>
        <v>3</v>
      </c>
      <c r="G84" s="125" t="str">
        <f t="shared" si="36"/>
        <v xml:space="preserve">3 – Cecil (1890–1963: #68) Eric (1891–1967: #73) Alwyne (1894–1917: #79)      </v>
      </c>
      <c r="H84" s="124"/>
      <c r="I84" s="124" t="str">
        <f t="shared" si="37"/>
        <v>Cecil (1890–1963: #68)</v>
      </c>
      <c r="J84" s="124" t="str">
        <f t="shared" si="38"/>
        <v>Eric (1891–1967: #73)</v>
      </c>
      <c r="K84" s="124" t="str">
        <f t="shared" si="39"/>
        <v>Alwyne (1894–1917: #79)</v>
      </c>
      <c r="L84" s="124" t="str">
        <f t="shared" si="40"/>
        <v/>
      </c>
      <c r="M84" s="124"/>
      <c r="N84" s="124"/>
      <c r="O84" s="124"/>
      <c r="P84" s="124"/>
      <c r="Q84" s="124"/>
    </row>
    <row r="85" spans="1:17" ht="17" thickBot="1">
      <c r="A85" s="12">
        <f>'Book Details - NO EDIT'!A86</f>
        <v>84</v>
      </c>
      <c r="B85" s="112" t="str">
        <f>'Book Details - NO EDIT'!X86</f>
        <v>Eddie (1902–1942: #84)</v>
      </c>
      <c r="C85" s="113">
        <f>'Book Details - NO EDIT'!L86</f>
        <v>46</v>
      </c>
      <c r="D85" s="44">
        <f>'Loyd List 1-190 - Edit'!T86</f>
        <v>23</v>
      </c>
      <c r="F85" s="124">
        <f t="shared" si="35"/>
        <v>4</v>
      </c>
      <c r="G85" s="125" t="str">
        <f t="shared" si="36"/>
        <v xml:space="preserve">4 – Diana (1890–1963: #70) Godfrey (1893–1917: #75) Vivian (1894–1972: #78) Wilfred (1896–1955: #82)     </v>
      </c>
      <c r="H85" s="124"/>
      <c r="I85" s="124" t="str">
        <f t="shared" si="37"/>
        <v>Diana (1890–1963: #70)</v>
      </c>
      <c r="J85" s="124" t="str">
        <f t="shared" si="38"/>
        <v>Godfrey (1893–1917: #75)</v>
      </c>
      <c r="K85" s="124" t="str">
        <f t="shared" si="39"/>
        <v>Vivian (1894–1972: #78)</v>
      </c>
      <c r="L85" s="124" t="str">
        <f t="shared" si="40"/>
        <v>Wilfred (1896–1955: #82)</v>
      </c>
      <c r="M85" s="124" t="str">
        <f>IF(VLOOKUP($C85,$S$3:$AC$80,Y$1+2,FALSE)=$A85,"",VLOOKUP(VLOOKUP($C85,$S$3:$AC$80,Y$1+2,FALSE),$A$2:$B$230,2,FALSE))</f>
        <v/>
      </c>
      <c r="N85" s="124"/>
      <c r="O85" s="124"/>
      <c r="P85" s="124"/>
      <c r="Q85" s="124"/>
    </row>
    <row r="86" spans="1:17" ht="17" thickBot="1">
      <c r="A86" s="12">
        <f>'Book Details - NO EDIT'!A87</f>
        <v>85</v>
      </c>
      <c r="B86" s="112" t="str">
        <f>'Book Details - NO EDIT'!X87</f>
        <v>Anne (1912–2004: #85)</v>
      </c>
      <c r="C86" s="113">
        <f>'Book Details - NO EDIT'!L87</f>
        <v>56</v>
      </c>
      <c r="D86" s="44">
        <f>'Loyd List 1-190 - Edit'!T87</f>
        <v>28</v>
      </c>
      <c r="F86" s="124">
        <f t="shared" si="35"/>
        <v>5</v>
      </c>
      <c r="G86" s="125" t="str">
        <f t="shared" si="36"/>
        <v xml:space="preserve">5 – John (1913–1943: #87) Martin (1917–1926: #91) Hester (1920–2002: #95) Christopher (1923–2013: #100) Catherine (1923–2014: #101)   </v>
      </c>
      <c r="H86" s="124"/>
      <c r="I86" s="124" t="str">
        <f t="shared" si="37"/>
        <v/>
      </c>
      <c r="J86" s="124" t="str">
        <f t="shared" si="38"/>
        <v>John (1913–1943: #87)</v>
      </c>
      <c r="K86" s="124" t="str">
        <f t="shared" si="39"/>
        <v>Martin (1917–1926: #91)</v>
      </c>
      <c r="L86" s="124" t="str">
        <f t="shared" si="40"/>
        <v>Hester (1920–2002: #95)</v>
      </c>
      <c r="M86" s="124" t="str">
        <f>IF(VLOOKUP($C86,$S$3:$AC$80,Y$1+2,FALSE)=$A86,"",VLOOKUP(VLOOKUP($C86,$S$3:$AC$80,Y$1+2,FALSE),$A$2:$B$230,2,FALSE))</f>
        <v>Christopher (1923–2013: #100)</v>
      </c>
      <c r="N86" s="124" t="str">
        <f>IF(VLOOKUP($C86,$S$3:$AC$80,Z$1+2,FALSE)=$A86,"",VLOOKUP(VLOOKUP($C86,$S$3:$AC$80,Z$1+2,FALSE),$A$2:$B$230,2,FALSE))</f>
        <v>Catherine (1923–2014: #101)</v>
      </c>
      <c r="O86" s="124"/>
      <c r="P86" s="124"/>
      <c r="Q86" s="124"/>
    </row>
    <row r="87" spans="1:17" ht="17" thickBot="1">
      <c r="A87" s="12">
        <f>'Book Details - NO EDIT'!A88</f>
        <v>86</v>
      </c>
      <c r="B87" s="112" t="str">
        <f>'Book Details - NO EDIT'!X88</f>
        <v>Peter (1913–2008: #86)</v>
      </c>
      <c r="C87" s="113">
        <f>'Book Details - NO EDIT'!L88</f>
        <v>71</v>
      </c>
      <c r="D87" s="44">
        <f>'Loyd List 1-190 - Edit'!T88</f>
        <v>34</v>
      </c>
      <c r="F87" s="124">
        <f t="shared" si="35"/>
        <v>0</v>
      </c>
      <c r="G87" s="125" t="str">
        <f t="shared" si="36"/>
        <v>0 – Only chlid</v>
      </c>
      <c r="H87" s="124"/>
      <c r="I87" s="124" t="str">
        <f t="shared" si="37"/>
        <v/>
      </c>
      <c r="J87" s="124"/>
      <c r="K87" s="124"/>
      <c r="L87" s="124"/>
      <c r="M87" s="124"/>
      <c r="N87" s="124"/>
      <c r="O87" s="124"/>
      <c r="P87" s="124"/>
      <c r="Q87" s="124"/>
    </row>
    <row r="88" spans="1:17" ht="17" thickBot="1">
      <c r="A88" s="12">
        <f>'Book Details - NO EDIT'!A89</f>
        <v>87</v>
      </c>
      <c r="B88" s="112" t="str">
        <f>'Book Details - NO EDIT'!X89</f>
        <v>John (1913–1943: #87)</v>
      </c>
      <c r="C88" s="113">
        <f>'Book Details - NO EDIT'!L89</f>
        <v>56</v>
      </c>
      <c r="D88" s="44">
        <f>'Loyd List 1-190 - Edit'!T89</f>
        <v>28</v>
      </c>
      <c r="F88" s="124">
        <f t="shared" si="35"/>
        <v>5</v>
      </c>
      <c r="G88" s="125" t="str">
        <f t="shared" si="36"/>
        <v xml:space="preserve">5 – Anne (1912–2004: #85)  Martin (1917–1926: #91) Hester (1920–2002: #95) Christopher (1923–2013: #100) Catherine (1923–2014: #101)   </v>
      </c>
      <c r="H88" s="124"/>
      <c r="I88" s="124" t="str">
        <f t="shared" si="37"/>
        <v>Anne (1912–2004: #85)</v>
      </c>
      <c r="J88" s="124" t="str">
        <f t="shared" si="38"/>
        <v/>
      </c>
      <c r="K88" s="124" t="str">
        <f t="shared" si="39"/>
        <v>Martin (1917–1926: #91)</v>
      </c>
      <c r="L88" s="124" t="str">
        <f t="shared" si="40"/>
        <v>Hester (1920–2002: #95)</v>
      </c>
      <c r="M88" s="124" t="str">
        <f>IF(VLOOKUP($C88,$S$3:$AC$80,Y$1+2,FALSE)=$A88,"",VLOOKUP(VLOOKUP($C88,$S$3:$AC$80,Y$1+2,FALSE),$A$2:$B$230,2,FALSE))</f>
        <v>Christopher (1923–2013: #100)</v>
      </c>
      <c r="N88" s="124" t="str">
        <f>IF(VLOOKUP($C88,$S$3:$AC$80,Z$1+2,FALSE)=$A88,"",VLOOKUP(VLOOKUP($C88,$S$3:$AC$80,Z$1+2,FALSE),$A$2:$B$230,2,FALSE))</f>
        <v>Catherine (1923–2014: #101)</v>
      </c>
      <c r="O88" s="124"/>
      <c r="P88" s="124"/>
      <c r="Q88" s="124"/>
    </row>
    <row r="89" spans="1:17" ht="17" thickBot="1">
      <c r="A89" s="12">
        <f>'Book Details - NO EDIT'!A90</f>
        <v>88</v>
      </c>
      <c r="B89" s="112" t="str">
        <f>'Book Details - NO EDIT'!X90</f>
        <v>Delia (1915–2007: #88)</v>
      </c>
      <c r="C89" s="113">
        <f>'Book Details - NO EDIT'!L90</f>
        <v>66</v>
      </c>
      <c r="D89" s="44">
        <f>'Loyd List 1-190 - Edit'!T90</f>
        <v>44</v>
      </c>
      <c r="F89" s="124">
        <f t="shared" si="35"/>
        <v>2</v>
      </c>
      <c r="G89" s="125" t="str">
        <f t="shared" si="36"/>
        <v xml:space="preserve">2 – Edward (1921–1977: #96) Peter (1923–1974: #99)      </v>
      </c>
      <c r="H89" s="124"/>
      <c r="I89" s="124" t="str">
        <f t="shared" si="37"/>
        <v/>
      </c>
      <c r="J89" s="124" t="str">
        <f t="shared" si="38"/>
        <v>Edward (1921–1977: #96)</v>
      </c>
      <c r="K89" s="124" t="str">
        <f t="shared" si="39"/>
        <v>Peter (1923–1974: #99)</v>
      </c>
      <c r="L89" s="124"/>
      <c r="M89" s="124"/>
      <c r="N89" s="124"/>
      <c r="O89" s="124"/>
      <c r="P89" s="124"/>
      <c r="Q89" s="124"/>
    </row>
    <row r="90" spans="1:17" ht="17" thickBot="1">
      <c r="A90" s="12">
        <f>'Book Details - NO EDIT'!A91</f>
        <v>89</v>
      </c>
      <c r="B90" s="112" t="str">
        <f>'Book Details - NO EDIT'!X91</f>
        <v>Sir Francis/Frank (1916–2006: #89)</v>
      </c>
      <c r="C90" s="113">
        <f>'Book Details - NO EDIT'!L91</f>
        <v>54</v>
      </c>
      <c r="D90" s="44">
        <f>'Loyd List 1-190 - Edit'!T91</f>
        <v>32</v>
      </c>
      <c r="F90" s="124">
        <f t="shared" si="35"/>
        <v>1</v>
      </c>
      <c r="G90" s="125" t="str">
        <f t="shared" si="36"/>
        <v xml:space="preserve">1 – Daphne (1917–1992: #92)       </v>
      </c>
      <c r="H90" s="124"/>
      <c r="I90" s="124" t="str">
        <f t="shared" si="37"/>
        <v/>
      </c>
      <c r="J90" s="124" t="str">
        <f t="shared" si="38"/>
        <v>Daphne (1917–1992: #92)</v>
      </c>
      <c r="K90" s="124"/>
      <c r="L90" s="124"/>
      <c r="M90" s="124"/>
      <c r="N90" s="124"/>
      <c r="O90" s="124"/>
      <c r="P90" s="124"/>
      <c r="Q90" s="124"/>
    </row>
    <row r="91" spans="1:17" ht="17" thickBot="1">
      <c r="A91" s="12">
        <f>'Book Details - NO EDIT'!A92</f>
        <v>90</v>
      </c>
      <c r="B91" s="112" t="str">
        <f>'Book Details - NO EDIT'!X92</f>
        <v>Averil (1917–1993: #90)</v>
      </c>
      <c r="C91" s="113">
        <f>'Book Details - NO EDIT'!L92</f>
        <v>52</v>
      </c>
      <c r="D91" s="44">
        <f>'Loyd List 1-190 - Edit'!T92</f>
        <v>41</v>
      </c>
      <c r="F91" s="124">
        <f t="shared" si="35"/>
        <v>0</v>
      </c>
      <c r="G91" s="125" t="str">
        <f t="shared" si="36"/>
        <v>0 – Only chlid</v>
      </c>
      <c r="H91" s="124"/>
      <c r="I91" s="124" t="str">
        <f t="shared" si="37"/>
        <v/>
      </c>
      <c r="J91" s="124"/>
      <c r="K91" s="124"/>
      <c r="L91" s="124"/>
      <c r="M91" s="124"/>
      <c r="N91" s="124"/>
      <c r="O91" s="124"/>
      <c r="P91" s="124"/>
      <c r="Q91" s="124"/>
    </row>
    <row r="92" spans="1:17" ht="17" thickBot="1">
      <c r="A92" s="12">
        <f>'Book Details - NO EDIT'!A93</f>
        <v>91</v>
      </c>
      <c r="B92" s="112" t="str">
        <f>'Book Details - NO EDIT'!X93</f>
        <v>Martin (1917–1926: #91)</v>
      </c>
      <c r="C92" s="113">
        <f>'Book Details - NO EDIT'!L93</f>
        <v>56</v>
      </c>
      <c r="D92" s="44">
        <f>'Loyd List 1-190 - Edit'!T93</f>
        <v>28</v>
      </c>
      <c r="F92" s="124">
        <f t="shared" si="35"/>
        <v>5</v>
      </c>
      <c r="G92" s="125" t="str">
        <f t="shared" si="36"/>
        <v xml:space="preserve">5 – Anne (1912–2004: #85) John (1913–1943: #87)  Hester (1920–2002: #95) Christopher (1923–2013: #100) Catherine (1923–2014: #101)   </v>
      </c>
      <c r="H92" s="124"/>
      <c r="I92" s="124" t="str">
        <f t="shared" si="37"/>
        <v>Anne (1912–2004: #85)</v>
      </c>
      <c r="J92" s="124" t="str">
        <f t="shared" si="38"/>
        <v>John (1913–1943: #87)</v>
      </c>
      <c r="K92" s="124" t="str">
        <f t="shared" si="39"/>
        <v/>
      </c>
      <c r="L92" s="124" t="str">
        <f t="shared" si="40"/>
        <v>Hester (1920–2002: #95)</v>
      </c>
      <c r="M92" s="124" t="str">
        <f>IF(VLOOKUP($C92,$S$3:$AC$80,Y$1+2,FALSE)=$A92,"",VLOOKUP(VLOOKUP($C92,$S$3:$AC$80,Y$1+2,FALSE),$A$2:$B$230,2,FALSE))</f>
        <v>Christopher (1923–2013: #100)</v>
      </c>
      <c r="N92" s="124" t="str">
        <f>IF(VLOOKUP($C92,$S$3:$AC$80,Z$1+2,FALSE)=$A92,"",VLOOKUP(VLOOKUP($C92,$S$3:$AC$80,Z$1+2,FALSE),$A$2:$B$230,2,FALSE))</f>
        <v>Catherine (1923–2014: #101)</v>
      </c>
      <c r="O92" s="124"/>
      <c r="P92" s="124"/>
      <c r="Q92" s="124"/>
    </row>
    <row r="93" spans="1:17" ht="17" thickBot="1">
      <c r="A93" s="12">
        <f>'Book Details - NO EDIT'!A94</f>
        <v>92</v>
      </c>
      <c r="B93" s="112" t="str">
        <f>'Book Details - NO EDIT'!X94</f>
        <v>Daphne (1917–1992: #92)</v>
      </c>
      <c r="C93" s="113">
        <f>'Book Details - NO EDIT'!L94</f>
        <v>54</v>
      </c>
      <c r="D93" s="44">
        <f>'Loyd List 1-190 - Edit'!T94</f>
        <v>32</v>
      </c>
      <c r="F93" s="124">
        <f t="shared" si="35"/>
        <v>1</v>
      </c>
      <c r="G93" s="125" t="str">
        <f t="shared" si="36"/>
        <v xml:space="preserve">1 – Sir Francis/Frank (1916–2006: #89)        </v>
      </c>
      <c r="H93" s="124"/>
      <c r="I93" s="124" t="str">
        <f t="shared" si="37"/>
        <v>Sir Francis/Frank (1916–2006: #89)</v>
      </c>
      <c r="J93" s="124" t="str">
        <f t="shared" si="38"/>
        <v/>
      </c>
      <c r="K93" s="124"/>
      <c r="L93" s="124"/>
      <c r="M93" s="124"/>
      <c r="N93" s="124"/>
      <c r="O93" s="124"/>
      <c r="P93" s="124"/>
      <c r="Q93" s="124"/>
    </row>
    <row r="94" spans="1:17" ht="17" thickBot="1">
      <c r="A94" s="12">
        <f>'Book Details - NO EDIT'!A95</f>
        <v>93</v>
      </c>
      <c r="B94" s="112" t="str">
        <f>'Book Details - NO EDIT'!X95</f>
        <v>Jill (1920–2002: #93)</v>
      </c>
      <c r="C94" s="113">
        <f>'Book Details - NO EDIT'!L95</f>
        <v>68</v>
      </c>
      <c r="D94" s="44">
        <f>'Loyd List 1-190 - Edit'!T95</f>
        <v>45</v>
      </c>
      <c r="F94" s="124">
        <f t="shared" si="35"/>
        <v>1</v>
      </c>
      <c r="G94" s="125" t="str">
        <f t="shared" si="36"/>
        <v xml:space="preserve">1 – Alwyne (1920–2014: #94)       </v>
      </c>
      <c r="H94" s="124"/>
      <c r="I94" s="124" t="str">
        <f t="shared" si="37"/>
        <v/>
      </c>
      <c r="J94" s="124" t="str">
        <f t="shared" si="38"/>
        <v>Alwyne (1920–2014: #94)</v>
      </c>
      <c r="K94" s="124"/>
      <c r="L94" s="124"/>
      <c r="M94" s="124"/>
      <c r="N94" s="124"/>
      <c r="O94" s="124"/>
      <c r="P94" s="124"/>
      <c r="Q94" s="124"/>
    </row>
    <row r="95" spans="1:17" ht="17" thickBot="1">
      <c r="A95" s="12">
        <f>'Book Details - NO EDIT'!A96</f>
        <v>94</v>
      </c>
      <c r="B95" s="112" t="str">
        <f>'Book Details - NO EDIT'!X96</f>
        <v>Alwyne (1920–2014: #94)</v>
      </c>
      <c r="C95" s="113">
        <f>'Book Details - NO EDIT'!L96</f>
        <v>68</v>
      </c>
      <c r="D95" s="44">
        <f>'Loyd List 1-190 - Edit'!T96</f>
        <v>45</v>
      </c>
      <c r="F95" s="124">
        <f t="shared" si="35"/>
        <v>1</v>
      </c>
      <c r="G95" s="125" t="str">
        <f t="shared" si="36"/>
        <v xml:space="preserve">1 – Jill (1920–2002: #93)        </v>
      </c>
      <c r="H95" s="124"/>
      <c r="I95" s="124" t="str">
        <f t="shared" si="37"/>
        <v>Jill (1920–2002: #93)</v>
      </c>
      <c r="J95" s="124" t="str">
        <f t="shared" si="38"/>
        <v/>
      </c>
      <c r="K95" s="124"/>
      <c r="L95" s="124"/>
      <c r="M95" s="124"/>
      <c r="N95" s="124"/>
      <c r="O95" s="124"/>
      <c r="P95" s="124"/>
      <c r="Q95" s="124"/>
    </row>
    <row r="96" spans="1:17" ht="17" thickBot="1">
      <c r="A96" s="12">
        <f>'Book Details - NO EDIT'!A97</f>
        <v>95</v>
      </c>
      <c r="B96" s="112" t="str">
        <f>'Book Details - NO EDIT'!X97</f>
        <v>Hester (1920–2002: #95)</v>
      </c>
      <c r="C96" s="113">
        <f>'Book Details - NO EDIT'!L97</f>
        <v>56</v>
      </c>
      <c r="D96" s="44">
        <f>'Loyd List 1-190 - Edit'!T97</f>
        <v>28</v>
      </c>
      <c r="F96" s="124">
        <f t="shared" si="35"/>
        <v>5</v>
      </c>
      <c r="G96" s="125" t="str">
        <f t="shared" si="36"/>
        <v xml:space="preserve">5 – Anne (1912–2004: #85) John (1913–1943: #87) Martin (1917–1926: #91)  Christopher (1923–2013: #100) Catherine (1923–2014: #101)   </v>
      </c>
      <c r="H96" s="124"/>
      <c r="I96" s="124" t="str">
        <f t="shared" si="37"/>
        <v>Anne (1912–2004: #85)</v>
      </c>
      <c r="J96" s="124" t="str">
        <f t="shared" si="38"/>
        <v>John (1913–1943: #87)</v>
      </c>
      <c r="K96" s="124" t="str">
        <f t="shared" si="39"/>
        <v>Martin (1917–1926: #91)</v>
      </c>
      <c r="L96" s="124" t="str">
        <f t="shared" si="40"/>
        <v/>
      </c>
      <c r="M96" s="124" t="str">
        <f>IF(VLOOKUP($C96,$S$3:$AC$80,Y$1+2,FALSE)=$A96,"",VLOOKUP(VLOOKUP($C96,$S$3:$AC$80,Y$1+2,FALSE),$A$2:$B$230,2,FALSE))</f>
        <v>Christopher (1923–2013: #100)</v>
      </c>
      <c r="N96" s="124" t="str">
        <f>IF(VLOOKUP($C96,$S$3:$AC$80,Z$1+2,FALSE)=$A96,"",VLOOKUP(VLOOKUP($C96,$S$3:$AC$80,Z$1+2,FALSE),$A$2:$B$230,2,FALSE))</f>
        <v>Catherine (1923–2014: #101)</v>
      </c>
      <c r="O96" s="124"/>
      <c r="P96" s="124"/>
      <c r="Q96" s="124"/>
    </row>
    <row r="97" spans="1:17" ht="17" thickBot="1">
      <c r="A97" s="12">
        <f>'Book Details - NO EDIT'!A98</f>
        <v>96</v>
      </c>
      <c r="B97" s="112" t="str">
        <f>'Book Details - NO EDIT'!X98</f>
        <v>Edward (1921–1977: #96)</v>
      </c>
      <c r="C97" s="113">
        <f>'Book Details - NO EDIT'!L98</f>
        <v>66</v>
      </c>
      <c r="D97" s="44">
        <f>'Loyd List 1-190 - Edit'!T98</f>
        <v>44</v>
      </c>
      <c r="F97" s="124">
        <f t="shared" si="35"/>
        <v>2</v>
      </c>
      <c r="G97" s="125" t="str">
        <f t="shared" si="36"/>
        <v xml:space="preserve">2 – Delia (1915–2007: #88)  Peter (1923–1974: #99)      </v>
      </c>
      <c r="H97" s="124"/>
      <c r="I97" s="124" t="str">
        <f t="shared" si="37"/>
        <v>Delia (1915–2007: #88)</v>
      </c>
      <c r="J97" s="124" t="str">
        <f t="shared" si="38"/>
        <v/>
      </c>
      <c r="K97" s="124" t="str">
        <f t="shared" si="39"/>
        <v>Peter (1923–1974: #99)</v>
      </c>
      <c r="L97" s="124"/>
      <c r="M97" s="124"/>
      <c r="N97" s="124"/>
      <c r="O97" s="124"/>
      <c r="P97" s="124"/>
      <c r="Q97" s="124"/>
    </row>
    <row r="98" spans="1:17" ht="17" thickBot="1">
      <c r="A98" s="12">
        <f>'Book Details - NO EDIT'!A99</f>
        <v>97</v>
      </c>
      <c r="B98" s="112" t="str">
        <f>'Book Details - NO EDIT'!X99</f>
        <v>Audrey (1922–2005: #97)</v>
      </c>
      <c r="C98" s="113">
        <f>'Book Details - NO EDIT'!L99</f>
        <v>53</v>
      </c>
      <c r="D98" s="44">
        <f>'Loyd List 1-190 - Edit'!T99</f>
        <v>41</v>
      </c>
      <c r="F98" s="124">
        <f t="shared" si="35"/>
        <v>0</v>
      </c>
      <c r="G98" s="125" t="str">
        <f t="shared" si="36"/>
        <v>0 – Only chlid</v>
      </c>
      <c r="H98" s="124"/>
      <c r="I98" s="124" t="str">
        <f t="shared" si="37"/>
        <v/>
      </c>
      <c r="J98" s="124"/>
      <c r="K98" s="124"/>
      <c r="L98" s="124"/>
      <c r="M98" s="124"/>
      <c r="N98" s="124"/>
      <c r="O98" s="124"/>
      <c r="P98" s="124"/>
      <c r="Q98" s="124"/>
    </row>
    <row r="99" spans="1:17" ht="17" thickBot="1">
      <c r="A99" s="12">
        <f>'Book Details - NO EDIT'!A100</f>
        <v>98</v>
      </c>
      <c r="B99" s="112" t="str">
        <f>'Book Details - NO EDIT'!X100</f>
        <v>Peter (1922–2022: #98)</v>
      </c>
      <c r="C99" s="113">
        <f>'Book Details - NO EDIT'!L100</f>
        <v>77</v>
      </c>
      <c r="D99" s="44">
        <f>'Loyd List 1-190 - Edit'!T100</f>
        <v>30</v>
      </c>
      <c r="F99" s="124">
        <f t="shared" si="35"/>
        <v>3</v>
      </c>
      <c r="G99" s="125" t="str">
        <f t="shared" si="36"/>
        <v xml:space="preserve">3 – Geoffrey (1926–2018: #105) Denise (1928–: #106) Andrew (1934–1975: #111)     </v>
      </c>
      <c r="H99" s="124"/>
      <c r="I99" s="124" t="str">
        <f t="shared" si="37"/>
        <v/>
      </c>
      <c r="J99" s="124" t="str">
        <f t="shared" si="38"/>
        <v>Geoffrey (1926–2018: #105)</v>
      </c>
      <c r="K99" s="124" t="str">
        <f t="shared" si="39"/>
        <v>Denise (1928–: #106)</v>
      </c>
      <c r="L99" s="124" t="str">
        <f t="shared" si="40"/>
        <v>Andrew (1934–1975: #111)</v>
      </c>
      <c r="M99" s="124"/>
      <c r="N99" s="124"/>
      <c r="O99" s="124"/>
      <c r="P99" s="124"/>
      <c r="Q99" s="124"/>
    </row>
    <row r="100" spans="1:17" ht="17" thickBot="1">
      <c r="A100" s="12">
        <f>'Book Details - NO EDIT'!A101</f>
        <v>99</v>
      </c>
      <c r="B100" s="112" t="str">
        <f>'Book Details - NO EDIT'!X101</f>
        <v>Peter (1923–1974: #99)</v>
      </c>
      <c r="C100" s="113">
        <f>'Book Details - NO EDIT'!L101</f>
        <v>66</v>
      </c>
      <c r="D100" s="44">
        <f>'Loyd List 1-190 - Edit'!T101</f>
        <v>44</v>
      </c>
      <c r="F100" s="124">
        <f t="shared" si="35"/>
        <v>2</v>
      </c>
      <c r="G100" s="125" t="str">
        <f t="shared" si="36"/>
        <v xml:space="preserve">2 – Delia (1915–2007: #88) Edward (1921–1977: #96)       </v>
      </c>
      <c r="H100" s="124"/>
      <c r="I100" s="124" t="str">
        <f t="shared" si="37"/>
        <v>Delia (1915–2007: #88)</v>
      </c>
      <c r="J100" s="124" t="str">
        <f t="shared" si="38"/>
        <v>Edward (1921–1977: #96)</v>
      </c>
      <c r="K100" s="124" t="str">
        <f t="shared" si="39"/>
        <v/>
      </c>
      <c r="L100" s="124"/>
      <c r="M100" s="124"/>
      <c r="N100" s="124"/>
      <c r="O100" s="124"/>
      <c r="P100" s="124"/>
      <c r="Q100" s="124"/>
    </row>
    <row r="101" spans="1:17" ht="17" thickBot="1">
      <c r="A101" s="12">
        <f>'Book Details - NO EDIT'!A102</f>
        <v>100</v>
      </c>
      <c r="B101" s="112" t="str">
        <f>'Book Details - NO EDIT'!X102</f>
        <v>Christopher (1923–2013: #100)</v>
      </c>
      <c r="C101" s="113">
        <f>'Book Details - NO EDIT'!L102</f>
        <v>56</v>
      </c>
      <c r="D101" s="44">
        <f>'Loyd List 1-190 - Edit'!T102</f>
        <v>28</v>
      </c>
      <c r="F101" s="124">
        <f t="shared" si="35"/>
        <v>5</v>
      </c>
      <c r="G101" s="125" t="str">
        <f t="shared" si="36"/>
        <v xml:space="preserve">5 – Anne (1912–2004: #85) John (1913–1943: #87) Martin (1917–1926: #91) Hester (1920–2002: #95)  Catherine (1923–2014: #101)   </v>
      </c>
      <c r="H101" s="124"/>
      <c r="I101" s="124" t="str">
        <f t="shared" si="37"/>
        <v>Anne (1912–2004: #85)</v>
      </c>
      <c r="J101" s="124" t="str">
        <f t="shared" si="38"/>
        <v>John (1913–1943: #87)</v>
      </c>
      <c r="K101" s="124" t="str">
        <f t="shared" si="39"/>
        <v>Martin (1917–1926: #91)</v>
      </c>
      <c r="L101" s="124" t="str">
        <f t="shared" si="40"/>
        <v>Hester (1920–2002: #95)</v>
      </c>
      <c r="M101" s="124" t="str">
        <f>IF(VLOOKUP($C101,$S$3:$AC$80,Y$1+2,FALSE)=$A101,"",VLOOKUP(VLOOKUP($C101,$S$3:$AC$80,Y$1+2,FALSE),$A$2:$B$230,2,FALSE))</f>
        <v/>
      </c>
      <c r="N101" s="124" t="str">
        <f>IF(VLOOKUP($C101,$S$3:$AC$80,Z$1+2,FALSE)=$A101,"",VLOOKUP(VLOOKUP($C101,$S$3:$AC$80,Z$1+2,FALSE),$A$2:$B$230,2,FALSE))</f>
        <v>Catherine (1923–2014: #101)</v>
      </c>
      <c r="O101" s="124"/>
      <c r="P101" s="124"/>
      <c r="Q101" s="124"/>
    </row>
    <row r="102" spans="1:17" ht="17" thickBot="1">
      <c r="A102" s="12">
        <f>'Book Details - NO EDIT'!A103</f>
        <v>101</v>
      </c>
      <c r="B102" s="112" t="str">
        <f>'Book Details - NO EDIT'!X103</f>
        <v>Catherine (1923–2014: #101)</v>
      </c>
      <c r="C102" s="113">
        <f>'Book Details - NO EDIT'!L103</f>
        <v>56</v>
      </c>
      <c r="D102" s="44">
        <f>'Loyd List 1-190 - Edit'!T103</f>
        <v>28</v>
      </c>
      <c r="F102" s="124">
        <f t="shared" si="35"/>
        <v>5</v>
      </c>
      <c r="G102" s="125" t="str">
        <f t="shared" si="36"/>
        <v xml:space="preserve">5 – Anne (1912–2004: #85) John (1913–1943: #87) Martin (1917–1926: #91) Hester (1920–2002: #95) Christopher (1923–2013: #100)    </v>
      </c>
      <c r="H102" s="124"/>
      <c r="I102" s="124" t="str">
        <f t="shared" si="37"/>
        <v>Anne (1912–2004: #85)</v>
      </c>
      <c r="J102" s="124" t="str">
        <f t="shared" si="38"/>
        <v>John (1913–1943: #87)</v>
      </c>
      <c r="K102" s="124" t="str">
        <f t="shared" si="39"/>
        <v>Martin (1917–1926: #91)</v>
      </c>
      <c r="L102" s="124" t="str">
        <f t="shared" si="40"/>
        <v>Hester (1920–2002: #95)</v>
      </c>
      <c r="M102" s="124" t="str">
        <f>IF(VLOOKUP($C102,$S$3:$AC$80,Y$1+2,FALSE)=$A102,"",VLOOKUP(VLOOKUP($C102,$S$3:$AC$80,Y$1+2,FALSE),$A$2:$B$230,2,FALSE))</f>
        <v>Christopher (1923–2013: #100)</v>
      </c>
      <c r="N102" s="124" t="str">
        <f>IF(VLOOKUP($C102,$S$3:$AC$80,Z$1+2,FALSE)=$A102,"",VLOOKUP(VLOOKUP($C102,$S$3:$AC$80,Z$1+2,FALSE),$A$2:$B$230,2,FALSE))</f>
        <v/>
      </c>
      <c r="O102" s="124"/>
      <c r="P102" s="124"/>
      <c r="Q102" s="124"/>
    </row>
    <row r="103" spans="1:17" ht="17" thickBot="1">
      <c r="A103" s="12">
        <f>'Book Details - NO EDIT'!A104</f>
        <v>102</v>
      </c>
      <c r="B103" s="112" t="str">
        <f>'Book Details - NO EDIT'!X104</f>
        <v>Zelda (1923–2014: #102)</v>
      </c>
      <c r="C103" s="113">
        <f>'Book Details - NO EDIT'!L104</f>
        <v>62</v>
      </c>
      <c r="D103" s="44">
        <f>'Loyd List 1-190 - Edit'!T104</f>
        <v>30</v>
      </c>
      <c r="F103" s="124">
        <f t="shared" si="35"/>
        <v>0</v>
      </c>
      <c r="G103" s="125" t="str">
        <f t="shared" si="36"/>
        <v>0 – Only chlid</v>
      </c>
      <c r="H103" s="124"/>
      <c r="I103" s="124" t="str">
        <f t="shared" si="37"/>
        <v/>
      </c>
      <c r="J103" s="124"/>
      <c r="K103" s="124"/>
      <c r="L103" s="124"/>
      <c r="M103" s="124"/>
      <c r="N103" s="124"/>
      <c r="O103" s="124"/>
      <c r="P103" s="124"/>
      <c r="Q103" s="124"/>
    </row>
    <row r="104" spans="1:17" ht="17" thickBot="1">
      <c r="A104" s="12">
        <f>'Book Details - NO EDIT'!A105</f>
        <v>103</v>
      </c>
      <c r="B104" s="112" t="str">
        <f>'Book Details - NO EDIT'!X105</f>
        <v>Lavinia (1923–1995: #103)</v>
      </c>
      <c r="C104" s="113">
        <f>'Book Details - NO EDIT'!L105</f>
        <v>72</v>
      </c>
      <c r="D104" s="44">
        <f>'Loyd List 1-190 - Edit'!T105</f>
        <v>44</v>
      </c>
      <c r="F104" s="124">
        <f t="shared" si="35"/>
        <v>1</v>
      </c>
      <c r="G104" s="125" t="str">
        <f t="shared" si="36"/>
        <v xml:space="preserve">1 – Sir Julian (1926–2018: #104)       </v>
      </c>
      <c r="H104" s="124"/>
      <c r="I104" s="124" t="str">
        <f t="shared" si="37"/>
        <v/>
      </c>
      <c r="J104" s="124" t="str">
        <f t="shared" si="38"/>
        <v>Sir Julian (1926–2018: #104)</v>
      </c>
      <c r="K104" s="124"/>
      <c r="L104" s="124"/>
      <c r="M104" s="124"/>
      <c r="N104" s="124"/>
      <c r="O104" s="124"/>
      <c r="P104" s="124"/>
      <c r="Q104" s="124"/>
    </row>
    <row r="105" spans="1:17" ht="17" thickBot="1">
      <c r="A105" s="12">
        <f>'Book Details - NO EDIT'!A106</f>
        <v>104</v>
      </c>
      <c r="B105" s="112" t="str">
        <f>'Book Details - NO EDIT'!X106</f>
        <v>Sir Julian (1926–2018: #104)</v>
      </c>
      <c r="C105" s="113">
        <f>'Book Details - NO EDIT'!L106</f>
        <v>72</v>
      </c>
      <c r="D105" s="44">
        <f>'Loyd List 1-190 - Edit'!T106</f>
        <v>44</v>
      </c>
      <c r="F105" s="124">
        <f t="shared" si="35"/>
        <v>1</v>
      </c>
      <c r="G105" s="125" t="str">
        <f t="shared" si="36"/>
        <v xml:space="preserve">1 – Lavinia (1923–1995: #103)        </v>
      </c>
      <c r="H105" s="124"/>
      <c r="I105" s="124" t="str">
        <f t="shared" si="37"/>
        <v>Lavinia (1923–1995: #103)</v>
      </c>
      <c r="J105" s="124" t="str">
        <f t="shared" si="38"/>
        <v/>
      </c>
      <c r="K105" s="124"/>
      <c r="L105" s="124"/>
      <c r="M105" s="124"/>
      <c r="N105" s="124"/>
      <c r="O105" s="124"/>
      <c r="P105" s="124"/>
      <c r="Q105" s="124"/>
    </row>
    <row r="106" spans="1:17" ht="17" thickBot="1">
      <c r="A106" s="12">
        <f>'Book Details - NO EDIT'!A107</f>
        <v>105</v>
      </c>
      <c r="B106" s="112" t="str">
        <f>'Book Details - NO EDIT'!X107</f>
        <v>Geoffrey (1926–2018: #105)</v>
      </c>
      <c r="C106" s="113">
        <f>'Book Details - NO EDIT'!L107</f>
        <v>77</v>
      </c>
      <c r="D106" s="44">
        <f>'Loyd List 1-190 - Edit'!T107</f>
        <v>30</v>
      </c>
      <c r="F106" s="124">
        <f t="shared" si="35"/>
        <v>3</v>
      </c>
      <c r="G106" s="125" t="str">
        <f t="shared" si="36"/>
        <v xml:space="preserve">3 – Peter (1922–2022: #98)  Denise (1928–: #106) Andrew (1934–1975: #111)     </v>
      </c>
      <c r="H106" s="124"/>
      <c r="I106" s="124" t="str">
        <f t="shared" si="37"/>
        <v>Peter (1922–2022: #98)</v>
      </c>
      <c r="J106" s="124" t="str">
        <f t="shared" si="38"/>
        <v/>
      </c>
      <c r="K106" s="124" t="str">
        <f t="shared" si="39"/>
        <v>Denise (1928–: #106)</v>
      </c>
      <c r="L106" s="124" t="str">
        <f t="shared" si="40"/>
        <v>Andrew (1934–1975: #111)</v>
      </c>
      <c r="M106" s="124"/>
      <c r="N106" s="124"/>
      <c r="O106" s="124"/>
      <c r="P106" s="124"/>
      <c r="Q106" s="124"/>
    </row>
    <row r="107" spans="1:17" ht="17" thickBot="1">
      <c r="A107" s="12">
        <f>'Book Details - NO EDIT'!A108</f>
        <v>106</v>
      </c>
      <c r="B107" s="112" t="str">
        <f>'Book Details - NO EDIT'!X108</f>
        <v>Denise (1928–: #106)</v>
      </c>
      <c r="C107" s="113">
        <f>'Book Details - NO EDIT'!L108</f>
        <v>77</v>
      </c>
      <c r="D107" s="44">
        <f>'Loyd List 1-190 - Edit'!T108</f>
        <v>30</v>
      </c>
      <c r="F107" s="124">
        <f t="shared" si="35"/>
        <v>3</v>
      </c>
      <c r="G107" s="125" t="str">
        <f t="shared" si="36"/>
        <v xml:space="preserve">3 – Peter (1922–2022: #98) Geoffrey (1926–2018: #105)  Andrew (1934–1975: #111)     </v>
      </c>
      <c r="H107" s="124"/>
      <c r="I107" s="124" t="str">
        <f t="shared" si="37"/>
        <v>Peter (1922–2022: #98)</v>
      </c>
      <c r="J107" s="124" t="str">
        <f t="shared" si="38"/>
        <v>Geoffrey (1926–2018: #105)</v>
      </c>
      <c r="K107" s="124" t="str">
        <f t="shared" si="39"/>
        <v/>
      </c>
      <c r="L107" s="124" t="str">
        <f t="shared" si="40"/>
        <v>Andrew (1934–1975: #111)</v>
      </c>
      <c r="M107" s="124"/>
      <c r="N107" s="124"/>
      <c r="O107" s="124"/>
      <c r="P107" s="124"/>
      <c r="Q107" s="124"/>
    </row>
    <row r="108" spans="1:17" ht="17" thickBot="1">
      <c r="A108" s="12">
        <f>'Book Details - NO EDIT'!A109</f>
        <v>107</v>
      </c>
      <c r="B108" s="112" t="str">
        <f>'Book Details - NO EDIT'!X109</f>
        <v>Wooie (1928–1996: #107)</v>
      </c>
      <c r="C108" s="113">
        <f>'Book Details - NO EDIT'!L109</f>
        <v>76</v>
      </c>
      <c r="D108" s="44">
        <f>'Loyd List 1-190 - Edit'!T109</f>
        <v>34</v>
      </c>
      <c r="F108" s="124">
        <f t="shared" si="35"/>
        <v>0</v>
      </c>
      <c r="G108" s="125" t="str">
        <f t="shared" si="36"/>
        <v>0 – Only chlid</v>
      </c>
      <c r="H108" s="124"/>
      <c r="I108" s="124" t="str">
        <f t="shared" si="37"/>
        <v/>
      </c>
      <c r="J108" s="124"/>
      <c r="K108" s="124"/>
      <c r="L108" s="124"/>
      <c r="M108" s="124"/>
      <c r="N108" s="124"/>
      <c r="O108" s="124"/>
      <c r="P108" s="124"/>
      <c r="Q108" s="124"/>
    </row>
    <row r="109" spans="1:17" ht="17" thickBot="1">
      <c r="A109" s="12">
        <f>'Book Details - NO EDIT'!A110</f>
        <v>108</v>
      </c>
      <c r="B109" s="112" t="str">
        <f>'Book Details - NO EDIT'!X110</f>
        <v>Jos (1931–: #108)</v>
      </c>
      <c r="C109" s="113">
        <f>'Book Details - NO EDIT'!L110</f>
        <v>55</v>
      </c>
      <c r="D109" s="44">
        <f>'Loyd List 1-190 - Edit'!T110</f>
        <v>35</v>
      </c>
      <c r="F109" s="124">
        <f t="shared" si="35"/>
        <v>4</v>
      </c>
      <c r="G109" s="125" t="str">
        <f t="shared" si="36"/>
        <v xml:space="preserve">4 – Deen (1936–2016: #112) Peggy (1939–: #116) Patrick (1942–: #117) Patricia (1942–1942: #118)    </v>
      </c>
      <c r="H109" s="124"/>
      <c r="I109" s="124" t="str">
        <f t="shared" si="37"/>
        <v/>
      </c>
      <c r="J109" s="124" t="str">
        <f t="shared" si="38"/>
        <v>Deen (1936–2016: #112)</v>
      </c>
      <c r="K109" s="124" t="str">
        <f t="shared" si="39"/>
        <v>Peggy (1939–: #116)</v>
      </c>
      <c r="L109" s="124" t="str">
        <f t="shared" si="40"/>
        <v>Patrick (1942–: #117)</v>
      </c>
      <c r="M109" s="124" t="str">
        <f>IF(VLOOKUP($C109,$S$3:$AC$80,Y$1+2,FALSE)=$A109,"",VLOOKUP(VLOOKUP($C109,$S$3:$AC$80,Y$1+2,FALSE),$A$2:$B$230,2,FALSE))</f>
        <v>Patricia (1942–1942: #118)</v>
      </c>
      <c r="N109" s="124"/>
      <c r="O109" s="124"/>
      <c r="P109" s="124"/>
      <c r="Q109" s="124"/>
    </row>
    <row r="110" spans="1:17" ht="17" thickBot="1">
      <c r="A110" s="12">
        <f>'Book Details - NO EDIT'!A111</f>
        <v>109</v>
      </c>
      <c r="B110" s="112" t="str">
        <f>'Book Details - NO EDIT'!X111</f>
        <v>Margaret (1932–: #109)</v>
      </c>
      <c r="C110" s="113">
        <f>'Book Details - NO EDIT'!L111</f>
        <v>80</v>
      </c>
      <c r="D110" s="44">
        <f>'Loyd List 1-190 - Edit'!T111</f>
        <v>29</v>
      </c>
      <c r="F110" s="124">
        <f t="shared" si="35"/>
        <v>3</v>
      </c>
      <c r="G110" s="125" t="str">
        <f t="shared" si="36"/>
        <v xml:space="preserve">3 – Jean (1933–: #110) Michael (1938–: #114) Peter (1942–: #119)     </v>
      </c>
      <c r="H110" s="124"/>
      <c r="I110" s="124" t="str">
        <f t="shared" si="37"/>
        <v/>
      </c>
      <c r="J110" s="124" t="str">
        <f t="shared" si="38"/>
        <v>Jean (1933–: #110)</v>
      </c>
      <c r="K110" s="124" t="str">
        <f t="shared" si="39"/>
        <v>Michael (1938–: #114)</v>
      </c>
      <c r="L110" s="124" t="str">
        <f t="shared" si="40"/>
        <v>Peter (1942–: #119)</v>
      </c>
      <c r="M110" s="124"/>
      <c r="N110" s="124"/>
      <c r="O110" s="124"/>
      <c r="P110" s="124"/>
      <c r="Q110" s="124"/>
    </row>
    <row r="111" spans="1:17" ht="17" thickBot="1">
      <c r="A111" s="12">
        <f>'Book Details - NO EDIT'!A112</f>
        <v>110</v>
      </c>
      <c r="B111" s="112" t="str">
        <f>'Book Details - NO EDIT'!X112</f>
        <v>Jean (1933–: #110)</v>
      </c>
      <c r="C111" s="113">
        <f>'Book Details - NO EDIT'!L112</f>
        <v>80</v>
      </c>
      <c r="D111" s="44">
        <f>'Loyd List 1-190 - Edit'!T112</f>
        <v>29</v>
      </c>
      <c r="F111" s="124">
        <f t="shared" si="35"/>
        <v>3</v>
      </c>
      <c r="G111" s="125" t="str">
        <f t="shared" si="36"/>
        <v xml:space="preserve">3 – Margaret (1932–: #109)  Michael (1938–: #114) Peter (1942–: #119)     </v>
      </c>
      <c r="H111" s="124"/>
      <c r="I111" s="124" t="str">
        <f t="shared" si="37"/>
        <v>Margaret (1932–: #109)</v>
      </c>
      <c r="J111" s="124" t="str">
        <f t="shared" si="38"/>
        <v/>
      </c>
      <c r="K111" s="124" t="str">
        <f t="shared" si="39"/>
        <v>Michael (1938–: #114)</v>
      </c>
      <c r="L111" s="124" t="str">
        <f t="shared" si="40"/>
        <v>Peter (1942–: #119)</v>
      </c>
      <c r="M111" s="124"/>
      <c r="N111" s="124"/>
      <c r="O111" s="124"/>
      <c r="P111" s="124"/>
      <c r="Q111" s="124"/>
    </row>
    <row r="112" spans="1:17" ht="17" thickBot="1">
      <c r="A112" s="12">
        <f>'Book Details - NO EDIT'!A113</f>
        <v>111</v>
      </c>
      <c r="B112" s="112" t="str">
        <f>'Book Details - NO EDIT'!X113</f>
        <v>Andrew (1934–1975: #111)</v>
      </c>
      <c r="C112" s="113">
        <f>'Book Details - NO EDIT'!L113</f>
        <v>77</v>
      </c>
      <c r="D112" s="44">
        <f>'Loyd List 1-190 - Edit'!T113</f>
        <v>30</v>
      </c>
      <c r="F112" s="124">
        <f t="shared" si="35"/>
        <v>3</v>
      </c>
      <c r="G112" s="125" t="str">
        <f t="shared" si="36"/>
        <v xml:space="preserve">3 – Peter (1922–2022: #98) Geoffrey (1926–2018: #105) Denise (1928–: #106)      </v>
      </c>
      <c r="H112" s="124"/>
      <c r="I112" s="124" t="str">
        <f t="shared" si="37"/>
        <v>Peter (1922–2022: #98)</v>
      </c>
      <c r="J112" s="124" t="str">
        <f t="shared" si="38"/>
        <v>Geoffrey (1926–2018: #105)</v>
      </c>
      <c r="K112" s="124" t="str">
        <f t="shared" si="39"/>
        <v>Denise (1928–: #106)</v>
      </c>
      <c r="L112" s="124" t="str">
        <f t="shared" si="40"/>
        <v/>
      </c>
      <c r="M112" s="124"/>
      <c r="N112" s="124"/>
      <c r="O112" s="124"/>
      <c r="P112" s="124"/>
      <c r="Q112" s="124"/>
    </row>
    <row r="113" spans="1:17" ht="17" thickBot="1">
      <c r="A113" s="12">
        <f>'Book Details - NO EDIT'!A114</f>
        <v>112</v>
      </c>
      <c r="B113" s="112" t="str">
        <f>'Book Details - NO EDIT'!X114</f>
        <v>Deen (1936–2016: #112)</v>
      </c>
      <c r="C113" s="113">
        <f>'Book Details - NO EDIT'!L114</f>
        <v>55</v>
      </c>
      <c r="D113" s="44">
        <f>'Loyd List 1-190 - Edit'!T114</f>
        <v>35</v>
      </c>
      <c r="F113" s="124">
        <f t="shared" si="35"/>
        <v>4</v>
      </c>
      <c r="G113" s="125" t="str">
        <f t="shared" si="36"/>
        <v xml:space="preserve">4 – Jos (1931–: #108)  Peggy (1939–: #116) Patrick (1942–: #117) Patricia (1942–1942: #118)    </v>
      </c>
      <c r="H113" s="124"/>
      <c r="I113" s="124" t="str">
        <f t="shared" si="37"/>
        <v>Jos (1931–: #108)</v>
      </c>
      <c r="J113" s="124" t="str">
        <f t="shared" si="38"/>
        <v/>
      </c>
      <c r="K113" s="124" t="str">
        <f t="shared" si="39"/>
        <v>Peggy (1939–: #116)</v>
      </c>
      <c r="L113" s="124" t="str">
        <f t="shared" si="40"/>
        <v>Patrick (1942–: #117)</v>
      </c>
      <c r="M113" s="124" t="str">
        <f>IF(VLOOKUP($C113,$S$3:$AC$80,Y$1+2,FALSE)=$A113,"",VLOOKUP(VLOOKUP($C113,$S$3:$AC$80,Y$1+2,FALSE),$A$2:$B$230,2,FALSE))</f>
        <v>Patricia (1942–1942: #118)</v>
      </c>
      <c r="N113" s="124"/>
      <c r="O113" s="124"/>
      <c r="P113" s="124"/>
      <c r="Q113" s="124"/>
    </row>
    <row r="114" spans="1:17" ht="17" thickBot="1">
      <c r="A114" s="12">
        <f>'Book Details - NO EDIT'!A115</f>
        <v>113</v>
      </c>
      <c r="B114" s="112" t="str">
        <f>'Book Details - NO EDIT'!X115</f>
        <v>Willie (1937–1994: #113)</v>
      </c>
      <c r="C114" s="113">
        <f>'Book Details - NO EDIT'!L115</f>
        <v>78</v>
      </c>
      <c r="D114" s="44">
        <f>'Loyd List 1-190 - Edit'!T115</f>
        <v>46</v>
      </c>
      <c r="F114" s="124">
        <f t="shared" si="35"/>
        <v>3</v>
      </c>
      <c r="G114" s="125" t="str">
        <f t="shared" si="36"/>
        <v xml:space="preserve">3 – Belinda (1939–2018: #115) Vivian (1951–: #127) Ginie (1961–: #140)     </v>
      </c>
      <c r="H114" s="124"/>
      <c r="I114" s="124" t="str">
        <f t="shared" si="37"/>
        <v/>
      </c>
      <c r="J114" s="124" t="str">
        <f t="shared" si="38"/>
        <v>Belinda (1939–2018: #115)</v>
      </c>
      <c r="K114" s="124" t="str">
        <f t="shared" si="39"/>
        <v>Vivian (1951–: #127)</v>
      </c>
      <c r="L114" s="124" t="str">
        <f t="shared" si="40"/>
        <v>Ginie (1961–: #140)</v>
      </c>
      <c r="M114" s="124"/>
      <c r="N114" s="124"/>
      <c r="O114" s="124"/>
      <c r="P114" s="124"/>
      <c r="Q114" s="124"/>
    </row>
    <row r="115" spans="1:17" ht="17" thickBot="1">
      <c r="A115" s="12">
        <f>'Book Details - NO EDIT'!A116</f>
        <v>114</v>
      </c>
      <c r="B115" s="112" t="str">
        <f>'Book Details - NO EDIT'!X116</f>
        <v>Michael (1938–: #114)</v>
      </c>
      <c r="C115" s="113">
        <f>'Book Details - NO EDIT'!L116</f>
        <v>80</v>
      </c>
      <c r="D115" s="44">
        <f>'Loyd List 1-190 - Edit'!T116</f>
        <v>29</v>
      </c>
      <c r="F115" s="124">
        <f t="shared" si="35"/>
        <v>3</v>
      </c>
      <c r="G115" s="125" t="str">
        <f t="shared" si="36"/>
        <v xml:space="preserve">3 – Margaret (1932–: #109) Jean (1933–: #110)  Peter (1942–: #119)     </v>
      </c>
      <c r="H115" s="124"/>
      <c r="I115" s="124" t="str">
        <f t="shared" si="37"/>
        <v>Margaret (1932–: #109)</v>
      </c>
      <c r="J115" s="124" t="str">
        <f t="shared" si="38"/>
        <v>Jean (1933–: #110)</v>
      </c>
      <c r="K115" s="124" t="str">
        <f t="shared" si="39"/>
        <v/>
      </c>
      <c r="L115" s="124" t="str">
        <f t="shared" si="40"/>
        <v>Peter (1942–: #119)</v>
      </c>
      <c r="M115" s="124"/>
      <c r="N115" s="124"/>
      <c r="O115" s="124"/>
      <c r="P115" s="124"/>
      <c r="Q115" s="124"/>
    </row>
    <row r="116" spans="1:17" ht="17" thickBot="1">
      <c r="A116" s="12">
        <f>'Book Details - NO EDIT'!A117</f>
        <v>115</v>
      </c>
      <c r="B116" s="112" t="str">
        <f>'Book Details - NO EDIT'!X117</f>
        <v>Belinda (1939–2018: #115)</v>
      </c>
      <c r="C116" s="113">
        <f>'Book Details - NO EDIT'!L117</f>
        <v>78</v>
      </c>
      <c r="D116" s="44">
        <f>'Loyd List 1-190 - Edit'!T117</f>
        <v>46</v>
      </c>
      <c r="F116" s="124">
        <f t="shared" si="35"/>
        <v>3</v>
      </c>
      <c r="G116" s="125" t="str">
        <f t="shared" si="36"/>
        <v xml:space="preserve">3 – Willie (1937–1994: #113)  Vivian (1951–: #127) Ginie (1961–: #140)     </v>
      </c>
      <c r="H116" s="124"/>
      <c r="I116" s="124" t="str">
        <f t="shared" si="37"/>
        <v>Willie (1937–1994: #113)</v>
      </c>
      <c r="J116" s="124" t="str">
        <f t="shared" si="38"/>
        <v/>
      </c>
      <c r="K116" s="124" t="str">
        <f t="shared" si="39"/>
        <v>Vivian (1951–: #127)</v>
      </c>
      <c r="L116" s="124" t="str">
        <f t="shared" si="40"/>
        <v>Ginie (1961–: #140)</v>
      </c>
      <c r="M116" s="124"/>
      <c r="N116" s="124"/>
      <c r="O116" s="124"/>
      <c r="P116" s="124"/>
      <c r="Q116" s="124"/>
    </row>
    <row r="117" spans="1:17" ht="17" thickBot="1">
      <c r="A117" s="12">
        <f>'Book Details - NO EDIT'!A118</f>
        <v>116</v>
      </c>
      <c r="B117" s="112" t="str">
        <f>'Book Details - NO EDIT'!X118</f>
        <v>Peggy (1939–: #116)</v>
      </c>
      <c r="C117" s="113">
        <f>'Book Details - NO EDIT'!L118</f>
        <v>55</v>
      </c>
      <c r="D117" s="44">
        <f>'Loyd List 1-190 - Edit'!T118</f>
        <v>35</v>
      </c>
      <c r="F117" s="124">
        <f t="shared" si="35"/>
        <v>4</v>
      </c>
      <c r="G117" s="125" t="str">
        <f t="shared" si="36"/>
        <v xml:space="preserve">4 – Jos (1931–: #108) Deen (1936–2016: #112)  Patrick (1942–: #117) Patricia (1942–1942: #118)    </v>
      </c>
      <c r="H117" s="124"/>
      <c r="I117" s="124" t="str">
        <f t="shared" si="37"/>
        <v>Jos (1931–: #108)</v>
      </c>
      <c r="J117" s="124" t="str">
        <f t="shared" si="38"/>
        <v>Deen (1936–2016: #112)</v>
      </c>
      <c r="K117" s="124" t="str">
        <f t="shared" si="39"/>
        <v/>
      </c>
      <c r="L117" s="124" t="str">
        <f t="shared" si="40"/>
        <v>Patrick (1942–: #117)</v>
      </c>
      <c r="M117" s="124" t="str">
        <f>IF(VLOOKUP($C117,$S$3:$AC$80,Y$1+2,FALSE)=$A117,"",VLOOKUP(VLOOKUP($C117,$S$3:$AC$80,Y$1+2,FALSE),$A$2:$B$230,2,FALSE))</f>
        <v>Patricia (1942–1942: #118)</v>
      </c>
      <c r="N117" s="124"/>
      <c r="O117" s="124"/>
      <c r="P117" s="124"/>
      <c r="Q117" s="124"/>
    </row>
    <row r="118" spans="1:17" ht="17" thickBot="1">
      <c r="A118" s="12">
        <f>'Book Details - NO EDIT'!A119</f>
        <v>117</v>
      </c>
      <c r="B118" s="112" t="str">
        <f>'Book Details - NO EDIT'!X119</f>
        <v>Patrick (1942–: #117)</v>
      </c>
      <c r="C118" s="113">
        <f>'Book Details - NO EDIT'!L119</f>
        <v>55</v>
      </c>
      <c r="D118" s="44">
        <f>'Loyd List 1-190 - Edit'!T119</f>
        <v>35</v>
      </c>
      <c r="F118" s="124">
        <f t="shared" si="35"/>
        <v>4</v>
      </c>
      <c r="G118" s="125" t="str">
        <f t="shared" si="36"/>
        <v xml:space="preserve">4 – Jos (1931–: #108) Deen (1936–2016: #112) Peggy (1939–: #116)  Patricia (1942–1942: #118)    </v>
      </c>
      <c r="H118" s="124"/>
      <c r="I118" s="124" t="str">
        <f t="shared" si="37"/>
        <v>Jos (1931–: #108)</v>
      </c>
      <c r="J118" s="124" t="str">
        <f t="shared" si="38"/>
        <v>Deen (1936–2016: #112)</v>
      </c>
      <c r="K118" s="124" t="str">
        <f t="shared" si="39"/>
        <v>Peggy (1939–: #116)</v>
      </c>
      <c r="L118" s="124" t="str">
        <f t="shared" si="40"/>
        <v/>
      </c>
      <c r="M118" s="124" t="str">
        <f>IF(VLOOKUP($C118,$S$3:$AC$80,Y$1+2,FALSE)=$A118,"",VLOOKUP(VLOOKUP($C118,$S$3:$AC$80,Y$1+2,FALSE),$A$2:$B$230,2,FALSE))</f>
        <v>Patricia (1942–1942: #118)</v>
      </c>
      <c r="N118" s="124"/>
      <c r="O118" s="124"/>
      <c r="P118" s="124"/>
      <c r="Q118" s="124"/>
    </row>
    <row r="119" spans="1:17" ht="17" thickBot="1">
      <c r="A119" s="12">
        <f>'Book Details - NO EDIT'!A120</f>
        <v>118</v>
      </c>
      <c r="B119" s="112" t="str">
        <f>'Book Details - NO EDIT'!X120</f>
        <v>Patricia (1942–1942: #118)</v>
      </c>
      <c r="C119" s="113">
        <f>'Book Details - NO EDIT'!L120</f>
        <v>55</v>
      </c>
      <c r="D119" s="44">
        <f>'Loyd List 1-190 - Edit'!T120</f>
        <v>35</v>
      </c>
      <c r="F119" s="124">
        <f t="shared" si="35"/>
        <v>4</v>
      </c>
      <c r="G119" s="125" t="str">
        <f t="shared" si="36"/>
        <v xml:space="preserve">4 – Jos (1931–: #108) Deen (1936–2016: #112) Peggy (1939–: #116) Patrick (1942–: #117)     </v>
      </c>
      <c r="H119" s="124"/>
      <c r="I119" s="124" t="str">
        <f t="shared" si="37"/>
        <v>Jos (1931–: #108)</v>
      </c>
      <c r="J119" s="124" t="str">
        <f t="shared" si="38"/>
        <v>Deen (1936–2016: #112)</v>
      </c>
      <c r="K119" s="124" t="str">
        <f t="shared" si="39"/>
        <v>Peggy (1939–: #116)</v>
      </c>
      <c r="L119" s="124" t="str">
        <f t="shared" si="40"/>
        <v>Patrick (1942–: #117)</v>
      </c>
      <c r="M119" s="124" t="str">
        <f>IF(VLOOKUP($C119,$S$3:$AC$80,Y$1+2,FALSE)=$A119,"",VLOOKUP(VLOOKUP($C119,$S$3:$AC$80,Y$1+2,FALSE),$A$2:$B$230,2,FALSE))</f>
        <v/>
      </c>
      <c r="N119" s="124"/>
      <c r="O119" s="124"/>
      <c r="P119" s="124"/>
      <c r="Q119" s="124"/>
    </row>
    <row r="120" spans="1:17" ht="17" thickBot="1">
      <c r="A120" s="12">
        <f>'Book Details - NO EDIT'!A121</f>
        <v>119</v>
      </c>
      <c r="B120" s="112" t="str">
        <f>'Book Details - NO EDIT'!X121</f>
        <v>Peter (1942–: #119)</v>
      </c>
      <c r="C120" s="113">
        <f>'Book Details - NO EDIT'!L121</f>
        <v>80</v>
      </c>
      <c r="D120" s="44">
        <f>'Loyd List 1-190 - Edit'!T121</f>
        <v>29</v>
      </c>
      <c r="F120" s="124">
        <f t="shared" si="35"/>
        <v>3</v>
      </c>
      <c r="G120" s="125" t="str">
        <f t="shared" si="36"/>
        <v xml:space="preserve">3 – Margaret (1932–: #109) Jean (1933–: #110) Michael (1938–: #114)      </v>
      </c>
      <c r="H120" s="124"/>
      <c r="I120" s="124" t="str">
        <f t="shared" si="37"/>
        <v>Margaret (1932–: #109)</v>
      </c>
      <c r="J120" s="124" t="str">
        <f t="shared" si="38"/>
        <v>Jean (1933–: #110)</v>
      </c>
      <c r="K120" s="124" t="str">
        <f t="shared" si="39"/>
        <v>Michael (1938–: #114)</v>
      </c>
      <c r="L120" s="124" t="str">
        <f t="shared" si="40"/>
        <v/>
      </c>
      <c r="M120" s="124"/>
      <c r="N120" s="124"/>
      <c r="O120" s="124"/>
      <c r="P120" s="124"/>
      <c r="Q120" s="124"/>
    </row>
    <row r="121" spans="1:17" ht="17" thickBot="1">
      <c r="A121" s="12">
        <f>'Book Details - NO EDIT'!A122</f>
        <v>120</v>
      </c>
      <c r="B121" s="112" t="str">
        <f>'Book Details - NO EDIT'!X122</f>
        <v>Caroline (1947–2022: #120)</v>
      </c>
      <c r="C121" s="113">
        <f>'Book Details - NO EDIT'!L122</f>
        <v>96</v>
      </c>
      <c r="D121" s="44">
        <f>'Loyd List 1-190 - Edit'!T122</f>
        <v>66</v>
      </c>
      <c r="F121" s="124">
        <f t="shared" si="35"/>
        <v>1</v>
      </c>
      <c r="G121" s="125" t="str">
        <f t="shared" si="36"/>
        <v xml:space="preserve">1 – David (1949–: #121)       </v>
      </c>
      <c r="H121" s="124"/>
      <c r="I121" s="124" t="str">
        <f t="shared" si="37"/>
        <v/>
      </c>
      <c r="J121" s="124" t="str">
        <f t="shared" si="38"/>
        <v>David (1949–: #121)</v>
      </c>
      <c r="K121" s="124"/>
      <c r="L121" s="124"/>
      <c r="M121" s="124"/>
      <c r="N121" s="124"/>
      <c r="O121" s="124"/>
      <c r="P121" s="124"/>
      <c r="Q121" s="124"/>
    </row>
    <row r="122" spans="1:17" ht="17" thickBot="1">
      <c r="A122" s="12">
        <f>'Book Details - NO EDIT'!A123</f>
        <v>121</v>
      </c>
      <c r="B122" s="112" t="str">
        <f>'Book Details - NO EDIT'!X123</f>
        <v>David (1949–: #121)</v>
      </c>
      <c r="C122" s="113">
        <f>'Book Details - NO EDIT'!L123</f>
        <v>96</v>
      </c>
      <c r="D122" s="44">
        <f>'Loyd List 1-190 - Edit'!T123</f>
        <v>66</v>
      </c>
      <c r="F122" s="124">
        <f t="shared" si="35"/>
        <v>1</v>
      </c>
      <c r="G122" s="125" t="str">
        <f t="shared" si="36"/>
        <v xml:space="preserve">1 – Caroline (1947–2022: #120)        </v>
      </c>
      <c r="H122" s="124"/>
      <c r="I122" s="124" t="str">
        <f t="shared" si="37"/>
        <v>Caroline (1947–2022: #120)</v>
      </c>
      <c r="J122" s="124" t="str">
        <f t="shared" si="38"/>
        <v/>
      </c>
      <c r="K122" s="124"/>
      <c r="L122" s="124"/>
      <c r="M122" s="124"/>
      <c r="N122" s="124"/>
      <c r="O122" s="124"/>
      <c r="P122" s="124"/>
      <c r="Q122" s="124"/>
    </row>
    <row r="123" spans="1:17" ht="17" thickBot="1">
      <c r="A123" s="12">
        <f>'Book Details - NO EDIT'!A124</f>
        <v>122</v>
      </c>
      <c r="B123" s="112" t="str">
        <f>'Book Details - NO EDIT'!X124</f>
        <v>Martin (1949–: #122)</v>
      </c>
      <c r="C123" s="113">
        <f>'Book Details - NO EDIT'!L124</f>
        <v>105</v>
      </c>
      <c r="D123" s="44">
        <f>'Loyd List 1-190 - Edit'!T124</f>
        <v>77</v>
      </c>
      <c r="F123" s="124">
        <f t="shared" si="35"/>
        <v>1</v>
      </c>
      <c r="G123" s="125" t="str">
        <f t="shared" si="36"/>
        <v xml:space="preserve">1 – Jeremy (1954–: #133)       </v>
      </c>
      <c r="H123" s="124"/>
      <c r="I123" s="124" t="str">
        <f t="shared" si="37"/>
        <v/>
      </c>
      <c r="J123" s="124" t="str">
        <f t="shared" si="38"/>
        <v>Jeremy (1954–: #133)</v>
      </c>
      <c r="K123" s="124"/>
      <c r="L123" s="124"/>
      <c r="M123" s="124"/>
      <c r="N123" s="124"/>
      <c r="O123" s="124"/>
      <c r="P123" s="124"/>
      <c r="Q123" s="124"/>
    </row>
    <row r="124" spans="1:17" ht="17" thickBot="1">
      <c r="A124" s="12">
        <f>'Book Details - NO EDIT'!A125</f>
        <v>123</v>
      </c>
      <c r="B124" s="112" t="str">
        <f>'Book Details - NO EDIT'!X125</f>
        <v>Janet (1949–: #123)</v>
      </c>
      <c r="C124" s="113">
        <f>'Book Details - NO EDIT'!L125</f>
        <v>89</v>
      </c>
      <c r="D124" s="44">
        <f>'Loyd List 1-190 - Edit'!T125</f>
        <v>54</v>
      </c>
      <c r="F124" s="124">
        <f t="shared" si="35"/>
        <v>1</v>
      </c>
      <c r="G124" s="125" t="str">
        <f t="shared" si="36"/>
        <v xml:space="preserve">1 – Diana (1952–: #129)       </v>
      </c>
      <c r="H124" s="124"/>
      <c r="I124" s="124" t="str">
        <f t="shared" si="37"/>
        <v/>
      </c>
      <c r="J124" s="124" t="str">
        <f t="shared" si="38"/>
        <v>Diana (1952–: #129)</v>
      </c>
      <c r="K124" s="124"/>
      <c r="L124" s="124"/>
      <c r="M124" s="124"/>
      <c r="N124" s="124"/>
      <c r="O124" s="124"/>
      <c r="P124" s="124"/>
      <c r="Q124" s="124"/>
    </row>
    <row r="125" spans="1:17" ht="17" thickBot="1">
      <c r="A125" s="12">
        <f>'Book Details - NO EDIT'!A126</f>
        <v>124</v>
      </c>
      <c r="B125" s="112" t="str">
        <f>'Book Details - NO EDIT'!X126</f>
        <v>Rob (1949–: #124)</v>
      </c>
      <c r="C125" s="113">
        <f>'Book Details - NO EDIT'!L126</f>
        <v>94</v>
      </c>
      <c r="D125" s="44">
        <f>'Loyd List 1-190 - Edit'!T126</f>
        <v>68</v>
      </c>
      <c r="F125" s="124">
        <f t="shared" si="35"/>
        <v>5</v>
      </c>
      <c r="G125" s="125" t="str">
        <f t="shared" si="36"/>
        <v xml:space="preserve">5 – Paddy (1951–: #126) Dominic (1953–: #131) Tim (1957–: #136) Alex (1959–: #139) Rick (1962–: #142)   </v>
      </c>
      <c r="H125" s="124"/>
      <c r="I125" s="124" t="str">
        <f t="shared" si="37"/>
        <v/>
      </c>
      <c r="J125" s="124" t="str">
        <f t="shared" si="38"/>
        <v>Paddy (1951–: #126)</v>
      </c>
      <c r="K125" s="124" t="str">
        <f t="shared" si="39"/>
        <v>Dominic (1953–: #131)</v>
      </c>
      <c r="L125" s="124" t="str">
        <f t="shared" si="40"/>
        <v>Tim (1957–: #136)</v>
      </c>
      <c r="M125" s="124" t="str">
        <f>IF(VLOOKUP($C125,$S$3:$AC$80,Y$1+2,FALSE)=$A125,"",VLOOKUP(VLOOKUP($C125,$S$3:$AC$80,Y$1+2,FALSE),$A$2:$B$230,2,FALSE))</f>
        <v>Alex (1959–: #139)</v>
      </c>
      <c r="N125" s="124" t="str">
        <f>IF(VLOOKUP($C125,$S$3:$AC$80,Z$1+2,FALSE)=$A125,"",VLOOKUP(VLOOKUP($C125,$S$3:$AC$80,Z$1+2,FALSE),$A$2:$B$230,2,FALSE))</f>
        <v>Rick (1962–: #142)</v>
      </c>
      <c r="O125" s="124"/>
      <c r="P125" s="124"/>
      <c r="Q125" s="124"/>
    </row>
    <row r="126" spans="1:17" ht="17" thickBot="1">
      <c r="A126" s="12">
        <f>'Book Details - NO EDIT'!A127</f>
        <v>125</v>
      </c>
      <c r="B126" s="112" t="str">
        <f>'Book Details - NO EDIT'!X127</f>
        <v>Rona (1951–: #125)</v>
      </c>
      <c r="C126" s="113">
        <f>'Book Details - NO EDIT'!L127</f>
        <v>86</v>
      </c>
      <c r="D126" s="44">
        <f>'Loyd List 1-190 - Edit'!T127</f>
        <v>71</v>
      </c>
      <c r="F126" s="124">
        <f t="shared" si="35"/>
        <v>2</v>
      </c>
      <c r="G126" s="125" t="str">
        <f t="shared" si="36"/>
        <v xml:space="preserve">2 – David (1952–: #130) Jim (1955–: #135)      </v>
      </c>
      <c r="H126" s="124"/>
      <c r="I126" s="124" t="str">
        <f t="shared" si="37"/>
        <v/>
      </c>
      <c r="J126" s="124" t="str">
        <f t="shared" si="38"/>
        <v>David (1952–: #130)</v>
      </c>
      <c r="K126" s="124" t="str">
        <f t="shared" si="39"/>
        <v>Jim (1955–: #135)</v>
      </c>
      <c r="L126" s="124"/>
      <c r="M126" s="124"/>
      <c r="N126" s="124"/>
      <c r="O126" s="124"/>
      <c r="P126" s="124"/>
      <c r="Q126" s="124"/>
    </row>
    <row r="127" spans="1:17" ht="17" thickBot="1">
      <c r="A127" s="12">
        <f>'Book Details - NO EDIT'!A128</f>
        <v>126</v>
      </c>
      <c r="B127" s="112" t="str">
        <f>'Book Details - NO EDIT'!X128</f>
        <v>Paddy (1951–: #126)</v>
      </c>
      <c r="C127" s="113">
        <f>'Book Details - NO EDIT'!L128</f>
        <v>94</v>
      </c>
      <c r="D127" s="44">
        <f>'Loyd List 1-190 - Edit'!T128</f>
        <v>68</v>
      </c>
      <c r="F127" s="124">
        <f t="shared" si="35"/>
        <v>5</v>
      </c>
      <c r="G127" s="125" t="str">
        <f t="shared" si="36"/>
        <v xml:space="preserve">5 – Rob (1949–: #124)  Dominic (1953–: #131) Tim (1957–: #136) Alex (1959–: #139) Rick (1962–: #142)   </v>
      </c>
      <c r="H127" s="124"/>
      <c r="I127" s="124" t="str">
        <f t="shared" si="37"/>
        <v>Rob (1949–: #124)</v>
      </c>
      <c r="J127" s="124" t="str">
        <f t="shared" si="38"/>
        <v/>
      </c>
      <c r="K127" s="124" t="str">
        <f t="shared" si="39"/>
        <v>Dominic (1953–: #131)</v>
      </c>
      <c r="L127" s="124" t="str">
        <f t="shared" si="40"/>
        <v>Tim (1957–: #136)</v>
      </c>
      <c r="M127" s="124" t="str">
        <f>IF(VLOOKUP($C127,$S$3:$AC$80,Y$1+2,FALSE)=$A127,"",VLOOKUP(VLOOKUP($C127,$S$3:$AC$80,Y$1+2,FALSE),$A$2:$B$230,2,FALSE))</f>
        <v>Alex (1959–: #139)</v>
      </c>
      <c r="N127" s="124" t="str">
        <f>IF(VLOOKUP($C127,$S$3:$AC$80,Z$1+2,FALSE)=$A127,"",VLOOKUP(VLOOKUP($C127,$S$3:$AC$80,Z$1+2,FALSE),$A$2:$B$230,2,FALSE))</f>
        <v>Rick (1962–: #142)</v>
      </c>
      <c r="O127" s="124"/>
      <c r="P127" s="124"/>
      <c r="Q127" s="124"/>
    </row>
    <row r="128" spans="1:17" ht="17" thickBot="1">
      <c r="A128" s="12">
        <f>'Book Details - NO EDIT'!A129</f>
        <v>127</v>
      </c>
      <c r="B128" s="112" t="str">
        <f>'Book Details - NO EDIT'!X129</f>
        <v>Vivian (1951–: #127)</v>
      </c>
      <c r="C128" s="113">
        <f>'Book Details - NO EDIT'!L129</f>
        <v>78</v>
      </c>
      <c r="D128" s="44">
        <f>'Loyd List 1-190 - Edit'!T129</f>
        <v>46</v>
      </c>
      <c r="F128" s="124">
        <f t="shared" si="35"/>
        <v>3</v>
      </c>
      <c r="G128" s="125" t="str">
        <f t="shared" si="36"/>
        <v xml:space="preserve">3 – Willie (1937–1994: #113) Belinda (1939–2018: #115)  Ginie (1961–: #140)     </v>
      </c>
      <c r="H128" s="124"/>
      <c r="I128" s="124" t="str">
        <f t="shared" si="37"/>
        <v>Willie (1937–1994: #113)</v>
      </c>
      <c r="J128" s="124" t="str">
        <f t="shared" si="38"/>
        <v>Belinda (1939–2018: #115)</v>
      </c>
      <c r="K128" s="124" t="str">
        <f t="shared" si="39"/>
        <v/>
      </c>
      <c r="L128" s="124" t="str">
        <f t="shared" si="40"/>
        <v>Ginie (1961–: #140)</v>
      </c>
      <c r="M128" s="124"/>
      <c r="N128" s="124"/>
      <c r="O128" s="124"/>
      <c r="P128" s="124"/>
      <c r="Q128" s="124"/>
    </row>
    <row r="129" spans="1:17" ht="17" thickBot="1">
      <c r="A129" s="12">
        <f>'Book Details - NO EDIT'!A130</f>
        <v>128</v>
      </c>
      <c r="B129" s="112" t="str">
        <f>'Book Details - NO EDIT'!X130</f>
        <v>Julie (1952–: #128)</v>
      </c>
      <c r="C129" s="113">
        <f>'Book Details - NO EDIT'!L130</f>
        <v>98</v>
      </c>
      <c r="D129" s="44">
        <f>'Loyd List 1-190 - Edit'!T130</f>
        <v>77</v>
      </c>
      <c r="F129" s="124">
        <f t="shared" si="35"/>
        <v>4</v>
      </c>
      <c r="G129" s="125" t="str">
        <f t="shared" si="36"/>
        <v xml:space="preserve">4 – Penelope (1954–1954: #132) William (1955–: #134) Tony (1963–: #145) Sophie (1969–: #154)    </v>
      </c>
      <c r="H129" s="124"/>
      <c r="I129" s="124" t="str">
        <f t="shared" si="37"/>
        <v/>
      </c>
      <c r="J129" s="124" t="str">
        <f t="shared" si="38"/>
        <v>Penelope (1954–1954: #132)</v>
      </c>
      <c r="K129" s="124" t="str">
        <f t="shared" si="39"/>
        <v>William (1955–: #134)</v>
      </c>
      <c r="L129" s="124" t="str">
        <f t="shared" si="40"/>
        <v>Tony (1963–: #145)</v>
      </c>
      <c r="M129" s="124" t="str">
        <f>IF(VLOOKUP($C129,$S$3:$AC$80,Y$1+2,FALSE)=$A129,"",VLOOKUP(VLOOKUP($C129,$S$3:$AC$80,Y$1+2,FALSE),$A$2:$B$230,2,FALSE))</f>
        <v>Sophie (1969–: #154)</v>
      </c>
      <c r="N129" s="124"/>
      <c r="O129" s="124"/>
      <c r="P129" s="124"/>
      <c r="Q129" s="124"/>
    </row>
    <row r="130" spans="1:17" ht="17" thickBot="1">
      <c r="A130" s="12">
        <f>'Book Details - NO EDIT'!A131</f>
        <v>129</v>
      </c>
      <c r="B130" s="112" t="str">
        <f>'Book Details - NO EDIT'!X131</f>
        <v>Diana (1952–: #129)</v>
      </c>
      <c r="C130" s="113">
        <f>'Book Details - NO EDIT'!L131</f>
        <v>89</v>
      </c>
      <c r="D130" s="44">
        <f>'Loyd List 1-190 - Edit'!T131</f>
        <v>54</v>
      </c>
      <c r="F130" s="124">
        <f t="shared" si="35"/>
        <v>1</v>
      </c>
      <c r="G130" s="125" t="str">
        <f t="shared" si="36"/>
        <v xml:space="preserve">1 – Janet (1949–: #123)        </v>
      </c>
      <c r="H130" s="124"/>
      <c r="I130" s="124" t="str">
        <f t="shared" si="37"/>
        <v>Janet (1949–: #123)</v>
      </c>
      <c r="J130" s="124" t="str">
        <f t="shared" si="38"/>
        <v/>
      </c>
      <c r="K130" s="124"/>
      <c r="L130" s="124"/>
      <c r="M130" s="124"/>
      <c r="N130" s="124"/>
      <c r="O130" s="124"/>
      <c r="P130" s="124"/>
      <c r="Q130" s="124"/>
    </row>
    <row r="131" spans="1:17" ht="17" thickBot="1">
      <c r="A131" s="12">
        <f>'Book Details - NO EDIT'!A132</f>
        <v>130</v>
      </c>
      <c r="B131" s="112" t="str">
        <f>'Book Details - NO EDIT'!X132</f>
        <v>David (1952–: #130)</v>
      </c>
      <c r="C131" s="113">
        <f>'Book Details - NO EDIT'!L132</f>
        <v>86</v>
      </c>
      <c r="D131" s="44">
        <f>'Loyd List 1-190 - Edit'!T132</f>
        <v>71</v>
      </c>
      <c r="F131" s="124">
        <f t="shared" si="35"/>
        <v>2</v>
      </c>
      <c r="G131" s="125" t="str">
        <f t="shared" si="36"/>
        <v xml:space="preserve">2 – Rona (1951–: #125)  Jim (1955–: #135)      </v>
      </c>
      <c r="H131" s="124"/>
      <c r="I131" s="124" t="str">
        <f t="shared" si="37"/>
        <v>Rona (1951–: #125)</v>
      </c>
      <c r="J131" s="124" t="str">
        <f t="shared" si="38"/>
        <v/>
      </c>
      <c r="K131" s="124" t="str">
        <f t="shared" si="39"/>
        <v>Jim (1955–: #135)</v>
      </c>
      <c r="L131" s="124"/>
      <c r="M131" s="124"/>
      <c r="N131" s="124"/>
      <c r="O131" s="124"/>
      <c r="P131" s="124"/>
      <c r="Q131" s="124"/>
    </row>
    <row r="132" spans="1:17" ht="17" thickBot="1">
      <c r="A132" s="12">
        <f>'Book Details - NO EDIT'!A133</f>
        <v>131</v>
      </c>
      <c r="B132" s="112" t="str">
        <f>'Book Details - NO EDIT'!X133</f>
        <v>Dominic (1953–: #131)</v>
      </c>
      <c r="C132" s="113">
        <f>'Book Details - NO EDIT'!L133</f>
        <v>94</v>
      </c>
      <c r="D132" s="44">
        <f>'Loyd List 1-190 - Edit'!T133</f>
        <v>68</v>
      </c>
      <c r="F132" s="124">
        <f t="shared" ref="F132:F191" si="41">VLOOKUP($C132,$S$3:$AC$80,U$1+1,FALSE)-1</f>
        <v>5</v>
      </c>
      <c r="G132" s="125" t="str">
        <f t="shared" ref="G132:G191" si="42">_xlfn.CONCAT(F132," – ",IF(F132=0,"Only chlid",IF(I132="",_xlfn.CONCAT(J132," ",K132," ",L132," ",M132," ",N132," ",O132," ",P132," ",Q132),_xlfn.CONCAT(I132," ",J132," ",K132," ",L132," ",M132," ",N132," ",O132," ",P132," ",Q132))))</f>
        <v xml:space="preserve">5 – Rob (1949–: #124) Paddy (1951–: #126)  Tim (1957–: #136) Alex (1959–: #139) Rick (1962–: #142)   </v>
      </c>
      <c r="H132" s="124"/>
      <c r="I132" s="124" t="str">
        <f t="shared" ref="I132:I183" si="43">IF(VLOOKUP($C132,$S$3:$AC$80,U$1+2,FALSE)=$A132,"",VLOOKUP(VLOOKUP($C132,$S$3:$AC$80,U$1+2,FALSE),$A$2:$B$230,2,FALSE))</f>
        <v>Rob (1949–: #124)</v>
      </c>
      <c r="J132" s="124" t="str">
        <f t="shared" ref="J132:J183" si="44">IF(VLOOKUP($C132,$S$3:$AC$80,V$1+2,FALSE)=$A132,"",VLOOKUP(VLOOKUP($C132,$S$3:$AC$80,V$1+2,FALSE),$A$2:$B$230,2,FALSE))</f>
        <v>Paddy (1951–: #126)</v>
      </c>
      <c r="K132" s="124" t="str">
        <f t="shared" ref="K132:K176" si="45">IF(VLOOKUP($C132,$S$3:$AC$80,W$1+2,FALSE)=$A132,"",VLOOKUP(VLOOKUP($C132,$S$3:$AC$80,W$1+2,FALSE),$A$2:$B$230,2,FALSE))</f>
        <v/>
      </c>
      <c r="L132" s="124" t="str">
        <f t="shared" ref="L132:L164" si="46">IF(VLOOKUP($C132,$S$3:$AC$80,X$1+2,FALSE)=$A132,"",VLOOKUP(VLOOKUP($C132,$S$3:$AC$80,X$1+2,FALSE),$A$2:$B$230,2,FALSE))</f>
        <v>Tim (1957–: #136)</v>
      </c>
      <c r="M132" s="124" t="str">
        <f t="shared" ref="M132:M146" si="47">IF(VLOOKUP($C132,$S$3:$AC$80,Y$1+2,FALSE)=$A132,"",VLOOKUP(VLOOKUP($C132,$S$3:$AC$80,Y$1+2,FALSE),$A$2:$B$230,2,FALSE))</f>
        <v>Alex (1959–: #139)</v>
      </c>
      <c r="N132" s="124" t="str">
        <f>IF(VLOOKUP($C132,$S$3:$AC$80,Z$1+2,FALSE)=$A132,"",VLOOKUP(VLOOKUP($C132,$S$3:$AC$80,Z$1+2,FALSE),$A$2:$B$230,2,FALSE))</f>
        <v>Rick (1962–: #142)</v>
      </c>
      <c r="O132" s="124"/>
      <c r="P132" s="124"/>
      <c r="Q132" s="124"/>
    </row>
    <row r="133" spans="1:17" ht="17" thickBot="1">
      <c r="A133" s="12">
        <f>'Book Details - NO EDIT'!A134</f>
        <v>132</v>
      </c>
      <c r="B133" s="112" t="str">
        <f>'Book Details - NO EDIT'!X134</f>
        <v>Penelope (1954–1954: #132)</v>
      </c>
      <c r="C133" s="113">
        <f>'Book Details - NO EDIT'!L134</f>
        <v>98</v>
      </c>
      <c r="D133" s="44">
        <f>'Loyd List 1-190 - Edit'!T134</f>
        <v>77</v>
      </c>
      <c r="F133" s="124">
        <f t="shared" si="41"/>
        <v>4</v>
      </c>
      <c r="G133" s="125" t="str">
        <f t="shared" si="42"/>
        <v xml:space="preserve">4 – Julie (1952–: #128)  William (1955–: #134) Tony (1963–: #145) Sophie (1969–: #154)    </v>
      </c>
      <c r="H133" s="124"/>
      <c r="I133" s="124" t="str">
        <f t="shared" si="43"/>
        <v>Julie (1952–: #128)</v>
      </c>
      <c r="J133" s="124" t="str">
        <f t="shared" si="44"/>
        <v/>
      </c>
      <c r="K133" s="124" t="str">
        <f t="shared" si="45"/>
        <v>William (1955–: #134)</v>
      </c>
      <c r="L133" s="124" t="str">
        <f t="shared" si="46"/>
        <v>Tony (1963–: #145)</v>
      </c>
      <c r="M133" s="124" t="str">
        <f t="shared" si="47"/>
        <v>Sophie (1969–: #154)</v>
      </c>
      <c r="N133" s="124"/>
      <c r="O133" s="124"/>
      <c r="P133" s="124"/>
      <c r="Q133" s="124"/>
    </row>
    <row r="134" spans="1:17" ht="17" thickBot="1">
      <c r="A134" s="12">
        <f>'Book Details - NO EDIT'!A135</f>
        <v>133</v>
      </c>
      <c r="B134" s="112" t="str">
        <f>'Book Details - NO EDIT'!X135</f>
        <v>Jeremy (1954–: #133)</v>
      </c>
      <c r="C134" s="113">
        <f>'Book Details - NO EDIT'!L135</f>
        <v>105</v>
      </c>
      <c r="D134" s="44">
        <f>'Loyd List 1-190 - Edit'!T135</f>
        <v>77</v>
      </c>
      <c r="F134" s="124">
        <f t="shared" si="41"/>
        <v>1</v>
      </c>
      <c r="G134" s="125" t="str">
        <f t="shared" si="42"/>
        <v xml:space="preserve">1 – Martin (1949–: #122)        </v>
      </c>
      <c r="H134" s="124"/>
      <c r="I134" s="124" t="str">
        <f t="shared" si="43"/>
        <v>Martin (1949–: #122)</v>
      </c>
      <c r="J134" s="124" t="str">
        <f t="shared" si="44"/>
        <v/>
      </c>
      <c r="K134" s="124"/>
      <c r="L134" s="124"/>
      <c r="M134" s="124"/>
      <c r="N134" s="124"/>
      <c r="O134" s="124"/>
      <c r="P134" s="124"/>
      <c r="Q134" s="124"/>
    </row>
    <row r="135" spans="1:17" ht="17" thickBot="1">
      <c r="A135" s="12">
        <f>'Book Details - NO EDIT'!A136</f>
        <v>134</v>
      </c>
      <c r="B135" s="112" t="str">
        <f>'Book Details - NO EDIT'!X136</f>
        <v>William (1955–: #134)</v>
      </c>
      <c r="C135" s="113">
        <f>'Book Details - NO EDIT'!L136</f>
        <v>98</v>
      </c>
      <c r="D135" s="44">
        <f>'Loyd List 1-190 - Edit'!T136</f>
        <v>77</v>
      </c>
      <c r="F135" s="124">
        <f t="shared" si="41"/>
        <v>4</v>
      </c>
      <c r="G135" s="125" t="str">
        <f t="shared" si="42"/>
        <v xml:space="preserve">4 – Julie (1952–: #128) Penelope (1954–1954: #132)  Tony (1963–: #145) Sophie (1969–: #154)    </v>
      </c>
      <c r="H135" s="124"/>
      <c r="I135" s="124" t="str">
        <f t="shared" si="43"/>
        <v>Julie (1952–: #128)</v>
      </c>
      <c r="J135" s="124" t="str">
        <f t="shared" si="44"/>
        <v>Penelope (1954–1954: #132)</v>
      </c>
      <c r="K135" s="124" t="str">
        <f t="shared" si="45"/>
        <v/>
      </c>
      <c r="L135" s="124" t="str">
        <f t="shared" si="46"/>
        <v>Tony (1963–: #145)</v>
      </c>
      <c r="M135" s="124" t="str">
        <f t="shared" si="47"/>
        <v>Sophie (1969–: #154)</v>
      </c>
      <c r="N135" s="124"/>
      <c r="O135" s="124"/>
      <c r="P135" s="124"/>
      <c r="Q135" s="124"/>
    </row>
    <row r="136" spans="1:17" ht="17" thickBot="1">
      <c r="A136" s="12">
        <f>'Book Details - NO EDIT'!A137</f>
        <v>135</v>
      </c>
      <c r="B136" s="112" t="str">
        <f>'Book Details - NO EDIT'!X137</f>
        <v>Jim (1955–: #135)</v>
      </c>
      <c r="C136" s="113">
        <f>'Book Details - NO EDIT'!L137</f>
        <v>86</v>
      </c>
      <c r="D136" s="44">
        <f>'Loyd List 1-190 - Edit'!T137</f>
        <v>71</v>
      </c>
      <c r="F136" s="124">
        <f t="shared" si="41"/>
        <v>2</v>
      </c>
      <c r="G136" s="125" t="str">
        <f t="shared" si="42"/>
        <v xml:space="preserve">2 – Rona (1951–: #125) David (1952–: #130)       </v>
      </c>
      <c r="H136" s="124"/>
      <c r="I136" s="124" t="str">
        <f t="shared" si="43"/>
        <v>Rona (1951–: #125)</v>
      </c>
      <c r="J136" s="124" t="str">
        <f t="shared" si="44"/>
        <v>David (1952–: #130)</v>
      </c>
      <c r="K136" s="124" t="str">
        <f t="shared" si="45"/>
        <v/>
      </c>
      <c r="L136" s="124"/>
      <c r="M136" s="124"/>
      <c r="N136" s="124"/>
      <c r="O136" s="124"/>
      <c r="P136" s="124"/>
      <c r="Q136" s="124"/>
    </row>
    <row r="137" spans="1:17" ht="17" thickBot="1">
      <c r="A137" s="12">
        <f>'Book Details - NO EDIT'!A138</f>
        <v>136</v>
      </c>
      <c r="B137" s="112" t="str">
        <f>'Book Details - NO EDIT'!X138</f>
        <v>Tim (1957–: #136)</v>
      </c>
      <c r="C137" s="113">
        <f>'Book Details - NO EDIT'!L138</f>
        <v>94</v>
      </c>
      <c r="D137" s="44">
        <f>'Loyd List 1-190 - Edit'!T138</f>
        <v>68</v>
      </c>
      <c r="F137" s="124">
        <f t="shared" si="41"/>
        <v>5</v>
      </c>
      <c r="G137" s="125" t="str">
        <f t="shared" si="42"/>
        <v xml:space="preserve">5 – Rob (1949–: #124) Paddy (1951–: #126) Dominic (1953–: #131)  Alex (1959–: #139) Rick (1962–: #142)   </v>
      </c>
      <c r="H137" s="124"/>
      <c r="I137" s="124" t="str">
        <f t="shared" si="43"/>
        <v>Rob (1949–: #124)</v>
      </c>
      <c r="J137" s="124" t="str">
        <f t="shared" si="44"/>
        <v>Paddy (1951–: #126)</v>
      </c>
      <c r="K137" s="124" t="str">
        <f t="shared" si="45"/>
        <v>Dominic (1953–: #131)</v>
      </c>
      <c r="L137" s="124" t="str">
        <f t="shared" si="46"/>
        <v/>
      </c>
      <c r="M137" s="124" t="str">
        <f t="shared" si="47"/>
        <v>Alex (1959–: #139)</v>
      </c>
      <c r="N137" s="124" t="str">
        <f>IF(VLOOKUP($C137,$S$3:$AC$80,Z$1+2,FALSE)=$A137,"",VLOOKUP(VLOOKUP($C137,$S$3:$AC$80,Z$1+2,FALSE),$A$2:$B$230,2,FALSE))</f>
        <v>Rick (1962–: #142)</v>
      </c>
      <c r="O137" s="124"/>
      <c r="P137" s="124"/>
      <c r="Q137" s="124"/>
    </row>
    <row r="138" spans="1:17" ht="17" thickBot="1">
      <c r="A138" s="12">
        <f>'Book Details - NO EDIT'!A139</f>
        <v>137</v>
      </c>
      <c r="B138" s="112" t="str">
        <f>'Book Details - NO EDIT'!X139</f>
        <v>Henrietta (1959–: #137)</v>
      </c>
      <c r="C138" s="113">
        <f>'Book Details - NO EDIT'!L139</f>
        <v>99</v>
      </c>
      <c r="D138" s="44">
        <f>'Loyd List 1-190 - Edit'!T139</f>
        <v>66</v>
      </c>
      <c r="F138" s="124">
        <f t="shared" si="41"/>
        <v>1</v>
      </c>
      <c r="G138" s="125" t="str">
        <f t="shared" si="42"/>
        <v xml:space="preserve">1 – Andrew (1962–: #144)       </v>
      </c>
      <c r="H138" s="124"/>
      <c r="I138" s="124" t="str">
        <f t="shared" si="43"/>
        <v/>
      </c>
      <c r="J138" s="124" t="str">
        <f t="shared" si="44"/>
        <v>Andrew (1962–: #144)</v>
      </c>
      <c r="K138" s="124"/>
      <c r="L138" s="124"/>
      <c r="M138" s="124"/>
      <c r="N138" s="124"/>
      <c r="O138" s="124"/>
      <c r="P138" s="124"/>
      <c r="Q138" s="124"/>
    </row>
    <row r="139" spans="1:17" ht="17" thickBot="1">
      <c r="A139" s="12">
        <f>'Book Details - NO EDIT'!A140</f>
        <v>138</v>
      </c>
      <c r="B139" s="112" t="str">
        <f>'Book Details - NO EDIT'!X140</f>
        <v>Thomas (1959–: #138)</v>
      </c>
      <c r="C139" s="113">
        <f>'Book Details - NO EDIT'!L140</f>
        <v>100</v>
      </c>
      <c r="D139" s="44">
        <f>'Loyd List 1-190 - Edit'!T140</f>
        <v>56</v>
      </c>
      <c r="F139" s="124">
        <f t="shared" si="41"/>
        <v>2</v>
      </c>
      <c r="G139" s="125" t="str">
        <f t="shared" si="42"/>
        <v xml:space="preserve">2 – Harriet (1962–: #143) James (1966–: #150)      </v>
      </c>
      <c r="H139" s="124"/>
      <c r="I139" s="124" t="str">
        <f t="shared" si="43"/>
        <v/>
      </c>
      <c r="J139" s="124" t="str">
        <f t="shared" si="44"/>
        <v>Harriet (1962–: #143)</v>
      </c>
      <c r="K139" s="124" t="str">
        <f t="shared" si="45"/>
        <v>James (1966–: #150)</v>
      </c>
      <c r="L139" s="124"/>
      <c r="M139" s="124"/>
      <c r="N139" s="124"/>
      <c r="O139" s="124"/>
      <c r="P139" s="124"/>
      <c r="Q139" s="124"/>
    </row>
    <row r="140" spans="1:17" ht="17" thickBot="1">
      <c r="A140" s="12">
        <f>'Book Details - NO EDIT'!A141</f>
        <v>139</v>
      </c>
      <c r="B140" s="112" t="str">
        <f>'Book Details - NO EDIT'!X141</f>
        <v>Alex (1959–: #139)</v>
      </c>
      <c r="C140" s="113">
        <f>'Book Details - NO EDIT'!L141</f>
        <v>94</v>
      </c>
      <c r="D140" s="44">
        <f>'Loyd List 1-190 - Edit'!T141</f>
        <v>68</v>
      </c>
      <c r="F140" s="124">
        <f t="shared" si="41"/>
        <v>5</v>
      </c>
      <c r="G140" s="125" t="str">
        <f t="shared" si="42"/>
        <v xml:space="preserve">5 – Rob (1949–: #124) Paddy (1951–: #126) Dominic (1953–: #131) Tim (1957–: #136)  Rick (1962–: #142)   </v>
      </c>
      <c r="H140" s="124"/>
      <c r="I140" s="124" t="str">
        <f t="shared" si="43"/>
        <v>Rob (1949–: #124)</v>
      </c>
      <c r="J140" s="124" t="str">
        <f t="shared" si="44"/>
        <v>Paddy (1951–: #126)</v>
      </c>
      <c r="K140" s="124" t="str">
        <f t="shared" si="45"/>
        <v>Dominic (1953–: #131)</v>
      </c>
      <c r="L140" s="124" t="str">
        <f t="shared" si="46"/>
        <v>Tim (1957–: #136)</v>
      </c>
      <c r="M140" s="124" t="str">
        <f t="shared" si="47"/>
        <v/>
      </c>
      <c r="N140" s="124" t="str">
        <f>IF(VLOOKUP($C140,$S$3:$AC$80,Z$1+2,FALSE)=$A140,"",VLOOKUP(VLOOKUP($C140,$S$3:$AC$80,Z$1+2,FALSE),$A$2:$B$230,2,FALSE))</f>
        <v>Rick (1962–: #142)</v>
      </c>
      <c r="O140" s="124"/>
      <c r="P140" s="124"/>
      <c r="Q140" s="124"/>
    </row>
    <row r="141" spans="1:17" ht="17" thickBot="1">
      <c r="A141" s="12">
        <f>'Book Details - NO EDIT'!A142</f>
        <v>140</v>
      </c>
      <c r="B141" s="112" t="str">
        <f>'Book Details - NO EDIT'!X142</f>
        <v>Ginie (1961–: #140)</v>
      </c>
      <c r="C141" s="113">
        <f>'Book Details - NO EDIT'!L142</f>
        <v>78</v>
      </c>
      <c r="D141" s="44">
        <f>'Loyd List 1-190 - Edit'!T142</f>
        <v>46</v>
      </c>
      <c r="F141" s="124">
        <f t="shared" si="41"/>
        <v>3</v>
      </c>
      <c r="G141" s="125" t="str">
        <f t="shared" si="42"/>
        <v xml:space="preserve">3 – Willie (1937–1994: #113) Belinda (1939–2018: #115) Vivian (1951–: #127)      </v>
      </c>
      <c r="H141" s="124"/>
      <c r="I141" s="124" t="str">
        <f t="shared" si="43"/>
        <v>Willie (1937–1994: #113)</v>
      </c>
      <c r="J141" s="124" t="str">
        <f t="shared" si="44"/>
        <v>Belinda (1939–2018: #115)</v>
      </c>
      <c r="K141" s="124" t="str">
        <f t="shared" si="45"/>
        <v>Vivian (1951–: #127)</v>
      </c>
      <c r="L141" s="124" t="str">
        <f t="shared" si="46"/>
        <v/>
      </c>
      <c r="M141" s="124"/>
      <c r="N141" s="124"/>
      <c r="O141" s="124"/>
      <c r="P141" s="124"/>
      <c r="Q141" s="124"/>
    </row>
    <row r="142" spans="1:17" ht="17" thickBot="1">
      <c r="A142" s="12">
        <f>'Book Details - NO EDIT'!A143</f>
        <v>141</v>
      </c>
      <c r="B142" s="112" t="str">
        <f>'Book Details - NO EDIT'!X143</f>
        <v>Alexandra (1961–: #141)</v>
      </c>
      <c r="C142" s="113">
        <f>'Book Details - NO EDIT'!L143</f>
        <v>104</v>
      </c>
      <c r="D142" s="44">
        <f>'Loyd List 1-190 - Edit'!T143</f>
        <v>72</v>
      </c>
      <c r="F142" s="124">
        <f t="shared" si="41"/>
        <v>3</v>
      </c>
      <c r="G142" s="125" t="str">
        <f t="shared" si="42"/>
        <v xml:space="preserve">3 – Charles (1963–: #146) Toby (1966–1966: #148) Mary Rose (1967–: #152)     </v>
      </c>
      <c r="H142" s="124"/>
      <c r="I142" s="124" t="str">
        <f t="shared" si="43"/>
        <v/>
      </c>
      <c r="J142" s="124" t="str">
        <f t="shared" si="44"/>
        <v>Charles (1963–: #146)</v>
      </c>
      <c r="K142" s="124" t="str">
        <f t="shared" si="45"/>
        <v>Toby (1966–1966: #148)</v>
      </c>
      <c r="L142" s="124" t="str">
        <f t="shared" si="46"/>
        <v>Mary Rose (1967–: #152)</v>
      </c>
      <c r="M142" s="124"/>
      <c r="N142" s="124"/>
      <c r="O142" s="124"/>
      <c r="P142" s="124"/>
      <c r="Q142" s="124"/>
    </row>
    <row r="143" spans="1:17" ht="17" thickBot="1">
      <c r="A143" s="12">
        <f>'Book Details - NO EDIT'!A144</f>
        <v>142</v>
      </c>
      <c r="B143" s="112" t="str">
        <f>'Book Details - NO EDIT'!X144</f>
        <v>Rick (1962–: #142)</v>
      </c>
      <c r="C143" s="113">
        <f>'Book Details - NO EDIT'!L144</f>
        <v>94</v>
      </c>
      <c r="D143" s="44">
        <f>'Loyd List 1-190 - Edit'!T144</f>
        <v>68</v>
      </c>
      <c r="F143" s="124">
        <f t="shared" si="41"/>
        <v>5</v>
      </c>
      <c r="G143" s="125" t="str">
        <f t="shared" si="42"/>
        <v xml:space="preserve">5 – Rob (1949–: #124) Paddy (1951–: #126) Dominic (1953–: #131) Tim (1957–: #136) Alex (1959–: #139)    </v>
      </c>
      <c r="H143" s="124"/>
      <c r="I143" s="124" t="str">
        <f t="shared" si="43"/>
        <v>Rob (1949–: #124)</v>
      </c>
      <c r="J143" s="124" t="str">
        <f t="shared" si="44"/>
        <v>Paddy (1951–: #126)</v>
      </c>
      <c r="K143" s="124" t="str">
        <f t="shared" si="45"/>
        <v>Dominic (1953–: #131)</v>
      </c>
      <c r="L143" s="124" t="str">
        <f t="shared" si="46"/>
        <v>Tim (1957–: #136)</v>
      </c>
      <c r="M143" s="124" t="str">
        <f t="shared" si="47"/>
        <v>Alex (1959–: #139)</v>
      </c>
      <c r="N143" s="124" t="str">
        <f>IF(VLOOKUP($C143,$S$3:$AC$80,Z$1+2,FALSE)=$A143,"",VLOOKUP(VLOOKUP($C143,$S$3:$AC$80,Z$1+2,FALSE),$A$2:$B$230,2,FALSE))</f>
        <v/>
      </c>
      <c r="O143" s="124"/>
      <c r="P143" s="124"/>
      <c r="Q143" s="124"/>
    </row>
    <row r="144" spans="1:17" ht="17" thickBot="1">
      <c r="A144" s="12">
        <f>'Book Details - NO EDIT'!A145</f>
        <v>143</v>
      </c>
      <c r="B144" s="112" t="str">
        <f>'Book Details - NO EDIT'!X145</f>
        <v>Harriet (1962–: #143)</v>
      </c>
      <c r="C144" s="113">
        <f>'Book Details - NO EDIT'!L145</f>
        <v>100</v>
      </c>
      <c r="D144" s="44">
        <f>'Loyd List 1-190 - Edit'!T145</f>
        <v>56</v>
      </c>
      <c r="F144" s="124">
        <f t="shared" si="41"/>
        <v>2</v>
      </c>
      <c r="G144" s="125" t="str">
        <f t="shared" si="42"/>
        <v xml:space="preserve">2 – Thomas (1959–: #138)  James (1966–: #150)      </v>
      </c>
      <c r="H144" s="124"/>
      <c r="I144" s="124" t="str">
        <f t="shared" si="43"/>
        <v>Thomas (1959–: #138)</v>
      </c>
      <c r="J144" s="124" t="str">
        <f t="shared" si="44"/>
        <v/>
      </c>
      <c r="K144" s="124" t="str">
        <f t="shared" si="45"/>
        <v>James (1966–: #150)</v>
      </c>
      <c r="L144" s="124"/>
      <c r="M144" s="124"/>
      <c r="N144" s="124"/>
      <c r="O144" s="124"/>
      <c r="P144" s="124"/>
      <c r="Q144" s="124"/>
    </row>
    <row r="145" spans="1:17" ht="17" thickBot="1">
      <c r="A145" s="12">
        <f>'Book Details - NO EDIT'!A146</f>
        <v>144</v>
      </c>
      <c r="B145" s="112" t="str">
        <f>'Book Details - NO EDIT'!X146</f>
        <v>Andrew (1962–: #144)</v>
      </c>
      <c r="C145" s="113">
        <f>'Book Details - NO EDIT'!L146</f>
        <v>99</v>
      </c>
      <c r="D145" s="44">
        <f>'Loyd List 1-190 - Edit'!T146</f>
        <v>66</v>
      </c>
      <c r="F145" s="124">
        <f t="shared" si="41"/>
        <v>1</v>
      </c>
      <c r="G145" s="125" t="str">
        <f t="shared" si="42"/>
        <v xml:space="preserve">1 – Henrietta (1959–: #137)        </v>
      </c>
      <c r="H145" s="124"/>
      <c r="I145" s="124" t="str">
        <f t="shared" si="43"/>
        <v>Henrietta (1959–: #137)</v>
      </c>
      <c r="J145" s="124" t="str">
        <f t="shared" si="44"/>
        <v/>
      </c>
      <c r="K145" s="124"/>
      <c r="L145" s="124"/>
      <c r="M145" s="124"/>
      <c r="N145" s="124"/>
      <c r="O145" s="124"/>
      <c r="P145" s="124"/>
      <c r="Q145" s="124"/>
    </row>
    <row r="146" spans="1:17" ht="17" thickBot="1">
      <c r="A146" s="12">
        <f>'Book Details - NO EDIT'!A147</f>
        <v>145</v>
      </c>
      <c r="B146" s="112" t="str">
        <f>'Book Details - NO EDIT'!X147</f>
        <v>Tony (1963–: #145)</v>
      </c>
      <c r="C146" s="113">
        <f>'Book Details - NO EDIT'!L147</f>
        <v>98</v>
      </c>
      <c r="D146" s="44">
        <f>'Loyd List 1-190 - Edit'!T147</f>
        <v>77</v>
      </c>
      <c r="F146" s="124">
        <f t="shared" si="41"/>
        <v>4</v>
      </c>
      <c r="G146" s="125" t="str">
        <f t="shared" si="42"/>
        <v xml:space="preserve">4 – Julie (1952–: #128) Penelope (1954–1954: #132) William (1955–: #134)  Sophie (1969–: #154)    </v>
      </c>
      <c r="H146" s="124"/>
      <c r="I146" s="124" t="str">
        <f t="shared" si="43"/>
        <v>Julie (1952–: #128)</v>
      </c>
      <c r="J146" s="124" t="str">
        <f t="shared" si="44"/>
        <v>Penelope (1954–1954: #132)</v>
      </c>
      <c r="K146" s="124" t="str">
        <f t="shared" si="45"/>
        <v>William (1955–: #134)</v>
      </c>
      <c r="L146" s="124" t="str">
        <f t="shared" si="46"/>
        <v/>
      </c>
      <c r="M146" s="124" t="str">
        <f t="shared" si="47"/>
        <v>Sophie (1969–: #154)</v>
      </c>
      <c r="N146" s="124"/>
      <c r="O146" s="124"/>
      <c r="P146" s="124"/>
      <c r="Q146" s="124"/>
    </row>
    <row r="147" spans="1:17" ht="17" thickBot="1">
      <c r="A147" s="12">
        <f>'Book Details - NO EDIT'!A148</f>
        <v>146</v>
      </c>
      <c r="B147" s="112" t="str">
        <f>'Book Details - NO EDIT'!X148</f>
        <v>Charles (1963–: #146)</v>
      </c>
      <c r="C147" s="113">
        <f>'Book Details - NO EDIT'!L148</f>
        <v>104</v>
      </c>
      <c r="D147" s="44">
        <f>'Loyd List 1-190 - Edit'!T148</f>
        <v>72</v>
      </c>
      <c r="F147" s="124">
        <f t="shared" si="41"/>
        <v>3</v>
      </c>
      <c r="G147" s="125" t="str">
        <f t="shared" si="42"/>
        <v xml:space="preserve">3 – Alexandra (1961–: #141)  Toby (1966–1966: #148) Mary Rose (1967–: #152)     </v>
      </c>
      <c r="H147" s="124"/>
      <c r="I147" s="124" t="str">
        <f t="shared" si="43"/>
        <v>Alexandra (1961–: #141)</v>
      </c>
      <c r="J147" s="124" t="str">
        <f t="shared" si="44"/>
        <v/>
      </c>
      <c r="K147" s="124" t="str">
        <f t="shared" si="45"/>
        <v>Toby (1966–1966: #148)</v>
      </c>
      <c r="L147" s="124" t="str">
        <f t="shared" si="46"/>
        <v>Mary Rose (1967–: #152)</v>
      </c>
      <c r="M147" s="124"/>
      <c r="N147" s="124"/>
      <c r="O147" s="124"/>
      <c r="P147" s="124"/>
      <c r="Q147" s="124"/>
    </row>
    <row r="148" spans="1:17" ht="17" thickBot="1">
      <c r="A148" s="12">
        <f>'Book Details - NO EDIT'!A149</f>
        <v>147</v>
      </c>
      <c r="B148" s="112" t="str">
        <f>'Book Details - NO EDIT'!X149</f>
        <v>Susannah (1965–: #147)</v>
      </c>
      <c r="C148" s="113">
        <f>'Book Details - NO EDIT'!L149</f>
        <v>117</v>
      </c>
      <c r="D148" s="44">
        <f>'Loyd List 1-190 - Edit'!T149</f>
        <v>55</v>
      </c>
      <c r="F148" s="124">
        <f t="shared" si="41"/>
        <v>2</v>
      </c>
      <c r="G148" s="125" t="str">
        <f t="shared" si="42"/>
        <v xml:space="preserve">2 – Elspeth (1967–: #151) Richard (1968–: #153)      </v>
      </c>
      <c r="H148" s="124"/>
      <c r="I148" s="124" t="str">
        <f t="shared" si="43"/>
        <v/>
      </c>
      <c r="J148" s="124" t="str">
        <f t="shared" si="44"/>
        <v>Elspeth (1967–: #151)</v>
      </c>
      <c r="K148" s="124" t="str">
        <f t="shared" si="45"/>
        <v>Richard (1968–: #153)</v>
      </c>
      <c r="L148" s="124"/>
      <c r="M148" s="124"/>
      <c r="N148" s="124"/>
      <c r="O148" s="124"/>
      <c r="P148" s="124"/>
      <c r="Q148" s="124"/>
    </row>
    <row r="149" spans="1:17" ht="17" thickBot="1">
      <c r="A149" s="12">
        <f>'Book Details - NO EDIT'!A150</f>
        <v>148</v>
      </c>
      <c r="B149" s="112" t="str">
        <f>'Book Details - NO EDIT'!X150</f>
        <v>Toby (1966–1966: #148)</v>
      </c>
      <c r="C149" s="113">
        <f>'Book Details - NO EDIT'!L150</f>
        <v>104</v>
      </c>
      <c r="D149" s="44">
        <f>'Loyd List 1-190 - Edit'!T150</f>
        <v>72</v>
      </c>
      <c r="F149" s="124">
        <f t="shared" si="41"/>
        <v>3</v>
      </c>
      <c r="G149" s="125" t="str">
        <f t="shared" si="42"/>
        <v xml:space="preserve">3 – Alexandra (1961–: #141) Charles (1963–: #146)  Mary Rose (1967–: #152)     </v>
      </c>
      <c r="H149" s="124"/>
      <c r="I149" s="124" t="str">
        <f t="shared" si="43"/>
        <v>Alexandra (1961–: #141)</v>
      </c>
      <c r="J149" s="124" t="str">
        <f t="shared" si="44"/>
        <v>Charles (1963–: #146)</v>
      </c>
      <c r="K149" s="124" t="str">
        <f t="shared" si="45"/>
        <v/>
      </c>
      <c r="L149" s="124" t="str">
        <f t="shared" si="46"/>
        <v>Mary Rose (1967–: #152)</v>
      </c>
      <c r="M149" s="124"/>
      <c r="N149" s="124"/>
      <c r="O149" s="124"/>
      <c r="P149" s="124"/>
      <c r="Q149" s="124"/>
    </row>
    <row r="150" spans="1:17" ht="17" thickBot="1">
      <c r="A150" s="12">
        <f>'Book Details - NO EDIT'!A151</f>
        <v>149</v>
      </c>
      <c r="B150" s="112" t="str">
        <f>'Book Details - NO EDIT'!X151</f>
        <v>Anthony (1966–: #149)</v>
      </c>
      <c r="C150" s="113">
        <f>'Book Details - NO EDIT'!L151</f>
        <v>113</v>
      </c>
      <c r="D150" s="44">
        <f>'Loyd List 1-190 - Edit'!T151</f>
        <v>78</v>
      </c>
      <c r="F150" s="124">
        <f t="shared" si="41"/>
        <v>0</v>
      </c>
      <c r="G150" s="125" t="str">
        <f t="shared" si="42"/>
        <v>0 – Only chlid</v>
      </c>
      <c r="H150" s="124"/>
      <c r="I150" s="124" t="str">
        <f t="shared" si="43"/>
        <v/>
      </c>
      <c r="J150" s="124"/>
      <c r="K150" s="124"/>
      <c r="L150" s="124"/>
      <c r="M150" s="124"/>
      <c r="N150" s="124"/>
      <c r="O150" s="124"/>
      <c r="P150" s="124"/>
      <c r="Q150" s="124"/>
    </row>
    <row r="151" spans="1:17" ht="17" thickBot="1">
      <c r="A151" s="12">
        <f>'Book Details - NO EDIT'!A152</f>
        <v>150</v>
      </c>
      <c r="B151" s="112" t="str">
        <f>'Book Details - NO EDIT'!X152</f>
        <v>James (1966–: #150)</v>
      </c>
      <c r="C151" s="113">
        <f>'Book Details - NO EDIT'!L152</f>
        <v>100</v>
      </c>
      <c r="D151" s="44">
        <f>'Loyd List 1-190 - Edit'!T152</f>
        <v>56</v>
      </c>
      <c r="F151" s="124">
        <f t="shared" si="41"/>
        <v>2</v>
      </c>
      <c r="G151" s="125" t="str">
        <f t="shared" si="42"/>
        <v xml:space="preserve">2 – Thomas (1959–: #138) Harriet (1962–: #143)       </v>
      </c>
      <c r="H151" s="124"/>
      <c r="I151" s="124" t="str">
        <f t="shared" si="43"/>
        <v>Thomas (1959–: #138)</v>
      </c>
      <c r="J151" s="124" t="str">
        <f t="shared" si="44"/>
        <v>Harriet (1962–: #143)</v>
      </c>
      <c r="K151" s="124" t="str">
        <f t="shared" si="45"/>
        <v/>
      </c>
      <c r="L151" s="124"/>
      <c r="M151" s="124"/>
      <c r="N151" s="124"/>
      <c r="O151" s="124"/>
      <c r="P151" s="124"/>
      <c r="Q151" s="124"/>
    </row>
    <row r="152" spans="1:17" ht="17" thickBot="1">
      <c r="A152" s="12">
        <f>'Book Details - NO EDIT'!A153</f>
        <v>151</v>
      </c>
      <c r="B152" s="112" t="str">
        <f>'Book Details - NO EDIT'!X153</f>
        <v>Elspeth (1967–: #151)</v>
      </c>
      <c r="C152" s="113">
        <f>'Book Details - NO EDIT'!L153</f>
        <v>117</v>
      </c>
      <c r="D152" s="44">
        <f>'Loyd List 1-190 - Edit'!T153</f>
        <v>55</v>
      </c>
      <c r="F152" s="124">
        <f t="shared" si="41"/>
        <v>2</v>
      </c>
      <c r="G152" s="125" t="str">
        <f t="shared" si="42"/>
        <v xml:space="preserve">2 – Susannah (1965–: #147)  Richard (1968–: #153)      </v>
      </c>
      <c r="H152" s="124"/>
      <c r="I152" s="124" t="str">
        <f t="shared" si="43"/>
        <v>Susannah (1965–: #147)</v>
      </c>
      <c r="J152" s="124" t="str">
        <f t="shared" si="44"/>
        <v/>
      </c>
      <c r="K152" s="124" t="str">
        <f t="shared" si="45"/>
        <v>Richard (1968–: #153)</v>
      </c>
      <c r="L152" s="124"/>
      <c r="M152" s="124"/>
      <c r="N152" s="124"/>
      <c r="O152" s="124"/>
      <c r="P152" s="124"/>
      <c r="Q152" s="124"/>
    </row>
    <row r="153" spans="1:17" ht="17" thickBot="1">
      <c r="A153" s="12">
        <f>'Book Details - NO EDIT'!A154</f>
        <v>152</v>
      </c>
      <c r="B153" s="112" t="str">
        <f>'Book Details - NO EDIT'!X154</f>
        <v>Mary Rose (1967–: #152)</v>
      </c>
      <c r="C153" s="113">
        <f>'Book Details - NO EDIT'!L154</f>
        <v>104</v>
      </c>
      <c r="D153" s="44">
        <f>'Loyd List 1-190 - Edit'!T154</f>
        <v>72</v>
      </c>
      <c r="F153" s="124">
        <f t="shared" si="41"/>
        <v>3</v>
      </c>
      <c r="G153" s="125" t="str">
        <f t="shared" si="42"/>
        <v xml:space="preserve">3 – Alexandra (1961–: #141) Charles (1963–: #146) Toby (1966–1966: #148)      </v>
      </c>
      <c r="H153" s="124"/>
      <c r="I153" s="124" t="str">
        <f t="shared" si="43"/>
        <v>Alexandra (1961–: #141)</v>
      </c>
      <c r="J153" s="124" t="str">
        <f t="shared" si="44"/>
        <v>Charles (1963–: #146)</v>
      </c>
      <c r="K153" s="124" t="str">
        <f t="shared" si="45"/>
        <v>Toby (1966–1966: #148)</v>
      </c>
      <c r="L153" s="124" t="str">
        <f t="shared" si="46"/>
        <v/>
      </c>
      <c r="M153" s="124"/>
      <c r="N153" s="124"/>
      <c r="O153" s="124"/>
      <c r="P153" s="124"/>
      <c r="Q153" s="124"/>
    </row>
    <row r="154" spans="1:17" ht="17" thickBot="1">
      <c r="A154" s="12">
        <f>'Book Details - NO EDIT'!A155</f>
        <v>153</v>
      </c>
      <c r="B154" s="112" t="str">
        <f>'Book Details - NO EDIT'!X155</f>
        <v>Richard (1968–: #153)</v>
      </c>
      <c r="C154" s="113">
        <f>'Book Details - NO EDIT'!L155</f>
        <v>117</v>
      </c>
      <c r="D154" s="44">
        <f>'Loyd List 1-190 - Edit'!T155</f>
        <v>55</v>
      </c>
      <c r="F154" s="124">
        <f t="shared" si="41"/>
        <v>2</v>
      </c>
      <c r="G154" s="125" t="str">
        <f t="shared" si="42"/>
        <v xml:space="preserve">2 – Susannah (1965–: #147) Elspeth (1967–: #151)       </v>
      </c>
      <c r="H154" s="124"/>
      <c r="I154" s="124" t="str">
        <f t="shared" si="43"/>
        <v>Susannah (1965–: #147)</v>
      </c>
      <c r="J154" s="124" t="str">
        <f t="shared" si="44"/>
        <v>Elspeth (1967–: #151)</v>
      </c>
      <c r="K154" s="124" t="str">
        <f t="shared" si="45"/>
        <v/>
      </c>
      <c r="L154" s="124"/>
      <c r="M154" s="124"/>
      <c r="N154" s="124"/>
      <c r="O154" s="124"/>
      <c r="P154" s="124"/>
      <c r="Q154" s="124"/>
    </row>
    <row r="155" spans="1:17" ht="17" thickBot="1">
      <c r="A155" s="12">
        <f>'Book Details - NO EDIT'!A156</f>
        <v>154</v>
      </c>
      <c r="B155" s="112" t="str">
        <f>'Book Details - NO EDIT'!X156</f>
        <v>Sophie (1969–: #154)</v>
      </c>
      <c r="C155" s="113">
        <f>'Book Details - NO EDIT'!L156</f>
        <v>98</v>
      </c>
      <c r="D155" s="44">
        <f>'Loyd List 1-190 - Edit'!T156</f>
        <v>77</v>
      </c>
      <c r="F155" s="124">
        <f t="shared" si="41"/>
        <v>4</v>
      </c>
      <c r="G155" s="125" t="str">
        <f t="shared" si="42"/>
        <v xml:space="preserve">4 – Julie (1952–: #128) Penelope (1954–1954: #132) William (1955–: #134) Tony (1963–: #145)     </v>
      </c>
      <c r="H155" s="124"/>
      <c r="I155" s="124" t="str">
        <f t="shared" si="43"/>
        <v>Julie (1952–: #128)</v>
      </c>
      <c r="J155" s="124" t="str">
        <f t="shared" si="44"/>
        <v>Penelope (1954–1954: #132)</v>
      </c>
      <c r="K155" s="124" t="str">
        <f t="shared" si="45"/>
        <v>William (1955–: #134)</v>
      </c>
      <c r="L155" s="124" t="str">
        <f t="shared" si="46"/>
        <v>Tony (1963–: #145)</v>
      </c>
      <c r="M155" s="124"/>
      <c r="N155" s="124"/>
      <c r="O155" s="124"/>
      <c r="P155" s="124"/>
      <c r="Q155" s="124"/>
    </row>
    <row r="156" spans="1:17" ht="17" thickBot="1">
      <c r="A156" s="12">
        <f>'Book Details - NO EDIT'!A157</f>
        <v>155</v>
      </c>
      <c r="B156" s="112" t="str">
        <f>'Book Details - NO EDIT'!X157</f>
        <v>William (1973–: #155)</v>
      </c>
      <c r="C156" s="113">
        <f>'Book Details - NO EDIT'!L157</f>
        <v>119</v>
      </c>
      <c r="D156" s="44">
        <f>'Loyd List 1-190 - Edit'!T157</f>
        <v>80</v>
      </c>
      <c r="F156" s="124">
        <f t="shared" si="41"/>
        <v>3</v>
      </c>
      <c r="G156" s="125" t="str">
        <f t="shared" si="42"/>
        <v xml:space="preserve">3 – Amy (1975–: #156) Molly (1982–: #161) Harriet (1984–: #163)     </v>
      </c>
      <c r="H156" s="124"/>
      <c r="I156" s="124" t="str">
        <f t="shared" si="43"/>
        <v/>
      </c>
      <c r="J156" s="124" t="str">
        <f t="shared" si="44"/>
        <v>Amy (1975–: #156)</v>
      </c>
      <c r="K156" s="124" t="str">
        <f t="shared" si="45"/>
        <v>Molly (1982–: #161)</v>
      </c>
      <c r="L156" s="124" t="str">
        <f t="shared" si="46"/>
        <v>Harriet (1984–: #163)</v>
      </c>
      <c r="M156" s="124"/>
      <c r="N156" s="124"/>
      <c r="O156" s="124"/>
      <c r="P156" s="124"/>
      <c r="Q156" s="124"/>
    </row>
    <row r="157" spans="1:17" ht="17" thickBot="1">
      <c r="A157" s="12">
        <f>'Book Details - NO EDIT'!A158</f>
        <v>156</v>
      </c>
      <c r="B157" s="112" t="str">
        <f>'Book Details - NO EDIT'!X158</f>
        <v>Amy (1975–: #156)</v>
      </c>
      <c r="C157" s="113">
        <f>'Book Details - NO EDIT'!L158</f>
        <v>119</v>
      </c>
      <c r="D157" s="44">
        <f>'Loyd List 1-190 - Edit'!T158</f>
        <v>80</v>
      </c>
      <c r="F157" s="124">
        <f t="shared" si="41"/>
        <v>3</v>
      </c>
      <c r="G157" s="125" t="str">
        <f t="shared" si="42"/>
        <v xml:space="preserve">3 – William (1973–: #155)  Molly (1982–: #161) Harriet (1984–: #163)     </v>
      </c>
      <c r="H157" s="124"/>
      <c r="I157" s="124" t="str">
        <f t="shared" si="43"/>
        <v>William (1973–: #155)</v>
      </c>
      <c r="J157" s="124" t="str">
        <f t="shared" si="44"/>
        <v/>
      </c>
      <c r="K157" s="124" t="str">
        <f t="shared" si="45"/>
        <v>Molly (1982–: #161)</v>
      </c>
      <c r="L157" s="124" t="str">
        <f t="shared" si="46"/>
        <v>Harriet (1984–: #163)</v>
      </c>
      <c r="M157" s="124"/>
      <c r="N157" s="124"/>
      <c r="O157" s="124"/>
      <c r="P157" s="124"/>
      <c r="Q157" s="124"/>
    </row>
    <row r="158" spans="1:17" ht="17" thickBot="1">
      <c r="A158" s="12">
        <f>'Book Details - NO EDIT'!A159</f>
        <v>157</v>
      </c>
      <c r="B158" s="112" t="str">
        <f>'Book Details - NO EDIT'!X159</f>
        <v>Tess (1975–: #157)</v>
      </c>
      <c r="C158" s="113">
        <f>'Book Details - NO EDIT'!L159</f>
        <v>114</v>
      </c>
      <c r="D158" s="44">
        <f>'Loyd List 1-190 - Edit'!T159</f>
        <v>80</v>
      </c>
      <c r="F158" s="124">
        <f t="shared" si="41"/>
        <v>2</v>
      </c>
      <c r="G158" s="125" t="str">
        <f t="shared" si="42"/>
        <v xml:space="preserve">2 – Chloe (1977–: #158) Daisy (1979–: #159)      </v>
      </c>
      <c r="H158" s="124"/>
      <c r="I158" s="124" t="str">
        <f t="shared" si="43"/>
        <v/>
      </c>
      <c r="J158" s="124" t="str">
        <f t="shared" si="44"/>
        <v>Chloe (1977–: #158)</v>
      </c>
      <c r="K158" s="124" t="str">
        <f t="shared" si="45"/>
        <v>Daisy (1979–: #159)</v>
      </c>
      <c r="L158" s="124"/>
      <c r="M158" s="124"/>
      <c r="N158" s="124"/>
      <c r="O158" s="124"/>
      <c r="P158" s="124"/>
      <c r="Q158" s="124"/>
    </row>
    <row r="159" spans="1:17" ht="17" thickBot="1">
      <c r="A159" s="12">
        <f>'Book Details - NO EDIT'!A160</f>
        <v>158</v>
      </c>
      <c r="B159" s="112" t="str">
        <f>'Book Details - NO EDIT'!X160</f>
        <v>Chloe (1977–: #158)</v>
      </c>
      <c r="C159" s="113">
        <f>'Book Details - NO EDIT'!L160</f>
        <v>114</v>
      </c>
      <c r="D159" s="44">
        <f>'Loyd List 1-190 - Edit'!T160</f>
        <v>80</v>
      </c>
      <c r="F159" s="124">
        <f t="shared" si="41"/>
        <v>2</v>
      </c>
      <c r="G159" s="125" t="str">
        <f t="shared" si="42"/>
        <v xml:space="preserve">2 – Tess (1975–: #157)  Daisy (1979–: #159)      </v>
      </c>
      <c r="H159" s="124"/>
      <c r="I159" s="124" t="str">
        <f t="shared" si="43"/>
        <v>Tess (1975–: #157)</v>
      </c>
      <c r="J159" s="124" t="str">
        <f t="shared" si="44"/>
        <v/>
      </c>
      <c r="K159" s="124" t="str">
        <f t="shared" si="45"/>
        <v>Daisy (1979–: #159)</v>
      </c>
      <c r="L159" s="124"/>
      <c r="M159" s="124"/>
      <c r="N159" s="124"/>
      <c r="O159" s="124"/>
      <c r="P159" s="124"/>
      <c r="Q159" s="124"/>
    </row>
    <row r="160" spans="1:17" ht="17" thickBot="1">
      <c r="A160" s="12">
        <f>'Book Details - NO EDIT'!A161</f>
        <v>159</v>
      </c>
      <c r="B160" s="112" t="str">
        <f>'Book Details - NO EDIT'!X161</f>
        <v>Daisy (1979–: #159)</v>
      </c>
      <c r="C160" s="113">
        <f>'Book Details - NO EDIT'!L161</f>
        <v>114</v>
      </c>
      <c r="D160" s="44">
        <f>'Loyd List 1-190 - Edit'!T161</f>
        <v>80</v>
      </c>
      <c r="F160" s="124">
        <f t="shared" si="41"/>
        <v>2</v>
      </c>
      <c r="G160" s="125" t="str">
        <f t="shared" si="42"/>
        <v xml:space="preserve">2 – Tess (1975–: #157) Chloe (1977–: #158)       </v>
      </c>
      <c r="H160" s="124"/>
      <c r="I160" s="124" t="str">
        <f t="shared" si="43"/>
        <v>Tess (1975–: #157)</v>
      </c>
      <c r="J160" s="124" t="str">
        <f t="shared" si="44"/>
        <v>Chloe (1977–: #158)</v>
      </c>
      <c r="K160" s="124" t="str">
        <f t="shared" si="45"/>
        <v/>
      </c>
      <c r="L160" s="124"/>
      <c r="M160" s="124"/>
      <c r="N160" s="124"/>
      <c r="O160" s="124"/>
      <c r="P160" s="124"/>
      <c r="Q160" s="124"/>
    </row>
    <row r="161" spans="1:17" ht="17" thickBot="1">
      <c r="A161" s="12">
        <f>'Book Details - NO EDIT'!A162</f>
        <v>160</v>
      </c>
      <c r="B161" s="112" t="str">
        <f>'Book Details - NO EDIT'!X162</f>
        <v>John (1982–: #160)</v>
      </c>
      <c r="C161" s="113">
        <f>'Book Details - NO EDIT'!L162</f>
        <v>131</v>
      </c>
      <c r="D161" s="44">
        <f>'Loyd List 1-190 - Edit'!T162</f>
        <v>94</v>
      </c>
      <c r="F161" s="124">
        <f t="shared" si="41"/>
        <v>2</v>
      </c>
      <c r="G161" s="125" t="str">
        <f t="shared" si="42"/>
        <v xml:space="preserve">2 – David (1984–: #162) Ben (1988–: #167)      </v>
      </c>
      <c r="H161" s="124"/>
      <c r="I161" s="124" t="str">
        <f t="shared" si="43"/>
        <v/>
      </c>
      <c r="J161" s="124" t="str">
        <f t="shared" si="44"/>
        <v>David (1984–: #162)</v>
      </c>
      <c r="K161" s="124" t="str">
        <f t="shared" si="45"/>
        <v>Ben (1988–: #167)</v>
      </c>
      <c r="L161" s="124"/>
      <c r="M161" s="124"/>
      <c r="N161" s="124"/>
      <c r="O161" s="124"/>
      <c r="P161" s="124"/>
      <c r="Q161" s="124"/>
    </row>
    <row r="162" spans="1:17" ht="17" thickBot="1">
      <c r="A162" s="12">
        <f>'Book Details - NO EDIT'!A163</f>
        <v>161</v>
      </c>
      <c r="B162" s="112" t="str">
        <f>'Book Details - NO EDIT'!X163</f>
        <v>Molly (1982–: #161)</v>
      </c>
      <c r="C162" s="113">
        <f>'Book Details - NO EDIT'!L163</f>
        <v>119</v>
      </c>
      <c r="D162" s="44">
        <f>'Loyd List 1-190 - Edit'!T163</f>
        <v>80</v>
      </c>
      <c r="F162" s="124">
        <f t="shared" si="41"/>
        <v>3</v>
      </c>
      <c r="G162" s="125" t="str">
        <f t="shared" si="42"/>
        <v xml:space="preserve">3 – William (1973–: #155) Amy (1975–: #156)  Harriet (1984–: #163)     </v>
      </c>
      <c r="H162" s="124"/>
      <c r="I162" s="124" t="str">
        <f t="shared" si="43"/>
        <v>William (1973–: #155)</v>
      </c>
      <c r="J162" s="124" t="str">
        <f t="shared" si="44"/>
        <v>Amy (1975–: #156)</v>
      </c>
      <c r="K162" s="124" t="str">
        <f t="shared" si="45"/>
        <v/>
      </c>
      <c r="L162" s="124" t="str">
        <f t="shared" si="46"/>
        <v>Harriet (1984–: #163)</v>
      </c>
      <c r="M162" s="124"/>
      <c r="N162" s="124"/>
      <c r="O162" s="124"/>
      <c r="P162" s="124"/>
      <c r="Q162" s="124"/>
    </row>
    <row r="163" spans="1:17" ht="17" thickBot="1">
      <c r="A163" s="12">
        <f>'Book Details - NO EDIT'!A164</f>
        <v>162</v>
      </c>
      <c r="B163" s="112" t="str">
        <f>'Book Details - NO EDIT'!X164</f>
        <v>David (1984–: #162)</v>
      </c>
      <c r="C163" s="113">
        <f>'Book Details - NO EDIT'!L164</f>
        <v>131</v>
      </c>
      <c r="D163" s="44">
        <f>'Loyd List 1-190 - Edit'!T164</f>
        <v>94</v>
      </c>
      <c r="F163" s="124">
        <f t="shared" si="41"/>
        <v>2</v>
      </c>
      <c r="G163" s="125" t="str">
        <f t="shared" si="42"/>
        <v xml:space="preserve">2 – John (1982–: #160)  Ben (1988–: #167)      </v>
      </c>
      <c r="H163" s="124"/>
      <c r="I163" s="124" t="str">
        <f t="shared" si="43"/>
        <v>John (1982–: #160)</v>
      </c>
      <c r="J163" s="124" t="str">
        <f t="shared" si="44"/>
        <v/>
      </c>
      <c r="K163" s="124" t="str">
        <f t="shared" si="45"/>
        <v>Ben (1988–: #167)</v>
      </c>
      <c r="L163" s="124"/>
      <c r="M163" s="124"/>
      <c r="N163" s="124"/>
      <c r="O163" s="124"/>
      <c r="P163" s="124"/>
      <c r="Q163" s="124"/>
    </row>
    <row r="164" spans="1:17" ht="17" thickBot="1">
      <c r="A164" s="12">
        <f>'Book Details - NO EDIT'!A165</f>
        <v>163</v>
      </c>
      <c r="B164" s="112" t="str">
        <f>'Book Details - NO EDIT'!X165</f>
        <v>Harriet (1984–: #163)</v>
      </c>
      <c r="C164" s="113">
        <f>'Book Details - NO EDIT'!L165</f>
        <v>119</v>
      </c>
      <c r="D164" s="44">
        <f>'Loyd List 1-190 - Edit'!T165</f>
        <v>80</v>
      </c>
      <c r="F164" s="124">
        <f t="shared" si="41"/>
        <v>3</v>
      </c>
      <c r="G164" s="125" t="str">
        <f t="shared" si="42"/>
        <v xml:space="preserve">3 – William (1973–: #155) Amy (1975–: #156) Molly (1982–: #161)      </v>
      </c>
      <c r="H164" s="124"/>
      <c r="I164" s="124" t="str">
        <f t="shared" si="43"/>
        <v>William (1973–: #155)</v>
      </c>
      <c r="J164" s="124" t="str">
        <f t="shared" si="44"/>
        <v>Amy (1975–: #156)</v>
      </c>
      <c r="K164" s="124" t="str">
        <f t="shared" si="45"/>
        <v>Molly (1982–: #161)</v>
      </c>
      <c r="L164" s="124" t="str">
        <f t="shared" si="46"/>
        <v/>
      </c>
      <c r="M164" s="124"/>
      <c r="N164" s="124"/>
      <c r="O164" s="124"/>
      <c r="P164" s="124"/>
      <c r="Q164" s="124"/>
    </row>
    <row r="165" spans="1:17" ht="17" thickBot="1">
      <c r="A165" s="12">
        <f>'Book Details - NO EDIT'!A166</f>
        <v>164</v>
      </c>
      <c r="B165" s="112" t="str">
        <f>'Book Details - NO EDIT'!X166</f>
        <v>Poppy (1984–: #164)</v>
      </c>
      <c r="C165" s="113">
        <f>'Book Details - NO EDIT'!L166</f>
        <v>136</v>
      </c>
      <c r="D165" s="44">
        <f>'Loyd List 1-190 - Edit'!T166</f>
        <v>94</v>
      </c>
      <c r="F165" s="124">
        <f t="shared" si="41"/>
        <v>2</v>
      </c>
      <c r="G165" s="125" t="str">
        <f t="shared" si="42"/>
        <v xml:space="preserve">2 – Rose (1986–: #165) Florina (1991–: #172)      </v>
      </c>
      <c r="H165" s="124"/>
      <c r="I165" s="124" t="str">
        <f t="shared" si="43"/>
        <v/>
      </c>
      <c r="J165" s="124" t="str">
        <f t="shared" si="44"/>
        <v>Rose (1986–: #165)</v>
      </c>
      <c r="K165" s="124" t="str">
        <f t="shared" si="45"/>
        <v>Florina (1991–: #172)</v>
      </c>
      <c r="L165" s="124"/>
      <c r="M165" s="124"/>
      <c r="N165" s="124"/>
      <c r="O165" s="124"/>
      <c r="P165" s="124"/>
      <c r="Q165" s="124"/>
    </row>
    <row r="166" spans="1:17" ht="17" thickBot="1">
      <c r="A166" s="12">
        <f>'Book Details - NO EDIT'!A167</f>
        <v>165</v>
      </c>
      <c r="B166" s="112" t="str">
        <f>'Book Details - NO EDIT'!X167</f>
        <v>Rose (1986–: #165)</v>
      </c>
      <c r="C166" s="113">
        <f>'Book Details - NO EDIT'!L167</f>
        <v>136</v>
      </c>
      <c r="D166" s="44">
        <f>'Loyd List 1-190 - Edit'!T167</f>
        <v>94</v>
      </c>
      <c r="F166" s="124">
        <f t="shared" si="41"/>
        <v>2</v>
      </c>
      <c r="G166" s="125" t="str">
        <f t="shared" si="42"/>
        <v xml:space="preserve">2 – Poppy (1984–: #164)  Florina (1991–: #172)      </v>
      </c>
      <c r="H166" s="124"/>
      <c r="I166" s="124" t="str">
        <f t="shared" si="43"/>
        <v>Poppy (1984–: #164)</v>
      </c>
      <c r="J166" s="124" t="str">
        <f t="shared" si="44"/>
        <v/>
      </c>
      <c r="K166" s="124" t="str">
        <f t="shared" si="45"/>
        <v>Florina (1991–: #172)</v>
      </c>
      <c r="L166" s="124"/>
      <c r="M166" s="124"/>
      <c r="N166" s="124"/>
      <c r="O166" s="124"/>
      <c r="P166" s="124"/>
      <c r="Q166" s="124"/>
    </row>
    <row r="167" spans="1:17" ht="17" thickBot="1">
      <c r="A167" s="12">
        <f>'Book Details - NO EDIT'!A168</f>
        <v>166</v>
      </c>
      <c r="B167" s="112" t="str">
        <f>'Book Details - NO EDIT'!X168</f>
        <v>Gareth (1988–: #166)</v>
      </c>
      <c r="C167" s="113">
        <f>'Book Details - NO EDIT'!L168</f>
        <v>130</v>
      </c>
      <c r="D167" s="44">
        <f>'Loyd List 1-190 - Edit'!T168</f>
        <v>86</v>
      </c>
      <c r="F167" s="124">
        <f t="shared" si="41"/>
        <v>0</v>
      </c>
      <c r="G167" s="125" t="str">
        <f t="shared" si="42"/>
        <v>0 – Only chlid</v>
      </c>
      <c r="H167" s="124"/>
      <c r="I167" s="124" t="str">
        <f t="shared" si="43"/>
        <v/>
      </c>
      <c r="J167" s="124" t="e">
        <f t="shared" si="44"/>
        <v>#N/A</v>
      </c>
      <c r="K167" s="124" t="e">
        <f t="shared" si="45"/>
        <v>#N/A</v>
      </c>
      <c r="L167" s="124"/>
      <c r="M167" s="124"/>
      <c r="N167" s="124"/>
      <c r="O167" s="124"/>
      <c r="P167" s="124"/>
      <c r="Q167" s="124"/>
    </row>
    <row r="168" spans="1:17" ht="17" thickBot="1">
      <c r="A168" s="12">
        <f>'Book Details - NO EDIT'!A169</f>
        <v>167</v>
      </c>
      <c r="B168" s="112" t="str">
        <f>'Book Details - NO EDIT'!X169</f>
        <v>Ben (1988–: #167)</v>
      </c>
      <c r="C168" s="113">
        <f>'Book Details - NO EDIT'!L169</f>
        <v>131</v>
      </c>
      <c r="D168" s="44">
        <f>'Loyd List 1-190 - Edit'!T169</f>
        <v>94</v>
      </c>
      <c r="F168" s="124">
        <f t="shared" si="41"/>
        <v>2</v>
      </c>
      <c r="G168" s="125" t="str">
        <f t="shared" si="42"/>
        <v xml:space="preserve">2 – John (1982–: #160) David (1984–: #162)       </v>
      </c>
      <c r="H168" s="124"/>
      <c r="I168" s="124" t="str">
        <f t="shared" si="43"/>
        <v>John (1982–: #160)</v>
      </c>
      <c r="J168" s="124" t="str">
        <f t="shared" si="44"/>
        <v>David (1984–: #162)</v>
      </c>
      <c r="K168" s="124" t="str">
        <f t="shared" si="45"/>
        <v/>
      </c>
      <c r="L168" s="124"/>
      <c r="M168" s="124"/>
      <c r="N168" s="124"/>
      <c r="O168" s="124"/>
      <c r="P168" s="124"/>
      <c r="Q168" s="124"/>
    </row>
    <row r="169" spans="1:17" ht="17" thickBot="1">
      <c r="A169" s="12">
        <f>'Book Details - NO EDIT'!A170</f>
        <v>168</v>
      </c>
      <c r="B169" s="112" t="str">
        <f>'Book Details - NO EDIT'!X170</f>
        <v>Camilla (1988–: #168)</v>
      </c>
      <c r="C169" s="113">
        <f>'Book Details - NO EDIT'!L170</f>
        <v>138</v>
      </c>
      <c r="D169" s="44">
        <f>'Loyd List 1-190 - Edit'!T170</f>
        <v>100</v>
      </c>
      <c r="F169" s="124">
        <f t="shared" si="41"/>
        <v>2</v>
      </c>
      <c r="G169" s="125" t="str">
        <f t="shared" si="42"/>
        <v xml:space="preserve">2 – Sophie (1989–: #170) Kit (1993–: #175)      </v>
      </c>
      <c r="H169" s="124"/>
      <c r="I169" s="124" t="str">
        <f t="shared" si="43"/>
        <v/>
      </c>
      <c r="J169" s="124" t="str">
        <f t="shared" si="44"/>
        <v>Sophie (1989–: #170)</v>
      </c>
      <c r="K169" s="124" t="str">
        <f t="shared" si="45"/>
        <v>Kit (1993–: #175)</v>
      </c>
      <c r="L169" s="124"/>
      <c r="M169" s="124"/>
      <c r="N169" s="124"/>
      <c r="O169" s="124"/>
      <c r="P169" s="124"/>
      <c r="Q169" s="124"/>
    </row>
    <row r="170" spans="1:17" ht="17" thickBot="1">
      <c r="A170" s="12">
        <f>'Book Details - NO EDIT'!A171</f>
        <v>169</v>
      </c>
      <c r="B170" s="112" t="str">
        <f>'Book Details - NO EDIT'!X171</f>
        <v>James (1988–: #169)</v>
      </c>
      <c r="C170" s="113">
        <f>'Book Details - NO EDIT'!L171</f>
        <v>121</v>
      </c>
      <c r="D170" s="44">
        <f>'Loyd List 1-190 - Edit'!T171</f>
        <v>96</v>
      </c>
      <c r="F170" s="124">
        <f t="shared" si="41"/>
        <v>2</v>
      </c>
      <c r="G170" s="125" t="str">
        <f t="shared" si="42"/>
        <v xml:space="preserve">2 – Rupert (1990–: #171) Tabitha (1992–: #174)      </v>
      </c>
      <c r="H170" s="124"/>
      <c r="I170" s="124" t="str">
        <f t="shared" si="43"/>
        <v/>
      </c>
      <c r="J170" s="124" t="str">
        <f t="shared" si="44"/>
        <v>Rupert (1990–: #171)</v>
      </c>
      <c r="K170" s="124" t="str">
        <f t="shared" si="45"/>
        <v>Tabitha (1992–: #174)</v>
      </c>
      <c r="L170" s="124"/>
      <c r="M170" s="124"/>
      <c r="N170" s="124"/>
      <c r="O170" s="124"/>
      <c r="P170" s="124"/>
      <c r="Q170" s="124"/>
    </row>
    <row r="171" spans="1:17" ht="17" thickBot="1">
      <c r="A171" s="12">
        <f>'Book Details - NO EDIT'!A172</f>
        <v>170</v>
      </c>
      <c r="B171" s="112" t="str">
        <f>'Book Details - NO EDIT'!X172</f>
        <v>Sophie (1989–: #170)</v>
      </c>
      <c r="C171" s="113">
        <f>'Book Details - NO EDIT'!L172</f>
        <v>138</v>
      </c>
      <c r="D171" s="44">
        <f>'Loyd List 1-190 - Edit'!T172</f>
        <v>100</v>
      </c>
      <c r="F171" s="124">
        <f t="shared" si="41"/>
        <v>2</v>
      </c>
      <c r="G171" s="125" t="str">
        <f t="shared" si="42"/>
        <v xml:space="preserve">2 – Camilla (1988–: #168)  Kit (1993–: #175)      </v>
      </c>
      <c r="H171" s="124"/>
      <c r="I171" s="124" t="str">
        <f t="shared" si="43"/>
        <v>Camilla (1988–: #168)</v>
      </c>
      <c r="J171" s="124" t="str">
        <f t="shared" si="44"/>
        <v/>
      </c>
      <c r="K171" s="124" t="str">
        <f t="shared" si="45"/>
        <v>Kit (1993–: #175)</v>
      </c>
      <c r="L171" s="124"/>
      <c r="M171" s="124"/>
      <c r="N171" s="124"/>
      <c r="O171" s="124"/>
      <c r="P171" s="124"/>
      <c r="Q171" s="124"/>
    </row>
    <row r="172" spans="1:17" ht="17" thickBot="1">
      <c r="A172" s="12">
        <f>'Book Details - NO EDIT'!A173</f>
        <v>171</v>
      </c>
      <c r="B172" s="112" t="str">
        <f>'Book Details - NO EDIT'!X173</f>
        <v>Rupert (1990–: #171)</v>
      </c>
      <c r="C172" s="113">
        <f>'Book Details - NO EDIT'!L173</f>
        <v>121</v>
      </c>
      <c r="D172" s="44">
        <f>'Loyd List 1-190 - Edit'!T173</f>
        <v>96</v>
      </c>
      <c r="F172" s="124">
        <f t="shared" si="41"/>
        <v>2</v>
      </c>
      <c r="G172" s="125" t="str">
        <f t="shared" si="42"/>
        <v xml:space="preserve">2 – James (1988–: #169)  Tabitha (1992–: #174)      </v>
      </c>
      <c r="H172" s="124"/>
      <c r="I172" s="124" t="str">
        <f t="shared" si="43"/>
        <v>James (1988–: #169)</v>
      </c>
      <c r="J172" s="124" t="str">
        <f t="shared" si="44"/>
        <v/>
      </c>
      <c r="K172" s="124" t="str">
        <f t="shared" si="45"/>
        <v>Tabitha (1992–: #174)</v>
      </c>
      <c r="L172" s="124"/>
      <c r="M172" s="124"/>
      <c r="N172" s="124"/>
      <c r="O172" s="124"/>
      <c r="P172" s="124"/>
      <c r="Q172" s="124"/>
    </row>
    <row r="173" spans="1:17" ht="17" thickBot="1">
      <c r="A173" s="12">
        <f>'Book Details - NO EDIT'!A174</f>
        <v>172</v>
      </c>
      <c r="B173" s="112" t="str">
        <f>'Book Details - NO EDIT'!X174</f>
        <v>Florina (1991–: #172)</v>
      </c>
      <c r="C173" s="113">
        <f>'Book Details - NO EDIT'!L174</f>
        <v>136</v>
      </c>
      <c r="D173" s="44">
        <f>'Loyd List 1-190 - Edit'!T174</f>
        <v>94</v>
      </c>
      <c r="F173" s="124">
        <f t="shared" si="41"/>
        <v>2</v>
      </c>
      <c r="G173" s="125" t="str">
        <f t="shared" si="42"/>
        <v xml:space="preserve">2 – Poppy (1984–: #164) Rose (1986–: #165)       </v>
      </c>
      <c r="H173" s="124"/>
      <c r="I173" s="124" t="str">
        <f t="shared" si="43"/>
        <v>Poppy (1984–: #164)</v>
      </c>
      <c r="J173" s="124" t="str">
        <f t="shared" si="44"/>
        <v>Rose (1986–: #165)</v>
      </c>
      <c r="K173" s="124" t="str">
        <f t="shared" si="45"/>
        <v/>
      </c>
      <c r="L173" s="124"/>
      <c r="M173" s="124"/>
      <c r="N173" s="124"/>
      <c r="O173" s="124"/>
      <c r="P173" s="124"/>
      <c r="Q173" s="124"/>
    </row>
    <row r="174" spans="1:17" ht="17" thickBot="1">
      <c r="A174" s="12">
        <f>'Book Details - NO EDIT'!A175</f>
        <v>173</v>
      </c>
      <c r="B174" s="112" t="str">
        <f>'Book Details - NO EDIT'!X175</f>
        <v>Curtis (1992–: #173)</v>
      </c>
      <c r="C174" s="113">
        <f>'Book Details - NO EDIT'!L175</f>
        <v>135</v>
      </c>
      <c r="D174" s="44">
        <f>'Loyd List 1-190 - Edit'!T175</f>
        <v>86</v>
      </c>
      <c r="F174" s="124">
        <f t="shared" si="41"/>
        <v>1</v>
      </c>
      <c r="G174" s="125" t="str">
        <f t="shared" si="42"/>
        <v xml:space="preserve">1 – Spencer (1995–: #177)       </v>
      </c>
      <c r="H174" s="124"/>
      <c r="I174" s="124" t="str">
        <f t="shared" si="43"/>
        <v/>
      </c>
      <c r="J174" s="124" t="str">
        <f t="shared" si="44"/>
        <v>Spencer (1995–: #177)</v>
      </c>
      <c r="K174" s="124"/>
      <c r="L174" s="124"/>
      <c r="M174" s="124"/>
      <c r="N174" s="124"/>
      <c r="O174" s="124"/>
      <c r="P174" s="124"/>
      <c r="Q174" s="124"/>
    </row>
    <row r="175" spans="1:17" ht="17" thickBot="1">
      <c r="A175" s="12">
        <f>'Book Details - NO EDIT'!A176</f>
        <v>174</v>
      </c>
      <c r="B175" s="112" t="str">
        <f>'Book Details - NO EDIT'!X176</f>
        <v>Tabitha (1992–: #174)</v>
      </c>
      <c r="C175" s="113">
        <f>'Book Details - NO EDIT'!L176</f>
        <v>121</v>
      </c>
      <c r="D175" s="44">
        <f>'Loyd List 1-190 - Edit'!T176</f>
        <v>96</v>
      </c>
      <c r="F175" s="124">
        <f t="shared" si="41"/>
        <v>2</v>
      </c>
      <c r="G175" s="125" t="str">
        <f t="shared" si="42"/>
        <v xml:space="preserve">2 – James (1988–: #169) Rupert (1990–: #171)       </v>
      </c>
      <c r="H175" s="124"/>
      <c r="I175" s="124" t="str">
        <f t="shared" si="43"/>
        <v>James (1988–: #169)</v>
      </c>
      <c r="J175" s="124" t="str">
        <f t="shared" si="44"/>
        <v>Rupert (1990–: #171)</v>
      </c>
      <c r="K175" s="124" t="str">
        <f t="shared" si="45"/>
        <v/>
      </c>
      <c r="L175" s="124"/>
      <c r="M175" s="124"/>
      <c r="N175" s="124"/>
      <c r="O175" s="124"/>
      <c r="P175" s="124"/>
      <c r="Q175" s="124"/>
    </row>
    <row r="176" spans="1:17" ht="17" thickBot="1">
      <c r="A176" s="12">
        <f>'Book Details - NO EDIT'!A177</f>
        <v>175</v>
      </c>
      <c r="B176" s="112" t="str">
        <f>'Book Details - NO EDIT'!X177</f>
        <v>Kit (1993–: #175)</v>
      </c>
      <c r="C176" s="113">
        <f>'Book Details - NO EDIT'!L177</f>
        <v>138</v>
      </c>
      <c r="D176" s="44">
        <f>'Loyd List 1-190 - Edit'!T177</f>
        <v>100</v>
      </c>
      <c r="F176" s="124">
        <f t="shared" si="41"/>
        <v>2</v>
      </c>
      <c r="G176" s="125" t="str">
        <f t="shared" si="42"/>
        <v xml:space="preserve">2 – Camilla (1988–: #168) Sophie (1989–: #170)       </v>
      </c>
      <c r="H176" s="124"/>
      <c r="I176" s="124" t="str">
        <f t="shared" si="43"/>
        <v>Camilla (1988–: #168)</v>
      </c>
      <c r="J176" s="124" t="str">
        <f t="shared" si="44"/>
        <v>Sophie (1989–: #170)</v>
      </c>
      <c r="K176" s="124" t="str">
        <f t="shared" si="45"/>
        <v/>
      </c>
      <c r="L176" s="124"/>
      <c r="M176" s="124"/>
      <c r="N176" s="124"/>
      <c r="O176" s="124"/>
      <c r="P176" s="124"/>
      <c r="Q176" s="124"/>
    </row>
    <row r="177" spans="1:17" ht="17" thickBot="1">
      <c r="A177" s="12">
        <f>'Book Details - NO EDIT'!A178</f>
        <v>176</v>
      </c>
      <c r="B177" s="112" t="str">
        <f>'Book Details - NO EDIT'!X178</f>
        <v>Sam (1994–: #176)</v>
      </c>
      <c r="C177" s="113">
        <f>'Book Details - NO EDIT'!L178</f>
        <v>142</v>
      </c>
      <c r="D177" s="44">
        <f>'Loyd List 1-190 - Edit'!T178</f>
        <v>94</v>
      </c>
      <c r="F177" s="124">
        <f t="shared" si="41"/>
        <v>1</v>
      </c>
      <c r="G177" s="125" t="str">
        <f t="shared" si="42"/>
        <v xml:space="preserve">1 – Josh (1996–: #179)       </v>
      </c>
      <c r="H177" s="124"/>
      <c r="I177" s="124" t="str">
        <f t="shared" si="43"/>
        <v/>
      </c>
      <c r="J177" s="124" t="str">
        <f t="shared" si="44"/>
        <v>Josh (1996–: #179)</v>
      </c>
      <c r="K177" s="124"/>
      <c r="L177" s="124"/>
      <c r="M177" s="124"/>
      <c r="N177" s="124"/>
      <c r="O177" s="124"/>
      <c r="P177" s="124"/>
      <c r="Q177" s="124"/>
    </row>
    <row r="178" spans="1:17" ht="17" thickBot="1">
      <c r="A178" s="12">
        <f>'Book Details - NO EDIT'!A179</f>
        <v>177</v>
      </c>
      <c r="B178" s="112" t="str">
        <f>'Book Details - NO EDIT'!X179</f>
        <v>Spencer (1995–: #177)</v>
      </c>
      <c r="C178" s="113">
        <f>'Book Details - NO EDIT'!L179</f>
        <v>135</v>
      </c>
      <c r="D178" s="44">
        <f>'Loyd List 1-190 - Edit'!T179</f>
        <v>86</v>
      </c>
      <c r="F178" s="124">
        <f t="shared" si="41"/>
        <v>1</v>
      </c>
      <c r="G178" s="125" t="str">
        <f t="shared" si="42"/>
        <v xml:space="preserve">1 – Curtis (1992–: #173)        </v>
      </c>
      <c r="H178" s="124"/>
      <c r="I178" s="124" t="str">
        <f t="shared" si="43"/>
        <v>Curtis (1992–: #173)</v>
      </c>
      <c r="J178" s="124" t="str">
        <f t="shared" si="44"/>
        <v/>
      </c>
      <c r="K178" s="124"/>
      <c r="L178" s="124"/>
      <c r="M178" s="124"/>
      <c r="N178" s="124"/>
      <c r="O178" s="124"/>
      <c r="P178" s="124"/>
      <c r="Q178" s="124"/>
    </row>
    <row r="179" spans="1:17" ht="17" thickBot="1">
      <c r="A179" s="12">
        <f>'Book Details - NO EDIT'!A180</f>
        <v>178</v>
      </c>
      <c r="B179" s="112" t="str">
        <f>'Book Details - NO EDIT'!X180</f>
        <v>William (1996–: #178)</v>
      </c>
      <c r="C179" s="113">
        <f>'Book Details - NO EDIT'!L180</f>
        <v>150</v>
      </c>
      <c r="D179" s="44">
        <f>'Loyd List 1-190 - Edit'!T180</f>
        <v>100</v>
      </c>
      <c r="F179" s="124">
        <f t="shared" si="41"/>
        <v>1</v>
      </c>
      <c r="G179" s="125" t="str">
        <f t="shared" si="42"/>
        <v xml:space="preserve">1 – Eliza (1999–: #181)       </v>
      </c>
      <c r="H179" s="124"/>
      <c r="I179" s="124" t="str">
        <f t="shared" si="43"/>
        <v/>
      </c>
      <c r="J179" s="124" t="str">
        <f t="shared" si="44"/>
        <v>Eliza (1999–: #181)</v>
      </c>
      <c r="K179" s="124"/>
      <c r="L179" s="124"/>
      <c r="M179" s="124"/>
      <c r="N179" s="124"/>
      <c r="O179" s="124"/>
      <c r="P179" s="124"/>
      <c r="Q179" s="124"/>
    </row>
    <row r="180" spans="1:17" ht="17" thickBot="1">
      <c r="A180" s="12">
        <f>'Book Details - NO EDIT'!A181</f>
        <v>179</v>
      </c>
      <c r="B180" s="112" t="str">
        <f>'Book Details - NO EDIT'!X181</f>
        <v>Josh (1996–: #179)</v>
      </c>
      <c r="C180" s="113">
        <f>'Book Details - NO EDIT'!L181</f>
        <v>142</v>
      </c>
      <c r="D180" s="44">
        <f>'Loyd List 1-190 - Edit'!T181</f>
        <v>94</v>
      </c>
      <c r="F180" s="124">
        <f t="shared" si="41"/>
        <v>1</v>
      </c>
      <c r="G180" s="125" t="str">
        <f t="shared" si="42"/>
        <v xml:space="preserve">1 – Sam (1994–: #176)        </v>
      </c>
      <c r="H180" s="124"/>
      <c r="I180" s="124" t="str">
        <f t="shared" si="43"/>
        <v>Sam (1994–: #176)</v>
      </c>
      <c r="J180" s="124" t="str">
        <f t="shared" si="44"/>
        <v/>
      </c>
      <c r="K180" s="124"/>
      <c r="L180" s="124"/>
      <c r="M180" s="124"/>
      <c r="N180" s="124"/>
      <c r="O180" s="124"/>
      <c r="P180" s="124"/>
      <c r="Q180" s="124"/>
    </row>
    <row r="181" spans="1:17" ht="17" thickBot="1">
      <c r="A181" s="12">
        <f>'Book Details - NO EDIT'!A182</f>
        <v>180</v>
      </c>
      <c r="B181" s="112" t="str">
        <f>'Book Details - NO EDIT'!X182</f>
        <v>George (1998–: #180)</v>
      </c>
      <c r="C181" s="113">
        <f>'Book Details - NO EDIT'!L182</f>
        <v>146</v>
      </c>
      <c r="D181" s="44">
        <f>'Loyd List 1-190 - Edit'!T182</f>
        <v>104</v>
      </c>
      <c r="F181" s="124">
        <f t="shared" si="41"/>
        <v>1</v>
      </c>
      <c r="G181" s="125" t="str">
        <f t="shared" si="42"/>
        <v xml:space="preserve">1 – Rosanna (2000–: #182)       </v>
      </c>
      <c r="H181" s="124"/>
      <c r="I181" s="124" t="str">
        <f t="shared" si="43"/>
        <v/>
      </c>
      <c r="J181" s="124" t="str">
        <f t="shared" si="44"/>
        <v>Rosanna (2000–: #182)</v>
      </c>
      <c r="K181" s="124"/>
      <c r="L181" s="124"/>
      <c r="M181" s="124"/>
      <c r="N181" s="124"/>
      <c r="O181" s="124"/>
      <c r="P181" s="124"/>
      <c r="Q181" s="124"/>
    </row>
    <row r="182" spans="1:17" ht="17" thickBot="1">
      <c r="A182" s="12">
        <f>'Book Details - NO EDIT'!A183</f>
        <v>181</v>
      </c>
      <c r="B182" s="112" t="str">
        <f>'Book Details - NO EDIT'!X183</f>
        <v>Eliza (1999–: #181)</v>
      </c>
      <c r="C182" s="113">
        <f>'Book Details - NO EDIT'!L183</f>
        <v>150</v>
      </c>
      <c r="D182" s="44">
        <f>'Loyd List 1-190 - Edit'!T183</f>
        <v>100</v>
      </c>
      <c r="F182" s="124">
        <f t="shared" si="41"/>
        <v>1</v>
      </c>
      <c r="G182" s="125" t="str">
        <f t="shared" si="42"/>
        <v xml:space="preserve">1 – William (1996–: #178)        </v>
      </c>
      <c r="H182" s="124"/>
      <c r="I182" s="124" t="str">
        <f t="shared" si="43"/>
        <v>William (1996–: #178)</v>
      </c>
      <c r="J182" s="124" t="str">
        <f t="shared" si="44"/>
        <v/>
      </c>
      <c r="K182" s="124"/>
      <c r="L182" s="124"/>
      <c r="M182" s="124"/>
      <c r="N182" s="124"/>
      <c r="O182" s="124"/>
      <c r="P182" s="124"/>
      <c r="Q182" s="124"/>
    </row>
    <row r="183" spans="1:17" ht="17" thickBot="1">
      <c r="A183" s="12">
        <f>'Book Details - NO EDIT'!A184</f>
        <v>182</v>
      </c>
      <c r="B183" s="112" t="str">
        <f>'Book Details - NO EDIT'!X184</f>
        <v>Rosanna (2000–: #182)</v>
      </c>
      <c r="C183" s="113">
        <f>'Book Details - NO EDIT'!L184</f>
        <v>146</v>
      </c>
      <c r="D183" s="44">
        <f>'Loyd List 1-190 - Edit'!T184</f>
        <v>104</v>
      </c>
      <c r="F183" s="124">
        <f t="shared" si="41"/>
        <v>1</v>
      </c>
      <c r="G183" s="125" t="str">
        <f t="shared" si="42"/>
        <v xml:space="preserve">1 – George (1998–: #180)        </v>
      </c>
      <c r="H183" s="124"/>
      <c r="I183" s="124" t="str">
        <f t="shared" si="43"/>
        <v>George (1998–: #180)</v>
      </c>
      <c r="J183" s="124" t="str">
        <f t="shared" si="44"/>
        <v/>
      </c>
      <c r="K183" s="124"/>
      <c r="L183" s="124"/>
      <c r="M183" s="124"/>
      <c r="N183" s="124"/>
      <c r="O183" s="124"/>
      <c r="P183" s="124"/>
      <c r="Q183" s="124"/>
    </row>
    <row r="184" spans="1:17" ht="17" thickBot="1">
      <c r="A184" s="12">
        <f>'Book Details - NO EDIT'!A185</f>
        <v>183</v>
      </c>
      <c r="B184" s="112" t="str">
        <f>'Book Details - NO EDIT'!X185</f>
        <v>Matilda (2006–: #183)</v>
      </c>
      <c r="C184" s="113">
        <f>'Book Details - NO EDIT'!L185</f>
        <v>155</v>
      </c>
      <c r="D184" s="44">
        <f>'Loyd List 1-190 - Edit'!T185</f>
        <v>119</v>
      </c>
      <c r="F184" s="124">
        <f t="shared" si="41"/>
        <v>2</v>
      </c>
      <c r="G184" s="125" t="str">
        <f t="shared" si="42"/>
        <v xml:space="preserve">2 – Katherine (2007–: #185) Henry (2010–: #186)      </v>
      </c>
      <c r="I184" s="124" t="str">
        <f t="shared" ref="I184:I191" si="48">IF(VLOOKUP($C184,$S$3:$AC$80,U$1+2,FALSE)=$A184,"",VLOOKUP(VLOOKUP($C184,$S$3:$AC$80,U$1+2,FALSE),$A$2:$B$230,2,FALSE))</f>
        <v/>
      </c>
      <c r="J184" s="124" t="str">
        <f t="shared" ref="J184:J191" si="49">IF(VLOOKUP($C184,$S$3:$AC$80,V$1+2,FALSE)=$A184,"",VLOOKUP(VLOOKUP($C184,$S$3:$AC$80,V$1+2,FALSE),$A$2:$B$230,2,FALSE))</f>
        <v>Katherine (2007–: #185)</v>
      </c>
      <c r="K184" s="124" t="str">
        <f>IF(VLOOKUP($C184,$S$3:$AC$80,W$1+2,FALSE)=$A184,"",VLOOKUP(VLOOKUP($C184,$S$3:$AC$80,W$1+2,FALSE),$A$2:$B$230,2,FALSE))</f>
        <v>Henry (2010–: #186)</v>
      </c>
      <c r="L184" s="124"/>
      <c r="M184" s="124"/>
      <c r="N184" s="124"/>
      <c r="O184" s="124"/>
      <c r="P184" s="124"/>
      <c r="Q184" s="124"/>
    </row>
    <row r="185" spans="1:17" ht="17" thickBot="1">
      <c r="A185" s="12">
        <f>'Book Details - NO EDIT'!A186</f>
        <v>184</v>
      </c>
      <c r="B185" s="112" t="str">
        <f>'Book Details - NO EDIT'!X186</f>
        <v>Delilah (2006–: #184)</v>
      </c>
      <c r="C185" s="113">
        <f>'Book Details - NO EDIT'!L186</f>
        <v>149</v>
      </c>
      <c r="D185" s="44">
        <f>'Loyd List 1-190 - Edit'!T186</f>
        <v>113</v>
      </c>
      <c r="F185" s="124">
        <f t="shared" si="41"/>
        <v>0</v>
      </c>
      <c r="G185" s="125" t="str">
        <f t="shared" si="42"/>
        <v>0 – Only chlid</v>
      </c>
      <c r="I185" s="124" t="str">
        <f t="shared" si="48"/>
        <v/>
      </c>
      <c r="J185" s="124"/>
      <c r="K185" s="124"/>
      <c r="L185" s="124"/>
      <c r="M185" s="124"/>
      <c r="N185" s="124"/>
      <c r="O185" s="124"/>
      <c r="P185" s="124"/>
      <c r="Q185" s="124"/>
    </row>
    <row r="186" spans="1:17" ht="17" thickBot="1">
      <c r="A186" s="12">
        <f>'Book Details - NO EDIT'!A187</f>
        <v>185</v>
      </c>
      <c r="B186" s="112" t="str">
        <f>'Book Details - NO EDIT'!X187</f>
        <v>Katherine (2007–: #185)</v>
      </c>
      <c r="C186" s="113">
        <f>'Book Details - NO EDIT'!L187</f>
        <v>155</v>
      </c>
      <c r="D186" s="44">
        <f>'Loyd List 1-190 - Edit'!T187</f>
        <v>119</v>
      </c>
      <c r="F186" s="124">
        <f t="shared" si="41"/>
        <v>2</v>
      </c>
      <c r="G186" s="125" t="str">
        <f t="shared" si="42"/>
        <v xml:space="preserve">2 – Matilda (2006–: #183)  Henry (2010–: #186)      </v>
      </c>
      <c r="I186" s="124" t="str">
        <f t="shared" si="48"/>
        <v>Matilda (2006–: #183)</v>
      </c>
      <c r="J186" s="124" t="str">
        <f t="shared" si="49"/>
        <v/>
      </c>
      <c r="K186" s="124" t="str">
        <f>IF(VLOOKUP($C186,$S$3:$AC$80,W$1+2,FALSE)=$A186,"",VLOOKUP(VLOOKUP($C186,$S$3:$AC$80,W$1+2,FALSE),$A$2:$B$230,2,FALSE))</f>
        <v>Henry (2010–: #186)</v>
      </c>
      <c r="L186" s="124"/>
      <c r="M186" s="124"/>
      <c r="N186" s="124"/>
      <c r="O186" s="124"/>
      <c r="P186" s="124"/>
      <c r="Q186" s="124"/>
    </row>
    <row r="187" spans="1:17" ht="17" thickBot="1">
      <c r="A187" s="12">
        <f>'Book Details - NO EDIT'!A188</f>
        <v>186</v>
      </c>
      <c r="B187" s="112" t="str">
        <f>'Book Details - NO EDIT'!X188</f>
        <v>Henry (2010–: #186)</v>
      </c>
      <c r="C187" s="113">
        <f>'Book Details - NO EDIT'!L188</f>
        <v>155</v>
      </c>
      <c r="D187" s="44">
        <f>'Loyd List 1-190 - Edit'!T188</f>
        <v>119</v>
      </c>
      <c r="F187" s="124">
        <f t="shared" si="41"/>
        <v>2</v>
      </c>
      <c r="G187" s="125" t="str">
        <f t="shared" si="42"/>
        <v xml:space="preserve">2 – Matilda (2006–: #183) Katherine (2007–: #185)       </v>
      </c>
      <c r="I187" s="124" t="str">
        <f t="shared" si="48"/>
        <v>Matilda (2006–: #183)</v>
      </c>
      <c r="J187" s="124" t="str">
        <f t="shared" si="49"/>
        <v>Katherine (2007–: #185)</v>
      </c>
      <c r="K187" s="124" t="str">
        <f>IF(VLOOKUP($C187,$S$3:$AC$80,W$1+2,FALSE)=$A187,"",VLOOKUP(VLOOKUP($C187,$S$3:$AC$80,W$1+2,FALSE),$A$2:$B$230,2,FALSE))</f>
        <v/>
      </c>
      <c r="L187" s="124"/>
      <c r="M187" s="124"/>
      <c r="N187" s="124"/>
      <c r="O187" s="124"/>
      <c r="P187" s="124"/>
      <c r="Q187" s="124"/>
    </row>
    <row r="188" spans="1:17" ht="17" thickBot="1">
      <c r="A188" s="12">
        <f>'Book Details - NO EDIT'!A189</f>
        <v>187</v>
      </c>
      <c r="B188" s="112" t="str">
        <f>'Book Details - NO EDIT'!X189</f>
        <v>Olivia (2014–: #187)</v>
      </c>
      <c r="C188" s="113">
        <f>'Book Details - NO EDIT'!L189</f>
        <v>167</v>
      </c>
      <c r="D188" s="44">
        <f>'Loyd List 1-190 - Edit'!T189</f>
        <v>131</v>
      </c>
      <c r="F188" s="124">
        <f t="shared" si="41"/>
        <v>1</v>
      </c>
      <c r="G188" s="125" t="str">
        <f t="shared" si="42"/>
        <v xml:space="preserve">1 – Daisy (2021–: #190)       </v>
      </c>
      <c r="I188" s="124" t="str">
        <f t="shared" si="48"/>
        <v/>
      </c>
      <c r="J188" s="124" t="str">
        <f t="shared" si="49"/>
        <v>Daisy (2021–: #190)</v>
      </c>
      <c r="K188" s="124"/>
      <c r="L188" s="124"/>
      <c r="M188" s="124"/>
      <c r="N188" s="124"/>
      <c r="O188" s="124"/>
      <c r="P188" s="124"/>
      <c r="Q188" s="124"/>
    </row>
    <row r="189" spans="1:17" ht="17" thickBot="1">
      <c r="A189" s="12">
        <f>'Book Details - NO EDIT'!A190</f>
        <v>188</v>
      </c>
      <c r="B189" s="112" t="str">
        <f>'Book Details - NO EDIT'!X190</f>
        <v>Archie (2017–: #188)</v>
      </c>
      <c r="C189" s="113">
        <f>'Book Details - NO EDIT'!L190</f>
        <v>162</v>
      </c>
      <c r="D189" s="44">
        <f>'Loyd List 1-190 - Edit'!T190</f>
        <v>131</v>
      </c>
      <c r="F189" s="124">
        <f t="shared" si="41"/>
        <v>1</v>
      </c>
      <c r="G189" s="125" t="str">
        <f t="shared" si="42"/>
        <v xml:space="preserve">1 – Rory (2019–: #189)       </v>
      </c>
      <c r="I189" s="124" t="str">
        <f t="shared" si="48"/>
        <v/>
      </c>
      <c r="J189" s="124" t="str">
        <f t="shared" si="49"/>
        <v>Rory (2019–: #189)</v>
      </c>
      <c r="K189" s="124"/>
      <c r="L189" s="124"/>
      <c r="M189" s="124"/>
      <c r="N189" s="124"/>
      <c r="O189" s="124"/>
      <c r="P189" s="124"/>
      <c r="Q189" s="124"/>
    </row>
    <row r="190" spans="1:17" ht="17" thickBot="1">
      <c r="A190" s="12">
        <f>'Book Details - NO EDIT'!A191</f>
        <v>189</v>
      </c>
      <c r="B190" s="112" t="str">
        <f>'Book Details - NO EDIT'!X191</f>
        <v>Rory (2019–: #189)</v>
      </c>
      <c r="C190" s="113">
        <f>'Book Details - NO EDIT'!L191</f>
        <v>162</v>
      </c>
      <c r="D190" s="44">
        <f>'Loyd List 1-190 - Edit'!T191</f>
        <v>131</v>
      </c>
      <c r="F190" s="124">
        <f t="shared" si="41"/>
        <v>1</v>
      </c>
      <c r="G190" s="125" t="str">
        <f t="shared" si="42"/>
        <v xml:space="preserve">1 – Archie (2017–: #188)        </v>
      </c>
      <c r="I190" s="124" t="str">
        <f t="shared" si="48"/>
        <v>Archie (2017–: #188)</v>
      </c>
      <c r="J190" s="124" t="str">
        <f t="shared" si="49"/>
        <v/>
      </c>
      <c r="K190" s="124"/>
      <c r="L190" s="124"/>
      <c r="M190" s="124"/>
      <c r="N190" s="124"/>
      <c r="O190" s="124"/>
      <c r="P190" s="124"/>
      <c r="Q190" s="124"/>
    </row>
    <row r="191" spans="1:17" ht="17" thickBot="1">
      <c r="A191" s="12">
        <f>'Book Details - NO EDIT'!A192</f>
        <v>190</v>
      </c>
      <c r="B191" s="112" t="str">
        <f>'Book Details - NO EDIT'!X192</f>
        <v>Daisy (2021–: #190)</v>
      </c>
      <c r="C191" s="113">
        <f>'Book Details - NO EDIT'!L192</f>
        <v>167</v>
      </c>
      <c r="D191" s="44">
        <f>'Loyd List 1-190 - Edit'!T192</f>
        <v>131</v>
      </c>
      <c r="F191" s="124">
        <f t="shared" si="41"/>
        <v>1</v>
      </c>
      <c r="G191" s="125" t="str">
        <f t="shared" si="42"/>
        <v xml:space="preserve">1 – Olivia (2014–: #187)        </v>
      </c>
      <c r="I191" s="124" t="str">
        <f t="shared" si="48"/>
        <v>Olivia (2014–: #187)</v>
      </c>
      <c r="J191" s="124" t="str">
        <f t="shared" si="49"/>
        <v/>
      </c>
      <c r="K191" s="124"/>
      <c r="L191" s="124"/>
      <c r="M191" s="124"/>
      <c r="N191" s="124"/>
      <c r="O191" s="124"/>
      <c r="P191" s="124"/>
      <c r="Q191" s="124"/>
    </row>
  </sheetData>
  <sortState xmlns:xlrd2="http://schemas.microsoft.com/office/spreadsheetml/2017/richdata2" ref="A1:C69">
    <sortCondition descending="1" ref="C1:C69"/>
    <sortCondition ref="B1:B69"/>
  </sortState>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0039-C6D6-2B47-9532-96E0C6746BC9}">
  <dimension ref="A1:BS451"/>
  <sheetViews>
    <sheetView workbookViewId="0">
      <pane xSplit="5" ySplit="1" topLeftCell="AE347" activePane="bottomRight" state="frozen"/>
      <selection pane="topRight" activeCell="E1" sqref="E1"/>
      <selection pane="bottomLeft" activeCell="A2" sqref="A2"/>
      <selection pane="bottomRight" activeCell="AB397" sqref="AB397"/>
    </sheetView>
  </sheetViews>
  <sheetFormatPr baseColWidth="10" defaultRowHeight="16"/>
  <cols>
    <col min="1" max="1" width="14.33203125" customWidth="1"/>
    <col min="3" max="3" width="12.83203125" customWidth="1"/>
    <col min="4" max="4" width="25.1640625" bestFit="1" customWidth="1"/>
    <col min="5" max="5" width="19.33203125" bestFit="1" customWidth="1"/>
    <col min="6" max="6" width="12.5" bestFit="1" customWidth="1"/>
    <col min="7" max="7" width="14.33203125" bestFit="1" customWidth="1"/>
    <col min="8" max="8" width="15.1640625" customWidth="1"/>
    <col min="11" max="11" width="33" customWidth="1"/>
    <col min="13" max="13" width="16.83203125" customWidth="1"/>
    <col min="16" max="16" width="19.33203125" customWidth="1"/>
    <col min="17" max="17" width="10.83203125" style="176"/>
    <col min="20" max="23" width="10.83203125" style="176"/>
    <col min="24" max="24" width="14.33203125" customWidth="1"/>
    <col min="26" max="26" width="255.83203125" bestFit="1" customWidth="1"/>
    <col min="28" max="28" width="14.6640625" customWidth="1"/>
    <col min="31" max="31" width="54.1640625" bestFit="1" customWidth="1"/>
    <col min="32" max="32" width="39.33203125" bestFit="1" customWidth="1"/>
    <col min="36" max="36" width="70.1640625" bestFit="1" customWidth="1"/>
    <col min="37" max="37" width="27.33203125" customWidth="1"/>
    <col min="44" max="44" width="4.1640625" bestFit="1" customWidth="1"/>
    <col min="45" max="45" width="21.1640625" bestFit="1" customWidth="1"/>
    <col min="46" max="46" width="15.5" bestFit="1" customWidth="1"/>
    <col min="47" max="50" width="3.1640625" bestFit="1" customWidth="1"/>
    <col min="51" max="51" width="2.1640625" bestFit="1" customWidth="1"/>
    <col min="52" max="52" width="9" bestFit="1" customWidth="1"/>
    <col min="53" max="53" width="6.33203125" bestFit="1" customWidth="1"/>
    <col min="54" max="54" width="5" bestFit="1" customWidth="1"/>
    <col min="55" max="56" width="3.1640625" bestFit="1" customWidth="1"/>
    <col min="57" max="57" width="2.1640625" bestFit="1" customWidth="1"/>
    <col min="58" max="58" width="3.1640625" bestFit="1" customWidth="1"/>
    <col min="59" max="59" width="2.1640625" bestFit="1" customWidth="1"/>
    <col min="60" max="60" width="8.83203125" bestFit="1" customWidth="1"/>
    <col min="61" max="61" width="10.83203125" bestFit="1" customWidth="1"/>
    <col min="62" max="63" width="2.1640625" bestFit="1" customWidth="1"/>
    <col min="64" max="64" width="11.6640625" bestFit="1" customWidth="1"/>
  </cols>
  <sheetData>
    <row r="1" spans="1:71" ht="68">
      <c r="A1" s="33" t="str">
        <f>'All Girls &amp; Descendants - Edit'!A2</f>
        <v>Father's Loyd Loyd #</v>
      </c>
      <c r="B1" s="33" t="str">
        <f>'All Girls &amp; Descendants - Edit'!B2</f>
        <v>Loyd #</v>
      </c>
      <c r="C1" s="33" t="str">
        <f>'All Girls &amp; Descendants - Edit'!C2</f>
        <v>Loyd ##</v>
      </c>
      <c r="D1" s="33" t="str">
        <f>'All Girls &amp; Descendants - Edit'!D2</f>
        <v>Surname</v>
      </c>
      <c r="E1" s="33" t="str">
        <f>'All Girls &amp; Descendants - Edit'!E2</f>
        <v>1st Name</v>
      </c>
      <c r="F1" s="33" t="str">
        <f>'All Girls &amp; Descendants - Edit'!F2</f>
        <v>2nd Name</v>
      </c>
      <c r="G1" s="33" t="str">
        <f>'All Girls &amp; Descendants - Edit'!G2</f>
        <v>3rd Name</v>
      </c>
      <c r="H1" s="33" t="str">
        <f>'All Girls &amp; Descendants - Edit'!H2</f>
        <v>Known as</v>
      </c>
      <c r="I1" s="33" t="str">
        <f>'All Girls &amp; Descendants - Edit'!I2</f>
        <v>Year of Birth</v>
      </c>
      <c r="J1" s="33" t="str">
        <f>'All Girls &amp; Descendants - Edit'!J2</f>
        <v>Year of Death</v>
      </c>
      <c r="K1" s="33" t="str">
        <f>'All Girls &amp; Descendants - Edit'!K2</f>
        <v>Forename (Loyd#) Yr of B</v>
      </c>
      <c r="L1" s="33" t="str">
        <f>'All Girls &amp; Descendants - Edit'!L2</f>
        <v>DoB</v>
      </c>
      <c r="M1" s="33" t="str">
        <f>'All Girls &amp; Descendants - Edit'!M2</f>
        <v>Dob Entered</v>
      </c>
      <c r="N1" s="33" t="str">
        <f>'All Girls &amp; Descendants - Edit'!N2</f>
        <v xml:space="preserve">DoM </v>
      </c>
      <c r="O1" s="33" t="str">
        <f>'All Girls &amp; Descendants - Edit'!O2</f>
        <v>DoD</v>
      </c>
      <c r="P1" s="33" t="str">
        <f>'All Girls &amp; Descendants - Edit'!R2</f>
        <v>DOD Entered</v>
      </c>
      <c r="Q1" s="174" t="str">
        <f>'All Girls &amp; Descendants - Edit'!Q2</f>
        <v>PARENT's Loyd #</v>
      </c>
      <c r="R1" s="33" t="str">
        <f>'All Girls &amp; Descendants - Edit'!R2</f>
        <v>DOD Entered</v>
      </c>
      <c r="S1" s="33" t="str">
        <f>'All Girls &amp; Descendants - Edit'!S2</f>
        <v>Male/Female</v>
      </c>
      <c r="T1" s="174" t="str">
        <f>'All Girls &amp; Descendants - Edit'!T2</f>
        <v>Generation from William (#1)</v>
      </c>
      <c r="U1" s="174" t="str">
        <f>'All Girls &amp; Descendants - Edit'!U2</f>
        <v>Length</v>
      </c>
      <c r="V1" s="175" t="s">
        <v>2549</v>
      </c>
      <c r="W1" s="175" t="s">
        <v>2877</v>
      </c>
      <c r="X1" s="33" t="str">
        <f>'All Girls &amp; Descendants - Edit'!X2</f>
        <v>Husband/WIFE/Partner</v>
      </c>
      <c r="Y1" s="33" t="str">
        <f>'All Girls &amp; Descendants - Edit'!Y2</f>
        <v>Marriage Notes</v>
      </c>
      <c r="Z1" s="33" t="str">
        <f>'All Girls &amp; Descendants - Edit'!Z2</f>
        <v>Additional Information</v>
      </c>
      <c r="AA1" s="33" t="str">
        <f>'All Girls &amp; Descendants - Edit'!AA2</f>
        <v>Original List  Order #</v>
      </c>
      <c r="AB1" s="33" t="str">
        <f>'All Girls &amp; Descendants - Edit'!AB2</f>
        <v>List # with children/ grandchlidren etc</v>
      </c>
      <c r="AC1" s="33" t="str">
        <f>'All Girls &amp; Descendants - Edit'!AC2</f>
        <v>Book Background Order #</v>
      </c>
      <c r="AD1" s="33" t="str">
        <f>'All Girls &amp; Descendants - Edit'!AD2</f>
        <v>Loyd ##</v>
      </c>
      <c r="AE1" s="33" t="str">
        <f>'All Girls &amp; Descendants - Edit'!AE2</f>
        <v>Birth Name</v>
      </c>
      <c r="AF1" s="33" t="str">
        <f>'All Girls &amp; Descendants - Edit'!AF2</f>
        <v xml:space="preserve">Known as (generation from William #1 and ascendant Loyd #) </v>
      </c>
      <c r="AG1" s="33" t="str">
        <f>'All Girls &amp; Descendants - Edit'!AG2</f>
        <v>Male/Female</v>
      </c>
      <c r="AH1" s="33" t="str">
        <f>'All Girls &amp; Descendants - Edit'!AH2</f>
        <v>Generation from William (#1)</v>
      </c>
      <c r="AI1" s="33" t="str">
        <f>'All Girls &amp; Descendants - Edit'!AI2</f>
        <v>Marriage</v>
      </c>
      <c r="AJ1" s="33" t="str">
        <f>'All Girls &amp; Descendants - Edit'!AJ2</f>
        <v>Additional Information (inc M/F, DoB &amp; Other information)</v>
      </c>
      <c r="AK1" s="33" t="str">
        <f>'All Girls &amp; Descendants - Edit'!AK2</f>
        <v>Birth and Death Dates</v>
      </c>
      <c r="AL1" s="33"/>
      <c r="AM1" s="33"/>
      <c r="AN1" s="33"/>
      <c r="AO1" s="1"/>
      <c r="AS1" s="111" t="s">
        <v>2914</v>
      </c>
      <c r="AT1" s="111" t="s">
        <v>2813</v>
      </c>
      <c r="BN1" s="1"/>
      <c r="BS1" s="1"/>
    </row>
    <row r="2" spans="1:71" ht="19">
      <c r="A2">
        <f>VLOOKUP(B2,'Loyd List 1-190 - Edit'!$P$1:$R$219,3,FALSE)</f>
        <v>1</v>
      </c>
      <c r="B2">
        <f>'All Girls &amp; Descendants - Edit'!B3</f>
        <v>2</v>
      </c>
      <c r="C2" s="98" t="str">
        <f>'All Girls &amp; Descendants - Edit'!C3</f>
        <v>2a</v>
      </c>
      <c r="D2" s="2" t="str">
        <f>'All Girls &amp; Descendants - Edit'!D3</f>
        <v>DAVIES or DANIEL</v>
      </c>
      <c r="E2" t="str">
        <f>'All Girls &amp; Descendants - Edit'!E3</f>
        <v>Lewis</v>
      </c>
      <c r="F2" t="str">
        <f>IF('All Girls &amp; Descendants - Edit'!F3="","",'All Girls &amp; Descendants - Edit'!F3)</f>
        <v/>
      </c>
      <c r="G2" t="str">
        <f>IF('All Girls &amp; Descendants - Edit'!G3="","",'All Girls &amp; Descendants - Edit'!G3)</f>
        <v/>
      </c>
      <c r="H2" t="str">
        <f>IF('All Girls &amp; Descendants - Edit'!H3="","",'All Girls &amp; Descendants - Edit'!H3)</f>
        <v/>
      </c>
      <c r="I2" s="183" t="s">
        <v>3448</v>
      </c>
      <c r="J2" s="183" t="s">
        <v>3448</v>
      </c>
      <c r="K2" s="9"/>
      <c r="L2" t="str">
        <f>IF(M2="","",TEXT(M2,"dd/mm/yyyy"))</f>
        <v>Unknown</v>
      </c>
      <c r="M2" s="3" t="str">
        <f>VLOOKUP($C2,'All Girls &amp; Descendants - Edit'!$C$2:$AK$440,'All Girls &amp; Descendants - Edit'!M$1,FALSE)</f>
        <v>Unknown</v>
      </c>
      <c r="N2" s="3" t="str">
        <f>IF(VLOOKUP($C2,'All Girls &amp; Descendants - Edit'!$C$2:$AK$440,'All Girls &amp; Descendants - Edit'!N$1,FALSE)=""," - ",(VLOOKUP($C2,'All Girls &amp; Descendants - Edit'!$C$2:$AK$440,'All Girls &amp; Descendants - Edit'!N$1,FALSE)))</f>
        <v xml:space="preserve"> - </v>
      </c>
      <c r="O2" s="3" t="str">
        <f>IF(VLOOKUP($C2,'All Girls &amp; Descendants - Edit'!$C$2:$AK$440,'All Girls &amp; Descendants - Edit'!O$1,FALSE)="","",(VLOOKUP($C2,'All Girls &amp; Descendants - Edit'!$C$2:$AK$440,'All Girls &amp; Descendants - Edit'!O$1,FALSE)))</f>
        <v/>
      </c>
      <c r="P2" s="3" t="str">
        <f>IF(O2="","",TEXT(O2,"dd/mm/yyyy"))</f>
        <v/>
      </c>
      <c r="Q2" s="178">
        <v>1</v>
      </c>
      <c r="R2" s="23"/>
      <c r="S2" t="str">
        <f>VLOOKUP($C2,'All Girls &amp; Descendants - Edit'!$C$2:$AK$440,'All Girls &amp; Descendants - Edit'!S$1,FALSE)</f>
        <v>Male</v>
      </c>
      <c r="T2" s="176">
        <f>IF(B2&lt;10,V2+U2-1,IF(AND(B2&gt;=10,B2&lt;100),V2+U2-2,IF(B2&gt;=100,V2+U2-3)))</f>
        <v>2</v>
      </c>
      <c r="U2" s="176">
        <f t="shared" ref="U2:U65" si="0">LEN(C2)</f>
        <v>2</v>
      </c>
      <c r="V2" s="176">
        <f t="shared" ref="V2:V65" si="1">VLOOKUP(B2,Generation,2,FALSE)</f>
        <v>1</v>
      </c>
      <c r="W2" s="177">
        <f t="shared" ref="W2:W65" si="2">IF(LEN(C2)-IF(B2&lt;10,1,IF(AND(B2&gt;9,B2&lt;100),2,3))=1,1,IF(LEN(C2)-IF(B2&lt;10,1,IF(AND(B2&gt;9,B2&lt;100),2,3))=0,"SELF",LEN(C2)-IF(B2&lt;10,1,IF(AND(B2&gt;9,B2&lt;100),2,3))))</f>
        <v>1</v>
      </c>
      <c r="X2" s="3" t="str">
        <f>IF(VLOOKUP($C2,'All Girls &amp; Descendants - Edit'!$C$2:$AK$440,'All Girls &amp; Descendants - Edit'!X$1,FALSE)=""," - ",(VLOOKUP($C2,'All Girls &amp; Descendants - Edit'!$C$2:$AK$440,'All Girls &amp; Descendants - Edit'!X$1,FALSE)))</f>
        <v xml:space="preserve"> - </v>
      </c>
      <c r="Y2" s="3" t="str">
        <f>IF(VLOOKUP($C2,'All Girls &amp; Descendants - Edit'!$C$2:$AK$440,'All Girls &amp; Descendants - Edit'!Y$1,FALSE)=""," - ",(VLOOKUP($C2,'All Girls &amp; Descendants - Edit'!$C$2:$AK$440,'All Girls &amp; Descendants - Edit'!Y$1,FALSE)))</f>
        <v xml:space="preserve"> - </v>
      </c>
      <c r="Z2" s="3" t="str">
        <f>IF(VLOOKUP($C2,'All Girls &amp; Descendants - Edit'!$C$2:$AK$440,'All Girls &amp; Descendants - Edit'!Z$1,FALSE)=""," - ",(VLOOKUP($C2,'All Girls &amp; Descendants - Edit'!$C$2:$AK$440,'All Girls &amp; Descendants - Edit'!Z$1,FALSE)))</f>
        <v>Left 50 shillings in his grandfather's will as was sister Ann (#2b).</v>
      </c>
      <c r="AA2" s="101">
        <f>IF(VLOOKUP($C2,'All Girls &amp; Descendants - Edit'!$C$2:$AK$440,'All Girls &amp; Descendants - Edit'!AA$1,FALSE)=""," - ",(VLOOKUP($C2,'All Girls &amp; Descendants - Edit'!$C$2:$AK$440,'All Girls &amp; Descendants - Edit'!AA$1,FALSE)))</f>
        <v>1</v>
      </c>
      <c r="AB2" s="101">
        <f>IF(VLOOKUP($C2,'All Girls &amp; Descendants - Edit'!$C$2:$AK$440,'All Girls &amp; Descendants - Edit'!AB$1,FALSE)=""," - ",(VLOOKUP($C2,'All Girls &amp; Descendants - Edit'!$C$2:$AK$440,'All Girls &amp; Descendants - Edit'!AB$1,FALSE)))</f>
        <v>1</v>
      </c>
      <c r="AC2" s="101">
        <f>IF(VLOOKUP($C2,'All Girls &amp; Descendants - Edit'!$C$2:$AK$440,'All Girls &amp; Descendants - Edit'!AC$1,FALSE)=""," - ",(VLOOKUP($C2,'All Girls &amp; Descendants - Edit'!$C$2:$AK$440,'All Girls &amp; Descendants - Edit'!AC$1,FALSE)))</f>
        <v>1001</v>
      </c>
      <c r="AD2" s="3" t="str">
        <f>IF(VLOOKUP($C2,'All Girls &amp; Descendants - Edit'!$C$2:$AK$440,'All Girls &amp; Descendants - Edit'!AD$1,FALSE)=""," - ",(VLOOKUP($C2,'All Girls &amp; Descendants - Edit'!$C$2:$AK$440,'All Girls &amp; Descendants - Edit'!AD$1,FALSE)))</f>
        <v>2a</v>
      </c>
      <c r="AE2" s="3" t="str">
        <f>IF(VLOOKUP($C2,'All Girls &amp; Descendants - Edit'!$C$2:$AK$440,'All Girls &amp; Descendants - Edit'!AE$1,FALSE)=""," - ",(VLOOKUP($C2,'All Girls &amp; Descendants - Edit'!$C$2:$AK$440,'All Girls &amp; Descendants - Edit'!AE$1,FALSE)))</f>
        <v>Lewis   DAVIES or DANIEL (Unknown - Unknown)</v>
      </c>
      <c r="AF2" s="3" t="str">
        <f>IF(VLOOKUP($C2,'All Girls &amp; Descendants - Edit'!$C$2:$AK$440,'All Girls &amp; Descendants - Edit'!AF$1,FALSE)=""," - ",(VLOOKUP($C2,'All Girls &amp; Descendants - Edit'!$C$2:$AK$440,'All Girls &amp; Descendants - Edit'!AF$1,FALSE)))</f>
        <v>Lewis DAVIES or DANIEL (2nd &amp; 2)</v>
      </c>
      <c r="AG2" s="3" t="str">
        <f>IF(VLOOKUP($C2,'All Girls &amp; Descendants - Edit'!$C$2:$AK$440,'All Girls &amp; Descendants - Edit'!AG$1,FALSE)=""," - ",(VLOOKUP($C2,'All Girls &amp; Descendants - Edit'!$C$2:$AK$440,'All Girls &amp; Descendants - Edit'!AG$1,FALSE)))</f>
        <v>Male</v>
      </c>
      <c r="AH2" s="3" t="str">
        <f>IF(VLOOKUP($C2,'All Girls &amp; Descendants - Edit'!$C$2:$AK$440,'All Girls &amp; Descendants - Edit'!AH$1,FALSE)=""," - ",(VLOOKUP($C2,'All Girls &amp; Descendants - Edit'!$C$2:$AK$440,'All Girls &amp; Descendants - Edit'!AH$1,FALSE)))</f>
        <v>2nd</v>
      </c>
      <c r="AI2" s="3" t="str">
        <f>IF(VLOOKUP($C2,'All Girls &amp; Descendants - Edit'!$C$2:$AK$440,'All Girls &amp; Descendants - Edit'!AI$1,FALSE)=""," - ",(VLOOKUP($C2,'All Girls &amp; Descendants - Edit'!$C$2:$AK$440,'All Girls &amp; Descendants - Edit'!AI$1,FALSE)))</f>
        <v>Unmarried</v>
      </c>
      <c r="AJ2" s="3" t="str">
        <f>IF(VLOOKUP($C2,'All Girls &amp; Descendants - Edit'!$C$2:$AK$440,'All Girls &amp; Descendants - Edit'!AJ$1,FALSE)=""," - ",(VLOOKUP($C2,'All Girls &amp; Descendants - Edit'!$C$2:$AK$440,'All Girls &amp; Descendants - Edit'!AJ$1,FALSE)))</f>
        <v>Male. b. Unknown, d. Unknown. Left 50 shillings in his grandfather's will as was sister Ann (#2b).</v>
      </c>
      <c r="AK2" s="3" t="str">
        <f>IF(VLOOKUP($C2,'All Girls &amp; Descendants - Edit'!$C$2:$AK$440,'All Girls &amp; Descendants - Edit'!AK$1,FALSE)=""," - ",(VLOOKUP($C2,'All Girls &amp; Descendants - Edit'!$C$2:$AK$440,'All Girls &amp; Descendants - Edit'!AK$1,FALSE)))</f>
        <v>b. Unknown, d. Unknown.</v>
      </c>
      <c r="AO2" s="1"/>
      <c r="AT2" t="s">
        <v>2815</v>
      </c>
      <c r="AZ2" t="s">
        <v>2912</v>
      </c>
      <c r="BA2" t="s">
        <v>2814</v>
      </c>
      <c r="BH2" t="s">
        <v>2913</v>
      </c>
      <c r="BI2" t="s">
        <v>2812</v>
      </c>
      <c r="BS2" s="1"/>
    </row>
    <row r="3" spans="1:71" ht="19">
      <c r="A3">
        <f>VLOOKUP(B3,'Loyd List 1-190 - Edit'!$P$1:$R$219,3,FALSE)</f>
        <v>1</v>
      </c>
      <c r="B3">
        <f>'All Girls &amp; Descendants - Edit'!B4</f>
        <v>2</v>
      </c>
      <c r="C3" s="98" t="str">
        <f>'All Girls &amp; Descendants - Edit'!C4</f>
        <v>2b</v>
      </c>
      <c r="D3" s="2" t="str">
        <f>'All Girls &amp; Descendants - Edit'!D4</f>
        <v>DAVIES or DANIEL</v>
      </c>
      <c r="E3" t="str">
        <f>'All Girls &amp; Descendants - Edit'!E4</f>
        <v>Ann</v>
      </c>
      <c r="F3" t="str">
        <f>IF('All Girls &amp; Descendants - Edit'!F4="","",'All Girls &amp; Descendants - Edit'!F4)</f>
        <v/>
      </c>
      <c r="G3" t="str">
        <f>IF('All Girls &amp; Descendants - Edit'!G4="","",'All Girls &amp; Descendants - Edit'!G4)</f>
        <v/>
      </c>
      <c r="H3" t="str">
        <f>IF('All Girls &amp; Descendants - Edit'!H4="","",'All Girls &amp; Descendants - Edit'!H4)</f>
        <v/>
      </c>
      <c r="I3" s="183" t="s">
        <v>3448</v>
      </c>
      <c r="J3" t="str">
        <f>VLOOKUP($C3,'All Girls &amp; Descendants - Edit'!$C$2:$AK$440,'All Girls &amp; Descendants - Edit'!J$1,FALSE)</f>
        <v>Unknown</v>
      </c>
      <c r="K3" s="9"/>
      <c r="L3" t="str">
        <f>IF(M3="","",TEXT(M3,"dd/mm/yyyy"))</f>
        <v>Unknown</v>
      </c>
      <c r="M3" s="3" t="str">
        <f>VLOOKUP($C3,'All Girls &amp; Descendants - Edit'!$C$2:$AK$440,'All Girls &amp; Descendants - Edit'!M$1,FALSE)</f>
        <v>Unknown</v>
      </c>
      <c r="N3" s="3" t="str">
        <f>IF(VLOOKUP($C3,'All Girls &amp; Descendants - Edit'!$C$2:$AK$440,'All Girls &amp; Descendants - Edit'!N$1,FALSE)=""," - ",(VLOOKUP($C3,'All Girls &amp; Descendants - Edit'!$C$2:$AK$440,'All Girls &amp; Descendants - Edit'!N$1,FALSE)))</f>
        <v xml:space="preserve"> - </v>
      </c>
      <c r="O3" s="3" t="str">
        <f>IF(VLOOKUP($C3,'All Girls &amp; Descendants - Edit'!$C$2:$AK$440,'All Girls &amp; Descendants - Edit'!O$1,FALSE)="","",(VLOOKUP($C3,'All Girls &amp; Descendants - Edit'!$C$2:$AK$440,'All Girls &amp; Descendants - Edit'!O$1,FALSE)))</f>
        <v/>
      </c>
      <c r="P3" s="3" t="str">
        <f t="shared" ref="P3:P66" si="3">IF(O3="","",TEXT(O3,"dd/mm/yyyy"))</f>
        <v/>
      </c>
      <c r="Q3" s="178" t="str">
        <f t="shared" ref="Q3:Q66" si="4">MID(C3,1,LEN(C3)-1)</f>
        <v>2</v>
      </c>
      <c r="R3" s="23"/>
      <c r="S3" t="str">
        <f>VLOOKUP($C3,'All Girls &amp; Descendants - Edit'!$C$2:$AK$440,'All Girls &amp; Descendants - Edit'!S$1,FALSE)</f>
        <v>Female</v>
      </c>
      <c r="T3" s="176">
        <f t="shared" ref="T3:T66" si="5">IF(B3&lt;10,V3+U3-1,IF(AND(B3&gt;=10,B3&lt;100),V3+U3-2,IF(B3&gt;=100,V3+U3-3)))</f>
        <v>2</v>
      </c>
      <c r="U3" s="176">
        <f t="shared" si="0"/>
        <v>2</v>
      </c>
      <c r="V3" s="176">
        <f t="shared" si="1"/>
        <v>1</v>
      </c>
      <c r="W3" s="177">
        <f t="shared" si="2"/>
        <v>1</v>
      </c>
      <c r="X3" s="3" t="str">
        <f>IF(VLOOKUP($C3,'All Girls &amp; Descendants - Edit'!$C$2:$AK$440,'All Girls &amp; Descendants - Edit'!X$1,FALSE)=""," - ",(VLOOKUP($C3,'All Girls &amp; Descendants - Edit'!$C$2:$AK$440,'All Girls &amp; Descendants - Edit'!X$1,FALSE)))</f>
        <v xml:space="preserve"> - </v>
      </c>
      <c r="Y3" s="3" t="str">
        <f>IF(VLOOKUP($C3,'All Girls &amp; Descendants - Edit'!$C$2:$AK$440,'All Girls &amp; Descendants - Edit'!Y$1,FALSE)=""," - ",(VLOOKUP($C3,'All Girls &amp; Descendants - Edit'!$C$2:$AK$440,'All Girls &amp; Descendants - Edit'!Y$1,FALSE)))</f>
        <v xml:space="preserve"> - </v>
      </c>
      <c r="Z3" s="3" t="str">
        <f>IF(VLOOKUP($C3,'All Girls &amp; Descendants - Edit'!$C$2:$AK$440,'All Girls &amp; Descendants - Edit'!Z$1,FALSE)=""," - ",(VLOOKUP($C3,'All Girls &amp; Descendants - Edit'!$C$2:$AK$440,'All Girls &amp; Descendants - Edit'!Z$1,FALSE)))</f>
        <v>Left 50 shillings in her  grandfather's will as was brother Lewis (#2a).</v>
      </c>
      <c r="AA3" s="101">
        <f>IF(VLOOKUP($C3,'All Girls &amp; Descendants - Edit'!$C$2:$AK$440,'All Girls &amp; Descendants - Edit'!AA$1,FALSE)=""," - ",(VLOOKUP($C3,'All Girls &amp; Descendants - Edit'!$C$2:$AK$440,'All Girls &amp; Descendants - Edit'!AA$1,FALSE)))</f>
        <v>5</v>
      </c>
      <c r="AB3" s="101">
        <f>IF(VLOOKUP($C3,'All Girls &amp; Descendants - Edit'!$C$2:$AK$440,'All Girls &amp; Descendants - Edit'!AB$1,FALSE)=""," - ",(VLOOKUP($C3,'All Girls &amp; Descendants - Edit'!$C$2:$AK$440,'All Girls &amp; Descendants - Edit'!AB$1,FALSE)))</f>
        <v>2</v>
      </c>
      <c r="AC3" s="101">
        <f>IF(VLOOKUP($C3,'All Girls &amp; Descendants - Edit'!$C$2:$AK$440,'All Girls &amp; Descendants - Edit'!AC$1,FALSE)=""," - ",(VLOOKUP($C3,'All Girls &amp; Descendants - Edit'!$C$2:$AK$440,'All Girls &amp; Descendants - Edit'!AC$1,FALSE)))</f>
        <v>1002</v>
      </c>
      <c r="AD3" s="3" t="str">
        <f>IF(VLOOKUP($C3,'All Girls &amp; Descendants - Edit'!$C$2:$AK$440,'All Girls &amp; Descendants - Edit'!AD$1,FALSE)=""," - ",(VLOOKUP($C3,'All Girls &amp; Descendants - Edit'!$C$2:$AK$440,'All Girls &amp; Descendants - Edit'!AD$1,FALSE)))</f>
        <v>2b</v>
      </c>
      <c r="AE3" s="3" t="str">
        <f>IF(VLOOKUP($C3,'All Girls &amp; Descendants - Edit'!$C$2:$AK$440,'All Girls &amp; Descendants - Edit'!AE$1,FALSE)=""," - ",(VLOOKUP($C3,'All Girls &amp; Descendants - Edit'!$C$2:$AK$440,'All Girls &amp; Descendants - Edit'!AE$1,FALSE)))</f>
        <v>Ann   DAVIES or DANIEL (Unknown - Unknown)</v>
      </c>
      <c r="AF3" s="3" t="str">
        <f>IF(VLOOKUP($C3,'All Girls &amp; Descendants - Edit'!$C$2:$AK$440,'All Girls &amp; Descendants - Edit'!AF$1,FALSE)=""," - ",(VLOOKUP($C3,'All Girls &amp; Descendants - Edit'!$C$2:$AK$440,'All Girls &amp; Descendants - Edit'!AF$1,FALSE)))</f>
        <v>Ann DAVIES or DANIEL (2nd &amp; 2)</v>
      </c>
      <c r="AG3" s="3" t="str">
        <f>IF(VLOOKUP($C3,'All Girls &amp; Descendants - Edit'!$C$2:$AK$440,'All Girls &amp; Descendants - Edit'!AG$1,FALSE)=""," - ",(VLOOKUP($C3,'All Girls &amp; Descendants - Edit'!$C$2:$AK$440,'All Girls &amp; Descendants - Edit'!AG$1,FALSE)))</f>
        <v>Female</v>
      </c>
      <c r="AH3" s="3" t="str">
        <f>IF(VLOOKUP($C3,'All Girls &amp; Descendants - Edit'!$C$2:$AK$440,'All Girls &amp; Descendants - Edit'!AH$1,FALSE)=""," - ",(VLOOKUP($C3,'All Girls &amp; Descendants - Edit'!$C$2:$AK$440,'All Girls &amp; Descendants - Edit'!AH$1,FALSE)))</f>
        <v>2nd</v>
      </c>
      <c r="AI3" s="3" t="str">
        <f>IF(VLOOKUP($C3,'All Girls &amp; Descendants - Edit'!$C$2:$AK$440,'All Girls &amp; Descendants - Edit'!AI$1,FALSE)=""," - ",(VLOOKUP($C3,'All Girls &amp; Descendants - Edit'!$C$2:$AK$440,'All Girls &amp; Descendants - Edit'!AI$1,FALSE)))</f>
        <v>Unmarried</v>
      </c>
      <c r="AJ3" s="3" t="str">
        <f>IF(VLOOKUP($C3,'All Girls &amp; Descendants - Edit'!$C$2:$AK$440,'All Girls &amp; Descendants - Edit'!AJ$1,FALSE)=""," - ",(VLOOKUP($C3,'All Girls &amp; Descendants - Edit'!$C$2:$AK$440,'All Girls &amp; Descendants - Edit'!AJ$1,FALSE)))</f>
        <v>Female. b. Unknown, d. Unknown. Left 50 shillings in her  grandfather's will as was brother Lewis (#2a).</v>
      </c>
      <c r="AK3" s="3" t="str">
        <f>IF(VLOOKUP($C3,'All Girls &amp; Descendants - Edit'!$C$2:$AK$440,'All Girls &amp; Descendants - Edit'!AK$1,FALSE)=""," - ",(VLOOKUP($C3,'All Girls &amp; Descendants - Edit'!$C$2:$AK$440,'All Girls &amp; Descendants - Edit'!AK$1,FALSE)))</f>
        <v>b. Unknown, d. Unknown.</v>
      </c>
      <c r="AO3" s="1"/>
      <c r="AS3" s="111" t="s">
        <v>2811</v>
      </c>
      <c r="AT3" s="101">
        <v>1</v>
      </c>
      <c r="AU3" s="101">
        <v>2</v>
      </c>
      <c r="AV3" s="101">
        <v>3</v>
      </c>
      <c r="AW3" s="101">
        <v>4</v>
      </c>
      <c r="AX3" s="101">
        <v>5</v>
      </c>
      <c r="AY3" s="101">
        <v>6</v>
      </c>
      <c r="BA3" s="101">
        <v>1</v>
      </c>
      <c r="BB3" s="101" t="s">
        <v>2911</v>
      </c>
      <c r="BC3" s="101">
        <v>2</v>
      </c>
      <c r="BD3" s="101">
        <v>3</v>
      </c>
      <c r="BE3" s="101">
        <v>4</v>
      </c>
      <c r="BF3" s="101">
        <v>5</v>
      </c>
      <c r="BG3" s="101">
        <v>6</v>
      </c>
      <c r="BN3" s="1"/>
      <c r="BS3" s="1"/>
    </row>
    <row r="4" spans="1:71" ht="19">
      <c r="A4">
        <f>VLOOKUP(B4,'Loyd List 1-190 - Edit'!$P$1:$R$219,3,FALSE)</f>
        <v>1</v>
      </c>
      <c r="B4">
        <f>'All Girls &amp; Descendants - Edit'!B5</f>
        <v>2</v>
      </c>
      <c r="C4" s="98" t="str">
        <f>'All Girls &amp; Descendants - Edit'!C5</f>
        <v>2c</v>
      </c>
      <c r="D4" s="2" t="str">
        <f>'All Girls &amp; Descendants - Edit'!D5</f>
        <v>DAVIES or DANIEL</v>
      </c>
      <c r="E4" t="str">
        <f>'All Girls &amp; Descendants - Edit'!E5</f>
        <v>William</v>
      </c>
      <c r="F4" t="str">
        <f>IF('All Girls &amp; Descendants - Edit'!F5="","",'All Girls &amp; Descendants - Edit'!F5)</f>
        <v/>
      </c>
      <c r="G4" t="str">
        <f>IF('All Girls &amp; Descendants - Edit'!G5="","",'All Girls &amp; Descendants - Edit'!G5)</f>
        <v/>
      </c>
      <c r="H4" t="str">
        <f>IF('All Girls &amp; Descendants - Edit'!H5="","",'All Girls &amp; Descendants - Edit'!H5)</f>
        <v/>
      </c>
      <c r="I4">
        <f>VLOOKUP($C4,'All Girls &amp; Descendants - Edit'!$C$2:$AK$440,'All Girls &amp; Descendants - Edit'!I$1,FALSE)</f>
        <v>1800</v>
      </c>
      <c r="J4">
        <f>VLOOKUP($C4,'All Girls &amp; Descendants - Edit'!$C$2:$AK$440,'All Girls &amp; Descendants - Edit'!J$1,FALSE)</f>
        <v>1832</v>
      </c>
      <c r="K4" s="9"/>
      <c r="L4" t="str">
        <f>IF(M4="","",TEXT(M4,"dd/mm/yyyy"))</f>
        <v>04/05/1800</v>
      </c>
      <c r="M4" s="3" t="str">
        <f>VLOOKUP($C4,'All Girls &amp; Descendants - Edit'!$C$2:$AK$440,'All Girls &amp; Descendants - Edit'!M$1,FALSE)</f>
        <v>04/05/1800</v>
      </c>
      <c r="N4" s="3" t="str">
        <f>IF(VLOOKUP($C4,'All Girls &amp; Descendants - Edit'!$C$2:$AK$440,'All Girls &amp; Descendants - Edit'!N$1,FALSE)=""," - ",(VLOOKUP($C4,'All Girls &amp; Descendants - Edit'!$C$2:$AK$440,'All Girls &amp; Descendants - Edit'!N$1,FALSE)))</f>
        <v xml:space="preserve"> - </v>
      </c>
      <c r="O4" s="3" t="str">
        <f>IF(VLOOKUP($C4,'All Girls &amp; Descendants - Edit'!$C$2:$AK$440,'All Girls &amp; Descendants - Edit'!O$1,FALSE)="","",(VLOOKUP($C4,'All Girls &amp; Descendants - Edit'!$C$2:$AK$440,'All Girls &amp; Descendants - Edit'!O$1,FALSE)))</f>
        <v>11/05/1832</v>
      </c>
      <c r="P4" s="3" t="str">
        <f t="shared" si="3"/>
        <v>11/05/1832</v>
      </c>
      <c r="Q4" s="178" t="str">
        <f t="shared" si="4"/>
        <v>2</v>
      </c>
      <c r="R4" s="23"/>
      <c r="S4" t="str">
        <f>VLOOKUP($C4,'All Girls &amp; Descendants - Edit'!$C$2:$AK$440,'All Girls &amp; Descendants - Edit'!S$1,FALSE)</f>
        <v>Male</v>
      </c>
      <c r="T4" s="176">
        <f t="shared" si="5"/>
        <v>2</v>
      </c>
      <c r="U4" s="176">
        <f t="shared" si="0"/>
        <v>2</v>
      </c>
      <c r="V4" s="176">
        <f t="shared" si="1"/>
        <v>1</v>
      </c>
      <c r="W4" s="177">
        <f t="shared" si="2"/>
        <v>1</v>
      </c>
      <c r="X4" s="3" t="str">
        <f>IF(VLOOKUP($C4,'All Girls &amp; Descendants - Edit'!$C$2:$AK$440,'All Girls &amp; Descendants - Edit'!X$1,FALSE)=""," - ",(VLOOKUP($C4,'All Girls &amp; Descendants - Edit'!$C$2:$AK$440,'All Girls &amp; Descendants - Edit'!X$1,FALSE)))</f>
        <v>Elizabeth</v>
      </c>
      <c r="Y4" s="3" t="str">
        <f>IF(VLOOKUP($C4,'All Girls &amp; Descendants - Edit'!$C$2:$AK$440,'All Girls &amp; Descendants - Edit'!Y$1,FALSE)=""," - ",(VLOOKUP($C4,'All Girls &amp; Descendants - Edit'!$C$2:$AK$440,'All Girls &amp; Descendants - Edit'!Y$1,FALSE)))</f>
        <v xml:space="preserve"> - </v>
      </c>
      <c r="Z4" s="3" t="str">
        <f>IF(VLOOKUP($C4,'All Girls &amp; Descendants - Edit'!$C$2:$AK$440,'All Girls &amp; Descendants - Edit'!Z$1,FALSE)=""," - ",(VLOOKUP($C4,'All Girls &amp; Descendants - Edit'!$C$2:$AK$440,'All Girls &amp; Descendants - Edit'!Z$1,FALSE)))</f>
        <v>Baptised 4 May 1800 at Cilycwm.</v>
      </c>
      <c r="AA4" s="101">
        <f>IF(VLOOKUP($C4,'All Girls &amp; Descendants - Edit'!$C$2:$AK$440,'All Girls &amp; Descendants - Edit'!AA$1,FALSE)=""," - ",(VLOOKUP($C4,'All Girls &amp; Descendants - Edit'!$C$2:$AK$440,'All Girls &amp; Descendants - Edit'!AA$1,FALSE)))</f>
        <v>6</v>
      </c>
      <c r="AB4" s="101">
        <f>IF(VLOOKUP($C4,'All Girls &amp; Descendants - Edit'!$C$2:$AK$440,'All Girls &amp; Descendants - Edit'!AB$1,FALSE)=""," - ",(VLOOKUP($C4,'All Girls &amp; Descendants - Edit'!$C$2:$AK$440,'All Girls &amp; Descendants - Edit'!AB$1,FALSE)))</f>
        <v>3</v>
      </c>
      <c r="AC4" s="101">
        <f>IF(VLOOKUP($C4,'All Girls &amp; Descendants - Edit'!$C$2:$AK$440,'All Girls &amp; Descendants - Edit'!AC$1,FALSE)=""," - ",(VLOOKUP($C4,'All Girls &amp; Descendants - Edit'!$C$2:$AK$440,'All Girls &amp; Descendants - Edit'!AC$1,FALSE)))</f>
        <v>1003</v>
      </c>
      <c r="AD4" s="3" t="str">
        <f>IF(VLOOKUP($C4,'All Girls &amp; Descendants - Edit'!$C$2:$AK$440,'All Girls &amp; Descendants - Edit'!AD$1,FALSE)=""," - ",(VLOOKUP($C4,'All Girls &amp; Descendants - Edit'!$C$2:$AK$440,'All Girls &amp; Descendants - Edit'!AD$1,FALSE)))</f>
        <v>2c</v>
      </c>
      <c r="AE4" s="3" t="str">
        <f>IF(VLOOKUP($C4,'All Girls &amp; Descendants - Edit'!$C$2:$AK$440,'All Girls &amp; Descendants - Edit'!AE$1,FALSE)=""," - ",(VLOOKUP($C4,'All Girls &amp; Descendants - Edit'!$C$2:$AK$440,'All Girls &amp; Descendants - Edit'!AE$1,FALSE)))</f>
        <v>William   DAVIES or DANIEL (1800 - 1832)</v>
      </c>
      <c r="AF4" s="3" t="str">
        <f>IF(VLOOKUP($C4,'All Girls &amp; Descendants - Edit'!$C$2:$AK$440,'All Girls &amp; Descendants - Edit'!AF$1,FALSE)=""," - ",(VLOOKUP($C4,'All Girls &amp; Descendants - Edit'!$C$2:$AK$440,'All Girls &amp; Descendants - Edit'!AF$1,FALSE)))</f>
        <v>William DAVIES or DANIEL (2nd &amp; 2)</v>
      </c>
      <c r="AG4" s="3" t="str">
        <f>IF(VLOOKUP($C4,'All Girls &amp; Descendants - Edit'!$C$2:$AK$440,'All Girls &amp; Descendants - Edit'!AG$1,FALSE)=""," - ",(VLOOKUP($C4,'All Girls &amp; Descendants - Edit'!$C$2:$AK$440,'All Girls &amp; Descendants - Edit'!AG$1,FALSE)))</f>
        <v>Male</v>
      </c>
      <c r="AH4" s="3" t="str">
        <f>IF(VLOOKUP($C4,'All Girls &amp; Descendants - Edit'!$C$2:$AK$440,'All Girls &amp; Descendants - Edit'!AH$1,FALSE)=""," - ",(VLOOKUP($C4,'All Girls &amp; Descendants - Edit'!$C$2:$AK$440,'All Girls &amp; Descendants - Edit'!AH$1,FALSE)))</f>
        <v>2nd</v>
      </c>
      <c r="AI4" s="3" t="str">
        <f>IF(VLOOKUP($C4,'All Girls &amp; Descendants - Edit'!$C$2:$AK$440,'All Girls &amp; Descendants - Edit'!AI$1,FALSE)=""," - ",(VLOOKUP($C4,'All Girls &amp; Descendants - Edit'!$C$2:$AK$440,'All Girls &amp; Descendants - Edit'!AI$1,FALSE)))</f>
        <v xml:space="preserve">Wife: Elizabeth. </v>
      </c>
      <c r="AJ4" s="3" t="str">
        <f>IF(VLOOKUP($C4,'All Girls &amp; Descendants - Edit'!$C$2:$AK$440,'All Girls &amp; Descendants - Edit'!AJ$1,FALSE)=""," - ",(VLOOKUP($C4,'All Girls &amp; Descendants - Edit'!$C$2:$AK$440,'All Girls &amp; Descendants - Edit'!AJ$1,FALSE)))</f>
        <v>Male. b. 04/05/1800, d. 11/05/1832. Baptised 4 May 1800 at Cilycwm.</v>
      </c>
      <c r="AK4" s="3" t="str">
        <f>IF(VLOOKUP($C4,'All Girls &amp; Descendants - Edit'!$C$2:$AK$440,'All Girls &amp; Descendants - Edit'!AK$1,FALSE)=""," - ",(VLOOKUP($C4,'All Girls &amp; Descendants - Edit'!$C$2:$AK$440,'All Girls &amp; Descendants - Edit'!AK$1,FALSE)))</f>
        <v>b. 04/05/1800, d. 11/05/1832.</v>
      </c>
      <c r="AO4" s="1"/>
      <c r="AS4" s="72">
        <v>2</v>
      </c>
      <c r="AT4">
        <v>2</v>
      </c>
      <c r="AU4">
        <v>1</v>
      </c>
      <c r="AV4">
        <v>3</v>
      </c>
      <c r="AW4">
        <v>1</v>
      </c>
      <c r="AX4">
        <v>1</v>
      </c>
      <c r="AY4">
        <v>2</v>
      </c>
      <c r="AZ4">
        <v>10</v>
      </c>
      <c r="BA4">
        <v>1</v>
      </c>
      <c r="BB4">
        <v>1</v>
      </c>
      <c r="BC4">
        <v>1</v>
      </c>
      <c r="BE4">
        <v>2</v>
      </c>
      <c r="BF4">
        <v>2</v>
      </c>
      <c r="BG4">
        <v>1</v>
      </c>
      <c r="BH4">
        <v>8</v>
      </c>
      <c r="BI4">
        <v>18</v>
      </c>
      <c r="BS4" s="1"/>
    </row>
    <row r="5" spans="1:71" ht="19">
      <c r="A5">
        <f>VLOOKUP(B5,'Loyd List 1-190 - Edit'!$P$1:$R$219,3,FALSE)</f>
        <v>8</v>
      </c>
      <c r="B5">
        <f>'All Girls &amp; Descendants - Edit'!B6</f>
        <v>11</v>
      </c>
      <c r="C5" s="98" t="str">
        <f>'All Girls &amp; Descendants - Edit'!C6</f>
        <v>11a</v>
      </c>
      <c r="D5" s="2" t="str">
        <f>'All Girls &amp; Descendants - Edit'!D6</f>
        <v>BENYON</v>
      </c>
      <c r="E5" t="str">
        <f>'All Girls &amp; Descendants - Edit'!E6</f>
        <v>Emma</v>
      </c>
      <c r="F5" t="str">
        <f>IF('All Girls &amp; Descendants - Edit'!F6="","",'All Girls &amp; Descendants - Edit'!F6)</f>
        <v/>
      </c>
      <c r="G5" t="str">
        <f>IF('All Girls &amp; Descendants - Edit'!G6="","",'All Girls &amp; Descendants - Edit'!G6)</f>
        <v/>
      </c>
      <c r="H5" t="str">
        <f>IF('All Girls &amp; Descendants - Edit'!H6="","",'All Girls &amp; Descendants - Edit'!H6)</f>
        <v/>
      </c>
      <c r="I5">
        <f>VLOOKUP($C5,'All Girls &amp; Descendants - Edit'!$C$2:$AK$440,'All Girls &amp; Descendants - Edit'!I$1,FALSE)</f>
        <v>1838</v>
      </c>
      <c r="J5">
        <f>VLOOKUP($C5,'All Girls &amp; Descendants - Edit'!$C$2:$AK$440,'All Girls &amp; Descendants - Edit'!J$1,FALSE)</f>
        <v>1913</v>
      </c>
      <c r="K5" s="9"/>
      <c r="L5" t="str">
        <f>IF(M5="","",TEXT(M5,"dd/mm/yyyy"))</f>
        <v>09/03/1838</v>
      </c>
      <c r="M5" s="3" t="str">
        <f>VLOOKUP($C5,'All Girls &amp; Descendants - Edit'!$C$2:$AK$440,'All Girls &amp; Descendants - Edit'!M$1,FALSE)</f>
        <v>09/03/1838</v>
      </c>
      <c r="N5" s="3" t="str">
        <f>IF(VLOOKUP($C5,'All Girls &amp; Descendants - Edit'!$C$2:$AK$440,'All Girls &amp; Descendants - Edit'!N$1,FALSE)=""," - ",(VLOOKUP($C5,'All Girls &amp; Descendants - Edit'!$C$2:$AK$440,'All Girls &amp; Descendants - Edit'!N$1,FALSE)))</f>
        <v>Unmarried</v>
      </c>
      <c r="O5" s="3">
        <f>IF(VLOOKUP($C5,'All Girls &amp; Descendants - Edit'!$C$2:$AK$440,'All Girls &amp; Descendants - Edit'!O$1,FALSE)="","",(VLOOKUP($C5,'All Girls &amp; Descendants - Edit'!$C$2:$AK$440,'All Girls &amp; Descendants - Edit'!O$1,FALSE)))</f>
        <v>5016</v>
      </c>
      <c r="P5" s="3" t="str">
        <f t="shared" si="3"/>
        <v>24/09/1913</v>
      </c>
      <c r="Q5" s="178" t="str">
        <f t="shared" si="4"/>
        <v>11</v>
      </c>
      <c r="R5" s="23"/>
      <c r="S5" t="str">
        <f>VLOOKUP($C5,'All Girls &amp; Descendants - Edit'!$C$2:$AK$440,'All Girls &amp; Descendants - Edit'!S$1,FALSE)</f>
        <v>Female</v>
      </c>
      <c r="T5" s="176">
        <f t="shared" si="5"/>
        <v>3</v>
      </c>
      <c r="U5" s="176">
        <f t="shared" si="0"/>
        <v>3</v>
      </c>
      <c r="V5" s="176">
        <f t="shared" si="1"/>
        <v>2</v>
      </c>
      <c r="W5" s="177">
        <f t="shared" si="2"/>
        <v>1</v>
      </c>
      <c r="X5" s="3" t="str">
        <f>IF(VLOOKUP($C5,'All Girls &amp; Descendants - Edit'!$C$2:$AK$440,'All Girls &amp; Descendants - Edit'!X$1,FALSE)=""," - ",(VLOOKUP($C5,'All Girls &amp; Descendants - Edit'!$C$2:$AK$440,'All Girls &amp; Descendants - Edit'!X$1,FALSE)))</f>
        <v xml:space="preserve"> - </v>
      </c>
      <c r="Y5" s="3" t="str">
        <f>IF(VLOOKUP($C5,'All Girls &amp; Descendants - Edit'!$C$2:$AK$440,'All Girls &amp; Descendants - Edit'!Y$1,FALSE)=""," - ",(VLOOKUP($C5,'All Girls &amp; Descendants - Edit'!$C$2:$AK$440,'All Girls &amp; Descendants - Edit'!Y$1,FALSE)))</f>
        <v xml:space="preserve"> - </v>
      </c>
      <c r="Z5" s="3" t="str">
        <f>IF(VLOOKUP($C5,'All Girls &amp; Descendants - Edit'!$C$2:$AK$440,'All Girls &amp; Descendants - Edit'!Z$1,FALSE)=""," - ",(VLOOKUP($C5,'All Girls &amp; Descendants - Edit'!$C$2:$AK$440,'All Girls &amp; Descendants - Edit'!Z$1,FALSE)))</f>
        <v>Buried at St Peter’s, Bournemouth.</v>
      </c>
      <c r="AA5" s="101">
        <f>IF(VLOOKUP($C5,'All Girls &amp; Descendants - Edit'!$C$2:$AK$440,'All Girls &amp; Descendants - Edit'!AA$1,FALSE)=""," - ",(VLOOKUP($C5,'All Girls &amp; Descendants - Edit'!$C$2:$AK$440,'All Girls &amp; Descendants - Edit'!AA$1,FALSE)))</f>
        <v>18</v>
      </c>
      <c r="AB5" s="101">
        <f>IF(VLOOKUP($C5,'All Girls &amp; Descendants - Edit'!$C$2:$AK$440,'All Girls &amp; Descendants - Edit'!AB$1,FALSE)=""," - ",(VLOOKUP($C5,'All Girls &amp; Descendants - Edit'!$C$2:$AK$440,'All Girls &amp; Descendants - Edit'!AB$1,FALSE)))</f>
        <v>4</v>
      </c>
      <c r="AC5" s="101">
        <f>IF(VLOOKUP($C5,'All Girls &amp; Descendants - Edit'!$C$2:$AK$440,'All Girls &amp; Descendants - Edit'!AC$1,FALSE)=""," - ",(VLOOKUP($C5,'All Girls &amp; Descendants - Edit'!$C$2:$AK$440,'All Girls &amp; Descendants - Edit'!AC$1,FALSE)))</f>
        <v>1004</v>
      </c>
      <c r="AD5" s="3" t="str">
        <f>IF(VLOOKUP($C5,'All Girls &amp; Descendants - Edit'!$C$2:$AK$440,'All Girls &amp; Descendants - Edit'!AD$1,FALSE)=""," - ",(VLOOKUP($C5,'All Girls &amp; Descendants - Edit'!$C$2:$AK$440,'All Girls &amp; Descendants - Edit'!AD$1,FALSE)))</f>
        <v>11a</v>
      </c>
      <c r="AE5" s="3" t="str">
        <f>IF(VLOOKUP($C5,'All Girls &amp; Descendants - Edit'!$C$2:$AK$440,'All Girls &amp; Descendants - Edit'!AE$1,FALSE)=""," - ",(VLOOKUP($C5,'All Girls &amp; Descendants - Edit'!$C$2:$AK$440,'All Girls &amp; Descendants - Edit'!AE$1,FALSE)))</f>
        <v>Emma   BENYON (1838 - 1913)</v>
      </c>
      <c r="AF5" s="3" t="str">
        <f>IF(VLOOKUP($C5,'All Girls &amp; Descendants - Edit'!$C$2:$AK$440,'All Girls &amp; Descendants - Edit'!AF$1,FALSE)=""," - ",(VLOOKUP($C5,'All Girls &amp; Descendants - Edit'!$C$2:$AK$440,'All Girls &amp; Descendants - Edit'!AF$1,FALSE)))</f>
        <v>Emma BENYON (3rd &amp; 11)</v>
      </c>
      <c r="AG5" s="3" t="str">
        <f>IF(VLOOKUP($C5,'All Girls &amp; Descendants - Edit'!$C$2:$AK$440,'All Girls &amp; Descendants - Edit'!AG$1,FALSE)=""," - ",(VLOOKUP($C5,'All Girls &amp; Descendants - Edit'!$C$2:$AK$440,'All Girls &amp; Descendants - Edit'!AG$1,FALSE)))</f>
        <v>Female</v>
      </c>
      <c r="AH5" s="3" t="str">
        <f>IF(VLOOKUP($C5,'All Girls &amp; Descendants - Edit'!$C$2:$AK$440,'All Girls &amp; Descendants - Edit'!AH$1,FALSE)=""," - ",(VLOOKUP($C5,'All Girls &amp; Descendants - Edit'!$C$2:$AK$440,'All Girls &amp; Descendants - Edit'!AH$1,FALSE)))</f>
        <v>3rd</v>
      </c>
      <c r="AI5" s="3" t="str">
        <f>IF(VLOOKUP($C5,'All Girls &amp; Descendants - Edit'!$C$2:$AK$440,'All Girls &amp; Descendants - Edit'!AI$1,FALSE)=""," - ",(VLOOKUP($C5,'All Girls &amp; Descendants - Edit'!$C$2:$AK$440,'All Girls &amp; Descendants - Edit'!AI$1,FALSE)))</f>
        <v>Unmarried</v>
      </c>
      <c r="AJ5" s="3" t="str">
        <f>IF(VLOOKUP($C5,'All Girls &amp; Descendants - Edit'!$C$2:$AK$440,'All Girls &amp; Descendants - Edit'!AJ$1,FALSE)=""," - ",(VLOOKUP($C5,'All Girls &amp; Descendants - Edit'!$C$2:$AK$440,'All Girls &amp; Descendants - Edit'!AJ$1,FALSE)))</f>
        <v>Female. b. 09/03/1838, d. 24/09/1913. Buried at St Peter’s, Bournemouth.</v>
      </c>
      <c r="AK5" s="3" t="str">
        <f>IF(VLOOKUP($C5,'All Girls &amp; Descendants - Edit'!$C$2:$AK$440,'All Girls &amp; Descendants - Edit'!AK$1,FALSE)=""," - ",(VLOOKUP($C5,'All Girls &amp; Descendants - Edit'!$C$2:$AK$440,'All Girls &amp; Descendants - Edit'!AK$1,FALSE)))</f>
        <v>b. 09/03/1838, d. 24/09/1913.</v>
      </c>
      <c r="AO5" s="1"/>
      <c r="AS5" s="72">
        <v>5</v>
      </c>
      <c r="BB5">
        <v>1</v>
      </c>
      <c r="BH5">
        <v>1</v>
      </c>
      <c r="BI5">
        <v>1</v>
      </c>
      <c r="BN5" s="1"/>
      <c r="BS5" s="1"/>
    </row>
    <row r="6" spans="1:71" ht="19">
      <c r="A6">
        <f>VLOOKUP(B6,'Loyd List 1-190 - Edit'!$P$1:$R$219,3,FALSE)</f>
        <v>8</v>
      </c>
      <c r="B6">
        <f>'All Girls &amp; Descendants - Edit'!B7</f>
        <v>11</v>
      </c>
      <c r="C6" s="98" t="str">
        <f>'All Girls &amp; Descendants - Edit'!C7</f>
        <v>11b</v>
      </c>
      <c r="D6" s="2" t="str">
        <f>'All Girls &amp; Descendants - Edit'!D7</f>
        <v>BENYON</v>
      </c>
      <c r="E6" t="str">
        <f>'All Girls &amp; Descendants - Edit'!E7</f>
        <v>Sarah</v>
      </c>
      <c r="F6" t="str">
        <f>IF('All Girls &amp; Descendants - Edit'!F7="","",'All Girls &amp; Descendants - Edit'!F7)</f>
        <v/>
      </c>
      <c r="G6" t="str">
        <f>IF('All Girls &amp; Descendants - Edit'!G7="","",'All Girls &amp; Descendants - Edit'!G7)</f>
        <v/>
      </c>
      <c r="H6" t="str">
        <f>IF('All Girls &amp; Descendants - Edit'!H7="","",'All Girls &amp; Descendants - Edit'!H7)</f>
        <v/>
      </c>
      <c r="I6">
        <f>VLOOKUP($C6,'All Girls &amp; Descendants - Edit'!$C$2:$AK$440,'All Girls &amp; Descendants - Edit'!I$1,FALSE)</f>
        <v>1839</v>
      </c>
      <c r="J6">
        <f>VLOOKUP($C6,'All Girls &amp; Descendants - Edit'!$C$2:$AK$440,'All Girls &amp; Descendants - Edit'!J$1,FALSE)</f>
        <v>1863</v>
      </c>
      <c r="K6" s="9"/>
      <c r="L6" t="str">
        <f t="shared" ref="L6:L22" si="6">IF(M6="","",TEXT(M6,"dd/mm/yyyy"))</f>
        <v>02/09/1839</v>
      </c>
      <c r="M6" s="3" t="str">
        <f>VLOOKUP($C6,'All Girls &amp; Descendants - Edit'!$C$2:$AK$440,'All Girls &amp; Descendants - Edit'!M$1,FALSE)</f>
        <v>02/09/1839</v>
      </c>
      <c r="N6" s="3" t="str">
        <f>IF(VLOOKUP($C6,'All Girls &amp; Descendants - Edit'!$C$2:$AK$440,'All Girls &amp; Descendants - Edit'!N$1,FALSE)=""," - ",(VLOOKUP($C6,'All Girls &amp; Descendants - Edit'!$C$2:$AK$440,'All Girls &amp; Descendants - Edit'!N$1,FALSE)))</f>
        <v>Unmarried</v>
      </c>
      <c r="O6" s="3" t="str">
        <f>IF(VLOOKUP($C6,'All Girls &amp; Descendants - Edit'!$C$2:$AK$440,'All Girls &amp; Descendants - Edit'!O$1,FALSE)="","",(VLOOKUP($C6,'All Girls &amp; Descendants - Edit'!$C$2:$AK$440,'All Girls &amp; Descendants - Edit'!O$1,FALSE)))</f>
        <v>01/05/1863</v>
      </c>
      <c r="P6" s="3" t="str">
        <f t="shared" si="3"/>
        <v>01/05/1863</v>
      </c>
      <c r="Q6" s="178" t="str">
        <f t="shared" si="4"/>
        <v>11</v>
      </c>
      <c r="R6" s="23"/>
      <c r="S6" t="str">
        <f>VLOOKUP($C6,'All Girls &amp; Descendants - Edit'!$C$2:$AK$440,'All Girls &amp; Descendants - Edit'!S$1,FALSE)</f>
        <v>Female</v>
      </c>
      <c r="T6" s="176">
        <f t="shared" si="5"/>
        <v>3</v>
      </c>
      <c r="U6" s="176">
        <f t="shared" si="0"/>
        <v>3</v>
      </c>
      <c r="V6" s="176">
        <f t="shared" si="1"/>
        <v>2</v>
      </c>
      <c r="W6" s="177">
        <f t="shared" si="2"/>
        <v>1</v>
      </c>
      <c r="X6" s="3" t="str">
        <f>IF(VLOOKUP($C6,'All Girls &amp; Descendants - Edit'!$C$2:$AK$440,'All Girls &amp; Descendants - Edit'!X$1,FALSE)=""," - ",(VLOOKUP($C6,'All Girls &amp; Descendants - Edit'!$C$2:$AK$440,'All Girls &amp; Descendants - Edit'!X$1,FALSE)))</f>
        <v xml:space="preserve"> - </v>
      </c>
      <c r="Y6" s="3" t="str">
        <f>IF(VLOOKUP($C6,'All Girls &amp; Descendants - Edit'!$C$2:$AK$440,'All Girls &amp; Descendants - Edit'!Y$1,FALSE)=""," - ",(VLOOKUP($C6,'All Girls &amp; Descendants - Edit'!$C$2:$AK$440,'All Girls &amp; Descendants - Edit'!Y$1,FALSE)))</f>
        <v xml:space="preserve"> - </v>
      </c>
      <c r="Z6" s="3" t="str">
        <f>IF(VLOOKUP($C6,'All Girls &amp; Descendants - Edit'!$C$2:$AK$440,'All Girls &amp; Descendants - Edit'!Z$1,FALSE)=""," - ",(VLOOKUP($C6,'All Girls &amp; Descendants - Edit'!$C$2:$AK$440,'All Girls &amp; Descendants - Edit'!Z$1,FALSE)))</f>
        <v>Buried in Willesden Cemetery.</v>
      </c>
      <c r="AA6" s="101">
        <f>IF(VLOOKUP($C6,'All Girls &amp; Descendants - Edit'!$C$2:$AK$440,'All Girls &amp; Descendants - Edit'!AA$1,FALSE)=""," - ",(VLOOKUP($C6,'All Girls &amp; Descendants - Edit'!$C$2:$AK$440,'All Girls &amp; Descendants - Edit'!AA$1,FALSE)))</f>
        <v>19</v>
      </c>
      <c r="AB6" s="101">
        <f>IF(VLOOKUP($C6,'All Girls &amp; Descendants - Edit'!$C$2:$AK$440,'All Girls &amp; Descendants - Edit'!AB$1,FALSE)=""," - ",(VLOOKUP($C6,'All Girls &amp; Descendants - Edit'!$C$2:$AK$440,'All Girls &amp; Descendants - Edit'!AB$1,FALSE)))</f>
        <v>5</v>
      </c>
      <c r="AC6" s="101">
        <f>IF(VLOOKUP($C6,'All Girls &amp; Descendants - Edit'!$C$2:$AK$440,'All Girls &amp; Descendants - Edit'!AC$1,FALSE)=""," - ",(VLOOKUP($C6,'All Girls &amp; Descendants - Edit'!$C$2:$AK$440,'All Girls &amp; Descendants - Edit'!AC$1,FALSE)))</f>
        <v>1005</v>
      </c>
      <c r="AD6" s="3" t="str">
        <f>IF(VLOOKUP($C6,'All Girls &amp; Descendants - Edit'!$C$2:$AK$440,'All Girls &amp; Descendants - Edit'!AD$1,FALSE)=""," - ",(VLOOKUP($C6,'All Girls &amp; Descendants - Edit'!$C$2:$AK$440,'All Girls &amp; Descendants - Edit'!AD$1,FALSE)))</f>
        <v>11b</v>
      </c>
      <c r="AE6" s="3" t="str">
        <f>IF(VLOOKUP($C6,'All Girls &amp; Descendants - Edit'!$C$2:$AK$440,'All Girls &amp; Descendants - Edit'!AE$1,FALSE)=""," - ",(VLOOKUP($C6,'All Girls &amp; Descendants - Edit'!$C$2:$AK$440,'All Girls &amp; Descendants - Edit'!AE$1,FALSE)))</f>
        <v>Sarah   BENYON (1839 - 1863)</v>
      </c>
      <c r="AF6" s="3" t="str">
        <f>IF(VLOOKUP($C6,'All Girls &amp; Descendants - Edit'!$C$2:$AK$440,'All Girls &amp; Descendants - Edit'!AF$1,FALSE)=""," - ",(VLOOKUP($C6,'All Girls &amp; Descendants - Edit'!$C$2:$AK$440,'All Girls &amp; Descendants - Edit'!AF$1,FALSE)))</f>
        <v>Sarah BENYON (3rd &amp; 11)</v>
      </c>
      <c r="AG6" s="3" t="str">
        <f>IF(VLOOKUP($C6,'All Girls &amp; Descendants - Edit'!$C$2:$AK$440,'All Girls &amp; Descendants - Edit'!AG$1,FALSE)=""," - ",(VLOOKUP($C6,'All Girls &amp; Descendants - Edit'!$C$2:$AK$440,'All Girls &amp; Descendants - Edit'!AG$1,FALSE)))</f>
        <v>Female</v>
      </c>
      <c r="AH6" s="3" t="str">
        <f>IF(VLOOKUP($C6,'All Girls &amp; Descendants - Edit'!$C$2:$AK$440,'All Girls &amp; Descendants - Edit'!AH$1,FALSE)=""," - ",(VLOOKUP($C6,'All Girls &amp; Descendants - Edit'!$C$2:$AK$440,'All Girls &amp; Descendants - Edit'!AH$1,FALSE)))</f>
        <v>3rd</v>
      </c>
      <c r="AI6" s="3" t="str">
        <f>IF(VLOOKUP($C6,'All Girls &amp; Descendants - Edit'!$C$2:$AK$440,'All Girls &amp; Descendants - Edit'!AI$1,FALSE)=""," - ",(VLOOKUP($C6,'All Girls &amp; Descendants - Edit'!$C$2:$AK$440,'All Girls &amp; Descendants - Edit'!AI$1,FALSE)))</f>
        <v>Unmarried</v>
      </c>
      <c r="AJ6" s="3" t="str">
        <f>IF(VLOOKUP($C6,'All Girls &amp; Descendants - Edit'!$C$2:$AK$440,'All Girls &amp; Descendants - Edit'!AJ$1,FALSE)=""," - ",(VLOOKUP($C6,'All Girls &amp; Descendants - Edit'!$C$2:$AK$440,'All Girls &amp; Descendants - Edit'!AJ$1,FALSE)))</f>
        <v>Female. b. 02/09/1839, d. 01/05/1863. Buried in Willesden Cemetery.</v>
      </c>
      <c r="AK6" s="3" t="str">
        <f>IF(VLOOKUP($C6,'All Girls &amp; Descendants - Edit'!$C$2:$AK$440,'All Girls &amp; Descendants - Edit'!AK$1,FALSE)=""," - ",(VLOOKUP($C6,'All Girls &amp; Descendants - Edit'!$C$2:$AK$440,'All Girls &amp; Descendants - Edit'!AK$1,FALSE)))</f>
        <v>b. 02/09/1839, d. 01/05/1863.</v>
      </c>
      <c r="AO6" s="1"/>
      <c r="AS6" s="72">
        <v>7</v>
      </c>
      <c r="BB6">
        <v>1</v>
      </c>
      <c r="BH6">
        <v>1</v>
      </c>
      <c r="BI6">
        <v>1</v>
      </c>
      <c r="BS6" s="1"/>
    </row>
    <row r="7" spans="1:71" ht="19">
      <c r="A7">
        <f>VLOOKUP(B7,'Loyd List 1-190 - Edit'!$P$1:$R$219,3,FALSE)</f>
        <v>8</v>
      </c>
      <c r="B7">
        <f>'All Girls &amp; Descendants - Edit'!B8</f>
        <v>11</v>
      </c>
      <c r="C7" s="98" t="str">
        <f>'All Girls &amp; Descendants - Edit'!C8</f>
        <v>11c</v>
      </c>
      <c r="D7" s="2" t="str">
        <f>'All Girls &amp; Descendants - Edit'!D8</f>
        <v>BENYON</v>
      </c>
      <c r="E7" t="str">
        <f>'All Girls &amp; Descendants - Edit'!E8</f>
        <v>Henry</v>
      </c>
      <c r="F7" t="str">
        <f>IF('All Girls &amp; Descendants - Edit'!F8="","",'All Girls &amp; Descendants - Edit'!F8)</f>
        <v/>
      </c>
      <c r="G7" t="str">
        <f>IF('All Girls &amp; Descendants - Edit'!G8="","",'All Girls &amp; Descendants - Edit'!G8)</f>
        <v/>
      </c>
      <c r="H7" t="str">
        <f>IF('All Girls &amp; Descendants - Edit'!H8="","",'All Girls &amp; Descendants - Edit'!H8)</f>
        <v/>
      </c>
      <c r="I7">
        <f>VLOOKUP($C7,'All Girls &amp; Descendants - Edit'!$C$2:$AK$440,'All Girls &amp; Descendants - Edit'!I$1,FALSE)</f>
        <v>1841</v>
      </c>
      <c r="J7">
        <f>VLOOKUP($C7,'All Girls &amp; Descendants - Edit'!$C$2:$AK$440,'All Girls &amp; Descendants - Edit'!J$1,FALSE)</f>
        <v>1861</v>
      </c>
      <c r="K7" s="9"/>
      <c r="L7" t="str">
        <f t="shared" si="6"/>
        <v>15/01/1841</v>
      </c>
      <c r="M7" s="3" t="str">
        <f>VLOOKUP($C7,'All Girls &amp; Descendants - Edit'!$C$2:$AK$440,'All Girls &amp; Descendants - Edit'!M$1,FALSE)</f>
        <v>15/01/1841</v>
      </c>
      <c r="N7" s="3" t="str">
        <f>IF(VLOOKUP($C7,'All Girls &amp; Descendants - Edit'!$C$2:$AK$440,'All Girls &amp; Descendants - Edit'!N$1,FALSE)=""," - ",(VLOOKUP($C7,'All Girls &amp; Descendants - Edit'!$C$2:$AK$440,'All Girls &amp; Descendants - Edit'!N$1,FALSE)))</f>
        <v>Unmarried</v>
      </c>
      <c r="O7" s="3" t="str">
        <f>IF(VLOOKUP($C7,'All Girls &amp; Descendants - Edit'!$C$2:$AK$440,'All Girls &amp; Descendants - Edit'!O$1,FALSE)="","",(VLOOKUP($C7,'All Girls &amp; Descendants - Edit'!$C$2:$AK$440,'All Girls &amp; Descendants - Edit'!O$1,FALSE)))</f>
        <v>01/03/1861</v>
      </c>
      <c r="P7" s="3" t="str">
        <f t="shared" si="3"/>
        <v>01/03/1861</v>
      </c>
      <c r="Q7" s="178" t="str">
        <f t="shared" si="4"/>
        <v>11</v>
      </c>
      <c r="R7" s="23"/>
      <c r="S7" t="str">
        <f>VLOOKUP($C7,'All Girls &amp; Descendants - Edit'!$C$2:$AK$440,'All Girls &amp; Descendants - Edit'!S$1,FALSE)</f>
        <v>Male</v>
      </c>
      <c r="T7" s="176">
        <f t="shared" si="5"/>
        <v>3</v>
      </c>
      <c r="U7" s="176">
        <f t="shared" si="0"/>
        <v>3</v>
      </c>
      <c r="V7" s="176">
        <f t="shared" si="1"/>
        <v>2</v>
      </c>
      <c r="W7" s="177">
        <f t="shared" si="2"/>
        <v>1</v>
      </c>
      <c r="X7" s="3" t="str">
        <f>IF(VLOOKUP($C7,'All Girls &amp; Descendants - Edit'!$C$2:$AK$440,'All Girls &amp; Descendants - Edit'!X$1,FALSE)=""," - ",(VLOOKUP($C7,'All Girls &amp; Descendants - Edit'!$C$2:$AK$440,'All Girls &amp; Descendants - Edit'!X$1,FALSE)))</f>
        <v xml:space="preserve"> - </v>
      </c>
      <c r="Y7" s="3" t="str">
        <f>IF(VLOOKUP($C7,'All Girls &amp; Descendants - Edit'!$C$2:$AK$440,'All Girls &amp; Descendants - Edit'!Y$1,FALSE)=""," - ",(VLOOKUP($C7,'All Girls &amp; Descendants - Edit'!$C$2:$AK$440,'All Girls &amp; Descendants - Edit'!Y$1,FALSE)))</f>
        <v xml:space="preserve"> - </v>
      </c>
      <c r="Z7" s="3" t="str">
        <f>IF(VLOOKUP($C7,'All Girls &amp; Descendants - Edit'!$C$2:$AK$440,'All Girls &amp; Descendants - Edit'!Z$1,FALSE)=""," - ",(VLOOKUP($C7,'All Girls &amp; Descendants - Edit'!$C$2:$AK$440,'All Girls &amp; Descendants - Edit'!Z$1,FALSE)))</f>
        <v>Buried at St Peter’s, Bournemouth.</v>
      </c>
      <c r="AA7" s="101">
        <f>IF(VLOOKUP($C7,'All Girls &amp; Descendants - Edit'!$C$2:$AK$440,'All Girls &amp; Descendants - Edit'!AA$1,FALSE)=""," - ",(VLOOKUP($C7,'All Girls &amp; Descendants - Edit'!$C$2:$AK$440,'All Girls &amp; Descendants - Edit'!AA$1,FALSE)))</f>
        <v>20</v>
      </c>
      <c r="AB7" s="101">
        <f>IF(VLOOKUP($C7,'All Girls &amp; Descendants - Edit'!$C$2:$AK$440,'All Girls &amp; Descendants - Edit'!AB$1,FALSE)=""," - ",(VLOOKUP($C7,'All Girls &amp; Descendants - Edit'!$C$2:$AK$440,'All Girls &amp; Descendants - Edit'!AB$1,FALSE)))</f>
        <v>6</v>
      </c>
      <c r="AC7" s="101">
        <f>IF(VLOOKUP($C7,'All Girls &amp; Descendants - Edit'!$C$2:$AK$440,'All Girls &amp; Descendants - Edit'!AC$1,FALSE)=""," - ",(VLOOKUP($C7,'All Girls &amp; Descendants - Edit'!$C$2:$AK$440,'All Girls &amp; Descendants - Edit'!AC$1,FALSE)))</f>
        <v>1006</v>
      </c>
      <c r="AD7" s="3" t="str">
        <f>IF(VLOOKUP($C7,'All Girls &amp; Descendants - Edit'!$C$2:$AK$440,'All Girls &amp; Descendants - Edit'!AD$1,FALSE)=""," - ",(VLOOKUP($C7,'All Girls &amp; Descendants - Edit'!$C$2:$AK$440,'All Girls &amp; Descendants - Edit'!AD$1,FALSE)))</f>
        <v>11c</v>
      </c>
      <c r="AE7" s="3" t="str">
        <f>IF(VLOOKUP($C7,'All Girls &amp; Descendants - Edit'!$C$2:$AK$440,'All Girls &amp; Descendants - Edit'!AE$1,FALSE)=""," - ",(VLOOKUP($C7,'All Girls &amp; Descendants - Edit'!$C$2:$AK$440,'All Girls &amp; Descendants - Edit'!AE$1,FALSE)))</f>
        <v>Henry   BENYON (1841 - 1861)</v>
      </c>
      <c r="AF7" s="3" t="str">
        <f>IF(VLOOKUP($C7,'All Girls &amp; Descendants - Edit'!$C$2:$AK$440,'All Girls &amp; Descendants - Edit'!AF$1,FALSE)=""," - ",(VLOOKUP($C7,'All Girls &amp; Descendants - Edit'!$C$2:$AK$440,'All Girls &amp; Descendants - Edit'!AF$1,FALSE)))</f>
        <v>Henry BENYON (3rd &amp; 11)</v>
      </c>
      <c r="AG7" s="3" t="str">
        <f>IF(VLOOKUP($C7,'All Girls &amp; Descendants - Edit'!$C$2:$AK$440,'All Girls &amp; Descendants - Edit'!AG$1,FALSE)=""," - ",(VLOOKUP($C7,'All Girls &amp; Descendants - Edit'!$C$2:$AK$440,'All Girls &amp; Descendants - Edit'!AG$1,FALSE)))</f>
        <v>Male</v>
      </c>
      <c r="AH7" s="3" t="str">
        <f>IF(VLOOKUP($C7,'All Girls &amp; Descendants - Edit'!$C$2:$AK$440,'All Girls &amp; Descendants - Edit'!AH$1,FALSE)=""," - ",(VLOOKUP($C7,'All Girls &amp; Descendants - Edit'!$C$2:$AK$440,'All Girls &amp; Descendants - Edit'!AH$1,FALSE)))</f>
        <v>3rd</v>
      </c>
      <c r="AI7" s="3" t="str">
        <f>IF(VLOOKUP($C7,'All Girls &amp; Descendants - Edit'!$C$2:$AK$440,'All Girls &amp; Descendants - Edit'!AI$1,FALSE)=""," - ",(VLOOKUP($C7,'All Girls &amp; Descendants - Edit'!$C$2:$AK$440,'All Girls &amp; Descendants - Edit'!AI$1,FALSE)))</f>
        <v>Unmarried</v>
      </c>
      <c r="AJ7" s="3" t="str">
        <f>IF(VLOOKUP($C7,'All Girls &amp; Descendants - Edit'!$C$2:$AK$440,'All Girls &amp; Descendants - Edit'!AJ$1,FALSE)=""," - ",(VLOOKUP($C7,'All Girls &amp; Descendants - Edit'!$C$2:$AK$440,'All Girls &amp; Descendants - Edit'!AJ$1,FALSE)))</f>
        <v>Male. b. 15/01/1841, d. 01/03/1861. Buried at St Peter’s, Bournemouth.</v>
      </c>
      <c r="AK7" s="3" t="str">
        <f>IF(VLOOKUP($C7,'All Girls &amp; Descendants - Edit'!$C$2:$AK$440,'All Girls &amp; Descendants - Edit'!AK$1,FALSE)=""," - ",(VLOOKUP($C7,'All Girls &amp; Descendants - Edit'!$C$2:$AK$440,'All Girls &amp; Descendants - Edit'!AK$1,FALSE)))</f>
        <v>b. 15/01/1841, d. 01/03/1861.</v>
      </c>
      <c r="AO7" s="1"/>
      <c r="AS7" s="72">
        <v>11</v>
      </c>
      <c r="AT7">
        <v>2</v>
      </c>
      <c r="AZ7">
        <v>2</v>
      </c>
      <c r="BA7">
        <v>3</v>
      </c>
      <c r="BB7">
        <v>1</v>
      </c>
      <c r="BH7">
        <v>4</v>
      </c>
      <c r="BI7">
        <v>6</v>
      </c>
      <c r="BN7" s="1"/>
      <c r="BS7" s="1"/>
    </row>
    <row r="8" spans="1:71" ht="19">
      <c r="A8">
        <f>VLOOKUP(B8,'Loyd List 1-190 - Edit'!$P$1:$R$219,3,FALSE)</f>
        <v>8</v>
      </c>
      <c r="B8">
        <f>'All Girls &amp; Descendants - Edit'!B9</f>
        <v>11</v>
      </c>
      <c r="C8" s="98" t="str">
        <f>'All Girls &amp; Descendants - Edit'!C9</f>
        <v>11d</v>
      </c>
      <c r="D8" s="2" t="str">
        <f>'All Girls &amp; Descendants - Edit'!D9</f>
        <v>BENYON</v>
      </c>
      <c r="E8" t="str">
        <f>'All Girls &amp; Descendants - Edit'!E9</f>
        <v>Fanny</v>
      </c>
      <c r="F8" t="str">
        <f>IF('All Girls &amp; Descendants - Edit'!F9="","",'All Girls &amp; Descendants - Edit'!F9)</f>
        <v/>
      </c>
      <c r="G8" t="str">
        <f>IF('All Girls &amp; Descendants - Edit'!G9="","",'All Girls &amp; Descendants - Edit'!G9)</f>
        <v/>
      </c>
      <c r="H8" t="str">
        <f>IF('All Girls &amp; Descendants - Edit'!H9="","",'All Girls &amp; Descendants - Edit'!H9)</f>
        <v/>
      </c>
      <c r="I8">
        <f>VLOOKUP($C8,'All Girls &amp; Descendants - Edit'!$C$2:$AK$440,'All Girls &amp; Descendants - Edit'!I$1,FALSE)</f>
        <v>1842</v>
      </c>
      <c r="J8">
        <f>VLOOKUP($C8,'All Girls &amp; Descendants - Edit'!$C$2:$AK$440,'All Girls &amp; Descendants - Edit'!J$1,FALSE)</f>
        <v>1845</v>
      </c>
      <c r="K8" s="9"/>
      <c r="L8" t="str">
        <f t="shared" si="6"/>
        <v>02/02/1842</v>
      </c>
      <c r="M8" s="3" t="str">
        <f>VLOOKUP($C8,'All Girls &amp; Descendants - Edit'!$C$2:$AK$440,'All Girls &amp; Descendants - Edit'!M$1,FALSE)</f>
        <v>02/02/1842</v>
      </c>
      <c r="N8" s="3" t="str">
        <f>IF(VLOOKUP($C8,'All Girls &amp; Descendants - Edit'!$C$2:$AK$440,'All Girls &amp; Descendants - Edit'!N$1,FALSE)=""," - ",(VLOOKUP($C8,'All Girls &amp; Descendants - Edit'!$C$2:$AK$440,'All Girls &amp; Descendants - Edit'!N$1,FALSE)))</f>
        <v>Unmarried</v>
      </c>
      <c r="O8" s="3" t="str">
        <f>IF(VLOOKUP($C8,'All Girls &amp; Descendants - Edit'!$C$2:$AK$440,'All Girls &amp; Descendants - Edit'!O$1,FALSE)="","",(VLOOKUP($C8,'All Girls &amp; Descendants - Edit'!$C$2:$AK$440,'All Girls &amp; Descendants - Edit'!O$1,FALSE)))</f>
        <v>30/01/1845</v>
      </c>
      <c r="P8" s="3" t="str">
        <f t="shared" si="3"/>
        <v>30/01/1845</v>
      </c>
      <c r="Q8" s="178" t="str">
        <f t="shared" si="4"/>
        <v>11</v>
      </c>
      <c r="R8" s="23"/>
      <c r="S8" t="str">
        <f>VLOOKUP($C8,'All Girls &amp; Descendants - Edit'!$C$2:$AK$440,'All Girls &amp; Descendants - Edit'!S$1,FALSE)</f>
        <v>Female</v>
      </c>
      <c r="T8" s="176">
        <f t="shared" si="5"/>
        <v>3</v>
      </c>
      <c r="U8" s="176">
        <f t="shared" si="0"/>
        <v>3</v>
      </c>
      <c r="V8" s="176">
        <f t="shared" si="1"/>
        <v>2</v>
      </c>
      <c r="W8" s="177">
        <f t="shared" si="2"/>
        <v>1</v>
      </c>
      <c r="X8" s="3" t="str">
        <f>IF(VLOOKUP($C8,'All Girls &amp; Descendants - Edit'!$C$2:$AK$440,'All Girls &amp; Descendants - Edit'!X$1,FALSE)=""," - ",(VLOOKUP($C8,'All Girls &amp; Descendants - Edit'!$C$2:$AK$440,'All Girls &amp; Descendants - Edit'!X$1,FALSE)))</f>
        <v xml:space="preserve"> - </v>
      </c>
      <c r="Y8" s="3" t="str">
        <f>IF(VLOOKUP($C8,'All Girls &amp; Descendants - Edit'!$C$2:$AK$440,'All Girls &amp; Descendants - Edit'!Y$1,FALSE)=""," - ",(VLOOKUP($C8,'All Girls &amp; Descendants - Edit'!$C$2:$AK$440,'All Girls &amp; Descendants - Edit'!Y$1,FALSE)))</f>
        <v xml:space="preserve"> - </v>
      </c>
      <c r="Z8" s="3" t="str">
        <f>IF(VLOOKUP($C8,'All Girls &amp; Descendants - Edit'!$C$2:$AK$440,'All Girls &amp; Descendants - Edit'!Z$1,FALSE)=""," - ",(VLOOKUP($C8,'All Girls &amp; Descendants - Edit'!$C$2:$AK$440,'All Girls &amp; Descendants - Edit'!Z$1,FALSE)))</f>
        <v>Buried in a vault at Roundhay Church.</v>
      </c>
      <c r="AA8" s="101">
        <f>IF(VLOOKUP($C8,'All Girls &amp; Descendants - Edit'!$C$2:$AK$440,'All Girls &amp; Descendants - Edit'!AA$1,FALSE)=""," - ",(VLOOKUP($C8,'All Girls &amp; Descendants - Edit'!$C$2:$AK$440,'All Girls &amp; Descendants - Edit'!AA$1,FALSE)))</f>
        <v>21</v>
      </c>
      <c r="AB8" s="101">
        <f>IF(VLOOKUP($C8,'All Girls &amp; Descendants - Edit'!$C$2:$AK$440,'All Girls &amp; Descendants - Edit'!AB$1,FALSE)=""," - ",(VLOOKUP($C8,'All Girls &amp; Descendants - Edit'!$C$2:$AK$440,'All Girls &amp; Descendants - Edit'!AB$1,FALSE)))</f>
        <v>7</v>
      </c>
      <c r="AC8" s="101">
        <f>IF(VLOOKUP($C8,'All Girls &amp; Descendants - Edit'!$C$2:$AK$440,'All Girls &amp; Descendants - Edit'!AC$1,FALSE)=""," - ",(VLOOKUP($C8,'All Girls &amp; Descendants - Edit'!$C$2:$AK$440,'All Girls &amp; Descendants - Edit'!AC$1,FALSE)))</f>
        <v>1007</v>
      </c>
      <c r="AD8" s="3" t="str">
        <f>IF(VLOOKUP($C8,'All Girls &amp; Descendants - Edit'!$C$2:$AK$440,'All Girls &amp; Descendants - Edit'!AD$1,FALSE)=""," - ",(VLOOKUP($C8,'All Girls &amp; Descendants - Edit'!$C$2:$AK$440,'All Girls &amp; Descendants - Edit'!AD$1,FALSE)))</f>
        <v>11d</v>
      </c>
      <c r="AE8" s="3" t="str">
        <f>IF(VLOOKUP($C8,'All Girls &amp; Descendants - Edit'!$C$2:$AK$440,'All Girls &amp; Descendants - Edit'!AE$1,FALSE)=""," - ",(VLOOKUP($C8,'All Girls &amp; Descendants - Edit'!$C$2:$AK$440,'All Girls &amp; Descendants - Edit'!AE$1,FALSE)))</f>
        <v>Fanny   BENYON (1842 - 1845)</v>
      </c>
      <c r="AF8" s="3" t="str">
        <f>IF(VLOOKUP($C8,'All Girls &amp; Descendants - Edit'!$C$2:$AK$440,'All Girls &amp; Descendants - Edit'!AF$1,FALSE)=""," - ",(VLOOKUP($C8,'All Girls &amp; Descendants - Edit'!$C$2:$AK$440,'All Girls &amp; Descendants - Edit'!AF$1,FALSE)))</f>
        <v>Fanny BENYON (3rd &amp; 11)</v>
      </c>
      <c r="AG8" s="3" t="str">
        <f>IF(VLOOKUP($C8,'All Girls &amp; Descendants - Edit'!$C$2:$AK$440,'All Girls &amp; Descendants - Edit'!AG$1,FALSE)=""," - ",(VLOOKUP($C8,'All Girls &amp; Descendants - Edit'!$C$2:$AK$440,'All Girls &amp; Descendants - Edit'!AG$1,FALSE)))</f>
        <v>Female</v>
      </c>
      <c r="AH8" s="3" t="str">
        <f>IF(VLOOKUP($C8,'All Girls &amp; Descendants - Edit'!$C$2:$AK$440,'All Girls &amp; Descendants - Edit'!AH$1,FALSE)=""," - ",(VLOOKUP($C8,'All Girls &amp; Descendants - Edit'!$C$2:$AK$440,'All Girls &amp; Descendants - Edit'!AH$1,FALSE)))</f>
        <v>3rd</v>
      </c>
      <c r="AI8" s="3" t="str">
        <f>IF(VLOOKUP($C8,'All Girls &amp; Descendants - Edit'!$C$2:$AK$440,'All Girls &amp; Descendants - Edit'!AI$1,FALSE)=""," - ",(VLOOKUP($C8,'All Girls &amp; Descendants - Edit'!$C$2:$AK$440,'All Girls &amp; Descendants - Edit'!AI$1,FALSE)))</f>
        <v>Unmarried</v>
      </c>
      <c r="AJ8" s="3" t="str">
        <f>IF(VLOOKUP($C8,'All Girls &amp; Descendants - Edit'!$C$2:$AK$440,'All Girls &amp; Descendants - Edit'!AJ$1,FALSE)=""," - ",(VLOOKUP($C8,'All Girls &amp; Descendants - Edit'!$C$2:$AK$440,'All Girls &amp; Descendants - Edit'!AJ$1,FALSE)))</f>
        <v>Female. b. 02/02/1842, d. 30/01/1845. Buried in a vault at Roundhay Church.</v>
      </c>
      <c r="AK8" s="3" t="str">
        <f>IF(VLOOKUP($C8,'All Girls &amp; Descendants - Edit'!$C$2:$AK$440,'All Girls &amp; Descendants - Edit'!AK$1,FALSE)=""," - ",(VLOOKUP($C8,'All Girls &amp; Descendants - Edit'!$C$2:$AK$440,'All Girls &amp; Descendants - Edit'!AK$1,FALSE)))</f>
        <v>b. 02/02/1842, d. 30/01/1845.</v>
      </c>
      <c r="AO8" s="1"/>
      <c r="AS8" s="72">
        <v>12</v>
      </c>
      <c r="BB8">
        <v>1</v>
      </c>
      <c r="BH8">
        <v>1</v>
      </c>
      <c r="BI8">
        <v>1</v>
      </c>
      <c r="BS8" s="1"/>
    </row>
    <row r="9" spans="1:71" ht="19">
      <c r="A9">
        <f>VLOOKUP(B9,'Loyd List 1-190 - Edit'!$P$1:$R$219,3,FALSE)</f>
        <v>8</v>
      </c>
      <c r="B9">
        <f>'All Girls &amp; Descendants - Edit'!B10</f>
        <v>11</v>
      </c>
      <c r="C9" s="98" t="str">
        <f>'All Girls &amp; Descendants - Edit'!C10</f>
        <v>11e</v>
      </c>
      <c r="D9" s="2" t="str">
        <f>'All Girls &amp; Descendants - Edit'!D10</f>
        <v>BENYON</v>
      </c>
      <c r="E9" t="str">
        <f>'All Girls &amp; Descendants - Edit'!E10</f>
        <v>Edward</v>
      </c>
      <c r="F9" t="str">
        <f>IF('All Girls &amp; Descendants - Edit'!F10="","",'All Girls &amp; Descendants - Edit'!F10)</f>
        <v>Loyd</v>
      </c>
      <c r="G9" t="str">
        <f>IF('All Girls &amp; Descendants - Edit'!G10="","",'All Girls &amp; Descendants - Edit'!G10)</f>
        <v/>
      </c>
      <c r="H9" t="str">
        <f>IF('All Girls &amp; Descendants - Edit'!H10="","",'All Girls &amp; Descendants - Edit'!H10)</f>
        <v/>
      </c>
      <c r="I9">
        <f>VLOOKUP($C9,'All Girls &amp; Descendants - Edit'!$C$2:$AK$440,'All Girls &amp; Descendants - Edit'!I$1,FALSE)</f>
        <v>1845</v>
      </c>
      <c r="J9">
        <f>VLOOKUP($C9,'All Girls &amp; Descendants - Edit'!$C$2:$AK$440,'All Girls &amp; Descendants - Edit'!J$1,FALSE)</f>
        <v>1903</v>
      </c>
      <c r="K9" s="9"/>
      <c r="L9" t="str">
        <f t="shared" si="6"/>
        <v>25/11/1845</v>
      </c>
      <c r="M9" s="3" t="str">
        <f>VLOOKUP($C9,'All Girls &amp; Descendants - Edit'!$C$2:$AK$440,'All Girls &amp; Descendants - Edit'!M$1,FALSE)</f>
        <v>25/11/1845</v>
      </c>
      <c r="N9" s="3" t="str">
        <f>IF(VLOOKUP($C9,'All Girls &amp; Descendants - Edit'!$C$2:$AK$440,'All Girls &amp; Descendants - Edit'!N$1,FALSE)=""," - ",(VLOOKUP($C9,'All Girls &amp; Descendants - Edit'!$C$2:$AK$440,'All Girls &amp; Descendants - Edit'!N$1,FALSE)))</f>
        <v>03/12/1879</v>
      </c>
      <c r="O9" s="3">
        <f>IF(VLOOKUP($C9,'All Girls &amp; Descendants - Edit'!$C$2:$AK$440,'All Girls &amp; Descendants - Edit'!O$1,FALSE)="","",(VLOOKUP($C9,'All Girls &amp; Descendants - Edit'!$C$2:$AK$440,'All Girls &amp; Descendants - Edit'!O$1,FALSE)))</f>
        <v>1103</v>
      </c>
      <c r="P9" s="3" t="str">
        <f t="shared" si="3"/>
        <v>07/01/1903</v>
      </c>
      <c r="Q9" s="178" t="str">
        <f t="shared" si="4"/>
        <v>11</v>
      </c>
      <c r="R9" s="23"/>
      <c r="S9" t="str">
        <f>VLOOKUP($C9,'All Girls &amp; Descendants - Edit'!$C$2:$AK$440,'All Girls &amp; Descendants - Edit'!S$1,FALSE)</f>
        <v>Male</v>
      </c>
      <c r="T9" s="176">
        <f t="shared" si="5"/>
        <v>3</v>
      </c>
      <c r="U9" s="176">
        <f t="shared" si="0"/>
        <v>3</v>
      </c>
      <c r="V9" s="176">
        <f t="shared" si="1"/>
        <v>2</v>
      </c>
      <c r="W9" s="177">
        <f t="shared" si="2"/>
        <v>1</v>
      </c>
      <c r="X9" s="3" t="str">
        <f>IF(VLOOKUP($C9,'All Girls &amp; Descendants - Edit'!$C$2:$AK$440,'All Girls &amp; Descendants - Edit'!X$1,FALSE)=""," - ",(VLOOKUP($C9,'All Girls &amp; Descendants - Edit'!$C$2:$AK$440,'All Girls &amp; Descendants - Edit'!X$1,FALSE)))</f>
        <v>Mrs Sarah Amelia PARFITT (b. 11/11/1837, 08/03/1906) widow of William PARFITT</v>
      </c>
      <c r="Y9" s="3" t="str">
        <f>IF(VLOOKUP($C9,'All Girls &amp; Descendants - Edit'!$C$2:$AK$440,'All Girls &amp; Descendants - Edit'!Y$1,FALSE)=""," - ",(VLOOKUP($C9,'All Girls &amp; Descendants - Edit'!$C$2:$AK$440,'All Girls &amp; Descendants - Edit'!Y$1,FALSE)))</f>
        <v>Sarah Parfitt was the widow of William Parfitt</v>
      </c>
      <c r="Z9" s="3" t="str">
        <f>IF(VLOOKUP($C9,'All Girls &amp; Descendants - Edit'!$C$2:$AK$440,'All Girls &amp; Descendants - Edit'!Z$1,FALSE)=""," - ",(VLOOKUP($C9,'All Girls &amp; Descendants - Edit'!$C$2:$AK$440,'All Girls &amp; Descendants - Edit'!Z$1,FALSE)))</f>
        <v>Edward and Sarah buried together in Feltham Cemetery. d. 8 Mar 1906.</v>
      </c>
      <c r="AA9" s="101">
        <f>IF(VLOOKUP($C9,'All Girls &amp; Descendants - Edit'!$C$2:$AK$440,'All Girls &amp; Descendants - Edit'!AA$1,FALSE)=""," - ",(VLOOKUP($C9,'All Girls &amp; Descendants - Edit'!$C$2:$AK$440,'All Girls &amp; Descendants - Edit'!AA$1,FALSE)))</f>
        <v>22</v>
      </c>
      <c r="AB9" s="101">
        <f>IF(VLOOKUP($C9,'All Girls &amp; Descendants - Edit'!$C$2:$AK$440,'All Girls &amp; Descendants - Edit'!AB$1,FALSE)=""," - ",(VLOOKUP($C9,'All Girls &amp; Descendants - Edit'!$C$2:$AK$440,'All Girls &amp; Descendants - Edit'!AB$1,FALSE)))</f>
        <v>8</v>
      </c>
      <c r="AC9" s="101">
        <f>IF(VLOOKUP($C9,'All Girls &amp; Descendants - Edit'!$C$2:$AK$440,'All Girls &amp; Descendants - Edit'!AC$1,FALSE)=""," - ",(VLOOKUP($C9,'All Girls &amp; Descendants - Edit'!$C$2:$AK$440,'All Girls &amp; Descendants - Edit'!AC$1,FALSE)))</f>
        <v>1008</v>
      </c>
      <c r="AD9" s="3" t="str">
        <f>IF(VLOOKUP($C9,'All Girls &amp; Descendants - Edit'!$C$2:$AK$440,'All Girls &amp; Descendants - Edit'!AD$1,FALSE)=""," - ",(VLOOKUP($C9,'All Girls &amp; Descendants - Edit'!$C$2:$AK$440,'All Girls &amp; Descendants - Edit'!AD$1,FALSE)))</f>
        <v>11e</v>
      </c>
      <c r="AE9" s="3" t="str">
        <f>IF(VLOOKUP($C9,'All Girls &amp; Descendants - Edit'!$C$2:$AK$440,'All Girls &amp; Descendants - Edit'!AE$1,FALSE)=""," - ",(VLOOKUP($C9,'All Girls &amp; Descendants - Edit'!$C$2:$AK$440,'All Girls &amp; Descendants - Edit'!AE$1,FALSE)))</f>
        <v>Edward Loyd  BENYON (1845 - 1903)</v>
      </c>
      <c r="AF9" s="3" t="str">
        <f>IF(VLOOKUP($C9,'All Girls &amp; Descendants - Edit'!$C$2:$AK$440,'All Girls &amp; Descendants - Edit'!AF$1,FALSE)=""," - ",(VLOOKUP($C9,'All Girls &amp; Descendants - Edit'!$C$2:$AK$440,'All Girls &amp; Descendants - Edit'!AF$1,FALSE)))</f>
        <v>Edward BENYON (3rd &amp; 11)</v>
      </c>
      <c r="AG9" s="3" t="str">
        <f>IF(VLOOKUP($C9,'All Girls &amp; Descendants - Edit'!$C$2:$AK$440,'All Girls &amp; Descendants - Edit'!AG$1,FALSE)=""," - ",(VLOOKUP($C9,'All Girls &amp; Descendants - Edit'!$C$2:$AK$440,'All Girls &amp; Descendants - Edit'!AG$1,FALSE)))</f>
        <v>Male</v>
      </c>
      <c r="AH9" s="3" t="str">
        <f>IF(VLOOKUP($C9,'All Girls &amp; Descendants - Edit'!$C$2:$AK$440,'All Girls &amp; Descendants - Edit'!AH$1,FALSE)=""," - ",(VLOOKUP($C9,'All Girls &amp; Descendants - Edit'!$C$2:$AK$440,'All Girls &amp; Descendants - Edit'!AH$1,FALSE)))</f>
        <v>3rd</v>
      </c>
      <c r="AI9" s="3" t="str">
        <f>IF(VLOOKUP($C9,'All Girls &amp; Descendants - Edit'!$C$2:$AK$440,'All Girls &amp; Descendants - Edit'!AI$1,FALSE)=""," - ",(VLOOKUP($C9,'All Girls &amp; Descendants - Edit'!$C$2:$AK$440,'All Girls &amp; Descendants - Edit'!AI$1,FALSE)))</f>
        <v>Wife: Mrs Sarah Amelia PARFITT (b. 11/11/1837, 08/03/1906) widow of William PARFITT. Sarah Parfitt was the widow of William Parfitt</v>
      </c>
      <c r="AJ9" s="3" t="str">
        <f>IF(VLOOKUP($C9,'All Girls &amp; Descendants - Edit'!$C$2:$AK$440,'All Girls &amp; Descendants - Edit'!AJ$1,FALSE)=""," - ",(VLOOKUP($C9,'All Girls &amp; Descendants - Edit'!$C$2:$AK$440,'All Girls &amp; Descendants - Edit'!AJ$1,FALSE)))</f>
        <v>Male. b. 25/11/1845, d. 07/01/1903. Edward and Sarah buried together in Feltham Cemetery. d. 8 Mar 1906.</v>
      </c>
      <c r="AK9" s="3" t="str">
        <f>IF(VLOOKUP($C9,'All Girls &amp; Descendants - Edit'!$C$2:$AK$440,'All Girls &amp; Descendants - Edit'!AK$1,FALSE)=""," - ",(VLOOKUP($C9,'All Girls &amp; Descendants - Edit'!$C$2:$AK$440,'All Girls &amp; Descendants - Edit'!AK$1,FALSE)))</f>
        <v>b. 25/11/1845, d. 07/01/1903.</v>
      </c>
      <c r="AO9" s="1"/>
      <c r="AS9" s="72">
        <v>15</v>
      </c>
      <c r="BB9">
        <v>1</v>
      </c>
      <c r="BH9">
        <v>1</v>
      </c>
      <c r="BI9">
        <v>1</v>
      </c>
      <c r="BN9" s="1"/>
      <c r="BS9" s="1"/>
    </row>
    <row r="10" spans="1:71" ht="19">
      <c r="A10">
        <f>VLOOKUP(B10,'Loyd List 1-190 - Edit'!$P$1:$R$219,3,FALSE)</f>
        <v>8</v>
      </c>
      <c r="B10">
        <f>'All Girls &amp; Descendants - Edit'!B11</f>
        <v>18</v>
      </c>
      <c r="C10" s="98" t="str">
        <f>'All Girls &amp; Descendants - Edit'!C11</f>
        <v>18a</v>
      </c>
      <c r="D10" s="2" t="str">
        <f>'All Girls &amp; Descendants - Edit'!D11</f>
        <v>NICOL</v>
      </c>
      <c r="E10" t="str">
        <f>'All Girls &amp; Descendants - Edit'!E11</f>
        <v>Margaret</v>
      </c>
      <c r="F10" t="str">
        <f>IF('All Girls &amp; Descendants - Edit'!F11="","",'All Girls &amp; Descendants - Edit'!F11)</f>
        <v>Dyce</v>
      </c>
      <c r="G10" t="str">
        <f>IF('All Girls &amp; Descendants - Edit'!G11="","",'All Girls &amp; Descendants - Edit'!G11)</f>
        <v/>
      </c>
      <c r="H10" t="str">
        <f>IF('All Girls &amp; Descendants - Edit'!H11="","",'All Girls &amp; Descendants - Edit'!H11)</f>
        <v/>
      </c>
      <c r="I10">
        <f>VLOOKUP($C10,'All Girls &amp; Descendants - Edit'!$C$2:$AK$440,'All Girls &amp; Descendants - Edit'!I$1,FALSE)</f>
        <v>1844</v>
      </c>
      <c r="J10">
        <f>VLOOKUP($C10,'All Girls &amp; Descendants - Edit'!$C$2:$AK$440,'All Girls &amp; Descendants - Edit'!J$1,FALSE)</f>
        <v>1927</v>
      </c>
      <c r="K10" s="9"/>
      <c r="L10" t="str">
        <f t="shared" si="6"/>
        <v>15/12/1844</v>
      </c>
      <c r="M10" s="3" t="str">
        <f>VLOOKUP($C10,'All Girls &amp; Descendants - Edit'!$C$2:$AK$440,'All Girls &amp; Descendants - Edit'!M$1,FALSE)</f>
        <v>15/12/1844</v>
      </c>
      <c r="N10" s="3" t="str">
        <f>IF(VLOOKUP($C10,'All Girls &amp; Descendants - Edit'!$C$2:$AK$440,'All Girls &amp; Descendants - Edit'!N$1,FALSE)=""," - ",(VLOOKUP($C10,'All Girls &amp; Descendants - Edit'!$C$2:$AK$440,'All Girls &amp; Descendants - Edit'!N$1,FALSE)))</f>
        <v>Unmarried</v>
      </c>
      <c r="O10" s="3">
        <f>IF(VLOOKUP($C10,'All Girls &amp; Descendants - Edit'!$C$2:$AK$440,'All Girls &amp; Descendants - Edit'!O$1,FALSE)="","",(VLOOKUP($C10,'All Girls &amp; Descendants - Edit'!$C$2:$AK$440,'All Girls &amp; Descendants - Edit'!O$1,FALSE)))</f>
        <v>10173</v>
      </c>
      <c r="P10" s="3" t="str">
        <f t="shared" si="3"/>
        <v>07/11/1927</v>
      </c>
      <c r="Q10" s="178" t="str">
        <f t="shared" si="4"/>
        <v>18</v>
      </c>
      <c r="R10" s="23"/>
      <c r="S10" t="str">
        <f>VLOOKUP($C10,'All Girls &amp; Descendants - Edit'!$C$2:$AK$440,'All Girls &amp; Descendants - Edit'!S$1,FALSE)</f>
        <v>Female</v>
      </c>
      <c r="T10" s="176">
        <f t="shared" si="5"/>
        <v>3</v>
      </c>
      <c r="U10" s="176">
        <f t="shared" si="0"/>
        <v>3</v>
      </c>
      <c r="V10" s="176">
        <f t="shared" si="1"/>
        <v>2</v>
      </c>
      <c r="W10" s="177">
        <f t="shared" si="2"/>
        <v>1</v>
      </c>
      <c r="X10" s="3" t="str">
        <f>IF(VLOOKUP($C10,'All Girls &amp; Descendants - Edit'!$C$2:$AK$440,'All Girls &amp; Descendants - Edit'!X$1,FALSE)=""," - ",(VLOOKUP($C10,'All Girls &amp; Descendants - Edit'!$C$2:$AK$440,'All Girls &amp; Descendants - Edit'!X$1,FALSE)))</f>
        <v xml:space="preserve"> - </v>
      </c>
      <c r="Y10" s="3" t="str">
        <f>IF(VLOOKUP($C10,'All Girls &amp; Descendants - Edit'!$C$2:$AK$440,'All Girls &amp; Descendants - Edit'!Y$1,FALSE)=""," - ",(VLOOKUP($C10,'All Girls &amp; Descendants - Edit'!$C$2:$AK$440,'All Girls &amp; Descendants - Edit'!Y$1,FALSE)))</f>
        <v xml:space="preserve"> - </v>
      </c>
      <c r="Z10" s="3" t="str">
        <f>IF(VLOOKUP($C10,'All Girls &amp; Descendants - Edit'!$C$2:$AK$440,'All Girls &amp; Descendants - Edit'!Z$1,FALSE)=""," - ",(VLOOKUP($C10,'All Girls &amp; Descendants - Edit'!$C$2:$AK$440,'All Girls &amp; Descendants - Edit'!Z$1,FALSE)))</f>
        <v>Buried at Brookwood.</v>
      </c>
      <c r="AA10" s="101">
        <f>IF(VLOOKUP($C10,'All Girls &amp; Descendants - Edit'!$C$2:$AK$440,'All Girls &amp; Descendants - Edit'!AA$1,FALSE)=""," - ",(VLOOKUP($C10,'All Girls &amp; Descendants - Edit'!$C$2:$AK$440,'All Girls &amp; Descendants - Edit'!AA$1,FALSE)))</f>
        <v>23</v>
      </c>
      <c r="AB10" s="101">
        <f>IF(VLOOKUP($C10,'All Girls &amp; Descendants - Edit'!$C$2:$AK$440,'All Girls &amp; Descendants - Edit'!AB$1,FALSE)=""," - ",(VLOOKUP($C10,'All Girls &amp; Descendants - Edit'!$C$2:$AK$440,'All Girls &amp; Descendants - Edit'!AB$1,FALSE)))</f>
        <v>9</v>
      </c>
      <c r="AC10" s="101">
        <f>IF(VLOOKUP($C10,'All Girls &amp; Descendants - Edit'!$C$2:$AK$440,'All Girls &amp; Descendants - Edit'!AC$1,FALSE)=""," - ",(VLOOKUP($C10,'All Girls &amp; Descendants - Edit'!$C$2:$AK$440,'All Girls &amp; Descendants - Edit'!AC$1,FALSE)))</f>
        <v>1009</v>
      </c>
      <c r="AD10" s="3" t="str">
        <f>IF(VLOOKUP($C10,'All Girls &amp; Descendants - Edit'!$C$2:$AK$440,'All Girls &amp; Descendants - Edit'!AD$1,FALSE)=""," - ",(VLOOKUP($C10,'All Girls &amp; Descendants - Edit'!$C$2:$AK$440,'All Girls &amp; Descendants - Edit'!AD$1,FALSE)))</f>
        <v>18a</v>
      </c>
      <c r="AE10" s="3" t="str">
        <f>IF(VLOOKUP($C10,'All Girls &amp; Descendants - Edit'!$C$2:$AK$440,'All Girls &amp; Descendants - Edit'!AE$1,FALSE)=""," - ",(VLOOKUP($C10,'All Girls &amp; Descendants - Edit'!$C$2:$AK$440,'All Girls &amp; Descendants - Edit'!AE$1,FALSE)))</f>
        <v>Margaret Dyce  NICOL (1844 - 1927)</v>
      </c>
      <c r="AF10" s="3" t="str">
        <f>IF(VLOOKUP($C10,'All Girls &amp; Descendants - Edit'!$C$2:$AK$440,'All Girls &amp; Descendants - Edit'!AF$1,FALSE)=""," - ",(VLOOKUP($C10,'All Girls &amp; Descendants - Edit'!$C$2:$AK$440,'All Girls &amp; Descendants - Edit'!AF$1,FALSE)))</f>
        <v>Margaret NICOL (3rd &amp; 18)</v>
      </c>
      <c r="AG10" s="3" t="str">
        <f>IF(VLOOKUP($C10,'All Girls &amp; Descendants - Edit'!$C$2:$AK$440,'All Girls &amp; Descendants - Edit'!AG$1,FALSE)=""," - ",(VLOOKUP($C10,'All Girls &amp; Descendants - Edit'!$C$2:$AK$440,'All Girls &amp; Descendants - Edit'!AG$1,FALSE)))</f>
        <v>Female</v>
      </c>
      <c r="AH10" s="3" t="str">
        <f>IF(VLOOKUP($C10,'All Girls &amp; Descendants - Edit'!$C$2:$AK$440,'All Girls &amp; Descendants - Edit'!AH$1,FALSE)=""," - ",(VLOOKUP($C10,'All Girls &amp; Descendants - Edit'!$C$2:$AK$440,'All Girls &amp; Descendants - Edit'!AH$1,FALSE)))</f>
        <v>3rd</v>
      </c>
      <c r="AI10" s="3" t="str">
        <f>IF(VLOOKUP($C10,'All Girls &amp; Descendants - Edit'!$C$2:$AK$440,'All Girls &amp; Descendants - Edit'!AI$1,FALSE)=""," - ",(VLOOKUP($C10,'All Girls &amp; Descendants - Edit'!$C$2:$AK$440,'All Girls &amp; Descendants - Edit'!AI$1,FALSE)))</f>
        <v>Unmarried</v>
      </c>
      <c r="AJ10" s="3" t="str">
        <f>IF(VLOOKUP($C10,'All Girls &amp; Descendants - Edit'!$C$2:$AK$440,'All Girls &amp; Descendants - Edit'!AJ$1,FALSE)=""," - ",(VLOOKUP($C10,'All Girls &amp; Descendants - Edit'!$C$2:$AK$440,'All Girls &amp; Descendants - Edit'!AJ$1,FALSE)))</f>
        <v>Female. b. 15/12/1844, d. 07/11/1927. Buried at Brookwood.</v>
      </c>
      <c r="AK10" s="3" t="str">
        <f>IF(VLOOKUP($C10,'All Girls &amp; Descendants - Edit'!$C$2:$AK$440,'All Girls &amp; Descendants - Edit'!AK$1,FALSE)=""," - ",(VLOOKUP($C10,'All Girls &amp; Descendants - Edit'!$C$2:$AK$440,'All Girls &amp; Descendants - Edit'!AK$1,FALSE)))</f>
        <v>b. 15/12/1844, d. 07/11/1927.</v>
      </c>
      <c r="AO10" s="1"/>
      <c r="AS10" s="72">
        <v>16</v>
      </c>
      <c r="BB10">
        <v>1</v>
      </c>
      <c r="BH10">
        <v>1</v>
      </c>
      <c r="BI10">
        <v>1</v>
      </c>
      <c r="BS10" s="1"/>
    </row>
    <row r="11" spans="1:71" ht="19">
      <c r="A11">
        <f>VLOOKUP(B11,'Loyd List 1-190 - Edit'!$P$1:$R$219,3,FALSE)</f>
        <v>8</v>
      </c>
      <c r="B11">
        <f>'All Girls &amp; Descendants - Edit'!B12</f>
        <v>18</v>
      </c>
      <c r="C11" s="98" t="str">
        <f>'All Girls &amp; Descendants - Edit'!C12</f>
        <v>18b</v>
      </c>
      <c r="D11" s="2" t="str">
        <f>'All Girls &amp; Descendants - Edit'!D12</f>
        <v>NICOL</v>
      </c>
      <c r="E11" t="str">
        <f>'All Girls &amp; Descendants - Edit'!E12</f>
        <v>William</v>
      </c>
      <c r="F11" t="str">
        <f>IF('All Girls &amp; Descendants - Edit'!F12="","",'All Girls &amp; Descendants - Edit'!F12)</f>
        <v>Edward</v>
      </c>
      <c r="G11" t="str">
        <f>IF('All Girls &amp; Descendants - Edit'!G12="","",'All Girls &amp; Descendants - Edit'!G12)</f>
        <v/>
      </c>
      <c r="H11" t="str">
        <f>IF('All Girls &amp; Descendants - Edit'!H12="","",'All Girls &amp; Descendants - Edit'!H12)</f>
        <v/>
      </c>
      <c r="I11">
        <f>VLOOKUP($C11,'All Girls &amp; Descendants - Edit'!$C$2:$AK$440,'All Girls &amp; Descendants - Edit'!I$1,FALSE)</f>
        <v>1846</v>
      </c>
      <c r="J11">
        <f>VLOOKUP($C11,'All Girls &amp; Descendants - Edit'!$C$2:$AK$440,'All Girls &amp; Descendants - Edit'!J$1,FALSE)</f>
        <v>1914</v>
      </c>
      <c r="K11" s="9"/>
      <c r="L11" t="str">
        <f t="shared" si="6"/>
        <v>02/11/1846</v>
      </c>
      <c r="M11" s="3" t="str">
        <f>VLOOKUP($C11,'All Girls &amp; Descendants - Edit'!$C$2:$AK$440,'All Girls &amp; Descendants - Edit'!M$1,FALSE)</f>
        <v>02/11/1846</v>
      </c>
      <c r="N11" s="3" t="str">
        <f>IF(VLOOKUP($C11,'All Girls &amp; Descendants - Edit'!$C$2:$AK$440,'All Girls &amp; Descendants - Edit'!N$1,FALSE)=""," - ",(VLOOKUP($C11,'All Girls &amp; Descendants - Edit'!$C$2:$AK$440,'All Girls &amp; Descendants - Edit'!N$1,FALSE)))</f>
        <v>20/11/1873</v>
      </c>
      <c r="O11" s="3">
        <f>IF(VLOOKUP($C11,'All Girls &amp; Descendants - Edit'!$C$2:$AK$440,'All Girls &amp; Descendants - Edit'!O$1,FALSE)="","",(VLOOKUP($C11,'All Girls &amp; Descendants - Edit'!$C$2:$AK$440,'All Girls &amp; Descendants - Edit'!O$1,FALSE)))</f>
        <v>5345</v>
      </c>
      <c r="P11" s="3" t="str">
        <f t="shared" si="3"/>
        <v>19/08/1914</v>
      </c>
      <c r="Q11" s="178" t="str">
        <f t="shared" si="4"/>
        <v>18</v>
      </c>
      <c r="R11" s="23"/>
      <c r="S11" t="str">
        <f>VLOOKUP($C11,'All Girls &amp; Descendants - Edit'!$C$2:$AK$440,'All Girls &amp; Descendants - Edit'!S$1,FALSE)</f>
        <v>Male</v>
      </c>
      <c r="T11" s="176">
        <f t="shared" si="5"/>
        <v>3</v>
      </c>
      <c r="U11" s="176">
        <f t="shared" si="0"/>
        <v>3</v>
      </c>
      <c r="V11" s="176">
        <f t="shared" si="1"/>
        <v>2</v>
      </c>
      <c r="W11" s="177">
        <f t="shared" si="2"/>
        <v>1</v>
      </c>
      <c r="X11" s="3" t="str">
        <f>IF(VLOOKUP($C11,'All Girls &amp; Descendants - Edit'!$C$2:$AK$440,'All Girls &amp; Descendants - Edit'!X$1,FALSE)=""," - ",(VLOOKUP($C11,'All Girls &amp; Descendants - Edit'!$C$2:$AK$440,'All Girls &amp; Descendants - Edit'!X$1,FALSE)))</f>
        <v>Catherine Nicol Lewis PROUT (b. 04/03/1848, d. 18/12/1914)</v>
      </c>
      <c r="Y11" s="3" t="str">
        <f>IF(VLOOKUP($C11,'All Girls &amp; Descendants - Edit'!$C$2:$AK$440,'All Girls &amp; Descendants - Edit'!Y$1,FALSE)=""," - ",(VLOOKUP($C11,'All Girls &amp; Descendants - Edit'!$C$2:$AK$440,'All Girls &amp; Descendants - Edit'!Y$1,FALSE)))</f>
        <v>Catherine born in London.</v>
      </c>
      <c r="Z11" s="3" t="str">
        <f>IF(VLOOKUP($C11,'All Girls &amp; Descendants - Edit'!$C$2:$AK$440,'All Girls &amp; Descendants - Edit'!Z$1,FALSE)=""," - ",(VLOOKUP($C11,'All Girls &amp; Descendants - Edit'!$C$2:$AK$440,'All Girls &amp; Descendants - Edit'!Z$1,FALSE)))</f>
        <v>Died at Ballogie. Buried at Christ Church, Kincardine O’Neil. Aberdeenshire.</v>
      </c>
      <c r="AA11" s="101">
        <f>IF(VLOOKUP($C11,'All Girls &amp; Descendants - Edit'!$C$2:$AK$440,'All Girls &amp; Descendants - Edit'!AA$1,FALSE)=""," - ",(VLOOKUP($C11,'All Girls &amp; Descendants - Edit'!$C$2:$AK$440,'All Girls &amp; Descendants - Edit'!AA$1,FALSE)))</f>
        <v>24</v>
      </c>
      <c r="AB11" s="101">
        <f>IF(VLOOKUP($C11,'All Girls &amp; Descendants - Edit'!$C$2:$AK$440,'All Girls &amp; Descendants - Edit'!AB$1,FALSE)=""," - ",(VLOOKUP($C11,'All Girls &amp; Descendants - Edit'!$C$2:$AK$440,'All Girls &amp; Descendants - Edit'!AB$1,FALSE)))</f>
        <v>10</v>
      </c>
      <c r="AC11" s="101">
        <f>IF(VLOOKUP($C11,'All Girls &amp; Descendants - Edit'!$C$2:$AK$440,'All Girls &amp; Descendants - Edit'!AC$1,FALSE)=""," - ",(VLOOKUP($C11,'All Girls &amp; Descendants - Edit'!$C$2:$AK$440,'All Girls &amp; Descendants - Edit'!AC$1,FALSE)))</f>
        <v>1010</v>
      </c>
      <c r="AD11" s="3" t="str">
        <f>IF(VLOOKUP($C11,'All Girls &amp; Descendants - Edit'!$C$2:$AK$440,'All Girls &amp; Descendants - Edit'!AD$1,FALSE)=""," - ",(VLOOKUP($C11,'All Girls &amp; Descendants - Edit'!$C$2:$AK$440,'All Girls &amp; Descendants - Edit'!AD$1,FALSE)))</f>
        <v>18b</v>
      </c>
      <c r="AE11" s="3" t="str">
        <f>IF(VLOOKUP($C11,'All Girls &amp; Descendants - Edit'!$C$2:$AK$440,'All Girls &amp; Descendants - Edit'!AE$1,FALSE)=""," - ",(VLOOKUP($C11,'All Girls &amp; Descendants - Edit'!$C$2:$AK$440,'All Girls &amp; Descendants - Edit'!AE$1,FALSE)))</f>
        <v>William Edward  NICOL (1846 - 1914)</v>
      </c>
      <c r="AF11" s="3" t="str">
        <f>IF(VLOOKUP($C11,'All Girls &amp; Descendants - Edit'!$C$2:$AK$440,'All Girls &amp; Descendants - Edit'!AF$1,FALSE)=""," - ",(VLOOKUP($C11,'All Girls &amp; Descendants - Edit'!$C$2:$AK$440,'All Girls &amp; Descendants - Edit'!AF$1,FALSE)))</f>
        <v>William NICOL (3rd &amp; 18)</v>
      </c>
      <c r="AG11" s="3" t="str">
        <f>IF(VLOOKUP($C11,'All Girls &amp; Descendants - Edit'!$C$2:$AK$440,'All Girls &amp; Descendants - Edit'!AG$1,FALSE)=""," - ",(VLOOKUP($C11,'All Girls &amp; Descendants - Edit'!$C$2:$AK$440,'All Girls &amp; Descendants - Edit'!AG$1,FALSE)))</f>
        <v>Male</v>
      </c>
      <c r="AH11" s="3" t="str">
        <f>IF(VLOOKUP($C11,'All Girls &amp; Descendants - Edit'!$C$2:$AK$440,'All Girls &amp; Descendants - Edit'!AH$1,FALSE)=""," - ",(VLOOKUP($C11,'All Girls &amp; Descendants - Edit'!$C$2:$AK$440,'All Girls &amp; Descendants - Edit'!AH$1,FALSE)))</f>
        <v>3rd</v>
      </c>
      <c r="AI11" s="3" t="str">
        <f>IF(VLOOKUP($C11,'All Girls &amp; Descendants - Edit'!$C$2:$AK$440,'All Girls &amp; Descendants - Edit'!AI$1,FALSE)=""," - ",(VLOOKUP($C11,'All Girls &amp; Descendants - Edit'!$C$2:$AK$440,'All Girls &amp; Descendants - Edit'!AI$1,FALSE)))</f>
        <v>Wife: Catherine Nicol Lewis PROUT (b. 04/03/1848, d. 18/12/1914). Catherine born in London.</v>
      </c>
      <c r="AJ11" s="3" t="str">
        <f>IF(VLOOKUP($C11,'All Girls &amp; Descendants - Edit'!$C$2:$AK$440,'All Girls &amp; Descendants - Edit'!AJ$1,FALSE)=""," - ",(VLOOKUP($C11,'All Girls &amp; Descendants - Edit'!$C$2:$AK$440,'All Girls &amp; Descendants - Edit'!AJ$1,FALSE)))</f>
        <v>Male. b. 02/11/1846, d. 19/08/1914. Died at Ballogie. Buried at Christ Church, Kincardine O’Neil. Aberdeenshire.</v>
      </c>
      <c r="AK11" s="3" t="str">
        <f>IF(VLOOKUP($C11,'All Girls &amp; Descendants - Edit'!$C$2:$AK$440,'All Girls &amp; Descendants - Edit'!AK$1,FALSE)=""," - ",(VLOOKUP($C11,'All Girls &amp; Descendants - Edit'!$C$2:$AK$440,'All Girls &amp; Descendants - Edit'!AK$1,FALSE)))</f>
        <v>b. 02/11/1846, d. 19/08/1914.</v>
      </c>
      <c r="AO11" s="1"/>
      <c r="AS11" s="72">
        <v>18</v>
      </c>
      <c r="AT11">
        <v>3</v>
      </c>
      <c r="AU11">
        <v>2</v>
      </c>
      <c r="AV11">
        <v>3</v>
      </c>
      <c r="AW11">
        <v>6</v>
      </c>
      <c r="AX11">
        <v>9</v>
      </c>
      <c r="AZ11">
        <v>23</v>
      </c>
      <c r="BA11">
        <v>2</v>
      </c>
      <c r="BB11">
        <v>1</v>
      </c>
      <c r="BC11">
        <v>3</v>
      </c>
      <c r="BD11">
        <v>1</v>
      </c>
      <c r="BE11">
        <v>1</v>
      </c>
      <c r="BF11">
        <v>10</v>
      </c>
      <c r="BH11">
        <v>18</v>
      </c>
      <c r="BI11">
        <v>41</v>
      </c>
      <c r="BN11" s="1"/>
      <c r="BS11" s="1"/>
    </row>
    <row r="12" spans="1:71" ht="19">
      <c r="A12">
        <f>VLOOKUP(B12,'Loyd List 1-190 - Edit'!$P$1:$R$219,3,FALSE)</f>
        <v>8</v>
      </c>
      <c r="B12">
        <f>'All Girls &amp; Descendants - Edit'!B13</f>
        <v>18</v>
      </c>
      <c r="C12" s="98" t="str">
        <f>'All Girls &amp; Descendants - Edit'!C13</f>
        <v>18c</v>
      </c>
      <c r="D12" s="2" t="str">
        <f>'All Girls &amp; Descendants - Edit'!D13</f>
        <v>NICOL</v>
      </c>
      <c r="E12" t="str">
        <f>'All Girls &amp; Descendants - Edit'!E13</f>
        <v>James</v>
      </c>
      <c r="F12" t="str">
        <f>IF('All Girls &amp; Descendants - Edit'!F13="","",'All Girls &amp; Descendants - Edit'!F13)</f>
        <v>Dyce</v>
      </c>
      <c r="G12" t="str">
        <f>IF('All Girls &amp; Descendants - Edit'!G13="","",'All Girls &amp; Descendants - Edit'!G13)</f>
        <v/>
      </c>
      <c r="H12" t="str">
        <f>IF('All Girls &amp; Descendants - Edit'!H13="","",'All Girls &amp; Descendants - Edit'!H13)</f>
        <v/>
      </c>
      <c r="I12">
        <f>VLOOKUP($C12,'All Girls &amp; Descendants - Edit'!$C$2:$AK$440,'All Girls &amp; Descendants - Edit'!I$1,FALSE)</f>
        <v>1848</v>
      </c>
      <c r="J12">
        <f>VLOOKUP($C12,'All Girls &amp; Descendants - Edit'!$C$2:$AK$440,'All Girls &amp; Descendants - Edit'!J$1,FALSE)</f>
        <v>1938</v>
      </c>
      <c r="K12" s="9"/>
      <c r="L12" t="str">
        <f t="shared" si="6"/>
        <v>30/06/1848</v>
      </c>
      <c r="M12" s="3" t="str">
        <f>VLOOKUP($C12,'All Girls &amp; Descendants - Edit'!$C$2:$AK$440,'All Girls &amp; Descendants - Edit'!M$1,FALSE)</f>
        <v>30/06/1848</v>
      </c>
      <c r="N12" s="3" t="str">
        <f>IF(VLOOKUP($C12,'All Girls &amp; Descendants - Edit'!$C$2:$AK$440,'All Girls &amp; Descendants - Edit'!N$1,FALSE)=""," - ",(VLOOKUP($C12,'All Girls &amp; Descendants - Edit'!$C$2:$AK$440,'All Girls &amp; Descendants - Edit'!N$1,FALSE)))</f>
        <v>05/10/1898</v>
      </c>
      <c r="O12" s="3">
        <f>IF(VLOOKUP($C12,'All Girls &amp; Descendants - Edit'!$C$2:$AK$440,'All Girls &amp; Descendants - Edit'!O$1,FALSE)="","",(VLOOKUP($C12,'All Girls &amp; Descendants - Edit'!$C$2:$AK$440,'All Girls &amp; Descendants - Edit'!O$1,FALSE)))</f>
        <v>14158</v>
      </c>
      <c r="P12" s="3" t="str">
        <f t="shared" si="3"/>
        <v>05/10/1938</v>
      </c>
      <c r="Q12" s="178" t="str">
        <f t="shared" si="4"/>
        <v>18</v>
      </c>
      <c r="R12" s="23"/>
      <c r="S12" t="str">
        <f>VLOOKUP($C12,'All Girls &amp; Descendants - Edit'!$C$2:$AK$440,'All Girls &amp; Descendants - Edit'!S$1,FALSE)</f>
        <v>Male</v>
      </c>
      <c r="T12" s="176">
        <f t="shared" si="5"/>
        <v>3</v>
      </c>
      <c r="U12" s="176">
        <f t="shared" si="0"/>
        <v>3</v>
      </c>
      <c r="V12" s="176">
        <f t="shared" si="1"/>
        <v>2</v>
      </c>
      <c r="W12" s="177">
        <f t="shared" si="2"/>
        <v>1</v>
      </c>
      <c r="X12" s="3" t="str">
        <f>IF(VLOOKUP($C12,'All Girls &amp; Descendants - Edit'!$C$2:$AK$440,'All Girls &amp; Descendants - Edit'!X$1,FALSE)=""," - ",(VLOOKUP($C12,'All Girls &amp; Descendants - Edit'!$C$2:$AK$440,'All Girls &amp; Descendants - Edit'!X$1,FALSE)))</f>
        <v>(1) Alice Maud WARDEN (d. 27/01/1930 buried at Aboyne).</v>
      </c>
      <c r="Y12" s="3" t="str">
        <f>IF(VLOOKUP($C12,'All Girls &amp; Descendants - Edit'!$C$2:$AK$440,'All Girls &amp; Descendants - Edit'!Y$1,FALSE)=""," - ",(VLOOKUP($C12,'All Girls &amp; Descendants - Edit'!$C$2:$AK$440,'All Girls &amp; Descendants - Edit'!Y$1,FALSE)))</f>
        <v>(2) Eveleyn May MITCHELL of Sauchrie (d. 07/04/1945).</v>
      </c>
      <c r="Z12" s="3" t="str">
        <f>IF(VLOOKUP($C12,'All Girls &amp; Descendants - Edit'!$C$2:$AK$440,'All Girls &amp; Descendants - Edit'!Z$1,FALSE)=""," - ",(VLOOKUP($C12,'All Girls &amp; Descendants - Edit'!$C$2:$AK$440,'All Girls &amp; Descendants - Edit'!Z$1,FALSE)))</f>
        <v>DSP 5 Oct 1938, buried at St Thomas’s, Aboyne, Aberdeenshire.</v>
      </c>
      <c r="AA12" s="101">
        <f>IF(VLOOKUP($C12,'All Girls &amp; Descendants - Edit'!$C$2:$AK$440,'All Girls &amp; Descendants - Edit'!AA$1,FALSE)=""," - ",(VLOOKUP($C12,'All Girls &amp; Descendants - Edit'!$C$2:$AK$440,'All Girls &amp; Descendants - Edit'!AA$1,FALSE)))</f>
        <v>58</v>
      </c>
      <c r="AB12" s="101">
        <f>IF(VLOOKUP($C12,'All Girls &amp; Descendants - Edit'!$C$2:$AK$440,'All Girls &amp; Descendants - Edit'!AB$1,FALSE)=""," - ",(VLOOKUP($C12,'All Girls &amp; Descendants - Edit'!$C$2:$AK$440,'All Girls &amp; Descendants - Edit'!AB$1,FALSE)))</f>
        <v>11</v>
      </c>
      <c r="AC12" s="101">
        <f>IF(VLOOKUP($C12,'All Girls &amp; Descendants - Edit'!$C$2:$AK$440,'All Girls &amp; Descendants - Edit'!AC$1,FALSE)=""," - ",(VLOOKUP($C12,'All Girls &amp; Descendants - Edit'!$C$2:$AK$440,'All Girls &amp; Descendants - Edit'!AC$1,FALSE)))</f>
        <v>1011</v>
      </c>
      <c r="AD12" s="3" t="str">
        <f>IF(VLOOKUP($C12,'All Girls &amp; Descendants - Edit'!$C$2:$AK$440,'All Girls &amp; Descendants - Edit'!AD$1,FALSE)=""," - ",(VLOOKUP($C12,'All Girls &amp; Descendants - Edit'!$C$2:$AK$440,'All Girls &amp; Descendants - Edit'!AD$1,FALSE)))</f>
        <v>18c</v>
      </c>
      <c r="AE12" s="3" t="str">
        <f>IF(VLOOKUP($C12,'All Girls &amp; Descendants - Edit'!$C$2:$AK$440,'All Girls &amp; Descendants - Edit'!AE$1,FALSE)=""," - ",(VLOOKUP($C12,'All Girls &amp; Descendants - Edit'!$C$2:$AK$440,'All Girls &amp; Descendants - Edit'!AE$1,FALSE)))</f>
        <v>James Dyce  NICOL (1848 - 1938)</v>
      </c>
      <c r="AF12" s="3" t="str">
        <f>IF(VLOOKUP($C12,'All Girls &amp; Descendants - Edit'!$C$2:$AK$440,'All Girls &amp; Descendants - Edit'!AF$1,FALSE)=""," - ",(VLOOKUP($C12,'All Girls &amp; Descendants - Edit'!$C$2:$AK$440,'All Girls &amp; Descendants - Edit'!AF$1,FALSE)))</f>
        <v>James NICOL (3rd &amp; 18)</v>
      </c>
      <c r="AG12" s="3" t="str">
        <f>IF(VLOOKUP($C12,'All Girls &amp; Descendants - Edit'!$C$2:$AK$440,'All Girls &amp; Descendants - Edit'!AG$1,FALSE)=""," - ",(VLOOKUP($C12,'All Girls &amp; Descendants - Edit'!$C$2:$AK$440,'All Girls &amp; Descendants - Edit'!AG$1,FALSE)))</f>
        <v>Male</v>
      </c>
      <c r="AH12" s="3" t="str">
        <f>IF(VLOOKUP($C12,'All Girls &amp; Descendants - Edit'!$C$2:$AK$440,'All Girls &amp; Descendants - Edit'!AH$1,FALSE)=""," - ",(VLOOKUP($C12,'All Girls &amp; Descendants - Edit'!$C$2:$AK$440,'All Girls &amp; Descendants - Edit'!AH$1,FALSE)))</f>
        <v>3rd</v>
      </c>
      <c r="AI12" s="3" t="str">
        <f>IF(VLOOKUP($C12,'All Girls &amp; Descendants - Edit'!$C$2:$AK$440,'All Girls &amp; Descendants - Edit'!AI$1,FALSE)=""," - ",(VLOOKUP($C12,'All Girls &amp; Descendants - Edit'!$C$2:$AK$440,'All Girls &amp; Descendants - Edit'!AI$1,FALSE)))</f>
        <v>Wife: (1) Alice Maud WARDEN (d. 27/01/1930 buried at Aboyne).. (2) Eveleyn May MITCHELL of Sauchrie (d. 07/04/1945).</v>
      </c>
      <c r="AJ12" s="3" t="str">
        <f>IF(VLOOKUP($C12,'All Girls &amp; Descendants - Edit'!$C$2:$AK$440,'All Girls &amp; Descendants - Edit'!AJ$1,FALSE)=""," - ",(VLOOKUP($C12,'All Girls &amp; Descendants - Edit'!$C$2:$AK$440,'All Girls &amp; Descendants - Edit'!AJ$1,FALSE)))</f>
        <v>Male. b. 30/06/1848, d. 05/10/1938. DSP 5 Oct 1938, buried at St Thomas’s, Aboyne, Aberdeenshire.</v>
      </c>
      <c r="AK12" s="3" t="str">
        <f>IF(VLOOKUP($C12,'All Girls &amp; Descendants - Edit'!$C$2:$AK$440,'All Girls &amp; Descendants - Edit'!AK$1,FALSE)=""," - ",(VLOOKUP($C12,'All Girls &amp; Descendants - Edit'!$C$2:$AK$440,'All Girls &amp; Descendants - Edit'!AK$1,FALSE)))</f>
        <v>b. 30/06/1848, d. 05/10/1938.</v>
      </c>
      <c r="AO12" s="1"/>
      <c r="AS12" s="72">
        <v>19</v>
      </c>
      <c r="AT12">
        <v>4</v>
      </c>
      <c r="AZ12">
        <v>4</v>
      </c>
      <c r="BA12">
        <v>1</v>
      </c>
      <c r="BB12">
        <v>1</v>
      </c>
      <c r="BH12">
        <v>2</v>
      </c>
      <c r="BI12">
        <v>6</v>
      </c>
      <c r="BS12" s="1"/>
    </row>
    <row r="13" spans="1:71" ht="19">
      <c r="A13">
        <f>VLOOKUP(B13,'Loyd List 1-190 - Edit'!$P$1:$R$219,3,FALSE)</f>
        <v>8</v>
      </c>
      <c r="B13">
        <f>'All Girls &amp; Descendants - Edit'!B14</f>
        <v>18</v>
      </c>
      <c r="C13" s="98" t="str">
        <f>'All Girls &amp; Descendants - Edit'!C14</f>
        <v>18d</v>
      </c>
      <c r="D13" s="2" t="str">
        <f>'All Girls &amp; Descendants - Edit'!D14</f>
        <v>NICOL</v>
      </c>
      <c r="E13" t="str">
        <f>'All Girls &amp; Descendants - Edit'!E14</f>
        <v>Sarah</v>
      </c>
      <c r="F13" t="str">
        <f>IF('All Girls &amp; Descendants - Edit'!F14="","",'All Girls &amp; Descendants - Edit'!F14)</f>
        <v>Loyd</v>
      </c>
      <c r="G13" t="str">
        <f>IF('All Girls &amp; Descendants - Edit'!G14="","",'All Girls &amp; Descendants - Edit'!G14)</f>
        <v/>
      </c>
      <c r="H13" t="str">
        <f>IF('All Girls &amp; Descendants - Edit'!H14="","",'All Girls &amp; Descendants - Edit'!H14)</f>
        <v/>
      </c>
      <c r="I13">
        <f>VLOOKUP($C13,'All Girls &amp; Descendants - Edit'!$C$2:$AK$440,'All Girls &amp; Descendants - Edit'!I$1,FALSE)</f>
        <v>1854</v>
      </c>
      <c r="J13">
        <f>VLOOKUP($C13,'All Girls &amp; Descendants - Edit'!$C$2:$AK$440,'All Girls &amp; Descendants - Edit'!J$1,FALSE)</f>
        <v>1943</v>
      </c>
      <c r="K13" s="9"/>
      <c r="L13" t="str">
        <f t="shared" si="6"/>
        <v>23/05/1854</v>
      </c>
      <c r="M13" s="3" t="str">
        <f>VLOOKUP($C13,'All Girls &amp; Descendants - Edit'!$C$2:$AK$440,'All Girls &amp; Descendants - Edit'!M$1,FALSE)</f>
        <v>23/05/1854</v>
      </c>
      <c r="N13" s="3" t="str">
        <f>IF(VLOOKUP($C13,'All Girls &amp; Descendants - Edit'!$C$2:$AK$440,'All Girls &amp; Descendants - Edit'!N$1,FALSE)=""," - ",(VLOOKUP($C13,'All Girls &amp; Descendants - Edit'!$C$2:$AK$440,'All Girls &amp; Descendants - Edit'!N$1,FALSE)))</f>
        <v xml:space="preserve"> - </v>
      </c>
      <c r="O13" s="3">
        <f>IF(VLOOKUP($C13,'All Girls &amp; Descendants - Edit'!$C$2:$AK$440,'All Girls &amp; Descendants - Edit'!O$1,FALSE)="","",(VLOOKUP($C13,'All Girls &amp; Descendants - Edit'!$C$2:$AK$440,'All Girls &amp; Descendants - Edit'!O$1,FALSE)))</f>
        <v>15875</v>
      </c>
      <c r="P13" s="3" t="str">
        <f t="shared" si="3"/>
        <v>18/06/1943</v>
      </c>
      <c r="Q13" s="178" t="str">
        <f t="shared" si="4"/>
        <v>18</v>
      </c>
      <c r="R13" s="23"/>
      <c r="S13" t="str">
        <f>VLOOKUP($C13,'All Girls &amp; Descendants - Edit'!$C$2:$AK$440,'All Girls &amp; Descendants - Edit'!S$1,FALSE)</f>
        <v>Female</v>
      </c>
      <c r="T13" s="176">
        <f t="shared" si="5"/>
        <v>3</v>
      </c>
      <c r="U13" s="176">
        <f t="shared" si="0"/>
        <v>3</v>
      </c>
      <c r="V13" s="176">
        <f t="shared" si="1"/>
        <v>2</v>
      </c>
      <c r="W13" s="177">
        <f t="shared" si="2"/>
        <v>1</v>
      </c>
      <c r="X13" s="3" t="str">
        <f>IF(VLOOKUP($C13,'All Girls &amp; Descendants - Edit'!$C$2:$AK$440,'All Girls &amp; Descendants - Edit'!X$1,FALSE)=""," - ",(VLOOKUP($C13,'All Girls &amp; Descendants - Edit'!$C$2:$AK$440,'All Girls &amp; Descendants - Edit'!X$1,FALSE)))</f>
        <v xml:space="preserve"> - </v>
      </c>
      <c r="Y13" s="3" t="str">
        <f>IF(VLOOKUP($C13,'All Girls &amp; Descendants - Edit'!$C$2:$AK$440,'All Girls &amp; Descendants - Edit'!Y$1,FALSE)=""," - ",(VLOOKUP($C13,'All Girls &amp; Descendants - Edit'!$C$2:$AK$440,'All Girls &amp; Descendants - Edit'!Y$1,FALSE)))</f>
        <v xml:space="preserve"> - </v>
      </c>
      <c r="Z13" s="3" t="str">
        <f>IF(VLOOKUP($C13,'All Girls &amp; Descendants - Edit'!$C$2:$AK$440,'All Girls &amp; Descendants - Edit'!Z$1,FALSE)=""," - ",(VLOOKUP($C13,'All Girls &amp; Descendants - Edit'!$C$2:$AK$440,'All Girls &amp; Descendants - Edit'!Z$1,FALSE)))</f>
        <v>Died at Tunbridge Wells, Kent. Buried at Brookwood.</v>
      </c>
      <c r="AA13" s="101">
        <f>IF(VLOOKUP($C13,'All Girls &amp; Descendants - Edit'!$C$2:$AK$440,'All Girls &amp; Descendants - Edit'!AA$1,FALSE)=""," - ",(VLOOKUP($C13,'All Girls &amp; Descendants - Edit'!$C$2:$AK$440,'All Girls &amp; Descendants - Edit'!AA$1,FALSE)))</f>
        <v>59</v>
      </c>
      <c r="AB13" s="101">
        <f>IF(VLOOKUP($C13,'All Girls &amp; Descendants - Edit'!$C$2:$AK$440,'All Girls &amp; Descendants - Edit'!AB$1,FALSE)=""," - ",(VLOOKUP($C13,'All Girls &amp; Descendants - Edit'!$C$2:$AK$440,'All Girls &amp; Descendants - Edit'!AB$1,FALSE)))</f>
        <v>12</v>
      </c>
      <c r="AC13" s="101">
        <f>IF(VLOOKUP($C13,'All Girls &amp; Descendants - Edit'!$C$2:$AK$440,'All Girls &amp; Descendants - Edit'!AC$1,FALSE)=""," - ",(VLOOKUP($C13,'All Girls &amp; Descendants - Edit'!$C$2:$AK$440,'All Girls &amp; Descendants - Edit'!AC$1,FALSE)))</f>
        <v>1012</v>
      </c>
      <c r="AD13" s="3" t="str">
        <f>IF(VLOOKUP($C13,'All Girls &amp; Descendants - Edit'!$C$2:$AK$440,'All Girls &amp; Descendants - Edit'!AD$1,FALSE)=""," - ",(VLOOKUP($C13,'All Girls &amp; Descendants - Edit'!$C$2:$AK$440,'All Girls &amp; Descendants - Edit'!AD$1,FALSE)))</f>
        <v>18d</v>
      </c>
      <c r="AE13" s="3" t="str">
        <f>IF(VLOOKUP($C13,'All Girls &amp; Descendants - Edit'!$C$2:$AK$440,'All Girls &amp; Descendants - Edit'!AE$1,FALSE)=""," - ",(VLOOKUP($C13,'All Girls &amp; Descendants - Edit'!$C$2:$AK$440,'All Girls &amp; Descendants - Edit'!AE$1,FALSE)))</f>
        <v>Sarah Loyd  NICOL (1854 - 1943)</v>
      </c>
      <c r="AF13" s="3" t="str">
        <f>IF(VLOOKUP($C13,'All Girls &amp; Descendants - Edit'!$C$2:$AK$440,'All Girls &amp; Descendants - Edit'!AF$1,FALSE)=""," - ",(VLOOKUP($C13,'All Girls &amp; Descendants - Edit'!$C$2:$AK$440,'All Girls &amp; Descendants - Edit'!AF$1,FALSE)))</f>
        <v>Sarah NICOL (3rd &amp; 18)</v>
      </c>
      <c r="AG13" s="3" t="str">
        <f>IF(VLOOKUP($C13,'All Girls &amp; Descendants - Edit'!$C$2:$AK$440,'All Girls &amp; Descendants - Edit'!AG$1,FALSE)=""," - ",(VLOOKUP($C13,'All Girls &amp; Descendants - Edit'!$C$2:$AK$440,'All Girls &amp; Descendants - Edit'!AG$1,FALSE)))</f>
        <v>Female</v>
      </c>
      <c r="AH13" s="3" t="str">
        <f>IF(VLOOKUP($C13,'All Girls &amp; Descendants - Edit'!$C$2:$AK$440,'All Girls &amp; Descendants - Edit'!AH$1,FALSE)=""," - ",(VLOOKUP($C13,'All Girls &amp; Descendants - Edit'!$C$2:$AK$440,'All Girls &amp; Descendants - Edit'!AH$1,FALSE)))</f>
        <v>3rd</v>
      </c>
      <c r="AI13" s="3" t="str">
        <f>IF(VLOOKUP($C13,'All Girls &amp; Descendants - Edit'!$C$2:$AK$440,'All Girls &amp; Descendants - Edit'!AI$1,FALSE)=""," - ",(VLOOKUP($C13,'All Girls &amp; Descendants - Edit'!$C$2:$AK$440,'All Girls &amp; Descendants - Edit'!AI$1,FALSE)))</f>
        <v>Unmarried</v>
      </c>
      <c r="AJ13" s="3" t="str">
        <f>IF(VLOOKUP($C13,'All Girls &amp; Descendants - Edit'!$C$2:$AK$440,'All Girls &amp; Descendants - Edit'!AJ$1,FALSE)=""," - ",(VLOOKUP($C13,'All Girls &amp; Descendants - Edit'!$C$2:$AK$440,'All Girls &amp; Descendants - Edit'!AJ$1,FALSE)))</f>
        <v>Female. b. 23/05/1854, d. 18/06/1943. Died at Tunbridge Wells, Kent. Buried at Brookwood.</v>
      </c>
      <c r="AK13" s="3" t="str">
        <f>IF(VLOOKUP($C13,'All Girls &amp; Descendants - Edit'!$C$2:$AK$440,'All Girls &amp; Descendants - Edit'!AK$1,FALSE)=""," - ",(VLOOKUP($C13,'All Girls &amp; Descendants - Edit'!$C$2:$AK$440,'All Girls &amp; Descendants - Edit'!AK$1,FALSE)))</f>
        <v>b. 23/05/1854, d. 18/06/1943.</v>
      </c>
      <c r="AO13" s="1"/>
      <c r="AS13" s="72">
        <v>24</v>
      </c>
      <c r="BB13">
        <v>1</v>
      </c>
      <c r="BH13">
        <v>1</v>
      </c>
      <c r="BI13">
        <v>1</v>
      </c>
      <c r="BN13" s="1"/>
      <c r="BS13" s="1"/>
    </row>
    <row r="14" spans="1:71" ht="19">
      <c r="A14">
        <f>VLOOKUP(B14,'Loyd List 1-190 - Edit'!$P$1:$R$219,3,FALSE)</f>
        <v>8</v>
      </c>
      <c r="B14">
        <f>'All Girls &amp; Descendants - Edit'!B15</f>
        <v>18</v>
      </c>
      <c r="C14" s="98" t="str">
        <f>'All Girls &amp; Descendants - Edit'!C15</f>
        <v>18e</v>
      </c>
      <c r="D14" s="2" t="str">
        <f>'All Girls &amp; Descendants - Edit'!D15</f>
        <v>NICOL</v>
      </c>
      <c r="E14" t="str">
        <f>'All Girls &amp; Descendants - Edit'!E15</f>
        <v>Lewis</v>
      </c>
      <c r="F14" t="str">
        <f>IF('All Girls &amp; Descendants - Edit'!F15="","",'All Girls &amp; Descendants - Edit'!F15)</f>
        <v>Loyd</v>
      </c>
      <c r="G14" t="str">
        <f>IF('All Girls &amp; Descendants - Edit'!G15="","",'All Girls &amp; Descendants - Edit'!G15)</f>
        <v/>
      </c>
      <c r="H14" t="str">
        <f>IF('All Girls &amp; Descendants - Edit'!H15="","",'All Girls &amp; Descendants - Edit'!H15)</f>
        <v/>
      </c>
      <c r="I14">
        <f>VLOOKUP($C14,'All Girls &amp; Descendants - Edit'!$C$2:$AK$440,'All Girls &amp; Descendants - Edit'!I$1,FALSE)</f>
        <v>1858</v>
      </c>
      <c r="J14">
        <f>VLOOKUP($C14,'All Girls &amp; Descendants - Edit'!$C$2:$AK$440,'All Girls &amp; Descendants - Edit'!J$1,FALSE)</f>
        <v>1935</v>
      </c>
      <c r="K14" s="9"/>
      <c r="L14" t="str">
        <f t="shared" si="6"/>
        <v>10/04/1858</v>
      </c>
      <c r="M14" s="3" t="str">
        <f>VLOOKUP($C14,'All Girls &amp; Descendants - Edit'!$C$2:$AK$440,'All Girls &amp; Descendants - Edit'!M$1,FALSE)</f>
        <v>10/04/1858</v>
      </c>
      <c r="N14" s="3" t="str">
        <f>IF(VLOOKUP($C14,'All Girls &amp; Descendants - Edit'!$C$2:$AK$440,'All Girls &amp; Descendants - Edit'!N$1,FALSE)=""," - ",(VLOOKUP($C14,'All Girls &amp; Descendants - Edit'!$C$2:$AK$440,'All Girls &amp; Descendants - Edit'!N$1,FALSE)))</f>
        <v>16/06/1886</v>
      </c>
      <c r="O14" s="3">
        <f>IF(VLOOKUP($C14,'All Girls &amp; Descendants - Edit'!$C$2:$AK$440,'All Girls &amp; Descendants - Edit'!O$1,FALSE)="","",(VLOOKUP($C14,'All Girls &amp; Descendants - Edit'!$C$2:$AK$440,'All Girls &amp; Descendants - Edit'!O$1,FALSE)))</f>
        <v>12925</v>
      </c>
      <c r="P14" s="3" t="str">
        <f t="shared" si="3"/>
        <v>21/05/1935</v>
      </c>
      <c r="Q14" s="178" t="str">
        <f t="shared" si="4"/>
        <v>18</v>
      </c>
      <c r="R14" s="23"/>
      <c r="S14" t="str">
        <f>VLOOKUP($C14,'All Girls &amp; Descendants - Edit'!$C$2:$AK$440,'All Girls &amp; Descendants - Edit'!S$1,FALSE)</f>
        <v>Male</v>
      </c>
      <c r="T14" s="176">
        <f t="shared" si="5"/>
        <v>3</v>
      </c>
      <c r="U14" s="176">
        <f t="shared" si="0"/>
        <v>3</v>
      </c>
      <c r="V14" s="176">
        <f t="shared" si="1"/>
        <v>2</v>
      </c>
      <c r="W14" s="177">
        <f t="shared" si="2"/>
        <v>1</v>
      </c>
      <c r="X14" s="3" t="str">
        <f>IF(VLOOKUP($C14,'All Girls &amp; Descendants - Edit'!$C$2:$AK$440,'All Girls &amp; Descendants - Edit'!X$1,FALSE)=""," - ",(VLOOKUP($C14,'All Girls &amp; Descendants - Edit'!$C$2:$AK$440,'All Girls &amp; Descendants - Edit'!X$1,FALSE)))</f>
        <v>Agnes FREELING (d. 18/12/1914)</v>
      </c>
      <c r="Y14" s="3" t="str">
        <f>IF(VLOOKUP($C14,'All Girls &amp; Descendants - Edit'!$C$2:$AK$440,'All Girls &amp; Descendants - Edit'!Y$1,FALSE)=""," - ",(VLOOKUP($C14,'All Girls &amp; Descendants - Edit'!$C$2:$AK$440,'All Girls &amp; Descendants - Edit'!Y$1,FALSE)))</f>
        <v>Eldest daughter of Sir Sandford FREELING KCMG.</v>
      </c>
      <c r="Z14" s="3" t="str">
        <f>IF(VLOOKUP($C14,'All Girls &amp; Descendants - Edit'!$C$2:$AK$440,'All Girls &amp; Descendants - Edit'!Z$1,FALSE)=""," - ",(VLOOKUP($C14,'All Girls &amp; Descendants - Edit'!$C$2:$AK$440,'All Girls &amp; Descendants - Edit'!Z$1,FALSE)))</f>
        <v>Educated Harrow. Served in World War I 1915-16. Served Gallipoli and Salonika. Commanded 30th Brigade, 10th [Irish Division]. Colonel 3 Bn The Rifle Bde. CBE 1916. Brig General. Died at St Jean de Luz.</v>
      </c>
      <c r="AA14" s="101">
        <f>IF(VLOOKUP($C14,'All Girls &amp; Descendants - Edit'!$C$2:$AK$440,'All Girls &amp; Descendants - Edit'!AA$1,FALSE)=""," - ",(VLOOKUP($C14,'All Girls &amp; Descendants - Edit'!$C$2:$AK$440,'All Girls &amp; Descendants - Edit'!AA$1,FALSE)))</f>
        <v>60</v>
      </c>
      <c r="AB14" s="101">
        <f>IF(VLOOKUP($C14,'All Girls &amp; Descendants - Edit'!$C$2:$AK$440,'All Girls &amp; Descendants - Edit'!AB$1,FALSE)=""," - ",(VLOOKUP($C14,'All Girls &amp; Descendants - Edit'!$C$2:$AK$440,'All Girls &amp; Descendants - Edit'!AB$1,FALSE)))</f>
        <v>13</v>
      </c>
      <c r="AC14" s="101">
        <f>IF(VLOOKUP($C14,'All Girls &amp; Descendants - Edit'!$C$2:$AK$440,'All Girls &amp; Descendants - Edit'!AC$1,FALSE)=""," - ",(VLOOKUP($C14,'All Girls &amp; Descendants - Edit'!$C$2:$AK$440,'All Girls &amp; Descendants - Edit'!AC$1,FALSE)))</f>
        <v>1013</v>
      </c>
      <c r="AD14" s="3" t="str">
        <f>IF(VLOOKUP($C14,'All Girls &amp; Descendants - Edit'!$C$2:$AK$440,'All Girls &amp; Descendants - Edit'!AD$1,FALSE)=""," - ",(VLOOKUP($C14,'All Girls &amp; Descendants - Edit'!$C$2:$AK$440,'All Girls &amp; Descendants - Edit'!AD$1,FALSE)))</f>
        <v>18e</v>
      </c>
      <c r="AE14" s="3" t="str">
        <f>IF(VLOOKUP($C14,'All Girls &amp; Descendants - Edit'!$C$2:$AK$440,'All Girls &amp; Descendants - Edit'!AE$1,FALSE)=""," - ",(VLOOKUP($C14,'All Girls &amp; Descendants - Edit'!$C$2:$AK$440,'All Girls &amp; Descendants - Edit'!AE$1,FALSE)))</f>
        <v>Lewis Loyd  NICOL (1858 - 1935)</v>
      </c>
      <c r="AF14" s="3" t="str">
        <f>IF(VLOOKUP($C14,'All Girls &amp; Descendants - Edit'!$C$2:$AK$440,'All Girls &amp; Descendants - Edit'!AF$1,FALSE)=""," - ",(VLOOKUP($C14,'All Girls &amp; Descendants - Edit'!$C$2:$AK$440,'All Girls &amp; Descendants - Edit'!AF$1,FALSE)))</f>
        <v>Lewis NICOL (3rd &amp; 18)</v>
      </c>
      <c r="AG14" s="3" t="str">
        <f>IF(VLOOKUP($C14,'All Girls &amp; Descendants - Edit'!$C$2:$AK$440,'All Girls &amp; Descendants - Edit'!AG$1,FALSE)=""," - ",(VLOOKUP($C14,'All Girls &amp; Descendants - Edit'!$C$2:$AK$440,'All Girls &amp; Descendants - Edit'!AG$1,FALSE)))</f>
        <v>Male</v>
      </c>
      <c r="AH14" s="3" t="str">
        <f>IF(VLOOKUP($C14,'All Girls &amp; Descendants - Edit'!$C$2:$AK$440,'All Girls &amp; Descendants - Edit'!AH$1,FALSE)=""," - ",(VLOOKUP($C14,'All Girls &amp; Descendants - Edit'!$C$2:$AK$440,'All Girls &amp; Descendants - Edit'!AH$1,FALSE)))</f>
        <v>3rd</v>
      </c>
      <c r="AI14" s="3" t="str">
        <f>IF(VLOOKUP($C14,'All Girls &amp; Descendants - Edit'!$C$2:$AK$440,'All Girls &amp; Descendants - Edit'!AI$1,FALSE)=""," - ",(VLOOKUP($C14,'All Girls &amp; Descendants - Edit'!$C$2:$AK$440,'All Girls &amp; Descendants - Edit'!AI$1,FALSE)))</f>
        <v>Wife: Agnes FREELING (d. 18/12/1914). Eldest daughter of Sir Sandford FREELING KCMG.</v>
      </c>
      <c r="AJ14" s="3" t="str">
        <f>IF(VLOOKUP($C14,'All Girls &amp; Descendants - Edit'!$C$2:$AK$440,'All Girls &amp; Descendants - Edit'!AJ$1,FALSE)=""," - ",(VLOOKUP($C14,'All Girls &amp; Descendants - Edit'!$C$2:$AK$440,'All Girls &amp; Descendants - Edit'!AJ$1,FALSE)))</f>
        <v>Male. b. 10/04/1858, d. 21/05/1935. Educated Harrow. Served in World War I 1915-16. Served Gallipoli and Salonika. Commanded 30th Brigade, 10th [Irish Division]. Colonel 3 Bn The Rifle Bde. CBE 1916. Brig General. Died at St Jean de Luz.</v>
      </c>
      <c r="AK14" s="3" t="str">
        <f>IF(VLOOKUP($C14,'All Girls &amp; Descendants - Edit'!$C$2:$AK$440,'All Girls &amp; Descendants - Edit'!AK$1,FALSE)=""," - ",(VLOOKUP($C14,'All Girls &amp; Descendants - Edit'!$C$2:$AK$440,'All Girls &amp; Descendants - Edit'!AK$1,FALSE)))</f>
        <v>b. 10/04/1858, d. 21/05/1935.</v>
      </c>
      <c r="AO14" s="1"/>
      <c r="AS14" s="72">
        <v>26</v>
      </c>
      <c r="BB14">
        <v>1</v>
      </c>
      <c r="BH14">
        <v>1</v>
      </c>
      <c r="BI14">
        <v>1</v>
      </c>
      <c r="BS14" s="1"/>
    </row>
    <row r="15" spans="1:71" ht="19">
      <c r="A15">
        <f>VLOOKUP(B15,'Loyd List 1-190 - Edit'!$P$1:$R$219,3,FALSE)</f>
        <v>8</v>
      </c>
      <c r="B15">
        <f>'All Girls &amp; Descendants - Edit'!B16</f>
        <v>19</v>
      </c>
      <c r="C15" s="98" t="str">
        <f>'All Girls &amp; Descendants - Edit'!C16</f>
        <v>19a</v>
      </c>
      <c r="D15" s="2" t="str">
        <f>'All Girls &amp; Descendants - Edit'!D16</f>
        <v>ENTWISLE</v>
      </c>
      <c r="E15" t="str">
        <f>'All Girls &amp; Descendants - Edit'!E16</f>
        <v>William</v>
      </c>
      <c r="F15" t="str">
        <f>IF('All Girls &amp; Descendants - Edit'!F16="","",'All Girls &amp; Descendants - Edit'!F16)</f>
        <v/>
      </c>
      <c r="G15" t="str">
        <f>IF('All Girls &amp; Descendants - Edit'!G16="","",'All Girls &amp; Descendants - Edit'!G16)</f>
        <v/>
      </c>
      <c r="H15" t="str">
        <f>IF('All Girls &amp; Descendants - Edit'!H16="","",'All Girls &amp; Descendants - Edit'!H16)</f>
        <v/>
      </c>
      <c r="I15">
        <f>VLOOKUP($C15,'All Girls &amp; Descendants - Edit'!$C$2:$AK$440,'All Girls &amp; Descendants - Edit'!I$1,FALSE)</f>
        <v>1839</v>
      </c>
      <c r="J15">
        <f>VLOOKUP($C15,'All Girls &amp; Descendants - Edit'!$C$2:$AK$440,'All Girls &amp; Descendants - Edit'!J$1,FALSE)</f>
        <v>1860</v>
      </c>
      <c r="K15" s="9"/>
      <c r="L15" t="str">
        <f t="shared" si="6"/>
        <v>14/05/1839</v>
      </c>
      <c r="M15" s="3" t="str">
        <f>VLOOKUP($C15,'All Girls &amp; Descendants - Edit'!$C$2:$AK$440,'All Girls &amp; Descendants - Edit'!M$1,FALSE)</f>
        <v>14/05/1839</v>
      </c>
      <c r="N15" s="3" t="str">
        <f>IF(VLOOKUP($C15,'All Girls &amp; Descendants - Edit'!$C$2:$AK$440,'All Girls &amp; Descendants - Edit'!N$1,FALSE)=""," - ",(VLOOKUP($C15,'All Girls &amp; Descendants - Edit'!$C$2:$AK$440,'All Girls &amp; Descendants - Edit'!N$1,FALSE)))</f>
        <v>Unmarried</v>
      </c>
      <c r="O15" s="3" t="str">
        <f>IF(VLOOKUP($C15,'All Girls &amp; Descendants - Edit'!$C$2:$AK$440,'All Girls &amp; Descendants - Edit'!O$1,FALSE)="","",(VLOOKUP($C15,'All Girls &amp; Descendants - Edit'!$C$2:$AK$440,'All Girls &amp; Descendants - Edit'!O$1,FALSE)))</f>
        <v>27/08/1860</v>
      </c>
      <c r="P15" s="3" t="str">
        <f t="shared" si="3"/>
        <v>27/08/1860</v>
      </c>
      <c r="Q15" s="178" t="str">
        <f t="shared" si="4"/>
        <v>19</v>
      </c>
      <c r="R15" s="23"/>
      <c r="S15" t="str">
        <f>VLOOKUP($C15,'All Girls &amp; Descendants - Edit'!$C$2:$AK$440,'All Girls &amp; Descendants - Edit'!S$1,FALSE)</f>
        <v>Male</v>
      </c>
      <c r="T15" s="176">
        <f t="shared" si="5"/>
        <v>3</v>
      </c>
      <c r="U15" s="176">
        <f t="shared" si="0"/>
        <v>3</v>
      </c>
      <c r="V15" s="176">
        <f t="shared" si="1"/>
        <v>2</v>
      </c>
      <c r="W15" s="177">
        <f t="shared" si="2"/>
        <v>1</v>
      </c>
      <c r="X15" s="3" t="str">
        <f>IF(VLOOKUP($C15,'All Girls &amp; Descendants - Edit'!$C$2:$AK$440,'All Girls &amp; Descendants - Edit'!X$1,FALSE)=""," - ",(VLOOKUP($C15,'All Girls &amp; Descendants - Edit'!$C$2:$AK$440,'All Girls &amp; Descendants - Edit'!X$1,FALSE)))</f>
        <v xml:space="preserve"> - </v>
      </c>
      <c r="Y15" s="3" t="str">
        <f>IF(VLOOKUP($C15,'All Girls &amp; Descendants - Edit'!$C$2:$AK$440,'All Girls &amp; Descendants - Edit'!Y$1,FALSE)=""," - ",(VLOOKUP($C15,'All Girls &amp; Descendants - Edit'!$C$2:$AK$440,'All Girls &amp; Descendants - Edit'!Y$1,FALSE)))</f>
        <v xml:space="preserve"> - </v>
      </c>
      <c r="Z15" s="3" t="str">
        <f>IF(VLOOKUP($C15,'All Girls &amp; Descendants - Edit'!$C$2:$AK$440,'All Girls &amp; Descendants - Edit'!Z$1,FALSE)=""," - ",(VLOOKUP($C15,'All Girls &amp; Descendants - Edit'!$C$2:$AK$440,'All Girls &amp; Descendants - Edit'!Z$1,FALSE)))</f>
        <v xml:space="preserve"> - </v>
      </c>
      <c r="AA15" s="101">
        <f>IF(VLOOKUP($C15,'All Girls &amp; Descendants - Edit'!$C$2:$AK$440,'All Girls &amp; Descendants - Edit'!AA$1,FALSE)=""," - ",(VLOOKUP($C15,'All Girls &amp; Descendants - Edit'!$C$2:$AK$440,'All Girls &amp; Descendants - Edit'!AA$1,FALSE)))</f>
        <v>63</v>
      </c>
      <c r="AB15" s="101">
        <f>IF(VLOOKUP($C15,'All Girls &amp; Descendants - Edit'!$C$2:$AK$440,'All Girls &amp; Descendants - Edit'!AB$1,FALSE)=""," - ",(VLOOKUP($C15,'All Girls &amp; Descendants - Edit'!$C$2:$AK$440,'All Girls &amp; Descendants - Edit'!AB$1,FALSE)))</f>
        <v>14</v>
      </c>
      <c r="AC15" s="101">
        <f>IF(VLOOKUP($C15,'All Girls &amp; Descendants - Edit'!$C$2:$AK$440,'All Girls &amp; Descendants - Edit'!AC$1,FALSE)=""," - ",(VLOOKUP($C15,'All Girls &amp; Descendants - Edit'!$C$2:$AK$440,'All Girls &amp; Descendants - Edit'!AC$1,FALSE)))</f>
        <v>1014</v>
      </c>
      <c r="AD15" s="3" t="str">
        <f>IF(VLOOKUP($C15,'All Girls &amp; Descendants - Edit'!$C$2:$AK$440,'All Girls &amp; Descendants - Edit'!AD$1,FALSE)=""," - ",(VLOOKUP($C15,'All Girls &amp; Descendants - Edit'!$C$2:$AK$440,'All Girls &amp; Descendants - Edit'!AD$1,FALSE)))</f>
        <v>19a</v>
      </c>
      <c r="AE15" s="3" t="str">
        <f>IF(VLOOKUP($C15,'All Girls &amp; Descendants - Edit'!$C$2:$AK$440,'All Girls &amp; Descendants - Edit'!AE$1,FALSE)=""," - ",(VLOOKUP($C15,'All Girls &amp; Descendants - Edit'!$C$2:$AK$440,'All Girls &amp; Descendants - Edit'!AE$1,FALSE)))</f>
        <v>William   ENTWISLE (1839 - 1860)</v>
      </c>
      <c r="AF15" s="3" t="str">
        <f>IF(VLOOKUP($C15,'All Girls &amp; Descendants - Edit'!$C$2:$AK$440,'All Girls &amp; Descendants - Edit'!AF$1,FALSE)=""," - ",(VLOOKUP($C15,'All Girls &amp; Descendants - Edit'!$C$2:$AK$440,'All Girls &amp; Descendants - Edit'!AF$1,FALSE)))</f>
        <v>William ENTWISLE (3rd &amp; 19)</v>
      </c>
      <c r="AG15" s="3" t="str">
        <f>IF(VLOOKUP($C15,'All Girls &amp; Descendants - Edit'!$C$2:$AK$440,'All Girls &amp; Descendants - Edit'!AG$1,FALSE)=""," - ",(VLOOKUP($C15,'All Girls &amp; Descendants - Edit'!$C$2:$AK$440,'All Girls &amp; Descendants - Edit'!AG$1,FALSE)))</f>
        <v>Male</v>
      </c>
      <c r="AH15" s="3" t="str">
        <f>IF(VLOOKUP($C15,'All Girls &amp; Descendants - Edit'!$C$2:$AK$440,'All Girls &amp; Descendants - Edit'!AH$1,FALSE)=""," - ",(VLOOKUP($C15,'All Girls &amp; Descendants - Edit'!$C$2:$AK$440,'All Girls &amp; Descendants - Edit'!AH$1,FALSE)))</f>
        <v>3rd</v>
      </c>
      <c r="AI15" s="3" t="str">
        <f>IF(VLOOKUP($C15,'All Girls &amp; Descendants - Edit'!$C$2:$AK$440,'All Girls &amp; Descendants - Edit'!AI$1,FALSE)=""," - ",(VLOOKUP($C15,'All Girls &amp; Descendants - Edit'!$C$2:$AK$440,'All Girls &amp; Descendants - Edit'!AI$1,FALSE)))</f>
        <v>Unmarried</v>
      </c>
      <c r="AJ15" s="3" t="str">
        <f>IF(VLOOKUP($C15,'All Girls &amp; Descendants - Edit'!$C$2:$AK$440,'All Girls &amp; Descendants - Edit'!AJ$1,FALSE)=""," - ",(VLOOKUP($C15,'All Girls &amp; Descendants - Edit'!$C$2:$AK$440,'All Girls &amp; Descendants - Edit'!AJ$1,FALSE)))</f>
        <v>Male. b. 14/05/1839, d. 27/08/1860.</v>
      </c>
      <c r="AK15" s="3" t="str">
        <f>IF(VLOOKUP($C15,'All Girls &amp; Descendants - Edit'!$C$2:$AK$440,'All Girls &amp; Descendants - Edit'!AK$1,FALSE)=""," - ",(VLOOKUP($C15,'All Girls &amp; Descendants - Edit'!$C$2:$AK$440,'All Girls &amp; Descendants - Edit'!AK$1,FALSE)))</f>
        <v>b. 14/05/1839, d. 27/08/1860.</v>
      </c>
      <c r="AO15" s="1"/>
      <c r="AS15" s="72">
        <v>31</v>
      </c>
      <c r="BB15">
        <v>1</v>
      </c>
      <c r="BH15">
        <v>1</v>
      </c>
      <c r="BI15">
        <v>1</v>
      </c>
      <c r="BN15" s="1"/>
      <c r="BS15" s="1"/>
    </row>
    <row r="16" spans="1:71" ht="19">
      <c r="A16">
        <f>VLOOKUP(B16,'Loyd List 1-190 - Edit'!$P$1:$R$219,3,FALSE)</f>
        <v>8</v>
      </c>
      <c r="B16">
        <f>'All Girls &amp; Descendants - Edit'!B17</f>
        <v>19</v>
      </c>
      <c r="C16" s="98" t="str">
        <f>'All Girls &amp; Descendants - Edit'!C17</f>
        <v>19b</v>
      </c>
      <c r="D16" s="2" t="str">
        <f>'All Girls &amp; Descendants - Edit'!D17</f>
        <v>ENTWISLE</v>
      </c>
      <c r="E16" t="str">
        <f>'All Girls &amp; Descendants - Edit'!E17</f>
        <v>Richard</v>
      </c>
      <c r="F16" t="str">
        <f>IF('All Girls &amp; Descendants - Edit'!F17="","",'All Girls &amp; Descendants - Edit'!F17)</f>
        <v/>
      </c>
      <c r="G16" t="str">
        <f>IF('All Girls &amp; Descendants - Edit'!G17="","",'All Girls &amp; Descendants - Edit'!G17)</f>
        <v/>
      </c>
      <c r="H16" t="str">
        <f>IF('All Girls &amp; Descendants - Edit'!H17="","",'All Girls &amp; Descendants - Edit'!H17)</f>
        <v/>
      </c>
      <c r="I16">
        <f>VLOOKUP($C16,'All Girls &amp; Descendants - Edit'!$C$2:$AK$440,'All Girls &amp; Descendants - Edit'!I$1,FALSE)</f>
        <v>1840</v>
      </c>
      <c r="J16">
        <f>VLOOKUP($C16,'All Girls &amp; Descendants - Edit'!$C$2:$AK$440,'All Girls &amp; Descendants - Edit'!J$1,FALSE)</f>
        <v>1894</v>
      </c>
      <c r="K16" s="9"/>
      <c r="L16" t="str">
        <f t="shared" si="6"/>
        <v>02/10/1840</v>
      </c>
      <c r="M16" s="3" t="str">
        <f>VLOOKUP($C16,'All Girls &amp; Descendants - Edit'!$C$2:$AK$440,'All Girls &amp; Descendants - Edit'!M$1,FALSE)</f>
        <v>02/10/1840</v>
      </c>
      <c r="N16" s="3" t="str">
        <f>IF(VLOOKUP($C16,'All Girls &amp; Descendants - Edit'!$C$2:$AK$440,'All Girls &amp; Descendants - Edit'!N$1,FALSE)=""," - ",(VLOOKUP($C16,'All Girls &amp; Descendants - Edit'!$C$2:$AK$440,'All Girls &amp; Descendants - Edit'!N$1,FALSE)))</f>
        <v>Unmarried</v>
      </c>
      <c r="O16" s="3" t="str">
        <f>IF(VLOOKUP($C16,'All Girls &amp; Descendants - Edit'!$C$2:$AK$440,'All Girls &amp; Descendants - Edit'!O$1,FALSE)="","",(VLOOKUP($C16,'All Girls &amp; Descendants - Edit'!$C$2:$AK$440,'All Girls &amp; Descendants - Edit'!O$1,FALSE)))</f>
        <v>04/10/1894</v>
      </c>
      <c r="P16" s="3" t="str">
        <f t="shared" si="3"/>
        <v>04/10/1894</v>
      </c>
      <c r="Q16" s="178" t="str">
        <f t="shared" si="4"/>
        <v>19</v>
      </c>
      <c r="R16" s="23"/>
      <c r="S16" t="str">
        <f>VLOOKUP($C16,'All Girls &amp; Descendants - Edit'!$C$2:$AK$440,'All Girls &amp; Descendants - Edit'!S$1,FALSE)</f>
        <v>Male</v>
      </c>
      <c r="T16" s="176">
        <f t="shared" si="5"/>
        <v>3</v>
      </c>
      <c r="U16" s="176">
        <f t="shared" si="0"/>
        <v>3</v>
      </c>
      <c r="V16" s="176">
        <f t="shared" si="1"/>
        <v>2</v>
      </c>
      <c r="W16" s="177">
        <f t="shared" si="2"/>
        <v>1</v>
      </c>
      <c r="X16" s="3" t="str">
        <f>IF(VLOOKUP($C16,'All Girls &amp; Descendants - Edit'!$C$2:$AK$440,'All Girls &amp; Descendants - Edit'!X$1,FALSE)=""," - ",(VLOOKUP($C16,'All Girls &amp; Descendants - Edit'!$C$2:$AK$440,'All Girls &amp; Descendants - Edit'!X$1,FALSE)))</f>
        <v xml:space="preserve"> - </v>
      </c>
      <c r="Y16" s="3" t="str">
        <f>IF(VLOOKUP($C16,'All Girls &amp; Descendants - Edit'!$C$2:$AK$440,'All Girls &amp; Descendants - Edit'!Y$1,FALSE)=""," - ",(VLOOKUP($C16,'All Girls &amp; Descendants - Edit'!$C$2:$AK$440,'All Girls &amp; Descendants - Edit'!Y$1,FALSE)))</f>
        <v xml:space="preserve"> - </v>
      </c>
      <c r="Z16" s="3" t="str">
        <f>IF(VLOOKUP($C16,'All Girls &amp; Descendants - Edit'!$C$2:$AK$440,'All Girls &amp; Descendants - Edit'!Z$1,FALSE)=""," - ",(VLOOKUP($C16,'All Girls &amp; Descendants - Edit'!$C$2:$AK$440,'All Girls &amp; Descendants - Edit'!Z$1,FALSE)))</f>
        <v xml:space="preserve"> - </v>
      </c>
      <c r="AA16" s="101">
        <f>IF(VLOOKUP($C16,'All Girls &amp; Descendants - Edit'!$C$2:$AK$440,'All Girls &amp; Descendants - Edit'!AA$1,FALSE)=""," - ",(VLOOKUP($C16,'All Girls &amp; Descendants - Edit'!$C$2:$AK$440,'All Girls &amp; Descendants - Edit'!AA$1,FALSE)))</f>
        <v>64</v>
      </c>
      <c r="AB16" s="101">
        <f>IF(VLOOKUP($C16,'All Girls &amp; Descendants - Edit'!$C$2:$AK$440,'All Girls &amp; Descendants - Edit'!AB$1,FALSE)=""," - ",(VLOOKUP($C16,'All Girls &amp; Descendants - Edit'!$C$2:$AK$440,'All Girls &amp; Descendants - Edit'!AB$1,FALSE)))</f>
        <v>15</v>
      </c>
      <c r="AC16" s="101">
        <f>IF(VLOOKUP($C16,'All Girls &amp; Descendants - Edit'!$C$2:$AK$440,'All Girls &amp; Descendants - Edit'!AC$1,FALSE)=""," - ",(VLOOKUP($C16,'All Girls &amp; Descendants - Edit'!$C$2:$AK$440,'All Girls &amp; Descendants - Edit'!AC$1,FALSE)))</f>
        <v>1015</v>
      </c>
      <c r="AD16" s="3" t="str">
        <f>IF(VLOOKUP($C16,'All Girls &amp; Descendants - Edit'!$C$2:$AK$440,'All Girls &amp; Descendants - Edit'!AD$1,FALSE)=""," - ",(VLOOKUP($C16,'All Girls &amp; Descendants - Edit'!$C$2:$AK$440,'All Girls &amp; Descendants - Edit'!AD$1,FALSE)))</f>
        <v>19b</v>
      </c>
      <c r="AE16" s="3" t="str">
        <f>IF(VLOOKUP($C16,'All Girls &amp; Descendants - Edit'!$C$2:$AK$440,'All Girls &amp; Descendants - Edit'!AE$1,FALSE)=""," - ",(VLOOKUP($C16,'All Girls &amp; Descendants - Edit'!$C$2:$AK$440,'All Girls &amp; Descendants - Edit'!AE$1,FALSE)))</f>
        <v>Richard   ENTWISLE (1840 - 1894)</v>
      </c>
      <c r="AF16" s="3" t="str">
        <f>IF(VLOOKUP($C16,'All Girls &amp; Descendants - Edit'!$C$2:$AK$440,'All Girls &amp; Descendants - Edit'!AF$1,FALSE)=""," - ",(VLOOKUP($C16,'All Girls &amp; Descendants - Edit'!$C$2:$AK$440,'All Girls &amp; Descendants - Edit'!AF$1,FALSE)))</f>
        <v>Richard ENTWISLE (3rd &amp; 19)</v>
      </c>
      <c r="AG16" s="3" t="str">
        <f>IF(VLOOKUP($C16,'All Girls &amp; Descendants - Edit'!$C$2:$AK$440,'All Girls &amp; Descendants - Edit'!AG$1,FALSE)=""," - ",(VLOOKUP($C16,'All Girls &amp; Descendants - Edit'!$C$2:$AK$440,'All Girls &amp; Descendants - Edit'!AG$1,FALSE)))</f>
        <v>Male</v>
      </c>
      <c r="AH16" s="3" t="str">
        <f>IF(VLOOKUP($C16,'All Girls &amp; Descendants - Edit'!$C$2:$AK$440,'All Girls &amp; Descendants - Edit'!AH$1,FALSE)=""," - ",(VLOOKUP($C16,'All Girls &amp; Descendants - Edit'!$C$2:$AK$440,'All Girls &amp; Descendants - Edit'!AH$1,FALSE)))</f>
        <v>3rd</v>
      </c>
      <c r="AI16" s="3" t="str">
        <f>IF(VLOOKUP($C16,'All Girls &amp; Descendants - Edit'!$C$2:$AK$440,'All Girls &amp; Descendants - Edit'!AI$1,FALSE)=""," - ",(VLOOKUP($C16,'All Girls &amp; Descendants - Edit'!$C$2:$AK$440,'All Girls &amp; Descendants - Edit'!AI$1,FALSE)))</f>
        <v>Unmarried</v>
      </c>
      <c r="AJ16" s="3" t="str">
        <f>IF(VLOOKUP($C16,'All Girls &amp; Descendants - Edit'!$C$2:$AK$440,'All Girls &amp; Descendants - Edit'!AJ$1,FALSE)=""," - ",(VLOOKUP($C16,'All Girls &amp; Descendants - Edit'!$C$2:$AK$440,'All Girls &amp; Descendants - Edit'!AJ$1,FALSE)))</f>
        <v>Male. b. 02/10/1840, d. 04/10/1894.</v>
      </c>
      <c r="AK16" s="3" t="str">
        <f>IF(VLOOKUP($C16,'All Girls &amp; Descendants - Edit'!$C$2:$AK$440,'All Girls &amp; Descendants - Edit'!AK$1,FALSE)=""," - ",(VLOOKUP($C16,'All Girls &amp; Descendants - Edit'!$C$2:$AK$440,'All Girls &amp; Descendants - Edit'!AK$1,FALSE)))</f>
        <v>b. 02/10/1840, d. 04/10/1894.</v>
      </c>
      <c r="AO16" s="1"/>
      <c r="AS16" s="72">
        <v>36</v>
      </c>
      <c r="AT16">
        <v>5</v>
      </c>
      <c r="AU16">
        <v>1</v>
      </c>
      <c r="AW16">
        <v>5</v>
      </c>
      <c r="AX16">
        <v>3</v>
      </c>
      <c r="AZ16">
        <v>14</v>
      </c>
      <c r="BA16">
        <v>3</v>
      </c>
      <c r="BB16">
        <v>1</v>
      </c>
      <c r="BC16">
        <v>3</v>
      </c>
      <c r="BD16">
        <v>2</v>
      </c>
      <c r="BE16">
        <v>2</v>
      </c>
      <c r="BF16">
        <v>1</v>
      </c>
      <c r="BH16">
        <v>12</v>
      </c>
      <c r="BI16">
        <v>26</v>
      </c>
      <c r="BS16" s="1"/>
    </row>
    <row r="17" spans="1:71" ht="19">
      <c r="A17">
        <f>VLOOKUP(B17,'Loyd List 1-190 - Edit'!$P$1:$R$219,3,FALSE)</f>
        <v>8</v>
      </c>
      <c r="B17">
        <f>'All Girls &amp; Descendants - Edit'!B18</f>
        <v>19</v>
      </c>
      <c r="C17" s="98" t="str">
        <f>'All Girls &amp; Descendants - Edit'!C18</f>
        <v>19c</v>
      </c>
      <c r="D17" s="2" t="str">
        <f>'All Girls &amp; Descendants - Edit'!D18</f>
        <v>ENTWISLE</v>
      </c>
      <c r="E17" t="str">
        <f>'All Girls &amp; Descendants - Edit'!E18</f>
        <v>Frederica</v>
      </c>
      <c r="F17" t="str">
        <f>IF('All Girls &amp; Descendants - Edit'!F18="","",'All Girls &amp; Descendants - Edit'!F18)</f>
        <v>Frances</v>
      </c>
      <c r="G17" t="str">
        <f>IF('All Girls &amp; Descendants - Edit'!G18="","",'All Girls &amp; Descendants - Edit'!G18)</f>
        <v/>
      </c>
      <c r="H17" t="str">
        <f>IF('All Girls &amp; Descendants - Edit'!H18="","",'All Girls &amp; Descendants - Edit'!H18)</f>
        <v/>
      </c>
      <c r="I17">
        <f>VLOOKUP($C17,'All Girls &amp; Descendants - Edit'!$C$2:$AK$440,'All Girls &amp; Descendants - Edit'!I$1,FALSE)</f>
        <v>1842</v>
      </c>
      <c r="J17">
        <f>VLOOKUP($C17,'All Girls &amp; Descendants - Edit'!$C$2:$AK$440,'All Girls &amp; Descendants - Edit'!J$1,FALSE)</f>
        <v>1916</v>
      </c>
      <c r="K17" s="9"/>
      <c r="L17" t="str">
        <f t="shared" si="6"/>
        <v>24/09/1842</v>
      </c>
      <c r="M17" s="3" t="str">
        <f>VLOOKUP($C17,'All Girls &amp; Descendants - Edit'!$C$2:$AK$440,'All Girls &amp; Descendants - Edit'!M$1,FALSE)</f>
        <v>24/09/1842</v>
      </c>
      <c r="N17" s="3" t="str">
        <f>IF(VLOOKUP($C17,'All Girls &amp; Descendants - Edit'!$C$2:$AK$440,'All Girls &amp; Descendants - Edit'!N$1,FALSE)=""," - ",(VLOOKUP($C17,'All Girls &amp; Descendants - Edit'!$C$2:$AK$440,'All Girls &amp; Descendants - Edit'!N$1,FALSE)))</f>
        <v>08/04/1863</v>
      </c>
      <c r="O17" s="3">
        <f>IF(VLOOKUP($C17,'All Girls &amp; Descendants - Edit'!$C$2:$AK$440,'All Girls &amp; Descendants - Edit'!O$1,FALSE)="","",(VLOOKUP($C17,'All Girls &amp; Descendants - Edit'!$C$2:$AK$440,'All Girls &amp; Descendants - Edit'!O$1,FALSE)))</f>
        <v>5949</v>
      </c>
      <c r="P17" s="3" t="str">
        <f t="shared" si="3"/>
        <v>14/04/1916</v>
      </c>
      <c r="Q17" s="178" t="str">
        <f t="shared" si="4"/>
        <v>19</v>
      </c>
      <c r="R17" s="23"/>
      <c r="S17" t="str">
        <f>VLOOKUP($C17,'All Girls &amp; Descendants - Edit'!$C$2:$AK$440,'All Girls &amp; Descendants - Edit'!S$1,FALSE)</f>
        <v>Female</v>
      </c>
      <c r="T17" s="176">
        <f t="shared" si="5"/>
        <v>3</v>
      </c>
      <c r="U17" s="176">
        <f t="shared" si="0"/>
        <v>3</v>
      </c>
      <c r="V17" s="176">
        <f t="shared" si="1"/>
        <v>2</v>
      </c>
      <c r="W17" s="177">
        <f t="shared" si="2"/>
        <v>1</v>
      </c>
      <c r="X17" s="3" t="str">
        <f>IF(VLOOKUP($C17,'All Girls &amp; Descendants - Edit'!$C$2:$AK$440,'All Girls &amp; Descendants - Edit'!X$1,FALSE)=""," - ",(VLOOKUP($C17,'All Girls &amp; Descendants - Edit'!$C$2:$AK$440,'All Girls &amp; Descendants - Edit'!X$1,FALSE)))</f>
        <v xml:space="preserve"> - </v>
      </c>
      <c r="Y17" s="3" t="str">
        <f>IF(VLOOKUP($C17,'All Girls &amp; Descendants - Edit'!$C$2:$AK$440,'All Girls &amp; Descendants - Edit'!Y$1,FALSE)=""," - ",(VLOOKUP($C17,'All Girls &amp; Descendants - Edit'!$C$2:$AK$440,'All Girls &amp; Descendants - Edit'!Y$1,FALSE)))</f>
        <v xml:space="preserve"> - </v>
      </c>
      <c r="Z17" s="3" t="str">
        <f>IF(VLOOKUP($C17,'All Girls &amp; Descendants - Edit'!$C$2:$AK$440,'All Girls &amp; Descendants - Edit'!Z$1,FALSE)=""," - ",(VLOOKUP($C17,'All Girls &amp; Descendants - Edit'!$C$2:$AK$440,'All Girls &amp; Descendants - Edit'!Z$1,FALSE)))</f>
        <v xml:space="preserve"> - </v>
      </c>
      <c r="AA17" s="101">
        <f>IF(VLOOKUP($C17,'All Girls &amp; Descendants - Edit'!$C$2:$AK$440,'All Girls &amp; Descendants - Edit'!AA$1,FALSE)=""," - ",(VLOOKUP($C17,'All Girls &amp; Descendants - Edit'!$C$2:$AK$440,'All Girls &amp; Descendants - Edit'!AA$1,FALSE)))</f>
        <v>65</v>
      </c>
      <c r="AB17" s="101">
        <f>IF(VLOOKUP($C17,'All Girls &amp; Descendants - Edit'!$C$2:$AK$440,'All Girls &amp; Descendants - Edit'!AB$1,FALSE)=""," - ",(VLOOKUP($C17,'All Girls &amp; Descendants - Edit'!$C$2:$AK$440,'All Girls &amp; Descendants - Edit'!AB$1,FALSE)))</f>
        <v>16</v>
      </c>
      <c r="AC17" s="101">
        <f>IF(VLOOKUP($C17,'All Girls &amp; Descendants - Edit'!$C$2:$AK$440,'All Girls &amp; Descendants - Edit'!AC$1,FALSE)=""," - ",(VLOOKUP($C17,'All Girls &amp; Descendants - Edit'!$C$2:$AK$440,'All Girls &amp; Descendants - Edit'!AC$1,FALSE)))</f>
        <v>1016</v>
      </c>
      <c r="AD17" s="3" t="str">
        <f>IF(VLOOKUP($C17,'All Girls &amp; Descendants - Edit'!$C$2:$AK$440,'All Girls &amp; Descendants - Edit'!AD$1,FALSE)=""," - ",(VLOOKUP($C17,'All Girls &amp; Descendants - Edit'!$C$2:$AK$440,'All Girls &amp; Descendants - Edit'!AD$1,FALSE)))</f>
        <v>19c</v>
      </c>
      <c r="AE17" s="3" t="str">
        <f>IF(VLOOKUP($C17,'All Girls &amp; Descendants - Edit'!$C$2:$AK$440,'All Girls &amp; Descendants - Edit'!AE$1,FALSE)=""," - ",(VLOOKUP($C17,'All Girls &amp; Descendants - Edit'!$C$2:$AK$440,'All Girls &amp; Descendants - Edit'!AE$1,FALSE)))</f>
        <v>Frederica Frances  ENTWISLE (1842 - 1916)</v>
      </c>
      <c r="AF17" s="3" t="str">
        <f>IF(VLOOKUP($C17,'All Girls &amp; Descendants - Edit'!$C$2:$AK$440,'All Girls &amp; Descendants - Edit'!AF$1,FALSE)=""," - ",(VLOOKUP($C17,'All Girls &amp; Descendants - Edit'!$C$2:$AK$440,'All Girls &amp; Descendants - Edit'!AF$1,FALSE)))</f>
        <v>Frederica ENTWISLE (3rd &amp; 19)</v>
      </c>
      <c r="AG17" s="3" t="str">
        <f>IF(VLOOKUP($C17,'All Girls &amp; Descendants - Edit'!$C$2:$AK$440,'All Girls &amp; Descendants - Edit'!AG$1,FALSE)=""," - ",(VLOOKUP($C17,'All Girls &amp; Descendants - Edit'!$C$2:$AK$440,'All Girls &amp; Descendants - Edit'!AG$1,FALSE)))</f>
        <v>Female</v>
      </c>
      <c r="AH17" s="3" t="str">
        <f>IF(VLOOKUP($C17,'All Girls &amp; Descendants - Edit'!$C$2:$AK$440,'All Girls &amp; Descendants - Edit'!AH$1,FALSE)=""," - ",(VLOOKUP($C17,'All Girls &amp; Descendants - Edit'!$C$2:$AK$440,'All Girls &amp; Descendants - Edit'!AH$1,FALSE)))</f>
        <v>3rd</v>
      </c>
      <c r="AI17" s="3" t="str">
        <f>IF(VLOOKUP($C17,'All Girls &amp; Descendants - Edit'!$C$2:$AK$440,'All Girls &amp; Descendants - Edit'!AI$1,FALSE)=""," - ",(VLOOKUP($C17,'All Girls &amp; Descendants - Edit'!$C$2:$AK$440,'All Girls &amp; Descendants - Edit'!AI$1,FALSE)))</f>
        <v>Unmarried</v>
      </c>
      <c r="AJ17" s="3" t="str">
        <f>IF(VLOOKUP($C17,'All Girls &amp; Descendants - Edit'!$C$2:$AK$440,'All Girls &amp; Descendants - Edit'!AJ$1,FALSE)=""," - ",(VLOOKUP($C17,'All Girls &amp; Descendants - Edit'!$C$2:$AK$440,'All Girls &amp; Descendants - Edit'!AJ$1,FALSE)))</f>
        <v>Female. b. 24/09/1842, d. 14/04/1916.</v>
      </c>
      <c r="AK17" s="3" t="str">
        <f>IF(VLOOKUP($C17,'All Girls &amp; Descendants - Edit'!$C$2:$AK$440,'All Girls &amp; Descendants - Edit'!AK$1,FALSE)=""," - ",(VLOOKUP($C17,'All Girls &amp; Descendants - Edit'!$C$2:$AK$440,'All Girls &amp; Descendants - Edit'!AK$1,FALSE)))</f>
        <v>b. 24/09/1842, d. 14/04/1916.</v>
      </c>
      <c r="AO17" s="1"/>
      <c r="AS17" s="72">
        <v>37</v>
      </c>
      <c r="BB17">
        <v>1</v>
      </c>
      <c r="BH17">
        <v>1</v>
      </c>
      <c r="BI17">
        <v>1</v>
      </c>
      <c r="BN17" s="1"/>
      <c r="BS17" s="1"/>
    </row>
    <row r="18" spans="1:71" ht="19">
      <c r="A18">
        <f>VLOOKUP(B18,'Loyd List 1-190 - Edit'!$P$1:$R$219,3,FALSE)</f>
        <v>8</v>
      </c>
      <c r="B18">
        <f>'All Girls &amp; Descendants - Edit'!B19</f>
        <v>19</v>
      </c>
      <c r="C18" s="98" t="str">
        <f>'All Girls &amp; Descendants - Edit'!C19</f>
        <v>19d</v>
      </c>
      <c r="D18" s="2" t="str">
        <f>'All Girls &amp; Descendants - Edit'!D19</f>
        <v>ENTWISLE</v>
      </c>
      <c r="E18" t="str">
        <f>'All Girls &amp; Descendants - Edit'!E19</f>
        <v>Bernard</v>
      </c>
      <c r="F18" t="str">
        <f>IF('All Girls &amp; Descendants - Edit'!F19="","",'All Girls &amp; Descendants - Edit'!F19)</f>
        <v>Henry</v>
      </c>
      <c r="G18" t="str">
        <f>IF('All Girls &amp; Descendants - Edit'!G19="","",'All Girls &amp; Descendants - Edit'!G19)</f>
        <v/>
      </c>
      <c r="H18" t="str">
        <f>IF('All Girls &amp; Descendants - Edit'!H19="","",'All Girls &amp; Descendants - Edit'!H19)</f>
        <v/>
      </c>
      <c r="I18">
        <f>VLOOKUP($C18,'All Girls &amp; Descendants - Edit'!$C$2:$AK$440,'All Girls &amp; Descendants - Edit'!I$1,FALSE)</f>
        <v>1847</v>
      </c>
      <c r="J18">
        <f>VLOOKUP($C18,'All Girls &amp; Descendants - Edit'!$C$2:$AK$440,'All Girls &amp; Descendants - Edit'!J$1,FALSE)</f>
        <v>1877</v>
      </c>
      <c r="K18" s="9"/>
      <c r="L18" t="str">
        <f t="shared" si="6"/>
        <v>25/02/1847</v>
      </c>
      <c r="M18" s="3" t="str">
        <f>VLOOKUP($C18,'All Girls &amp; Descendants - Edit'!$C$2:$AK$440,'All Girls &amp; Descendants - Edit'!M$1,FALSE)</f>
        <v>25/02/1847</v>
      </c>
      <c r="N18" s="3" t="str">
        <f>IF(VLOOKUP($C18,'All Girls &amp; Descendants - Edit'!$C$2:$AK$440,'All Girls &amp; Descendants - Edit'!N$1,FALSE)=""," - ",(VLOOKUP($C18,'All Girls &amp; Descendants - Edit'!$C$2:$AK$440,'All Girls &amp; Descendants - Edit'!N$1,FALSE)))</f>
        <v>08/01 or 06/1875</v>
      </c>
      <c r="O18" s="3" t="str">
        <f>IF(VLOOKUP($C18,'All Girls &amp; Descendants - Edit'!$C$2:$AK$440,'All Girls &amp; Descendants - Edit'!O$1,FALSE)="","",(VLOOKUP($C18,'All Girls &amp; Descendants - Edit'!$C$2:$AK$440,'All Girls &amp; Descendants - Edit'!O$1,FALSE)))</f>
        <v>22/09/1877</v>
      </c>
      <c r="P18" s="3" t="str">
        <f t="shared" si="3"/>
        <v>22/09/1877</v>
      </c>
      <c r="Q18" s="178" t="str">
        <f t="shared" si="4"/>
        <v>19</v>
      </c>
      <c r="R18" s="23"/>
      <c r="S18" t="str">
        <f>VLOOKUP($C18,'All Girls &amp; Descendants - Edit'!$C$2:$AK$440,'All Girls &amp; Descendants - Edit'!S$1,FALSE)</f>
        <v>Male</v>
      </c>
      <c r="T18" s="176">
        <f t="shared" si="5"/>
        <v>3</v>
      </c>
      <c r="U18" s="176">
        <f t="shared" si="0"/>
        <v>3</v>
      </c>
      <c r="V18" s="176">
        <f t="shared" si="1"/>
        <v>2</v>
      </c>
      <c r="W18" s="177">
        <f t="shared" si="2"/>
        <v>1</v>
      </c>
      <c r="X18" s="3" t="str">
        <f>IF(VLOOKUP($C18,'All Girls &amp; Descendants - Edit'!$C$2:$AK$440,'All Girls &amp; Descendants - Edit'!X$1,FALSE)=""," - ",(VLOOKUP($C18,'All Girls &amp; Descendants - Edit'!$C$2:$AK$440,'All Girls &amp; Descendants - Edit'!X$1,FALSE)))</f>
        <v xml:space="preserve"> - </v>
      </c>
      <c r="Y18" s="3" t="str">
        <f>IF(VLOOKUP($C18,'All Girls &amp; Descendants - Edit'!$C$2:$AK$440,'All Girls &amp; Descendants - Edit'!Y$1,FALSE)=""," - ",(VLOOKUP($C18,'All Girls &amp; Descendants - Edit'!$C$2:$AK$440,'All Girls &amp; Descendants - Edit'!Y$1,FALSE)))</f>
        <v xml:space="preserve"> - </v>
      </c>
      <c r="Z18" s="3" t="str">
        <f>IF(VLOOKUP($C18,'All Girls &amp; Descendants - Edit'!$C$2:$AK$440,'All Girls &amp; Descendants - Edit'!Z$1,FALSE)=""," - ",(VLOOKUP($C18,'All Girls &amp; Descendants - Edit'!$C$2:$AK$440,'All Girls &amp; Descendants - Edit'!Z$1,FALSE)))</f>
        <v xml:space="preserve"> - </v>
      </c>
      <c r="AA18" s="101">
        <f>IF(VLOOKUP($C18,'All Girls &amp; Descendants - Edit'!$C$2:$AK$440,'All Girls &amp; Descendants - Edit'!AA$1,FALSE)=""," - ",(VLOOKUP($C18,'All Girls &amp; Descendants - Edit'!$C$2:$AK$440,'All Girls &amp; Descendants - Edit'!AA$1,FALSE)))</f>
        <v>66</v>
      </c>
      <c r="AB18" s="101">
        <f>IF(VLOOKUP($C18,'All Girls &amp; Descendants - Edit'!$C$2:$AK$440,'All Girls &amp; Descendants - Edit'!AB$1,FALSE)=""," - ",(VLOOKUP($C18,'All Girls &amp; Descendants - Edit'!$C$2:$AK$440,'All Girls &amp; Descendants - Edit'!AB$1,FALSE)))</f>
        <v>17</v>
      </c>
      <c r="AC18" s="101">
        <f>IF(VLOOKUP($C18,'All Girls &amp; Descendants - Edit'!$C$2:$AK$440,'All Girls &amp; Descendants - Edit'!AC$1,FALSE)=""," - ",(VLOOKUP($C18,'All Girls &amp; Descendants - Edit'!$C$2:$AK$440,'All Girls &amp; Descendants - Edit'!AC$1,FALSE)))</f>
        <v>1017</v>
      </c>
      <c r="AD18" s="3" t="str">
        <f>IF(VLOOKUP($C18,'All Girls &amp; Descendants - Edit'!$C$2:$AK$440,'All Girls &amp; Descendants - Edit'!AD$1,FALSE)=""," - ",(VLOOKUP($C18,'All Girls &amp; Descendants - Edit'!$C$2:$AK$440,'All Girls &amp; Descendants - Edit'!AD$1,FALSE)))</f>
        <v>19d</v>
      </c>
      <c r="AE18" s="3" t="str">
        <f>IF(VLOOKUP($C18,'All Girls &amp; Descendants - Edit'!$C$2:$AK$440,'All Girls &amp; Descendants - Edit'!AE$1,FALSE)=""," - ",(VLOOKUP($C18,'All Girls &amp; Descendants - Edit'!$C$2:$AK$440,'All Girls &amp; Descendants - Edit'!AE$1,FALSE)))</f>
        <v>Bernard Henry  ENTWISLE (1847 - 1877)</v>
      </c>
      <c r="AF18" s="3" t="str">
        <f>IF(VLOOKUP($C18,'All Girls &amp; Descendants - Edit'!$C$2:$AK$440,'All Girls &amp; Descendants - Edit'!AF$1,FALSE)=""," - ",(VLOOKUP($C18,'All Girls &amp; Descendants - Edit'!$C$2:$AK$440,'All Girls &amp; Descendants - Edit'!AF$1,FALSE)))</f>
        <v>Bernard ENTWISLE (3rd &amp; 19)</v>
      </c>
      <c r="AG18" s="3" t="str">
        <f>IF(VLOOKUP($C18,'All Girls &amp; Descendants - Edit'!$C$2:$AK$440,'All Girls &amp; Descendants - Edit'!AG$1,FALSE)=""," - ",(VLOOKUP($C18,'All Girls &amp; Descendants - Edit'!$C$2:$AK$440,'All Girls &amp; Descendants - Edit'!AG$1,FALSE)))</f>
        <v>Male</v>
      </c>
      <c r="AH18" s="3" t="str">
        <f>IF(VLOOKUP($C18,'All Girls &amp; Descendants - Edit'!$C$2:$AK$440,'All Girls &amp; Descendants - Edit'!AH$1,FALSE)=""," - ",(VLOOKUP($C18,'All Girls &amp; Descendants - Edit'!$C$2:$AK$440,'All Girls &amp; Descendants - Edit'!AH$1,FALSE)))</f>
        <v>3rd</v>
      </c>
      <c r="AI18" s="3" t="str">
        <f>IF(VLOOKUP($C18,'All Girls &amp; Descendants - Edit'!$C$2:$AK$440,'All Girls &amp; Descendants - Edit'!AI$1,FALSE)=""," - ",(VLOOKUP($C18,'All Girls &amp; Descendants - Edit'!$C$2:$AK$440,'All Girls &amp; Descendants - Edit'!AI$1,FALSE)))</f>
        <v>Unmarried</v>
      </c>
      <c r="AJ18" s="3" t="str">
        <f>IF(VLOOKUP($C18,'All Girls &amp; Descendants - Edit'!$C$2:$AK$440,'All Girls &amp; Descendants - Edit'!AJ$1,FALSE)=""," - ",(VLOOKUP($C18,'All Girls &amp; Descendants - Edit'!$C$2:$AK$440,'All Girls &amp; Descendants - Edit'!AJ$1,FALSE)))</f>
        <v>Male. b. 25/02/1847, d. 22/09/1877.</v>
      </c>
      <c r="AK18" s="3" t="str">
        <f>IF(VLOOKUP($C18,'All Girls &amp; Descendants - Edit'!$C$2:$AK$440,'All Girls &amp; Descendants - Edit'!AK$1,FALSE)=""," - ",(VLOOKUP($C18,'All Girls &amp; Descendants - Edit'!$C$2:$AK$440,'All Girls &amp; Descendants - Edit'!AK$1,FALSE)))</f>
        <v>b. 25/02/1847, d. 22/09/1877.</v>
      </c>
      <c r="AO18" s="1"/>
      <c r="AS18" s="72">
        <v>38</v>
      </c>
      <c r="BB18">
        <v>1</v>
      </c>
      <c r="BH18">
        <v>1</v>
      </c>
      <c r="BI18">
        <v>1</v>
      </c>
      <c r="BS18" s="1"/>
    </row>
    <row r="19" spans="1:71" ht="19">
      <c r="A19">
        <f>VLOOKUP(B19,'Loyd List 1-190 - Edit'!$P$1:$R$219,3,FALSE)</f>
        <v>8</v>
      </c>
      <c r="B19">
        <f>'All Girls &amp; Descendants - Edit'!B20</f>
        <v>19</v>
      </c>
      <c r="C19" s="98" t="str">
        <f>'All Girls &amp; Descendants - Edit'!C20</f>
        <v>19e</v>
      </c>
      <c r="D19" s="2" t="str">
        <f>'All Girls &amp; Descendants - Edit'!D20</f>
        <v>ENTWISLE</v>
      </c>
      <c r="E19" t="str">
        <f>'All Girls &amp; Descendants - Edit'!E20</f>
        <v>Edward</v>
      </c>
      <c r="F19" t="str">
        <f>IF('All Girls &amp; Descendants - Edit'!F20="","",'All Girls &amp; Descendants - Edit'!F20)</f>
        <v>Loyd</v>
      </c>
      <c r="G19" t="str">
        <f>IF('All Girls &amp; Descendants - Edit'!G20="","",'All Girls &amp; Descendants - Edit'!G20)</f>
        <v/>
      </c>
      <c r="H19" t="str">
        <f>IF('All Girls &amp; Descendants - Edit'!H20="","",'All Girls &amp; Descendants - Edit'!H20)</f>
        <v/>
      </c>
      <c r="I19">
        <f>VLOOKUP($C19,'All Girls &amp; Descendants - Edit'!$C$2:$AK$440,'All Girls &amp; Descendants - Edit'!I$1,FALSE)</f>
        <v>1852</v>
      </c>
      <c r="J19">
        <f>VLOOKUP($C19,'All Girls &amp; Descendants - Edit'!$C$2:$AK$440,'All Girls &amp; Descendants - Edit'!J$1,FALSE)</f>
        <v>1881</v>
      </c>
      <c r="K19" s="9"/>
      <c r="L19" t="str">
        <f t="shared" si="6"/>
        <v>13/02/1852</v>
      </c>
      <c r="M19" s="3" t="str">
        <f>VLOOKUP($C19,'All Girls &amp; Descendants - Edit'!$C$2:$AK$440,'All Girls &amp; Descendants - Edit'!M$1,FALSE)</f>
        <v>13/02/1852</v>
      </c>
      <c r="N19" s="3" t="str">
        <f>IF(VLOOKUP($C19,'All Girls &amp; Descendants - Edit'!$C$2:$AK$440,'All Girls &amp; Descendants - Edit'!N$1,FALSE)=""," - ",(VLOOKUP($C19,'All Girls &amp; Descendants - Edit'!$C$2:$AK$440,'All Girls &amp; Descendants - Edit'!N$1,FALSE)))</f>
        <v>16/07/1880</v>
      </c>
      <c r="O19" s="3" t="str">
        <f>IF(VLOOKUP($C19,'All Girls &amp; Descendants - Edit'!$C$2:$AK$440,'All Girls &amp; Descendants - Edit'!O$1,FALSE)="","",(VLOOKUP($C19,'All Girls &amp; Descendants - Edit'!$C$2:$AK$440,'All Girls &amp; Descendants - Edit'!O$1,FALSE)))</f>
        <v>16/01/1881</v>
      </c>
      <c r="P19" s="3" t="str">
        <f t="shared" si="3"/>
        <v>16/01/1881</v>
      </c>
      <c r="Q19" s="178" t="str">
        <f t="shared" si="4"/>
        <v>19</v>
      </c>
      <c r="R19" s="23"/>
      <c r="S19" t="str">
        <f>VLOOKUP($C19,'All Girls &amp; Descendants - Edit'!$C$2:$AK$440,'All Girls &amp; Descendants - Edit'!S$1,FALSE)</f>
        <v>Male</v>
      </c>
      <c r="T19" s="176">
        <f t="shared" si="5"/>
        <v>3</v>
      </c>
      <c r="U19" s="176">
        <f t="shared" si="0"/>
        <v>3</v>
      </c>
      <c r="V19" s="176">
        <f t="shared" si="1"/>
        <v>2</v>
      </c>
      <c r="W19" s="177">
        <f t="shared" si="2"/>
        <v>1</v>
      </c>
      <c r="X19" s="3" t="str">
        <f>IF(VLOOKUP($C19,'All Girls &amp; Descendants - Edit'!$C$2:$AK$440,'All Girls &amp; Descendants - Edit'!X$1,FALSE)=""," - ",(VLOOKUP($C19,'All Girls &amp; Descendants - Edit'!$C$2:$AK$440,'All Girls &amp; Descendants - Edit'!X$1,FALSE)))</f>
        <v>Anne Marie Hyde CLARKE</v>
      </c>
      <c r="Y19" s="3" t="str">
        <f>IF(VLOOKUP($C19,'All Girls &amp; Descendants - Edit'!$C$2:$AK$440,'All Girls &amp; Descendants - Edit'!Y$1,FALSE)=""," - ",(VLOOKUP($C19,'All Girls &amp; Descendants - Edit'!$C$2:$AK$440,'All Girls &amp; Descendants - Edit'!Y$1,FALSE)))</f>
        <v xml:space="preserve"> - </v>
      </c>
      <c r="Z19" s="3" t="str">
        <f>IF(VLOOKUP($C19,'All Girls &amp; Descendants - Edit'!$C$2:$AK$440,'All Girls &amp; Descendants - Edit'!Z$1,FALSE)=""," - ",(VLOOKUP($C19,'All Girls &amp; Descendants - Edit'!$C$2:$AK$440,'All Girls &amp; Descendants - Edit'!Z$1,FALSE)))</f>
        <v xml:space="preserve"> - </v>
      </c>
      <c r="AA19" s="101">
        <f>IF(VLOOKUP($C19,'All Girls &amp; Descendants - Edit'!$C$2:$AK$440,'All Girls &amp; Descendants - Edit'!AA$1,FALSE)=""," - ",(VLOOKUP($C19,'All Girls &amp; Descendants - Edit'!$C$2:$AK$440,'All Girls &amp; Descendants - Edit'!AA$1,FALSE)))</f>
        <v>67</v>
      </c>
      <c r="AB19" s="101">
        <f>IF(VLOOKUP($C19,'All Girls &amp; Descendants - Edit'!$C$2:$AK$440,'All Girls &amp; Descendants - Edit'!AB$1,FALSE)=""," - ",(VLOOKUP($C19,'All Girls &amp; Descendants - Edit'!$C$2:$AK$440,'All Girls &amp; Descendants - Edit'!AB$1,FALSE)))</f>
        <v>18</v>
      </c>
      <c r="AC19" s="101">
        <f>IF(VLOOKUP($C19,'All Girls &amp; Descendants - Edit'!$C$2:$AK$440,'All Girls &amp; Descendants - Edit'!AC$1,FALSE)=""," - ",(VLOOKUP($C19,'All Girls &amp; Descendants - Edit'!$C$2:$AK$440,'All Girls &amp; Descendants - Edit'!AC$1,FALSE)))</f>
        <v>1018</v>
      </c>
      <c r="AD19" s="3" t="str">
        <f>IF(VLOOKUP($C19,'All Girls &amp; Descendants - Edit'!$C$2:$AK$440,'All Girls &amp; Descendants - Edit'!AD$1,FALSE)=""," - ",(VLOOKUP($C19,'All Girls &amp; Descendants - Edit'!$C$2:$AK$440,'All Girls &amp; Descendants - Edit'!AD$1,FALSE)))</f>
        <v>19e</v>
      </c>
      <c r="AE19" s="3" t="str">
        <f>IF(VLOOKUP($C19,'All Girls &amp; Descendants - Edit'!$C$2:$AK$440,'All Girls &amp; Descendants - Edit'!AE$1,FALSE)=""," - ",(VLOOKUP($C19,'All Girls &amp; Descendants - Edit'!$C$2:$AK$440,'All Girls &amp; Descendants - Edit'!AE$1,FALSE)))</f>
        <v>Edward Loyd  ENTWISLE (1852 - 1881)</v>
      </c>
      <c r="AF19" s="3" t="str">
        <f>IF(VLOOKUP($C19,'All Girls &amp; Descendants - Edit'!$C$2:$AK$440,'All Girls &amp; Descendants - Edit'!AF$1,FALSE)=""," - ",(VLOOKUP($C19,'All Girls &amp; Descendants - Edit'!$C$2:$AK$440,'All Girls &amp; Descendants - Edit'!AF$1,FALSE)))</f>
        <v>Edward ENTWISLE (3rd &amp; 19)</v>
      </c>
      <c r="AG19" s="3" t="str">
        <f>IF(VLOOKUP($C19,'All Girls &amp; Descendants - Edit'!$C$2:$AK$440,'All Girls &amp; Descendants - Edit'!AG$1,FALSE)=""," - ",(VLOOKUP($C19,'All Girls &amp; Descendants - Edit'!$C$2:$AK$440,'All Girls &amp; Descendants - Edit'!AG$1,FALSE)))</f>
        <v>Male</v>
      </c>
      <c r="AH19" s="3" t="str">
        <f>IF(VLOOKUP($C19,'All Girls &amp; Descendants - Edit'!$C$2:$AK$440,'All Girls &amp; Descendants - Edit'!AH$1,FALSE)=""," - ",(VLOOKUP($C19,'All Girls &amp; Descendants - Edit'!$C$2:$AK$440,'All Girls &amp; Descendants - Edit'!AH$1,FALSE)))</f>
        <v>3rd</v>
      </c>
      <c r="AI19" s="3" t="str">
        <f>IF(VLOOKUP($C19,'All Girls &amp; Descendants - Edit'!$C$2:$AK$440,'All Girls &amp; Descendants - Edit'!AI$1,FALSE)=""," - ",(VLOOKUP($C19,'All Girls &amp; Descendants - Edit'!$C$2:$AK$440,'All Girls &amp; Descendants - Edit'!AI$1,FALSE)))</f>
        <v xml:space="preserve">Wife: Anne Marie Hyde CLARKE. </v>
      </c>
      <c r="AJ19" s="3" t="str">
        <f>IF(VLOOKUP($C19,'All Girls &amp; Descendants - Edit'!$C$2:$AK$440,'All Girls &amp; Descendants - Edit'!AJ$1,FALSE)=""," - ",(VLOOKUP($C19,'All Girls &amp; Descendants - Edit'!$C$2:$AK$440,'All Girls &amp; Descendants - Edit'!AJ$1,FALSE)))</f>
        <v>Male. b. 13/02/1852, d. 16/01/1881.</v>
      </c>
      <c r="AK19" s="3" t="str">
        <f>IF(VLOOKUP($C19,'All Girls &amp; Descendants - Edit'!$C$2:$AK$440,'All Girls &amp; Descendants - Edit'!AK$1,FALSE)=""," - ",(VLOOKUP($C19,'All Girls &amp; Descendants - Edit'!$C$2:$AK$440,'All Girls &amp; Descendants - Edit'!AK$1,FALSE)))</f>
        <v>b. 13/02/1852, d. 16/01/1881.</v>
      </c>
      <c r="AO19" s="1"/>
      <c r="AS19" s="72">
        <v>39</v>
      </c>
      <c r="BB19">
        <v>1</v>
      </c>
      <c r="BH19">
        <v>1</v>
      </c>
      <c r="BI19">
        <v>1</v>
      </c>
      <c r="BN19" s="1"/>
      <c r="BS19" s="1"/>
    </row>
    <row r="20" spans="1:71" ht="19">
      <c r="A20">
        <f>VLOOKUP(B20,'Loyd List 1-190 - Edit'!$P$1:$R$219,3,FALSE)</f>
        <v>22</v>
      </c>
      <c r="B20">
        <f>'All Girls &amp; Descendants - Edit'!B21</f>
        <v>36</v>
      </c>
      <c r="C20" s="98" t="str">
        <f>'All Girls &amp; Descendants - Edit'!C21</f>
        <v>36a</v>
      </c>
      <c r="D20" s="2" t="str">
        <f>'All Girls &amp; Descendants - Edit'!D21</f>
        <v>COURTHOPE</v>
      </c>
      <c r="E20" t="str">
        <f>'All Girls &amp; Descendants - Edit'!E21</f>
        <v>George</v>
      </c>
      <c r="F20" t="str">
        <f>IF('All Girls &amp; Descendants - Edit'!F21="","",'All Girls &amp; Descendants - Edit'!F21)</f>
        <v>Loyd</v>
      </c>
      <c r="G20" t="str">
        <f>IF('All Girls &amp; Descendants - Edit'!G21="","",'All Girls &amp; Descendants - Edit'!G21)</f>
        <v/>
      </c>
      <c r="H20" t="str">
        <f>IF('All Girls &amp; Descendants - Edit'!H21="","",'All Girls &amp; Descendants - Edit'!H21)</f>
        <v/>
      </c>
      <c r="I20">
        <f>VLOOKUP($C20,'All Girls &amp; Descendants - Edit'!$C$2:$AK$440,'All Girls &amp; Descendants - Edit'!I$1,FALSE)</f>
        <v>1877</v>
      </c>
      <c r="J20">
        <f>VLOOKUP($C20,'All Girls &amp; Descendants - Edit'!$C$2:$AK$440,'All Girls &amp; Descendants - Edit'!J$1,FALSE)</f>
        <v>1955</v>
      </c>
      <c r="K20" s="9"/>
      <c r="L20" t="str">
        <f t="shared" si="6"/>
        <v>12/06/1877</v>
      </c>
      <c r="M20" s="3" t="str">
        <f>VLOOKUP($C20,'All Girls &amp; Descendants - Edit'!$C$2:$AK$440,'All Girls &amp; Descendants - Edit'!M$1,FALSE)</f>
        <v>12/06/1877</v>
      </c>
      <c r="N20" s="3" t="str">
        <f>IF(VLOOKUP($C20,'All Girls &amp; Descendants - Edit'!$C$2:$AK$440,'All Girls &amp; Descendants - Edit'!N$1,FALSE)=""," - ",(VLOOKUP($C20,'All Girls &amp; Descendants - Edit'!$C$2:$AK$440,'All Girls &amp; Descendants - Edit'!N$1,FALSE)))</f>
        <v>14/06/1899</v>
      </c>
      <c r="O20" s="3">
        <f>IF(VLOOKUP($C20,'All Girls &amp; Descendants - Edit'!$C$2:$AK$440,'All Girls &amp; Descendants - Edit'!O$1,FALSE)="","",(VLOOKUP($C20,'All Girls &amp; Descendants - Edit'!$C$2:$AK$440,'All Girls &amp; Descendants - Edit'!O$1,FALSE)))</f>
        <v>20334</v>
      </c>
      <c r="P20" s="3" t="str">
        <f t="shared" si="3"/>
        <v>02/09/1955</v>
      </c>
      <c r="Q20" s="178" t="str">
        <f t="shared" si="4"/>
        <v>36</v>
      </c>
      <c r="R20" s="23"/>
      <c r="S20" t="str">
        <f>VLOOKUP($C20,'All Girls &amp; Descendants - Edit'!$C$2:$AK$440,'All Girls &amp; Descendants - Edit'!S$1,FALSE)</f>
        <v>Male</v>
      </c>
      <c r="T20" s="176">
        <f t="shared" si="5"/>
        <v>4</v>
      </c>
      <c r="U20" s="176">
        <f t="shared" si="0"/>
        <v>3</v>
      </c>
      <c r="V20" s="176">
        <f t="shared" si="1"/>
        <v>3</v>
      </c>
      <c r="W20" s="177">
        <f t="shared" si="2"/>
        <v>1</v>
      </c>
      <c r="X20" s="3" t="str">
        <f>IF(VLOOKUP($C20,'All Girls &amp; Descendants - Edit'!$C$2:$AK$440,'All Girls &amp; Descendants - Edit'!X$1,FALSE)=""," - ",(VLOOKUP($C20,'All Girls &amp; Descendants - Edit'!$C$2:$AK$440,'All Girls &amp; Descendants - Edit'!X$1,FALSE)))</f>
        <v>(1) Hilda Gertrude CLOSE (b. 08/06/1870, d. 11/11/1940) (2) 05/09/1944 Margaret Blance BARRY (b. 23/02 1884, d. 30/09/1972)</v>
      </c>
      <c r="Y20" s="3" t="str">
        <f>IF(VLOOKUP($C20,'All Girls &amp; Descendants - Edit'!$C$2:$AK$440,'All Girls &amp; Descendants - Edit'!Y$1,FALSE)=""," - ",(VLOOKUP($C20,'All Girls &amp; Descendants - Edit'!$C$2:$AK$440,'All Girls &amp; Descendants - Edit'!Y$1,FALSE)))</f>
        <v>(1) Hilda, baptised at Muree, Punjab, India, daughter of Major General Henry Pelham CLOSE.  (2) Married 5 Sep 1944 in Crypt of House of Commons, Margaret daughter of Frederick BARRY of Westbury, Wiltshire. Roddy SALE (97d) has a portrait of Hilda, in March 1890, aged 16 by Russian artist Leon Spink. Portrait at Whiligh until 1980.</v>
      </c>
      <c r="Z20" s="3" t="str">
        <f>IF(VLOOKUP($C20,'All Girls &amp; Descendants - Edit'!$C$2:$AK$440,'All Girls &amp; Descendants - Edit'!Z$1,FALSE)=""," - ",(VLOOKUP($C20,'All Girls &amp; Descendants - Edit'!$C$2:$AK$440,'All Girls &amp; Descendants - Edit'!Z$1,FALSE)))</f>
        <v xml:space="preserve">Served in World War I, Lieut Colonel Royal Sussex Regiment, wounded, despatches, MC. MP for Rye, Sussex (C) 1906-45. DL and JP for Sussex. Bart: 1925. Privy Counsellor 1937. Raised to Peerage 1945 as (1st &amp; last) Baron COURTHOPE of WHILIGH. </v>
      </c>
      <c r="AA20" s="101">
        <f>IF(VLOOKUP($C20,'All Girls &amp; Descendants - Edit'!$C$2:$AK$440,'All Girls &amp; Descendants - Edit'!AA$1,FALSE)=""," - ",(VLOOKUP($C20,'All Girls &amp; Descendants - Edit'!$C$2:$AK$440,'All Girls &amp; Descendants - Edit'!AA$1,FALSE)))</f>
        <v>68</v>
      </c>
      <c r="AB20" s="101">
        <f>IF(VLOOKUP($C20,'All Girls &amp; Descendants - Edit'!$C$2:$AK$440,'All Girls &amp; Descendants - Edit'!AB$1,FALSE)=""," - ",(VLOOKUP($C20,'All Girls &amp; Descendants - Edit'!$C$2:$AK$440,'All Girls &amp; Descendants - Edit'!AB$1,FALSE)))</f>
        <v>19</v>
      </c>
      <c r="AC20" s="101">
        <f>IF(VLOOKUP($C20,'All Girls &amp; Descendants - Edit'!$C$2:$AK$440,'All Girls &amp; Descendants - Edit'!AC$1,FALSE)=""," - ",(VLOOKUP($C20,'All Girls &amp; Descendants - Edit'!$C$2:$AK$440,'All Girls &amp; Descendants - Edit'!AC$1,FALSE)))</f>
        <v>1019</v>
      </c>
      <c r="AD20" s="3" t="str">
        <f>IF(VLOOKUP($C20,'All Girls &amp; Descendants - Edit'!$C$2:$AK$440,'All Girls &amp; Descendants - Edit'!AD$1,FALSE)=""," - ",(VLOOKUP($C20,'All Girls &amp; Descendants - Edit'!$C$2:$AK$440,'All Girls &amp; Descendants - Edit'!AD$1,FALSE)))</f>
        <v>36a</v>
      </c>
      <c r="AE20" s="3" t="str">
        <f>IF(VLOOKUP($C20,'All Girls &amp; Descendants - Edit'!$C$2:$AK$440,'All Girls &amp; Descendants - Edit'!AE$1,FALSE)=""," - ",(VLOOKUP($C20,'All Girls &amp; Descendants - Edit'!$C$2:$AK$440,'All Girls &amp; Descendants - Edit'!AE$1,FALSE)))</f>
        <v>George Loyd  COURTHOPE (1877 - 1955)</v>
      </c>
      <c r="AF20" s="3" t="str">
        <f>IF(VLOOKUP($C20,'All Girls &amp; Descendants - Edit'!$C$2:$AK$440,'All Girls &amp; Descendants - Edit'!AF$1,FALSE)=""," - ",(VLOOKUP($C20,'All Girls &amp; Descendants - Edit'!$C$2:$AK$440,'All Girls &amp; Descendants - Edit'!AF$1,FALSE)))</f>
        <v>George COURTHOPE (4th &amp; 36)</v>
      </c>
      <c r="AG20" s="3" t="str">
        <f>IF(VLOOKUP($C20,'All Girls &amp; Descendants - Edit'!$C$2:$AK$440,'All Girls &amp; Descendants - Edit'!AG$1,FALSE)=""," - ",(VLOOKUP($C20,'All Girls &amp; Descendants - Edit'!$C$2:$AK$440,'All Girls &amp; Descendants - Edit'!AG$1,FALSE)))</f>
        <v>Male</v>
      </c>
      <c r="AH20" s="3" t="str">
        <f>IF(VLOOKUP($C20,'All Girls &amp; Descendants - Edit'!$C$2:$AK$440,'All Girls &amp; Descendants - Edit'!AH$1,FALSE)=""," - ",(VLOOKUP($C20,'All Girls &amp; Descendants - Edit'!$C$2:$AK$440,'All Girls &amp; Descendants - Edit'!AH$1,FALSE)))</f>
        <v>4th</v>
      </c>
      <c r="AI20" s="3" t="str">
        <f>IF(VLOOKUP($C20,'All Girls &amp; Descendants - Edit'!$C$2:$AK$440,'All Girls &amp; Descendants - Edit'!AI$1,FALSE)=""," - ",(VLOOKUP($C20,'All Girls &amp; Descendants - Edit'!$C$2:$AK$440,'All Girls &amp; Descendants - Edit'!AI$1,FALSE)))</f>
        <v>Wife: (1) Hilda Gertrude CLOSE (b. 08/06/1870, d. 11/11/1940) (2) 05/09/1944 Margaret Blance BARRY (b. 23/02 1884, d. 30/09/1972). (1) Hilda, baptised at Muree, Punjab, India, daughter of Major General Henry Pelham CLOSE.  (2) Married 5 Sep 1944 in Crypt of House of Commons, Margaret daughter of Frederick BARRY of Westbury, Wiltshire. Roddy SALE (97d) has a portrait of Hilda, in March 1890, aged 16 by Russian artist Leon Spink. Portrait at Whiligh until 1980.</v>
      </c>
      <c r="AJ20" s="3" t="str">
        <f>IF(VLOOKUP($C20,'All Girls &amp; Descendants - Edit'!$C$2:$AK$440,'All Girls &amp; Descendants - Edit'!AJ$1,FALSE)=""," - ",(VLOOKUP($C20,'All Girls &amp; Descendants - Edit'!$C$2:$AK$440,'All Girls &amp; Descendants - Edit'!AJ$1,FALSE)))</f>
        <v xml:space="preserve">Male. b. 12/06/1877, d. 02/09/1955. Served in World War I, Lieut Colonel Royal Sussex Regiment, wounded, despatches, MC. MP for Rye, Sussex (C) 1906-45. DL and JP for Sussex. Bart: 1925. Privy Counsellor 1937. Raised to Peerage 1945 as (1st &amp; last) Baron COURTHOPE of WHILIGH. </v>
      </c>
      <c r="AK20" s="3" t="str">
        <f>IF(VLOOKUP($C20,'All Girls &amp; Descendants - Edit'!$C$2:$AK$440,'All Girls &amp; Descendants - Edit'!AK$1,FALSE)=""," - ",(VLOOKUP($C20,'All Girls &amp; Descendants - Edit'!$C$2:$AK$440,'All Girls &amp; Descendants - Edit'!AK$1,FALSE)))</f>
        <v>b. 12/06/1877, d. 02/09/1955.</v>
      </c>
      <c r="AO20" s="1"/>
      <c r="AS20" s="72">
        <v>40</v>
      </c>
      <c r="BB20">
        <v>1</v>
      </c>
      <c r="BH20">
        <v>1</v>
      </c>
      <c r="BI20">
        <v>1</v>
      </c>
      <c r="BS20" s="1"/>
    </row>
    <row r="21" spans="1:71" ht="19">
      <c r="A21">
        <f>VLOOKUP(B21,'Loyd List 1-190 - Edit'!$P$1:$R$219,3,FALSE)</f>
        <v>22</v>
      </c>
      <c r="B21">
        <f>'All Girls &amp; Descendants - Edit'!B22</f>
        <v>36</v>
      </c>
      <c r="C21" s="98" t="str">
        <f>'All Girls &amp; Descendants - Edit'!C22</f>
        <v>36b</v>
      </c>
      <c r="D21" s="2" t="str">
        <f>'All Girls &amp; Descendants - Edit'!D22</f>
        <v>COURTHOPE</v>
      </c>
      <c r="E21" t="str">
        <f>'All Girls &amp; Descendants - Edit'!E22</f>
        <v>Alexander</v>
      </c>
      <c r="F21" t="str">
        <f>IF('All Girls &amp; Descendants - Edit'!F22="","",'All Girls &amp; Descendants - Edit'!F22)</f>
        <v/>
      </c>
      <c r="G21" t="str">
        <f>IF('All Girls &amp; Descendants - Edit'!G22="","",'All Girls &amp; Descendants - Edit'!G22)</f>
        <v/>
      </c>
      <c r="H21" t="str">
        <f>IF('All Girls &amp; Descendants - Edit'!H22="","",'All Girls &amp; Descendants - Edit'!H22)</f>
        <v/>
      </c>
      <c r="I21">
        <f>VLOOKUP($C21,'All Girls &amp; Descendants - Edit'!$C$2:$AK$440,'All Girls &amp; Descendants - Edit'!I$1,FALSE)</f>
        <v>1878</v>
      </c>
      <c r="J21">
        <f>VLOOKUP($C21,'All Girls &amp; Descendants - Edit'!$C$2:$AK$440,'All Girls &amp; Descendants - Edit'!J$1,FALSE)</f>
        <v>1892</v>
      </c>
      <c r="K21" s="9"/>
      <c r="L21" t="str">
        <f t="shared" si="6"/>
        <v>14/09/1878</v>
      </c>
      <c r="M21" s="3" t="str">
        <f>VLOOKUP($C21,'All Girls &amp; Descendants - Edit'!$C$2:$AK$440,'All Girls &amp; Descendants - Edit'!M$1,FALSE)</f>
        <v>14/09/1878</v>
      </c>
      <c r="N21" s="3" t="str">
        <f>IF(VLOOKUP($C21,'All Girls &amp; Descendants - Edit'!$C$2:$AK$440,'All Girls &amp; Descendants - Edit'!N$1,FALSE)=""," - ",(VLOOKUP($C21,'All Girls &amp; Descendants - Edit'!$C$2:$AK$440,'All Girls &amp; Descendants - Edit'!N$1,FALSE)))</f>
        <v xml:space="preserve"> - </v>
      </c>
      <c r="O21" s="3" t="str">
        <f>IF(VLOOKUP($C21,'All Girls &amp; Descendants - Edit'!$C$2:$AK$440,'All Girls &amp; Descendants - Edit'!O$1,FALSE)="","",(VLOOKUP($C21,'All Girls &amp; Descendants - Edit'!$C$2:$AK$440,'All Girls &amp; Descendants - Edit'!O$1,FALSE)))</f>
        <v>29/07/1892</v>
      </c>
      <c r="P21" s="3" t="str">
        <f t="shared" si="3"/>
        <v>29/07/1892</v>
      </c>
      <c r="Q21" s="178" t="str">
        <f t="shared" si="4"/>
        <v>36</v>
      </c>
      <c r="R21" s="23"/>
      <c r="S21" t="str">
        <f>VLOOKUP($C21,'All Girls &amp; Descendants - Edit'!$C$2:$AK$440,'All Girls &amp; Descendants - Edit'!S$1,FALSE)</f>
        <v>Male</v>
      </c>
      <c r="T21" s="176">
        <f t="shared" si="5"/>
        <v>4</v>
      </c>
      <c r="U21" s="176">
        <f t="shared" si="0"/>
        <v>3</v>
      </c>
      <c r="V21" s="176">
        <f t="shared" si="1"/>
        <v>3</v>
      </c>
      <c r="W21" s="177">
        <f t="shared" si="2"/>
        <v>1</v>
      </c>
      <c r="X21" s="3" t="str">
        <f>IF(VLOOKUP($C21,'All Girls &amp; Descendants - Edit'!$C$2:$AK$440,'All Girls &amp; Descendants - Edit'!X$1,FALSE)=""," - ",(VLOOKUP($C21,'All Girls &amp; Descendants - Edit'!$C$2:$AK$440,'All Girls &amp; Descendants - Edit'!X$1,FALSE)))</f>
        <v xml:space="preserve"> - </v>
      </c>
      <c r="Y21" s="3" t="str">
        <f>IF(VLOOKUP($C21,'All Girls &amp; Descendants - Edit'!$C$2:$AK$440,'All Girls &amp; Descendants - Edit'!Y$1,FALSE)=""," - ",(VLOOKUP($C21,'All Girls &amp; Descendants - Edit'!$C$2:$AK$440,'All Girls &amp; Descendants - Edit'!Y$1,FALSE)))</f>
        <v xml:space="preserve"> - </v>
      </c>
      <c r="Z21" s="3" t="str">
        <f>IF(VLOOKUP($C21,'All Girls &amp; Descendants - Edit'!$C$2:$AK$440,'All Girls &amp; Descendants - Edit'!Z$1,FALSE)=""," - ",(VLOOKUP($C21,'All Girls &amp; Descendants - Edit'!$C$2:$AK$440,'All Girls &amp; Descendants - Edit'!Z$1,FALSE)))</f>
        <v>Buried at Horsmonden, Kent.</v>
      </c>
      <c r="AA21" s="101">
        <f>IF(VLOOKUP($C21,'All Girls &amp; Descendants - Edit'!$C$2:$AK$440,'All Girls &amp; Descendants - Edit'!AA$1,FALSE)=""," - ",(VLOOKUP($C21,'All Girls &amp; Descendants - Edit'!$C$2:$AK$440,'All Girls &amp; Descendants - Edit'!AA$1,FALSE)))</f>
        <v>71</v>
      </c>
      <c r="AB21" s="101">
        <f>IF(VLOOKUP($C21,'All Girls &amp; Descendants - Edit'!$C$2:$AK$440,'All Girls &amp; Descendants - Edit'!AB$1,FALSE)=""," - ",(VLOOKUP($C21,'All Girls &amp; Descendants - Edit'!$C$2:$AK$440,'All Girls &amp; Descendants - Edit'!AB$1,FALSE)))</f>
        <v>20</v>
      </c>
      <c r="AC21" s="101">
        <f>IF(VLOOKUP($C21,'All Girls &amp; Descendants - Edit'!$C$2:$AK$440,'All Girls &amp; Descendants - Edit'!AC$1,FALSE)=""," - ",(VLOOKUP($C21,'All Girls &amp; Descendants - Edit'!$C$2:$AK$440,'All Girls &amp; Descendants - Edit'!AC$1,FALSE)))</f>
        <v>1020</v>
      </c>
      <c r="AD21" s="3" t="str">
        <f>IF(VLOOKUP($C21,'All Girls &amp; Descendants - Edit'!$C$2:$AK$440,'All Girls &amp; Descendants - Edit'!AD$1,FALSE)=""," - ",(VLOOKUP($C21,'All Girls &amp; Descendants - Edit'!$C$2:$AK$440,'All Girls &amp; Descendants - Edit'!AD$1,FALSE)))</f>
        <v>36b</v>
      </c>
      <c r="AE21" s="3" t="str">
        <f>IF(VLOOKUP($C21,'All Girls &amp; Descendants - Edit'!$C$2:$AK$440,'All Girls &amp; Descendants - Edit'!AE$1,FALSE)=""," - ",(VLOOKUP($C21,'All Girls &amp; Descendants - Edit'!$C$2:$AK$440,'All Girls &amp; Descendants - Edit'!AE$1,FALSE)))</f>
        <v>Alexander   COURTHOPE (1878 - 1892)</v>
      </c>
      <c r="AF21" s="3" t="str">
        <f>IF(VLOOKUP($C21,'All Girls &amp; Descendants - Edit'!$C$2:$AK$440,'All Girls &amp; Descendants - Edit'!AF$1,FALSE)=""," - ",(VLOOKUP($C21,'All Girls &amp; Descendants - Edit'!$C$2:$AK$440,'All Girls &amp; Descendants - Edit'!AF$1,FALSE)))</f>
        <v>Alexander COURTHOPE (4th &amp; 36)</v>
      </c>
      <c r="AG21" s="3" t="str">
        <f>IF(VLOOKUP($C21,'All Girls &amp; Descendants - Edit'!$C$2:$AK$440,'All Girls &amp; Descendants - Edit'!AG$1,FALSE)=""," - ",(VLOOKUP($C21,'All Girls &amp; Descendants - Edit'!$C$2:$AK$440,'All Girls &amp; Descendants - Edit'!AG$1,FALSE)))</f>
        <v>Male</v>
      </c>
      <c r="AH21" s="3" t="str">
        <f>IF(VLOOKUP($C21,'All Girls &amp; Descendants - Edit'!$C$2:$AK$440,'All Girls &amp; Descendants - Edit'!AH$1,FALSE)=""," - ",(VLOOKUP($C21,'All Girls &amp; Descendants - Edit'!$C$2:$AK$440,'All Girls &amp; Descendants - Edit'!AH$1,FALSE)))</f>
        <v>4th</v>
      </c>
      <c r="AI21" s="3" t="str">
        <f>IF(VLOOKUP($C21,'All Girls &amp; Descendants - Edit'!$C$2:$AK$440,'All Girls &amp; Descendants - Edit'!AI$1,FALSE)=""," - ",(VLOOKUP($C21,'All Girls &amp; Descendants - Edit'!$C$2:$AK$440,'All Girls &amp; Descendants - Edit'!AI$1,FALSE)))</f>
        <v>Unmarried</v>
      </c>
      <c r="AJ21" s="3" t="str">
        <f>IF(VLOOKUP($C21,'All Girls &amp; Descendants - Edit'!$C$2:$AK$440,'All Girls &amp; Descendants - Edit'!AJ$1,FALSE)=""," - ",(VLOOKUP($C21,'All Girls &amp; Descendants - Edit'!$C$2:$AK$440,'All Girls &amp; Descendants - Edit'!AJ$1,FALSE)))</f>
        <v>Male. b. 14/09/1878, d. 29/07/1892. Buried at Horsmonden, Kent.</v>
      </c>
      <c r="AK21" s="3" t="str">
        <f>IF(VLOOKUP($C21,'All Girls &amp; Descendants - Edit'!$C$2:$AK$440,'All Girls &amp; Descendants - Edit'!AK$1,FALSE)=""," - ",(VLOOKUP($C21,'All Girls &amp; Descendants - Edit'!$C$2:$AK$440,'All Girls &amp; Descendants - Edit'!AK$1,FALSE)))</f>
        <v>b. 14/09/1878, d. 29/07/1892.</v>
      </c>
      <c r="AO21" s="1"/>
      <c r="AS21" s="72">
        <v>42</v>
      </c>
      <c r="AT21">
        <v>1</v>
      </c>
      <c r="AZ21">
        <v>1</v>
      </c>
      <c r="BB21">
        <v>1</v>
      </c>
      <c r="BH21">
        <v>1</v>
      </c>
      <c r="BI21">
        <v>2</v>
      </c>
      <c r="BN21" s="1"/>
      <c r="BS21" s="1"/>
    </row>
    <row r="22" spans="1:71" ht="19">
      <c r="A22">
        <f>VLOOKUP(B22,'Loyd List 1-190 - Edit'!$P$1:$R$219,3,FALSE)</f>
        <v>22</v>
      </c>
      <c r="B22">
        <f>'All Girls &amp; Descendants - Edit'!B23</f>
        <v>36</v>
      </c>
      <c r="C22" s="98" t="str">
        <f>'All Girls &amp; Descendants - Edit'!C23</f>
        <v>36c</v>
      </c>
      <c r="D22" s="2" t="str">
        <f>'All Girls &amp; Descendants - Edit'!D23</f>
        <v>COURTHOPE</v>
      </c>
      <c r="E22" t="str">
        <f>'All Girls &amp; Descendants - Edit'!E23</f>
        <v>John</v>
      </c>
      <c r="F22" t="str">
        <f>IF('All Girls &amp; Descendants - Edit'!F23="","",'All Girls &amp; Descendants - Edit'!F23)</f>
        <v>Edward</v>
      </c>
      <c r="G22" t="str">
        <f>IF('All Girls &amp; Descendants - Edit'!G23="","",'All Girls &amp; Descendants - Edit'!G23)</f>
        <v/>
      </c>
      <c r="H22" t="str">
        <f>IF('All Girls &amp; Descendants - Edit'!H23="","",'All Girls &amp; Descendants - Edit'!H23)</f>
        <v/>
      </c>
      <c r="I22">
        <f>VLOOKUP($C22,'All Girls &amp; Descendants - Edit'!$C$2:$AK$440,'All Girls &amp; Descendants - Edit'!I$1,FALSE)</f>
        <v>1882</v>
      </c>
      <c r="J22">
        <f>VLOOKUP($C22,'All Girls &amp; Descendants - Edit'!$C$2:$AK$440,'All Girls &amp; Descendants - Edit'!J$1,FALSE)</f>
        <v>1954</v>
      </c>
      <c r="K22" s="9"/>
      <c r="L22" t="str">
        <f t="shared" si="6"/>
        <v>28/01/1882</v>
      </c>
      <c r="M22" s="3" t="str">
        <f>VLOOKUP($C22,'All Girls &amp; Descendants - Edit'!$C$2:$AK$440,'All Girls &amp; Descendants - Edit'!M$1,FALSE)</f>
        <v>28/01/1882</v>
      </c>
      <c r="N22" s="3" t="str">
        <f>IF(VLOOKUP($C22,'All Girls &amp; Descendants - Edit'!$C$2:$AK$440,'All Girls &amp; Descendants - Edit'!N$1,FALSE)=""," - ",(VLOOKUP($C22,'All Girls &amp; Descendants - Edit'!$C$2:$AK$440,'All Girls &amp; Descendants - Edit'!N$1,FALSE)))</f>
        <v>Unmarried</v>
      </c>
      <c r="O22" s="3">
        <f>IF(VLOOKUP($C22,'All Girls &amp; Descendants - Edit'!$C$2:$AK$440,'All Girls &amp; Descendants - Edit'!O$1,FALSE)="","",(VLOOKUP($C22,'All Girls &amp; Descendants - Edit'!$C$2:$AK$440,'All Girls &amp; Descendants - Edit'!O$1,FALSE)))</f>
        <v>19816</v>
      </c>
      <c r="P22" s="3" t="str">
        <f t="shared" si="3"/>
        <v>02/04/1954</v>
      </c>
      <c r="Q22" s="178" t="str">
        <f t="shared" si="4"/>
        <v>36</v>
      </c>
      <c r="R22" s="23"/>
      <c r="S22" t="str">
        <f>VLOOKUP($C22,'All Girls &amp; Descendants - Edit'!$C$2:$AK$440,'All Girls &amp; Descendants - Edit'!S$1,FALSE)</f>
        <v>Male</v>
      </c>
      <c r="T22" s="176">
        <f t="shared" si="5"/>
        <v>4</v>
      </c>
      <c r="U22" s="176">
        <f t="shared" si="0"/>
        <v>3</v>
      </c>
      <c r="V22" s="176">
        <f t="shared" si="1"/>
        <v>3</v>
      </c>
      <c r="W22" s="177">
        <f t="shared" si="2"/>
        <v>1</v>
      </c>
      <c r="X22" s="3" t="str">
        <f>IF(VLOOKUP($C22,'All Girls &amp; Descendants - Edit'!$C$2:$AK$440,'All Girls &amp; Descendants - Edit'!X$1,FALSE)=""," - ",(VLOOKUP($C22,'All Girls &amp; Descendants - Edit'!$C$2:$AK$440,'All Girls &amp; Descendants - Edit'!X$1,FALSE)))</f>
        <v xml:space="preserve"> - </v>
      </c>
      <c r="Y22" s="3" t="str">
        <f>IF(VLOOKUP($C22,'All Girls &amp; Descendants - Edit'!$C$2:$AK$440,'All Girls &amp; Descendants - Edit'!Y$1,FALSE)=""," - ",(VLOOKUP($C22,'All Girls &amp; Descendants - Edit'!$C$2:$AK$440,'All Girls &amp; Descendants - Edit'!Y$1,FALSE)))</f>
        <v xml:space="preserve"> - </v>
      </c>
      <c r="Z22" s="3" t="str">
        <f>IF(VLOOKUP($C22,'All Girls &amp; Descendants - Edit'!$C$2:$AK$440,'All Girls &amp; Descendants - Edit'!Z$1,FALSE)=""," - ",(VLOOKUP($C22,'All Girls &amp; Descendants - Edit'!$C$2:$AK$440,'All Girls &amp; Descendants - Edit'!Z$1,FALSE)))</f>
        <v>Died at Lonsdale Nursing Home, Tunbridge Wells.</v>
      </c>
      <c r="AA22" s="101">
        <f>IF(VLOOKUP($C22,'All Girls &amp; Descendants - Edit'!$C$2:$AK$440,'All Girls &amp; Descendants - Edit'!AA$1,FALSE)=""," - ",(VLOOKUP($C22,'All Girls &amp; Descendants - Edit'!$C$2:$AK$440,'All Girls &amp; Descendants - Edit'!AA$1,FALSE)))</f>
        <v>72</v>
      </c>
      <c r="AB22" s="101">
        <f>IF(VLOOKUP($C22,'All Girls &amp; Descendants - Edit'!$C$2:$AK$440,'All Girls &amp; Descendants - Edit'!AB$1,FALSE)=""," - ",(VLOOKUP($C22,'All Girls &amp; Descendants - Edit'!$C$2:$AK$440,'All Girls &amp; Descendants - Edit'!AB$1,FALSE)))</f>
        <v>21</v>
      </c>
      <c r="AC22" s="101">
        <f>IF(VLOOKUP($C22,'All Girls &amp; Descendants - Edit'!$C$2:$AK$440,'All Girls &amp; Descendants - Edit'!AC$1,FALSE)=""," - ",(VLOOKUP($C22,'All Girls &amp; Descendants - Edit'!$C$2:$AK$440,'All Girls &amp; Descendants - Edit'!AC$1,FALSE)))</f>
        <v>1021</v>
      </c>
      <c r="AD22" s="3" t="str">
        <f>IF(VLOOKUP($C22,'All Girls &amp; Descendants - Edit'!$C$2:$AK$440,'All Girls &amp; Descendants - Edit'!AD$1,FALSE)=""," - ",(VLOOKUP($C22,'All Girls &amp; Descendants - Edit'!$C$2:$AK$440,'All Girls &amp; Descendants - Edit'!AD$1,FALSE)))</f>
        <v>36c</v>
      </c>
      <c r="AE22" s="3" t="str">
        <f>IF(VLOOKUP($C22,'All Girls &amp; Descendants - Edit'!$C$2:$AK$440,'All Girls &amp; Descendants - Edit'!AE$1,FALSE)=""," - ",(VLOOKUP($C22,'All Girls &amp; Descendants - Edit'!$C$2:$AK$440,'All Girls &amp; Descendants - Edit'!AE$1,FALSE)))</f>
        <v>John Edward  COURTHOPE (1882 - 1954)</v>
      </c>
      <c r="AF22" s="3" t="str">
        <f>IF(VLOOKUP($C22,'All Girls &amp; Descendants - Edit'!$C$2:$AK$440,'All Girls &amp; Descendants - Edit'!AF$1,FALSE)=""," - ",(VLOOKUP($C22,'All Girls &amp; Descendants - Edit'!$C$2:$AK$440,'All Girls &amp; Descendants - Edit'!AF$1,FALSE)))</f>
        <v>John COURTHOPE (4th &amp; 36)</v>
      </c>
      <c r="AG22" s="3" t="str">
        <f>IF(VLOOKUP($C22,'All Girls &amp; Descendants - Edit'!$C$2:$AK$440,'All Girls &amp; Descendants - Edit'!AG$1,FALSE)=""," - ",(VLOOKUP($C22,'All Girls &amp; Descendants - Edit'!$C$2:$AK$440,'All Girls &amp; Descendants - Edit'!AG$1,FALSE)))</f>
        <v>Male</v>
      </c>
      <c r="AH22" s="3" t="str">
        <f>IF(VLOOKUP($C22,'All Girls &amp; Descendants - Edit'!$C$2:$AK$440,'All Girls &amp; Descendants - Edit'!AH$1,FALSE)=""," - ",(VLOOKUP($C22,'All Girls &amp; Descendants - Edit'!$C$2:$AK$440,'All Girls &amp; Descendants - Edit'!AH$1,FALSE)))</f>
        <v>4th</v>
      </c>
      <c r="AI22" s="3" t="str">
        <f>IF(VLOOKUP($C22,'All Girls &amp; Descendants - Edit'!$C$2:$AK$440,'All Girls &amp; Descendants - Edit'!AI$1,FALSE)=""," - ",(VLOOKUP($C22,'All Girls &amp; Descendants - Edit'!$C$2:$AK$440,'All Girls &amp; Descendants - Edit'!AI$1,FALSE)))</f>
        <v>Unmarried</v>
      </c>
      <c r="AJ22" s="3" t="str">
        <f>IF(VLOOKUP($C22,'All Girls &amp; Descendants - Edit'!$C$2:$AK$440,'All Girls &amp; Descendants - Edit'!AJ$1,FALSE)=""," - ",(VLOOKUP($C22,'All Girls &amp; Descendants - Edit'!$C$2:$AK$440,'All Girls &amp; Descendants - Edit'!AJ$1,FALSE)))</f>
        <v>Male. b. 28/01/1882, d. 02/04/1954. Died at Lonsdale Nursing Home, Tunbridge Wells.</v>
      </c>
      <c r="AK22" s="3" t="str">
        <f>IF(VLOOKUP($C22,'All Girls &amp; Descendants - Edit'!$C$2:$AK$440,'All Girls &amp; Descendants - Edit'!AK$1,FALSE)=""," - ",(VLOOKUP($C22,'All Girls &amp; Descendants - Edit'!$C$2:$AK$440,'All Girls &amp; Descendants - Edit'!AK$1,FALSE)))</f>
        <v>b. 28/01/1882, d. 02/04/1954.</v>
      </c>
      <c r="AO22" s="1"/>
      <c r="AS22" s="72">
        <v>43</v>
      </c>
      <c r="BB22">
        <v>1</v>
      </c>
      <c r="BH22">
        <v>1</v>
      </c>
      <c r="BI22">
        <v>1</v>
      </c>
      <c r="BS22" s="1"/>
    </row>
    <row r="23" spans="1:71" ht="19">
      <c r="A23">
        <f>VLOOKUP(B23,'Loyd List 1-190 - Edit'!$P$1:$R$219,3,FALSE)</f>
        <v>22</v>
      </c>
      <c r="B23">
        <f>'All Girls &amp; Descendants - Edit'!B24</f>
        <v>36</v>
      </c>
      <c r="C23" s="98" t="str">
        <f>'All Girls &amp; Descendants - Edit'!C24</f>
        <v>36d</v>
      </c>
      <c r="D23" s="2" t="str">
        <f>'All Girls &amp; Descendants - Edit'!D24</f>
        <v>COURTHOPE</v>
      </c>
      <c r="E23" t="str">
        <f>'All Girls &amp; Descendants - Edit'!E24</f>
        <v>Barbara</v>
      </c>
      <c r="F23" t="str">
        <f>IF('All Girls &amp; Descendants - Edit'!F24="","",'All Girls &amp; Descendants - Edit'!F24)</f>
        <v>Frances</v>
      </c>
      <c r="G23" t="str">
        <f>IF('All Girls &amp; Descendants - Edit'!G24="","",'All Girls &amp; Descendants - Edit'!G24)</f>
        <v/>
      </c>
      <c r="H23" t="str">
        <f>IF('All Girls &amp; Descendants - Edit'!H24="","",'All Girls &amp; Descendants - Edit'!H24)</f>
        <v/>
      </c>
      <c r="I23">
        <f>VLOOKUP($C23,'All Girls &amp; Descendants - Edit'!$C$2:$AK$440,'All Girls &amp; Descendants - Edit'!I$1,FALSE)</f>
        <v>1883</v>
      </c>
      <c r="J23">
        <f>VLOOKUP($C23,'All Girls &amp; Descendants - Edit'!$C$2:$AK$440,'All Girls &amp; Descendants - Edit'!J$1,FALSE)</f>
        <v>1972</v>
      </c>
      <c r="K23" s="9"/>
      <c r="L23" t="str">
        <f>IF(M23="","",TEXT(M23,"dd/mm/yyyy"))</f>
        <v>23/12/1883</v>
      </c>
      <c r="M23" s="3" t="str">
        <f>VLOOKUP($C23,'All Girls &amp; Descendants - Edit'!$C$2:$AK$440,'All Girls &amp; Descendants - Edit'!M$1,FALSE)</f>
        <v>23/12/1883</v>
      </c>
      <c r="N23" s="3">
        <f>IF(VLOOKUP($C23,'All Girls &amp; Descendants - Edit'!$C$2:$AK$440,'All Girls &amp; Descendants - Edit'!N$1,FALSE)=""," - ",(VLOOKUP($C23,'All Girls &amp; Descendants - Edit'!$C$2:$AK$440,'All Girls &amp; Descendants - Edit'!N$1,FALSE)))</f>
        <v>3966</v>
      </c>
      <c r="O23" s="3">
        <f>IF(VLOOKUP($C23,'All Girls &amp; Descendants - Edit'!$C$2:$AK$440,'All Girls &amp; Descendants - Edit'!O$1,FALSE)="","",(VLOOKUP($C23,'All Girls &amp; Descendants - Edit'!$C$2:$AK$440,'All Girls &amp; Descendants - Edit'!O$1,FALSE)))</f>
        <v>26373</v>
      </c>
      <c r="P23" s="3" t="str">
        <f t="shared" si="3"/>
        <v>15/03/1972</v>
      </c>
      <c r="Q23" s="178" t="str">
        <f t="shared" si="4"/>
        <v>36</v>
      </c>
      <c r="R23" s="23"/>
      <c r="S23" t="str">
        <f>VLOOKUP($C23,'All Girls &amp; Descendants - Edit'!$C$2:$AK$440,'All Girls &amp; Descendants - Edit'!S$1,FALSE)</f>
        <v>Female</v>
      </c>
      <c r="T23" s="176">
        <f t="shared" si="5"/>
        <v>4</v>
      </c>
      <c r="U23" s="176">
        <f t="shared" si="0"/>
        <v>3</v>
      </c>
      <c r="V23" s="176">
        <f t="shared" si="1"/>
        <v>3</v>
      </c>
      <c r="W23" s="177">
        <f t="shared" si="2"/>
        <v>1</v>
      </c>
      <c r="X23" s="3" t="str">
        <f>IF(VLOOKUP($C23,'All Girls &amp; Descendants - Edit'!$C$2:$AK$440,'All Girls &amp; Descendants - Edit'!X$1,FALSE)=""," - ",(VLOOKUP($C23,'All Girls &amp; Descendants - Edit'!$C$2:$AK$440,'All Girls &amp; Descendants - Edit'!X$1,FALSE)))</f>
        <v>Richard Henry POWELL (b. 15/03/1884, d. 09/05/1915)</v>
      </c>
      <c r="Y23" s="3" t="str">
        <f>IF(VLOOKUP($C23,'All Girls &amp; Descendants - Edit'!$C$2:$AK$440,'All Girls &amp; Descendants - Edit'!Y$1,FALSE)=""," - ",(VLOOKUP($C23,'All Girls &amp; Descendants - Edit'!$C$2:$AK$440,'All Girls &amp; Descendants - Edit'!Y$1,FALSE)))</f>
        <v>Richard 3rd son of Henry Pryor POWELL of Hale House, Ockley, Surrey.</v>
      </c>
      <c r="Z23" s="3" t="str">
        <f>IF(VLOOKUP($C23,'All Girls &amp; Descendants - Edit'!$C$2:$AK$440,'All Girls &amp; Descendants - Edit'!Z$1,FALSE)=""," - ",(VLOOKUP($C23,'All Girls &amp; Descendants - Edit'!$C$2:$AK$440,'All Girls &amp; Descendants - Edit'!Z$1,FALSE)))</f>
        <v>Died at Broad Ford, Horsmonden, Kent, buried 20 Mar 1972 at Wadhurst, Sussex.</v>
      </c>
      <c r="AA23" s="101">
        <f>IF(VLOOKUP($C23,'All Girls &amp; Descendants - Edit'!$C$2:$AK$440,'All Girls &amp; Descendants - Edit'!AA$1,FALSE)=""," - ",(VLOOKUP($C23,'All Girls &amp; Descendants - Edit'!$C$2:$AK$440,'All Girls &amp; Descendants - Edit'!AA$1,FALSE)))</f>
        <v>73</v>
      </c>
      <c r="AB23" s="101">
        <f>IF(VLOOKUP($C23,'All Girls &amp; Descendants - Edit'!$C$2:$AK$440,'All Girls &amp; Descendants - Edit'!AB$1,FALSE)=""," - ",(VLOOKUP($C23,'All Girls &amp; Descendants - Edit'!$C$2:$AK$440,'All Girls &amp; Descendants - Edit'!AB$1,FALSE)))</f>
        <v>22</v>
      </c>
      <c r="AC23" s="101">
        <f>IF(VLOOKUP($C23,'All Girls &amp; Descendants - Edit'!$C$2:$AK$440,'All Girls &amp; Descendants - Edit'!AC$1,FALSE)=""," - ",(VLOOKUP($C23,'All Girls &amp; Descendants - Edit'!$C$2:$AK$440,'All Girls &amp; Descendants - Edit'!AC$1,FALSE)))</f>
        <v>1022</v>
      </c>
      <c r="AD23" s="3" t="str">
        <f>IF(VLOOKUP($C23,'All Girls &amp; Descendants - Edit'!$C$2:$AK$440,'All Girls &amp; Descendants - Edit'!AD$1,FALSE)=""," - ",(VLOOKUP($C23,'All Girls &amp; Descendants - Edit'!$C$2:$AK$440,'All Girls &amp; Descendants - Edit'!AD$1,FALSE)))</f>
        <v>36d</v>
      </c>
      <c r="AE23" s="3" t="str">
        <f>IF(VLOOKUP($C23,'All Girls &amp; Descendants - Edit'!$C$2:$AK$440,'All Girls &amp; Descendants - Edit'!AE$1,FALSE)=""," - ",(VLOOKUP($C23,'All Girls &amp; Descendants - Edit'!$C$2:$AK$440,'All Girls &amp; Descendants - Edit'!AE$1,FALSE)))</f>
        <v>Barbara Frances  COURTHOPE (1883 - 1972)</v>
      </c>
      <c r="AF23" s="3" t="str">
        <f>IF(VLOOKUP($C23,'All Girls &amp; Descendants - Edit'!$C$2:$AK$440,'All Girls &amp; Descendants - Edit'!AF$1,FALSE)=""," - ",(VLOOKUP($C23,'All Girls &amp; Descendants - Edit'!$C$2:$AK$440,'All Girls &amp; Descendants - Edit'!AF$1,FALSE)))</f>
        <v>Barbara COURTHOPE (4th &amp; 36)</v>
      </c>
      <c r="AG23" s="3" t="str">
        <f>IF(VLOOKUP($C23,'All Girls &amp; Descendants - Edit'!$C$2:$AK$440,'All Girls &amp; Descendants - Edit'!AG$1,FALSE)=""," - ",(VLOOKUP($C23,'All Girls &amp; Descendants - Edit'!$C$2:$AK$440,'All Girls &amp; Descendants - Edit'!AG$1,FALSE)))</f>
        <v>Female</v>
      </c>
      <c r="AH23" s="3" t="str">
        <f>IF(VLOOKUP($C23,'All Girls &amp; Descendants - Edit'!$C$2:$AK$440,'All Girls &amp; Descendants - Edit'!AH$1,FALSE)=""," - ",(VLOOKUP($C23,'All Girls &amp; Descendants - Edit'!$C$2:$AK$440,'All Girls &amp; Descendants - Edit'!AH$1,FALSE)))</f>
        <v>4th</v>
      </c>
      <c r="AI23" s="3" t="str">
        <f>IF(VLOOKUP($C23,'All Girls &amp; Descendants - Edit'!$C$2:$AK$440,'All Girls &amp; Descendants - Edit'!AI$1,FALSE)=""," - ",(VLOOKUP($C23,'All Girls &amp; Descendants - Edit'!$C$2:$AK$440,'All Girls &amp; Descendants - Edit'!AI$1,FALSE)))</f>
        <v>Husband: Richard Henry POWELL (b. 15/03/1884, d. 09/05/1915). Richard 3rd son of Henry Pryor POWELL of Hale House, Ockley, Surrey.</v>
      </c>
      <c r="AJ23" s="3" t="str">
        <f>IF(VLOOKUP($C23,'All Girls &amp; Descendants - Edit'!$C$2:$AK$440,'All Girls &amp; Descendants - Edit'!AJ$1,FALSE)=""," - ",(VLOOKUP($C23,'All Girls &amp; Descendants - Edit'!$C$2:$AK$440,'All Girls &amp; Descendants - Edit'!AJ$1,FALSE)))</f>
        <v>Female. b. 23/12/1883, d. 15/03/1972. Died at Broad Ford, Horsmonden, Kent, buried 20 Mar 1972 at Wadhurst, Sussex.</v>
      </c>
      <c r="AK23" s="3" t="str">
        <f>IF(VLOOKUP($C23,'All Girls &amp; Descendants - Edit'!$C$2:$AK$440,'All Girls &amp; Descendants - Edit'!AK$1,FALSE)=""," - ",(VLOOKUP($C23,'All Girls &amp; Descendants - Edit'!$C$2:$AK$440,'All Girls &amp; Descendants - Edit'!AK$1,FALSE)))</f>
        <v>b. 23/12/1883, d. 15/03/1972.</v>
      </c>
      <c r="AO23" s="1"/>
      <c r="AS23" s="72">
        <v>47</v>
      </c>
      <c r="AT23">
        <v>2</v>
      </c>
      <c r="AU23">
        <v>1</v>
      </c>
      <c r="AV23">
        <v>4</v>
      </c>
      <c r="AW23">
        <v>2</v>
      </c>
      <c r="AZ23">
        <v>9</v>
      </c>
      <c r="BB23">
        <v>1</v>
      </c>
      <c r="BC23">
        <v>1</v>
      </c>
      <c r="BD23">
        <v>2</v>
      </c>
      <c r="BE23">
        <v>4</v>
      </c>
      <c r="BH23">
        <v>8</v>
      </c>
      <c r="BI23">
        <v>17</v>
      </c>
      <c r="BN23" s="1"/>
      <c r="BS23" s="1"/>
    </row>
    <row r="24" spans="1:71" ht="19">
      <c r="A24">
        <f>VLOOKUP(B24,'Loyd List 1-190 - Edit'!$P$1:$R$219,3,FALSE)</f>
        <v>22</v>
      </c>
      <c r="B24">
        <f>'All Girls &amp; Descendants - Edit'!B25</f>
        <v>36</v>
      </c>
      <c r="C24" s="98" t="str">
        <f>'All Girls &amp; Descendants - Edit'!C25</f>
        <v>36e</v>
      </c>
      <c r="D24" s="2" t="str">
        <f>'All Girls &amp; Descendants - Edit'!D25</f>
        <v>COURTHOPE</v>
      </c>
      <c r="E24" t="str">
        <f>'All Girls &amp; Descendants - Edit'!E25</f>
        <v>Elinor</v>
      </c>
      <c r="F24" t="str">
        <f>IF('All Girls &amp; Descendants - Edit'!F25="","",'All Girls &amp; Descendants - Edit'!F25)</f>
        <v>Joan</v>
      </c>
      <c r="G24" t="str">
        <f>IF('All Girls &amp; Descendants - Edit'!G25="","",'All Girls &amp; Descendants - Edit'!G25)</f>
        <v/>
      </c>
      <c r="H24" t="str">
        <f>IF('All Girls &amp; Descendants - Edit'!H25="","",'All Girls &amp; Descendants - Edit'!H25)</f>
        <v/>
      </c>
      <c r="I24">
        <f>VLOOKUP($C24,'All Girls &amp; Descendants - Edit'!$C$2:$AK$440,'All Girls &amp; Descendants - Edit'!I$1,FALSE)</f>
        <v>1886</v>
      </c>
      <c r="J24">
        <f>VLOOKUP($C24,'All Girls &amp; Descendants - Edit'!$C$2:$AK$440,'All Girls &amp; Descendants - Edit'!J$1,FALSE)</f>
        <v>1974</v>
      </c>
      <c r="K24" s="9"/>
      <c r="L24" t="str">
        <f>IF(M24="","",TEXT(M24,"dd/mm/yyyy"))</f>
        <v>03/06/1886</v>
      </c>
      <c r="M24" s="3" t="str">
        <f>VLOOKUP($C24,'All Girls &amp; Descendants - Edit'!$C$2:$AK$440,'All Girls &amp; Descendants - Edit'!M$1,FALSE)</f>
        <v>03/06/1886</v>
      </c>
      <c r="N24" s="3" t="str">
        <f>IF(VLOOKUP($C24,'All Girls &amp; Descendants - Edit'!$C$2:$AK$440,'All Girls &amp; Descendants - Edit'!N$1,FALSE)=""," - ",(VLOOKUP($C24,'All Girls &amp; Descendants - Edit'!$C$2:$AK$440,'All Girls &amp; Descendants - Edit'!N$1,FALSE)))</f>
        <v xml:space="preserve"> - </v>
      </c>
      <c r="O24" s="3">
        <f>IF(VLOOKUP($C24,'All Girls &amp; Descendants - Edit'!$C$2:$AK$440,'All Girls &amp; Descendants - Edit'!O$1,FALSE)="","",(VLOOKUP($C24,'All Girls &amp; Descendants - Edit'!$C$2:$AK$440,'All Girls &amp; Descendants - Edit'!O$1,FALSE)))</f>
        <v>27072</v>
      </c>
      <c r="P24" s="3" t="str">
        <f t="shared" si="3"/>
        <v>12/02/1974</v>
      </c>
      <c r="Q24" s="178" t="str">
        <f t="shared" si="4"/>
        <v>36</v>
      </c>
      <c r="R24" s="23"/>
      <c r="S24" t="str">
        <f>VLOOKUP($C24,'All Girls &amp; Descendants - Edit'!$C$2:$AK$440,'All Girls &amp; Descendants - Edit'!S$1,FALSE)</f>
        <v>Female</v>
      </c>
      <c r="T24" s="176">
        <f t="shared" si="5"/>
        <v>4</v>
      </c>
      <c r="U24" s="176">
        <f t="shared" si="0"/>
        <v>3</v>
      </c>
      <c r="V24" s="176">
        <f t="shared" si="1"/>
        <v>3</v>
      </c>
      <c r="W24" s="177">
        <f t="shared" si="2"/>
        <v>1</v>
      </c>
      <c r="X24" s="3" t="str">
        <f>IF(VLOOKUP($C24,'All Girls &amp; Descendants - Edit'!$C$2:$AK$440,'All Girls &amp; Descendants - Edit'!X$1,FALSE)=""," - ",(VLOOKUP($C24,'All Girls &amp; Descendants - Edit'!$C$2:$AK$440,'All Girls &amp; Descendants - Edit'!X$1,FALSE)))</f>
        <v xml:space="preserve"> - </v>
      </c>
      <c r="Y24" s="3" t="str">
        <f>IF(VLOOKUP($C24,'All Girls &amp; Descendants - Edit'!$C$2:$AK$440,'All Girls &amp; Descendants - Edit'!Y$1,FALSE)=""," - ",(VLOOKUP($C24,'All Girls &amp; Descendants - Edit'!$C$2:$AK$440,'All Girls &amp; Descendants - Edit'!Y$1,FALSE)))</f>
        <v xml:space="preserve"> - </v>
      </c>
      <c r="Z24" s="3" t="str">
        <f>IF(VLOOKUP($C24,'All Girls &amp; Descendants - Edit'!$C$2:$AK$440,'All Girls &amp; Descendants - Edit'!Z$1,FALSE)=""," - ",(VLOOKUP($C24,'All Girls &amp; Descendants - Edit'!$C$2:$AK$440,'All Girls &amp; Descendants - Edit'!Z$1,FALSE)))</f>
        <v>Born at Lillesden, Hawkhurst, Kent. Died at Sprivers, Horsmonden, Kent, buried 18 Feb 1974 at Wadhurst, Sussex.</v>
      </c>
      <c r="AA24" s="101">
        <f>IF(VLOOKUP($C24,'All Girls &amp; Descendants - Edit'!$C$2:$AK$440,'All Girls &amp; Descendants - Edit'!AA$1,FALSE)=""," - ",(VLOOKUP($C24,'All Girls &amp; Descendants - Edit'!$C$2:$AK$440,'All Girls &amp; Descendants - Edit'!AA$1,FALSE)))</f>
        <v>89</v>
      </c>
      <c r="AB24" s="101">
        <f>IF(VLOOKUP($C24,'All Girls &amp; Descendants - Edit'!$C$2:$AK$440,'All Girls &amp; Descendants - Edit'!AB$1,FALSE)=""," - ",(VLOOKUP($C24,'All Girls &amp; Descendants - Edit'!$C$2:$AK$440,'All Girls &amp; Descendants - Edit'!AB$1,FALSE)))</f>
        <v>23</v>
      </c>
      <c r="AC24" s="101">
        <f>IF(VLOOKUP($C24,'All Girls &amp; Descendants - Edit'!$C$2:$AK$440,'All Girls &amp; Descendants - Edit'!AC$1,FALSE)=""," - ",(VLOOKUP($C24,'All Girls &amp; Descendants - Edit'!$C$2:$AK$440,'All Girls &amp; Descendants - Edit'!AC$1,FALSE)))</f>
        <v>1023</v>
      </c>
      <c r="AD24" s="3" t="str">
        <f>IF(VLOOKUP($C24,'All Girls &amp; Descendants - Edit'!$C$2:$AK$440,'All Girls &amp; Descendants - Edit'!AD$1,FALSE)=""," - ",(VLOOKUP($C24,'All Girls &amp; Descendants - Edit'!$C$2:$AK$440,'All Girls &amp; Descendants - Edit'!AD$1,FALSE)))</f>
        <v>36e</v>
      </c>
      <c r="AE24" s="3" t="str">
        <f>IF(VLOOKUP($C24,'All Girls &amp; Descendants - Edit'!$C$2:$AK$440,'All Girls &amp; Descendants - Edit'!AE$1,FALSE)=""," - ",(VLOOKUP($C24,'All Girls &amp; Descendants - Edit'!$C$2:$AK$440,'All Girls &amp; Descendants - Edit'!AE$1,FALSE)))</f>
        <v>Elinor Joan  COURTHOPE (1886 - 1974)</v>
      </c>
      <c r="AF24" s="3" t="str">
        <f>IF(VLOOKUP($C24,'All Girls &amp; Descendants - Edit'!$C$2:$AK$440,'All Girls &amp; Descendants - Edit'!AF$1,FALSE)=""," - ",(VLOOKUP($C24,'All Girls &amp; Descendants - Edit'!$C$2:$AK$440,'All Girls &amp; Descendants - Edit'!AF$1,FALSE)))</f>
        <v>Elinor COURTHOPE (4th &amp; 36)</v>
      </c>
      <c r="AG24" s="3" t="str">
        <f>IF(VLOOKUP($C24,'All Girls &amp; Descendants - Edit'!$C$2:$AK$440,'All Girls &amp; Descendants - Edit'!AG$1,FALSE)=""," - ",(VLOOKUP($C24,'All Girls &amp; Descendants - Edit'!$C$2:$AK$440,'All Girls &amp; Descendants - Edit'!AG$1,FALSE)))</f>
        <v>Female</v>
      </c>
      <c r="AH24" s="3" t="str">
        <f>IF(VLOOKUP($C24,'All Girls &amp; Descendants - Edit'!$C$2:$AK$440,'All Girls &amp; Descendants - Edit'!AH$1,FALSE)=""," - ",(VLOOKUP($C24,'All Girls &amp; Descendants - Edit'!$C$2:$AK$440,'All Girls &amp; Descendants - Edit'!AH$1,FALSE)))</f>
        <v>4th</v>
      </c>
      <c r="AI24" s="3" t="str">
        <f>IF(VLOOKUP($C24,'All Girls &amp; Descendants - Edit'!$C$2:$AK$440,'All Girls &amp; Descendants - Edit'!AI$1,FALSE)=""," - ",(VLOOKUP($C24,'All Girls &amp; Descendants - Edit'!$C$2:$AK$440,'All Girls &amp; Descendants - Edit'!AI$1,FALSE)))</f>
        <v>Unmarried</v>
      </c>
      <c r="AJ24" s="3" t="str">
        <f>IF(VLOOKUP($C24,'All Girls &amp; Descendants - Edit'!$C$2:$AK$440,'All Girls &amp; Descendants - Edit'!AJ$1,FALSE)=""," - ",(VLOOKUP($C24,'All Girls &amp; Descendants - Edit'!$C$2:$AK$440,'All Girls &amp; Descendants - Edit'!AJ$1,FALSE)))</f>
        <v>Female. b. 03/06/1886, d. 12/02/1974. Born at Lillesden, Hawkhurst, Kent. Died at Sprivers, Horsmonden, Kent, buried 18 Feb 1974 at Wadhurst, Sussex.</v>
      </c>
      <c r="AK24" s="3" t="str">
        <f>IF(VLOOKUP($C24,'All Girls &amp; Descendants - Edit'!$C$2:$AK$440,'All Girls &amp; Descendants - Edit'!AK$1,FALSE)=""," - ",(VLOOKUP($C24,'All Girls &amp; Descendants - Edit'!$C$2:$AK$440,'All Girls &amp; Descendants - Edit'!AK$1,FALSE)))</f>
        <v>b. 03/06/1886, d. 12/02/1974.</v>
      </c>
      <c r="AO24" s="1"/>
      <c r="AS24" s="72">
        <v>48</v>
      </c>
      <c r="BA24">
        <v>1</v>
      </c>
      <c r="BB24">
        <v>1</v>
      </c>
      <c r="BH24">
        <v>2</v>
      </c>
      <c r="BI24">
        <v>2</v>
      </c>
      <c r="BS24" s="1"/>
    </row>
    <row r="25" spans="1:71" ht="19">
      <c r="A25">
        <f>VLOOKUP(B25,'Loyd List 1-190 - Edit'!$P$1:$R$219,3,FALSE)</f>
        <v>22</v>
      </c>
      <c r="B25">
        <f>'All Girls &amp; Descendants - Edit'!B26</f>
        <v>36</v>
      </c>
      <c r="C25" s="98" t="str">
        <f>'All Girls &amp; Descendants - Edit'!C26</f>
        <v>36f</v>
      </c>
      <c r="D25" s="2" t="str">
        <f>'All Girls &amp; Descendants - Edit'!D26</f>
        <v>COURTHOPE</v>
      </c>
      <c r="E25" t="str">
        <f>'All Girls &amp; Descendants - Edit'!E26</f>
        <v>Richard</v>
      </c>
      <c r="F25" t="str">
        <f>IF('All Girls &amp; Descendants - Edit'!F26="","",'All Girls &amp; Descendants - Edit'!F26)</f>
        <v>Foster</v>
      </c>
      <c r="G25" t="str">
        <f>IF('All Girls &amp; Descendants - Edit'!G26="","",'All Girls &amp; Descendants - Edit'!G26)</f>
        <v/>
      </c>
      <c r="H25" t="str">
        <f>IF('All Girls &amp; Descendants - Edit'!H26="","",'All Girls &amp; Descendants - Edit'!H26)</f>
        <v/>
      </c>
      <c r="I25">
        <f>VLOOKUP($C25,'All Girls &amp; Descendants - Edit'!$C$2:$AK$440,'All Girls &amp; Descendants - Edit'!I$1,FALSE)</f>
        <v>1888</v>
      </c>
      <c r="J25">
        <f>VLOOKUP($C25,'All Girls &amp; Descendants - Edit'!$C$2:$AK$440,'All Girls &amp; Descendants - Edit'!J$1,FALSE)</f>
        <v>1889</v>
      </c>
      <c r="K25" s="9"/>
      <c r="L25" t="str">
        <f t="shared" ref="L25:L35" si="7">IF(M25="","",TEXT(M25,"dd/mm/yyyy"))</f>
        <v>21/10/1888</v>
      </c>
      <c r="M25" s="3" t="str">
        <f>VLOOKUP($C25,'All Girls &amp; Descendants - Edit'!$C$2:$AK$440,'All Girls &amp; Descendants - Edit'!M$1,FALSE)</f>
        <v>21/10/1888</v>
      </c>
      <c r="N25" s="3" t="str">
        <f>IF(VLOOKUP($C25,'All Girls &amp; Descendants - Edit'!$C$2:$AK$440,'All Girls &amp; Descendants - Edit'!N$1,FALSE)=""," - ",(VLOOKUP($C25,'All Girls &amp; Descendants - Edit'!$C$2:$AK$440,'All Girls &amp; Descendants - Edit'!N$1,FALSE)))</f>
        <v xml:space="preserve"> - </v>
      </c>
      <c r="O25" s="3" t="str">
        <f>IF(VLOOKUP($C25,'All Girls &amp; Descendants - Edit'!$C$2:$AK$440,'All Girls &amp; Descendants - Edit'!O$1,FALSE)="","",(VLOOKUP($C25,'All Girls &amp; Descendants - Edit'!$C$2:$AK$440,'All Girls &amp; Descendants - Edit'!O$1,FALSE)))</f>
        <v>28/05/1889</v>
      </c>
      <c r="P25" s="3" t="str">
        <f t="shared" si="3"/>
        <v>28/05/1889</v>
      </c>
      <c r="Q25" s="178" t="str">
        <f t="shared" si="4"/>
        <v>36</v>
      </c>
      <c r="R25" s="23"/>
      <c r="S25" t="str">
        <f>VLOOKUP($C25,'All Girls &amp; Descendants - Edit'!$C$2:$AK$440,'All Girls &amp; Descendants - Edit'!S$1,FALSE)</f>
        <v>Male</v>
      </c>
      <c r="T25" s="176">
        <f t="shared" si="5"/>
        <v>4</v>
      </c>
      <c r="U25" s="176">
        <f t="shared" si="0"/>
        <v>3</v>
      </c>
      <c r="V25" s="176">
        <f t="shared" si="1"/>
        <v>3</v>
      </c>
      <c r="W25" s="177">
        <f t="shared" si="2"/>
        <v>1</v>
      </c>
      <c r="X25" s="3" t="str">
        <f>IF(VLOOKUP($C25,'All Girls &amp; Descendants - Edit'!$C$2:$AK$440,'All Girls &amp; Descendants - Edit'!X$1,FALSE)=""," - ",(VLOOKUP($C25,'All Girls &amp; Descendants - Edit'!$C$2:$AK$440,'All Girls &amp; Descendants - Edit'!X$1,FALSE)))</f>
        <v xml:space="preserve"> - </v>
      </c>
      <c r="Y25" s="3" t="str">
        <f>IF(VLOOKUP($C25,'All Girls &amp; Descendants - Edit'!$C$2:$AK$440,'All Girls &amp; Descendants - Edit'!Y$1,FALSE)=""," - ",(VLOOKUP($C25,'All Girls &amp; Descendants - Edit'!$C$2:$AK$440,'All Girls &amp; Descendants - Edit'!Y$1,FALSE)))</f>
        <v xml:space="preserve"> - </v>
      </c>
      <c r="Z25" s="3" t="str">
        <f>IF(VLOOKUP($C25,'All Girls &amp; Descendants - Edit'!$C$2:$AK$440,'All Girls &amp; Descendants - Edit'!Z$1,FALSE)=""," - ",(VLOOKUP($C25,'All Girls &amp; Descendants - Edit'!$C$2:$AK$440,'All Girls &amp; Descendants - Edit'!Z$1,FALSE)))</f>
        <v>Buried at Horsmonden, Kent.</v>
      </c>
      <c r="AA25" s="101">
        <f>IF(VLOOKUP($C25,'All Girls &amp; Descendants - Edit'!$C$2:$AK$440,'All Girls &amp; Descendants - Edit'!AA$1,FALSE)=""," - ",(VLOOKUP($C25,'All Girls &amp; Descendants - Edit'!$C$2:$AK$440,'All Girls &amp; Descendants - Edit'!AA$1,FALSE)))</f>
        <v>90</v>
      </c>
      <c r="AB25" s="101">
        <f>IF(VLOOKUP($C25,'All Girls &amp; Descendants - Edit'!$C$2:$AK$440,'All Girls &amp; Descendants - Edit'!AB$1,FALSE)=""," - ",(VLOOKUP($C25,'All Girls &amp; Descendants - Edit'!$C$2:$AK$440,'All Girls &amp; Descendants - Edit'!AB$1,FALSE)))</f>
        <v>24</v>
      </c>
      <c r="AC25" s="101">
        <f>IF(VLOOKUP($C25,'All Girls &amp; Descendants - Edit'!$C$2:$AK$440,'All Girls &amp; Descendants - Edit'!AC$1,FALSE)=""," - ",(VLOOKUP($C25,'All Girls &amp; Descendants - Edit'!$C$2:$AK$440,'All Girls &amp; Descendants - Edit'!AC$1,FALSE)))</f>
        <v>1024</v>
      </c>
      <c r="AD25" s="3" t="str">
        <f>IF(VLOOKUP($C25,'All Girls &amp; Descendants - Edit'!$C$2:$AK$440,'All Girls &amp; Descendants - Edit'!AD$1,FALSE)=""," - ",(VLOOKUP($C25,'All Girls &amp; Descendants - Edit'!$C$2:$AK$440,'All Girls &amp; Descendants - Edit'!AD$1,FALSE)))</f>
        <v>36f</v>
      </c>
      <c r="AE25" s="3" t="str">
        <f>IF(VLOOKUP($C25,'All Girls &amp; Descendants - Edit'!$C$2:$AK$440,'All Girls &amp; Descendants - Edit'!AE$1,FALSE)=""," - ",(VLOOKUP($C25,'All Girls &amp; Descendants - Edit'!$C$2:$AK$440,'All Girls &amp; Descendants - Edit'!AE$1,FALSE)))</f>
        <v>Richard Foster  COURTHOPE (1888 - 1889)</v>
      </c>
      <c r="AF25" s="3" t="str">
        <f>IF(VLOOKUP($C25,'All Girls &amp; Descendants - Edit'!$C$2:$AK$440,'All Girls &amp; Descendants - Edit'!AF$1,FALSE)=""," - ",(VLOOKUP($C25,'All Girls &amp; Descendants - Edit'!$C$2:$AK$440,'All Girls &amp; Descendants - Edit'!AF$1,FALSE)))</f>
        <v>Richard COURTHOPE (4th &amp; 36)</v>
      </c>
      <c r="AG25" s="3" t="str">
        <f>IF(VLOOKUP($C25,'All Girls &amp; Descendants - Edit'!$C$2:$AK$440,'All Girls &amp; Descendants - Edit'!AG$1,FALSE)=""," - ",(VLOOKUP($C25,'All Girls &amp; Descendants - Edit'!$C$2:$AK$440,'All Girls &amp; Descendants - Edit'!AG$1,FALSE)))</f>
        <v>Male</v>
      </c>
      <c r="AH25" s="3" t="str">
        <f>IF(VLOOKUP($C25,'All Girls &amp; Descendants - Edit'!$C$2:$AK$440,'All Girls &amp; Descendants - Edit'!AH$1,FALSE)=""," - ",(VLOOKUP($C25,'All Girls &amp; Descendants - Edit'!$C$2:$AK$440,'All Girls &amp; Descendants - Edit'!AH$1,FALSE)))</f>
        <v>4th</v>
      </c>
      <c r="AI25" s="3" t="str">
        <f>IF(VLOOKUP($C25,'All Girls &amp; Descendants - Edit'!$C$2:$AK$440,'All Girls &amp; Descendants - Edit'!AI$1,FALSE)=""," - ",(VLOOKUP($C25,'All Girls &amp; Descendants - Edit'!$C$2:$AK$440,'All Girls &amp; Descendants - Edit'!AI$1,FALSE)))</f>
        <v>Unmarried</v>
      </c>
      <c r="AJ25" s="3" t="str">
        <f>IF(VLOOKUP($C25,'All Girls &amp; Descendants - Edit'!$C$2:$AK$440,'All Girls &amp; Descendants - Edit'!AJ$1,FALSE)=""," - ",(VLOOKUP($C25,'All Girls &amp; Descendants - Edit'!$C$2:$AK$440,'All Girls &amp; Descendants - Edit'!AJ$1,FALSE)))</f>
        <v>Male. b. 21/10/1888, d. 28/05/1889. Buried at Horsmonden, Kent.</v>
      </c>
      <c r="AK25" s="3" t="str">
        <f>IF(VLOOKUP($C25,'All Girls &amp; Descendants - Edit'!$C$2:$AK$440,'All Girls &amp; Descendants - Edit'!AK$1,FALSE)=""," - ",(VLOOKUP($C25,'All Girls &amp; Descendants - Edit'!$C$2:$AK$440,'All Girls &amp; Descendants - Edit'!AK$1,FALSE)))</f>
        <v>b. 21/10/1888, d. 28/05/1889.</v>
      </c>
      <c r="AO25" s="1"/>
      <c r="AS25" s="72">
        <v>49</v>
      </c>
      <c r="BB25">
        <v>1</v>
      </c>
      <c r="BH25">
        <v>1</v>
      </c>
      <c r="BI25">
        <v>1</v>
      </c>
      <c r="BS25" s="1"/>
    </row>
    <row r="26" spans="1:71" ht="19">
      <c r="A26">
        <f>VLOOKUP(B26,'Loyd List 1-190 - Edit'!$P$1:$R$219,3,FALSE)</f>
        <v>22</v>
      </c>
      <c r="B26">
        <f>'All Girls &amp; Descendants - Edit'!B27</f>
        <v>36</v>
      </c>
      <c r="C26" s="98" t="str">
        <f>'All Girls &amp; Descendants - Edit'!C27</f>
        <v>36g</v>
      </c>
      <c r="D26" s="2" t="str">
        <f>'All Girls &amp; Descendants - Edit'!D27</f>
        <v>COURTHOPE</v>
      </c>
      <c r="E26" t="str">
        <f>'All Girls &amp; Descendants - Edit'!E27</f>
        <v>Robert</v>
      </c>
      <c r="F26" t="str">
        <f>IF('All Girls &amp; Descendants - Edit'!F27="","",'All Girls &amp; Descendants - Edit'!F27)</f>
        <v/>
      </c>
      <c r="G26" t="str">
        <f>IF('All Girls &amp; Descendants - Edit'!G27="","",'All Girls &amp; Descendants - Edit'!G27)</f>
        <v/>
      </c>
      <c r="H26" t="str">
        <f>IF('All Girls &amp; Descendants - Edit'!H27="","",'All Girls &amp; Descendants - Edit'!H27)</f>
        <v/>
      </c>
      <c r="I26">
        <f>VLOOKUP($C26,'All Girls &amp; Descendants - Edit'!$C$2:$AK$440,'All Girls &amp; Descendants - Edit'!I$1,FALSE)</f>
        <v>1891</v>
      </c>
      <c r="J26">
        <f>VLOOKUP($C26,'All Girls &amp; Descendants - Edit'!$C$2:$AK$440,'All Girls &amp; Descendants - Edit'!J$1,FALSE)</f>
        <v>1966</v>
      </c>
      <c r="K26" s="9"/>
      <c r="L26" t="str">
        <f t="shared" si="7"/>
        <v>15/03/1891</v>
      </c>
      <c r="M26" s="3" t="str">
        <f>VLOOKUP($C26,'All Girls &amp; Descendants - Edit'!$C$2:$AK$440,'All Girls &amp; Descendants - Edit'!M$1,FALSE)</f>
        <v>15/03/1891</v>
      </c>
      <c r="N26" s="3" t="str">
        <f>IF(VLOOKUP($C26,'All Girls &amp; Descendants - Edit'!$C$2:$AK$440,'All Girls &amp; Descendants - Edit'!N$1,FALSE)=""," - ",(VLOOKUP($C26,'All Girls &amp; Descendants - Edit'!$C$2:$AK$440,'All Girls &amp; Descendants - Edit'!N$1,FALSE)))</f>
        <v xml:space="preserve"> - </v>
      </c>
      <c r="O26" s="3">
        <f>IF(VLOOKUP($C26,'All Girls &amp; Descendants - Edit'!$C$2:$AK$440,'All Girls &amp; Descendants - Edit'!O$1,FALSE)="","",(VLOOKUP($C26,'All Girls &amp; Descendants - Edit'!$C$2:$AK$440,'All Girls &amp; Descendants - Edit'!O$1,FALSE)))</f>
        <v>24198</v>
      </c>
      <c r="P26" s="3" t="str">
        <f t="shared" si="3"/>
        <v>01/04/1966</v>
      </c>
      <c r="Q26" s="178" t="str">
        <f t="shared" si="4"/>
        <v>36</v>
      </c>
      <c r="R26" s="23"/>
      <c r="S26" t="str">
        <f>VLOOKUP($C26,'All Girls &amp; Descendants - Edit'!$C$2:$AK$440,'All Girls &amp; Descendants - Edit'!S$1,FALSE)</f>
        <v>Male</v>
      </c>
      <c r="T26" s="176">
        <f t="shared" si="5"/>
        <v>4</v>
      </c>
      <c r="U26" s="176">
        <f t="shared" si="0"/>
        <v>3</v>
      </c>
      <c r="V26" s="176">
        <f t="shared" si="1"/>
        <v>3</v>
      </c>
      <c r="W26" s="177">
        <f t="shared" si="2"/>
        <v>1</v>
      </c>
      <c r="X26" s="3" t="str">
        <f>IF(VLOOKUP($C26,'All Girls &amp; Descendants - Edit'!$C$2:$AK$440,'All Girls &amp; Descendants - Edit'!X$1,FALSE)=""," - ",(VLOOKUP($C26,'All Girls &amp; Descendants - Edit'!$C$2:$AK$440,'All Girls &amp; Descendants - Edit'!X$1,FALSE)))</f>
        <v xml:space="preserve"> - </v>
      </c>
      <c r="Y26" s="3" t="str">
        <f>IF(VLOOKUP($C26,'All Girls &amp; Descendants - Edit'!$C$2:$AK$440,'All Girls &amp; Descendants - Edit'!Y$1,FALSE)=""," - ",(VLOOKUP($C26,'All Girls &amp; Descendants - Edit'!$C$2:$AK$440,'All Girls &amp; Descendants - Edit'!Y$1,FALSE)))</f>
        <v xml:space="preserve"> - </v>
      </c>
      <c r="Z26" s="3" t="str">
        <f>IF(VLOOKUP($C26,'All Girls &amp; Descendants - Edit'!$C$2:$AK$440,'All Girls &amp; Descendants - Edit'!Z$1,FALSE)=""," - ",(VLOOKUP($C26,'All Girls &amp; Descendants - Edit'!$C$2:$AK$440,'All Girls &amp; Descendants - Edit'!Z$1,FALSE)))</f>
        <v xml:space="preserve">Born at Lillesden, Hawkhurst, Kent. Died at Sprivers, Horsmonden, Kent, buried 5 Apr 1966 at Wadhurst, Sussex. Left house and hundred acres surrounding it to the National Trust in his will. Roddy SALE (97d) has Robert’s diaries and a copy of a portrait of Mary Foster which was left to the NT at Sprivers.
</v>
      </c>
      <c r="AA26" s="101">
        <f>IF(VLOOKUP($C26,'All Girls &amp; Descendants - Edit'!$C$2:$AK$440,'All Girls &amp; Descendants - Edit'!AA$1,FALSE)=""," - ",(VLOOKUP($C26,'All Girls &amp; Descendants - Edit'!$C$2:$AK$440,'All Girls &amp; Descendants - Edit'!AA$1,FALSE)))</f>
        <v>91</v>
      </c>
      <c r="AB26" s="101">
        <f>IF(VLOOKUP($C26,'All Girls &amp; Descendants - Edit'!$C$2:$AK$440,'All Girls &amp; Descendants - Edit'!AB$1,FALSE)=""," - ",(VLOOKUP($C26,'All Girls &amp; Descendants - Edit'!$C$2:$AK$440,'All Girls &amp; Descendants - Edit'!AB$1,FALSE)))</f>
        <v>25</v>
      </c>
      <c r="AC26" s="101">
        <f>IF(VLOOKUP($C26,'All Girls &amp; Descendants - Edit'!$C$2:$AK$440,'All Girls &amp; Descendants - Edit'!AC$1,FALSE)=""," - ",(VLOOKUP($C26,'All Girls &amp; Descendants - Edit'!$C$2:$AK$440,'All Girls &amp; Descendants - Edit'!AC$1,FALSE)))</f>
        <v>1025</v>
      </c>
      <c r="AD26" s="3" t="str">
        <f>IF(VLOOKUP($C26,'All Girls &amp; Descendants - Edit'!$C$2:$AK$440,'All Girls &amp; Descendants - Edit'!AD$1,FALSE)=""," - ",(VLOOKUP($C26,'All Girls &amp; Descendants - Edit'!$C$2:$AK$440,'All Girls &amp; Descendants - Edit'!AD$1,FALSE)))</f>
        <v>36g</v>
      </c>
      <c r="AE26" s="3" t="str">
        <f>IF(VLOOKUP($C26,'All Girls &amp; Descendants - Edit'!$C$2:$AK$440,'All Girls &amp; Descendants - Edit'!AE$1,FALSE)=""," - ",(VLOOKUP($C26,'All Girls &amp; Descendants - Edit'!$C$2:$AK$440,'All Girls &amp; Descendants - Edit'!AE$1,FALSE)))</f>
        <v>Robert   COURTHOPE (1891 - 1966)</v>
      </c>
      <c r="AF26" s="3" t="str">
        <f>IF(VLOOKUP($C26,'All Girls &amp; Descendants - Edit'!$C$2:$AK$440,'All Girls &amp; Descendants - Edit'!AF$1,FALSE)=""," - ",(VLOOKUP($C26,'All Girls &amp; Descendants - Edit'!$C$2:$AK$440,'All Girls &amp; Descendants - Edit'!AF$1,FALSE)))</f>
        <v>Robert COURTHOPE (4th &amp; 36)</v>
      </c>
      <c r="AG26" s="3" t="str">
        <f>IF(VLOOKUP($C26,'All Girls &amp; Descendants - Edit'!$C$2:$AK$440,'All Girls &amp; Descendants - Edit'!AG$1,FALSE)=""," - ",(VLOOKUP($C26,'All Girls &amp; Descendants - Edit'!$C$2:$AK$440,'All Girls &amp; Descendants - Edit'!AG$1,FALSE)))</f>
        <v>Male</v>
      </c>
      <c r="AH26" s="3" t="str">
        <f>IF(VLOOKUP($C26,'All Girls &amp; Descendants - Edit'!$C$2:$AK$440,'All Girls &amp; Descendants - Edit'!AH$1,FALSE)=""," - ",(VLOOKUP($C26,'All Girls &amp; Descendants - Edit'!$C$2:$AK$440,'All Girls &amp; Descendants - Edit'!AH$1,FALSE)))</f>
        <v>4th</v>
      </c>
      <c r="AI26" s="3" t="str">
        <f>IF(VLOOKUP($C26,'All Girls &amp; Descendants - Edit'!$C$2:$AK$440,'All Girls &amp; Descendants - Edit'!AI$1,FALSE)=""," - ",(VLOOKUP($C26,'All Girls &amp; Descendants - Edit'!$C$2:$AK$440,'All Girls &amp; Descendants - Edit'!AI$1,FALSE)))</f>
        <v>Unmarried</v>
      </c>
      <c r="AJ26" s="3" t="str">
        <f>IF(VLOOKUP($C26,'All Girls &amp; Descendants - Edit'!$C$2:$AK$440,'All Girls &amp; Descendants - Edit'!AJ$1,FALSE)=""," - ",(VLOOKUP($C26,'All Girls &amp; Descendants - Edit'!$C$2:$AK$440,'All Girls &amp; Descendants - Edit'!AJ$1,FALSE)))</f>
        <v xml:space="preserve">Male. b. 15/03/1891, d. 01/04/1966. Born at Lillesden, Hawkhurst, Kent. Died at Sprivers, Horsmonden, Kent, buried 5 Apr 1966 at Wadhurst, Sussex. Left house and hundred acres surrounding it to the National Trust in his will. Roddy SALE (97d) has Robert’s diaries and a copy of a portrait of Mary Foster which was left to the NT at Sprivers.
</v>
      </c>
      <c r="AK26" s="3" t="str">
        <f>IF(VLOOKUP($C26,'All Girls &amp; Descendants - Edit'!$C$2:$AK$440,'All Girls &amp; Descendants - Edit'!AK$1,FALSE)=""," - ",(VLOOKUP($C26,'All Girls &amp; Descendants - Edit'!$C$2:$AK$440,'All Girls &amp; Descendants - Edit'!AK$1,FALSE)))</f>
        <v>b. 15/03/1891, d. 01/04/1966.</v>
      </c>
      <c r="AO26" s="1"/>
      <c r="AS26" s="72">
        <v>59</v>
      </c>
      <c r="BB26">
        <v>1</v>
      </c>
      <c r="BH26">
        <v>1</v>
      </c>
      <c r="BI26">
        <v>1</v>
      </c>
      <c r="BS26" s="1"/>
    </row>
    <row r="27" spans="1:71" ht="19">
      <c r="A27">
        <f>VLOOKUP(B27,'Loyd List 1-190 - Edit'!$P$1:$R$219,3,FALSE)</f>
        <v>22</v>
      </c>
      <c r="B27">
        <f>'All Girls &amp; Descendants - Edit'!B28</f>
        <v>36</v>
      </c>
      <c r="C27" s="98" t="str">
        <f>'All Girls &amp; Descendants - Edit'!C28</f>
        <v>36h</v>
      </c>
      <c r="D27" s="2" t="str">
        <f>'All Girls &amp; Descendants - Edit'!D28</f>
        <v>COURTHOPE</v>
      </c>
      <c r="E27" t="str">
        <f>'All Girls &amp; Descendants - Edit'!E28</f>
        <v>Margery</v>
      </c>
      <c r="F27" t="str">
        <f>IF('All Girls &amp; Descendants - Edit'!F28="","",'All Girls &amp; Descendants - Edit'!F28)</f>
        <v/>
      </c>
      <c r="G27" t="str">
        <f>IF('All Girls &amp; Descendants - Edit'!G28="","",'All Girls &amp; Descendants - Edit'!G28)</f>
        <v/>
      </c>
      <c r="H27" t="str">
        <f>IF('All Girls &amp; Descendants - Edit'!H28="","",'All Girls &amp; Descendants - Edit'!H28)</f>
        <v/>
      </c>
      <c r="I27">
        <f>VLOOKUP($C27,'All Girls &amp; Descendants - Edit'!$C$2:$AK$440,'All Girls &amp; Descendants - Edit'!I$1,FALSE)</f>
        <v>1893</v>
      </c>
      <c r="J27">
        <f>VLOOKUP($C27,'All Girls &amp; Descendants - Edit'!$C$2:$AK$440,'All Girls &amp; Descendants - Edit'!J$1,FALSE)</f>
        <v>1901</v>
      </c>
      <c r="K27" s="9"/>
      <c r="L27" t="str">
        <f t="shared" si="7"/>
        <v>29/03/1893</v>
      </c>
      <c r="M27" s="3" t="str">
        <f>VLOOKUP($C27,'All Girls &amp; Descendants - Edit'!$C$2:$AK$440,'All Girls &amp; Descendants - Edit'!M$1,FALSE)</f>
        <v>29/03/1893</v>
      </c>
      <c r="N27" s="3" t="str">
        <f>IF(VLOOKUP($C27,'All Girls &amp; Descendants - Edit'!$C$2:$AK$440,'All Girls &amp; Descendants - Edit'!N$1,FALSE)=""," - ",(VLOOKUP($C27,'All Girls &amp; Descendants - Edit'!$C$2:$AK$440,'All Girls &amp; Descendants - Edit'!N$1,FALSE)))</f>
        <v xml:space="preserve"> - </v>
      </c>
      <c r="O27" s="3">
        <f>IF(VLOOKUP($C27,'All Girls &amp; Descendants - Edit'!$C$2:$AK$440,'All Girls &amp; Descendants - Edit'!O$1,FALSE)="","",(VLOOKUP($C27,'All Girls &amp; Descendants - Edit'!$C$2:$AK$440,'All Girls &amp; Descendants - Edit'!O$1,FALSE)))</f>
        <v>710</v>
      </c>
      <c r="P27" s="3" t="str">
        <f t="shared" si="3"/>
        <v>10/12/1901</v>
      </c>
      <c r="Q27" s="178" t="str">
        <f t="shared" si="4"/>
        <v>36</v>
      </c>
      <c r="R27" s="23"/>
      <c r="S27" t="str">
        <f>VLOOKUP($C27,'All Girls &amp; Descendants - Edit'!$C$2:$AK$440,'All Girls &amp; Descendants - Edit'!S$1,FALSE)</f>
        <v>Female</v>
      </c>
      <c r="T27" s="176">
        <f t="shared" si="5"/>
        <v>4</v>
      </c>
      <c r="U27" s="176">
        <f t="shared" si="0"/>
        <v>3</v>
      </c>
      <c r="V27" s="176">
        <f t="shared" si="1"/>
        <v>3</v>
      </c>
      <c r="W27" s="177">
        <f t="shared" si="2"/>
        <v>1</v>
      </c>
      <c r="X27" s="3" t="str">
        <f>IF(VLOOKUP($C27,'All Girls &amp; Descendants - Edit'!$C$2:$AK$440,'All Girls &amp; Descendants - Edit'!X$1,FALSE)=""," - ",(VLOOKUP($C27,'All Girls &amp; Descendants - Edit'!$C$2:$AK$440,'All Girls &amp; Descendants - Edit'!X$1,FALSE)))</f>
        <v xml:space="preserve"> - </v>
      </c>
      <c r="Y27" s="3" t="str">
        <f>IF(VLOOKUP($C27,'All Girls &amp; Descendants - Edit'!$C$2:$AK$440,'All Girls &amp; Descendants - Edit'!Y$1,FALSE)=""," - ",(VLOOKUP($C27,'All Girls &amp; Descendants - Edit'!$C$2:$AK$440,'All Girls &amp; Descendants - Edit'!Y$1,FALSE)))</f>
        <v xml:space="preserve"> - </v>
      </c>
      <c r="Z27" s="3" t="str">
        <f>IF(VLOOKUP($C27,'All Girls &amp; Descendants - Edit'!$C$2:$AK$440,'All Girls &amp; Descendants - Edit'!Z$1,FALSE)=""," - ",(VLOOKUP($C27,'All Girls &amp; Descendants - Edit'!$C$2:$AK$440,'All Girls &amp; Descendants - Edit'!Z$1,FALSE)))</f>
        <v>Buried at Ticehurst, Sussex.</v>
      </c>
      <c r="AA27" s="101">
        <f>IF(VLOOKUP($C27,'All Girls &amp; Descendants - Edit'!$C$2:$AK$440,'All Girls &amp; Descendants - Edit'!AA$1,FALSE)=""," - ",(VLOOKUP($C27,'All Girls &amp; Descendants - Edit'!$C$2:$AK$440,'All Girls &amp; Descendants - Edit'!AA$1,FALSE)))</f>
        <v>92</v>
      </c>
      <c r="AB27" s="101">
        <f>IF(VLOOKUP($C27,'All Girls &amp; Descendants - Edit'!$C$2:$AK$440,'All Girls &amp; Descendants - Edit'!AB$1,FALSE)=""," - ",(VLOOKUP($C27,'All Girls &amp; Descendants - Edit'!$C$2:$AK$440,'All Girls &amp; Descendants - Edit'!AB$1,FALSE)))</f>
        <v>26</v>
      </c>
      <c r="AC27" s="101">
        <f>IF(VLOOKUP($C27,'All Girls &amp; Descendants - Edit'!$C$2:$AK$440,'All Girls &amp; Descendants - Edit'!AC$1,FALSE)=""," - ",(VLOOKUP($C27,'All Girls &amp; Descendants - Edit'!$C$2:$AK$440,'All Girls &amp; Descendants - Edit'!AC$1,FALSE)))</f>
        <v>1026</v>
      </c>
      <c r="AD27" s="3" t="str">
        <f>IF(VLOOKUP($C27,'All Girls &amp; Descendants - Edit'!$C$2:$AK$440,'All Girls &amp; Descendants - Edit'!AD$1,FALSE)=""," - ",(VLOOKUP($C27,'All Girls &amp; Descendants - Edit'!$C$2:$AK$440,'All Girls &amp; Descendants - Edit'!AD$1,FALSE)))</f>
        <v>36h</v>
      </c>
      <c r="AE27" s="3" t="str">
        <f>IF(VLOOKUP($C27,'All Girls &amp; Descendants - Edit'!$C$2:$AK$440,'All Girls &amp; Descendants - Edit'!AE$1,FALSE)=""," - ",(VLOOKUP($C27,'All Girls &amp; Descendants - Edit'!$C$2:$AK$440,'All Girls &amp; Descendants - Edit'!AE$1,FALSE)))</f>
        <v>Margery   COURTHOPE (1893 - 1901)</v>
      </c>
      <c r="AF27" s="3" t="str">
        <f>IF(VLOOKUP($C27,'All Girls &amp; Descendants - Edit'!$C$2:$AK$440,'All Girls &amp; Descendants - Edit'!AF$1,FALSE)=""," - ",(VLOOKUP($C27,'All Girls &amp; Descendants - Edit'!$C$2:$AK$440,'All Girls &amp; Descendants - Edit'!AF$1,FALSE)))</f>
        <v>Margery COURTHOPE (4th &amp; 36)</v>
      </c>
      <c r="AG27" s="3" t="str">
        <f>IF(VLOOKUP($C27,'All Girls &amp; Descendants - Edit'!$C$2:$AK$440,'All Girls &amp; Descendants - Edit'!AG$1,FALSE)=""," - ",(VLOOKUP($C27,'All Girls &amp; Descendants - Edit'!$C$2:$AK$440,'All Girls &amp; Descendants - Edit'!AG$1,FALSE)))</f>
        <v>Female</v>
      </c>
      <c r="AH27" s="3" t="str">
        <f>IF(VLOOKUP($C27,'All Girls &amp; Descendants - Edit'!$C$2:$AK$440,'All Girls &amp; Descendants - Edit'!AH$1,FALSE)=""," - ",(VLOOKUP($C27,'All Girls &amp; Descendants - Edit'!$C$2:$AK$440,'All Girls &amp; Descendants - Edit'!AH$1,FALSE)))</f>
        <v>4th</v>
      </c>
      <c r="AI27" s="3" t="str">
        <f>IF(VLOOKUP($C27,'All Girls &amp; Descendants - Edit'!$C$2:$AK$440,'All Girls &amp; Descendants - Edit'!AI$1,FALSE)=""," - ",(VLOOKUP($C27,'All Girls &amp; Descendants - Edit'!$C$2:$AK$440,'All Girls &amp; Descendants - Edit'!AI$1,FALSE)))</f>
        <v>Unmarried</v>
      </c>
      <c r="AJ27" s="3" t="str">
        <f>IF(VLOOKUP($C27,'All Girls &amp; Descendants - Edit'!$C$2:$AK$440,'All Girls &amp; Descendants - Edit'!AJ$1,FALSE)=""," - ",(VLOOKUP($C27,'All Girls &amp; Descendants - Edit'!$C$2:$AK$440,'All Girls &amp; Descendants - Edit'!AJ$1,FALSE)))</f>
        <v>Female. b. 29/03/1893, d. 10/12/1901. Buried at Ticehurst, Sussex.</v>
      </c>
      <c r="AK27" s="3" t="str">
        <f>IF(VLOOKUP($C27,'All Girls &amp; Descendants - Edit'!$C$2:$AK$440,'All Girls &amp; Descendants - Edit'!AK$1,FALSE)=""," - ",(VLOOKUP($C27,'All Girls &amp; Descendants - Edit'!$C$2:$AK$440,'All Girls &amp; Descendants - Edit'!AK$1,FALSE)))</f>
        <v>b. 29/03/1893, d. 10/12/1901.</v>
      </c>
      <c r="AO27" s="1"/>
      <c r="AS27" s="72">
        <v>60</v>
      </c>
      <c r="BB27">
        <v>1</v>
      </c>
      <c r="BH27">
        <v>1</v>
      </c>
      <c r="BI27">
        <v>1</v>
      </c>
      <c r="BS27" s="1"/>
    </row>
    <row r="28" spans="1:71" ht="19">
      <c r="A28">
        <f>VLOOKUP(B28,'Loyd List 1-190 - Edit'!$P$1:$R$219,3,FALSE)</f>
        <v>23</v>
      </c>
      <c r="B28">
        <f>'All Girls &amp; Descendants - Edit'!B29</f>
        <v>42</v>
      </c>
      <c r="C28" s="98" t="str">
        <f>'All Girls &amp; Descendants - Edit'!C29</f>
        <v>42a</v>
      </c>
      <c r="D28" s="2" t="str">
        <f>'All Girls &amp; Descendants - Edit'!D29</f>
        <v>GODDARD</v>
      </c>
      <c r="E28" t="str">
        <f>'All Girls &amp; Descendants - Edit'!E29</f>
        <v>Ambrose</v>
      </c>
      <c r="F28" t="str">
        <f>IF('All Girls &amp; Descendants - Edit'!F29="","",'All Girls &amp; Descendants - Edit'!F29)</f>
        <v>William</v>
      </c>
      <c r="G28" t="str">
        <f>IF('All Girls &amp; Descendants - Edit'!G29="","",'All Girls &amp; Descendants - Edit'!G29)</f>
        <v/>
      </c>
      <c r="H28" t="str">
        <f>IF('All Girls &amp; Descendants - Edit'!H29="","",'All Girls &amp; Descendants - Edit'!H29)</f>
        <v/>
      </c>
      <c r="I28">
        <f>VLOOKUP($C28,'All Girls &amp; Descendants - Edit'!$C$2:$AK$440,'All Girls &amp; Descendants - Edit'!I$1,FALSE)</f>
        <v>1892</v>
      </c>
      <c r="J28" t="str">
        <f>VLOOKUP($C28,'All Girls &amp; Descendants - Edit'!$C$2:$AK$440,'All Girls &amp; Descendants - Edit'!J$1,FALSE)</f>
        <v/>
      </c>
      <c r="K28" s="9"/>
      <c r="L28" t="str">
        <f t="shared" si="7"/>
        <v>13/03/1892</v>
      </c>
      <c r="M28" s="3" t="str">
        <f>VLOOKUP($C28,'All Girls &amp; Descendants - Edit'!$C$2:$AK$440,'All Girls &amp; Descendants - Edit'!M$1,FALSE)</f>
        <v>13/03/1892</v>
      </c>
      <c r="N28" s="3">
        <f>IF(VLOOKUP($C28,'All Girls &amp; Descendants - Edit'!$C$2:$AK$440,'All Girls &amp; Descendants - Edit'!N$1,FALSE)=""," - ",(VLOOKUP($C28,'All Girls &amp; Descendants - Edit'!$C$2:$AK$440,'All Girls &amp; Descendants - Edit'!N$1,FALSE)))</f>
        <v>8333</v>
      </c>
      <c r="O28" s="3" t="str">
        <f>IF(VLOOKUP($C28,'All Girls &amp; Descendants - Edit'!$C$2:$AK$440,'All Girls &amp; Descendants - Edit'!O$1,FALSE)="","",(VLOOKUP($C28,'All Girls &amp; Descendants - Edit'!$C$2:$AK$440,'All Girls &amp; Descendants - Edit'!O$1,FALSE)))</f>
        <v/>
      </c>
      <c r="P28" s="3" t="str">
        <f t="shared" si="3"/>
        <v/>
      </c>
      <c r="Q28" s="178" t="str">
        <f t="shared" si="4"/>
        <v>42</v>
      </c>
      <c r="R28" s="23"/>
      <c r="S28" t="str">
        <f>VLOOKUP($C28,'All Girls &amp; Descendants - Edit'!$C$2:$AK$440,'All Girls &amp; Descendants - Edit'!S$1,FALSE)</f>
        <v>Male</v>
      </c>
      <c r="T28" s="176">
        <f t="shared" si="5"/>
        <v>4</v>
      </c>
      <c r="U28" s="176">
        <f t="shared" si="0"/>
        <v>3</v>
      </c>
      <c r="V28" s="176">
        <f t="shared" si="1"/>
        <v>3</v>
      </c>
      <c r="W28" s="177">
        <f t="shared" si="2"/>
        <v>1</v>
      </c>
      <c r="X28" s="3" t="str">
        <f>IF(VLOOKUP($C28,'All Girls &amp; Descendants - Edit'!$C$2:$AK$440,'All Girls &amp; Descendants - Edit'!X$1,FALSE)=""," - ",(VLOOKUP($C28,'All Girls &amp; Descendants - Edit'!$C$2:$AK$440,'All Girls &amp; Descendants - Edit'!X$1,FALSE)))</f>
        <v>Ursula WOOD</v>
      </c>
      <c r="Y28" s="3" t="str">
        <f>IF(VLOOKUP($C28,'All Girls &amp; Descendants - Edit'!$C$2:$AK$440,'All Girls &amp; Descendants - Edit'!Y$1,FALSE)=""," - ",(VLOOKUP($C28,'All Girls &amp; Descendants - Edit'!$C$2:$AK$440,'All Girls &amp; Descendants - Edit'!Y$1,FALSE)))</f>
        <v>Ursula daughter of Andrew WOOD</v>
      </c>
      <c r="Z28" s="3" t="str">
        <f>IF(VLOOKUP($C28,'All Girls &amp; Descendants - Edit'!$C$2:$AK$440,'All Girls &amp; Descendants - Edit'!Z$1,FALSE)=""," - ",(VLOOKUP($C28,'All Girls &amp; Descendants - Edit'!$C$2:$AK$440,'All Girls &amp; Descendants - Edit'!Z$1,FALSE)))</f>
        <v xml:space="preserve"> - </v>
      </c>
      <c r="AA28" s="101">
        <f>IF(VLOOKUP($C28,'All Girls &amp; Descendants - Edit'!$C$2:$AK$440,'All Girls &amp; Descendants - Edit'!AA$1,FALSE)=""," - ",(VLOOKUP($C28,'All Girls &amp; Descendants - Edit'!$C$2:$AK$440,'All Girls &amp; Descendants - Edit'!AA$1,FALSE)))</f>
        <v>93</v>
      </c>
      <c r="AB28" s="101">
        <f>IF(VLOOKUP($C28,'All Girls &amp; Descendants - Edit'!$C$2:$AK$440,'All Girls &amp; Descendants - Edit'!AB$1,FALSE)=""," - ",(VLOOKUP($C28,'All Girls &amp; Descendants - Edit'!$C$2:$AK$440,'All Girls &amp; Descendants - Edit'!AB$1,FALSE)))</f>
        <v>27</v>
      </c>
      <c r="AC28" s="101">
        <f>IF(VLOOKUP($C28,'All Girls &amp; Descendants - Edit'!$C$2:$AK$440,'All Girls &amp; Descendants - Edit'!AC$1,FALSE)=""," - ",(VLOOKUP($C28,'All Girls &amp; Descendants - Edit'!$C$2:$AK$440,'All Girls &amp; Descendants - Edit'!AC$1,FALSE)))</f>
        <v>1027</v>
      </c>
      <c r="AD28" s="3" t="str">
        <f>IF(VLOOKUP($C28,'All Girls &amp; Descendants - Edit'!$C$2:$AK$440,'All Girls &amp; Descendants - Edit'!AD$1,FALSE)=""," - ",(VLOOKUP($C28,'All Girls &amp; Descendants - Edit'!$C$2:$AK$440,'All Girls &amp; Descendants - Edit'!AD$1,FALSE)))</f>
        <v>42a</v>
      </c>
      <c r="AE28" s="3" t="str">
        <f>IF(VLOOKUP($C28,'All Girls &amp; Descendants - Edit'!$C$2:$AK$440,'All Girls &amp; Descendants - Edit'!AE$1,FALSE)=""," - ",(VLOOKUP($C28,'All Girls &amp; Descendants - Edit'!$C$2:$AK$440,'All Girls &amp; Descendants - Edit'!AE$1,FALSE)))</f>
        <v>Ambrose William  GODDARD (1892 - )</v>
      </c>
      <c r="AF28" s="3" t="str">
        <f>IF(VLOOKUP($C28,'All Girls &amp; Descendants - Edit'!$C$2:$AK$440,'All Girls &amp; Descendants - Edit'!AF$1,FALSE)=""," - ",(VLOOKUP($C28,'All Girls &amp; Descendants - Edit'!$C$2:$AK$440,'All Girls &amp; Descendants - Edit'!AF$1,FALSE)))</f>
        <v>Ambrose GODDARD (4th &amp; 42)</v>
      </c>
      <c r="AG28" s="3" t="str">
        <f>IF(VLOOKUP($C28,'All Girls &amp; Descendants - Edit'!$C$2:$AK$440,'All Girls &amp; Descendants - Edit'!AG$1,FALSE)=""," - ",(VLOOKUP($C28,'All Girls &amp; Descendants - Edit'!$C$2:$AK$440,'All Girls &amp; Descendants - Edit'!AG$1,FALSE)))</f>
        <v>Male</v>
      </c>
      <c r="AH28" s="3" t="str">
        <f>IF(VLOOKUP($C28,'All Girls &amp; Descendants - Edit'!$C$2:$AK$440,'All Girls &amp; Descendants - Edit'!AH$1,FALSE)=""," - ",(VLOOKUP($C28,'All Girls &amp; Descendants - Edit'!$C$2:$AK$440,'All Girls &amp; Descendants - Edit'!AH$1,FALSE)))</f>
        <v>4th</v>
      </c>
      <c r="AI28" s="3" t="str">
        <f>IF(VLOOKUP($C28,'All Girls &amp; Descendants - Edit'!$C$2:$AK$440,'All Girls &amp; Descendants - Edit'!AI$1,FALSE)=""," - ",(VLOOKUP($C28,'All Girls &amp; Descendants - Edit'!$C$2:$AK$440,'All Girls &amp; Descendants - Edit'!AI$1,FALSE)))</f>
        <v>Wife: Ursula WOOD. Ursula daughter of Andrew WOOD</v>
      </c>
      <c r="AJ28" s="3" t="str">
        <f>IF(VLOOKUP($C28,'All Girls &amp; Descendants - Edit'!$C$2:$AK$440,'All Girls &amp; Descendants - Edit'!AJ$1,FALSE)=""," - ",(VLOOKUP($C28,'All Girls &amp; Descendants - Edit'!$C$2:$AK$440,'All Girls &amp; Descendants - Edit'!AJ$1,FALSE)))</f>
        <v>Male. b. 13/03/1892</v>
      </c>
      <c r="AK28" s="3" t="str">
        <f>IF(VLOOKUP($C28,'All Girls &amp; Descendants - Edit'!$C$2:$AK$440,'All Girls &amp; Descendants - Edit'!AK$1,FALSE)=""," - ",(VLOOKUP($C28,'All Girls &amp; Descendants - Edit'!$C$2:$AK$440,'All Girls &amp; Descendants - Edit'!AK$1,FALSE)))</f>
        <v>b. 13/03/1892</v>
      </c>
      <c r="AO28" s="1"/>
      <c r="AS28" s="72">
        <v>63</v>
      </c>
      <c r="AT28">
        <v>1</v>
      </c>
      <c r="AU28">
        <v>2</v>
      </c>
      <c r="AV28">
        <v>1</v>
      </c>
      <c r="AZ28">
        <v>4</v>
      </c>
      <c r="BA28">
        <v>2</v>
      </c>
      <c r="BB28">
        <v>1</v>
      </c>
      <c r="BD28">
        <v>1</v>
      </c>
      <c r="BH28">
        <v>4</v>
      </c>
      <c r="BI28">
        <v>8</v>
      </c>
      <c r="BS28" s="1"/>
    </row>
    <row r="29" spans="1:71" ht="19">
      <c r="A29">
        <f>VLOOKUP(B29,'Loyd List 1-190 - Edit'!$P$1:$R$219,3,FALSE)</f>
        <v>22</v>
      </c>
      <c r="B29">
        <f>'All Girls &amp; Descendants - Edit'!B30</f>
        <v>47</v>
      </c>
      <c r="C29" s="98" t="str">
        <f>'All Girls &amp; Descendants - Edit'!C30</f>
        <v>47a</v>
      </c>
      <c r="D29" s="2" t="str">
        <f>'All Girls &amp; Descendants - Edit'!D30</f>
        <v>HARDCASTLE</v>
      </c>
      <c r="E29" t="str">
        <f>'All Girls &amp; Descendants - Edit'!E30</f>
        <v>Alfred</v>
      </c>
      <c r="F29" t="str">
        <f>IF('All Girls &amp; Descendants - Edit'!F30="","",'All Girls &amp; Descendants - Edit'!F30)</f>
        <v>Edward</v>
      </c>
      <c r="G29" t="str">
        <f>IF('All Girls &amp; Descendants - Edit'!G30="","",'All Girls &amp; Descendants - Edit'!G30)</f>
        <v>Loyd</v>
      </c>
      <c r="H29" t="str">
        <f>IF('All Girls &amp; Descendants - Edit'!H30="","",'All Girls &amp; Descendants - Edit'!H30)</f>
        <v>Loyd</v>
      </c>
      <c r="I29">
        <f>VLOOKUP($C29,'All Girls &amp; Descendants - Edit'!$C$2:$AK$440,'All Girls &amp; Descendants - Edit'!I$1,FALSE)</f>
        <v>1893</v>
      </c>
      <c r="J29">
        <f>VLOOKUP($C29,'All Girls &amp; Descendants - Edit'!$C$2:$AK$440,'All Girls &amp; Descendants - Edit'!J$1,FALSE)</f>
        <v>1955</v>
      </c>
      <c r="K29" s="9"/>
      <c r="L29" t="str">
        <f t="shared" si="7"/>
        <v>06/06/1893</v>
      </c>
      <c r="M29" s="3" t="str">
        <f>VLOOKUP($C29,'All Girls &amp; Descendants - Edit'!$C$2:$AK$440,'All Girls &amp; Descendants - Edit'!M$1,FALSE)</f>
        <v>06/06/1893</v>
      </c>
      <c r="N29" s="3">
        <f>IF(VLOOKUP($C29,'All Girls &amp; Descendants - Edit'!$C$2:$AK$440,'All Girls &amp; Descendants - Edit'!N$1,FALSE)=""," - ",(VLOOKUP($C29,'All Girls &amp; Descendants - Edit'!$C$2:$AK$440,'All Girls &amp; Descendants - Edit'!N$1,FALSE)))</f>
        <v>7824</v>
      </c>
      <c r="O29" s="3">
        <f>IF(VLOOKUP($C29,'All Girls &amp; Descendants - Edit'!$C$2:$AK$440,'All Girls &amp; Descendants - Edit'!O$1,FALSE)="","",(VLOOKUP($C29,'All Girls &amp; Descendants - Edit'!$C$2:$AK$440,'All Girls &amp; Descendants - Edit'!O$1,FALSE)))</f>
        <v>20111</v>
      </c>
      <c r="P29" s="3" t="str">
        <f t="shared" si="3"/>
        <v>22/01/1955</v>
      </c>
      <c r="Q29" s="178" t="str">
        <f t="shared" si="4"/>
        <v>47</v>
      </c>
      <c r="R29" s="23"/>
      <c r="S29" t="str">
        <f>VLOOKUP($C29,'All Girls &amp; Descendants - Edit'!$C$2:$AK$440,'All Girls &amp; Descendants - Edit'!S$1,FALSE)</f>
        <v>Male</v>
      </c>
      <c r="T29" s="176">
        <f t="shared" si="5"/>
        <v>4</v>
      </c>
      <c r="U29" s="176">
        <f t="shared" si="0"/>
        <v>3</v>
      </c>
      <c r="V29" s="176">
        <f t="shared" si="1"/>
        <v>3</v>
      </c>
      <c r="W29" s="177">
        <f t="shared" si="2"/>
        <v>1</v>
      </c>
      <c r="X29" s="3" t="str">
        <f>IF(VLOOKUP($C29,'All Girls &amp; Descendants - Edit'!$C$2:$AK$440,'All Girls &amp; Descendants - Edit'!X$1,FALSE)=""," - ",(VLOOKUP($C29,'All Girls &amp; Descendants - Edit'!$C$2:$AK$440,'All Girls &amp; Descendants - Edit'!X$1,FALSE)))</f>
        <v>Leila Mary Arden BRIERLY (b. 18/12/1894, d. 11/04/1979)</v>
      </c>
      <c r="Y29" s="3" t="str">
        <f>IF(VLOOKUP($C29,'All Girls &amp; Descendants - Edit'!$C$2:$AK$440,'All Girls &amp; Descendants - Edit'!Y$1,FALSE)=""," - ",(VLOOKUP($C29,'All Girls &amp; Descendants - Edit'!$C$2:$AK$440,'All Girls &amp; Descendants - Edit'!Y$1,FALSE)))</f>
        <v>Married Leila, at Tunbridge Wells, daughter of J.S. BRIERLY of Aldenham, Hertfordshire.</v>
      </c>
      <c r="Z29" s="3" t="str">
        <f>IF(VLOOKUP($C29,'All Girls &amp; Descendants - Edit'!$C$2:$AK$440,'All Girls &amp; Descendants - Edit'!Z$1,FALSE)=""," - ",(VLOOKUP($C29,'All Girls &amp; Descendants - Edit'!$C$2:$AK$440,'All Girls &amp; Descendants - Edit'!Z$1,FALSE)))</f>
        <v>Educated Repton. Died at Little Pell Farm, Wadhurst.</v>
      </c>
      <c r="AA29" s="101">
        <f>IF(VLOOKUP($C29,'All Girls &amp; Descendants - Edit'!$C$2:$AK$440,'All Girls &amp; Descendants - Edit'!AA$1,FALSE)=""," - ",(VLOOKUP($C29,'All Girls &amp; Descendants - Edit'!$C$2:$AK$440,'All Girls &amp; Descendants - Edit'!AA$1,FALSE)))</f>
        <v>94</v>
      </c>
      <c r="AB29" s="101">
        <f>IF(VLOOKUP($C29,'All Girls &amp; Descendants - Edit'!$C$2:$AK$440,'All Girls &amp; Descendants - Edit'!AB$1,FALSE)=""," - ",(VLOOKUP($C29,'All Girls &amp; Descendants - Edit'!$C$2:$AK$440,'All Girls &amp; Descendants - Edit'!AB$1,FALSE)))</f>
        <v>28</v>
      </c>
      <c r="AC29" s="101">
        <f>IF(VLOOKUP($C29,'All Girls &amp; Descendants - Edit'!$C$2:$AK$440,'All Girls &amp; Descendants - Edit'!AC$1,FALSE)=""," - ",(VLOOKUP($C29,'All Girls &amp; Descendants - Edit'!$C$2:$AK$440,'All Girls &amp; Descendants - Edit'!AC$1,FALSE)))</f>
        <v>1028</v>
      </c>
      <c r="AD29" s="3" t="str">
        <f>IF(VLOOKUP($C29,'All Girls &amp; Descendants - Edit'!$C$2:$AK$440,'All Girls &amp; Descendants - Edit'!AD$1,FALSE)=""," - ",(VLOOKUP($C29,'All Girls &amp; Descendants - Edit'!$C$2:$AK$440,'All Girls &amp; Descendants - Edit'!AD$1,FALSE)))</f>
        <v>47a</v>
      </c>
      <c r="AE29" s="3" t="str">
        <f>IF(VLOOKUP($C29,'All Girls &amp; Descendants - Edit'!$C$2:$AK$440,'All Girls &amp; Descendants - Edit'!AE$1,FALSE)=""," - ",(VLOOKUP($C29,'All Girls &amp; Descendants - Edit'!$C$2:$AK$440,'All Girls &amp; Descendants - Edit'!AE$1,FALSE)))</f>
        <v>Alfred Edward Loyd HARDCASTLE (1893 - 1955)</v>
      </c>
      <c r="AF29" s="3" t="str">
        <f>IF(VLOOKUP($C29,'All Girls &amp; Descendants - Edit'!$C$2:$AK$440,'All Girls &amp; Descendants - Edit'!AF$1,FALSE)=""," - ",(VLOOKUP($C29,'All Girls &amp; Descendants - Edit'!$C$2:$AK$440,'All Girls &amp; Descendants - Edit'!AF$1,FALSE)))</f>
        <v>Loyd HARDCASTLE (4th &amp; 47)</v>
      </c>
      <c r="AG29" s="3" t="str">
        <f>IF(VLOOKUP($C29,'All Girls &amp; Descendants - Edit'!$C$2:$AK$440,'All Girls &amp; Descendants - Edit'!AG$1,FALSE)=""," - ",(VLOOKUP($C29,'All Girls &amp; Descendants - Edit'!$C$2:$AK$440,'All Girls &amp; Descendants - Edit'!AG$1,FALSE)))</f>
        <v>Male</v>
      </c>
      <c r="AH29" s="3" t="str">
        <f>IF(VLOOKUP($C29,'All Girls &amp; Descendants - Edit'!$C$2:$AK$440,'All Girls &amp; Descendants - Edit'!AH$1,FALSE)=""," - ",(VLOOKUP($C29,'All Girls &amp; Descendants - Edit'!$C$2:$AK$440,'All Girls &amp; Descendants - Edit'!AH$1,FALSE)))</f>
        <v>4th</v>
      </c>
      <c r="AI29" s="3" t="str">
        <f>IF(VLOOKUP($C29,'All Girls &amp; Descendants - Edit'!$C$2:$AK$440,'All Girls &amp; Descendants - Edit'!AI$1,FALSE)=""," - ",(VLOOKUP($C29,'All Girls &amp; Descendants - Edit'!$C$2:$AK$440,'All Girls &amp; Descendants - Edit'!AI$1,FALSE)))</f>
        <v>Wife: Leila Mary Arden BRIERLY (b. 18/12/1894, d. 11/04/1979). Married Leila, at Tunbridge Wells, daughter of J.S. BRIERLY of Aldenham, Hertfordshire.</v>
      </c>
      <c r="AJ29" s="3" t="str">
        <f>IF(VLOOKUP($C29,'All Girls &amp; Descendants - Edit'!$C$2:$AK$440,'All Girls &amp; Descendants - Edit'!AJ$1,FALSE)=""," - ",(VLOOKUP($C29,'All Girls &amp; Descendants - Edit'!$C$2:$AK$440,'All Girls &amp; Descendants - Edit'!AJ$1,FALSE)))</f>
        <v>Male. b. 06/06/1893, d. 22/01/1955. Educated Repton. Died at Little Pell Farm, Wadhurst.</v>
      </c>
      <c r="AK29" s="3" t="str">
        <f>IF(VLOOKUP($C29,'All Girls &amp; Descendants - Edit'!$C$2:$AK$440,'All Girls &amp; Descendants - Edit'!AK$1,FALSE)=""," - ",(VLOOKUP($C29,'All Girls &amp; Descendants - Edit'!$C$2:$AK$440,'All Girls &amp; Descendants - Edit'!AK$1,FALSE)))</f>
        <v>b. 06/06/1893, d. 22/01/1955.</v>
      </c>
      <c r="AO29" s="1"/>
      <c r="AS29" s="72">
        <v>64</v>
      </c>
      <c r="BB29">
        <v>1</v>
      </c>
      <c r="BH29">
        <v>1</v>
      </c>
      <c r="BI29">
        <v>1</v>
      </c>
      <c r="BS29" s="1"/>
    </row>
    <row r="30" spans="1:71" ht="19">
      <c r="A30">
        <f>VLOOKUP(B30,'Loyd List 1-190 - Edit'!$P$1:$R$219,3,FALSE)</f>
        <v>22</v>
      </c>
      <c r="B30">
        <f>'All Girls &amp; Descendants - Edit'!B31</f>
        <v>47</v>
      </c>
      <c r="C30" s="98" t="str">
        <f>'All Girls &amp; Descendants - Edit'!C31</f>
        <v>47b</v>
      </c>
      <c r="D30" s="2" t="str">
        <f>'All Girls &amp; Descendants - Edit'!D31</f>
        <v>HARDCASTLE</v>
      </c>
      <c r="E30" t="str">
        <f>'All Girls &amp; Descendants - Edit'!E31</f>
        <v>Canon Joseph</v>
      </c>
      <c r="F30" t="str">
        <f>IF('All Girls &amp; Descendants - Edit'!F31="","",'All Girls &amp; Descendants - Edit'!F31)</f>
        <v>Anthony</v>
      </c>
      <c r="G30" t="str">
        <f>IF('All Girls &amp; Descendants - Edit'!G31="","",'All Girls &amp; Descendants - Edit'!G31)</f>
        <v>Loyd</v>
      </c>
      <c r="H30" t="str">
        <f>IF('All Girls &amp; Descendants - Edit'!H31="","",'All Girls &amp; Descendants - Edit'!H31)</f>
        <v/>
      </c>
      <c r="I30">
        <f>VLOOKUP($C30,'All Girls &amp; Descendants - Edit'!$C$2:$AK$440,'All Girls &amp; Descendants - Edit'!I$1,FALSE)</f>
        <v>1899</v>
      </c>
      <c r="J30">
        <f>VLOOKUP($C30,'All Girls &amp; Descendants - Edit'!$C$2:$AK$440,'All Girls &amp; Descendants - Edit'!J$1,FALSE)</f>
        <v>1972</v>
      </c>
      <c r="K30" s="9"/>
      <c r="L30" t="str">
        <f t="shared" si="7"/>
        <v>19/07/1899</v>
      </c>
      <c r="M30" s="3" t="str">
        <f>VLOOKUP($C30,'All Girls &amp; Descendants - Edit'!$C$2:$AK$440,'All Girls &amp; Descendants - Edit'!M$1,FALSE)</f>
        <v>19/07/1899</v>
      </c>
      <c r="N30" s="3">
        <f>IF(VLOOKUP($C30,'All Girls &amp; Descendants - Edit'!$C$2:$AK$440,'All Girls &amp; Descendants - Edit'!N$1,FALSE)=""," - ",(VLOOKUP($C30,'All Girls &amp; Descendants - Edit'!$C$2:$AK$440,'All Girls &amp; Descendants - Edit'!N$1,FALSE)))</f>
        <v>14626</v>
      </c>
      <c r="O30" s="3">
        <f>IF(VLOOKUP($C30,'All Girls &amp; Descendants - Edit'!$C$2:$AK$440,'All Girls &amp; Descendants - Edit'!O$1,FALSE)="","",(VLOOKUP($C30,'All Girls &amp; Descendants - Edit'!$C$2:$AK$440,'All Girls &amp; Descendants - Edit'!O$1,FALSE)))</f>
        <v>26646</v>
      </c>
      <c r="P30" s="3" t="str">
        <f t="shared" si="3"/>
        <v>13/12/1972</v>
      </c>
      <c r="Q30" s="178" t="str">
        <f t="shared" si="4"/>
        <v>47</v>
      </c>
      <c r="R30" s="23"/>
      <c r="S30" t="str">
        <f>VLOOKUP($C30,'All Girls &amp; Descendants - Edit'!$C$2:$AK$440,'All Girls &amp; Descendants - Edit'!S$1,FALSE)</f>
        <v>Male</v>
      </c>
      <c r="T30" s="176">
        <f t="shared" si="5"/>
        <v>4</v>
      </c>
      <c r="U30" s="176">
        <f t="shared" si="0"/>
        <v>3</v>
      </c>
      <c r="V30" s="176">
        <f t="shared" si="1"/>
        <v>3</v>
      </c>
      <c r="W30" s="177">
        <f t="shared" si="2"/>
        <v>1</v>
      </c>
      <c r="X30" s="3" t="str">
        <f>IF(VLOOKUP($C30,'All Girls &amp; Descendants - Edit'!$C$2:$AK$440,'All Girls &amp; Descendants - Edit'!X$1,FALSE)=""," - ",(VLOOKUP($C30,'All Girls &amp; Descendants - Edit'!$C$2:$AK$440,'All Girls &amp; Descendants - Edit'!X$1,FALSE)))</f>
        <v>Ruth Mary  SETH-SMITH FRZS (b. 27 Nov 1907, d. 14 Aug 1997)</v>
      </c>
      <c r="Y30" s="3" t="str">
        <f>IF(VLOOKUP($C30,'All Girls &amp; Descendants - Edit'!$C$2:$AK$440,'All Girls &amp; Descendants - Edit'!Y$1,FALSE)=""," - ",(VLOOKUP($C30,'All Girls &amp; Descendants - Edit'!$C$2:$AK$440,'All Girls &amp; Descendants - Edit'!Y$1,FALSE)))</f>
        <v>m. 16 Jan 1940 Ruth Mary (b. 27 Nov 1907, d. 14 Aug 1997) daughter of David SETH-SMITH FRZS.</v>
      </c>
      <c r="Z30" s="3" t="str">
        <f>IF(VLOOKUP($C30,'All Girls &amp; Descendants - Edit'!$C$2:$AK$440,'All Girls &amp; Descendants - Edit'!Z$1,FALSE)=""," - ",(VLOOKUP($C30,'All Girls &amp; Descendants - Edit'!$C$2:$AK$440,'All Girls &amp; Descendants - Edit'!Z$1,FALSE)))</f>
        <v>Educated Sherborne and Jesus College, Cambridge 1917. Wells Theological College 1919. Deacon 1922. Priest 1924. Curate St Mary’s, Southampton 1922-24. St John Evangelist, Holborn 1924-27. St John the Divine, Kennington 1927-29. Hawarden (in charge of St Francis’ Sandicroft) 1929-34. Vicar of St Mary the Virgin, Primrose Hill 1934-1946. Canon Carlisle Cathedral 1947-52. Died at Farnham Hospital, Surrey.</v>
      </c>
      <c r="AA30" s="101">
        <f>IF(VLOOKUP($C30,'All Girls &amp; Descendants - Edit'!$C$2:$AK$440,'All Girls &amp; Descendants - Edit'!AA$1,FALSE)=""," - ",(VLOOKUP($C30,'All Girls &amp; Descendants - Edit'!$C$2:$AK$440,'All Girls &amp; Descendants - Edit'!AA$1,FALSE)))</f>
        <v>109</v>
      </c>
      <c r="AB30" s="101">
        <f>IF(VLOOKUP($C30,'All Girls &amp; Descendants - Edit'!$C$2:$AK$440,'All Girls &amp; Descendants - Edit'!AB$1,FALSE)=""," - ",(VLOOKUP($C30,'All Girls &amp; Descendants - Edit'!$C$2:$AK$440,'All Girls &amp; Descendants - Edit'!AB$1,FALSE)))</f>
        <v>29</v>
      </c>
      <c r="AC30" s="101">
        <f>IF(VLOOKUP($C30,'All Girls &amp; Descendants - Edit'!$C$2:$AK$440,'All Girls &amp; Descendants - Edit'!AC$1,FALSE)=""," - ",(VLOOKUP($C30,'All Girls &amp; Descendants - Edit'!$C$2:$AK$440,'All Girls &amp; Descendants - Edit'!AC$1,FALSE)))</f>
        <v>1029</v>
      </c>
      <c r="AD30" s="3" t="str">
        <f>IF(VLOOKUP($C30,'All Girls &amp; Descendants - Edit'!$C$2:$AK$440,'All Girls &amp; Descendants - Edit'!AD$1,FALSE)=""," - ",(VLOOKUP($C30,'All Girls &amp; Descendants - Edit'!$C$2:$AK$440,'All Girls &amp; Descendants - Edit'!AD$1,FALSE)))</f>
        <v>47b</v>
      </c>
      <c r="AE30" s="3" t="str">
        <f>IF(VLOOKUP($C30,'All Girls &amp; Descendants - Edit'!$C$2:$AK$440,'All Girls &amp; Descendants - Edit'!AE$1,FALSE)=""," - ",(VLOOKUP($C30,'All Girls &amp; Descendants - Edit'!$C$2:$AK$440,'All Girls &amp; Descendants - Edit'!AE$1,FALSE)))</f>
        <v>Canon Joseph Anthony Loyd HARDCASTLE (1899 - 1972)</v>
      </c>
      <c r="AF30" s="3" t="str">
        <f>IF(VLOOKUP($C30,'All Girls &amp; Descendants - Edit'!$C$2:$AK$440,'All Girls &amp; Descendants - Edit'!AF$1,FALSE)=""," - ",(VLOOKUP($C30,'All Girls &amp; Descendants - Edit'!$C$2:$AK$440,'All Girls &amp; Descendants - Edit'!AF$1,FALSE)))</f>
        <v>Canon Joseph HARDCASTLE (4th &amp; 47)</v>
      </c>
      <c r="AG30" s="3" t="str">
        <f>IF(VLOOKUP($C30,'All Girls &amp; Descendants - Edit'!$C$2:$AK$440,'All Girls &amp; Descendants - Edit'!AG$1,FALSE)=""," - ",(VLOOKUP($C30,'All Girls &amp; Descendants - Edit'!$C$2:$AK$440,'All Girls &amp; Descendants - Edit'!AG$1,FALSE)))</f>
        <v>Male</v>
      </c>
      <c r="AH30" s="3" t="str">
        <f>IF(VLOOKUP($C30,'All Girls &amp; Descendants - Edit'!$C$2:$AK$440,'All Girls &amp; Descendants - Edit'!AH$1,FALSE)=""," - ",(VLOOKUP($C30,'All Girls &amp; Descendants - Edit'!$C$2:$AK$440,'All Girls &amp; Descendants - Edit'!AH$1,FALSE)))</f>
        <v>4th</v>
      </c>
      <c r="AI30" s="3" t="str">
        <f>IF(VLOOKUP($C30,'All Girls &amp; Descendants - Edit'!$C$2:$AK$440,'All Girls &amp; Descendants - Edit'!AI$1,FALSE)=""," - ",(VLOOKUP($C30,'All Girls &amp; Descendants - Edit'!$C$2:$AK$440,'All Girls &amp; Descendants - Edit'!AI$1,FALSE)))</f>
        <v>Wife: Ruth Mary  SETH-SMITH FRZS (b. 27 Nov 1907, d. 14 Aug 1997). m. 16 Jan 1940 Ruth Mary (b. 27 Nov 1907, d. 14 Aug 1997) daughter of David SETH-SMITH FRZS.</v>
      </c>
      <c r="AJ30" s="3" t="str">
        <f>IF(VLOOKUP($C30,'All Girls &amp; Descendants - Edit'!$C$2:$AK$440,'All Girls &amp; Descendants - Edit'!AJ$1,FALSE)=""," - ",(VLOOKUP($C30,'All Girls &amp; Descendants - Edit'!$C$2:$AK$440,'All Girls &amp; Descendants - Edit'!AJ$1,FALSE)))</f>
        <v>Male. b. 19/07/1899, d. 13/12/1972. Educated Sherborne and Jesus College, Cambridge 1917. Wells Theological College 1919. Deacon 1922. Priest 1924. Curate St Mary’s, Southampton 1922-24. St John Evangelist, Holborn 1924-27. St John the Divine, Kennington 1927-29. Hawarden (in charge of St Francis’ Sandicroft) 1929-34. Vicar of St Mary the Virgin, Primrose Hill 1934-1946. Canon Carlisle Cathedral 1947-52. Died at Farnham Hospital, Surrey.</v>
      </c>
      <c r="AK30" s="3" t="str">
        <f>IF(VLOOKUP($C30,'All Girls &amp; Descendants - Edit'!$C$2:$AK$440,'All Girls &amp; Descendants - Edit'!AK$1,FALSE)=""," - ",(VLOOKUP($C30,'All Girls &amp; Descendants - Edit'!$C$2:$AK$440,'All Girls &amp; Descendants - Edit'!AK$1,FALSE)))</f>
        <v>b. 19/07/1899, d. 13/12/1972.</v>
      </c>
      <c r="AO30" s="1"/>
      <c r="AS30" s="72">
        <v>65</v>
      </c>
      <c r="AT30">
        <v>1</v>
      </c>
      <c r="AZ30">
        <v>1</v>
      </c>
      <c r="BA30">
        <v>2</v>
      </c>
      <c r="BB30">
        <v>1</v>
      </c>
      <c r="BC30">
        <v>2</v>
      </c>
      <c r="BH30">
        <v>5</v>
      </c>
      <c r="BI30">
        <v>6</v>
      </c>
      <c r="BS30" s="1"/>
    </row>
    <row r="31" spans="1:71" ht="19">
      <c r="A31">
        <f>VLOOKUP(B31,'Loyd List 1-190 - Edit'!$P$1:$R$219,3,FALSE)</f>
        <v>23</v>
      </c>
      <c r="B31">
        <f>'All Girls &amp; Descendants - Edit'!B32</f>
        <v>48</v>
      </c>
      <c r="C31" s="98" t="str">
        <f>'All Girls &amp; Descendants - Edit'!C32</f>
        <v>48a</v>
      </c>
      <c r="D31" s="2" t="str">
        <f>'All Girls &amp; Descendants - Edit'!D32</f>
        <v>D'OYLY</v>
      </c>
      <c r="E31" t="str">
        <f>'All Girls &amp; Descendants - Edit'!E32</f>
        <v>Louisa</v>
      </c>
      <c r="F31" t="str">
        <f>IF('All Girls &amp; Descendants - Edit'!F32="","",'All Girls &amp; Descendants - Edit'!F32)</f>
        <v>Mabell</v>
      </c>
      <c r="G31" t="str">
        <f>IF('All Girls &amp; Descendants - Edit'!G32="","",'All Girls &amp; Descendants - Edit'!G32)</f>
        <v/>
      </c>
      <c r="H31" t="str">
        <f>IF('All Girls &amp; Descendants - Edit'!H32="","",'All Girls &amp; Descendants - Edit'!H32)</f>
        <v>Mabell</v>
      </c>
      <c r="I31">
        <f>VLOOKUP($C31,'All Girls &amp; Descendants - Edit'!$C$2:$AK$440,'All Girls &amp; Descendants - Edit'!I$1,FALSE)</f>
        <v>1904</v>
      </c>
      <c r="J31">
        <f>VLOOKUP($C31,'All Girls &amp; Descendants - Edit'!$C$2:$AK$440,'All Girls &amp; Descendants - Edit'!J$1,FALSE)</f>
        <v>1983</v>
      </c>
      <c r="K31" s="9"/>
      <c r="L31" t="str">
        <f t="shared" si="7"/>
        <v>15/06/1904</v>
      </c>
      <c r="M31" s="3">
        <f>VLOOKUP($C31,'All Girls &amp; Descendants - Edit'!$C$2:$AK$440,'All Girls &amp; Descendants - Edit'!M$1,FALSE)</f>
        <v>1628</v>
      </c>
      <c r="N31" s="3" t="str">
        <f>IF(VLOOKUP($C31,'All Girls &amp; Descendants - Edit'!$C$2:$AK$440,'All Girls &amp; Descendants - Edit'!N$1,FALSE)=""," - ",(VLOOKUP($C31,'All Girls &amp; Descendants - Edit'!$C$2:$AK$440,'All Girls &amp; Descendants - Edit'!N$1,FALSE)))</f>
        <v>Unmarried</v>
      </c>
      <c r="O31" s="3">
        <f>IF(VLOOKUP($C31,'All Girls &amp; Descendants - Edit'!$C$2:$AK$440,'All Girls &amp; Descendants - Edit'!O$1,FALSE)="","",(VLOOKUP($C31,'All Girls &amp; Descendants - Edit'!$C$2:$AK$440,'All Girls &amp; Descendants - Edit'!O$1,FALSE)))</f>
        <v>30447</v>
      </c>
      <c r="P31" s="3" t="str">
        <f t="shared" si="3"/>
        <v>11/05/1983</v>
      </c>
      <c r="Q31" s="178" t="str">
        <f t="shared" si="4"/>
        <v>48</v>
      </c>
      <c r="R31" s="23"/>
      <c r="S31" t="str">
        <f>VLOOKUP($C31,'All Girls &amp; Descendants - Edit'!$C$2:$AK$440,'All Girls &amp; Descendants - Edit'!S$1,FALSE)</f>
        <v>Female</v>
      </c>
      <c r="T31" s="176">
        <f t="shared" si="5"/>
        <v>4</v>
      </c>
      <c r="U31" s="176">
        <f t="shared" si="0"/>
        <v>3</v>
      </c>
      <c r="V31" s="176">
        <f t="shared" si="1"/>
        <v>3</v>
      </c>
      <c r="W31" s="177">
        <f t="shared" si="2"/>
        <v>1</v>
      </c>
      <c r="X31" s="3" t="str">
        <f>IF(VLOOKUP($C31,'All Girls &amp; Descendants - Edit'!$C$2:$AK$440,'All Girls &amp; Descendants - Edit'!X$1,FALSE)=""," - ",(VLOOKUP($C31,'All Girls &amp; Descendants - Edit'!$C$2:$AK$440,'All Girls &amp; Descendants - Edit'!X$1,FALSE)))</f>
        <v xml:space="preserve"> - </v>
      </c>
      <c r="Y31" s="3" t="str">
        <f>IF(VLOOKUP($C31,'All Girls &amp; Descendants - Edit'!$C$2:$AK$440,'All Girls &amp; Descendants - Edit'!Y$1,FALSE)=""," - ",(VLOOKUP($C31,'All Girls &amp; Descendants - Edit'!$C$2:$AK$440,'All Girls &amp; Descendants - Edit'!Y$1,FALSE)))</f>
        <v xml:space="preserve"> - </v>
      </c>
      <c r="Z31" s="3" t="str">
        <f>IF(VLOOKUP($C31,'All Girls &amp; Descendants - Edit'!$C$2:$AK$440,'All Girls &amp; Descendants - Edit'!Z$1,FALSE)=""," - ",(VLOOKUP($C31,'All Girls &amp; Descendants - Edit'!$C$2:$AK$440,'All Girls &amp; Descendants - Edit'!Z$1,FALSE)))</f>
        <v xml:space="preserve"> - </v>
      </c>
      <c r="AA31" s="101">
        <f>IF(VLOOKUP($C31,'All Girls &amp; Descendants - Edit'!$C$2:$AK$440,'All Girls &amp; Descendants - Edit'!AA$1,FALSE)=""," - ",(VLOOKUP($C31,'All Girls &amp; Descendants - Edit'!$C$2:$AK$440,'All Girls &amp; Descendants - Edit'!AA$1,FALSE)))</f>
        <v>110</v>
      </c>
      <c r="AB31" s="101">
        <f>IF(VLOOKUP($C31,'All Girls &amp; Descendants - Edit'!$C$2:$AK$440,'All Girls &amp; Descendants - Edit'!AB$1,FALSE)=""," - ",(VLOOKUP($C31,'All Girls &amp; Descendants - Edit'!$C$2:$AK$440,'All Girls &amp; Descendants - Edit'!AB$1,FALSE)))</f>
        <v>30</v>
      </c>
      <c r="AC31" s="101">
        <f>IF(VLOOKUP($C31,'All Girls &amp; Descendants - Edit'!$C$2:$AK$440,'All Girls &amp; Descendants - Edit'!AC$1,FALSE)=""," - ",(VLOOKUP($C31,'All Girls &amp; Descendants - Edit'!$C$2:$AK$440,'All Girls &amp; Descendants - Edit'!AC$1,FALSE)))</f>
        <v>1030</v>
      </c>
      <c r="AD31" s="3" t="str">
        <f>IF(VLOOKUP($C31,'All Girls &amp; Descendants - Edit'!$C$2:$AK$440,'All Girls &amp; Descendants - Edit'!AD$1,FALSE)=""," - ",(VLOOKUP($C31,'All Girls &amp; Descendants - Edit'!$C$2:$AK$440,'All Girls &amp; Descendants - Edit'!AD$1,FALSE)))</f>
        <v>48a</v>
      </c>
      <c r="AE31" s="3" t="str">
        <f>IF(VLOOKUP($C31,'All Girls &amp; Descendants - Edit'!$C$2:$AK$440,'All Girls &amp; Descendants - Edit'!AE$1,FALSE)=""," - ",(VLOOKUP($C31,'All Girls &amp; Descendants - Edit'!$C$2:$AK$440,'All Girls &amp; Descendants - Edit'!AE$1,FALSE)))</f>
        <v>Louisa Mabell  D'OYLY (1904 - 1983)</v>
      </c>
      <c r="AF31" s="3" t="str">
        <f>IF(VLOOKUP($C31,'All Girls &amp; Descendants - Edit'!$C$2:$AK$440,'All Girls &amp; Descendants - Edit'!AF$1,FALSE)=""," - ",(VLOOKUP($C31,'All Girls &amp; Descendants - Edit'!$C$2:$AK$440,'All Girls &amp; Descendants - Edit'!AF$1,FALSE)))</f>
        <v>Mabell D'OYLY (4th &amp; 48)</v>
      </c>
      <c r="AG31" s="3" t="str">
        <f>IF(VLOOKUP($C31,'All Girls &amp; Descendants - Edit'!$C$2:$AK$440,'All Girls &amp; Descendants - Edit'!AG$1,FALSE)=""," - ",(VLOOKUP($C31,'All Girls &amp; Descendants - Edit'!$C$2:$AK$440,'All Girls &amp; Descendants - Edit'!AG$1,FALSE)))</f>
        <v>Female</v>
      </c>
      <c r="AH31" s="3" t="str">
        <f>IF(VLOOKUP($C31,'All Girls &amp; Descendants - Edit'!$C$2:$AK$440,'All Girls &amp; Descendants - Edit'!AH$1,FALSE)=""," - ",(VLOOKUP($C31,'All Girls &amp; Descendants - Edit'!$C$2:$AK$440,'All Girls &amp; Descendants - Edit'!AH$1,FALSE)))</f>
        <v>4th</v>
      </c>
      <c r="AI31" s="3" t="str">
        <f>IF(VLOOKUP($C31,'All Girls &amp; Descendants - Edit'!$C$2:$AK$440,'All Girls &amp; Descendants - Edit'!AI$1,FALSE)=""," - ",(VLOOKUP($C31,'All Girls &amp; Descendants - Edit'!$C$2:$AK$440,'All Girls &amp; Descendants - Edit'!AI$1,FALSE)))</f>
        <v>Unmarried</v>
      </c>
      <c r="AJ31" s="3" t="str">
        <f>IF(VLOOKUP($C31,'All Girls &amp; Descendants - Edit'!$C$2:$AK$440,'All Girls &amp; Descendants - Edit'!AJ$1,FALSE)=""," - ",(VLOOKUP($C31,'All Girls &amp; Descendants - Edit'!$C$2:$AK$440,'All Girls &amp; Descendants - Edit'!AJ$1,FALSE)))</f>
        <v>Female. b. 15/06/1904, d. 11/05/1983.</v>
      </c>
      <c r="AK31" s="3" t="str">
        <f>IF(VLOOKUP($C31,'All Girls &amp; Descendants - Edit'!$C$2:$AK$440,'All Girls &amp; Descendants - Edit'!AK$1,FALSE)=""," - ",(VLOOKUP($C31,'All Girls &amp; Descendants - Edit'!$C$2:$AK$440,'All Girls &amp; Descendants - Edit'!AK$1,FALSE)))</f>
        <v>b. 15/06/1904, d. 11/05/1983.</v>
      </c>
      <c r="AO31" s="1"/>
      <c r="AS31" s="72">
        <v>70</v>
      </c>
      <c r="AT31">
        <v>2</v>
      </c>
      <c r="AU31">
        <v>6</v>
      </c>
      <c r="AV31">
        <v>8</v>
      </c>
      <c r="AW31">
        <v>1</v>
      </c>
      <c r="AZ31">
        <v>17</v>
      </c>
      <c r="BA31">
        <v>4</v>
      </c>
      <c r="BB31">
        <v>1</v>
      </c>
      <c r="BC31">
        <v>4</v>
      </c>
      <c r="BD31">
        <v>6</v>
      </c>
      <c r="BH31">
        <v>15</v>
      </c>
      <c r="BI31">
        <v>32</v>
      </c>
      <c r="BS31" s="1"/>
    </row>
    <row r="32" spans="1:71" ht="19">
      <c r="A32">
        <f>VLOOKUP(B32,'Loyd List 1-190 - Edit'!$P$1:$R$219,3,FALSE)</f>
        <v>41</v>
      </c>
      <c r="B32">
        <f>'All Girls &amp; Descendants - Edit'!B33</f>
        <v>63</v>
      </c>
      <c r="C32" s="98" t="str">
        <f>'All Girls &amp; Descendants - Edit'!C33</f>
        <v>63a</v>
      </c>
      <c r="D32" s="2" t="str">
        <f>'All Girls &amp; Descendants - Edit'!D33</f>
        <v>MOORE</v>
      </c>
      <c r="E32" t="str">
        <f>'All Girls &amp; Descendants - Edit'!E33</f>
        <v>Frederic</v>
      </c>
      <c r="F32" t="str">
        <f>IF('All Girls &amp; Descendants - Edit'!F33="","",'All Girls &amp; Descendants - Edit'!F33)</f>
        <v>Withers</v>
      </c>
      <c r="G32" t="str">
        <f>IF('All Girls &amp; Descendants - Edit'!G33="","",'All Girls &amp; Descendants - Edit'!G33)</f>
        <v>Loyd</v>
      </c>
      <c r="H32" t="str">
        <f>IF('All Girls &amp; Descendants - Edit'!H33="","",'All Girls &amp; Descendants - Edit'!H33)</f>
        <v>Loyd</v>
      </c>
      <c r="I32">
        <f>VLOOKUP($C32,'All Girls &amp; Descendants - Edit'!$C$2:$AK$440,'All Girls &amp; Descendants - Edit'!I$1,FALSE)</f>
        <v>1926</v>
      </c>
      <c r="J32">
        <f>VLOOKUP($C32,'All Girls &amp; Descendants - Edit'!$C$2:$AK$440,'All Girls &amp; Descendants - Edit'!J$1,FALSE)</f>
        <v>2019</v>
      </c>
      <c r="K32" s="9"/>
      <c r="L32" t="str">
        <f t="shared" si="7"/>
        <v>19/11/1926</v>
      </c>
      <c r="M32" s="3">
        <f>VLOOKUP($C32,'All Girls &amp; Descendants - Edit'!$C$2:$AK$440,'All Girls &amp; Descendants - Edit'!M$1,FALSE)</f>
        <v>9820</v>
      </c>
      <c r="N32" s="3">
        <f>IF(VLOOKUP($C32,'All Girls &amp; Descendants - Edit'!$C$2:$AK$440,'All Girls &amp; Descendants - Edit'!N$1,FALSE)=""," - ",(VLOOKUP($C32,'All Girls &amp; Descendants - Edit'!$C$2:$AK$440,'All Girls &amp; Descendants - Edit'!N$1,FALSE)))</f>
        <v>17896</v>
      </c>
      <c r="O32" s="3">
        <f>IF(VLOOKUP($C32,'All Girls &amp; Descendants - Edit'!$C$2:$AK$440,'All Girls &amp; Descendants - Edit'!O$1,FALSE)="","",(VLOOKUP($C32,'All Girls &amp; Descendants - Edit'!$C$2:$AK$440,'All Girls &amp; Descendants - Edit'!O$1,FALSE)))</f>
        <v>43737</v>
      </c>
      <c r="P32" s="3" t="str">
        <f t="shared" si="3"/>
        <v>29/09/2019</v>
      </c>
      <c r="Q32" s="178" t="str">
        <f t="shared" si="4"/>
        <v>63</v>
      </c>
      <c r="R32" s="23"/>
      <c r="S32" t="str">
        <f>VLOOKUP($C32,'All Girls &amp; Descendants - Edit'!$C$2:$AK$440,'All Girls &amp; Descendants - Edit'!S$1,FALSE)</f>
        <v>Male</v>
      </c>
      <c r="T32" s="176">
        <f t="shared" si="5"/>
        <v>5</v>
      </c>
      <c r="U32" s="176">
        <f t="shared" si="0"/>
        <v>3</v>
      </c>
      <c r="V32" s="176">
        <f t="shared" si="1"/>
        <v>4</v>
      </c>
      <c r="W32" s="177">
        <f t="shared" si="2"/>
        <v>1</v>
      </c>
      <c r="X32" s="3" t="str">
        <f>IF(VLOOKUP($C32,'All Girls &amp; Descendants - Edit'!$C$2:$AK$440,'All Girls &amp; Descendants - Edit'!X$1,FALSE)=""," - ",(VLOOKUP($C32,'All Girls &amp; Descendants - Edit'!$C$2:$AK$440,'All Girls &amp; Descendants - Edit'!X$1,FALSE)))</f>
        <v>Priscilla Mary MELLIS (b. 26/04/1925, d. ?)</v>
      </c>
      <c r="Y32" s="3" t="str">
        <f>IF(VLOOKUP($C32,'All Girls &amp; Descendants - Edit'!$C$2:$AK$440,'All Girls &amp; Descendants - Edit'!Y$1,FALSE)=""," - ",(VLOOKUP($C32,'All Girls &amp; Descendants - Edit'!$C$2:$AK$440,'All Girls &amp; Descendants - Edit'!Y$1,FALSE)))</f>
        <v xml:space="preserve"> - </v>
      </c>
      <c r="Z32" s="3" t="str">
        <f>IF(VLOOKUP($C32,'All Girls &amp; Descendants - Edit'!$C$2:$AK$440,'All Girls &amp; Descendants - Edit'!Z$1,FALSE)=""," - ",(VLOOKUP($C32,'All Girls &amp; Descendants - Edit'!$C$2:$AK$440,'All Girls &amp; Descendants - Edit'!Z$1,FALSE)))</f>
        <v xml:space="preserve">of 61 St Clair Avenue, West Apt. 507, Toronto, Ontario, Canada, M4V 2Y8. Baptised 20 Dec 1926 at St Peter &amp; St Paul (The Abbey) Bath. Educated Cheltenham, and Imperial College of Science and Technology (BSc Eng 1949), ACG I, C. Eng, M I Mech E. Liveryman, Clothworkers’ Company 21 Jul 1948. Engine Division of Bristol Aeroplane Company in UK, satellite development with Radio Experimental Stress Engineer with Aero Corporation of America in Canada, Bell Telephone Company of Canada 1966-86. </v>
      </c>
      <c r="AA32" s="101">
        <f>IF(VLOOKUP($C32,'All Girls &amp; Descendants - Edit'!$C$2:$AK$440,'All Girls &amp; Descendants - Edit'!AA$1,FALSE)=""," - ",(VLOOKUP($C32,'All Girls &amp; Descendants - Edit'!$C$2:$AK$440,'All Girls &amp; Descendants - Edit'!AA$1,FALSE)))</f>
        <v>111</v>
      </c>
      <c r="AB32" s="101">
        <f>IF(VLOOKUP($C32,'All Girls &amp; Descendants - Edit'!$C$2:$AK$440,'All Girls &amp; Descendants - Edit'!AB$1,FALSE)=""," - ",(VLOOKUP($C32,'All Girls &amp; Descendants - Edit'!$C$2:$AK$440,'All Girls &amp; Descendants - Edit'!AB$1,FALSE)))</f>
        <v>31</v>
      </c>
      <c r="AC32" s="101">
        <f>IF(VLOOKUP($C32,'All Girls &amp; Descendants - Edit'!$C$2:$AK$440,'All Girls &amp; Descendants - Edit'!AC$1,FALSE)=""," - ",(VLOOKUP($C32,'All Girls &amp; Descendants - Edit'!$C$2:$AK$440,'All Girls &amp; Descendants - Edit'!AC$1,FALSE)))</f>
        <v>1031</v>
      </c>
      <c r="AD32" s="3" t="str">
        <f>IF(VLOOKUP($C32,'All Girls &amp; Descendants - Edit'!$C$2:$AK$440,'All Girls &amp; Descendants - Edit'!AD$1,FALSE)=""," - ",(VLOOKUP($C32,'All Girls &amp; Descendants - Edit'!$C$2:$AK$440,'All Girls &amp; Descendants - Edit'!AD$1,FALSE)))</f>
        <v>63a</v>
      </c>
      <c r="AE32" s="3" t="str">
        <f>IF(VLOOKUP($C32,'All Girls &amp; Descendants - Edit'!$C$2:$AK$440,'All Girls &amp; Descendants - Edit'!AE$1,FALSE)=""," - ",(VLOOKUP($C32,'All Girls &amp; Descendants - Edit'!$C$2:$AK$440,'All Girls &amp; Descendants - Edit'!AE$1,FALSE)))</f>
        <v>Frederic Withers Loyd MOORE (1926 - 2019)</v>
      </c>
      <c r="AF32" s="3" t="str">
        <f>IF(VLOOKUP($C32,'All Girls &amp; Descendants - Edit'!$C$2:$AK$440,'All Girls &amp; Descendants - Edit'!AF$1,FALSE)=""," - ",(VLOOKUP($C32,'All Girls &amp; Descendants - Edit'!$C$2:$AK$440,'All Girls &amp; Descendants - Edit'!AF$1,FALSE)))</f>
        <v>Loyd MOORE (5th &amp; 63)</v>
      </c>
      <c r="AG32" s="3" t="str">
        <f>IF(VLOOKUP($C32,'All Girls &amp; Descendants - Edit'!$C$2:$AK$440,'All Girls &amp; Descendants - Edit'!AG$1,FALSE)=""," - ",(VLOOKUP($C32,'All Girls &amp; Descendants - Edit'!$C$2:$AK$440,'All Girls &amp; Descendants - Edit'!AG$1,FALSE)))</f>
        <v>Male</v>
      </c>
      <c r="AH32" s="3" t="str">
        <f>IF(VLOOKUP($C32,'All Girls &amp; Descendants - Edit'!$C$2:$AK$440,'All Girls &amp; Descendants - Edit'!AH$1,FALSE)=""," - ",(VLOOKUP($C32,'All Girls &amp; Descendants - Edit'!$C$2:$AK$440,'All Girls &amp; Descendants - Edit'!AH$1,FALSE)))</f>
        <v>5th</v>
      </c>
      <c r="AI32" s="3" t="str">
        <f>IF(VLOOKUP($C32,'All Girls &amp; Descendants - Edit'!$C$2:$AK$440,'All Girls &amp; Descendants - Edit'!AI$1,FALSE)=""," - ",(VLOOKUP($C32,'All Girls &amp; Descendants - Edit'!$C$2:$AK$440,'All Girls &amp; Descendants - Edit'!AI$1,FALSE)))</f>
        <v xml:space="preserve">Wife: Priscilla Mary MELLIS (b. 26/04/1925, d. ?). </v>
      </c>
      <c r="AJ32" s="3" t="str">
        <f>IF(VLOOKUP($C32,'All Girls &amp; Descendants - Edit'!$C$2:$AK$440,'All Girls &amp; Descendants - Edit'!AJ$1,FALSE)=""," - ",(VLOOKUP($C32,'All Girls &amp; Descendants - Edit'!$C$2:$AK$440,'All Girls &amp; Descendants - Edit'!AJ$1,FALSE)))</f>
        <v xml:space="preserve">Male. b. 19/11/1926, d. 29/09/2019. of 61 St Clair Avenue, West Apt. 507, Toronto, Ontario, Canada, M4V 2Y8. Baptised 20 Dec 1926 at St Peter &amp; St Paul (The Abbey) Bath. Educated Cheltenham, and Imperial College of Science and Technology (BSc Eng 1949), ACG I, C. Eng, M I Mech E. Liveryman, Clothworkers’ Company 21 Jul 1948. Engine Division of Bristol Aeroplane Company in UK, satellite development with Radio Experimental Stress Engineer with Aero Corporation of America in Canada, Bell Telephone Company of Canada 1966-86. </v>
      </c>
      <c r="AK32" s="3" t="str">
        <f>IF(VLOOKUP($C32,'All Girls &amp; Descendants - Edit'!$C$2:$AK$440,'All Girls &amp; Descendants - Edit'!AK$1,FALSE)=""," - ",(VLOOKUP($C32,'All Girls &amp; Descendants - Edit'!$C$2:$AK$440,'All Girls &amp; Descendants - Edit'!AK$1,FALSE)))</f>
        <v>b. 19/11/1926, d. 29/09/2019.</v>
      </c>
      <c r="AO32" s="1"/>
      <c r="AS32" s="72">
        <v>74</v>
      </c>
      <c r="BB32">
        <v>1</v>
      </c>
      <c r="BH32">
        <v>1</v>
      </c>
      <c r="BI32">
        <v>1</v>
      </c>
      <c r="BS32" s="1"/>
    </row>
    <row r="33" spans="1:71" ht="19">
      <c r="A33">
        <f>VLOOKUP(B33,'Loyd List 1-190 - Edit'!$P$1:$R$219,3,FALSE)</f>
        <v>41</v>
      </c>
      <c r="B33">
        <f>'All Girls &amp; Descendants - Edit'!B34</f>
        <v>63</v>
      </c>
      <c r="C33" s="98" t="str">
        <f>'All Girls &amp; Descendants - Edit'!C34</f>
        <v>63b</v>
      </c>
      <c r="D33" s="2" t="str">
        <f>'All Girls &amp; Descendants - Edit'!D34</f>
        <v>MOORE</v>
      </c>
      <c r="E33" t="str">
        <f>'All Girls &amp; Descendants - Edit'!E34</f>
        <v>Emma</v>
      </c>
      <c r="F33" t="str">
        <f>IF('All Girls &amp; Descendants - Edit'!F34="","",'All Girls &amp; Descendants - Edit'!F34)</f>
        <v>Isabel</v>
      </c>
      <c r="G33" t="str">
        <f>IF('All Girls &amp; Descendants - Edit'!G34="","",'All Girls &amp; Descendants - Edit'!G34)</f>
        <v/>
      </c>
      <c r="H33" t="str">
        <f>IF('All Girls &amp; Descendants - Edit'!H34="","",'All Girls &amp; Descendants - Edit'!H34)</f>
        <v>Isabel</v>
      </c>
      <c r="I33">
        <f>VLOOKUP($C33,'All Girls &amp; Descendants - Edit'!$C$2:$AK$440,'All Girls &amp; Descendants - Edit'!I$1,FALSE)</f>
        <v>1929</v>
      </c>
      <c r="J33">
        <f>VLOOKUP($C33,'All Girls &amp; Descendants - Edit'!$C$2:$AK$440,'All Girls &amp; Descendants - Edit'!J$1,FALSE)</f>
        <v>2020</v>
      </c>
      <c r="K33" s="9"/>
      <c r="L33" t="str">
        <f t="shared" si="7"/>
        <v>28/06/1929</v>
      </c>
      <c r="M33" s="3">
        <f>VLOOKUP($C33,'All Girls &amp; Descendants - Edit'!$C$2:$AK$440,'All Girls &amp; Descendants - Edit'!M$1,FALSE)</f>
        <v>10772</v>
      </c>
      <c r="N33" s="3" t="str">
        <f>IF(VLOOKUP($C33,'All Girls &amp; Descendants - Edit'!$C$2:$AK$440,'All Girls &amp; Descendants - Edit'!N$1,FALSE)=""," - ",(VLOOKUP($C33,'All Girls &amp; Descendants - Edit'!$C$2:$AK$440,'All Girls &amp; Descendants - Edit'!N$1,FALSE)))</f>
        <v xml:space="preserve"> - </v>
      </c>
      <c r="O33" s="3" t="str">
        <f>IF(VLOOKUP($C33,'All Girls &amp; Descendants - Edit'!$C$2:$AK$440,'All Girls &amp; Descendants - Edit'!O$1,FALSE)="","",(VLOOKUP($C33,'All Girls &amp; Descendants - Edit'!$C$2:$AK$440,'All Girls &amp; Descendants - Edit'!O$1,FALSE)))</f>
        <v/>
      </c>
      <c r="P33" s="3" t="str">
        <f t="shared" si="3"/>
        <v/>
      </c>
      <c r="Q33" s="178" t="str">
        <f t="shared" si="4"/>
        <v>63</v>
      </c>
      <c r="R33" s="23"/>
      <c r="S33" t="str">
        <f>VLOOKUP($C33,'All Girls &amp; Descendants - Edit'!$C$2:$AK$440,'All Girls &amp; Descendants - Edit'!S$1,FALSE)</f>
        <v>Female</v>
      </c>
      <c r="T33" s="176">
        <f t="shared" si="5"/>
        <v>5</v>
      </c>
      <c r="U33" s="176">
        <f t="shared" si="0"/>
        <v>3</v>
      </c>
      <c r="V33" s="176">
        <f t="shared" si="1"/>
        <v>4</v>
      </c>
      <c r="W33" s="177">
        <f t="shared" si="2"/>
        <v>1</v>
      </c>
      <c r="X33" s="3" t="str">
        <f>IF(VLOOKUP($C33,'All Girls &amp; Descendants - Edit'!$C$2:$AK$440,'All Girls &amp; Descendants - Edit'!X$1,FALSE)=""," - ",(VLOOKUP($C33,'All Girls &amp; Descendants - Edit'!$C$2:$AK$440,'All Girls &amp; Descendants - Edit'!X$1,FALSE)))</f>
        <v xml:space="preserve"> - </v>
      </c>
      <c r="Y33" s="3" t="str">
        <f>IF(VLOOKUP($C33,'All Girls &amp; Descendants - Edit'!$C$2:$AK$440,'All Girls &amp; Descendants - Edit'!Y$1,FALSE)=""," - ",(VLOOKUP($C33,'All Girls &amp; Descendants - Edit'!$C$2:$AK$440,'All Girls &amp; Descendants - Edit'!Y$1,FALSE)))</f>
        <v xml:space="preserve"> - </v>
      </c>
      <c r="Z33" s="3" t="str">
        <f>IF(VLOOKUP($C33,'All Girls &amp; Descendants - Edit'!$C$2:$AK$440,'All Girls &amp; Descendants - Edit'!Z$1,FALSE)=""," - ",(VLOOKUP($C33,'All Girls &amp; Descendants - Edit'!$C$2:$AK$440,'All Girls &amp; Descendants - Edit'!Z$1,FALSE)))</f>
        <v>Isabel of Tormore, Ardvasar, Isle of Skye, IV45 8RP. Baptsied 1 Aug 1929 at St Peter &amp; St Paul (The Abbey) Bath.</v>
      </c>
      <c r="AA33" s="101">
        <f>IF(VLOOKUP($C33,'All Girls &amp; Descendants - Edit'!$C$2:$AK$440,'All Girls &amp; Descendants - Edit'!AA$1,FALSE)=""," - ",(VLOOKUP($C33,'All Girls &amp; Descendants - Edit'!$C$2:$AK$440,'All Girls &amp; Descendants - Edit'!AA$1,FALSE)))</f>
        <v>116</v>
      </c>
      <c r="AB33" s="101">
        <f>IF(VLOOKUP($C33,'All Girls &amp; Descendants - Edit'!$C$2:$AK$440,'All Girls &amp; Descendants - Edit'!AB$1,FALSE)=""," - ",(VLOOKUP($C33,'All Girls &amp; Descendants - Edit'!$C$2:$AK$440,'All Girls &amp; Descendants - Edit'!AB$1,FALSE)))</f>
        <v>32</v>
      </c>
      <c r="AC33" s="101">
        <f>IF(VLOOKUP($C33,'All Girls &amp; Descendants - Edit'!$C$2:$AK$440,'All Girls &amp; Descendants - Edit'!AC$1,FALSE)=""," - ",(VLOOKUP($C33,'All Girls &amp; Descendants - Edit'!$C$2:$AK$440,'All Girls &amp; Descendants - Edit'!AC$1,FALSE)))</f>
        <v>1032</v>
      </c>
      <c r="AD33" s="3" t="str">
        <f>IF(VLOOKUP($C33,'All Girls &amp; Descendants - Edit'!$C$2:$AK$440,'All Girls &amp; Descendants - Edit'!AD$1,FALSE)=""," - ",(VLOOKUP($C33,'All Girls &amp; Descendants - Edit'!$C$2:$AK$440,'All Girls &amp; Descendants - Edit'!AD$1,FALSE)))</f>
        <v>63b</v>
      </c>
      <c r="AE33" s="3" t="str">
        <f>IF(VLOOKUP($C33,'All Girls &amp; Descendants - Edit'!$C$2:$AK$440,'All Girls &amp; Descendants - Edit'!AE$1,FALSE)=""," - ",(VLOOKUP($C33,'All Girls &amp; Descendants - Edit'!$C$2:$AK$440,'All Girls &amp; Descendants - Edit'!AE$1,FALSE)))</f>
        <v>Emma Isabel  MOORE (1929 - 2020)</v>
      </c>
      <c r="AF33" s="3" t="str">
        <f>IF(VLOOKUP($C33,'All Girls &amp; Descendants - Edit'!$C$2:$AK$440,'All Girls &amp; Descendants - Edit'!AF$1,FALSE)=""," - ",(VLOOKUP($C33,'All Girls &amp; Descendants - Edit'!$C$2:$AK$440,'All Girls &amp; Descendants - Edit'!AF$1,FALSE)))</f>
        <v>Isabel MOORE (5th &amp; 63)</v>
      </c>
      <c r="AG33" s="3" t="str">
        <f>IF(VLOOKUP($C33,'All Girls &amp; Descendants - Edit'!$C$2:$AK$440,'All Girls &amp; Descendants - Edit'!AG$1,FALSE)=""," - ",(VLOOKUP($C33,'All Girls &amp; Descendants - Edit'!$C$2:$AK$440,'All Girls &amp; Descendants - Edit'!AG$1,FALSE)))</f>
        <v>Female</v>
      </c>
      <c r="AH33" s="3" t="str">
        <f>IF(VLOOKUP($C33,'All Girls &amp; Descendants - Edit'!$C$2:$AK$440,'All Girls &amp; Descendants - Edit'!AH$1,FALSE)=""," - ",(VLOOKUP($C33,'All Girls &amp; Descendants - Edit'!$C$2:$AK$440,'All Girls &amp; Descendants - Edit'!AH$1,FALSE)))</f>
        <v>5th</v>
      </c>
      <c r="AI33" s="3" t="str">
        <f>IF(VLOOKUP($C33,'All Girls &amp; Descendants - Edit'!$C$2:$AK$440,'All Girls &amp; Descendants - Edit'!AI$1,FALSE)=""," - ",(VLOOKUP($C33,'All Girls &amp; Descendants - Edit'!$C$2:$AK$440,'All Girls &amp; Descendants - Edit'!AI$1,FALSE)))</f>
        <v>Unmarried</v>
      </c>
      <c r="AJ33" s="3" t="str">
        <f>IF(VLOOKUP($C33,'All Girls &amp; Descendants - Edit'!$C$2:$AK$440,'All Girls &amp; Descendants - Edit'!AJ$1,FALSE)=""," - ",(VLOOKUP($C33,'All Girls &amp; Descendants - Edit'!$C$2:$AK$440,'All Girls &amp; Descendants - Edit'!AJ$1,FALSE)))</f>
        <v>Female. b. 28/06/1929 Isabel of Tormore, Ardvasar, Isle of Skye, IV45 8RP. Baptsied 1 Aug 1929 at St Peter &amp; St Paul (The Abbey) Bath.</v>
      </c>
      <c r="AK33" s="3" t="str">
        <f>IF(VLOOKUP($C33,'All Girls &amp; Descendants - Edit'!$C$2:$AK$440,'All Girls &amp; Descendants - Edit'!AK$1,FALSE)=""," - ",(VLOOKUP($C33,'All Girls &amp; Descendants - Edit'!$C$2:$AK$440,'All Girls &amp; Descendants - Edit'!AK$1,FALSE)))</f>
        <v>b. 28/06/1929</v>
      </c>
      <c r="AO33" s="1"/>
      <c r="AS33" s="72">
        <v>85</v>
      </c>
      <c r="AT33">
        <v>3</v>
      </c>
      <c r="AU33">
        <v>4</v>
      </c>
      <c r="AZ33">
        <v>7</v>
      </c>
      <c r="BA33">
        <v>1</v>
      </c>
      <c r="BB33">
        <v>1</v>
      </c>
      <c r="BC33">
        <v>7</v>
      </c>
      <c r="BD33">
        <v>5</v>
      </c>
      <c r="BH33">
        <v>14</v>
      </c>
      <c r="BI33">
        <v>21</v>
      </c>
      <c r="BS33" s="1"/>
    </row>
    <row r="34" spans="1:71" ht="19">
      <c r="A34">
        <f>VLOOKUP(B34,'Loyd List 1-190 - Edit'!$P$1:$R$219,3,FALSE)</f>
        <v>41</v>
      </c>
      <c r="B34">
        <f>'All Girls &amp; Descendants - Edit'!B35</f>
        <v>63</v>
      </c>
      <c r="C34" s="98" t="str">
        <f>'All Girls &amp; Descendants - Edit'!C35</f>
        <v>63c</v>
      </c>
      <c r="D34" s="2" t="str">
        <f>'All Girls &amp; Descendants - Edit'!D35</f>
        <v>MOORE</v>
      </c>
      <c r="E34" t="str">
        <f>'All Girls &amp; Descendants - Edit'!E35</f>
        <v>Veronica</v>
      </c>
      <c r="F34" t="str">
        <f>IF('All Girls &amp; Descendants - Edit'!F35="","",'All Girls &amp; Descendants - Edit'!F35)</f>
        <v>Ashwell</v>
      </c>
      <c r="G34" t="str">
        <f>IF('All Girls &amp; Descendants - Edit'!G35="","",'All Girls &amp; Descendants - Edit'!G35)</f>
        <v/>
      </c>
      <c r="H34" t="str">
        <f>IF('All Girls &amp; Descendants - Edit'!H35="","",'All Girls &amp; Descendants - Edit'!H35)</f>
        <v/>
      </c>
      <c r="I34">
        <f>VLOOKUP($C34,'All Girls &amp; Descendants - Edit'!$C$2:$AK$440,'All Girls &amp; Descendants - Edit'!I$1,FALSE)</f>
        <v>1930</v>
      </c>
      <c r="J34">
        <f>VLOOKUP($C34,'All Girls &amp; Descendants - Edit'!$C$2:$AK$440,'All Girls &amp; Descendants - Edit'!J$1,FALSE)</f>
        <v>1934</v>
      </c>
      <c r="K34" s="9"/>
      <c r="L34" t="str">
        <f t="shared" si="7"/>
        <v>29/09/1930</v>
      </c>
      <c r="M34" s="3">
        <f>VLOOKUP($C34,'All Girls &amp; Descendants - Edit'!$C$2:$AK$440,'All Girls &amp; Descendants - Edit'!M$1,FALSE)</f>
        <v>11230</v>
      </c>
      <c r="N34" s="3" t="str">
        <f>IF(VLOOKUP($C34,'All Girls &amp; Descendants - Edit'!$C$2:$AK$440,'All Girls &amp; Descendants - Edit'!N$1,FALSE)=""," - ",(VLOOKUP($C34,'All Girls &amp; Descendants - Edit'!$C$2:$AK$440,'All Girls &amp; Descendants - Edit'!N$1,FALSE)))</f>
        <v xml:space="preserve"> - </v>
      </c>
      <c r="O34" s="3">
        <f>IF(VLOOKUP($C34,'All Girls &amp; Descendants - Edit'!$C$2:$AK$440,'All Girls &amp; Descendants - Edit'!O$1,FALSE)="","",(VLOOKUP($C34,'All Girls &amp; Descendants - Edit'!$C$2:$AK$440,'All Girls &amp; Descendants - Edit'!O$1,FALSE)))</f>
        <v>12706</v>
      </c>
      <c r="P34" s="3" t="str">
        <f t="shared" si="3"/>
        <v>14/10/1934</v>
      </c>
      <c r="Q34" s="178" t="str">
        <f t="shared" si="4"/>
        <v>63</v>
      </c>
      <c r="R34" s="23"/>
      <c r="S34" t="str">
        <f>VLOOKUP($C34,'All Girls &amp; Descendants - Edit'!$C$2:$AK$440,'All Girls &amp; Descendants - Edit'!S$1,FALSE)</f>
        <v>Female</v>
      </c>
      <c r="T34" s="176">
        <f t="shared" si="5"/>
        <v>5</v>
      </c>
      <c r="U34" s="176">
        <f t="shared" si="0"/>
        <v>3</v>
      </c>
      <c r="V34" s="176">
        <f t="shared" si="1"/>
        <v>4</v>
      </c>
      <c r="W34" s="177">
        <f t="shared" si="2"/>
        <v>1</v>
      </c>
      <c r="X34" s="3" t="str">
        <f>IF(VLOOKUP($C34,'All Girls &amp; Descendants - Edit'!$C$2:$AK$440,'All Girls &amp; Descendants - Edit'!X$1,FALSE)=""," - ",(VLOOKUP($C34,'All Girls &amp; Descendants - Edit'!$C$2:$AK$440,'All Girls &amp; Descendants - Edit'!X$1,FALSE)))</f>
        <v xml:space="preserve"> - </v>
      </c>
      <c r="Y34" s="3" t="str">
        <f>IF(VLOOKUP($C34,'All Girls &amp; Descendants - Edit'!$C$2:$AK$440,'All Girls &amp; Descendants - Edit'!Y$1,FALSE)=""," - ",(VLOOKUP($C34,'All Girls &amp; Descendants - Edit'!$C$2:$AK$440,'All Girls &amp; Descendants - Edit'!Y$1,FALSE)))</f>
        <v xml:space="preserve"> - </v>
      </c>
      <c r="Z34" s="3" t="str">
        <f>IF(VLOOKUP($C34,'All Girls &amp; Descendants - Edit'!$C$2:$AK$440,'All Girls &amp; Descendants - Edit'!Z$1,FALSE)=""," - ",(VLOOKUP($C34,'All Girls &amp; Descendants - Edit'!$C$2:$AK$440,'All Girls &amp; Descendants - Edit'!Z$1,FALSE)))</f>
        <v>Baptised 1 Aug 1929 at St Peter &amp; St Paul (The Abbey) Bath. Died 15 Sep 1968 in Skye, buried in Lansdown Cemetery, Bath.</v>
      </c>
      <c r="AA34" s="101">
        <f>IF(VLOOKUP($C34,'All Girls &amp; Descendants - Edit'!$C$2:$AK$440,'All Girls &amp; Descendants - Edit'!AA$1,FALSE)=""," - ",(VLOOKUP($C34,'All Girls &amp; Descendants - Edit'!$C$2:$AK$440,'All Girls &amp; Descendants - Edit'!AA$1,FALSE)))</f>
        <v>117</v>
      </c>
      <c r="AB34" s="101">
        <f>IF(VLOOKUP($C34,'All Girls &amp; Descendants - Edit'!$C$2:$AK$440,'All Girls &amp; Descendants - Edit'!AB$1,FALSE)=""," - ",(VLOOKUP($C34,'All Girls &amp; Descendants - Edit'!$C$2:$AK$440,'All Girls &amp; Descendants - Edit'!AB$1,FALSE)))</f>
        <v>33</v>
      </c>
      <c r="AC34" s="101">
        <f>IF(VLOOKUP($C34,'All Girls &amp; Descendants - Edit'!$C$2:$AK$440,'All Girls &amp; Descendants - Edit'!AC$1,FALSE)=""," - ",(VLOOKUP($C34,'All Girls &amp; Descendants - Edit'!$C$2:$AK$440,'All Girls &amp; Descendants - Edit'!AC$1,FALSE)))</f>
        <v>1033</v>
      </c>
      <c r="AD34" s="3" t="str">
        <f>IF(VLOOKUP($C34,'All Girls &amp; Descendants - Edit'!$C$2:$AK$440,'All Girls &amp; Descendants - Edit'!AD$1,FALSE)=""," - ",(VLOOKUP($C34,'All Girls &amp; Descendants - Edit'!$C$2:$AK$440,'All Girls &amp; Descendants - Edit'!AD$1,FALSE)))</f>
        <v>63c</v>
      </c>
      <c r="AE34" s="3" t="str">
        <f>IF(VLOOKUP($C34,'All Girls &amp; Descendants - Edit'!$C$2:$AK$440,'All Girls &amp; Descendants - Edit'!AE$1,FALSE)=""," - ",(VLOOKUP($C34,'All Girls &amp; Descendants - Edit'!$C$2:$AK$440,'All Girls &amp; Descendants - Edit'!AE$1,FALSE)))</f>
        <v>Veronica Ashwell  MOORE (1930 - 1934)</v>
      </c>
      <c r="AF34" s="3" t="str">
        <f>IF(VLOOKUP($C34,'All Girls &amp; Descendants - Edit'!$C$2:$AK$440,'All Girls &amp; Descendants - Edit'!AF$1,FALSE)=""," - ",(VLOOKUP($C34,'All Girls &amp; Descendants - Edit'!$C$2:$AK$440,'All Girls &amp; Descendants - Edit'!AF$1,FALSE)))</f>
        <v>Veronica MOORE (5th &amp; 63)</v>
      </c>
      <c r="AG34" s="3" t="str">
        <f>IF(VLOOKUP($C34,'All Girls &amp; Descendants - Edit'!$C$2:$AK$440,'All Girls &amp; Descendants - Edit'!AG$1,FALSE)=""," - ",(VLOOKUP($C34,'All Girls &amp; Descendants - Edit'!$C$2:$AK$440,'All Girls &amp; Descendants - Edit'!AG$1,FALSE)))</f>
        <v>Female</v>
      </c>
      <c r="AH34" s="3" t="str">
        <f>IF(VLOOKUP($C34,'All Girls &amp; Descendants - Edit'!$C$2:$AK$440,'All Girls &amp; Descendants - Edit'!AH$1,FALSE)=""," - ",(VLOOKUP($C34,'All Girls &amp; Descendants - Edit'!$C$2:$AK$440,'All Girls &amp; Descendants - Edit'!AH$1,FALSE)))</f>
        <v>5th</v>
      </c>
      <c r="AI34" s="3" t="str">
        <f>IF(VLOOKUP($C34,'All Girls &amp; Descendants - Edit'!$C$2:$AK$440,'All Girls &amp; Descendants - Edit'!AI$1,FALSE)=""," - ",(VLOOKUP($C34,'All Girls &amp; Descendants - Edit'!$C$2:$AK$440,'All Girls &amp; Descendants - Edit'!AI$1,FALSE)))</f>
        <v>Unmarried</v>
      </c>
      <c r="AJ34" s="3" t="str">
        <f>IF(VLOOKUP($C34,'All Girls &amp; Descendants - Edit'!$C$2:$AK$440,'All Girls &amp; Descendants - Edit'!AJ$1,FALSE)=""," - ",(VLOOKUP($C34,'All Girls &amp; Descendants - Edit'!$C$2:$AK$440,'All Girls &amp; Descendants - Edit'!AJ$1,FALSE)))</f>
        <v>Female. b. 29/09/1930, d. 14/10/1934. Baptised 1 Aug 1929 at St Peter &amp; St Paul (The Abbey) Bath. Died 15 Sep 1968 in Skye, buried in Lansdown Cemetery, Bath.</v>
      </c>
      <c r="AK34" s="3" t="str">
        <f>IF(VLOOKUP($C34,'All Girls &amp; Descendants - Edit'!$C$2:$AK$440,'All Girls &amp; Descendants - Edit'!AK$1,FALSE)=""," - ",(VLOOKUP($C34,'All Girls &amp; Descendants - Edit'!$C$2:$AK$440,'All Girls &amp; Descendants - Edit'!AK$1,FALSE)))</f>
        <v>b. 29/09/1930, d. 14/10/1934.</v>
      </c>
      <c r="AO34" s="1"/>
      <c r="AS34" s="72">
        <v>88</v>
      </c>
      <c r="AT34">
        <v>2</v>
      </c>
      <c r="AU34">
        <v>3</v>
      </c>
      <c r="AV34">
        <v>4</v>
      </c>
      <c r="AZ34">
        <v>9</v>
      </c>
      <c r="BA34">
        <v>1</v>
      </c>
      <c r="BB34">
        <v>1</v>
      </c>
      <c r="BC34">
        <v>3</v>
      </c>
      <c r="BD34">
        <v>4</v>
      </c>
      <c r="BH34">
        <v>9</v>
      </c>
      <c r="BI34">
        <v>18</v>
      </c>
      <c r="BS34" s="1"/>
    </row>
    <row r="35" spans="1:71" ht="19">
      <c r="A35">
        <f>VLOOKUP(B35,'Loyd List 1-190 - Edit'!$P$1:$R$219,3,FALSE)</f>
        <v>34</v>
      </c>
      <c r="B35">
        <f>'All Girls &amp; Descendants - Edit'!B36</f>
        <v>65</v>
      </c>
      <c r="C35" s="98" t="str">
        <f>'All Girls &amp; Descendants - Edit'!C36</f>
        <v>65a</v>
      </c>
      <c r="D35" s="2" t="str">
        <f>'All Girls &amp; Descendants - Edit'!D36</f>
        <v>WHEELER</v>
      </c>
      <c r="E35" t="str">
        <f>'All Girls &amp; Descendants - Edit'!E36</f>
        <v>Audrey</v>
      </c>
      <c r="F35" t="str">
        <f>IF('All Girls &amp; Descendants - Edit'!F36="","",'All Girls &amp; Descendants - Edit'!F36)</f>
        <v>Haig</v>
      </c>
      <c r="G35" t="str">
        <f>IF('All Girls &amp; Descendants - Edit'!G36="","",'All Girls &amp; Descendants - Edit'!G36)</f>
        <v/>
      </c>
      <c r="H35" t="str">
        <f>IF('All Girls &amp; Descendants - Edit'!H36="","",'All Girls &amp; Descendants - Edit'!H36)</f>
        <v/>
      </c>
      <c r="I35">
        <f>VLOOKUP($C35,'All Girls &amp; Descendants - Edit'!$C$2:$AK$440,'All Girls &amp; Descendants - Edit'!I$1,FALSE)</f>
        <v>1913</v>
      </c>
      <c r="J35" t="str">
        <f>VLOOKUP($C35,'All Girls &amp; Descendants - Edit'!$C$2:$AK$440,'All Girls &amp; Descendants - Edit'!J$1,FALSE)</f>
        <v/>
      </c>
      <c r="K35" s="9"/>
      <c r="L35" t="str">
        <f t="shared" si="7"/>
        <v>05/04/1913</v>
      </c>
      <c r="M35" s="3">
        <f>VLOOKUP($C35,'All Girls &amp; Descendants - Edit'!$C$2:$AK$440,'All Girls &amp; Descendants - Edit'!M$1,FALSE)</f>
        <v>4844</v>
      </c>
      <c r="N35" s="3" t="str">
        <f>IF(VLOOKUP($C35,'All Girls &amp; Descendants - Edit'!$C$2:$AK$440,'All Girls &amp; Descendants - Edit'!N$1,FALSE)=""," - ",(VLOOKUP($C35,'All Girls &amp; Descendants - Edit'!$C$2:$AK$440,'All Girls &amp; Descendants - Edit'!N$1,FALSE)))</f>
        <v xml:space="preserve"> - </v>
      </c>
      <c r="O35" s="3" t="str">
        <f>IF(VLOOKUP($C35,'All Girls &amp; Descendants - Edit'!$C$2:$AK$440,'All Girls &amp; Descendants - Edit'!O$1,FALSE)="","",(VLOOKUP($C35,'All Girls &amp; Descendants - Edit'!$C$2:$AK$440,'All Girls &amp; Descendants - Edit'!O$1,FALSE)))</f>
        <v/>
      </c>
      <c r="P35" s="3" t="str">
        <f t="shared" si="3"/>
        <v/>
      </c>
      <c r="Q35" s="178" t="str">
        <f t="shared" si="4"/>
        <v>65</v>
      </c>
      <c r="R35" s="23"/>
      <c r="S35" t="str">
        <f>VLOOKUP($C35,'All Girls &amp; Descendants - Edit'!$C$2:$AK$440,'All Girls &amp; Descendants - Edit'!S$1,FALSE)</f>
        <v>Female</v>
      </c>
      <c r="T35" s="176">
        <f t="shared" si="5"/>
        <v>5</v>
      </c>
      <c r="U35" s="176">
        <f t="shared" si="0"/>
        <v>3</v>
      </c>
      <c r="V35" s="176">
        <f t="shared" si="1"/>
        <v>4</v>
      </c>
      <c r="W35" s="177">
        <f t="shared" si="2"/>
        <v>1</v>
      </c>
      <c r="X35" s="3" t="str">
        <f>IF(VLOOKUP($C35,'All Girls &amp; Descendants - Edit'!$C$2:$AK$440,'All Girls &amp; Descendants - Edit'!X$1,FALSE)=""," - ",(VLOOKUP($C35,'All Girls &amp; Descendants - Edit'!$C$2:$AK$440,'All Girls &amp; Descendants - Edit'!X$1,FALSE)))</f>
        <v xml:space="preserve"> - </v>
      </c>
      <c r="Y35" s="3" t="str">
        <f>IF(VLOOKUP($C35,'All Girls &amp; Descendants - Edit'!$C$2:$AK$440,'All Girls &amp; Descendants - Edit'!Y$1,FALSE)=""," - ",(VLOOKUP($C35,'All Girls &amp; Descendants - Edit'!$C$2:$AK$440,'All Girls &amp; Descendants - Edit'!Y$1,FALSE)))</f>
        <v>Married at Wimborne Minster, Dorset, James Norman (b. 17 Apr 1882, d. 6 Jan 1966) son of the Rev James WHEELER, Rector of Hampreston, Dorset.</v>
      </c>
      <c r="Z35" s="3" t="str">
        <f>IF(VLOOKUP($C35,'All Girls &amp; Descendants - Edit'!$C$2:$AK$440,'All Girls &amp; Descendants - Edit'!Z$1,FALSE)=""," - ",(VLOOKUP($C35,'All Girls &amp; Descendants - Edit'!$C$2:$AK$440,'All Girls &amp; Descendants - Edit'!Z$1,FALSE)))</f>
        <v>Audrey WHEELER of Spinnakers, 1 Pedn Moran, St Mawes, Cornwall, TR2 5BA.</v>
      </c>
      <c r="AA35" s="101">
        <f>IF(VLOOKUP($C35,'All Girls &amp; Descendants - Edit'!$C$2:$AK$440,'All Girls &amp; Descendants - Edit'!AA$1,FALSE)=""," - ",(VLOOKUP($C35,'All Girls &amp; Descendants - Edit'!$C$2:$AK$440,'All Girls &amp; Descendants - Edit'!AA$1,FALSE)))</f>
        <v>118</v>
      </c>
      <c r="AB35" s="101">
        <f>IF(VLOOKUP($C35,'All Girls &amp; Descendants - Edit'!$C$2:$AK$440,'All Girls &amp; Descendants - Edit'!AB$1,FALSE)=""," - ",(VLOOKUP($C35,'All Girls &amp; Descendants - Edit'!$C$2:$AK$440,'All Girls &amp; Descendants - Edit'!AB$1,FALSE)))</f>
        <v>34</v>
      </c>
      <c r="AC35" s="101">
        <f>IF(VLOOKUP($C35,'All Girls &amp; Descendants - Edit'!$C$2:$AK$440,'All Girls &amp; Descendants - Edit'!AC$1,FALSE)=""," - ",(VLOOKUP($C35,'All Girls &amp; Descendants - Edit'!$C$2:$AK$440,'All Girls &amp; Descendants - Edit'!AC$1,FALSE)))</f>
        <v>1034</v>
      </c>
      <c r="AD35" s="3" t="str">
        <f>IF(VLOOKUP($C35,'All Girls &amp; Descendants - Edit'!$C$2:$AK$440,'All Girls &amp; Descendants - Edit'!AD$1,FALSE)=""," - ",(VLOOKUP($C35,'All Girls &amp; Descendants - Edit'!$C$2:$AK$440,'All Girls &amp; Descendants - Edit'!AD$1,FALSE)))</f>
        <v>65a</v>
      </c>
      <c r="AE35" s="3" t="str">
        <f>IF(VLOOKUP($C35,'All Girls &amp; Descendants - Edit'!$C$2:$AK$440,'All Girls &amp; Descendants - Edit'!AE$1,FALSE)=""," - ",(VLOOKUP($C35,'All Girls &amp; Descendants - Edit'!$C$2:$AK$440,'All Girls &amp; Descendants - Edit'!AE$1,FALSE)))</f>
        <v>Audrey Haig  WHEELER (1913 - )</v>
      </c>
      <c r="AF35" s="3" t="str">
        <f>IF(VLOOKUP($C35,'All Girls &amp; Descendants - Edit'!$C$2:$AK$440,'All Girls &amp; Descendants - Edit'!AF$1,FALSE)=""," - ",(VLOOKUP($C35,'All Girls &amp; Descendants - Edit'!$C$2:$AK$440,'All Girls &amp; Descendants - Edit'!AF$1,FALSE)))</f>
        <v>Audrey WHEELER (5th &amp; 65)</v>
      </c>
      <c r="AG35" s="3" t="str">
        <f>IF(VLOOKUP($C35,'All Girls &amp; Descendants - Edit'!$C$2:$AK$440,'All Girls &amp; Descendants - Edit'!AG$1,FALSE)=""," - ",(VLOOKUP($C35,'All Girls &amp; Descendants - Edit'!$C$2:$AK$440,'All Girls &amp; Descendants - Edit'!AG$1,FALSE)))</f>
        <v>Female</v>
      </c>
      <c r="AH35" s="3" t="str">
        <f>IF(VLOOKUP($C35,'All Girls &amp; Descendants - Edit'!$C$2:$AK$440,'All Girls &amp; Descendants - Edit'!AH$1,FALSE)=""," - ",(VLOOKUP($C35,'All Girls &amp; Descendants - Edit'!$C$2:$AK$440,'All Girls &amp; Descendants - Edit'!AH$1,FALSE)))</f>
        <v>5th</v>
      </c>
      <c r="AI35" s="3" t="str">
        <f>IF(VLOOKUP($C35,'All Girls &amp; Descendants - Edit'!$C$2:$AK$440,'All Girls &amp; Descendants - Edit'!AI$1,FALSE)=""," - ",(VLOOKUP($C35,'All Girls &amp; Descendants - Edit'!$C$2:$AK$440,'All Girls &amp; Descendants - Edit'!AI$1,FALSE)))</f>
        <v>Unmarried</v>
      </c>
      <c r="AJ35" s="3" t="str">
        <f>IF(VLOOKUP($C35,'All Girls &amp; Descendants - Edit'!$C$2:$AK$440,'All Girls &amp; Descendants - Edit'!AJ$1,FALSE)=""," - ",(VLOOKUP($C35,'All Girls &amp; Descendants - Edit'!$C$2:$AK$440,'All Girls &amp; Descendants - Edit'!AJ$1,FALSE)))</f>
        <v>Female. b. 05/04/1913 Audrey WHEELER of Spinnakers, 1 Pedn Moran, St Mawes, Cornwall, TR2 5BA.</v>
      </c>
      <c r="AK35" s="3" t="str">
        <f>IF(VLOOKUP($C35,'All Girls &amp; Descendants - Edit'!$C$2:$AK$440,'All Girls &amp; Descendants - Edit'!AK$1,FALSE)=""," - ",(VLOOKUP($C35,'All Girls &amp; Descendants - Edit'!$C$2:$AK$440,'All Girls &amp; Descendants - Edit'!AK$1,FALSE)))</f>
        <v>b. 05/04/1913</v>
      </c>
      <c r="AO35" s="1"/>
      <c r="AS35" s="72">
        <v>90</v>
      </c>
      <c r="AT35">
        <v>1</v>
      </c>
      <c r="AU35">
        <v>2</v>
      </c>
      <c r="AZ35">
        <v>3</v>
      </c>
      <c r="BA35">
        <v>2</v>
      </c>
      <c r="BB35">
        <v>1</v>
      </c>
      <c r="BC35">
        <v>5</v>
      </c>
      <c r="BH35">
        <v>8</v>
      </c>
      <c r="BI35">
        <v>11</v>
      </c>
      <c r="BS35" s="1"/>
    </row>
    <row r="36" spans="1:71" ht="19">
      <c r="A36">
        <f>VLOOKUP(B36,'Loyd List 1-190 - Edit'!$P$1:$R$219,3,FALSE)</f>
        <v>34</v>
      </c>
      <c r="B36">
        <f>'All Girls &amp; Descendants - Edit'!B37</f>
        <v>65</v>
      </c>
      <c r="C36" s="98" t="str">
        <f>'All Girls &amp; Descendants - Edit'!C37</f>
        <v>65b</v>
      </c>
      <c r="D36" s="2" t="str">
        <f>'All Girls &amp; Descendants - Edit'!D37</f>
        <v>WHEELER</v>
      </c>
      <c r="E36" t="str">
        <f>'All Girls &amp; Descendants - Edit'!E37</f>
        <v>Norma</v>
      </c>
      <c r="F36" t="str">
        <f>IF('All Girls &amp; Descendants - Edit'!F37="","",'All Girls &amp; Descendants - Edit'!F37)</f>
        <v>Monica</v>
      </c>
      <c r="G36" t="str">
        <f>IF('All Girls &amp; Descendants - Edit'!G37="","",'All Girls &amp; Descendants - Edit'!G37)</f>
        <v>Haig</v>
      </c>
      <c r="H36" t="str">
        <f>IF('All Girls &amp; Descendants - Edit'!H37="","",'All Girls &amp; Descendants - Edit'!H37)</f>
        <v/>
      </c>
      <c r="I36">
        <f>VLOOKUP($C36,'All Girls &amp; Descendants - Edit'!$C$2:$AK$440,'All Girls &amp; Descendants - Edit'!I$1,FALSE)</f>
        <v>1924</v>
      </c>
      <c r="J36" t="str">
        <f>VLOOKUP($C36,'All Girls &amp; Descendants - Edit'!$C$2:$AK$440,'All Girls &amp; Descendants - Edit'!J$1,FALSE)</f>
        <v/>
      </c>
      <c r="K36" s="9"/>
      <c r="L36" t="str">
        <f>IF(M36="","",TEXT(M36,"dd/mm/yyyy"))</f>
        <v>04/02/1924</v>
      </c>
      <c r="M36" s="3">
        <f>VLOOKUP($C36,'All Girls &amp; Descendants - Edit'!$C$2:$AK$440,'All Girls &amp; Descendants - Edit'!M$1,FALSE)</f>
        <v>8801</v>
      </c>
      <c r="N36" s="3" t="str">
        <f>IF(VLOOKUP($C36,'All Girls &amp; Descendants - Edit'!$C$2:$AK$440,'All Girls &amp; Descendants - Edit'!N$1,FALSE)=""," - ",(VLOOKUP($C36,'All Girls &amp; Descendants - Edit'!$C$2:$AK$440,'All Girls &amp; Descendants - Edit'!N$1,FALSE)))</f>
        <v xml:space="preserve"> - </v>
      </c>
      <c r="O36" s="3" t="str">
        <f>IF(VLOOKUP($C36,'All Girls &amp; Descendants - Edit'!$C$2:$AK$440,'All Girls &amp; Descendants - Edit'!O$1,FALSE)="","",(VLOOKUP($C36,'All Girls &amp; Descendants - Edit'!$C$2:$AK$440,'All Girls &amp; Descendants - Edit'!O$1,FALSE)))</f>
        <v/>
      </c>
      <c r="P36" s="3" t="str">
        <f t="shared" si="3"/>
        <v/>
      </c>
      <c r="Q36" s="178" t="str">
        <f t="shared" si="4"/>
        <v>65</v>
      </c>
      <c r="R36" s="23"/>
      <c r="S36" t="str">
        <f>VLOOKUP($C36,'All Girls &amp; Descendants - Edit'!$C$2:$AK$440,'All Girls &amp; Descendants - Edit'!S$1,FALSE)</f>
        <v>Female</v>
      </c>
      <c r="T36" s="176">
        <f t="shared" si="5"/>
        <v>5</v>
      </c>
      <c r="U36" s="176">
        <f t="shared" si="0"/>
        <v>3</v>
      </c>
      <c r="V36" s="176">
        <f t="shared" si="1"/>
        <v>4</v>
      </c>
      <c r="W36" s="177">
        <f t="shared" si="2"/>
        <v>1</v>
      </c>
      <c r="X36" s="3" t="str">
        <f>IF(VLOOKUP($C36,'All Girls &amp; Descendants - Edit'!$C$2:$AK$440,'All Girls &amp; Descendants - Edit'!X$1,FALSE)=""," - ",(VLOOKUP($C36,'All Girls &amp; Descendants - Edit'!$C$2:$AK$440,'All Girls &amp; Descendants - Edit'!X$1,FALSE)))</f>
        <v xml:space="preserve"> - </v>
      </c>
      <c r="Y36" s="3" t="str">
        <f>IF(VLOOKUP($C36,'All Girls &amp; Descendants - Edit'!$C$2:$AK$440,'All Girls &amp; Descendants - Edit'!Y$1,FALSE)=""," - ",(VLOOKUP($C36,'All Girls &amp; Descendants - Edit'!$C$2:$AK$440,'All Girls &amp; Descendants - Edit'!Y$1,FALSE)))</f>
        <v xml:space="preserve"> - </v>
      </c>
      <c r="Z36" s="3" t="str">
        <f>IF(VLOOKUP($C36,'All Girls &amp; Descendants - Edit'!$C$2:$AK$440,'All Girls &amp; Descendants - Edit'!Z$1,FALSE)=""," - ",(VLOOKUP($C36,'All Girls &amp; Descendants - Edit'!$C$2:$AK$440,'All Girls &amp; Descendants - Edit'!Z$1,FALSE)))</f>
        <v>Norma WHEELER of 7 Enys Quay, Truro, Cornwall, TR1 2HH. Baptised 17 Apr 1924 at St Andrew’s, Rugby. Educated Moreton Hall, Shropshire 1934-41, London Chamber of Commerce, Higher French (Gold Medalist) 1943, Archbishop’s (Lambeth) Dip in Theology 1954, Reading University, Inst of Education. (Cert in Ed) 1965 and London University, Teaching of Music (adv Dip) 1972. Government Communications 1943-45. Private Secretary to Bishop of Truro (Rt Rev J W Hunkin) 1948-50. Church trg &amp; voc work 1950-59. British Council 1960-63. Reading LEA, teaching 1965-79. Reading University, Dep of Russian 1980-84.</v>
      </c>
      <c r="AA36" s="101">
        <f>IF(VLOOKUP($C36,'All Girls &amp; Descendants - Edit'!$C$2:$AK$440,'All Girls &amp; Descendants - Edit'!AA$1,FALSE)=""," - ",(VLOOKUP($C36,'All Girls &amp; Descendants - Edit'!$C$2:$AK$440,'All Girls &amp; Descendants - Edit'!AA$1,FALSE)))</f>
        <v>119</v>
      </c>
      <c r="AB36" s="101">
        <f>IF(VLOOKUP($C36,'All Girls &amp; Descendants - Edit'!$C$2:$AK$440,'All Girls &amp; Descendants - Edit'!AB$1,FALSE)=""," - ",(VLOOKUP($C36,'All Girls &amp; Descendants - Edit'!$C$2:$AK$440,'All Girls &amp; Descendants - Edit'!AB$1,FALSE)))</f>
        <v>35</v>
      </c>
      <c r="AC36" s="101">
        <f>IF(VLOOKUP($C36,'All Girls &amp; Descendants - Edit'!$C$2:$AK$440,'All Girls &amp; Descendants - Edit'!AC$1,FALSE)=""," - ",(VLOOKUP($C36,'All Girls &amp; Descendants - Edit'!$C$2:$AK$440,'All Girls &amp; Descendants - Edit'!AC$1,FALSE)))</f>
        <v>1035</v>
      </c>
      <c r="AD36" s="3" t="str">
        <f>IF(VLOOKUP($C36,'All Girls &amp; Descendants - Edit'!$C$2:$AK$440,'All Girls &amp; Descendants - Edit'!AD$1,FALSE)=""," - ",(VLOOKUP($C36,'All Girls &amp; Descendants - Edit'!$C$2:$AK$440,'All Girls &amp; Descendants - Edit'!AD$1,FALSE)))</f>
        <v>65b</v>
      </c>
      <c r="AE36" s="3" t="str">
        <f>IF(VLOOKUP($C36,'All Girls &amp; Descendants - Edit'!$C$2:$AK$440,'All Girls &amp; Descendants - Edit'!AE$1,FALSE)=""," - ",(VLOOKUP($C36,'All Girls &amp; Descendants - Edit'!$C$2:$AK$440,'All Girls &amp; Descendants - Edit'!AE$1,FALSE)))</f>
        <v>Norma Monica Haig WHEELER (1924 - )</v>
      </c>
      <c r="AF36" s="3" t="str">
        <f>IF(VLOOKUP($C36,'All Girls &amp; Descendants - Edit'!$C$2:$AK$440,'All Girls &amp; Descendants - Edit'!AF$1,FALSE)=""," - ",(VLOOKUP($C36,'All Girls &amp; Descendants - Edit'!$C$2:$AK$440,'All Girls &amp; Descendants - Edit'!AF$1,FALSE)))</f>
        <v>Norma WHEELER (5th &amp; 65)</v>
      </c>
      <c r="AG36" s="3" t="str">
        <f>IF(VLOOKUP($C36,'All Girls &amp; Descendants - Edit'!$C$2:$AK$440,'All Girls &amp; Descendants - Edit'!AG$1,FALSE)=""," - ",(VLOOKUP($C36,'All Girls &amp; Descendants - Edit'!$C$2:$AK$440,'All Girls &amp; Descendants - Edit'!AG$1,FALSE)))</f>
        <v>Female</v>
      </c>
      <c r="AH36" s="3" t="str">
        <f>IF(VLOOKUP($C36,'All Girls &amp; Descendants - Edit'!$C$2:$AK$440,'All Girls &amp; Descendants - Edit'!AH$1,FALSE)=""," - ",(VLOOKUP($C36,'All Girls &amp; Descendants - Edit'!$C$2:$AK$440,'All Girls &amp; Descendants - Edit'!AH$1,FALSE)))</f>
        <v>5th</v>
      </c>
      <c r="AI36" s="3" t="str">
        <f>IF(VLOOKUP($C36,'All Girls &amp; Descendants - Edit'!$C$2:$AK$440,'All Girls &amp; Descendants - Edit'!AI$1,FALSE)=""," - ",(VLOOKUP($C36,'All Girls &amp; Descendants - Edit'!$C$2:$AK$440,'All Girls &amp; Descendants - Edit'!AI$1,FALSE)))</f>
        <v>Unmarried</v>
      </c>
      <c r="AJ36" s="3" t="str">
        <f>IF(VLOOKUP($C36,'All Girls &amp; Descendants - Edit'!$C$2:$AK$440,'All Girls &amp; Descendants - Edit'!AJ$1,FALSE)=""," - ",(VLOOKUP($C36,'All Girls &amp; Descendants - Edit'!$C$2:$AK$440,'All Girls &amp; Descendants - Edit'!AJ$1,FALSE)))</f>
        <v>Female. b. 04/02/1924 Norma WHEELER of 7 Enys Quay, Truro, Cornwall, TR1 2HH. Baptised 17 Apr 1924 at St Andrew’s, Rugby. Educated Moreton Hall, Shropshire 1934-41, London Chamber of Commerce, Higher French (Gold Medalist) 1943, Archbishop’s (Lambeth) Dip in Theology 1954, Reading University, Inst of Education. (Cert in Ed) 1965 and London University, Teaching of Music (adv Dip) 1972. Government Communications 1943-45. Private Secretary to Bishop of Truro (Rt Rev J W Hunkin) 1948-50. Church trg &amp; voc work 1950-59. British Council 1960-63. Reading LEA, teaching 1965-79. Reading University, Dep of Russian 1980-84.</v>
      </c>
      <c r="AK36" s="3" t="str">
        <f>IF(VLOOKUP($C36,'All Girls &amp; Descendants - Edit'!$C$2:$AK$440,'All Girls &amp; Descendants - Edit'!AK$1,FALSE)=""," - ",(VLOOKUP($C36,'All Girls &amp; Descendants - Edit'!$C$2:$AK$440,'All Girls &amp; Descendants - Edit'!AK$1,FALSE)))</f>
        <v>b. 04/02/1924</v>
      </c>
      <c r="AO36" s="1"/>
      <c r="AS36" s="72">
        <v>92</v>
      </c>
      <c r="AT36">
        <v>2</v>
      </c>
      <c r="AU36">
        <v>5</v>
      </c>
      <c r="AZ36">
        <v>7</v>
      </c>
      <c r="BA36">
        <v>2</v>
      </c>
      <c r="BB36">
        <v>1</v>
      </c>
      <c r="BC36">
        <v>5</v>
      </c>
      <c r="BD36">
        <v>1</v>
      </c>
      <c r="BH36">
        <v>9</v>
      </c>
      <c r="BI36">
        <v>16</v>
      </c>
    </row>
    <row r="37" spans="1:71" ht="19">
      <c r="A37">
        <f>VLOOKUP(B37,'Loyd List 1-190 - Edit'!$P$1:$R$219,3,FALSE)</f>
        <v>34</v>
      </c>
      <c r="B37">
        <f>'All Girls &amp; Descendants - Edit'!B38</f>
        <v>65</v>
      </c>
      <c r="C37" s="98" t="str">
        <f>'All Girls &amp; Descendants - Edit'!C38</f>
        <v>65c</v>
      </c>
      <c r="D37" s="2" t="str">
        <f>'All Girls &amp; Descendants - Edit'!D38</f>
        <v>WHEELER</v>
      </c>
      <c r="E37" t="str">
        <f>'All Girls &amp; Descendants - Edit'!E38</f>
        <v>Basil</v>
      </c>
      <c r="F37" t="str">
        <f>IF('All Girls &amp; Descendants - Edit'!F38="","",'All Girls &amp; Descendants - Edit'!F38)</f>
        <v>Norman</v>
      </c>
      <c r="G37" t="str">
        <f>IF('All Girls &amp; Descendants - Edit'!G38="","",'All Girls &amp; Descendants - Edit'!G38)</f>
        <v>Haig</v>
      </c>
      <c r="H37" t="str">
        <f>IF('All Girls &amp; Descendants - Edit'!H38="","",'All Girls &amp; Descendants - Edit'!H38)</f>
        <v/>
      </c>
      <c r="I37">
        <f>VLOOKUP($C37,'All Girls &amp; Descendants - Edit'!$C$2:$AK$440,'All Girls &amp; Descendants - Edit'!I$1,FALSE)</f>
        <v>1926</v>
      </c>
      <c r="J37" t="str">
        <f>VLOOKUP($C37,'All Girls &amp; Descendants - Edit'!$C$2:$AK$440,'All Girls &amp; Descendants - Edit'!J$1,FALSE)</f>
        <v/>
      </c>
      <c r="K37" s="9"/>
      <c r="L37" t="str">
        <f t="shared" ref="L37:L51" si="8">IF(M37="","",TEXT(M37,"dd/mm/yyyy"))</f>
        <v>03/09/1926</v>
      </c>
      <c r="M37" s="3">
        <f>VLOOKUP($C37,'All Girls &amp; Descendants - Edit'!$C$2:$AK$440,'All Girls &amp; Descendants - Edit'!M$1,FALSE)</f>
        <v>9743</v>
      </c>
      <c r="N37" s="3">
        <f>IF(VLOOKUP($C37,'All Girls &amp; Descendants - Edit'!$C$2:$AK$440,'All Girls &amp; Descendants - Edit'!N$1,FALSE)=""," - ",(VLOOKUP($C37,'All Girls &amp; Descendants - Edit'!$C$2:$AK$440,'All Girls &amp; Descendants - Edit'!N$1,FALSE)))</f>
        <v>25689</v>
      </c>
      <c r="O37" s="3" t="str">
        <f>IF(VLOOKUP($C37,'All Girls &amp; Descendants - Edit'!$C$2:$AK$440,'All Girls &amp; Descendants - Edit'!O$1,FALSE)="","",(VLOOKUP($C37,'All Girls &amp; Descendants - Edit'!$C$2:$AK$440,'All Girls &amp; Descendants - Edit'!O$1,FALSE)))</f>
        <v/>
      </c>
      <c r="P37" s="3" t="str">
        <f t="shared" si="3"/>
        <v/>
      </c>
      <c r="Q37" s="178" t="str">
        <f t="shared" si="4"/>
        <v>65</v>
      </c>
      <c r="R37" s="23"/>
      <c r="S37" t="str">
        <f>VLOOKUP($C37,'All Girls &amp; Descendants - Edit'!$C$2:$AK$440,'All Girls &amp; Descendants - Edit'!S$1,FALSE)</f>
        <v>Male</v>
      </c>
      <c r="T37" s="176">
        <f t="shared" si="5"/>
        <v>5</v>
      </c>
      <c r="U37" s="176">
        <f t="shared" si="0"/>
        <v>3</v>
      </c>
      <c r="V37" s="176">
        <f t="shared" si="1"/>
        <v>4</v>
      </c>
      <c r="W37" s="177">
        <f t="shared" si="2"/>
        <v>1</v>
      </c>
      <c r="X37" s="3" t="str">
        <f>IF(VLOOKUP($C37,'All Girls &amp; Descendants - Edit'!$C$2:$AK$440,'All Girls &amp; Descendants - Edit'!X$1,FALSE)=""," - ",(VLOOKUP($C37,'All Girls &amp; Descendants - Edit'!$C$2:$AK$440,'All Girls &amp; Descendants - Edit'!X$1,FALSE)))</f>
        <v>Pierrette CORCOS (b. 10/10/1944, d. ?)</v>
      </c>
      <c r="Y37" s="3" t="str">
        <f>IF(VLOOKUP($C37,'All Girls &amp; Descendants - Edit'!$C$2:$AK$440,'All Girls &amp; Descendants - Edit'!Y$1,FALSE)=""," - ",(VLOOKUP($C37,'All Girls &amp; Descendants - Edit'!$C$2:$AK$440,'All Girls &amp; Descendants - Edit'!Y$1,FALSE)))</f>
        <v>Married Pierrette (b. 10 Oct 1944) 3rd daughter of Salomon CORCOS of Safi, Morocco.</v>
      </c>
      <c r="Z37" s="3" t="str">
        <f>IF(VLOOKUP($C37,'All Girls &amp; Descendants - Edit'!$C$2:$AK$440,'All Girls &amp; Descendants - Edit'!Z$1,FALSE)=""," - ",(VLOOKUP($C37,'All Girls &amp; Descendants - Edit'!$C$2:$AK$440,'All Girls &amp; Descendants - Edit'!Z$1,FALSE)))</f>
        <v>Basil WHEELER of 3 Blandford Close, London, N2 0DH. Baptised 25 Nov 1926 at St Andrew’s, Rugby. Educated Marlborough 1940-44 and Christ’s College, Cambridge 1948-50 (BA). Oversea Civil Service, Uganda (Administration) 1951-62. Inter-Univ Council for Higher Education Overseas 1964-69. International African Institute 1972-76. Rand Medical Recruitment International from 1977, Proprietor from 1990.</v>
      </c>
      <c r="AA37" s="101">
        <f>IF(VLOOKUP($C37,'All Girls &amp; Descendants - Edit'!$C$2:$AK$440,'All Girls &amp; Descendants - Edit'!AA$1,FALSE)=""," - ",(VLOOKUP($C37,'All Girls &amp; Descendants - Edit'!$C$2:$AK$440,'All Girls &amp; Descendants - Edit'!AA$1,FALSE)))</f>
        <v>120</v>
      </c>
      <c r="AB37" s="101">
        <f>IF(VLOOKUP($C37,'All Girls &amp; Descendants - Edit'!$C$2:$AK$440,'All Girls &amp; Descendants - Edit'!AB$1,FALSE)=""," - ",(VLOOKUP($C37,'All Girls &amp; Descendants - Edit'!$C$2:$AK$440,'All Girls &amp; Descendants - Edit'!AB$1,FALSE)))</f>
        <v>36</v>
      </c>
      <c r="AC37" s="101">
        <f>IF(VLOOKUP($C37,'All Girls &amp; Descendants - Edit'!$C$2:$AK$440,'All Girls &amp; Descendants - Edit'!AC$1,FALSE)=""," - ",(VLOOKUP($C37,'All Girls &amp; Descendants - Edit'!$C$2:$AK$440,'All Girls &amp; Descendants - Edit'!AC$1,FALSE)))</f>
        <v>1036</v>
      </c>
      <c r="AD37" s="3" t="str">
        <f>IF(VLOOKUP($C37,'All Girls &amp; Descendants - Edit'!$C$2:$AK$440,'All Girls &amp; Descendants - Edit'!AD$1,FALSE)=""," - ",(VLOOKUP($C37,'All Girls &amp; Descendants - Edit'!$C$2:$AK$440,'All Girls &amp; Descendants - Edit'!AD$1,FALSE)))</f>
        <v>65c</v>
      </c>
      <c r="AE37" s="3" t="str">
        <f>IF(VLOOKUP($C37,'All Girls &amp; Descendants - Edit'!$C$2:$AK$440,'All Girls &amp; Descendants - Edit'!AE$1,FALSE)=""," - ",(VLOOKUP($C37,'All Girls &amp; Descendants - Edit'!$C$2:$AK$440,'All Girls &amp; Descendants - Edit'!AE$1,FALSE)))</f>
        <v>Basil Norman Haig WHEELER (1926 - )</v>
      </c>
      <c r="AF37" s="3" t="str">
        <f>IF(VLOOKUP($C37,'All Girls &amp; Descendants - Edit'!$C$2:$AK$440,'All Girls &amp; Descendants - Edit'!AF$1,FALSE)=""," - ",(VLOOKUP($C37,'All Girls &amp; Descendants - Edit'!$C$2:$AK$440,'All Girls &amp; Descendants - Edit'!AF$1,FALSE)))</f>
        <v>Basil WHEELER (5th &amp; 65)</v>
      </c>
      <c r="AG37" s="3" t="str">
        <f>IF(VLOOKUP($C37,'All Girls &amp; Descendants - Edit'!$C$2:$AK$440,'All Girls &amp; Descendants - Edit'!AG$1,FALSE)=""," - ",(VLOOKUP($C37,'All Girls &amp; Descendants - Edit'!$C$2:$AK$440,'All Girls &amp; Descendants - Edit'!AG$1,FALSE)))</f>
        <v>Male</v>
      </c>
      <c r="AH37" s="3" t="str">
        <f>IF(VLOOKUP($C37,'All Girls &amp; Descendants - Edit'!$C$2:$AK$440,'All Girls &amp; Descendants - Edit'!AH$1,FALSE)=""," - ",(VLOOKUP($C37,'All Girls &amp; Descendants - Edit'!$C$2:$AK$440,'All Girls &amp; Descendants - Edit'!AH$1,FALSE)))</f>
        <v>5th</v>
      </c>
      <c r="AI37" s="3" t="str">
        <f>IF(VLOOKUP($C37,'All Girls &amp; Descendants - Edit'!$C$2:$AK$440,'All Girls &amp; Descendants - Edit'!AI$1,FALSE)=""," - ",(VLOOKUP($C37,'All Girls &amp; Descendants - Edit'!$C$2:$AK$440,'All Girls &amp; Descendants - Edit'!AI$1,FALSE)))</f>
        <v>Wife: Pierrette CORCOS (b. 10/10/1944, d. ?). Married Pierrette (b. 10 Oct 1944) 3rd daughter of Salomon CORCOS of Safi, Morocco.</v>
      </c>
      <c r="AJ37" s="3" t="str">
        <f>IF(VLOOKUP($C37,'All Girls &amp; Descendants - Edit'!$C$2:$AK$440,'All Girls &amp; Descendants - Edit'!AJ$1,FALSE)=""," - ",(VLOOKUP($C37,'All Girls &amp; Descendants - Edit'!$C$2:$AK$440,'All Girls &amp; Descendants - Edit'!AJ$1,FALSE)))</f>
        <v>Male. b. 03/09/1926 Basil WHEELER of 3 Blandford Close, London, N2 0DH. Baptised 25 Nov 1926 at St Andrew’s, Rugby. Educated Marlborough 1940-44 and Christ’s College, Cambridge 1948-50 (BA). Oversea Civil Service, Uganda (Administration) 1951-62. Inter-Univ Council for Higher Education Overseas 1964-69. International African Institute 1972-76. Rand Medical Recruitment International from 1977, Proprietor from 1990.</v>
      </c>
      <c r="AK37" s="3" t="str">
        <f>IF(VLOOKUP($C37,'All Girls &amp; Descendants - Edit'!$C$2:$AK$440,'All Girls &amp; Descendants - Edit'!AK$1,FALSE)=""," - ",(VLOOKUP($C37,'All Girls &amp; Descendants - Edit'!$C$2:$AK$440,'All Girls &amp; Descendants - Edit'!AK$1,FALSE)))</f>
        <v>b. 03/09/1926</v>
      </c>
      <c r="AO37" s="1"/>
      <c r="AS37" s="72">
        <v>93</v>
      </c>
      <c r="BB37">
        <v>1</v>
      </c>
      <c r="BH37">
        <v>1</v>
      </c>
      <c r="BI37">
        <v>1</v>
      </c>
    </row>
    <row r="38" spans="1:71" ht="19">
      <c r="A38">
        <f>VLOOKUP(B38,'Loyd List 1-190 - Edit'!$P$1:$R$219,3,FALSE)</f>
        <v>46</v>
      </c>
      <c r="B38">
        <f>'All Girls &amp; Descendants - Edit'!B39</f>
        <v>70</v>
      </c>
      <c r="C38" s="98" t="str">
        <f>'All Girls &amp; Descendants - Edit'!C39</f>
        <v>70a</v>
      </c>
      <c r="D38" s="2" t="str">
        <f>'All Girls &amp; Descendants - Edit'!D39</f>
        <v>MICKLEM</v>
      </c>
      <c r="E38" t="str">
        <f>'All Girls &amp; Descendants - Edit'!E39</f>
        <v>Cynthia</v>
      </c>
      <c r="F38" t="str">
        <f>IF('All Girls &amp; Descendants - Edit'!F39="","",'All Girls &amp; Descendants - Edit'!F39)</f>
        <v>Violet</v>
      </c>
      <c r="G38" t="str">
        <f>IF('All Girls &amp; Descendants - Edit'!G39="","",'All Girls &amp; Descendants - Edit'!G39)</f>
        <v/>
      </c>
      <c r="H38" t="str">
        <f>IF('All Girls &amp; Descendants - Edit'!H39="","",'All Girls &amp; Descendants - Edit'!H39)</f>
        <v/>
      </c>
      <c r="I38">
        <f>VLOOKUP($C38,'All Girls &amp; Descendants - Edit'!$C$2:$AK$440,'All Girls &amp; Descendants - Edit'!I$1,FALSE)</f>
        <v>1921</v>
      </c>
      <c r="J38">
        <f>VLOOKUP($C38,'All Girls &amp; Descendants - Edit'!$C$2:$AK$440,'All Girls &amp; Descendants - Edit'!J$1,FALSE)</f>
        <v>1990</v>
      </c>
      <c r="K38" s="9"/>
      <c r="L38" t="str">
        <f t="shared" si="8"/>
        <v>11/10/1921</v>
      </c>
      <c r="M38" s="3">
        <f>VLOOKUP($C38,'All Girls &amp; Descendants - Edit'!$C$2:$AK$440,'All Girls &amp; Descendants - Edit'!M$1,FALSE)</f>
        <v>7955</v>
      </c>
      <c r="N38" s="3">
        <f>IF(VLOOKUP($C38,'All Girls &amp; Descendants - Edit'!$C$2:$AK$440,'All Girls &amp; Descendants - Edit'!N$1,FALSE)=""," - ",(VLOOKUP($C38,'All Girls &amp; Descendants - Edit'!$C$2:$AK$440,'All Girls &amp; Descendants - Edit'!N$1,FALSE)))</f>
        <v>18280</v>
      </c>
      <c r="O38" s="3">
        <f>IF(VLOOKUP($C38,'All Girls &amp; Descendants - Edit'!$C$2:$AK$440,'All Girls &amp; Descendants - Edit'!O$1,FALSE)="","",(VLOOKUP($C38,'All Girls &amp; Descendants - Edit'!$C$2:$AK$440,'All Girls &amp; Descendants - Edit'!O$1,FALSE)))</f>
        <v>32962</v>
      </c>
      <c r="P38" s="3" t="str">
        <f t="shared" si="3"/>
        <v>30/03/1990</v>
      </c>
      <c r="Q38" s="178" t="str">
        <f t="shared" si="4"/>
        <v>70</v>
      </c>
      <c r="R38" s="23"/>
      <c r="S38" t="str">
        <f>VLOOKUP($C38,'All Girls &amp; Descendants - Edit'!$C$2:$AK$440,'All Girls &amp; Descendants - Edit'!S$1,FALSE)</f>
        <v>Female</v>
      </c>
      <c r="T38" s="176">
        <f t="shared" si="5"/>
        <v>5</v>
      </c>
      <c r="U38" s="176">
        <f t="shared" si="0"/>
        <v>3</v>
      </c>
      <c r="V38" s="176">
        <f t="shared" si="1"/>
        <v>4</v>
      </c>
      <c r="W38" s="177">
        <f t="shared" si="2"/>
        <v>1</v>
      </c>
      <c r="X38" s="3" t="str">
        <f>IF(VLOOKUP($C38,'All Girls &amp; Descendants - Edit'!$C$2:$AK$440,'All Girls &amp; Descendants - Edit'!X$1,FALSE)=""," - ",(VLOOKUP($C38,'All Girls &amp; Descendants - Edit'!$C$2:$AK$440,'All Girls &amp; Descendants - Edit'!X$1,FALSE)))</f>
        <v>William Alan Watson SAHEARER (b. 13/08/1917, d. 09/07/1995)</v>
      </c>
      <c r="Y38" s="3" t="str">
        <f>IF(VLOOKUP($C38,'All Girls &amp; Descendants - Edit'!$C$2:$AK$440,'All Girls &amp; Descendants - Edit'!Y$1,FALSE)=""," - ",(VLOOKUP($C38,'All Girls &amp; Descendants - Edit'!$C$2:$AK$440,'All Girls &amp; Descendants - Edit'!Y$1,FALSE)))</f>
        <v>William SHEARER of Poplars Farm, Wollaston, Wellingborough, Northamptonshire. Died at Poplars Farm, buried in Wollaston Cemetery.</v>
      </c>
      <c r="Z38" s="3" t="str">
        <f>IF(VLOOKUP($C38,'All Girls &amp; Descendants - Edit'!$C$2:$AK$440,'All Girls &amp; Descendants - Edit'!Z$1,FALSE)=""," - ",(VLOOKUP($C38,'All Girls &amp; Descendants - Edit'!$C$2:$AK$440,'All Girls &amp; Descendants - Edit'!Z$1,FALSE)))</f>
        <v>SRN. Died at Poplars Farm, buried in Wollaston Cemetery.</v>
      </c>
      <c r="AA38" s="101">
        <f>IF(VLOOKUP($C38,'All Girls &amp; Descendants - Edit'!$C$2:$AK$440,'All Girls &amp; Descendants - Edit'!AA$1,FALSE)=""," - ",(VLOOKUP($C38,'All Girls &amp; Descendants - Edit'!$C$2:$AK$440,'All Girls &amp; Descendants - Edit'!AA$1,FALSE)))</f>
        <v>123</v>
      </c>
      <c r="AB38" s="101">
        <f>IF(VLOOKUP($C38,'All Girls &amp; Descendants - Edit'!$C$2:$AK$440,'All Girls &amp; Descendants - Edit'!AB$1,FALSE)=""," - ",(VLOOKUP($C38,'All Girls &amp; Descendants - Edit'!$C$2:$AK$440,'All Girls &amp; Descendants - Edit'!AB$1,FALSE)))</f>
        <v>37</v>
      </c>
      <c r="AC38" s="101">
        <f>IF(VLOOKUP($C38,'All Girls &amp; Descendants - Edit'!$C$2:$AK$440,'All Girls &amp; Descendants - Edit'!AC$1,FALSE)=""," - ",(VLOOKUP($C38,'All Girls &amp; Descendants - Edit'!$C$2:$AK$440,'All Girls &amp; Descendants - Edit'!AC$1,FALSE)))</f>
        <v>1037</v>
      </c>
      <c r="AD38" s="3" t="str">
        <f>IF(VLOOKUP($C38,'All Girls &amp; Descendants - Edit'!$C$2:$AK$440,'All Girls &amp; Descendants - Edit'!AD$1,FALSE)=""," - ",(VLOOKUP($C38,'All Girls &amp; Descendants - Edit'!$C$2:$AK$440,'All Girls &amp; Descendants - Edit'!AD$1,FALSE)))</f>
        <v>70a</v>
      </c>
      <c r="AE38" s="3" t="str">
        <f>IF(VLOOKUP($C38,'All Girls &amp; Descendants - Edit'!$C$2:$AK$440,'All Girls &amp; Descendants - Edit'!AE$1,FALSE)=""," - ",(VLOOKUP($C38,'All Girls &amp; Descendants - Edit'!$C$2:$AK$440,'All Girls &amp; Descendants - Edit'!AE$1,FALSE)))</f>
        <v>Cynthia Violet  MICKLEM (1921 - 1990)</v>
      </c>
      <c r="AF38" s="3" t="str">
        <f>IF(VLOOKUP($C38,'All Girls &amp; Descendants - Edit'!$C$2:$AK$440,'All Girls &amp; Descendants - Edit'!AF$1,FALSE)=""," - ",(VLOOKUP($C38,'All Girls &amp; Descendants - Edit'!$C$2:$AK$440,'All Girls &amp; Descendants - Edit'!AF$1,FALSE)))</f>
        <v>Cynthia MICKLEM (5th &amp; 70)</v>
      </c>
      <c r="AG38" s="3" t="str">
        <f>IF(VLOOKUP($C38,'All Girls &amp; Descendants - Edit'!$C$2:$AK$440,'All Girls &amp; Descendants - Edit'!AG$1,FALSE)=""," - ",(VLOOKUP($C38,'All Girls &amp; Descendants - Edit'!$C$2:$AK$440,'All Girls &amp; Descendants - Edit'!AG$1,FALSE)))</f>
        <v>Female</v>
      </c>
      <c r="AH38" s="3" t="str">
        <f>IF(VLOOKUP($C38,'All Girls &amp; Descendants - Edit'!$C$2:$AK$440,'All Girls &amp; Descendants - Edit'!AH$1,FALSE)=""," - ",(VLOOKUP($C38,'All Girls &amp; Descendants - Edit'!$C$2:$AK$440,'All Girls &amp; Descendants - Edit'!AH$1,FALSE)))</f>
        <v>5th</v>
      </c>
      <c r="AI38" s="3" t="str">
        <f>IF(VLOOKUP($C38,'All Girls &amp; Descendants - Edit'!$C$2:$AK$440,'All Girls &amp; Descendants - Edit'!AI$1,FALSE)=""," - ",(VLOOKUP($C38,'All Girls &amp; Descendants - Edit'!$C$2:$AK$440,'All Girls &amp; Descendants - Edit'!AI$1,FALSE)))</f>
        <v>Husband: William Alan Watson SAHEARER (b. 13/08/1917, d. 09/07/1995). William SHEARER of Poplars Farm, Wollaston, Wellingborough, Northamptonshire. Died at Poplars Farm, buried in Wollaston Cemetery.</v>
      </c>
      <c r="AJ38" s="3" t="str">
        <f>IF(VLOOKUP($C38,'All Girls &amp; Descendants - Edit'!$C$2:$AK$440,'All Girls &amp; Descendants - Edit'!AJ$1,FALSE)=""," - ",(VLOOKUP($C38,'All Girls &amp; Descendants - Edit'!$C$2:$AK$440,'All Girls &amp; Descendants - Edit'!AJ$1,FALSE)))</f>
        <v>Female. b. 11/10/1921, d. 30/03/1990. SRN. Died at Poplars Farm, buried in Wollaston Cemetery.</v>
      </c>
      <c r="AK38" s="3" t="str">
        <f>IF(VLOOKUP($C38,'All Girls &amp; Descendants - Edit'!$C$2:$AK$440,'All Girls &amp; Descendants - Edit'!AK$1,FALSE)=""," - ",(VLOOKUP($C38,'All Girls &amp; Descendants - Edit'!$C$2:$AK$440,'All Girls &amp; Descendants - Edit'!AK$1,FALSE)))</f>
        <v>b. 11/10/1921, d. 30/03/1990.</v>
      </c>
      <c r="AO38" s="1"/>
      <c r="AS38" s="72">
        <v>95</v>
      </c>
      <c r="AU38">
        <v>2</v>
      </c>
      <c r="AZ38">
        <v>2</v>
      </c>
      <c r="BA38">
        <v>2</v>
      </c>
      <c r="BB38">
        <v>1</v>
      </c>
      <c r="BC38">
        <v>1</v>
      </c>
      <c r="BH38">
        <v>4</v>
      </c>
      <c r="BI38">
        <v>6</v>
      </c>
    </row>
    <row r="39" spans="1:71" ht="19">
      <c r="A39">
        <f>VLOOKUP(B39,'Loyd List 1-190 - Edit'!$P$1:$R$219,3,FALSE)</f>
        <v>46</v>
      </c>
      <c r="B39">
        <f>'All Girls &amp; Descendants - Edit'!B40</f>
        <v>70</v>
      </c>
      <c r="C39" s="98" t="str">
        <f>'All Girls &amp; Descendants - Edit'!C40</f>
        <v>70b</v>
      </c>
      <c r="D39" s="2" t="str">
        <f>'All Girls &amp; Descendants - Edit'!D40</f>
        <v>MICKLEM</v>
      </c>
      <c r="E39" t="str">
        <f>'All Girls &amp; Descendants - Edit'!E40</f>
        <v>Dora</v>
      </c>
      <c r="F39" t="str">
        <f>IF('All Girls &amp; Descendants - Edit'!F40="","",'All Girls &amp; Descendants - Edit'!F40)</f>
        <v>Margaret</v>
      </c>
      <c r="G39" t="str">
        <f>IF('All Girls &amp; Descendants - Edit'!G40="","",'All Girls &amp; Descendants - Edit'!G40)</f>
        <v/>
      </c>
      <c r="H39" t="str">
        <f>IF('All Girls &amp; Descendants - Edit'!H40="","",'All Girls &amp; Descendants - Edit'!H40)</f>
        <v/>
      </c>
      <c r="I39">
        <f>VLOOKUP($C39,'All Girls &amp; Descendants - Edit'!$C$2:$AK$440,'All Girls &amp; Descendants - Edit'!I$1,FALSE)</f>
        <v>1924</v>
      </c>
      <c r="J39" t="str">
        <f>VLOOKUP($C39,'All Girls &amp; Descendants - Edit'!$C$2:$AK$440,'All Girls &amp; Descendants - Edit'!J$1,FALSE)</f>
        <v/>
      </c>
      <c r="K39" s="9"/>
      <c r="L39" t="str">
        <f t="shared" si="8"/>
        <v>06/04/1924</v>
      </c>
      <c r="M39" s="3">
        <f>VLOOKUP($C39,'All Girls &amp; Descendants - Edit'!$C$2:$AK$440,'All Girls &amp; Descendants - Edit'!M$1,FALSE)</f>
        <v>8863</v>
      </c>
      <c r="N39" s="3">
        <f>IF(VLOOKUP($C39,'All Girls &amp; Descendants - Edit'!$C$2:$AK$440,'All Girls &amp; Descendants - Edit'!N$1,FALSE)=""," - ",(VLOOKUP($C39,'All Girls &amp; Descendants - Edit'!$C$2:$AK$440,'All Girls &amp; Descendants - Edit'!N$1,FALSE)))</f>
        <v>19873</v>
      </c>
      <c r="O39" s="3" t="str">
        <f>IF(VLOOKUP($C39,'All Girls &amp; Descendants - Edit'!$C$2:$AK$440,'All Girls &amp; Descendants - Edit'!O$1,FALSE)="","",(VLOOKUP($C39,'All Girls &amp; Descendants - Edit'!$C$2:$AK$440,'All Girls &amp; Descendants - Edit'!O$1,FALSE)))</f>
        <v/>
      </c>
      <c r="P39" s="3" t="str">
        <f t="shared" si="3"/>
        <v/>
      </c>
      <c r="Q39" s="178" t="str">
        <f t="shared" si="4"/>
        <v>70</v>
      </c>
      <c r="R39" s="23"/>
      <c r="S39" t="str">
        <f>VLOOKUP($C39,'All Girls &amp; Descendants - Edit'!$C$2:$AK$440,'All Girls &amp; Descendants - Edit'!S$1,FALSE)</f>
        <v>Female</v>
      </c>
      <c r="T39" s="176">
        <f t="shared" si="5"/>
        <v>5</v>
      </c>
      <c r="U39" s="176">
        <f t="shared" si="0"/>
        <v>3</v>
      </c>
      <c r="V39" s="176">
        <f t="shared" si="1"/>
        <v>4</v>
      </c>
      <c r="W39" s="177">
        <f t="shared" si="2"/>
        <v>1</v>
      </c>
      <c r="X39" s="3" t="str">
        <f>IF(VLOOKUP($C39,'All Girls &amp; Descendants - Edit'!$C$2:$AK$440,'All Girls &amp; Descendants - Edit'!X$1,FALSE)=""," - ",(VLOOKUP($C39,'All Girls &amp; Descendants - Edit'!$C$2:$AK$440,'All Girls &amp; Descendants - Edit'!X$1,FALSE)))</f>
        <v>Peter MELITUS (b. 24/09/1922, d. ?)</v>
      </c>
      <c r="Y39" s="3" t="str">
        <f>IF(VLOOKUP($C39,'All Girls &amp; Descendants - Edit'!$C$2:$AK$440,'All Girls &amp; Descendants - Edit'!Y$1,FALSE)=""," - ",(VLOOKUP($C39,'All Girls &amp; Descendants - Edit'!$C$2:$AK$440,'All Girls &amp; Descendants - Edit'!Y$1,FALSE)))</f>
        <v>Married Peter MELITUS Captain, King’s Hussars, of 72 Manor Road, Dorchester, Dorset DT1 2AZ.</v>
      </c>
      <c r="Z39" s="3" t="str">
        <f>IF(VLOOKUP($C39,'All Girls &amp; Descendants - Edit'!$C$2:$AK$440,'All Girls &amp; Descendants - Edit'!Z$1,FALSE)=""," - ",(VLOOKUP($C39,'All Girls &amp; Descendants - Edit'!$C$2:$AK$440,'All Girls &amp; Descendants - Edit'!Z$1,FALSE)))</f>
        <v xml:space="preserve"> - </v>
      </c>
      <c r="AA39" s="101">
        <f>IF(VLOOKUP($C39,'All Girls &amp; Descendants - Edit'!$C$2:$AK$440,'All Girls &amp; Descendants - Edit'!AA$1,FALSE)=""," - ",(VLOOKUP($C39,'All Girls &amp; Descendants - Edit'!$C$2:$AK$440,'All Girls &amp; Descendants - Edit'!AA$1,FALSE)))</f>
        <v>131</v>
      </c>
      <c r="AB39" s="101">
        <f>IF(VLOOKUP($C39,'All Girls &amp; Descendants - Edit'!$C$2:$AK$440,'All Girls &amp; Descendants - Edit'!AB$1,FALSE)=""," - ",(VLOOKUP($C39,'All Girls &amp; Descendants - Edit'!$C$2:$AK$440,'All Girls &amp; Descendants - Edit'!AB$1,FALSE)))</f>
        <v>38</v>
      </c>
      <c r="AC39" s="101">
        <f>IF(VLOOKUP($C39,'All Girls &amp; Descendants - Edit'!$C$2:$AK$440,'All Girls &amp; Descendants - Edit'!AC$1,FALSE)=""," - ",(VLOOKUP($C39,'All Girls &amp; Descendants - Edit'!$C$2:$AK$440,'All Girls &amp; Descendants - Edit'!AC$1,FALSE)))</f>
        <v>1038</v>
      </c>
      <c r="AD39" s="3" t="str">
        <f>IF(VLOOKUP($C39,'All Girls &amp; Descendants - Edit'!$C$2:$AK$440,'All Girls &amp; Descendants - Edit'!AD$1,FALSE)=""," - ",(VLOOKUP($C39,'All Girls &amp; Descendants - Edit'!$C$2:$AK$440,'All Girls &amp; Descendants - Edit'!AD$1,FALSE)))</f>
        <v>70b</v>
      </c>
      <c r="AE39" s="3" t="str">
        <f>IF(VLOOKUP($C39,'All Girls &amp; Descendants - Edit'!$C$2:$AK$440,'All Girls &amp; Descendants - Edit'!AE$1,FALSE)=""," - ",(VLOOKUP($C39,'All Girls &amp; Descendants - Edit'!$C$2:$AK$440,'All Girls &amp; Descendants - Edit'!AE$1,FALSE)))</f>
        <v>Dora Margaret  MICKLEM (1924 - )</v>
      </c>
      <c r="AF39" s="3" t="str">
        <f>IF(VLOOKUP($C39,'All Girls &amp; Descendants - Edit'!$C$2:$AK$440,'All Girls &amp; Descendants - Edit'!AF$1,FALSE)=""," - ",(VLOOKUP($C39,'All Girls &amp; Descendants - Edit'!$C$2:$AK$440,'All Girls &amp; Descendants - Edit'!AF$1,FALSE)))</f>
        <v>Dora MICKLEM (5th &amp; 70)</v>
      </c>
      <c r="AG39" s="3" t="str">
        <f>IF(VLOOKUP($C39,'All Girls &amp; Descendants - Edit'!$C$2:$AK$440,'All Girls &amp; Descendants - Edit'!AG$1,FALSE)=""," - ",(VLOOKUP($C39,'All Girls &amp; Descendants - Edit'!$C$2:$AK$440,'All Girls &amp; Descendants - Edit'!AG$1,FALSE)))</f>
        <v>Female</v>
      </c>
      <c r="AH39" s="3" t="str">
        <f>IF(VLOOKUP($C39,'All Girls &amp; Descendants - Edit'!$C$2:$AK$440,'All Girls &amp; Descendants - Edit'!AH$1,FALSE)=""," - ",(VLOOKUP($C39,'All Girls &amp; Descendants - Edit'!$C$2:$AK$440,'All Girls &amp; Descendants - Edit'!AH$1,FALSE)))</f>
        <v>5th</v>
      </c>
      <c r="AI39" s="3" t="str">
        <f>IF(VLOOKUP($C39,'All Girls &amp; Descendants - Edit'!$C$2:$AK$440,'All Girls &amp; Descendants - Edit'!AI$1,FALSE)=""," - ",(VLOOKUP($C39,'All Girls &amp; Descendants - Edit'!$C$2:$AK$440,'All Girls &amp; Descendants - Edit'!AI$1,FALSE)))</f>
        <v>Husband: Peter MELITUS (b. 24/09/1922, d. ?). Married Peter MELITUS Captain, King’s Hussars, of 72 Manor Road, Dorchester, Dorset DT1 2AZ.</v>
      </c>
      <c r="AJ39" s="3" t="str">
        <f>IF(VLOOKUP($C39,'All Girls &amp; Descendants - Edit'!$C$2:$AK$440,'All Girls &amp; Descendants - Edit'!AJ$1,FALSE)=""," - ",(VLOOKUP($C39,'All Girls &amp; Descendants - Edit'!$C$2:$AK$440,'All Girls &amp; Descendants - Edit'!AJ$1,FALSE)))</f>
        <v>Female. b. 06/04/1924</v>
      </c>
      <c r="AK39" s="3" t="str">
        <f>IF(VLOOKUP($C39,'All Girls &amp; Descendants - Edit'!$C$2:$AK$440,'All Girls &amp; Descendants - Edit'!AK$1,FALSE)=""," - ",(VLOOKUP($C39,'All Girls &amp; Descendants - Edit'!$C$2:$AK$440,'All Girls &amp; Descendants - Edit'!AK$1,FALSE)))</f>
        <v>b. 06/04/1924</v>
      </c>
      <c r="AO39" s="1"/>
      <c r="AS39" s="72">
        <v>97</v>
      </c>
      <c r="AT39">
        <v>4</v>
      </c>
      <c r="AU39">
        <v>3</v>
      </c>
      <c r="AZ39">
        <v>7</v>
      </c>
      <c r="BA39">
        <v>1</v>
      </c>
      <c r="BB39">
        <v>1</v>
      </c>
      <c r="BC39">
        <v>1</v>
      </c>
      <c r="BH39">
        <v>3</v>
      </c>
      <c r="BI39">
        <v>10</v>
      </c>
    </row>
    <row r="40" spans="1:71" ht="19">
      <c r="A40">
        <f>VLOOKUP(B40,'Loyd List 1-190 - Edit'!$P$1:$R$219,3,FALSE)</f>
        <v>46</v>
      </c>
      <c r="B40">
        <f>'All Girls &amp; Descendants - Edit'!B41</f>
        <v>70</v>
      </c>
      <c r="C40" s="98" t="str">
        <f>'All Girls &amp; Descendants - Edit'!C41</f>
        <v>70c</v>
      </c>
      <c r="D40" s="2" t="str">
        <f>'All Girls &amp; Descendants - Edit'!D41</f>
        <v>MICKLEM</v>
      </c>
      <c r="E40" t="str">
        <f>'All Girls &amp; Descendants - Edit'!E41</f>
        <v>Anne</v>
      </c>
      <c r="F40" t="str">
        <f>IF('All Girls &amp; Descendants - Edit'!F41="","",'All Girls &amp; Descendants - Edit'!F41)</f>
        <v>Gertrude</v>
      </c>
      <c r="G40" t="str">
        <f>IF('All Girls &amp; Descendants - Edit'!G41="","",'All Girls &amp; Descendants - Edit'!G41)</f>
        <v/>
      </c>
      <c r="H40" t="str">
        <f>IF('All Girls &amp; Descendants - Edit'!H41="","",'All Girls &amp; Descendants - Edit'!H41)</f>
        <v/>
      </c>
      <c r="I40">
        <f>VLOOKUP($C40,'All Girls &amp; Descendants - Edit'!$C$2:$AK$440,'All Girls &amp; Descendants - Edit'!I$1,FALSE)</f>
        <v>1925</v>
      </c>
      <c r="J40" t="str">
        <f>VLOOKUP($C40,'All Girls &amp; Descendants - Edit'!$C$2:$AK$440,'All Girls &amp; Descendants - Edit'!J$1,FALSE)</f>
        <v/>
      </c>
      <c r="K40" s="9"/>
      <c r="L40" t="str">
        <f t="shared" si="8"/>
        <v>24/09/1925</v>
      </c>
      <c r="M40" s="3">
        <f>VLOOKUP($C40,'All Girls &amp; Descendants - Edit'!$C$2:$AK$440,'All Girls &amp; Descendants - Edit'!M$1,FALSE)</f>
        <v>9399</v>
      </c>
      <c r="N40" s="3">
        <f>IF(VLOOKUP($C40,'All Girls &amp; Descendants - Edit'!$C$2:$AK$440,'All Girls &amp; Descendants - Edit'!N$1,FALSE)=""," - ",(VLOOKUP($C40,'All Girls &amp; Descendants - Edit'!$C$2:$AK$440,'All Girls &amp; Descendants - Edit'!N$1,FALSE)))</f>
        <v>18606</v>
      </c>
      <c r="O40" s="3" t="str">
        <f>IF(VLOOKUP($C40,'All Girls &amp; Descendants - Edit'!$C$2:$AK$440,'All Girls &amp; Descendants - Edit'!O$1,FALSE)="","",(VLOOKUP($C40,'All Girls &amp; Descendants - Edit'!$C$2:$AK$440,'All Girls &amp; Descendants - Edit'!O$1,FALSE)))</f>
        <v/>
      </c>
      <c r="P40" s="3" t="str">
        <f t="shared" si="3"/>
        <v/>
      </c>
      <c r="Q40" s="178" t="str">
        <f t="shared" si="4"/>
        <v>70</v>
      </c>
      <c r="R40" s="23"/>
      <c r="S40" t="str">
        <f>VLOOKUP($C40,'All Girls &amp; Descendants - Edit'!$C$2:$AK$440,'All Girls &amp; Descendants - Edit'!S$1,FALSE)</f>
        <v>Female</v>
      </c>
      <c r="T40" s="176">
        <f t="shared" si="5"/>
        <v>5</v>
      </c>
      <c r="U40" s="176">
        <f t="shared" si="0"/>
        <v>3</v>
      </c>
      <c r="V40" s="176">
        <f t="shared" si="1"/>
        <v>4</v>
      </c>
      <c r="W40" s="177">
        <f t="shared" si="2"/>
        <v>1</v>
      </c>
      <c r="X40" s="3" t="str">
        <f>IF(VLOOKUP($C40,'All Girls &amp; Descendants - Edit'!$C$2:$AK$440,'All Girls &amp; Descendants - Edit'!X$1,FALSE)=""," - ",(VLOOKUP($C40,'All Girls &amp; Descendants - Edit'!$C$2:$AK$440,'All Girls &amp; Descendants - Edit'!X$1,FALSE)))</f>
        <v>Sir Arthur John (Jack) PAGE (b. 16/09/1919, d.?)</v>
      </c>
      <c r="Y40" s="3" t="str">
        <f>IF(VLOOKUP($C40,'All Girls &amp; Descendants - Edit'!$C$2:$AK$440,'All Girls &amp; Descendants - Edit'!Y$1,FALSE)=""," - ",(VLOOKUP($C40,'All Girls &amp; Descendants - Edit'!$C$2:$AK$440,'All Girls &amp; Descendants - Edit'!Y$1,FALSE)))</f>
        <v>Married  Sir Arthur John (Jack) of Hitcham Lodge, Taplow, Maidenhead, Berkshire, SL6 0HG. MP for Harrow West 1960-87.</v>
      </c>
      <c r="Z40" s="3" t="str">
        <f>IF(VLOOKUP($C40,'All Girls &amp; Descendants - Edit'!$C$2:$AK$440,'All Girls &amp; Descendants - Edit'!Z$1,FALSE)=""," - ",(VLOOKUP($C40,'All Girls &amp; Descendants - Edit'!$C$2:$AK$440,'All Girls &amp; Descendants - Edit'!Z$1,FALSE)))</f>
        <v>Educated Cambridge (MA).</v>
      </c>
      <c r="AA40" s="101">
        <f>IF(VLOOKUP($C40,'All Girls &amp; Descendants - Edit'!$C$2:$AK$440,'All Girls &amp; Descendants - Edit'!AA$1,FALSE)=""," - ",(VLOOKUP($C40,'All Girls &amp; Descendants - Edit'!$C$2:$AK$440,'All Girls &amp; Descendants - Edit'!AA$1,FALSE)))</f>
        <v>139</v>
      </c>
      <c r="AB40" s="101">
        <f>IF(VLOOKUP($C40,'All Girls &amp; Descendants - Edit'!$C$2:$AK$440,'All Girls &amp; Descendants - Edit'!AB$1,FALSE)=""," - ",(VLOOKUP($C40,'All Girls &amp; Descendants - Edit'!$C$2:$AK$440,'All Girls &amp; Descendants - Edit'!AB$1,FALSE)))</f>
        <v>39</v>
      </c>
      <c r="AC40" s="101">
        <f>IF(VLOOKUP($C40,'All Girls &amp; Descendants - Edit'!$C$2:$AK$440,'All Girls &amp; Descendants - Edit'!AC$1,FALSE)=""," - ",(VLOOKUP($C40,'All Girls &amp; Descendants - Edit'!$C$2:$AK$440,'All Girls &amp; Descendants - Edit'!AC$1,FALSE)))</f>
        <v>1039</v>
      </c>
      <c r="AD40" s="3" t="str">
        <f>IF(VLOOKUP($C40,'All Girls &amp; Descendants - Edit'!$C$2:$AK$440,'All Girls &amp; Descendants - Edit'!AD$1,FALSE)=""," - ",(VLOOKUP($C40,'All Girls &amp; Descendants - Edit'!$C$2:$AK$440,'All Girls &amp; Descendants - Edit'!AD$1,FALSE)))</f>
        <v>70c</v>
      </c>
      <c r="AE40" s="3" t="str">
        <f>IF(VLOOKUP($C40,'All Girls &amp; Descendants - Edit'!$C$2:$AK$440,'All Girls &amp; Descendants - Edit'!AE$1,FALSE)=""," - ",(VLOOKUP($C40,'All Girls &amp; Descendants - Edit'!$C$2:$AK$440,'All Girls &amp; Descendants - Edit'!AE$1,FALSE)))</f>
        <v>Anne Gertrude  MICKLEM (1925 - )</v>
      </c>
      <c r="AF40" s="3" t="str">
        <f>IF(VLOOKUP($C40,'All Girls &amp; Descendants - Edit'!$C$2:$AK$440,'All Girls &amp; Descendants - Edit'!AF$1,FALSE)=""," - ",(VLOOKUP($C40,'All Girls &amp; Descendants - Edit'!$C$2:$AK$440,'All Girls &amp; Descendants - Edit'!AF$1,FALSE)))</f>
        <v>Anne MICKLEM (5th &amp; 70)</v>
      </c>
      <c r="AG40" s="3" t="str">
        <f>IF(VLOOKUP($C40,'All Girls &amp; Descendants - Edit'!$C$2:$AK$440,'All Girls &amp; Descendants - Edit'!AG$1,FALSE)=""," - ",(VLOOKUP($C40,'All Girls &amp; Descendants - Edit'!$C$2:$AK$440,'All Girls &amp; Descendants - Edit'!AG$1,FALSE)))</f>
        <v>Female</v>
      </c>
      <c r="AH40" s="3" t="str">
        <f>IF(VLOOKUP($C40,'All Girls &amp; Descendants - Edit'!$C$2:$AK$440,'All Girls &amp; Descendants - Edit'!AH$1,FALSE)=""," - ",(VLOOKUP($C40,'All Girls &amp; Descendants - Edit'!$C$2:$AK$440,'All Girls &amp; Descendants - Edit'!AH$1,FALSE)))</f>
        <v>5th</v>
      </c>
      <c r="AI40" s="3" t="str">
        <f>IF(VLOOKUP($C40,'All Girls &amp; Descendants - Edit'!$C$2:$AK$440,'All Girls &amp; Descendants - Edit'!AI$1,FALSE)=""," - ",(VLOOKUP($C40,'All Girls &amp; Descendants - Edit'!$C$2:$AK$440,'All Girls &amp; Descendants - Edit'!AI$1,FALSE)))</f>
        <v>Husband: Sir Arthur John (Jack) PAGE (b. 16/09/1919, d.?). Married  Sir Arthur John (Jack) of Hitcham Lodge, Taplow, Maidenhead, Berkshire, SL6 0HG. MP for Harrow West 1960-87.</v>
      </c>
      <c r="AJ40" s="3" t="str">
        <f>IF(VLOOKUP($C40,'All Girls &amp; Descendants - Edit'!$C$2:$AK$440,'All Girls &amp; Descendants - Edit'!AJ$1,FALSE)=""," - ",(VLOOKUP($C40,'All Girls &amp; Descendants - Edit'!$C$2:$AK$440,'All Girls &amp; Descendants - Edit'!AJ$1,FALSE)))</f>
        <v>Female. b. 24/09/1925 Educated Cambridge (MA).</v>
      </c>
      <c r="AK40" s="3" t="str">
        <f>IF(VLOOKUP($C40,'All Girls &amp; Descendants - Edit'!$C$2:$AK$440,'All Girls &amp; Descendants - Edit'!AK$1,FALSE)=""," - ",(VLOOKUP($C40,'All Girls &amp; Descendants - Edit'!$C$2:$AK$440,'All Girls &amp; Descendants - Edit'!AK$1,FALSE)))</f>
        <v>b. 24/09/1925</v>
      </c>
      <c r="AO40" s="1"/>
      <c r="AS40" s="72">
        <v>101</v>
      </c>
      <c r="AU40">
        <v>11</v>
      </c>
      <c r="AZ40">
        <v>11</v>
      </c>
      <c r="BA40">
        <v>6</v>
      </c>
      <c r="BB40">
        <v>1</v>
      </c>
      <c r="BC40">
        <v>5</v>
      </c>
      <c r="BH40">
        <v>12</v>
      </c>
      <c r="BI40">
        <v>23</v>
      </c>
    </row>
    <row r="41" spans="1:71" ht="19">
      <c r="A41">
        <f>VLOOKUP(B41,'Loyd List 1-190 - Edit'!$P$1:$R$219,3,FALSE)</f>
        <v>46</v>
      </c>
      <c r="B41">
        <f>'All Girls &amp; Descendants - Edit'!B42</f>
        <v>70</v>
      </c>
      <c r="C41" s="98" t="str">
        <f>'All Girls &amp; Descendants - Edit'!C42</f>
        <v>70d</v>
      </c>
      <c r="D41" s="2" t="str">
        <f>'All Girls &amp; Descendants - Edit'!D42</f>
        <v>MICKLEM</v>
      </c>
      <c r="E41" t="str">
        <f>'All Girls &amp; Descendants - Edit'!E42</f>
        <v>Thomas</v>
      </c>
      <c r="F41" t="str">
        <f>IF('All Girls &amp; Descendants - Edit'!F42="","",'All Girls &amp; Descendants - Edit'!F42)</f>
        <v>Charles</v>
      </c>
      <c r="G41" t="str">
        <f>IF('All Girls &amp; Descendants - Edit'!G42="","",'All Girls &amp; Descendants - Edit'!G42)</f>
        <v>Weguelin</v>
      </c>
      <c r="H41" t="str">
        <f>IF('All Girls &amp; Descendants - Edit'!H42="","",'All Girls &amp; Descendants - Edit'!H42)</f>
        <v>Tom</v>
      </c>
      <c r="I41">
        <f>VLOOKUP($C41,'All Girls &amp; Descendants - Edit'!$C$2:$AK$440,'All Girls &amp; Descendants - Edit'!I$1,FALSE)</f>
        <v>1926</v>
      </c>
      <c r="J41" t="str">
        <f>VLOOKUP($C41,'All Girls &amp; Descendants - Edit'!$C$2:$AK$440,'All Girls &amp; Descendants - Edit'!J$1,FALSE)</f>
        <v/>
      </c>
      <c r="K41" s="9"/>
      <c r="L41" t="str">
        <f t="shared" si="8"/>
        <v>04/11/1926</v>
      </c>
      <c r="M41" s="3">
        <f>VLOOKUP($C41,'All Girls &amp; Descendants - Edit'!$C$2:$AK$440,'All Girls &amp; Descendants - Edit'!M$1,FALSE)</f>
        <v>9805</v>
      </c>
      <c r="N41" s="3">
        <f>IF(VLOOKUP($C41,'All Girls &amp; Descendants - Edit'!$C$2:$AK$440,'All Girls &amp; Descendants - Edit'!N$1,FALSE)=""," - ",(VLOOKUP($C41,'All Girls &amp; Descendants - Edit'!$C$2:$AK$440,'All Girls &amp; Descendants - Edit'!N$1,FALSE)))</f>
        <v>20986</v>
      </c>
      <c r="O41" s="3" t="str">
        <f>IF(VLOOKUP($C41,'All Girls &amp; Descendants - Edit'!$C$2:$AK$440,'All Girls &amp; Descendants - Edit'!O$1,FALSE)="","",(VLOOKUP($C41,'All Girls &amp; Descendants - Edit'!$C$2:$AK$440,'All Girls &amp; Descendants - Edit'!O$1,FALSE)))</f>
        <v/>
      </c>
      <c r="P41" s="3" t="str">
        <f t="shared" si="3"/>
        <v/>
      </c>
      <c r="Q41" s="178" t="str">
        <f t="shared" si="4"/>
        <v>70</v>
      </c>
      <c r="R41" s="23"/>
      <c r="S41" t="str">
        <f>VLOOKUP($C41,'All Girls &amp; Descendants - Edit'!$C$2:$AK$440,'All Girls &amp; Descendants - Edit'!S$1,FALSE)</f>
        <v>Male</v>
      </c>
      <c r="T41" s="176">
        <f t="shared" si="5"/>
        <v>5</v>
      </c>
      <c r="U41" s="176">
        <f t="shared" si="0"/>
        <v>3</v>
      </c>
      <c r="V41" s="176">
        <f t="shared" si="1"/>
        <v>4</v>
      </c>
      <c r="W41" s="177">
        <f t="shared" si="2"/>
        <v>1</v>
      </c>
      <c r="X41" s="3" t="str">
        <f>IF(VLOOKUP($C41,'All Girls &amp; Descendants - Edit'!$C$2:$AK$440,'All Girls &amp; Descendants - Edit'!X$1,FALSE)=""," - ",(VLOOKUP($C41,'All Girls &amp; Descendants - Edit'!$C$2:$AK$440,'All Girls &amp; Descendants - Edit'!X$1,FALSE)))</f>
        <v>Marian Cicely CRACROFT-AMCOTTS (b. 13/09/1931, d. )</v>
      </c>
      <c r="Y41" s="3" t="str">
        <f>IF(VLOOKUP($C41,'All Girls &amp; Descendants - Edit'!$C$2:$AK$440,'All Girls &amp; Descendants - Edit'!Y$1,FALSE)=""," - ",(VLOOKUP($C41,'All Girls &amp; Descendants - Edit'!$C$2:$AK$440,'All Girls &amp; Descendants - Edit'!Y$1,FALSE)))</f>
        <v xml:space="preserve"> - </v>
      </c>
      <c r="Z41" s="3" t="str">
        <f>IF(VLOOKUP($C41,'All Girls &amp; Descendants - Edit'!$C$2:$AK$440,'All Girls &amp; Descendants - Edit'!Z$1,FALSE)=""," - ",(VLOOKUP($C41,'All Girls &amp; Descendants - Edit'!$C$2:$AK$440,'All Girls &amp; Descendants - Edit'!Z$1,FALSE)))</f>
        <v xml:space="preserve">Tom of Foxbridge Farm, Kirdford, Billinghurst, Sussex. RH14 0LB. Educated Eton. </v>
      </c>
      <c r="AA41" s="101">
        <f>IF(VLOOKUP($C41,'All Girls &amp; Descendants - Edit'!$C$2:$AK$440,'All Girls &amp; Descendants - Edit'!AA$1,FALSE)=""," - ",(VLOOKUP($C41,'All Girls &amp; Descendants - Edit'!$C$2:$AK$440,'All Girls &amp; Descendants - Edit'!AA$1,FALSE)))</f>
        <v>145</v>
      </c>
      <c r="AB41" s="101">
        <f>IF(VLOOKUP($C41,'All Girls &amp; Descendants - Edit'!$C$2:$AK$440,'All Girls &amp; Descendants - Edit'!AB$1,FALSE)=""," - ",(VLOOKUP($C41,'All Girls &amp; Descendants - Edit'!$C$2:$AK$440,'All Girls &amp; Descendants - Edit'!AB$1,FALSE)))</f>
        <v>40</v>
      </c>
      <c r="AC41" s="101">
        <f>IF(VLOOKUP($C41,'All Girls &amp; Descendants - Edit'!$C$2:$AK$440,'All Girls &amp; Descendants - Edit'!AC$1,FALSE)=""," - ",(VLOOKUP($C41,'All Girls &amp; Descendants - Edit'!$C$2:$AK$440,'All Girls &amp; Descendants - Edit'!AC$1,FALSE)))</f>
        <v>1040</v>
      </c>
      <c r="AD41" s="3" t="str">
        <f>IF(VLOOKUP($C41,'All Girls &amp; Descendants - Edit'!$C$2:$AK$440,'All Girls &amp; Descendants - Edit'!AD$1,FALSE)=""," - ",(VLOOKUP($C41,'All Girls &amp; Descendants - Edit'!$C$2:$AK$440,'All Girls &amp; Descendants - Edit'!AD$1,FALSE)))</f>
        <v>70d</v>
      </c>
      <c r="AE41" s="3" t="str">
        <f>IF(VLOOKUP($C41,'All Girls &amp; Descendants - Edit'!$C$2:$AK$440,'All Girls &amp; Descendants - Edit'!AE$1,FALSE)=""," - ",(VLOOKUP($C41,'All Girls &amp; Descendants - Edit'!$C$2:$AK$440,'All Girls &amp; Descendants - Edit'!AE$1,FALSE)))</f>
        <v>Thomas Charles Weguelin MICKLEM (1926 - )</v>
      </c>
      <c r="AF41" s="3" t="str">
        <f>IF(VLOOKUP($C41,'All Girls &amp; Descendants - Edit'!$C$2:$AK$440,'All Girls &amp; Descendants - Edit'!AF$1,FALSE)=""," - ",(VLOOKUP($C41,'All Girls &amp; Descendants - Edit'!$C$2:$AK$440,'All Girls &amp; Descendants - Edit'!AF$1,FALSE)))</f>
        <v>Tom MICKLEM (5th &amp; 70)</v>
      </c>
      <c r="AG41" s="3" t="str">
        <f>IF(VLOOKUP($C41,'All Girls &amp; Descendants - Edit'!$C$2:$AK$440,'All Girls &amp; Descendants - Edit'!AG$1,FALSE)=""," - ",(VLOOKUP($C41,'All Girls &amp; Descendants - Edit'!$C$2:$AK$440,'All Girls &amp; Descendants - Edit'!AG$1,FALSE)))</f>
        <v>Male</v>
      </c>
      <c r="AH41" s="3" t="str">
        <f>IF(VLOOKUP($C41,'All Girls &amp; Descendants - Edit'!$C$2:$AK$440,'All Girls &amp; Descendants - Edit'!AH$1,FALSE)=""," - ",(VLOOKUP($C41,'All Girls &amp; Descendants - Edit'!$C$2:$AK$440,'All Girls &amp; Descendants - Edit'!AH$1,FALSE)))</f>
        <v>5th</v>
      </c>
      <c r="AI41" s="3" t="str">
        <f>IF(VLOOKUP($C41,'All Girls &amp; Descendants - Edit'!$C$2:$AK$440,'All Girls &amp; Descendants - Edit'!AI$1,FALSE)=""," - ",(VLOOKUP($C41,'All Girls &amp; Descendants - Edit'!$C$2:$AK$440,'All Girls &amp; Descendants - Edit'!AI$1,FALSE)))</f>
        <v xml:space="preserve">Wife: Marian Cicely CRACROFT-AMCOTTS (b. 13/09/1931, d. ). </v>
      </c>
      <c r="AJ41" s="3" t="str">
        <f>IF(VLOOKUP($C41,'All Girls &amp; Descendants - Edit'!$C$2:$AK$440,'All Girls &amp; Descendants - Edit'!AJ$1,FALSE)=""," - ",(VLOOKUP($C41,'All Girls &amp; Descendants - Edit'!$C$2:$AK$440,'All Girls &amp; Descendants - Edit'!AJ$1,FALSE)))</f>
        <v xml:space="preserve">Male. b. 04/11/1926 Tom of Foxbridge Farm, Kirdford, Billinghurst, Sussex. RH14 0LB. Educated Eton. </v>
      </c>
      <c r="AK41" s="3" t="str">
        <f>IF(VLOOKUP($C41,'All Girls &amp; Descendants - Edit'!$C$2:$AK$440,'All Girls &amp; Descendants - Edit'!AK$1,FALSE)=""," - ",(VLOOKUP($C41,'All Girls &amp; Descendants - Edit'!$C$2:$AK$440,'All Girls &amp; Descendants - Edit'!AK$1,FALSE)))</f>
        <v>b. 04/11/1926</v>
      </c>
      <c r="AO41" s="1"/>
      <c r="AS41" s="72">
        <v>102</v>
      </c>
      <c r="AT41">
        <v>1</v>
      </c>
      <c r="AZ41">
        <v>1</v>
      </c>
      <c r="BA41">
        <v>2</v>
      </c>
      <c r="BB41">
        <v>1</v>
      </c>
      <c r="BC41">
        <v>1</v>
      </c>
      <c r="BH41">
        <v>4</v>
      </c>
      <c r="BI41">
        <v>5</v>
      </c>
    </row>
    <row r="42" spans="1:71" ht="19">
      <c r="A42">
        <f>VLOOKUP(B42,'Loyd List 1-190 - Edit'!$P$1:$R$219,3,FALSE)</f>
        <v>46</v>
      </c>
      <c r="B42">
        <f>'All Girls &amp; Descendants - Edit'!B43</f>
        <v>70</v>
      </c>
      <c r="C42" s="98" t="str">
        <f>'All Girls &amp; Descendants - Edit'!C43</f>
        <v>70e</v>
      </c>
      <c r="D42" s="2" t="str">
        <f>'All Girls &amp; Descendants - Edit'!D43</f>
        <v>MICKLEM</v>
      </c>
      <c r="E42" t="str">
        <f>'All Girls &amp; Descendants - Edit'!E43</f>
        <v>Elizabeth</v>
      </c>
      <c r="F42" t="str">
        <f>IF('All Girls &amp; Descendants - Edit'!F43="","",'All Girls &amp; Descendants - Edit'!F43)</f>
        <v>Paula</v>
      </c>
      <c r="G42" t="str">
        <f>IF('All Girls &amp; Descendants - Edit'!G43="","",'All Girls &amp; Descendants - Edit'!G43)</f>
        <v/>
      </c>
      <c r="H42" t="str">
        <f>IF('All Girls &amp; Descendants - Edit'!H43="","",'All Girls &amp; Descendants - Edit'!H43)</f>
        <v/>
      </c>
      <c r="I42">
        <f>VLOOKUP($C42,'All Girls &amp; Descendants - Edit'!$C$2:$AK$440,'All Girls &amp; Descendants - Edit'!I$1,FALSE)</f>
        <v>1929</v>
      </c>
      <c r="J42" t="str">
        <f>VLOOKUP($C42,'All Girls &amp; Descendants - Edit'!$C$2:$AK$440,'All Girls &amp; Descendants - Edit'!J$1,FALSE)</f>
        <v/>
      </c>
      <c r="K42" s="9"/>
      <c r="L42" t="str">
        <f t="shared" si="8"/>
        <v>16/02/1929</v>
      </c>
      <c r="M42" s="3" t="str">
        <f>VLOOKUP($C42,'All Girls &amp; Descendants - Edit'!$C$2:$AK$440,'All Girls &amp; Descendants - Edit'!M$1,FALSE)</f>
        <v>16/02/1929</v>
      </c>
      <c r="N42" s="3">
        <f>IF(VLOOKUP($C42,'All Girls &amp; Descendants - Edit'!$C$2:$AK$440,'All Girls &amp; Descendants - Edit'!N$1,FALSE)=""," - ",(VLOOKUP($C42,'All Girls &amp; Descendants - Edit'!$C$2:$AK$440,'All Girls &amp; Descendants - Edit'!N$1,FALSE)))</f>
        <v>19784</v>
      </c>
      <c r="O42" s="3" t="str">
        <f>IF(VLOOKUP($C42,'All Girls &amp; Descendants - Edit'!$C$2:$AK$440,'All Girls &amp; Descendants - Edit'!O$1,FALSE)="","",(VLOOKUP($C42,'All Girls &amp; Descendants - Edit'!$C$2:$AK$440,'All Girls &amp; Descendants - Edit'!O$1,FALSE)))</f>
        <v/>
      </c>
      <c r="P42" s="3" t="str">
        <f t="shared" si="3"/>
        <v/>
      </c>
      <c r="Q42" s="178" t="str">
        <f t="shared" si="4"/>
        <v>70</v>
      </c>
      <c r="R42" s="23"/>
      <c r="S42" t="str">
        <f>VLOOKUP($C42,'All Girls &amp; Descendants - Edit'!$C$2:$AK$440,'All Girls &amp; Descendants - Edit'!S$1,FALSE)</f>
        <v>Female</v>
      </c>
      <c r="T42" s="176">
        <f t="shared" si="5"/>
        <v>5</v>
      </c>
      <c r="U42" s="176">
        <f t="shared" si="0"/>
        <v>3</v>
      </c>
      <c r="V42" s="176">
        <f t="shared" si="1"/>
        <v>4</v>
      </c>
      <c r="W42" s="177">
        <f t="shared" si="2"/>
        <v>1</v>
      </c>
      <c r="X42" s="3" t="str">
        <f>IF(VLOOKUP($C42,'All Girls &amp; Descendants - Edit'!$C$2:$AK$440,'All Girls &amp; Descendants - Edit'!X$1,FALSE)=""," - ",(VLOOKUP($C42,'All Girls &amp; Descendants - Edit'!$C$2:$AK$440,'All Girls &amp; Descendants - Edit'!X$1,FALSE)))</f>
        <v>Peter RAINSFORD (b. 26/05/1921) (Divorced)</v>
      </c>
      <c r="Y42" s="3" t="str">
        <f>IF(VLOOKUP($C42,'All Girls &amp; Descendants - Edit'!$C$2:$AK$440,'All Girls &amp; Descendants - Edit'!Y$1,FALSE)=""," - ",(VLOOKUP($C42,'All Girls &amp; Descendants - Edit'!$C$2:$AK$440,'All Girls &amp; Descendants - Edit'!Y$1,FALSE)))</f>
        <v>Peter of Whealspeed House, Corbis Bay, St. Ives, Cornwall.</v>
      </c>
      <c r="Z42" s="3" t="str">
        <f>IF(VLOOKUP($C42,'All Girls &amp; Descendants - Edit'!$C$2:$AK$440,'All Girls &amp; Descendants - Edit'!Z$1,FALSE)=""," - ",(VLOOKUP($C42,'All Girls &amp; Descendants - Edit'!$C$2:$AK$440,'All Girls &amp; Descendants - Edit'!Z$1,FALSE)))</f>
        <v xml:space="preserve"> - </v>
      </c>
      <c r="AA42" s="101">
        <f>IF(VLOOKUP($C42,'All Girls &amp; Descendants - Edit'!$C$2:$AK$440,'All Girls &amp; Descendants - Edit'!AA$1,FALSE)=""," - ",(VLOOKUP($C42,'All Girls &amp; Descendants - Edit'!$C$2:$AK$440,'All Girls &amp; Descendants - Edit'!AA$1,FALSE)))</f>
        <v>152</v>
      </c>
      <c r="AB42" s="101">
        <f>IF(VLOOKUP($C42,'All Girls &amp; Descendants - Edit'!$C$2:$AK$440,'All Girls &amp; Descendants - Edit'!AB$1,FALSE)=""," - ",(VLOOKUP($C42,'All Girls &amp; Descendants - Edit'!$C$2:$AK$440,'All Girls &amp; Descendants - Edit'!AB$1,FALSE)))</f>
        <v>41</v>
      </c>
      <c r="AC42" s="101">
        <f>IF(VLOOKUP($C42,'All Girls &amp; Descendants - Edit'!$C$2:$AK$440,'All Girls &amp; Descendants - Edit'!AC$1,FALSE)=""," - ",(VLOOKUP($C42,'All Girls &amp; Descendants - Edit'!$C$2:$AK$440,'All Girls &amp; Descendants - Edit'!AC$1,FALSE)))</f>
        <v>1041</v>
      </c>
      <c r="AD42" s="3" t="str">
        <f>IF(VLOOKUP($C42,'All Girls &amp; Descendants - Edit'!$C$2:$AK$440,'All Girls &amp; Descendants - Edit'!AD$1,FALSE)=""," - ",(VLOOKUP($C42,'All Girls &amp; Descendants - Edit'!$C$2:$AK$440,'All Girls &amp; Descendants - Edit'!AD$1,FALSE)))</f>
        <v>70e</v>
      </c>
      <c r="AE42" s="3" t="str">
        <f>IF(VLOOKUP($C42,'All Girls &amp; Descendants - Edit'!$C$2:$AK$440,'All Girls &amp; Descendants - Edit'!AE$1,FALSE)=""," - ",(VLOOKUP($C42,'All Girls &amp; Descendants - Edit'!$C$2:$AK$440,'All Girls &amp; Descendants - Edit'!AE$1,FALSE)))</f>
        <v>Elizabeth Paula  MICKLEM (1929 - )</v>
      </c>
      <c r="AF42" s="3" t="str">
        <f>IF(VLOOKUP($C42,'All Girls &amp; Descendants - Edit'!$C$2:$AK$440,'All Girls &amp; Descendants - Edit'!AF$1,FALSE)=""," - ",(VLOOKUP($C42,'All Girls &amp; Descendants - Edit'!$C$2:$AK$440,'All Girls &amp; Descendants - Edit'!AF$1,FALSE)))</f>
        <v>Elizabeth MICKLEM (5th &amp; 70)</v>
      </c>
      <c r="AG42" s="3" t="str">
        <f>IF(VLOOKUP($C42,'All Girls &amp; Descendants - Edit'!$C$2:$AK$440,'All Girls &amp; Descendants - Edit'!AG$1,FALSE)=""," - ",(VLOOKUP($C42,'All Girls &amp; Descendants - Edit'!$C$2:$AK$440,'All Girls &amp; Descendants - Edit'!AG$1,FALSE)))</f>
        <v>Female</v>
      </c>
      <c r="AH42" s="3" t="str">
        <f>IF(VLOOKUP($C42,'All Girls &amp; Descendants - Edit'!$C$2:$AK$440,'All Girls &amp; Descendants - Edit'!AH$1,FALSE)=""," - ",(VLOOKUP($C42,'All Girls &amp; Descendants - Edit'!$C$2:$AK$440,'All Girls &amp; Descendants - Edit'!AH$1,FALSE)))</f>
        <v>5th</v>
      </c>
      <c r="AI42" s="3" t="str">
        <f>IF(VLOOKUP($C42,'All Girls &amp; Descendants - Edit'!$C$2:$AK$440,'All Girls &amp; Descendants - Edit'!AI$1,FALSE)=""," - ",(VLOOKUP($C42,'All Girls &amp; Descendants - Edit'!$C$2:$AK$440,'All Girls &amp; Descendants - Edit'!AI$1,FALSE)))</f>
        <v>Husband: Peter RAINSFORD (b. 26/05/1921) (Divorced). Peter of Whealspeed House, Corbis Bay, St. Ives, Cornwall.</v>
      </c>
      <c r="AJ42" s="3" t="str">
        <f>IF(VLOOKUP($C42,'All Girls &amp; Descendants - Edit'!$C$2:$AK$440,'All Girls &amp; Descendants - Edit'!AJ$1,FALSE)=""," - ",(VLOOKUP($C42,'All Girls &amp; Descendants - Edit'!$C$2:$AK$440,'All Girls &amp; Descendants - Edit'!AJ$1,FALSE)))</f>
        <v>Female. b. 16/02/1929</v>
      </c>
      <c r="AK42" s="3" t="str">
        <f>IF(VLOOKUP($C42,'All Girls &amp; Descendants - Edit'!$C$2:$AK$440,'All Girls &amp; Descendants - Edit'!AK$1,FALSE)=""," - ",(VLOOKUP($C42,'All Girls &amp; Descendants - Edit'!$C$2:$AK$440,'All Girls &amp; Descendants - Edit'!AK$1,FALSE)))</f>
        <v>b. 16/02/1929</v>
      </c>
      <c r="AO42" s="1"/>
      <c r="AS42" s="72">
        <v>103</v>
      </c>
      <c r="AT42">
        <v>3</v>
      </c>
      <c r="AU42">
        <v>5</v>
      </c>
      <c r="AZ42">
        <v>8</v>
      </c>
      <c r="BA42">
        <v>1</v>
      </c>
      <c r="BB42">
        <v>1</v>
      </c>
      <c r="BC42">
        <v>8</v>
      </c>
      <c r="BH42">
        <v>10</v>
      </c>
      <c r="BI42">
        <v>18</v>
      </c>
    </row>
    <row r="43" spans="1:71" ht="19">
      <c r="A43">
        <f>VLOOKUP(B43,'Loyd List 1-190 - Edit'!$P$1:$R$219,3,FALSE)</f>
        <v>46</v>
      </c>
      <c r="B43">
        <f>'All Girls &amp; Descendants - Edit'!B44</f>
        <v>70</v>
      </c>
      <c r="C43" s="98" t="str">
        <f>'All Girls &amp; Descendants - Edit'!C44</f>
        <v>70f</v>
      </c>
      <c r="D43" s="2" t="str">
        <f>'All Girls &amp; Descendants - Edit'!D44</f>
        <v>MICKLEM</v>
      </c>
      <c r="E43" t="str">
        <f>'All Girls &amp; Descendants - Edit'!E44</f>
        <v>Nathaniel</v>
      </c>
      <c r="F43" t="str">
        <f>IF('All Girls &amp; Descendants - Edit'!F44="","",'All Girls &amp; Descendants - Edit'!F44)</f>
        <v>Henry</v>
      </c>
      <c r="G43" t="str">
        <f>IF('All Girls &amp; Descendants - Edit'!G44="","",'All Girls &amp; Descendants - Edit'!G44)</f>
        <v>Stirling</v>
      </c>
      <c r="H43" t="str">
        <f>IF('All Girls &amp; Descendants - Edit'!H44="","",'All Girls &amp; Descendants - Edit'!H44)</f>
        <v/>
      </c>
      <c r="I43">
        <f>VLOOKUP($C43,'All Girls &amp; Descendants - Edit'!$C$2:$AK$440,'All Girls &amp; Descendants - Edit'!I$1,FALSE)</f>
        <v>1931</v>
      </c>
      <c r="J43">
        <f>VLOOKUP($C43,'All Girls &amp; Descendants - Edit'!$C$2:$AK$440,'All Girls &amp; Descendants - Edit'!J$1,FALSE)</f>
        <v>1950</v>
      </c>
      <c r="K43" s="9"/>
      <c r="L43" t="str">
        <f t="shared" si="8"/>
        <v>21/09/1931</v>
      </c>
      <c r="M43" s="3" t="str">
        <f>VLOOKUP($C43,'All Girls &amp; Descendants - Edit'!$C$2:$AK$440,'All Girls &amp; Descendants - Edit'!M$1,FALSE)</f>
        <v>21/09/1931</v>
      </c>
      <c r="N43" s="3" t="str">
        <f>IF(VLOOKUP($C43,'All Girls &amp; Descendants - Edit'!$C$2:$AK$440,'All Girls &amp; Descendants - Edit'!N$1,FALSE)=""," - ",(VLOOKUP($C43,'All Girls &amp; Descendants - Edit'!$C$2:$AK$440,'All Girls &amp; Descendants - Edit'!N$1,FALSE)))</f>
        <v>Unmarried</v>
      </c>
      <c r="O43" s="3">
        <f>IF(VLOOKUP($C43,'All Girls &amp; Descendants - Edit'!$C$2:$AK$440,'All Girls &amp; Descendants - Edit'!O$1,FALSE)="","",(VLOOKUP($C43,'All Girls &amp; Descendants - Edit'!$C$2:$AK$440,'All Girls &amp; Descendants - Edit'!O$1,FALSE)))</f>
        <v>18546</v>
      </c>
      <c r="P43" s="3" t="str">
        <f t="shared" si="3"/>
        <v>10/10/1950</v>
      </c>
      <c r="Q43" s="178" t="str">
        <f t="shared" si="4"/>
        <v>70</v>
      </c>
      <c r="R43" s="23"/>
      <c r="S43" t="str">
        <f>VLOOKUP($C43,'All Girls &amp; Descendants - Edit'!$C$2:$AK$440,'All Girls &amp; Descendants - Edit'!S$1,FALSE)</f>
        <v>Male</v>
      </c>
      <c r="T43" s="176">
        <f t="shared" si="5"/>
        <v>5</v>
      </c>
      <c r="U43" s="176">
        <f t="shared" si="0"/>
        <v>3</v>
      </c>
      <c r="V43" s="176">
        <f t="shared" si="1"/>
        <v>4</v>
      </c>
      <c r="W43" s="177">
        <f t="shared" si="2"/>
        <v>1</v>
      </c>
      <c r="X43" s="3" t="str">
        <f>IF(VLOOKUP($C43,'All Girls &amp; Descendants - Edit'!$C$2:$AK$440,'All Girls &amp; Descendants - Edit'!X$1,FALSE)=""," - ",(VLOOKUP($C43,'All Girls &amp; Descendants - Edit'!$C$2:$AK$440,'All Girls &amp; Descendants - Edit'!X$1,FALSE)))</f>
        <v xml:space="preserve"> - </v>
      </c>
      <c r="Y43" s="3" t="str">
        <f>IF(VLOOKUP($C43,'All Girls &amp; Descendants - Edit'!$C$2:$AK$440,'All Girls &amp; Descendants - Edit'!Y$1,FALSE)=""," - ",(VLOOKUP($C43,'All Girls &amp; Descendants - Edit'!$C$2:$AK$440,'All Girls &amp; Descendants - Edit'!Y$1,FALSE)))</f>
        <v xml:space="preserve"> - </v>
      </c>
      <c r="Z43" s="3" t="str">
        <f>IF(VLOOKUP($C43,'All Girls &amp; Descendants - Edit'!$C$2:$AK$440,'All Girls &amp; Descendants - Edit'!Z$1,FALSE)=""," - ",(VLOOKUP($C43,'All Girls &amp; Descendants - Edit'!$C$2:$AK$440,'All Girls &amp; Descendants - Edit'!Z$1,FALSE)))</f>
        <v>Officer Cadet Royal Air Force. Killed in flying accident.</v>
      </c>
      <c r="AA43" s="101">
        <f>IF(VLOOKUP($C43,'All Girls &amp; Descendants - Edit'!$C$2:$AK$440,'All Girls &amp; Descendants - Edit'!AA$1,FALSE)=""," - ",(VLOOKUP($C43,'All Girls &amp; Descendants - Edit'!$C$2:$AK$440,'All Girls &amp; Descendants - Edit'!AA$1,FALSE)))</f>
        <v>153</v>
      </c>
      <c r="AB43" s="101">
        <f>IF(VLOOKUP($C43,'All Girls &amp; Descendants - Edit'!$C$2:$AK$440,'All Girls &amp; Descendants - Edit'!AB$1,FALSE)=""," - ",(VLOOKUP($C43,'All Girls &amp; Descendants - Edit'!$C$2:$AK$440,'All Girls &amp; Descendants - Edit'!AB$1,FALSE)))</f>
        <v>42</v>
      </c>
      <c r="AC43" s="101">
        <f>IF(VLOOKUP($C43,'All Girls &amp; Descendants - Edit'!$C$2:$AK$440,'All Girls &amp; Descendants - Edit'!AC$1,FALSE)=""," - ",(VLOOKUP($C43,'All Girls &amp; Descendants - Edit'!$C$2:$AK$440,'All Girls &amp; Descendants - Edit'!AC$1,FALSE)))</f>
        <v>1042</v>
      </c>
      <c r="AD43" s="3" t="str">
        <f>IF(VLOOKUP($C43,'All Girls &amp; Descendants - Edit'!$C$2:$AK$440,'All Girls &amp; Descendants - Edit'!AD$1,FALSE)=""," - ",(VLOOKUP($C43,'All Girls &amp; Descendants - Edit'!$C$2:$AK$440,'All Girls &amp; Descendants - Edit'!AD$1,FALSE)))</f>
        <v>70f</v>
      </c>
      <c r="AE43" s="3" t="str">
        <f>IF(VLOOKUP($C43,'All Girls &amp; Descendants - Edit'!$C$2:$AK$440,'All Girls &amp; Descendants - Edit'!AE$1,FALSE)=""," - ",(VLOOKUP($C43,'All Girls &amp; Descendants - Edit'!$C$2:$AK$440,'All Girls &amp; Descendants - Edit'!AE$1,FALSE)))</f>
        <v>Nathaniel Henry Stirling MICKLEM (1931 - 1950)</v>
      </c>
      <c r="AF43" s="3" t="str">
        <f>IF(VLOOKUP($C43,'All Girls &amp; Descendants - Edit'!$C$2:$AK$440,'All Girls &amp; Descendants - Edit'!AF$1,FALSE)=""," - ",(VLOOKUP($C43,'All Girls &amp; Descendants - Edit'!$C$2:$AK$440,'All Girls &amp; Descendants - Edit'!AF$1,FALSE)))</f>
        <v>Nathaniel MICKLEM (5th &amp; 70)</v>
      </c>
      <c r="AG43" s="3" t="str">
        <f>IF(VLOOKUP($C43,'All Girls &amp; Descendants - Edit'!$C$2:$AK$440,'All Girls &amp; Descendants - Edit'!AG$1,FALSE)=""," - ",(VLOOKUP($C43,'All Girls &amp; Descendants - Edit'!$C$2:$AK$440,'All Girls &amp; Descendants - Edit'!AG$1,FALSE)))</f>
        <v>Male</v>
      </c>
      <c r="AH43" s="3" t="str">
        <f>IF(VLOOKUP($C43,'All Girls &amp; Descendants - Edit'!$C$2:$AK$440,'All Girls &amp; Descendants - Edit'!AH$1,FALSE)=""," - ",(VLOOKUP($C43,'All Girls &amp; Descendants - Edit'!$C$2:$AK$440,'All Girls &amp; Descendants - Edit'!AH$1,FALSE)))</f>
        <v>5th</v>
      </c>
      <c r="AI43" s="3" t="str">
        <f>IF(VLOOKUP($C43,'All Girls &amp; Descendants - Edit'!$C$2:$AK$440,'All Girls &amp; Descendants - Edit'!AI$1,FALSE)=""," - ",(VLOOKUP($C43,'All Girls &amp; Descendants - Edit'!$C$2:$AK$440,'All Girls &amp; Descendants - Edit'!AI$1,FALSE)))</f>
        <v>Unmarried</v>
      </c>
      <c r="AJ43" s="3" t="str">
        <f>IF(VLOOKUP($C43,'All Girls &amp; Descendants - Edit'!$C$2:$AK$440,'All Girls &amp; Descendants - Edit'!AJ$1,FALSE)=""," - ",(VLOOKUP($C43,'All Girls &amp; Descendants - Edit'!$C$2:$AK$440,'All Girls &amp; Descendants - Edit'!AJ$1,FALSE)))</f>
        <v>Male. b. 21/09/1931, d. 10/10/1950. Officer Cadet Royal Air Force. Killed in flying accident.</v>
      </c>
      <c r="AK43" s="3" t="str">
        <f>IF(VLOOKUP($C43,'All Girls &amp; Descendants - Edit'!$C$2:$AK$440,'All Girls &amp; Descendants - Edit'!AK$1,FALSE)=""," - ",(VLOOKUP($C43,'All Girls &amp; Descendants - Edit'!$C$2:$AK$440,'All Girls &amp; Descendants - Edit'!AK$1,FALSE)))</f>
        <v>b. 21/09/1931, d. 10/10/1950.</v>
      </c>
      <c r="AO43" s="1"/>
      <c r="AS43" s="72">
        <v>106</v>
      </c>
      <c r="AT43">
        <v>1</v>
      </c>
      <c r="AU43">
        <v>1</v>
      </c>
      <c r="AZ43">
        <v>2</v>
      </c>
      <c r="BA43">
        <v>1</v>
      </c>
      <c r="BB43">
        <v>1</v>
      </c>
      <c r="BC43">
        <v>5</v>
      </c>
      <c r="BH43">
        <v>7</v>
      </c>
      <c r="BI43">
        <v>9</v>
      </c>
    </row>
    <row r="44" spans="1:71" ht="19">
      <c r="A44">
        <f>VLOOKUP(B44,'Loyd List 1-190 - Edit'!$P$1:$R$219,3,FALSE)</f>
        <v>56</v>
      </c>
      <c r="B44">
        <f>'All Girls &amp; Descendants - Edit'!B45</f>
        <v>85</v>
      </c>
      <c r="C44" s="98" t="str">
        <f>'All Girls &amp; Descendants - Edit'!C45</f>
        <v>85a</v>
      </c>
      <c r="D44" s="2" t="str">
        <f>'All Girls &amp; Descendants - Edit'!D45</f>
        <v>LANE FOX</v>
      </c>
      <c r="E44" t="str">
        <f>'All Girls &amp; Descendants - Edit'!E45</f>
        <v>Martin</v>
      </c>
      <c r="F44" t="str">
        <f>IF('All Girls &amp; Descendants - Edit'!F45="","",'All Girls &amp; Descendants - Edit'!F45)</f>
        <v>James</v>
      </c>
      <c r="G44" t="str">
        <f>IF('All Girls &amp; Descendants - Edit'!G45="","",'All Girls &amp; Descendants - Edit'!G45)</f>
        <v/>
      </c>
      <c r="H44" t="str">
        <f>IF('All Girls &amp; Descendants - Edit'!H45="","",'All Girls &amp; Descendants - Edit'!H45)</f>
        <v/>
      </c>
      <c r="I44">
        <f>VLOOKUP($C44,'All Girls &amp; Descendants - Edit'!$C$2:$AK$440,'All Girls &amp; Descendants - Edit'!I$1,FALSE)</f>
        <v>1938</v>
      </c>
      <c r="J44">
        <f>VLOOKUP($C44,'All Girls &amp; Descendants - Edit'!$C$2:$AK$440,'All Girls &amp; Descendants - Edit'!J$1,FALSE)</f>
        <v>2016</v>
      </c>
      <c r="K44" s="9"/>
      <c r="L44" t="str">
        <f t="shared" si="8"/>
        <v>11/04/1938</v>
      </c>
      <c r="M44" s="3">
        <f>VLOOKUP($C44,'All Girls &amp; Descendants - Edit'!$C$2:$AK$440,'All Girls &amp; Descendants - Edit'!M$1,FALSE)</f>
        <v>13981</v>
      </c>
      <c r="N44" s="3">
        <f>IF(VLOOKUP($C44,'All Girls &amp; Descendants - Edit'!$C$2:$AK$440,'All Girls &amp; Descendants - Edit'!N$1,FALSE)=""," - ",(VLOOKUP($C44,'All Girls &amp; Descendants - Edit'!$C$2:$AK$440,'All Girls &amp; Descendants - Edit'!N$1,FALSE)))</f>
        <v>23797</v>
      </c>
      <c r="O44" s="3">
        <f>IF(VLOOKUP($C44,'All Girls &amp; Descendants - Edit'!$C$2:$AK$440,'All Girls &amp; Descendants - Edit'!O$1,FALSE)="","",(VLOOKUP($C44,'All Girls &amp; Descendants - Edit'!$C$2:$AK$440,'All Girls &amp; Descendants - Edit'!O$1,FALSE)))</f>
        <v>42565</v>
      </c>
      <c r="P44" s="3" t="str">
        <f t="shared" si="3"/>
        <v>14/07/2016</v>
      </c>
      <c r="Q44" s="178" t="str">
        <f t="shared" si="4"/>
        <v>85</v>
      </c>
      <c r="R44" s="23"/>
      <c r="S44" t="str">
        <f>VLOOKUP($C44,'All Girls &amp; Descendants - Edit'!$C$2:$AK$440,'All Girls &amp; Descendants - Edit'!S$1,FALSE)</f>
        <v>Male</v>
      </c>
      <c r="T44" s="176">
        <f t="shared" si="5"/>
        <v>6</v>
      </c>
      <c r="U44" s="176">
        <f t="shared" si="0"/>
        <v>3</v>
      </c>
      <c r="V44" s="176">
        <f t="shared" si="1"/>
        <v>5</v>
      </c>
      <c r="W44" s="177">
        <f t="shared" si="2"/>
        <v>1</v>
      </c>
      <c r="X44" s="3" t="str">
        <f>IF(VLOOKUP($C44,'All Girls &amp; Descendants - Edit'!$C$2:$AK$440,'All Girls &amp; Descendants - Edit'!X$1,FALSE)=""," - ",(VLOOKUP($C44,'All Girls &amp; Descendants - Edit'!$C$2:$AK$440,'All Girls &amp; Descendants - Edit'!X$1,FALSE)))</f>
        <v>Prudence Mary SPORBORG (b. 22/07/1942, d. )</v>
      </c>
      <c r="Y44" s="3" t="str">
        <f>IF(VLOOKUP($C44,'All Girls &amp; Descendants - Edit'!$C$2:$AK$440,'All Girls &amp; Descendants - Edit'!Y$1,FALSE)=""," - ",(VLOOKUP($C44,'All Girls &amp; Descendants - Edit'!$C$2:$AK$440,'All Girls &amp; Descendants - Edit'!Y$1,FALSE)))</f>
        <v>Divorced</v>
      </c>
      <c r="Z44" s="3" t="str">
        <f>IF(VLOOKUP($C44,'All Girls &amp; Descendants - Edit'!$C$2:$AK$440,'All Girls &amp; Descendants - Edit'!Z$1,FALSE)=""," - ",(VLOOKUP($C44,'All Girls &amp; Descendants - Edit'!$C$2:$AK$440,'All Girls &amp; Descendants - Edit'!Z$1,FALSE)))</f>
        <v>Educated Eton. Gardens &amp; Landscape designer.</v>
      </c>
      <c r="AA44" s="101">
        <f>IF(VLOOKUP($C44,'All Girls &amp; Descendants - Edit'!$C$2:$AK$440,'All Girls &amp; Descendants - Edit'!AA$1,FALSE)=""," - ",(VLOOKUP($C44,'All Girls &amp; Descendants - Edit'!$C$2:$AK$440,'All Girls &amp; Descendants - Edit'!AA$1,FALSE)))</f>
        <v>154</v>
      </c>
      <c r="AB44" s="101">
        <f>IF(VLOOKUP($C44,'All Girls &amp; Descendants - Edit'!$C$2:$AK$440,'All Girls &amp; Descendants - Edit'!AB$1,FALSE)=""," - ",(VLOOKUP($C44,'All Girls &amp; Descendants - Edit'!$C$2:$AK$440,'All Girls &amp; Descendants - Edit'!AB$1,FALSE)))</f>
        <v>43</v>
      </c>
      <c r="AC44" s="101">
        <f>IF(VLOOKUP($C44,'All Girls &amp; Descendants - Edit'!$C$2:$AK$440,'All Girls &amp; Descendants - Edit'!AC$1,FALSE)=""," - ",(VLOOKUP($C44,'All Girls &amp; Descendants - Edit'!$C$2:$AK$440,'All Girls &amp; Descendants - Edit'!AC$1,FALSE)))</f>
        <v>1043</v>
      </c>
      <c r="AD44" s="3" t="str">
        <f>IF(VLOOKUP($C44,'All Girls &amp; Descendants - Edit'!$C$2:$AK$440,'All Girls &amp; Descendants - Edit'!AD$1,FALSE)=""," - ",(VLOOKUP($C44,'All Girls &amp; Descendants - Edit'!$C$2:$AK$440,'All Girls &amp; Descendants - Edit'!AD$1,FALSE)))</f>
        <v>85a</v>
      </c>
      <c r="AE44" s="3" t="str">
        <f>IF(VLOOKUP($C44,'All Girls &amp; Descendants - Edit'!$C$2:$AK$440,'All Girls &amp; Descendants - Edit'!AE$1,FALSE)=""," - ",(VLOOKUP($C44,'All Girls &amp; Descendants - Edit'!$C$2:$AK$440,'All Girls &amp; Descendants - Edit'!AE$1,FALSE)))</f>
        <v>Martin James  LANE FOX (1938 - 2016)</v>
      </c>
      <c r="AF44" s="3" t="str">
        <f>IF(VLOOKUP($C44,'All Girls &amp; Descendants - Edit'!$C$2:$AK$440,'All Girls &amp; Descendants - Edit'!AF$1,FALSE)=""," - ",(VLOOKUP($C44,'All Girls &amp; Descendants - Edit'!$C$2:$AK$440,'All Girls &amp; Descendants - Edit'!AF$1,FALSE)))</f>
        <v>Martin LANE FOX (6th &amp; 85)</v>
      </c>
      <c r="AG44" s="3" t="str">
        <f>IF(VLOOKUP($C44,'All Girls &amp; Descendants - Edit'!$C$2:$AK$440,'All Girls &amp; Descendants - Edit'!AG$1,FALSE)=""," - ",(VLOOKUP($C44,'All Girls &amp; Descendants - Edit'!$C$2:$AK$440,'All Girls &amp; Descendants - Edit'!AG$1,FALSE)))</f>
        <v>Male</v>
      </c>
      <c r="AH44" s="3" t="str">
        <f>IF(VLOOKUP($C44,'All Girls &amp; Descendants - Edit'!$C$2:$AK$440,'All Girls &amp; Descendants - Edit'!AH$1,FALSE)=""," - ",(VLOOKUP($C44,'All Girls &amp; Descendants - Edit'!$C$2:$AK$440,'All Girls &amp; Descendants - Edit'!AH$1,FALSE)))</f>
        <v>6th</v>
      </c>
      <c r="AI44" s="3" t="str">
        <f>IF(VLOOKUP($C44,'All Girls &amp; Descendants - Edit'!$C$2:$AK$440,'All Girls &amp; Descendants - Edit'!AI$1,FALSE)=""," - ",(VLOOKUP($C44,'All Girls &amp; Descendants - Edit'!$C$2:$AK$440,'All Girls &amp; Descendants - Edit'!AI$1,FALSE)))</f>
        <v>Wife: Prudence Mary SPORBORG (b. 22/07/1942, d. ). Divorced</v>
      </c>
      <c r="AJ44" s="3" t="str">
        <f>IF(VLOOKUP($C44,'All Girls &amp; Descendants - Edit'!$C$2:$AK$440,'All Girls &amp; Descendants - Edit'!AJ$1,FALSE)=""," - ",(VLOOKUP($C44,'All Girls &amp; Descendants - Edit'!$C$2:$AK$440,'All Girls &amp; Descendants - Edit'!AJ$1,FALSE)))</f>
        <v>Male. b. 11/04/1938, d. 14/07/2016. Educated Eton. Gardens &amp; Landscape designer.</v>
      </c>
      <c r="AK44" s="3" t="str">
        <f>IF(VLOOKUP($C44,'All Girls &amp; Descendants - Edit'!$C$2:$AK$440,'All Girls &amp; Descendants - Edit'!AK$1,FALSE)=""," - ",(VLOOKUP($C44,'All Girls &amp; Descendants - Edit'!$C$2:$AK$440,'All Girls &amp; Descendants - Edit'!AK$1,FALSE)))</f>
        <v>b. 11/04/1938, d. 14/07/2016.</v>
      </c>
      <c r="AO44" s="1"/>
      <c r="AS44" s="72">
        <v>107</v>
      </c>
      <c r="AT44">
        <v>2</v>
      </c>
      <c r="AU44">
        <v>7</v>
      </c>
      <c r="AV44">
        <v>2</v>
      </c>
      <c r="AZ44">
        <v>11</v>
      </c>
      <c r="BA44">
        <v>3</v>
      </c>
      <c r="BB44">
        <v>1</v>
      </c>
      <c r="BC44">
        <v>3</v>
      </c>
      <c r="BH44">
        <v>7</v>
      </c>
      <c r="BI44">
        <v>18</v>
      </c>
    </row>
    <row r="45" spans="1:71" ht="19">
      <c r="A45">
        <f>VLOOKUP(B45,'Loyd List 1-190 - Edit'!$P$1:$R$219,3,FALSE)</f>
        <v>56</v>
      </c>
      <c r="B45">
        <f>'All Girls &amp; Descendants - Edit'!B46</f>
        <v>85</v>
      </c>
      <c r="C45" s="98" t="str">
        <f>'All Girls &amp; Descendants - Edit'!C46</f>
        <v>85b</v>
      </c>
      <c r="D45" s="2" t="str">
        <f>'All Girls &amp; Descendants - Edit'!D46</f>
        <v>LANE FOX</v>
      </c>
      <c r="E45" t="str">
        <f>'All Girls &amp; Descendants - Edit'!E46</f>
        <v>Edward</v>
      </c>
      <c r="F45" t="str">
        <f>IF('All Girls &amp; Descendants - Edit'!F46="","",'All Girls &amp; Descendants - Edit'!F46)</f>
        <v>James</v>
      </c>
      <c r="G45" t="str">
        <f>IF('All Girls &amp; Descendants - Edit'!G46="","",'All Girls &amp; Descendants - Edit'!G46)</f>
        <v/>
      </c>
      <c r="H45" t="str">
        <f>IF('All Girls &amp; Descendants - Edit'!H46="","",'All Girls &amp; Descendants - Edit'!H46)</f>
        <v/>
      </c>
      <c r="I45">
        <f>VLOOKUP($C45,'All Girls &amp; Descendants - Edit'!$C$2:$AK$440,'All Girls &amp; Descendants - Edit'!I$1,FALSE)</f>
        <v>1939</v>
      </c>
      <c r="J45" t="str">
        <f>VLOOKUP($C45,'All Girls &amp; Descendants - Edit'!$C$2:$AK$440,'All Girls &amp; Descendants - Edit'!J$1,FALSE)</f>
        <v/>
      </c>
      <c r="K45" s="9"/>
      <c r="L45" t="str">
        <f t="shared" si="8"/>
        <v>13/10/1939</v>
      </c>
      <c r="M45" s="3">
        <f>VLOOKUP($C45,'All Girls &amp; Descendants - Edit'!$C$2:$AK$440,'All Girls &amp; Descendants - Edit'!M$1,FALSE)</f>
        <v>14531</v>
      </c>
      <c r="N45" s="3">
        <f>IF(VLOOKUP($C45,'All Girls &amp; Descendants - Edit'!$C$2:$AK$440,'All Girls &amp; Descendants - Edit'!N$1,FALSE)=""," - ",(VLOOKUP($C45,'All Girls &amp; Descendants - Edit'!$C$2:$AK$440,'All Girls &amp; Descendants - Edit'!N$1,FALSE)))</f>
        <v>23188</v>
      </c>
      <c r="O45" s="3" t="str">
        <f>IF(VLOOKUP($C45,'All Girls &amp; Descendants - Edit'!$C$2:$AK$440,'All Girls &amp; Descendants - Edit'!O$1,FALSE)="","",(VLOOKUP($C45,'All Girls &amp; Descendants - Edit'!$C$2:$AK$440,'All Girls &amp; Descendants - Edit'!O$1,FALSE)))</f>
        <v/>
      </c>
      <c r="P45" s="3" t="str">
        <f t="shared" si="3"/>
        <v/>
      </c>
      <c r="Q45" s="178" t="str">
        <f t="shared" si="4"/>
        <v>85</v>
      </c>
      <c r="R45" s="23"/>
      <c r="S45" t="str">
        <f>VLOOKUP($C45,'All Girls &amp; Descendants - Edit'!$C$2:$AK$440,'All Girls &amp; Descendants - Edit'!S$1,FALSE)</f>
        <v>Male</v>
      </c>
      <c r="T45" s="176">
        <f t="shared" si="5"/>
        <v>6</v>
      </c>
      <c r="U45" s="176">
        <f t="shared" si="0"/>
        <v>3</v>
      </c>
      <c r="V45" s="176">
        <f t="shared" si="1"/>
        <v>5</v>
      </c>
      <c r="W45" s="177">
        <f t="shared" si="2"/>
        <v>1</v>
      </c>
      <c r="X45" s="3" t="str">
        <f>IF(VLOOKUP($C45,'All Girls &amp; Descendants - Edit'!$C$2:$AK$440,'All Girls &amp; Descendants - Edit'!X$1,FALSE)=""," - ",(VLOOKUP($C45,'All Girls &amp; Descendants - Edit'!$C$2:$AK$440,'All Girls &amp; Descendants - Edit'!X$1,FALSE)))</f>
        <v>Janet Mary (Wendy) (b. 19/07/1941) only daughter of Commander Basil Edward Malcolm BALL DSC, Royal Navy.</v>
      </c>
      <c r="Y45" s="3" t="str">
        <f>IF(VLOOKUP($C45,'All Girls &amp; Descendants - Edit'!$C$2:$AK$440,'All Girls &amp; Descendants - Edit'!Y$1,FALSE)=""," - ",(VLOOKUP($C45,'All Girls &amp; Descendants - Edit'!$C$2:$AK$440,'All Girls &amp; Descendants - Edit'!Y$1,FALSE)))</f>
        <v xml:space="preserve"> - </v>
      </c>
      <c r="Z45" s="3" t="str">
        <f>IF(VLOOKUP($C45,'All Girls &amp; Descendants - Edit'!$C$2:$AK$440,'All Girls &amp; Descendants - Edit'!Z$1,FALSE)=""," - ",(VLOOKUP($C45,'All Girls &amp; Descendants - Edit'!$C$2:$AK$440,'All Girls &amp; Descendants - Edit'!Z$1,FALSE)))</f>
        <v>Edward of Calcott Lodge, Heyford, Oxfordshire. Educated Eton.</v>
      </c>
      <c r="AA45" s="101">
        <f>IF(VLOOKUP($C45,'All Girls &amp; Descendants - Edit'!$C$2:$AK$440,'All Girls &amp; Descendants - Edit'!AA$1,FALSE)=""," - ",(VLOOKUP($C45,'All Girls &amp; Descendants - Edit'!$C$2:$AK$440,'All Girls &amp; Descendants - Edit'!AA$1,FALSE)))</f>
        <v>162</v>
      </c>
      <c r="AB45" s="101">
        <f>IF(VLOOKUP($C45,'All Girls &amp; Descendants - Edit'!$C$2:$AK$440,'All Girls &amp; Descendants - Edit'!AB$1,FALSE)=""," - ",(VLOOKUP($C45,'All Girls &amp; Descendants - Edit'!$C$2:$AK$440,'All Girls &amp; Descendants - Edit'!AB$1,FALSE)))</f>
        <v>44</v>
      </c>
      <c r="AC45" s="101">
        <f>IF(VLOOKUP($C45,'All Girls &amp; Descendants - Edit'!$C$2:$AK$440,'All Girls &amp; Descendants - Edit'!AC$1,FALSE)=""," - ",(VLOOKUP($C45,'All Girls &amp; Descendants - Edit'!$C$2:$AK$440,'All Girls &amp; Descendants - Edit'!AC$1,FALSE)))</f>
        <v>1044</v>
      </c>
      <c r="AD45" s="3" t="str">
        <f>IF(VLOOKUP($C45,'All Girls &amp; Descendants - Edit'!$C$2:$AK$440,'All Girls &amp; Descendants - Edit'!AD$1,FALSE)=""," - ",(VLOOKUP($C45,'All Girls &amp; Descendants - Edit'!$C$2:$AK$440,'All Girls &amp; Descendants - Edit'!AD$1,FALSE)))</f>
        <v>85b</v>
      </c>
      <c r="AE45" s="3" t="str">
        <f>IF(VLOOKUP($C45,'All Girls &amp; Descendants - Edit'!$C$2:$AK$440,'All Girls &amp; Descendants - Edit'!AE$1,FALSE)=""," - ",(VLOOKUP($C45,'All Girls &amp; Descendants - Edit'!$C$2:$AK$440,'All Girls &amp; Descendants - Edit'!AE$1,FALSE)))</f>
        <v>Edward James  LANE FOX (1939 - )</v>
      </c>
      <c r="AF45" s="3" t="str">
        <f>IF(VLOOKUP($C45,'All Girls &amp; Descendants - Edit'!$C$2:$AK$440,'All Girls &amp; Descendants - Edit'!AF$1,FALSE)=""," - ",(VLOOKUP($C45,'All Girls &amp; Descendants - Edit'!$C$2:$AK$440,'All Girls &amp; Descendants - Edit'!AF$1,FALSE)))</f>
        <v>Edward LANE FOX (6th &amp; 85)</v>
      </c>
      <c r="AG45" s="3" t="str">
        <f>IF(VLOOKUP($C45,'All Girls &amp; Descendants - Edit'!$C$2:$AK$440,'All Girls &amp; Descendants - Edit'!AG$1,FALSE)=""," - ",(VLOOKUP($C45,'All Girls &amp; Descendants - Edit'!$C$2:$AK$440,'All Girls &amp; Descendants - Edit'!AG$1,FALSE)))</f>
        <v>Male</v>
      </c>
      <c r="AH45" s="3" t="str">
        <f>IF(VLOOKUP($C45,'All Girls &amp; Descendants - Edit'!$C$2:$AK$440,'All Girls &amp; Descendants - Edit'!AH$1,FALSE)=""," - ",(VLOOKUP($C45,'All Girls &amp; Descendants - Edit'!$C$2:$AK$440,'All Girls &amp; Descendants - Edit'!AH$1,FALSE)))</f>
        <v>6th</v>
      </c>
      <c r="AI45" s="3" t="str">
        <f>IF(VLOOKUP($C45,'All Girls &amp; Descendants - Edit'!$C$2:$AK$440,'All Girls &amp; Descendants - Edit'!AI$1,FALSE)=""," - ",(VLOOKUP($C45,'All Girls &amp; Descendants - Edit'!$C$2:$AK$440,'All Girls &amp; Descendants - Edit'!AI$1,FALSE)))</f>
        <v xml:space="preserve">Wife: Janet Mary (Wendy) (b. 19/07/1941) only daughter of Commander Basil Edward Malcolm BALL DSC, Royal Navy.. </v>
      </c>
      <c r="AJ45" s="3" t="str">
        <f>IF(VLOOKUP($C45,'All Girls &amp; Descendants - Edit'!$C$2:$AK$440,'All Girls &amp; Descendants - Edit'!AJ$1,FALSE)=""," - ",(VLOOKUP($C45,'All Girls &amp; Descendants - Edit'!$C$2:$AK$440,'All Girls &amp; Descendants - Edit'!AJ$1,FALSE)))</f>
        <v>Male. b. 13/10/1939 Edward of Calcott Lodge, Heyford, Oxfordshire. Educated Eton.</v>
      </c>
      <c r="AK45" s="3" t="str">
        <f>IF(VLOOKUP($C45,'All Girls &amp; Descendants - Edit'!$C$2:$AK$440,'All Girls &amp; Descendants - Edit'!AK$1,FALSE)=""," - ",(VLOOKUP($C45,'All Girls &amp; Descendants - Edit'!$C$2:$AK$440,'All Girls &amp; Descendants - Edit'!AK$1,FALSE)))</f>
        <v>b. 13/10/1939</v>
      </c>
      <c r="AO45" s="1"/>
      <c r="AS45" s="72">
        <v>108</v>
      </c>
      <c r="AT45">
        <v>3</v>
      </c>
      <c r="AU45">
        <v>4</v>
      </c>
      <c r="AZ45">
        <v>7</v>
      </c>
      <c r="BA45">
        <v>1</v>
      </c>
      <c r="BB45">
        <v>1</v>
      </c>
      <c r="BC45">
        <v>1</v>
      </c>
      <c r="BH45">
        <v>3</v>
      </c>
      <c r="BI45">
        <v>10</v>
      </c>
    </row>
    <row r="46" spans="1:71" ht="19">
      <c r="A46">
        <f>VLOOKUP(B46,'Loyd List 1-190 - Edit'!$P$1:$R$219,3,FALSE)</f>
        <v>56</v>
      </c>
      <c r="B46">
        <f>'All Girls &amp; Descendants - Edit'!B47</f>
        <v>85</v>
      </c>
      <c r="C46" s="98" t="str">
        <f>'All Girls &amp; Descendants - Edit'!C47</f>
        <v>85c</v>
      </c>
      <c r="D46" s="2" t="str">
        <f>'All Girls &amp; Descendants - Edit'!D47</f>
        <v>LANE FOX</v>
      </c>
      <c r="E46" t="str">
        <f>'All Girls &amp; Descendants - Edit'!E47</f>
        <v>Jenny</v>
      </c>
      <c r="F46" t="str">
        <f>IF('All Girls &amp; Descendants - Edit'!F47="","",'All Girls &amp; Descendants - Edit'!F47)</f>
        <v/>
      </c>
      <c r="G46" t="str">
        <f>IF('All Girls &amp; Descendants - Edit'!G47="","",'All Girls &amp; Descendants - Edit'!G47)</f>
        <v/>
      </c>
      <c r="H46" t="str">
        <f>IF('All Girls &amp; Descendants - Edit'!H47="","",'All Girls &amp; Descendants - Edit'!H47)</f>
        <v/>
      </c>
      <c r="I46">
        <f>VLOOKUP($C46,'All Girls &amp; Descendants - Edit'!$C$2:$AK$440,'All Girls &amp; Descendants - Edit'!I$1,FALSE)</f>
        <v>1944</v>
      </c>
      <c r="J46" t="str">
        <f>VLOOKUP($C46,'All Girls &amp; Descendants - Edit'!$C$2:$AK$440,'All Girls &amp; Descendants - Edit'!J$1,FALSE)</f>
        <v/>
      </c>
      <c r="K46" s="9"/>
      <c r="L46" t="str">
        <f t="shared" si="8"/>
        <v>29/12/1944</v>
      </c>
      <c r="M46" s="3">
        <f>VLOOKUP($C46,'All Girls &amp; Descendants - Edit'!$C$2:$AK$440,'All Girls &amp; Descendants - Edit'!M$1,FALSE)</f>
        <v>16435</v>
      </c>
      <c r="N46" s="3">
        <f>IF(VLOOKUP($C46,'All Girls &amp; Descendants - Edit'!$C$2:$AK$440,'All Girls &amp; Descendants - Edit'!N$1,FALSE)=""," - ",(VLOOKUP($C46,'All Girls &amp; Descendants - Edit'!$C$2:$AK$440,'All Girls &amp; Descendants - Edit'!N$1,FALSE)))</f>
        <v>28478</v>
      </c>
      <c r="O46" s="3" t="str">
        <f>IF(VLOOKUP($C46,'All Girls &amp; Descendants - Edit'!$C$2:$AK$440,'All Girls &amp; Descendants - Edit'!O$1,FALSE)="","",(VLOOKUP($C46,'All Girls &amp; Descendants - Edit'!$C$2:$AK$440,'All Girls &amp; Descendants - Edit'!O$1,FALSE)))</f>
        <v/>
      </c>
      <c r="P46" s="3" t="str">
        <f t="shared" si="3"/>
        <v/>
      </c>
      <c r="Q46" s="178" t="str">
        <f t="shared" si="4"/>
        <v>85</v>
      </c>
      <c r="R46" s="23"/>
      <c r="S46" t="str">
        <f>VLOOKUP($C46,'All Girls &amp; Descendants - Edit'!$C$2:$AK$440,'All Girls &amp; Descendants - Edit'!S$1,FALSE)</f>
        <v>Female</v>
      </c>
      <c r="T46" s="176">
        <f t="shared" si="5"/>
        <v>6</v>
      </c>
      <c r="U46" s="176">
        <f t="shared" si="0"/>
        <v>3</v>
      </c>
      <c r="V46" s="176">
        <f t="shared" si="1"/>
        <v>5</v>
      </c>
      <c r="W46" s="177">
        <f t="shared" si="2"/>
        <v>1</v>
      </c>
      <c r="X46" s="3" t="str">
        <f>IF(VLOOKUP($C46,'All Girls &amp; Descendants - Edit'!$C$2:$AK$440,'All Girls &amp; Descendants - Edit'!X$1,FALSE)=""," - ",(VLOOKUP($C46,'All Girls &amp; Descendants - Edit'!$C$2:$AK$440,'All Girls &amp; Descendants - Edit'!X$1,FALSE)))</f>
        <v>Mark Alfred TENNYSON d'EYNCOURT (b. 16/04/1940, d. )</v>
      </c>
      <c r="Y46" s="3" t="str">
        <f>IF(VLOOKUP($C46,'All Girls &amp; Descendants - Edit'!$C$2:$AK$440,'All Girls &amp; Descendants - Edit'!Y$1,FALSE)=""," - ",(VLOOKUP($C46,'All Girls &amp; Descendants - Edit'!$C$2:$AK$440,'All Girls &amp; Descendants - Edit'!Y$1,FALSE)))</f>
        <v xml:space="preserve"> - </v>
      </c>
      <c r="Z46" s="3" t="str">
        <f>IF(VLOOKUP($C46,'All Girls &amp; Descendants - Edit'!$C$2:$AK$440,'All Girls &amp; Descendants - Edit'!Z$1,FALSE)=""," - ",(VLOOKUP($C46,'All Girls &amp; Descendants - Edit'!$C$2:$AK$440,'All Girls &amp; Descendants - Edit'!Z$1,FALSE)))</f>
        <v xml:space="preserve"> - </v>
      </c>
      <c r="AA46" s="101">
        <f>IF(VLOOKUP($C46,'All Girls &amp; Descendants - Edit'!$C$2:$AK$440,'All Girls &amp; Descendants - Edit'!AA$1,FALSE)=""," - ",(VLOOKUP($C46,'All Girls &amp; Descendants - Edit'!$C$2:$AK$440,'All Girls &amp; Descendants - Edit'!AA$1,FALSE)))</f>
        <v>168</v>
      </c>
      <c r="AB46" s="101">
        <f>IF(VLOOKUP($C46,'All Girls &amp; Descendants - Edit'!$C$2:$AK$440,'All Girls &amp; Descendants - Edit'!AB$1,FALSE)=""," - ",(VLOOKUP($C46,'All Girls &amp; Descendants - Edit'!$C$2:$AK$440,'All Girls &amp; Descendants - Edit'!AB$1,FALSE)))</f>
        <v>45</v>
      </c>
      <c r="AC46" s="101">
        <f>IF(VLOOKUP($C46,'All Girls &amp; Descendants - Edit'!$C$2:$AK$440,'All Girls &amp; Descendants - Edit'!AC$1,FALSE)=""," - ",(VLOOKUP($C46,'All Girls &amp; Descendants - Edit'!$C$2:$AK$440,'All Girls &amp; Descendants - Edit'!AC$1,FALSE)))</f>
        <v>1045</v>
      </c>
      <c r="AD46" s="3" t="str">
        <f>IF(VLOOKUP($C46,'All Girls &amp; Descendants - Edit'!$C$2:$AK$440,'All Girls &amp; Descendants - Edit'!AD$1,FALSE)=""," - ",(VLOOKUP($C46,'All Girls &amp; Descendants - Edit'!$C$2:$AK$440,'All Girls &amp; Descendants - Edit'!AD$1,FALSE)))</f>
        <v>85c</v>
      </c>
      <c r="AE46" s="3" t="str">
        <f>IF(VLOOKUP($C46,'All Girls &amp; Descendants - Edit'!$C$2:$AK$440,'All Girls &amp; Descendants - Edit'!AE$1,FALSE)=""," - ",(VLOOKUP($C46,'All Girls &amp; Descendants - Edit'!$C$2:$AK$440,'All Girls &amp; Descendants - Edit'!AE$1,FALSE)))</f>
        <v>Jenny   LANE FOX (1944 - )</v>
      </c>
      <c r="AF46" s="3" t="str">
        <f>IF(VLOOKUP($C46,'All Girls &amp; Descendants - Edit'!$C$2:$AK$440,'All Girls &amp; Descendants - Edit'!AF$1,FALSE)=""," - ",(VLOOKUP($C46,'All Girls &amp; Descendants - Edit'!$C$2:$AK$440,'All Girls &amp; Descendants - Edit'!AF$1,FALSE)))</f>
        <v>Jenny LANE FOX (6th &amp; 85)</v>
      </c>
      <c r="AG46" s="3" t="str">
        <f>IF(VLOOKUP($C46,'All Girls &amp; Descendants - Edit'!$C$2:$AK$440,'All Girls &amp; Descendants - Edit'!AG$1,FALSE)=""," - ",(VLOOKUP($C46,'All Girls &amp; Descendants - Edit'!$C$2:$AK$440,'All Girls &amp; Descendants - Edit'!AG$1,FALSE)))</f>
        <v>Female</v>
      </c>
      <c r="AH46" s="3" t="str">
        <f>IF(VLOOKUP($C46,'All Girls &amp; Descendants - Edit'!$C$2:$AK$440,'All Girls &amp; Descendants - Edit'!AH$1,FALSE)=""," - ",(VLOOKUP($C46,'All Girls &amp; Descendants - Edit'!$C$2:$AK$440,'All Girls &amp; Descendants - Edit'!AH$1,FALSE)))</f>
        <v>6th</v>
      </c>
      <c r="AI46" s="3" t="str">
        <f>IF(VLOOKUP($C46,'All Girls &amp; Descendants - Edit'!$C$2:$AK$440,'All Girls &amp; Descendants - Edit'!AI$1,FALSE)=""," - ",(VLOOKUP($C46,'All Girls &amp; Descendants - Edit'!$C$2:$AK$440,'All Girls &amp; Descendants - Edit'!AI$1,FALSE)))</f>
        <v xml:space="preserve">Husband: Mark Alfred TENNYSON d'EYNCOURT (b. 16/04/1940, d. ). </v>
      </c>
      <c r="AJ46" s="3" t="str">
        <f>IF(VLOOKUP($C46,'All Girls &amp; Descendants - Edit'!$C$2:$AK$440,'All Girls &amp; Descendants - Edit'!AJ$1,FALSE)=""," - ",(VLOOKUP($C46,'All Girls &amp; Descendants - Edit'!$C$2:$AK$440,'All Girls &amp; Descendants - Edit'!AJ$1,FALSE)))</f>
        <v>Female. b. 29/12/1944</v>
      </c>
      <c r="AK46" s="3" t="str">
        <f>IF(VLOOKUP($C46,'All Girls &amp; Descendants - Edit'!$C$2:$AK$440,'All Girls &amp; Descendants - Edit'!AK$1,FALSE)=""," - ",(VLOOKUP($C46,'All Girls &amp; Descendants - Edit'!$C$2:$AK$440,'All Girls &amp; Descendants - Edit'!AK$1,FALSE)))</f>
        <v>b. 29/12/1944</v>
      </c>
      <c r="AO46" s="1"/>
      <c r="AS46" s="72">
        <v>109</v>
      </c>
      <c r="AT46">
        <v>1</v>
      </c>
      <c r="AZ46">
        <v>1</v>
      </c>
      <c r="BA46">
        <v>1</v>
      </c>
      <c r="BB46">
        <v>1</v>
      </c>
      <c r="BH46">
        <v>2</v>
      </c>
      <c r="BI46">
        <v>3</v>
      </c>
    </row>
    <row r="47" spans="1:71" ht="19">
      <c r="A47">
        <f>VLOOKUP(B47,'Loyd List 1-190 - Edit'!$P$1:$R$219,3,FALSE)</f>
        <v>56</v>
      </c>
      <c r="B47">
        <f>'All Girls &amp; Descendants - Edit'!B48</f>
        <v>85</v>
      </c>
      <c r="C47" s="98" t="str">
        <f>'All Girls &amp; Descendants - Edit'!C48</f>
        <v>85d</v>
      </c>
      <c r="D47" s="2" t="str">
        <f>'All Girls &amp; Descendants - Edit'!D48</f>
        <v>LANE FOX</v>
      </c>
      <c r="E47" t="str">
        <f>'All Girls &amp; Descendants - Edit'!E48</f>
        <v>Robin</v>
      </c>
      <c r="F47" t="str">
        <f>IF('All Girls &amp; Descendants - Edit'!F48="","",'All Girls &amp; Descendants - Edit'!F48)</f>
        <v>James</v>
      </c>
      <c r="G47" t="str">
        <f>IF('All Girls &amp; Descendants - Edit'!G48="","",'All Girls &amp; Descendants - Edit'!G48)</f>
        <v/>
      </c>
      <c r="H47" t="str">
        <f>IF('All Girls &amp; Descendants - Edit'!H48="","",'All Girls &amp; Descendants - Edit'!H48)</f>
        <v/>
      </c>
      <c r="I47">
        <f>VLOOKUP($C47,'All Girls &amp; Descendants - Edit'!$C$2:$AK$440,'All Girls &amp; Descendants - Edit'!I$1,FALSE)</f>
        <v>1946</v>
      </c>
      <c r="J47" t="str">
        <f>VLOOKUP($C47,'All Girls &amp; Descendants - Edit'!$C$2:$AK$440,'All Girls &amp; Descendants - Edit'!J$1,FALSE)</f>
        <v/>
      </c>
      <c r="K47" s="9"/>
      <c r="L47" t="str">
        <f t="shared" si="8"/>
        <v>05/10/1946</v>
      </c>
      <c r="M47" s="3">
        <f>VLOOKUP($C47,'All Girls &amp; Descendants - Edit'!$C$2:$AK$440,'All Girls &amp; Descendants - Edit'!M$1,FALSE)</f>
        <v>17080</v>
      </c>
      <c r="N47" s="3">
        <f>IF(VLOOKUP($C47,'All Girls &amp; Descendants - Edit'!$C$2:$AK$440,'All Girls &amp; Descendants - Edit'!N$1,FALSE)=""," - ",(VLOOKUP($C47,'All Girls &amp; Descendants - Edit'!$C$2:$AK$440,'All Girls &amp; Descendants - Edit'!N$1,FALSE)))</f>
        <v>25745</v>
      </c>
      <c r="O47" s="3" t="str">
        <f>IF(VLOOKUP($C47,'All Girls &amp; Descendants - Edit'!$C$2:$AK$440,'All Girls &amp; Descendants - Edit'!O$1,FALSE)="","",(VLOOKUP($C47,'All Girls &amp; Descendants - Edit'!$C$2:$AK$440,'All Girls &amp; Descendants - Edit'!O$1,FALSE)))</f>
        <v/>
      </c>
      <c r="P47" s="3" t="str">
        <f t="shared" si="3"/>
        <v/>
      </c>
      <c r="Q47" s="178" t="str">
        <f t="shared" si="4"/>
        <v>85</v>
      </c>
      <c r="R47" s="23"/>
      <c r="S47" t="str">
        <f>VLOOKUP($C47,'All Girls &amp; Descendants - Edit'!$C$2:$AK$440,'All Girls &amp; Descendants - Edit'!S$1,FALSE)</f>
        <v>Male</v>
      </c>
      <c r="T47" s="176">
        <f t="shared" si="5"/>
        <v>6</v>
      </c>
      <c r="U47" s="176">
        <f t="shared" si="0"/>
        <v>3</v>
      </c>
      <c r="V47" s="176">
        <f t="shared" si="1"/>
        <v>5</v>
      </c>
      <c r="W47" s="177">
        <f t="shared" si="2"/>
        <v>1</v>
      </c>
      <c r="X47" s="3" t="str">
        <f>IF(VLOOKUP($C47,'All Girls &amp; Descendants - Edit'!$C$2:$AK$440,'All Girls &amp; Descendants - Edit'!X$1,FALSE)=""," - ",(VLOOKUP($C47,'All Girls &amp; Descendants - Edit'!$C$2:$AK$440,'All Girls &amp; Descendants - Edit'!X$1,FALSE)))</f>
        <v>LouIsa Caroline Mary FARRELL (b. 14/07/1949, d.)</v>
      </c>
      <c r="Y47" s="3" t="str">
        <f>IF(VLOOKUP($C47,'All Girls &amp; Descendants - Edit'!$C$2:$AK$440,'All Girls &amp; Descendants - Edit'!Y$1,FALSE)=""," - ",(VLOOKUP($C47,'All Girls &amp; Descendants - Edit'!$C$2:$AK$440,'All Girls &amp; Descendants - Edit'!Y$1,FALSE)))</f>
        <v>Louisa, daughter of Charles FARRELL.</v>
      </c>
      <c r="Z47" s="3" t="str">
        <f>IF(VLOOKUP($C47,'All Girls &amp; Descendants - Edit'!$C$2:$AK$440,'All Girls &amp; Descendants - Edit'!Z$1,FALSE)=""," - ",(VLOOKUP($C47,'All Girls &amp; Descendants - Edit'!$C$2:$AK$440,'All Girls &amp; Descendants - Edit'!Z$1,FALSE)))</f>
        <v xml:space="preserve">Educated Eton 1959-64 and Magdalen College, Oxford 1964-69. Weekly gardening correspondent, Financial Times from 1970. Fellow, New College, Oxford from 1977. Reader in Ancient History, Oxford from 1990. Publications: “Alexander the Great” 1973; “Variations on a Garden” 1974; “Search for Alexander” 1980; “Better Gardening” 1982; “Pagans and Christians” 1986; “The Unauthorised Version” 1991. </v>
      </c>
      <c r="AA47" s="101">
        <f>IF(VLOOKUP($C47,'All Girls &amp; Descendants - Edit'!$C$2:$AK$440,'All Girls &amp; Descendants - Edit'!AA$1,FALSE)=""," - ",(VLOOKUP($C47,'All Girls &amp; Descendants - Edit'!$C$2:$AK$440,'All Girls &amp; Descendants - Edit'!AA$1,FALSE)))</f>
        <v>171</v>
      </c>
      <c r="AB47" s="101">
        <f>IF(VLOOKUP($C47,'All Girls &amp; Descendants - Edit'!$C$2:$AK$440,'All Girls &amp; Descendants - Edit'!AB$1,FALSE)=""," - ",(VLOOKUP($C47,'All Girls &amp; Descendants - Edit'!$C$2:$AK$440,'All Girls &amp; Descendants - Edit'!AB$1,FALSE)))</f>
        <v>46</v>
      </c>
      <c r="AC47" s="101">
        <f>IF(VLOOKUP($C47,'All Girls &amp; Descendants - Edit'!$C$2:$AK$440,'All Girls &amp; Descendants - Edit'!AC$1,FALSE)=""," - ",(VLOOKUP($C47,'All Girls &amp; Descendants - Edit'!$C$2:$AK$440,'All Girls &amp; Descendants - Edit'!AC$1,FALSE)))</f>
        <v>1046</v>
      </c>
      <c r="AD47" s="3" t="str">
        <f>IF(VLOOKUP($C47,'All Girls &amp; Descendants - Edit'!$C$2:$AK$440,'All Girls &amp; Descendants - Edit'!AD$1,FALSE)=""," - ",(VLOOKUP($C47,'All Girls &amp; Descendants - Edit'!$C$2:$AK$440,'All Girls &amp; Descendants - Edit'!AD$1,FALSE)))</f>
        <v>85d</v>
      </c>
      <c r="AE47" s="3" t="str">
        <f>IF(VLOOKUP($C47,'All Girls &amp; Descendants - Edit'!$C$2:$AK$440,'All Girls &amp; Descendants - Edit'!AE$1,FALSE)=""," - ",(VLOOKUP($C47,'All Girls &amp; Descendants - Edit'!$C$2:$AK$440,'All Girls &amp; Descendants - Edit'!AE$1,FALSE)))</f>
        <v>Robin James  LANE FOX (1946 - )</v>
      </c>
      <c r="AF47" s="3" t="str">
        <f>IF(VLOOKUP($C47,'All Girls &amp; Descendants - Edit'!$C$2:$AK$440,'All Girls &amp; Descendants - Edit'!AF$1,FALSE)=""," - ",(VLOOKUP($C47,'All Girls &amp; Descendants - Edit'!$C$2:$AK$440,'All Girls &amp; Descendants - Edit'!AF$1,FALSE)))</f>
        <v>Robin LANE FOX (6th &amp; 85)</v>
      </c>
      <c r="AG47" s="3" t="str">
        <f>IF(VLOOKUP($C47,'All Girls &amp; Descendants - Edit'!$C$2:$AK$440,'All Girls &amp; Descendants - Edit'!AG$1,FALSE)=""," - ",(VLOOKUP($C47,'All Girls &amp; Descendants - Edit'!$C$2:$AK$440,'All Girls &amp; Descendants - Edit'!AG$1,FALSE)))</f>
        <v>Male</v>
      </c>
      <c r="AH47" s="3" t="str">
        <f>IF(VLOOKUP($C47,'All Girls &amp; Descendants - Edit'!$C$2:$AK$440,'All Girls &amp; Descendants - Edit'!AH$1,FALSE)=""," - ",(VLOOKUP($C47,'All Girls &amp; Descendants - Edit'!$C$2:$AK$440,'All Girls &amp; Descendants - Edit'!AH$1,FALSE)))</f>
        <v>6th</v>
      </c>
      <c r="AI47" s="3" t="str">
        <f>IF(VLOOKUP($C47,'All Girls &amp; Descendants - Edit'!$C$2:$AK$440,'All Girls &amp; Descendants - Edit'!AI$1,FALSE)=""," - ",(VLOOKUP($C47,'All Girls &amp; Descendants - Edit'!$C$2:$AK$440,'All Girls &amp; Descendants - Edit'!AI$1,FALSE)))</f>
        <v>Wife: LouIsa Caroline Mary FARRELL (b. 14/07/1949, d.). Louisa, daughter of Charles FARRELL.</v>
      </c>
      <c r="AJ47" s="3" t="str">
        <f>IF(VLOOKUP($C47,'All Girls &amp; Descendants - Edit'!$C$2:$AK$440,'All Girls &amp; Descendants - Edit'!AJ$1,FALSE)=""," - ",(VLOOKUP($C47,'All Girls &amp; Descendants - Edit'!$C$2:$AK$440,'All Girls &amp; Descendants - Edit'!AJ$1,FALSE)))</f>
        <v xml:space="preserve">Male. b. 05/10/1946 Educated Eton 1959-64 and Magdalen College, Oxford 1964-69. Weekly gardening correspondent, Financial Times from 1970. Fellow, New College, Oxford from 1977. Reader in Ancient History, Oxford from 1990. Publications: “Alexander the Great” 1973; “Variations on a Garden” 1974; “Search for Alexander” 1980; “Better Gardening” 1982; “Pagans and Christians” 1986; “The Unauthorised Version” 1991. </v>
      </c>
      <c r="AK47" s="3" t="str">
        <f>IF(VLOOKUP($C47,'All Girls &amp; Descendants - Edit'!$C$2:$AK$440,'All Girls &amp; Descendants - Edit'!AK$1,FALSE)=""," - ",(VLOOKUP($C47,'All Girls &amp; Descendants - Edit'!$C$2:$AK$440,'All Girls &amp; Descendants - Edit'!AK$1,FALSE)))</f>
        <v>b. 05/10/1946</v>
      </c>
      <c r="AO47" s="1"/>
      <c r="AS47" s="72">
        <v>110</v>
      </c>
      <c r="AT47">
        <v>2</v>
      </c>
      <c r="AU47">
        <v>3</v>
      </c>
      <c r="AZ47">
        <v>5</v>
      </c>
      <c r="BA47">
        <v>2</v>
      </c>
      <c r="BB47">
        <v>1</v>
      </c>
      <c r="BC47">
        <v>1</v>
      </c>
      <c r="BH47">
        <v>4</v>
      </c>
      <c r="BI47">
        <v>9</v>
      </c>
    </row>
    <row r="48" spans="1:71" ht="19">
      <c r="A48">
        <f>VLOOKUP(B48,'Loyd List 1-190 - Edit'!$P$1:$R$219,3,FALSE)</f>
        <v>66</v>
      </c>
      <c r="B48">
        <f>'All Girls &amp; Descendants - Edit'!B49</f>
        <v>88</v>
      </c>
      <c r="C48" s="98" t="str">
        <f>'All Girls &amp; Descendants - Edit'!C49</f>
        <v>88a</v>
      </c>
      <c r="D48" s="2" t="str">
        <f>'All Girls &amp; Descendants - Edit'!D49</f>
        <v>BAIRD</v>
      </c>
      <c r="E48" t="str">
        <f>'All Girls &amp; Descendants - Edit'!E49</f>
        <v>Lady Diana</v>
      </c>
      <c r="F48" t="str">
        <f>IF('All Girls &amp; Descendants - Edit'!F49="","",'All Girls &amp; Descendants - Edit'!F49)</f>
        <v>Elizabeth</v>
      </c>
      <c r="G48" t="str">
        <f>IF('All Girls &amp; Descendants - Edit'!G49="","",'All Girls &amp; Descendants - Edit'!G49)</f>
        <v>Virginia Sydney</v>
      </c>
      <c r="H48" t="str">
        <f>IF('All Girls &amp; Descendants - Edit'!H49="","",'All Girls &amp; Descendants - Edit'!H49)</f>
        <v/>
      </c>
      <c r="I48">
        <f>VLOOKUP($C48,'All Girls &amp; Descendants - Edit'!$C$2:$AK$440,'All Girls &amp; Descendants - Edit'!I$1,FALSE)</f>
        <v>1937</v>
      </c>
      <c r="J48" t="str">
        <f>VLOOKUP($C48,'All Girls &amp; Descendants - Edit'!$C$2:$AK$440,'All Girls &amp; Descendants - Edit'!J$1,FALSE)</f>
        <v/>
      </c>
      <c r="K48" s="9"/>
      <c r="L48" t="str">
        <f t="shared" si="8"/>
        <v>22/06/1937</v>
      </c>
      <c r="M48" s="3">
        <f>VLOOKUP($C48,'All Girls &amp; Descendants - Edit'!$C$2:$AK$440,'All Girls &amp; Descendants - Edit'!M$1,FALSE)</f>
        <v>13688</v>
      </c>
      <c r="N48" s="3">
        <f>IF(VLOOKUP($C48,'All Girls &amp; Descendants - Edit'!$C$2:$AK$440,'All Girls &amp; Descendants - Edit'!N$1,FALSE)=""," - ",(VLOOKUP($C48,'All Girls &amp; Descendants - Edit'!$C$2:$AK$440,'All Girls &amp; Descendants - Edit'!N$1,FALSE)))</f>
        <v>21021</v>
      </c>
      <c r="O48" s="3" t="str">
        <f>IF(VLOOKUP($C48,'All Girls &amp; Descendants - Edit'!$C$2:$AK$440,'All Girls &amp; Descendants - Edit'!O$1,FALSE)="","",(VLOOKUP($C48,'All Girls &amp; Descendants - Edit'!$C$2:$AK$440,'All Girls &amp; Descendants - Edit'!O$1,FALSE)))</f>
        <v/>
      </c>
      <c r="P48" s="3" t="str">
        <f t="shared" si="3"/>
        <v/>
      </c>
      <c r="Q48" s="178" t="str">
        <f t="shared" si="4"/>
        <v>88</v>
      </c>
      <c r="R48" s="23"/>
      <c r="S48" t="str">
        <f>VLOOKUP($C48,'All Girls &amp; Descendants - Edit'!$C$2:$AK$440,'All Girls &amp; Descendants - Edit'!S$1,FALSE)</f>
        <v>Female</v>
      </c>
      <c r="T48" s="176">
        <f t="shared" si="5"/>
        <v>6</v>
      </c>
      <c r="U48" s="176">
        <f t="shared" si="0"/>
        <v>3</v>
      </c>
      <c r="V48" s="176">
        <f t="shared" si="1"/>
        <v>5</v>
      </c>
      <c r="W48" s="177">
        <f t="shared" si="2"/>
        <v>1</v>
      </c>
      <c r="X48" s="3" t="str">
        <f>IF(VLOOKUP($C48,'All Girls &amp; Descendants - Edit'!$C$2:$AK$440,'All Girls &amp; Descendants - Edit'!X$1,FALSE)=""," - ",(VLOOKUP($C48,'All Girls &amp; Descendants - Edit'!$C$2:$AK$440,'All Girls &amp; Descendants - Edit'!X$1,FALSE)))</f>
        <v>John Frances HOLMAN (b. 25/05/1924, d. )</v>
      </c>
      <c r="Y48" s="3" t="str">
        <f>IF(VLOOKUP($C48,'All Girls &amp; Descendants - Edit'!$C$2:$AK$440,'All Girls &amp; Descendants - Edit'!Y$1,FALSE)=""," - ",(VLOOKUP($C48,'All Girls &amp; Descendants - Edit'!$C$2:$AK$440,'All Girls &amp; Descendants - Edit'!Y$1,FALSE)))</f>
        <v>Married at Rudgwick, Sussex, John OBE of Rickarton House, Stonehaven, Kincardinshire and of 6A St Luke’s Street, London SW3, eldest son of Max HOLMAN of Hyes, Rudgwick, Sussex.</v>
      </c>
      <c r="Z48" s="3" t="str">
        <f>IF(VLOOKUP($C48,'All Girls &amp; Descendants - Edit'!$C$2:$AK$440,'All Girls &amp; Descendants - Edit'!Z$1,FALSE)=""," - ",(VLOOKUP($C48,'All Girls &amp; Descendants - Edit'!$C$2:$AK$440,'All Girls &amp; Descendants - Edit'!Z$1,FALSE)))</f>
        <v>Baptised at Stonehaven. Educated Downham. Diana now lives in Kincardine O’Neill.</v>
      </c>
      <c r="AA48" s="101">
        <f>IF(VLOOKUP($C48,'All Girls &amp; Descendants - Edit'!$C$2:$AK$440,'All Girls &amp; Descendants - Edit'!AA$1,FALSE)=""," - ",(VLOOKUP($C48,'All Girls &amp; Descendants - Edit'!$C$2:$AK$440,'All Girls &amp; Descendants - Edit'!AA$1,FALSE)))</f>
        <v>174</v>
      </c>
      <c r="AB48" s="101">
        <f>IF(VLOOKUP($C48,'All Girls &amp; Descendants - Edit'!$C$2:$AK$440,'All Girls &amp; Descendants - Edit'!AB$1,FALSE)=""," - ",(VLOOKUP($C48,'All Girls &amp; Descendants - Edit'!$C$2:$AK$440,'All Girls &amp; Descendants - Edit'!AB$1,FALSE)))</f>
        <v>47</v>
      </c>
      <c r="AC48" s="101">
        <f>IF(VLOOKUP($C48,'All Girls &amp; Descendants - Edit'!$C$2:$AK$440,'All Girls &amp; Descendants - Edit'!AC$1,FALSE)=""," - ",(VLOOKUP($C48,'All Girls &amp; Descendants - Edit'!$C$2:$AK$440,'All Girls &amp; Descendants - Edit'!AC$1,FALSE)))</f>
        <v>1047</v>
      </c>
      <c r="AD48" s="3" t="str">
        <f>IF(VLOOKUP($C48,'All Girls &amp; Descendants - Edit'!$C$2:$AK$440,'All Girls &amp; Descendants - Edit'!AD$1,FALSE)=""," - ",(VLOOKUP($C48,'All Girls &amp; Descendants - Edit'!$C$2:$AK$440,'All Girls &amp; Descendants - Edit'!AD$1,FALSE)))</f>
        <v>88a</v>
      </c>
      <c r="AE48" s="3" t="str">
        <f>IF(VLOOKUP($C48,'All Girls &amp; Descendants - Edit'!$C$2:$AK$440,'All Girls &amp; Descendants - Edit'!AE$1,FALSE)=""," - ",(VLOOKUP($C48,'All Girls &amp; Descendants - Edit'!$C$2:$AK$440,'All Girls &amp; Descendants - Edit'!AE$1,FALSE)))</f>
        <v>Lady Diana Elizabeth Virginia Sydney BAIRD (1937 - )</v>
      </c>
      <c r="AF48" s="3" t="str">
        <f>IF(VLOOKUP($C48,'All Girls &amp; Descendants - Edit'!$C$2:$AK$440,'All Girls &amp; Descendants - Edit'!AF$1,FALSE)=""," - ",(VLOOKUP($C48,'All Girls &amp; Descendants - Edit'!$C$2:$AK$440,'All Girls &amp; Descendants - Edit'!AF$1,FALSE)))</f>
        <v>Lady Diana BAIRD (6th &amp; 88)</v>
      </c>
      <c r="AG48" s="3" t="str">
        <f>IF(VLOOKUP($C48,'All Girls &amp; Descendants - Edit'!$C$2:$AK$440,'All Girls &amp; Descendants - Edit'!AG$1,FALSE)=""," - ",(VLOOKUP($C48,'All Girls &amp; Descendants - Edit'!$C$2:$AK$440,'All Girls &amp; Descendants - Edit'!AG$1,FALSE)))</f>
        <v>Female</v>
      </c>
      <c r="AH48" s="3" t="str">
        <f>IF(VLOOKUP($C48,'All Girls &amp; Descendants - Edit'!$C$2:$AK$440,'All Girls &amp; Descendants - Edit'!AH$1,FALSE)=""," - ",(VLOOKUP($C48,'All Girls &amp; Descendants - Edit'!$C$2:$AK$440,'All Girls &amp; Descendants - Edit'!AH$1,FALSE)))</f>
        <v>6th</v>
      </c>
      <c r="AI48" s="3" t="str">
        <f>IF(VLOOKUP($C48,'All Girls &amp; Descendants - Edit'!$C$2:$AK$440,'All Girls &amp; Descendants - Edit'!AI$1,FALSE)=""," - ",(VLOOKUP($C48,'All Girls &amp; Descendants - Edit'!$C$2:$AK$440,'All Girls &amp; Descendants - Edit'!AI$1,FALSE)))</f>
        <v>Husband: John Frances HOLMAN (b. 25/05/1924, d. ). Married at Rudgwick, Sussex, John OBE of Rickarton House, Stonehaven, Kincardinshire and of 6A St Luke’s Street, London SW3, eldest son of Max HOLMAN of Hyes, Rudgwick, Sussex.</v>
      </c>
      <c r="AJ48" s="3" t="str">
        <f>IF(VLOOKUP($C48,'All Girls &amp; Descendants - Edit'!$C$2:$AK$440,'All Girls &amp; Descendants - Edit'!AJ$1,FALSE)=""," - ",(VLOOKUP($C48,'All Girls &amp; Descendants - Edit'!$C$2:$AK$440,'All Girls &amp; Descendants - Edit'!AJ$1,FALSE)))</f>
        <v>Female. b. 22/06/1937 Baptised at Stonehaven. Educated Downham. Diana now lives in Kincardine O’Neill.</v>
      </c>
      <c r="AK48" s="3" t="str">
        <f>IF(VLOOKUP($C48,'All Girls &amp; Descendants - Edit'!$C$2:$AK$440,'All Girls &amp; Descendants - Edit'!AK$1,FALSE)=""," - ",(VLOOKUP($C48,'All Girls &amp; Descendants - Edit'!$C$2:$AK$440,'All Girls &amp; Descendants - Edit'!AK$1,FALSE)))</f>
        <v>b. 22/06/1937</v>
      </c>
      <c r="AO48" s="1"/>
      <c r="AS48" s="72">
        <v>112</v>
      </c>
      <c r="AT48">
        <v>2</v>
      </c>
      <c r="AZ48">
        <v>2</v>
      </c>
      <c r="BA48">
        <v>2</v>
      </c>
      <c r="BB48">
        <v>1</v>
      </c>
      <c r="BH48">
        <v>3</v>
      </c>
      <c r="BI48">
        <v>5</v>
      </c>
    </row>
    <row r="49" spans="1:61" ht="19">
      <c r="A49">
        <f>VLOOKUP(B49,'Loyd List 1-190 - Edit'!$P$1:$R$219,3,FALSE)</f>
        <v>66</v>
      </c>
      <c r="B49">
        <f>'All Girls &amp; Descendants - Edit'!B50</f>
        <v>88</v>
      </c>
      <c r="C49" s="98" t="str">
        <f>'All Girls &amp; Descendants - Edit'!C50</f>
        <v>88b</v>
      </c>
      <c r="D49" s="2" t="str">
        <f>'All Girls &amp; Descendants - Edit'!D50</f>
        <v>KEITH</v>
      </c>
      <c r="E49" t="str">
        <f>'All Girls &amp; Descendants - Edit'!E50</f>
        <v>Michael</v>
      </c>
      <c r="F49" t="str">
        <f>IF('All Girls &amp; Descendants - Edit'!F50="","",'All Girls &amp; Descendants - Edit'!F50)</f>
        <v>Canning</v>
      </c>
      <c r="G49" t="str">
        <f>IF('All Girls &amp; Descendants - Edit'!G50="","",'All Girls &amp; Descendants - Edit'!G50)</f>
        <v>William John</v>
      </c>
      <c r="H49" t="str">
        <f>IF('All Girls &amp; Descendants - Edit'!H50="","",'All Girls &amp; Descendants - Edit'!H50)</f>
        <v/>
      </c>
      <c r="I49">
        <f>VLOOKUP($C49,'All Girls &amp; Descendants - Edit'!$C$2:$AK$440,'All Girls &amp; Descendants - Edit'!I$1,FALSE)</f>
        <v>1939</v>
      </c>
      <c r="J49">
        <f>VLOOKUP($C49,'All Girls &amp; Descendants - Edit'!$C$2:$AK$440,'All Girls &amp; Descendants - Edit'!J$1,FALSE)</f>
        <v>2004</v>
      </c>
      <c r="K49" s="9"/>
      <c r="L49" t="str">
        <f t="shared" si="8"/>
        <v>22/02/1939</v>
      </c>
      <c r="M49" s="3">
        <f>VLOOKUP($C49,'All Girls &amp; Descendants - Edit'!$C$2:$AK$440,'All Girls &amp; Descendants - Edit'!M$1,FALSE)</f>
        <v>14298</v>
      </c>
      <c r="N49" s="3">
        <f>IF(VLOOKUP($C49,'All Girls &amp; Descendants - Edit'!$C$2:$AK$440,'All Girls &amp; Descendants - Edit'!N$1,FALSE)=""," - ",(VLOOKUP($C49,'All Girls &amp; Descendants - Edit'!$C$2:$AK$440,'All Girls &amp; Descendants - Edit'!N$1,FALSE)))</f>
        <v>26581</v>
      </c>
      <c r="O49" s="3" t="str">
        <f>IF(VLOOKUP($C49,'All Girls &amp; Descendants - Edit'!$C$2:$AK$440,'All Girls &amp; Descendants - Edit'!O$1,FALSE)="","",(VLOOKUP($C49,'All Girls &amp; Descendants - Edit'!$C$2:$AK$440,'All Girls &amp; Descendants - Edit'!O$1,FALSE)))</f>
        <v/>
      </c>
      <c r="P49" s="3" t="str">
        <f t="shared" si="3"/>
        <v/>
      </c>
      <c r="Q49" s="178" t="str">
        <f t="shared" si="4"/>
        <v>88</v>
      </c>
      <c r="R49" s="23"/>
      <c r="S49" t="str">
        <f>VLOOKUP($C49,'All Girls &amp; Descendants - Edit'!$C$2:$AK$440,'All Girls &amp; Descendants - Edit'!S$1,FALSE)</f>
        <v>Male</v>
      </c>
      <c r="T49" s="176">
        <f t="shared" si="5"/>
        <v>6</v>
      </c>
      <c r="U49" s="176">
        <f t="shared" si="0"/>
        <v>3</v>
      </c>
      <c r="V49" s="176">
        <f t="shared" si="1"/>
        <v>5</v>
      </c>
      <c r="W49" s="177">
        <f t="shared" si="2"/>
        <v>1</v>
      </c>
      <c r="X49" s="3" t="str">
        <f>IF(VLOOKUP($C49,'All Girls &amp; Descendants - Edit'!$C$2:$AK$440,'All Girls &amp; Descendants - Edit'!X$1,FALSE)=""," - ",(VLOOKUP($C49,'All Girls &amp; Descendants - Edit'!$C$2:$AK$440,'All Girls &amp; Descendants - Edit'!X$1,FALSE)))</f>
        <v>Mary Gaddis PLUM (b. 17/09/1943, d. c2006)</v>
      </c>
      <c r="Y49" s="3" t="str">
        <f>IF(VLOOKUP($C49,'All Girls &amp; Descendants - Edit'!$C$2:$AK$440,'All Girls &amp; Descendants - Edit'!Y$1,FALSE)=""," - ",(VLOOKUP($C49,'All Girls &amp; Descendants - Edit'!$C$2:$AK$440,'All Girls &amp; Descendants - Edit'!Y$1,FALSE)))</f>
        <v>Married at the Guards’ Chapel, London SW1, Mary only daughter of the late Squadron Leader E.G. PLUM of Rumson, New Jersey, USA.</v>
      </c>
      <c r="Z49" s="3" t="str">
        <f>IF(VLOOKUP($C49,'All Girls &amp; Descendants - Edit'!$C$2:$AK$440,'All Girls &amp; Descendants - Edit'!Z$1,FALSE)=""," - ",(VLOOKUP($C49,'All Girls &amp; Descendants - Edit'!$C$2:$AK$440,'All Girls &amp; Descendants - Edit'!Z$1,FALSE)))</f>
        <v>Michael Canning William John KEITH, 13th Earl of KINTORE. Baptised at St Columba’s, Pont Street, London SW1. Educated Eton 1952-56. Late Coldstream Guards. Died 2004.</v>
      </c>
      <c r="AA49" s="101">
        <f>IF(VLOOKUP($C49,'All Girls &amp; Descendants - Edit'!$C$2:$AK$440,'All Girls &amp; Descendants - Edit'!AA$1,FALSE)=""," - ",(VLOOKUP($C49,'All Girls &amp; Descendants - Edit'!$C$2:$AK$440,'All Girls &amp; Descendants - Edit'!AA$1,FALSE)))</f>
        <v>187</v>
      </c>
      <c r="AB49" s="101">
        <f>IF(VLOOKUP($C49,'All Girls &amp; Descendants - Edit'!$C$2:$AK$440,'All Girls &amp; Descendants - Edit'!AB$1,FALSE)=""," - ",(VLOOKUP($C49,'All Girls &amp; Descendants - Edit'!$C$2:$AK$440,'All Girls &amp; Descendants - Edit'!AB$1,FALSE)))</f>
        <v>48</v>
      </c>
      <c r="AC49" s="101">
        <f>IF(VLOOKUP($C49,'All Girls &amp; Descendants - Edit'!$C$2:$AK$440,'All Girls &amp; Descendants - Edit'!AC$1,FALSE)=""," - ",(VLOOKUP($C49,'All Girls &amp; Descendants - Edit'!$C$2:$AK$440,'All Girls &amp; Descendants - Edit'!AC$1,FALSE)))</f>
        <v>1048</v>
      </c>
      <c r="AD49" s="3" t="str">
        <f>IF(VLOOKUP($C49,'All Girls &amp; Descendants - Edit'!$C$2:$AK$440,'All Girls &amp; Descendants - Edit'!AD$1,FALSE)=""," - ",(VLOOKUP($C49,'All Girls &amp; Descendants - Edit'!$C$2:$AK$440,'All Girls &amp; Descendants - Edit'!AD$1,FALSE)))</f>
        <v>88b</v>
      </c>
      <c r="AE49" s="3" t="str">
        <f>IF(VLOOKUP($C49,'All Girls &amp; Descendants - Edit'!$C$2:$AK$440,'All Girls &amp; Descendants - Edit'!AE$1,FALSE)=""," - ",(VLOOKUP($C49,'All Girls &amp; Descendants - Edit'!$C$2:$AK$440,'All Girls &amp; Descendants - Edit'!AE$1,FALSE)))</f>
        <v>Michael Canning William John KEITH (1939 - 2004)</v>
      </c>
      <c r="AF49" s="3" t="str">
        <f>IF(VLOOKUP($C49,'All Girls &amp; Descendants - Edit'!$C$2:$AK$440,'All Girls &amp; Descendants - Edit'!AF$1,FALSE)=""," - ",(VLOOKUP($C49,'All Girls &amp; Descendants - Edit'!$C$2:$AK$440,'All Girls &amp; Descendants - Edit'!AF$1,FALSE)))</f>
        <v>Michael KEITH (6th &amp; 88)</v>
      </c>
      <c r="AG49" s="3" t="str">
        <f>IF(VLOOKUP($C49,'All Girls &amp; Descendants - Edit'!$C$2:$AK$440,'All Girls &amp; Descendants - Edit'!AG$1,FALSE)=""," - ",(VLOOKUP($C49,'All Girls &amp; Descendants - Edit'!$C$2:$AK$440,'All Girls &amp; Descendants - Edit'!AG$1,FALSE)))</f>
        <v>Male</v>
      </c>
      <c r="AH49" s="3" t="str">
        <f>IF(VLOOKUP($C49,'All Girls &amp; Descendants - Edit'!$C$2:$AK$440,'All Girls &amp; Descendants - Edit'!AH$1,FALSE)=""," - ",(VLOOKUP($C49,'All Girls &amp; Descendants - Edit'!$C$2:$AK$440,'All Girls &amp; Descendants - Edit'!AH$1,FALSE)))</f>
        <v>6th</v>
      </c>
      <c r="AI49" s="3" t="str">
        <f>IF(VLOOKUP($C49,'All Girls &amp; Descendants - Edit'!$C$2:$AK$440,'All Girls &amp; Descendants - Edit'!AI$1,FALSE)=""," - ",(VLOOKUP($C49,'All Girls &amp; Descendants - Edit'!$C$2:$AK$440,'All Girls &amp; Descendants - Edit'!AI$1,FALSE)))</f>
        <v>Wife: Mary Gaddis PLUM (b. 17/09/1943, d. c2006). Married at the Guards’ Chapel, London SW1, Mary only daughter of the late Squadron Leader E.G. PLUM of Rumson, New Jersey, USA.</v>
      </c>
      <c r="AJ49" s="3" t="str">
        <f>IF(VLOOKUP($C49,'All Girls &amp; Descendants - Edit'!$C$2:$AK$440,'All Girls &amp; Descendants - Edit'!AJ$1,FALSE)=""," - ",(VLOOKUP($C49,'All Girls &amp; Descendants - Edit'!$C$2:$AK$440,'All Girls &amp; Descendants - Edit'!AJ$1,FALSE)))</f>
        <v>Male. b. 22/02/1939 Michael Canning William John KEITH, 13th Earl of KINTORE. Baptised at St Columba’s, Pont Street, London SW1. Educated Eton 1952-56. Late Coldstream Guards. Died 2004.</v>
      </c>
      <c r="AK49" s="3" t="str">
        <f>IF(VLOOKUP($C49,'All Girls &amp; Descendants - Edit'!$C$2:$AK$440,'All Girls &amp; Descendants - Edit'!AK$1,FALSE)=""," - ",(VLOOKUP($C49,'All Girls &amp; Descendants - Edit'!$C$2:$AK$440,'All Girls &amp; Descendants - Edit'!AK$1,FALSE)))</f>
        <v>b. 22/02/1939</v>
      </c>
      <c r="AO49" s="1"/>
      <c r="AS49" s="72">
        <v>115</v>
      </c>
      <c r="AT49">
        <v>1</v>
      </c>
      <c r="AU49">
        <v>4</v>
      </c>
      <c r="AZ49">
        <v>5</v>
      </c>
      <c r="BA49">
        <v>4</v>
      </c>
      <c r="BB49">
        <v>1</v>
      </c>
      <c r="BC49">
        <v>2</v>
      </c>
      <c r="BH49">
        <v>7</v>
      </c>
      <c r="BI49">
        <v>12</v>
      </c>
    </row>
    <row r="50" spans="1:61" ht="19">
      <c r="A50">
        <f>VLOOKUP(B50,'Loyd List 1-190 - Edit'!$P$1:$R$219,3,FALSE)</f>
        <v>66</v>
      </c>
      <c r="B50">
        <f>'All Girls &amp; Descendants - Edit'!B51</f>
        <v>88</v>
      </c>
      <c r="C50" s="98" t="str">
        <f>'All Girls &amp; Descendants - Edit'!C51</f>
        <v>88c</v>
      </c>
      <c r="D50" s="2" t="str">
        <f>'All Girls &amp; Descendants - Edit'!D51</f>
        <v>BAIRD</v>
      </c>
      <c r="E50" t="str">
        <f>'All Girls &amp; Descendants - Edit'!E51</f>
        <v>The Hon Alexander</v>
      </c>
      <c r="F50" t="str">
        <f>IF('All Girls &amp; Descendants - Edit'!F51="","",'All Girls &amp; Descendants - Edit'!F51)</f>
        <v>David</v>
      </c>
      <c r="G50" t="str">
        <f>IF('All Girls &amp; Descendants - Edit'!G51="","",'All Girls &amp; Descendants - Edit'!G51)</f>
        <v/>
      </c>
      <c r="H50" t="str">
        <f>IF('All Girls &amp; Descendants - Edit'!H51="","",'All Girls &amp; Descendants - Edit'!H51)</f>
        <v/>
      </c>
      <c r="I50">
        <f>VLOOKUP($C50,'All Girls &amp; Descendants - Edit'!$C$2:$AK$440,'All Girls &amp; Descendants - Edit'!I$1,FALSE)</f>
        <v>1946</v>
      </c>
      <c r="J50" t="str">
        <f>VLOOKUP($C50,'All Girls &amp; Descendants - Edit'!$C$2:$AK$440,'All Girls &amp; Descendants - Edit'!J$1,FALSE)</f>
        <v/>
      </c>
      <c r="K50" s="9"/>
      <c r="L50" t="str">
        <f t="shared" si="8"/>
        <v>21/04/1946</v>
      </c>
      <c r="M50" s="3">
        <f>VLOOKUP($C50,'All Girls &amp; Descendants - Edit'!$C$2:$AK$440,'All Girls &amp; Descendants - Edit'!M$1,FALSE)</f>
        <v>16913</v>
      </c>
      <c r="N50" s="3" t="str">
        <f>IF(VLOOKUP($C50,'All Girls &amp; Descendants - Edit'!$C$2:$AK$440,'All Girls &amp; Descendants - Edit'!N$1,FALSE)=""," - ",(VLOOKUP($C50,'All Girls &amp; Descendants - Edit'!$C$2:$AK$440,'All Girls &amp; Descendants - Edit'!N$1,FALSE)))</f>
        <v xml:space="preserve"> - </v>
      </c>
      <c r="O50" s="3" t="str">
        <f>IF(VLOOKUP($C50,'All Girls &amp; Descendants - Edit'!$C$2:$AK$440,'All Girls &amp; Descendants - Edit'!O$1,FALSE)="","",(VLOOKUP($C50,'All Girls &amp; Descendants - Edit'!$C$2:$AK$440,'All Girls &amp; Descendants - Edit'!O$1,FALSE)))</f>
        <v/>
      </c>
      <c r="P50" s="3" t="str">
        <f t="shared" si="3"/>
        <v/>
      </c>
      <c r="Q50" s="178" t="str">
        <f t="shared" si="4"/>
        <v>88</v>
      </c>
      <c r="R50" s="23"/>
      <c r="S50" t="str">
        <f>VLOOKUP($C50,'All Girls &amp; Descendants - Edit'!$C$2:$AK$440,'All Girls &amp; Descendants - Edit'!S$1,FALSE)</f>
        <v>Male</v>
      </c>
      <c r="T50" s="176">
        <f t="shared" si="5"/>
        <v>6</v>
      </c>
      <c r="U50" s="176">
        <f t="shared" si="0"/>
        <v>3</v>
      </c>
      <c r="V50" s="176">
        <f t="shared" si="1"/>
        <v>5</v>
      </c>
      <c r="W50" s="177">
        <f t="shared" si="2"/>
        <v>1</v>
      </c>
      <c r="X50" s="3" t="str">
        <f>IF(VLOOKUP($C50,'All Girls &amp; Descendants - Edit'!$C$2:$AK$440,'All Girls &amp; Descendants - Edit'!X$1,FALSE)=""," - ",(VLOOKUP($C50,'All Girls &amp; Descendants - Edit'!$C$2:$AK$440,'All Girls &amp; Descendants - Edit'!X$1,FALSE)))</f>
        <v xml:space="preserve"> - </v>
      </c>
      <c r="Y50" s="3" t="str">
        <f>IF(VLOOKUP($C50,'All Girls &amp; Descendants - Edit'!$C$2:$AK$440,'All Girls &amp; Descendants - Edit'!Y$1,FALSE)=""," - ",(VLOOKUP($C50,'All Girls &amp; Descendants - Edit'!$C$2:$AK$440,'All Girls &amp; Descendants - Edit'!Y$1,FALSE)))</f>
        <v xml:space="preserve"> - </v>
      </c>
      <c r="Z50" s="3" t="str">
        <f>IF(VLOOKUP($C50,'All Girls &amp; Descendants - Edit'!$C$2:$AK$440,'All Girls &amp; Descendants - Edit'!Z$1,FALSE)=""," - ",(VLOOKUP($C50,'All Girls &amp; Descendants - Edit'!$C$2:$AK$440,'All Girls &amp; Descendants - Edit'!Z$1,FALSE)))</f>
        <v>The Hon Alexander David BAIRD. Baptised at Shamley Green, Surrey. Educated Tabley House, Cheshire.</v>
      </c>
      <c r="AA50" s="101">
        <f>IF(VLOOKUP($C50,'All Girls &amp; Descendants - Edit'!$C$2:$AK$440,'All Girls &amp; Descendants - Edit'!AA$1,FALSE)=""," - ",(VLOOKUP($C50,'All Girls &amp; Descendants - Edit'!$C$2:$AK$440,'All Girls &amp; Descendants - Edit'!AA$1,FALSE)))</f>
        <v>190</v>
      </c>
      <c r="AB50" s="101">
        <f>IF(VLOOKUP($C50,'All Girls &amp; Descendants - Edit'!$C$2:$AK$440,'All Girls &amp; Descendants - Edit'!AB$1,FALSE)=""," - ",(VLOOKUP($C50,'All Girls &amp; Descendants - Edit'!$C$2:$AK$440,'All Girls &amp; Descendants - Edit'!AB$1,FALSE)))</f>
        <v>49</v>
      </c>
      <c r="AC50" s="101">
        <f>IF(VLOOKUP($C50,'All Girls &amp; Descendants - Edit'!$C$2:$AK$440,'All Girls &amp; Descendants - Edit'!AC$1,FALSE)=""," - ",(VLOOKUP($C50,'All Girls &amp; Descendants - Edit'!$C$2:$AK$440,'All Girls &amp; Descendants - Edit'!AC$1,FALSE)))</f>
        <v>1049</v>
      </c>
      <c r="AD50" s="3" t="str">
        <f>IF(VLOOKUP($C50,'All Girls &amp; Descendants - Edit'!$C$2:$AK$440,'All Girls &amp; Descendants - Edit'!AD$1,FALSE)=""," - ",(VLOOKUP($C50,'All Girls &amp; Descendants - Edit'!$C$2:$AK$440,'All Girls &amp; Descendants - Edit'!AD$1,FALSE)))</f>
        <v>88c</v>
      </c>
      <c r="AE50" s="3" t="str">
        <f>IF(VLOOKUP($C50,'All Girls &amp; Descendants - Edit'!$C$2:$AK$440,'All Girls &amp; Descendants - Edit'!AE$1,FALSE)=""," - ",(VLOOKUP($C50,'All Girls &amp; Descendants - Edit'!$C$2:$AK$440,'All Girls &amp; Descendants - Edit'!AE$1,FALSE)))</f>
        <v>The Hon Alexander David  BAIRD (1946 - )</v>
      </c>
      <c r="AF50" s="3" t="str">
        <f>IF(VLOOKUP($C50,'All Girls &amp; Descendants - Edit'!$C$2:$AK$440,'All Girls &amp; Descendants - Edit'!AF$1,FALSE)=""," - ",(VLOOKUP($C50,'All Girls &amp; Descendants - Edit'!$C$2:$AK$440,'All Girls &amp; Descendants - Edit'!AF$1,FALSE)))</f>
        <v>The Hon Alexander BAIRD (6th &amp; 88)</v>
      </c>
      <c r="AG50" s="3" t="str">
        <f>IF(VLOOKUP($C50,'All Girls &amp; Descendants - Edit'!$C$2:$AK$440,'All Girls &amp; Descendants - Edit'!AG$1,FALSE)=""," - ",(VLOOKUP($C50,'All Girls &amp; Descendants - Edit'!$C$2:$AK$440,'All Girls &amp; Descendants - Edit'!AG$1,FALSE)))</f>
        <v>Male</v>
      </c>
      <c r="AH50" s="3" t="str">
        <f>IF(VLOOKUP($C50,'All Girls &amp; Descendants - Edit'!$C$2:$AK$440,'All Girls &amp; Descendants - Edit'!AH$1,FALSE)=""," - ",(VLOOKUP($C50,'All Girls &amp; Descendants - Edit'!$C$2:$AK$440,'All Girls &amp; Descendants - Edit'!AH$1,FALSE)))</f>
        <v>6th</v>
      </c>
      <c r="AI50" s="3" t="str">
        <f>IF(VLOOKUP($C50,'All Girls &amp; Descendants - Edit'!$C$2:$AK$440,'All Girls &amp; Descendants - Edit'!AI$1,FALSE)=""," - ",(VLOOKUP($C50,'All Girls &amp; Descendants - Edit'!$C$2:$AK$440,'All Girls &amp; Descendants - Edit'!AI$1,FALSE)))</f>
        <v>Unmarried</v>
      </c>
      <c r="AJ50" s="3" t="str">
        <f>IF(VLOOKUP($C50,'All Girls &amp; Descendants - Edit'!$C$2:$AK$440,'All Girls &amp; Descendants - Edit'!AJ$1,FALSE)=""," - ",(VLOOKUP($C50,'All Girls &amp; Descendants - Edit'!$C$2:$AK$440,'All Girls &amp; Descendants - Edit'!AJ$1,FALSE)))</f>
        <v>Male. b. 21/04/1946 The Hon Alexander David BAIRD. Baptised at Shamley Green, Surrey. Educated Tabley House, Cheshire.</v>
      </c>
      <c r="AK50" s="3" t="str">
        <f>IF(VLOOKUP($C50,'All Girls &amp; Descendants - Edit'!$C$2:$AK$440,'All Girls &amp; Descendants - Edit'!AK$1,FALSE)=""," - ",(VLOOKUP($C50,'All Girls &amp; Descendants - Edit'!$C$2:$AK$440,'All Girls &amp; Descendants - Edit'!AK$1,FALSE)))</f>
        <v>b. 21/04/1946</v>
      </c>
      <c r="AO50" s="1"/>
      <c r="AS50" s="72">
        <v>116</v>
      </c>
      <c r="AT50">
        <v>1</v>
      </c>
      <c r="AZ50">
        <v>1</v>
      </c>
      <c r="BA50">
        <v>2</v>
      </c>
      <c r="BB50">
        <v>1</v>
      </c>
      <c r="BH50">
        <v>3</v>
      </c>
      <c r="BI50">
        <v>4</v>
      </c>
    </row>
    <row r="51" spans="1:61" ht="19">
      <c r="A51">
        <f>VLOOKUP(B51,'Loyd List 1-190 - Edit'!$P$1:$R$219,3,FALSE)</f>
        <v>52</v>
      </c>
      <c r="B51">
        <f>'All Girls &amp; Descendants - Edit'!B52</f>
        <v>90</v>
      </c>
      <c r="C51" s="98" t="str">
        <f>'All Girls &amp; Descendants - Edit'!C52</f>
        <v>90a</v>
      </c>
      <c r="D51" s="2" t="str">
        <f>'All Girls &amp; Descendants - Edit'!D52</f>
        <v>MARSHAM-TOWNHEND</v>
      </c>
      <c r="E51" t="str">
        <f>'All Girls &amp; Descendants - Edit'!E52</f>
        <v>June</v>
      </c>
      <c r="F51" t="str">
        <f>IF('All Girls &amp; Descendants - Edit'!F52="","",'All Girls &amp; Descendants - Edit'!F52)</f>
        <v/>
      </c>
      <c r="G51" t="str">
        <f>IF('All Girls &amp; Descendants - Edit'!G52="","",'All Girls &amp; Descendants - Edit'!G52)</f>
        <v/>
      </c>
      <c r="H51" t="str">
        <f>IF('All Girls &amp; Descendants - Edit'!H52="","",'All Girls &amp; Descendants - Edit'!H52)</f>
        <v/>
      </c>
      <c r="I51">
        <f>VLOOKUP($C51,'All Girls &amp; Descendants - Edit'!$C$2:$AK$440,'All Girls &amp; Descendants - Edit'!I$1,FALSE)</f>
        <v>1942</v>
      </c>
      <c r="J51" t="str">
        <f>VLOOKUP($C51,'All Girls &amp; Descendants - Edit'!$C$2:$AK$440,'All Girls &amp; Descendants - Edit'!J$1,FALSE)</f>
        <v/>
      </c>
      <c r="K51" s="9"/>
      <c r="L51" t="str">
        <f t="shared" si="8"/>
        <v>30/06/1942</v>
      </c>
      <c r="M51" s="3">
        <f>VLOOKUP($C51,'All Girls &amp; Descendants - Edit'!$C$2:$AK$440,'All Girls &amp; Descendants - Edit'!M$1,FALSE)</f>
        <v>15522</v>
      </c>
      <c r="N51" s="3">
        <f>IF(VLOOKUP($C51,'All Girls &amp; Descendants - Edit'!$C$2:$AK$440,'All Girls &amp; Descendants - Edit'!N$1,FALSE)=""," - ",(VLOOKUP($C51,'All Girls &amp; Descendants - Edit'!$C$2:$AK$440,'All Girls &amp; Descendants - Edit'!N$1,FALSE)))</f>
        <v>22815</v>
      </c>
      <c r="O51" s="3" t="str">
        <f>IF(VLOOKUP($C51,'All Girls &amp; Descendants - Edit'!$C$2:$AK$440,'All Girls &amp; Descendants - Edit'!O$1,FALSE)="","",(VLOOKUP($C51,'All Girls &amp; Descendants - Edit'!$C$2:$AK$440,'All Girls &amp; Descendants - Edit'!O$1,FALSE)))</f>
        <v/>
      </c>
      <c r="P51" s="3" t="str">
        <f t="shared" si="3"/>
        <v/>
      </c>
      <c r="Q51" s="178" t="str">
        <f t="shared" si="4"/>
        <v>90</v>
      </c>
      <c r="R51" s="23"/>
      <c r="S51" t="str">
        <f>VLOOKUP($C51,'All Girls &amp; Descendants - Edit'!$C$2:$AK$440,'All Girls &amp; Descendants - Edit'!S$1,FALSE)</f>
        <v>Female</v>
      </c>
      <c r="T51" s="176">
        <f t="shared" si="5"/>
        <v>6</v>
      </c>
      <c r="U51" s="176">
        <f t="shared" si="0"/>
        <v>3</v>
      </c>
      <c r="V51" s="176">
        <f t="shared" si="1"/>
        <v>5</v>
      </c>
      <c r="W51" s="177">
        <f t="shared" si="2"/>
        <v>1</v>
      </c>
      <c r="X51" s="3" t="str">
        <f>IF(VLOOKUP($C51,'All Girls &amp; Descendants - Edit'!$C$2:$AK$440,'All Girls &amp; Descendants - Edit'!X$1,FALSE)=""," - ",(VLOOKUP($C51,'All Girls &amp; Descendants - Edit'!$C$2:$AK$440,'All Girls &amp; Descendants - Edit'!X$1,FALSE)))</f>
        <v>(1) Bryan Montagu NORMAN (b. 08/01/1939, d. ) (2) Feb 1980 Ian RANKIN (b. 19/12/1932, d. )</v>
      </c>
      <c r="Y51" s="3" t="str">
        <f>IF(VLOOKUP($C51,'All Girls &amp; Descendants - Edit'!$C$2:$AK$440,'All Girls &amp; Descendants - Edit'!Y$1,FALSE)=""," - ",(VLOOKUP($C51,'All Girls &amp; Descendants - Edit'!$C$2:$AK$440,'All Girls &amp; Descendants - Edit'!Y$1,FALSE)))</f>
        <v>(1) Married at St Paul’s Knightsbridge, London, Bryan Montagu elder son of Lieut Colonel Mark Richard NORMAN OBE, Hertfordshire Yeomanry of Moor Place, Much Hadham, Hertfordshire. (Divorced). (2) Married Ian RANKIN of 63 Marlborough Place, London, NW8. (Divorced).</v>
      </c>
      <c r="Z51" s="3" t="str">
        <f>IF(VLOOKUP($C51,'All Girls &amp; Descendants - Edit'!$C$2:$AK$440,'All Girls &amp; Descendants - Edit'!Z$1,FALSE)=""," - ",(VLOOKUP($C51,'All Girls &amp; Descendants - Edit'!$C$2:$AK$440,'All Girls &amp; Descendants - Edit'!Z$1,FALSE)))</f>
        <v>Born in Alexandria, Egypt. Educated Southover Manor, East Sussex.</v>
      </c>
      <c r="AA51" s="101">
        <f>IF(VLOOKUP($C51,'All Girls &amp; Descendants - Edit'!$C$2:$AK$440,'All Girls &amp; Descendants - Edit'!AA$1,FALSE)=""," - ",(VLOOKUP($C51,'All Girls &amp; Descendants - Edit'!$C$2:$AK$440,'All Girls &amp; Descendants - Edit'!AA$1,FALSE)))</f>
        <v>191</v>
      </c>
      <c r="AB51" s="101">
        <f>IF(VLOOKUP($C51,'All Girls &amp; Descendants - Edit'!$C$2:$AK$440,'All Girls &amp; Descendants - Edit'!AB$1,FALSE)=""," - ",(VLOOKUP($C51,'All Girls &amp; Descendants - Edit'!$C$2:$AK$440,'All Girls &amp; Descendants - Edit'!AB$1,FALSE)))</f>
        <v>50</v>
      </c>
      <c r="AC51" s="101">
        <f>IF(VLOOKUP($C51,'All Girls &amp; Descendants - Edit'!$C$2:$AK$440,'All Girls &amp; Descendants - Edit'!AC$1,FALSE)=""," - ",(VLOOKUP($C51,'All Girls &amp; Descendants - Edit'!$C$2:$AK$440,'All Girls &amp; Descendants - Edit'!AC$1,FALSE)))</f>
        <v>1050</v>
      </c>
      <c r="AD51" s="3" t="str">
        <f>IF(VLOOKUP($C51,'All Girls &amp; Descendants - Edit'!$C$2:$AK$440,'All Girls &amp; Descendants - Edit'!AD$1,FALSE)=""," - ",(VLOOKUP($C51,'All Girls &amp; Descendants - Edit'!$C$2:$AK$440,'All Girls &amp; Descendants - Edit'!AD$1,FALSE)))</f>
        <v>90a</v>
      </c>
      <c r="AE51" s="3" t="str">
        <f>IF(VLOOKUP($C51,'All Girls &amp; Descendants - Edit'!$C$2:$AK$440,'All Girls &amp; Descendants - Edit'!AE$1,FALSE)=""," - ",(VLOOKUP($C51,'All Girls &amp; Descendants - Edit'!$C$2:$AK$440,'All Girls &amp; Descendants - Edit'!AE$1,FALSE)))</f>
        <v>June   MARSHAM-TOWNHEND (1942 - )</v>
      </c>
      <c r="AF51" s="3" t="str">
        <f>IF(VLOOKUP($C51,'All Girls &amp; Descendants - Edit'!$C$2:$AK$440,'All Girls &amp; Descendants - Edit'!AF$1,FALSE)=""," - ",(VLOOKUP($C51,'All Girls &amp; Descendants - Edit'!$C$2:$AK$440,'All Girls &amp; Descendants - Edit'!AF$1,FALSE)))</f>
        <v>June MARSHAM-TOWNHEND (6th &amp; 90)</v>
      </c>
      <c r="AG51" s="3" t="str">
        <f>IF(VLOOKUP($C51,'All Girls &amp; Descendants - Edit'!$C$2:$AK$440,'All Girls &amp; Descendants - Edit'!AG$1,FALSE)=""," - ",(VLOOKUP($C51,'All Girls &amp; Descendants - Edit'!$C$2:$AK$440,'All Girls &amp; Descendants - Edit'!AG$1,FALSE)))</f>
        <v>Female</v>
      </c>
      <c r="AH51" s="3" t="str">
        <f>IF(VLOOKUP($C51,'All Girls &amp; Descendants - Edit'!$C$2:$AK$440,'All Girls &amp; Descendants - Edit'!AH$1,FALSE)=""," - ",(VLOOKUP($C51,'All Girls &amp; Descendants - Edit'!$C$2:$AK$440,'All Girls &amp; Descendants - Edit'!AH$1,FALSE)))</f>
        <v>6th</v>
      </c>
      <c r="AI51" s="3" t="str">
        <f>IF(VLOOKUP($C51,'All Girls &amp; Descendants - Edit'!$C$2:$AK$440,'All Girls &amp; Descendants - Edit'!AI$1,FALSE)=""," - ",(VLOOKUP($C51,'All Girls &amp; Descendants - Edit'!$C$2:$AK$440,'All Girls &amp; Descendants - Edit'!AI$1,FALSE)))</f>
        <v>Husband: (1) Bryan Montagu NORMAN (b. 08/01/1939, d. ) (2) Feb 1980 Ian RANKIN (b. 19/12/1932, d. ). (1) Married at St Paul’s Knightsbridge, London, Bryan Montagu elder son of Lieut Colonel Mark Richard NORMAN OBE, Hertfordshire Yeomanry of Moor Place, Much Hadham, Hertfordshire. (Divorced). (2) Married Ian RANKIN of 63 Marlborough Place, London, NW8. (Divorced).</v>
      </c>
      <c r="AJ51" s="3" t="str">
        <f>IF(VLOOKUP($C51,'All Girls &amp; Descendants - Edit'!$C$2:$AK$440,'All Girls &amp; Descendants - Edit'!AJ$1,FALSE)=""," - ",(VLOOKUP($C51,'All Girls &amp; Descendants - Edit'!$C$2:$AK$440,'All Girls &amp; Descendants - Edit'!AJ$1,FALSE)))</f>
        <v>Female. b. 30/06/1942 Born in Alexandria, Egypt. Educated Southover Manor, East Sussex.</v>
      </c>
      <c r="AK51" s="3" t="str">
        <f>IF(VLOOKUP($C51,'All Girls &amp; Descendants - Edit'!$C$2:$AK$440,'All Girls &amp; Descendants - Edit'!AK$1,FALSE)=""," - ",(VLOOKUP($C51,'All Girls &amp; Descendants - Edit'!$C$2:$AK$440,'All Girls &amp; Descendants - Edit'!AK$1,FALSE)))</f>
        <v>b. 30/06/1942</v>
      </c>
      <c r="AO51" s="1"/>
      <c r="AS51" s="72">
        <v>118</v>
      </c>
      <c r="BB51">
        <v>1</v>
      </c>
      <c r="BH51">
        <v>1</v>
      </c>
      <c r="BI51">
        <v>1</v>
      </c>
    </row>
    <row r="52" spans="1:61" ht="19">
      <c r="A52">
        <f>VLOOKUP(B52,'Loyd List 1-190 - Edit'!$P$1:$R$219,3,FALSE)</f>
        <v>52</v>
      </c>
      <c r="B52">
        <f>'All Girls &amp; Descendants - Edit'!B53</f>
        <v>90</v>
      </c>
      <c r="C52" s="98" t="str">
        <f>'All Girls &amp; Descendants - Edit'!C53</f>
        <v>90b</v>
      </c>
      <c r="D52" s="2" t="str">
        <f>'All Girls &amp; Descendants - Edit'!D53</f>
        <v>MARSHAM-TOWNHEND</v>
      </c>
      <c r="E52" t="str">
        <f>'All Girls &amp; Descendants - Edit'!E53</f>
        <v>Susan</v>
      </c>
      <c r="F52" t="str">
        <f>IF('All Girls &amp; Descendants - Edit'!F53="","",'All Girls &amp; Descendants - Edit'!F53)</f>
        <v/>
      </c>
      <c r="G52" t="str">
        <f>IF('All Girls &amp; Descendants - Edit'!G53="","",'All Girls &amp; Descendants - Edit'!G53)</f>
        <v/>
      </c>
      <c r="H52" t="str">
        <f>IF('All Girls &amp; Descendants - Edit'!H53="","",'All Girls &amp; Descendants - Edit'!H53)</f>
        <v>Suki</v>
      </c>
      <c r="I52">
        <f>VLOOKUP($C52,'All Girls &amp; Descendants - Edit'!$C$2:$AK$440,'All Girls &amp; Descendants - Edit'!I$1,FALSE)</f>
        <v>1944</v>
      </c>
      <c r="J52" t="str">
        <f>VLOOKUP($C52,'All Girls &amp; Descendants - Edit'!$C$2:$AK$440,'All Girls &amp; Descendants - Edit'!J$1,FALSE)</f>
        <v/>
      </c>
      <c r="K52" s="9"/>
      <c r="L52" t="str">
        <f t="shared" ref="L52:L64" si="9">IF(M52="","",TEXT(M52,"dd/mm/yyyy"))</f>
        <v>13/05/1944</v>
      </c>
      <c r="M52" s="3">
        <f>VLOOKUP($C52,'All Girls &amp; Descendants - Edit'!$C$2:$AK$440,'All Girls &amp; Descendants - Edit'!M$1,FALSE)</f>
        <v>16205</v>
      </c>
      <c r="N52" s="3">
        <f>IF(VLOOKUP($C52,'All Girls &amp; Descendants - Edit'!$C$2:$AK$440,'All Girls &amp; Descendants - Edit'!N$1,FALSE)=""," - ",(VLOOKUP($C52,'All Girls &amp; Descendants - Edit'!$C$2:$AK$440,'All Girls &amp; Descendants - Edit'!N$1,FALSE)))</f>
        <v>26324</v>
      </c>
      <c r="O52" s="3" t="str">
        <f>IF(VLOOKUP($C52,'All Girls &amp; Descendants - Edit'!$C$2:$AK$440,'All Girls &amp; Descendants - Edit'!O$1,FALSE)="","",(VLOOKUP($C52,'All Girls &amp; Descendants - Edit'!$C$2:$AK$440,'All Girls &amp; Descendants - Edit'!O$1,FALSE)))</f>
        <v/>
      </c>
      <c r="P52" s="3" t="str">
        <f t="shared" si="3"/>
        <v/>
      </c>
      <c r="Q52" s="178" t="str">
        <f t="shared" si="4"/>
        <v>90</v>
      </c>
      <c r="R52" s="23"/>
      <c r="S52" t="str">
        <f>VLOOKUP($C52,'All Girls &amp; Descendants - Edit'!$C$2:$AK$440,'All Girls &amp; Descendants - Edit'!S$1,FALSE)</f>
        <v>Female</v>
      </c>
      <c r="T52" s="176">
        <f t="shared" si="5"/>
        <v>6</v>
      </c>
      <c r="U52" s="176">
        <f t="shared" si="0"/>
        <v>3</v>
      </c>
      <c r="V52" s="176">
        <f t="shared" si="1"/>
        <v>5</v>
      </c>
      <c r="W52" s="177">
        <f t="shared" si="2"/>
        <v>1</v>
      </c>
      <c r="X52" s="3" t="str">
        <f>IF(VLOOKUP($C52,'All Girls &amp; Descendants - Edit'!$C$2:$AK$440,'All Girls &amp; Descendants - Edit'!X$1,FALSE)=""," - ",(VLOOKUP($C52,'All Girls &amp; Descendants - Edit'!$C$2:$AK$440,'All Girls &amp; Descendants - Edit'!X$1,FALSE)))</f>
        <v>(1) Piero STUDIATI BERNI (b. 22/02/1936, d.) (2) John Robert Stephenson CLARKE (b. 05/04/1918, d. 28/08/1993)</v>
      </c>
      <c r="Y52" s="3" t="str">
        <f>IF(VLOOKUP($C52,'All Girls &amp; Descendants - Edit'!$C$2:$AK$440,'All Girls &amp; Descendants - Edit'!Y$1,FALSE)=""," - ",(VLOOKUP($C52,'All Girls &amp; Descendants - Edit'!$C$2:$AK$440,'All Girls &amp; Descendants - Edit'!Y$1,FALSE)))</f>
        <v>(1) Married  in Switzerland, Piero STUDIATI BERNI of Molina di Quosa, Pisa, Italy. (2) 08/08/1945 at St Paul’s, Knightsbridge, London, John Robert Stephenson buried Highbrook Church, West Sussex) OBE, MC, Yugoslav Order of Service to the People with Silver Rays, Lieut Colonel, Scots Guards, Liveryman of Clothworkers’ Company, eldest son of Edmund Stephenson CLARKE of Pickwell, Bolney, West Sussex, RH17 5RE.</v>
      </c>
      <c r="Z52" s="3" t="str">
        <f>IF(VLOOKUP($C52,'All Girls &amp; Descendants - Edit'!$C$2:$AK$440,'All Girls &amp; Descendants - Edit'!Z$1,FALSE)=""," - ",(VLOOKUP($C52,'All Girls &amp; Descendants - Edit'!$C$2:$AK$440,'All Girls &amp; Descendants - Edit'!Z$1,FALSE)))</f>
        <v>Born in Alexandria, Egypt. Educated Southover Manor, East Sussex and Farlington, West Sussex.</v>
      </c>
      <c r="AA52" s="101">
        <f>IF(VLOOKUP($C52,'All Girls &amp; Descendants - Edit'!$C$2:$AK$440,'All Girls &amp; Descendants - Edit'!AA$1,FALSE)=""," - ",(VLOOKUP($C52,'All Girls &amp; Descendants - Edit'!$C$2:$AK$440,'All Girls &amp; Descendants - Edit'!AA$1,FALSE)))</f>
        <v>194</v>
      </c>
      <c r="AB52" s="101">
        <f>IF(VLOOKUP($C52,'All Girls &amp; Descendants - Edit'!$C$2:$AK$440,'All Girls &amp; Descendants - Edit'!AB$1,FALSE)=""," - ",(VLOOKUP($C52,'All Girls &amp; Descendants - Edit'!$C$2:$AK$440,'All Girls &amp; Descendants - Edit'!AB$1,FALSE)))</f>
        <v>51</v>
      </c>
      <c r="AC52" s="101">
        <f>IF(VLOOKUP($C52,'All Girls &amp; Descendants - Edit'!$C$2:$AK$440,'All Girls &amp; Descendants - Edit'!AC$1,FALSE)=""," - ",(VLOOKUP($C52,'All Girls &amp; Descendants - Edit'!$C$2:$AK$440,'All Girls &amp; Descendants - Edit'!AC$1,FALSE)))</f>
        <v>1051</v>
      </c>
      <c r="AD52" s="3" t="str">
        <f>IF(VLOOKUP($C52,'All Girls &amp; Descendants - Edit'!$C$2:$AK$440,'All Girls &amp; Descendants - Edit'!AD$1,FALSE)=""," - ",(VLOOKUP($C52,'All Girls &amp; Descendants - Edit'!$C$2:$AK$440,'All Girls &amp; Descendants - Edit'!AD$1,FALSE)))</f>
        <v>90b</v>
      </c>
      <c r="AE52" s="3" t="str">
        <f>IF(VLOOKUP($C52,'All Girls &amp; Descendants - Edit'!$C$2:$AK$440,'All Girls &amp; Descendants - Edit'!AE$1,FALSE)=""," - ",(VLOOKUP($C52,'All Girls &amp; Descendants - Edit'!$C$2:$AK$440,'All Girls &amp; Descendants - Edit'!AE$1,FALSE)))</f>
        <v>Susan   MARSHAM-TOWNHEND (1944 - )</v>
      </c>
      <c r="AF52" s="3" t="str">
        <f>IF(VLOOKUP($C52,'All Girls &amp; Descendants - Edit'!$C$2:$AK$440,'All Girls &amp; Descendants - Edit'!AF$1,FALSE)=""," - ",(VLOOKUP($C52,'All Girls &amp; Descendants - Edit'!$C$2:$AK$440,'All Girls &amp; Descendants - Edit'!AF$1,FALSE)))</f>
        <v>Suki MARSHAM-TOWNHEND (6th &amp; 90)</v>
      </c>
      <c r="AG52" s="3" t="str">
        <f>IF(VLOOKUP($C52,'All Girls &amp; Descendants - Edit'!$C$2:$AK$440,'All Girls &amp; Descendants - Edit'!AG$1,FALSE)=""," - ",(VLOOKUP($C52,'All Girls &amp; Descendants - Edit'!$C$2:$AK$440,'All Girls &amp; Descendants - Edit'!AG$1,FALSE)))</f>
        <v>Female</v>
      </c>
      <c r="AH52" s="3" t="str">
        <f>IF(VLOOKUP($C52,'All Girls &amp; Descendants - Edit'!$C$2:$AK$440,'All Girls &amp; Descendants - Edit'!AH$1,FALSE)=""," - ",(VLOOKUP($C52,'All Girls &amp; Descendants - Edit'!$C$2:$AK$440,'All Girls &amp; Descendants - Edit'!AH$1,FALSE)))</f>
        <v>6th</v>
      </c>
      <c r="AI52" s="3" t="str">
        <f>IF(VLOOKUP($C52,'All Girls &amp; Descendants - Edit'!$C$2:$AK$440,'All Girls &amp; Descendants - Edit'!AI$1,FALSE)=""," - ",(VLOOKUP($C52,'All Girls &amp; Descendants - Edit'!$C$2:$AK$440,'All Girls &amp; Descendants - Edit'!AI$1,FALSE)))</f>
        <v>Husband: (1) Piero STUDIATI BERNI (b. 22/02/1936, d.) (2) John Robert Stephenson CLARKE (b. 05/04/1918, d. 28/08/1993). (1) Married  in Switzerland, Piero STUDIATI BERNI of Molina di Quosa, Pisa, Italy. (2) 08/08/1945 at St Paul’s, Knightsbridge, London, John Robert Stephenson buried Highbrook Church, West Sussex) OBE, MC, Yugoslav Order of Service to the People with Silver Rays, Lieut Colonel, Scots Guards, Liveryman of Clothworkers’ Company, eldest son of Edmund Stephenson CLARKE of Pickwell, Bolney, West Sussex, RH17 5RE.</v>
      </c>
      <c r="AJ52" s="3" t="str">
        <f>IF(VLOOKUP($C52,'All Girls &amp; Descendants - Edit'!$C$2:$AK$440,'All Girls &amp; Descendants - Edit'!AJ$1,FALSE)=""," - ",(VLOOKUP($C52,'All Girls &amp; Descendants - Edit'!$C$2:$AK$440,'All Girls &amp; Descendants - Edit'!AJ$1,FALSE)))</f>
        <v>Female. b. 13/05/1944 Born in Alexandria, Egypt. Educated Southover Manor, East Sussex and Farlington, West Sussex.</v>
      </c>
      <c r="AK52" s="3" t="str">
        <f>IF(VLOOKUP($C52,'All Girls &amp; Descendants - Edit'!$C$2:$AK$440,'All Girls &amp; Descendants - Edit'!AK$1,FALSE)=""," - ",(VLOOKUP($C52,'All Girls &amp; Descendants - Edit'!$C$2:$AK$440,'All Girls &amp; Descendants - Edit'!AK$1,FALSE)))</f>
        <v>b. 13/05/1944</v>
      </c>
      <c r="AO52" s="1"/>
      <c r="AS52" s="72">
        <v>120</v>
      </c>
      <c r="BB52">
        <v>1</v>
      </c>
      <c r="BH52">
        <v>1</v>
      </c>
      <c r="BI52">
        <v>1</v>
      </c>
    </row>
    <row r="53" spans="1:61" ht="19">
      <c r="A53">
        <f>VLOOKUP(B53,'Loyd List 1-190 - Edit'!$P$1:$R$219,3,FALSE)</f>
        <v>52</v>
      </c>
      <c r="B53">
        <f>'All Girls &amp; Descendants - Edit'!B54</f>
        <v>90</v>
      </c>
      <c r="C53" s="98" t="str">
        <f>'All Girls &amp; Descendants - Edit'!C54</f>
        <v>90c</v>
      </c>
      <c r="D53" s="2" t="str">
        <f>'All Girls &amp; Descendants - Edit'!D54</f>
        <v>CLARKE</v>
      </c>
      <c r="E53" t="str">
        <f>'All Girls &amp; Descendants - Edit'!E54</f>
        <v>Jonathan</v>
      </c>
      <c r="F53" t="str">
        <f>IF('All Girls &amp; Descendants - Edit'!F54="","",'All Girls &amp; Descendants - Edit'!F54)</f>
        <v>Edmund</v>
      </c>
      <c r="G53" t="str">
        <f>IF('All Girls &amp; Descendants - Edit'!G54="","",'All Girls &amp; Descendants - Edit'!G54)</f>
        <v>Stephenson</v>
      </c>
      <c r="H53" t="str">
        <f>IF('All Girls &amp; Descendants - Edit'!H54="","",'All Girls &amp; Descendants - Edit'!H54)</f>
        <v/>
      </c>
      <c r="I53">
        <f>VLOOKUP($C53,'All Girls &amp; Descendants - Edit'!$C$2:$AK$440,'All Girls &amp; Descendants - Edit'!I$1,FALSE)</f>
        <v>1950</v>
      </c>
      <c r="J53" t="str">
        <f>VLOOKUP($C53,'All Girls &amp; Descendants - Edit'!$C$2:$AK$440,'All Girls &amp; Descendants - Edit'!J$1,FALSE)</f>
        <v/>
      </c>
      <c r="K53" s="9"/>
      <c r="L53" t="str">
        <f t="shared" si="9"/>
        <v>18/01/1950</v>
      </c>
      <c r="M53" s="3">
        <f>VLOOKUP($C53,'All Girls &amp; Descendants - Edit'!$C$2:$AK$440,'All Girls &amp; Descendants - Edit'!M$1,FALSE)</f>
        <v>18281</v>
      </c>
      <c r="N53" s="3">
        <f>IF(VLOOKUP($C53,'All Girls &amp; Descendants - Edit'!$C$2:$AK$440,'All Girls &amp; Descendants - Edit'!N$1,FALSE)=""," - ",(VLOOKUP($C53,'All Girls &amp; Descendants - Edit'!$C$2:$AK$440,'All Girls &amp; Descendants - Edit'!N$1,FALSE)))</f>
        <v>26815</v>
      </c>
      <c r="O53" s="3" t="str">
        <f>IF(VLOOKUP($C53,'All Girls &amp; Descendants - Edit'!$C$2:$AK$440,'All Girls &amp; Descendants - Edit'!O$1,FALSE)="","",(VLOOKUP($C53,'All Girls &amp; Descendants - Edit'!$C$2:$AK$440,'All Girls &amp; Descendants - Edit'!O$1,FALSE)))</f>
        <v/>
      </c>
      <c r="P53" s="3" t="str">
        <f t="shared" si="3"/>
        <v/>
      </c>
      <c r="Q53" s="178" t="str">
        <f t="shared" si="4"/>
        <v>90</v>
      </c>
      <c r="R53" s="23"/>
      <c r="S53" t="str">
        <f>VLOOKUP($C53,'All Girls &amp; Descendants - Edit'!$C$2:$AK$440,'All Girls &amp; Descendants - Edit'!S$1,FALSE)</f>
        <v>Male</v>
      </c>
      <c r="T53" s="176">
        <f t="shared" si="5"/>
        <v>6</v>
      </c>
      <c r="U53" s="176">
        <f t="shared" si="0"/>
        <v>3</v>
      </c>
      <c r="V53" s="176">
        <f t="shared" si="1"/>
        <v>5</v>
      </c>
      <c r="W53" s="177">
        <f t="shared" si="2"/>
        <v>1</v>
      </c>
      <c r="X53" s="3" t="str">
        <f>IF(VLOOKUP($C53,'All Girls &amp; Descendants - Edit'!$C$2:$AK$440,'All Girls &amp; Descendants - Edit'!X$1,FALSE)=""," - ",(VLOOKUP($C53,'All Girls &amp; Descendants - Edit'!$C$2:$AK$440,'All Girls &amp; Descendants - Edit'!X$1,FALSE)))</f>
        <v>Esme Lavinia Louise RENNIE (b. 07/04/1950, d. )</v>
      </c>
      <c r="Y53" s="3" t="str">
        <f>IF(VLOOKUP($C53,'All Girls &amp; Descendants - Edit'!$C$2:$AK$440,'All Girls &amp; Descendants - Edit'!Y$1,FALSE)=""," - ",(VLOOKUP($C53,'All Girls &amp; Descendants - Edit'!$C$2:$AK$440,'All Girls &amp; Descendants - Edit'!Y$1,FALSE)))</f>
        <v>Married at the Guards’ Chapel, Birdcage Walk, London, (Divorced 2000).</v>
      </c>
      <c r="Z53" s="3" t="str">
        <f>IF(VLOOKUP($C53,'All Girls &amp; Descendants - Edit'!$C$2:$AK$440,'All Girls &amp; Descendants - Edit'!Z$1,FALSE)=""," - ",(VLOOKUP($C53,'All Girls &amp; Descendants - Edit'!$C$2:$AK$440,'All Girls &amp; Descendants - Edit'!Z$1,FALSE)))</f>
        <v>Born at the Westminster Hospital, London. Educated Tabley House, Cheshire. Liveryman of Clothworkers’ Company.</v>
      </c>
      <c r="AA53" s="101">
        <f>IF(VLOOKUP($C53,'All Girls &amp; Descendants - Edit'!$C$2:$AK$440,'All Girls &amp; Descendants - Edit'!AA$1,FALSE)=""," - ",(VLOOKUP($C53,'All Girls &amp; Descendants - Edit'!$C$2:$AK$440,'All Girls &amp; Descendants - Edit'!AA$1,FALSE)))</f>
        <v>197</v>
      </c>
      <c r="AB53" s="101">
        <f>IF(VLOOKUP($C53,'All Girls &amp; Descendants - Edit'!$C$2:$AK$440,'All Girls &amp; Descendants - Edit'!AB$1,FALSE)=""," - ",(VLOOKUP($C53,'All Girls &amp; Descendants - Edit'!$C$2:$AK$440,'All Girls &amp; Descendants - Edit'!AB$1,FALSE)))</f>
        <v>52</v>
      </c>
      <c r="AC53" s="101">
        <f>IF(VLOOKUP($C53,'All Girls &amp; Descendants - Edit'!$C$2:$AK$440,'All Girls &amp; Descendants - Edit'!AC$1,FALSE)=""," - ",(VLOOKUP($C53,'All Girls &amp; Descendants - Edit'!$C$2:$AK$440,'All Girls &amp; Descendants - Edit'!AC$1,FALSE)))</f>
        <v>1052</v>
      </c>
      <c r="AD53" s="3" t="str">
        <f>IF(VLOOKUP($C53,'All Girls &amp; Descendants - Edit'!$C$2:$AK$440,'All Girls &amp; Descendants - Edit'!AD$1,FALSE)=""," - ",(VLOOKUP($C53,'All Girls &amp; Descendants - Edit'!$C$2:$AK$440,'All Girls &amp; Descendants - Edit'!AD$1,FALSE)))</f>
        <v>90c</v>
      </c>
      <c r="AE53" s="3" t="str">
        <f>IF(VLOOKUP($C53,'All Girls &amp; Descendants - Edit'!$C$2:$AK$440,'All Girls &amp; Descendants - Edit'!AE$1,FALSE)=""," - ",(VLOOKUP($C53,'All Girls &amp; Descendants - Edit'!$C$2:$AK$440,'All Girls &amp; Descendants - Edit'!AE$1,FALSE)))</f>
        <v>Jonathan Edmund Stephenson CLARKE (1950 - )</v>
      </c>
      <c r="AF53" s="3" t="str">
        <f>IF(VLOOKUP($C53,'All Girls &amp; Descendants - Edit'!$C$2:$AK$440,'All Girls &amp; Descendants - Edit'!AF$1,FALSE)=""," - ",(VLOOKUP($C53,'All Girls &amp; Descendants - Edit'!$C$2:$AK$440,'All Girls &amp; Descendants - Edit'!AF$1,FALSE)))</f>
        <v>Jonathan CLARKE (6th &amp; 90)</v>
      </c>
      <c r="AG53" s="3" t="str">
        <f>IF(VLOOKUP($C53,'All Girls &amp; Descendants - Edit'!$C$2:$AK$440,'All Girls &amp; Descendants - Edit'!AG$1,FALSE)=""," - ",(VLOOKUP($C53,'All Girls &amp; Descendants - Edit'!$C$2:$AK$440,'All Girls &amp; Descendants - Edit'!AG$1,FALSE)))</f>
        <v>Male</v>
      </c>
      <c r="AH53" s="3" t="str">
        <f>IF(VLOOKUP($C53,'All Girls &amp; Descendants - Edit'!$C$2:$AK$440,'All Girls &amp; Descendants - Edit'!AH$1,FALSE)=""," - ",(VLOOKUP($C53,'All Girls &amp; Descendants - Edit'!$C$2:$AK$440,'All Girls &amp; Descendants - Edit'!AH$1,FALSE)))</f>
        <v>6th</v>
      </c>
      <c r="AI53" s="3" t="str">
        <f>IF(VLOOKUP($C53,'All Girls &amp; Descendants - Edit'!$C$2:$AK$440,'All Girls &amp; Descendants - Edit'!AI$1,FALSE)=""," - ",(VLOOKUP($C53,'All Girls &amp; Descendants - Edit'!$C$2:$AK$440,'All Girls &amp; Descendants - Edit'!AI$1,FALSE)))</f>
        <v>Wife: Esme Lavinia Louise RENNIE (b. 07/04/1950, d. ). Married at the Guards’ Chapel, Birdcage Walk, London, (Divorced 2000).</v>
      </c>
      <c r="AJ53" s="3" t="str">
        <f>IF(VLOOKUP($C53,'All Girls &amp; Descendants - Edit'!$C$2:$AK$440,'All Girls &amp; Descendants - Edit'!AJ$1,FALSE)=""," - ",(VLOOKUP($C53,'All Girls &amp; Descendants - Edit'!$C$2:$AK$440,'All Girls &amp; Descendants - Edit'!AJ$1,FALSE)))</f>
        <v>Male. b. 18/01/1950 Born at the Westminster Hospital, London. Educated Tabley House, Cheshire. Liveryman of Clothworkers’ Company.</v>
      </c>
      <c r="AK53" s="3" t="str">
        <f>IF(VLOOKUP($C53,'All Girls &amp; Descendants - Edit'!$C$2:$AK$440,'All Girls &amp; Descendants - Edit'!AK$1,FALSE)=""," - ",(VLOOKUP($C53,'All Girls &amp; Descendants - Edit'!$C$2:$AK$440,'All Girls &amp; Descendants - Edit'!AK$1,FALSE)))</f>
        <v>b. 18/01/1950</v>
      </c>
      <c r="AO53" s="1"/>
      <c r="AS53" s="72">
        <v>123</v>
      </c>
      <c r="AT53">
        <v>1</v>
      </c>
      <c r="AZ53">
        <v>1</v>
      </c>
      <c r="BA53">
        <v>1</v>
      </c>
      <c r="BB53">
        <v>1</v>
      </c>
      <c r="BH53">
        <v>2</v>
      </c>
      <c r="BI53">
        <v>3</v>
      </c>
    </row>
    <row r="54" spans="1:61" ht="19">
      <c r="A54">
        <f>VLOOKUP(B54,'Loyd List 1-190 - Edit'!$P$1:$R$219,3,FALSE)</f>
        <v>54</v>
      </c>
      <c r="B54">
        <f>'All Girls &amp; Descendants - Edit'!B55</f>
        <v>92</v>
      </c>
      <c r="C54" s="98" t="str">
        <f>'All Girls &amp; Descendants - Edit'!C55</f>
        <v>92a</v>
      </c>
      <c r="D54" s="2" t="str">
        <f>'All Girls &amp; Descendants - Edit'!D55</f>
        <v>TATTON-BROWN</v>
      </c>
      <c r="E54" t="str">
        <f>'All Girls &amp; Descendants - Edit'!E55</f>
        <v>Timothy</v>
      </c>
      <c r="F54" t="str">
        <f>IF('All Girls &amp; Descendants - Edit'!F55="","",'All Girls &amp; Descendants - Edit'!F55)</f>
        <v>William</v>
      </c>
      <c r="G54" t="str">
        <f>IF('All Girls &amp; Descendants - Edit'!G55="","",'All Girls &amp; Descendants - Edit'!G55)</f>
        <v>Trelawny</v>
      </c>
      <c r="H54" t="str">
        <f>IF('All Girls &amp; Descendants - Edit'!H55="","",'All Girls &amp; Descendants - Edit'!H55)</f>
        <v>Tim</v>
      </c>
      <c r="I54">
        <f>VLOOKUP($C54,'All Girls &amp; Descendants - Edit'!$C$2:$AK$440,'All Girls &amp; Descendants - Edit'!I$1,FALSE)</f>
        <v>1947</v>
      </c>
      <c r="J54" t="str">
        <f>VLOOKUP($C54,'All Girls &amp; Descendants - Edit'!$C$2:$AK$440,'All Girls &amp; Descendants - Edit'!J$1,FALSE)</f>
        <v/>
      </c>
      <c r="K54" s="9"/>
      <c r="L54" t="str">
        <f t="shared" si="9"/>
        <v>03/02/1947</v>
      </c>
      <c r="M54" s="3">
        <f>VLOOKUP($C54,'All Girls &amp; Descendants - Edit'!$C$2:$AK$440,'All Girls &amp; Descendants - Edit'!M$1,FALSE)</f>
        <v>17201</v>
      </c>
      <c r="N54" s="3">
        <f>IF(VLOOKUP($C54,'All Girls &amp; Descendants - Edit'!$C$2:$AK$440,'All Girls &amp; Descendants - Edit'!N$1,FALSE)=""," - ",(VLOOKUP($C54,'All Girls &amp; Descendants - Edit'!$C$2:$AK$440,'All Girls &amp; Descendants - Edit'!N$1,FALSE)))</f>
        <v>28875</v>
      </c>
      <c r="O54" s="3" t="str">
        <f>IF(VLOOKUP($C54,'All Girls &amp; Descendants - Edit'!$C$2:$AK$440,'All Girls &amp; Descendants - Edit'!O$1,FALSE)="","",(VLOOKUP($C54,'All Girls &amp; Descendants - Edit'!$C$2:$AK$440,'All Girls &amp; Descendants - Edit'!O$1,FALSE)))</f>
        <v/>
      </c>
      <c r="P54" s="3" t="str">
        <f t="shared" si="3"/>
        <v/>
      </c>
      <c r="Q54" s="178" t="str">
        <f t="shared" si="4"/>
        <v>92</v>
      </c>
      <c r="R54" s="23"/>
      <c r="S54" t="str">
        <f>VLOOKUP($C54,'All Girls &amp; Descendants - Edit'!$C$2:$AK$440,'All Girls &amp; Descendants - Edit'!S$1,FALSE)</f>
        <v>Male</v>
      </c>
      <c r="T54" s="176">
        <f t="shared" si="5"/>
        <v>6</v>
      </c>
      <c r="U54" s="176">
        <f t="shared" si="0"/>
        <v>3</v>
      </c>
      <c r="V54" s="176">
        <f t="shared" si="1"/>
        <v>5</v>
      </c>
      <c r="W54" s="177">
        <f t="shared" si="2"/>
        <v>1</v>
      </c>
      <c r="X54" s="3" t="str">
        <f>IF(VLOOKUP($C54,'All Girls &amp; Descendants - Edit'!$C$2:$AK$440,'All Girls &amp; Descendants - Edit'!X$1,FALSE)=""," - ",(VLOOKUP($C54,'All Girls &amp; Descendants - Edit'!$C$2:$AK$440,'All Girls &amp; Descendants - Edit'!X$1,FALSE)))</f>
        <v>Veronica Ann WILSON (b. 30/11/1944, d. 02/03/2012)</v>
      </c>
      <c r="Y54" s="3" t="str">
        <f>IF(VLOOKUP($C54,'All Girls &amp; Descendants - Edit'!$C$2:$AK$440,'All Girls &amp; Descendants - Edit'!Y$1,FALSE)=""," - ",(VLOOKUP($C54,'All Girls &amp; Descendants - Edit'!$C$2:$AK$440,'All Girls &amp; Descendants - Edit'!Y$1,FALSE)))</f>
        <v xml:space="preserve"> Veronica daughter of Captain Thomas Hugh Peter WILSON Royal Navy.</v>
      </c>
      <c r="Z54" s="3" t="str">
        <f>IF(VLOOKUP($C54,'All Girls &amp; Descendants - Edit'!$C$2:$AK$440,'All Girls &amp; Descendants - Edit'!Z$1,FALSE)=""," - ",(VLOOKUP($C54,'All Girls &amp; Descendants - Edit'!$C$2:$AK$440,'All Girls &amp; Descendants - Edit'!Z$1,FALSE)))</f>
        <v>Born in Nairobi, Kenya. Baptised 3 Mar 1947 at Nairobi Cathedral by the Bishop of Mombasa.</v>
      </c>
      <c r="AA54" s="101">
        <f>IF(VLOOKUP($C54,'All Girls &amp; Descendants - Edit'!$C$2:$AK$440,'All Girls &amp; Descendants - Edit'!AA$1,FALSE)=""," - ",(VLOOKUP($C54,'All Girls &amp; Descendants - Edit'!$C$2:$AK$440,'All Girls &amp; Descendants - Edit'!AA$1,FALSE)))</f>
        <v>201</v>
      </c>
      <c r="AB54" s="101">
        <f>IF(VLOOKUP($C54,'All Girls &amp; Descendants - Edit'!$C$2:$AK$440,'All Girls &amp; Descendants - Edit'!AB$1,FALSE)=""," - ",(VLOOKUP($C54,'All Girls &amp; Descendants - Edit'!$C$2:$AK$440,'All Girls &amp; Descendants - Edit'!AB$1,FALSE)))</f>
        <v>53</v>
      </c>
      <c r="AC54" s="101">
        <f>IF(VLOOKUP($C54,'All Girls &amp; Descendants - Edit'!$C$2:$AK$440,'All Girls &amp; Descendants - Edit'!AC$1,FALSE)=""," - ",(VLOOKUP($C54,'All Girls &amp; Descendants - Edit'!$C$2:$AK$440,'All Girls &amp; Descendants - Edit'!AC$1,FALSE)))</f>
        <v>1053</v>
      </c>
      <c r="AD54" s="3" t="str">
        <f>IF(VLOOKUP($C54,'All Girls &amp; Descendants - Edit'!$C$2:$AK$440,'All Girls &amp; Descendants - Edit'!AD$1,FALSE)=""," - ",(VLOOKUP($C54,'All Girls &amp; Descendants - Edit'!$C$2:$AK$440,'All Girls &amp; Descendants - Edit'!AD$1,FALSE)))</f>
        <v>92a</v>
      </c>
      <c r="AE54" s="3" t="str">
        <f>IF(VLOOKUP($C54,'All Girls &amp; Descendants - Edit'!$C$2:$AK$440,'All Girls &amp; Descendants - Edit'!AE$1,FALSE)=""," - ",(VLOOKUP($C54,'All Girls &amp; Descendants - Edit'!$C$2:$AK$440,'All Girls &amp; Descendants - Edit'!AE$1,FALSE)))</f>
        <v>Timothy William Trelawny TATTON-BROWN (1947 - )</v>
      </c>
      <c r="AF54" s="3" t="str">
        <f>IF(VLOOKUP($C54,'All Girls &amp; Descendants - Edit'!$C$2:$AK$440,'All Girls &amp; Descendants - Edit'!AF$1,FALSE)=""," - ",(VLOOKUP($C54,'All Girls &amp; Descendants - Edit'!$C$2:$AK$440,'All Girls &amp; Descendants - Edit'!AF$1,FALSE)))</f>
        <v>Tim TATTON-BROWN (6th &amp; 92)</v>
      </c>
      <c r="AG54" s="3" t="str">
        <f>IF(VLOOKUP($C54,'All Girls &amp; Descendants - Edit'!$C$2:$AK$440,'All Girls &amp; Descendants - Edit'!AG$1,FALSE)=""," - ",(VLOOKUP($C54,'All Girls &amp; Descendants - Edit'!$C$2:$AK$440,'All Girls &amp; Descendants - Edit'!AG$1,FALSE)))</f>
        <v>Male</v>
      </c>
      <c r="AH54" s="3" t="str">
        <f>IF(VLOOKUP($C54,'All Girls &amp; Descendants - Edit'!$C$2:$AK$440,'All Girls &amp; Descendants - Edit'!AH$1,FALSE)=""," - ",(VLOOKUP($C54,'All Girls &amp; Descendants - Edit'!$C$2:$AK$440,'All Girls &amp; Descendants - Edit'!AH$1,FALSE)))</f>
        <v>6th</v>
      </c>
      <c r="AI54" s="3" t="str">
        <f>IF(VLOOKUP($C54,'All Girls &amp; Descendants - Edit'!$C$2:$AK$440,'All Girls &amp; Descendants - Edit'!AI$1,FALSE)=""," - ",(VLOOKUP($C54,'All Girls &amp; Descendants - Edit'!$C$2:$AK$440,'All Girls &amp; Descendants - Edit'!AI$1,FALSE)))</f>
        <v>Wife: Veronica Ann WILSON (b. 30/11/1944, d. 02/03/2012).  Veronica daughter of Captain Thomas Hugh Peter WILSON Royal Navy.</v>
      </c>
      <c r="AJ54" s="3" t="str">
        <f>IF(VLOOKUP($C54,'All Girls &amp; Descendants - Edit'!$C$2:$AK$440,'All Girls &amp; Descendants - Edit'!AJ$1,FALSE)=""," - ",(VLOOKUP($C54,'All Girls &amp; Descendants - Edit'!$C$2:$AK$440,'All Girls &amp; Descendants - Edit'!AJ$1,FALSE)))</f>
        <v>Male. b. 03/02/1947 Born in Nairobi, Kenya. Baptised 3 Mar 1947 at Nairobi Cathedral by the Bishop of Mombasa.</v>
      </c>
      <c r="AK54" s="3" t="str">
        <f>IF(VLOOKUP($C54,'All Girls &amp; Descendants - Edit'!$C$2:$AK$440,'All Girls &amp; Descendants - Edit'!AK$1,FALSE)=""," - ",(VLOOKUP($C54,'All Girls &amp; Descendants - Edit'!$C$2:$AK$440,'All Girls &amp; Descendants - Edit'!AK$1,FALSE)))</f>
        <v>b. 03/02/1947</v>
      </c>
      <c r="AO54" s="1"/>
      <c r="AS54" s="72">
        <v>125</v>
      </c>
      <c r="AT54">
        <v>1</v>
      </c>
      <c r="AZ54">
        <v>1</v>
      </c>
      <c r="BA54">
        <v>1</v>
      </c>
      <c r="BB54">
        <v>1</v>
      </c>
      <c r="BH54">
        <v>2</v>
      </c>
      <c r="BI54">
        <v>3</v>
      </c>
    </row>
    <row r="55" spans="1:61" ht="19">
      <c r="A55">
        <f>VLOOKUP(B55,'Loyd List 1-190 - Edit'!$P$1:$R$219,3,FALSE)</f>
        <v>54</v>
      </c>
      <c r="B55">
        <f>'All Girls &amp; Descendants - Edit'!B56</f>
        <v>92</v>
      </c>
      <c r="C55" s="98" t="str">
        <f>'All Girls &amp; Descendants - Edit'!C56</f>
        <v>92b</v>
      </c>
      <c r="D55" s="2" t="str">
        <f>'All Girls &amp; Descendants - Edit'!D56</f>
        <v>TATTON-BROWN</v>
      </c>
      <c r="E55" t="str">
        <f>'All Girls &amp; Descendants - Edit'!E56</f>
        <v>Giles</v>
      </c>
      <c r="F55" t="str">
        <f>IF('All Girls &amp; Descendants - Edit'!F56="","",'All Girls &amp; Descendants - Edit'!F56)</f>
        <v>Eden</v>
      </c>
      <c r="G55" t="str">
        <f>IF('All Girls &amp; Descendants - Edit'!G56="","",'All Girls &amp; Descendants - Edit'!G56)</f>
        <v/>
      </c>
      <c r="H55" t="str">
        <f>IF('All Girls &amp; Descendants - Edit'!H56="","",'All Girls &amp; Descendants - Edit'!H56)</f>
        <v/>
      </c>
      <c r="I55">
        <f>VLOOKUP($C55,'All Girls &amp; Descendants - Edit'!$C$2:$AK$440,'All Girls &amp; Descendants - Edit'!I$1,FALSE)</f>
        <v>1948</v>
      </c>
      <c r="J55" t="str">
        <f>VLOOKUP($C55,'All Girls &amp; Descendants - Edit'!$C$2:$AK$440,'All Girls &amp; Descendants - Edit'!J$1,FALSE)</f>
        <v/>
      </c>
      <c r="K55" s="9"/>
      <c r="L55" t="str">
        <f t="shared" si="9"/>
        <v>21/10/1948</v>
      </c>
      <c r="M55" s="3">
        <f>VLOOKUP($C55,'All Girls &amp; Descendants - Edit'!$C$2:$AK$440,'All Girls &amp; Descendants - Edit'!M$1,FALSE)</f>
        <v>17827</v>
      </c>
      <c r="N55" s="3" t="str">
        <f>IF(VLOOKUP($C55,'All Girls &amp; Descendants - Edit'!$C$2:$AK$440,'All Girls &amp; Descendants - Edit'!N$1,FALSE)=""," - ",(VLOOKUP($C55,'All Girls &amp; Descendants - Edit'!$C$2:$AK$440,'All Girls &amp; Descendants - Edit'!N$1,FALSE)))</f>
        <v xml:space="preserve"> - </v>
      </c>
      <c r="O55" s="3" t="str">
        <f>IF(VLOOKUP($C55,'All Girls &amp; Descendants - Edit'!$C$2:$AK$440,'All Girls &amp; Descendants - Edit'!O$1,FALSE)="","",(VLOOKUP($C55,'All Girls &amp; Descendants - Edit'!$C$2:$AK$440,'All Girls &amp; Descendants - Edit'!O$1,FALSE)))</f>
        <v/>
      </c>
      <c r="P55" s="3" t="str">
        <f t="shared" si="3"/>
        <v/>
      </c>
      <c r="Q55" s="178" t="str">
        <f t="shared" si="4"/>
        <v>92</v>
      </c>
      <c r="R55" s="23"/>
      <c r="S55" t="str">
        <f>VLOOKUP($C55,'All Girls &amp; Descendants - Edit'!$C$2:$AK$440,'All Girls &amp; Descendants - Edit'!S$1,FALSE)</f>
        <v>Male</v>
      </c>
      <c r="T55" s="176">
        <f t="shared" si="5"/>
        <v>6</v>
      </c>
      <c r="U55" s="176">
        <f t="shared" si="0"/>
        <v>3</v>
      </c>
      <c r="V55" s="176">
        <f t="shared" si="1"/>
        <v>5</v>
      </c>
      <c r="W55" s="177">
        <f t="shared" si="2"/>
        <v>1</v>
      </c>
      <c r="X55" s="3" t="str">
        <f>IF(VLOOKUP($C55,'All Girls &amp; Descendants - Edit'!$C$2:$AK$440,'All Girls &amp; Descendants - Edit'!X$1,FALSE)=""," - ",(VLOOKUP($C55,'All Girls &amp; Descendants - Edit'!$C$2:$AK$440,'All Girls &amp; Descendants - Edit'!X$1,FALSE)))</f>
        <v xml:space="preserve">Monique Marie-Noelle MENU (b. 29/12/1947, d. ) </v>
      </c>
      <c r="Y55" s="3" t="str">
        <f>IF(VLOOKUP($C55,'All Girls &amp; Descendants - Edit'!$C$2:$AK$440,'All Girls &amp; Descendants - Edit'!Y$1,FALSE)=""," - ",(VLOOKUP($C55,'All Girls &amp; Descendants - Edit'!$C$2:$AK$440,'All Girls &amp; Descendants - Edit'!Y$1,FALSE)))</f>
        <v>Married Sep 1970 at St. Jean do Malte, Monique, daughter of Louis MENU of Aix en Provence, France.</v>
      </c>
      <c r="Z55" s="3" t="str">
        <f>IF(VLOOKUP($C55,'All Girls &amp; Descendants - Edit'!$C$2:$AK$440,'All Girls &amp; Descendants - Edit'!Z$1,FALSE)=""," - ",(VLOOKUP($C55,'All Girls &amp; Descendants - Edit'!$C$2:$AK$440,'All Girls &amp; Descendants - Edit'!Z$1,FALSE)))</f>
        <v>Born at Woking. Baptised Nov 1948 at St Mary’s, Horsell, Woking.</v>
      </c>
      <c r="AA55" s="101">
        <f>IF(VLOOKUP($C55,'All Girls &amp; Descendants - Edit'!$C$2:$AK$440,'All Girls &amp; Descendants - Edit'!AA$1,FALSE)=""," - ",(VLOOKUP($C55,'All Girls &amp; Descendants - Edit'!$C$2:$AK$440,'All Girls &amp; Descendants - Edit'!AA$1,FALSE)))</f>
        <v>206</v>
      </c>
      <c r="AB55" s="101">
        <f>IF(VLOOKUP($C55,'All Girls &amp; Descendants - Edit'!$C$2:$AK$440,'All Girls &amp; Descendants - Edit'!AB$1,FALSE)=""," - ",(VLOOKUP($C55,'All Girls &amp; Descendants - Edit'!$C$2:$AK$440,'All Girls &amp; Descendants - Edit'!AB$1,FALSE)))</f>
        <v>54</v>
      </c>
      <c r="AC55" s="101">
        <f>IF(VLOOKUP($C55,'All Girls &amp; Descendants - Edit'!$C$2:$AK$440,'All Girls &amp; Descendants - Edit'!AC$1,FALSE)=""," - ",(VLOOKUP($C55,'All Girls &amp; Descendants - Edit'!$C$2:$AK$440,'All Girls &amp; Descendants - Edit'!AC$1,FALSE)))</f>
        <v>1054</v>
      </c>
      <c r="AD55" s="3" t="str">
        <f>IF(VLOOKUP($C55,'All Girls &amp; Descendants - Edit'!$C$2:$AK$440,'All Girls &amp; Descendants - Edit'!AD$1,FALSE)=""," - ",(VLOOKUP($C55,'All Girls &amp; Descendants - Edit'!$C$2:$AK$440,'All Girls &amp; Descendants - Edit'!AD$1,FALSE)))</f>
        <v>92b</v>
      </c>
      <c r="AE55" s="3" t="str">
        <f>IF(VLOOKUP($C55,'All Girls &amp; Descendants - Edit'!$C$2:$AK$440,'All Girls &amp; Descendants - Edit'!AE$1,FALSE)=""," - ",(VLOOKUP($C55,'All Girls &amp; Descendants - Edit'!$C$2:$AK$440,'All Girls &amp; Descendants - Edit'!AE$1,FALSE)))</f>
        <v>Giles Eden  TATTON-BROWN (1948 - )</v>
      </c>
      <c r="AF55" s="3" t="str">
        <f>IF(VLOOKUP($C55,'All Girls &amp; Descendants - Edit'!$C$2:$AK$440,'All Girls &amp; Descendants - Edit'!AF$1,FALSE)=""," - ",(VLOOKUP($C55,'All Girls &amp; Descendants - Edit'!$C$2:$AK$440,'All Girls &amp; Descendants - Edit'!AF$1,FALSE)))</f>
        <v>Giles TATTON-BROWN (6th &amp; 92)</v>
      </c>
      <c r="AG55" s="3" t="str">
        <f>IF(VLOOKUP($C55,'All Girls &amp; Descendants - Edit'!$C$2:$AK$440,'All Girls &amp; Descendants - Edit'!AG$1,FALSE)=""," - ",(VLOOKUP($C55,'All Girls &amp; Descendants - Edit'!$C$2:$AK$440,'All Girls &amp; Descendants - Edit'!AG$1,FALSE)))</f>
        <v>Male</v>
      </c>
      <c r="AH55" s="3" t="str">
        <f>IF(VLOOKUP($C55,'All Girls &amp; Descendants - Edit'!$C$2:$AK$440,'All Girls &amp; Descendants - Edit'!AH$1,FALSE)=""," - ",(VLOOKUP($C55,'All Girls &amp; Descendants - Edit'!$C$2:$AK$440,'All Girls &amp; Descendants - Edit'!AH$1,FALSE)))</f>
        <v>6th</v>
      </c>
      <c r="AI55" s="3" t="str">
        <f>IF(VLOOKUP($C55,'All Girls &amp; Descendants - Edit'!$C$2:$AK$440,'All Girls &amp; Descendants - Edit'!AI$1,FALSE)=""," - ",(VLOOKUP($C55,'All Girls &amp; Descendants - Edit'!$C$2:$AK$440,'All Girls &amp; Descendants - Edit'!AI$1,FALSE)))</f>
        <v>Wife: Monique Marie-Noelle MENU (b. 29/12/1947, d. ) . Married Sep 1970 at St. Jean do Malte, Monique, daughter of Louis MENU of Aix en Provence, France.</v>
      </c>
      <c r="AJ55" s="3" t="str">
        <f>IF(VLOOKUP($C55,'All Girls &amp; Descendants - Edit'!$C$2:$AK$440,'All Girls &amp; Descendants - Edit'!AJ$1,FALSE)=""," - ",(VLOOKUP($C55,'All Girls &amp; Descendants - Edit'!$C$2:$AK$440,'All Girls &amp; Descendants - Edit'!AJ$1,FALSE)))</f>
        <v>Male. b. 21/10/1948 Born at Woking. Baptised Nov 1948 at St Mary’s, Horsell, Woking.</v>
      </c>
      <c r="AK55" s="3" t="str">
        <f>IF(VLOOKUP($C55,'All Girls &amp; Descendants - Edit'!$C$2:$AK$440,'All Girls &amp; Descendants - Edit'!AK$1,FALSE)=""," - ",(VLOOKUP($C55,'All Girls &amp; Descendants - Edit'!$C$2:$AK$440,'All Girls &amp; Descendants - Edit'!AK$1,FALSE)))</f>
        <v>b. 21/10/1948</v>
      </c>
      <c r="AO55" s="1"/>
      <c r="AS55" s="72">
        <v>128</v>
      </c>
      <c r="BA55">
        <v>2</v>
      </c>
      <c r="BB55">
        <v>1</v>
      </c>
      <c r="BH55">
        <v>3</v>
      </c>
      <c r="BI55">
        <v>3</v>
      </c>
    </row>
    <row r="56" spans="1:61" ht="19">
      <c r="A56">
        <f>VLOOKUP(B56,'Loyd List 1-190 - Edit'!$P$1:$R$219,3,FALSE)</f>
        <v>54</v>
      </c>
      <c r="B56">
        <f>'All Girls &amp; Descendants - Edit'!B57</f>
        <v>92</v>
      </c>
      <c r="C56" s="98" t="str">
        <f>'All Girls &amp; Descendants - Edit'!C57</f>
        <v>92c</v>
      </c>
      <c r="D56" s="2" t="str">
        <f>'All Girls &amp; Descendants - Edit'!D57</f>
        <v>TATTON-BROWN</v>
      </c>
      <c r="E56" t="str">
        <f>'All Girls &amp; Descendants - Edit'!E57</f>
        <v>Anthea</v>
      </c>
      <c r="F56" t="str">
        <f>IF('All Girls &amp; Descendants - Edit'!F57="","",'All Girls &amp; Descendants - Edit'!F57)</f>
        <v>Mary</v>
      </c>
      <c r="G56" t="str">
        <f>IF('All Girls &amp; Descendants - Edit'!G57="","",'All Girls &amp; Descendants - Edit'!G57)</f>
        <v/>
      </c>
      <c r="H56" t="str">
        <f>IF('All Girls &amp; Descendants - Edit'!H57="","",'All Girls &amp; Descendants - Edit'!H57)</f>
        <v/>
      </c>
      <c r="I56">
        <f>VLOOKUP($C56,'All Girls &amp; Descendants - Edit'!$C$2:$AK$440,'All Girls &amp; Descendants - Edit'!I$1,FALSE)</f>
        <v>1951</v>
      </c>
      <c r="J56" t="str">
        <f>VLOOKUP($C56,'All Girls &amp; Descendants - Edit'!$C$2:$AK$440,'All Girls &amp; Descendants - Edit'!J$1,FALSE)</f>
        <v/>
      </c>
      <c r="K56" s="9"/>
      <c r="L56" t="str">
        <f t="shared" si="9"/>
        <v>26/11/1951</v>
      </c>
      <c r="M56" s="3">
        <f>VLOOKUP($C56,'All Girls &amp; Descendants - Edit'!$C$2:$AK$440,'All Girls &amp; Descendants - Edit'!M$1,FALSE)</f>
        <v>18958</v>
      </c>
      <c r="N56" s="3" t="str">
        <f>IF(VLOOKUP($C56,'All Girls &amp; Descendants - Edit'!$C$2:$AK$440,'All Girls &amp; Descendants - Edit'!N$1,FALSE)=""," - ",(VLOOKUP($C56,'All Girls &amp; Descendants - Edit'!$C$2:$AK$440,'All Girls &amp; Descendants - Edit'!N$1,FALSE)))</f>
        <v xml:space="preserve"> - </v>
      </c>
      <c r="O56" s="3" t="str">
        <f>IF(VLOOKUP($C56,'All Girls &amp; Descendants - Edit'!$C$2:$AK$440,'All Girls &amp; Descendants - Edit'!O$1,FALSE)="","",(VLOOKUP($C56,'All Girls &amp; Descendants - Edit'!$C$2:$AK$440,'All Girls &amp; Descendants - Edit'!O$1,FALSE)))</f>
        <v/>
      </c>
      <c r="P56" s="3" t="str">
        <f t="shared" si="3"/>
        <v/>
      </c>
      <c r="Q56" s="178" t="str">
        <f t="shared" si="4"/>
        <v>92</v>
      </c>
      <c r="R56" s="23"/>
      <c r="S56" t="str">
        <f>VLOOKUP($C56,'All Girls &amp; Descendants - Edit'!$C$2:$AK$440,'All Girls &amp; Descendants - Edit'!S$1,FALSE)</f>
        <v>Female</v>
      </c>
      <c r="T56" s="176">
        <f t="shared" si="5"/>
        <v>6</v>
      </c>
      <c r="U56" s="176">
        <f t="shared" si="0"/>
        <v>3</v>
      </c>
      <c r="V56" s="176">
        <f t="shared" si="1"/>
        <v>5</v>
      </c>
      <c r="W56" s="177">
        <f t="shared" si="2"/>
        <v>1</v>
      </c>
      <c r="X56" s="3" t="str">
        <f>IF(VLOOKUP($C56,'All Girls &amp; Descendants - Edit'!$C$2:$AK$440,'All Girls &amp; Descendants - Edit'!X$1,FALSE)=""," - ",(VLOOKUP($C56,'All Girls &amp; Descendants - Edit'!$C$2:$AK$440,'All Girls &amp; Descendants - Edit'!X$1,FALSE)))</f>
        <v xml:space="preserve"> - </v>
      </c>
      <c r="Y56" s="3" t="str">
        <f>IF(VLOOKUP($C56,'All Girls &amp; Descendants - Edit'!$C$2:$AK$440,'All Girls &amp; Descendants - Edit'!Y$1,FALSE)=""," - ",(VLOOKUP($C56,'All Girls &amp; Descendants - Edit'!$C$2:$AK$440,'All Girls &amp; Descendants - Edit'!Y$1,FALSE)))</f>
        <v xml:space="preserve"> - </v>
      </c>
      <c r="Z56" s="3" t="str">
        <f>IF(VLOOKUP($C56,'All Girls &amp; Descendants - Edit'!$C$2:$AK$440,'All Girls &amp; Descendants - Edit'!Z$1,FALSE)=""," - ",(VLOOKUP($C56,'All Girls &amp; Descendants - Edit'!$C$2:$AK$440,'All Girls &amp; Descendants - Edit'!Z$1,FALSE)))</f>
        <v>Born in Aden, South Arabia. Baptised 3 Jan 1952 at the Garrison Church, Aden.</v>
      </c>
      <c r="AA56" s="101">
        <f>IF(VLOOKUP($C56,'All Girls &amp; Descendants - Edit'!$C$2:$AK$440,'All Girls &amp; Descendants - Edit'!AA$1,FALSE)=""," - ",(VLOOKUP($C56,'All Girls &amp; Descendants - Edit'!$C$2:$AK$440,'All Girls &amp; Descendants - Edit'!AA$1,FALSE)))</f>
        <v>212</v>
      </c>
      <c r="AB56" s="101">
        <f>IF(VLOOKUP($C56,'All Girls &amp; Descendants - Edit'!$C$2:$AK$440,'All Girls &amp; Descendants - Edit'!AB$1,FALSE)=""," - ",(VLOOKUP($C56,'All Girls &amp; Descendants - Edit'!$C$2:$AK$440,'All Girls &amp; Descendants - Edit'!AB$1,FALSE)))</f>
        <v>55</v>
      </c>
      <c r="AC56" s="101">
        <f>IF(VLOOKUP($C56,'All Girls &amp; Descendants - Edit'!$C$2:$AK$440,'All Girls &amp; Descendants - Edit'!AC$1,FALSE)=""," - ",(VLOOKUP($C56,'All Girls &amp; Descendants - Edit'!$C$2:$AK$440,'All Girls &amp; Descendants - Edit'!AC$1,FALSE)))</f>
        <v>1055</v>
      </c>
      <c r="AD56" s="3" t="str">
        <f>IF(VLOOKUP($C56,'All Girls &amp; Descendants - Edit'!$C$2:$AK$440,'All Girls &amp; Descendants - Edit'!AD$1,FALSE)=""," - ",(VLOOKUP($C56,'All Girls &amp; Descendants - Edit'!$C$2:$AK$440,'All Girls &amp; Descendants - Edit'!AD$1,FALSE)))</f>
        <v>92c</v>
      </c>
      <c r="AE56" s="3" t="str">
        <f>IF(VLOOKUP($C56,'All Girls &amp; Descendants - Edit'!$C$2:$AK$440,'All Girls &amp; Descendants - Edit'!AE$1,FALSE)=""," - ",(VLOOKUP($C56,'All Girls &amp; Descendants - Edit'!$C$2:$AK$440,'All Girls &amp; Descendants - Edit'!AE$1,FALSE)))</f>
        <v>Anthea Mary  TATTON-BROWN (1951 - )</v>
      </c>
      <c r="AF56" s="3" t="str">
        <f>IF(VLOOKUP($C56,'All Girls &amp; Descendants - Edit'!$C$2:$AK$440,'All Girls &amp; Descendants - Edit'!AF$1,FALSE)=""," - ",(VLOOKUP($C56,'All Girls &amp; Descendants - Edit'!$C$2:$AK$440,'All Girls &amp; Descendants - Edit'!AF$1,FALSE)))</f>
        <v>Anthea TATTON-BROWN (6th &amp; 92)</v>
      </c>
      <c r="AG56" s="3" t="str">
        <f>IF(VLOOKUP($C56,'All Girls &amp; Descendants - Edit'!$C$2:$AK$440,'All Girls &amp; Descendants - Edit'!AG$1,FALSE)=""," - ",(VLOOKUP($C56,'All Girls &amp; Descendants - Edit'!$C$2:$AK$440,'All Girls &amp; Descendants - Edit'!AG$1,FALSE)))</f>
        <v>Female</v>
      </c>
      <c r="AH56" s="3" t="str">
        <f>IF(VLOOKUP($C56,'All Girls &amp; Descendants - Edit'!$C$2:$AK$440,'All Girls &amp; Descendants - Edit'!AH$1,FALSE)=""," - ",(VLOOKUP($C56,'All Girls &amp; Descendants - Edit'!$C$2:$AK$440,'All Girls &amp; Descendants - Edit'!AH$1,FALSE)))</f>
        <v>6th</v>
      </c>
      <c r="AI56" s="3" t="str">
        <f>IF(VLOOKUP($C56,'All Girls &amp; Descendants - Edit'!$C$2:$AK$440,'All Girls &amp; Descendants - Edit'!AI$1,FALSE)=""," - ",(VLOOKUP($C56,'All Girls &amp; Descendants - Edit'!$C$2:$AK$440,'All Girls &amp; Descendants - Edit'!AI$1,FALSE)))</f>
        <v>Unmarried</v>
      </c>
      <c r="AJ56" s="3" t="str">
        <f>IF(VLOOKUP($C56,'All Girls &amp; Descendants - Edit'!$C$2:$AK$440,'All Girls &amp; Descendants - Edit'!AJ$1,FALSE)=""," - ",(VLOOKUP($C56,'All Girls &amp; Descendants - Edit'!$C$2:$AK$440,'All Girls &amp; Descendants - Edit'!AJ$1,FALSE)))</f>
        <v>Female. b. 26/11/1951 Born in Aden, South Arabia. Baptised 3 Jan 1952 at the Garrison Church, Aden.</v>
      </c>
      <c r="AK56" s="3" t="str">
        <f>IF(VLOOKUP($C56,'All Girls &amp; Descendants - Edit'!$C$2:$AK$440,'All Girls &amp; Descendants - Edit'!AK$1,FALSE)=""," - ",(VLOOKUP($C56,'All Girls &amp; Descendants - Edit'!$C$2:$AK$440,'All Girls &amp; Descendants - Edit'!AK$1,FALSE)))</f>
        <v>b. 26/11/1951</v>
      </c>
      <c r="AO56" s="1"/>
      <c r="AS56" s="72">
        <v>129</v>
      </c>
      <c r="BB56">
        <v>1</v>
      </c>
      <c r="BH56">
        <v>1</v>
      </c>
      <c r="BI56">
        <v>1</v>
      </c>
    </row>
    <row r="57" spans="1:61" ht="19">
      <c r="A57">
        <f>VLOOKUP(B57,'Loyd List 1-190 - Edit'!$P$1:$R$219,3,FALSE)</f>
        <v>54</v>
      </c>
      <c r="B57">
        <f>'All Girls &amp; Descendants - Edit'!B58</f>
        <v>92</v>
      </c>
      <c r="C57" s="98" t="str">
        <f>'All Girls &amp; Descendants - Edit'!C58</f>
        <v>92d</v>
      </c>
      <c r="D57" s="2" t="str">
        <f>'All Girls &amp; Descendants - Edit'!D58</f>
        <v>TATTON-BROWN</v>
      </c>
      <c r="E57" t="str">
        <f>'All Girls &amp; Descendants - Edit'!E58</f>
        <v>Frances</v>
      </c>
      <c r="F57" t="str">
        <f>IF('All Girls &amp; Descendants - Edit'!F58="","",'All Girls &amp; Descendants - Edit'!F58)</f>
        <v>Maud</v>
      </c>
      <c r="G57" t="str">
        <f>IF('All Girls &amp; Descendants - Edit'!G58="","",'All Girls &amp; Descendants - Edit'!G58)</f>
        <v/>
      </c>
      <c r="H57" t="str">
        <f>IF('All Girls &amp; Descendants - Edit'!H58="","",'All Girls &amp; Descendants - Edit'!H58)</f>
        <v>Fanny</v>
      </c>
      <c r="I57">
        <f>VLOOKUP($C57,'All Girls &amp; Descendants - Edit'!$C$2:$AK$440,'All Girls &amp; Descendants - Edit'!I$1,FALSE)</f>
        <v>1954</v>
      </c>
      <c r="J57" t="str">
        <f>VLOOKUP($C57,'All Girls &amp; Descendants - Edit'!$C$2:$AK$440,'All Girls &amp; Descendants - Edit'!J$1,FALSE)</f>
        <v/>
      </c>
      <c r="K57" s="9"/>
      <c r="L57" t="str">
        <f t="shared" si="9"/>
        <v>01/01/1954</v>
      </c>
      <c r="M57" s="3">
        <f>VLOOKUP($C57,'All Girls &amp; Descendants - Edit'!$C$2:$AK$440,'All Girls &amp; Descendants - Edit'!M$1,FALSE)</f>
        <v>19725</v>
      </c>
      <c r="N57" s="3" t="str">
        <f>IF(VLOOKUP($C57,'All Girls &amp; Descendants - Edit'!$C$2:$AK$440,'All Girls &amp; Descendants - Edit'!N$1,FALSE)=""," - ",(VLOOKUP($C57,'All Girls &amp; Descendants - Edit'!$C$2:$AK$440,'All Girls &amp; Descendants - Edit'!N$1,FALSE)))</f>
        <v xml:space="preserve"> - </v>
      </c>
      <c r="O57" s="3" t="str">
        <f>IF(VLOOKUP($C57,'All Girls &amp; Descendants - Edit'!$C$2:$AK$440,'All Girls &amp; Descendants - Edit'!O$1,FALSE)="","",(VLOOKUP($C57,'All Girls &amp; Descendants - Edit'!$C$2:$AK$440,'All Girls &amp; Descendants - Edit'!O$1,FALSE)))</f>
        <v/>
      </c>
      <c r="P57" s="3" t="str">
        <f t="shared" si="3"/>
        <v/>
      </c>
      <c r="Q57" s="178" t="str">
        <f t="shared" si="4"/>
        <v>92</v>
      </c>
      <c r="R57" s="23"/>
      <c r="S57" t="str">
        <f>VLOOKUP($C57,'All Girls &amp; Descendants - Edit'!$C$2:$AK$440,'All Girls &amp; Descendants - Edit'!S$1,FALSE)</f>
        <v>Female</v>
      </c>
      <c r="T57" s="176">
        <f t="shared" si="5"/>
        <v>6</v>
      </c>
      <c r="U57" s="176">
        <f t="shared" si="0"/>
        <v>3</v>
      </c>
      <c r="V57" s="176">
        <f t="shared" si="1"/>
        <v>5</v>
      </c>
      <c r="W57" s="177">
        <f t="shared" si="2"/>
        <v>1</v>
      </c>
      <c r="X57" s="3" t="str">
        <f>IF(VLOOKUP($C57,'All Girls &amp; Descendants - Edit'!$C$2:$AK$440,'All Girls &amp; Descendants - Edit'!X$1,FALSE)=""," - ",(VLOOKUP($C57,'All Girls &amp; Descendants - Edit'!$C$2:$AK$440,'All Girls &amp; Descendants - Edit'!X$1,FALSE)))</f>
        <v>David SURTEES</v>
      </c>
      <c r="Y57" s="3" t="str">
        <f>IF(VLOOKUP($C57,'All Girls &amp; Descendants - Edit'!$C$2:$AK$440,'All Girls &amp; Descendants - Edit'!Y$1,FALSE)=""," - ",(VLOOKUP($C57,'All Girls &amp; Descendants - Edit'!$C$2:$AK$440,'All Girls &amp; Descendants - Edit'!Y$1,FALSE)))</f>
        <v>m. 30 Sep 1979 in Salisbury Cathedral, David (b. 12 Jan 1952) son of Charles William SURTEES of Durham. (Div Jul 1988).</v>
      </c>
      <c r="Z57" s="3" t="str">
        <f>IF(VLOOKUP($C57,'All Girls &amp; Descendants - Edit'!$C$2:$AK$440,'All Girls &amp; Descendants - Edit'!Z$1,FALSE)=""," - ",(VLOOKUP($C57,'All Girls &amp; Descendants - Edit'!$C$2:$AK$440,'All Girls &amp; Descendants - Edit'!Z$1,FALSE)))</f>
        <v>Born in Aden, South Arabia, baptised 10 Feb 1954 at the Garrison Church, Aden.</v>
      </c>
      <c r="AA57" s="101">
        <f>IF(VLOOKUP($C57,'All Girls &amp; Descendants - Edit'!$C$2:$AK$440,'All Girls &amp; Descendants - Edit'!AA$1,FALSE)=""," - ",(VLOOKUP($C57,'All Girls &amp; Descendants - Edit'!$C$2:$AK$440,'All Girls &amp; Descendants - Edit'!AA$1,FALSE)))</f>
        <v>213</v>
      </c>
      <c r="AB57" s="101">
        <f>IF(VLOOKUP($C57,'All Girls &amp; Descendants - Edit'!$C$2:$AK$440,'All Girls &amp; Descendants - Edit'!AB$1,FALSE)=""," - ",(VLOOKUP($C57,'All Girls &amp; Descendants - Edit'!$C$2:$AK$440,'All Girls &amp; Descendants - Edit'!AB$1,FALSE)))</f>
        <v>56</v>
      </c>
      <c r="AC57" s="101">
        <f>IF(VLOOKUP($C57,'All Girls &amp; Descendants - Edit'!$C$2:$AK$440,'All Girls &amp; Descendants - Edit'!AC$1,FALSE)=""," - ",(VLOOKUP($C57,'All Girls &amp; Descendants - Edit'!$C$2:$AK$440,'All Girls &amp; Descendants - Edit'!AC$1,FALSE)))</f>
        <v>1056</v>
      </c>
      <c r="AD57" s="3" t="str">
        <f>IF(VLOOKUP($C57,'All Girls &amp; Descendants - Edit'!$C$2:$AK$440,'All Girls &amp; Descendants - Edit'!AD$1,FALSE)=""," - ",(VLOOKUP($C57,'All Girls &amp; Descendants - Edit'!$C$2:$AK$440,'All Girls &amp; Descendants - Edit'!AD$1,FALSE)))</f>
        <v>92d</v>
      </c>
      <c r="AE57" s="3" t="str">
        <f>IF(VLOOKUP($C57,'All Girls &amp; Descendants - Edit'!$C$2:$AK$440,'All Girls &amp; Descendants - Edit'!AE$1,FALSE)=""," - ",(VLOOKUP($C57,'All Girls &amp; Descendants - Edit'!$C$2:$AK$440,'All Girls &amp; Descendants - Edit'!AE$1,FALSE)))</f>
        <v>Frances Maud  TATTON-BROWN (1954 - )</v>
      </c>
      <c r="AF57" s="3" t="str">
        <f>IF(VLOOKUP($C57,'All Girls &amp; Descendants - Edit'!$C$2:$AK$440,'All Girls &amp; Descendants - Edit'!AF$1,FALSE)=""," - ",(VLOOKUP($C57,'All Girls &amp; Descendants - Edit'!$C$2:$AK$440,'All Girls &amp; Descendants - Edit'!AF$1,FALSE)))</f>
        <v>Fanny TATTON-BROWN (6th &amp; 92)</v>
      </c>
      <c r="AG57" s="3" t="str">
        <f>IF(VLOOKUP($C57,'All Girls &amp; Descendants - Edit'!$C$2:$AK$440,'All Girls &amp; Descendants - Edit'!AG$1,FALSE)=""," - ",(VLOOKUP($C57,'All Girls &amp; Descendants - Edit'!$C$2:$AK$440,'All Girls &amp; Descendants - Edit'!AG$1,FALSE)))</f>
        <v>Female</v>
      </c>
      <c r="AH57" s="3" t="str">
        <f>IF(VLOOKUP($C57,'All Girls &amp; Descendants - Edit'!$C$2:$AK$440,'All Girls &amp; Descendants - Edit'!AH$1,FALSE)=""," - ",(VLOOKUP($C57,'All Girls &amp; Descendants - Edit'!$C$2:$AK$440,'All Girls &amp; Descendants - Edit'!AH$1,FALSE)))</f>
        <v>6th</v>
      </c>
      <c r="AI57" s="3" t="str">
        <f>IF(VLOOKUP($C57,'All Girls &amp; Descendants - Edit'!$C$2:$AK$440,'All Girls &amp; Descendants - Edit'!AI$1,FALSE)=""," - ",(VLOOKUP($C57,'All Girls &amp; Descendants - Edit'!$C$2:$AK$440,'All Girls &amp; Descendants - Edit'!AI$1,FALSE)))</f>
        <v>Husband: David SURTEES. m. 30 Sep 1979 in Salisbury Cathedral, David (b. 12 Jan 1952) son of Charles William SURTEES of Durham. (Div Jul 1988).</v>
      </c>
      <c r="AJ57" s="3" t="str">
        <f>IF(VLOOKUP($C57,'All Girls &amp; Descendants - Edit'!$C$2:$AK$440,'All Girls &amp; Descendants - Edit'!AJ$1,FALSE)=""," - ",(VLOOKUP($C57,'All Girls &amp; Descendants - Edit'!$C$2:$AK$440,'All Girls &amp; Descendants - Edit'!AJ$1,FALSE)))</f>
        <v>Female. b. 01/01/1954 Born in Aden, South Arabia, baptised 10 Feb 1954 at the Garrison Church, Aden.</v>
      </c>
      <c r="AK57" s="3" t="str">
        <f>IF(VLOOKUP($C57,'All Girls &amp; Descendants - Edit'!$C$2:$AK$440,'All Girls &amp; Descendants - Edit'!AK$1,FALSE)=""," - ",(VLOOKUP($C57,'All Girls &amp; Descendants - Edit'!$C$2:$AK$440,'All Girls &amp; Descendants - Edit'!AK$1,FALSE)))</f>
        <v>b. 01/01/1954</v>
      </c>
      <c r="AO57" s="1"/>
      <c r="AS57" s="72">
        <v>137</v>
      </c>
      <c r="BA57">
        <v>1</v>
      </c>
      <c r="BB57">
        <v>1</v>
      </c>
      <c r="BH57">
        <v>2</v>
      </c>
      <c r="BI57">
        <v>2</v>
      </c>
    </row>
    <row r="58" spans="1:61" ht="19">
      <c r="A58">
        <f>VLOOKUP(B58,'Loyd List 1-190 - Edit'!$P$1:$R$219,3,FALSE)</f>
        <v>56</v>
      </c>
      <c r="B58">
        <f>'All Girls &amp; Descendants - Edit'!B59</f>
        <v>95</v>
      </c>
      <c r="C58" s="98" t="str">
        <f>'All Girls &amp; Descendants - Edit'!C59</f>
        <v>95a</v>
      </c>
      <c r="D58" s="2" t="str">
        <f>'All Girls &amp; Descendants - Edit'!D59</f>
        <v>KNIGHT</v>
      </c>
      <c r="E58" t="str">
        <f>'All Girls &amp; Descendants - Edit'!E59</f>
        <v>Henrietta</v>
      </c>
      <c r="F58" t="str">
        <f>IF('All Girls &amp; Descendants - Edit'!F59="","",'All Girls &amp; Descendants - Edit'!F59)</f>
        <v>Catherine</v>
      </c>
      <c r="G58" t="str">
        <f>IF('All Girls &amp; Descendants - Edit'!G59="","",'All Girls &amp; Descendants - Edit'!G59)</f>
        <v/>
      </c>
      <c r="H58" t="str">
        <f>IF('All Girls &amp; Descendants - Edit'!H59="","",'All Girls &amp; Descendants - Edit'!H59)</f>
        <v/>
      </c>
      <c r="I58">
        <f>VLOOKUP($C58,'All Girls &amp; Descendants - Edit'!$C$2:$AK$440,'All Girls &amp; Descendants - Edit'!I$1,FALSE)</f>
        <v>1946</v>
      </c>
      <c r="J58" t="str">
        <f>VLOOKUP($C58,'All Girls &amp; Descendants - Edit'!$C$2:$AK$440,'All Girls &amp; Descendants - Edit'!J$1,FALSE)</f>
        <v/>
      </c>
      <c r="K58" s="9"/>
      <c r="L58" t="str">
        <f t="shared" si="9"/>
        <v>15/12/1946</v>
      </c>
      <c r="M58" s="3">
        <f>VLOOKUP($C58,'All Girls &amp; Descendants - Edit'!$C$2:$AK$440,'All Girls &amp; Descendants - Edit'!M$1,FALSE)</f>
        <v>17151</v>
      </c>
      <c r="N58" s="3" t="str">
        <f>IF(VLOOKUP($C58,'All Girls &amp; Descendants - Edit'!$C$2:$AK$440,'All Girls &amp; Descendants - Edit'!N$1,FALSE)=""," - ",(VLOOKUP($C58,'All Girls &amp; Descendants - Edit'!$C$2:$AK$440,'All Girls &amp; Descendants - Edit'!N$1,FALSE)))</f>
        <v xml:space="preserve"> - </v>
      </c>
      <c r="O58" s="3" t="str">
        <f>IF(VLOOKUP($C58,'All Girls &amp; Descendants - Edit'!$C$2:$AK$440,'All Girls &amp; Descendants - Edit'!O$1,FALSE)="","",(VLOOKUP($C58,'All Girls &amp; Descendants - Edit'!$C$2:$AK$440,'All Girls &amp; Descendants - Edit'!O$1,FALSE)))</f>
        <v/>
      </c>
      <c r="P58" s="3" t="str">
        <f t="shared" si="3"/>
        <v/>
      </c>
      <c r="Q58" s="178" t="str">
        <f t="shared" si="4"/>
        <v>95</v>
      </c>
      <c r="R58" s="23"/>
      <c r="S58" t="str">
        <f>VLOOKUP($C58,'All Girls &amp; Descendants - Edit'!$C$2:$AK$440,'All Girls &amp; Descendants - Edit'!S$1,FALSE)</f>
        <v>Female</v>
      </c>
      <c r="T58" s="176">
        <f t="shared" si="5"/>
        <v>6</v>
      </c>
      <c r="U58" s="176">
        <f t="shared" si="0"/>
        <v>3</v>
      </c>
      <c r="V58" s="176">
        <f t="shared" si="1"/>
        <v>5</v>
      </c>
      <c r="W58" s="177">
        <f t="shared" si="2"/>
        <v>1</v>
      </c>
      <c r="X58" s="3" t="str">
        <f>IF(VLOOKUP($C58,'All Girls &amp; Descendants - Edit'!$C$2:$AK$440,'All Girls &amp; Descendants - Edit'!X$1,FALSE)=""," - ",(VLOOKUP($C58,'All Girls &amp; Descendants - Edit'!$C$2:$AK$440,'All Girls &amp; Descendants - Edit'!X$1,FALSE)))</f>
        <v>Major Hubert Guy Broughton KNIGHT (b. 09/04/1917, d.01/11/1993)</v>
      </c>
      <c r="Y58" s="3" t="str">
        <f>IF(VLOOKUP($C58,'All Girls &amp; Descendants - Edit'!$C$2:$AK$440,'All Girls &amp; Descendants - Edit'!Y$1,FALSE)=""," - ",(VLOOKUP($C58,'All Girls &amp; Descendants - Edit'!$C$2:$AK$440,'All Girls &amp; Descendants - Edit'!Y$1,FALSE)))</f>
        <v>Married at Lockinge by her uncle, the Rt Rev Philip LOYD, Major Hubert Guy Broughton KNIGHT, MC, late Coldstream Guards of Lockinge Manor, Wantage - Educated Eton and RMC Sandhurst.</v>
      </c>
      <c r="Z58" s="3" t="str">
        <f>IF(VLOOKUP($C58,'All Girls &amp; Descendants - Edit'!$C$2:$AK$440,'All Girls &amp; Descendants - Edit'!Z$1,FALSE)=""," - ",(VLOOKUP($C58,'All Girls &amp; Descendants - Edit'!$C$2:$AK$440,'All Girls &amp; Descendants - Edit'!Z$1,FALSE)))</f>
        <v>Henrietta of West Lockinge Farm, Wantage.</v>
      </c>
      <c r="AA58" s="101">
        <f>IF(VLOOKUP($C58,'All Girls &amp; Descendants - Edit'!$C$2:$AK$440,'All Girls &amp; Descendants - Edit'!AA$1,FALSE)=""," - ",(VLOOKUP($C58,'All Girls &amp; Descendants - Edit'!$C$2:$AK$440,'All Girls &amp; Descendants - Edit'!AA$1,FALSE)))</f>
        <v>216</v>
      </c>
      <c r="AB58" s="101">
        <f>IF(VLOOKUP($C58,'All Girls &amp; Descendants - Edit'!$C$2:$AK$440,'All Girls &amp; Descendants - Edit'!AB$1,FALSE)=""," - ",(VLOOKUP($C58,'All Girls &amp; Descendants - Edit'!$C$2:$AK$440,'All Girls &amp; Descendants - Edit'!AB$1,FALSE)))</f>
        <v>57</v>
      </c>
      <c r="AC58" s="101">
        <f>IF(VLOOKUP($C58,'All Girls &amp; Descendants - Edit'!$C$2:$AK$440,'All Girls &amp; Descendants - Edit'!AC$1,FALSE)=""," - ",(VLOOKUP($C58,'All Girls &amp; Descendants - Edit'!$C$2:$AK$440,'All Girls &amp; Descendants - Edit'!AC$1,FALSE)))</f>
        <v>1057</v>
      </c>
      <c r="AD58" s="3" t="str">
        <f>IF(VLOOKUP($C58,'All Girls &amp; Descendants - Edit'!$C$2:$AK$440,'All Girls &amp; Descendants - Edit'!AD$1,FALSE)=""," - ",(VLOOKUP($C58,'All Girls &amp; Descendants - Edit'!$C$2:$AK$440,'All Girls &amp; Descendants - Edit'!AD$1,FALSE)))</f>
        <v>95a</v>
      </c>
      <c r="AE58" s="3" t="str">
        <f>IF(VLOOKUP($C58,'All Girls &amp; Descendants - Edit'!$C$2:$AK$440,'All Girls &amp; Descendants - Edit'!AE$1,FALSE)=""," - ",(VLOOKUP($C58,'All Girls &amp; Descendants - Edit'!$C$2:$AK$440,'All Girls &amp; Descendants - Edit'!AE$1,FALSE)))</f>
        <v>Henrietta Catherine  KNIGHT (1946 - )</v>
      </c>
      <c r="AF58" s="3" t="str">
        <f>IF(VLOOKUP($C58,'All Girls &amp; Descendants - Edit'!$C$2:$AK$440,'All Girls &amp; Descendants - Edit'!AF$1,FALSE)=""," - ",(VLOOKUP($C58,'All Girls &amp; Descendants - Edit'!$C$2:$AK$440,'All Girls &amp; Descendants - Edit'!AF$1,FALSE)))</f>
        <v>Henrietta KNIGHT (6th &amp; 95)</v>
      </c>
      <c r="AG58" s="3" t="str">
        <f>IF(VLOOKUP($C58,'All Girls &amp; Descendants - Edit'!$C$2:$AK$440,'All Girls &amp; Descendants - Edit'!AG$1,FALSE)=""," - ",(VLOOKUP($C58,'All Girls &amp; Descendants - Edit'!$C$2:$AK$440,'All Girls &amp; Descendants - Edit'!AG$1,FALSE)))</f>
        <v>Female</v>
      </c>
      <c r="AH58" s="3" t="str">
        <f>IF(VLOOKUP($C58,'All Girls &amp; Descendants - Edit'!$C$2:$AK$440,'All Girls &amp; Descendants - Edit'!AH$1,FALSE)=""," - ",(VLOOKUP($C58,'All Girls &amp; Descendants - Edit'!$C$2:$AK$440,'All Girls &amp; Descendants - Edit'!AH$1,FALSE)))</f>
        <v>6th</v>
      </c>
      <c r="AI58" s="3" t="str">
        <f>IF(VLOOKUP($C58,'All Girls &amp; Descendants - Edit'!$C$2:$AK$440,'All Girls &amp; Descendants - Edit'!AI$1,FALSE)=""," - ",(VLOOKUP($C58,'All Girls &amp; Descendants - Edit'!$C$2:$AK$440,'All Girls &amp; Descendants - Edit'!AI$1,FALSE)))</f>
        <v>Husband: Major Hubert Guy Broughton KNIGHT (b. 09/04/1917, d.01/11/1993). Married at Lockinge by her uncle, the Rt Rev Philip LOYD, Major Hubert Guy Broughton KNIGHT, MC, late Coldstream Guards of Lockinge Manor, Wantage - Educated Eton and RMC Sandhurst.</v>
      </c>
      <c r="AJ58" s="3" t="str">
        <f>IF(VLOOKUP($C58,'All Girls &amp; Descendants - Edit'!$C$2:$AK$440,'All Girls &amp; Descendants - Edit'!AJ$1,FALSE)=""," - ",(VLOOKUP($C58,'All Girls &amp; Descendants - Edit'!$C$2:$AK$440,'All Girls &amp; Descendants - Edit'!AJ$1,FALSE)))</f>
        <v>Female. b. 15/12/1946 Henrietta of West Lockinge Farm, Wantage.</v>
      </c>
      <c r="AK58" s="3" t="str">
        <f>IF(VLOOKUP($C58,'All Girls &amp; Descendants - Edit'!$C$2:$AK$440,'All Girls &amp; Descendants - Edit'!AK$1,FALSE)=""," - ",(VLOOKUP($C58,'All Girls &amp; Descendants - Edit'!$C$2:$AK$440,'All Girls &amp; Descendants - Edit'!AK$1,FALSE)))</f>
        <v>b. 15/12/1946</v>
      </c>
      <c r="AO58" s="1"/>
      <c r="AS58" s="72">
        <v>140</v>
      </c>
      <c r="BB58">
        <v>1</v>
      </c>
      <c r="BC58">
        <v>2</v>
      </c>
      <c r="BH58">
        <v>3</v>
      </c>
      <c r="BI58">
        <v>3</v>
      </c>
    </row>
    <row r="59" spans="1:61" ht="19">
      <c r="A59">
        <f>VLOOKUP(B59,'Loyd List 1-190 - Edit'!$P$1:$R$219,3,FALSE)</f>
        <v>56</v>
      </c>
      <c r="B59">
        <f>'All Girls &amp; Descendants - Edit'!B60</f>
        <v>95</v>
      </c>
      <c r="C59" s="98" t="str">
        <f>'All Girls &amp; Descendants - Edit'!C60</f>
        <v>95b</v>
      </c>
      <c r="D59" s="2" t="str">
        <f>'All Girls &amp; Descendants - Edit'!D60</f>
        <v>KNIGHT</v>
      </c>
      <c r="E59" t="str">
        <f>'All Girls &amp; Descendants - Edit'!E60</f>
        <v>Celia</v>
      </c>
      <c r="F59" t="str">
        <f>IF('All Girls &amp; Descendants - Edit'!F60="","",'All Girls &amp; Descendants - Edit'!F60)</f>
        <v>Elizabeth</v>
      </c>
      <c r="G59" t="str">
        <f>IF('All Girls &amp; Descendants - Edit'!G60="","",'All Girls &amp; Descendants - Edit'!G60)</f>
        <v/>
      </c>
      <c r="H59" t="str">
        <f>IF('All Girls &amp; Descendants - Edit'!H60="","",'All Girls &amp; Descendants - Edit'!H60)</f>
        <v>Ce-Ce</v>
      </c>
      <c r="I59">
        <f>VLOOKUP($C59,'All Girls &amp; Descendants - Edit'!$C$2:$AK$440,'All Girls &amp; Descendants - Edit'!I$1,FALSE)</f>
        <v>1949</v>
      </c>
      <c r="J59">
        <f>VLOOKUP($C59,'All Girls &amp; Descendants - Edit'!$C$2:$AK$440,'All Girls &amp; Descendants - Edit'!J$1,FALSE)</f>
        <v>2020</v>
      </c>
      <c r="K59" s="9"/>
      <c r="L59" t="str">
        <f t="shared" si="9"/>
        <v>11/10/1949</v>
      </c>
      <c r="M59" s="3">
        <f>VLOOKUP($C59,'All Girls &amp; Descendants - Edit'!$C$2:$AK$440,'All Girls &amp; Descendants - Edit'!M$1,FALSE)</f>
        <v>18182</v>
      </c>
      <c r="N59" s="3">
        <f>IF(VLOOKUP($C59,'All Girls &amp; Descendants - Edit'!$C$2:$AK$440,'All Girls &amp; Descendants - Edit'!N$1,FALSE)=""," - ",(VLOOKUP($C59,'All Girls &amp; Descendants - Edit'!$C$2:$AK$440,'All Girls &amp; Descendants - Edit'!N$1,FALSE)))</f>
        <v>29942</v>
      </c>
      <c r="O59" s="3">
        <f>IF(VLOOKUP($C59,'All Girls &amp; Descendants - Edit'!$C$2:$AK$440,'All Girls &amp; Descendants - Edit'!O$1,FALSE)="","",(VLOOKUP($C59,'All Girls &amp; Descendants - Edit'!$C$2:$AK$440,'All Girls &amp; Descendants - Edit'!O$1,FALSE)))</f>
        <v>44163</v>
      </c>
      <c r="P59" s="3" t="str">
        <f t="shared" si="3"/>
        <v>28/11/2020</v>
      </c>
      <c r="Q59" s="178" t="str">
        <f t="shared" si="4"/>
        <v>95</v>
      </c>
      <c r="R59" s="23"/>
      <c r="S59" t="str">
        <f>VLOOKUP($C59,'All Girls &amp; Descendants - Edit'!$C$2:$AK$440,'All Girls &amp; Descendants - Edit'!S$1,FALSE)</f>
        <v>Female</v>
      </c>
      <c r="T59" s="176">
        <f t="shared" si="5"/>
        <v>6</v>
      </c>
      <c r="U59" s="176">
        <f t="shared" si="0"/>
        <v>3</v>
      </c>
      <c r="V59" s="176">
        <f t="shared" si="1"/>
        <v>5</v>
      </c>
      <c r="W59" s="177">
        <f t="shared" si="2"/>
        <v>1</v>
      </c>
      <c r="X59" s="3" t="str">
        <f>IF(VLOOKUP($C59,'All Girls &amp; Descendants - Edit'!$C$2:$AK$440,'All Girls &amp; Descendants - Edit'!X$1,FALSE)=""," - ",(VLOOKUP($C59,'All Girls &amp; Descendants - Edit'!$C$2:$AK$440,'All Girls &amp; Descendants - Edit'!X$1,FALSE)))</f>
        <v>Sir Samuel George Armstrong VESTEY (b. 19 Mar 1941, d. 04 Feb 2021). Samuel Vestey Master of the Horse and Lord-in Waiting and was award the GCVO and GCStJ (Lord Prior of St John) medals</v>
      </c>
      <c r="Y59" s="3" t="str">
        <f>IF(VLOOKUP($C59,'All Girls &amp; Descendants - Edit'!$C$2:$AK$440,'All Girls &amp; Descendants - Edit'!Y$1,FALSE)=""," - ",(VLOOKUP($C59,'All Girls &amp; Descendants - Edit'!$C$2:$AK$440,'All Girls &amp; Descendants - Edit'!Y$1,FALSE)))</f>
        <v>Married  Sir Samuel George Armstrong VESTEY, 3rd Baron VESTEY  of Stowell Park, Northleach, Gloucestershire. Educated Eton 1954-59.Lieutenant, Scots Guards 1960-63. Dir. Union International and other companies. Died 4 Feb 2021.</v>
      </c>
      <c r="Z59" s="3" t="str">
        <f>IF(VLOOKUP($C59,'All Girls &amp; Descendants - Edit'!$C$2:$AK$440,'All Girls &amp; Descendants - Edit'!Z$1,FALSE)=""," - ",(VLOOKUP($C59,'All Girls &amp; Descendants - Edit'!$C$2:$AK$440,'All Girls &amp; Descendants - Edit'!Z$1,FALSE)))</f>
        <v xml:space="preserve"> - </v>
      </c>
      <c r="AA59" s="101">
        <f>IF(VLOOKUP($C59,'All Girls &amp; Descendants - Edit'!$C$2:$AK$440,'All Girls &amp; Descendants - Edit'!AA$1,FALSE)=""," - ",(VLOOKUP($C59,'All Girls &amp; Descendants - Edit'!$C$2:$AK$440,'All Girls &amp; Descendants - Edit'!AA$1,FALSE)))</f>
        <v>217</v>
      </c>
      <c r="AB59" s="101">
        <f>IF(VLOOKUP($C59,'All Girls &amp; Descendants - Edit'!$C$2:$AK$440,'All Girls &amp; Descendants - Edit'!AB$1,FALSE)=""," - ",(VLOOKUP($C59,'All Girls &amp; Descendants - Edit'!$C$2:$AK$440,'All Girls &amp; Descendants - Edit'!AB$1,FALSE)))</f>
        <v>58</v>
      </c>
      <c r="AC59" s="101">
        <f>IF(VLOOKUP($C59,'All Girls &amp; Descendants - Edit'!$C$2:$AK$440,'All Girls &amp; Descendants - Edit'!AC$1,FALSE)=""," - ",(VLOOKUP($C59,'All Girls &amp; Descendants - Edit'!$C$2:$AK$440,'All Girls &amp; Descendants - Edit'!AC$1,FALSE)))</f>
        <v>1058</v>
      </c>
      <c r="AD59" s="3" t="str">
        <f>IF(VLOOKUP($C59,'All Girls &amp; Descendants - Edit'!$C$2:$AK$440,'All Girls &amp; Descendants - Edit'!AD$1,FALSE)=""," - ",(VLOOKUP($C59,'All Girls &amp; Descendants - Edit'!$C$2:$AK$440,'All Girls &amp; Descendants - Edit'!AD$1,FALSE)))</f>
        <v>95b</v>
      </c>
      <c r="AE59" s="3" t="str">
        <f>IF(VLOOKUP($C59,'All Girls &amp; Descendants - Edit'!$C$2:$AK$440,'All Girls &amp; Descendants - Edit'!AE$1,FALSE)=""," - ",(VLOOKUP($C59,'All Girls &amp; Descendants - Edit'!$C$2:$AK$440,'All Girls &amp; Descendants - Edit'!AE$1,FALSE)))</f>
        <v>Celia Elizabeth  KNIGHT (1949 - 2020)</v>
      </c>
      <c r="AF59" s="3" t="str">
        <f>IF(VLOOKUP($C59,'All Girls &amp; Descendants - Edit'!$C$2:$AK$440,'All Girls &amp; Descendants - Edit'!AF$1,FALSE)=""," - ",(VLOOKUP($C59,'All Girls &amp; Descendants - Edit'!$C$2:$AK$440,'All Girls &amp; Descendants - Edit'!AF$1,FALSE)))</f>
        <v>Ce-Ce KNIGHT (6th &amp; 95)</v>
      </c>
      <c r="AG59" s="3" t="str">
        <f>IF(VLOOKUP($C59,'All Girls &amp; Descendants - Edit'!$C$2:$AK$440,'All Girls &amp; Descendants - Edit'!AG$1,FALSE)=""," - ",(VLOOKUP($C59,'All Girls &amp; Descendants - Edit'!$C$2:$AK$440,'All Girls &amp; Descendants - Edit'!AG$1,FALSE)))</f>
        <v>Female</v>
      </c>
      <c r="AH59" s="3" t="str">
        <f>IF(VLOOKUP($C59,'All Girls &amp; Descendants - Edit'!$C$2:$AK$440,'All Girls &amp; Descendants - Edit'!AH$1,FALSE)=""," - ",(VLOOKUP($C59,'All Girls &amp; Descendants - Edit'!$C$2:$AK$440,'All Girls &amp; Descendants - Edit'!AH$1,FALSE)))</f>
        <v>6th</v>
      </c>
      <c r="AI59" s="3" t="str">
        <f>IF(VLOOKUP($C59,'All Girls &amp; Descendants - Edit'!$C$2:$AK$440,'All Girls &amp; Descendants - Edit'!AI$1,FALSE)=""," - ",(VLOOKUP($C59,'All Girls &amp; Descendants - Edit'!$C$2:$AK$440,'All Girls &amp; Descendants - Edit'!AI$1,FALSE)))</f>
        <v>Husband: Sir Samuel George Armstrong VESTEY (b. 19 Mar 1941, d. 04 Feb 2021). Samuel Vestey Master of the Horse and Lord-in Waiting and was award the GCVO and GCStJ (Lord Prior of St John) medals. Married  Sir Samuel George Armstrong VESTEY, 3rd Baron VESTEY  of Stowell Park, Northleach, Gloucestershire. Educated Eton 1954-59.Lieutenant, Scots Guards 1960-63. Dir. Union International and other companies. Died 4 Feb 2021.</v>
      </c>
      <c r="AJ59" s="3" t="str">
        <f>IF(VLOOKUP($C59,'All Girls &amp; Descendants - Edit'!$C$2:$AK$440,'All Girls &amp; Descendants - Edit'!AJ$1,FALSE)=""," - ",(VLOOKUP($C59,'All Girls &amp; Descendants - Edit'!$C$2:$AK$440,'All Girls &amp; Descendants - Edit'!AJ$1,FALSE)))</f>
        <v>Female. b. 11/10/1949, d. 28/11/2020.</v>
      </c>
      <c r="AK59" s="3" t="str">
        <f>IF(VLOOKUP($C59,'All Girls &amp; Descendants - Edit'!$C$2:$AK$440,'All Girls &amp; Descendants - Edit'!AK$1,FALSE)=""," - ",(VLOOKUP($C59,'All Girls &amp; Descendants - Edit'!$C$2:$AK$440,'All Girls &amp; Descendants - Edit'!AK$1,FALSE)))</f>
        <v>b. 11/10/1949, d. 28/11/2020.</v>
      </c>
      <c r="AO59" s="1"/>
      <c r="AS59" s="72">
        <v>141</v>
      </c>
      <c r="AT59">
        <v>1</v>
      </c>
      <c r="AZ59">
        <v>1</v>
      </c>
      <c r="BA59">
        <v>1</v>
      </c>
      <c r="BB59">
        <v>1</v>
      </c>
      <c r="BH59">
        <v>2</v>
      </c>
      <c r="BI59">
        <v>3</v>
      </c>
    </row>
    <row r="60" spans="1:61" ht="19">
      <c r="A60">
        <f>VLOOKUP(B60,'Loyd List 1-190 - Edit'!$P$1:$R$219,3,FALSE)</f>
        <v>53</v>
      </c>
      <c r="B60">
        <f>'All Girls &amp; Descendants - Edit'!B61</f>
        <v>97</v>
      </c>
      <c r="C60" s="98" t="str">
        <f>'All Girls &amp; Descendants - Edit'!C61</f>
        <v>97a</v>
      </c>
      <c r="D60" s="2" t="str">
        <f>'All Girls &amp; Descendants - Edit'!D61</f>
        <v>SALE</v>
      </c>
      <c r="E60" t="str">
        <f>'All Girls &amp; Descendants - Edit'!E61</f>
        <v>Julian</v>
      </c>
      <c r="F60" t="str">
        <f>IF('All Girls &amp; Descendants - Edit'!F61="","",'All Girls &amp; Descendants - Edit'!F61)</f>
        <v>Edward</v>
      </c>
      <c r="G60" t="str">
        <f>IF('All Girls &amp; Descendants - Edit'!G61="","",'All Girls &amp; Descendants - Edit'!G61)</f>
        <v>Loyd</v>
      </c>
      <c r="H60" t="str">
        <f>IF('All Girls &amp; Descendants - Edit'!H61="","",'All Girls &amp; Descendants - Edit'!H61)</f>
        <v/>
      </c>
      <c r="I60">
        <f>VLOOKUP($C60,'All Girls &amp; Descendants - Edit'!$C$2:$AK$440,'All Girls &amp; Descendants - Edit'!I$1,FALSE)</f>
        <v>1951</v>
      </c>
      <c r="J60" t="str">
        <f>VLOOKUP($C60,'All Girls &amp; Descendants - Edit'!$C$2:$AK$440,'All Girls &amp; Descendants - Edit'!J$1,FALSE)</f>
        <v/>
      </c>
      <c r="K60" s="9"/>
      <c r="L60" t="str">
        <f t="shared" si="9"/>
        <v>17/12/1951</v>
      </c>
      <c r="M60" s="3">
        <f>VLOOKUP($C60,'All Girls &amp; Descendants - Edit'!$C$2:$AK$440,'All Girls &amp; Descendants - Edit'!M$1,FALSE)</f>
        <v>18979</v>
      </c>
      <c r="N60" s="3" t="str">
        <f>IF(VLOOKUP($C60,'All Girls &amp; Descendants - Edit'!$C$2:$AK$440,'All Girls &amp; Descendants - Edit'!N$1,FALSE)=""," - ",(VLOOKUP($C60,'All Girls &amp; Descendants - Edit'!$C$2:$AK$440,'All Girls &amp; Descendants - Edit'!N$1,FALSE)))</f>
        <v xml:space="preserve"> - </v>
      </c>
      <c r="O60" s="3" t="str">
        <f>IF(VLOOKUP($C60,'All Girls &amp; Descendants - Edit'!$C$2:$AK$440,'All Girls &amp; Descendants - Edit'!O$1,FALSE)="","",(VLOOKUP($C60,'All Girls &amp; Descendants - Edit'!$C$2:$AK$440,'All Girls &amp; Descendants - Edit'!O$1,FALSE)))</f>
        <v/>
      </c>
      <c r="P60" s="3" t="str">
        <f t="shared" si="3"/>
        <v/>
      </c>
      <c r="Q60" s="178" t="str">
        <f t="shared" si="4"/>
        <v>97</v>
      </c>
      <c r="R60" s="23"/>
      <c r="S60" t="str">
        <f>VLOOKUP($C60,'All Girls &amp; Descendants - Edit'!$C$2:$AK$440,'All Girls &amp; Descendants - Edit'!S$1,FALSE)</f>
        <v>Male</v>
      </c>
      <c r="T60" s="176">
        <f t="shared" si="5"/>
        <v>6</v>
      </c>
      <c r="U60" s="176">
        <f t="shared" si="0"/>
        <v>3</v>
      </c>
      <c r="V60" s="176">
        <f t="shared" si="1"/>
        <v>5</v>
      </c>
      <c r="W60" s="177">
        <f t="shared" si="2"/>
        <v>1</v>
      </c>
      <c r="X60" s="3" t="str">
        <f>IF(VLOOKUP($C60,'All Girls &amp; Descendants - Edit'!$C$2:$AK$440,'All Girls &amp; Descendants - Edit'!X$1,FALSE)=""," - ",(VLOOKUP($C60,'All Girls &amp; Descendants - Edit'!$C$2:$AK$440,'All Girls &amp; Descendants - Edit'!X$1,FALSE)))</f>
        <v>Fiona TAYLOR (b. 23 Aug 1955, )</v>
      </c>
      <c r="Y60" s="3" t="str">
        <f>IF(VLOOKUP($C60,'All Girls &amp; Descendants - Edit'!$C$2:$AK$440,'All Girls &amp; Descendants - Edit'!Y$1,FALSE)=""," - ",(VLOOKUP($C60,'All Girls &amp; Descendants - Edit'!$C$2:$AK$440,'All Girls &amp; Descendants - Edit'!Y$1,FALSE)))</f>
        <v>Married in London, Fiona younger daughter of David TAYLOR of Haywards Heath, Sussex and formerly of Hong Kong. Educated Southampton (BSc Geography). Asia: Esprit International and Strait Approach. Non-executive director, Royal Collection Trust. Retail consultant to country houses and museums.</v>
      </c>
      <c r="Z60" s="3" t="str">
        <f>IF(VLOOKUP($C60,'All Girls &amp; Descendants - Edit'!$C$2:$AK$440,'All Girls &amp; Descendants - Edit'!Z$1,FALSE)=""," - ",(VLOOKUP($C60,'All Girls &amp; Descendants - Edit'!$C$2:$AK$440,'All Girls &amp; Descendants - Edit'!Z$1,FALSE)))</f>
        <v xml:space="preserve">Julian of D’Anvers house, Culworth, Northamptonshire. Educated Eton College 1965 - 1969. Welsh Guards 1970 – 1974. Asia 1978 – 1996: Commercial director, Newsweek, Harvard Business Review. UK 1996 to present: financial advisory at Lancea Partners London and arranging funding for litigation – access to justice for claimants.
</v>
      </c>
      <c r="AA60" s="101">
        <f>IF(VLOOKUP($C60,'All Girls &amp; Descendants - Edit'!$C$2:$AK$440,'All Girls &amp; Descendants - Edit'!AA$1,FALSE)=""," - ",(VLOOKUP($C60,'All Girls &amp; Descendants - Edit'!$C$2:$AK$440,'All Girls &amp; Descendants - Edit'!AA$1,FALSE)))</f>
        <v>221</v>
      </c>
      <c r="AB60" s="101">
        <f>IF(VLOOKUP($C60,'All Girls &amp; Descendants - Edit'!$C$2:$AK$440,'All Girls &amp; Descendants - Edit'!AB$1,FALSE)=""," - ",(VLOOKUP($C60,'All Girls &amp; Descendants - Edit'!$C$2:$AK$440,'All Girls &amp; Descendants - Edit'!AB$1,FALSE)))</f>
        <v>59</v>
      </c>
      <c r="AC60" s="101">
        <f>IF(VLOOKUP($C60,'All Girls &amp; Descendants - Edit'!$C$2:$AK$440,'All Girls &amp; Descendants - Edit'!AC$1,FALSE)=""," - ",(VLOOKUP($C60,'All Girls &amp; Descendants - Edit'!$C$2:$AK$440,'All Girls &amp; Descendants - Edit'!AC$1,FALSE)))</f>
        <v>1059</v>
      </c>
      <c r="AD60" s="3" t="str">
        <f>IF(VLOOKUP($C60,'All Girls &amp; Descendants - Edit'!$C$2:$AK$440,'All Girls &amp; Descendants - Edit'!AD$1,FALSE)=""," - ",(VLOOKUP($C60,'All Girls &amp; Descendants - Edit'!$C$2:$AK$440,'All Girls &amp; Descendants - Edit'!AD$1,FALSE)))</f>
        <v>97a</v>
      </c>
      <c r="AE60" s="3" t="str">
        <f>IF(VLOOKUP($C60,'All Girls &amp; Descendants - Edit'!$C$2:$AK$440,'All Girls &amp; Descendants - Edit'!AE$1,FALSE)=""," - ",(VLOOKUP($C60,'All Girls &amp; Descendants - Edit'!$C$2:$AK$440,'All Girls &amp; Descendants - Edit'!AE$1,FALSE)))</f>
        <v>Julian Edward Loyd SALE (1951 - )</v>
      </c>
      <c r="AF60" s="3" t="str">
        <f>IF(VLOOKUP($C60,'All Girls &amp; Descendants - Edit'!$C$2:$AK$440,'All Girls &amp; Descendants - Edit'!AF$1,FALSE)=""," - ",(VLOOKUP($C60,'All Girls &amp; Descendants - Edit'!$C$2:$AK$440,'All Girls &amp; Descendants - Edit'!AF$1,FALSE)))</f>
        <v>Julian SALE (6th &amp; 97)</v>
      </c>
      <c r="AG60" s="3" t="str">
        <f>IF(VLOOKUP($C60,'All Girls &amp; Descendants - Edit'!$C$2:$AK$440,'All Girls &amp; Descendants - Edit'!AG$1,FALSE)=""," - ",(VLOOKUP($C60,'All Girls &amp; Descendants - Edit'!$C$2:$AK$440,'All Girls &amp; Descendants - Edit'!AG$1,FALSE)))</f>
        <v>Male</v>
      </c>
      <c r="AH60" s="3" t="str">
        <f>IF(VLOOKUP($C60,'All Girls &amp; Descendants - Edit'!$C$2:$AK$440,'All Girls &amp; Descendants - Edit'!AH$1,FALSE)=""," - ",(VLOOKUP($C60,'All Girls &amp; Descendants - Edit'!$C$2:$AK$440,'All Girls &amp; Descendants - Edit'!AH$1,FALSE)))</f>
        <v>6th</v>
      </c>
      <c r="AI60" s="3" t="str">
        <f>IF(VLOOKUP($C60,'All Girls &amp; Descendants - Edit'!$C$2:$AK$440,'All Girls &amp; Descendants - Edit'!AI$1,FALSE)=""," - ",(VLOOKUP($C60,'All Girls &amp; Descendants - Edit'!$C$2:$AK$440,'All Girls &amp; Descendants - Edit'!AI$1,FALSE)))</f>
        <v>Wife: Fiona TAYLOR (b. 23 Aug 1955, ). Married in London, Fiona younger daughter of David TAYLOR of Haywards Heath, Sussex and formerly of Hong Kong. Educated Southampton (BSc Geography). Asia: Esprit International and Strait Approach. Non-executive director, Royal Collection Trust. Retail consultant to country houses and museums.</v>
      </c>
      <c r="AJ60" s="3" t="str">
        <f>IF(VLOOKUP($C60,'All Girls &amp; Descendants - Edit'!$C$2:$AK$440,'All Girls &amp; Descendants - Edit'!AJ$1,FALSE)=""," - ",(VLOOKUP($C60,'All Girls &amp; Descendants - Edit'!$C$2:$AK$440,'All Girls &amp; Descendants - Edit'!AJ$1,FALSE)))</f>
        <v xml:space="preserve">Male. b. 17/12/1951 Julian of D’Anvers house, Culworth, Northamptonshire. Educated Eton College 1965 - 1969. Welsh Guards 1970 – 1974. Asia 1978 – 1996: Commercial director, Newsweek, Harvard Business Review. UK 1996 to present: financial advisory at Lancea Partners London and arranging funding for litigation – access to justice for claimants.
</v>
      </c>
      <c r="AK60" s="3" t="str">
        <f>IF(VLOOKUP($C60,'All Girls &amp; Descendants - Edit'!$C$2:$AK$440,'All Girls &amp; Descendants - Edit'!AK$1,FALSE)=""," - ",(VLOOKUP($C60,'All Girls &amp; Descendants - Edit'!$C$2:$AK$440,'All Girls &amp; Descendants - Edit'!AK$1,FALSE)))</f>
        <v>b. 17/12/1951</v>
      </c>
      <c r="AO60" s="1"/>
      <c r="AS60" s="72">
        <v>143</v>
      </c>
      <c r="AT60">
        <v>1</v>
      </c>
      <c r="AZ60">
        <v>1</v>
      </c>
      <c r="BA60">
        <v>1</v>
      </c>
      <c r="BB60">
        <v>1</v>
      </c>
      <c r="BH60">
        <v>2</v>
      </c>
      <c r="BI60">
        <v>3</v>
      </c>
    </row>
    <row r="61" spans="1:61" ht="19">
      <c r="A61">
        <f>VLOOKUP(B61,'Loyd List 1-190 - Edit'!$P$1:$R$219,3,FALSE)</f>
        <v>53</v>
      </c>
      <c r="B61">
        <f>'All Girls &amp; Descendants - Edit'!B62</f>
        <v>97</v>
      </c>
      <c r="C61" s="98" t="str">
        <f>'All Girls &amp; Descendants - Edit'!C62</f>
        <v>97b</v>
      </c>
      <c r="D61" s="2" t="str">
        <f>'All Girls &amp; Descendants - Edit'!D62</f>
        <v>SALE</v>
      </c>
      <c r="E61" t="str">
        <f>'All Girls &amp; Descendants - Edit'!E62</f>
        <v>Iona</v>
      </c>
      <c r="F61" t="str">
        <f>IF('All Girls &amp; Descendants - Edit'!F62="","",'All Girls &amp; Descendants - Edit'!F62)</f>
        <v>Marian</v>
      </c>
      <c r="G61" t="str">
        <f>IF('All Girls &amp; Descendants - Edit'!G62="","",'All Girls &amp; Descendants - Edit'!G62)</f>
        <v/>
      </c>
      <c r="H61" t="str">
        <f>IF('All Girls &amp; Descendants - Edit'!H62="","",'All Girls &amp; Descendants - Edit'!H62)</f>
        <v/>
      </c>
      <c r="I61">
        <f>VLOOKUP($C61,'All Girls &amp; Descendants - Edit'!$C$2:$AK$440,'All Girls &amp; Descendants - Edit'!I$1,FALSE)</f>
        <v>1954</v>
      </c>
      <c r="J61" t="str">
        <f>VLOOKUP($C61,'All Girls &amp; Descendants - Edit'!$C$2:$AK$440,'All Girls &amp; Descendants - Edit'!J$1,FALSE)</f>
        <v/>
      </c>
      <c r="K61" s="9"/>
      <c r="L61" t="str">
        <f t="shared" si="9"/>
        <v>22/03/1954</v>
      </c>
      <c r="M61" s="3">
        <f>VLOOKUP($C61,'All Girls &amp; Descendants - Edit'!$C$2:$AK$440,'All Girls &amp; Descendants - Edit'!M$1,FALSE)</f>
        <v>19805</v>
      </c>
      <c r="N61" s="3" t="str">
        <f>IF(VLOOKUP($C61,'All Girls &amp; Descendants - Edit'!$C$2:$AK$440,'All Girls &amp; Descendants - Edit'!N$1,FALSE)=""," - ",(VLOOKUP($C61,'All Girls &amp; Descendants - Edit'!$C$2:$AK$440,'All Girls &amp; Descendants - Edit'!N$1,FALSE)))</f>
        <v xml:space="preserve"> - </v>
      </c>
      <c r="O61" s="3" t="str">
        <f>IF(VLOOKUP($C61,'All Girls &amp; Descendants - Edit'!$C$2:$AK$440,'All Girls &amp; Descendants - Edit'!O$1,FALSE)="","",(VLOOKUP($C61,'All Girls &amp; Descendants - Edit'!$C$2:$AK$440,'All Girls &amp; Descendants - Edit'!O$1,FALSE)))</f>
        <v/>
      </c>
      <c r="P61" s="3" t="str">
        <f t="shared" si="3"/>
        <v/>
      </c>
      <c r="Q61" s="178" t="str">
        <f t="shared" si="4"/>
        <v>97</v>
      </c>
      <c r="R61" s="23"/>
      <c r="S61" t="str">
        <f>VLOOKUP($C61,'All Girls &amp; Descendants - Edit'!$C$2:$AK$440,'All Girls &amp; Descendants - Edit'!S$1,FALSE)</f>
        <v>Female</v>
      </c>
      <c r="T61" s="176">
        <f t="shared" si="5"/>
        <v>6</v>
      </c>
      <c r="U61" s="176">
        <f t="shared" si="0"/>
        <v>3</v>
      </c>
      <c r="V61" s="176">
        <f t="shared" si="1"/>
        <v>5</v>
      </c>
      <c r="W61" s="177">
        <f t="shared" si="2"/>
        <v>1</v>
      </c>
      <c r="X61" s="3" t="str">
        <f>IF(VLOOKUP($C61,'All Girls &amp; Descendants - Edit'!$C$2:$AK$440,'All Girls &amp; Descendants - Edit'!X$1,FALSE)=""," - ",(VLOOKUP($C61,'All Girls &amp; Descendants - Edit'!$C$2:$AK$440,'All Girls &amp; Descendants - Edit'!X$1,FALSE)))</f>
        <v xml:space="preserve"> - </v>
      </c>
      <c r="Y61" s="3" t="str">
        <f>IF(VLOOKUP($C61,'All Girls &amp; Descendants - Edit'!$C$2:$AK$440,'All Girls &amp; Descendants - Edit'!Y$1,FALSE)=""," - ",(VLOOKUP($C61,'All Girls &amp; Descendants - Edit'!$C$2:$AK$440,'All Girls &amp; Descendants - Edit'!Y$1,FALSE)))</f>
        <v xml:space="preserve"> - </v>
      </c>
      <c r="Z61" s="3" t="str">
        <f>IF(VLOOKUP($C61,'All Girls &amp; Descendants - Edit'!$C$2:$AK$440,'All Girls &amp; Descendants - Edit'!Z$1,FALSE)=""," - ",(VLOOKUP($C61,'All Girls &amp; Descendants - Edit'!$C$2:$AK$440,'All Girls &amp; Descendants - Edit'!Z$1,FALSE)))</f>
        <v xml:space="preserve">Iona  of 70 Morrison Street, London SW11.  Educated Lawnside, Malvern. Secretary to the Rt Hon Jeremy Thorpe MP. Manageress, Tiger Tops Hotel, Nepal 1981-82. Travel industry 1983-89. Public relations 1989-91. Press Officer, Spink &amp; Sons 1991-98. MD Iona PR from 1998 for artists, galleries and exhibitions. </v>
      </c>
      <c r="AA61" s="101">
        <f>IF(VLOOKUP($C61,'All Girls &amp; Descendants - Edit'!$C$2:$AK$440,'All Girls &amp; Descendants - Edit'!AA$1,FALSE)=""," - ",(VLOOKUP($C61,'All Girls &amp; Descendants - Edit'!$C$2:$AK$440,'All Girls &amp; Descendants - Edit'!AA$1,FALSE)))</f>
        <v>224</v>
      </c>
      <c r="AB61" s="101">
        <f>IF(VLOOKUP($C61,'All Girls &amp; Descendants - Edit'!$C$2:$AK$440,'All Girls &amp; Descendants - Edit'!AB$1,FALSE)=""," - ",(VLOOKUP($C61,'All Girls &amp; Descendants - Edit'!$C$2:$AK$440,'All Girls &amp; Descendants - Edit'!AB$1,FALSE)))</f>
        <v>60</v>
      </c>
      <c r="AC61" s="101">
        <f>IF(VLOOKUP($C61,'All Girls &amp; Descendants - Edit'!$C$2:$AK$440,'All Girls &amp; Descendants - Edit'!AC$1,FALSE)=""," - ",(VLOOKUP($C61,'All Girls &amp; Descendants - Edit'!$C$2:$AK$440,'All Girls &amp; Descendants - Edit'!AC$1,FALSE)))</f>
        <v>1060</v>
      </c>
      <c r="AD61" s="3" t="str">
        <f>IF(VLOOKUP($C61,'All Girls &amp; Descendants - Edit'!$C$2:$AK$440,'All Girls &amp; Descendants - Edit'!AD$1,FALSE)=""," - ",(VLOOKUP($C61,'All Girls &amp; Descendants - Edit'!$C$2:$AK$440,'All Girls &amp; Descendants - Edit'!AD$1,FALSE)))</f>
        <v>97b</v>
      </c>
      <c r="AE61" s="3" t="str">
        <f>IF(VLOOKUP($C61,'All Girls &amp; Descendants - Edit'!$C$2:$AK$440,'All Girls &amp; Descendants - Edit'!AE$1,FALSE)=""," - ",(VLOOKUP($C61,'All Girls &amp; Descendants - Edit'!$C$2:$AK$440,'All Girls &amp; Descendants - Edit'!AE$1,FALSE)))</f>
        <v>Iona Marian  SALE (1954 - )</v>
      </c>
      <c r="AF61" s="3" t="str">
        <f>IF(VLOOKUP($C61,'All Girls &amp; Descendants - Edit'!$C$2:$AK$440,'All Girls &amp; Descendants - Edit'!AF$1,FALSE)=""," - ",(VLOOKUP($C61,'All Girls &amp; Descendants - Edit'!$C$2:$AK$440,'All Girls &amp; Descendants - Edit'!AF$1,FALSE)))</f>
        <v>Iona SALE (6th &amp; 97)</v>
      </c>
      <c r="AG61" s="3" t="str">
        <f>IF(VLOOKUP($C61,'All Girls &amp; Descendants - Edit'!$C$2:$AK$440,'All Girls &amp; Descendants - Edit'!AG$1,FALSE)=""," - ",(VLOOKUP($C61,'All Girls &amp; Descendants - Edit'!$C$2:$AK$440,'All Girls &amp; Descendants - Edit'!AG$1,FALSE)))</f>
        <v>Female</v>
      </c>
      <c r="AH61" s="3" t="str">
        <f>IF(VLOOKUP($C61,'All Girls &amp; Descendants - Edit'!$C$2:$AK$440,'All Girls &amp; Descendants - Edit'!AH$1,FALSE)=""," - ",(VLOOKUP($C61,'All Girls &amp; Descendants - Edit'!$C$2:$AK$440,'All Girls &amp; Descendants - Edit'!AH$1,FALSE)))</f>
        <v>6th</v>
      </c>
      <c r="AI61" s="3" t="str">
        <f>IF(VLOOKUP($C61,'All Girls &amp; Descendants - Edit'!$C$2:$AK$440,'All Girls &amp; Descendants - Edit'!AI$1,FALSE)=""," - ",(VLOOKUP($C61,'All Girls &amp; Descendants - Edit'!$C$2:$AK$440,'All Girls &amp; Descendants - Edit'!AI$1,FALSE)))</f>
        <v>Unmarried</v>
      </c>
      <c r="AJ61" s="3" t="str">
        <f>IF(VLOOKUP($C61,'All Girls &amp; Descendants - Edit'!$C$2:$AK$440,'All Girls &amp; Descendants - Edit'!AJ$1,FALSE)=""," - ",(VLOOKUP($C61,'All Girls &amp; Descendants - Edit'!$C$2:$AK$440,'All Girls &amp; Descendants - Edit'!AJ$1,FALSE)))</f>
        <v xml:space="preserve">Female. b. 22/03/1954 Iona  of 70 Morrison Street, London SW11.  Educated Lawnside, Malvern. Secretary to the Rt Hon Jeremy Thorpe MP. Manageress, Tiger Tops Hotel, Nepal 1981-82. Travel industry 1983-89. Public relations 1989-91. Press Officer, Spink &amp; Sons 1991-98. MD Iona PR from 1998 for artists, galleries and exhibitions. </v>
      </c>
      <c r="AK61" s="3" t="str">
        <f>IF(VLOOKUP($C61,'All Girls &amp; Descendants - Edit'!$C$2:$AK$440,'All Girls &amp; Descendants - Edit'!AK$1,FALSE)=""," - ",(VLOOKUP($C61,'All Girls &amp; Descendants - Edit'!$C$2:$AK$440,'All Girls &amp; Descendants - Edit'!AK$1,FALSE)))</f>
        <v>b. 22/03/1954</v>
      </c>
      <c r="AO61" s="1"/>
      <c r="AS61" s="72">
        <v>147</v>
      </c>
      <c r="BB61">
        <v>1</v>
      </c>
      <c r="BH61">
        <v>1</v>
      </c>
      <c r="BI61">
        <v>1</v>
      </c>
    </row>
    <row r="62" spans="1:61" ht="19">
      <c r="A62">
        <f>VLOOKUP(B62,'Loyd List 1-190 - Edit'!$P$1:$R$219,3,FALSE)</f>
        <v>53</v>
      </c>
      <c r="B62">
        <f>'All Girls &amp; Descendants - Edit'!B63</f>
        <v>97</v>
      </c>
      <c r="C62" s="98" t="str">
        <f>'All Girls &amp; Descendants - Edit'!C63</f>
        <v>97c</v>
      </c>
      <c r="D62" s="2" t="str">
        <f>'All Girls &amp; Descendants - Edit'!D63</f>
        <v>SALE</v>
      </c>
      <c r="E62" t="str">
        <f>'All Girls &amp; Descendants - Edit'!E63</f>
        <v>Charles</v>
      </c>
      <c r="F62" t="str">
        <f>IF('All Girls &amp; Descendants - Edit'!F63="","",'All Girls &amp; Descendants - Edit'!F63)</f>
        <v>Robert</v>
      </c>
      <c r="G62" t="str">
        <f>IF('All Girls &amp; Descendants - Edit'!G63="","",'All Girls &amp; Descendants - Edit'!G63)</f>
        <v/>
      </c>
      <c r="H62" t="str">
        <f>IF('All Girls &amp; Descendants - Edit'!H63="","",'All Girls &amp; Descendants - Edit'!H63)</f>
        <v/>
      </c>
      <c r="I62">
        <f>VLOOKUP($C62,'All Girls &amp; Descendants - Edit'!$C$2:$AK$440,'All Girls &amp; Descendants - Edit'!I$1,FALSE)</f>
        <v>1956</v>
      </c>
      <c r="J62">
        <f>VLOOKUP($C62,'All Girls &amp; Descendants - Edit'!$C$2:$AK$440,'All Girls &amp; Descendants - Edit'!J$1,FALSE)</f>
        <v>1957</v>
      </c>
      <c r="K62" s="9"/>
      <c r="L62" t="str">
        <f t="shared" si="9"/>
        <v>12/09/1956</v>
      </c>
      <c r="M62" s="3">
        <f>VLOOKUP($C62,'All Girls &amp; Descendants - Edit'!$C$2:$AK$440,'All Girls &amp; Descendants - Edit'!M$1,FALSE)</f>
        <v>20710</v>
      </c>
      <c r="N62" s="3" t="str">
        <f>IF(VLOOKUP($C62,'All Girls &amp; Descendants - Edit'!$C$2:$AK$440,'All Girls &amp; Descendants - Edit'!N$1,FALSE)=""," - ",(VLOOKUP($C62,'All Girls &amp; Descendants - Edit'!$C$2:$AK$440,'All Girls &amp; Descendants - Edit'!N$1,FALSE)))</f>
        <v xml:space="preserve"> - </v>
      </c>
      <c r="O62" s="3">
        <f>IF(VLOOKUP($C62,'All Girls &amp; Descendants - Edit'!$C$2:$AK$440,'All Girls &amp; Descendants - Edit'!O$1,FALSE)="","",(VLOOKUP($C62,'All Girls &amp; Descendants - Edit'!$C$2:$AK$440,'All Girls &amp; Descendants - Edit'!O$1,FALSE)))</f>
        <v>21047</v>
      </c>
      <c r="P62" s="3" t="str">
        <f t="shared" si="3"/>
        <v>15/08/1957</v>
      </c>
      <c r="Q62" s="178" t="str">
        <f t="shared" si="4"/>
        <v>97</v>
      </c>
      <c r="R62" s="23"/>
      <c r="S62" t="str">
        <f>VLOOKUP($C62,'All Girls &amp; Descendants - Edit'!$C$2:$AK$440,'All Girls &amp; Descendants - Edit'!S$1,FALSE)</f>
        <v>Male</v>
      </c>
      <c r="T62" s="176">
        <f t="shared" si="5"/>
        <v>6</v>
      </c>
      <c r="U62" s="176">
        <f t="shared" si="0"/>
        <v>3</v>
      </c>
      <c r="V62" s="176">
        <f t="shared" si="1"/>
        <v>5</v>
      </c>
      <c r="W62" s="177">
        <f t="shared" si="2"/>
        <v>1</v>
      </c>
      <c r="X62" s="3" t="str">
        <f>IF(VLOOKUP($C62,'All Girls &amp; Descendants - Edit'!$C$2:$AK$440,'All Girls &amp; Descendants - Edit'!X$1,FALSE)=""," - ",(VLOOKUP($C62,'All Girls &amp; Descendants - Edit'!$C$2:$AK$440,'All Girls &amp; Descendants - Edit'!X$1,FALSE)))</f>
        <v xml:space="preserve"> - </v>
      </c>
      <c r="Y62" s="3" t="str">
        <f>IF(VLOOKUP($C62,'All Girls &amp; Descendants - Edit'!$C$2:$AK$440,'All Girls &amp; Descendants - Edit'!Y$1,FALSE)=""," - ",(VLOOKUP($C62,'All Girls &amp; Descendants - Edit'!$C$2:$AK$440,'All Girls &amp; Descendants - Edit'!Y$1,FALSE)))</f>
        <v xml:space="preserve"> - </v>
      </c>
      <c r="Z62" s="3" t="str">
        <f>IF(VLOOKUP($C62,'All Girls &amp; Descendants - Edit'!$C$2:$AK$440,'All Girls &amp; Descendants - Edit'!Z$1,FALSE)=""," - ",(VLOOKUP($C62,'All Girls &amp; Descendants - Edit'!$C$2:$AK$440,'All Girls &amp; Descendants - Edit'!Z$1,FALSE)))</f>
        <v>Born 12 Sep 1956, died 15 Aug 1957.</v>
      </c>
      <c r="AA62" s="101">
        <f>IF(VLOOKUP($C62,'All Girls &amp; Descendants - Edit'!$C$2:$AK$440,'All Girls &amp; Descendants - Edit'!AA$1,FALSE)=""," - ",(VLOOKUP($C62,'All Girls &amp; Descendants - Edit'!$C$2:$AK$440,'All Girls &amp; Descendants - Edit'!AA$1,FALSE)))</f>
        <v>225</v>
      </c>
      <c r="AB62" s="101">
        <f>IF(VLOOKUP($C62,'All Girls &amp; Descendants - Edit'!$C$2:$AK$440,'All Girls &amp; Descendants - Edit'!AB$1,FALSE)=""," - ",(VLOOKUP($C62,'All Girls &amp; Descendants - Edit'!$C$2:$AK$440,'All Girls &amp; Descendants - Edit'!AB$1,FALSE)))</f>
        <v>61</v>
      </c>
      <c r="AC62" s="101">
        <f>IF(VLOOKUP($C62,'All Girls &amp; Descendants - Edit'!$C$2:$AK$440,'All Girls &amp; Descendants - Edit'!AC$1,FALSE)=""," - ",(VLOOKUP($C62,'All Girls &amp; Descendants - Edit'!$C$2:$AK$440,'All Girls &amp; Descendants - Edit'!AC$1,FALSE)))</f>
        <v>1061</v>
      </c>
      <c r="AD62" s="3" t="str">
        <f>IF(VLOOKUP($C62,'All Girls &amp; Descendants - Edit'!$C$2:$AK$440,'All Girls &amp; Descendants - Edit'!AD$1,FALSE)=""," - ",(VLOOKUP($C62,'All Girls &amp; Descendants - Edit'!$C$2:$AK$440,'All Girls &amp; Descendants - Edit'!AD$1,FALSE)))</f>
        <v>97c</v>
      </c>
      <c r="AE62" s="3" t="str">
        <f>IF(VLOOKUP($C62,'All Girls &amp; Descendants - Edit'!$C$2:$AK$440,'All Girls &amp; Descendants - Edit'!AE$1,FALSE)=""," - ",(VLOOKUP($C62,'All Girls &amp; Descendants - Edit'!$C$2:$AK$440,'All Girls &amp; Descendants - Edit'!AE$1,FALSE)))</f>
        <v>Charles Robert  SALE (1956 - 1957)</v>
      </c>
      <c r="AF62" s="3" t="str">
        <f>IF(VLOOKUP($C62,'All Girls &amp; Descendants - Edit'!$C$2:$AK$440,'All Girls &amp; Descendants - Edit'!AF$1,FALSE)=""," - ",(VLOOKUP($C62,'All Girls &amp; Descendants - Edit'!$C$2:$AK$440,'All Girls &amp; Descendants - Edit'!AF$1,FALSE)))</f>
        <v>Charles SALE (6th &amp; 97)</v>
      </c>
      <c r="AG62" s="3" t="str">
        <f>IF(VLOOKUP($C62,'All Girls &amp; Descendants - Edit'!$C$2:$AK$440,'All Girls &amp; Descendants - Edit'!AG$1,FALSE)=""," - ",(VLOOKUP($C62,'All Girls &amp; Descendants - Edit'!$C$2:$AK$440,'All Girls &amp; Descendants - Edit'!AG$1,FALSE)))</f>
        <v>Male</v>
      </c>
      <c r="AH62" s="3" t="str">
        <f>IF(VLOOKUP($C62,'All Girls &amp; Descendants - Edit'!$C$2:$AK$440,'All Girls &amp; Descendants - Edit'!AH$1,FALSE)=""," - ",(VLOOKUP($C62,'All Girls &amp; Descendants - Edit'!$C$2:$AK$440,'All Girls &amp; Descendants - Edit'!AH$1,FALSE)))</f>
        <v>6th</v>
      </c>
      <c r="AI62" s="3" t="str">
        <f>IF(VLOOKUP($C62,'All Girls &amp; Descendants - Edit'!$C$2:$AK$440,'All Girls &amp; Descendants - Edit'!AI$1,FALSE)=""," - ",(VLOOKUP($C62,'All Girls &amp; Descendants - Edit'!$C$2:$AK$440,'All Girls &amp; Descendants - Edit'!AI$1,FALSE)))</f>
        <v>Unmarried</v>
      </c>
      <c r="AJ62" s="3" t="str">
        <f>IF(VLOOKUP($C62,'All Girls &amp; Descendants - Edit'!$C$2:$AK$440,'All Girls &amp; Descendants - Edit'!AJ$1,FALSE)=""," - ",(VLOOKUP($C62,'All Girls &amp; Descendants - Edit'!$C$2:$AK$440,'All Girls &amp; Descendants - Edit'!AJ$1,FALSE)))</f>
        <v>Male. b. 12/09/1956, d. 15/08/1957. Born 12 Sep 1956, died 15 Aug 1957.</v>
      </c>
      <c r="AK62" s="3" t="str">
        <f>IF(VLOOKUP($C62,'All Girls &amp; Descendants - Edit'!$C$2:$AK$440,'All Girls &amp; Descendants - Edit'!AK$1,FALSE)=""," - ",(VLOOKUP($C62,'All Girls &amp; Descendants - Edit'!$C$2:$AK$440,'All Girls &amp; Descendants - Edit'!AK$1,FALSE)))</f>
        <v>b. 12/09/1956, d. 15/08/1957.</v>
      </c>
      <c r="AO62" s="1"/>
      <c r="AS62" s="72">
        <v>151</v>
      </c>
      <c r="BB62">
        <v>1</v>
      </c>
      <c r="BH62">
        <v>1</v>
      </c>
      <c r="BI62">
        <v>1</v>
      </c>
    </row>
    <row r="63" spans="1:61" ht="19">
      <c r="A63">
        <f>VLOOKUP(B63,'Loyd List 1-190 - Edit'!$P$1:$R$219,3,FALSE)</f>
        <v>53</v>
      </c>
      <c r="B63">
        <f>'All Girls &amp; Descendants - Edit'!B64</f>
        <v>97</v>
      </c>
      <c r="C63" s="98" t="str">
        <f>'All Girls &amp; Descendants - Edit'!C64</f>
        <v>97d</v>
      </c>
      <c r="D63" s="2" t="str">
        <f>'All Girls &amp; Descendants - Edit'!D64</f>
        <v>SALE</v>
      </c>
      <c r="E63" t="str">
        <f>'All Girls &amp; Descendants - Edit'!E64</f>
        <v>Roderick</v>
      </c>
      <c r="F63" t="str">
        <f>IF('All Girls &amp; Descendants - Edit'!F64="","",'All Girls &amp; Descendants - Edit'!F64)</f>
        <v>Peter</v>
      </c>
      <c r="G63" t="str">
        <f>IF('All Girls &amp; Descendants - Edit'!G64="","",'All Girls &amp; Descendants - Edit'!G64)</f>
        <v>Abell</v>
      </c>
      <c r="H63" t="str">
        <f>IF('All Girls &amp; Descendants - Edit'!H64="","",'All Girls &amp; Descendants - Edit'!H64)</f>
        <v>Roddy</v>
      </c>
      <c r="I63">
        <f>VLOOKUP($C63,'All Girls &amp; Descendants - Edit'!$C$2:$AK$440,'All Girls &amp; Descendants - Edit'!I$1,FALSE)</f>
        <v>1959</v>
      </c>
      <c r="J63" t="str">
        <f>VLOOKUP($C63,'All Girls &amp; Descendants - Edit'!$C$2:$AK$440,'All Girls &amp; Descendants - Edit'!J$1,FALSE)</f>
        <v/>
      </c>
      <c r="K63" s="9"/>
      <c r="L63" t="str">
        <f t="shared" si="9"/>
        <v>14/04/1959</v>
      </c>
      <c r="M63" s="3">
        <f>VLOOKUP($C63,'All Girls &amp; Descendants - Edit'!$C$2:$AK$440,'All Girls &amp; Descendants - Edit'!M$1,FALSE)</f>
        <v>21654</v>
      </c>
      <c r="N63" s="3" t="str">
        <f>IF(VLOOKUP($C63,'All Girls &amp; Descendants - Edit'!$C$2:$AK$440,'All Girls &amp; Descendants - Edit'!N$1,FALSE)=""," - ",(VLOOKUP($C63,'All Girls &amp; Descendants - Edit'!$C$2:$AK$440,'All Girls &amp; Descendants - Edit'!N$1,FALSE)))</f>
        <v xml:space="preserve"> - </v>
      </c>
      <c r="O63" s="3" t="str">
        <f>IF(VLOOKUP($C63,'All Girls &amp; Descendants - Edit'!$C$2:$AK$440,'All Girls &amp; Descendants - Edit'!O$1,FALSE)="","",(VLOOKUP($C63,'All Girls &amp; Descendants - Edit'!$C$2:$AK$440,'All Girls &amp; Descendants - Edit'!O$1,FALSE)))</f>
        <v/>
      </c>
      <c r="P63" s="3" t="str">
        <f t="shared" si="3"/>
        <v/>
      </c>
      <c r="Q63" s="178" t="str">
        <f t="shared" si="4"/>
        <v>97</v>
      </c>
      <c r="R63" s="23"/>
      <c r="S63" t="str">
        <f>VLOOKUP($C63,'All Girls &amp; Descendants - Edit'!$C$2:$AK$440,'All Girls &amp; Descendants - Edit'!S$1,FALSE)</f>
        <v>Male</v>
      </c>
      <c r="T63" s="176">
        <f t="shared" si="5"/>
        <v>6</v>
      </c>
      <c r="U63" s="176">
        <f t="shared" si="0"/>
        <v>3</v>
      </c>
      <c r="V63" s="176">
        <f t="shared" si="1"/>
        <v>5</v>
      </c>
      <c r="W63" s="177">
        <f t="shared" si="2"/>
        <v>1</v>
      </c>
      <c r="X63" s="3" t="str">
        <f>IF(VLOOKUP($C63,'All Girls &amp; Descendants - Edit'!$C$2:$AK$440,'All Girls &amp; Descendants - Edit'!X$1,FALSE)=""," - ",(VLOOKUP($C63,'All Girls &amp; Descendants - Edit'!$C$2:$AK$440,'All Girls &amp; Descendants - Edit'!X$1,FALSE)))</f>
        <v xml:space="preserve"> - </v>
      </c>
      <c r="Y63" s="3" t="str">
        <f>IF(VLOOKUP($C63,'All Girls &amp; Descendants - Edit'!$C$2:$AK$440,'All Girls &amp; Descendants - Edit'!Y$1,FALSE)=""," - ",(VLOOKUP($C63,'All Girls &amp; Descendants - Edit'!$C$2:$AK$440,'All Girls &amp; Descendants - Edit'!Y$1,FALSE)))</f>
        <v xml:space="preserve"> - </v>
      </c>
      <c r="Z63" s="3" t="str">
        <f>IF(VLOOKUP($C63,'All Girls &amp; Descendants - Edit'!$C$2:$AK$440,'All Girls &amp; Descendants - Edit'!Z$1,FALSE)=""," - ",(VLOOKUP($C63,'All Girls &amp; Descendants - Edit'!$C$2:$AK$440,'All Girls &amp; Descendants - Edit'!Z$1,FALSE)))</f>
        <v>Roddy lives in Gloucestershire. Educated Eton 1972-77. Commissioned Welsh Guards 1979. Served Northern Ireland 1979-80. Falklands Islands (Operation Corporate) 1982, 2nd in Command Support Company. Regimental Signals Officer 1982-84. Captain Jan 1985. OC HQ Company 1985. OC Household Division Centralised Courses, Guards Depot 1985. OC Guards Battle Camp, Thetford 1986. Transferred to Regular Army Reserve of Officers 1987. Merrill Lynch Capital Markets 1987-90. Robert Fleming &amp; Co from 1990. Seconded Jardine Fleming from 1993. Head of Investment Banking and Director, Jardine Fleming, India from 1997 to 2002. Consultant in India 2003-2019 Markets. Comd Ven Order of St John 1998. Patron, No. III Maharashtra District, India, St John Ambulance 1997. Head of  Investment Banking and Director of Jardine Fleming, Chase, JP Morgan until 2002. Council Member Royal Commonwealth Ex Services League.  Chairman Ex Services Association Bombay. Co-Owner Ray of Light, winner of Poona Derby 2000. Patron of elephant polo team Bombay Light Horse 2003, 2004. Refounded Old Etonian Association of Indian Sub-Continent - 1998. Publisher of Lord Curzon Speeches in India - 2006. Has safe keeping of old Welsh Bible with entries about LLOYD family in Carmarthenshire in 18th Century and other old family papers, and the blunderbuss belonging to Edward LOYD (1780-1863) for use by his coachman if attacked on the turnpikes. Roddy has Loyd deeds relating to bank and a school grammar book of Latin syntax owned by Edward (1780—1863: #8).</v>
      </c>
      <c r="AA63" s="101">
        <f>IF(VLOOKUP($C63,'All Girls &amp; Descendants - Edit'!$C$2:$AK$440,'All Girls &amp; Descendants - Edit'!AA$1,FALSE)=""," - ",(VLOOKUP($C63,'All Girls &amp; Descendants - Edit'!$C$2:$AK$440,'All Girls &amp; Descendants - Edit'!AA$1,FALSE)))</f>
        <v>226</v>
      </c>
      <c r="AB63" s="101">
        <f>IF(VLOOKUP($C63,'All Girls &amp; Descendants - Edit'!$C$2:$AK$440,'All Girls &amp; Descendants - Edit'!AB$1,FALSE)=""," - ",(VLOOKUP($C63,'All Girls &amp; Descendants - Edit'!$C$2:$AK$440,'All Girls &amp; Descendants - Edit'!AB$1,FALSE)))</f>
        <v>62</v>
      </c>
      <c r="AC63" s="101">
        <f>IF(VLOOKUP($C63,'All Girls &amp; Descendants - Edit'!$C$2:$AK$440,'All Girls &amp; Descendants - Edit'!AC$1,FALSE)=""," - ",(VLOOKUP($C63,'All Girls &amp; Descendants - Edit'!$C$2:$AK$440,'All Girls &amp; Descendants - Edit'!AC$1,FALSE)))</f>
        <v>1062</v>
      </c>
      <c r="AD63" s="3" t="str">
        <f>IF(VLOOKUP($C63,'All Girls &amp; Descendants - Edit'!$C$2:$AK$440,'All Girls &amp; Descendants - Edit'!AD$1,FALSE)=""," - ",(VLOOKUP($C63,'All Girls &amp; Descendants - Edit'!$C$2:$AK$440,'All Girls &amp; Descendants - Edit'!AD$1,FALSE)))</f>
        <v>97d</v>
      </c>
      <c r="AE63" s="3" t="str">
        <f>IF(VLOOKUP($C63,'All Girls &amp; Descendants - Edit'!$C$2:$AK$440,'All Girls &amp; Descendants - Edit'!AE$1,FALSE)=""," - ",(VLOOKUP($C63,'All Girls &amp; Descendants - Edit'!$C$2:$AK$440,'All Girls &amp; Descendants - Edit'!AE$1,FALSE)))</f>
        <v>Roderick Peter Abell SALE (1959 - )</v>
      </c>
      <c r="AF63" s="3" t="str">
        <f>IF(VLOOKUP($C63,'All Girls &amp; Descendants - Edit'!$C$2:$AK$440,'All Girls &amp; Descendants - Edit'!AF$1,FALSE)=""," - ",(VLOOKUP($C63,'All Girls &amp; Descendants - Edit'!$C$2:$AK$440,'All Girls &amp; Descendants - Edit'!AF$1,FALSE)))</f>
        <v>Roddy SALE (6th &amp; 97)</v>
      </c>
      <c r="AG63" s="3" t="str">
        <f>IF(VLOOKUP($C63,'All Girls &amp; Descendants - Edit'!$C$2:$AK$440,'All Girls &amp; Descendants - Edit'!AG$1,FALSE)=""," - ",(VLOOKUP($C63,'All Girls &amp; Descendants - Edit'!$C$2:$AK$440,'All Girls &amp; Descendants - Edit'!AG$1,FALSE)))</f>
        <v>Male</v>
      </c>
      <c r="AH63" s="3" t="str">
        <f>IF(VLOOKUP($C63,'All Girls &amp; Descendants - Edit'!$C$2:$AK$440,'All Girls &amp; Descendants - Edit'!AH$1,FALSE)=""," - ",(VLOOKUP($C63,'All Girls &amp; Descendants - Edit'!$C$2:$AK$440,'All Girls &amp; Descendants - Edit'!AH$1,FALSE)))</f>
        <v>6th</v>
      </c>
      <c r="AI63" s="3" t="str">
        <f>IF(VLOOKUP($C63,'All Girls &amp; Descendants - Edit'!$C$2:$AK$440,'All Girls &amp; Descendants - Edit'!AI$1,FALSE)=""," - ",(VLOOKUP($C63,'All Girls &amp; Descendants - Edit'!$C$2:$AK$440,'All Girls &amp; Descendants - Edit'!AI$1,FALSE)))</f>
        <v>Unmarried</v>
      </c>
      <c r="AJ63" s="3" t="str">
        <f>IF(VLOOKUP($C63,'All Girls &amp; Descendants - Edit'!$C$2:$AK$440,'All Girls &amp; Descendants - Edit'!AJ$1,FALSE)=""," - ",(VLOOKUP($C63,'All Girls &amp; Descendants - Edit'!$C$2:$AK$440,'All Girls &amp; Descendants - Edit'!AJ$1,FALSE)))</f>
        <v>Male. b. 14/04/1959 Roddy lives in Gloucestershire. Educated Eton 1972-77. Commissioned Welsh Guards 1979. Served Northern Ireland 1979-80. Falklands Islands (Operation Corporate) 1982, 2nd in Command Support Company. Regimental Signals Officer 1982-84. Captain Jan 1985. OC HQ Company 1985. OC Household Division Centralised Courses, Guards Depot 1985. OC Guards Battle Camp, Thetford 1986. Transferred to Regular Army Reserve of Officers 1987. Merrill Lynch Capital Markets 1987-90. Robert Fleming &amp; Co from 1990. Seconded Jardine Fleming from 1993. Head of Investment Banking and Director, Jardine Fleming, India from 1997 to 2002. Consultant in India 2003-2019 Markets. Comd Ven Order of St John 1998. Patron, No. III Maharashtra District, India, St John Ambulance 1997. Head of  Investment Banking and Director of Jardine Fleming, Chase, JP Morgan until 2002. Council Member Royal Commonwealth Ex Services League.  Chairman Ex Services Association Bombay. Co-Owner Ray of Light, winner of Poona Derby 2000. Patron of elephant polo team Bombay Light Horse 2003, 2004. Refounded Old Etonian Association of Indian Sub-Continent - 1998. Publisher of Lord Curzon Speeches in India - 2006. Has safe keeping of old Welsh Bible with entries about LLOYD family in Carmarthenshire in 18th Century and other old family papers, and the blunderbuss belonging to Edward LOYD (1780-1863) for use by his coachman if attacked on the turnpikes. Roddy has Loyd deeds relating to bank and a school grammar book of Latin syntax owned by Edward (1780—1863: #8).</v>
      </c>
      <c r="AK63" s="3" t="str">
        <f>IF(VLOOKUP($C63,'All Girls &amp; Descendants - Edit'!$C$2:$AK$440,'All Girls &amp; Descendants - Edit'!AK$1,FALSE)=""," - ",(VLOOKUP($C63,'All Girls &amp; Descendants - Edit'!$C$2:$AK$440,'All Girls &amp; Descendants - Edit'!AK$1,FALSE)))</f>
        <v>b. 14/04/1959</v>
      </c>
      <c r="AS63" s="72">
        <v>152</v>
      </c>
      <c r="BA63">
        <v>1</v>
      </c>
      <c r="BB63">
        <v>1</v>
      </c>
      <c r="BH63">
        <v>2</v>
      </c>
      <c r="BI63">
        <v>2</v>
      </c>
    </row>
    <row r="64" spans="1:61" ht="19">
      <c r="A64">
        <f>VLOOKUP(B64,'Loyd List 1-190 - Edit'!$P$1:$R$219,3,FALSE)</f>
        <v>53</v>
      </c>
      <c r="B64">
        <f>'All Girls &amp; Descendants - Edit'!B65</f>
        <v>97</v>
      </c>
      <c r="C64" s="98" t="str">
        <f>'All Girls &amp; Descendants - Edit'!C65</f>
        <v>97e</v>
      </c>
      <c r="D64" s="2" t="str">
        <f>'All Girls &amp; Descendants - Edit'!D65</f>
        <v>SALE</v>
      </c>
      <c r="E64" t="str">
        <f>'All Girls &amp; Descendants - Edit'!E65</f>
        <v>Edward</v>
      </c>
      <c r="F64" t="str">
        <f>IF('All Girls &amp; Descendants - Edit'!F65="","",'All Girls &amp; Descendants - Edit'!F65)</f>
        <v>John</v>
      </c>
      <c r="G64" t="str">
        <f>IF('All Girls &amp; Descendants - Edit'!G65="","",'All Girls &amp; Descendants - Edit'!G65)</f>
        <v>Andrew</v>
      </c>
      <c r="H64" t="str">
        <f>IF('All Girls &amp; Descendants - Edit'!H65="","",'All Girls &amp; Descendants - Edit'!H65)</f>
        <v/>
      </c>
      <c r="I64">
        <f>VLOOKUP($C64,'All Girls &amp; Descendants - Edit'!$C$2:$AK$440,'All Girls &amp; Descendants - Edit'!I$1,FALSE)</f>
        <v>1963</v>
      </c>
      <c r="J64" t="str">
        <f>VLOOKUP($C64,'All Girls &amp; Descendants - Edit'!$C$2:$AK$440,'All Girls &amp; Descendants - Edit'!J$1,FALSE)</f>
        <v/>
      </c>
      <c r="K64" s="9"/>
      <c r="L64" t="str">
        <f t="shared" si="9"/>
        <v>02/10/1963</v>
      </c>
      <c r="M64" s="3">
        <f>VLOOKUP($C64,'All Girls &amp; Descendants - Edit'!$C$2:$AK$440,'All Girls &amp; Descendants - Edit'!M$1,FALSE)</f>
        <v>23286</v>
      </c>
      <c r="N64" s="3" t="str">
        <f>IF(VLOOKUP($C64,'All Girls &amp; Descendants - Edit'!$C$2:$AK$440,'All Girls &amp; Descendants - Edit'!N$1,FALSE)=""," - ",(VLOOKUP($C64,'All Girls &amp; Descendants - Edit'!$C$2:$AK$440,'All Girls &amp; Descendants - Edit'!N$1,FALSE)))</f>
        <v xml:space="preserve"> - </v>
      </c>
      <c r="O64" s="3" t="str">
        <f>IF(VLOOKUP($C64,'All Girls &amp; Descendants - Edit'!$C$2:$AK$440,'All Girls &amp; Descendants - Edit'!O$1,FALSE)="","",(VLOOKUP($C64,'All Girls &amp; Descendants - Edit'!$C$2:$AK$440,'All Girls &amp; Descendants - Edit'!O$1,FALSE)))</f>
        <v/>
      </c>
      <c r="P64" s="3" t="str">
        <f t="shared" si="3"/>
        <v/>
      </c>
      <c r="Q64" s="178" t="str">
        <f t="shared" si="4"/>
        <v>97</v>
      </c>
      <c r="R64" s="23"/>
      <c r="S64" t="str">
        <f>VLOOKUP($C64,'All Girls &amp; Descendants - Edit'!$C$2:$AK$440,'All Girls &amp; Descendants - Edit'!S$1,FALSE)</f>
        <v>Male</v>
      </c>
      <c r="T64" s="176">
        <f t="shared" si="5"/>
        <v>6</v>
      </c>
      <c r="U64" s="176">
        <f t="shared" si="0"/>
        <v>3</v>
      </c>
      <c r="V64" s="176">
        <f t="shared" si="1"/>
        <v>5</v>
      </c>
      <c r="W64" s="177">
        <f t="shared" si="2"/>
        <v>1</v>
      </c>
      <c r="X64" s="3" t="str">
        <f>IF(VLOOKUP($C64,'All Girls &amp; Descendants - Edit'!$C$2:$AK$440,'All Girls &amp; Descendants - Edit'!X$1,FALSE)=""," - ",(VLOOKUP($C64,'All Girls &amp; Descendants - Edit'!$C$2:$AK$440,'All Girls &amp; Descendants - Edit'!X$1,FALSE)))</f>
        <v xml:space="preserve"> - </v>
      </c>
      <c r="Y64" s="3" t="str">
        <f>IF(VLOOKUP($C64,'All Girls &amp; Descendants - Edit'!$C$2:$AK$440,'All Girls &amp; Descendants - Edit'!Y$1,FALSE)=""," - ",(VLOOKUP($C64,'All Girls &amp; Descendants - Edit'!$C$2:$AK$440,'All Girls &amp; Descendants - Edit'!Y$1,FALSE)))</f>
        <v>m. 25 Feb 1995 at St Peter’s, Hook Norton, Oxfordshire, Hester Caroline (b. 27 Mar 1966) elder daughter of Angus IRVINE of Nil Farm, Hook Norton, Oxfordshire.</v>
      </c>
      <c r="Z64" s="3" t="str">
        <f>IF(VLOOKUP($C64,'All Girls &amp; Descendants - Edit'!$C$2:$AK$440,'All Girls &amp; Descendants - Edit'!Z$1,FALSE)=""," - ",(VLOOKUP($C64,'All Girls &amp; Descendants - Edit'!$C$2:$AK$440,'All Girls &amp; Descendants - Edit'!Z$1,FALSE)))</f>
        <v>Edward of Minehill House, Brailes, Banbury, OX15 5BJ. Educated Eton 1977-81. Royal Agricultural College, Cirencester 1983-5. ARCS 1987. Various property and financial services activities 1987-97. Stockbroker, Brewin Dolphin, Birmingham from 1998.</v>
      </c>
      <c r="AA64" s="101">
        <f>IF(VLOOKUP($C64,'All Girls &amp; Descendants - Edit'!$C$2:$AK$440,'All Girls &amp; Descendants - Edit'!AA$1,FALSE)=""," - ",(VLOOKUP($C64,'All Girls &amp; Descendants - Edit'!$C$2:$AK$440,'All Girls &amp; Descendants - Edit'!AA$1,FALSE)))</f>
        <v>227</v>
      </c>
      <c r="AB64" s="101">
        <f>IF(VLOOKUP($C64,'All Girls &amp; Descendants - Edit'!$C$2:$AK$440,'All Girls &amp; Descendants - Edit'!AB$1,FALSE)=""," - ",(VLOOKUP($C64,'All Girls &amp; Descendants - Edit'!$C$2:$AK$440,'All Girls &amp; Descendants - Edit'!AB$1,FALSE)))</f>
        <v>63</v>
      </c>
      <c r="AC64" s="101">
        <f>IF(VLOOKUP($C64,'All Girls &amp; Descendants - Edit'!$C$2:$AK$440,'All Girls &amp; Descendants - Edit'!AC$1,FALSE)=""," - ",(VLOOKUP($C64,'All Girls &amp; Descendants - Edit'!$C$2:$AK$440,'All Girls &amp; Descendants - Edit'!AC$1,FALSE)))</f>
        <v>1063</v>
      </c>
      <c r="AD64" s="3" t="str">
        <f>IF(VLOOKUP($C64,'All Girls &amp; Descendants - Edit'!$C$2:$AK$440,'All Girls &amp; Descendants - Edit'!AD$1,FALSE)=""," - ",(VLOOKUP($C64,'All Girls &amp; Descendants - Edit'!$C$2:$AK$440,'All Girls &amp; Descendants - Edit'!AD$1,FALSE)))</f>
        <v>97e</v>
      </c>
      <c r="AE64" s="3" t="str">
        <f>IF(VLOOKUP($C64,'All Girls &amp; Descendants - Edit'!$C$2:$AK$440,'All Girls &amp; Descendants - Edit'!AE$1,FALSE)=""," - ",(VLOOKUP($C64,'All Girls &amp; Descendants - Edit'!$C$2:$AK$440,'All Girls &amp; Descendants - Edit'!AE$1,FALSE)))</f>
        <v>Edward John Andrew SALE (1963 - )</v>
      </c>
      <c r="AF64" s="3" t="str">
        <f>IF(VLOOKUP($C64,'All Girls &amp; Descendants - Edit'!$C$2:$AK$440,'All Girls &amp; Descendants - Edit'!AF$1,FALSE)=""," - ",(VLOOKUP($C64,'All Girls &amp; Descendants - Edit'!$C$2:$AK$440,'All Girls &amp; Descendants - Edit'!AF$1,FALSE)))</f>
        <v>Edward SALE (6th &amp; 97)</v>
      </c>
      <c r="AG64" s="3" t="str">
        <f>IF(VLOOKUP($C64,'All Girls &amp; Descendants - Edit'!$C$2:$AK$440,'All Girls &amp; Descendants - Edit'!AG$1,FALSE)=""," - ",(VLOOKUP($C64,'All Girls &amp; Descendants - Edit'!$C$2:$AK$440,'All Girls &amp; Descendants - Edit'!AG$1,FALSE)))</f>
        <v>Male</v>
      </c>
      <c r="AH64" s="3" t="str">
        <f>IF(VLOOKUP($C64,'All Girls &amp; Descendants - Edit'!$C$2:$AK$440,'All Girls &amp; Descendants - Edit'!AH$1,FALSE)=""," - ",(VLOOKUP($C64,'All Girls &amp; Descendants - Edit'!$C$2:$AK$440,'All Girls &amp; Descendants - Edit'!AH$1,FALSE)))</f>
        <v>6th</v>
      </c>
      <c r="AI64" s="3" t="str">
        <f>IF(VLOOKUP($C64,'All Girls &amp; Descendants - Edit'!$C$2:$AK$440,'All Girls &amp; Descendants - Edit'!AI$1,FALSE)=""," - ",(VLOOKUP($C64,'All Girls &amp; Descendants - Edit'!$C$2:$AK$440,'All Girls &amp; Descendants - Edit'!AI$1,FALSE)))</f>
        <v>Unmarried</v>
      </c>
      <c r="AJ64" s="3" t="str">
        <f>IF(VLOOKUP($C64,'All Girls &amp; Descendants - Edit'!$C$2:$AK$440,'All Girls &amp; Descendants - Edit'!AJ$1,FALSE)=""," - ",(VLOOKUP($C64,'All Girls &amp; Descendants - Edit'!$C$2:$AK$440,'All Girls &amp; Descendants - Edit'!AJ$1,FALSE)))</f>
        <v>Male. b. 02/10/1963 Edward of Minehill House, Brailes, Banbury, OX15 5BJ. Educated Eton 1977-81. Royal Agricultural College, Cirencester 1983-5. ARCS 1987. Various property and financial services activities 1987-97. Stockbroker, Brewin Dolphin, Birmingham from 1998.</v>
      </c>
      <c r="AK64" s="3" t="str">
        <f>IF(VLOOKUP($C64,'All Girls &amp; Descendants - Edit'!$C$2:$AK$440,'All Girls &amp; Descendants - Edit'!AK$1,FALSE)=""," - ",(VLOOKUP($C64,'All Girls &amp; Descendants - Edit'!$C$2:$AK$440,'All Girls &amp; Descendants - Edit'!AK$1,FALSE)))</f>
        <v>b. 02/10/1963</v>
      </c>
      <c r="AS64" s="72">
        <v>154</v>
      </c>
      <c r="BB64">
        <v>1</v>
      </c>
      <c r="BH64">
        <v>1</v>
      </c>
      <c r="BI64">
        <v>1</v>
      </c>
    </row>
    <row r="65" spans="1:61" ht="19">
      <c r="A65">
        <f>VLOOKUP(B65,'Loyd List 1-190 - Edit'!$P$1:$R$219,3,FALSE)</f>
        <v>56</v>
      </c>
      <c r="B65">
        <f>'All Girls &amp; Descendants - Edit'!B66</f>
        <v>101</v>
      </c>
      <c r="C65" s="98" t="str">
        <f>'All Girls &amp; Descendants - Edit'!C66</f>
        <v>101a</v>
      </c>
      <c r="D65" s="2" t="str">
        <f>'All Girls &amp; Descendants - Edit'!D66</f>
        <v>MEADE</v>
      </c>
      <c r="E65" t="str">
        <f>'All Girls &amp; Descendants - Edit'!E66</f>
        <v>Lady Selina</v>
      </c>
      <c r="F65" t="str">
        <f>IF('All Girls &amp; Descendants - Edit'!F66="","",'All Girls &amp; Descendants - Edit'!F66)</f>
        <v>Catherine</v>
      </c>
      <c r="G65" t="str">
        <f>IF('All Girls &amp; Descendants - Edit'!G66="","",'All Girls &amp; Descendants - Edit'!G66)</f>
        <v/>
      </c>
      <c r="H65" t="str">
        <f>IF('All Girls &amp; Descendants - Edit'!H66="","",'All Girls &amp; Descendants - Edit'!H66)</f>
        <v/>
      </c>
      <c r="I65">
        <f>VLOOKUP($C65,'All Girls &amp; Descendants - Edit'!$C$2:$AK$440,'All Girls &amp; Descendants - Edit'!I$1,FALSE)</f>
        <v>1950</v>
      </c>
      <c r="J65" t="str">
        <f>VLOOKUP($C65,'All Girls &amp; Descendants - Edit'!$C$2:$AK$440,'All Girls &amp; Descendants - Edit'!J$1,FALSE)</f>
        <v/>
      </c>
      <c r="K65" s="9"/>
      <c r="L65" t="str">
        <f t="shared" ref="L65:L128" si="10">IF(M65="","",TEXT(M65,"dd/mm/yyyy"))</f>
        <v>14/03/1950</v>
      </c>
      <c r="M65" s="3">
        <f>VLOOKUP($C65,'All Girls &amp; Descendants - Edit'!$C$2:$AK$440,'All Girls &amp; Descendants - Edit'!M$1,FALSE)</f>
        <v>18336</v>
      </c>
      <c r="N65" s="3">
        <f>IF(VLOOKUP($C65,'All Girls &amp; Descendants - Edit'!$C$2:$AK$440,'All Girls &amp; Descendants - Edit'!N$1,FALSE)=""," - ",(VLOOKUP($C65,'All Girls &amp; Descendants - Edit'!$C$2:$AK$440,'All Girls &amp; Descendants - Edit'!N$1,FALSE)))</f>
        <v>26600</v>
      </c>
      <c r="O65" s="3" t="str">
        <f>IF(VLOOKUP($C65,'All Girls &amp; Descendants - Edit'!$C$2:$AK$440,'All Girls &amp; Descendants - Edit'!O$1,FALSE)="","",(VLOOKUP($C65,'All Girls &amp; Descendants - Edit'!$C$2:$AK$440,'All Girls &amp; Descendants - Edit'!O$1,FALSE)))</f>
        <v/>
      </c>
      <c r="P65" s="3" t="str">
        <f t="shared" si="3"/>
        <v/>
      </c>
      <c r="Q65" s="178" t="str">
        <f t="shared" si="4"/>
        <v>101</v>
      </c>
      <c r="R65" s="23"/>
      <c r="S65" t="str">
        <f>VLOOKUP($C65,'All Girls &amp; Descendants - Edit'!$C$2:$AK$440,'All Girls &amp; Descendants - Edit'!S$1,FALSE)</f>
        <v>Female</v>
      </c>
      <c r="T65" s="176">
        <f t="shared" si="5"/>
        <v>6</v>
      </c>
      <c r="U65" s="176">
        <f t="shared" si="0"/>
        <v>4</v>
      </c>
      <c r="V65" s="176">
        <f t="shared" si="1"/>
        <v>5</v>
      </c>
      <c r="W65" s="177">
        <f t="shared" si="2"/>
        <v>1</v>
      </c>
      <c r="X65" s="3" t="str">
        <f>IF(VLOOKUP($C65,'All Girls &amp; Descendants - Edit'!$C$2:$AK$440,'All Girls &amp; Descendants - Edit'!X$1,FALSE)=""," - ",(VLOOKUP($C65,'All Girls &amp; Descendants - Edit'!$C$2:$AK$440,'All Girls &amp; Descendants - Edit'!X$1,FALSE)))</f>
        <v>Nicholas George Lawrence TIMPSON (b. 21/02/1941, d. )</v>
      </c>
      <c r="Y65" s="3" t="str">
        <f>IF(VLOOKUP($C65,'All Girls &amp; Descendants - Edit'!$C$2:$AK$440,'All Girls &amp; Descendants - Edit'!Y$1,FALSE)=""," - ",(VLOOKUP($C65,'All Girls &amp; Descendants - Edit'!$C$2:$AK$440,'All Girls &amp; Descendants - Edit'!Y$1,FALSE)))</f>
        <v>Nicholas of Ardington Croft, Wantage, Oxfordshire, son of Alastair TIMPSON (b. 23 May 1915, d. 18 Dec 1997) of Castle Combe, Wiltshire.</v>
      </c>
      <c r="Z65" s="3" t="str">
        <f>IF(VLOOKUP($C65,'All Girls &amp; Descendants - Edit'!$C$2:$AK$440,'All Girls &amp; Descendants - Edit'!Z$1,FALSE)=""," - ",(VLOOKUP($C65,'All Girls &amp; Descendants - Edit'!$C$2:$AK$440,'All Girls &amp; Descendants - Edit'!Z$1,FALSE)))</f>
        <v>Baptised 15 May 1950 at St George’s, Hanover Square, London W1.</v>
      </c>
      <c r="AA65" s="101">
        <f>IF(VLOOKUP($C65,'All Girls &amp; Descendants - Edit'!$C$2:$AK$440,'All Girls &amp; Descendants - Edit'!AA$1,FALSE)=""," - ",(VLOOKUP($C65,'All Girls &amp; Descendants - Edit'!$C$2:$AK$440,'All Girls &amp; Descendants - Edit'!AA$1,FALSE)))</f>
        <v>230</v>
      </c>
      <c r="AB65" s="101">
        <f>IF(VLOOKUP($C65,'All Girls &amp; Descendants - Edit'!$C$2:$AK$440,'All Girls &amp; Descendants - Edit'!AB$1,FALSE)=""," - ",(VLOOKUP($C65,'All Girls &amp; Descendants - Edit'!$C$2:$AK$440,'All Girls &amp; Descendants - Edit'!AB$1,FALSE)))</f>
        <v>64</v>
      </c>
      <c r="AC65" s="101">
        <f>IF(VLOOKUP($C65,'All Girls &amp; Descendants - Edit'!$C$2:$AK$440,'All Girls &amp; Descendants - Edit'!AC$1,FALSE)=""," - ",(VLOOKUP($C65,'All Girls &amp; Descendants - Edit'!$C$2:$AK$440,'All Girls &amp; Descendants - Edit'!AC$1,FALSE)))</f>
        <v>1064</v>
      </c>
      <c r="AD65" s="3" t="str">
        <f>IF(VLOOKUP($C65,'All Girls &amp; Descendants - Edit'!$C$2:$AK$440,'All Girls &amp; Descendants - Edit'!AD$1,FALSE)=""," - ",(VLOOKUP($C65,'All Girls &amp; Descendants - Edit'!$C$2:$AK$440,'All Girls &amp; Descendants - Edit'!AD$1,FALSE)))</f>
        <v>101a</v>
      </c>
      <c r="AE65" s="3" t="str">
        <f>IF(VLOOKUP($C65,'All Girls &amp; Descendants - Edit'!$C$2:$AK$440,'All Girls &amp; Descendants - Edit'!AE$1,FALSE)=""," - ",(VLOOKUP($C65,'All Girls &amp; Descendants - Edit'!$C$2:$AK$440,'All Girls &amp; Descendants - Edit'!AE$1,FALSE)))</f>
        <v>Lady Selina Catherine  MEADE (1950 - )</v>
      </c>
      <c r="AF65" s="3" t="str">
        <f>IF(VLOOKUP($C65,'All Girls &amp; Descendants - Edit'!$C$2:$AK$440,'All Girls &amp; Descendants - Edit'!AF$1,FALSE)=""," - ",(VLOOKUP($C65,'All Girls &amp; Descendants - Edit'!$C$2:$AK$440,'All Girls &amp; Descendants - Edit'!AF$1,FALSE)))</f>
        <v>Lady Selina MEADE (6th &amp; 101)</v>
      </c>
      <c r="AG65" s="3" t="str">
        <f>IF(VLOOKUP($C65,'All Girls &amp; Descendants - Edit'!$C$2:$AK$440,'All Girls &amp; Descendants - Edit'!AG$1,FALSE)=""," - ",(VLOOKUP($C65,'All Girls &amp; Descendants - Edit'!$C$2:$AK$440,'All Girls &amp; Descendants - Edit'!AG$1,FALSE)))</f>
        <v>Female</v>
      </c>
      <c r="AH65" s="3" t="str">
        <f>IF(VLOOKUP($C65,'All Girls &amp; Descendants - Edit'!$C$2:$AK$440,'All Girls &amp; Descendants - Edit'!AH$1,FALSE)=""," - ",(VLOOKUP($C65,'All Girls &amp; Descendants - Edit'!$C$2:$AK$440,'All Girls &amp; Descendants - Edit'!AH$1,FALSE)))</f>
        <v>6th</v>
      </c>
      <c r="AI65" s="3" t="str">
        <f>IF(VLOOKUP($C65,'All Girls &amp; Descendants - Edit'!$C$2:$AK$440,'All Girls &amp; Descendants - Edit'!AI$1,FALSE)=""," - ",(VLOOKUP($C65,'All Girls &amp; Descendants - Edit'!$C$2:$AK$440,'All Girls &amp; Descendants - Edit'!AI$1,FALSE)))</f>
        <v>Husband: Nicholas George Lawrence TIMPSON (b. 21/02/1941, d. ). Nicholas of Ardington Croft, Wantage, Oxfordshire, son of Alastair TIMPSON (b. 23 May 1915, d. 18 Dec 1997) of Castle Combe, Wiltshire.</v>
      </c>
      <c r="AJ65" s="3" t="str">
        <f>IF(VLOOKUP($C65,'All Girls &amp; Descendants - Edit'!$C$2:$AK$440,'All Girls &amp; Descendants - Edit'!AJ$1,FALSE)=""," - ",(VLOOKUP($C65,'All Girls &amp; Descendants - Edit'!$C$2:$AK$440,'All Girls &amp; Descendants - Edit'!AJ$1,FALSE)))</f>
        <v>Female. b. 14/03/1950 Baptised 15 May 1950 at St George’s, Hanover Square, London W1.</v>
      </c>
      <c r="AK65" s="3" t="str">
        <f>IF(VLOOKUP($C65,'All Girls &amp; Descendants - Edit'!$C$2:$AK$440,'All Girls &amp; Descendants - Edit'!AK$1,FALSE)=""," - ",(VLOOKUP($C65,'All Girls &amp; Descendants - Edit'!$C$2:$AK$440,'All Girls &amp; Descendants - Edit'!AK$1,FALSE)))</f>
        <v>b. 14/03/1950</v>
      </c>
      <c r="AS65" s="72">
        <v>156</v>
      </c>
      <c r="BB65">
        <v>1</v>
      </c>
      <c r="BH65">
        <v>1</v>
      </c>
      <c r="BI65">
        <v>1</v>
      </c>
    </row>
    <row r="66" spans="1:61" ht="19">
      <c r="A66">
        <f>VLOOKUP(B66,'Loyd List 1-190 - Edit'!$P$1:$R$219,3,FALSE)</f>
        <v>56</v>
      </c>
      <c r="B66">
        <f>'All Girls &amp; Descendants - Edit'!B67</f>
        <v>101</v>
      </c>
      <c r="C66" s="98" t="str">
        <f>'All Girls &amp; Descendants - Edit'!C67</f>
        <v>101b</v>
      </c>
      <c r="D66" s="2" t="str">
        <f>'All Girls &amp; Descendants - Edit'!D67</f>
        <v>MEADE</v>
      </c>
      <c r="E66" t="str">
        <f>'All Girls &amp; Descendants - Edit'!E67</f>
        <v>Lady Mary</v>
      </c>
      <c r="F66" t="str">
        <f>IF('All Girls &amp; Descendants - Edit'!F67="","",'All Girls &amp; Descendants - Edit'!F67)</f>
        <v>Jane</v>
      </c>
      <c r="G66" t="str">
        <f>IF('All Girls &amp; Descendants - Edit'!G67="","",'All Girls &amp; Descendants - Edit'!G67)</f>
        <v/>
      </c>
      <c r="H66" t="str">
        <f>IF('All Girls &amp; Descendants - Edit'!H67="","",'All Girls &amp; Descendants - Edit'!H67)</f>
        <v/>
      </c>
      <c r="I66">
        <f>VLOOKUP($C66,'All Girls &amp; Descendants - Edit'!$C$2:$AK$440,'All Girls &amp; Descendants - Edit'!I$1,FALSE)</f>
        <v>1952</v>
      </c>
      <c r="J66" t="str">
        <f>VLOOKUP($C66,'All Girls &amp; Descendants - Edit'!$C$2:$AK$440,'All Girls &amp; Descendants - Edit'!J$1,FALSE)</f>
        <v/>
      </c>
      <c r="K66" s="9"/>
      <c r="L66" t="str">
        <f t="shared" si="10"/>
        <v>12/07/1952</v>
      </c>
      <c r="M66" s="3">
        <f>VLOOKUP($C66,'All Girls &amp; Descendants - Edit'!$C$2:$AK$440,'All Girls &amp; Descendants - Edit'!M$1,FALSE)</f>
        <v>19187</v>
      </c>
      <c r="N66" s="3">
        <f>IF(VLOOKUP($C66,'All Girls &amp; Descendants - Edit'!$C$2:$AK$440,'All Girls &amp; Descendants - Edit'!N$1,FALSE)=""," - ",(VLOOKUP($C66,'All Girls &amp; Descendants - Edit'!$C$2:$AK$440,'All Girls &amp; Descendants - Edit'!N$1,FALSE)))</f>
        <v>30933</v>
      </c>
      <c r="O66" s="3" t="str">
        <f>IF(VLOOKUP($C66,'All Girls &amp; Descendants - Edit'!$C$2:$AK$440,'All Girls &amp; Descendants - Edit'!O$1,FALSE)="","",(VLOOKUP($C66,'All Girls &amp; Descendants - Edit'!$C$2:$AK$440,'All Girls &amp; Descendants - Edit'!O$1,FALSE)))</f>
        <v/>
      </c>
      <c r="P66" s="3" t="str">
        <f t="shared" si="3"/>
        <v/>
      </c>
      <c r="Q66" s="178" t="str">
        <f t="shared" si="4"/>
        <v>101</v>
      </c>
      <c r="R66" s="23"/>
      <c r="S66" t="str">
        <f>VLOOKUP($C66,'All Girls &amp; Descendants - Edit'!$C$2:$AK$440,'All Girls &amp; Descendants - Edit'!S$1,FALSE)</f>
        <v>Female</v>
      </c>
      <c r="T66" s="176">
        <f t="shared" si="5"/>
        <v>6</v>
      </c>
      <c r="U66" s="176">
        <f t="shared" ref="U66:U129" si="11">LEN(C66)</f>
        <v>4</v>
      </c>
      <c r="V66" s="176">
        <f t="shared" ref="V66:V129" si="12">VLOOKUP(B66,Generation,2,FALSE)</f>
        <v>5</v>
      </c>
      <c r="W66" s="177">
        <f t="shared" ref="W66:W129" si="13">IF(LEN(C66)-IF(B66&lt;10,1,IF(AND(B66&gt;9,B66&lt;100),2,3))=1,1,IF(LEN(C66)-IF(B66&lt;10,1,IF(AND(B66&gt;9,B66&lt;100),2,3))=0,"SELF",LEN(C66)-IF(B66&lt;10,1,IF(AND(B66&gt;9,B66&lt;100),2,3))))</f>
        <v>1</v>
      </c>
      <c r="X66" s="3" t="str">
        <f>IF(VLOOKUP($C66,'All Girls &amp; Descendants - Edit'!$C$2:$AK$440,'All Girls &amp; Descendants - Edit'!X$1,FALSE)=""," - ",(VLOOKUP($C66,'All Girls &amp; Descendants - Edit'!$C$2:$AK$440,'All Girls &amp; Descendants - Edit'!X$1,FALSE)))</f>
        <v>John Armar LOWRY-CORRY (b. 04/09/1951, d. )</v>
      </c>
      <c r="Y66" s="3" t="str">
        <f>IF(VLOOKUP($C66,'All Girls &amp; Descendants - Edit'!$C$2:$AK$440,'All Girls &amp; Descendants - Edit'!Y$1,FALSE)=""," - ",(VLOOKUP($C66,'All Girls &amp; Descendants - Edit'!$C$2:$AK$440,'All Girls &amp; Descendants - Edit'!Y$1,FALSE)))</f>
        <v>Married John Armar LOWRY-CORRY, 8th Earl of BELMORE of The Garden House, Castle Coole, Enniskillen, co Fermanagh, BT74 6JY.</v>
      </c>
      <c r="Z66" s="3" t="str">
        <f>IF(VLOOKUP($C66,'All Girls &amp; Descendants - Edit'!$C$2:$AK$440,'All Girls &amp; Descendants - Edit'!Z$1,FALSE)=""," - ",(VLOOKUP($C66,'All Girls &amp; Descendants - Edit'!$C$2:$AK$440,'All Girls &amp; Descendants - Edit'!Z$1,FALSE)))</f>
        <v>Baptised Sep 1952 at Magherdroll Parish Church, Ballynahinch, co Down.</v>
      </c>
      <c r="AA66" s="101">
        <f>IF(VLOOKUP($C66,'All Girls &amp; Descendants - Edit'!$C$2:$AK$440,'All Girls &amp; Descendants - Edit'!AA$1,FALSE)=""," - ",(VLOOKUP($C66,'All Girls &amp; Descendants - Edit'!$C$2:$AK$440,'All Girls &amp; Descendants - Edit'!AA$1,FALSE)))</f>
        <v>233</v>
      </c>
      <c r="AB66" s="101">
        <f>IF(VLOOKUP($C66,'All Girls &amp; Descendants - Edit'!$C$2:$AK$440,'All Girls &amp; Descendants - Edit'!AB$1,FALSE)=""," - ",(VLOOKUP($C66,'All Girls &amp; Descendants - Edit'!$C$2:$AK$440,'All Girls &amp; Descendants - Edit'!AB$1,FALSE)))</f>
        <v>65</v>
      </c>
      <c r="AC66" s="101">
        <f>IF(VLOOKUP($C66,'All Girls &amp; Descendants - Edit'!$C$2:$AK$440,'All Girls &amp; Descendants - Edit'!AC$1,FALSE)=""," - ",(VLOOKUP($C66,'All Girls &amp; Descendants - Edit'!$C$2:$AK$440,'All Girls &amp; Descendants - Edit'!AC$1,FALSE)))</f>
        <v>1065</v>
      </c>
      <c r="AD66" s="3" t="str">
        <f>IF(VLOOKUP($C66,'All Girls &amp; Descendants - Edit'!$C$2:$AK$440,'All Girls &amp; Descendants - Edit'!AD$1,FALSE)=""," - ",(VLOOKUP($C66,'All Girls &amp; Descendants - Edit'!$C$2:$AK$440,'All Girls &amp; Descendants - Edit'!AD$1,FALSE)))</f>
        <v>101b</v>
      </c>
      <c r="AE66" s="3" t="str">
        <f>IF(VLOOKUP($C66,'All Girls &amp; Descendants - Edit'!$C$2:$AK$440,'All Girls &amp; Descendants - Edit'!AE$1,FALSE)=""," - ",(VLOOKUP($C66,'All Girls &amp; Descendants - Edit'!$C$2:$AK$440,'All Girls &amp; Descendants - Edit'!AE$1,FALSE)))</f>
        <v>Lady Mary Jane  MEADE (1952 - )</v>
      </c>
      <c r="AF66" s="3" t="str">
        <f>IF(VLOOKUP($C66,'All Girls &amp; Descendants - Edit'!$C$2:$AK$440,'All Girls &amp; Descendants - Edit'!AF$1,FALSE)=""," - ",(VLOOKUP($C66,'All Girls &amp; Descendants - Edit'!$C$2:$AK$440,'All Girls &amp; Descendants - Edit'!AF$1,FALSE)))</f>
        <v>Lady Mary MEADE (6th &amp; 101)</v>
      </c>
      <c r="AG66" s="3" t="str">
        <f>IF(VLOOKUP($C66,'All Girls &amp; Descendants - Edit'!$C$2:$AK$440,'All Girls &amp; Descendants - Edit'!AG$1,FALSE)=""," - ",(VLOOKUP($C66,'All Girls &amp; Descendants - Edit'!$C$2:$AK$440,'All Girls &amp; Descendants - Edit'!AG$1,FALSE)))</f>
        <v>Female</v>
      </c>
      <c r="AH66" s="3" t="str">
        <f>IF(VLOOKUP($C66,'All Girls &amp; Descendants - Edit'!$C$2:$AK$440,'All Girls &amp; Descendants - Edit'!AH$1,FALSE)=""," - ",(VLOOKUP($C66,'All Girls &amp; Descendants - Edit'!$C$2:$AK$440,'All Girls &amp; Descendants - Edit'!AH$1,FALSE)))</f>
        <v>6th</v>
      </c>
      <c r="AI66" s="3" t="str">
        <f>IF(VLOOKUP($C66,'All Girls &amp; Descendants - Edit'!$C$2:$AK$440,'All Girls &amp; Descendants - Edit'!AI$1,FALSE)=""," - ",(VLOOKUP($C66,'All Girls &amp; Descendants - Edit'!$C$2:$AK$440,'All Girls &amp; Descendants - Edit'!AI$1,FALSE)))</f>
        <v>Husband: John Armar LOWRY-CORRY (b. 04/09/1951, d. ). Married John Armar LOWRY-CORRY, 8th Earl of BELMORE of The Garden House, Castle Coole, Enniskillen, co Fermanagh, BT74 6JY.</v>
      </c>
      <c r="AJ66" s="3" t="str">
        <f>IF(VLOOKUP($C66,'All Girls &amp; Descendants - Edit'!$C$2:$AK$440,'All Girls &amp; Descendants - Edit'!AJ$1,FALSE)=""," - ",(VLOOKUP($C66,'All Girls &amp; Descendants - Edit'!$C$2:$AK$440,'All Girls &amp; Descendants - Edit'!AJ$1,FALSE)))</f>
        <v>Female. b. 12/07/1952 Baptised Sep 1952 at Magherdroll Parish Church, Ballynahinch, co Down.</v>
      </c>
      <c r="AK66" s="3" t="str">
        <f>IF(VLOOKUP($C66,'All Girls &amp; Descendants - Edit'!$C$2:$AK$440,'All Girls &amp; Descendants - Edit'!AK$1,FALSE)=""," - ",(VLOOKUP($C66,'All Girls &amp; Descendants - Edit'!$C$2:$AK$440,'All Girls &amp; Descendants - Edit'!AK$1,FALSE)))</f>
        <v>b. 12/07/1952</v>
      </c>
      <c r="AS66" s="72">
        <v>157</v>
      </c>
      <c r="BB66">
        <v>1</v>
      </c>
      <c r="BH66">
        <v>1</v>
      </c>
      <c r="BI66">
        <v>1</v>
      </c>
    </row>
    <row r="67" spans="1:61" ht="19">
      <c r="A67">
        <f>VLOOKUP(B67,'Loyd List 1-190 - Edit'!$P$1:$R$219,3,FALSE)</f>
        <v>56</v>
      </c>
      <c r="B67">
        <f>'All Girls &amp; Descendants - Edit'!B68</f>
        <v>101</v>
      </c>
      <c r="C67" s="98" t="str">
        <f>'All Girls &amp; Descendants - Edit'!C68</f>
        <v>101c</v>
      </c>
      <c r="D67" s="2" t="str">
        <f>'All Girls &amp; Descendants - Edit'!D68</f>
        <v>MEADE</v>
      </c>
      <c r="E67" t="str">
        <f>'All Girls &amp; Descendants - Edit'!E68</f>
        <v>Lady Julia</v>
      </c>
      <c r="F67" t="str">
        <f>IF('All Girls &amp; Descendants - Edit'!F68="","",'All Girls &amp; Descendants - Edit'!F68)</f>
        <v>Elizabeth</v>
      </c>
      <c r="G67" t="str">
        <f>IF('All Girls &amp; Descendants - Edit'!G68="","",'All Girls &amp; Descendants - Edit'!G68)</f>
        <v/>
      </c>
      <c r="H67" t="str">
        <f>IF('All Girls &amp; Descendants - Edit'!H68="","",'All Girls &amp; Descendants - Edit'!H68)</f>
        <v/>
      </c>
      <c r="I67">
        <f>VLOOKUP($C67,'All Girls &amp; Descendants - Edit'!$C$2:$AK$440,'All Girls &amp; Descendants - Edit'!I$1,FALSE)</f>
        <v>1953</v>
      </c>
      <c r="J67" t="str">
        <f>VLOOKUP($C67,'All Girls &amp; Descendants - Edit'!$C$2:$AK$440,'All Girls &amp; Descendants - Edit'!J$1,FALSE)</f>
        <v/>
      </c>
      <c r="K67" s="9"/>
      <c r="L67" t="str">
        <f t="shared" si="10"/>
        <v>31/12/1953</v>
      </c>
      <c r="M67" s="3">
        <f>VLOOKUP($C67,'All Girls &amp; Descendants - Edit'!$C$2:$AK$440,'All Girls &amp; Descendants - Edit'!M$1,FALSE)</f>
        <v>19724</v>
      </c>
      <c r="N67" s="3" t="str">
        <f>IF(VLOOKUP($C67,'All Girls &amp; Descendants - Edit'!$C$2:$AK$440,'All Girls &amp; Descendants - Edit'!N$1,FALSE)=""," - ",(VLOOKUP($C67,'All Girls &amp; Descendants - Edit'!$C$2:$AK$440,'All Girls &amp; Descendants - Edit'!N$1,FALSE)))</f>
        <v xml:space="preserve"> - </v>
      </c>
      <c r="O67" s="3" t="str">
        <f>IF(VLOOKUP($C67,'All Girls &amp; Descendants - Edit'!$C$2:$AK$440,'All Girls &amp; Descendants - Edit'!O$1,FALSE)="","",(VLOOKUP($C67,'All Girls &amp; Descendants - Edit'!$C$2:$AK$440,'All Girls &amp; Descendants - Edit'!O$1,FALSE)))</f>
        <v/>
      </c>
      <c r="P67" s="3" t="str">
        <f t="shared" ref="P67:P130" si="14">IF(O67="","",TEXT(O67,"dd/mm/yyyy"))</f>
        <v/>
      </c>
      <c r="Q67" s="178" t="str">
        <f t="shared" ref="Q67:Q130" si="15">MID(C67,1,LEN(C67)-1)</f>
        <v>101</v>
      </c>
      <c r="R67" s="23"/>
      <c r="S67" t="str">
        <f>VLOOKUP($C67,'All Girls &amp; Descendants - Edit'!$C$2:$AK$440,'All Girls &amp; Descendants - Edit'!S$1,FALSE)</f>
        <v>Female</v>
      </c>
      <c r="T67" s="176">
        <f t="shared" ref="T67:T130" si="16">IF(B67&lt;10,V67+U67-1,IF(AND(B67&gt;=10,B67&lt;100),V67+U67-2,IF(B67&gt;=100,V67+U67-3)))</f>
        <v>6</v>
      </c>
      <c r="U67" s="176">
        <f t="shared" si="11"/>
        <v>4</v>
      </c>
      <c r="V67" s="176">
        <f t="shared" si="12"/>
        <v>5</v>
      </c>
      <c r="W67" s="177">
        <f t="shared" si="13"/>
        <v>1</v>
      </c>
      <c r="X67" s="3" t="str">
        <f>IF(VLOOKUP($C67,'All Girls &amp; Descendants - Edit'!$C$2:$AK$440,'All Girls &amp; Descendants - Edit'!X$1,FALSE)=""," - ",(VLOOKUP($C67,'All Girls &amp; Descendants - Edit'!$C$2:$AK$440,'All Girls &amp; Descendants - Edit'!X$1,FALSE)))</f>
        <v>Robert Ralph Scrymgeour HISCOX (b. 04/01/1943, )</v>
      </c>
      <c r="Y67" s="3" t="str">
        <f>IF(VLOOKUP($C67,'All Girls &amp; Descendants - Edit'!$C$2:$AK$440,'All Girls &amp; Descendants - Edit'!Y$1,FALSE)=""," - ",(VLOOKUP($C67,'All Girls &amp; Descendants - Edit'!$C$2:$AK$440,'All Girls &amp; Descendants - Edit'!Y$1,FALSE)))</f>
        <v>Married Robert of Rainscombe Park, Oare, Marlborough, Wiltshire, SN8 4HZ, son of Ralph HISCOX CBE of Scott’s Farm, Chobham, Surrey.</v>
      </c>
      <c r="Z67" s="3" t="str">
        <f>IF(VLOOKUP($C67,'All Girls &amp; Descendants - Edit'!$C$2:$AK$440,'All Girls &amp; Descendants - Edit'!Z$1,FALSE)=""," - ",(VLOOKUP($C67,'All Girls &amp; Descendants - Edit'!$C$2:$AK$440,'All Girls &amp; Descendants - Edit'!Z$1,FALSE)))</f>
        <v xml:space="preserve"> - </v>
      </c>
      <c r="AA67" s="101">
        <f>IF(VLOOKUP($C67,'All Girls &amp; Descendants - Edit'!$C$2:$AK$440,'All Girls &amp; Descendants - Edit'!AA$1,FALSE)=""," - ",(VLOOKUP($C67,'All Girls &amp; Descendants - Edit'!$C$2:$AK$440,'All Girls &amp; Descendants - Edit'!AA$1,FALSE)))</f>
        <v>237</v>
      </c>
      <c r="AB67" s="101">
        <f>IF(VLOOKUP($C67,'All Girls &amp; Descendants - Edit'!$C$2:$AK$440,'All Girls &amp; Descendants - Edit'!AB$1,FALSE)=""," - ",(VLOOKUP($C67,'All Girls &amp; Descendants - Edit'!$C$2:$AK$440,'All Girls &amp; Descendants - Edit'!AB$1,FALSE)))</f>
        <v>66</v>
      </c>
      <c r="AC67" s="101">
        <f>IF(VLOOKUP($C67,'All Girls &amp; Descendants - Edit'!$C$2:$AK$440,'All Girls &amp; Descendants - Edit'!AC$1,FALSE)=""," - ",(VLOOKUP($C67,'All Girls &amp; Descendants - Edit'!$C$2:$AK$440,'All Girls &amp; Descendants - Edit'!AC$1,FALSE)))</f>
        <v>1066</v>
      </c>
      <c r="AD67" s="3" t="str">
        <f>IF(VLOOKUP($C67,'All Girls &amp; Descendants - Edit'!$C$2:$AK$440,'All Girls &amp; Descendants - Edit'!AD$1,FALSE)=""," - ",(VLOOKUP($C67,'All Girls &amp; Descendants - Edit'!$C$2:$AK$440,'All Girls &amp; Descendants - Edit'!AD$1,FALSE)))</f>
        <v>101c</v>
      </c>
      <c r="AE67" s="3" t="str">
        <f>IF(VLOOKUP($C67,'All Girls &amp; Descendants - Edit'!$C$2:$AK$440,'All Girls &amp; Descendants - Edit'!AE$1,FALSE)=""," - ",(VLOOKUP($C67,'All Girls &amp; Descendants - Edit'!$C$2:$AK$440,'All Girls &amp; Descendants - Edit'!AE$1,FALSE)))</f>
        <v>Lady Julia Elizabeth  MEADE (1953 - )</v>
      </c>
      <c r="AF67" s="3" t="str">
        <f>IF(VLOOKUP($C67,'All Girls &amp; Descendants - Edit'!$C$2:$AK$440,'All Girls &amp; Descendants - Edit'!AF$1,FALSE)=""," - ",(VLOOKUP($C67,'All Girls &amp; Descendants - Edit'!$C$2:$AK$440,'All Girls &amp; Descendants - Edit'!AF$1,FALSE)))</f>
        <v>Lady Julia MEADE (6th &amp; 101)</v>
      </c>
      <c r="AG67" s="3" t="str">
        <f>IF(VLOOKUP($C67,'All Girls &amp; Descendants - Edit'!$C$2:$AK$440,'All Girls &amp; Descendants - Edit'!AG$1,FALSE)=""," - ",(VLOOKUP($C67,'All Girls &amp; Descendants - Edit'!$C$2:$AK$440,'All Girls &amp; Descendants - Edit'!AG$1,FALSE)))</f>
        <v>Female</v>
      </c>
      <c r="AH67" s="3" t="str">
        <f>IF(VLOOKUP($C67,'All Girls &amp; Descendants - Edit'!$C$2:$AK$440,'All Girls &amp; Descendants - Edit'!AH$1,FALSE)=""," - ",(VLOOKUP($C67,'All Girls &amp; Descendants - Edit'!$C$2:$AK$440,'All Girls &amp; Descendants - Edit'!AH$1,FALSE)))</f>
        <v>6th</v>
      </c>
      <c r="AI67" s="3" t="str">
        <f>IF(VLOOKUP($C67,'All Girls &amp; Descendants - Edit'!$C$2:$AK$440,'All Girls &amp; Descendants - Edit'!AI$1,FALSE)=""," - ",(VLOOKUP($C67,'All Girls &amp; Descendants - Edit'!$C$2:$AK$440,'All Girls &amp; Descendants - Edit'!AI$1,FALSE)))</f>
        <v>Husband: Robert Ralph Scrymgeour HISCOX (b. 04/01/1943, ). Married Robert of Rainscombe Park, Oare, Marlborough, Wiltshire, SN8 4HZ, son of Ralph HISCOX CBE of Scott’s Farm, Chobham, Surrey.</v>
      </c>
      <c r="AJ67" s="3" t="str">
        <f>IF(VLOOKUP($C67,'All Girls &amp; Descendants - Edit'!$C$2:$AK$440,'All Girls &amp; Descendants - Edit'!AJ$1,FALSE)=""," - ",(VLOOKUP($C67,'All Girls &amp; Descendants - Edit'!$C$2:$AK$440,'All Girls &amp; Descendants - Edit'!AJ$1,FALSE)))</f>
        <v>Female. b. 31/12/1953</v>
      </c>
      <c r="AK67" s="3" t="str">
        <f>IF(VLOOKUP($C67,'All Girls &amp; Descendants - Edit'!$C$2:$AK$440,'All Girls &amp; Descendants - Edit'!AK$1,FALSE)=""," - ",(VLOOKUP($C67,'All Girls &amp; Descendants - Edit'!$C$2:$AK$440,'All Girls &amp; Descendants - Edit'!AK$1,FALSE)))</f>
        <v>b. 31/12/1953</v>
      </c>
      <c r="AS67" s="72">
        <v>158</v>
      </c>
      <c r="BB67">
        <v>1</v>
      </c>
      <c r="BH67">
        <v>1</v>
      </c>
      <c r="BI67">
        <v>1</v>
      </c>
    </row>
    <row r="68" spans="1:61" ht="19">
      <c r="A68">
        <f>VLOOKUP(B68,'Loyd List 1-190 - Edit'!$P$1:$R$219,3,FALSE)</f>
        <v>56</v>
      </c>
      <c r="B68">
        <f>'All Girls &amp; Descendants - Edit'!B69</f>
        <v>101</v>
      </c>
      <c r="C68" s="98" t="str">
        <f>'All Girls &amp; Descendants - Edit'!C69</f>
        <v>101d</v>
      </c>
      <c r="D68" s="2" t="str">
        <f>'All Girls &amp; Descendants - Edit'!D69</f>
        <v>MEADE</v>
      </c>
      <c r="E68" t="str">
        <f>'All Girls &amp; Descendants - Edit'!E69</f>
        <v>Lady Laura</v>
      </c>
      <c r="F68" t="str">
        <f>IF('All Girls &amp; Descendants - Edit'!F69="","",'All Girls &amp; Descendants - Edit'!F69)</f>
        <v>Louise</v>
      </c>
      <c r="G68" t="str">
        <f>IF('All Girls &amp; Descendants - Edit'!G69="","",'All Girls &amp; Descendants - Edit'!G69)</f>
        <v/>
      </c>
      <c r="H68" t="str">
        <f>IF('All Girls &amp; Descendants - Edit'!H69="","",'All Girls &amp; Descendants - Edit'!H69)</f>
        <v/>
      </c>
      <c r="I68">
        <f>VLOOKUP($C68,'All Girls &amp; Descendants - Edit'!$C$2:$AK$440,'All Girls &amp; Descendants - Edit'!I$1,FALSE)</f>
        <v>1957</v>
      </c>
      <c r="J68" t="str">
        <f>VLOOKUP($C68,'All Girls &amp; Descendants - Edit'!$C$2:$AK$440,'All Girls &amp; Descendants - Edit'!J$1,FALSE)</f>
        <v/>
      </c>
      <c r="K68" s="9"/>
      <c r="L68" t="str">
        <f t="shared" si="10"/>
        <v>11/03/1957</v>
      </c>
      <c r="M68" s="3">
        <f>VLOOKUP($C68,'All Girls &amp; Descendants - Edit'!$C$2:$AK$440,'All Girls &amp; Descendants - Edit'!M$1,FALSE)</f>
        <v>20890</v>
      </c>
      <c r="N68" s="3">
        <f>IF(VLOOKUP($C68,'All Girls &amp; Descendants - Edit'!$C$2:$AK$440,'All Girls &amp; Descendants - Edit'!N$1,FALSE)=""," - ",(VLOOKUP($C68,'All Girls &amp; Descendants - Edit'!$C$2:$AK$440,'All Girls &amp; Descendants - Edit'!N$1,FALSE)))</f>
        <v>29701</v>
      </c>
      <c r="O68" s="3" t="str">
        <f>IF(VLOOKUP($C68,'All Girls &amp; Descendants - Edit'!$C$2:$AK$440,'All Girls &amp; Descendants - Edit'!O$1,FALSE)="","",(VLOOKUP($C68,'All Girls &amp; Descendants - Edit'!$C$2:$AK$440,'All Girls &amp; Descendants - Edit'!O$1,FALSE)))</f>
        <v/>
      </c>
      <c r="P68" s="3" t="str">
        <f t="shared" si="14"/>
        <v/>
      </c>
      <c r="Q68" s="178" t="str">
        <f t="shared" si="15"/>
        <v>101</v>
      </c>
      <c r="R68" s="23"/>
      <c r="S68" t="str">
        <f>VLOOKUP($C68,'All Girls &amp; Descendants - Edit'!$C$2:$AK$440,'All Girls &amp; Descendants - Edit'!S$1,FALSE)</f>
        <v>Female</v>
      </c>
      <c r="T68" s="176">
        <f t="shared" si="16"/>
        <v>6</v>
      </c>
      <c r="U68" s="176">
        <f t="shared" si="11"/>
        <v>4</v>
      </c>
      <c r="V68" s="176">
        <f t="shared" si="12"/>
        <v>5</v>
      </c>
      <c r="W68" s="177">
        <f t="shared" si="13"/>
        <v>1</v>
      </c>
      <c r="X68" s="3" t="str">
        <f>IF(VLOOKUP($C68,'All Girls &amp; Descendants - Edit'!$C$2:$AK$440,'All Girls &amp; Descendants - Edit'!X$1,FALSE)=""," - ",(VLOOKUP($C68,'All Girls &amp; Descendants - Edit'!$C$2:$AK$440,'All Girls &amp; Descendants - Edit'!X$1,FALSE)))</f>
        <v>Scott Buckingham REID (b. 24/12/1947, )</v>
      </c>
      <c r="Y68" s="3" t="str">
        <f>IF(VLOOKUP($C68,'All Girls &amp; Descendants - Edit'!$C$2:$AK$440,'All Girls &amp; Descendants - Edit'!Y$1,FALSE)=""," - ",(VLOOKUP($C68,'All Girls &amp; Descendants - Edit'!$C$2:$AK$440,'All Girls &amp; Descendants - Edit'!Y$1,FALSE)))</f>
        <v>Married Scott of 524 Purchase Street, Rye, New York, 10580, USA, son of Howard A REID of Bronxville, New York, USA.</v>
      </c>
      <c r="Z68" s="3" t="str">
        <f>IF(VLOOKUP($C68,'All Girls &amp; Descendants - Edit'!$C$2:$AK$440,'All Girls &amp; Descendants - Edit'!Z$1,FALSE)=""," - ",(VLOOKUP($C68,'All Girls &amp; Descendants - Edit'!$C$2:$AK$440,'All Girls &amp; Descendants - Edit'!Z$1,FALSE)))</f>
        <v xml:space="preserve"> - </v>
      </c>
      <c r="AA68" s="101">
        <f>IF(VLOOKUP($C68,'All Girls &amp; Descendants - Edit'!$C$2:$AK$440,'All Girls &amp; Descendants - Edit'!AA$1,FALSE)=""," - ",(VLOOKUP($C68,'All Girls &amp; Descendants - Edit'!$C$2:$AK$440,'All Girls &amp; Descendants - Edit'!AA$1,FALSE)))</f>
        <v>241</v>
      </c>
      <c r="AB68" s="101">
        <f>IF(VLOOKUP($C68,'All Girls &amp; Descendants - Edit'!$C$2:$AK$440,'All Girls &amp; Descendants - Edit'!AB$1,FALSE)=""," - ",(VLOOKUP($C68,'All Girls &amp; Descendants - Edit'!$C$2:$AK$440,'All Girls &amp; Descendants - Edit'!AB$1,FALSE)))</f>
        <v>67</v>
      </c>
      <c r="AC68" s="101">
        <f>IF(VLOOKUP($C68,'All Girls &amp; Descendants - Edit'!$C$2:$AK$440,'All Girls &amp; Descendants - Edit'!AC$1,FALSE)=""," - ",(VLOOKUP($C68,'All Girls &amp; Descendants - Edit'!$C$2:$AK$440,'All Girls &amp; Descendants - Edit'!AC$1,FALSE)))</f>
        <v>1067</v>
      </c>
      <c r="AD68" s="3" t="str">
        <f>IF(VLOOKUP($C68,'All Girls &amp; Descendants - Edit'!$C$2:$AK$440,'All Girls &amp; Descendants - Edit'!AD$1,FALSE)=""," - ",(VLOOKUP($C68,'All Girls &amp; Descendants - Edit'!$C$2:$AK$440,'All Girls &amp; Descendants - Edit'!AD$1,FALSE)))</f>
        <v>101d</v>
      </c>
      <c r="AE68" s="3" t="str">
        <f>IF(VLOOKUP($C68,'All Girls &amp; Descendants - Edit'!$C$2:$AK$440,'All Girls &amp; Descendants - Edit'!AE$1,FALSE)=""," - ",(VLOOKUP($C68,'All Girls &amp; Descendants - Edit'!$C$2:$AK$440,'All Girls &amp; Descendants - Edit'!AE$1,FALSE)))</f>
        <v>Lady Laura Louise  MEADE (1957 - )</v>
      </c>
      <c r="AF68" s="3" t="str">
        <f>IF(VLOOKUP($C68,'All Girls &amp; Descendants - Edit'!$C$2:$AK$440,'All Girls &amp; Descendants - Edit'!AF$1,FALSE)=""," - ",(VLOOKUP($C68,'All Girls &amp; Descendants - Edit'!$C$2:$AK$440,'All Girls &amp; Descendants - Edit'!AF$1,FALSE)))</f>
        <v>Lady Laura MEADE (6th &amp; 101)</v>
      </c>
      <c r="AG68" s="3" t="str">
        <f>IF(VLOOKUP($C68,'All Girls &amp; Descendants - Edit'!$C$2:$AK$440,'All Girls &amp; Descendants - Edit'!AG$1,FALSE)=""," - ",(VLOOKUP($C68,'All Girls &amp; Descendants - Edit'!$C$2:$AK$440,'All Girls &amp; Descendants - Edit'!AG$1,FALSE)))</f>
        <v>Female</v>
      </c>
      <c r="AH68" s="3" t="str">
        <f>IF(VLOOKUP($C68,'All Girls &amp; Descendants - Edit'!$C$2:$AK$440,'All Girls &amp; Descendants - Edit'!AH$1,FALSE)=""," - ",(VLOOKUP($C68,'All Girls &amp; Descendants - Edit'!$C$2:$AK$440,'All Girls &amp; Descendants - Edit'!AH$1,FALSE)))</f>
        <v>6th</v>
      </c>
      <c r="AI68" s="3" t="str">
        <f>IF(VLOOKUP($C68,'All Girls &amp; Descendants - Edit'!$C$2:$AK$440,'All Girls &amp; Descendants - Edit'!AI$1,FALSE)=""," - ",(VLOOKUP($C68,'All Girls &amp; Descendants - Edit'!$C$2:$AK$440,'All Girls &amp; Descendants - Edit'!AI$1,FALSE)))</f>
        <v>Husband: Scott Buckingham REID (b. 24/12/1947, ). Married Scott of 524 Purchase Street, Rye, New York, 10580, USA, son of Howard A REID of Bronxville, New York, USA.</v>
      </c>
      <c r="AJ68" s="3" t="str">
        <f>IF(VLOOKUP($C68,'All Girls &amp; Descendants - Edit'!$C$2:$AK$440,'All Girls &amp; Descendants - Edit'!AJ$1,FALSE)=""," - ",(VLOOKUP($C68,'All Girls &amp; Descendants - Edit'!$C$2:$AK$440,'All Girls &amp; Descendants - Edit'!AJ$1,FALSE)))</f>
        <v>Female. b. 11/03/1957</v>
      </c>
      <c r="AK68" s="3" t="str">
        <f>IF(VLOOKUP($C68,'All Girls &amp; Descendants - Edit'!$C$2:$AK$440,'All Girls &amp; Descendants - Edit'!AK$1,FALSE)=""," - ",(VLOOKUP($C68,'All Girls &amp; Descendants - Edit'!$C$2:$AK$440,'All Girls &amp; Descendants - Edit'!AK$1,FALSE)))</f>
        <v>b. 11/03/1957</v>
      </c>
      <c r="AS68" s="72">
        <v>159</v>
      </c>
      <c r="BB68">
        <v>1</v>
      </c>
      <c r="BH68">
        <v>1</v>
      </c>
      <c r="BI68">
        <v>1</v>
      </c>
    </row>
    <row r="69" spans="1:61" ht="19">
      <c r="A69">
        <f>VLOOKUP(B69,'Loyd List 1-190 - Edit'!$P$1:$R$219,3,FALSE)</f>
        <v>56</v>
      </c>
      <c r="B69">
        <f>'All Girls &amp; Descendants - Edit'!B70</f>
        <v>101</v>
      </c>
      <c r="C69" s="98" t="str">
        <f>'All Girls &amp; Descendants - Edit'!C70</f>
        <v>101e</v>
      </c>
      <c r="D69" s="2" t="str">
        <f>'All Girls &amp; Descendants - Edit'!D70</f>
        <v>MEADE</v>
      </c>
      <c r="E69" t="str">
        <f>'All Girls &amp; Descendants - Edit'!E70</f>
        <v>Lady Katherine</v>
      </c>
      <c r="F69" t="str">
        <f>IF('All Girls &amp; Descendants - Edit'!F70="","",'All Girls &amp; Descendants - Edit'!F70)</f>
        <v>Anne</v>
      </c>
      <c r="G69" t="str">
        <f>IF('All Girls &amp; Descendants - Edit'!G70="","",'All Girls &amp; Descendants - Edit'!G70)</f>
        <v/>
      </c>
      <c r="H69" t="str">
        <f>IF('All Girls &amp; Descendants - Edit'!H70="","",'All Girls &amp; Descendants - Edit'!H70)</f>
        <v/>
      </c>
      <c r="I69">
        <f>VLOOKUP($C69,'All Girls &amp; Descendants - Edit'!$C$2:$AK$440,'All Girls &amp; Descendants - Edit'!I$1,FALSE)</f>
        <v>1959</v>
      </c>
      <c r="J69" t="str">
        <f>VLOOKUP($C69,'All Girls &amp; Descendants - Edit'!$C$2:$AK$440,'All Girls &amp; Descendants - Edit'!J$1,FALSE)</f>
        <v/>
      </c>
      <c r="K69" s="9"/>
      <c r="L69" t="str">
        <f t="shared" si="10"/>
        <v>10/08/1959</v>
      </c>
      <c r="M69" s="3">
        <f>VLOOKUP($C69,'All Girls &amp; Descendants - Edit'!$C$2:$AK$440,'All Girls &amp; Descendants - Edit'!M$1,FALSE)</f>
        <v>21772</v>
      </c>
      <c r="N69" s="3" t="str">
        <f>IF(VLOOKUP($C69,'All Girls &amp; Descendants - Edit'!$C$2:$AK$440,'All Girls &amp; Descendants - Edit'!N$1,FALSE)=""," - ",(VLOOKUP($C69,'All Girls &amp; Descendants - Edit'!$C$2:$AK$440,'All Girls &amp; Descendants - Edit'!N$1,FALSE)))</f>
        <v>29/02/1987</v>
      </c>
      <c r="O69" s="3" t="str">
        <f>IF(VLOOKUP($C69,'All Girls &amp; Descendants - Edit'!$C$2:$AK$440,'All Girls &amp; Descendants - Edit'!O$1,FALSE)="","",(VLOOKUP($C69,'All Girls &amp; Descendants - Edit'!$C$2:$AK$440,'All Girls &amp; Descendants - Edit'!O$1,FALSE)))</f>
        <v/>
      </c>
      <c r="P69" s="3" t="str">
        <f t="shared" si="14"/>
        <v/>
      </c>
      <c r="Q69" s="178" t="str">
        <f t="shared" si="15"/>
        <v>101</v>
      </c>
      <c r="R69" s="23"/>
      <c r="S69" t="str">
        <f>VLOOKUP($C69,'All Girls &amp; Descendants - Edit'!$C$2:$AK$440,'All Girls &amp; Descendants - Edit'!S$1,FALSE)</f>
        <v>Female</v>
      </c>
      <c r="T69" s="176">
        <f t="shared" si="16"/>
        <v>6</v>
      </c>
      <c r="U69" s="176">
        <f t="shared" si="11"/>
        <v>4</v>
      </c>
      <c r="V69" s="176">
        <f t="shared" si="12"/>
        <v>5</v>
      </c>
      <c r="W69" s="177">
        <f t="shared" si="13"/>
        <v>1</v>
      </c>
      <c r="X69" s="3" t="str">
        <f>IF(VLOOKUP($C69,'All Girls &amp; Descendants - Edit'!$C$2:$AK$440,'All Girls &amp; Descendants - Edit'!X$1,FALSE)=""," - ",(VLOOKUP($C69,'All Girls &amp; Descendants - Edit'!$C$2:$AK$440,'All Girls &amp; Descendants - Edit'!X$1,FALSE)))</f>
        <v>Christopher Aubrey Hamilton WILLS (b.1953, )</v>
      </c>
      <c r="Y69" s="3" t="str">
        <f>IF(VLOOKUP($C69,'All Girls &amp; Descendants - Edit'!$C$2:$AK$440,'All Girls &amp; Descendants - Edit'!Y$1,FALSE)=""," - ",(VLOOKUP($C69,'All Girls &amp; Descendants - Edit'!$C$2:$AK$440,'All Girls &amp; Descendants - Edit'!Y$1,FALSE)))</f>
        <v>Married Christopher of Litchfield Down, Whitchurch, Hampshire, elder son of Hon Victor Patrick Hamilton WILLS.</v>
      </c>
      <c r="Z69" s="3" t="str">
        <f>IF(VLOOKUP($C69,'All Girls &amp; Descendants - Edit'!$C$2:$AK$440,'All Girls &amp; Descendants - Edit'!Z$1,FALSE)=""," - ",(VLOOKUP($C69,'All Girls &amp; Descendants - Edit'!$C$2:$AK$440,'All Girls &amp; Descendants - Edit'!Z$1,FALSE)))</f>
        <v>Baptised Dec 1959 at Magherdroll Parish Church, Ballynahinch, co Down.</v>
      </c>
      <c r="AA69" s="101">
        <f>IF(VLOOKUP($C69,'All Girls &amp; Descendants - Edit'!$C$2:$AK$440,'All Girls &amp; Descendants - Edit'!AA$1,FALSE)=""," - ",(VLOOKUP($C69,'All Girls &amp; Descendants - Edit'!$C$2:$AK$440,'All Girls &amp; Descendants - Edit'!AA$1,FALSE)))</f>
        <v>245</v>
      </c>
      <c r="AB69" s="101">
        <f>IF(VLOOKUP($C69,'All Girls &amp; Descendants - Edit'!$C$2:$AK$440,'All Girls &amp; Descendants - Edit'!AB$1,FALSE)=""," - ",(VLOOKUP($C69,'All Girls &amp; Descendants - Edit'!$C$2:$AK$440,'All Girls &amp; Descendants - Edit'!AB$1,FALSE)))</f>
        <v>68</v>
      </c>
      <c r="AC69" s="101">
        <f>IF(VLOOKUP($C69,'All Girls &amp; Descendants - Edit'!$C$2:$AK$440,'All Girls &amp; Descendants - Edit'!AC$1,FALSE)=""," - ",(VLOOKUP($C69,'All Girls &amp; Descendants - Edit'!$C$2:$AK$440,'All Girls &amp; Descendants - Edit'!AC$1,FALSE)))</f>
        <v>1068</v>
      </c>
      <c r="AD69" s="3" t="str">
        <f>IF(VLOOKUP($C69,'All Girls &amp; Descendants - Edit'!$C$2:$AK$440,'All Girls &amp; Descendants - Edit'!AD$1,FALSE)=""," - ",(VLOOKUP($C69,'All Girls &amp; Descendants - Edit'!$C$2:$AK$440,'All Girls &amp; Descendants - Edit'!AD$1,FALSE)))</f>
        <v>101e</v>
      </c>
      <c r="AE69" s="3" t="str">
        <f>IF(VLOOKUP($C69,'All Girls &amp; Descendants - Edit'!$C$2:$AK$440,'All Girls &amp; Descendants - Edit'!AE$1,FALSE)=""," - ",(VLOOKUP($C69,'All Girls &amp; Descendants - Edit'!$C$2:$AK$440,'All Girls &amp; Descendants - Edit'!AE$1,FALSE)))</f>
        <v>Lady Katherine Anne  MEADE (1959 - )</v>
      </c>
      <c r="AF69" s="3" t="str">
        <f>IF(VLOOKUP($C69,'All Girls &amp; Descendants - Edit'!$C$2:$AK$440,'All Girls &amp; Descendants - Edit'!AF$1,FALSE)=""," - ",(VLOOKUP($C69,'All Girls &amp; Descendants - Edit'!$C$2:$AK$440,'All Girls &amp; Descendants - Edit'!AF$1,FALSE)))</f>
        <v>Lady Katherine MEADE (6th &amp; 101)</v>
      </c>
      <c r="AG69" s="3" t="str">
        <f>IF(VLOOKUP($C69,'All Girls &amp; Descendants - Edit'!$C$2:$AK$440,'All Girls &amp; Descendants - Edit'!AG$1,FALSE)=""," - ",(VLOOKUP($C69,'All Girls &amp; Descendants - Edit'!$C$2:$AK$440,'All Girls &amp; Descendants - Edit'!AG$1,FALSE)))</f>
        <v>Female</v>
      </c>
      <c r="AH69" s="3" t="str">
        <f>IF(VLOOKUP($C69,'All Girls &amp; Descendants - Edit'!$C$2:$AK$440,'All Girls &amp; Descendants - Edit'!AH$1,FALSE)=""," - ",(VLOOKUP($C69,'All Girls &amp; Descendants - Edit'!$C$2:$AK$440,'All Girls &amp; Descendants - Edit'!AH$1,FALSE)))</f>
        <v>6th</v>
      </c>
      <c r="AI69" s="3" t="str">
        <f>IF(VLOOKUP($C69,'All Girls &amp; Descendants - Edit'!$C$2:$AK$440,'All Girls &amp; Descendants - Edit'!AI$1,FALSE)=""," - ",(VLOOKUP($C69,'All Girls &amp; Descendants - Edit'!$C$2:$AK$440,'All Girls &amp; Descendants - Edit'!AI$1,FALSE)))</f>
        <v>Husband: Christopher Aubrey Hamilton WILLS (b.1953, ). Married Christopher of Litchfield Down, Whitchurch, Hampshire, elder son of Hon Victor Patrick Hamilton WILLS.</v>
      </c>
      <c r="AJ69" s="3" t="str">
        <f>IF(VLOOKUP($C69,'All Girls &amp; Descendants - Edit'!$C$2:$AK$440,'All Girls &amp; Descendants - Edit'!AJ$1,FALSE)=""," - ",(VLOOKUP($C69,'All Girls &amp; Descendants - Edit'!$C$2:$AK$440,'All Girls &amp; Descendants - Edit'!AJ$1,FALSE)))</f>
        <v>Female. b. 10/08/1959 Baptised Dec 1959 at Magherdroll Parish Church, Ballynahinch, co Down.</v>
      </c>
      <c r="AK69" s="3" t="str">
        <f>IF(VLOOKUP($C69,'All Girls &amp; Descendants - Edit'!$C$2:$AK$440,'All Girls &amp; Descendants - Edit'!AK$1,FALSE)=""," - ",(VLOOKUP($C69,'All Girls &amp; Descendants - Edit'!$C$2:$AK$440,'All Girls &amp; Descendants - Edit'!AK$1,FALSE)))</f>
        <v>b. 10/08/1959</v>
      </c>
      <c r="AS69" s="72">
        <v>161</v>
      </c>
      <c r="BB69">
        <v>1</v>
      </c>
      <c r="BH69">
        <v>1</v>
      </c>
      <c r="BI69">
        <v>1</v>
      </c>
    </row>
    <row r="70" spans="1:61" ht="19">
      <c r="A70">
        <f>VLOOKUP(B70,'Loyd List 1-190 - Edit'!$P$1:$R$219,3,FALSE)</f>
        <v>56</v>
      </c>
      <c r="B70">
        <f>'All Girls &amp; Descendants - Edit'!B71</f>
        <v>101</v>
      </c>
      <c r="C70" s="98" t="str">
        <f>'All Girls &amp; Descendants - Edit'!C71</f>
        <v>101f</v>
      </c>
      <c r="D70" s="2" t="str">
        <f>'All Girls &amp; Descendants - Edit'!D71</f>
        <v>MEADE</v>
      </c>
      <c r="E70" t="str">
        <f>'All Girls &amp; Descendants - Edit'!E71</f>
        <v>Lady Sophia</v>
      </c>
      <c r="F70" t="str">
        <f>IF('All Girls &amp; Descendants - Edit'!F71="","",'All Girls &amp; Descendants - Edit'!F71)</f>
        <v>Hester</v>
      </c>
      <c r="G70" t="str">
        <f>IF('All Girls &amp; Descendants - Edit'!G71="","",'All Girls &amp; Descendants - Edit'!G71)</f>
        <v/>
      </c>
      <c r="H70" t="str">
        <f>IF('All Girls &amp; Descendants - Edit'!H71="","",'All Girls &amp; Descendants - Edit'!H71)</f>
        <v/>
      </c>
      <c r="I70">
        <f>VLOOKUP($C70,'All Girls &amp; Descendants - Edit'!$C$2:$AK$440,'All Girls &amp; Descendants - Edit'!I$1,FALSE)</f>
        <v>1963</v>
      </c>
      <c r="J70" t="str">
        <f>VLOOKUP($C70,'All Girls &amp; Descendants - Edit'!$C$2:$AK$440,'All Girls &amp; Descendants - Edit'!J$1,FALSE)</f>
        <v/>
      </c>
      <c r="K70" s="9"/>
      <c r="L70" t="str">
        <f t="shared" si="10"/>
        <v>14/10/1963</v>
      </c>
      <c r="M70" s="3">
        <f>VLOOKUP($C70,'All Girls &amp; Descendants - Edit'!$C$2:$AK$440,'All Girls &amp; Descendants - Edit'!M$1,FALSE)</f>
        <v>23298</v>
      </c>
      <c r="N70" s="3" t="str">
        <f>IF(VLOOKUP($C70,'All Girls &amp; Descendants - Edit'!$C$2:$AK$440,'All Girls &amp; Descendants - Edit'!N$1,FALSE)=""," - ",(VLOOKUP($C70,'All Girls &amp; Descendants - Edit'!$C$2:$AK$440,'All Girls &amp; Descendants - Edit'!N$1,FALSE)))</f>
        <v>29/02/1990</v>
      </c>
      <c r="O70" s="3" t="str">
        <f>IF(VLOOKUP($C70,'All Girls &amp; Descendants - Edit'!$C$2:$AK$440,'All Girls &amp; Descendants - Edit'!O$1,FALSE)="","",(VLOOKUP($C70,'All Girls &amp; Descendants - Edit'!$C$2:$AK$440,'All Girls &amp; Descendants - Edit'!O$1,FALSE)))</f>
        <v/>
      </c>
      <c r="P70" s="3" t="str">
        <f t="shared" si="14"/>
        <v/>
      </c>
      <c r="Q70" s="178" t="str">
        <f t="shared" si="15"/>
        <v>101</v>
      </c>
      <c r="R70" s="23"/>
      <c r="S70" t="str">
        <f>VLOOKUP($C70,'All Girls &amp; Descendants - Edit'!$C$2:$AK$440,'All Girls &amp; Descendants - Edit'!S$1,FALSE)</f>
        <v>Female</v>
      </c>
      <c r="T70" s="176">
        <f t="shared" si="16"/>
        <v>6</v>
      </c>
      <c r="U70" s="176">
        <f t="shared" si="11"/>
        <v>4</v>
      </c>
      <c r="V70" s="176">
        <f t="shared" si="12"/>
        <v>5</v>
      </c>
      <c r="W70" s="177">
        <f t="shared" si="13"/>
        <v>1</v>
      </c>
      <c r="X70" s="3" t="str">
        <f>IF(VLOOKUP($C70,'All Girls &amp; Descendants - Edit'!$C$2:$AK$440,'All Girls &amp; Descendants - Edit'!X$1,FALSE)=""," - ",(VLOOKUP($C70,'All Girls &amp; Descendants - Edit'!$C$2:$AK$440,'All Girls &amp; Descendants - Edit'!X$1,FALSE)))</f>
        <v>Jonathan Garnett HEYWOOD</v>
      </c>
      <c r="Y70" s="3" t="str">
        <f>IF(VLOOKUP($C70,'All Girls &amp; Descendants - Edit'!$C$2:$AK$440,'All Girls &amp; Descendants - Edit'!Y$1,FALSE)=""," - ",(VLOOKUP($C70,'All Girls &amp; Descendants - Edit'!$C$2:$AK$440,'All Girls &amp; Descendants - Edit'!Y$1,FALSE)))</f>
        <v>Married Jonathan son of Brigadier Anthony Garnett HEYWOOD of Monkton House, Monkton Deverill, Wiltshire.</v>
      </c>
      <c r="Z70" s="3" t="str">
        <f>IF(VLOOKUP($C70,'All Girls &amp; Descendants - Edit'!$C$2:$AK$440,'All Girls &amp; Descendants - Edit'!Z$1,FALSE)=""," - ",(VLOOKUP($C70,'All Girls &amp; Descendants - Edit'!$C$2:$AK$440,'All Girls &amp; Descendants - Edit'!Z$1,FALSE)))</f>
        <v xml:space="preserve"> - </v>
      </c>
      <c r="AA70" s="101">
        <f>IF(VLOOKUP($C70,'All Girls &amp; Descendants - Edit'!$C$2:$AK$440,'All Girls &amp; Descendants - Edit'!AA$1,FALSE)=""," - ",(VLOOKUP($C70,'All Girls &amp; Descendants - Edit'!$C$2:$AK$440,'All Girls &amp; Descendants - Edit'!AA$1,FALSE)))</f>
        <v>249</v>
      </c>
      <c r="AB70" s="101">
        <f>IF(VLOOKUP($C70,'All Girls &amp; Descendants - Edit'!$C$2:$AK$440,'All Girls &amp; Descendants - Edit'!AB$1,FALSE)=""," - ",(VLOOKUP($C70,'All Girls &amp; Descendants - Edit'!$C$2:$AK$440,'All Girls &amp; Descendants - Edit'!AB$1,FALSE)))</f>
        <v>69</v>
      </c>
      <c r="AC70" s="101">
        <f>IF(VLOOKUP($C70,'All Girls &amp; Descendants - Edit'!$C$2:$AK$440,'All Girls &amp; Descendants - Edit'!AC$1,FALSE)=""," - ",(VLOOKUP($C70,'All Girls &amp; Descendants - Edit'!$C$2:$AK$440,'All Girls &amp; Descendants - Edit'!AC$1,FALSE)))</f>
        <v>1069</v>
      </c>
      <c r="AD70" s="3" t="str">
        <f>IF(VLOOKUP($C70,'All Girls &amp; Descendants - Edit'!$C$2:$AK$440,'All Girls &amp; Descendants - Edit'!AD$1,FALSE)=""," - ",(VLOOKUP($C70,'All Girls &amp; Descendants - Edit'!$C$2:$AK$440,'All Girls &amp; Descendants - Edit'!AD$1,FALSE)))</f>
        <v>101f</v>
      </c>
      <c r="AE70" s="3" t="str">
        <f>IF(VLOOKUP($C70,'All Girls &amp; Descendants - Edit'!$C$2:$AK$440,'All Girls &amp; Descendants - Edit'!AE$1,FALSE)=""," - ",(VLOOKUP($C70,'All Girls &amp; Descendants - Edit'!$C$2:$AK$440,'All Girls &amp; Descendants - Edit'!AE$1,FALSE)))</f>
        <v>Lady Sophia Hester  MEADE (1963 - )</v>
      </c>
      <c r="AF70" s="3" t="str">
        <f>IF(VLOOKUP($C70,'All Girls &amp; Descendants - Edit'!$C$2:$AK$440,'All Girls &amp; Descendants - Edit'!AF$1,FALSE)=""," - ",(VLOOKUP($C70,'All Girls &amp; Descendants - Edit'!$C$2:$AK$440,'All Girls &amp; Descendants - Edit'!AF$1,FALSE)))</f>
        <v>Lady Sophia MEADE (6th &amp; 101)</v>
      </c>
      <c r="AG70" s="3" t="str">
        <f>IF(VLOOKUP($C70,'All Girls &amp; Descendants - Edit'!$C$2:$AK$440,'All Girls &amp; Descendants - Edit'!AG$1,FALSE)=""," - ",(VLOOKUP($C70,'All Girls &amp; Descendants - Edit'!$C$2:$AK$440,'All Girls &amp; Descendants - Edit'!AG$1,FALSE)))</f>
        <v>Female</v>
      </c>
      <c r="AH70" s="3" t="str">
        <f>IF(VLOOKUP($C70,'All Girls &amp; Descendants - Edit'!$C$2:$AK$440,'All Girls &amp; Descendants - Edit'!AH$1,FALSE)=""," - ",(VLOOKUP($C70,'All Girls &amp; Descendants - Edit'!$C$2:$AK$440,'All Girls &amp; Descendants - Edit'!AH$1,FALSE)))</f>
        <v>6th</v>
      </c>
      <c r="AI70" s="3" t="str">
        <f>IF(VLOOKUP($C70,'All Girls &amp; Descendants - Edit'!$C$2:$AK$440,'All Girls &amp; Descendants - Edit'!AI$1,FALSE)=""," - ",(VLOOKUP($C70,'All Girls &amp; Descendants - Edit'!$C$2:$AK$440,'All Girls &amp; Descendants - Edit'!AI$1,FALSE)))</f>
        <v>Husband: Jonathan Garnett HEYWOOD. Married Jonathan son of Brigadier Anthony Garnett HEYWOOD of Monkton House, Monkton Deverill, Wiltshire.</v>
      </c>
      <c r="AJ70" s="3" t="str">
        <f>IF(VLOOKUP($C70,'All Girls &amp; Descendants - Edit'!$C$2:$AK$440,'All Girls &amp; Descendants - Edit'!AJ$1,FALSE)=""," - ",(VLOOKUP($C70,'All Girls &amp; Descendants - Edit'!$C$2:$AK$440,'All Girls &amp; Descendants - Edit'!AJ$1,FALSE)))</f>
        <v>Female. b. 14/10/1963</v>
      </c>
      <c r="AK70" s="3" t="str">
        <f>IF(VLOOKUP($C70,'All Girls &amp; Descendants - Edit'!$C$2:$AK$440,'All Girls &amp; Descendants - Edit'!AK$1,FALSE)=""," - ",(VLOOKUP($C70,'All Girls &amp; Descendants - Edit'!$C$2:$AK$440,'All Girls &amp; Descendants - Edit'!AK$1,FALSE)))</f>
        <v>b. 14/10/1963</v>
      </c>
      <c r="AS70" s="72">
        <v>163</v>
      </c>
      <c r="BB70">
        <v>1</v>
      </c>
      <c r="BH70">
        <v>1</v>
      </c>
      <c r="BI70">
        <v>1</v>
      </c>
    </row>
    <row r="71" spans="1:61" ht="19">
      <c r="A71">
        <f>VLOOKUP(B71,'Loyd List 1-190 - Edit'!$P$1:$R$219,3,FALSE)</f>
        <v>62</v>
      </c>
      <c r="B71">
        <f>'All Girls &amp; Descendants - Edit'!B72</f>
        <v>102</v>
      </c>
      <c r="C71" s="98" t="str">
        <f>'All Girls &amp; Descendants - Edit'!C72</f>
        <v>102a</v>
      </c>
      <c r="D71" s="2" t="str">
        <f>'All Girls &amp; Descendants - Edit'!D72</f>
        <v>DUNLOP</v>
      </c>
      <c r="E71" t="str">
        <f>'All Girls &amp; Descendants - Edit'!E72</f>
        <v>Teressa</v>
      </c>
      <c r="F71" t="str">
        <f>IF('All Girls &amp; Descendants - Edit'!F72="","",'All Girls &amp; Descendants - Edit'!F72)</f>
        <v>Mary</v>
      </c>
      <c r="G71" t="str">
        <f>IF('All Girls &amp; Descendants - Edit'!G72="","",'All Girls &amp; Descendants - Edit'!G72)</f>
        <v/>
      </c>
      <c r="H71" t="str">
        <f>IF('All Girls &amp; Descendants - Edit'!H72="","",'All Girls &amp; Descendants - Edit'!H72)</f>
        <v>Tess</v>
      </c>
      <c r="I71">
        <f>VLOOKUP($C71,'All Girls &amp; Descendants - Edit'!$C$2:$AK$440,'All Girls &amp; Descendants - Edit'!I$1,FALSE)</f>
        <v>1956</v>
      </c>
      <c r="J71" t="str">
        <f>VLOOKUP($C71,'All Girls &amp; Descendants - Edit'!$C$2:$AK$440,'All Girls &amp; Descendants - Edit'!J$1,FALSE)</f>
        <v/>
      </c>
      <c r="K71" s="9"/>
      <c r="L71" t="str">
        <f t="shared" si="10"/>
        <v>09/06/1956</v>
      </c>
      <c r="M71" s="3">
        <f>VLOOKUP($C71,'All Girls &amp; Descendants - Edit'!$C$2:$AK$440,'All Girls &amp; Descendants - Edit'!M$1,FALSE)</f>
        <v>20615</v>
      </c>
      <c r="N71" s="3" t="str">
        <f>IF(VLOOKUP($C71,'All Girls &amp; Descendants - Edit'!$C$2:$AK$440,'All Girls &amp; Descendants - Edit'!N$1,FALSE)=""," - ",(VLOOKUP($C71,'All Girls &amp; Descendants - Edit'!$C$2:$AK$440,'All Girls &amp; Descendants - Edit'!N$1,FALSE)))</f>
        <v xml:space="preserve"> - </v>
      </c>
      <c r="O71" s="3" t="str">
        <f>IF(VLOOKUP($C71,'All Girls &amp; Descendants - Edit'!$C$2:$AK$440,'All Girls &amp; Descendants - Edit'!O$1,FALSE)="","",(VLOOKUP($C71,'All Girls &amp; Descendants - Edit'!$C$2:$AK$440,'All Girls &amp; Descendants - Edit'!O$1,FALSE)))</f>
        <v/>
      </c>
      <c r="P71" s="3" t="str">
        <f t="shared" si="14"/>
        <v/>
      </c>
      <c r="Q71" s="178" t="str">
        <f t="shared" si="15"/>
        <v>102</v>
      </c>
      <c r="R71" s="23"/>
      <c r="S71" t="str">
        <f>VLOOKUP($C71,'All Girls &amp; Descendants - Edit'!$C$2:$AK$440,'All Girls &amp; Descendants - Edit'!S$1,FALSE)</f>
        <v>Female</v>
      </c>
      <c r="T71" s="176">
        <f t="shared" si="16"/>
        <v>6</v>
      </c>
      <c r="U71" s="176">
        <f t="shared" si="11"/>
        <v>4</v>
      </c>
      <c r="V71" s="176">
        <f t="shared" si="12"/>
        <v>5</v>
      </c>
      <c r="W71" s="177">
        <f t="shared" si="13"/>
        <v>1</v>
      </c>
      <c r="X71" s="3" t="str">
        <f>IF(VLOOKUP($C71,'All Girls &amp; Descendants - Edit'!$C$2:$AK$440,'All Girls &amp; Descendants - Edit'!X$1,FALSE)=""," - ",(VLOOKUP($C71,'All Girls &amp; Descendants - Edit'!$C$2:$AK$440,'All Girls &amp; Descendants - Edit'!X$1,FALSE)))</f>
        <v xml:space="preserve"> - </v>
      </c>
      <c r="Y71" s="3" t="str">
        <f>IF(VLOOKUP($C71,'All Girls &amp; Descendants - Edit'!$C$2:$AK$440,'All Girls &amp; Descendants - Edit'!Y$1,FALSE)=""," - ",(VLOOKUP($C71,'All Girls &amp; Descendants - Edit'!$C$2:$AK$440,'All Girls &amp; Descendants - Edit'!Y$1,FALSE)))</f>
        <v xml:space="preserve"> - </v>
      </c>
      <c r="Z71" s="3" t="str">
        <f>IF(VLOOKUP($C71,'All Girls &amp; Descendants - Edit'!$C$2:$AK$440,'All Girls &amp; Descendants - Edit'!Z$1,FALSE)=""," - ",(VLOOKUP($C71,'All Girls &amp; Descendants - Edit'!$C$2:$AK$440,'All Girls &amp; Descendants - Edit'!Z$1,FALSE)))</f>
        <v>Tess lives in London. Born at Queen Charlotte’s Hospital, London. Baptised 8 Sep 1956 at St Mary and All Saints’, Beaconsfield, Buckinghamshire. Educated St Mary’s, Calne, Wiltshire; Universities of Leeds (1975-79) and Kuwait.  Guildford College of Law 1986-88.  Solicitor of the Supreme Court from 1990. SEN tutor from 2006.</v>
      </c>
      <c r="AA71" s="101">
        <f>IF(VLOOKUP($C71,'All Girls &amp; Descendants - Edit'!$C$2:$AK$440,'All Girls &amp; Descendants - Edit'!AA$1,FALSE)=""," - ",(VLOOKUP($C71,'All Girls &amp; Descendants - Edit'!$C$2:$AK$440,'All Girls &amp; Descendants - Edit'!AA$1,FALSE)))</f>
        <v>252</v>
      </c>
      <c r="AB71" s="101">
        <f>IF(VLOOKUP($C71,'All Girls &amp; Descendants - Edit'!$C$2:$AK$440,'All Girls &amp; Descendants - Edit'!AB$1,FALSE)=""," - ",(VLOOKUP($C71,'All Girls &amp; Descendants - Edit'!$C$2:$AK$440,'All Girls &amp; Descendants - Edit'!AB$1,FALSE)))</f>
        <v>70</v>
      </c>
      <c r="AC71" s="101">
        <f>IF(VLOOKUP($C71,'All Girls &amp; Descendants - Edit'!$C$2:$AK$440,'All Girls &amp; Descendants - Edit'!AC$1,FALSE)=""," - ",(VLOOKUP($C71,'All Girls &amp; Descendants - Edit'!$C$2:$AK$440,'All Girls &amp; Descendants - Edit'!AC$1,FALSE)))</f>
        <v>1070</v>
      </c>
      <c r="AD71" s="3" t="str">
        <f>IF(VLOOKUP($C71,'All Girls &amp; Descendants - Edit'!$C$2:$AK$440,'All Girls &amp; Descendants - Edit'!AD$1,FALSE)=""," - ",(VLOOKUP($C71,'All Girls &amp; Descendants - Edit'!$C$2:$AK$440,'All Girls &amp; Descendants - Edit'!AD$1,FALSE)))</f>
        <v>102a</v>
      </c>
      <c r="AE71" s="3" t="str">
        <f>IF(VLOOKUP($C71,'All Girls &amp; Descendants - Edit'!$C$2:$AK$440,'All Girls &amp; Descendants - Edit'!AE$1,FALSE)=""," - ",(VLOOKUP($C71,'All Girls &amp; Descendants - Edit'!$C$2:$AK$440,'All Girls &amp; Descendants - Edit'!AE$1,FALSE)))</f>
        <v>Teressa Mary  DUNLOP (1956 - )</v>
      </c>
      <c r="AF71" s="3" t="str">
        <f>IF(VLOOKUP($C71,'All Girls &amp; Descendants - Edit'!$C$2:$AK$440,'All Girls &amp; Descendants - Edit'!AF$1,FALSE)=""," - ",(VLOOKUP($C71,'All Girls &amp; Descendants - Edit'!$C$2:$AK$440,'All Girls &amp; Descendants - Edit'!AF$1,FALSE)))</f>
        <v>Tess DUNLOP (6th &amp; 102)</v>
      </c>
      <c r="AG71" s="3" t="str">
        <f>IF(VLOOKUP($C71,'All Girls &amp; Descendants - Edit'!$C$2:$AK$440,'All Girls &amp; Descendants - Edit'!AG$1,FALSE)=""," - ",(VLOOKUP($C71,'All Girls &amp; Descendants - Edit'!$C$2:$AK$440,'All Girls &amp; Descendants - Edit'!AG$1,FALSE)))</f>
        <v>Female</v>
      </c>
      <c r="AH71" s="3" t="str">
        <f>IF(VLOOKUP($C71,'All Girls &amp; Descendants - Edit'!$C$2:$AK$440,'All Girls &amp; Descendants - Edit'!AH$1,FALSE)=""," - ",(VLOOKUP($C71,'All Girls &amp; Descendants - Edit'!$C$2:$AK$440,'All Girls &amp; Descendants - Edit'!AH$1,FALSE)))</f>
        <v>6th</v>
      </c>
      <c r="AI71" s="3" t="str">
        <f>IF(VLOOKUP($C71,'All Girls &amp; Descendants - Edit'!$C$2:$AK$440,'All Girls &amp; Descendants - Edit'!AI$1,FALSE)=""," - ",(VLOOKUP($C71,'All Girls &amp; Descendants - Edit'!$C$2:$AK$440,'All Girls &amp; Descendants - Edit'!AI$1,FALSE)))</f>
        <v>Unmarried</v>
      </c>
      <c r="AJ71" s="3" t="str">
        <f>IF(VLOOKUP($C71,'All Girls &amp; Descendants - Edit'!$C$2:$AK$440,'All Girls &amp; Descendants - Edit'!AJ$1,FALSE)=""," - ",(VLOOKUP($C71,'All Girls &amp; Descendants - Edit'!$C$2:$AK$440,'All Girls &amp; Descendants - Edit'!AJ$1,FALSE)))</f>
        <v>Female. b. 09/06/1956 Tess lives in London. Born at Queen Charlotte’s Hospital, London. Baptised 8 Sep 1956 at St Mary and All Saints’, Beaconsfield, Buckinghamshire. Educated St Mary’s, Calne, Wiltshire; Universities of Leeds (1975-79) and Kuwait.  Guildford College of Law 1986-88.  Solicitor of the Supreme Court from 1990. SEN tutor from 2006.</v>
      </c>
      <c r="AK71" s="3" t="str">
        <f>IF(VLOOKUP($C71,'All Girls &amp; Descendants - Edit'!$C$2:$AK$440,'All Girls &amp; Descendants - Edit'!AK$1,FALSE)=""," - ",(VLOOKUP($C71,'All Girls &amp; Descendants - Edit'!$C$2:$AK$440,'All Girls &amp; Descendants - Edit'!AK$1,FALSE)))</f>
        <v>b. 09/06/1956</v>
      </c>
      <c r="AS71" s="72">
        <v>164</v>
      </c>
      <c r="BB71">
        <v>1</v>
      </c>
      <c r="BH71">
        <v>1</v>
      </c>
      <c r="BI71">
        <v>1</v>
      </c>
    </row>
    <row r="72" spans="1:61" ht="19">
      <c r="A72">
        <f>VLOOKUP(B72,'Loyd List 1-190 - Edit'!$P$1:$R$219,3,FALSE)</f>
        <v>62</v>
      </c>
      <c r="B72">
        <f>'All Girls &amp; Descendants - Edit'!B73</f>
        <v>102</v>
      </c>
      <c r="C72" s="98" t="str">
        <f>'All Girls &amp; Descendants - Edit'!C73</f>
        <v>102b</v>
      </c>
      <c r="D72" s="2" t="str">
        <f>'All Girls &amp; Descendants - Edit'!D73</f>
        <v>DUNLOP</v>
      </c>
      <c r="E72" t="str">
        <f>'All Girls &amp; Descendants - Edit'!E73</f>
        <v>Lindsay</v>
      </c>
      <c r="F72" t="str">
        <f>IF('All Girls &amp; Descendants - Edit'!F73="","",'All Girls &amp; Descendants - Edit'!F73)</f>
        <v>Fergus</v>
      </c>
      <c r="G72" t="str">
        <f>IF('All Girls &amp; Descendants - Edit'!G73="","",'All Girls &amp; Descendants - Edit'!G73)</f>
        <v/>
      </c>
      <c r="H72" t="str">
        <f>IF('All Girls &amp; Descendants - Edit'!H73="","",'All Girls &amp; Descendants - Edit'!H73)</f>
        <v>Fergus</v>
      </c>
      <c r="I72">
        <f>VLOOKUP($C72,'All Girls &amp; Descendants - Edit'!$C$2:$AK$440,'All Girls &amp; Descendants - Edit'!I$1,FALSE)</f>
        <v>1958</v>
      </c>
      <c r="J72" t="str">
        <f>VLOOKUP($C72,'All Girls &amp; Descendants - Edit'!$C$2:$AK$440,'All Girls &amp; Descendants - Edit'!J$1,FALSE)</f>
        <v/>
      </c>
      <c r="K72" s="9"/>
      <c r="L72" t="str">
        <f t="shared" si="10"/>
        <v>23/05/1958</v>
      </c>
      <c r="M72" s="3">
        <f>VLOOKUP($C72,'All Girls &amp; Descendants - Edit'!$C$2:$AK$440,'All Girls &amp; Descendants - Edit'!M$1,FALSE)</f>
        <v>21328</v>
      </c>
      <c r="N72" s="3">
        <f>IF(VLOOKUP($C72,'All Girls &amp; Descendants - Edit'!$C$2:$AK$440,'All Girls &amp; Descendants - Edit'!N$1,FALSE)=""," - ",(VLOOKUP($C72,'All Girls &amp; Descendants - Edit'!$C$2:$AK$440,'All Girls &amp; Descendants - Edit'!N$1,FALSE)))</f>
        <v>34930</v>
      </c>
      <c r="O72" s="3" t="str">
        <f>IF(VLOOKUP($C72,'All Girls &amp; Descendants - Edit'!$C$2:$AK$440,'All Girls &amp; Descendants - Edit'!O$1,FALSE)="","",(VLOOKUP($C72,'All Girls &amp; Descendants - Edit'!$C$2:$AK$440,'All Girls &amp; Descendants - Edit'!O$1,FALSE)))</f>
        <v/>
      </c>
      <c r="P72" s="3" t="str">
        <f t="shared" si="14"/>
        <v/>
      </c>
      <c r="Q72" s="178" t="str">
        <f t="shared" si="15"/>
        <v>102</v>
      </c>
      <c r="R72" s="23"/>
      <c r="S72" t="str">
        <f>VLOOKUP($C72,'All Girls &amp; Descendants - Edit'!$C$2:$AK$440,'All Girls &amp; Descendants - Edit'!S$1,FALSE)</f>
        <v>Male</v>
      </c>
      <c r="T72" s="176">
        <f t="shared" si="16"/>
        <v>6</v>
      </c>
      <c r="U72" s="176">
        <f t="shared" si="11"/>
        <v>4</v>
      </c>
      <c r="V72" s="176">
        <f t="shared" si="12"/>
        <v>5</v>
      </c>
      <c r="W72" s="177">
        <f t="shared" si="13"/>
        <v>1</v>
      </c>
      <c r="X72" s="3" t="str">
        <f>IF(VLOOKUP($C72,'All Girls &amp; Descendants - Edit'!$C$2:$AK$440,'All Girls &amp; Descendants - Edit'!X$1,FALSE)=""," - ",(VLOOKUP($C72,'All Girls &amp; Descendants - Edit'!$C$2:$AK$440,'All Girls &amp; Descendants - Edit'!X$1,FALSE)))</f>
        <v>Miranda Grace ELGIN</v>
      </c>
      <c r="Y72" s="3" t="str">
        <f>IF(VLOOKUP($C72,'All Girls &amp; Descendants - Edit'!$C$2:$AK$440,'All Girls &amp; Descendants - Edit'!Y$1,FALSE)=""," - ",(VLOOKUP($C72,'All Girls &amp; Descendants - Edit'!$C$2:$AK$440,'All Girls &amp; Descendants - Edit'!Y$1,FALSE)))</f>
        <v>Married at St Mary Abbots, London, W8, Miranda Grace (b. 14 Oct 1964 at St Mary’s Hospital, Paddington, London W2) only daughter of Robert Warren ELGIN of Brunswick Gardens, London, W8.</v>
      </c>
      <c r="Z72" s="3" t="str">
        <f>IF(VLOOKUP($C72,'All Girls &amp; Descendants - Edit'!$C$2:$AK$440,'All Girls &amp; Descendants - Edit'!Z$1,FALSE)=""," - ",(VLOOKUP($C72,'All Girls &amp; Descendants - Edit'!$C$2:$AK$440,'All Girls &amp; Descendants - Edit'!Z$1,FALSE)))</f>
        <v>Lindsay, known as Fergus, of Fosse André, St Peter Port, Guernsey. Born at Queen Charlotte’s Hospital, London. Baptised 9 Aug 1958 at St Mary and All Saints’, Beaconsfield, Buckinghamshire. Educated Eton 1971-76, Bristol 1977-80 (BA Hons History) and St Edmund Hall, Oxford 1980-83 (M Phil, Management Studies). Macmillan Publishers 1983-85. Burton Group 1985-87. Mercury Asset Management (now BlackRock) London 1987-1997, Frankfurt 1997-2001. From 2002, investment company directorships in Munich, Jersey and Guernsey. UK: Fellow, Institute of Directors, 2016. Patron, St Anne’s, Bowden Hill from 2014 (founding Co-ordinator, Friends of St Anne’s from 2021). Guernsey: Founding Co-ordinator, Bus Users Guernsey from 2009. Constable (chair), St Saviour’s Parish, 2010-13, Campaign lead in referendum on electoral reform, 2018, Church Property Management Board, 2018-22. Author of ‘Borderline Pass’ (2020) and ‘The Lady With No Name’ (2021).</v>
      </c>
      <c r="AA72" s="101">
        <f>IF(VLOOKUP($C72,'All Girls &amp; Descendants - Edit'!$C$2:$AK$440,'All Girls &amp; Descendants - Edit'!AA$1,FALSE)=""," - ",(VLOOKUP($C72,'All Girls &amp; Descendants - Edit'!$C$2:$AK$440,'All Girls &amp; Descendants - Edit'!AA$1,FALSE)))</f>
        <v>253</v>
      </c>
      <c r="AB72" s="101">
        <f>IF(VLOOKUP($C72,'All Girls &amp; Descendants - Edit'!$C$2:$AK$440,'All Girls &amp; Descendants - Edit'!AB$1,FALSE)=""," - ",(VLOOKUP($C72,'All Girls &amp; Descendants - Edit'!$C$2:$AK$440,'All Girls &amp; Descendants - Edit'!AB$1,FALSE)))</f>
        <v>71</v>
      </c>
      <c r="AC72" s="101">
        <f>IF(VLOOKUP($C72,'All Girls &amp; Descendants - Edit'!$C$2:$AK$440,'All Girls &amp; Descendants - Edit'!AC$1,FALSE)=""," - ",(VLOOKUP($C72,'All Girls &amp; Descendants - Edit'!$C$2:$AK$440,'All Girls &amp; Descendants - Edit'!AC$1,FALSE)))</f>
        <v>1071</v>
      </c>
      <c r="AD72" s="3" t="str">
        <f>IF(VLOOKUP($C72,'All Girls &amp; Descendants - Edit'!$C$2:$AK$440,'All Girls &amp; Descendants - Edit'!AD$1,FALSE)=""," - ",(VLOOKUP($C72,'All Girls &amp; Descendants - Edit'!$C$2:$AK$440,'All Girls &amp; Descendants - Edit'!AD$1,FALSE)))</f>
        <v>102b</v>
      </c>
      <c r="AE72" s="3" t="str">
        <f>IF(VLOOKUP($C72,'All Girls &amp; Descendants - Edit'!$C$2:$AK$440,'All Girls &amp; Descendants - Edit'!AE$1,FALSE)=""," - ",(VLOOKUP($C72,'All Girls &amp; Descendants - Edit'!$C$2:$AK$440,'All Girls &amp; Descendants - Edit'!AE$1,FALSE)))</f>
        <v>Lindsay Fergus  DUNLOP (1958 - )</v>
      </c>
      <c r="AF72" s="3" t="str">
        <f>IF(VLOOKUP($C72,'All Girls &amp; Descendants - Edit'!$C$2:$AK$440,'All Girls &amp; Descendants - Edit'!AF$1,FALSE)=""," - ",(VLOOKUP($C72,'All Girls &amp; Descendants - Edit'!$C$2:$AK$440,'All Girls &amp; Descendants - Edit'!AF$1,FALSE)))</f>
        <v>Fergus DUNLOP (6th &amp; 102)</v>
      </c>
      <c r="AG72" s="3" t="str">
        <f>IF(VLOOKUP($C72,'All Girls &amp; Descendants - Edit'!$C$2:$AK$440,'All Girls &amp; Descendants - Edit'!AG$1,FALSE)=""," - ",(VLOOKUP($C72,'All Girls &amp; Descendants - Edit'!$C$2:$AK$440,'All Girls &amp; Descendants - Edit'!AG$1,FALSE)))</f>
        <v>Male</v>
      </c>
      <c r="AH72" s="3" t="str">
        <f>IF(VLOOKUP($C72,'All Girls &amp; Descendants - Edit'!$C$2:$AK$440,'All Girls &amp; Descendants - Edit'!AH$1,FALSE)=""," - ",(VLOOKUP($C72,'All Girls &amp; Descendants - Edit'!$C$2:$AK$440,'All Girls &amp; Descendants - Edit'!AH$1,FALSE)))</f>
        <v>6th</v>
      </c>
      <c r="AI72" s="3" t="str">
        <f>IF(VLOOKUP($C72,'All Girls &amp; Descendants - Edit'!$C$2:$AK$440,'All Girls &amp; Descendants - Edit'!AI$1,FALSE)=""," - ",(VLOOKUP($C72,'All Girls &amp; Descendants - Edit'!$C$2:$AK$440,'All Girls &amp; Descendants - Edit'!AI$1,FALSE)))</f>
        <v>Wife: Miranda Grace ELGIN. Married at St Mary Abbots, London, W8, Miranda Grace (b. 14 Oct 1964 at St Mary’s Hospital, Paddington, London W2) only daughter of Robert Warren ELGIN of Brunswick Gardens, London, W8.</v>
      </c>
      <c r="AJ72" s="3" t="str">
        <f>IF(VLOOKUP($C72,'All Girls &amp; Descendants - Edit'!$C$2:$AK$440,'All Girls &amp; Descendants - Edit'!AJ$1,FALSE)=""," - ",(VLOOKUP($C72,'All Girls &amp; Descendants - Edit'!$C$2:$AK$440,'All Girls &amp; Descendants - Edit'!AJ$1,FALSE)))</f>
        <v>Male. b. 23/05/1958 Lindsay, known as Fergus, of Fosse André, St Peter Port, Guernsey. Born at Queen Charlotte’s Hospital, London. Baptised 9 Aug 1958 at St Mary and All Saints’, Beaconsfield, Buckinghamshire. Educated Eton 1971-76, Bristol 1977-80 (BA Hons History) and St Edmund Hall, Oxford 1980-83 (M Phil, Management Studies). Macmillan Publishers 1983-85. Burton Group 1985-87. Mercury Asset Management (now BlackRock) London 1987-1997, Frankfurt 1997-2001. From 2002, investment company directorships in Munich, Jersey and Guernsey. UK: Fellow, Institute of Directors, 2016. Patron, St Anne’s, Bowden Hill from 2014 (founding Co-ordinator, Friends of St Anne’s from 2021). Guernsey: Founding Co-ordinator, Bus Users Guernsey from 2009. Constable (chair), St Saviour’s Parish, 2010-13, Campaign lead in referendum on electoral reform, 2018, Church Property Management Board, 2018-22. Author of ‘Borderline Pass’ (2020) and ‘The Lady With No Name’ (2021).</v>
      </c>
      <c r="AK72" s="3" t="str">
        <f>IF(VLOOKUP($C72,'All Girls &amp; Descendants - Edit'!$C$2:$AK$440,'All Girls &amp; Descendants - Edit'!AK$1,FALSE)=""," - ",(VLOOKUP($C72,'All Girls &amp; Descendants - Edit'!$C$2:$AK$440,'All Girls &amp; Descendants - Edit'!AK$1,FALSE)))</f>
        <v>b. 23/05/1958</v>
      </c>
      <c r="AS72" s="72">
        <v>165</v>
      </c>
      <c r="BB72">
        <v>1</v>
      </c>
      <c r="BH72">
        <v>1</v>
      </c>
      <c r="BI72">
        <v>1</v>
      </c>
    </row>
    <row r="73" spans="1:61" ht="19">
      <c r="A73">
        <f>VLOOKUP(B73,'Loyd List 1-190 - Edit'!$P$1:$R$219,3,FALSE)</f>
        <v>62</v>
      </c>
      <c r="B73">
        <f>'All Girls &amp; Descendants - Edit'!B74</f>
        <v>102</v>
      </c>
      <c r="C73" s="98" t="str">
        <f>'All Girls &amp; Descendants - Edit'!C74</f>
        <v>102c</v>
      </c>
      <c r="D73" s="2" t="str">
        <f>'All Girls &amp; Descendants - Edit'!D74</f>
        <v>DUNLOP</v>
      </c>
      <c r="E73" t="str">
        <f>'All Girls &amp; Descendants - Edit'!E74</f>
        <v>Celina</v>
      </c>
      <c r="F73" t="str">
        <f>IF('All Girls &amp; Descendants - Edit'!F74="","",'All Girls &amp; Descendants - Edit'!F74)</f>
        <v>Elizabeth</v>
      </c>
      <c r="G73" t="str">
        <f>IF('All Girls &amp; Descendants - Edit'!G74="","",'All Girls &amp; Descendants - Edit'!G74)</f>
        <v/>
      </c>
      <c r="H73" t="str">
        <f>IF('All Girls &amp; Descendants - Edit'!H74="","",'All Girls &amp; Descendants - Edit'!H74)</f>
        <v/>
      </c>
      <c r="I73">
        <f>VLOOKUP($C73,'All Girls &amp; Descendants - Edit'!$C$2:$AK$440,'All Girls &amp; Descendants - Edit'!I$1,FALSE)</f>
        <v>1960</v>
      </c>
      <c r="J73" t="str">
        <f>VLOOKUP($C73,'All Girls &amp; Descendants - Edit'!$C$2:$AK$440,'All Girls &amp; Descendants - Edit'!J$1,FALSE)</f>
        <v/>
      </c>
      <c r="K73" s="9"/>
      <c r="L73" t="str">
        <f t="shared" si="10"/>
        <v>22/09/1960</v>
      </c>
      <c r="M73" s="3">
        <f>VLOOKUP($C73,'All Girls &amp; Descendants - Edit'!$C$2:$AK$440,'All Girls &amp; Descendants - Edit'!M$1,FALSE)</f>
        <v>22181</v>
      </c>
      <c r="N73" s="3" t="str">
        <f>IF(VLOOKUP($C73,'All Girls &amp; Descendants - Edit'!$C$2:$AK$440,'All Girls &amp; Descendants - Edit'!N$1,FALSE)=""," - ",(VLOOKUP($C73,'All Girls &amp; Descendants - Edit'!$C$2:$AK$440,'All Girls &amp; Descendants - Edit'!N$1,FALSE)))</f>
        <v xml:space="preserve"> - </v>
      </c>
      <c r="O73" s="3" t="str">
        <f>IF(VLOOKUP($C73,'All Girls &amp; Descendants - Edit'!$C$2:$AK$440,'All Girls &amp; Descendants - Edit'!O$1,FALSE)="","",(VLOOKUP($C73,'All Girls &amp; Descendants - Edit'!$C$2:$AK$440,'All Girls &amp; Descendants - Edit'!O$1,FALSE)))</f>
        <v/>
      </c>
      <c r="P73" s="3" t="str">
        <f t="shared" si="14"/>
        <v/>
      </c>
      <c r="Q73" s="178" t="str">
        <f t="shared" si="15"/>
        <v>102</v>
      </c>
      <c r="R73" s="23"/>
      <c r="S73" t="str">
        <f>VLOOKUP($C73,'All Girls &amp; Descendants - Edit'!$C$2:$AK$440,'All Girls &amp; Descendants - Edit'!S$1,FALSE)</f>
        <v>Female</v>
      </c>
      <c r="T73" s="176">
        <f t="shared" si="16"/>
        <v>6</v>
      </c>
      <c r="U73" s="176">
        <f t="shared" si="11"/>
        <v>4</v>
      </c>
      <c r="V73" s="176">
        <f t="shared" si="12"/>
        <v>5</v>
      </c>
      <c r="W73" s="177">
        <f t="shared" si="13"/>
        <v>1</v>
      </c>
      <c r="X73" s="3" t="str">
        <f>IF(VLOOKUP($C73,'All Girls &amp; Descendants - Edit'!$C$2:$AK$440,'All Girls &amp; Descendants - Edit'!X$1,FALSE)=""," - ",(VLOOKUP($C73,'All Girls &amp; Descendants - Edit'!$C$2:$AK$440,'All Girls &amp; Descendants - Edit'!X$1,FALSE)))</f>
        <v xml:space="preserve"> - </v>
      </c>
      <c r="Y73" s="3" t="str">
        <f>IF(VLOOKUP($C73,'All Girls &amp; Descendants - Edit'!$C$2:$AK$440,'All Girls &amp; Descendants - Edit'!Y$1,FALSE)=""," - ",(VLOOKUP($C73,'All Girls &amp; Descendants - Edit'!$C$2:$AK$440,'All Girls &amp; Descendants - Edit'!Y$1,FALSE)))</f>
        <v xml:space="preserve"> - </v>
      </c>
      <c r="Z73" s="3" t="str">
        <f>IF(VLOOKUP($C73,'All Girls &amp; Descendants - Edit'!$C$2:$AK$440,'All Girls &amp; Descendants - Edit'!Z$1,FALSE)=""," - ",(VLOOKUP($C73,'All Girls &amp; Descendants - Edit'!$C$2:$AK$440,'All Girls &amp; Descendants - Edit'!Z$1,FALSE)))</f>
        <v>Celina of 10 St Peter’s Place, London, W9 2EE. Born 22 Sep 1960 at Queen Charlotte’s Hospital, London. Baptised 10 Dec 1960 at St Mary and All Saints’, Beaconsfield, Buckinghamshire. Educated St Mary’s, Calne, Wiltshire 1972-76 and Queen’s Gate School, London 1976-77. Picture Researcher, Octopus Books 1978-86. Picture Editor, Radio Times 1986-90. Picture Editor, The Economist 1990-2019.</v>
      </c>
      <c r="AA73" s="101">
        <f>IF(VLOOKUP($C73,'All Girls &amp; Descendants - Edit'!$C$2:$AK$440,'All Girls &amp; Descendants - Edit'!AA$1,FALSE)=""," - ",(VLOOKUP($C73,'All Girls &amp; Descendants - Edit'!$C$2:$AK$440,'All Girls &amp; Descendants - Edit'!AA$1,FALSE)))</f>
        <v>255</v>
      </c>
      <c r="AB73" s="101">
        <f>IF(VLOOKUP($C73,'All Girls &amp; Descendants - Edit'!$C$2:$AK$440,'All Girls &amp; Descendants - Edit'!AB$1,FALSE)=""," - ",(VLOOKUP($C73,'All Girls &amp; Descendants - Edit'!$C$2:$AK$440,'All Girls &amp; Descendants - Edit'!AB$1,FALSE)))</f>
        <v>72</v>
      </c>
      <c r="AC73" s="101">
        <f>IF(VLOOKUP($C73,'All Girls &amp; Descendants - Edit'!$C$2:$AK$440,'All Girls &amp; Descendants - Edit'!AC$1,FALSE)=""," - ",(VLOOKUP($C73,'All Girls &amp; Descendants - Edit'!$C$2:$AK$440,'All Girls &amp; Descendants - Edit'!AC$1,FALSE)))</f>
        <v>1072</v>
      </c>
      <c r="AD73" s="3" t="str">
        <f>IF(VLOOKUP($C73,'All Girls &amp; Descendants - Edit'!$C$2:$AK$440,'All Girls &amp; Descendants - Edit'!AD$1,FALSE)=""," - ",(VLOOKUP($C73,'All Girls &amp; Descendants - Edit'!$C$2:$AK$440,'All Girls &amp; Descendants - Edit'!AD$1,FALSE)))</f>
        <v>102c</v>
      </c>
      <c r="AE73" s="3" t="str">
        <f>IF(VLOOKUP($C73,'All Girls &amp; Descendants - Edit'!$C$2:$AK$440,'All Girls &amp; Descendants - Edit'!AE$1,FALSE)=""," - ",(VLOOKUP($C73,'All Girls &amp; Descendants - Edit'!$C$2:$AK$440,'All Girls &amp; Descendants - Edit'!AE$1,FALSE)))</f>
        <v>Celina Elizabeth  DUNLOP (1960 - )</v>
      </c>
      <c r="AF73" s="3" t="str">
        <f>IF(VLOOKUP($C73,'All Girls &amp; Descendants - Edit'!$C$2:$AK$440,'All Girls &amp; Descendants - Edit'!AF$1,FALSE)=""," - ",(VLOOKUP($C73,'All Girls &amp; Descendants - Edit'!$C$2:$AK$440,'All Girls &amp; Descendants - Edit'!AF$1,FALSE)))</f>
        <v>Celina DUNLOP (6th &amp; 102)</v>
      </c>
      <c r="AG73" s="3" t="str">
        <f>IF(VLOOKUP($C73,'All Girls &amp; Descendants - Edit'!$C$2:$AK$440,'All Girls &amp; Descendants - Edit'!AG$1,FALSE)=""," - ",(VLOOKUP($C73,'All Girls &amp; Descendants - Edit'!$C$2:$AK$440,'All Girls &amp; Descendants - Edit'!AG$1,FALSE)))</f>
        <v>Female</v>
      </c>
      <c r="AH73" s="3" t="str">
        <f>IF(VLOOKUP($C73,'All Girls &amp; Descendants - Edit'!$C$2:$AK$440,'All Girls &amp; Descendants - Edit'!AH$1,FALSE)=""," - ",(VLOOKUP($C73,'All Girls &amp; Descendants - Edit'!$C$2:$AK$440,'All Girls &amp; Descendants - Edit'!AH$1,FALSE)))</f>
        <v>6th</v>
      </c>
      <c r="AI73" s="3" t="str">
        <f>IF(VLOOKUP($C73,'All Girls &amp; Descendants - Edit'!$C$2:$AK$440,'All Girls &amp; Descendants - Edit'!AI$1,FALSE)=""," - ",(VLOOKUP($C73,'All Girls &amp; Descendants - Edit'!$C$2:$AK$440,'All Girls &amp; Descendants - Edit'!AI$1,FALSE)))</f>
        <v>Unmarried</v>
      </c>
      <c r="AJ73" s="3" t="str">
        <f>IF(VLOOKUP($C73,'All Girls &amp; Descendants - Edit'!$C$2:$AK$440,'All Girls &amp; Descendants - Edit'!AJ$1,FALSE)=""," - ",(VLOOKUP($C73,'All Girls &amp; Descendants - Edit'!$C$2:$AK$440,'All Girls &amp; Descendants - Edit'!AJ$1,FALSE)))</f>
        <v>Female. b. 22/09/1960 Celina of 10 St Peter’s Place, London, W9 2EE. Born 22 Sep 1960 at Queen Charlotte’s Hospital, London. Baptised 10 Dec 1960 at St Mary and All Saints’, Beaconsfield, Buckinghamshire. Educated St Mary’s, Calne, Wiltshire 1972-76 and Queen’s Gate School, London 1976-77. Picture Researcher, Octopus Books 1978-86. Picture Editor, Radio Times 1986-90. Picture Editor, The Economist 1990-2019.</v>
      </c>
      <c r="AK73" s="3" t="str">
        <f>IF(VLOOKUP($C73,'All Girls &amp; Descendants - Edit'!$C$2:$AK$440,'All Girls &amp; Descendants - Edit'!AK$1,FALSE)=""," - ",(VLOOKUP($C73,'All Girls &amp; Descendants - Edit'!$C$2:$AK$440,'All Girls &amp; Descendants - Edit'!AK$1,FALSE)))</f>
        <v>b. 22/09/1960</v>
      </c>
      <c r="AS73" s="72">
        <v>168</v>
      </c>
      <c r="BB73">
        <v>1</v>
      </c>
      <c r="BH73">
        <v>1</v>
      </c>
      <c r="BI73">
        <v>1</v>
      </c>
    </row>
    <row r="74" spans="1:61" ht="19">
      <c r="A74">
        <f>VLOOKUP(B74,'Loyd List 1-190 - Edit'!$P$1:$R$219,3,FALSE)</f>
        <v>72</v>
      </c>
      <c r="B74">
        <f>'All Girls &amp; Descendants - Edit'!B75</f>
        <v>103</v>
      </c>
      <c r="C74" s="98" t="str">
        <f>'All Girls &amp; Descendants - Edit'!C75</f>
        <v>103a</v>
      </c>
      <c r="D74" s="2" t="str">
        <f>'All Girls &amp; Descendants - Edit'!D75</f>
        <v>GORE-BROWNE</v>
      </c>
      <c r="E74" t="str">
        <f>'All Girls &amp; Descendants - Edit'!E75</f>
        <v>James</v>
      </c>
      <c r="F74" t="str">
        <f>IF('All Girls &amp; Descendants - Edit'!F75="","",'All Girls &amp; Descendants - Edit'!F75)</f>
        <v>Anthony</v>
      </c>
      <c r="G74" t="str">
        <f>IF('All Girls &amp; Descendants - Edit'!G75="","",'All Girls &amp; Descendants - Edit'!G75)</f>
        <v/>
      </c>
      <c r="H74" t="str">
        <f>IF('All Girls &amp; Descendants - Edit'!H75="","",'All Girls &amp; Descendants - Edit'!H75)</f>
        <v/>
      </c>
      <c r="I74">
        <f>VLOOKUP($C74,'All Girls &amp; Descendants - Edit'!$C$2:$AK$440,'All Girls &amp; Descendants - Edit'!I$1,FALSE)</f>
        <v>1947</v>
      </c>
      <c r="J74" t="str">
        <f>VLOOKUP($C74,'All Girls &amp; Descendants - Edit'!$C$2:$AK$440,'All Girls &amp; Descendants - Edit'!J$1,FALSE)</f>
        <v/>
      </c>
      <c r="K74" s="9"/>
      <c r="L74" t="str">
        <f t="shared" si="10"/>
        <v>26/03/1947</v>
      </c>
      <c r="M74" s="3">
        <f>VLOOKUP($C74,'All Girls &amp; Descendants - Edit'!$C$2:$AK$440,'All Girls &amp; Descendants - Edit'!M$1,FALSE)</f>
        <v>17252</v>
      </c>
      <c r="N74" s="3">
        <f>IF(VLOOKUP($C74,'All Girls &amp; Descendants - Edit'!$C$2:$AK$440,'All Girls &amp; Descendants - Edit'!N$1,FALSE)=""," - ",(VLOOKUP($C74,'All Girls &amp; Descendants - Edit'!$C$2:$AK$440,'All Girls &amp; Descendants - Edit'!N$1,FALSE)))</f>
        <v>30422</v>
      </c>
      <c r="O74" s="3" t="str">
        <f>IF(VLOOKUP($C74,'All Girls &amp; Descendants - Edit'!$C$2:$AK$440,'All Girls &amp; Descendants - Edit'!O$1,FALSE)="","",(VLOOKUP($C74,'All Girls &amp; Descendants - Edit'!$C$2:$AK$440,'All Girls &amp; Descendants - Edit'!O$1,FALSE)))</f>
        <v/>
      </c>
      <c r="P74" s="3" t="str">
        <f t="shared" si="14"/>
        <v/>
      </c>
      <c r="Q74" s="178" t="str">
        <f t="shared" si="15"/>
        <v>103</v>
      </c>
      <c r="R74" s="23"/>
      <c r="S74" t="str">
        <f>VLOOKUP($C74,'All Girls &amp; Descendants - Edit'!$C$2:$AK$440,'All Girls &amp; Descendants - Edit'!S$1,FALSE)</f>
        <v>Male</v>
      </c>
      <c r="T74" s="176">
        <f t="shared" si="16"/>
        <v>6</v>
      </c>
      <c r="U74" s="176">
        <f t="shared" si="11"/>
        <v>4</v>
      </c>
      <c r="V74" s="176">
        <f t="shared" si="12"/>
        <v>5</v>
      </c>
      <c r="W74" s="177">
        <f t="shared" si="13"/>
        <v>1</v>
      </c>
      <c r="X74" s="3" t="str">
        <f>IF(VLOOKUP($C74,'All Girls &amp; Descendants - Edit'!$C$2:$AK$440,'All Girls &amp; Descendants - Edit'!X$1,FALSE)=""," - ",(VLOOKUP($C74,'All Girls &amp; Descendants - Edit'!$C$2:$AK$440,'All Girls &amp; Descendants - Edit'!X$1,FALSE)))</f>
        <v>Jane Ann (b. 05/04/1947, ) DICKSON</v>
      </c>
      <c r="Y74" s="3" t="str">
        <f>IF(VLOOKUP($C74,'All Girls &amp; Descendants - Edit'!$C$2:$AK$440,'All Girls &amp; Descendants - Edit'!Y$1,FALSE)=""," - ",(VLOOKUP($C74,'All Girls &amp; Descendants - Edit'!$C$2:$AK$440,'All Girls &amp; Descendants - Edit'!Y$1,FALSE)))</f>
        <v>Married at Symington, Ayrshire, Jane  eldest daughter of Colonel Seton DICKSON of Field House, Ayrshire.</v>
      </c>
      <c r="Z74" s="3" t="str">
        <f>IF(VLOOKUP($C74,'All Girls &amp; Descendants - Edit'!$C$2:$AK$440,'All Girls &amp; Descendants - Edit'!Z$1,FALSE)=""," - ",(VLOOKUP($C74,'All Girls &amp; Descendants - Edit'!$C$2:$AK$440,'All Girls &amp; Descendants - Edit'!Z$1,FALSE)))</f>
        <v>Baptised 3 Jun 1947 in London. Educated Eton 1960-65.</v>
      </c>
      <c r="AA74" s="101">
        <f>IF(VLOOKUP($C74,'All Girls &amp; Descendants - Edit'!$C$2:$AK$440,'All Girls &amp; Descendants - Edit'!AA$1,FALSE)=""," - ",(VLOOKUP($C74,'All Girls &amp; Descendants - Edit'!$C$2:$AK$440,'All Girls &amp; Descendants - Edit'!AA$1,FALSE)))</f>
        <v>256</v>
      </c>
      <c r="AB74" s="101">
        <f>IF(VLOOKUP($C74,'All Girls &amp; Descendants - Edit'!$C$2:$AK$440,'All Girls &amp; Descendants - Edit'!AB$1,FALSE)=""," - ",(VLOOKUP($C74,'All Girls &amp; Descendants - Edit'!$C$2:$AK$440,'All Girls &amp; Descendants - Edit'!AB$1,FALSE)))</f>
        <v>73</v>
      </c>
      <c r="AC74" s="101">
        <f>IF(VLOOKUP($C74,'All Girls &amp; Descendants - Edit'!$C$2:$AK$440,'All Girls &amp; Descendants - Edit'!AC$1,FALSE)=""," - ",(VLOOKUP($C74,'All Girls &amp; Descendants - Edit'!$C$2:$AK$440,'All Girls &amp; Descendants - Edit'!AC$1,FALSE)))</f>
        <v>1073</v>
      </c>
      <c r="AD74" s="3" t="str">
        <f>IF(VLOOKUP($C74,'All Girls &amp; Descendants - Edit'!$C$2:$AK$440,'All Girls &amp; Descendants - Edit'!AD$1,FALSE)=""," - ",(VLOOKUP($C74,'All Girls &amp; Descendants - Edit'!$C$2:$AK$440,'All Girls &amp; Descendants - Edit'!AD$1,FALSE)))</f>
        <v>103a</v>
      </c>
      <c r="AE74" s="3" t="str">
        <f>IF(VLOOKUP($C74,'All Girls &amp; Descendants - Edit'!$C$2:$AK$440,'All Girls &amp; Descendants - Edit'!AE$1,FALSE)=""," - ",(VLOOKUP($C74,'All Girls &amp; Descendants - Edit'!$C$2:$AK$440,'All Girls &amp; Descendants - Edit'!AE$1,FALSE)))</f>
        <v>James Anthony  GORE-BROWNE (1947 - )</v>
      </c>
      <c r="AF74" s="3" t="str">
        <f>IF(VLOOKUP($C74,'All Girls &amp; Descendants - Edit'!$C$2:$AK$440,'All Girls &amp; Descendants - Edit'!AF$1,FALSE)=""," - ",(VLOOKUP($C74,'All Girls &amp; Descendants - Edit'!$C$2:$AK$440,'All Girls &amp; Descendants - Edit'!AF$1,FALSE)))</f>
        <v>James GORE-BROWNE (6th &amp; 103)</v>
      </c>
      <c r="AG74" s="3" t="str">
        <f>IF(VLOOKUP($C74,'All Girls &amp; Descendants - Edit'!$C$2:$AK$440,'All Girls &amp; Descendants - Edit'!AG$1,FALSE)=""," - ",(VLOOKUP($C74,'All Girls &amp; Descendants - Edit'!$C$2:$AK$440,'All Girls &amp; Descendants - Edit'!AG$1,FALSE)))</f>
        <v>Male</v>
      </c>
      <c r="AH74" s="3" t="str">
        <f>IF(VLOOKUP($C74,'All Girls &amp; Descendants - Edit'!$C$2:$AK$440,'All Girls &amp; Descendants - Edit'!AH$1,FALSE)=""," - ",(VLOOKUP($C74,'All Girls &amp; Descendants - Edit'!$C$2:$AK$440,'All Girls &amp; Descendants - Edit'!AH$1,FALSE)))</f>
        <v>6th</v>
      </c>
      <c r="AI74" s="3" t="str">
        <f>IF(VLOOKUP($C74,'All Girls &amp; Descendants - Edit'!$C$2:$AK$440,'All Girls &amp; Descendants - Edit'!AI$1,FALSE)=""," - ",(VLOOKUP($C74,'All Girls &amp; Descendants - Edit'!$C$2:$AK$440,'All Girls &amp; Descendants - Edit'!AI$1,FALSE)))</f>
        <v>Wife: Jane Ann (b. 05/04/1947, ) DICKSON. Married at Symington, Ayrshire, Jane  eldest daughter of Colonel Seton DICKSON of Field House, Ayrshire.</v>
      </c>
      <c r="AJ74" s="3" t="str">
        <f>IF(VLOOKUP($C74,'All Girls &amp; Descendants - Edit'!$C$2:$AK$440,'All Girls &amp; Descendants - Edit'!AJ$1,FALSE)=""," - ",(VLOOKUP($C74,'All Girls &amp; Descendants - Edit'!$C$2:$AK$440,'All Girls &amp; Descendants - Edit'!AJ$1,FALSE)))</f>
        <v>Male. b. 26/03/1947 Baptised 3 Jun 1947 in London. Educated Eton 1960-65.</v>
      </c>
      <c r="AK74" s="3" t="str">
        <f>IF(VLOOKUP($C74,'All Girls &amp; Descendants - Edit'!$C$2:$AK$440,'All Girls &amp; Descendants - Edit'!AK$1,FALSE)=""," - ",(VLOOKUP($C74,'All Girls &amp; Descendants - Edit'!$C$2:$AK$440,'All Girls &amp; Descendants - Edit'!AK$1,FALSE)))</f>
        <v>b. 26/03/1947</v>
      </c>
      <c r="AS74" s="72">
        <v>170</v>
      </c>
      <c r="BB74">
        <v>1</v>
      </c>
      <c r="BH74">
        <v>1</v>
      </c>
      <c r="BI74">
        <v>1</v>
      </c>
    </row>
    <row r="75" spans="1:61" ht="19">
      <c r="A75">
        <f>VLOOKUP(B75,'Loyd List 1-190 - Edit'!$P$1:$R$219,3,FALSE)</f>
        <v>72</v>
      </c>
      <c r="B75">
        <f>'All Girls &amp; Descendants - Edit'!B76</f>
        <v>103</v>
      </c>
      <c r="C75" s="98" t="str">
        <f>'All Girls &amp; Descendants - Edit'!C76</f>
        <v>103b</v>
      </c>
      <c r="D75" s="2" t="str">
        <f>'All Girls &amp; Descendants - Edit'!D76</f>
        <v>GORE-BROWNE</v>
      </c>
      <c r="E75" t="str">
        <f>'All Girls &amp; Descendants - Edit'!E76</f>
        <v>Georgina</v>
      </c>
      <c r="F75" t="str">
        <f>IF('All Girls &amp; Descendants - Edit'!F76="","",'All Girls &amp; Descendants - Edit'!F76)</f>
        <v>Mary</v>
      </c>
      <c r="G75" t="str">
        <f>IF('All Girls &amp; Descendants - Edit'!G76="","",'All Girls &amp; Descendants - Edit'!G76)</f>
        <v/>
      </c>
      <c r="H75" t="str">
        <f>IF('All Girls &amp; Descendants - Edit'!H76="","",'All Girls &amp; Descendants - Edit'!H76)</f>
        <v/>
      </c>
      <c r="I75">
        <f>VLOOKUP($C75,'All Girls &amp; Descendants - Edit'!$C$2:$AK$440,'All Girls &amp; Descendants - Edit'!I$1,FALSE)</f>
        <v>1949</v>
      </c>
      <c r="J75" t="str">
        <f>VLOOKUP($C75,'All Girls &amp; Descendants - Edit'!$C$2:$AK$440,'All Girls &amp; Descendants - Edit'!J$1,FALSE)</f>
        <v/>
      </c>
      <c r="K75" s="9"/>
      <c r="L75" t="str">
        <f t="shared" si="10"/>
        <v>25/01/1949</v>
      </c>
      <c r="M75" s="3">
        <f>VLOOKUP($C75,'All Girls &amp; Descendants - Edit'!$C$2:$AK$440,'All Girls &amp; Descendants - Edit'!M$1,FALSE)</f>
        <v>17923</v>
      </c>
      <c r="N75" s="3">
        <f>IF(VLOOKUP($C75,'All Girls &amp; Descendants - Edit'!$C$2:$AK$440,'All Girls &amp; Descendants - Edit'!N$1,FALSE)=""," - ",(VLOOKUP($C75,'All Girls &amp; Descendants - Edit'!$C$2:$AK$440,'All Girls &amp; Descendants - Edit'!N$1,FALSE)))</f>
        <v>25603</v>
      </c>
      <c r="O75" s="3" t="str">
        <f>IF(VLOOKUP($C75,'All Girls &amp; Descendants - Edit'!$C$2:$AK$440,'All Girls &amp; Descendants - Edit'!O$1,FALSE)="","",(VLOOKUP($C75,'All Girls &amp; Descendants - Edit'!$C$2:$AK$440,'All Girls &amp; Descendants - Edit'!O$1,FALSE)))</f>
        <v/>
      </c>
      <c r="P75" s="3" t="str">
        <f t="shared" si="14"/>
        <v/>
      </c>
      <c r="Q75" s="178" t="str">
        <f t="shared" si="15"/>
        <v>103</v>
      </c>
      <c r="R75" s="23"/>
      <c r="S75" t="str">
        <f>VLOOKUP($C75,'All Girls &amp; Descendants - Edit'!$C$2:$AK$440,'All Girls &amp; Descendants - Edit'!S$1,FALSE)</f>
        <v>Female</v>
      </c>
      <c r="T75" s="176">
        <f t="shared" si="16"/>
        <v>6</v>
      </c>
      <c r="U75" s="176">
        <f t="shared" si="11"/>
        <v>4</v>
      </c>
      <c r="V75" s="176">
        <f t="shared" si="12"/>
        <v>5</v>
      </c>
      <c r="W75" s="177">
        <f t="shared" si="13"/>
        <v>1</v>
      </c>
      <c r="X75" s="3" t="str">
        <f>IF(VLOOKUP($C75,'All Girls &amp; Descendants - Edit'!$C$2:$AK$440,'All Girls &amp; Descendants - Edit'!X$1,FALSE)=""," - ",(VLOOKUP($C75,'All Girls &amp; Descendants - Edit'!$C$2:$AK$440,'All Girls &amp; Descendants - Edit'!X$1,FALSE)))</f>
        <v>Christopher PILKINGTON (b. 05/02/1947, )</v>
      </c>
      <c r="Y75" s="3" t="str">
        <f>IF(VLOOKUP($C75,'All Girls &amp; Descendants - Edit'!$C$2:$AK$440,'All Girls &amp; Descendants - Edit'!Y$1,FALSE)=""," - ",(VLOOKUP($C75,'All Girls &amp; Descendants - Edit'!$C$2:$AK$440,'All Girls &amp; Descendants - Edit'!Y$1,FALSE)))</f>
        <v>Married Christopher  2nd son of T.D. PILKINGTON of Hyde Mill, Stow-on-the-Wold, Gloucestershire.</v>
      </c>
      <c r="Z75" s="3" t="str">
        <f>IF(VLOOKUP($C75,'All Girls &amp; Descendants - Edit'!$C$2:$AK$440,'All Girls &amp; Descendants - Edit'!Z$1,FALSE)=""," - ",(VLOOKUP($C75,'All Girls &amp; Descendants - Edit'!$C$2:$AK$440,'All Girls &amp; Descendants - Edit'!Z$1,FALSE)))</f>
        <v>Baptised at Fryerning, Essex. Educated Downham, Hertfordshire.</v>
      </c>
      <c r="AA75" s="101">
        <f>IF(VLOOKUP($C75,'All Girls &amp; Descendants - Edit'!$C$2:$AK$440,'All Girls &amp; Descendants - Edit'!AA$1,FALSE)=""," - ",(VLOOKUP($C75,'All Girls &amp; Descendants - Edit'!$C$2:$AK$440,'All Girls &amp; Descendants - Edit'!AA$1,FALSE)))</f>
        <v>260</v>
      </c>
      <c r="AB75" s="101">
        <f>IF(VLOOKUP($C75,'All Girls &amp; Descendants - Edit'!$C$2:$AK$440,'All Girls &amp; Descendants - Edit'!AB$1,FALSE)=""," - ",(VLOOKUP($C75,'All Girls &amp; Descendants - Edit'!$C$2:$AK$440,'All Girls &amp; Descendants - Edit'!AB$1,FALSE)))</f>
        <v>74</v>
      </c>
      <c r="AC75" s="101">
        <f>IF(VLOOKUP($C75,'All Girls &amp; Descendants - Edit'!$C$2:$AK$440,'All Girls &amp; Descendants - Edit'!AC$1,FALSE)=""," - ",(VLOOKUP($C75,'All Girls &amp; Descendants - Edit'!$C$2:$AK$440,'All Girls &amp; Descendants - Edit'!AC$1,FALSE)))</f>
        <v>1074</v>
      </c>
      <c r="AD75" s="3" t="str">
        <f>IF(VLOOKUP($C75,'All Girls &amp; Descendants - Edit'!$C$2:$AK$440,'All Girls &amp; Descendants - Edit'!AD$1,FALSE)=""," - ",(VLOOKUP($C75,'All Girls &amp; Descendants - Edit'!$C$2:$AK$440,'All Girls &amp; Descendants - Edit'!AD$1,FALSE)))</f>
        <v>103b</v>
      </c>
      <c r="AE75" s="3" t="str">
        <f>IF(VLOOKUP($C75,'All Girls &amp; Descendants - Edit'!$C$2:$AK$440,'All Girls &amp; Descendants - Edit'!AE$1,FALSE)=""," - ",(VLOOKUP($C75,'All Girls &amp; Descendants - Edit'!$C$2:$AK$440,'All Girls &amp; Descendants - Edit'!AE$1,FALSE)))</f>
        <v>Georgina Mary  GORE-BROWNE (1949 - )</v>
      </c>
      <c r="AF75" s="3" t="str">
        <f>IF(VLOOKUP($C75,'All Girls &amp; Descendants - Edit'!$C$2:$AK$440,'All Girls &amp; Descendants - Edit'!AF$1,FALSE)=""," - ",(VLOOKUP($C75,'All Girls &amp; Descendants - Edit'!$C$2:$AK$440,'All Girls &amp; Descendants - Edit'!AF$1,FALSE)))</f>
        <v>Georgina GORE-BROWNE (6th &amp; 103)</v>
      </c>
      <c r="AG75" s="3" t="str">
        <f>IF(VLOOKUP($C75,'All Girls &amp; Descendants - Edit'!$C$2:$AK$440,'All Girls &amp; Descendants - Edit'!AG$1,FALSE)=""," - ",(VLOOKUP($C75,'All Girls &amp; Descendants - Edit'!$C$2:$AK$440,'All Girls &amp; Descendants - Edit'!AG$1,FALSE)))</f>
        <v>Female</v>
      </c>
      <c r="AH75" s="3" t="str">
        <f>IF(VLOOKUP($C75,'All Girls &amp; Descendants - Edit'!$C$2:$AK$440,'All Girls &amp; Descendants - Edit'!AH$1,FALSE)=""," - ",(VLOOKUP($C75,'All Girls &amp; Descendants - Edit'!$C$2:$AK$440,'All Girls &amp; Descendants - Edit'!AH$1,FALSE)))</f>
        <v>6th</v>
      </c>
      <c r="AI75" s="3" t="str">
        <f>IF(VLOOKUP($C75,'All Girls &amp; Descendants - Edit'!$C$2:$AK$440,'All Girls &amp; Descendants - Edit'!AI$1,FALSE)=""," - ",(VLOOKUP($C75,'All Girls &amp; Descendants - Edit'!$C$2:$AK$440,'All Girls &amp; Descendants - Edit'!AI$1,FALSE)))</f>
        <v>Husband: Christopher PILKINGTON (b. 05/02/1947, ). Married Christopher  2nd son of T.D. PILKINGTON of Hyde Mill, Stow-on-the-Wold, Gloucestershire.</v>
      </c>
      <c r="AJ75" s="3" t="str">
        <f>IF(VLOOKUP($C75,'All Girls &amp; Descendants - Edit'!$C$2:$AK$440,'All Girls &amp; Descendants - Edit'!AJ$1,FALSE)=""," - ",(VLOOKUP($C75,'All Girls &amp; Descendants - Edit'!$C$2:$AK$440,'All Girls &amp; Descendants - Edit'!AJ$1,FALSE)))</f>
        <v>Female. b. 25/01/1949 Baptised at Fryerning, Essex. Educated Downham, Hertfordshire.</v>
      </c>
      <c r="AK75" s="3" t="str">
        <f>IF(VLOOKUP($C75,'All Girls &amp; Descendants - Edit'!$C$2:$AK$440,'All Girls &amp; Descendants - Edit'!AK$1,FALSE)=""," - ",(VLOOKUP($C75,'All Girls &amp; Descendants - Edit'!$C$2:$AK$440,'All Girls &amp; Descendants - Edit'!AK$1,FALSE)))</f>
        <v>b. 25/01/1949</v>
      </c>
      <c r="AS75" s="72">
        <v>172</v>
      </c>
      <c r="BB75">
        <v>1</v>
      </c>
      <c r="BH75">
        <v>1</v>
      </c>
      <c r="BI75">
        <v>1</v>
      </c>
    </row>
    <row r="76" spans="1:61" ht="19">
      <c r="A76">
        <f>VLOOKUP(B76,'Loyd List 1-190 - Edit'!$P$1:$R$219,3,FALSE)</f>
        <v>72</v>
      </c>
      <c r="B76">
        <f>'All Girls &amp; Descendants - Edit'!B77</f>
        <v>103</v>
      </c>
      <c r="C76" s="98" t="str">
        <f>'All Girls &amp; Descendants - Edit'!C77</f>
        <v>103c</v>
      </c>
      <c r="D76" s="2" t="str">
        <f>'All Girls &amp; Descendants - Edit'!D77</f>
        <v>GORE-BROWNE</v>
      </c>
      <c r="E76" t="str">
        <f>'All Girls &amp; Descendants - Edit'!E77</f>
        <v>David</v>
      </c>
      <c r="F76" t="str">
        <f>IF('All Girls &amp; Descendants - Edit'!F77="","",'All Girls &amp; Descendants - Edit'!F77)</f>
        <v>Charles</v>
      </c>
      <c r="G76" t="str">
        <f>IF('All Girls &amp; Descendants - Edit'!G77="","",'All Girls &amp; Descendants - Edit'!G77)</f>
        <v/>
      </c>
      <c r="H76" t="str">
        <f>IF('All Girls &amp; Descendants - Edit'!H77="","",'All Girls &amp; Descendants - Edit'!H77)</f>
        <v/>
      </c>
      <c r="I76">
        <f>VLOOKUP($C76,'All Girls &amp; Descendants - Edit'!$C$2:$AK$440,'All Girls &amp; Descendants - Edit'!I$1,FALSE)</f>
        <v>1952</v>
      </c>
      <c r="J76">
        <f>VLOOKUP($C76,'All Girls &amp; Descendants - Edit'!$C$2:$AK$440,'All Girls &amp; Descendants - Edit'!J$1,FALSE)</f>
        <v>2012</v>
      </c>
      <c r="K76" s="9"/>
      <c r="L76" t="str">
        <f t="shared" si="10"/>
        <v>21/08/1952</v>
      </c>
      <c r="M76" s="3">
        <f>VLOOKUP($C76,'All Girls &amp; Descendants - Edit'!$C$2:$AK$440,'All Girls &amp; Descendants - Edit'!M$1,FALSE)</f>
        <v>19227</v>
      </c>
      <c r="N76" s="3">
        <f>IF(VLOOKUP($C76,'All Girls &amp; Descendants - Edit'!$C$2:$AK$440,'All Girls &amp; Descendants - Edit'!N$1,FALSE)=""," - ",(VLOOKUP($C76,'All Girls &amp; Descendants - Edit'!$C$2:$AK$440,'All Girls &amp; Descendants - Edit'!N$1,FALSE)))</f>
        <v>31752</v>
      </c>
      <c r="O76" s="3">
        <f>IF(VLOOKUP($C76,'All Girls &amp; Descendants - Edit'!$C$2:$AK$440,'All Girls &amp; Descendants - Edit'!O$1,FALSE)="","",(VLOOKUP($C76,'All Girls &amp; Descendants - Edit'!$C$2:$AK$440,'All Girls &amp; Descendants - Edit'!O$1,FALSE)))</f>
        <v>41133</v>
      </c>
      <c r="P76" s="3" t="str">
        <f t="shared" si="14"/>
        <v>12/08/2012</v>
      </c>
      <c r="Q76" s="178" t="str">
        <f t="shared" si="15"/>
        <v>103</v>
      </c>
      <c r="R76" s="23"/>
      <c r="S76" t="str">
        <f>VLOOKUP($C76,'All Girls &amp; Descendants - Edit'!$C$2:$AK$440,'All Girls &amp; Descendants - Edit'!S$1,FALSE)</f>
        <v>Male</v>
      </c>
      <c r="T76" s="176">
        <f t="shared" si="16"/>
        <v>6</v>
      </c>
      <c r="U76" s="176">
        <f t="shared" si="11"/>
        <v>4</v>
      </c>
      <c r="V76" s="176">
        <f t="shared" si="12"/>
        <v>5</v>
      </c>
      <c r="W76" s="177">
        <f t="shared" si="13"/>
        <v>1</v>
      </c>
      <c r="X76" s="3" t="str">
        <f>IF(VLOOKUP($C76,'All Girls &amp; Descendants - Edit'!$C$2:$AK$440,'All Girls &amp; Descendants - Edit'!X$1,FALSE)=""," - ",(VLOOKUP($C76,'All Girls &amp; Descendants - Edit'!$C$2:$AK$440,'All Girls &amp; Descendants - Edit'!X$1,FALSE)))</f>
        <v>Diana Jane REES (b. 18/07/1954, )</v>
      </c>
      <c r="Y76" s="3" t="str">
        <f>IF(VLOOKUP($C76,'All Girls &amp; Descendants - Edit'!$C$2:$AK$440,'All Girls &amp; Descendants - Edit'!Y$1,FALSE)=""," - ",(VLOOKUP($C76,'All Girls &amp; Descendants - Edit'!$C$2:$AK$440,'All Girls &amp; Descendants - Edit'!Y$1,FALSE)))</f>
        <v>Married Diana Jane 2nd daughter of J N REES of St Asaph, North Wales.</v>
      </c>
      <c r="Z76" s="3" t="str">
        <f>IF(VLOOKUP($C76,'All Girls &amp; Descendants - Edit'!$C$2:$AK$440,'All Girls &amp; Descendants - Edit'!Z$1,FALSE)=""," - ",(VLOOKUP($C76,'All Girls &amp; Descendants - Edit'!$C$2:$AK$440,'All Girls &amp; Descendants - Edit'!Z$1,FALSE)))</f>
        <v>Baptised at Fryerning, Essex. Educated Eton 1964-69.</v>
      </c>
      <c r="AA76" s="101">
        <f>IF(VLOOKUP($C76,'All Girls &amp; Descendants - Edit'!$C$2:$AK$440,'All Girls &amp; Descendants - Edit'!AA$1,FALSE)=""," - ",(VLOOKUP($C76,'All Girls &amp; Descendants - Edit'!$C$2:$AK$440,'All Girls &amp; Descendants - Edit'!AA$1,FALSE)))</f>
        <v>265</v>
      </c>
      <c r="AB76" s="101">
        <f>IF(VLOOKUP($C76,'All Girls &amp; Descendants - Edit'!$C$2:$AK$440,'All Girls &amp; Descendants - Edit'!AB$1,FALSE)=""," - ",(VLOOKUP($C76,'All Girls &amp; Descendants - Edit'!$C$2:$AK$440,'All Girls &amp; Descendants - Edit'!AB$1,FALSE)))</f>
        <v>75</v>
      </c>
      <c r="AC76" s="101">
        <f>IF(VLOOKUP($C76,'All Girls &amp; Descendants - Edit'!$C$2:$AK$440,'All Girls &amp; Descendants - Edit'!AC$1,FALSE)=""," - ",(VLOOKUP($C76,'All Girls &amp; Descendants - Edit'!$C$2:$AK$440,'All Girls &amp; Descendants - Edit'!AC$1,FALSE)))</f>
        <v>1075</v>
      </c>
      <c r="AD76" s="3" t="str">
        <f>IF(VLOOKUP($C76,'All Girls &amp; Descendants - Edit'!$C$2:$AK$440,'All Girls &amp; Descendants - Edit'!AD$1,FALSE)=""," - ",(VLOOKUP($C76,'All Girls &amp; Descendants - Edit'!$C$2:$AK$440,'All Girls &amp; Descendants - Edit'!AD$1,FALSE)))</f>
        <v>103c</v>
      </c>
      <c r="AE76" s="3" t="str">
        <f>IF(VLOOKUP($C76,'All Girls &amp; Descendants - Edit'!$C$2:$AK$440,'All Girls &amp; Descendants - Edit'!AE$1,FALSE)=""," - ",(VLOOKUP($C76,'All Girls &amp; Descendants - Edit'!$C$2:$AK$440,'All Girls &amp; Descendants - Edit'!AE$1,FALSE)))</f>
        <v>David Charles  GORE-BROWNE (1952 - 2012)</v>
      </c>
      <c r="AF76" s="3" t="str">
        <f>IF(VLOOKUP($C76,'All Girls &amp; Descendants - Edit'!$C$2:$AK$440,'All Girls &amp; Descendants - Edit'!AF$1,FALSE)=""," - ",(VLOOKUP($C76,'All Girls &amp; Descendants - Edit'!$C$2:$AK$440,'All Girls &amp; Descendants - Edit'!AF$1,FALSE)))</f>
        <v>David GORE-BROWNE (6th &amp; 103)</v>
      </c>
      <c r="AG76" s="3" t="str">
        <f>IF(VLOOKUP($C76,'All Girls &amp; Descendants - Edit'!$C$2:$AK$440,'All Girls &amp; Descendants - Edit'!AG$1,FALSE)=""," - ",(VLOOKUP($C76,'All Girls &amp; Descendants - Edit'!$C$2:$AK$440,'All Girls &amp; Descendants - Edit'!AG$1,FALSE)))</f>
        <v>Male</v>
      </c>
      <c r="AH76" s="3" t="str">
        <f>IF(VLOOKUP($C76,'All Girls &amp; Descendants - Edit'!$C$2:$AK$440,'All Girls &amp; Descendants - Edit'!AH$1,FALSE)=""," - ",(VLOOKUP($C76,'All Girls &amp; Descendants - Edit'!$C$2:$AK$440,'All Girls &amp; Descendants - Edit'!AH$1,FALSE)))</f>
        <v>6th</v>
      </c>
      <c r="AI76" s="3" t="str">
        <f>IF(VLOOKUP($C76,'All Girls &amp; Descendants - Edit'!$C$2:$AK$440,'All Girls &amp; Descendants - Edit'!AI$1,FALSE)=""," - ",(VLOOKUP($C76,'All Girls &amp; Descendants - Edit'!$C$2:$AK$440,'All Girls &amp; Descendants - Edit'!AI$1,FALSE)))</f>
        <v>Wife: Diana Jane REES (b. 18/07/1954, ). Married Diana Jane 2nd daughter of J N REES of St Asaph, North Wales.</v>
      </c>
      <c r="AJ76" s="3" t="str">
        <f>IF(VLOOKUP($C76,'All Girls &amp; Descendants - Edit'!$C$2:$AK$440,'All Girls &amp; Descendants - Edit'!AJ$1,FALSE)=""," - ",(VLOOKUP($C76,'All Girls &amp; Descendants - Edit'!$C$2:$AK$440,'All Girls &amp; Descendants - Edit'!AJ$1,FALSE)))</f>
        <v>Male. b. 21/08/1952, d. 41133. Baptised at Fryerning, Essex. Educated Eton 1964-69.</v>
      </c>
      <c r="AK76" s="3" t="str">
        <f>IF(VLOOKUP($C76,'All Girls &amp; Descendants - Edit'!$C$2:$AK$440,'All Girls &amp; Descendants - Edit'!AK$1,FALSE)=""," - ",(VLOOKUP($C76,'All Girls &amp; Descendants - Edit'!$C$2:$AK$440,'All Girls &amp; Descendants - Edit'!AK$1,FALSE)))</f>
        <v>b. 21/08/1952, d. 41133.</v>
      </c>
      <c r="AS76" s="72">
        <v>174</v>
      </c>
      <c r="BB76">
        <v>1</v>
      </c>
      <c r="BH76">
        <v>1</v>
      </c>
      <c r="BI76">
        <v>1</v>
      </c>
    </row>
    <row r="77" spans="1:61" ht="19">
      <c r="A77">
        <f>VLOOKUP(B77,'Loyd List 1-190 - Edit'!$P$1:$R$219,3,FALSE)</f>
        <v>72</v>
      </c>
      <c r="B77">
        <f>'All Girls &amp; Descendants - Edit'!B78</f>
        <v>103</v>
      </c>
      <c r="C77" s="98" t="str">
        <f>'All Girls &amp; Descendants - Edit'!C78</f>
        <v>103d</v>
      </c>
      <c r="D77" s="2" t="str">
        <f>'All Girls &amp; Descendants - Edit'!D78</f>
        <v>GORE-BROWNE</v>
      </c>
      <c r="E77" t="str">
        <f>'All Girls &amp; Descendants - Edit'!E78</f>
        <v>Patrick</v>
      </c>
      <c r="F77" t="str">
        <f>IF('All Girls &amp; Descendants - Edit'!F78="","",'All Girls &amp; Descendants - Edit'!F78)</f>
        <v>Robert</v>
      </c>
      <c r="G77" t="str">
        <f>IF('All Girls &amp; Descendants - Edit'!G78="","",'All Girls &amp; Descendants - Edit'!G78)</f>
        <v/>
      </c>
      <c r="H77" t="str">
        <f>IF('All Girls &amp; Descendants - Edit'!H78="","",'All Girls &amp; Descendants - Edit'!H78)</f>
        <v/>
      </c>
      <c r="I77">
        <f>VLOOKUP($C77,'All Girls &amp; Descendants - Edit'!$C$2:$AK$440,'All Girls &amp; Descendants - Edit'!I$1,FALSE)</f>
        <v>1956</v>
      </c>
      <c r="J77" t="str">
        <f>VLOOKUP($C77,'All Girls &amp; Descendants - Edit'!$C$2:$AK$440,'All Girls &amp; Descendants - Edit'!J$1,FALSE)</f>
        <v/>
      </c>
      <c r="K77" s="9"/>
      <c r="L77" t="str">
        <f t="shared" si="10"/>
        <v>15/02/1956</v>
      </c>
      <c r="M77" s="3">
        <f>VLOOKUP($C77,'All Girls &amp; Descendants - Edit'!$C$2:$AK$440,'All Girls &amp; Descendants - Edit'!M$1,FALSE)</f>
        <v>20500</v>
      </c>
      <c r="N77" s="3" t="str">
        <f>IF(VLOOKUP($C77,'All Girls &amp; Descendants - Edit'!$C$2:$AK$440,'All Girls &amp; Descendants - Edit'!N$1,FALSE)=""," - ",(VLOOKUP($C77,'All Girls &amp; Descendants - Edit'!$C$2:$AK$440,'All Girls &amp; Descendants - Edit'!N$1,FALSE)))</f>
        <v xml:space="preserve"> - </v>
      </c>
      <c r="O77" s="3" t="str">
        <f>IF(VLOOKUP($C77,'All Girls &amp; Descendants - Edit'!$C$2:$AK$440,'All Girls &amp; Descendants - Edit'!O$1,FALSE)="","",(VLOOKUP($C77,'All Girls &amp; Descendants - Edit'!$C$2:$AK$440,'All Girls &amp; Descendants - Edit'!O$1,FALSE)))</f>
        <v/>
      </c>
      <c r="P77" s="3" t="str">
        <f t="shared" si="14"/>
        <v/>
      </c>
      <c r="Q77" s="178" t="str">
        <f t="shared" si="15"/>
        <v>103</v>
      </c>
      <c r="R77" s="23"/>
      <c r="S77" t="str">
        <f>VLOOKUP($C77,'All Girls &amp; Descendants - Edit'!$C$2:$AK$440,'All Girls &amp; Descendants - Edit'!S$1,FALSE)</f>
        <v>Male</v>
      </c>
      <c r="T77" s="176">
        <f t="shared" si="16"/>
        <v>6</v>
      </c>
      <c r="U77" s="176">
        <f t="shared" si="11"/>
        <v>4</v>
      </c>
      <c r="V77" s="176">
        <f t="shared" si="12"/>
        <v>5</v>
      </c>
      <c r="W77" s="177">
        <f t="shared" si="13"/>
        <v>1</v>
      </c>
      <c r="X77" s="3" t="str">
        <f>IF(VLOOKUP($C77,'All Girls &amp; Descendants - Edit'!$C$2:$AK$440,'All Girls &amp; Descendants - Edit'!X$1,FALSE)=""," - ",(VLOOKUP($C77,'All Girls &amp; Descendants - Edit'!$C$2:$AK$440,'All Girls &amp; Descendants - Edit'!X$1,FALSE)))</f>
        <v xml:space="preserve">Sarah JENKINSON (b. 24/02/1958, ) </v>
      </c>
      <c r="Y77" s="3" t="str">
        <f>IF(VLOOKUP($C77,'All Girls &amp; Descendants - Edit'!$C$2:$AK$440,'All Girls &amp; Descendants - Edit'!Y$1,FALSE)=""," - ",(VLOOKUP($C77,'All Girls &amp; Descendants - Edit'!$C$2:$AK$440,'All Girls &amp; Descendants - Edit'!Y$1,FALSE)))</f>
        <v>Married at Bampton Church, Oxfordshire, Sarah only daughter of Harold A JENKINSON of Burton Abbotts, Black Bourton, Oxfordshire.</v>
      </c>
      <c r="Z77" s="3" t="str">
        <f>IF(VLOOKUP($C77,'All Girls &amp; Descendants - Edit'!$C$2:$AK$440,'All Girls &amp; Descendants - Edit'!Z$1,FALSE)=""," - ",(VLOOKUP($C77,'All Girls &amp; Descendants - Edit'!$C$2:$AK$440,'All Girls &amp; Descendants - Edit'!Z$1,FALSE)))</f>
        <v>Baptised at Fryerning, Essex. Educated Eton 1969-73.</v>
      </c>
      <c r="AA77" s="101">
        <f>IF(VLOOKUP($C77,'All Girls &amp; Descendants - Edit'!$C$2:$AK$440,'All Girls &amp; Descendants - Edit'!AA$1,FALSE)=""," - ",(VLOOKUP($C77,'All Girls &amp; Descendants - Edit'!$C$2:$AK$440,'All Girls &amp; Descendants - Edit'!AA$1,FALSE)))</f>
        <v>269</v>
      </c>
      <c r="AB77" s="101">
        <f>IF(VLOOKUP($C77,'All Girls &amp; Descendants - Edit'!$C$2:$AK$440,'All Girls &amp; Descendants - Edit'!AB$1,FALSE)=""," - ",(VLOOKUP($C77,'All Girls &amp; Descendants - Edit'!$C$2:$AK$440,'All Girls &amp; Descendants - Edit'!AB$1,FALSE)))</f>
        <v>76</v>
      </c>
      <c r="AC77" s="101">
        <f>IF(VLOOKUP($C77,'All Girls &amp; Descendants - Edit'!$C$2:$AK$440,'All Girls &amp; Descendants - Edit'!AC$1,FALSE)=""," - ",(VLOOKUP($C77,'All Girls &amp; Descendants - Edit'!$C$2:$AK$440,'All Girls &amp; Descendants - Edit'!AC$1,FALSE)))</f>
        <v>1076</v>
      </c>
      <c r="AD77" s="3" t="str">
        <f>IF(VLOOKUP($C77,'All Girls &amp; Descendants - Edit'!$C$2:$AK$440,'All Girls &amp; Descendants - Edit'!AD$1,FALSE)=""," - ",(VLOOKUP($C77,'All Girls &amp; Descendants - Edit'!$C$2:$AK$440,'All Girls &amp; Descendants - Edit'!AD$1,FALSE)))</f>
        <v>103d</v>
      </c>
      <c r="AE77" s="3" t="str">
        <f>IF(VLOOKUP($C77,'All Girls &amp; Descendants - Edit'!$C$2:$AK$440,'All Girls &amp; Descendants - Edit'!AE$1,FALSE)=""," - ",(VLOOKUP($C77,'All Girls &amp; Descendants - Edit'!$C$2:$AK$440,'All Girls &amp; Descendants - Edit'!AE$1,FALSE)))</f>
        <v>Patrick Robert  GORE-BROWNE (1956 - )</v>
      </c>
      <c r="AF77" s="3" t="str">
        <f>IF(VLOOKUP($C77,'All Girls &amp; Descendants - Edit'!$C$2:$AK$440,'All Girls &amp; Descendants - Edit'!AF$1,FALSE)=""," - ",(VLOOKUP($C77,'All Girls &amp; Descendants - Edit'!$C$2:$AK$440,'All Girls &amp; Descendants - Edit'!AF$1,FALSE)))</f>
        <v>Patrick GORE-BROWNE (6th &amp; 103)</v>
      </c>
      <c r="AG77" s="3" t="str">
        <f>IF(VLOOKUP($C77,'All Girls &amp; Descendants - Edit'!$C$2:$AK$440,'All Girls &amp; Descendants - Edit'!AG$1,FALSE)=""," - ",(VLOOKUP($C77,'All Girls &amp; Descendants - Edit'!$C$2:$AK$440,'All Girls &amp; Descendants - Edit'!AG$1,FALSE)))</f>
        <v>Male</v>
      </c>
      <c r="AH77" s="3" t="str">
        <f>IF(VLOOKUP($C77,'All Girls &amp; Descendants - Edit'!$C$2:$AK$440,'All Girls &amp; Descendants - Edit'!AH$1,FALSE)=""," - ",(VLOOKUP($C77,'All Girls &amp; Descendants - Edit'!$C$2:$AK$440,'All Girls &amp; Descendants - Edit'!AH$1,FALSE)))</f>
        <v>6th</v>
      </c>
      <c r="AI77" s="3" t="str">
        <f>IF(VLOOKUP($C77,'All Girls &amp; Descendants - Edit'!$C$2:$AK$440,'All Girls &amp; Descendants - Edit'!AI$1,FALSE)=""," - ",(VLOOKUP($C77,'All Girls &amp; Descendants - Edit'!$C$2:$AK$440,'All Girls &amp; Descendants - Edit'!AI$1,FALSE)))</f>
        <v>Wife: Sarah JENKINSON (b. 24/02/1958, ) . Married at Bampton Church, Oxfordshire, Sarah only daughter of Harold A JENKINSON of Burton Abbotts, Black Bourton, Oxfordshire.</v>
      </c>
      <c r="AJ77" s="3" t="str">
        <f>IF(VLOOKUP($C77,'All Girls &amp; Descendants - Edit'!$C$2:$AK$440,'All Girls &amp; Descendants - Edit'!AJ$1,FALSE)=""," - ",(VLOOKUP($C77,'All Girls &amp; Descendants - Edit'!$C$2:$AK$440,'All Girls &amp; Descendants - Edit'!AJ$1,FALSE)))</f>
        <v>Male. b. 15/02/1956 Baptised at Fryerning, Essex. Educated Eton 1969-73.</v>
      </c>
      <c r="AK77" s="3" t="str">
        <f>IF(VLOOKUP($C77,'All Girls &amp; Descendants - Edit'!$C$2:$AK$440,'All Girls &amp; Descendants - Edit'!AK$1,FALSE)=""," - ",(VLOOKUP($C77,'All Girls &amp; Descendants - Edit'!$C$2:$AK$440,'All Girls &amp; Descendants - Edit'!AK$1,FALSE)))</f>
        <v>b. 15/02/1956</v>
      </c>
      <c r="AS77" s="72">
        <v>181</v>
      </c>
      <c r="BB77">
        <v>1</v>
      </c>
      <c r="BH77">
        <v>1</v>
      </c>
      <c r="BI77">
        <v>1</v>
      </c>
    </row>
    <row r="78" spans="1:61" ht="19">
      <c r="A78">
        <f>VLOOKUP(B78,'Loyd List 1-190 - Edit'!$P$1:$R$219,3,FALSE)</f>
        <v>77</v>
      </c>
      <c r="B78">
        <f>'All Girls &amp; Descendants - Edit'!B79</f>
        <v>106</v>
      </c>
      <c r="C78" s="98" t="str">
        <f>'All Girls &amp; Descendants - Edit'!C79</f>
        <v>106a</v>
      </c>
      <c r="D78" s="2" t="str">
        <f>'All Girls &amp; Descendants - Edit'!D79</f>
        <v>WINN</v>
      </c>
      <c r="E78" t="str">
        <f>'All Girls &amp; Descendants - Edit'!E79</f>
        <v>The Hon Geva</v>
      </c>
      <c r="F78" t="str">
        <f>IF('All Girls &amp; Descendants - Edit'!F79="","",'All Girls &amp; Descendants - Edit'!F79)</f>
        <v>Charlotte</v>
      </c>
      <c r="G78" t="str">
        <f>IF('All Girls &amp; Descendants - Edit'!G79="","",'All Girls &amp; Descendants - Edit'!G79)</f>
        <v>Caroline</v>
      </c>
      <c r="H78" t="str">
        <f>IF('All Girls &amp; Descendants - Edit'!H79="","",'All Girls &amp; Descendants - Edit'!H79)</f>
        <v/>
      </c>
      <c r="I78">
        <f>VLOOKUP($C78,'All Girls &amp; Descendants - Edit'!$C$2:$AK$440,'All Girls &amp; Descendants - Edit'!I$1,FALSE)</f>
        <v>1955</v>
      </c>
      <c r="J78" t="str">
        <f>VLOOKUP($C78,'All Girls &amp; Descendants - Edit'!$C$2:$AK$440,'All Girls &amp; Descendants - Edit'!J$1,FALSE)</f>
        <v/>
      </c>
      <c r="K78" s="9"/>
      <c r="L78" t="str">
        <f t="shared" si="10"/>
        <v>15/09/1955</v>
      </c>
      <c r="M78" s="3">
        <f>VLOOKUP($C78,'All Girls &amp; Descendants - Edit'!$C$2:$AK$440,'All Girls &amp; Descendants - Edit'!M$1,FALSE)</f>
        <v>20347</v>
      </c>
      <c r="N78" s="3">
        <f>IF(VLOOKUP($C78,'All Girls &amp; Descendants - Edit'!$C$2:$AK$440,'All Girls &amp; Descendants - Edit'!N$1,FALSE)=""," - ",(VLOOKUP($C78,'All Girls &amp; Descendants - Edit'!$C$2:$AK$440,'All Girls &amp; Descendants - Edit'!N$1,FALSE)))</f>
        <v>31940</v>
      </c>
      <c r="O78" s="3" t="str">
        <f>IF(VLOOKUP($C78,'All Girls &amp; Descendants - Edit'!$C$2:$AK$440,'All Girls &amp; Descendants - Edit'!O$1,FALSE)="","",(VLOOKUP($C78,'All Girls &amp; Descendants - Edit'!$C$2:$AK$440,'All Girls &amp; Descendants - Edit'!O$1,FALSE)))</f>
        <v/>
      </c>
      <c r="P78" s="3" t="str">
        <f t="shared" si="14"/>
        <v/>
      </c>
      <c r="Q78" s="178" t="str">
        <f t="shared" si="15"/>
        <v>106</v>
      </c>
      <c r="R78" s="23"/>
      <c r="S78" t="str">
        <f>VLOOKUP($C78,'All Girls &amp; Descendants - Edit'!$C$2:$AK$440,'All Girls &amp; Descendants - Edit'!S$1,FALSE)</f>
        <v>Female</v>
      </c>
      <c r="T78" s="176">
        <f t="shared" si="16"/>
        <v>6</v>
      </c>
      <c r="U78" s="176">
        <f t="shared" si="11"/>
        <v>4</v>
      </c>
      <c r="V78" s="176">
        <f t="shared" si="12"/>
        <v>5</v>
      </c>
      <c r="W78" s="177">
        <f t="shared" si="13"/>
        <v>1</v>
      </c>
      <c r="X78" s="3" t="str">
        <f>IF(VLOOKUP($C78,'All Girls &amp; Descendants - Edit'!$C$2:$AK$440,'All Girls &amp; Descendants - Edit'!X$1,FALSE)=""," - ",(VLOOKUP($C78,'All Girls &amp; Descendants - Edit'!$C$2:$AK$440,'All Girls &amp; Descendants - Edit'!X$1,FALSE)))</f>
        <v>John Simon BLACKETT (16/09/1954, )</v>
      </c>
      <c r="Y78" s="3" t="str">
        <f>IF(VLOOKUP($C78,'All Girls &amp; Descendants - Edit'!$C$2:$AK$440,'All Girls &amp; Descendants - Edit'!Y$1,FALSE)=""," - ",(VLOOKUP($C78,'All Girls &amp; Descendants - Edit'!$C$2:$AK$440,'All Girls &amp; Descendants - Edit'!Y$1,FALSE)))</f>
        <v>Married Simon at St Michael and Our Lady, Wragby, West Yorkshire, by the Bishop of Wakefield, John elder son of John Harold Booth (Pat) BLACKETT of Whalton, Morpeth, Northumberland.</v>
      </c>
      <c r="Z78" s="3" t="str">
        <f>IF(VLOOKUP($C78,'All Girls &amp; Descendants - Edit'!$C$2:$AK$440,'All Girls &amp; Descendants - Edit'!Z$1,FALSE)=""," - ",(VLOOKUP($C78,'All Girls &amp; Descendants - Edit'!$C$2:$AK$440,'All Girls &amp; Descendants - Edit'!Z$1,FALSE)))</f>
        <v>The Hon Geva lives in Braemar, Aberdeenshire. Baptised 14 Jan 1956 at St Margaret’s, Westminster, London.</v>
      </c>
      <c r="AA78" s="101">
        <f>IF(VLOOKUP($C78,'All Girls &amp; Descendants - Edit'!$C$2:$AK$440,'All Girls &amp; Descendants - Edit'!AA$1,FALSE)=""," - ",(VLOOKUP($C78,'All Girls &amp; Descendants - Edit'!$C$2:$AK$440,'All Girls &amp; Descendants - Edit'!AA$1,FALSE)))</f>
        <v>273</v>
      </c>
      <c r="AB78" s="101">
        <f>IF(VLOOKUP($C78,'All Girls &amp; Descendants - Edit'!$C$2:$AK$440,'All Girls &amp; Descendants - Edit'!AB$1,FALSE)=""," - ",(VLOOKUP($C78,'All Girls &amp; Descendants - Edit'!$C$2:$AK$440,'All Girls &amp; Descendants - Edit'!AB$1,FALSE)))</f>
        <v>77</v>
      </c>
      <c r="AC78" s="101">
        <f>IF(VLOOKUP($C78,'All Girls &amp; Descendants - Edit'!$C$2:$AK$440,'All Girls &amp; Descendants - Edit'!AC$1,FALSE)=""," - ",(VLOOKUP($C78,'All Girls &amp; Descendants - Edit'!$C$2:$AK$440,'All Girls &amp; Descendants - Edit'!AC$1,FALSE)))</f>
        <v>1077</v>
      </c>
      <c r="AD78" s="3" t="str">
        <f>IF(VLOOKUP($C78,'All Girls &amp; Descendants - Edit'!$C$2:$AK$440,'All Girls &amp; Descendants - Edit'!AD$1,FALSE)=""," - ",(VLOOKUP($C78,'All Girls &amp; Descendants - Edit'!$C$2:$AK$440,'All Girls &amp; Descendants - Edit'!AD$1,FALSE)))</f>
        <v>106a</v>
      </c>
      <c r="AE78" s="3" t="str">
        <f>IF(VLOOKUP($C78,'All Girls &amp; Descendants - Edit'!$C$2:$AK$440,'All Girls &amp; Descendants - Edit'!AE$1,FALSE)=""," - ",(VLOOKUP($C78,'All Girls &amp; Descendants - Edit'!$C$2:$AK$440,'All Girls &amp; Descendants - Edit'!AE$1,FALSE)))</f>
        <v>The Hon Geva Charlotte Caroline WINN (1955 - )</v>
      </c>
      <c r="AF78" s="3" t="str">
        <f>IF(VLOOKUP($C78,'All Girls &amp; Descendants - Edit'!$C$2:$AK$440,'All Girls &amp; Descendants - Edit'!AF$1,FALSE)=""," - ",(VLOOKUP($C78,'All Girls &amp; Descendants - Edit'!$C$2:$AK$440,'All Girls &amp; Descendants - Edit'!AF$1,FALSE)))</f>
        <v>The Hon Geva WINN (6th &amp; 106)</v>
      </c>
      <c r="AG78" s="3" t="str">
        <f>IF(VLOOKUP($C78,'All Girls &amp; Descendants - Edit'!$C$2:$AK$440,'All Girls &amp; Descendants - Edit'!AG$1,FALSE)=""," - ",(VLOOKUP($C78,'All Girls &amp; Descendants - Edit'!$C$2:$AK$440,'All Girls &amp; Descendants - Edit'!AG$1,FALSE)))</f>
        <v>Female</v>
      </c>
      <c r="AH78" s="3" t="str">
        <f>IF(VLOOKUP($C78,'All Girls &amp; Descendants - Edit'!$C$2:$AK$440,'All Girls &amp; Descendants - Edit'!AH$1,FALSE)=""," - ",(VLOOKUP($C78,'All Girls &amp; Descendants - Edit'!$C$2:$AK$440,'All Girls &amp; Descendants - Edit'!AH$1,FALSE)))</f>
        <v>6th</v>
      </c>
      <c r="AI78" s="3" t="str">
        <f>IF(VLOOKUP($C78,'All Girls &amp; Descendants - Edit'!$C$2:$AK$440,'All Girls &amp; Descendants - Edit'!AI$1,FALSE)=""," - ",(VLOOKUP($C78,'All Girls &amp; Descendants - Edit'!$C$2:$AK$440,'All Girls &amp; Descendants - Edit'!AI$1,FALSE)))</f>
        <v>Husband: John Simon BLACKETT (16/09/1954, ). Married Simon at St Michael and Our Lady, Wragby, West Yorkshire, by the Bishop of Wakefield, John elder son of John Harold Booth (Pat) BLACKETT of Whalton, Morpeth, Northumberland.</v>
      </c>
      <c r="AJ78" s="3" t="str">
        <f>IF(VLOOKUP($C78,'All Girls &amp; Descendants - Edit'!$C$2:$AK$440,'All Girls &amp; Descendants - Edit'!AJ$1,FALSE)=""," - ",(VLOOKUP($C78,'All Girls &amp; Descendants - Edit'!$C$2:$AK$440,'All Girls &amp; Descendants - Edit'!AJ$1,FALSE)))</f>
        <v>Female. b. 15/09/1955 The Hon Geva lives in Braemar, Aberdeenshire. Baptised 14 Jan 1956 at St Margaret’s, Westminster, London.</v>
      </c>
      <c r="AK78" s="3" t="str">
        <f>IF(VLOOKUP($C78,'All Girls &amp; Descendants - Edit'!$C$2:$AK$440,'All Girls &amp; Descendants - Edit'!AK$1,FALSE)=""," - ",(VLOOKUP($C78,'All Girls &amp; Descendants - Edit'!$C$2:$AK$440,'All Girls &amp; Descendants - Edit'!AK$1,FALSE)))</f>
        <v>b. 15/09/1955</v>
      </c>
      <c r="AS78" s="72">
        <v>182</v>
      </c>
      <c r="BB78">
        <v>1</v>
      </c>
      <c r="BH78">
        <v>1</v>
      </c>
      <c r="BI78">
        <v>1</v>
      </c>
    </row>
    <row r="79" spans="1:61" ht="19">
      <c r="A79">
        <f>VLOOKUP(B79,'Loyd List 1-190 - Edit'!$P$1:$R$219,3,FALSE)</f>
        <v>77</v>
      </c>
      <c r="B79">
        <f>'All Girls &amp; Descendants - Edit'!B80</f>
        <v>106</v>
      </c>
      <c r="C79" s="98" t="str">
        <f>'All Girls &amp; Descendants - Edit'!C80</f>
        <v>106b</v>
      </c>
      <c r="D79" s="2" t="str">
        <f>'All Girls &amp; Descendants - Edit'!D80</f>
        <v>WINN</v>
      </c>
      <c r="E79" t="str">
        <f>'All Girls &amp; Descendants - Edit'!E80</f>
        <v>Charles</v>
      </c>
      <c r="F79" t="str">
        <f>IF('All Girls &amp; Descendants - Edit'!F80="","",'All Girls &amp; Descendants - Edit'!F80)</f>
        <v>Rowland</v>
      </c>
      <c r="G79" t="str">
        <f>IF('All Girls &amp; Descendants - Edit'!G80="","",'All Girls &amp; Descendants - Edit'!G80)</f>
        <v>Andrew</v>
      </c>
      <c r="H79" t="str">
        <f>IF('All Girls &amp; Descendants - Edit'!H80="","",'All Girls &amp; Descendants - Edit'!H80)</f>
        <v/>
      </c>
      <c r="I79">
        <f>VLOOKUP($C79,'All Girls &amp; Descendants - Edit'!$C$2:$AK$440,'All Girls &amp; Descendants - Edit'!I$1,FALSE)</f>
        <v>1959</v>
      </c>
      <c r="J79" t="str">
        <f>VLOOKUP($C79,'All Girls &amp; Descendants - Edit'!$C$2:$AK$440,'All Girls &amp; Descendants - Edit'!J$1,FALSE)</f>
        <v/>
      </c>
      <c r="K79" s="9"/>
      <c r="L79" t="str">
        <f t="shared" si="10"/>
        <v>22/07/1959</v>
      </c>
      <c r="M79" s="3">
        <f>VLOOKUP($C79,'All Girls &amp; Descendants - Edit'!$C$2:$AK$440,'All Girls &amp; Descendants - Edit'!M$1,FALSE)</f>
        <v>21753</v>
      </c>
      <c r="N79" s="3" t="str">
        <f>IF(VLOOKUP($C79,'All Girls &amp; Descendants - Edit'!$C$2:$AK$440,'All Girls &amp; Descendants - Edit'!N$1,FALSE)=""," - ",(VLOOKUP($C79,'All Girls &amp; Descendants - Edit'!$C$2:$AK$440,'All Girls &amp; Descendants - Edit'!N$1,FALSE)))</f>
        <v xml:space="preserve"> - </v>
      </c>
      <c r="O79" s="3" t="str">
        <f>IF(VLOOKUP($C79,'All Girls &amp; Descendants - Edit'!$C$2:$AK$440,'All Girls &amp; Descendants - Edit'!O$1,FALSE)="","",(VLOOKUP($C79,'All Girls &amp; Descendants - Edit'!$C$2:$AK$440,'All Girls &amp; Descendants - Edit'!O$1,FALSE)))</f>
        <v/>
      </c>
      <c r="P79" s="3" t="str">
        <f t="shared" si="14"/>
        <v/>
      </c>
      <c r="Q79" s="178" t="str">
        <f t="shared" si="15"/>
        <v>106</v>
      </c>
      <c r="R79" s="23"/>
      <c r="S79" t="str">
        <f>VLOOKUP($C79,'All Girls &amp; Descendants - Edit'!$C$2:$AK$440,'All Girls &amp; Descendants - Edit'!S$1,FALSE)</f>
        <v>Male</v>
      </c>
      <c r="T79" s="176">
        <f t="shared" si="16"/>
        <v>6</v>
      </c>
      <c r="U79" s="176">
        <f t="shared" si="11"/>
        <v>4</v>
      </c>
      <c r="V79" s="176">
        <f t="shared" si="12"/>
        <v>5</v>
      </c>
      <c r="W79" s="177">
        <f t="shared" si="13"/>
        <v>1</v>
      </c>
      <c r="X79" s="3" t="str">
        <f>IF(VLOOKUP($C79,'All Girls &amp; Descendants - Edit'!$C$2:$AK$440,'All Girls &amp; Descendants - Edit'!X$1,FALSE)=""," - ",(VLOOKUP($C79,'All Girls &amp; Descendants - Edit'!$C$2:$AK$440,'All Girls &amp; Descendants - Edit'!X$1,FALSE)))</f>
        <v>Louise Alexandra SCOTT (b. 3 Jan 1958, )</v>
      </c>
      <c r="Y79" s="3" t="str">
        <f>IF(VLOOKUP($C79,'All Girls &amp; Descendants - Edit'!$C$2:$AK$440,'All Girls &amp; Descendants - Edit'!Y$1,FALSE)=""," - ",(VLOOKUP($C79,'All Girls &amp; Descendants - Edit'!$C$2:$AK$440,'All Girls &amp; Descendants - Edit'!Y$1,FALSE)))</f>
        <v>Married at St Michael and Our Lady, Wragby, West Yorkshire by the Bishop of Wakefield, Louise Alexandra, daughter of Stewart SCOTT of Holly Tree House, Thorpe Bassett, Malton, North Yorkshire.</v>
      </c>
      <c r="Z79" s="3" t="str">
        <f>IF(VLOOKUP($C79,'All Girls &amp; Descendants - Edit'!$C$2:$AK$440,'All Girls &amp; Descendants - Edit'!Z$1,FALSE)=""," - ",(VLOOKUP($C79,'All Girls &amp; Descendants - Edit'!$C$2:$AK$440,'All Girls &amp; Descendants - Edit'!Z$1,FALSE)))</f>
        <v xml:space="preserve">Charles Rowland Andrew WINN, 6th Baron ST OSWALD of Nostell Priory, Wakefield, West Yorkshire, WF4 1QE and of The Lodge, Terrington, Yorkshire. </v>
      </c>
      <c r="AA79" s="101">
        <f>IF(VLOOKUP($C79,'All Girls &amp; Descendants - Edit'!$C$2:$AK$440,'All Girls &amp; Descendants - Edit'!AA$1,FALSE)=""," - ",(VLOOKUP($C79,'All Girls &amp; Descendants - Edit'!$C$2:$AK$440,'All Girls &amp; Descendants - Edit'!AA$1,FALSE)))</f>
        <v>278</v>
      </c>
      <c r="AB79" s="101">
        <f>IF(VLOOKUP($C79,'All Girls &amp; Descendants - Edit'!$C$2:$AK$440,'All Girls &amp; Descendants - Edit'!AB$1,FALSE)=""," - ",(VLOOKUP($C79,'All Girls &amp; Descendants - Edit'!$C$2:$AK$440,'All Girls &amp; Descendants - Edit'!AB$1,FALSE)))</f>
        <v>78</v>
      </c>
      <c r="AC79" s="101">
        <f>IF(VLOOKUP($C79,'All Girls &amp; Descendants - Edit'!$C$2:$AK$440,'All Girls &amp; Descendants - Edit'!AC$1,FALSE)=""," - ",(VLOOKUP($C79,'All Girls &amp; Descendants - Edit'!$C$2:$AK$440,'All Girls &amp; Descendants - Edit'!AC$1,FALSE)))</f>
        <v>1078</v>
      </c>
      <c r="AD79" s="3" t="str">
        <f>IF(VLOOKUP($C79,'All Girls &amp; Descendants - Edit'!$C$2:$AK$440,'All Girls &amp; Descendants - Edit'!AD$1,FALSE)=""," - ",(VLOOKUP($C79,'All Girls &amp; Descendants - Edit'!$C$2:$AK$440,'All Girls &amp; Descendants - Edit'!AD$1,FALSE)))</f>
        <v>106b</v>
      </c>
      <c r="AE79" s="3" t="str">
        <f>IF(VLOOKUP($C79,'All Girls &amp; Descendants - Edit'!$C$2:$AK$440,'All Girls &amp; Descendants - Edit'!AE$1,FALSE)=""," - ",(VLOOKUP($C79,'All Girls &amp; Descendants - Edit'!$C$2:$AK$440,'All Girls &amp; Descendants - Edit'!AE$1,FALSE)))</f>
        <v>Charles Rowland Andrew WINN (1959 - )</v>
      </c>
      <c r="AF79" s="3" t="str">
        <f>IF(VLOOKUP($C79,'All Girls &amp; Descendants - Edit'!$C$2:$AK$440,'All Girls &amp; Descendants - Edit'!AF$1,FALSE)=""," - ",(VLOOKUP($C79,'All Girls &amp; Descendants - Edit'!$C$2:$AK$440,'All Girls &amp; Descendants - Edit'!AF$1,FALSE)))</f>
        <v>Charles WINN (6th &amp; 106)</v>
      </c>
      <c r="AG79" s="3" t="str">
        <f>IF(VLOOKUP($C79,'All Girls &amp; Descendants - Edit'!$C$2:$AK$440,'All Girls &amp; Descendants - Edit'!AG$1,FALSE)=""," - ",(VLOOKUP($C79,'All Girls &amp; Descendants - Edit'!$C$2:$AK$440,'All Girls &amp; Descendants - Edit'!AG$1,FALSE)))</f>
        <v>Male</v>
      </c>
      <c r="AH79" s="3" t="str">
        <f>IF(VLOOKUP($C79,'All Girls &amp; Descendants - Edit'!$C$2:$AK$440,'All Girls &amp; Descendants - Edit'!AH$1,FALSE)=""," - ",(VLOOKUP($C79,'All Girls &amp; Descendants - Edit'!$C$2:$AK$440,'All Girls &amp; Descendants - Edit'!AH$1,FALSE)))</f>
        <v>6th</v>
      </c>
      <c r="AI79" s="3" t="str">
        <f>IF(VLOOKUP($C79,'All Girls &amp; Descendants - Edit'!$C$2:$AK$440,'All Girls &amp; Descendants - Edit'!AI$1,FALSE)=""," - ",(VLOOKUP($C79,'All Girls &amp; Descendants - Edit'!$C$2:$AK$440,'All Girls &amp; Descendants - Edit'!AI$1,FALSE)))</f>
        <v>Wife: Louise Alexandra SCOTT (b. 3 Jan 1958, ). Married at St Michael and Our Lady, Wragby, West Yorkshire by the Bishop of Wakefield, Louise Alexandra, daughter of Stewart SCOTT of Holly Tree House, Thorpe Bassett, Malton, North Yorkshire.</v>
      </c>
      <c r="AJ79" s="3" t="str">
        <f>IF(VLOOKUP($C79,'All Girls &amp; Descendants - Edit'!$C$2:$AK$440,'All Girls &amp; Descendants - Edit'!AJ$1,FALSE)=""," - ",(VLOOKUP($C79,'All Girls &amp; Descendants - Edit'!$C$2:$AK$440,'All Girls &amp; Descendants - Edit'!AJ$1,FALSE)))</f>
        <v xml:space="preserve">Male. b. 22/07/1959 Charles Rowland Andrew WINN, 6th Baron ST OSWALD of Nostell Priory, Wakefield, West Yorkshire, WF4 1QE and of The Lodge, Terrington, Yorkshire. </v>
      </c>
      <c r="AK79" s="3" t="str">
        <f>IF(VLOOKUP($C79,'All Girls &amp; Descendants - Edit'!$C$2:$AK$440,'All Girls &amp; Descendants - Edit'!AK$1,FALSE)=""," - ",(VLOOKUP($C79,'All Girls &amp; Descendants - Edit'!$C$2:$AK$440,'All Girls &amp; Descendants - Edit'!AK$1,FALSE)))</f>
        <v>b. 22/07/1959</v>
      </c>
      <c r="AS79" s="72" t="s">
        <v>2812</v>
      </c>
      <c r="AT79">
        <v>56</v>
      </c>
      <c r="AU79">
        <v>67</v>
      </c>
      <c r="AV79">
        <v>25</v>
      </c>
      <c r="AW79">
        <v>15</v>
      </c>
      <c r="AX79">
        <v>13</v>
      </c>
      <c r="AY79">
        <v>2</v>
      </c>
      <c r="AZ79">
        <v>178</v>
      </c>
      <c r="BA79">
        <v>61</v>
      </c>
      <c r="BB79">
        <v>75</v>
      </c>
      <c r="BC79">
        <v>64</v>
      </c>
      <c r="BD79">
        <v>22</v>
      </c>
      <c r="BE79">
        <v>9</v>
      </c>
      <c r="BF79">
        <v>13</v>
      </c>
      <c r="BG79">
        <v>1</v>
      </c>
      <c r="BH79">
        <v>245</v>
      </c>
      <c r="BI79">
        <v>423</v>
      </c>
    </row>
    <row r="80" spans="1:61" ht="19">
      <c r="A80">
        <f>VLOOKUP(B80,'Loyd List 1-190 - Edit'!$P$1:$R$219,3,FALSE)</f>
        <v>76</v>
      </c>
      <c r="B80">
        <f>'All Girls &amp; Descendants - Edit'!B81</f>
        <v>107</v>
      </c>
      <c r="C80" s="98" t="str">
        <f>'All Girls &amp; Descendants - Edit'!C81</f>
        <v>107a</v>
      </c>
      <c r="D80" s="2" t="str">
        <f>'All Girls &amp; Descendants - Edit'!D81</f>
        <v>GRAHAM</v>
      </c>
      <c r="E80" t="str">
        <f>'All Girls &amp; Descendants - Edit'!E81</f>
        <v>Lorraine</v>
      </c>
      <c r="F80" t="str">
        <f>IF('All Girls &amp; Descendants - Edit'!F81="","",'All Girls &amp; Descendants - Edit'!F81)</f>
        <v>Mary</v>
      </c>
      <c r="G80" t="str">
        <f>IF('All Girls &amp; Descendants - Edit'!G81="","",'All Girls &amp; Descendants - Edit'!G81)</f>
        <v/>
      </c>
      <c r="H80" t="str">
        <f>IF('All Girls &amp; Descendants - Edit'!H81="","",'All Girls &amp; Descendants - Edit'!H81)</f>
        <v/>
      </c>
      <c r="I80">
        <f>VLOOKUP($C80,'All Girls &amp; Descendants - Edit'!$C$2:$AK$440,'All Girls &amp; Descendants - Edit'!I$1,FALSE)</f>
        <v>1951</v>
      </c>
      <c r="J80" t="str">
        <f>VLOOKUP($C80,'All Girls &amp; Descendants - Edit'!$C$2:$AK$440,'All Girls &amp; Descendants - Edit'!J$1,FALSE)</f>
        <v/>
      </c>
      <c r="K80" s="9"/>
      <c r="L80" t="str">
        <f t="shared" si="10"/>
        <v>19/05/1951</v>
      </c>
      <c r="M80" s="3">
        <f>VLOOKUP($C80,'All Girls &amp; Descendants - Edit'!$C$2:$AK$440,'All Girls &amp; Descendants - Edit'!M$1,FALSE)</f>
        <v>18767</v>
      </c>
      <c r="N80" s="3">
        <f>IF(VLOOKUP($C80,'All Girls &amp; Descendants - Edit'!$C$2:$AK$440,'All Girls &amp; Descendants - Edit'!N$1,FALSE)=""," - ",(VLOOKUP($C80,'All Girls &amp; Descendants - Edit'!$C$2:$AK$440,'All Girls &amp; Descendants - Edit'!N$1,FALSE)))</f>
        <v>27439</v>
      </c>
      <c r="O80" s="3" t="str">
        <f>IF(VLOOKUP($C80,'All Girls &amp; Descendants - Edit'!$C$2:$AK$440,'All Girls &amp; Descendants - Edit'!O$1,FALSE)="","",(VLOOKUP($C80,'All Girls &amp; Descendants - Edit'!$C$2:$AK$440,'All Girls &amp; Descendants - Edit'!O$1,FALSE)))</f>
        <v/>
      </c>
      <c r="P80" s="3" t="str">
        <f t="shared" si="14"/>
        <v/>
      </c>
      <c r="Q80" s="178" t="str">
        <f t="shared" si="15"/>
        <v>107</v>
      </c>
      <c r="R80" s="23"/>
      <c r="S80" t="str">
        <f>VLOOKUP($C80,'All Girls &amp; Descendants - Edit'!$C$2:$AK$440,'All Girls &amp; Descendants - Edit'!S$1,FALSE)</f>
        <v>Female</v>
      </c>
      <c r="T80" s="176">
        <f t="shared" si="16"/>
        <v>6</v>
      </c>
      <c r="U80" s="176">
        <f t="shared" si="11"/>
        <v>4</v>
      </c>
      <c r="V80" s="176">
        <f t="shared" si="12"/>
        <v>5</v>
      </c>
      <c r="W80" s="177">
        <f t="shared" si="13"/>
        <v>1</v>
      </c>
      <c r="X80" s="3" t="str">
        <f>IF(VLOOKUP($C80,'All Girls &amp; Descendants - Edit'!$C$2:$AK$440,'All Girls &amp; Descendants - Edit'!X$1,FALSE)=""," - ",(VLOOKUP($C80,'All Girls &amp; Descendants - Edit'!$C$2:$AK$440,'All Girls &amp; Descendants - Edit'!X$1,FALSE)))</f>
        <v>(1) Edward F RUSSELL on 14 Feb 1975. (Divorced). (2) Douglas AMY (b. 02/09/1950, ) on 6 Mar 1979. (3) 17 Aug 1990 Michael Allen (Mike) SEALUND (b. 14/12/1950) of Bellingham, Washington. USA.</v>
      </c>
      <c r="Y80" s="3" t="str">
        <f>IF(VLOOKUP($C80,'All Girls &amp; Descendants - Edit'!$C$2:$AK$440,'All Girls &amp; Descendants - Edit'!Y$1,FALSE)=""," - ",(VLOOKUP($C80,'All Girls &amp; Descendants - Edit'!$C$2:$AK$440,'All Girls &amp; Descendants - Edit'!Y$1,FALSE)))</f>
        <v xml:space="preserve"> - </v>
      </c>
      <c r="Z80" s="3" t="str">
        <f>IF(VLOOKUP($C80,'All Girls &amp; Descendants - Edit'!$C$2:$AK$440,'All Girls &amp; Descendants - Edit'!Z$1,FALSE)=""," - ",(VLOOKUP($C80,'All Girls &amp; Descendants - Edit'!$C$2:$AK$440,'All Girls &amp; Descendants - Edit'!Z$1,FALSE)))</f>
        <v>Born at Medicine Hat, Alberta USA. Baptised May 1953 at Coeur d’Alene, Idaho, USA.</v>
      </c>
      <c r="AA80" s="101">
        <f>IF(VLOOKUP($C80,'All Girls &amp; Descendants - Edit'!$C$2:$AK$440,'All Girls &amp; Descendants - Edit'!AA$1,FALSE)=""," - ",(VLOOKUP($C80,'All Girls &amp; Descendants - Edit'!$C$2:$AK$440,'All Girls &amp; Descendants - Edit'!AA$1,FALSE)))</f>
        <v>281</v>
      </c>
      <c r="AB80" s="101">
        <f>IF(VLOOKUP($C80,'All Girls &amp; Descendants - Edit'!$C$2:$AK$440,'All Girls &amp; Descendants - Edit'!AB$1,FALSE)=""," - ",(VLOOKUP($C80,'All Girls &amp; Descendants - Edit'!$C$2:$AK$440,'All Girls &amp; Descendants - Edit'!AB$1,FALSE)))</f>
        <v>79</v>
      </c>
      <c r="AC80" s="101">
        <f>IF(VLOOKUP($C80,'All Girls &amp; Descendants - Edit'!$C$2:$AK$440,'All Girls &amp; Descendants - Edit'!AC$1,FALSE)=""," - ",(VLOOKUP($C80,'All Girls &amp; Descendants - Edit'!$C$2:$AK$440,'All Girls &amp; Descendants - Edit'!AC$1,FALSE)))</f>
        <v>1079</v>
      </c>
      <c r="AD80" s="3" t="str">
        <f>IF(VLOOKUP($C80,'All Girls &amp; Descendants - Edit'!$C$2:$AK$440,'All Girls &amp; Descendants - Edit'!AD$1,FALSE)=""," - ",(VLOOKUP($C80,'All Girls &amp; Descendants - Edit'!$C$2:$AK$440,'All Girls &amp; Descendants - Edit'!AD$1,FALSE)))</f>
        <v>107a</v>
      </c>
      <c r="AE80" s="3" t="str">
        <f>IF(VLOOKUP($C80,'All Girls &amp; Descendants - Edit'!$C$2:$AK$440,'All Girls &amp; Descendants - Edit'!AE$1,FALSE)=""," - ",(VLOOKUP($C80,'All Girls &amp; Descendants - Edit'!$C$2:$AK$440,'All Girls &amp; Descendants - Edit'!AE$1,FALSE)))</f>
        <v>Lorraine Mary  GRAHAM (1951 - )</v>
      </c>
      <c r="AF80" s="3" t="str">
        <f>IF(VLOOKUP($C80,'All Girls &amp; Descendants - Edit'!$C$2:$AK$440,'All Girls &amp; Descendants - Edit'!AF$1,FALSE)=""," - ",(VLOOKUP($C80,'All Girls &amp; Descendants - Edit'!$C$2:$AK$440,'All Girls &amp; Descendants - Edit'!AF$1,FALSE)))</f>
        <v>Lorraine GRAHAM (6th &amp; 107)</v>
      </c>
      <c r="AG80" s="3" t="str">
        <f>IF(VLOOKUP($C80,'All Girls &amp; Descendants - Edit'!$C$2:$AK$440,'All Girls &amp; Descendants - Edit'!AG$1,FALSE)=""," - ",(VLOOKUP($C80,'All Girls &amp; Descendants - Edit'!$C$2:$AK$440,'All Girls &amp; Descendants - Edit'!AG$1,FALSE)))</f>
        <v>Female</v>
      </c>
      <c r="AH80" s="3" t="str">
        <f>IF(VLOOKUP($C80,'All Girls &amp; Descendants - Edit'!$C$2:$AK$440,'All Girls &amp; Descendants - Edit'!AH$1,FALSE)=""," - ",(VLOOKUP($C80,'All Girls &amp; Descendants - Edit'!$C$2:$AK$440,'All Girls &amp; Descendants - Edit'!AH$1,FALSE)))</f>
        <v>6th</v>
      </c>
      <c r="AI80" s="3" t="str">
        <f>IF(VLOOKUP($C80,'All Girls &amp; Descendants - Edit'!$C$2:$AK$440,'All Girls &amp; Descendants - Edit'!AI$1,FALSE)=""," - ",(VLOOKUP($C80,'All Girls &amp; Descendants - Edit'!$C$2:$AK$440,'All Girls &amp; Descendants - Edit'!AI$1,FALSE)))</f>
        <v xml:space="preserve">Husband: (1) Edward F RUSSELL on 14 Feb 1975. (Divorced). (2) Douglas AMY (b. 02/09/1950, ) on 6 Mar 1979. (3) 17 Aug 1990 Michael Allen (Mike) SEALUND (b. 14/12/1950) of Bellingham, Washington. USA.. </v>
      </c>
      <c r="AJ80" s="3" t="str">
        <f>IF(VLOOKUP($C80,'All Girls &amp; Descendants - Edit'!$C$2:$AK$440,'All Girls &amp; Descendants - Edit'!AJ$1,FALSE)=""," - ",(VLOOKUP($C80,'All Girls &amp; Descendants - Edit'!$C$2:$AK$440,'All Girls &amp; Descendants - Edit'!AJ$1,FALSE)))</f>
        <v>Female. b. 19/05/1951 Born at Medicine Hat, Alberta USA. Baptised May 1953 at Coeur d’Alene, Idaho, USA.</v>
      </c>
      <c r="AK80" s="3" t="str">
        <f>IF(VLOOKUP($C80,'All Girls &amp; Descendants - Edit'!$C$2:$AK$440,'All Girls &amp; Descendants - Edit'!AK$1,FALSE)=""," - ",(VLOOKUP($C80,'All Girls &amp; Descendants - Edit'!$C$2:$AK$440,'All Girls &amp; Descendants - Edit'!AK$1,FALSE)))</f>
        <v>b. 19/05/1951</v>
      </c>
    </row>
    <row r="81" spans="1:37" ht="19">
      <c r="A81">
        <f>VLOOKUP(B81,'Loyd List 1-190 - Edit'!$P$1:$R$219,3,FALSE)</f>
        <v>76</v>
      </c>
      <c r="B81">
        <f>'All Girls &amp; Descendants - Edit'!B82</f>
        <v>107</v>
      </c>
      <c r="C81" s="98" t="str">
        <f>'All Girls &amp; Descendants - Edit'!C82</f>
        <v>107b</v>
      </c>
      <c r="D81" s="2" t="str">
        <f>'All Girls &amp; Descendants - Edit'!D82</f>
        <v>ORR</v>
      </c>
      <c r="E81" t="str">
        <f>'All Girls &amp; Descendants - Edit'!E82</f>
        <v>Nora</v>
      </c>
      <c r="F81" t="str">
        <f>IF('All Girls &amp; Descendants - Edit'!F82="","",'All Girls &amp; Descendants - Edit'!F82)</f>
        <v>Ann</v>
      </c>
      <c r="G81" t="str">
        <f>IF('All Girls &amp; Descendants - Edit'!G82="","",'All Girls &amp; Descendants - Edit'!G82)</f>
        <v/>
      </c>
      <c r="H81" t="str">
        <f>IF('All Girls &amp; Descendants - Edit'!H82="","",'All Girls &amp; Descendants - Edit'!H82)</f>
        <v/>
      </c>
      <c r="I81">
        <f>VLOOKUP($C81,'All Girls &amp; Descendants - Edit'!$C$2:$AK$440,'All Girls &amp; Descendants - Edit'!I$1,FALSE)</f>
        <v>1955</v>
      </c>
      <c r="J81" t="str">
        <f>VLOOKUP($C81,'All Girls &amp; Descendants - Edit'!$C$2:$AK$440,'All Girls &amp; Descendants - Edit'!J$1,FALSE)</f>
        <v/>
      </c>
      <c r="K81" s="9"/>
      <c r="L81" t="str">
        <f t="shared" si="10"/>
        <v>20/03/1955</v>
      </c>
      <c r="M81" s="3">
        <f>VLOOKUP($C81,'All Girls &amp; Descendants - Edit'!$C$2:$AK$440,'All Girls &amp; Descendants - Edit'!M$1,FALSE)</f>
        <v>20168</v>
      </c>
      <c r="N81" s="3">
        <f>IF(VLOOKUP($C81,'All Girls &amp; Descendants - Edit'!$C$2:$AK$440,'All Girls &amp; Descendants - Edit'!N$1,FALSE)=""," - ",(VLOOKUP($C81,'All Girls &amp; Descendants - Edit'!$C$2:$AK$440,'All Girls &amp; Descendants - Edit'!N$1,FALSE)))</f>
        <v>26625</v>
      </c>
      <c r="O81" s="3" t="str">
        <f>IF(VLOOKUP($C81,'All Girls &amp; Descendants - Edit'!$C$2:$AK$440,'All Girls &amp; Descendants - Edit'!O$1,FALSE)="","",(VLOOKUP($C81,'All Girls &amp; Descendants - Edit'!$C$2:$AK$440,'All Girls &amp; Descendants - Edit'!O$1,FALSE)))</f>
        <v/>
      </c>
      <c r="P81" s="3" t="str">
        <f t="shared" si="14"/>
        <v/>
      </c>
      <c r="Q81" s="178" t="str">
        <f t="shared" si="15"/>
        <v>107</v>
      </c>
      <c r="R81" s="23"/>
      <c r="S81" t="str">
        <f>VLOOKUP($C81,'All Girls &amp; Descendants - Edit'!$C$2:$AK$440,'All Girls &amp; Descendants - Edit'!S$1,FALSE)</f>
        <v>Female</v>
      </c>
      <c r="T81" s="176">
        <f t="shared" si="16"/>
        <v>6</v>
      </c>
      <c r="U81" s="176">
        <f t="shared" si="11"/>
        <v>4</v>
      </c>
      <c r="V81" s="176">
        <f t="shared" si="12"/>
        <v>5</v>
      </c>
      <c r="W81" s="177">
        <f t="shared" si="13"/>
        <v>1</v>
      </c>
      <c r="X81" s="3" t="str">
        <f>IF(VLOOKUP($C81,'All Girls &amp; Descendants - Edit'!$C$2:$AK$440,'All Girls &amp; Descendants - Edit'!X$1,FALSE)=""," - ",(VLOOKUP($C81,'All Girls &amp; Descendants - Edit'!$C$2:$AK$440,'All Girls &amp; Descendants - Edit'!X$1,FALSE)))</f>
        <v>(1) Daniel James THOMPSON (b. 08/05/1955, ) (2) Gary BITKER (b. 29 Jul 1954). (Divorced 1982).</v>
      </c>
      <c r="Y81" s="3" t="str">
        <f>IF(VLOOKUP($C81,'All Girls &amp; Descendants - Edit'!$C$2:$AK$440,'All Girls &amp; Descendants - Edit'!Y$1,FALSE)=""," - ",(VLOOKUP($C81,'All Girls &amp; Descendants - Edit'!$C$2:$AK$440,'All Girls &amp; Descendants - Edit'!Y$1,FALSE)))</f>
        <v>Gary BITKER; Michael Allen SEALUND; (1) 22 Nov 1972 Daniel James THOMPSON (b. 08/05/1955). (Div).</v>
      </c>
      <c r="Z81" s="3" t="str">
        <f>IF(VLOOKUP($C81,'All Girls &amp; Descendants - Edit'!$C$2:$AK$440,'All Girls &amp; Descendants - Edit'!Z$1,FALSE)=""," - ",(VLOOKUP($C81,'All Girls &amp; Descendants - Edit'!$C$2:$AK$440,'All Girls &amp; Descendants - Edit'!Z$1,FALSE)))</f>
        <v>Baptised 1955 at St Thomas’s Parish Church, Coeur d’Alene, Idaho.</v>
      </c>
      <c r="AA81" s="101">
        <f>IF(VLOOKUP($C81,'All Girls &amp; Descendants - Edit'!$C$2:$AK$440,'All Girls &amp; Descendants - Edit'!AA$1,FALSE)=""," - ",(VLOOKUP($C81,'All Girls &amp; Descendants - Edit'!$C$2:$AK$440,'All Girls &amp; Descendants - Edit'!AA$1,FALSE)))</f>
        <v>286</v>
      </c>
      <c r="AB81" s="101">
        <f>IF(VLOOKUP($C81,'All Girls &amp; Descendants - Edit'!$C$2:$AK$440,'All Girls &amp; Descendants - Edit'!AB$1,FALSE)=""," - ",(VLOOKUP($C81,'All Girls &amp; Descendants - Edit'!$C$2:$AK$440,'All Girls &amp; Descendants - Edit'!AB$1,FALSE)))</f>
        <v>80</v>
      </c>
      <c r="AC81" s="101">
        <f>IF(VLOOKUP($C81,'All Girls &amp; Descendants - Edit'!$C$2:$AK$440,'All Girls &amp; Descendants - Edit'!AC$1,FALSE)=""," - ",(VLOOKUP($C81,'All Girls &amp; Descendants - Edit'!$C$2:$AK$440,'All Girls &amp; Descendants - Edit'!AC$1,FALSE)))</f>
        <v>1080</v>
      </c>
      <c r="AD81" s="3" t="str">
        <f>IF(VLOOKUP($C81,'All Girls &amp; Descendants - Edit'!$C$2:$AK$440,'All Girls &amp; Descendants - Edit'!AD$1,FALSE)=""," - ",(VLOOKUP($C81,'All Girls &amp; Descendants - Edit'!$C$2:$AK$440,'All Girls &amp; Descendants - Edit'!AD$1,FALSE)))</f>
        <v>107b</v>
      </c>
      <c r="AE81" s="3" t="str">
        <f>IF(VLOOKUP($C81,'All Girls &amp; Descendants - Edit'!$C$2:$AK$440,'All Girls &amp; Descendants - Edit'!AE$1,FALSE)=""," - ",(VLOOKUP($C81,'All Girls &amp; Descendants - Edit'!$C$2:$AK$440,'All Girls &amp; Descendants - Edit'!AE$1,FALSE)))</f>
        <v>Nora Ann  ORR (1955 - )</v>
      </c>
      <c r="AF81" s="3" t="str">
        <f>IF(VLOOKUP($C81,'All Girls &amp; Descendants - Edit'!$C$2:$AK$440,'All Girls &amp; Descendants - Edit'!AF$1,FALSE)=""," - ",(VLOOKUP($C81,'All Girls &amp; Descendants - Edit'!$C$2:$AK$440,'All Girls &amp; Descendants - Edit'!AF$1,FALSE)))</f>
        <v>Nora ORR (6th &amp; 107)</v>
      </c>
      <c r="AG81" s="3" t="str">
        <f>IF(VLOOKUP($C81,'All Girls &amp; Descendants - Edit'!$C$2:$AK$440,'All Girls &amp; Descendants - Edit'!AG$1,FALSE)=""," - ",(VLOOKUP($C81,'All Girls &amp; Descendants - Edit'!$C$2:$AK$440,'All Girls &amp; Descendants - Edit'!AG$1,FALSE)))</f>
        <v>Female</v>
      </c>
      <c r="AH81" s="3" t="str">
        <f>IF(VLOOKUP($C81,'All Girls &amp; Descendants - Edit'!$C$2:$AK$440,'All Girls &amp; Descendants - Edit'!AH$1,FALSE)=""," - ",(VLOOKUP($C81,'All Girls &amp; Descendants - Edit'!$C$2:$AK$440,'All Girls &amp; Descendants - Edit'!AH$1,FALSE)))</f>
        <v>6th</v>
      </c>
      <c r="AI81" s="3" t="str">
        <f>IF(VLOOKUP($C81,'All Girls &amp; Descendants - Edit'!$C$2:$AK$440,'All Girls &amp; Descendants - Edit'!AI$1,FALSE)=""," - ",(VLOOKUP($C81,'All Girls &amp; Descendants - Edit'!$C$2:$AK$440,'All Girls &amp; Descendants - Edit'!AI$1,FALSE)))</f>
        <v>Husband: (1) Daniel James THOMPSON (b. 08/05/1955, ) (2) Gary BITKER (b. 29 Jul 1954). (Divorced 1982).. Gary BITKER; Michael Allen SEALUND; (1) 22 Nov 1972 Daniel James THOMPSON (b. 08/05/1955). (Div).</v>
      </c>
      <c r="AJ81" s="3" t="str">
        <f>IF(VLOOKUP($C81,'All Girls &amp; Descendants - Edit'!$C$2:$AK$440,'All Girls &amp; Descendants - Edit'!AJ$1,FALSE)=""," - ",(VLOOKUP($C81,'All Girls &amp; Descendants - Edit'!$C$2:$AK$440,'All Girls &amp; Descendants - Edit'!AJ$1,FALSE)))</f>
        <v>Female. b. 20/03/1955 Baptised 1955 at St Thomas’s Parish Church, Coeur d’Alene, Idaho.</v>
      </c>
      <c r="AK81" s="3" t="str">
        <f>IF(VLOOKUP($C81,'All Girls &amp; Descendants - Edit'!$C$2:$AK$440,'All Girls &amp; Descendants - Edit'!AK$1,FALSE)=""," - ",(VLOOKUP($C81,'All Girls &amp; Descendants - Edit'!$C$2:$AK$440,'All Girls &amp; Descendants - Edit'!AK$1,FALSE)))</f>
        <v>b. 20/03/1955</v>
      </c>
    </row>
    <row r="82" spans="1:37" ht="19">
      <c r="A82">
        <f>VLOOKUP(B82,'Loyd List 1-190 - Edit'!$P$1:$R$219,3,FALSE)</f>
        <v>76</v>
      </c>
      <c r="B82">
        <f>'All Girls &amp; Descendants - Edit'!B83</f>
        <v>107</v>
      </c>
      <c r="C82" s="98" t="str">
        <f>'All Girls &amp; Descendants - Edit'!C83</f>
        <v>107c</v>
      </c>
      <c r="D82" s="2" t="str">
        <f>'All Girls &amp; Descendants - Edit'!D83</f>
        <v>ORR</v>
      </c>
      <c r="E82" t="str">
        <f>'All Girls &amp; Descendants - Edit'!E83</f>
        <v>Michael</v>
      </c>
      <c r="F82" t="str">
        <f>IF('All Girls &amp; Descendants - Edit'!F83="","",'All Girls &amp; Descendants - Edit'!F83)</f>
        <v>Kirkman</v>
      </c>
      <c r="G82" t="str">
        <f>IF('All Girls &amp; Descendants - Edit'!G83="","",'All Girls &amp; Descendants - Edit'!G83)</f>
        <v>Loyd</v>
      </c>
      <c r="H82" t="str">
        <f>IF('All Girls &amp; Descendants - Edit'!H83="","",'All Girls &amp; Descendants - Edit'!H83)</f>
        <v/>
      </c>
      <c r="I82">
        <f>VLOOKUP($C82,'All Girls &amp; Descendants - Edit'!$C$2:$AK$440,'All Girls &amp; Descendants - Edit'!I$1,FALSE)</f>
        <v>1956</v>
      </c>
      <c r="J82" t="str">
        <f>VLOOKUP($C82,'All Girls &amp; Descendants - Edit'!$C$2:$AK$440,'All Girls &amp; Descendants - Edit'!J$1,FALSE)</f>
        <v/>
      </c>
      <c r="K82" s="9"/>
      <c r="L82" t="str">
        <f t="shared" si="10"/>
        <v>16/02/1956</v>
      </c>
      <c r="M82" s="3">
        <f>VLOOKUP($C82,'All Girls &amp; Descendants - Edit'!$C$2:$AK$440,'All Girls &amp; Descendants - Edit'!M$1,FALSE)</f>
        <v>20501</v>
      </c>
      <c r="N82" s="3">
        <f>IF(VLOOKUP($C82,'All Girls &amp; Descendants - Edit'!$C$2:$AK$440,'All Girls &amp; Descendants - Edit'!N$1,FALSE)=""," - ",(VLOOKUP($C82,'All Girls &amp; Descendants - Edit'!$C$2:$AK$440,'All Girls &amp; Descendants - Edit'!N$1,FALSE)))</f>
        <v>28277</v>
      </c>
      <c r="O82" s="3" t="str">
        <f>IF(VLOOKUP($C82,'All Girls &amp; Descendants - Edit'!$C$2:$AK$440,'All Girls &amp; Descendants - Edit'!O$1,FALSE)="","",(VLOOKUP($C82,'All Girls &amp; Descendants - Edit'!$C$2:$AK$440,'All Girls &amp; Descendants - Edit'!O$1,FALSE)))</f>
        <v/>
      </c>
      <c r="P82" s="3" t="str">
        <f t="shared" si="14"/>
        <v/>
      </c>
      <c r="Q82" s="178" t="str">
        <f t="shared" si="15"/>
        <v>107</v>
      </c>
      <c r="R82" s="23"/>
      <c r="S82" t="str">
        <f>VLOOKUP($C82,'All Girls &amp; Descendants - Edit'!$C$2:$AK$440,'All Girls &amp; Descendants - Edit'!S$1,FALSE)</f>
        <v>Male</v>
      </c>
      <c r="T82" s="176">
        <f t="shared" si="16"/>
        <v>6</v>
      </c>
      <c r="U82" s="176">
        <f t="shared" si="11"/>
        <v>4</v>
      </c>
      <c r="V82" s="176">
        <f t="shared" si="12"/>
        <v>5</v>
      </c>
      <c r="W82" s="177">
        <f t="shared" si="13"/>
        <v>1</v>
      </c>
      <c r="X82" s="3" t="str">
        <f>IF(VLOOKUP($C82,'All Girls &amp; Descendants - Edit'!$C$2:$AK$440,'All Girls &amp; Descendants - Edit'!X$1,FALSE)=""," - ",(VLOOKUP($C82,'All Girls &amp; Descendants - Edit'!$C$2:$AK$440,'All Girls &amp; Descendants - Edit'!X$1,FALSE)))</f>
        <v>(1) Jun 1977 Marcell Lee WATKINS. (Divorced). (2) 9 Feb 1980 Kim BAKER (b. 22/11/1955).</v>
      </c>
      <c r="Y82" s="3" t="str">
        <f>IF(VLOOKUP($C82,'All Girls &amp; Descendants - Edit'!$C$2:$AK$440,'All Girls &amp; Descendants - Edit'!Y$1,FALSE)=""," - ",(VLOOKUP($C82,'All Girls &amp; Descendants - Edit'!$C$2:$AK$440,'All Girls &amp; Descendants - Edit'!Y$1,FALSE)))</f>
        <v>Kim BAKER</v>
      </c>
      <c r="Z82" s="3" t="str">
        <f>IF(VLOOKUP($C82,'All Girls &amp; Descendants - Edit'!$C$2:$AK$440,'All Girls &amp; Descendants - Edit'!Z$1,FALSE)=""," - ",(VLOOKUP($C82,'All Girls &amp; Descendants - Edit'!$C$2:$AK$440,'All Girls &amp; Descendants - Edit'!Z$1,FALSE)))</f>
        <v>Baptised 1956 at St Thomas’s Cathedral Church, Coeur d’Alene, Idaho. USA.</v>
      </c>
      <c r="AA82" s="101">
        <f>IF(VLOOKUP($C82,'All Girls &amp; Descendants - Edit'!$C$2:$AK$440,'All Girls &amp; Descendants - Edit'!AA$1,FALSE)=""," - ",(VLOOKUP($C82,'All Girls &amp; Descendants - Edit'!$C$2:$AK$440,'All Girls &amp; Descendants - Edit'!AA$1,FALSE)))</f>
        <v>290</v>
      </c>
      <c r="AB82" s="101">
        <f>IF(VLOOKUP($C82,'All Girls &amp; Descendants - Edit'!$C$2:$AK$440,'All Girls &amp; Descendants - Edit'!AB$1,FALSE)=""," - ",(VLOOKUP($C82,'All Girls &amp; Descendants - Edit'!$C$2:$AK$440,'All Girls &amp; Descendants - Edit'!AB$1,FALSE)))</f>
        <v>81</v>
      </c>
      <c r="AC82" s="101">
        <f>IF(VLOOKUP($C82,'All Girls &amp; Descendants - Edit'!$C$2:$AK$440,'All Girls &amp; Descendants - Edit'!AC$1,FALSE)=""," - ",(VLOOKUP($C82,'All Girls &amp; Descendants - Edit'!$C$2:$AK$440,'All Girls &amp; Descendants - Edit'!AC$1,FALSE)))</f>
        <v>1081</v>
      </c>
      <c r="AD82" s="3" t="str">
        <f>IF(VLOOKUP($C82,'All Girls &amp; Descendants - Edit'!$C$2:$AK$440,'All Girls &amp; Descendants - Edit'!AD$1,FALSE)=""," - ",(VLOOKUP($C82,'All Girls &amp; Descendants - Edit'!$C$2:$AK$440,'All Girls &amp; Descendants - Edit'!AD$1,FALSE)))</f>
        <v>107c</v>
      </c>
      <c r="AE82" s="3" t="str">
        <f>IF(VLOOKUP($C82,'All Girls &amp; Descendants - Edit'!$C$2:$AK$440,'All Girls &amp; Descendants - Edit'!AE$1,FALSE)=""," - ",(VLOOKUP($C82,'All Girls &amp; Descendants - Edit'!$C$2:$AK$440,'All Girls &amp; Descendants - Edit'!AE$1,FALSE)))</f>
        <v>Michael Kirkman Loyd ORR (1956 - )</v>
      </c>
      <c r="AF82" s="3" t="str">
        <f>IF(VLOOKUP($C82,'All Girls &amp; Descendants - Edit'!$C$2:$AK$440,'All Girls &amp; Descendants - Edit'!AF$1,FALSE)=""," - ",(VLOOKUP($C82,'All Girls &amp; Descendants - Edit'!$C$2:$AK$440,'All Girls &amp; Descendants - Edit'!AF$1,FALSE)))</f>
        <v>Michael ORR (6th &amp; 107)</v>
      </c>
      <c r="AG82" s="3" t="str">
        <f>IF(VLOOKUP($C82,'All Girls &amp; Descendants - Edit'!$C$2:$AK$440,'All Girls &amp; Descendants - Edit'!AG$1,FALSE)=""," - ",(VLOOKUP($C82,'All Girls &amp; Descendants - Edit'!$C$2:$AK$440,'All Girls &amp; Descendants - Edit'!AG$1,FALSE)))</f>
        <v>Male</v>
      </c>
      <c r="AH82" s="3" t="str">
        <f>IF(VLOOKUP($C82,'All Girls &amp; Descendants - Edit'!$C$2:$AK$440,'All Girls &amp; Descendants - Edit'!AH$1,FALSE)=""," - ",(VLOOKUP($C82,'All Girls &amp; Descendants - Edit'!$C$2:$AK$440,'All Girls &amp; Descendants - Edit'!AH$1,FALSE)))</f>
        <v>6th</v>
      </c>
      <c r="AI82" s="3" t="str">
        <f>IF(VLOOKUP($C82,'All Girls &amp; Descendants - Edit'!$C$2:$AK$440,'All Girls &amp; Descendants - Edit'!AI$1,FALSE)=""," - ",(VLOOKUP($C82,'All Girls &amp; Descendants - Edit'!$C$2:$AK$440,'All Girls &amp; Descendants - Edit'!AI$1,FALSE)))</f>
        <v>Wife: (1) Jun 1977 Marcell Lee WATKINS. (Divorced). (2) 9 Feb 1980 Kim BAKER (b. 22/11/1955).. Kim BAKER</v>
      </c>
      <c r="AJ82" s="3" t="str">
        <f>IF(VLOOKUP($C82,'All Girls &amp; Descendants - Edit'!$C$2:$AK$440,'All Girls &amp; Descendants - Edit'!AJ$1,FALSE)=""," - ",(VLOOKUP($C82,'All Girls &amp; Descendants - Edit'!$C$2:$AK$440,'All Girls &amp; Descendants - Edit'!AJ$1,FALSE)))</f>
        <v>Male. b. 16/02/1956 Baptised 1956 at St Thomas’s Cathedral Church, Coeur d’Alene, Idaho. USA.</v>
      </c>
      <c r="AK82" s="3" t="str">
        <f>IF(VLOOKUP($C82,'All Girls &amp; Descendants - Edit'!$C$2:$AK$440,'All Girls &amp; Descendants - Edit'!AK$1,FALSE)=""," - ",(VLOOKUP($C82,'All Girls &amp; Descendants - Edit'!$C$2:$AK$440,'All Girls &amp; Descendants - Edit'!AK$1,FALSE)))</f>
        <v>b. 16/02/1956</v>
      </c>
    </row>
    <row r="83" spans="1:37" ht="19">
      <c r="A83">
        <f>VLOOKUP(B83,'Loyd List 1-190 - Edit'!$P$1:$R$219,3,FALSE)</f>
        <v>76</v>
      </c>
      <c r="B83">
        <f>'All Girls &amp; Descendants - Edit'!B84</f>
        <v>107</v>
      </c>
      <c r="C83" s="98" t="str">
        <f>'All Girls &amp; Descendants - Edit'!C84</f>
        <v>107d</v>
      </c>
      <c r="D83" s="2" t="str">
        <f>'All Girls &amp; Descendants - Edit'!D84</f>
        <v>ORR</v>
      </c>
      <c r="E83" t="str">
        <f>'All Girls &amp; Descendants - Edit'!E84</f>
        <v>Edward</v>
      </c>
      <c r="F83" t="str">
        <f>IF('All Girls &amp; Descendants - Edit'!F84="","",'All Girls &amp; Descendants - Edit'!F84)</f>
        <v>William</v>
      </c>
      <c r="G83" t="str">
        <f>IF('All Girls &amp; Descendants - Edit'!G84="","",'All Girls &amp; Descendants - Edit'!G84)</f>
        <v/>
      </c>
      <c r="H83" t="str">
        <f>IF('All Girls &amp; Descendants - Edit'!H84="","",'All Girls &amp; Descendants - Edit'!H84)</f>
        <v>Ted</v>
      </c>
      <c r="I83">
        <f>VLOOKUP($C83,'All Girls &amp; Descendants - Edit'!$C$2:$AK$440,'All Girls &amp; Descendants - Edit'!I$1,FALSE)</f>
        <v>1959</v>
      </c>
      <c r="J83" t="str">
        <f>VLOOKUP($C83,'All Girls &amp; Descendants - Edit'!$C$2:$AK$440,'All Girls &amp; Descendants - Edit'!J$1,FALSE)</f>
        <v/>
      </c>
      <c r="K83" s="9"/>
      <c r="L83" t="str">
        <f t="shared" si="10"/>
        <v>02/09/1959</v>
      </c>
      <c r="M83" s="3">
        <f>VLOOKUP($C83,'All Girls &amp; Descendants - Edit'!$C$2:$AK$440,'All Girls &amp; Descendants - Edit'!M$1,FALSE)</f>
        <v>21795</v>
      </c>
      <c r="N83" s="3">
        <f>IF(VLOOKUP($C83,'All Girls &amp; Descendants - Edit'!$C$2:$AK$440,'All Girls &amp; Descendants - Edit'!N$1,FALSE)=""," - ",(VLOOKUP($C83,'All Girls &amp; Descendants - Edit'!$C$2:$AK$440,'All Girls &amp; Descendants - Edit'!N$1,FALSE)))</f>
        <v>22514</v>
      </c>
      <c r="O83" s="3" t="str">
        <f>IF(VLOOKUP($C83,'All Girls &amp; Descendants - Edit'!$C$2:$AK$440,'All Girls &amp; Descendants - Edit'!O$1,FALSE)="","",(VLOOKUP($C83,'All Girls &amp; Descendants - Edit'!$C$2:$AK$440,'All Girls &amp; Descendants - Edit'!O$1,FALSE)))</f>
        <v/>
      </c>
      <c r="P83" s="3" t="str">
        <f t="shared" si="14"/>
        <v/>
      </c>
      <c r="Q83" s="178" t="str">
        <f t="shared" si="15"/>
        <v>107</v>
      </c>
      <c r="R83" s="23"/>
      <c r="S83" t="str">
        <f>VLOOKUP($C83,'All Girls &amp; Descendants - Edit'!$C$2:$AK$440,'All Girls &amp; Descendants - Edit'!S$1,FALSE)</f>
        <v>Male</v>
      </c>
      <c r="T83" s="176">
        <f t="shared" si="16"/>
        <v>6</v>
      </c>
      <c r="U83" s="176">
        <f t="shared" si="11"/>
        <v>4</v>
      </c>
      <c r="V83" s="176">
        <f t="shared" si="12"/>
        <v>5</v>
      </c>
      <c r="W83" s="177">
        <f t="shared" si="13"/>
        <v>1</v>
      </c>
      <c r="X83" s="3" t="str">
        <f>IF(VLOOKUP($C83,'All Girls &amp; Descendants - Edit'!$C$2:$AK$440,'All Girls &amp; Descendants - Edit'!X$1,FALSE)=""," - ",(VLOOKUP($C83,'All Girls &amp; Descendants - Edit'!$C$2:$AK$440,'All Girls &amp; Descendants - Edit'!X$1,FALSE)))</f>
        <v>(1) Janet SCHRODER (b. 21/08/1961). (Divorced 1995). (2) 16 Aug 1997 Teri TESCH (b. 30/04/1960).</v>
      </c>
      <c r="Y83" s="3" t="str">
        <f>IF(VLOOKUP($C83,'All Girls &amp; Descendants - Edit'!$C$2:$AK$440,'All Girls &amp; Descendants - Edit'!Y$1,FALSE)=""," - ",(VLOOKUP($C83,'All Girls &amp; Descendants - Edit'!$C$2:$AK$440,'All Girls &amp; Descendants - Edit'!Y$1,FALSE)))</f>
        <v>(2) Married  at Fox Island, Washington. USA.</v>
      </c>
      <c r="Z83" s="3" t="str">
        <f>IF(VLOOKUP($C83,'All Girls &amp; Descendants - Edit'!$C$2:$AK$440,'All Girls &amp; Descendants - Edit'!Z$1,FALSE)=""," - ",(VLOOKUP($C83,'All Girls &amp; Descendants - Edit'!$C$2:$AK$440,'All Girls &amp; Descendants - Edit'!Z$1,FALSE)))</f>
        <v>Ted born at US Naval Hospital, Portsmouth, Virginia. Baptised 1959 at Portsmouth, Virginia. US Navy, Senior Chief Petty Officer, retired 1998.</v>
      </c>
      <c r="AA83" s="101">
        <f>IF(VLOOKUP($C83,'All Girls &amp; Descendants - Edit'!$C$2:$AK$440,'All Girls &amp; Descendants - Edit'!AA$1,FALSE)=""," - ",(VLOOKUP($C83,'All Girls &amp; Descendants - Edit'!$C$2:$AK$440,'All Girls &amp; Descendants - Edit'!AA$1,FALSE)))</f>
        <v>295</v>
      </c>
      <c r="AB83" s="101">
        <f>IF(VLOOKUP($C83,'All Girls &amp; Descendants - Edit'!$C$2:$AK$440,'All Girls &amp; Descendants - Edit'!AB$1,FALSE)=""," - ",(VLOOKUP($C83,'All Girls &amp; Descendants - Edit'!$C$2:$AK$440,'All Girls &amp; Descendants - Edit'!AB$1,FALSE)))</f>
        <v>82</v>
      </c>
      <c r="AC83" s="101">
        <f>IF(VLOOKUP($C83,'All Girls &amp; Descendants - Edit'!$C$2:$AK$440,'All Girls &amp; Descendants - Edit'!AC$1,FALSE)=""," - ",(VLOOKUP($C83,'All Girls &amp; Descendants - Edit'!$C$2:$AK$440,'All Girls &amp; Descendants - Edit'!AC$1,FALSE)))</f>
        <v>1082</v>
      </c>
      <c r="AD83" s="3" t="str">
        <f>IF(VLOOKUP($C83,'All Girls &amp; Descendants - Edit'!$C$2:$AK$440,'All Girls &amp; Descendants - Edit'!AD$1,FALSE)=""," - ",(VLOOKUP($C83,'All Girls &amp; Descendants - Edit'!$C$2:$AK$440,'All Girls &amp; Descendants - Edit'!AD$1,FALSE)))</f>
        <v>107d</v>
      </c>
      <c r="AE83" s="3" t="str">
        <f>IF(VLOOKUP($C83,'All Girls &amp; Descendants - Edit'!$C$2:$AK$440,'All Girls &amp; Descendants - Edit'!AE$1,FALSE)=""," - ",(VLOOKUP($C83,'All Girls &amp; Descendants - Edit'!$C$2:$AK$440,'All Girls &amp; Descendants - Edit'!AE$1,FALSE)))</f>
        <v>Edward William  ORR (1959 - )</v>
      </c>
      <c r="AF83" s="3" t="str">
        <f>IF(VLOOKUP($C83,'All Girls &amp; Descendants - Edit'!$C$2:$AK$440,'All Girls &amp; Descendants - Edit'!AF$1,FALSE)=""," - ",(VLOOKUP($C83,'All Girls &amp; Descendants - Edit'!$C$2:$AK$440,'All Girls &amp; Descendants - Edit'!AF$1,FALSE)))</f>
        <v>Ted ORR (6th &amp; 107)</v>
      </c>
      <c r="AG83" s="3" t="str">
        <f>IF(VLOOKUP($C83,'All Girls &amp; Descendants - Edit'!$C$2:$AK$440,'All Girls &amp; Descendants - Edit'!AG$1,FALSE)=""," - ",(VLOOKUP($C83,'All Girls &amp; Descendants - Edit'!$C$2:$AK$440,'All Girls &amp; Descendants - Edit'!AG$1,FALSE)))</f>
        <v>Male</v>
      </c>
      <c r="AH83" s="3" t="str">
        <f>IF(VLOOKUP($C83,'All Girls &amp; Descendants - Edit'!$C$2:$AK$440,'All Girls &amp; Descendants - Edit'!AH$1,FALSE)=""," - ",(VLOOKUP($C83,'All Girls &amp; Descendants - Edit'!$C$2:$AK$440,'All Girls &amp; Descendants - Edit'!AH$1,FALSE)))</f>
        <v>6th</v>
      </c>
      <c r="AI83" s="3" t="str">
        <f>IF(VLOOKUP($C83,'All Girls &amp; Descendants - Edit'!$C$2:$AK$440,'All Girls &amp; Descendants - Edit'!AI$1,FALSE)=""," - ",(VLOOKUP($C83,'All Girls &amp; Descendants - Edit'!$C$2:$AK$440,'All Girls &amp; Descendants - Edit'!AI$1,FALSE)))</f>
        <v>Wife: (1) Janet SCHRODER (b. 21/08/1961). (Divorced 1995). (2) 16 Aug 1997 Teri TESCH (b. 30/04/1960).. (2) Married  at Fox Island, Washington. USA.</v>
      </c>
      <c r="AJ83" s="3" t="str">
        <f>IF(VLOOKUP($C83,'All Girls &amp; Descendants - Edit'!$C$2:$AK$440,'All Girls &amp; Descendants - Edit'!AJ$1,FALSE)=""," - ",(VLOOKUP($C83,'All Girls &amp; Descendants - Edit'!$C$2:$AK$440,'All Girls &amp; Descendants - Edit'!AJ$1,FALSE)))</f>
        <v>Male. b. 02/09/1959 Ted born at US Naval Hospital, Portsmouth, Virginia. Baptised 1959 at Portsmouth, Virginia. US Navy, Senior Chief Petty Officer, retired 1998.</v>
      </c>
      <c r="AK83" s="3" t="str">
        <f>IF(VLOOKUP($C83,'All Girls &amp; Descendants - Edit'!$C$2:$AK$440,'All Girls &amp; Descendants - Edit'!AK$1,FALSE)=""," - ",(VLOOKUP($C83,'All Girls &amp; Descendants - Edit'!$C$2:$AK$440,'All Girls &amp; Descendants - Edit'!AK$1,FALSE)))</f>
        <v>b. 02/09/1959</v>
      </c>
    </row>
    <row r="84" spans="1:37" ht="19">
      <c r="A84">
        <f>VLOOKUP(B84,'Loyd List 1-190 - Edit'!$P$1:$R$219,3,FALSE)</f>
        <v>76</v>
      </c>
      <c r="B84">
        <f>'All Girls &amp; Descendants - Edit'!B85</f>
        <v>107</v>
      </c>
      <c r="C84" s="98" t="str">
        <f>'All Girls &amp; Descendants - Edit'!C85</f>
        <v>107e</v>
      </c>
      <c r="D84" s="2" t="str">
        <f>'All Girls &amp; Descendants - Edit'!D85</f>
        <v>ORR</v>
      </c>
      <c r="E84" t="str">
        <f>'All Girls &amp; Descendants - Edit'!E85</f>
        <v>Heather</v>
      </c>
      <c r="F84" t="str">
        <f>IF('All Girls &amp; Descendants - Edit'!F85="","",'All Girls &amp; Descendants - Edit'!F85)</f>
        <v>Lynn</v>
      </c>
      <c r="G84" t="str">
        <f>IF('All Girls &amp; Descendants - Edit'!G85="","",'All Girls &amp; Descendants - Edit'!G85)</f>
        <v/>
      </c>
      <c r="H84" t="str">
        <f>IF('All Girls &amp; Descendants - Edit'!H85="","",'All Girls &amp; Descendants - Edit'!H85)</f>
        <v/>
      </c>
      <c r="I84">
        <f>VLOOKUP($C84,'All Girls &amp; Descendants - Edit'!$C$2:$AK$440,'All Girls &amp; Descendants - Edit'!I$1,FALSE)</f>
        <v>1970</v>
      </c>
      <c r="J84" t="str">
        <f>VLOOKUP($C84,'All Girls &amp; Descendants - Edit'!$C$2:$AK$440,'All Girls &amp; Descendants - Edit'!J$1,FALSE)</f>
        <v/>
      </c>
      <c r="K84" s="9"/>
      <c r="L84" t="str">
        <f t="shared" si="10"/>
        <v>29/12/1970</v>
      </c>
      <c r="M84" s="3">
        <f>VLOOKUP($C84,'All Girls &amp; Descendants - Edit'!$C$2:$AK$440,'All Girls &amp; Descendants - Edit'!M$1,FALSE)</f>
        <v>25931</v>
      </c>
      <c r="N84" s="3" t="str">
        <f>IF(VLOOKUP($C84,'All Girls &amp; Descendants - Edit'!$C$2:$AK$440,'All Girls &amp; Descendants - Edit'!N$1,FALSE)=""," - ",(VLOOKUP($C84,'All Girls &amp; Descendants - Edit'!$C$2:$AK$440,'All Girls &amp; Descendants - Edit'!N$1,FALSE)))</f>
        <v xml:space="preserve"> - </v>
      </c>
      <c r="O84" s="3" t="str">
        <f>IF(VLOOKUP($C84,'All Girls &amp; Descendants - Edit'!$C$2:$AK$440,'All Girls &amp; Descendants - Edit'!O$1,FALSE)="","",(VLOOKUP($C84,'All Girls &amp; Descendants - Edit'!$C$2:$AK$440,'All Girls &amp; Descendants - Edit'!O$1,FALSE)))</f>
        <v/>
      </c>
      <c r="P84" s="3" t="str">
        <f t="shared" si="14"/>
        <v/>
      </c>
      <c r="Q84" s="178" t="str">
        <f t="shared" si="15"/>
        <v>107</v>
      </c>
      <c r="R84" s="23"/>
      <c r="S84" t="str">
        <f>VLOOKUP($C84,'All Girls &amp; Descendants - Edit'!$C$2:$AK$440,'All Girls &amp; Descendants - Edit'!S$1,FALSE)</f>
        <v>Female</v>
      </c>
      <c r="T84" s="176">
        <f t="shared" si="16"/>
        <v>6</v>
      </c>
      <c r="U84" s="176">
        <f t="shared" si="11"/>
        <v>4</v>
      </c>
      <c r="V84" s="176">
        <f t="shared" si="12"/>
        <v>5</v>
      </c>
      <c r="W84" s="177">
        <f t="shared" si="13"/>
        <v>1</v>
      </c>
      <c r="X84" s="3" t="str">
        <f>IF(VLOOKUP($C84,'All Girls &amp; Descendants - Edit'!$C$2:$AK$440,'All Girls &amp; Descendants - Edit'!X$1,FALSE)=""," - ",(VLOOKUP($C84,'All Girls &amp; Descendants - Edit'!$C$2:$AK$440,'All Girls &amp; Descendants - Edit'!X$1,FALSE)))</f>
        <v>Ronald CLINE</v>
      </c>
      <c r="Y84" s="3" t="str">
        <f>IF(VLOOKUP($C84,'All Girls &amp; Descendants - Edit'!$C$2:$AK$440,'All Girls &amp; Descendants - Edit'!Y$1,FALSE)=""," - ",(VLOOKUP($C84,'All Girls &amp; Descendants - Edit'!$C$2:$AK$440,'All Girls &amp; Descendants - Edit'!Y$1,FALSE)))</f>
        <v>Married Ronald CLINE of Yakima. Later divorced.</v>
      </c>
      <c r="Z84" s="3" t="str">
        <f>IF(VLOOKUP($C84,'All Girls &amp; Descendants - Edit'!$C$2:$AK$440,'All Girls &amp; Descendants - Edit'!Z$1,FALSE)=""," - ",(VLOOKUP($C84,'All Girls &amp; Descendants - Edit'!$C$2:$AK$440,'All Girls &amp; Descendants - Edit'!Z$1,FALSE)))</f>
        <v>Baptised 10 Jan 1971 at Holy Mary’s Cathedral Church, Opportunity, Washington. Teacher, Lewis &amp; Clarke Middle School, Yakima, Washington.</v>
      </c>
      <c r="AA84" s="101">
        <f>IF(VLOOKUP($C84,'All Girls &amp; Descendants - Edit'!$C$2:$AK$440,'All Girls &amp; Descendants - Edit'!AA$1,FALSE)=""," - ",(VLOOKUP($C84,'All Girls &amp; Descendants - Edit'!$C$2:$AK$440,'All Girls &amp; Descendants - Edit'!AA$1,FALSE)))</f>
        <v>298</v>
      </c>
      <c r="AB84" s="101">
        <f>IF(VLOOKUP($C84,'All Girls &amp; Descendants - Edit'!$C$2:$AK$440,'All Girls &amp; Descendants - Edit'!AB$1,FALSE)=""," - ",(VLOOKUP($C84,'All Girls &amp; Descendants - Edit'!$C$2:$AK$440,'All Girls &amp; Descendants - Edit'!AB$1,FALSE)))</f>
        <v>83</v>
      </c>
      <c r="AC84" s="101">
        <f>IF(VLOOKUP($C84,'All Girls &amp; Descendants - Edit'!$C$2:$AK$440,'All Girls &amp; Descendants - Edit'!AC$1,FALSE)=""," - ",(VLOOKUP($C84,'All Girls &amp; Descendants - Edit'!$C$2:$AK$440,'All Girls &amp; Descendants - Edit'!AC$1,FALSE)))</f>
        <v>1083</v>
      </c>
      <c r="AD84" s="3" t="str">
        <f>IF(VLOOKUP($C84,'All Girls &amp; Descendants - Edit'!$C$2:$AK$440,'All Girls &amp; Descendants - Edit'!AD$1,FALSE)=""," - ",(VLOOKUP($C84,'All Girls &amp; Descendants - Edit'!$C$2:$AK$440,'All Girls &amp; Descendants - Edit'!AD$1,FALSE)))</f>
        <v>107e</v>
      </c>
      <c r="AE84" s="3" t="str">
        <f>IF(VLOOKUP($C84,'All Girls &amp; Descendants - Edit'!$C$2:$AK$440,'All Girls &amp; Descendants - Edit'!AE$1,FALSE)=""," - ",(VLOOKUP($C84,'All Girls &amp; Descendants - Edit'!$C$2:$AK$440,'All Girls &amp; Descendants - Edit'!AE$1,FALSE)))</f>
        <v>Heather Lynn  ORR (1970 - )</v>
      </c>
      <c r="AF84" s="3" t="str">
        <f>IF(VLOOKUP($C84,'All Girls &amp; Descendants - Edit'!$C$2:$AK$440,'All Girls &amp; Descendants - Edit'!AF$1,FALSE)=""," - ",(VLOOKUP($C84,'All Girls &amp; Descendants - Edit'!$C$2:$AK$440,'All Girls &amp; Descendants - Edit'!AF$1,FALSE)))</f>
        <v>Heather ORR (6th &amp; 107)</v>
      </c>
      <c r="AG84" s="3" t="str">
        <f>IF(VLOOKUP($C84,'All Girls &amp; Descendants - Edit'!$C$2:$AK$440,'All Girls &amp; Descendants - Edit'!AG$1,FALSE)=""," - ",(VLOOKUP($C84,'All Girls &amp; Descendants - Edit'!$C$2:$AK$440,'All Girls &amp; Descendants - Edit'!AG$1,FALSE)))</f>
        <v>Female</v>
      </c>
      <c r="AH84" s="3" t="str">
        <f>IF(VLOOKUP($C84,'All Girls &amp; Descendants - Edit'!$C$2:$AK$440,'All Girls &amp; Descendants - Edit'!AH$1,FALSE)=""," - ",(VLOOKUP($C84,'All Girls &amp; Descendants - Edit'!$C$2:$AK$440,'All Girls &amp; Descendants - Edit'!AH$1,FALSE)))</f>
        <v>6th</v>
      </c>
      <c r="AI84" s="3" t="str">
        <f>IF(VLOOKUP($C84,'All Girls &amp; Descendants - Edit'!$C$2:$AK$440,'All Girls &amp; Descendants - Edit'!AI$1,FALSE)=""," - ",(VLOOKUP($C84,'All Girls &amp; Descendants - Edit'!$C$2:$AK$440,'All Girls &amp; Descendants - Edit'!AI$1,FALSE)))</f>
        <v>Husband: Ronald CLINE. Married Ronald CLINE of Yakima. Later divorced.</v>
      </c>
      <c r="AJ84" s="3" t="str">
        <f>IF(VLOOKUP($C84,'All Girls &amp; Descendants - Edit'!$C$2:$AK$440,'All Girls &amp; Descendants - Edit'!AJ$1,FALSE)=""," - ",(VLOOKUP($C84,'All Girls &amp; Descendants - Edit'!$C$2:$AK$440,'All Girls &amp; Descendants - Edit'!AJ$1,FALSE)))</f>
        <v>Female. b. 29/12/1970 Baptised 10 Jan 1971 at Holy Mary’s Cathedral Church, Opportunity, Washington. Teacher, Lewis &amp; Clarke Middle School, Yakima, Washington.</v>
      </c>
      <c r="AK84" s="3" t="str">
        <f>IF(VLOOKUP($C84,'All Girls &amp; Descendants - Edit'!$C$2:$AK$440,'All Girls &amp; Descendants - Edit'!AK$1,FALSE)=""," - ",(VLOOKUP($C84,'All Girls &amp; Descendants - Edit'!$C$2:$AK$440,'All Girls &amp; Descendants - Edit'!AK$1,FALSE)))</f>
        <v>b. 29/12/1970</v>
      </c>
    </row>
    <row r="85" spans="1:37" ht="19">
      <c r="A85">
        <f>VLOOKUP(B85,'Loyd List 1-190 - Edit'!$P$1:$R$219,3,FALSE)</f>
        <v>55</v>
      </c>
      <c r="B85">
        <f>'All Girls &amp; Descendants - Edit'!B86</f>
        <v>108</v>
      </c>
      <c r="C85" s="98" t="str">
        <f>'All Girls &amp; Descendants - Edit'!C86</f>
        <v>108a</v>
      </c>
      <c r="D85" s="2" t="str">
        <f>'All Girls &amp; Descendants - Edit'!D86</f>
        <v>HOYLE</v>
      </c>
      <c r="E85" t="str">
        <f>'All Girls &amp; Descendants - Edit'!E86</f>
        <v>Frances</v>
      </c>
      <c r="F85" t="str">
        <f>IF('All Girls &amp; Descendants - Edit'!F86="","",'All Girls &amp; Descendants - Edit'!F86)</f>
        <v>Mary</v>
      </c>
      <c r="G85" t="str">
        <f>IF('All Girls &amp; Descendants - Edit'!G86="","",'All Girls &amp; Descendants - Edit'!G86)</f>
        <v/>
      </c>
      <c r="H85" t="str">
        <f>IF('All Girls &amp; Descendants - Edit'!H86="","",'All Girls &amp; Descendants - Edit'!H86)</f>
        <v/>
      </c>
      <c r="I85">
        <f>VLOOKUP($C85,'All Girls &amp; Descendants - Edit'!$C$2:$AK$440,'All Girls &amp; Descendants - Edit'!I$1,FALSE)</f>
        <v>1953</v>
      </c>
      <c r="J85" t="str">
        <f>VLOOKUP($C85,'All Girls &amp; Descendants - Edit'!$C$2:$AK$440,'All Girls &amp; Descendants - Edit'!J$1,FALSE)</f>
        <v/>
      </c>
      <c r="K85" s="9"/>
      <c r="L85" t="str">
        <f t="shared" si="10"/>
        <v>24/11/1953</v>
      </c>
      <c r="M85" s="3">
        <f>VLOOKUP($C85,'All Girls &amp; Descendants - Edit'!$C$2:$AK$440,'All Girls &amp; Descendants - Edit'!M$1,FALSE)</f>
        <v>19687</v>
      </c>
      <c r="N85" s="3">
        <f>IF(VLOOKUP($C85,'All Girls &amp; Descendants - Edit'!$C$2:$AK$440,'All Girls &amp; Descendants - Edit'!N$1,FALSE)=""," - ",(VLOOKUP($C85,'All Girls &amp; Descendants - Edit'!$C$2:$AK$440,'All Girls &amp; Descendants - Edit'!N$1,FALSE)))</f>
        <v>29860</v>
      </c>
      <c r="O85" s="3" t="str">
        <f>IF(VLOOKUP($C85,'All Girls &amp; Descendants - Edit'!$C$2:$AK$440,'All Girls &amp; Descendants - Edit'!O$1,FALSE)="","",(VLOOKUP($C85,'All Girls &amp; Descendants - Edit'!$C$2:$AK$440,'All Girls &amp; Descendants - Edit'!O$1,FALSE)))</f>
        <v/>
      </c>
      <c r="P85" s="3" t="str">
        <f t="shared" si="14"/>
        <v/>
      </c>
      <c r="Q85" s="178" t="str">
        <f t="shared" si="15"/>
        <v>108</v>
      </c>
      <c r="R85" s="23"/>
      <c r="S85" t="str">
        <f>VLOOKUP($C85,'All Girls &amp; Descendants - Edit'!$C$2:$AK$440,'All Girls &amp; Descendants - Edit'!S$1,FALSE)</f>
        <v>Female</v>
      </c>
      <c r="T85" s="176">
        <f t="shared" si="16"/>
        <v>6</v>
      </c>
      <c r="U85" s="176">
        <f t="shared" si="11"/>
        <v>4</v>
      </c>
      <c r="V85" s="176">
        <f t="shared" si="12"/>
        <v>5</v>
      </c>
      <c r="W85" s="177">
        <f t="shared" si="13"/>
        <v>1</v>
      </c>
      <c r="X85" s="3" t="str">
        <f>IF(VLOOKUP($C85,'All Girls &amp; Descendants - Edit'!$C$2:$AK$440,'All Girls &amp; Descendants - Edit'!X$1,FALSE)=""," - ",(VLOOKUP($C85,'All Girls &amp; Descendants - Edit'!$C$2:$AK$440,'All Girls &amp; Descendants - Edit'!X$1,FALSE)))</f>
        <v>Nicholas CARTER (b. 25/01/1952, d. )</v>
      </c>
      <c r="Y85" s="3" t="str">
        <f>IF(VLOOKUP($C85,'All Girls &amp; Descendants - Edit'!$C$2:$AK$440,'All Girls &amp; Descendants - Edit'!Y$1,FALSE)=""," - ",(VLOOKUP($C85,'All Girls &amp; Descendants - Edit'!$C$2:$AK$440,'All Girls &amp; Descendants - Edit'!Y$1,FALSE)))</f>
        <v>Divorced 1984</v>
      </c>
      <c r="Z85" s="3" t="str">
        <f>IF(VLOOKUP($C85,'All Girls &amp; Descendants - Edit'!$C$2:$AK$440,'All Girls &amp; Descendants - Edit'!Z$1,FALSE)=""," - ",(VLOOKUP($C85,'All Girls &amp; Descendants - Edit'!$C$2:$AK$440,'All Girls &amp; Descendants - Edit'!Z$1,FALSE)))</f>
        <v xml:space="preserve"> - </v>
      </c>
      <c r="AA85" s="101">
        <f>IF(VLOOKUP($C85,'All Girls &amp; Descendants - Edit'!$C$2:$AK$440,'All Girls &amp; Descendants - Edit'!AA$1,FALSE)=""," - ",(VLOOKUP($C85,'All Girls &amp; Descendants - Edit'!$C$2:$AK$440,'All Girls &amp; Descendants - Edit'!AA$1,FALSE)))</f>
        <v>299</v>
      </c>
      <c r="AB85" s="101">
        <f>IF(VLOOKUP($C85,'All Girls &amp; Descendants - Edit'!$C$2:$AK$440,'All Girls &amp; Descendants - Edit'!AB$1,FALSE)=""," - ",(VLOOKUP($C85,'All Girls &amp; Descendants - Edit'!$C$2:$AK$440,'All Girls &amp; Descendants - Edit'!AB$1,FALSE)))</f>
        <v>84</v>
      </c>
      <c r="AC85" s="101">
        <f>IF(VLOOKUP($C85,'All Girls &amp; Descendants - Edit'!$C$2:$AK$440,'All Girls &amp; Descendants - Edit'!AC$1,FALSE)=""," - ",(VLOOKUP($C85,'All Girls &amp; Descendants - Edit'!$C$2:$AK$440,'All Girls &amp; Descendants - Edit'!AC$1,FALSE)))</f>
        <v>1084</v>
      </c>
      <c r="AD85" s="3" t="str">
        <f>IF(VLOOKUP($C85,'All Girls &amp; Descendants - Edit'!$C$2:$AK$440,'All Girls &amp; Descendants - Edit'!AD$1,FALSE)=""," - ",(VLOOKUP($C85,'All Girls &amp; Descendants - Edit'!$C$2:$AK$440,'All Girls &amp; Descendants - Edit'!AD$1,FALSE)))</f>
        <v>108a</v>
      </c>
      <c r="AE85" s="3" t="str">
        <f>IF(VLOOKUP($C85,'All Girls &amp; Descendants - Edit'!$C$2:$AK$440,'All Girls &amp; Descendants - Edit'!AE$1,FALSE)=""," - ",(VLOOKUP($C85,'All Girls &amp; Descendants - Edit'!$C$2:$AK$440,'All Girls &amp; Descendants - Edit'!AE$1,FALSE)))</f>
        <v>Frances Mary  HOYLE (1953 - )</v>
      </c>
      <c r="AF85" s="3" t="str">
        <f>IF(VLOOKUP($C85,'All Girls &amp; Descendants - Edit'!$C$2:$AK$440,'All Girls &amp; Descendants - Edit'!AF$1,FALSE)=""," - ",(VLOOKUP($C85,'All Girls &amp; Descendants - Edit'!$C$2:$AK$440,'All Girls &amp; Descendants - Edit'!AF$1,FALSE)))</f>
        <v>Frances HOYLE (6th &amp; 108)</v>
      </c>
      <c r="AG85" s="3" t="str">
        <f>IF(VLOOKUP($C85,'All Girls &amp; Descendants - Edit'!$C$2:$AK$440,'All Girls &amp; Descendants - Edit'!AG$1,FALSE)=""," - ",(VLOOKUP($C85,'All Girls &amp; Descendants - Edit'!$C$2:$AK$440,'All Girls &amp; Descendants - Edit'!AG$1,FALSE)))</f>
        <v>Female</v>
      </c>
      <c r="AH85" s="3" t="str">
        <f>IF(VLOOKUP($C85,'All Girls &amp; Descendants - Edit'!$C$2:$AK$440,'All Girls &amp; Descendants - Edit'!AH$1,FALSE)=""," - ",(VLOOKUP($C85,'All Girls &amp; Descendants - Edit'!$C$2:$AK$440,'All Girls &amp; Descendants - Edit'!AH$1,FALSE)))</f>
        <v>6th</v>
      </c>
      <c r="AI85" s="3" t="str">
        <f>IF(VLOOKUP($C85,'All Girls &amp; Descendants - Edit'!$C$2:$AK$440,'All Girls &amp; Descendants - Edit'!AI$1,FALSE)=""," - ",(VLOOKUP($C85,'All Girls &amp; Descendants - Edit'!$C$2:$AK$440,'All Girls &amp; Descendants - Edit'!AI$1,FALSE)))</f>
        <v>Husband: Nicholas CARTER (b. 25/01/1952, d. ). Divorced 1984</v>
      </c>
      <c r="AJ85" s="3" t="str">
        <f>IF(VLOOKUP($C85,'All Girls &amp; Descendants - Edit'!$C$2:$AK$440,'All Girls &amp; Descendants - Edit'!AJ$1,FALSE)=""," - ",(VLOOKUP($C85,'All Girls &amp; Descendants - Edit'!$C$2:$AK$440,'All Girls &amp; Descendants - Edit'!AJ$1,FALSE)))</f>
        <v>Female. b. 24/11/1953</v>
      </c>
      <c r="AK85" s="3" t="str">
        <f>IF(VLOOKUP($C85,'All Girls &amp; Descendants - Edit'!$C$2:$AK$440,'All Girls &amp; Descendants - Edit'!AK$1,FALSE)=""," - ",(VLOOKUP($C85,'All Girls &amp; Descendants - Edit'!$C$2:$AK$440,'All Girls &amp; Descendants - Edit'!AK$1,FALSE)))</f>
        <v>b. 24/11/1953</v>
      </c>
    </row>
    <row r="86" spans="1:37" ht="19">
      <c r="A86">
        <f>VLOOKUP(B86,'Loyd List 1-190 - Edit'!$P$1:$R$219,3,FALSE)</f>
        <v>55</v>
      </c>
      <c r="B86">
        <f>'All Girls &amp; Descendants - Edit'!B87</f>
        <v>108</v>
      </c>
      <c r="C86" s="98" t="str">
        <f>'All Girls &amp; Descendants - Edit'!C87</f>
        <v>108b</v>
      </c>
      <c r="D86" s="2" t="str">
        <f>'All Girls &amp; Descendants - Edit'!D87</f>
        <v>HOYLE</v>
      </c>
      <c r="E86" t="str">
        <f>'All Girls &amp; Descendants - Edit'!E87</f>
        <v>Richard</v>
      </c>
      <c r="F86" t="str">
        <f>IF('All Girls &amp; Descendants - Edit'!F87="","",'All Girls &amp; Descendants - Edit'!F87)</f>
        <v>William</v>
      </c>
      <c r="G86" t="str">
        <f>IF('All Girls &amp; Descendants - Edit'!G87="","",'All Girls &amp; Descendants - Edit'!G87)</f>
        <v>Lewis</v>
      </c>
      <c r="H86" t="str">
        <f>IF('All Girls &amp; Descendants - Edit'!H87="","",'All Girls &amp; Descendants - Edit'!H87)</f>
        <v/>
      </c>
      <c r="I86">
        <f>VLOOKUP($C86,'All Girls &amp; Descendants - Edit'!$C$2:$AK$440,'All Girls &amp; Descendants - Edit'!I$1,FALSE)</f>
        <v>1956</v>
      </c>
      <c r="J86" t="str">
        <f>VLOOKUP($C86,'All Girls &amp; Descendants - Edit'!$C$2:$AK$440,'All Girls &amp; Descendants - Edit'!J$1,FALSE)</f>
        <v/>
      </c>
      <c r="K86" s="9"/>
      <c r="L86" t="str">
        <f t="shared" si="10"/>
        <v>12/12/1956</v>
      </c>
      <c r="M86" s="3">
        <f>VLOOKUP($C86,'All Girls &amp; Descendants - Edit'!$C$2:$AK$440,'All Girls &amp; Descendants - Edit'!M$1,FALSE)</f>
        <v>20801</v>
      </c>
      <c r="N86" s="3">
        <f>IF(VLOOKUP($C86,'All Girls &amp; Descendants - Edit'!$C$2:$AK$440,'All Girls &amp; Descendants - Edit'!N$1,FALSE)=""," - ",(VLOOKUP($C86,'All Girls &amp; Descendants - Edit'!$C$2:$AK$440,'All Girls &amp; Descendants - Edit'!N$1,FALSE)))</f>
        <v>29533</v>
      </c>
      <c r="O86" s="3" t="str">
        <f>IF(VLOOKUP($C86,'All Girls &amp; Descendants - Edit'!$C$2:$AK$440,'All Girls &amp; Descendants - Edit'!O$1,FALSE)="","",(VLOOKUP($C86,'All Girls &amp; Descendants - Edit'!$C$2:$AK$440,'All Girls &amp; Descendants - Edit'!O$1,FALSE)))</f>
        <v/>
      </c>
      <c r="P86" s="3" t="str">
        <f t="shared" si="14"/>
        <v/>
      </c>
      <c r="Q86" s="178" t="str">
        <f t="shared" si="15"/>
        <v>108</v>
      </c>
      <c r="R86" s="23"/>
      <c r="S86" t="str">
        <f>VLOOKUP($C86,'All Girls &amp; Descendants - Edit'!$C$2:$AK$440,'All Girls &amp; Descendants - Edit'!S$1,FALSE)</f>
        <v>Male</v>
      </c>
      <c r="T86" s="176">
        <f t="shared" si="16"/>
        <v>6</v>
      </c>
      <c r="U86" s="176">
        <f t="shared" si="11"/>
        <v>4</v>
      </c>
      <c r="V86" s="176">
        <f t="shared" si="12"/>
        <v>5</v>
      </c>
      <c r="W86" s="177">
        <f t="shared" si="13"/>
        <v>1</v>
      </c>
      <c r="X86" s="3" t="str">
        <f>IF(VLOOKUP($C86,'All Girls &amp; Descendants - Edit'!$C$2:$AK$440,'All Girls &amp; Descendants - Edit'!X$1,FALSE)=""," - ",(VLOOKUP($C86,'All Girls &amp; Descendants - Edit'!$C$2:$AK$440,'All Girls &amp; Descendants - Edit'!X$1,FALSE)))</f>
        <v>Lesley SAXTON (b. 31/05/1955, )</v>
      </c>
      <c r="Y86" s="3" t="str">
        <f>IF(VLOOKUP($C86,'All Girls &amp; Descendants - Edit'!$C$2:$AK$440,'All Girls &amp; Descendants - Edit'!Y$1,FALSE)=""," - ",(VLOOKUP($C86,'All Girls &amp; Descendants - Edit'!$C$2:$AK$440,'All Girls &amp; Descendants - Edit'!Y$1,FALSE)))</f>
        <v xml:space="preserve"> - </v>
      </c>
      <c r="Z86" s="3" t="str">
        <f>IF(VLOOKUP($C86,'All Girls &amp; Descendants - Edit'!$C$2:$AK$440,'All Girls &amp; Descendants - Edit'!Z$1,FALSE)=""," - ",(VLOOKUP($C86,'All Girls &amp; Descendants - Edit'!$C$2:$AK$440,'All Girls &amp; Descendants - Edit'!Z$1,FALSE)))</f>
        <v xml:space="preserve"> - </v>
      </c>
      <c r="AA86" s="101">
        <f>IF(VLOOKUP($C86,'All Girls &amp; Descendants - Edit'!$C$2:$AK$440,'All Girls &amp; Descendants - Edit'!AA$1,FALSE)=""," - ",(VLOOKUP($C86,'All Girls &amp; Descendants - Edit'!$C$2:$AK$440,'All Girls &amp; Descendants - Edit'!AA$1,FALSE)))</f>
        <v>302</v>
      </c>
      <c r="AB86" s="101">
        <f>IF(VLOOKUP($C86,'All Girls &amp; Descendants - Edit'!$C$2:$AK$440,'All Girls &amp; Descendants - Edit'!AB$1,FALSE)=""," - ",(VLOOKUP($C86,'All Girls &amp; Descendants - Edit'!$C$2:$AK$440,'All Girls &amp; Descendants - Edit'!AB$1,FALSE)))</f>
        <v>85</v>
      </c>
      <c r="AC86" s="101">
        <f>IF(VLOOKUP($C86,'All Girls &amp; Descendants - Edit'!$C$2:$AK$440,'All Girls &amp; Descendants - Edit'!AC$1,FALSE)=""," - ",(VLOOKUP($C86,'All Girls &amp; Descendants - Edit'!$C$2:$AK$440,'All Girls &amp; Descendants - Edit'!AC$1,FALSE)))</f>
        <v>1085</v>
      </c>
      <c r="AD86" s="3" t="str">
        <f>IF(VLOOKUP($C86,'All Girls &amp; Descendants - Edit'!$C$2:$AK$440,'All Girls &amp; Descendants - Edit'!AD$1,FALSE)=""," - ",(VLOOKUP($C86,'All Girls &amp; Descendants - Edit'!$C$2:$AK$440,'All Girls &amp; Descendants - Edit'!AD$1,FALSE)))</f>
        <v>108b</v>
      </c>
      <c r="AE86" s="3" t="str">
        <f>IF(VLOOKUP($C86,'All Girls &amp; Descendants - Edit'!$C$2:$AK$440,'All Girls &amp; Descendants - Edit'!AE$1,FALSE)=""," - ",(VLOOKUP($C86,'All Girls &amp; Descendants - Edit'!$C$2:$AK$440,'All Girls &amp; Descendants - Edit'!AE$1,FALSE)))</f>
        <v>Richard William Lewis HOYLE (1956 - )</v>
      </c>
      <c r="AF86" s="3" t="str">
        <f>IF(VLOOKUP($C86,'All Girls &amp; Descendants - Edit'!$C$2:$AK$440,'All Girls &amp; Descendants - Edit'!AF$1,FALSE)=""," - ",(VLOOKUP($C86,'All Girls &amp; Descendants - Edit'!$C$2:$AK$440,'All Girls &amp; Descendants - Edit'!AF$1,FALSE)))</f>
        <v>Richard HOYLE (6th &amp; 108)</v>
      </c>
      <c r="AG86" s="3" t="str">
        <f>IF(VLOOKUP($C86,'All Girls &amp; Descendants - Edit'!$C$2:$AK$440,'All Girls &amp; Descendants - Edit'!AG$1,FALSE)=""," - ",(VLOOKUP($C86,'All Girls &amp; Descendants - Edit'!$C$2:$AK$440,'All Girls &amp; Descendants - Edit'!AG$1,FALSE)))</f>
        <v>Male</v>
      </c>
      <c r="AH86" s="3" t="str">
        <f>IF(VLOOKUP($C86,'All Girls &amp; Descendants - Edit'!$C$2:$AK$440,'All Girls &amp; Descendants - Edit'!AH$1,FALSE)=""," - ",(VLOOKUP($C86,'All Girls &amp; Descendants - Edit'!$C$2:$AK$440,'All Girls &amp; Descendants - Edit'!AH$1,FALSE)))</f>
        <v>6th</v>
      </c>
      <c r="AI86" s="3" t="str">
        <f>IF(VLOOKUP($C86,'All Girls &amp; Descendants - Edit'!$C$2:$AK$440,'All Girls &amp; Descendants - Edit'!AI$1,FALSE)=""," - ",(VLOOKUP($C86,'All Girls &amp; Descendants - Edit'!$C$2:$AK$440,'All Girls &amp; Descendants - Edit'!AI$1,FALSE)))</f>
        <v xml:space="preserve">Wife: Lesley SAXTON (b. 31/05/1955, ). </v>
      </c>
      <c r="AJ86" s="3" t="str">
        <f>IF(VLOOKUP($C86,'All Girls &amp; Descendants - Edit'!$C$2:$AK$440,'All Girls &amp; Descendants - Edit'!AJ$1,FALSE)=""," - ",(VLOOKUP($C86,'All Girls &amp; Descendants - Edit'!$C$2:$AK$440,'All Girls &amp; Descendants - Edit'!AJ$1,FALSE)))</f>
        <v>Male. b. 12/12/1956</v>
      </c>
      <c r="AK86" s="3" t="str">
        <f>IF(VLOOKUP($C86,'All Girls &amp; Descendants - Edit'!$C$2:$AK$440,'All Girls &amp; Descendants - Edit'!AK$1,FALSE)=""," - ",(VLOOKUP($C86,'All Girls &amp; Descendants - Edit'!$C$2:$AK$440,'All Girls &amp; Descendants - Edit'!AK$1,FALSE)))</f>
        <v>b. 12/12/1956</v>
      </c>
    </row>
    <row r="87" spans="1:37" ht="19">
      <c r="A87">
        <f>VLOOKUP(B87,'Loyd List 1-190 - Edit'!$P$1:$R$219,3,FALSE)</f>
        <v>55</v>
      </c>
      <c r="B87">
        <f>'All Girls &amp; Descendants - Edit'!B88</f>
        <v>108</v>
      </c>
      <c r="C87" s="98" t="str">
        <f>'All Girls &amp; Descendants - Edit'!C88</f>
        <v>108c</v>
      </c>
      <c r="D87" s="2" t="str">
        <f>'All Girls &amp; Descendants - Edit'!D88</f>
        <v>HOYLE</v>
      </c>
      <c r="E87" t="str">
        <f>'All Girls &amp; Descendants - Edit'!E88</f>
        <v>David</v>
      </c>
      <c r="F87" t="str">
        <f>IF('All Girls &amp; Descendants - Edit'!F88="","",'All Girls &amp; Descendants - Edit'!F88)</f>
        <v>John</v>
      </c>
      <c r="G87" t="str">
        <f>IF('All Girls &amp; Descendants - Edit'!G88="","",'All Girls &amp; Descendants - Edit'!G88)</f>
        <v/>
      </c>
      <c r="H87" t="str">
        <f>IF('All Girls &amp; Descendants - Edit'!H88="","",'All Girls &amp; Descendants - Edit'!H88)</f>
        <v/>
      </c>
      <c r="I87">
        <f>VLOOKUP($C87,'All Girls &amp; Descendants - Edit'!$C$2:$AK$440,'All Girls &amp; Descendants - Edit'!I$1,FALSE)</f>
        <v>1961</v>
      </c>
      <c r="J87" t="str">
        <f>VLOOKUP($C87,'All Girls &amp; Descendants - Edit'!$C$2:$AK$440,'All Girls &amp; Descendants - Edit'!J$1,FALSE)</f>
        <v/>
      </c>
      <c r="K87" s="9"/>
      <c r="L87" t="str">
        <f t="shared" si="10"/>
        <v>02/12/1961</v>
      </c>
      <c r="M87" s="3">
        <f>VLOOKUP($C87,'All Girls &amp; Descendants - Edit'!$C$2:$AK$440,'All Girls &amp; Descendants - Edit'!M$1,FALSE)</f>
        <v>22617</v>
      </c>
      <c r="N87" s="3">
        <f>IF(VLOOKUP($C87,'All Girls &amp; Descendants - Edit'!$C$2:$AK$440,'All Girls &amp; Descendants - Edit'!N$1,FALSE)=""," - ",(VLOOKUP($C87,'All Girls &amp; Descendants - Edit'!$C$2:$AK$440,'All Girls &amp; Descendants - Edit'!N$1,FALSE)))</f>
        <v>30086</v>
      </c>
      <c r="O87" s="3" t="str">
        <f>IF(VLOOKUP($C87,'All Girls &amp; Descendants - Edit'!$C$2:$AK$440,'All Girls &amp; Descendants - Edit'!O$1,FALSE)="","",(VLOOKUP($C87,'All Girls &amp; Descendants - Edit'!$C$2:$AK$440,'All Girls &amp; Descendants - Edit'!O$1,FALSE)))</f>
        <v/>
      </c>
      <c r="P87" s="3" t="str">
        <f t="shared" si="14"/>
        <v/>
      </c>
      <c r="Q87" s="178" t="str">
        <f t="shared" si="15"/>
        <v>108</v>
      </c>
      <c r="R87" s="23"/>
      <c r="S87" t="str">
        <f>VLOOKUP($C87,'All Girls &amp; Descendants - Edit'!$C$2:$AK$440,'All Girls &amp; Descendants - Edit'!S$1,FALSE)</f>
        <v>Male</v>
      </c>
      <c r="T87" s="176">
        <f t="shared" si="16"/>
        <v>6</v>
      </c>
      <c r="U87" s="176">
        <f t="shared" si="11"/>
        <v>4</v>
      </c>
      <c r="V87" s="176">
        <f t="shared" si="12"/>
        <v>5</v>
      </c>
      <c r="W87" s="177">
        <f t="shared" si="13"/>
        <v>1</v>
      </c>
      <c r="X87" s="3" t="str">
        <f>IF(VLOOKUP($C87,'All Girls &amp; Descendants - Edit'!$C$2:$AK$440,'All Girls &amp; Descendants - Edit'!X$1,FALSE)=""," - ",(VLOOKUP($C87,'All Girls &amp; Descendants - Edit'!$C$2:$AK$440,'All Girls &amp; Descendants - Edit'!X$1,FALSE)))</f>
        <v>Karen FULLER (b. 30/05/1961)</v>
      </c>
      <c r="Y87" s="3" t="str">
        <f>IF(VLOOKUP($C87,'All Girls &amp; Descendants - Edit'!$C$2:$AK$440,'All Girls &amp; Descendants - Edit'!Y$1,FALSE)=""," - ",(VLOOKUP($C87,'All Girls &amp; Descendants - Edit'!$C$2:$AK$440,'All Girls &amp; Descendants - Edit'!Y$1,FALSE)))</f>
        <v xml:space="preserve"> - </v>
      </c>
      <c r="Z87" s="3" t="str">
        <f>IF(VLOOKUP($C87,'All Girls &amp; Descendants - Edit'!$C$2:$AK$440,'All Girls &amp; Descendants - Edit'!Z$1,FALSE)=""," - ",(VLOOKUP($C87,'All Girls &amp; Descendants - Edit'!$C$2:$AK$440,'All Girls &amp; Descendants - Edit'!Z$1,FALSE)))</f>
        <v xml:space="preserve"> - </v>
      </c>
      <c r="AA87" s="101">
        <f>IF(VLOOKUP($C87,'All Girls &amp; Descendants - Edit'!$C$2:$AK$440,'All Girls &amp; Descendants - Edit'!AA$1,FALSE)=""," - ",(VLOOKUP($C87,'All Girls &amp; Descendants - Edit'!$C$2:$AK$440,'All Girls &amp; Descendants - Edit'!AA$1,FALSE)))</f>
        <v>305</v>
      </c>
      <c r="AB87" s="101">
        <f>IF(VLOOKUP($C87,'All Girls &amp; Descendants - Edit'!$C$2:$AK$440,'All Girls &amp; Descendants - Edit'!AB$1,FALSE)=""," - ",(VLOOKUP($C87,'All Girls &amp; Descendants - Edit'!$C$2:$AK$440,'All Girls &amp; Descendants - Edit'!AB$1,FALSE)))</f>
        <v>86</v>
      </c>
      <c r="AC87" s="101">
        <f>IF(VLOOKUP($C87,'All Girls &amp; Descendants - Edit'!$C$2:$AK$440,'All Girls &amp; Descendants - Edit'!AC$1,FALSE)=""," - ",(VLOOKUP($C87,'All Girls &amp; Descendants - Edit'!$C$2:$AK$440,'All Girls &amp; Descendants - Edit'!AC$1,FALSE)))</f>
        <v>1086</v>
      </c>
      <c r="AD87" s="3" t="str">
        <f>IF(VLOOKUP($C87,'All Girls &amp; Descendants - Edit'!$C$2:$AK$440,'All Girls &amp; Descendants - Edit'!AD$1,FALSE)=""," - ",(VLOOKUP($C87,'All Girls &amp; Descendants - Edit'!$C$2:$AK$440,'All Girls &amp; Descendants - Edit'!AD$1,FALSE)))</f>
        <v>108c</v>
      </c>
      <c r="AE87" s="3" t="str">
        <f>IF(VLOOKUP($C87,'All Girls &amp; Descendants - Edit'!$C$2:$AK$440,'All Girls &amp; Descendants - Edit'!AE$1,FALSE)=""," - ",(VLOOKUP($C87,'All Girls &amp; Descendants - Edit'!$C$2:$AK$440,'All Girls &amp; Descendants - Edit'!AE$1,FALSE)))</f>
        <v>David John  HOYLE (1961 - )</v>
      </c>
      <c r="AF87" s="3" t="str">
        <f>IF(VLOOKUP($C87,'All Girls &amp; Descendants - Edit'!$C$2:$AK$440,'All Girls &amp; Descendants - Edit'!AF$1,FALSE)=""," - ",(VLOOKUP($C87,'All Girls &amp; Descendants - Edit'!$C$2:$AK$440,'All Girls &amp; Descendants - Edit'!AF$1,FALSE)))</f>
        <v>David HOYLE (6th &amp; 108)</v>
      </c>
      <c r="AG87" s="3" t="str">
        <f>IF(VLOOKUP($C87,'All Girls &amp; Descendants - Edit'!$C$2:$AK$440,'All Girls &amp; Descendants - Edit'!AG$1,FALSE)=""," - ",(VLOOKUP($C87,'All Girls &amp; Descendants - Edit'!$C$2:$AK$440,'All Girls &amp; Descendants - Edit'!AG$1,FALSE)))</f>
        <v>Male</v>
      </c>
      <c r="AH87" s="3" t="str">
        <f>IF(VLOOKUP($C87,'All Girls &amp; Descendants - Edit'!$C$2:$AK$440,'All Girls &amp; Descendants - Edit'!AH$1,FALSE)=""," - ",(VLOOKUP($C87,'All Girls &amp; Descendants - Edit'!$C$2:$AK$440,'All Girls &amp; Descendants - Edit'!AH$1,FALSE)))</f>
        <v>6th</v>
      </c>
      <c r="AI87" s="3" t="str">
        <f>IF(VLOOKUP($C87,'All Girls &amp; Descendants - Edit'!$C$2:$AK$440,'All Girls &amp; Descendants - Edit'!AI$1,FALSE)=""," - ",(VLOOKUP($C87,'All Girls &amp; Descendants - Edit'!$C$2:$AK$440,'All Girls &amp; Descendants - Edit'!AI$1,FALSE)))</f>
        <v xml:space="preserve">Wife: Karen FULLER (b. 30/05/1961). </v>
      </c>
      <c r="AJ87" s="3" t="str">
        <f>IF(VLOOKUP($C87,'All Girls &amp; Descendants - Edit'!$C$2:$AK$440,'All Girls &amp; Descendants - Edit'!AJ$1,FALSE)=""," - ",(VLOOKUP($C87,'All Girls &amp; Descendants - Edit'!$C$2:$AK$440,'All Girls &amp; Descendants - Edit'!AJ$1,FALSE)))</f>
        <v>Male. b. 02/12/1961</v>
      </c>
      <c r="AK87" s="3" t="str">
        <f>IF(VLOOKUP($C87,'All Girls &amp; Descendants - Edit'!$C$2:$AK$440,'All Girls &amp; Descendants - Edit'!AK$1,FALSE)=""," - ",(VLOOKUP($C87,'All Girls &amp; Descendants - Edit'!$C$2:$AK$440,'All Girls &amp; Descendants - Edit'!AK$1,FALSE)))</f>
        <v>b. 02/12/1961</v>
      </c>
    </row>
    <row r="88" spans="1:37" ht="19">
      <c r="A88">
        <f>VLOOKUP(B88,'Loyd List 1-190 - Edit'!$P$1:$R$219,3,FALSE)</f>
        <v>55</v>
      </c>
      <c r="B88">
        <f>'All Girls &amp; Descendants - Edit'!B89</f>
        <v>108</v>
      </c>
      <c r="C88" s="98" t="str">
        <f>'All Girls &amp; Descendants - Edit'!C89</f>
        <v>108d</v>
      </c>
      <c r="D88" s="2" t="str">
        <f>'All Girls &amp; Descendants - Edit'!D89</f>
        <v>HOYLE</v>
      </c>
      <c r="E88" t="str">
        <f>'All Girls &amp; Descendants - Edit'!E89</f>
        <v>Peter</v>
      </c>
      <c r="F88" t="str">
        <f>IF('All Girls &amp; Descendants - Edit'!F89="","",'All Girls &amp; Descendants - Edit'!F89)</f>
        <v>James</v>
      </c>
      <c r="G88" t="str">
        <f>IF('All Girls &amp; Descendants - Edit'!G89="","",'All Girls &amp; Descendants - Edit'!G89)</f>
        <v/>
      </c>
      <c r="H88" t="str">
        <f>IF('All Girls &amp; Descendants - Edit'!H89="","",'All Girls &amp; Descendants - Edit'!H89)</f>
        <v/>
      </c>
      <c r="I88">
        <f>VLOOKUP($C88,'All Girls &amp; Descendants - Edit'!$C$2:$AK$440,'All Girls &amp; Descendants - Edit'!I$1,FALSE)</f>
        <v>1963</v>
      </c>
      <c r="J88" t="str">
        <f>VLOOKUP($C88,'All Girls &amp; Descendants - Edit'!$C$2:$AK$440,'All Girls &amp; Descendants - Edit'!J$1,FALSE)</f>
        <v/>
      </c>
      <c r="K88" s="9"/>
      <c r="L88" t="str">
        <f t="shared" si="10"/>
        <v>09/11/1963</v>
      </c>
      <c r="M88" s="3">
        <f>VLOOKUP($C88,'All Girls &amp; Descendants - Edit'!$C$2:$AK$440,'All Girls &amp; Descendants - Edit'!M$1,FALSE)</f>
        <v>23324</v>
      </c>
      <c r="N88" s="3">
        <f>IF(VLOOKUP($C88,'All Girls &amp; Descendants - Edit'!$C$2:$AK$440,'All Girls &amp; Descendants - Edit'!N$1,FALSE)=""," - ",(VLOOKUP($C88,'All Girls &amp; Descendants - Edit'!$C$2:$AK$440,'All Girls &amp; Descendants - Edit'!N$1,FALSE)))</f>
        <v>31227</v>
      </c>
      <c r="O88" s="3" t="str">
        <f>IF(VLOOKUP($C88,'All Girls &amp; Descendants - Edit'!$C$2:$AK$440,'All Girls &amp; Descendants - Edit'!O$1,FALSE)="","",(VLOOKUP($C88,'All Girls &amp; Descendants - Edit'!$C$2:$AK$440,'All Girls &amp; Descendants - Edit'!O$1,FALSE)))</f>
        <v/>
      </c>
      <c r="P88" s="3" t="str">
        <f t="shared" si="14"/>
        <v/>
      </c>
      <c r="Q88" s="178" t="str">
        <f t="shared" si="15"/>
        <v>108</v>
      </c>
      <c r="R88" s="23"/>
      <c r="S88" t="str">
        <f>VLOOKUP($C88,'All Girls &amp; Descendants - Edit'!$C$2:$AK$440,'All Girls &amp; Descendants - Edit'!S$1,FALSE)</f>
        <v>Male</v>
      </c>
      <c r="T88" s="176">
        <f t="shared" si="16"/>
        <v>6</v>
      </c>
      <c r="U88" s="176">
        <f t="shared" si="11"/>
        <v>4</v>
      </c>
      <c r="V88" s="176">
        <f t="shared" si="12"/>
        <v>5</v>
      </c>
      <c r="W88" s="177">
        <f t="shared" si="13"/>
        <v>1</v>
      </c>
      <c r="X88" s="3" t="str">
        <f>IF(VLOOKUP($C88,'All Girls &amp; Descendants - Edit'!$C$2:$AK$440,'All Girls &amp; Descendants - Edit'!X$1,FALSE)=""," - ",(VLOOKUP($C88,'All Girls &amp; Descendants - Edit'!$C$2:$AK$440,'All Girls &amp; Descendants - Edit'!X$1,FALSE)))</f>
        <v>Dianne McCARTHY (b. 16/09/1964, )</v>
      </c>
      <c r="Y88" s="3" t="str">
        <f>IF(VLOOKUP($C88,'All Girls &amp; Descendants - Edit'!$C$2:$AK$440,'All Girls &amp; Descendants - Edit'!Y$1,FALSE)=""," - ",(VLOOKUP($C88,'All Girls &amp; Descendants - Edit'!$C$2:$AK$440,'All Girls &amp; Descendants - Edit'!Y$1,FALSE)))</f>
        <v xml:space="preserve"> - </v>
      </c>
      <c r="Z88" s="3" t="str">
        <f>IF(VLOOKUP($C88,'All Girls &amp; Descendants - Edit'!$C$2:$AK$440,'All Girls &amp; Descendants - Edit'!Z$1,FALSE)=""," - ",(VLOOKUP($C88,'All Girls &amp; Descendants - Edit'!$C$2:$AK$440,'All Girls &amp; Descendants - Edit'!Z$1,FALSE)))</f>
        <v xml:space="preserve"> - </v>
      </c>
      <c r="AA88" s="101">
        <f>IF(VLOOKUP($C88,'All Girls &amp; Descendants - Edit'!$C$2:$AK$440,'All Girls &amp; Descendants - Edit'!AA$1,FALSE)=""," - ",(VLOOKUP($C88,'All Girls &amp; Descendants - Edit'!$C$2:$AK$440,'All Girls &amp; Descendants - Edit'!AA$1,FALSE)))</f>
        <v>307</v>
      </c>
      <c r="AB88" s="101">
        <f>IF(VLOOKUP($C88,'All Girls &amp; Descendants - Edit'!$C$2:$AK$440,'All Girls &amp; Descendants - Edit'!AB$1,FALSE)=""," - ",(VLOOKUP($C88,'All Girls &amp; Descendants - Edit'!$C$2:$AK$440,'All Girls &amp; Descendants - Edit'!AB$1,FALSE)))</f>
        <v>87</v>
      </c>
      <c r="AC88" s="101">
        <f>IF(VLOOKUP($C88,'All Girls &amp; Descendants - Edit'!$C$2:$AK$440,'All Girls &amp; Descendants - Edit'!AC$1,FALSE)=""," - ",(VLOOKUP($C88,'All Girls &amp; Descendants - Edit'!$C$2:$AK$440,'All Girls &amp; Descendants - Edit'!AC$1,FALSE)))</f>
        <v>1087</v>
      </c>
      <c r="AD88" s="3" t="str">
        <f>IF(VLOOKUP($C88,'All Girls &amp; Descendants - Edit'!$C$2:$AK$440,'All Girls &amp; Descendants - Edit'!AD$1,FALSE)=""," - ",(VLOOKUP($C88,'All Girls &amp; Descendants - Edit'!$C$2:$AK$440,'All Girls &amp; Descendants - Edit'!AD$1,FALSE)))</f>
        <v>108d</v>
      </c>
      <c r="AE88" s="3" t="str">
        <f>IF(VLOOKUP($C88,'All Girls &amp; Descendants - Edit'!$C$2:$AK$440,'All Girls &amp; Descendants - Edit'!AE$1,FALSE)=""," - ",(VLOOKUP($C88,'All Girls &amp; Descendants - Edit'!$C$2:$AK$440,'All Girls &amp; Descendants - Edit'!AE$1,FALSE)))</f>
        <v>Peter James  HOYLE (1963 - )</v>
      </c>
      <c r="AF88" s="3" t="str">
        <f>IF(VLOOKUP($C88,'All Girls &amp; Descendants - Edit'!$C$2:$AK$440,'All Girls &amp; Descendants - Edit'!AF$1,FALSE)=""," - ",(VLOOKUP($C88,'All Girls &amp; Descendants - Edit'!$C$2:$AK$440,'All Girls &amp; Descendants - Edit'!AF$1,FALSE)))</f>
        <v>Peter HOYLE (6th &amp; 108)</v>
      </c>
      <c r="AG88" s="3" t="str">
        <f>IF(VLOOKUP($C88,'All Girls &amp; Descendants - Edit'!$C$2:$AK$440,'All Girls &amp; Descendants - Edit'!AG$1,FALSE)=""," - ",(VLOOKUP($C88,'All Girls &amp; Descendants - Edit'!$C$2:$AK$440,'All Girls &amp; Descendants - Edit'!AG$1,FALSE)))</f>
        <v>Male</v>
      </c>
      <c r="AH88" s="3" t="str">
        <f>IF(VLOOKUP($C88,'All Girls &amp; Descendants - Edit'!$C$2:$AK$440,'All Girls &amp; Descendants - Edit'!AH$1,FALSE)=""," - ",(VLOOKUP($C88,'All Girls &amp; Descendants - Edit'!$C$2:$AK$440,'All Girls &amp; Descendants - Edit'!AH$1,FALSE)))</f>
        <v>6th</v>
      </c>
      <c r="AI88" s="3" t="str">
        <f>IF(VLOOKUP($C88,'All Girls &amp; Descendants - Edit'!$C$2:$AK$440,'All Girls &amp; Descendants - Edit'!AI$1,FALSE)=""," - ",(VLOOKUP($C88,'All Girls &amp; Descendants - Edit'!$C$2:$AK$440,'All Girls &amp; Descendants - Edit'!AI$1,FALSE)))</f>
        <v xml:space="preserve">Wife: Dianne McCARTHY (b. 16/09/1964, ). </v>
      </c>
      <c r="AJ88" s="3" t="str">
        <f>IF(VLOOKUP($C88,'All Girls &amp; Descendants - Edit'!$C$2:$AK$440,'All Girls &amp; Descendants - Edit'!AJ$1,FALSE)=""," - ",(VLOOKUP($C88,'All Girls &amp; Descendants - Edit'!$C$2:$AK$440,'All Girls &amp; Descendants - Edit'!AJ$1,FALSE)))</f>
        <v>Male. b. 09/11/1963</v>
      </c>
      <c r="AK88" s="3" t="str">
        <f>IF(VLOOKUP($C88,'All Girls &amp; Descendants - Edit'!$C$2:$AK$440,'All Girls &amp; Descendants - Edit'!AK$1,FALSE)=""," - ",(VLOOKUP($C88,'All Girls &amp; Descendants - Edit'!$C$2:$AK$440,'All Girls &amp; Descendants - Edit'!AK$1,FALSE)))</f>
        <v>b. 09/11/1963</v>
      </c>
    </row>
    <row r="89" spans="1:37" ht="19">
      <c r="A89">
        <f>VLOOKUP(B89,'Loyd List 1-190 - Edit'!$P$1:$R$219,3,FALSE)</f>
        <v>80</v>
      </c>
      <c r="B89">
        <f>'All Girls &amp; Descendants - Edit'!B90</f>
        <v>109</v>
      </c>
      <c r="C89" s="98" t="str">
        <f>'All Girls &amp; Descendants - Edit'!C90</f>
        <v>109a</v>
      </c>
      <c r="D89" s="2" t="str">
        <f>'All Girls &amp; Descendants - Edit'!D90</f>
        <v>WALTON</v>
      </c>
      <c r="E89" t="str">
        <f>'All Girls &amp; Descendants - Edit'!E90</f>
        <v>Jennet</v>
      </c>
      <c r="F89" t="str">
        <f>IF('All Girls &amp; Descendants - Edit'!F90="","",'All Girls &amp; Descendants - Edit'!F90)</f>
        <v/>
      </c>
      <c r="G89" t="str">
        <f>IF('All Girls &amp; Descendants - Edit'!G90="","",'All Girls &amp; Descendants - Edit'!G90)</f>
        <v/>
      </c>
      <c r="H89" t="str">
        <f>IF('All Girls &amp; Descendants - Edit'!H90="","",'All Girls &amp; Descendants - Edit'!H90)</f>
        <v/>
      </c>
      <c r="I89">
        <f>VLOOKUP($C89,'All Girls &amp; Descendants - Edit'!$C$2:$AK$440,'All Girls &amp; Descendants - Edit'!I$1,FALSE)</f>
        <v>1964</v>
      </c>
      <c r="J89" t="str">
        <f>VLOOKUP($C89,'All Girls &amp; Descendants - Edit'!$C$2:$AK$440,'All Girls &amp; Descendants - Edit'!J$1,FALSE)</f>
        <v/>
      </c>
      <c r="K89" s="9"/>
      <c r="L89" t="str">
        <f t="shared" si="10"/>
        <v>25/11/1964</v>
      </c>
      <c r="M89" s="3">
        <f>VLOOKUP($C89,'All Girls &amp; Descendants - Edit'!$C$2:$AK$440,'All Girls &amp; Descendants - Edit'!M$1,FALSE)</f>
        <v>23706</v>
      </c>
      <c r="N89" s="3" t="str">
        <f>IF(VLOOKUP($C89,'All Girls &amp; Descendants - Edit'!$C$2:$AK$440,'All Girls &amp; Descendants - Edit'!N$1,FALSE)=""," - ",(VLOOKUP($C89,'All Girls &amp; Descendants - Edit'!$C$2:$AK$440,'All Girls &amp; Descendants - Edit'!N$1,FALSE)))</f>
        <v xml:space="preserve"> - </v>
      </c>
      <c r="O89" s="3" t="str">
        <f>IF(VLOOKUP($C89,'All Girls &amp; Descendants - Edit'!$C$2:$AK$440,'All Girls &amp; Descendants - Edit'!O$1,FALSE)="","",(VLOOKUP($C89,'All Girls &amp; Descendants - Edit'!$C$2:$AK$440,'All Girls &amp; Descendants - Edit'!O$1,FALSE)))</f>
        <v/>
      </c>
      <c r="P89" s="3" t="str">
        <f t="shared" si="14"/>
        <v/>
      </c>
      <c r="Q89" s="178" t="str">
        <f t="shared" si="15"/>
        <v>109</v>
      </c>
      <c r="R89" s="23"/>
      <c r="S89" t="str">
        <f>VLOOKUP($C89,'All Girls &amp; Descendants - Edit'!$C$2:$AK$440,'All Girls &amp; Descendants - Edit'!S$1,FALSE)</f>
        <v>Female</v>
      </c>
      <c r="T89" s="176">
        <f t="shared" si="16"/>
        <v>6</v>
      </c>
      <c r="U89" s="176">
        <f t="shared" si="11"/>
        <v>4</v>
      </c>
      <c r="V89" s="176">
        <f t="shared" si="12"/>
        <v>5</v>
      </c>
      <c r="W89" s="177">
        <f t="shared" si="13"/>
        <v>1</v>
      </c>
      <c r="X89" s="3" t="str">
        <f>IF(VLOOKUP($C89,'All Girls &amp; Descendants - Edit'!$C$2:$AK$440,'All Girls &amp; Descendants - Edit'!X$1,FALSE)=""," - ",(VLOOKUP($C89,'All Girls &amp; Descendants - Edit'!$C$2:$AK$440,'All Girls &amp; Descendants - Edit'!X$1,FALSE)))</f>
        <v xml:space="preserve"> - </v>
      </c>
      <c r="Y89" s="3" t="str">
        <f>IF(VLOOKUP($C89,'All Girls &amp; Descendants - Edit'!$C$2:$AK$440,'All Girls &amp; Descendants - Edit'!Y$1,FALSE)=""," - ",(VLOOKUP($C89,'All Girls &amp; Descendants - Edit'!$C$2:$AK$440,'All Girls &amp; Descendants - Edit'!Y$1,FALSE)))</f>
        <v xml:space="preserve"> - </v>
      </c>
      <c r="Z89" s="3" t="str">
        <f>IF(VLOOKUP($C89,'All Girls &amp; Descendants - Edit'!$C$2:$AK$440,'All Girls &amp; Descendants - Edit'!Z$1,FALSE)=""," - ",(VLOOKUP($C89,'All Girls &amp; Descendants - Edit'!$C$2:$AK$440,'All Girls &amp; Descendants - Edit'!Z$1,FALSE)))</f>
        <v>Baptised 10 Jan 1965 at the Brompton Oratory, London SW7. Educated Mayfield Convent, Sussex.</v>
      </c>
      <c r="AA89" s="101">
        <f>IF(VLOOKUP($C89,'All Girls &amp; Descendants - Edit'!$C$2:$AK$440,'All Girls &amp; Descendants - Edit'!AA$1,FALSE)=""," - ",(VLOOKUP($C89,'All Girls &amp; Descendants - Edit'!$C$2:$AK$440,'All Girls &amp; Descendants - Edit'!AA$1,FALSE)))</f>
        <v>308</v>
      </c>
      <c r="AB89" s="101">
        <f>IF(VLOOKUP($C89,'All Girls &amp; Descendants - Edit'!$C$2:$AK$440,'All Girls &amp; Descendants - Edit'!AB$1,FALSE)=""," - ",(VLOOKUP($C89,'All Girls &amp; Descendants - Edit'!$C$2:$AK$440,'All Girls &amp; Descendants - Edit'!AB$1,FALSE)))</f>
        <v>88</v>
      </c>
      <c r="AC89" s="101">
        <f>IF(VLOOKUP($C89,'All Girls &amp; Descendants - Edit'!$C$2:$AK$440,'All Girls &amp; Descendants - Edit'!AC$1,FALSE)=""," - ",(VLOOKUP($C89,'All Girls &amp; Descendants - Edit'!$C$2:$AK$440,'All Girls &amp; Descendants - Edit'!AC$1,FALSE)))</f>
        <v>1088</v>
      </c>
      <c r="AD89" s="3" t="str">
        <f>IF(VLOOKUP($C89,'All Girls &amp; Descendants - Edit'!$C$2:$AK$440,'All Girls &amp; Descendants - Edit'!AD$1,FALSE)=""," - ",(VLOOKUP($C89,'All Girls &amp; Descendants - Edit'!$C$2:$AK$440,'All Girls &amp; Descendants - Edit'!AD$1,FALSE)))</f>
        <v>109a</v>
      </c>
      <c r="AE89" s="3" t="str">
        <f>IF(VLOOKUP($C89,'All Girls &amp; Descendants - Edit'!$C$2:$AK$440,'All Girls &amp; Descendants - Edit'!AE$1,FALSE)=""," - ",(VLOOKUP($C89,'All Girls &amp; Descendants - Edit'!$C$2:$AK$440,'All Girls &amp; Descendants - Edit'!AE$1,FALSE)))</f>
        <v>Jennet   WALTON (1964 - )</v>
      </c>
      <c r="AF89" s="3" t="str">
        <f>IF(VLOOKUP($C89,'All Girls &amp; Descendants - Edit'!$C$2:$AK$440,'All Girls &amp; Descendants - Edit'!AF$1,FALSE)=""," - ",(VLOOKUP($C89,'All Girls &amp; Descendants - Edit'!$C$2:$AK$440,'All Girls &amp; Descendants - Edit'!AF$1,FALSE)))</f>
        <v>Jennet WALTON (6th &amp; 109)</v>
      </c>
      <c r="AG89" s="3" t="str">
        <f>IF(VLOOKUP($C89,'All Girls &amp; Descendants - Edit'!$C$2:$AK$440,'All Girls &amp; Descendants - Edit'!AG$1,FALSE)=""," - ",(VLOOKUP($C89,'All Girls &amp; Descendants - Edit'!$C$2:$AK$440,'All Girls &amp; Descendants - Edit'!AG$1,FALSE)))</f>
        <v>Female</v>
      </c>
      <c r="AH89" s="3" t="str">
        <f>IF(VLOOKUP($C89,'All Girls &amp; Descendants - Edit'!$C$2:$AK$440,'All Girls &amp; Descendants - Edit'!AH$1,FALSE)=""," - ",(VLOOKUP($C89,'All Girls &amp; Descendants - Edit'!$C$2:$AK$440,'All Girls &amp; Descendants - Edit'!AH$1,FALSE)))</f>
        <v>6th</v>
      </c>
      <c r="AI89" s="3" t="str">
        <f>IF(VLOOKUP($C89,'All Girls &amp; Descendants - Edit'!$C$2:$AK$440,'All Girls &amp; Descendants - Edit'!AI$1,FALSE)=""," - ",(VLOOKUP($C89,'All Girls &amp; Descendants - Edit'!$C$2:$AK$440,'All Girls &amp; Descendants - Edit'!AI$1,FALSE)))</f>
        <v>Unmarried</v>
      </c>
      <c r="AJ89" s="3" t="str">
        <f>IF(VLOOKUP($C89,'All Girls &amp; Descendants - Edit'!$C$2:$AK$440,'All Girls &amp; Descendants - Edit'!AJ$1,FALSE)=""," - ",(VLOOKUP($C89,'All Girls &amp; Descendants - Edit'!$C$2:$AK$440,'All Girls &amp; Descendants - Edit'!AJ$1,FALSE)))</f>
        <v>Female. b. 25/11/1964 Baptised 10 Jan 1965 at the Brompton Oratory, London SW7. Educated Mayfield Convent, Sussex.</v>
      </c>
      <c r="AK89" s="3" t="str">
        <f>IF(VLOOKUP($C89,'All Girls &amp; Descendants - Edit'!$C$2:$AK$440,'All Girls &amp; Descendants - Edit'!AK$1,FALSE)=""," - ",(VLOOKUP($C89,'All Girls &amp; Descendants - Edit'!$C$2:$AK$440,'All Girls &amp; Descendants - Edit'!AK$1,FALSE)))</f>
        <v>b. 25/11/1964</v>
      </c>
    </row>
    <row r="90" spans="1:37" ht="19">
      <c r="A90">
        <f>VLOOKUP(B90,'Loyd List 1-190 - Edit'!$P$1:$R$219,3,FALSE)</f>
        <v>80</v>
      </c>
      <c r="B90">
        <f>'All Girls &amp; Descendants - Edit'!B91</f>
        <v>109</v>
      </c>
      <c r="C90" s="98" t="str">
        <f>'All Girls &amp; Descendants - Edit'!C91</f>
        <v>109b</v>
      </c>
      <c r="D90" s="2" t="str">
        <f>'All Girls &amp; Descendants - Edit'!D91</f>
        <v>WALTON</v>
      </c>
      <c r="E90" t="str">
        <f>'All Girls &amp; Descendants - Edit'!E91</f>
        <v>Timothy</v>
      </c>
      <c r="F90" t="str">
        <f>IF('All Girls &amp; Descendants - Edit'!F91="","",'All Girls &amp; Descendants - Edit'!F91)</f>
        <v/>
      </c>
      <c r="G90" t="str">
        <f>IF('All Girls &amp; Descendants - Edit'!G91="","",'All Girls &amp; Descendants - Edit'!G91)</f>
        <v/>
      </c>
      <c r="H90" t="str">
        <f>IF('All Girls &amp; Descendants - Edit'!H91="","",'All Girls &amp; Descendants - Edit'!H91)</f>
        <v/>
      </c>
      <c r="I90">
        <f>VLOOKUP($C90,'All Girls &amp; Descendants - Edit'!$C$2:$AK$440,'All Girls &amp; Descendants - Edit'!I$1,FALSE)</f>
        <v>1967</v>
      </c>
      <c r="J90" t="str">
        <f>VLOOKUP($C90,'All Girls &amp; Descendants - Edit'!$C$2:$AK$440,'All Girls &amp; Descendants - Edit'!J$1,FALSE)</f>
        <v/>
      </c>
      <c r="K90" s="9"/>
      <c r="L90" t="str">
        <f t="shared" si="10"/>
        <v>22/08/1967</v>
      </c>
      <c r="M90" s="3">
        <f>VLOOKUP($C90,'All Girls &amp; Descendants - Edit'!$C$2:$AK$440,'All Girls &amp; Descendants - Edit'!M$1,FALSE)</f>
        <v>24706</v>
      </c>
      <c r="N90" s="3" t="str">
        <f>IF(VLOOKUP($C90,'All Girls &amp; Descendants - Edit'!$C$2:$AK$440,'All Girls &amp; Descendants - Edit'!N$1,FALSE)=""," - ",(VLOOKUP($C90,'All Girls &amp; Descendants - Edit'!$C$2:$AK$440,'All Girls &amp; Descendants - Edit'!N$1,FALSE)))</f>
        <v xml:space="preserve"> - </v>
      </c>
      <c r="O90" s="3" t="str">
        <f>IF(VLOOKUP($C90,'All Girls &amp; Descendants - Edit'!$C$2:$AK$440,'All Girls &amp; Descendants - Edit'!O$1,FALSE)="","",(VLOOKUP($C90,'All Girls &amp; Descendants - Edit'!$C$2:$AK$440,'All Girls &amp; Descendants - Edit'!O$1,FALSE)))</f>
        <v/>
      </c>
      <c r="P90" s="3" t="str">
        <f t="shared" si="14"/>
        <v/>
      </c>
      <c r="Q90" s="178" t="str">
        <f t="shared" si="15"/>
        <v>109</v>
      </c>
      <c r="R90" s="23"/>
      <c r="S90" t="str">
        <f>VLOOKUP($C90,'All Girls &amp; Descendants - Edit'!$C$2:$AK$440,'All Girls &amp; Descendants - Edit'!S$1,FALSE)</f>
        <v>Male</v>
      </c>
      <c r="T90" s="176">
        <f t="shared" si="16"/>
        <v>6</v>
      </c>
      <c r="U90" s="176">
        <f t="shared" si="11"/>
        <v>4</v>
      </c>
      <c r="V90" s="176">
        <f t="shared" si="12"/>
        <v>5</v>
      </c>
      <c r="W90" s="177">
        <f t="shared" si="13"/>
        <v>1</v>
      </c>
      <c r="X90" s="3" t="str">
        <f>IF(VLOOKUP($C90,'All Girls &amp; Descendants - Edit'!$C$2:$AK$440,'All Girls &amp; Descendants - Edit'!X$1,FALSE)=""," - ",(VLOOKUP($C90,'All Girls &amp; Descendants - Edit'!$C$2:$AK$440,'All Girls &amp; Descendants - Edit'!X$1,FALSE)))</f>
        <v xml:space="preserve"> - </v>
      </c>
      <c r="Y90" s="3" t="str">
        <f>IF(VLOOKUP($C90,'All Girls &amp; Descendants - Edit'!$C$2:$AK$440,'All Girls &amp; Descendants - Edit'!Y$1,FALSE)=""," - ",(VLOOKUP($C90,'All Girls &amp; Descendants - Edit'!$C$2:$AK$440,'All Girls &amp; Descendants - Edit'!Y$1,FALSE)))</f>
        <v xml:space="preserve"> - </v>
      </c>
      <c r="Z90" s="3" t="str">
        <f>IF(VLOOKUP($C90,'All Girls &amp; Descendants - Edit'!$C$2:$AK$440,'All Girls &amp; Descendants - Edit'!Z$1,FALSE)=""," - ",(VLOOKUP($C90,'All Girls &amp; Descendants - Edit'!$C$2:$AK$440,'All Girls &amp; Descendants - Edit'!Z$1,FALSE)))</f>
        <v>Baptised 8 Oct 1967 at St. Teresa’s, Trent Vale, Staffordshire. Educated Ampleforth, Manchester University (BA) and London University, School of Oriental &amp; African Studies (MA).</v>
      </c>
      <c r="AA90" s="101">
        <f>IF(VLOOKUP($C90,'All Girls &amp; Descendants - Edit'!$C$2:$AK$440,'All Girls &amp; Descendants - Edit'!AA$1,FALSE)=""," - ",(VLOOKUP($C90,'All Girls &amp; Descendants - Edit'!$C$2:$AK$440,'All Girls &amp; Descendants - Edit'!AA$1,FALSE)))</f>
        <v>309</v>
      </c>
      <c r="AB90" s="101">
        <f>IF(VLOOKUP($C90,'All Girls &amp; Descendants - Edit'!$C$2:$AK$440,'All Girls &amp; Descendants - Edit'!AB$1,FALSE)=""," - ",(VLOOKUP($C90,'All Girls &amp; Descendants - Edit'!$C$2:$AK$440,'All Girls &amp; Descendants - Edit'!AB$1,FALSE)))</f>
        <v>89</v>
      </c>
      <c r="AC90" s="101">
        <f>IF(VLOOKUP($C90,'All Girls &amp; Descendants - Edit'!$C$2:$AK$440,'All Girls &amp; Descendants - Edit'!AC$1,FALSE)=""," - ",(VLOOKUP($C90,'All Girls &amp; Descendants - Edit'!$C$2:$AK$440,'All Girls &amp; Descendants - Edit'!AC$1,FALSE)))</f>
        <v>1089</v>
      </c>
      <c r="AD90" s="3" t="str">
        <f>IF(VLOOKUP($C90,'All Girls &amp; Descendants - Edit'!$C$2:$AK$440,'All Girls &amp; Descendants - Edit'!AD$1,FALSE)=""," - ",(VLOOKUP($C90,'All Girls &amp; Descendants - Edit'!$C$2:$AK$440,'All Girls &amp; Descendants - Edit'!AD$1,FALSE)))</f>
        <v>109b</v>
      </c>
      <c r="AE90" s="3" t="str">
        <f>IF(VLOOKUP($C90,'All Girls &amp; Descendants - Edit'!$C$2:$AK$440,'All Girls &amp; Descendants - Edit'!AE$1,FALSE)=""," - ",(VLOOKUP($C90,'All Girls &amp; Descendants - Edit'!$C$2:$AK$440,'All Girls &amp; Descendants - Edit'!AE$1,FALSE)))</f>
        <v>Timothy   WALTON (1967 - )</v>
      </c>
      <c r="AF90" s="3" t="str">
        <f>IF(VLOOKUP($C90,'All Girls &amp; Descendants - Edit'!$C$2:$AK$440,'All Girls &amp; Descendants - Edit'!AF$1,FALSE)=""," - ",(VLOOKUP($C90,'All Girls &amp; Descendants - Edit'!$C$2:$AK$440,'All Girls &amp; Descendants - Edit'!AF$1,FALSE)))</f>
        <v>Timothy WALTON (6th &amp; 109)</v>
      </c>
      <c r="AG90" s="3" t="str">
        <f>IF(VLOOKUP($C90,'All Girls &amp; Descendants - Edit'!$C$2:$AK$440,'All Girls &amp; Descendants - Edit'!AG$1,FALSE)=""," - ",(VLOOKUP($C90,'All Girls &amp; Descendants - Edit'!$C$2:$AK$440,'All Girls &amp; Descendants - Edit'!AG$1,FALSE)))</f>
        <v>Male</v>
      </c>
      <c r="AH90" s="3" t="str">
        <f>IF(VLOOKUP($C90,'All Girls &amp; Descendants - Edit'!$C$2:$AK$440,'All Girls &amp; Descendants - Edit'!AH$1,FALSE)=""," - ",(VLOOKUP($C90,'All Girls &amp; Descendants - Edit'!$C$2:$AK$440,'All Girls &amp; Descendants - Edit'!AH$1,FALSE)))</f>
        <v>6th</v>
      </c>
      <c r="AI90" s="3" t="str">
        <f>IF(VLOOKUP($C90,'All Girls &amp; Descendants - Edit'!$C$2:$AK$440,'All Girls &amp; Descendants - Edit'!AI$1,FALSE)=""," - ",(VLOOKUP($C90,'All Girls &amp; Descendants - Edit'!$C$2:$AK$440,'All Girls &amp; Descendants - Edit'!AI$1,FALSE)))</f>
        <v>Anna Yen ON (b. 30/11/1978, )</v>
      </c>
      <c r="AJ90" s="3" t="str">
        <f>IF(VLOOKUP($C90,'All Girls &amp; Descendants - Edit'!$C$2:$AK$440,'All Girls &amp; Descendants - Edit'!AJ$1,FALSE)=""," - ",(VLOOKUP($C90,'All Girls &amp; Descendants - Edit'!$C$2:$AK$440,'All Girls &amp; Descendants - Edit'!AJ$1,FALSE)))</f>
        <v>Male. b. 22/08/1967 Baptised 8 Oct 1967 at St. Teresa’s, Trent Vale, Staffordshire. Educated Ampleforth, Manchester University (BA) and London University, School of Oriental &amp; African Studies (MA).</v>
      </c>
      <c r="AK90" s="3" t="str">
        <f>IF(VLOOKUP($C90,'All Girls &amp; Descendants - Edit'!$C$2:$AK$440,'All Girls &amp; Descendants - Edit'!AK$1,FALSE)=""," - ",(VLOOKUP($C90,'All Girls &amp; Descendants - Edit'!$C$2:$AK$440,'All Girls &amp; Descendants - Edit'!AK$1,FALSE)))</f>
        <v>b. 22/08/1967</v>
      </c>
    </row>
    <row r="91" spans="1:37" ht="19">
      <c r="A91">
        <f>VLOOKUP(B91,'Loyd List 1-190 - Edit'!$P$1:$R$219,3,FALSE)</f>
        <v>80</v>
      </c>
      <c r="B91">
        <f>'All Girls &amp; Descendants - Edit'!B92</f>
        <v>110</v>
      </c>
      <c r="C91" s="98" t="str">
        <f>'All Girls &amp; Descendants - Edit'!C92</f>
        <v>110a</v>
      </c>
      <c r="D91" s="2" t="str">
        <f>'All Girls &amp; Descendants - Edit'!D92</f>
        <v>BOYCE</v>
      </c>
      <c r="E91" t="str">
        <f>'All Girls &amp; Descendants - Edit'!E92</f>
        <v>John</v>
      </c>
      <c r="F91" t="str">
        <f>IF('All Girls &amp; Descendants - Edit'!F92="","",'All Girls &amp; Descendants - Edit'!F92)</f>
        <v>Drummond</v>
      </c>
      <c r="G91" t="str">
        <f>IF('All Girls &amp; Descendants - Edit'!G92="","",'All Girls &amp; Descendants - Edit'!G92)</f>
        <v/>
      </c>
      <c r="H91" t="str">
        <f>IF('All Girls &amp; Descendants - Edit'!H92="","",'All Girls &amp; Descendants - Edit'!H92)</f>
        <v/>
      </c>
      <c r="I91">
        <f>VLOOKUP($C91,'All Girls &amp; Descendants - Edit'!$C$2:$AK$440,'All Girls &amp; Descendants - Edit'!I$1,FALSE)</f>
        <v>1961</v>
      </c>
      <c r="J91" t="str">
        <f>VLOOKUP($C91,'All Girls &amp; Descendants - Edit'!$C$2:$AK$440,'All Girls &amp; Descendants - Edit'!J$1,FALSE)</f>
        <v/>
      </c>
      <c r="K91" s="9"/>
      <c r="L91" t="str">
        <f t="shared" si="10"/>
        <v>30/07/1961</v>
      </c>
      <c r="M91" s="3">
        <f>VLOOKUP($C91,'All Girls &amp; Descendants - Edit'!$C$2:$AK$440,'All Girls &amp; Descendants - Edit'!M$1,FALSE)</f>
        <v>22492</v>
      </c>
      <c r="N91" s="3">
        <f>IF(VLOOKUP($C91,'All Girls &amp; Descendants - Edit'!$C$2:$AK$440,'All Girls &amp; Descendants - Edit'!N$1,FALSE)=""," - ",(VLOOKUP($C91,'All Girls &amp; Descendants - Edit'!$C$2:$AK$440,'All Girls &amp; Descendants - Edit'!N$1,FALSE)))</f>
        <v>32004</v>
      </c>
      <c r="O91" s="3" t="str">
        <f>IF(VLOOKUP($C91,'All Girls &amp; Descendants - Edit'!$C$2:$AK$440,'All Girls &amp; Descendants - Edit'!O$1,FALSE)="","",(VLOOKUP($C91,'All Girls &amp; Descendants - Edit'!$C$2:$AK$440,'All Girls &amp; Descendants - Edit'!O$1,FALSE)))</f>
        <v/>
      </c>
      <c r="P91" s="3" t="str">
        <f t="shared" si="14"/>
        <v/>
      </c>
      <c r="Q91" s="178" t="str">
        <f t="shared" si="15"/>
        <v>110</v>
      </c>
      <c r="R91" s="23"/>
      <c r="S91" t="str">
        <f>VLOOKUP($C91,'All Girls &amp; Descendants - Edit'!$C$2:$AK$440,'All Girls &amp; Descendants - Edit'!S$1,FALSE)</f>
        <v>Male</v>
      </c>
      <c r="T91" s="176">
        <f t="shared" si="16"/>
        <v>6</v>
      </c>
      <c r="U91" s="176">
        <f t="shared" si="11"/>
        <v>4</v>
      </c>
      <c r="V91" s="176">
        <f t="shared" si="12"/>
        <v>5</v>
      </c>
      <c r="W91" s="177">
        <f t="shared" si="13"/>
        <v>1</v>
      </c>
      <c r="X91" s="3" t="str">
        <f>IF(VLOOKUP($C91,'All Girls &amp; Descendants - Edit'!$C$2:$AK$440,'All Girls &amp; Descendants - Edit'!X$1,FALSE)=""," - ",(VLOOKUP($C91,'All Girls &amp; Descendants - Edit'!$C$2:$AK$440,'All Girls &amp; Descendants - Edit'!X$1,FALSE)))</f>
        <v>Beverley Margaret JOHNSON (b. 04/06/1962, )</v>
      </c>
      <c r="Y91" s="3" t="str">
        <f>IF(VLOOKUP($C91,'All Girls &amp; Descendants - Edit'!$C$2:$AK$440,'All Girls &amp; Descendants - Edit'!Y$1,FALSE)=""," - ",(VLOOKUP($C91,'All Girls &amp; Descendants - Edit'!$C$2:$AK$440,'All Girls &amp; Descendants - Edit'!Y$1,FALSE)))</f>
        <v xml:space="preserve"> - </v>
      </c>
      <c r="Z91" s="3" t="str">
        <f>IF(VLOOKUP($C91,'All Girls &amp; Descendants - Edit'!$C$2:$AK$440,'All Girls &amp; Descendants - Edit'!Z$1,FALSE)=""," - ",(VLOOKUP($C91,'All Girls &amp; Descendants - Edit'!$C$2:$AK$440,'All Girls &amp; Descendants - Edit'!Z$1,FALSE)))</f>
        <v>Baptised 27 Aug 1961 at St Peter’s, Marlow. Educated Edinburgh Academy, King’s College, London (LLB), and Panthéon-Sorbonne, Paris (Maitrise en Droit). Partner Slaughter and May, London and Brussels.</v>
      </c>
      <c r="AA91" s="101">
        <f>IF(VLOOKUP($C91,'All Girls &amp; Descendants - Edit'!$C$2:$AK$440,'All Girls &amp; Descendants - Edit'!AA$1,FALSE)=""," - ",(VLOOKUP($C91,'All Girls &amp; Descendants - Edit'!$C$2:$AK$440,'All Girls &amp; Descendants - Edit'!AA$1,FALSE)))</f>
        <v>310</v>
      </c>
      <c r="AB91" s="101">
        <f>IF(VLOOKUP($C91,'All Girls &amp; Descendants - Edit'!$C$2:$AK$440,'All Girls &amp; Descendants - Edit'!AB$1,FALSE)=""," - ",(VLOOKUP($C91,'All Girls &amp; Descendants - Edit'!$C$2:$AK$440,'All Girls &amp; Descendants - Edit'!AB$1,FALSE)))</f>
        <v>90</v>
      </c>
      <c r="AC91" s="101">
        <f>IF(VLOOKUP($C91,'All Girls &amp; Descendants - Edit'!$C$2:$AK$440,'All Girls &amp; Descendants - Edit'!AC$1,FALSE)=""," - ",(VLOOKUP($C91,'All Girls &amp; Descendants - Edit'!$C$2:$AK$440,'All Girls &amp; Descendants - Edit'!AC$1,FALSE)))</f>
        <v>1090</v>
      </c>
      <c r="AD91" s="3" t="str">
        <f>IF(VLOOKUP($C91,'All Girls &amp; Descendants - Edit'!$C$2:$AK$440,'All Girls &amp; Descendants - Edit'!AD$1,FALSE)=""," - ",(VLOOKUP($C91,'All Girls &amp; Descendants - Edit'!$C$2:$AK$440,'All Girls &amp; Descendants - Edit'!AD$1,FALSE)))</f>
        <v>110a</v>
      </c>
      <c r="AE91" s="3" t="str">
        <f>IF(VLOOKUP($C91,'All Girls &amp; Descendants - Edit'!$C$2:$AK$440,'All Girls &amp; Descendants - Edit'!AE$1,FALSE)=""," - ",(VLOOKUP($C91,'All Girls &amp; Descendants - Edit'!$C$2:$AK$440,'All Girls &amp; Descendants - Edit'!AE$1,FALSE)))</f>
        <v>John Drummond  BOYCE (1961 - )</v>
      </c>
      <c r="AF91" s="3" t="str">
        <f>IF(VLOOKUP($C91,'All Girls &amp; Descendants - Edit'!$C$2:$AK$440,'All Girls &amp; Descendants - Edit'!AF$1,FALSE)=""," - ",(VLOOKUP($C91,'All Girls &amp; Descendants - Edit'!$C$2:$AK$440,'All Girls &amp; Descendants - Edit'!AF$1,FALSE)))</f>
        <v>John BOYCE (6th &amp; 110)</v>
      </c>
      <c r="AG91" s="3" t="str">
        <f>IF(VLOOKUP($C91,'All Girls &amp; Descendants - Edit'!$C$2:$AK$440,'All Girls &amp; Descendants - Edit'!AG$1,FALSE)=""," - ",(VLOOKUP($C91,'All Girls &amp; Descendants - Edit'!$C$2:$AK$440,'All Girls &amp; Descendants - Edit'!AG$1,FALSE)))</f>
        <v>Male</v>
      </c>
      <c r="AH91" s="3" t="str">
        <f>IF(VLOOKUP($C91,'All Girls &amp; Descendants - Edit'!$C$2:$AK$440,'All Girls &amp; Descendants - Edit'!AH$1,FALSE)=""," - ",(VLOOKUP($C91,'All Girls &amp; Descendants - Edit'!$C$2:$AK$440,'All Girls &amp; Descendants - Edit'!AH$1,FALSE)))</f>
        <v>6th</v>
      </c>
      <c r="AI91" s="3" t="str">
        <f>IF(VLOOKUP($C91,'All Girls &amp; Descendants - Edit'!$C$2:$AK$440,'All Girls &amp; Descendants - Edit'!AI$1,FALSE)=""," - ",(VLOOKUP($C91,'All Girls &amp; Descendants - Edit'!$C$2:$AK$440,'All Girls &amp; Descendants - Edit'!AI$1,FALSE)))</f>
        <v xml:space="preserve">Wife: Beverley Margaret JOHNSON (b. 04/06/1962, ). </v>
      </c>
      <c r="AJ91" s="3" t="str">
        <f>IF(VLOOKUP($C91,'All Girls &amp; Descendants - Edit'!$C$2:$AK$440,'All Girls &amp; Descendants - Edit'!AJ$1,FALSE)=""," - ",(VLOOKUP($C91,'All Girls &amp; Descendants - Edit'!$C$2:$AK$440,'All Girls &amp; Descendants - Edit'!AJ$1,FALSE)))</f>
        <v>Male. b. 30/07/1961 Baptised 27 Aug 1961 at St Peter’s, Marlow. Educated Edinburgh Academy, King’s College, London (LLB), and Panthéon-Sorbonne, Paris (Maitrise en Droit). Partner Slaughter and May, London and Brussels.</v>
      </c>
      <c r="AK91" s="3" t="str">
        <f>IF(VLOOKUP($C91,'All Girls &amp; Descendants - Edit'!$C$2:$AK$440,'All Girls &amp; Descendants - Edit'!AK$1,FALSE)=""," - ",(VLOOKUP($C91,'All Girls &amp; Descendants - Edit'!$C$2:$AK$440,'All Girls &amp; Descendants - Edit'!AK$1,FALSE)))</f>
        <v>b. 30/07/1961</v>
      </c>
    </row>
    <row r="92" spans="1:37" ht="19">
      <c r="A92">
        <f>VLOOKUP(B92,'Loyd List 1-190 - Edit'!$P$1:$R$219,3,FALSE)</f>
        <v>80</v>
      </c>
      <c r="B92">
        <f>'All Girls &amp; Descendants - Edit'!B93</f>
        <v>110</v>
      </c>
      <c r="C92" s="98" t="str">
        <f>'All Girls &amp; Descendants - Edit'!C93</f>
        <v>110b</v>
      </c>
      <c r="D92" s="2" t="str">
        <f>'All Girls &amp; Descendants - Edit'!D93</f>
        <v>BOYCE</v>
      </c>
      <c r="E92" t="str">
        <f>'All Girls &amp; Descendants - Edit'!E93</f>
        <v>Joanna</v>
      </c>
      <c r="F92" t="str">
        <f>IF('All Girls &amp; Descendants - Edit'!F93="","",'All Girls &amp; Descendants - Edit'!F93)</f>
        <v>Mary</v>
      </c>
      <c r="G92" t="str">
        <f>IF('All Girls &amp; Descendants - Edit'!G93="","",'All Girls &amp; Descendants - Edit'!G93)</f>
        <v/>
      </c>
      <c r="H92" t="str">
        <f>IF('All Girls &amp; Descendants - Edit'!H93="","",'All Girls &amp; Descendants - Edit'!H93)</f>
        <v/>
      </c>
      <c r="I92">
        <f>VLOOKUP($C92,'All Girls &amp; Descendants - Edit'!$C$2:$AK$440,'All Girls &amp; Descendants - Edit'!I$1,FALSE)</f>
        <v>1963</v>
      </c>
      <c r="J92" t="str">
        <f>VLOOKUP($C92,'All Girls &amp; Descendants - Edit'!$C$2:$AK$440,'All Girls &amp; Descendants - Edit'!J$1,FALSE)</f>
        <v/>
      </c>
      <c r="K92" s="9"/>
      <c r="L92" t="str">
        <f t="shared" si="10"/>
        <v>18/02/1963</v>
      </c>
      <c r="M92" s="3">
        <f>VLOOKUP($C92,'All Girls &amp; Descendants - Edit'!$C$2:$AK$440,'All Girls &amp; Descendants - Edit'!M$1,FALSE)</f>
        <v>23060</v>
      </c>
      <c r="N92" s="3" t="str">
        <f>IF(VLOOKUP($C92,'All Girls &amp; Descendants - Edit'!$C$2:$AK$440,'All Girls &amp; Descendants - Edit'!N$1,FALSE)=""," - ",(VLOOKUP($C92,'All Girls &amp; Descendants - Edit'!$C$2:$AK$440,'All Girls &amp; Descendants - Edit'!N$1,FALSE)))</f>
        <v xml:space="preserve"> - </v>
      </c>
      <c r="O92" s="3" t="str">
        <f>IF(VLOOKUP($C92,'All Girls &amp; Descendants - Edit'!$C$2:$AK$440,'All Girls &amp; Descendants - Edit'!O$1,FALSE)="","",(VLOOKUP($C92,'All Girls &amp; Descendants - Edit'!$C$2:$AK$440,'All Girls &amp; Descendants - Edit'!O$1,FALSE)))</f>
        <v/>
      </c>
      <c r="P92" s="3" t="str">
        <f t="shared" si="14"/>
        <v/>
      </c>
      <c r="Q92" s="178" t="str">
        <f t="shared" si="15"/>
        <v>110</v>
      </c>
      <c r="R92" s="23"/>
      <c r="S92" t="str">
        <f>VLOOKUP($C92,'All Girls &amp; Descendants - Edit'!$C$2:$AK$440,'All Girls &amp; Descendants - Edit'!S$1,FALSE)</f>
        <v>Female</v>
      </c>
      <c r="T92" s="176">
        <f t="shared" si="16"/>
        <v>6</v>
      </c>
      <c r="U92" s="176">
        <f t="shared" si="11"/>
        <v>4</v>
      </c>
      <c r="V92" s="176">
        <f t="shared" si="12"/>
        <v>5</v>
      </c>
      <c r="W92" s="177">
        <f t="shared" si="13"/>
        <v>1</v>
      </c>
      <c r="X92" s="3" t="str">
        <f>IF(VLOOKUP($C92,'All Girls &amp; Descendants - Edit'!$C$2:$AK$440,'All Girls &amp; Descendants - Edit'!X$1,FALSE)=""," - ",(VLOOKUP($C92,'All Girls &amp; Descendants - Edit'!$C$2:$AK$440,'All Girls &amp; Descendants - Edit'!X$1,FALSE)))</f>
        <v xml:space="preserve"> - </v>
      </c>
      <c r="Y92" s="3" t="str">
        <f>IF(VLOOKUP($C92,'All Girls &amp; Descendants - Edit'!$C$2:$AK$440,'All Girls &amp; Descendants - Edit'!Y$1,FALSE)=""," - ",(VLOOKUP($C92,'All Girls &amp; Descendants - Edit'!$C$2:$AK$440,'All Girls &amp; Descendants - Edit'!Y$1,FALSE)))</f>
        <v xml:space="preserve"> - </v>
      </c>
      <c r="Z92" s="3" t="str">
        <f>IF(VLOOKUP($C92,'All Girls &amp; Descendants - Edit'!$C$2:$AK$440,'All Girls &amp; Descendants - Edit'!Z$1,FALSE)=""," - ",(VLOOKUP($C92,'All Girls &amp; Descendants - Edit'!$C$2:$AK$440,'All Girls &amp; Descendants - Edit'!Z$1,FALSE)))</f>
        <v>Baptised 16 Mar 1963 at St. Mary’s Cathedral, Edinburgh. Educated St Margaret’s Convent, Edinburgh and Brighton Polytechnic (BA).</v>
      </c>
      <c r="AA92" s="101">
        <f>IF(VLOOKUP($C92,'All Girls &amp; Descendants - Edit'!$C$2:$AK$440,'All Girls &amp; Descendants - Edit'!AA$1,FALSE)=""," - ",(VLOOKUP($C92,'All Girls &amp; Descendants - Edit'!$C$2:$AK$440,'All Girls &amp; Descendants - Edit'!AA$1,FALSE)))</f>
        <v>314</v>
      </c>
      <c r="AB92" s="101">
        <f>IF(VLOOKUP($C92,'All Girls &amp; Descendants - Edit'!$C$2:$AK$440,'All Girls &amp; Descendants - Edit'!AB$1,FALSE)=""," - ",(VLOOKUP($C92,'All Girls &amp; Descendants - Edit'!$C$2:$AK$440,'All Girls &amp; Descendants - Edit'!AB$1,FALSE)))</f>
        <v>91</v>
      </c>
      <c r="AC92" s="101">
        <f>IF(VLOOKUP($C92,'All Girls &amp; Descendants - Edit'!$C$2:$AK$440,'All Girls &amp; Descendants - Edit'!AC$1,FALSE)=""," - ",(VLOOKUP($C92,'All Girls &amp; Descendants - Edit'!$C$2:$AK$440,'All Girls &amp; Descendants - Edit'!AC$1,FALSE)))</f>
        <v>1091</v>
      </c>
      <c r="AD92" s="3" t="str">
        <f>IF(VLOOKUP($C92,'All Girls &amp; Descendants - Edit'!$C$2:$AK$440,'All Girls &amp; Descendants - Edit'!AD$1,FALSE)=""," - ",(VLOOKUP($C92,'All Girls &amp; Descendants - Edit'!$C$2:$AK$440,'All Girls &amp; Descendants - Edit'!AD$1,FALSE)))</f>
        <v>110b</v>
      </c>
      <c r="AE92" s="3" t="str">
        <f>IF(VLOOKUP($C92,'All Girls &amp; Descendants - Edit'!$C$2:$AK$440,'All Girls &amp; Descendants - Edit'!AE$1,FALSE)=""," - ",(VLOOKUP($C92,'All Girls &amp; Descendants - Edit'!$C$2:$AK$440,'All Girls &amp; Descendants - Edit'!AE$1,FALSE)))</f>
        <v>Joanna Mary  BOYCE (1963 - )</v>
      </c>
      <c r="AF92" s="3" t="str">
        <f>IF(VLOOKUP($C92,'All Girls &amp; Descendants - Edit'!$C$2:$AK$440,'All Girls &amp; Descendants - Edit'!AF$1,FALSE)=""," - ",(VLOOKUP($C92,'All Girls &amp; Descendants - Edit'!$C$2:$AK$440,'All Girls &amp; Descendants - Edit'!AF$1,FALSE)))</f>
        <v>Joanna BOYCE (6th &amp; 110)</v>
      </c>
      <c r="AG92" s="3" t="str">
        <f>IF(VLOOKUP($C92,'All Girls &amp; Descendants - Edit'!$C$2:$AK$440,'All Girls &amp; Descendants - Edit'!AG$1,FALSE)=""," - ",(VLOOKUP($C92,'All Girls &amp; Descendants - Edit'!$C$2:$AK$440,'All Girls &amp; Descendants - Edit'!AG$1,FALSE)))</f>
        <v>Female</v>
      </c>
      <c r="AH92" s="3" t="str">
        <f>IF(VLOOKUP($C92,'All Girls &amp; Descendants - Edit'!$C$2:$AK$440,'All Girls &amp; Descendants - Edit'!AH$1,FALSE)=""," - ",(VLOOKUP($C92,'All Girls &amp; Descendants - Edit'!$C$2:$AK$440,'All Girls &amp; Descendants - Edit'!AH$1,FALSE)))</f>
        <v>6th</v>
      </c>
      <c r="AI92" s="3" t="str">
        <f>IF(VLOOKUP($C92,'All Girls &amp; Descendants - Edit'!$C$2:$AK$440,'All Girls &amp; Descendants - Edit'!AI$1,FALSE)=""," - ",(VLOOKUP($C92,'All Girls &amp; Descendants - Edit'!$C$2:$AK$440,'All Girls &amp; Descendants - Edit'!AI$1,FALSE)))</f>
        <v>Unmarried</v>
      </c>
      <c r="AJ92" s="3" t="str">
        <f>IF(VLOOKUP($C92,'All Girls &amp; Descendants - Edit'!$C$2:$AK$440,'All Girls &amp; Descendants - Edit'!AJ$1,FALSE)=""," - ",(VLOOKUP($C92,'All Girls &amp; Descendants - Edit'!$C$2:$AK$440,'All Girls &amp; Descendants - Edit'!AJ$1,FALSE)))</f>
        <v>Female. b. 18/02/1963 Baptised 16 Mar 1963 at St. Mary’s Cathedral, Edinburgh. Educated St Margaret’s Convent, Edinburgh and Brighton Polytechnic (BA).</v>
      </c>
      <c r="AK92" s="3" t="str">
        <f>IF(VLOOKUP($C92,'All Girls &amp; Descendants - Edit'!$C$2:$AK$440,'All Girls &amp; Descendants - Edit'!AK$1,FALSE)=""," - ",(VLOOKUP($C92,'All Girls &amp; Descendants - Edit'!$C$2:$AK$440,'All Girls &amp; Descendants - Edit'!AK$1,FALSE)))</f>
        <v>b. 18/02/1963</v>
      </c>
    </row>
    <row r="93" spans="1:37" ht="19">
      <c r="A93">
        <f>VLOOKUP(B93,'Loyd List 1-190 - Edit'!$P$1:$R$219,3,FALSE)</f>
        <v>80</v>
      </c>
      <c r="B93">
        <f>'All Girls &amp; Descendants - Edit'!B94</f>
        <v>110</v>
      </c>
      <c r="C93" s="98" t="str">
        <f>'All Girls &amp; Descendants - Edit'!C94</f>
        <v>110c</v>
      </c>
      <c r="D93" s="2" t="str">
        <f>'All Girls &amp; Descendants - Edit'!D94</f>
        <v>BOYCE</v>
      </c>
      <c r="E93" t="str">
        <f>'All Girls &amp; Descendants - Edit'!E94</f>
        <v>Robert</v>
      </c>
      <c r="F93" t="str">
        <f>IF('All Girls &amp; Descendants - Edit'!F94="","",'All Girls &amp; Descendants - Edit'!F94)</f>
        <v>Eric</v>
      </c>
      <c r="G93" t="str">
        <f>IF('All Girls &amp; Descendants - Edit'!G94="","",'All Girls &amp; Descendants - Edit'!G94)</f>
        <v/>
      </c>
      <c r="H93" t="str">
        <f>IF('All Girls &amp; Descendants - Edit'!H94="","",'All Girls &amp; Descendants - Edit'!H94)</f>
        <v/>
      </c>
      <c r="I93">
        <f>VLOOKUP($C93,'All Girls &amp; Descendants - Edit'!$C$2:$AK$440,'All Girls &amp; Descendants - Edit'!I$1,FALSE)</f>
        <v>1964</v>
      </c>
      <c r="J93" t="str">
        <f>VLOOKUP($C93,'All Girls &amp; Descendants - Edit'!$C$2:$AK$440,'All Girls &amp; Descendants - Edit'!J$1,FALSE)</f>
        <v/>
      </c>
      <c r="K93" s="9"/>
      <c r="L93" t="str">
        <f t="shared" si="10"/>
        <v>20/03/1964</v>
      </c>
      <c r="M93" s="3">
        <f>VLOOKUP($C93,'All Girls &amp; Descendants - Edit'!$C$2:$AK$440,'All Girls &amp; Descendants - Edit'!M$1,FALSE)</f>
        <v>23456</v>
      </c>
      <c r="N93" s="3" t="str">
        <f>IF(VLOOKUP($C93,'All Girls &amp; Descendants - Edit'!$C$2:$AK$440,'All Girls &amp; Descendants - Edit'!N$1,FALSE)=""," - ",(VLOOKUP($C93,'All Girls &amp; Descendants - Edit'!$C$2:$AK$440,'All Girls &amp; Descendants - Edit'!N$1,FALSE)))</f>
        <v xml:space="preserve"> - </v>
      </c>
      <c r="O93" s="3" t="str">
        <f>IF(VLOOKUP($C93,'All Girls &amp; Descendants - Edit'!$C$2:$AK$440,'All Girls &amp; Descendants - Edit'!O$1,FALSE)="","",(VLOOKUP($C93,'All Girls &amp; Descendants - Edit'!$C$2:$AK$440,'All Girls &amp; Descendants - Edit'!O$1,FALSE)))</f>
        <v/>
      </c>
      <c r="P93" s="3" t="str">
        <f t="shared" si="14"/>
        <v/>
      </c>
      <c r="Q93" s="178" t="str">
        <f t="shared" si="15"/>
        <v>110</v>
      </c>
      <c r="R93" s="23"/>
      <c r="S93" t="str">
        <f>VLOOKUP($C93,'All Girls &amp; Descendants - Edit'!$C$2:$AK$440,'All Girls &amp; Descendants - Edit'!S$1,FALSE)</f>
        <v>Male</v>
      </c>
      <c r="T93" s="176">
        <f t="shared" si="16"/>
        <v>6</v>
      </c>
      <c r="U93" s="176">
        <f t="shared" si="11"/>
        <v>4</v>
      </c>
      <c r="V93" s="176">
        <f t="shared" si="12"/>
        <v>5</v>
      </c>
      <c r="W93" s="177">
        <f t="shared" si="13"/>
        <v>1</v>
      </c>
      <c r="X93" s="3" t="str">
        <f>IF(VLOOKUP($C93,'All Girls &amp; Descendants - Edit'!$C$2:$AK$440,'All Girls &amp; Descendants - Edit'!X$1,FALSE)=""," - ",(VLOOKUP($C93,'All Girls &amp; Descendants - Edit'!$C$2:$AK$440,'All Girls &amp; Descendants - Edit'!X$1,FALSE)))</f>
        <v>Antonia Catherine WHITE (b. 23/07/1966, )</v>
      </c>
      <c r="Y93" s="3" t="str">
        <f>IF(VLOOKUP($C93,'All Girls &amp; Descendants - Edit'!$C$2:$AK$440,'All Girls &amp; Descendants - Edit'!Y$1,FALSE)=""," - ",(VLOOKUP($C93,'All Girls &amp; Descendants - Edit'!$C$2:$AK$440,'All Girls &amp; Descendants - Edit'!Y$1,FALSE)))</f>
        <v xml:space="preserve"> - </v>
      </c>
      <c r="Z93" s="3" t="str">
        <f>IF(VLOOKUP($C93,'All Girls &amp; Descendants - Edit'!$C$2:$AK$440,'All Girls &amp; Descendants - Edit'!Z$1,FALSE)=""," - ",(VLOOKUP($C93,'All Girls &amp; Descendants - Edit'!$C$2:$AK$440,'All Girls &amp; Descendants - Edit'!Z$1,FALSE)))</f>
        <v>Baptised 18 Apr 1964 at Holy Cross, Edinburgh. Educated The Edinburgh Academy, Bath University (BSc), and Bristol University (MSc).</v>
      </c>
      <c r="AA93" s="101">
        <f>IF(VLOOKUP($C93,'All Girls &amp; Descendants - Edit'!$C$2:$AK$440,'All Girls &amp; Descendants - Edit'!AA$1,FALSE)=""," - ",(VLOOKUP($C93,'All Girls &amp; Descendants - Edit'!$C$2:$AK$440,'All Girls &amp; Descendants - Edit'!AA$1,FALSE)))</f>
        <v>315</v>
      </c>
      <c r="AB93" s="101">
        <f>IF(VLOOKUP($C93,'All Girls &amp; Descendants - Edit'!$C$2:$AK$440,'All Girls &amp; Descendants - Edit'!AB$1,FALSE)=""," - ",(VLOOKUP($C93,'All Girls &amp; Descendants - Edit'!$C$2:$AK$440,'All Girls &amp; Descendants - Edit'!AB$1,FALSE)))</f>
        <v>92</v>
      </c>
      <c r="AC93" s="101">
        <f>IF(VLOOKUP($C93,'All Girls &amp; Descendants - Edit'!$C$2:$AK$440,'All Girls &amp; Descendants - Edit'!AC$1,FALSE)=""," - ",(VLOOKUP($C93,'All Girls &amp; Descendants - Edit'!$C$2:$AK$440,'All Girls &amp; Descendants - Edit'!AC$1,FALSE)))</f>
        <v>1092</v>
      </c>
      <c r="AD93" s="3" t="str">
        <f>IF(VLOOKUP($C93,'All Girls &amp; Descendants - Edit'!$C$2:$AK$440,'All Girls &amp; Descendants - Edit'!AD$1,FALSE)=""," - ",(VLOOKUP($C93,'All Girls &amp; Descendants - Edit'!$C$2:$AK$440,'All Girls &amp; Descendants - Edit'!AD$1,FALSE)))</f>
        <v>110c</v>
      </c>
      <c r="AE93" s="3" t="str">
        <f>IF(VLOOKUP($C93,'All Girls &amp; Descendants - Edit'!$C$2:$AK$440,'All Girls &amp; Descendants - Edit'!AE$1,FALSE)=""," - ",(VLOOKUP($C93,'All Girls &amp; Descendants - Edit'!$C$2:$AK$440,'All Girls &amp; Descendants - Edit'!AE$1,FALSE)))</f>
        <v>Robert Eric  BOYCE (1964 - )</v>
      </c>
      <c r="AF93" s="3" t="str">
        <f>IF(VLOOKUP($C93,'All Girls &amp; Descendants - Edit'!$C$2:$AK$440,'All Girls &amp; Descendants - Edit'!AF$1,FALSE)=""," - ",(VLOOKUP($C93,'All Girls &amp; Descendants - Edit'!$C$2:$AK$440,'All Girls &amp; Descendants - Edit'!AF$1,FALSE)))</f>
        <v>Robert BOYCE (6th &amp; 110)</v>
      </c>
      <c r="AG93" s="3" t="str">
        <f>IF(VLOOKUP($C93,'All Girls &amp; Descendants - Edit'!$C$2:$AK$440,'All Girls &amp; Descendants - Edit'!AG$1,FALSE)=""," - ",(VLOOKUP($C93,'All Girls &amp; Descendants - Edit'!$C$2:$AK$440,'All Girls &amp; Descendants - Edit'!AG$1,FALSE)))</f>
        <v>Male</v>
      </c>
      <c r="AH93" s="3" t="str">
        <f>IF(VLOOKUP($C93,'All Girls &amp; Descendants - Edit'!$C$2:$AK$440,'All Girls &amp; Descendants - Edit'!AH$1,FALSE)=""," - ",(VLOOKUP($C93,'All Girls &amp; Descendants - Edit'!$C$2:$AK$440,'All Girls &amp; Descendants - Edit'!AH$1,FALSE)))</f>
        <v>6th</v>
      </c>
      <c r="AI93" s="3" t="str">
        <f>IF(VLOOKUP($C93,'All Girls &amp; Descendants - Edit'!$C$2:$AK$440,'All Girls &amp; Descendants - Edit'!AI$1,FALSE)=""," - ",(VLOOKUP($C93,'All Girls &amp; Descendants - Edit'!$C$2:$AK$440,'All Girls &amp; Descendants - Edit'!AI$1,FALSE)))</f>
        <v xml:space="preserve">Wife: Antonia Catherine WHITE (b. 23/07/1966, ). </v>
      </c>
      <c r="AJ93" s="3" t="str">
        <f>IF(VLOOKUP($C93,'All Girls &amp; Descendants - Edit'!$C$2:$AK$440,'All Girls &amp; Descendants - Edit'!AJ$1,FALSE)=""," - ",(VLOOKUP($C93,'All Girls &amp; Descendants - Edit'!$C$2:$AK$440,'All Girls &amp; Descendants - Edit'!AJ$1,FALSE)))</f>
        <v>Male. b. 20/03/1964 Baptised 18 Apr 1964 at Holy Cross, Edinburgh. Educated The Edinburgh Academy, Bath University (BSc), and Bristol University (MSc).</v>
      </c>
      <c r="AK93" s="3" t="str">
        <f>IF(VLOOKUP($C93,'All Girls &amp; Descendants - Edit'!$C$2:$AK$440,'All Girls &amp; Descendants - Edit'!AK$1,FALSE)=""," - ",(VLOOKUP($C93,'All Girls &amp; Descendants - Edit'!$C$2:$AK$440,'All Girls &amp; Descendants - Edit'!AK$1,FALSE)))</f>
        <v>b. 20/03/1964</v>
      </c>
    </row>
    <row r="94" spans="1:37" ht="19">
      <c r="A94">
        <f>VLOOKUP(B94,'Loyd List 1-190 - Edit'!$P$1:$R$219,3,FALSE)</f>
        <v>80</v>
      </c>
      <c r="B94">
        <f>'All Girls &amp; Descendants - Edit'!B95</f>
        <v>110</v>
      </c>
      <c r="C94" s="98" t="str">
        <f>'All Girls &amp; Descendants - Edit'!C95</f>
        <v>110d</v>
      </c>
      <c r="D94" s="2" t="str">
        <f>'All Girls &amp; Descendants - Edit'!D95</f>
        <v>BOYCE</v>
      </c>
      <c r="E94" t="str">
        <f>'All Girls &amp; Descendants - Edit'!E95</f>
        <v>Paula</v>
      </c>
      <c r="F94" t="str">
        <f>IF('All Girls &amp; Descendants - Edit'!F95="","",'All Girls &amp; Descendants - Edit'!F95)</f>
        <v>Margaret</v>
      </c>
      <c r="G94" t="str">
        <f>IF('All Girls &amp; Descendants - Edit'!G95="","",'All Girls &amp; Descendants - Edit'!G95)</f>
        <v/>
      </c>
      <c r="H94" t="str">
        <f>IF('All Girls &amp; Descendants - Edit'!H95="","",'All Girls &amp; Descendants - Edit'!H95)</f>
        <v/>
      </c>
      <c r="I94">
        <f>VLOOKUP($C94,'All Girls &amp; Descendants - Edit'!$C$2:$AK$440,'All Girls &amp; Descendants - Edit'!I$1,FALSE)</f>
        <v>1966</v>
      </c>
      <c r="J94" t="str">
        <f>VLOOKUP($C94,'All Girls &amp; Descendants - Edit'!$C$2:$AK$440,'All Girls &amp; Descendants - Edit'!J$1,FALSE)</f>
        <v/>
      </c>
      <c r="K94" s="9"/>
      <c r="L94" t="str">
        <f t="shared" si="10"/>
        <v>26/09/1966</v>
      </c>
      <c r="M94" s="3">
        <f>VLOOKUP($C94,'All Girls &amp; Descendants - Edit'!$C$2:$AK$440,'All Girls &amp; Descendants - Edit'!M$1,FALSE)</f>
        <v>24376</v>
      </c>
      <c r="N94" s="3">
        <f>IF(VLOOKUP($C94,'All Girls &amp; Descendants - Edit'!$C$2:$AK$440,'All Girls &amp; Descendants - Edit'!N$1,FALSE)=""," - ",(VLOOKUP($C94,'All Girls &amp; Descendants - Edit'!$C$2:$AK$440,'All Girls &amp; Descendants - Edit'!N$1,FALSE)))</f>
        <v>35276</v>
      </c>
      <c r="O94" s="3" t="str">
        <f>IF(VLOOKUP($C94,'All Girls &amp; Descendants - Edit'!$C$2:$AK$440,'All Girls &amp; Descendants - Edit'!O$1,FALSE)="","",(VLOOKUP($C94,'All Girls &amp; Descendants - Edit'!$C$2:$AK$440,'All Girls &amp; Descendants - Edit'!O$1,FALSE)))</f>
        <v/>
      </c>
      <c r="P94" s="3" t="str">
        <f t="shared" si="14"/>
        <v/>
      </c>
      <c r="Q94" s="178" t="str">
        <f t="shared" si="15"/>
        <v>110</v>
      </c>
      <c r="R94" s="23"/>
      <c r="S94" t="str">
        <f>VLOOKUP($C94,'All Girls &amp; Descendants - Edit'!$C$2:$AK$440,'All Girls &amp; Descendants - Edit'!S$1,FALSE)</f>
        <v>Female</v>
      </c>
      <c r="T94" s="176">
        <f t="shared" si="16"/>
        <v>6</v>
      </c>
      <c r="U94" s="176">
        <f t="shared" si="11"/>
        <v>4</v>
      </c>
      <c r="V94" s="176">
        <f t="shared" si="12"/>
        <v>5</v>
      </c>
      <c r="W94" s="177">
        <f t="shared" si="13"/>
        <v>1</v>
      </c>
      <c r="X94" s="3" t="str">
        <f>IF(VLOOKUP($C94,'All Girls &amp; Descendants - Edit'!$C$2:$AK$440,'All Girls &amp; Descendants - Edit'!X$1,FALSE)=""," - ",(VLOOKUP($C94,'All Girls &amp; Descendants - Edit'!$C$2:$AK$440,'All Girls &amp; Descendants - Edit'!X$1,FALSE)))</f>
        <v>Rolando Oscar CASTRO (b. 04/12/1965, )</v>
      </c>
      <c r="Y94" s="3" t="str">
        <f>IF(VLOOKUP($C94,'All Girls &amp; Descendants - Edit'!$C$2:$AK$440,'All Girls &amp; Descendants - Edit'!Y$1,FALSE)=""," - ",(VLOOKUP($C94,'All Girls &amp; Descendants - Edit'!$C$2:$AK$440,'All Girls &amp; Descendants - Edit'!Y$1,FALSE)))</f>
        <v>Married at Canterbury Registry Office, Oscar of Rio de Janeiro.</v>
      </c>
      <c r="Z94" s="3" t="str">
        <f>IF(VLOOKUP($C94,'All Girls &amp; Descendants - Edit'!$C$2:$AK$440,'All Girls &amp; Descendants - Edit'!Z$1,FALSE)=""," - ",(VLOOKUP($C94,'All Girls &amp; Descendants - Edit'!$C$2:$AK$440,'All Girls &amp; Descendants - Edit'!Z$1,FALSE)))</f>
        <v>Baptised 22 Oct 1966 at Holy Cross, Edinburgh. Educated St George’s, Edinburgh and St Andrew’s University (MA).</v>
      </c>
      <c r="AA94" s="101">
        <f>IF(VLOOKUP($C94,'All Girls &amp; Descendants - Edit'!$C$2:$AK$440,'All Girls &amp; Descendants - Edit'!AA$1,FALSE)=""," - ",(VLOOKUP($C94,'All Girls &amp; Descendants - Edit'!$C$2:$AK$440,'All Girls &amp; Descendants - Edit'!AA$1,FALSE)))</f>
        <v>316</v>
      </c>
      <c r="AB94" s="101">
        <f>IF(VLOOKUP($C94,'All Girls &amp; Descendants - Edit'!$C$2:$AK$440,'All Girls &amp; Descendants - Edit'!AB$1,FALSE)=""," - ",(VLOOKUP($C94,'All Girls &amp; Descendants - Edit'!$C$2:$AK$440,'All Girls &amp; Descendants - Edit'!AB$1,FALSE)))</f>
        <v>93</v>
      </c>
      <c r="AC94" s="101">
        <f>IF(VLOOKUP($C94,'All Girls &amp; Descendants - Edit'!$C$2:$AK$440,'All Girls &amp; Descendants - Edit'!AC$1,FALSE)=""," - ",(VLOOKUP($C94,'All Girls &amp; Descendants - Edit'!$C$2:$AK$440,'All Girls &amp; Descendants - Edit'!AC$1,FALSE)))</f>
        <v>1093</v>
      </c>
      <c r="AD94" s="3" t="str">
        <f>IF(VLOOKUP($C94,'All Girls &amp; Descendants - Edit'!$C$2:$AK$440,'All Girls &amp; Descendants - Edit'!AD$1,FALSE)=""," - ",(VLOOKUP($C94,'All Girls &amp; Descendants - Edit'!$C$2:$AK$440,'All Girls &amp; Descendants - Edit'!AD$1,FALSE)))</f>
        <v>110d</v>
      </c>
      <c r="AE94" s="3" t="str">
        <f>IF(VLOOKUP($C94,'All Girls &amp; Descendants - Edit'!$C$2:$AK$440,'All Girls &amp; Descendants - Edit'!AE$1,FALSE)=""," - ",(VLOOKUP($C94,'All Girls &amp; Descendants - Edit'!$C$2:$AK$440,'All Girls &amp; Descendants - Edit'!AE$1,FALSE)))</f>
        <v>Paula Margaret  BOYCE (1966 - )</v>
      </c>
      <c r="AF94" s="3" t="str">
        <f>IF(VLOOKUP($C94,'All Girls &amp; Descendants - Edit'!$C$2:$AK$440,'All Girls &amp; Descendants - Edit'!AF$1,FALSE)=""," - ",(VLOOKUP($C94,'All Girls &amp; Descendants - Edit'!$C$2:$AK$440,'All Girls &amp; Descendants - Edit'!AF$1,FALSE)))</f>
        <v>Paula BOYCE (6th &amp; 110)</v>
      </c>
      <c r="AG94" s="3" t="str">
        <f>IF(VLOOKUP($C94,'All Girls &amp; Descendants - Edit'!$C$2:$AK$440,'All Girls &amp; Descendants - Edit'!AG$1,FALSE)=""," - ",(VLOOKUP($C94,'All Girls &amp; Descendants - Edit'!$C$2:$AK$440,'All Girls &amp; Descendants - Edit'!AG$1,FALSE)))</f>
        <v>Female</v>
      </c>
      <c r="AH94" s="3" t="str">
        <f>IF(VLOOKUP($C94,'All Girls &amp; Descendants - Edit'!$C$2:$AK$440,'All Girls &amp; Descendants - Edit'!AH$1,FALSE)=""," - ",(VLOOKUP($C94,'All Girls &amp; Descendants - Edit'!$C$2:$AK$440,'All Girls &amp; Descendants - Edit'!AH$1,FALSE)))</f>
        <v>6th</v>
      </c>
      <c r="AI94" s="3" t="str">
        <f>IF(VLOOKUP($C94,'All Girls &amp; Descendants - Edit'!$C$2:$AK$440,'All Girls &amp; Descendants - Edit'!AI$1,FALSE)=""," - ",(VLOOKUP($C94,'All Girls &amp; Descendants - Edit'!$C$2:$AK$440,'All Girls &amp; Descendants - Edit'!AI$1,FALSE)))</f>
        <v>Husband: Rolando Oscar CASTRO (b. 04/12/1965, ). Married at Canterbury Registry Office, Oscar of Rio de Janeiro.</v>
      </c>
      <c r="AJ94" s="3" t="str">
        <f>IF(VLOOKUP($C94,'All Girls &amp; Descendants - Edit'!$C$2:$AK$440,'All Girls &amp; Descendants - Edit'!AJ$1,FALSE)=""," - ",(VLOOKUP($C94,'All Girls &amp; Descendants - Edit'!$C$2:$AK$440,'All Girls &amp; Descendants - Edit'!AJ$1,FALSE)))</f>
        <v>Female. b. 26/09/1966 Baptised 22 Oct 1966 at Holy Cross, Edinburgh. Educated St George’s, Edinburgh and St Andrew’s University (MA).</v>
      </c>
      <c r="AK94" s="3" t="str">
        <f>IF(VLOOKUP($C94,'All Girls &amp; Descendants - Edit'!$C$2:$AK$440,'All Girls &amp; Descendants - Edit'!AK$1,FALSE)=""," - ",(VLOOKUP($C94,'All Girls &amp; Descendants - Edit'!$C$2:$AK$440,'All Girls &amp; Descendants - Edit'!AK$1,FALSE)))</f>
        <v>b. 26/09/1966</v>
      </c>
    </row>
    <row r="95" spans="1:37" ht="19">
      <c r="A95">
        <f>VLOOKUP(B95,'Loyd List 1-190 - Edit'!$P$1:$R$219,3,FALSE)</f>
        <v>55</v>
      </c>
      <c r="B95">
        <f>'All Girls &amp; Descendants - Edit'!B96</f>
        <v>112</v>
      </c>
      <c r="C95" s="98" t="str">
        <f>'All Girls &amp; Descendants - Edit'!C96</f>
        <v>112a</v>
      </c>
      <c r="D95" s="2" t="str">
        <f>'All Girls &amp; Descendants - Edit'!D96</f>
        <v>DOWNES</v>
      </c>
      <c r="E95" t="str">
        <f>'All Girls &amp; Descendants - Edit'!E96</f>
        <v>Kevin</v>
      </c>
      <c r="F95" t="str">
        <f>IF('All Girls &amp; Descendants - Edit'!F96="","",'All Girls &amp; Descendants - Edit'!F96)</f>
        <v>John</v>
      </c>
      <c r="G95" t="str">
        <f>IF('All Girls &amp; Descendants - Edit'!G96="","",'All Girls &amp; Descendants - Edit'!G96)</f>
        <v/>
      </c>
      <c r="H95" t="str">
        <f>IF('All Girls &amp; Descendants - Edit'!H96="","",'All Girls &amp; Descendants - Edit'!H96)</f>
        <v/>
      </c>
      <c r="I95">
        <f>VLOOKUP($C95,'All Girls &amp; Descendants - Edit'!$C$2:$AK$440,'All Girls &amp; Descendants - Edit'!I$1,FALSE)</f>
        <v>1958</v>
      </c>
      <c r="J95" t="str">
        <f>VLOOKUP($C95,'All Girls &amp; Descendants - Edit'!$C$2:$AK$440,'All Girls &amp; Descendants - Edit'!J$1,FALSE)</f>
        <v/>
      </c>
      <c r="K95" s="9"/>
      <c r="L95" t="str">
        <f t="shared" si="10"/>
        <v>13/10/1958</v>
      </c>
      <c r="M95" s="3">
        <f>VLOOKUP($C95,'All Girls &amp; Descendants - Edit'!$C$2:$AK$440,'All Girls &amp; Descendants - Edit'!M$1,FALSE)</f>
        <v>21471</v>
      </c>
      <c r="N95" s="3" t="str">
        <f>IF(VLOOKUP($C95,'All Girls &amp; Descendants - Edit'!$C$2:$AK$440,'All Girls &amp; Descendants - Edit'!N$1,FALSE)=""," - ",(VLOOKUP($C95,'All Girls &amp; Descendants - Edit'!$C$2:$AK$440,'All Girls &amp; Descendants - Edit'!N$1,FALSE)))</f>
        <v xml:space="preserve"> - </v>
      </c>
      <c r="O95" s="3" t="str">
        <f>IF(VLOOKUP($C95,'All Girls &amp; Descendants - Edit'!$C$2:$AK$440,'All Girls &amp; Descendants - Edit'!O$1,FALSE)="","",(VLOOKUP($C95,'All Girls &amp; Descendants - Edit'!$C$2:$AK$440,'All Girls &amp; Descendants - Edit'!O$1,FALSE)))</f>
        <v/>
      </c>
      <c r="P95" s="3" t="str">
        <f t="shared" si="14"/>
        <v/>
      </c>
      <c r="Q95" s="178" t="str">
        <f t="shared" si="15"/>
        <v>112</v>
      </c>
      <c r="R95" s="23"/>
      <c r="S95" t="str">
        <f>VLOOKUP($C95,'All Girls &amp; Descendants - Edit'!$C$2:$AK$440,'All Girls &amp; Descendants - Edit'!S$1,FALSE)</f>
        <v>Male</v>
      </c>
      <c r="T95" s="176">
        <f t="shared" si="16"/>
        <v>6</v>
      </c>
      <c r="U95" s="176">
        <f t="shared" si="11"/>
        <v>4</v>
      </c>
      <c r="V95" s="176">
        <f t="shared" si="12"/>
        <v>5</v>
      </c>
      <c r="W95" s="177">
        <f t="shared" si="13"/>
        <v>1</v>
      </c>
      <c r="X95" s="3" t="str">
        <f>IF(VLOOKUP($C95,'All Girls &amp; Descendants - Edit'!$C$2:$AK$440,'All Girls &amp; Descendants - Edit'!X$1,FALSE)=""," - ",(VLOOKUP($C95,'All Girls &amp; Descendants - Edit'!$C$2:$AK$440,'All Girls &amp; Descendants - Edit'!X$1,FALSE)))</f>
        <v xml:space="preserve"> - </v>
      </c>
      <c r="Y95" s="3" t="str">
        <f>IF(VLOOKUP($C95,'All Girls &amp; Descendants - Edit'!$C$2:$AK$440,'All Girls &amp; Descendants - Edit'!Y$1,FALSE)=""," - ",(VLOOKUP($C95,'All Girls &amp; Descendants - Edit'!$C$2:$AK$440,'All Girls &amp; Descendants - Edit'!Y$1,FALSE)))</f>
        <v xml:space="preserve"> - </v>
      </c>
      <c r="Z95" s="3" t="str">
        <f>IF(VLOOKUP($C95,'All Girls &amp; Descendants - Edit'!$C$2:$AK$440,'All Girls &amp; Descendants - Edit'!Z$1,FALSE)=""," - ",(VLOOKUP($C95,'All Girls &amp; Descendants - Edit'!$C$2:$AK$440,'All Girls &amp; Descendants - Edit'!Z$1,FALSE)))</f>
        <v>Born at Loughborough, Leicestershire.</v>
      </c>
      <c r="AA95" s="101">
        <f>IF(VLOOKUP($C95,'All Girls &amp; Descendants - Edit'!$C$2:$AK$440,'All Girls &amp; Descendants - Edit'!AA$1,FALSE)=""," - ",(VLOOKUP($C95,'All Girls &amp; Descendants - Edit'!$C$2:$AK$440,'All Girls &amp; Descendants - Edit'!AA$1,FALSE)))</f>
        <v>318</v>
      </c>
      <c r="AB95" s="101">
        <f>IF(VLOOKUP($C95,'All Girls &amp; Descendants - Edit'!$C$2:$AK$440,'All Girls &amp; Descendants - Edit'!AB$1,FALSE)=""," - ",(VLOOKUP($C95,'All Girls &amp; Descendants - Edit'!$C$2:$AK$440,'All Girls &amp; Descendants - Edit'!AB$1,FALSE)))</f>
        <v>94</v>
      </c>
      <c r="AC95" s="101">
        <f>IF(VLOOKUP($C95,'All Girls &amp; Descendants - Edit'!$C$2:$AK$440,'All Girls &amp; Descendants - Edit'!AC$1,FALSE)=""," - ",(VLOOKUP($C95,'All Girls &amp; Descendants - Edit'!$C$2:$AK$440,'All Girls &amp; Descendants - Edit'!AC$1,FALSE)))</f>
        <v>1094</v>
      </c>
      <c r="AD95" s="3" t="str">
        <f>IF(VLOOKUP($C95,'All Girls &amp; Descendants - Edit'!$C$2:$AK$440,'All Girls &amp; Descendants - Edit'!AD$1,FALSE)=""," - ",(VLOOKUP($C95,'All Girls &amp; Descendants - Edit'!$C$2:$AK$440,'All Girls &amp; Descendants - Edit'!AD$1,FALSE)))</f>
        <v>112a</v>
      </c>
      <c r="AE95" s="3" t="str">
        <f>IF(VLOOKUP($C95,'All Girls &amp; Descendants - Edit'!$C$2:$AK$440,'All Girls &amp; Descendants - Edit'!AE$1,FALSE)=""," - ",(VLOOKUP($C95,'All Girls &amp; Descendants - Edit'!$C$2:$AK$440,'All Girls &amp; Descendants - Edit'!AE$1,FALSE)))</f>
        <v>Kevin John  DOWNES (1958 - )</v>
      </c>
      <c r="AF95" s="3" t="str">
        <f>IF(VLOOKUP($C95,'All Girls &amp; Descendants - Edit'!$C$2:$AK$440,'All Girls &amp; Descendants - Edit'!AF$1,FALSE)=""," - ",(VLOOKUP($C95,'All Girls &amp; Descendants - Edit'!$C$2:$AK$440,'All Girls &amp; Descendants - Edit'!AF$1,FALSE)))</f>
        <v>Kevin DOWNES (6th &amp; 112)</v>
      </c>
      <c r="AG95" s="3" t="str">
        <f>IF(VLOOKUP($C95,'All Girls &amp; Descendants - Edit'!$C$2:$AK$440,'All Girls &amp; Descendants - Edit'!AG$1,FALSE)=""," - ",(VLOOKUP($C95,'All Girls &amp; Descendants - Edit'!$C$2:$AK$440,'All Girls &amp; Descendants - Edit'!AG$1,FALSE)))</f>
        <v>Male</v>
      </c>
      <c r="AH95" s="3" t="str">
        <f>IF(VLOOKUP($C95,'All Girls &amp; Descendants - Edit'!$C$2:$AK$440,'All Girls &amp; Descendants - Edit'!AH$1,FALSE)=""," - ",(VLOOKUP($C95,'All Girls &amp; Descendants - Edit'!$C$2:$AK$440,'All Girls &amp; Descendants - Edit'!AH$1,FALSE)))</f>
        <v>6th</v>
      </c>
      <c r="AI95" s="3" t="str">
        <f>IF(VLOOKUP($C95,'All Girls &amp; Descendants - Edit'!$C$2:$AK$440,'All Girls &amp; Descendants - Edit'!AI$1,FALSE)=""," - ",(VLOOKUP($C95,'All Girls &amp; Descendants - Edit'!$C$2:$AK$440,'All Girls &amp; Descendants - Edit'!AI$1,FALSE)))</f>
        <v>Unmarried</v>
      </c>
      <c r="AJ95" s="3" t="str">
        <f>IF(VLOOKUP($C95,'All Girls &amp; Descendants - Edit'!$C$2:$AK$440,'All Girls &amp; Descendants - Edit'!AJ$1,FALSE)=""," - ",(VLOOKUP($C95,'All Girls &amp; Descendants - Edit'!$C$2:$AK$440,'All Girls &amp; Descendants - Edit'!AJ$1,FALSE)))</f>
        <v>Male. b. 13/10/1958 Born at Loughborough, Leicestershire.</v>
      </c>
      <c r="AK95" s="3" t="str">
        <f>IF(VLOOKUP($C95,'All Girls &amp; Descendants - Edit'!$C$2:$AK$440,'All Girls &amp; Descendants - Edit'!AK$1,FALSE)=""," - ",(VLOOKUP($C95,'All Girls &amp; Descendants - Edit'!$C$2:$AK$440,'All Girls &amp; Descendants - Edit'!AK$1,FALSE)))</f>
        <v>b. 13/10/1958</v>
      </c>
    </row>
    <row r="96" spans="1:37" ht="19">
      <c r="A96">
        <f>VLOOKUP(B96,'Loyd List 1-190 - Edit'!$P$1:$R$219,3,FALSE)</f>
        <v>55</v>
      </c>
      <c r="B96">
        <f>'All Girls &amp; Descendants - Edit'!B97</f>
        <v>112</v>
      </c>
      <c r="C96" s="98" t="str">
        <f>'All Girls &amp; Descendants - Edit'!C97</f>
        <v>112b</v>
      </c>
      <c r="D96" s="2" t="str">
        <f>'All Girls &amp; Descendants - Edit'!D97</f>
        <v>DOWNES</v>
      </c>
      <c r="E96" t="str">
        <f>'All Girls &amp; Descendants - Edit'!E97</f>
        <v>Lynda</v>
      </c>
      <c r="F96" t="str">
        <f>IF('All Girls &amp; Descendants - Edit'!F97="","",'All Girls &amp; Descendants - Edit'!F97)</f>
        <v>Carol</v>
      </c>
      <c r="G96" t="str">
        <f>IF('All Girls &amp; Descendants - Edit'!G97="","",'All Girls &amp; Descendants - Edit'!G97)</f>
        <v/>
      </c>
      <c r="H96" t="str">
        <f>IF('All Girls &amp; Descendants - Edit'!H97="","",'All Girls &amp; Descendants - Edit'!H97)</f>
        <v/>
      </c>
      <c r="I96">
        <f>VLOOKUP($C96,'All Girls &amp; Descendants - Edit'!$C$2:$AK$440,'All Girls &amp; Descendants - Edit'!I$1,FALSE)</f>
        <v>1960</v>
      </c>
      <c r="J96" t="str">
        <f>VLOOKUP($C96,'All Girls &amp; Descendants - Edit'!$C$2:$AK$440,'All Girls &amp; Descendants - Edit'!J$1,FALSE)</f>
        <v/>
      </c>
      <c r="K96" s="9"/>
      <c r="L96" t="str">
        <f t="shared" si="10"/>
        <v>15/10/1960</v>
      </c>
      <c r="M96" s="3">
        <f>VLOOKUP($C96,'All Girls &amp; Descendants - Edit'!$C$2:$AK$440,'All Girls &amp; Descendants - Edit'!M$1,FALSE)</f>
        <v>22204</v>
      </c>
      <c r="N96" s="3" t="str">
        <f>IF(VLOOKUP($C96,'All Girls &amp; Descendants - Edit'!$C$2:$AK$440,'All Girls &amp; Descendants - Edit'!N$1,FALSE)=""," - ",(VLOOKUP($C96,'All Girls &amp; Descendants - Edit'!$C$2:$AK$440,'All Girls &amp; Descendants - Edit'!N$1,FALSE)))</f>
        <v xml:space="preserve"> - </v>
      </c>
      <c r="O96" s="3" t="str">
        <f>IF(VLOOKUP($C96,'All Girls &amp; Descendants - Edit'!$C$2:$AK$440,'All Girls &amp; Descendants - Edit'!O$1,FALSE)="","",(VLOOKUP($C96,'All Girls &amp; Descendants - Edit'!$C$2:$AK$440,'All Girls &amp; Descendants - Edit'!O$1,FALSE)))</f>
        <v/>
      </c>
      <c r="P96" s="3" t="str">
        <f t="shared" si="14"/>
        <v/>
      </c>
      <c r="Q96" s="178" t="str">
        <f t="shared" si="15"/>
        <v>112</v>
      </c>
      <c r="R96" s="23"/>
      <c r="S96" t="str">
        <f>VLOOKUP($C96,'All Girls &amp; Descendants - Edit'!$C$2:$AK$440,'All Girls &amp; Descendants - Edit'!S$1,FALSE)</f>
        <v>Female</v>
      </c>
      <c r="T96" s="176">
        <f t="shared" si="16"/>
        <v>6</v>
      </c>
      <c r="U96" s="176">
        <f t="shared" si="11"/>
        <v>4</v>
      </c>
      <c r="V96" s="176">
        <f t="shared" si="12"/>
        <v>5</v>
      </c>
      <c r="W96" s="177">
        <f t="shared" si="13"/>
        <v>1</v>
      </c>
      <c r="X96" s="3" t="str">
        <f>IF(VLOOKUP($C96,'All Girls &amp; Descendants - Edit'!$C$2:$AK$440,'All Girls &amp; Descendants - Edit'!X$1,FALSE)=""," - ",(VLOOKUP($C96,'All Girls &amp; Descendants - Edit'!$C$2:$AK$440,'All Girls &amp; Descendants - Edit'!X$1,FALSE)))</f>
        <v xml:space="preserve"> - </v>
      </c>
      <c r="Y96" s="3" t="str">
        <f>IF(VLOOKUP($C96,'All Girls &amp; Descendants - Edit'!$C$2:$AK$440,'All Girls &amp; Descendants - Edit'!Y$1,FALSE)=""," - ",(VLOOKUP($C96,'All Girls &amp; Descendants - Edit'!$C$2:$AK$440,'All Girls &amp; Descendants - Edit'!Y$1,FALSE)))</f>
        <v xml:space="preserve"> - </v>
      </c>
      <c r="Z96" s="3" t="str">
        <f>IF(VLOOKUP($C96,'All Girls &amp; Descendants - Edit'!$C$2:$AK$440,'All Girls &amp; Descendants - Edit'!Z$1,FALSE)=""," - ",(VLOOKUP($C96,'All Girls &amp; Descendants - Edit'!$C$2:$AK$440,'All Girls &amp; Descendants - Edit'!Z$1,FALSE)))</f>
        <v>Born at Kegworth, Leicestershire.</v>
      </c>
      <c r="AA96" s="101">
        <f>IF(VLOOKUP($C96,'All Girls &amp; Descendants - Edit'!$C$2:$AK$440,'All Girls &amp; Descendants - Edit'!AA$1,FALSE)=""," - ",(VLOOKUP($C96,'All Girls &amp; Descendants - Edit'!$C$2:$AK$440,'All Girls &amp; Descendants - Edit'!AA$1,FALSE)))</f>
        <v>319</v>
      </c>
      <c r="AB96" s="101">
        <f>IF(VLOOKUP($C96,'All Girls &amp; Descendants - Edit'!$C$2:$AK$440,'All Girls &amp; Descendants - Edit'!AB$1,FALSE)=""," - ",(VLOOKUP($C96,'All Girls &amp; Descendants - Edit'!$C$2:$AK$440,'All Girls &amp; Descendants - Edit'!AB$1,FALSE)))</f>
        <v>95</v>
      </c>
      <c r="AC96" s="101">
        <f>IF(VLOOKUP($C96,'All Girls &amp; Descendants - Edit'!$C$2:$AK$440,'All Girls &amp; Descendants - Edit'!AC$1,FALSE)=""," - ",(VLOOKUP($C96,'All Girls &amp; Descendants - Edit'!$C$2:$AK$440,'All Girls &amp; Descendants - Edit'!AC$1,FALSE)))</f>
        <v>1095</v>
      </c>
      <c r="AD96" s="3" t="str">
        <f>IF(VLOOKUP($C96,'All Girls &amp; Descendants - Edit'!$C$2:$AK$440,'All Girls &amp; Descendants - Edit'!AD$1,FALSE)=""," - ",(VLOOKUP($C96,'All Girls &amp; Descendants - Edit'!$C$2:$AK$440,'All Girls &amp; Descendants - Edit'!AD$1,FALSE)))</f>
        <v>112b</v>
      </c>
      <c r="AE96" s="3" t="str">
        <f>IF(VLOOKUP($C96,'All Girls &amp; Descendants - Edit'!$C$2:$AK$440,'All Girls &amp; Descendants - Edit'!AE$1,FALSE)=""," - ",(VLOOKUP($C96,'All Girls &amp; Descendants - Edit'!$C$2:$AK$440,'All Girls &amp; Descendants - Edit'!AE$1,FALSE)))</f>
        <v>Lynda Carol  DOWNES (1960 - )</v>
      </c>
      <c r="AF96" s="3" t="str">
        <f>IF(VLOOKUP($C96,'All Girls &amp; Descendants - Edit'!$C$2:$AK$440,'All Girls &amp; Descendants - Edit'!AF$1,FALSE)=""," - ",(VLOOKUP($C96,'All Girls &amp; Descendants - Edit'!$C$2:$AK$440,'All Girls &amp; Descendants - Edit'!AF$1,FALSE)))</f>
        <v>Lynda DOWNES (6th &amp; 112)</v>
      </c>
      <c r="AG96" s="3" t="str">
        <f>IF(VLOOKUP($C96,'All Girls &amp; Descendants - Edit'!$C$2:$AK$440,'All Girls &amp; Descendants - Edit'!AG$1,FALSE)=""," - ",(VLOOKUP($C96,'All Girls &amp; Descendants - Edit'!$C$2:$AK$440,'All Girls &amp; Descendants - Edit'!AG$1,FALSE)))</f>
        <v>Female</v>
      </c>
      <c r="AH96" s="3" t="str">
        <f>IF(VLOOKUP($C96,'All Girls &amp; Descendants - Edit'!$C$2:$AK$440,'All Girls &amp; Descendants - Edit'!AH$1,FALSE)=""," - ",(VLOOKUP($C96,'All Girls &amp; Descendants - Edit'!$C$2:$AK$440,'All Girls &amp; Descendants - Edit'!AH$1,FALSE)))</f>
        <v>6th</v>
      </c>
      <c r="AI96" s="3" t="str">
        <f>IF(VLOOKUP($C96,'All Girls &amp; Descendants - Edit'!$C$2:$AK$440,'All Girls &amp; Descendants - Edit'!AI$1,FALSE)=""," - ",(VLOOKUP($C96,'All Girls &amp; Descendants - Edit'!$C$2:$AK$440,'All Girls &amp; Descendants - Edit'!AI$1,FALSE)))</f>
        <v>Unmarried</v>
      </c>
      <c r="AJ96" s="3" t="str">
        <f>IF(VLOOKUP($C96,'All Girls &amp; Descendants - Edit'!$C$2:$AK$440,'All Girls &amp; Descendants - Edit'!AJ$1,FALSE)=""," - ",(VLOOKUP($C96,'All Girls &amp; Descendants - Edit'!$C$2:$AK$440,'All Girls &amp; Descendants - Edit'!AJ$1,FALSE)))</f>
        <v>Female. b. 15/10/1960 Born at Kegworth, Leicestershire.</v>
      </c>
      <c r="AK96" s="3" t="str">
        <f>IF(VLOOKUP($C96,'All Girls &amp; Descendants - Edit'!$C$2:$AK$440,'All Girls &amp; Descendants - Edit'!AK$1,FALSE)=""," - ",(VLOOKUP($C96,'All Girls &amp; Descendants - Edit'!$C$2:$AK$440,'All Girls &amp; Descendants - Edit'!AK$1,FALSE)))</f>
        <v>b. 15/10/1960</v>
      </c>
    </row>
    <row r="97" spans="1:37" ht="19">
      <c r="A97">
        <f>VLOOKUP(B97,'Loyd List 1-190 - Edit'!$P$1:$R$219,3,FALSE)</f>
        <v>55</v>
      </c>
      <c r="B97">
        <f>'All Girls &amp; Descendants - Edit'!B98</f>
        <v>112</v>
      </c>
      <c r="C97" s="98" t="str">
        <f>'All Girls &amp; Descendants - Edit'!C98</f>
        <v>112c</v>
      </c>
      <c r="D97" s="2" t="str">
        <f>'All Girls &amp; Descendants - Edit'!D98</f>
        <v>DOWNES</v>
      </c>
      <c r="E97" t="str">
        <f>'All Girls &amp; Descendants - Edit'!E98</f>
        <v>Graeme</v>
      </c>
      <c r="F97" t="str">
        <f>IF('All Girls &amp; Descendants - Edit'!F98="","",'All Girls &amp; Descendants - Edit'!F98)</f>
        <v>Richard</v>
      </c>
      <c r="G97" t="str">
        <f>IF('All Girls &amp; Descendants - Edit'!G98="","",'All Girls &amp; Descendants - Edit'!G98)</f>
        <v/>
      </c>
      <c r="H97" t="str">
        <f>IF('All Girls &amp; Descendants - Edit'!H98="","",'All Girls &amp; Descendants - Edit'!H98)</f>
        <v/>
      </c>
      <c r="I97">
        <f>VLOOKUP($C97,'All Girls &amp; Descendants - Edit'!$C$2:$AK$440,'All Girls &amp; Descendants - Edit'!I$1,FALSE)</f>
        <v>1961</v>
      </c>
      <c r="J97" t="str">
        <f>VLOOKUP($C97,'All Girls &amp; Descendants - Edit'!$C$2:$AK$440,'All Girls &amp; Descendants - Edit'!J$1,FALSE)</f>
        <v/>
      </c>
      <c r="K97" s="9"/>
      <c r="L97" t="str">
        <f t="shared" si="10"/>
        <v>22/10/1961</v>
      </c>
      <c r="M97" s="3">
        <f>VLOOKUP($C97,'All Girls &amp; Descendants - Edit'!$C$2:$AK$440,'All Girls &amp; Descendants - Edit'!M$1,FALSE)</f>
        <v>22576</v>
      </c>
      <c r="N97" s="3" t="str">
        <f>IF(VLOOKUP($C97,'All Girls &amp; Descendants - Edit'!$C$2:$AK$440,'All Girls &amp; Descendants - Edit'!N$1,FALSE)=""," - ",(VLOOKUP($C97,'All Girls &amp; Descendants - Edit'!$C$2:$AK$440,'All Girls &amp; Descendants - Edit'!N$1,FALSE)))</f>
        <v xml:space="preserve"> - </v>
      </c>
      <c r="O97" s="3" t="str">
        <f>IF(VLOOKUP($C97,'All Girls &amp; Descendants - Edit'!$C$2:$AK$440,'All Girls &amp; Descendants - Edit'!O$1,FALSE)="","",(VLOOKUP($C97,'All Girls &amp; Descendants - Edit'!$C$2:$AK$440,'All Girls &amp; Descendants - Edit'!O$1,FALSE)))</f>
        <v/>
      </c>
      <c r="P97" s="3" t="str">
        <f t="shared" si="14"/>
        <v/>
      </c>
      <c r="Q97" s="178" t="str">
        <f t="shared" si="15"/>
        <v>112</v>
      </c>
      <c r="R97" s="23"/>
      <c r="S97" t="str">
        <f>VLOOKUP($C97,'All Girls &amp; Descendants - Edit'!$C$2:$AK$440,'All Girls &amp; Descendants - Edit'!S$1,FALSE)</f>
        <v>Male</v>
      </c>
      <c r="T97" s="176">
        <f t="shared" si="16"/>
        <v>6</v>
      </c>
      <c r="U97" s="176">
        <f t="shared" si="11"/>
        <v>4</v>
      </c>
      <c r="V97" s="176">
        <f t="shared" si="12"/>
        <v>5</v>
      </c>
      <c r="W97" s="177">
        <f t="shared" si="13"/>
        <v>1</v>
      </c>
      <c r="X97" s="3" t="str">
        <f>IF(VLOOKUP($C97,'All Girls &amp; Descendants - Edit'!$C$2:$AK$440,'All Girls &amp; Descendants - Edit'!X$1,FALSE)=""," - ",(VLOOKUP($C97,'All Girls &amp; Descendants - Edit'!$C$2:$AK$440,'All Girls &amp; Descendants - Edit'!X$1,FALSE)))</f>
        <v xml:space="preserve"> - </v>
      </c>
      <c r="Y97" s="3" t="str">
        <f>IF(VLOOKUP($C97,'All Girls &amp; Descendants - Edit'!$C$2:$AK$440,'All Girls &amp; Descendants - Edit'!Y$1,FALSE)=""," - ",(VLOOKUP($C97,'All Girls &amp; Descendants - Edit'!$C$2:$AK$440,'All Girls &amp; Descendants - Edit'!Y$1,FALSE)))</f>
        <v xml:space="preserve"> - </v>
      </c>
      <c r="Z97" s="3" t="str">
        <f>IF(VLOOKUP($C97,'All Girls &amp; Descendants - Edit'!$C$2:$AK$440,'All Girls &amp; Descendants - Edit'!Z$1,FALSE)=""," - ",(VLOOKUP($C97,'All Girls &amp; Descendants - Edit'!$C$2:$AK$440,'All Girls &amp; Descendants - Edit'!Z$1,FALSE)))</f>
        <v>Born at Kegworth, Leicestershire.</v>
      </c>
      <c r="AA97" s="101">
        <f>IF(VLOOKUP($C97,'All Girls &amp; Descendants - Edit'!$C$2:$AK$440,'All Girls &amp; Descendants - Edit'!AA$1,FALSE)=""," - ",(VLOOKUP($C97,'All Girls &amp; Descendants - Edit'!$C$2:$AK$440,'All Girls &amp; Descendants - Edit'!AA$1,FALSE)))</f>
        <v>320</v>
      </c>
      <c r="AB97" s="101">
        <f>IF(VLOOKUP($C97,'All Girls &amp; Descendants - Edit'!$C$2:$AK$440,'All Girls &amp; Descendants - Edit'!AB$1,FALSE)=""," - ",(VLOOKUP($C97,'All Girls &amp; Descendants - Edit'!$C$2:$AK$440,'All Girls &amp; Descendants - Edit'!AB$1,FALSE)))</f>
        <v>96</v>
      </c>
      <c r="AC97" s="101">
        <f>IF(VLOOKUP($C97,'All Girls &amp; Descendants - Edit'!$C$2:$AK$440,'All Girls &amp; Descendants - Edit'!AC$1,FALSE)=""," - ",(VLOOKUP($C97,'All Girls &amp; Descendants - Edit'!$C$2:$AK$440,'All Girls &amp; Descendants - Edit'!AC$1,FALSE)))</f>
        <v>1096</v>
      </c>
      <c r="AD97" s="3" t="str">
        <f>IF(VLOOKUP($C97,'All Girls &amp; Descendants - Edit'!$C$2:$AK$440,'All Girls &amp; Descendants - Edit'!AD$1,FALSE)=""," - ",(VLOOKUP($C97,'All Girls &amp; Descendants - Edit'!$C$2:$AK$440,'All Girls &amp; Descendants - Edit'!AD$1,FALSE)))</f>
        <v>112c</v>
      </c>
      <c r="AE97" s="3" t="str">
        <f>IF(VLOOKUP($C97,'All Girls &amp; Descendants - Edit'!$C$2:$AK$440,'All Girls &amp; Descendants - Edit'!AE$1,FALSE)=""," - ",(VLOOKUP($C97,'All Girls &amp; Descendants - Edit'!$C$2:$AK$440,'All Girls &amp; Descendants - Edit'!AE$1,FALSE)))</f>
        <v>Graeme Richard  DOWNES (1961 - )</v>
      </c>
      <c r="AF97" s="3" t="str">
        <f>IF(VLOOKUP($C97,'All Girls &amp; Descendants - Edit'!$C$2:$AK$440,'All Girls &amp; Descendants - Edit'!AF$1,FALSE)=""," - ",(VLOOKUP($C97,'All Girls &amp; Descendants - Edit'!$C$2:$AK$440,'All Girls &amp; Descendants - Edit'!AF$1,FALSE)))</f>
        <v>Graeme DOWNES (6th &amp; 112)</v>
      </c>
      <c r="AG97" s="3" t="str">
        <f>IF(VLOOKUP($C97,'All Girls &amp; Descendants - Edit'!$C$2:$AK$440,'All Girls &amp; Descendants - Edit'!AG$1,FALSE)=""," - ",(VLOOKUP($C97,'All Girls &amp; Descendants - Edit'!$C$2:$AK$440,'All Girls &amp; Descendants - Edit'!AG$1,FALSE)))</f>
        <v>Male</v>
      </c>
      <c r="AH97" s="3" t="str">
        <f>IF(VLOOKUP($C97,'All Girls &amp; Descendants - Edit'!$C$2:$AK$440,'All Girls &amp; Descendants - Edit'!AH$1,FALSE)=""," - ",(VLOOKUP($C97,'All Girls &amp; Descendants - Edit'!$C$2:$AK$440,'All Girls &amp; Descendants - Edit'!AH$1,FALSE)))</f>
        <v>6th</v>
      </c>
      <c r="AI97" s="3" t="str">
        <f>IF(VLOOKUP($C97,'All Girls &amp; Descendants - Edit'!$C$2:$AK$440,'All Girls &amp; Descendants - Edit'!AI$1,FALSE)=""," - ",(VLOOKUP($C97,'All Girls &amp; Descendants - Edit'!$C$2:$AK$440,'All Girls &amp; Descendants - Edit'!AI$1,FALSE)))</f>
        <v>Unmarried</v>
      </c>
      <c r="AJ97" s="3" t="str">
        <f>IF(VLOOKUP($C97,'All Girls &amp; Descendants - Edit'!$C$2:$AK$440,'All Girls &amp; Descendants - Edit'!AJ$1,FALSE)=""," - ",(VLOOKUP($C97,'All Girls &amp; Descendants - Edit'!$C$2:$AK$440,'All Girls &amp; Descendants - Edit'!AJ$1,FALSE)))</f>
        <v>Male. b. 22/10/1961 Born at Kegworth, Leicestershire.</v>
      </c>
      <c r="AK97" s="3" t="str">
        <f>IF(VLOOKUP($C97,'All Girls &amp; Descendants - Edit'!$C$2:$AK$440,'All Girls &amp; Descendants - Edit'!AK$1,FALSE)=""," - ",(VLOOKUP($C97,'All Girls &amp; Descendants - Edit'!$C$2:$AK$440,'All Girls &amp; Descendants - Edit'!AK$1,FALSE)))</f>
        <v>b. 22/10/1961</v>
      </c>
    </row>
    <row r="98" spans="1:37" ht="19">
      <c r="A98">
        <f>VLOOKUP(B98,'Loyd List 1-190 - Edit'!$P$1:$R$219,3,FALSE)</f>
        <v>55</v>
      </c>
      <c r="B98">
        <f>'All Girls &amp; Descendants - Edit'!B99</f>
        <v>112</v>
      </c>
      <c r="C98" s="98" t="str">
        <f>'All Girls &amp; Descendants - Edit'!C99</f>
        <v>112d</v>
      </c>
      <c r="D98" s="2" t="str">
        <f>'All Girls &amp; Descendants - Edit'!D99</f>
        <v>DOWNES</v>
      </c>
      <c r="E98" t="str">
        <f>'All Girls &amp; Descendants - Edit'!E99</f>
        <v>Lesley</v>
      </c>
      <c r="F98" t="str">
        <f>IF('All Girls &amp; Descendants - Edit'!F99="","",'All Girls &amp; Descendants - Edit'!F99)</f>
        <v>Karen</v>
      </c>
      <c r="G98" t="str">
        <f>IF('All Girls &amp; Descendants - Edit'!G99="","",'All Girls &amp; Descendants - Edit'!G99)</f>
        <v/>
      </c>
      <c r="H98" t="str">
        <f>IF('All Girls &amp; Descendants - Edit'!H99="","",'All Girls &amp; Descendants - Edit'!H99)</f>
        <v/>
      </c>
      <c r="I98">
        <f>VLOOKUP($C98,'All Girls &amp; Descendants - Edit'!$C$2:$AK$440,'All Girls &amp; Descendants - Edit'!I$1,FALSE)</f>
        <v>1963</v>
      </c>
      <c r="J98" t="str">
        <f>VLOOKUP($C98,'All Girls &amp; Descendants - Edit'!$C$2:$AK$440,'All Girls &amp; Descendants - Edit'!J$1,FALSE)</f>
        <v/>
      </c>
      <c r="K98" s="9"/>
      <c r="L98" t="str">
        <f t="shared" si="10"/>
        <v>21/03/1963</v>
      </c>
      <c r="M98" s="3">
        <f>VLOOKUP($C98,'All Girls &amp; Descendants - Edit'!$C$2:$AK$440,'All Girls &amp; Descendants - Edit'!M$1,FALSE)</f>
        <v>23091</v>
      </c>
      <c r="N98" s="3" t="str">
        <f>IF(VLOOKUP($C98,'All Girls &amp; Descendants - Edit'!$C$2:$AK$440,'All Girls &amp; Descendants - Edit'!N$1,FALSE)=""," - ",(VLOOKUP($C98,'All Girls &amp; Descendants - Edit'!$C$2:$AK$440,'All Girls &amp; Descendants - Edit'!N$1,FALSE)))</f>
        <v xml:space="preserve"> - </v>
      </c>
      <c r="O98" s="3" t="str">
        <f>IF(VLOOKUP($C98,'All Girls &amp; Descendants - Edit'!$C$2:$AK$440,'All Girls &amp; Descendants - Edit'!O$1,FALSE)="","",(VLOOKUP($C98,'All Girls &amp; Descendants - Edit'!$C$2:$AK$440,'All Girls &amp; Descendants - Edit'!O$1,FALSE)))</f>
        <v/>
      </c>
      <c r="P98" s="3" t="str">
        <f t="shared" si="14"/>
        <v/>
      </c>
      <c r="Q98" s="178" t="str">
        <f t="shared" si="15"/>
        <v>112</v>
      </c>
      <c r="R98" s="23"/>
      <c r="S98" t="str">
        <f>VLOOKUP($C98,'All Girls &amp; Descendants - Edit'!$C$2:$AK$440,'All Girls &amp; Descendants - Edit'!S$1,FALSE)</f>
        <v>Female</v>
      </c>
      <c r="T98" s="176">
        <f t="shared" si="16"/>
        <v>6</v>
      </c>
      <c r="U98" s="176">
        <f t="shared" si="11"/>
        <v>4</v>
      </c>
      <c r="V98" s="176">
        <f t="shared" si="12"/>
        <v>5</v>
      </c>
      <c r="W98" s="177">
        <f t="shared" si="13"/>
        <v>1</v>
      </c>
      <c r="X98" s="3" t="str">
        <f>IF(VLOOKUP($C98,'All Girls &amp; Descendants - Edit'!$C$2:$AK$440,'All Girls &amp; Descendants - Edit'!X$1,FALSE)=""," - ",(VLOOKUP($C98,'All Girls &amp; Descendants - Edit'!$C$2:$AK$440,'All Girls &amp; Descendants - Edit'!X$1,FALSE)))</f>
        <v xml:space="preserve"> - </v>
      </c>
      <c r="Y98" s="3" t="str">
        <f>IF(VLOOKUP($C98,'All Girls &amp; Descendants - Edit'!$C$2:$AK$440,'All Girls &amp; Descendants - Edit'!Y$1,FALSE)=""," - ",(VLOOKUP($C98,'All Girls &amp; Descendants - Edit'!$C$2:$AK$440,'All Girls &amp; Descendants - Edit'!Y$1,FALSE)))</f>
        <v xml:space="preserve"> - </v>
      </c>
      <c r="Z98" s="3" t="str">
        <f>IF(VLOOKUP($C98,'All Girls &amp; Descendants - Edit'!$C$2:$AK$440,'All Girls &amp; Descendants - Edit'!Z$1,FALSE)=""," - ",(VLOOKUP($C98,'All Girls &amp; Descendants - Edit'!$C$2:$AK$440,'All Girls &amp; Descendants - Edit'!Z$1,FALSE)))</f>
        <v>Born at Kegworth, Leicestershire.</v>
      </c>
      <c r="AA98" s="101">
        <f>IF(VLOOKUP($C98,'All Girls &amp; Descendants - Edit'!$C$2:$AK$440,'All Girls &amp; Descendants - Edit'!AA$1,FALSE)=""," - ",(VLOOKUP($C98,'All Girls &amp; Descendants - Edit'!$C$2:$AK$440,'All Girls &amp; Descendants - Edit'!AA$1,FALSE)))</f>
        <v>321</v>
      </c>
      <c r="AB98" s="101">
        <f>IF(VLOOKUP($C98,'All Girls &amp; Descendants - Edit'!$C$2:$AK$440,'All Girls &amp; Descendants - Edit'!AB$1,FALSE)=""," - ",(VLOOKUP($C98,'All Girls &amp; Descendants - Edit'!$C$2:$AK$440,'All Girls &amp; Descendants - Edit'!AB$1,FALSE)))</f>
        <v>97</v>
      </c>
      <c r="AC98" s="101">
        <f>IF(VLOOKUP($C98,'All Girls &amp; Descendants - Edit'!$C$2:$AK$440,'All Girls &amp; Descendants - Edit'!AC$1,FALSE)=""," - ",(VLOOKUP($C98,'All Girls &amp; Descendants - Edit'!$C$2:$AK$440,'All Girls &amp; Descendants - Edit'!AC$1,FALSE)))</f>
        <v>1097</v>
      </c>
      <c r="AD98" s="3" t="str">
        <f>IF(VLOOKUP($C98,'All Girls &amp; Descendants - Edit'!$C$2:$AK$440,'All Girls &amp; Descendants - Edit'!AD$1,FALSE)=""," - ",(VLOOKUP($C98,'All Girls &amp; Descendants - Edit'!$C$2:$AK$440,'All Girls &amp; Descendants - Edit'!AD$1,FALSE)))</f>
        <v>112d</v>
      </c>
      <c r="AE98" s="3" t="str">
        <f>IF(VLOOKUP($C98,'All Girls &amp; Descendants - Edit'!$C$2:$AK$440,'All Girls &amp; Descendants - Edit'!AE$1,FALSE)=""," - ",(VLOOKUP($C98,'All Girls &amp; Descendants - Edit'!$C$2:$AK$440,'All Girls &amp; Descendants - Edit'!AE$1,FALSE)))</f>
        <v>Lesley Karen  DOWNES (1963 - )</v>
      </c>
      <c r="AF98" s="3" t="str">
        <f>IF(VLOOKUP($C98,'All Girls &amp; Descendants - Edit'!$C$2:$AK$440,'All Girls &amp; Descendants - Edit'!AF$1,FALSE)=""," - ",(VLOOKUP($C98,'All Girls &amp; Descendants - Edit'!$C$2:$AK$440,'All Girls &amp; Descendants - Edit'!AF$1,FALSE)))</f>
        <v>Lesley DOWNES (6th &amp; 112)</v>
      </c>
      <c r="AG98" s="3" t="str">
        <f>IF(VLOOKUP($C98,'All Girls &amp; Descendants - Edit'!$C$2:$AK$440,'All Girls &amp; Descendants - Edit'!AG$1,FALSE)=""," - ",(VLOOKUP($C98,'All Girls &amp; Descendants - Edit'!$C$2:$AK$440,'All Girls &amp; Descendants - Edit'!AG$1,FALSE)))</f>
        <v>Female</v>
      </c>
      <c r="AH98" s="3" t="str">
        <f>IF(VLOOKUP($C98,'All Girls &amp; Descendants - Edit'!$C$2:$AK$440,'All Girls &amp; Descendants - Edit'!AH$1,FALSE)=""," - ",(VLOOKUP($C98,'All Girls &amp; Descendants - Edit'!$C$2:$AK$440,'All Girls &amp; Descendants - Edit'!AH$1,FALSE)))</f>
        <v>6th</v>
      </c>
      <c r="AI98" s="3" t="str">
        <f>IF(VLOOKUP($C98,'All Girls &amp; Descendants - Edit'!$C$2:$AK$440,'All Girls &amp; Descendants - Edit'!AI$1,FALSE)=""," - ",(VLOOKUP($C98,'All Girls &amp; Descendants - Edit'!$C$2:$AK$440,'All Girls &amp; Descendants - Edit'!AI$1,FALSE)))</f>
        <v>Unmarried</v>
      </c>
      <c r="AJ98" s="3" t="str">
        <f>IF(VLOOKUP($C98,'All Girls &amp; Descendants - Edit'!$C$2:$AK$440,'All Girls &amp; Descendants - Edit'!AJ$1,FALSE)=""," - ",(VLOOKUP($C98,'All Girls &amp; Descendants - Edit'!$C$2:$AK$440,'All Girls &amp; Descendants - Edit'!AJ$1,FALSE)))</f>
        <v>Female. b. 21/03/1963 Born at Kegworth, Leicestershire.</v>
      </c>
      <c r="AK98" s="3" t="str">
        <f>IF(VLOOKUP($C98,'All Girls &amp; Descendants - Edit'!$C$2:$AK$440,'All Girls &amp; Descendants - Edit'!AK$1,FALSE)=""," - ",(VLOOKUP($C98,'All Girls &amp; Descendants - Edit'!$C$2:$AK$440,'All Girls &amp; Descendants - Edit'!AK$1,FALSE)))</f>
        <v>b. 21/03/1963</v>
      </c>
    </row>
    <row r="99" spans="1:37" ht="19">
      <c r="A99">
        <f>VLOOKUP(B99,'Loyd List 1-190 - Edit'!$P$1:$R$219,3,FALSE)</f>
        <v>78</v>
      </c>
      <c r="B99">
        <f>'All Girls &amp; Descendants - Edit'!B100</f>
        <v>115</v>
      </c>
      <c r="C99" s="98" t="str">
        <f>'All Girls &amp; Descendants - Edit'!C100</f>
        <v>115a</v>
      </c>
      <c r="D99" s="2" t="str">
        <f>'All Girls &amp; Descendants - Edit'!D100</f>
        <v>CROSSLEY</v>
      </c>
      <c r="E99" t="str">
        <f>'All Girls &amp; Descendants - Edit'!E100</f>
        <v>The Hon Isabel</v>
      </c>
      <c r="F99" t="str">
        <f>IF('All Girls &amp; Descendants - Edit'!F100="","",'All Girls &amp; Descendants - Edit'!F100)</f>
        <v>Alicia</v>
      </c>
      <c r="G99" t="str">
        <f>IF('All Girls &amp; Descendants - Edit'!G100="","",'All Girls &amp; Descendants - Edit'!G100)</f>
        <v>Clare</v>
      </c>
      <c r="H99" t="str">
        <f>IF('All Girls &amp; Descendants - Edit'!H100="","",'All Girls &amp; Descendants - Edit'!H100)</f>
        <v/>
      </c>
      <c r="I99">
        <f>VLOOKUP($C99,'All Girls &amp; Descendants - Edit'!$C$2:$AK$440,'All Girls &amp; Descendants - Edit'!I$1,FALSE)</f>
        <v>1964</v>
      </c>
      <c r="J99" t="str">
        <f>VLOOKUP($C99,'All Girls &amp; Descendants - Edit'!$C$2:$AK$440,'All Girls &amp; Descendants - Edit'!J$1,FALSE)</f>
        <v/>
      </c>
      <c r="K99" s="9"/>
      <c r="L99" t="str">
        <f t="shared" si="10"/>
        <v>27/09/1964</v>
      </c>
      <c r="M99" s="3">
        <f>VLOOKUP($C99,'All Girls &amp; Descendants - Edit'!$C$2:$AK$440,'All Girls &amp; Descendants - Edit'!M$1,FALSE)</f>
        <v>23647</v>
      </c>
      <c r="N99" s="3">
        <f>IF(VLOOKUP($C99,'All Girls &amp; Descendants - Edit'!$C$2:$AK$440,'All Girls &amp; Descendants - Edit'!N$1,FALSE)=""," - ",(VLOOKUP($C99,'All Girls &amp; Descendants - Edit'!$C$2:$AK$440,'All Girls &amp; Descendants - Edit'!N$1,FALSE)))</f>
        <v>33516</v>
      </c>
      <c r="O99" s="3" t="str">
        <f>IF(VLOOKUP($C99,'All Girls &amp; Descendants - Edit'!$C$2:$AK$440,'All Girls &amp; Descendants - Edit'!O$1,FALSE)="","",(VLOOKUP($C99,'All Girls &amp; Descendants - Edit'!$C$2:$AK$440,'All Girls &amp; Descendants - Edit'!O$1,FALSE)))</f>
        <v/>
      </c>
      <c r="P99" s="3" t="str">
        <f t="shared" si="14"/>
        <v/>
      </c>
      <c r="Q99" s="178" t="str">
        <f t="shared" si="15"/>
        <v>115</v>
      </c>
      <c r="R99" s="23"/>
      <c r="S99" t="str">
        <f>VLOOKUP($C99,'All Girls &amp; Descendants - Edit'!$C$2:$AK$440,'All Girls &amp; Descendants - Edit'!S$1,FALSE)</f>
        <v>Female</v>
      </c>
      <c r="T99" s="176">
        <f t="shared" si="16"/>
        <v>6</v>
      </c>
      <c r="U99" s="176">
        <f t="shared" si="11"/>
        <v>4</v>
      </c>
      <c r="V99" s="176">
        <f t="shared" si="12"/>
        <v>5</v>
      </c>
      <c r="W99" s="177">
        <f t="shared" si="13"/>
        <v>1</v>
      </c>
      <c r="X99" s="3" t="str">
        <f>IF(VLOOKUP($C99,'All Girls &amp; Descendants - Edit'!$C$2:$AK$440,'All Girls &amp; Descendants - Edit'!X$1,FALSE)=""," - ",(VLOOKUP($C99,'All Girls &amp; Descendants - Edit'!$C$2:$AK$440,'All Girls &amp; Descendants - Edit'!X$1,FALSE)))</f>
        <v>Mark CATOR (b. 30/10/1960, d. )</v>
      </c>
      <c r="Y99" s="3" t="str">
        <f>IF(VLOOKUP($C99,'All Girls &amp; Descendants - Edit'!$C$2:$AK$440,'All Girls &amp; Descendants - Edit'!Y$1,FALSE)=""," - ",(VLOOKUP($C99,'All Girls &amp; Descendants - Edit'!$C$2:$AK$440,'All Girls &amp; Descendants - Edit'!Y$1,FALSE)))</f>
        <v>Mark 2nd son of Francis CATOR of Ranworth, Norfolk.</v>
      </c>
      <c r="Z99" s="3" t="str">
        <f>IF(VLOOKUP($C99,'All Girls &amp; Descendants - Edit'!$C$2:$AK$440,'All Girls &amp; Descendants - Edit'!Z$1,FALSE)=""," - ",(VLOOKUP($C99,'All Girls &amp; Descendants - Edit'!$C$2:$AK$440,'All Girls &amp; Descendants - Edit'!Z$1,FALSE)))</f>
        <v>Baptised at St Mary’s, Somerleyton. Educated Felixtowe College, and Cambridge Polytechnic/Anglia University (BA European Philosophy and Spanish).</v>
      </c>
      <c r="AA99" s="101">
        <f>IF(VLOOKUP($C99,'All Girls &amp; Descendants - Edit'!$C$2:$AK$440,'All Girls &amp; Descendants - Edit'!AA$1,FALSE)=""," - ",(VLOOKUP($C99,'All Girls &amp; Descendants - Edit'!$C$2:$AK$440,'All Girls &amp; Descendants - Edit'!AA$1,FALSE)))</f>
        <v>322</v>
      </c>
      <c r="AB99" s="101">
        <f>IF(VLOOKUP($C99,'All Girls &amp; Descendants - Edit'!$C$2:$AK$440,'All Girls &amp; Descendants - Edit'!AB$1,FALSE)=""," - ",(VLOOKUP($C99,'All Girls &amp; Descendants - Edit'!$C$2:$AK$440,'All Girls &amp; Descendants - Edit'!AB$1,FALSE)))</f>
        <v>98</v>
      </c>
      <c r="AC99" s="101">
        <f>IF(VLOOKUP($C99,'All Girls &amp; Descendants - Edit'!$C$2:$AK$440,'All Girls &amp; Descendants - Edit'!AC$1,FALSE)=""," - ",(VLOOKUP($C99,'All Girls &amp; Descendants - Edit'!$C$2:$AK$440,'All Girls &amp; Descendants - Edit'!AC$1,FALSE)))</f>
        <v>1098</v>
      </c>
      <c r="AD99" s="3" t="str">
        <f>IF(VLOOKUP($C99,'All Girls &amp; Descendants - Edit'!$C$2:$AK$440,'All Girls &amp; Descendants - Edit'!AD$1,FALSE)=""," - ",(VLOOKUP($C99,'All Girls &amp; Descendants - Edit'!$C$2:$AK$440,'All Girls &amp; Descendants - Edit'!AD$1,FALSE)))</f>
        <v>115a</v>
      </c>
      <c r="AE99" s="3" t="str">
        <f>IF(VLOOKUP($C99,'All Girls &amp; Descendants - Edit'!$C$2:$AK$440,'All Girls &amp; Descendants - Edit'!AE$1,FALSE)=""," - ",(VLOOKUP($C99,'All Girls &amp; Descendants - Edit'!$C$2:$AK$440,'All Girls &amp; Descendants - Edit'!AE$1,FALSE)))</f>
        <v>The Hon Isabel Alicia Clare CROSSLEY (1964 - )</v>
      </c>
      <c r="AF99" s="3" t="str">
        <f>IF(VLOOKUP($C99,'All Girls &amp; Descendants - Edit'!$C$2:$AK$440,'All Girls &amp; Descendants - Edit'!AF$1,FALSE)=""," - ",(VLOOKUP($C99,'All Girls &amp; Descendants - Edit'!$C$2:$AK$440,'All Girls &amp; Descendants - Edit'!AF$1,FALSE)))</f>
        <v>The Hon Isabel CROSSLEY (6th &amp; 115)</v>
      </c>
      <c r="AG99" s="3" t="str">
        <f>IF(VLOOKUP($C99,'All Girls &amp; Descendants - Edit'!$C$2:$AK$440,'All Girls &amp; Descendants - Edit'!AG$1,FALSE)=""," - ",(VLOOKUP($C99,'All Girls &amp; Descendants - Edit'!$C$2:$AK$440,'All Girls &amp; Descendants - Edit'!AG$1,FALSE)))</f>
        <v>Female</v>
      </c>
      <c r="AH99" s="3" t="str">
        <f>IF(VLOOKUP($C99,'All Girls &amp; Descendants - Edit'!$C$2:$AK$440,'All Girls &amp; Descendants - Edit'!AH$1,FALSE)=""," - ",(VLOOKUP($C99,'All Girls &amp; Descendants - Edit'!$C$2:$AK$440,'All Girls &amp; Descendants - Edit'!AH$1,FALSE)))</f>
        <v>6th</v>
      </c>
      <c r="AI99" s="3" t="str">
        <f>IF(VLOOKUP($C99,'All Girls &amp; Descendants - Edit'!$C$2:$AK$440,'All Girls &amp; Descendants - Edit'!AI$1,FALSE)=""," - ",(VLOOKUP($C99,'All Girls &amp; Descendants - Edit'!$C$2:$AK$440,'All Girls &amp; Descendants - Edit'!AI$1,FALSE)))</f>
        <v>Husband: Mark CATOR (b. 30/10/1960, d. ). Mark 2nd son of Francis CATOR of Ranworth, Norfolk.</v>
      </c>
      <c r="AJ99" s="3" t="str">
        <f>IF(VLOOKUP($C99,'All Girls &amp; Descendants - Edit'!$C$2:$AK$440,'All Girls &amp; Descendants - Edit'!AJ$1,FALSE)=""," - ",(VLOOKUP($C99,'All Girls &amp; Descendants - Edit'!$C$2:$AK$440,'All Girls &amp; Descendants - Edit'!AJ$1,FALSE)))</f>
        <v>Female. b. 27/09/1964 Baptised at St Mary’s, Somerleyton. Educated Felixtowe College, and Cambridge Polytechnic/Anglia University (BA European Philosophy and Spanish).</v>
      </c>
      <c r="AK99" s="3" t="str">
        <f>IF(VLOOKUP($C99,'All Girls &amp; Descendants - Edit'!$C$2:$AK$440,'All Girls &amp; Descendants - Edit'!AK$1,FALSE)=""," - ",(VLOOKUP($C99,'All Girls &amp; Descendants - Edit'!$C$2:$AK$440,'All Girls &amp; Descendants - Edit'!AK$1,FALSE)))</f>
        <v>b. 27/09/1964</v>
      </c>
    </row>
    <row r="100" spans="1:37" ht="19">
      <c r="A100">
        <f>VLOOKUP(B100,'Loyd List 1-190 - Edit'!$P$1:$R$219,3,FALSE)</f>
        <v>78</v>
      </c>
      <c r="B100">
        <f>'All Girls &amp; Descendants - Edit'!B101</f>
        <v>115</v>
      </c>
      <c r="C100" s="98" t="str">
        <f>'All Girls &amp; Descendants - Edit'!C101</f>
        <v>115b</v>
      </c>
      <c r="D100" s="2" t="str">
        <f>'All Girls &amp; Descendants - Edit'!D101</f>
        <v>CROSSLEY</v>
      </c>
      <c r="E100" t="str">
        <f>'All Girls &amp; Descendants - Edit'!E101</f>
        <v>The Hon Camilla</v>
      </c>
      <c r="F100" t="str">
        <f>IF('All Girls &amp; Descendants - Edit'!F101="","",'All Girls &amp; Descendants - Edit'!F101)</f>
        <v>Mary</v>
      </c>
      <c r="G100" t="str">
        <f>IF('All Girls &amp; Descendants - Edit'!G101="","",'All Girls &amp; Descendants - Edit'!G101)</f>
        <v>Lara</v>
      </c>
      <c r="H100" t="str">
        <f>IF('All Girls &amp; Descendants - Edit'!H101="","",'All Girls &amp; Descendants - Edit'!H101)</f>
        <v/>
      </c>
      <c r="I100">
        <f>VLOOKUP($C100,'All Girls &amp; Descendants - Edit'!$C$2:$AK$440,'All Girls &amp; Descendants - Edit'!I$1,FALSE)</f>
        <v>1967</v>
      </c>
      <c r="J100" t="str">
        <f>VLOOKUP($C100,'All Girls &amp; Descendants - Edit'!$C$2:$AK$440,'All Girls &amp; Descendants - Edit'!J$1,FALSE)</f>
        <v/>
      </c>
      <c r="K100" s="9"/>
      <c r="L100" t="str">
        <f t="shared" si="10"/>
        <v>27/06/1967</v>
      </c>
      <c r="M100" s="3">
        <f>VLOOKUP($C100,'All Girls &amp; Descendants - Edit'!$C$2:$AK$440,'All Girls &amp; Descendants - Edit'!M$1,FALSE)</f>
        <v>24650</v>
      </c>
      <c r="N100" s="3">
        <f>IF(VLOOKUP($C100,'All Girls &amp; Descendants - Edit'!$C$2:$AK$440,'All Girls &amp; Descendants - Edit'!N$1,FALSE)=""," - ",(VLOOKUP($C100,'All Girls &amp; Descendants - Edit'!$C$2:$AK$440,'All Girls &amp; Descendants - Edit'!N$1,FALSE)))</f>
        <v>34125</v>
      </c>
      <c r="O100" s="3" t="str">
        <f>IF(VLOOKUP($C100,'All Girls &amp; Descendants - Edit'!$C$2:$AK$440,'All Girls &amp; Descendants - Edit'!O$1,FALSE)="","",(VLOOKUP($C100,'All Girls &amp; Descendants - Edit'!$C$2:$AK$440,'All Girls &amp; Descendants - Edit'!O$1,FALSE)))</f>
        <v/>
      </c>
      <c r="P100" s="3" t="str">
        <f t="shared" si="14"/>
        <v/>
      </c>
      <c r="Q100" s="178" t="str">
        <f t="shared" si="15"/>
        <v>115</v>
      </c>
      <c r="R100" s="23"/>
      <c r="S100" t="str">
        <f>VLOOKUP($C100,'All Girls &amp; Descendants - Edit'!$C$2:$AK$440,'All Girls &amp; Descendants - Edit'!S$1,FALSE)</f>
        <v>Female</v>
      </c>
      <c r="T100" s="176">
        <f t="shared" si="16"/>
        <v>6</v>
      </c>
      <c r="U100" s="176">
        <f t="shared" si="11"/>
        <v>4</v>
      </c>
      <c r="V100" s="176">
        <f t="shared" si="12"/>
        <v>5</v>
      </c>
      <c r="W100" s="177">
        <f t="shared" si="13"/>
        <v>1</v>
      </c>
      <c r="X100" s="3" t="str">
        <f>IF(VLOOKUP($C100,'All Girls &amp; Descendants - Edit'!$C$2:$AK$440,'All Girls &amp; Descendants - Edit'!X$1,FALSE)=""," - ",(VLOOKUP($C100,'All Girls &amp; Descendants - Edit'!$C$2:$AK$440,'All Girls &amp; Descendants - Edit'!X$1,FALSE)))</f>
        <v>William (Sandy) SOAMES (b. 30/01/1960, )</v>
      </c>
      <c r="Y100" s="3" t="str">
        <f>IF(VLOOKUP($C100,'All Girls &amp; Descendants - Edit'!$C$2:$AK$440,'All Girls &amp; Descendants - Edit'!Y$1,FALSE)=""," - ",(VLOOKUP($C100,'All Girls &amp; Descendants - Edit'!$C$2:$AK$440,'All Girls &amp; Descendants - Edit'!Y$1,FALSE)))</f>
        <v>Sandy eldest son of Robin SOAMES of Toppesfield, Essex.</v>
      </c>
      <c r="Z100" s="3" t="str">
        <f>IF(VLOOKUP($C100,'All Girls &amp; Descendants - Edit'!$C$2:$AK$440,'All Girls &amp; Descendants - Edit'!Z$1,FALSE)=""," - ",(VLOOKUP($C100,'All Girls &amp; Descendants - Edit'!$C$2:$AK$440,'All Girls &amp; Descendants - Edit'!Z$1,FALSE)))</f>
        <v>Baptised at St Mary’s, Somerleyton. Educated Runton Hill, and abroad.</v>
      </c>
      <c r="AA100" s="101">
        <f>IF(VLOOKUP($C100,'All Girls &amp; Descendants - Edit'!$C$2:$AK$440,'All Girls &amp; Descendants - Edit'!AA$1,FALSE)=""," - ",(VLOOKUP($C100,'All Girls &amp; Descendants - Edit'!$C$2:$AK$440,'All Girls &amp; Descendants - Edit'!AA$1,FALSE)))</f>
        <v>326</v>
      </c>
      <c r="AB100" s="101">
        <f>IF(VLOOKUP($C100,'All Girls &amp; Descendants - Edit'!$C$2:$AK$440,'All Girls &amp; Descendants - Edit'!AB$1,FALSE)=""," - ",(VLOOKUP($C100,'All Girls &amp; Descendants - Edit'!$C$2:$AK$440,'All Girls &amp; Descendants - Edit'!AB$1,FALSE)))</f>
        <v>99</v>
      </c>
      <c r="AC100" s="101">
        <f>IF(VLOOKUP($C100,'All Girls &amp; Descendants - Edit'!$C$2:$AK$440,'All Girls &amp; Descendants - Edit'!AC$1,FALSE)=""," - ",(VLOOKUP($C100,'All Girls &amp; Descendants - Edit'!$C$2:$AK$440,'All Girls &amp; Descendants - Edit'!AC$1,FALSE)))</f>
        <v>1099</v>
      </c>
      <c r="AD100" s="3" t="str">
        <f>IF(VLOOKUP($C100,'All Girls &amp; Descendants - Edit'!$C$2:$AK$440,'All Girls &amp; Descendants - Edit'!AD$1,FALSE)=""," - ",(VLOOKUP($C100,'All Girls &amp; Descendants - Edit'!$C$2:$AK$440,'All Girls &amp; Descendants - Edit'!AD$1,FALSE)))</f>
        <v>115b</v>
      </c>
      <c r="AE100" s="3" t="str">
        <f>IF(VLOOKUP($C100,'All Girls &amp; Descendants - Edit'!$C$2:$AK$440,'All Girls &amp; Descendants - Edit'!AE$1,FALSE)=""," - ",(VLOOKUP($C100,'All Girls &amp; Descendants - Edit'!$C$2:$AK$440,'All Girls &amp; Descendants - Edit'!AE$1,FALSE)))</f>
        <v>The Hon Camilla Mary Lara CROSSLEY (1967 - )</v>
      </c>
      <c r="AF100" s="3" t="str">
        <f>IF(VLOOKUP($C100,'All Girls &amp; Descendants - Edit'!$C$2:$AK$440,'All Girls &amp; Descendants - Edit'!AF$1,FALSE)=""," - ",(VLOOKUP($C100,'All Girls &amp; Descendants - Edit'!$C$2:$AK$440,'All Girls &amp; Descendants - Edit'!AF$1,FALSE)))</f>
        <v>The Hon Camilla CROSSLEY (6th &amp; 115)</v>
      </c>
      <c r="AG100" s="3" t="str">
        <f>IF(VLOOKUP($C100,'All Girls &amp; Descendants - Edit'!$C$2:$AK$440,'All Girls &amp; Descendants - Edit'!AG$1,FALSE)=""," - ",(VLOOKUP($C100,'All Girls &amp; Descendants - Edit'!$C$2:$AK$440,'All Girls &amp; Descendants - Edit'!AG$1,FALSE)))</f>
        <v>Female</v>
      </c>
      <c r="AH100" s="3" t="str">
        <f>IF(VLOOKUP($C100,'All Girls &amp; Descendants - Edit'!$C$2:$AK$440,'All Girls &amp; Descendants - Edit'!AH$1,FALSE)=""," - ",(VLOOKUP($C100,'All Girls &amp; Descendants - Edit'!$C$2:$AK$440,'All Girls &amp; Descendants - Edit'!AH$1,FALSE)))</f>
        <v>6th</v>
      </c>
      <c r="AI100" s="3" t="str">
        <f>IF(VLOOKUP($C100,'All Girls &amp; Descendants - Edit'!$C$2:$AK$440,'All Girls &amp; Descendants - Edit'!AI$1,FALSE)=""," - ",(VLOOKUP($C100,'All Girls &amp; Descendants - Edit'!$C$2:$AK$440,'All Girls &amp; Descendants - Edit'!AI$1,FALSE)))</f>
        <v>Husband: William (Sandy) SOAMES (b. 30/01/1960, ). Sandy eldest son of Robin SOAMES of Toppesfield, Essex.</v>
      </c>
      <c r="AJ100" s="3" t="str">
        <f>IF(VLOOKUP($C100,'All Girls &amp; Descendants - Edit'!$C$2:$AK$440,'All Girls &amp; Descendants - Edit'!AJ$1,FALSE)=""," - ",(VLOOKUP($C100,'All Girls &amp; Descendants - Edit'!$C$2:$AK$440,'All Girls &amp; Descendants - Edit'!AJ$1,FALSE)))</f>
        <v>Female. b. 27/06/1967 Baptised at St Mary’s, Somerleyton. Educated Runton Hill, and abroad.</v>
      </c>
      <c r="AK100" s="3" t="str">
        <f>IF(VLOOKUP($C100,'All Girls &amp; Descendants - Edit'!$C$2:$AK$440,'All Girls &amp; Descendants - Edit'!AK$1,FALSE)=""," - ",(VLOOKUP($C100,'All Girls &amp; Descendants - Edit'!$C$2:$AK$440,'All Girls &amp; Descendants - Edit'!AK$1,FALSE)))</f>
        <v>b. 27/06/1967</v>
      </c>
    </row>
    <row r="101" spans="1:37" ht="19">
      <c r="A101">
        <f>VLOOKUP(B101,'Loyd List 1-190 - Edit'!$P$1:$R$219,3,FALSE)</f>
        <v>78</v>
      </c>
      <c r="B101">
        <f>'All Girls &amp; Descendants - Edit'!B102</f>
        <v>115</v>
      </c>
      <c r="C101" s="98" t="str">
        <f>'All Girls &amp; Descendants - Edit'!C102</f>
        <v>115c</v>
      </c>
      <c r="D101" s="2" t="str">
        <f>'All Girls &amp; Descendants - Edit'!D102</f>
        <v>CROSSLEY</v>
      </c>
      <c r="E101" t="str">
        <f>'All Girls &amp; Descendants - Edit'!E102</f>
        <v>The Hon Alicia</v>
      </c>
      <c r="F101" t="str">
        <f>IF('All Girls &amp; Descendants - Edit'!F102="","",'All Girls &amp; Descendants - Edit'!F102)</f>
        <v>Phyllis</v>
      </c>
      <c r="G101" t="str">
        <f>IF('All Girls &amp; Descendants - Edit'!G102="","",'All Girls &amp; Descendants - Edit'!G102)</f>
        <v>Belinda</v>
      </c>
      <c r="H101" t="str">
        <f>IF('All Girls &amp; Descendants - Edit'!H102="","",'All Girls &amp; Descendants - Edit'!H102)</f>
        <v/>
      </c>
      <c r="I101">
        <f>VLOOKUP($C101,'All Girls &amp; Descendants - Edit'!$C$2:$AK$440,'All Girls &amp; Descendants - Edit'!I$1,FALSE)</f>
        <v>1969</v>
      </c>
      <c r="J101" t="str">
        <f>VLOOKUP($C101,'All Girls &amp; Descendants - Edit'!$C$2:$AK$440,'All Girls &amp; Descendants - Edit'!J$1,FALSE)</f>
        <v/>
      </c>
      <c r="K101" s="9"/>
      <c r="L101" t="str">
        <f t="shared" si="10"/>
        <v>09/04/1969</v>
      </c>
      <c r="M101" s="3">
        <f>VLOOKUP($C101,'All Girls &amp; Descendants - Edit'!$C$2:$AK$440,'All Girls &amp; Descendants - Edit'!M$1,FALSE)</f>
        <v>25302</v>
      </c>
      <c r="N101" s="3">
        <f>IF(VLOOKUP($C101,'All Girls &amp; Descendants - Edit'!$C$2:$AK$440,'All Girls &amp; Descendants - Edit'!N$1,FALSE)=""," - ",(VLOOKUP($C101,'All Girls &amp; Descendants - Edit'!$C$2:$AK$440,'All Girls &amp; Descendants - Edit'!N$1,FALSE)))</f>
        <v>36127</v>
      </c>
      <c r="O101" s="3" t="str">
        <f>IF(VLOOKUP($C101,'All Girls &amp; Descendants - Edit'!$C$2:$AK$440,'All Girls &amp; Descendants - Edit'!O$1,FALSE)="","",(VLOOKUP($C101,'All Girls &amp; Descendants - Edit'!$C$2:$AK$440,'All Girls &amp; Descendants - Edit'!O$1,FALSE)))</f>
        <v/>
      </c>
      <c r="P101" s="3" t="str">
        <f t="shared" si="14"/>
        <v/>
      </c>
      <c r="Q101" s="178" t="str">
        <f t="shared" si="15"/>
        <v>115</v>
      </c>
      <c r="R101" s="23"/>
      <c r="S101" t="str">
        <f>VLOOKUP($C101,'All Girls &amp; Descendants - Edit'!$C$2:$AK$440,'All Girls &amp; Descendants - Edit'!S$1,FALSE)</f>
        <v>Female</v>
      </c>
      <c r="T101" s="176">
        <f t="shared" si="16"/>
        <v>6</v>
      </c>
      <c r="U101" s="176">
        <f t="shared" si="11"/>
        <v>4</v>
      </c>
      <c r="V101" s="176">
        <f t="shared" si="12"/>
        <v>5</v>
      </c>
      <c r="W101" s="177">
        <f t="shared" si="13"/>
        <v>1</v>
      </c>
      <c r="X101" s="3" t="str">
        <f>IF(VLOOKUP($C101,'All Girls &amp; Descendants - Edit'!$C$2:$AK$440,'All Girls &amp; Descendants - Edit'!X$1,FALSE)=""," - ",(VLOOKUP($C101,'All Girls &amp; Descendants - Edit'!$C$2:$AK$440,'All Girls &amp; Descendants - Edit'!X$1,FALSE)))</f>
        <v>Robert (Bobby) PAWSON</v>
      </c>
      <c r="Y101" s="3" t="str">
        <f>IF(VLOOKUP($C101,'All Girls &amp; Descendants - Edit'!$C$2:$AK$440,'All Girls &amp; Descendants - Edit'!Y$1,FALSE)=""," - ",(VLOOKUP($C101,'All Girls &amp; Descendants - Edit'!$C$2:$AK$440,'All Girls &amp; Descendants - Edit'!Y$1,FALSE)))</f>
        <v>Bobby only son of Michael PAWSON</v>
      </c>
      <c r="Z101" s="3" t="str">
        <f>IF(VLOOKUP($C101,'All Girls &amp; Descendants - Edit'!$C$2:$AK$440,'All Girls &amp; Descendants - Edit'!Z$1,FALSE)=""," - ",(VLOOKUP($C101,'All Girls &amp; Descendants - Edit'!$C$2:$AK$440,'All Girls &amp; Descendants - Edit'!Z$1,FALSE)))</f>
        <v>Baptised at St Mary’s, Somerleyton. Educated St George’s, Ascot and Newcastle University (BA Geography).</v>
      </c>
      <c r="AA101" s="101">
        <f>IF(VLOOKUP($C101,'All Girls &amp; Descendants - Edit'!$C$2:$AK$440,'All Girls &amp; Descendants - Edit'!AA$1,FALSE)=""," - ",(VLOOKUP($C101,'All Girls &amp; Descendants - Edit'!$C$2:$AK$440,'All Girls &amp; Descendants - Edit'!AA$1,FALSE)))</f>
        <v>330</v>
      </c>
      <c r="AB101" s="101">
        <f>IF(VLOOKUP($C101,'All Girls &amp; Descendants - Edit'!$C$2:$AK$440,'All Girls &amp; Descendants - Edit'!AB$1,FALSE)=""," - ",(VLOOKUP($C101,'All Girls &amp; Descendants - Edit'!$C$2:$AK$440,'All Girls &amp; Descendants - Edit'!AB$1,FALSE)))</f>
        <v>100</v>
      </c>
      <c r="AC101" s="101">
        <f>IF(VLOOKUP($C101,'All Girls &amp; Descendants - Edit'!$C$2:$AK$440,'All Girls &amp; Descendants - Edit'!AC$1,FALSE)=""," - ",(VLOOKUP($C101,'All Girls &amp; Descendants - Edit'!$C$2:$AK$440,'All Girls &amp; Descendants - Edit'!AC$1,FALSE)))</f>
        <v>1100</v>
      </c>
      <c r="AD101" s="3" t="str">
        <f>IF(VLOOKUP($C101,'All Girls &amp; Descendants - Edit'!$C$2:$AK$440,'All Girls &amp; Descendants - Edit'!AD$1,FALSE)=""," - ",(VLOOKUP($C101,'All Girls &amp; Descendants - Edit'!$C$2:$AK$440,'All Girls &amp; Descendants - Edit'!AD$1,FALSE)))</f>
        <v>115c</v>
      </c>
      <c r="AE101" s="3" t="str">
        <f>IF(VLOOKUP($C101,'All Girls &amp; Descendants - Edit'!$C$2:$AK$440,'All Girls &amp; Descendants - Edit'!AE$1,FALSE)=""," - ",(VLOOKUP($C101,'All Girls &amp; Descendants - Edit'!$C$2:$AK$440,'All Girls &amp; Descendants - Edit'!AE$1,FALSE)))</f>
        <v>The Hon Alicia Phyllis Belinda CROSSLEY (1969 - )</v>
      </c>
      <c r="AF101" s="3" t="str">
        <f>IF(VLOOKUP($C101,'All Girls &amp; Descendants - Edit'!$C$2:$AK$440,'All Girls &amp; Descendants - Edit'!AF$1,FALSE)=""," - ",(VLOOKUP($C101,'All Girls &amp; Descendants - Edit'!$C$2:$AK$440,'All Girls &amp; Descendants - Edit'!AF$1,FALSE)))</f>
        <v>The Hon Alicia CROSSLEY (6th &amp; 115)</v>
      </c>
      <c r="AG101" s="3" t="str">
        <f>IF(VLOOKUP($C101,'All Girls &amp; Descendants - Edit'!$C$2:$AK$440,'All Girls &amp; Descendants - Edit'!AG$1,FALSE)=""," - ",(VLOOKUP($C101,'All Girls &amp; Descendants - Edit'!$C$2:$AK$440,'All Girls &amp; Descendants - Edit'!AG$1,FALSE)))</f>
        <v>Female</v>
      </c>
      <c r="AH101" s="3" t="str">
        <f>IF(VLOOKUP($C101,'All Girls &amp; Descendants - Edit'!$C$2:$AK$440,'All Girls &amp; Descendants - Edit'!AH$1,FALSE)=""," - ",(VLOOKUP($C101,'All Girls &amp; Descendants - Edit'!$C$2:$AK$440,'All Girls &amp; Descendants - Edit'!AH$1,FALSE)))</f>
        <v>6th</v>
      </c>
      <c r="AI101" s="3" t="str">
        <f>IF(VLOOKUP($C101,'All Girls &amp; Descendants - Edit'!$C$2:$AK$440,'All Girls &amp; Descendants - Edit'!AI$1,FALSE)=""," - ",(VLOOKUP($C101,'All Girls &amp; Descendants - Edit'!$C$2:$AK$440,'All Girls &amp; Descendants - Edit'!AI$1,FALSE)))</f>
        <v>Husband: Robert (Bobby) PAWSON. Bobby only son of Michael PAWSON</v>
      </c>
      <c r="AJ101" s="3" t="str">
        <f>IF(VLOOKUP($C101,'All Girls &amp; Descendants - Edit'!$C$2:$AK$440,'All Girls &amp; Descendants - Edit'!AJ$1,FALSE)=""," - ",(VLOOKUP($C101,'All Girls &amp; Descendants - Edit'!$C$2:$AK$440,'All Girls &amp; Descendants - Edit'!AJ$1,FALSE)))</f>
        <v>Female. b. 09/04/1969 Baptised at St Mary’s, Somerleyton. Educated St George’s, Ascot and Newcastle University (BA Geography).</v>
      </c>
      <c r="AK101" s="3" t="str">
        <f>IF(VLOOKUP($C101,'All Girls &amp; Descendants - Edit'!$C$2:$AK$440,'All Girls &amp; Descendants - Edit'!AK$1,FALSE)=""," - ",(VLOOKUP($C101,'All Girls &amp; Descendants - Edit'!$C$2:$AK$440,'All Girls &amp; Descendants - Edit'!AK$1,FALSE)))</f>
        <v>b. 09/04/1969</v>
      </c>
    </row>
    <row r="102" spans="1:37" ht="19">
      <c r="A102">
        <f>VLOOKUP(B102,'Loyd List 1-190 - Edit'!$P$1:$R$219,3,FALSE)</f>
        <v>78</v>
      </c>
      <c r="B102">
        <f>'All Girls &amp; Descendants - Edit'!B103</f>
        <v>115</v>
      </c>
      <c r="C102" s="98" t="str">
        <f>'All Girls &amp; Descendants - Edit'!C103</f>
        <v>115d</v>
      </c>
      <c r="D102" s="2" t="str">
        <f>'All Girls &amp; Descendants - Edit'!D103</f>
        <v>CROSSLEY</v>
      </c>
      <c r="E102" t="str">
        <f>'All Girls &amp; Descendants - Edit'!E103</f>
        <v>The Hon Hugh</v>
      </c>
      <c r="F102" t="str">
        <f>IF('All Girls &amp; Descendants - Edit'!F103="","",'All Girls &amp; Descendants - Edit'!F103)</f>
        <v>Francis</v>
      </c>
      <c r="G102" t="str">
        <f>IF('All Girls &amp; Descendants - Edit'!G103="","",'All Girls &amp; Descendants - Edit'!G103)</f>
        <v>Savile</v>
      </c>
      <c r="H102" t="str">
        <f>IF('All Girls &amp; Descendants - Edit'!H103="","",'All Girls &amp; Descendants - Edit'!H103)</f>
        <v/>
      </c>
      <c r="I102">
        <f>VLOOKUP($C102,'All Girls &amp; Descendants - Edit'!$C$2:$AK$440,'All Girls &amp; Descendants - Edit'!I$1,FALSE)</f>
        <v>1971</v>
      </c>
      <c r="J102" t="str">
        <f>VLOOKUP($C102,'All Girls &amp; Descendants - Edit'!$C$2:$AK$440,'All Girls &amp; Descendants - Edit'!J$1,FALSE)</f>
        <v/>
      </c>
      <c r="K102" s="9"/>
      <c r="L102" t="str">
        <f t="shared" si="10"/>
        <v>27/09/1971</v>
      </c>
      <c r="M102" s="3">
        <f>VLOOKUP($C102,'All Girls &amp; Descendants - Edit'!$C$2:$AK$440,'All Girls &amp; Descendants - Edit'!M$1,FALSE)</f>
        <v>26203</v>
      </c>
      <c r="N102" s="3" t="str">
        <f>IF(VLOOKUP($C102,'All Girls &amp; Descendants - Edit'!$C$2:$AK$440,'All Girls &amp; Descendants - Edit'!N$1,FALSE)=""," - ",(VLOOKUP($C102,'All Girls &amp; Descendants - Edit'!$C$2:$AK$440,'All Girls &amp; Descendants - Edit'!N$1,FALSE)))</f>
        <v xml:space="preserve"> - </v>
      </c>
      <c r="O102" s="3" t="str">
        <f>IF(VLOOKUP($C102,'All Girls &amp; Descendants - Edit'!$C$2:$AK$440,'All Girls &amp; Descendants - Edit'!O$1,FALSE)="","",(VLOOKUP($C102,'All Girls &amp; Descendants - Edit'!$C$2:$AK$440,'All Girls &amp; Descendants - Edit'!O$1,FALSE)))</f>
        <v/>
      </c>
      <c r="P102" s="3" t="str">
        <f t="shared" si="14"/>
        <v/>
      </c>
      <c r="Q102" s="178" t="str">
        <f t="shared" si="15"/>
        <v>115</v>
      </c>
      <c r="R102" s="23"/>
      <c r="S102" t="str">
        <f>VLOOKUP($C102,'All Girls &amp; Descendants - Edit'!$C$2:$AK$440,'All Girls &amp; Descendants - Edit'!S$1,FALSE)</f>
        <v>Male</v>
      </c>
      <c r="T102" s="176">
        <f t="shared" si="16"/>
        <v>6</v>
      </c>
      <c r="U102" s="176">
        <f t="shared" si="11"/>
        <v>4</v>
      </c>
      <c r="V102" s="176">
        <f t="shared" si="12"/>
        <v>5</v>
      </c>
      <c r="W102" s="177">
        <f t="shared" si="13"/>
        <v>1</v>
      </c>
      <c r="X102" s="3" t="str">
        <f>IF(VLOOKUP($C102,'All Girls &amp; Descendants - Edit'!$C$2:$AK$440,'All Girls &amp; Descendants - Edit'!X$1,FALSE)=""," - ",(VLOOKUP($C102,'All Girls &amp; Descendants - Edit'!$C$2:$AK$440,'All Girls &amp; Descendants - Edit'!X$1,FALSE)))</f>
        <v>Lara BAILEY</v>
      </c>
      <c r="Y102" s="3" t="str">
        <f>IF(VLOOKUP($C102,'All Girls &amp; Descendants - Edit'!$C$2:$AK$440,'All Girls &amp; Descendants - Edit'!Y$1,FALSE)=""," - ",(VLOOKUP($C102,'All Girls &amp; Descendants - Edit'!$C$2:$AK$440,'All Girls &amp; Descendants - Edit'!Y$1,FALSE)))</f>
        <v xml:space="preserve"> - </v>
      </c>
      <c r="Z102" s="3" t="str">
        <f>IF(VLOOKUP($C102,'All Girls &amp; Descendants - Edit'!$C$2:$AK$440,'All Girls &amp; Descendants - Edit'!Z$1,FALSE)=""," - ",(VLOOKUP($C102,'All Girls &amp; Descendants - Edit'!$C$2:$AK$440,'All Girls &amp; Descendants - Edit'!Z$1,FALSE)))</f>
        <v>Baptised at St Mary’s, Somerleyton. Educated Eton 1985-89 and Anglia University (BA History).</v>
      </c>
      <c r="AA102" s="101">
        <f>IF(VLOOKUP($C102,'All Girls &amp; Descendants - Edit'!$C$2:$AK$440,'All Girls &amp; Descendants - Edit'!AA$1,FALSE)=""," - ",(VLOOKUP($C102,'All Girls &amp; Descendants - Edit'!$C$2:$AK$440,'All Girls &amp; Descendants - Edit'!AA$1,FALSE)))</f>
        <v>331</v>
      </c>
      <c r="AB102" s="101">
        <f>IF(VLOOKUP($C102,'All Girls &amp; Descendants - Edit'!$C$2:$AK$440,'All Girls &amp; Descendants - Edit'!AB$1,FALSE)=""," - ",(VLOOKUP($C102,'All Girls &amp; Descendants - Edit'!$C$2:$AK$440,'All Girls &amp; Descendants - Edit'!AB$1,FALSE)))</f>
        <v>101</v>
      </c>
      <c r="AC102" s="101">
        <f>IF(VLOOKUP($C102,'All Girls &amp; Descendants - Edit'!$C$2:$AK$440,'All Girls &amp; Descendants - Edit'!AC$1,FALSE)=""," - ",(VLOOKUP($C102,'All Girls &amp; Descendants - Edit'!$C$2:$AK$440,'All Girls &amp; Descendants - Edit'!AC$1,FALSE)))</f>
        <v>1101</v>
      </c>
      <c r="AD102" s="3" t="str">
        <f>IF(VLOOKUP($C102,'All Girls &amp; Descendants - Edit'!$C$2:$AK$440,'All Girls &amp; Descendants - Edit'!AD$1,FALSE)=""," - ",(VLOOKUP($C102,'All Girls &amp; Descendants - Edit'!$C$2:$AK$440,'All Girls &amp; Descendants - Edit'!AD$1,FALSE)))</f>
        <v>115d</v>
      </c>
      <c r="AE102" s="3" t="str">
        <f>IF(VLOOKUP($C102,'All Girls &amp; Descendants - Edit'!$C$2:$AK$440,'All Girls &amp; Descendants - Edit'!AE$1,FALSE)=""," - ",(VLOOKUP($C102,'All Girls &amp; Descendants - Edit'!$C$2:$AK$440,'All Girls &amp; Descendants - Edit'!AE$1,FALSE)))</f>
        <v>The Hon Hugh Francis Savile CROSSLEY (1971 - )</v>
      </c>
      <c r="AF102" s="3" t="str">
        <f>IF(VLOOKUP($C102,'All Girls &amp; Descendants - Edit'!$C$2:$AK$440,'All Girls &amp; Descendants - Edit'!AF$1,FALSE)=""," - ",(VLOOKUP($C102,'All Girls &amp; Descendants - Edit'!$C$2:$AK$440,'All Girls &amp; Descendants - Edit'!AF$1,FALSE)))</f>
        <v>The Hon Hugh CROSSLEY (6th &amp; 115)</v>
      </c>
      <c r="AG102" s="3" t="str">
        <f>IF(VLOOKUP($C102,'All Girls &amp; Descendants - Edit'!$C$2:$AK$440,'All Girls &amp; Descendants - Edit'!AG$1,FALSE)=""," - ",(VLOOKUP($C102,'All Girls &amp; Descendants - Edit'!$C$2:$AK$440,'All Girls &amp; Descendants - Edit'!AG$1,FALSE)))</f>
        <v>Male</v>
      </c>
      <c r="AH102" s="3" t="str">
        <f>IF(VLOOKUP($C102,'All Girls &amp; Descendants - Edit'!$C$2:$AK$440,'All Girls &amp; Descendants - Edit'!AH$1,FALSE)=""," - ",(VLOOKUP($C102,'All Girls &amp; Descendants - Edit'!$C$2:$AK$440,'All Girls &amp; Descendants - Edit'!AH$1,FALSE)))</f>
        <v>6th</v>
      </c>
      <c r="AI102" s="3" t="str">
        <f>IF(VLOOKUP($C102,'All Girls &amp; Descendants - Edit'!$C$2:$AK$440,'All Girls &amp; Descendants - Edit'!AI$1,FALSE)=""," - ",(VLOOKUP($C102,'All Girls &amp; Descendants - Edit'!$C$2:$AK$440,'All Girls &amp; Descendants - Edit'!AI$1,FALSE)))</f>
        <v xml:space="preserve">Wife: Lara BAILEY. </v>
      </c>
      <c r="AJ102" s="3" t="str">
        <f>IF(VLOOKUP($C102,'All Girls &amp; Descendants - Edit'!$C$2:$AK$440,'All Girls &amp; Descendants - Edit'!AJ$1,FALSE)=""," - ",(VLOOKUP($C102,'All Girls &amp; Descendants - Edit'!$C$2:$AK$440,'All Girls &amp; Descendants - Edit'!AJ$1,FALSE)))</f>
        <v>Male. b. 27/09/1971 Baptised at St Mary’s, Somerleyton. Educated Eton 1985-89 and Anglia University (BA History).</v>
      </c>
      <c r="AK102" s="3" t="str">
        <f>IF(VLOOKUP($C102,'All Girls &amp; Descendants - Edit'!$C$2:$AK$440,'All Girls &amp; Descendants - Edit'!AK$1,FALSE)=""," - ",(VLOOKUP($C102,'All Girls &amp; Descendants - Edit'!$C$2:$AK$440,'All Girls &amp; Descendants - Edit'!AK$1,FALSE)))</f>
        <v>b. 27/09/1971</v>
      </c>
    </row>
    <row r="103" spans="1:37" ht="19">
      <c r="A103">
        <f>VLOOKUP(B103,'Loyd List 1-190 - Edit'!$P$1:$R$219,3,FALSE)</f>
        <v>78</v>
      </c>
      <c r="B103">
        <f>'All Girls &amp; Descendants - Edit'!B104</f>
        <v>115</v>
      </c>
      <c r="C103" s="98" t="str">
        <f>'All Girls &amp; Descendants - Edit'!C104</f>
        <v>115e</v>
      </c>
      <c r="D103" s="2" t="str">
        <f>'All Girls &amp; Descendants - Edit'!D104</f>
        <v>CROSSLEY</v>
      </c>
      <c r="E103" t="str">
        <f>'All Girls &amp; Descendants - Edit'!E104</f>
        <v>The Hon Bridget</v>
      </c>
      <c r="F103" t="str">
        <f>IF('All Girls &amp; Descendants - Edit'!F104="","",'All Girls &amp; Descendants - Edit'!F104)</f>
        <v>Vivian</v>
      </c>
      <c r="G103" t="str">
        <f>IF('All Girls &amp; Descendants - Edit'!G104="","",'All Girls &amp; Descendants - Edit'!G104)</f>
        <v/>
      </c>
      <c r="H103" t="str">
        <f>IF('All Girls &amp; Descendants - Edit'!H104="","",'All Girls &amp; Descendants - Edit'!H104)</f>
        <v/>
      </c>
      <c r="I103">
        <f>VLOOKUP($C103,'All Girls &amp; Descendants - Edit'!$C$2:$AK$440,'All Girls &amp; Descendants - Edit'!I$1,FALSE)</f>
        <v>1974</v>
      </c>
      <c r="J103" t="str">
        <f>VLOOKUP($C103,'All Girls &amp; Descendants - Edit'!$C$2:$AK$440,'All Girls &amp; Descendants - Edit'!J$1,FALSE)</f>
        <v/>
      </c>
      <c r="K103" s="9"/>
      <c r="L103" t="str">
        <f t="shared" si="10"/>
        <v>09/02/1974</v>
      </c>
      <c r="M103" s="3">
        <f>VLOOKUP($C103,'All Girls &amp; Descendants - Edit'!$C$2:$AK$440,'All Girls &amp; Descendants - Edit'!M$1,FALSE)</f>
        <v>27069</v>
      </c>
      <c r="N103" s="3" t="str">
        <f>IF(VLOOKUP($C103,'All Girls &amp; Descendants - Edit'!$C$2:$AK$440,'All Girls &amp; Descendants - Edit'!N$1,FALSE)=""," - ",(VLOOKUP($C103,'All Girls &amp; Descendants - Edit'!$C$2:$AK$440,'All Girls &amp; Descendants - Edit'!N$1,FALSE)))</f>
        <v xml:space="preserve"> - </v>
      </c>
      <c r="O103" s="3" t="str">
        <f>IF(VLOOKUP($C103,'All Girls &amp; Descendants - Edit'!$C$2:$AK$440,'All Girls &amp; Descendants - Edit'!O$1,FALSE)="","",(VLOOKUP($C103,'All Girls &amp; Descendants - Edit'!$C$2:$AK$440,'All Girls &amp; Descendants - Edit'!O$1,FALSE)))</f>
        <v/>
      </c>
      <c r="P103" s="3" t="str">
        <f t="shared" si="14"/>
        <v/>
      </c>
      <c r="Q103" s="178" t="str">
        <f t="shared" si="15"/>
        <v>115</v>
      </c>
      <c r="R103" s="23"/>
      <c r="S103" t="str">
        <f>VLOOKUP($C103,'All Girls &amp; Descendants - Edit'!$C$2:$AK$440,'All Girls &amp; Descendants - Edit'!S$1,FALSE)</f>
        <v>Female</v>
      </c>
      <c r="T103" s="176">
        <f t="shared" si="16"/>
        <v>6</v>
      </c>
      <c r="U103" s="176">
        <f t="shared" si="11"/>
        <v>4</v>
      </c>
      <c r="V103" s="176">
        <f t="shared" si="12"/>
        <v>5</v>
      </c>
      <c r="W103" s="177">
        <f t="shared" si="13"/>
        <v>1</v>
      </c>
      <c r="X103" s="3" t="str">
        <f>IF(VLOOKUP($C103,'All Girls &amp; Descendants - Edit'!$C$2:$AK$440,'All Girls &amp; Descendants - Edit'!X$1,FALSE)=""," - ",(VLOOKUP($C103,'All Girls &amp; Descendants - Edit'!$C$2:$AK$440,'All Girls &amp; Descendants - Edit'!X$1,FALSE)))</f>
        <v xml:space="preserve"> - </v>
      </c>
      <c r="Y103" s="3" t="str">
        <f>IF(VLOOKUP($C103,'All Girls &amp; Descendants - Edit'!$C$2:$AK$440,'All Girls &amp; Descendants - Edit'!Y$1,FALSE)=""," - ",(VLOOKUP($C103,'All Girls &amp; Descendants - Edit'!$C$2:$AK$440,'All Girls &amp; Descendants - Edit'!Y$1,FALSE)))</f>
        <v xml:space="preserve"> - </v>
      </c>
      <c r="Z103" s="3" t="str">
        <f>IF(VLOOKUP($C103,'All Girls &amp; Descendants - Edit'!$C$2:$AK$440,'All Girls &amp; Descendants - Edit'!Z$1,FALSE)=""," - ",(VLOOKUP($C103,'All Girls &amp; Descendants - Edit'!$C$2:$AK$440,'All Girls &amp; Descendants - Edit'!Z$1,FALSE)))</f>
        <v>Baptised at St Mary’s, Somerleyton. Educated Downe House, Newbury and Wimbledon College of Art (BA Theatre Design).</v>
      </c>
      <c r="AA103" s="101">
        <f>IF(VLOOKUP($C103,'All Girls &amp; Descendants - Edit'!$C$2:$AK$440,'All Girls &amp; Descendants - Edit'!AA$1,FALSE)=""," - ",(VLOOKUP($C103,'All Girls &amp; Descendants - Edit'!$C$2:$AK$440,'All Girls &amp; Descendants - Edit'!AA$1,FALSE)))</f>
        <v>332</v>
      </c>
      <c r="AB103" s="101">
        <f>IF(VLOOKUP($C103,'All Girls &amp; Descendants - Edit'!$C$2:$AK$440,'All Girls &amp; Descendants - Edit'!AB$1,FALSE)=""," - ",(VLOOKUP($C103,'All Girls &amp; Descendants - Edit'!$C$2:$AK$440,'All Girls &amp; Descendants - Edit'!AB$1,FALSE)))</f>
        <v>102</v>
      </c>
      <c r="AC103" s="101">
        <f>IF(VLOOKUP($C103,'All Girls &amp; Descendants - Edit'!$C$2:$AK$440,'All Girls &amp; Descendants - Edit'!AC$1,FALSE)=""," - ",(VLOOKUP($C103,'All Girls &amp; Descendants - Edit'!$C$2:$AK$440,'All Girls &amp; Descendants - Edit'!AC$1,FALSE)))</f>
        <v>1102</v>
      </c>
      <c r="AD103" s="3" t="str">
        <f>IF(VLOOKUP($C103,'All Girls &amp; Descendants - Edit'!$C$2:$AK$440,'All Girls &amp; Descendants - Edit'!AD$1,FALSE)=""," - ",(VLOOKUP($C103,'All Girls &amp; Descendants - Edit'!$C$2:$AK$440,'All Girls &amp; Descendants - Edit'!AD$1,FALSE)))</f>
        <v>115e</v>
      </c>
      <c r="AE103" s="3" t="str">
        <f>IF(VLOOKUP($C103,'All Girls &amp; Descendants - Edit'!$C$2:$AK$440,'All Girls &amp; Descendants - Edit'!AE$1,FALSE)=""," - ",(VLOOKUP($C103,'All Girls &amp; Descendants - Edit'!$C$2:$AK$440,'All Girls &amp; Descendants - Edit'!AE$1,FALSE)))</f>
        <v>The Hon Bridget Vivian  CROSSLEY (1974 - )</v>
      </c>
      <c r="AF103" s="3" t="str">
        <f>IF(VLOOKUP($C103,'All Girls &amp; Descendants - Edit'!$C$2:$AK$440,'All Girls &amp; Descendants - Edit'!AF$1,FALSE)=""," - ",(VLOOKUP($C103,'All Girls &amp; Descendants - Edit'!$C$2:$AK$440,'All Girls &amp; Descendants - Edit'!AF$1,FALSE)))</f>
        <v>The Hon Bridget CROSSLEY (6th &amp; 115)</v>
      </c>
      <c r="AG103" s="3" t="str">
        <f>IF(VLOOKUP($C103,'All Girls &amp; Descendants - Edit'!$C$2:$AK$440,'All Girls &amp; Descendants - Edit'!AG$1,FALSE)=""," - ",(VLOOKUP($C103,'All Girls &amp; Descendants - Edit'!$C$2:$AK$440,'All Girls &amp; Descendants - Edit'!AG$1,FALSE)))</f>
        <v>Female</v>
      </c>
      <c r="AH103" s="3" t="str">
        <f>IF(VLOOKUP($C103,'All Girls &amp; Descendants - Edit'!$C$2:$AK$440,'All Girls &amp; Descendants - Edit'!AH$1,FALSE)=""," - ",(VLOOKUP($C103,'All Girls &amp; Descendants - Edit'!$C$2:$AK$440,'All Girls &amp; Descendants - Edit'!AH$1,FALSE)))</f>
        <v>6th</v>
      </c>
      <c r="AI103" s="3" t="str">
        <f>IF(VLOOKUP($C103,'All Girls &amp; Descendants - Edit'!$C$2:$AK$440,'All Girls &amp; Descendants - Edit'!AI$1,FALSE)=""," - ",(VLOOKUP($C103,'All Girls &amp; Descendants - Edit'!$C$2:$AK$440,'All Girls &amp; Descendants - Edit'!AI$1,FALSE)))</f>
        <v>Unmarried</v>
      </c>
      <c r="AJ103" s="3" t="str">
        <f>IF(VLOOKUP($C103,'All Girls &amp; Descendants - Edit'!$C$2:$AK$440,'All Girls &amp; Descendants - Edit'!AJ$1,FALSE)=""," - ",(VLOOKUP($C103,'All Girls &amp; Descendants - Edit'!$C$2:$AK$440,'All Girls &amp; Descendants - Edit'!AJ$1,FALSE)))</f>
        <v>Female. b. 09/02/1974 Baptised at St Mary’s, Somerleyton. Educated Downe House, Newbury and Wimbledon College of Art (BA Theatre Design).</v>
      </c>
      <c r="AK103" s="3" t="str">
        <f>IF(VLOOKUP($C103,'All Girls &amp; Descendants - Edit'!$C$2:$AK$440,'All Girls &amp; Descendants - Edit'!AK$1,FALSE)=""," - ",(VLOOKUP($C103,'All Girls &amp; Descendants - Edit'!$C$2:$AK$440,'All Girls &amp; Descendants - Edit'!AK$1,FALSE)))</f>
        <v>b. 09/02/1974</v>
      </c>
    </row>
    <row r="104" spans="1:37" ht="19">
      <c r="A104">
        <f>VLOOKUP(B104,'Loyd List 1-190 - Edit'!$P$1:$R$219,3,FALSE)</f>
        <v>55</v>
      </c>
      <c r="B104">
        <f>'All Girls &amp; Descendants - Edit'!B105</f>
        <v>116</v>
      </c>
      <c r="C104" s="98" t="str">
        <f>'All Girls &amp; Descendants - Edit'!C105</f>
        <v>116a</v>
      </c>
      <c r="D104" s="2" t="str">
        <f>'All Girls &amp; Descendants - Edit'!D105</f>
        <v>CLULOW</v>
      </c>
      <c r="E104" t="str">
        <f>'All Girls &amp; Descendants - Edit'!E105</f>
        <v>Carl</v>
      </c>
      <c r="F104" t="str">
        <f>IF('All Girls &amp; Descendants - Edit'!F105="","",'All Girls &amp; Descendants - Edit'!F105)</f>
        <v/>
      </c>
      <c r="G104" t="str">
        <f>IF('All Girls &amp; Descendants - Edit'!G105="","",'All Girls &amp; Descendants - Edit'!G105)</f>
        <v/>
      </c>
      <c r="H104" t="str">
        <f>IF('All Girls &amp; Descendants - Edit'!H105="","",'All Girls &amp; Descendants - Edit'!H105)</f>
        <v/>
      </c>
      <c r="I104">
        <f>VLOOKUP($C104,'All Girls &amp; Descendants - Edit'!$C$2:$AK$440,'All Girls &amp; Descendants - Edit'!I$1,FALSE)</f>
        <v>1970</v>
      </c>
      <c r="J104">
        <f>VLOOKUP($C104,'All Girls &amp; Descendants - Edit'!$C$2:$AK$440,'All Girls &amp; Descendants - Edit'!J$1,FALSE)</f>
        <v>1970</v>
      </c>
      <c r="K104" s="9"/>
      <c r="L104" t="str">
        <f t="shared" si="10"/>
        <v>19/01/1970</v>
      </c>
      <c r="M104" s="3">
        <f>VLOOKUP($C104,'All Girls &amp; Descendants - Edit'!$C$2:$AK$440,'All Girls &amp; Descendants - Edit'!M$1,FALSE)</f>
        <v>25587</v>
      </c>
      <c r="N104" s="3" t="str">
        <f>IF(VLOOKUP($C104,'All Girls &amp; Descendants - Edit'!$C$2:$AK$440,'All Girls &amp; Descendants - Edit'!N$1,FALSE)=""," - ",(VLOOKUP($C104,'All Girls &amp; Descendants - Edit'!$C$2:$AK$440,'All Girls &amp; Descendants - Edit'!N$1,FALSE)))</f>
        <v>Unmarried</v>
      </c>
      <c r="O104" s="3">
        <f>IF(VLOOKUP($C104,'All Girls &amp; Descendants - Edit'!$C$2:$AK$440,'All Girls &amp; Descendants - Edit'!O$1,FALSE)="","",(VLOOKUP($C104,'All Girls &amp; Descendants - Edit'!$C$2:$AK$440,'All Girls &amp; Descendants - Edit'!O$1,FALSE)))</f>
        <v>25587</v>
      </c>
      <c r="P104" s="3" t="str">
        <f t="shared" si="14"/>
        <v>19/01/1970</v>
      </c>
      <c r="Q104" s="178" t="str">
        <f t="shared" si="15"/>
        <v>116</v>
      </c>
      <c r="R104" s="23"/>
      <c r="S104" t="str">
        <f>VLOOKUP($C104,'All Girls &amp; Descendants - Edit'!$C$2:$AK$440,'All Girls &amp; Descendants - Edit'!S$1,FALSE)</f>
        <v>Male</v>
      </c>
      <c r="T104" s="176">
        <f t="shared" si="16"/>
        <v>6</v>
      </c>
      <c r="U104" s="176">
        <f t="shared" si="11"/>
        <v>4</v>
      </c>
      <c r="V104" s="176">
        <f t="shared" si="12"/>
        <v>5</v>
      </c>
      <c r="W104" s="177">
        <f t="shared" si="13"/>
        <v>1</v>
      </c>
      <c r="X104" s="3" t="str">
        <f>IF(VLOOKUP($C104,'All Girls &amp; Descendants - Edit'!$C$2:$AK$440,'All Girls &amp; Descendants - Edit'!X$1,FALSE)=""," - ",(VLOOKUP($C104,'All Girls &amp; Descendants - Edit'!$C$2:$AK$440,'All Girls &amp; Descendants - Edit'!X$1,FALSE)))</f>
        <v xml:space="preserve"> - </v>
      </c>
      <c r="Y104" s="3" t="str">
        <f>IF(VLOOKUP($C104,'All Girls &amp; Descendants - Edit'!$C$2:$AK$440,'All Girls &amp; Descendants - Edit'!Y$1,FALSE)=""," - ",(VLOOKUP($C104,'All Girls &amp; Descendants - Edit'!$C$2:$AK$440,'All Girls &amp; Descendants - Edit'!Y$1,FALSE)))</f>
        <v xml:space="preserve"> - </v>
      </c>
      <c r="Z104" s="3" t="str">
        <f>IF(VLOOKUP($C104,'All Girls &amp; Descendants - Edit'!$C$2:$AK$440,'All Girls &amp; Descendants - Edit'!Z$1,FALSE)=""," - ",(VLOOKUP($C104,'All Girls &amp; Descendants - Edit'!$C$2:$AK$440,'All Girls &amp; Descendants - Edit'!Z$1,FALSE)))</f>
        <v>Born and baptised 19 Jan 1970, died. 19 Jan 1970.</v>
      </c>
      <c r="AA104" s="101">
        <f>IF(VLOOKUP($C104,'All Girls &amp; Descendants - Edit'!$C$2:$AK$440,'All Girls &amp; Descendants - Edit'!AA$1,FALSE)=""," - ",(VLOOKUP($C104,'All Girls &amp; Descendants - Edit'!$C$2:$AK$440,'All Girls &amp; Descendants - Edit'!AA$1,FALSE)))</f>
        <v>333</v>
      </c>
      <c r="AB104" s="101">
        <f>IF(VLOOKUP($C104,'All Girls &amp; Descendants - Edit'!$C$2:$AK$440,'All Girls &amp; Descendants - Edit'!AB$1,FALSE)=""," - ",(VLOOKUP($C104,'All Girls &amp; Descendants - Edit'!$C$2:$AK$440,'All Girls &amp; Descendants - Edit'!AB$1,FALSE)))</f>
        <v>103</v>
      </c>
      <c r="AC104" s="101">
        <f>IF(VLOOKUP($C104,'All Girls &amp; Descendants - Edit'!$C$2:$AK$440,'All Girls &amp; Descendants - Edit'!AC$1,FALSE)=""," - ",(VLOOKUP($C104,'All Girls &amp; Descendants - Edit'!$C$2:$AK$440,'All Girls &amp; Descendants - Edit'!AC$1,FALSE)))</f>
        <v>1103</v>
      </c>
      <c r="AD104" s="3" t="str">
        <f>IF(VLOOKUP($C104,'All Girls &amp; Descendants - Edit'!$C$2:$AK$440,'All Girls &amp; Descendants - Edit'!AD$1,FALSE)=""," - ",(VLOOKUP($C104,'All Girls &amp; Descendants - Edit'!$C$2:$AK$440,'All Girls &amp; Descendants - Edit'!AD$1,FALSE)))</f>
        <v>116a</v>
      </c>
      <c r="AE104" s="3" t="str">
        <f>IF(VLOOKUP($C104,'All Girls &amp; Descendants - Edit'!$C$2:$AK$440,'All Girls &amp; Descendants - Edit'!AE$1,FALSE)=""," - ",(VLOOKUP($C104,'All Girls &amp; Descendants - Edit'!$C$2:$AK$440,'All Girls &amp; Descendants - Edit'!AE$1,FALSE)))</f>
        <v>Carl   CLULOW (1970 - 1970)</v>
      </c>
      <c r="AF104" s="3" t="str">
        <f>IF(VLOOKUP($C104,'All Girls &amp; Descendants - Edit'!$C$2:$AK$440,'All Girls &amp; Descendants - Edit'!AF$1,FALSE)=""," - ",(VLOOKUP($C104,'All Girls &amp; Descendants - Edit'!$C$2:$AK$440,'All Girls &amp; Descendants - Edit'!AF$1,FALSE)))</f>
        <v>Carl CLULOW (6th &amp; 116)</v>
      </c>
      <c r="AG104" s="3" t="str">
        <f>IF(VLOOKUP($C104,'All Girls &amp; Descendants - Edit'!$C$2:$AK$440,'All Girls &amp; Descendants - Edit'!AG$1,FALSE)=""," - ",(VLOOKUP($C104,'All Girls &amp; Descendants - Edit'!$C$2:$AK$440,'All Girls &amp; Descendants - Edit'!AG$1,FALSE)))</f>
        <v>Male</v>
      </c>
      <c r="AH104" s="3" t="str">
        <f>IF(VLOOKUP($C104,'All Girls &amp; Descendants - Edit'!$C$2:$AK$440,'All Girls &amp; Descendants - Edit'!AH$1,FALSE)=""," - ",(VLOOKUP($C104,'All Girls &amp; Descendants - Edit'!$C$2:$AK$440,'All Girls &amp; Descendants - Edit'!AH$1,FALSE)))</f>
        <v>6th</v>
      </c>
      <c r="AI104" s="3" t="str">
        <f>IF(VLOOKUP($C104,'All Girls &amp; Descendants - Edit'!$C$2:$AK$440,'All Girls &amp; Descendants - Edit'!AI$1,FALSE)=""," - ",(VLOOKUP($C104,'All Girls &amp; Descendants - Edit'!$C$2:$AK$440,'All Girls &amp; Descendants - Edit'!AI$1,FALSE)))</f>
        <v>Unmarried</v>
      </c>
      <c r="AJ104" s="3" t="str">
        <f>IF(VLOOKUP($C104,'All Girls &amp; Descendants - Edit'!$C$2:$AK$440,'All Girls &amp; Descendants - Edit'!AJ$1,FALSE)=""," - ",(VLOOKUP($C104,'All Girls &amp; Descendants - Edit'!$C$2:$AK$440,'All Girls &amp; Descendants - Edit'!AJ$1,FALSE)))</f>
        <v>Male. b. 19/01/1970, d. 19/01/1970. Born and baptised 19 Jan 1970, died. 19 Jan 1970.</v>
      </c>
      <c r="AK104" s="3" t="str">
        <f>IF(VLOOKUP($C104,'All Girls &amp; Descendants - Edit'!$C$2:$AK$440,'All Girls &amp; Descendants - Edit'!AK$1,FALSE)=""," - ",(VLOOKUP($C104,'All Girls &amp; Descendants - Edit'!$C$2:$AK$440,'All Girls &amp; Descendants - Edit'!AK$1,FALSE)))</f>
        <v>b. 19/01/1970, d. 19/01/1970.</v>
      </c>
    </row>
    <row r="105" spans="1:37" ht="19">
      <c r="A105">
        <f>VLOOKUP(B105,'Loyd List 1-190 - Edit'!$P$1:$R$219,3,FALSE)</f>
        <v>55</v>
      </c>
      <c r="B105">
        <f>'All Girls &amp; Descendants - Edit'!B106</f>
        <v>116</v>
      </c>
      <c r="C105" s="98" t="str">
        <f>'All Girls &amp; Descendants - Edit'!C106</f>
        <v>116b</v>
      </c>
      <c r="D105" s="2" t="str">
        <f>'All Girls &amp; Descendants - Edit'!D106</f>
        <v>CLULOW</v>
      </c>
      <c r="E105" t="str">
        <f>'All Girls &amp; Descendants - Edit'!E106</f>
        <v>Kate</v>
      </c>
      <c r="F105" t="str">
        <f>IF('All Girls &amp; Descendants - Edit'!F106="","",'All Girls &amp; Descendants - Edit'!F106)</f>
        <v/>
      </c>
      <c r="G105" t="str">
        <f>IF('All Girls &amp; Descendants - Edit'!G106="","",'All Girls &amp; Descendants - Edit'!G106)</f>
        <v/>
      </c>
      <c r="H105" t="str">
        <f>IF('All Girls &amp; Descendants - Edit'!H106="","",'All Girls &amp; Descendants - Edit'!H106)</f>
        <v/>
      </c>
      <c r="I105">
        <f>VLOOKUP($C105,'All Girls &amp; Descendants - Edit'!$C$2:$AK$440,'All Girls &amp; Descendants - Edit'!I$1,FALSE)</f>
        <v>1971</v>
      </c>
      <c r="J105" t="str">
        <f>VLOOKUP($C105,'All Girls &amp; Descendants - Edit'!$C$2:$AK$440,'All Girls &amp; Descendants - Edit'!J$1,FALSE)</f>
        <v/>
      </c>
      <c r="K105" s="9"/>
      <c r="L105" t="str">
        <f t="shared" si="10"/>
        <v>12/08/1971</v>
      </c>
      <c r="M105" s="3">
        <f>VLOOKUP($C105,'All Girls &amp; Descendants - Edit'!$C$2:$AK$440,'All Girls &amp; Descendants - Edit'!M$1,FALSE)</f>
        <v>26157</v>
      </c>
      <c r="N105" s="3" t="str">
        <f>IF(VLOOKUP($C105,'All Girls &amp; Descendants - Edit'!$C$2:$AK$440,'All Girls &amp; Descendants - Edit'!N$1,FALSE)=""," - ",(VLOOKUP($C105,'All Girls &amp; Descendants - Edit'!$C$2:$AK$440,'All Girls &amp; Descendants - Edit'!N$1,FALSE)))</f>
        <v xml:space="preserve"> - </v>
      </c>
      <c r="O105" s="3" t="str">
        <f>IF(VLOOKUP($C105,'All Girls &amp; Descendants - Edit'!$C$2:$AK$440,'All Girls &amp; Descendants - Edit'!O$1,FALSE)="","",(VLOOKUP($C105,'All Girls &amp; Descendants - Edit'!$C$2:$AK$440,'All Girls &amp; Descendants - Edit'!O$1,FALSE)))</f>
        <v/>
      </c>
      <c r="P105" s="3" t="str">
        <f t="shared" si="14"/>
        <v/>
      </c>
      <c r="Q105" s="178" t="str">
        <f t="shared" si="15"/>
        <v>116</v>
      </c>
      <c r="R105" s="23"/>
      <c r="S105" t="str">
        <f>VLOOKUP($C105,'All Girls &amp; Descendants - Edit'!$C$2:$AK$440,'All Girls &amp; Descendants - Edit'!S$1,FALSE)</f>
        <v>Female</v>
      </c>
      <c r="T105" s="176">
        <f t="shared" si="16"/>
        <v>6</v>
      </c>
      <c r="U105" s="176">
        <f t="shared" si="11"/>
        <v>4</v>
      </c>
      <c r="V105" s="176">
        <f t="shared" si="12"/>
        <v>5</v>
      </c>
      <c r="W105" s="177">
        <f t="shared" si="13"/>
        <v>1</v>
      </c>
      <c r="X105" s="3" t="str">
        <f>IF(VLOOKUP($C105,'All Girls &amp; Descendants - Edit'!$C$2:$AK$440,'All Girls &amp; Descendants - Edit'!X$1,FALSE)=""," - ",(VLOOKUP($C105,'All Girls &amp; Descendants - Edit'!$C$2:$AK$440,'All Girls &amp; Descendants - Edit'!X$1,FALSE)))</f>
        <v xml:space="preserve"> - </v>
      </c>
      <c r="Y105" s="3" t="str">
        <f>IF(VLOOKUP($C105,'All Girls &amp; Descendants - Edit'!$C$2:$AK$440,'All Girls &amp; Descendants - Edit'!Y$1,FALSE)=""," - ",(VLOOKUP($C105,'All Girls &amp; Descendants - Edit'!$C$2:$AK$440,'All Girls &amp; Descendants - Edit'!Y$1,FALSE)))</f>
        <v xml:space="preserve"> - </v>
      </c>
      <c r="Z105" s="3" t="str">
        <f>IF(VLOOKUP($C105,'All Girls &amp; Descendants - Edit'!$C$2:$AK$440,'All Girls &amp; Descendants - Edit'!Z$1,FALSE)=""," - ",(VLOOKUP($C105,'All Girls &amp; Descendants - Edit'!$C$2:$AK$440,'All Girls &amp; Descendants - Edit'!Z$1,FALSE)))</f>
        <v>Born at Chichester, Sussex. Baptised 28 Nov 1971 at Cockington, Torquay, Devon.</v>
      </c>
      <c r="AA105" s="101">
        <f>IF(VLOOKUP($C105,'All Girls &amp; Descendants - Edit'!$C$2:$AK$440,'All Girls &amp; Descendants - Edit'!AA$1,FALSE)=""," - ",(VLOOKUP($C105,'All Girls &amp; Descendants - Edit'!$C$2:$AK$440,'All Girls &amp; Descendants - Edit'!AA$1,FALSE)))</f>
        <v>334</v>
      </c>
      <c r="AB105" s="101">
        <f>IF(VLOOKUP($C105,'All Girls &amp; Descendants - Edit'!$C$2:$AK$440,'All Girls &amp; Descendants - Edit'!AB$1,FALSE)=""," - ",(VLOOKUP($C105,'All Girls &amp; Descendants - Edit'!$C$2:$AK$440,'All Girls &amp; Descendants - Edit'!AB$1,FALSE)))</f>
        <v>104</v>
      </c>
      <c r="AC105" s="101">
        <f>IF(VLOOKUP($C105,'All Girls &amp; Descendants - Edit'!$C$2:$AK$440,'All Girls &amp; Descendants - Edit'!AC$1,FALSE)=""," - ",(VLOOKUP($C105,'All Girls &amp; Descendants - Edit'!$C$2:$AK$440,'All Girls &amp; Descendants - Edit'!AC$1,FALSE)))</f>
        <v>1104</v>
      </c>
      <c r="AD105" s="3" t="str">
        <f>IF(VLOOKUP($C105,'All Girls &amp; Descendants - Edit'!$C$2:$AK$440,'All Girls &amp; Descendants - Edit'!AD$1,FALSE)=""," - ",(VLOOKUP($C105,'All Girls &amp; Descendants - Edit'!$C$2:$AK$440,'All Girls &amp; Descendants - Edit'!AD$1,FALSE)))</f>
        <v>116b</v>
      </c>
      <c r="AE105" s="3" t="str">
        <f>IF(VLOOKUP($C105,'All Girls &amp; Descendants - Edit'!$C$2:$AK$440,'All Girls &amp; Descendants - Edit'!AE$1,FALSE)=""," - ",(VLOOKUP($C105,'All Girls &amp; Descendants - Edit'!$C$2:$AK$440,'All Girls &amp; Descendants - Edit'!AE$1,FALSE)))</f>
        <v>Kate   CLULOW (1971 - )</v>
      </c>
      <c r="AF105" s="3" t="str">
        <f>IF(VLOOKUP($C105,'All Girls &amp; Descendants - Edit'!$C$2:$AK$440,'All Girls &amp; Descendants - Edit'!AF$1,FALSE)=""," - ",(VLOOKUP($C105,'All Girls &amp; Descendants - Edit'!$C$2:$AK$440,'All Girls &amp; Descendants - Edit'!AF$1,FALSE)))</f>
        <v>Kate CLULOW (6th &amp; 116)</v>
      </c>
      <c r="AG105" s="3" t="str">
        <f>IF(VLOOKUP($C105,'All Girls &amp; Descendants - Edit'!$C$2:$AK$440,'All Girls &amp; Descendants - Edit'!AG$1,FALSE)=""," - ",(VLOOKUP($C105,'All Girls &amp; Descendants - Edit'!$C$2:$AK$440,'All Girls &amp; Descendants - Edit'!AG$1,FALSE)))</f>
        <v>Female</v>
      </c>
      <c r="AH105" s="3" t="str">
        <f>IF(VLOOKUP($C105,'All Girls &amp; Descendants - Edit'!$C$2:$AK$440,'All Girls &amp; Descendants - Edit'!AH$1,FALSE)=""," - ",(VLOOKUP($C105,'All Girls &amp; Descendants - Edit'!$C$2:$AK$440,'All Girls &amp; Descendants - Edit'!AH$1,FALSE)))</f>
        <v>6th</v>
      </c>
      <c r="AI105" s="3" t="str">
        <f>IF(VLOOKUP($C105,'All Girls &amp; Descendants - Edit'!$C$2:$AK$440,'All Girls &amp; Descendants - Edit'!AI$1,FALSE)=""," - ",(VLOOKUP($C105,'All Girls &amp; Descendants - Edit'!$C$2:$AK$440,'All Girls &amp; Descendants - Edit'!AI$1,FALSE)))</f>
        <v>Unmarried</v>
      </c>
      <c r="AJ105" s="3" t="str">
        <f>IF(VLOOKUP($C105,'All Girls &amp; Descendants - Edit'!$C$2:$AK$440,'All Girls &amp; Descendants - Edit'!AJ$1,FALSE)=""," - ",(VLOOKUP($C105,'All Girls &amp; Descendants - Edit'!$C$2:$AK$440,'All Girls &amp; Descendants - Edit'!AJ$1,FALSE)))</f>
        <v>Female. b. 12/08/1971 Born at Chichester, Sussex. Baptised 28 Nov 1971 at Cockington, Torquay, Devon.</v>
      </c>
      <c r="AK105" s="3" t="str">
        <f>IF(VLOOKUP($C105,'All Girls &amp; Descendants - Edit'!$C$2:$AK$440,'All Girls &amp; Descendants - Edit'!AK$1,FALSE)=""," - ",(VLOOKUP($C105,'All Girls &amp; Descendants - Edit'!$C$2:$AK$440,'All Girls &amp; Descendants - Edit'!AK$1,FALSE)))</f>
        <v>b. 12/08/1971</v>
      </c>
    </row>
    <row r="106" spans="1:37" ht="19">
      <c r="A106">
        <f>VLOOKUP(B106,'Loyd List 1-190 - Edit'!$P$1:$R$219,3,FALSE)</f>
        <v>55</v>
      </c>
      <c r="B106">
        <f>'All Girls &amp; Descendants - Edit'!B107</f>
        <v>116</v>
      </c>
      <c r="C106" s="98" t="str">
        <f>'All Girls &amp; Descendants - Edit'!C107</f>
        <v>116c</v>
      </c>
      <c r="D106" s="2" t="str">
        <f>'All Girls &amp; Descendants - Edit'!D107</f>
        <v>CLULOW</v>
      </c>
      <c r="E106" t="str">
        <f>'All Girls &amp; Descendants - Edit'!E107</f>
        <v>Clare</v>
      </c>
      <c r="F106" t="str">
        <f>IF('All Girls &amp; Descendants - Edit'!F107="","",'All Girls &amp; Descendants - Edit'!F107)</f>
        <v/>
      </c>
      <c r="G106" t="str">
        <f>IF('All Girls &amp; Descendants - Edit'!G107="","",'All Girls &amp; Descendants - Edit'!G107)</f>
        <v/>
      </c>
      <c r="H106" t="str">
        <f>IF('All Girls &amp; Descendants - Edit'!H107="","",'All Girls &amp; Descendants - Edit'!H107)</f>
        <v/>
      </c>
      <c r="I106">
        <f>VLOOKUP($C106,'All Girls &amp; Descendants - Edit'!$C$2:$AK$440,'All Girls &amp; Descendants - Edit'!I$1,FALSE)</f>
        <v>1973</v>
      </c>
      <c r="J106" t="str">
        <f>VLOOKUP($C106,'All Girls &amp; Descendants - Edit'!$C$2:$AK$440,'All Girls &amp; Descendants - Edit'!J$1,FALSE)</f>
        <v/>
      </c>
      <c r="K106" s="9"/>
      <c r="L106" t="str">
        <f t="shared" si="10"/>
        <v>30/03/1973</v>
      </c>
      <c r="M106" s="3">
        <f>VLOOKUP($C106,'All Girls &amp; Descendants - Edit'!$C$2:$AK$440,'All Girls &amp; Descendants - Edit'!M$1,FALSE)</f>
        <v>26753</v>
      </c>
      <c r="N106" s="3" t="str">
        <f>IF(VLOOKUP($C106,'All Girls &amp; Descendants - Edit'!$C$2:$AK$440,'All Girls &amp; Descendants - Edit'!N$1,FALSE)=""," - ",(VLOOKUP($C106,'All Girls &amp; Descendants - Edit'!$C$2:$AK$440,'All Girls &amp; Descendants - Edit'!N$1,FALSE)))</f>
        <v xml:space="preserve"> - </v>
      </c>
      <c r="O106" s="3" t="str">
        <f>IF(VLOOKUP($C106,'All Girls &amp; Descendants - Edit'!$C$2:$AK$440,'All Girls &amp; Descendants - Edit'!O$1,FALSE)="","",(VLOOKUP($C106,'All Girls &amp; Descendants - Edit'!$C$2:$AK$440,'All Girls &amp; Descendants - Edit'!O$1,FALSE)))</f>
        <v/>
      </c>
      <c r="P106" s="3" t="str">
        <f t="shared" si="14"/>
        <v/>
      </c>
      <c r="Q106" s="178" t="str">
        <f t="shared" si="15"/>
        <v>116</v>
      </c>
      <c r="R106" s="23"/>
      <c r="S106" t="str">
        <f>VLOOKUP($C106,'All Girls &amp; Descendants - Edit'!$C$2:$AK$440,'All Girls &amp; Descendants - Edit'!S$1,FALSE)</f>
        <v>Female</v>
      </c>
      <c r="T106" s="176">
        <f t="shared" si="16"/>
        <v>6</v>
      </c>
      <c r="U106" s="176">
        <f t="shared" si="11"/>
        <v>4</v>
      </c>
      <c r="V106" s="176">
        <f t="shared" si="12"/>
        <v>5</v>
      </c>
      <c r="W106" s="177">
        <f t="shared" si="13"/>
        <v>1</v>
      </c>
      <c r="X106" s="3" t="str">
        <f>IF(VLOOKUP($C106,'All Girls &amp; Descendants - Edit'!$C$2:$AK$440,'All Girls &amp; Descendants - Edit'!X$1,FALSE)=""," - ",(VLOOKUP($C106,'All Girls &amp; Descendants - Edit'!$C$2:$AK$440,'All Girls &amp; Descendants - Edit'!X$1,FALSE)))</f>
        <v xml:space="preserve"> - </v>
      </c>
      <c r="Y106" s="3" t="str">
        <f>IF(VLOOKUP($C106,'All Girls &amp; Descendants - Edit'!$C$2:$AK$440,'All Girls &amp; Descendants - Edit'!Y$1,FALSE)=""," - ",(VLOOKUP($C106,'All Girls &amp; Descendants - Edit'!$C$2:$AK$440,'All Girls &amp; Descendants - Edit'!Y$1,FALSE)))</f>
        <v xml:space="preserve"> - </v>
      </c>
      <c r="Z106" s="3" t="str">
        <f>IF(VLOOKUP($C106,'All Girls &amp; Descendants - Edit'!$C$2:$AK$440,'All Girls &amp; Descendants - Edit'!Z$1,FALSE)=""," - ",(VLOOKUP($C106,'All Girls &amp; Descendants - Edit'!$C$2:$AK$440,'All Girls &amp; Descendants - Edit'!Z$1,FALSE)))</f>
        <v>Born at Chichester, Sussex. Baptised 1 Jul 1973 at St Peter’s, Selsey, Sussex.</v>
      </c>
      <c r="AA106" s="101">
        <f>IF(VLOOKUP($C106,'All Girls &amp; Descendants - Edit'!$C$2:$AK$440,'All Girls &amp; Descendants - Edit'!AA$1,FALSE)=""," - ",(VLOOKUP($C106,'All Girls &amp; Descendants - Edit'!$C$2:$AK$440,'All Girls &amp; Descendants - Edit'!AA$1,FALSE)))</f>
        <v>335</v>
      </c>
      <c r="AB106" s="101">
        <f>IF(VLOOKUP($C106,'All Girls &amp; Descendants - Edit'!$C$2:$AK$440,'All Girls &amp; Descendants - Edit'!AB$1,FALSE)=""," - ",(VLOOKUP($C106,'All Girls &amp; Descendants - Edit'!$C$2:$AK$440,'All Girls &amp; Descendants - Edit'!AB$1,FALSE)))</f>
        <v>105</v>
      </c>
      <c r="AC106" s="101">
        <f>IF(VLOOKUP($C106,'All Girls &amp; Descendants - Edit'!$C$2:$AK$440,'All Girls &amp; Descendants - Edit'!AC$1,FALSE)=""," - ",(VLOOKUP($C106,'All Girls &amp; Descendants - Edit'!$C$2:$AK$440,'All Girls &amp; Descendants - Edit'!AC$1,FALSE)))</f>
        <v>1105</v>
      </c>
      <c r="AD106" s="3" t="str">
        <f>IF(VLOOKUP($C106,'All Girls &amp; Descendants - Edit'!$C$2:$AK$440,'All Girls &amp; Descendants - Edit'!AD$1,FALSE)=""," - ",(VLOOKUP($C106,'All Girls &amp; Descendants - Edit'!$C$2:$AK$440,'All Girls &amp; Descendants - Edit'!AD$1,FALSE)))</f>
        <v>116c</v>
      </c>
      <c r="AE106" s="3" t="str">
        <f>IF(VLOOKUP($C106,'All Girls &amp; Descendants - Edit'!$C$2:$AK$440,'All Girls &amp; Descendants - Edit'!AE$1,FALSE)=""," - ",(VLOOKUP($C106,'All Girls &amp; Descendants - Edit'!$C$2:$AK$440,'All Girls &amp; Descendants - Edit'!AE$1,FALSE)))</f>
        <v>Clare   CLULOW (1973 - )</v>
      </c>
      <c r="AF106" s="3" t="str">
        <f>IF(VLOOKUP($C106,'All Girls &amp; Descendants - Edit'!$C$2:$AK$440,'All Girls &amp; Descendants - Edit'!AF$1,FALSE)=""," - ",(VLOOKUP($C106,'All Girls &amp; Descendants - Edit'!$C$2:$AK$440,'All Girls &amp; Descendants - Edit'!AF$1,FALSE)))</f>
        <v>Clare CLULOW (6th &amp; 116)</v>
      </c>
      <c r="AG106" s="3" t="str">
        <f>IF(VLOOKUP($C106,'All Girls &amp; Descendants - Edit'!$C$2:$AK$440,'All Girls &amp; Descendants - Edit'!AG$1,FALSE)=""," - ",(VLOOKUP($C106,'All Girls &amp; Descendants - Edit'!$C$2:$AK$440,'All Girls &amp; Descendants - Edit'!AG$1,FALSE)))</f>
        <v>Female</v>
      </c>
      <c r="AH106" s="3" t="str">
        <f>IF(VLOOKUP($C106,'All Girls &amp; Descendants - Edit'!$C$2:$AK$440,'All Girls &amp; Descendants - Edit'!AH$1,FALSE)=""," - ",(VLOOKUP($C106,'All Girls &amp; Descendants - Edit'!$C$2:$AK$440,'All Girls &amp; Descendants - Edit'!AH$1,FALSE)))</f>
        <v>6th</v>
      </c>
      <c r="AI106" s="3" t="str">
        <f>IF(VLOOKUP($C106,'All Girls &amp; Descendants - Edit'!$C$2:$AK$440,'All Girls &amp; Descendants - Edit'!AI$1,FALSE)=""," - ",(VLOOKUP($C106,'All Girls &amp; Descendants - Edit'!$C$2:$AK$440,'All Girls &amp; Descendants - Edit'!AI$1,FALSE)))</f>
        <v>Unmarried</v>
      </c>
      <c r="AJ106" s="3" t="str">
        <f>IF(VLOOKUP($C106,'All Girls &amp; Descendants - Edit'!$C$2:$AK$440,'All Girls &amp; Descendants - Edit'!AJ$1,FALSE)=""," - ",(VLOOKUP($C106,'All Girls &amp; Descendants - Edit'!$C$2:$AK$440,'All Girls &amp; Descendants - Edit'!AJ$1,FALSE)))</f>
        <v>Female. b. 30/03/1973 Born at Chichester, Sussex. Baptised 1 Jul 1973 at St Peter’s, Selsey, Sussex.</v>
      </c>
      <c r="AK106" s="3" t="str">
        <f>IF(VLOOKUP($C106,'All Girls &amp; Descendants - Edit'!$C$2:$AK$440,'All Girls &amp; Descendants - Edit'!AK$1,FALSE)=""," - ",(VLOOKUP($C106,'All Girls &amp; Descendants - Edit'!$C$2:$AK$440,'All Girls &amp; Descendants - Edit'!AK$1,FALSE)))</f>
        <v>b. 30/03/1973</v>
      </c>
    </row>
    <row r="107" spans="1:37" ht="19">
      <c r="A107">
        <f>VLOOKUP(B107,'Loyd List 1-190 - Edit'!$P$1:$R$219,3,FALSE)</f>
        <v>89</v>
      </c>
      <c r="B107">
        <f>'All Girls &amp; Descendants - Edit'!B108</f>
        <v>123</v>
      </c>
      <c r="C107" s="98" t="str">
        <f>'All Girls &amp; Descendants - Edit'!C108</f>
        <v>123a</v>
      </c>
      <c r="D107" s="2" t="str">
        <f>'All Girls &amp; Descendants - Edit'!D108</f>
        <v>BOSMAN</v>
      </c>
      <c r="E107" t="str">
        <f>'All Girls &amp; Descendants - Edit'!E108</f>
        <v>Katharine</v>
      </c>
      <c r="F107" t="str">
        <f>IF('All Girls &amp; Descendants - Edit'!F108="","",'All Girls &amp; Descendants - Edit'!F108)</f>
        <v>Jane</v>
      </c>
      <c r="G107" t="str">
        <f>IF('All Girls &amp; Descendants - Edit'!G108="","",'All Girls &amp; Descendants - Edit'!G108)</f>
        <v>Loyd</v>
      </c>
      <c r="H107" t="str">
        <f>IF('All Girls &amp; Descendants - Edit'!H108="","",'All Girls &amp; Descendants - Edit'!H108)</f>
        <v/>
      </c>
      <c r="I107">
        <f>VLOOKUP($C107,'All Girls &amp; Descendants - Edit'!$C$2:$AK$440,'All Girls &amp; Descendants - Edit'!I$1,FALSE)</f>
        <v>1978</v>
      </c>
      <c r="J107" t="str">
        <f>VLOOKUP($C107,'All Girls &amp; Descendants - Edit'!$C$2:$AK$440,'All Girls &amp; Descendants - Edit'!J$1,FALSE)</f>
        <v/>
      </c>
      <c r="K107" s="9"/>
      <c r="L107" t="str">
        <f t="shared" si="10"/>
        <v>06/09/1978</v>
      </c>
      <c r="M107" s="3">
        <f>VLOOKUP($C107,'All Girls &amp; Descendants - Edit'!$C$2:$AK$440,'All Girls &amp; Descendants - Edit'!M$1,FALSE)</f>
        <v>28739</v>
      </c>
      <c r="N107" s="3" t="str">
        <f>IF(VLOOKUP($C107,'All Girls &amp; Descendants - Edit'!$C$2:$AK$440,'All Girls &amp; Descendants - Edit'!N$1,FALSE)=""," - ",(VLOOKUP($C107,'All Girls &amp; Descendants - Edit'!$C$2:$AK$440,'All Girls &amp; Descendants - Edit'!N$1,FALSE)))</f>
        <v xml:space="preserve"> - </v>
      </c>
      <c r="O107" s="3" t="str">
        <f>IF(VLOOKUP($C107,'All Girls &amp; Descendants - Edit'!$C$2:$AK$440,'All Girls &amp; Descendants - Edit'!O$1,FALSE)="","",(VLOOKUP($C107,'All Girls &amp; Descendants - Edit'!$C$2:$AK$440,'All Girls &amp; Descendants - Edit'!O$1,FALSE)))</f>
        <v/>
      </c>
      <c r="P107" s="3" t="str">
        <f t="shared" si="14"/>
        <v/>
      </c>
      <c r="Q107" s="178" t="str">
        <f t="shared" si="15"/>
        <v>123</v>
      </c>
      <c r="R107" s="23"/>
      <c r="S107" t="str">
        <f>VLOOKUP($C107,'All Girls &amp; Descendants - Edit'!$C$2:$AK$440,'All Girls &amp; Descendants - Edit'!S$1,FALSE)</f>
        <v>Female</v>
      </c>
      <c r="T107" s="176">
        <f t="shared" si="16"/>
        <v>7</v>
      </c>
      <c r="U107" s="176">
        <f t="shared" si="11"/>
        <v>4</v>
      </c>
      <c r="V107" s="176">
        <f t="shared" si="12"/>
        <v>6</v>
      </c>
      <c r="W107" s="177">
        <f t="shared" si="13"/>
        <v>1</v>
      </c>
      <c r="X107" s="3" t="str">
        <f>IF(VLOOKUP($C107,'All Girls &amp; Descendants - Edit'!$C$2:$AK$440,'All Girls &amp; Descendants - Edit'!X$1,FALSE)=""," - ",(VLOOKUP($C107,'All Girls &amp; Descendants - Edit'!$C$2:$AK$440,'All Girls &amp; Descendants - Edit'!X$1,FALSE)))</f>
        <v>Charles (Charlie) Christopher Stephen TALBOT</v>
      </c>
      <c r="Y107" s="3" t="str">
        <f>IF(VLOOKUP($C107,'All Girls &amp; Descendants - Edit'!$C$2:$AK$440,'All Girls &amp; Descendants - Edit'!Y$1,FALSE)=""," - ",(VLOOKUP($C107,'All Girls &amp; Descendants - Edit'!$C$2:$AK$440,'All Girls &amp; Descendants - Edit'!Y$1,FALSE)))</f>
        <v>Married Charlie on 02/09/2006 at St Mary’s Church, Stoke by Nayland, Suffolk.</v>
      </c>
      <c r="Z107" s="3" t="str">
        <f>IF(VLOOKUP($C107,'All Girls &amp; Descendants - Edit'!$C$2:$AK$440,'All Girls &amp; Descendants - Edit'!Z$1,FALSE)=""," - ",(VLOOKUP($C107,'All Girls &amp; Descendants - Edit'!$C$2:$AK$440,'All Girls &amp; Descendants - Edit'!Z$1,FALSE)))</f>
        <v>Born at Ipswich, Suffolk. Lives in East London</v>
      </c>
      <c r="AA107" s="101">
        <f>IF(VLOOKUP($C107,'All Girls &amp; Descendants - Edit'!$C$2:$AK$440,'All Girls &amp; Descendants - Edit'!AA$1,FALSE)=""," - ",(VLOOKUP($C107,'All Girls &amp; Descendants - Edit'!$C$2:$AK$440,'All Girls &amp; Descendants - Edit'!AA$1,FALSE)))</f>
        <v>336</v>
      </c>
      <c r="AB107" s="101">
        <f>IF(VLOOKUP($C107,'All Girls &amp; Descendants - Edit'!$C$2:$AK$440,'All Girls &amp; Descendants - Edit'!AB$1,FALSE)=""," - ",(VLOOKUP($C107,'All Girls &amp; Descendants - Edit'!$C$2:$AK$440,'All Girls &amp; Descendants - Edit'!AB$1,FALSE)))</f>
        <v>106</v>
      </c>
      <c r="AC107" s="101">
        <f>IF(VLOOKUP($C107,'All Girls &amp; Descendants - Edit'!$C$2:$AK$440,'All Girls &amp; Descendants - Edit'!AC$1,FALSE)=""," - ",(VLOOKUP($C107,'All Girls &amp; Descendants - Edit'!$C$2:$AK$440,'All Girls &amp; Descendants - Edit'!AC$1,FALSE)))</f>
        <v>1106</v>
      </c>
      <c r="AD107" s="3" t="str">
        <f>IF(VLOOKUP($C107,'All Girls &amp; Descendants - Edit'!$C$2:$AK$440,'All Girls &amp; Descendants - Edit'!AD$1,FALSE)=""," - ",(VLOOKUP($C107,'All Girls &amp; Descendants - Edit'!$C$2:$AK$440,'All Girls &amp; Descendants - Edit'!AD$1,FALSE)))</f>
        <v>123a</v>
      </c>
      <c r="AE107" s="3" t="str">
        <f>IF(VLOOKUP($C107,'All Girls &amp; Descendants - Edit'!$C$2:$AK$440,'All Girls &amp; Descendants - Edit'!AE$1,FALSE)=""," - ",(VLOOKUP($C107,'All Girls &amp; Descendants - Edit'!$C$2:$AK$440,'All Girls &amp; Descendants - Edit'!AE$1,FALSE)))</f>
        <v>Katharine Jane Loyd BOSMAN (1978 - )</v>
      </c>
      <c r="AF107" s="3" t="str">
        <f>IF(VLOOKUP($C107,'All Girls &amp; Descendants - Edit'!$C$2:$AK$440,'All Girls &amp; Descendants - Edit'!AF$1,FALSE)=""," - ",(VLOOKUP($C107,'All Girls &amp; Descendants - Edit'!$C$2:$AK$440,'All Girls &amp; Descendants - Edit'!AF$1,FALSE)))</f>
        <v>Katharine BOSMAN (7th &amp; 123)</v>
      </c>
      <c r="AG107" s="3" t="str">
        <f>IF(VLOOKUP($C107,'All Girls &amp; Descendants - Edit'!$C$2:$AK$440,'All Girls &amp; Descendants - Edit'!AG$1,FALSE)=""," - ",(VLOOKUP($C107,'All Girls &amp; Descendants - Edit'!$C$2:$AK$440,'All Girls &amp; Descendants - Edit'!AG$1,FALSE)))</f>
        <v>Female</v>
      </c>
      <c r="AH107" s="3" t="str">
        <f>IF(VLOOKUP($C107,'All Girls &amp; Descendants - Edit'!$C$2:$AK$440,'All Girls &amp; Descendants - Edit'!AH$1,FALSE)=""," - ",(VLOOKUP($C107,'All Girls &amp; Descendants - Edit'!$C$2:$AK$440,'All Girls &amp; Descendants - Edit'!AH$1,FALSE)))</f>
        <v>7th</v>
      </c>
      <c r="AI107" s="3" t="str">
        <f>IF(VLOOKUP($C107,'All Girls &amp; Descendants - Edit'!$C$2:$AK$440,'All Girls &amp; Descendants - Edit'!AI$1,FALSE)=""," - ",(VLOOKUP($C107,'All Girls &amp; Descendants - Edit'!$C$2:$AK$440,'All Girls &amp; Descendants - Edit'!AI$1,FALSE)))</f>
        <v>Husband: Charles (Charlie) Christopher Stephen TALBOT. Married Charlie on 02/09/2006 at St Mary’s Church, Stoke by Nayland, Suffolk.</v>
      </c>
      <c r="AJ107" s="3" t="str">
        <f>IF(VLOOKUP($C107,'All Girls &amp; Descendants - Edit'!$C$2:$AK$440,'All Girls &amp; Descendants - Edit'!AJ$1,FALSE)=""," - ",(VLOOKUP($C107,'All Girls &amp; Descendants - Edit'!$C$2:$AK$440,'All Girls &amp; Descendants - Edit'!AJ$1,FALSE)))</f>
        <v>Female. b. 06/09/1978 Born at Ipswich, Suffolk. Lives in East London</v>
      </c>
      <c r="AK107" s="3" t="str">
        <f>IF(VLOOKUP($C107,'All Girls &amp; Descendants - Edit'!$C$2:$AK$440,'All Girls &amp; Descendants - Edit'!AK$1,FALSE)=""," - ",(VLOOKUP($C107,'All Girls &amp; Descendants - Edit'!$C$2:$AK$440,'All Girls &amp; Descendants - Edit'!AK$1,FALSE)))</f>
        <v>b. 06/09/1978</v>
      </c>
    </row>
    <row r="108" spans="1:37" ht="19">
      <c r="A108">
        <f>VLOOKUP(B108,'Loyd List 1-190 - Edit'!$P$1:$R$219,3,FALSE)</f>
        <v>89</v>
      </c>
      <c r="B108">
        <f>'All Girls &amp; Descendants - Edit'!B109</f>
        <v>123</v>
      </c>
      <c r="C108" s="98" t="str">
        <f>'All Girls &amp; Descendants - Edit'!C109</f>
        <v>123b</v>
      </c>
      <c r="D108" s="2" t="str">
        <f>'All Girls &amp; Descendants - Edit'!D109</f>
        <v>BOSMAN</v>
      </c>
      <c r="E108" t="str">
        <f>'All Girls &amp; Descendants - Edit'!E109</f>
        <v>Adam</v>
      </c>
      <c r="F108" t="str">
        <f>IF('All Girls &amp; Descendants - Edit'!F109="","",'All Girls &amp; Descendants - Edit'!F109)</f>
        <v>Terrence</v>
      </c>
      <c r="G108" t="str">
        <f>IF('All Girls &amp; Descendants - Edit'!G109="","",'All Girls &amp; Descendants - Edit'!G109)</f>
        <v>Loyd</v>
      </c>
      <c r="H108" t="str">
        <f>IF('All Girls &amp; Descendants - Edit'!H109="","",'All Girls &amp; Descendants - Edit'!H109)</f>
        <v/>
      </c>
      <c r="I108">
        <f>VLOOKUP($C108,'All Girls &amp; Descendants - Edit'!$C$2:$AK$440,'All Girls &amp; Descendants - Edit'!I$1,FALSE)</f>
        <v>1980</v>
      </c>
      <c r="J108" t="str">
        <f>VLOOKUP($C108,'All Girls &amp; Descendants - Edit'!$C$2:$AK$440,'All Girls &amp; Descendants - Edit'!J$1,FALSE)</f>
        <v/>
      </c>
      <c r="K108" s="9"/>
      <c r="L108" t="str">
        <f t="shared" si="10"/>
        <v>16/12/1980</v>
      </c>
      <c r="M108" s="3">
        <f>VLOOKUP($C108,'All Girls &amp; Descendants - Edit'!$C$2:$AK$440,'All Girls &amp; Descendants - Edit'!M$1,FALSE)</f>
        <v>29571</v>
      </c>
      <c r="N108" s="3" t="str">
        <f>IF(VLOOKUP($C108,'All Girls &amp; Descendants - Edit'!$C$2:$AK$440,'All Girls &amp; Descendants - Edit'!N$1,FALSE)=""," - ",(VLOOKUP($C108,'All Girls &amp; Descendants - Edit'!$C$2:$AK$440,'All Girls &amp; Descendants - Edit'!N$1,FALSE)))</f>
        <v xml:space="preserve"> - </v>
      </c>
      <c r="O108" s="3" t="str">
        <f>IF(VLOOKUP($C108,'All Girls &amp; Descendants - Edit'!$C$2:$AK$440,'All Girls &amp; Descendants - Edit'!O$1,FALSE)="","",(VLOOKUP($C108,'All Girls &amp; Descendants - Edit'!$C$2:$AK$440,'All Girls &amp; Descendants - Edit'!O$1,FALSE)))</f>
        <v/>
      </c>
      <c r="P108" s="3" t="str">
        <f t="shared" si="14"/>
        <v/>
      </c>
      <c r="Q108" s="178" t="str">
        <f t="shared" si="15"/>
        <v>123</v>
      </c>
      <c r="R108" s="23"/>
      <c r="S108" t="str">
        <f>VLOOKUP($C108,'All Girls &amp; Descendants - Edit'!$C$2:$AK$440,'All Girls &amp; Descendants - Edit'!S$1,FALSE)</f>
        <v>Male</v>
      </c>
      <c r="T108" s="176">
        <f t="shared" si="16"/>
        <v>7</v>
      </c>
      <c r="U108" s="176">
        <f t="shared" si="11"/>
        <v>4</v>
      </c>
      <c r="V108" s="176">
        <f t="shared" si="12"/>
        <v>6</v>
      </c>
      <c r="W108" s="177">
        <f t="shared" si="13"/>
        <v>1</v>
      </c>
      <c r="X108" s="3" t="str">
        <f>IF(VLOOKUP($C108,'All Girls &amp; Descendants - Edit'!$C$2:$AK$440,'All Girls &amp; Descendants - Edit'!X$1,FALSE)=""," - ",(VLOOKUP($C108,'All Girls &amp; Descendants - Edit'!$C$2:$AK$440,'All Girls &amp; Descendants - Edit'!X$1,FALSE)))</f>
        <v>Victoria Clare BROWN</v>
      </c>
      <c r="Y108" s="3" t="str">
        <f>IF(VLOOKUP($C108,'All Girls &amp; Descendants - Edit'!$C$2:$AK$440,'All Girls &amp; Descendants - Edit'!Y$1,FALSE)=""," - ",(VLOOKUP($C108,'All Girls &amp; Descendants - Edit'!$C$2:$AK$440,'All Girls &amp; Descendants - Edit'!Y$1,FALSE)))</f>
        <v>Married Victoria on 14 June 2014 at St Mary’s Church, Godmanchester, Cambridgeshire.</v>
      </c>
      <c r="Z108" s="3" t="str">
        <f>IF(VLOOKUP($C108,'All Girls &amp; Descendants - Edit'!$C$2:$AK$440,'All Girls &amp; Descendants - Edit'!Z$1,FALSE)=""," - ",(VLOOKUP($C108,'All Girls &amp; Descendants - Edit'!$C$2:$AK$440,'All Girls &amp; Descendants - Edit'!Z$1,FALSE)))</f>
        <v>Born at Ipswich, Suffolk. Lives in Godmanchester.</v>
      </c>
      <c r="AA108" s="101">
        <f>IF(VLOOKUP($C108,'All Girls &amp; Descendants - Edit'!$C$2:$AK$440,'All Girls &amp; Descendants - Edit'!AA$1,FALSE)=""," - ",(VLOOKUP($C108,'All Girls &amp; Descendants - Edit'!$C$2:$AK$440,'All Girls &amp; Descendants - Edit'!AA$1,FALSE)))</f>
        <v>337</v>
      </c>
      <c r="AB108" s="101">
        <f>IF(VLOOKUP($C108,'All Girls &amp; Descendants - Edit'!$C$2:$AK$440,'All Girls &amp; Descendants - Edit'!AB$1,FALSE)=""," - ",(VLOOKUP($C108,'All Girls &amp; Descendants - Edit'!$C$2:$AK$440,'All Girls &amp; Descendants - Edit'!AB$1,FALSE)))</f>
        <v>107</v>
      </c>
      <c r="AC108" s="101">
        <f>IF(VLOOKUP($C108,'All Girls &amp; Descendants - Edit'!$C$2:$AK$440,'All Girls &amp; Descendants - Edit'!AC$1,FALSE)=""," - ",(VLOOKUP($C108,'All Girls &amp; Descendants - Edit'!$C$2:$AK$440,'All Girls &amp; Descendants - Edit'!AC$1,FALSE)))</f>
        <v>1107</v>
      </c>
      <c r="AD108" s="3" t="str">
        <f>IF(VLOOKUP($C108,'All Girls &amp; Descendants - Edit'!$C$2:$AK$440,'All Girls &amp; Descendants - Edit'!AD$1,FALSE)=""," - ",(VLOOKUP($C108,'All Girls &amp; Descendants - Edit'!$C$2:$AK$440,'All Girls &amp; Descendants - Edit'!AD$1,FALSE)))</f>
        <v>123b</v>
      </c>
      <c r="AE108" s="3" t="str">
        <f>IF(VLOOKUP($C108,'All Girls &amp; Descendants - Edit'!$C$2:$AK$440,'All Girls &amp; Descendants - Edit'!AE$1,FALSE)=""," - ",(VLOOKUP($C108,'All Girls &amp; Descendants - Edit'!$C$2:$AK$440,'All Girls &amp; Descendants - Edit'!AE$1,FALSE)))</f>
        <v>Adam Terrence Loyd BOSMAN (1980 - )</v>
      </c>
      <c r="AF108" s="3" t="str">
        <f>IF(VLOOKUP($C108,'All Girls &amp; Descendants - Edit'!$C$2:$AK$440,'All Girls &amp; Descendants - Edit'!AF$1,FALSE)=""," - ",(VLOOKUP($C108,'All Girls &amp; Descendants - Edit'!$C$2:$AK$440,'All Girls &amp; Descendants - Edit'!AF$1,FALSE)))</f>
        <v>Adam BOSMAN (7th &amp; 123)</v>
      </c>
      <c r="AG108" s="3" t="str">
        <f>IF(VLOOKUP($C108,'All Girls &amp; Descendants - Edit'!$C$2:$AK$440,'All Girls &amp; Descendants - Edit'!AG$1,FALSE)=""," - ",(VLOOKUP($C108,'All Girls &amp; Descendants - Edit'!$C$2:$AK$440,'All Girls &amp; Descendants - Edit'!AG$1,FALSE)))</f>
        <v>Male</v>
      </c>
      <c r="AH108" s="3" t="str">
        <f>IF(VLOOKUP($C108,'All Girls &amp; Descendants - Edit'!$C$2:$AK$440,'All Girls &amp; Descendants - Edit'!AH$1,FALSE)=""," - ",(VLOOKUP($C108,'All Girls &amp; Descendants - Edit'!$C$2:$AK$440,'All Girls &amp; Descendants - Edit'!AH$1,FALSE)))</f>
        <v>7th</v>
      </c>
      <c r="AI108" s="3" t="str">
        <f>IF(VLOOKUP($C108,'All Girls &amp; Descendants - Edit'!$C$2:$AK$440,'All Girls &amp; Descendants - Edit'!AI$1,FALSE)=""," - ",(VLOOKUP($C108,'All Girls &amp; Descendants - Edit'!$C$2:$AK$440,'All Girls &amp; Descendants - Edit'!AI$1,FALSE)))</f>
        <v>Wife: Victoria Clare BROWN. Married Victoria on 14 June 2014 at St Mary’s Church, Godmanchester, Cambridgeshire.</v>
      </c>
      <c r="AJ108" s="3" t="str">
        <f>IF(VLOOKUP($C108,'All Girls &amp; Descendants - Edit'!$C$2:$AK$440,'All Girls &amp; Descendants - Edit'!AJ$1,FALSE)=""," - ",(VLOOKUP($C108,'All Girls &amp; Descendants - Edit'!$C$2:$AK$440,'All Girls &amp; Descendants - Edit'!AJ$1,FALSE)))</f>
        <v>Male. b. 16/12/1980 Born at Ipswich, Suffolk. Lives in Godmanchester.</v>
      </c>
      <c r="AK108" s="3" t="str">
        <f>IF(VLOOKUP($C108,'All Girls &amp; Descendants - Edit'!$C$2:$AK$440,'All Girls &amp; Descendants - Edit'!AK$1,FALSE)=""," - ",(VLOOKUP($C108,'All Girls &amp; Descendants - Edit'!$C$2:$AK$440,'All Girls &amp; Descendants - Edit'!AK$1,FALSE)))</f>
        <v>b. 16/12/1980</v>
      </c>
    </row>
    <row r="109" spans="1:37" ht="19">
      <c r="A109">
        <f>VLOOKUP(B109,'Loyd List 1-190 - Edit'!$P$1:$R$219,3,FALSE)</f>
        <v>86</v>
      </c>
      <c r="B109">
        <f>'All Girls &amp; Descendants - Edit'!B110</f>
        <v>125</v>
      </c>
      <c r="C109" s="98" t="str">
        <f>'All Girls &amp; Descendants - Edit'!C110</f>
        <v>125a</v>
      </c>
      <c r="D109" s="2" t="str">
        <f>'All Girls &amp; Descendants - Edit'!D110</f>
        <v>HAWKEY</v>
      </c>
      <c r="E109" t="str">
        <f>'All Girls &amp; Descendants - Edit'!E110</f>
        <v>Bryan</v>
      </c>
      <c r="F109" t="str">
        <f>IF('All Girls &amp; Descendants - Edit'!F110="","",'All Girls &amp; Descendants - Edit'!F110)</f>
        <v>Patrick</v>
      </c>
      <c r="G109" t="str">
        <f>IF('All Girls &amp; Descendants - Edit'!G110="","",'All Girls &amp; Descendants - Edit'!G110)</f>
        <v/>
      </c>
      <c r="H109" t="str">
        <f>IF('All Girls &amp; Descendants - Edit'!H110="","",'All Girls &amp; Descendants - Edit'!H110)</f>
        <v/>
      </c>
      <c r="I109">
        <f>VLOOKUP($C109,'All Girls &amp; Descendants - Edit'!$C$2:$AK$440,'All Girls &amp; Descendants - Edit'!I$1,FALSE)</f>
        <v>1976</v>
      </c>
      <c r="J109" t="str">
        <f>VLOOKUP($C109,'All Girls &amp; Descendants - Edit'!$C$2:$AK$440,'All Girls &amp; Descendants - Edit'!J$1,FALSE)</f>
        <v/>
      </c>
      <c r="K109" s="9"/>
      <c r="L109" t="str">
        <f t="shared" si="10"/>
        <v>23/07/1976</v>
      </c>
      <c r="M109" s="3">
        <f>VLOOKUP($C109,'All Girls &amp; Descendants - Edit'!$C$2:$AK$440,'All Girls &amp; Descendants - Edit'!M$1,FALSE)</f>
        <v>27964</v>
      </c>
      <c r="N109" s="3" t="str">
        <f>IF(VLOOKUP($C109,'All Girls &amp; Descendants - Edit'!$C$2:$AK$440,'All Girls &amp; Descendants - Edit'!N$1,FALSE)=""," - ",(VLOOKUP($C109,'All Girls &amp; Descendants - Edit'!$C$2:$AK$440,'All Girls &amp; Descendants - Edit'!N$1,FALSE)))</f>
        <v xml:space="preserve"> - </v>
      </c>
      <c r="O109" s="3" t="str">
        <f>IF(VLOOKUP($C109,'All Girls &amp; Descendants - Edit'!$C$2:$AK$440,'All Girls &amp; Descendants - Edit'!O$1,FALSE)="","",(VLOOKUP($C109,'All Girls &amp; Descendants - Edit'!$C$2:$AK$440,'All Girls &amp; Descendants - Edit'!O$1,FALSE)))</f>
        <v/>
      </c>
      <c r="P109" s="3" t="str">
        <f t="shared" si="14"/>
        <v/>
      </c>
      <c r="Q109" s="178" t="str">
        <f t="shared" si="15"/>
        <v>125</v>
      </c>
      <c r="R109" s="23"/>
      <c r="S109" t="str">
        <f>VLOOKUP($C109,'All Girls &amp; Descendants - Edit'!$C$2:$AK$440,'All Girls &amp; Descendants - Edit'!S$1,FALSE)</f>
        <v>Male</v>
      </c>
      <c r="T109" s="176">
        <f t="shared" si="16"/>
        <v>7</v>
      </c>
      <c r="U109" s="176">
        <f t="shared" si="11"/>
        <v>4</v>
      </c>
      <c r="V109" s="176">
        <f t="shared" si="12"/>
        <v>6</v>
      </c>
      <c r="W109" s="177">
        <f t="shared" si="13"/>
        <v>1</v>
      </c>
      <c r="X109" s="3" t="str">
        <f>IF(VLOOKUP($C109,'All Girls &amp; Descendants - Edit'!$C$2:$AK$440,'All Girls &amp; Descendants - Edit'!X$1,FALSE)=""," - ",(VLOOKUP($C109,'All Girls &amp; Descendants - Edit'!$C$2:$AK$440,'All Girls &amp; Descendants - Edit'!X$1,FALSE)))</f>
        <v xml:space="preserve"> - </v>
      </c>
      <c r="Y109" s="3" t="str">
        <f>IF(VLOOKUP($C109,'All Girls &amp; Descendants - Edit'!$C$2:$AK$440,'All Girls &amp; Descendants - Edit'!Y$1,FALSE)=""," - ",(VLOOKUP($C109,'All Girls &amp; Descendants - Edit'!$C$2:$AK$440,'All Girls &amp; Descendants - Edit'!Y$1,FALSE)))</f>
        <v xml:space="preserve"> - </v>
      </c>
      <c r="Z109" s="3" t="str">
        <f>IF(VLOOKUP($C109,'All Girls &amp; Descendants - Edit'!$C$2:$AK$440,'All Girls &amp; Descendants - Edit'!Z$1,FALSE)=""," - ",(VLOOKUP($C109,'All Girls &amp; Descendants - Edit'!$C$2:$AK$440,'All Girls &amp; Descendants - Edit'!Z$1,FALSE)))</f>
        <v xml:space="preserve"> - </v>
      </c>
      <c r="AA109" s="101">
        <f>IF(VLOOKUP($C109,'All Girls &amp; Descendants - Edit'!$C$2:$AK$440,'All Girls &amp; Descendants - Edit'!AA$1,FALSE)=""," - ",(VLOOKUP($C109,'All Girls &amp; Descendants - Edit'!$C$2:$AK$440,'All Girls &amp; Descendants - Edit'!AA$1,FALSE)))</f>
        <v>338</v>
      </c>
      <c r="AB109" s="101">
        <f>IF(VLOOKUP($C109,'All Girls &amp; Descendants - Edit'!$C$2:$AK$440,'All Girls &amp; Descendants - Edit'!AB$1,FALSE)=""," - ",(VLOOKUP($C109,'All Girls &amp; Descendants - Edit'!$C$2:$AK$440,'All Girls &amp; Descendants - Edit'!AB$1,FALSE)))</f>
        <v>108</v>
      </c>
      <c r="AC109" s="101">
        <f>IF(VLOOKUP($C109,'All Girls &amp; Descendants - Edit'!$C$2:$AK$440,'All Girls &amp; Descendants - Edit'!AC$1,FALSE)=""," - ",(VLOOKUP($C109,'All Girls &amp; Descendants - Edit'!$C$2:$AK$440,'All Girls &amp; Descendants - Edit'!AC$1,FALSE)))</f>
        <v>1108</v>
      </c>
      <c r="AD109" s="3" t="str">
        <f>IF(VLOOKUP($C109,'All Girls &amp; Descendants - Edit'!$C$2:$AK$440,'All Girls &amp; Descendants - Edit'!AD$1,FALSE)=""," - ",(VLOOKUP($C109,'All Girls &amp; Descendants - Edit'!$C$2:$AK$440,'All Girls &amp; Descendants - Edit'!AD$1,FALSE)))</f>
        <v>125a</v>
      </c>
      <c r="AE109" s="3" t="str">
        <f>IF(VLOOKUP($C109,'All Girls &amp; Descendants - Edit'!$C$2:$AK$440,'All Girls &amp; Descendants - Edit'!AE$1,FALSE)=""," - ",(VLOOKUP($C109,'All Girls &amp; Descendants - Edit'!$C$2:$AK$440,'All Girls &amp; Descendants - Edit'!AE$1,FALSE)))</f>
        <v>Bryan Patrick  HAWKEY (1976 - )</v>
      </c>
      <c r="AF109" s="3" t="str">
        <f>IF(VLOOKUP($C109,'All Girls &amp; Descendants - Edit'!$C$2:$AK$440,'All Girls &amp; Descendants - Edit'!AF$1,FALSE)=""," - ",(VLOOKUP($C109,'All Girls &amp; Descendants - Edit'!$C$2:$AK$440,'All Girls &amp; Descendants - Edit'!AF$1,FALSE)))</f>
        <v>Bryan HAWKEY (7th &amp; 125)</v>
      </c>
      <c r="AG109" s="3" t="str">
        <f>IF(VLOOKUP($C109,'All Girls &amp; Descendants - Edit'!$C$2:$AK$440,'All Girls &amp; Descendants - Edit'!AG$1,FALSE)=""," - ",(VLOOKUP($C109,'All Girls &amp; Descendants - Edit'!$C$2:$AK$440,'All Girls &amp; Descendants - Edit'!AG$1,FALSE)))</f>
        <v>Male</v>
      </c>
      <c r="AH109" s="3" t="str">
        <f>IF(VLOOKUP($C109,'All Girls &amp; Descendants - Edit'!$C$2:$AK$440,'All Girls &amp; Descendants - Edit'!AH$1,FALSE)=""," - ",(VLOOKUP($C109,'All Girls &amp; Descendants - Edit'!$C$2:$AK$440,'All Girls &amp; Descendants - Edit'!AH$1,FALSE)))</f>
        <v>7th</v>
      </c>
      <c r="AI109" s="3" t="str">
        <f>IF(VLOOKUP($C109,'All Girls &amp; Descendants - Edit'!$C$2:$AK$440,'All Girls &amp; Descendants - Edit'!AI$1,FALSE)=""," - ",(VLOOKUP($C109,'All Girls &amp; Descendants - Edit'!$C$2:$AK$440,'All Girls &amp; Descendants - Edit'!AI$1,FALSE)))</f>
        <v>Unmarried</v>
      </c>
      <c r="AJ109" s="3" t="str">
        <f>IF(VLOOKUP($C109,'All Girls &amp; Descendants - Edit'!$C$2:$AK$440,'All Girls &amp; Descendants - Edit'!AJ$1,FALSE)=""," - ",(VLOOKUP($C109,'All Girls &amp; Descendants - Edit'!$C$2:$AK$440,'All Girls &amp; Descendants - Edit'!AJ$1,FALSE)))</f>
        <v>Male. b. 23/07/1976</v>
      </c>
      <c r="AK109" s="3" t="str">
        <f>IF(VLOOKUP($C109,'All Girls &amp; Descendants - Edit'!$C$2:$AK$440,'All Girls &amp; Descendants - Edit'!AK$1,FALSE)=""," - ",(VLOOKUP($C109,'All Girls &amp; Descendants - Edit'!$C$2:$AK$440,'All Girls &amp; Descendants - Edit'!AK$1,FALSE)))</f>
        <v>b. 23/07/1976</v>
      </c>
    </row>
    <row r="110" spans="1:37" ht="19">
      <c r="A110">
        <f>VLOOKUP(B110,'Loyd List 1-190 - Edit'!$P$1:$R$219,3,FALSE)</f>
        <v>86</v>
      </c>
      <c r="B110">
        <f>'All Girls &amp; Descendants - Edit'!B111</f>
        <v>125</v>
      </c>
      <c r="C110" s="98" t="str">
        <f>'All Girls &amp; Descendants - Edit'!C111</f>
        <v>125b</v>
      </c>
      <c r="D110" s="2" t="str">
        <f>'All Girls &amp; Descendants - Edit'!D111</f>
        <v>HAWKEY</v>
      </c>
      <c r="E110" t="str">
        <f>'All Girls &amp; Descendants - Edit'!E111</f>
        <v>Allison</v>
      </c>
      <c r="F110" t="str">
        <f>IF('All Girls &amp; Descendants - Edit'!F111="","",'All Girls &amp; Descendants - Edit'!F111)</f>
        <v>Mary</v>
      </c>
      <c r="G110" t="str">
        <f>IF('All Girls &amp; Descendants - Edit'!G111="","",'All Girls &amp; Descendants - Edit'!G111)</f>
        <v/>
      </c>
      <c r="H110" t="str">
        <f>IF('All Girls &amp; Descendants - Edit'!H111="","",'All Girls &amp; Descendants - Edit'!H111)</f>
        <v/>
      </c>
      <c r="I110">
        <f>VLOOKUP($C110,'All Girls &amp; Descendants - Edit'!$C$2:$AK$440,'All Girls &amp; Descendants - Edit'!I$1,FALSE)</f>
        <v>1978</v>
      </c>
      <c r="J110" t="str">
        <f>VLOOKUP($C110,'All Girls &amp; Descendants - Edit'!$C$2:$AK$440,'All Girls &amp; Descendants - Edit'!J$1,FALSE)</f>
        <v/>
      </c>
      <c r="K110" s="9"/>
      <c r="L110" t="str">
        <f t="shared" si="10"/>
        <v>23/05/1978</v>
      </c>
      <c r="M110" s="3">
        <f>VLOOKUP($C110,'All Girls &amp; Descendants - Edit'!$C$2:$AK$440,'All Girls &amp; Descendants - Edit'!M$1,FALSE)</f>
        <v>28633</v>
      </c>
      <c r="N110" s="3" t="str">
        <f>IF(VLOOKUP($C110,'All Girls &amp; Descendants - Edit'!$C$2:$AK$440,'All Girls &amp; Descendants - Edit'!N$1,FALSE)=""," - ",(VLOOKUP($C110,'All Girls &amp; Descendants - Edit'!$C$2:$AK$440,'All Girls &amp; Descendants - Edit'!N$1,FALSE)))</f>
        <v xml:space="preserve"> - </v>
      </c>
      <c r="O110" s="3" t="str">
        <f>IF(VLOOKUP($C110,'All Girls &amp; Descendants - Edit'!$C$2:$AK$440,'All Girls &amp; Descendants - Edit'!O$1,FALSE)="","",(VLOOKUP($C110,'All Girls &amp; Descendants - Edit'!$C$2:$AK$440,'All Girls &amp; Descendants - Edit'!O$1,FALSE)))</f>
        <v/>
      </c>
      <c r="P110" s="3" t="str">
        <f t="shared" si="14"/>
        <v/>
      </c>
      <c r="Q110" s="178" t="str">
        <f t="shared" si="15"/>
        <v>125</v>
      </c>
      <c r="R110" s="23"/>
      <c r="S110" t="str">
        <f>VLOOKUP($C110,'All Girls &amp; Descendants - Edit'!$C$2:$AK$440,'All Girls &amp; Descendants - Edit'!S$1,FALSE)</f>
        <v>Female</v>
      </c>
      <c r="T110" s="176">
        <f t="shared" si="16"/>
        <v>7</v>
      </c>
      <c r="U110" s="176">
        <f t="shared" si="11"/>
        <v>4</v>
      </c>
      <c r="V110" s="176">
        <f t="shared" si="12"/>
        <v>6</v>
      </c>
      <c r="W110" s="177">
        <f t="shared" si="13"/>
        <v>1</v>
      </c>
      <c r="X110" s="3" t="str">
        <f>IF(VLOOKUP($C110,'All Girls &amp; Descendants - Edit'!$C$2:$AK$440,'All Girls &amp; Descendants - Edit'!X$1,FALSE)=""," - ",(VLOOKUP($C110,'All Girls &amp; Descendants - Edit'!$C$2:$AK$440,'All Girls &amp; Descendants - Edit'!X$1,FALSE)))</f>
        <v xml:space="preserve"> - </v>
      </c>
      <c r="Y110" s="3" t="str">
        <f>IF(VLOOKUP($C110,'All Girls &amp; Descendants - Edit'!$C$2:$AK$440,'All Girls &amp; Descendants - Edit'!Y$1,FALSE)=""," - ",(VLOOKUP($C110,'All Girls &amp; Descendants - Edit'!$C$2:$AK$440,'All Girls &amp; Descendants - Edit'!Y$1,FALSE)))</f>
        <v xml:space="preserve"> - </v>
      </c>
      <c r="Z110" s="3" t="str">
        <f>IF(VLOOKUP($C110,'All Girls &amp; Descendants - Edit'!$C$2:$AK$440,'All Girls &amp; Descendants - Edit'!Z$1,FALSE)=""," - ",(VLOOKUP($C110,'All Girls &amp; Descendants - Edit'!$C$2:$AK$440,'All Girls &amp; Descendants - Edit'!Z$1,FALSE)))</f>
        <v xml:space="preserve"> - </v>
      </c>
      <c r="AA110" s="101">
        <f>IF(VLOOKUP($C110,'All Girls &amp; Descendants - Edit'!$C$2:$AK$440,'All Girls &amp; Descendants - Edit'!AA$1,FALSE)=""," - ",(VLOOKUP($C110,'All Girls &amp; Descendants - Edit'!$C$2:$AK$440,'All Girls &amp; Descendants - Edit'!AA$1,FALSE)))</f>
        <v>339</v>
      </c>
      <c r="AB110" s="101">
        <f>IF(VLOOKUP($C110,'All Girls &amp; Descendants - Edit'!$C$2:$AK$440,'All Girls &amp; Descendants - Edit'!AB$1,FALSE)=""," - ",(VLOOKUP($C110,'All Girls &amp; Descendants - Edit'!$C$2:$AK$440,'All Girls &amp; Descendants - Edit'!AB$1,FALSE)))</f>
        <v>109</v>
      </c>
      <c r="AC110" s="101">
        <f>IF(VLOOKUP($C110,'All Girls &amp; Descendants - Edit'!$C$2:$AK$440,'All Girls &amp; Descendants - Edit'!AC$1,FALSE)=""," - ",(VLOOKUP($C110,'All Girls &amp; Descendants - Edit'!$C$2:$AK$440,'All Girls &amp; Descendants - Edit'!AC$1,FALSE)))</f>
        <v>1109</v>
      </c>
      <c r="AD110" s="3" t="str">
        <f>IF(VLOOKUP($C110,'All Girls &amp; Descendants - Edit'!$C$2:$AK$440,'All Girls &amp; Descendants - Edit'!AD$1,FALSE)=""," - ",(VLOOKUP($C110,'All Girls &amp; Descendants - Edit'!$C$2:$AK$440,'All Girls &amp; Descendants - Edit'!AD$1,FALSE)))</f>
        <v>125b</v>
      </c>
      <c r="AE110" s="3" t="str">
        <f>IF(VLOOKUP($C110,'All Girls &amp; Descendants - Edit'!$C$2:$AK$440,'All Girls &amp; Descendants - Edit'!AE$1,FALSE)=""," - ",(VLOOKUP($C110,'All Girls &amp; Descendants - Edit'!$C$2:$AK$440,'All Girls &amp; Descendants - Edit'!AE$1,FALSE)))</f>
        <v>Allison Mary  HAWKEY (1978 - )</v>
      </c>
      <c r="AF110" s="3" t="str">
        <f>IF(VLOOKUP($C110,'All Girls &amp; Descendants - Edit'!$C$2:$AK$440,'All Girls &amp; Descendants - Edit'!AF$1,FALSE)=""," - ",(VLOOKUP($C110,'All Girls &amp; Descendants - Edit'!$C$2:$AK$440,'All Girls &amp; Descendants - Edit'!AF$1,FALSE)))</f>
        <v>Allison HAWKEY (7th &amp; 125)</v>
      </c>
      <c r="AG110" s="3" t="str">
        <f>IF(VLOOKUP($C110,'All Girls &amp; Descendants - Edit'!$C$2:$AK$440,'All Girls &amp; Descendants - Edit'!AG$1,FALSE)=""," - ",(VLOOKUP($C110,'All Girls &amp; Descendants - Edit'!$C$2:$AK$440,'All Girls &amp; Descendants - Edit'!AG$1,FALSE)))</f>
        <v>Female</v>
      </c>
      <c r="AH110" s="3" t="str">
        <f>IF(VLOOKUP($C110,'All Girls &amp; Descendants - Edit'!$C$2:$AK$440,'All Girls &amp; Descendants - Edit'!AH$1,FALSE)=""," - ",(VLOOKUP($C110,'All Girls &amp; Descendants - Edit'!$C$2:$AK$440,'All Girls &amp; Descendants - Edit'!AH$1,FALSE)))</f>
        <v>7th</v>
      </c>
      <c r="AI110" s="3" t="str">
        <f>IF(VLOOKUP($C110,'All Girls &amp; Descendants - Edit'!$C$2:$AK$440,'All Girls &amp; Descendants - Edit'!AI$1,FALSE)=""," - ",(VLOOKUP($C110,'All Girls &amp; Descendants - Edit'!$C$2:$AK$440,'All Girls &amp; Descendants - Edit'!AI$1,FALSE)))</f>
        <v>Unmarried</v>
      </c>
      <c r="AJ110" s="3" t="str">
        <f>IF(VLOOKUP($C110,'All Girls &amp; Descendants - Edit'!$C$2:$AK$440,'All Girls &amp; Descendants - Edit'!AJ$1,FALSE)=""," - ",(VLOOKUP($C110,'All Girls &amp; Descendants - Edit'!$C$2:$AK$440,'All Girls &amp; Descendants - Edit'!AJ$1,FALSE)))</f>
        <v>Female. b. 23/05/1978</v>
      </c>
      <c r="AK110" s="3" t="str">
        <f>IF(VLOOKUP($C110,'All Girls &amp; Descendants - Edit'!$C$2:$AK$440,'All Girls &amp; Descendants - Edit'!AK$1,FALSE)=""," - ",(VLOOKUP($C110,'All Girls &amp; Descendants - Edit'!$C$2:$AK$440,'All Girls &amp; Descendants - Edit'!AK$1,FALSE)))</f>
        <v>b. 23/05/1978</v>
      </c>
    </row>
    <row r="111" spans="1:37" ht="19">
      <c r="A111">
        <f>VLOOKUP(B111,'Loyd List 1-190 - Edit'!$P$1:$R$219,3,FALSE)</f>
        <v>98</v>
      </c>
      <c r="B111">
        <f>'All Girls &amp; Descendants - Edit'!B112</f>
        <v>128</v>
      </c>
      <c r="C111" s="98" t="str">
        <f>'All Girls &amp; Descendants - Edit'!C112</f>
        <v>128a</v>
      </c>
      <c r="D111" s="2" t="str">
        <f>'All Girls &amp; Descendants - Edit'!D112</f>
        <v>PEMBERTON</v>
      </c>
      <c r="E111" t="str">
        <f>'All Girls &amp; Descendants - Edit'!E112</f>
        <v>Chloe</v>
      </c>
      <c r="F111" t="str">
        <f>IF('All Girls &amp; Descendants - Edit'!F112="","",'All Girls &amp; Descendants - Edit'!F112)</f>
        <v>Louise</v>
      </c>
      <c r="G111" t="str">
        <f>IF('All Girls &amp; Descendants - Edit'!G112="","",'All Girls &amp; Descendants - Edit'!G112)</f>
        <v/>
      </c>
      <c r="H111" t="str">
        <f>IF('All Girls &amp; Descendants - Edit'!H112="","",'All Girls &amp; Descendants - Edit'!H112)</f>
        <v/>
      </c>
      <c r="I111">
        <f>VLOOKUP($C111,'All Girls &amp; Descendants - Edit'!$C$2:$AK$440,'All Girls &amp; Descendants - Edit'!I$1,FALSE)</f>
        <v>1991</v>
      </c>
      <c r="J111" t="str">
        <f>VLOOKUP($C111,'All Girls &amp; Descendants - Edit'!$C$2:$AK$440,'All Girls &amp; Descendants - Edit'!J$1,FALSE)</f>
        <v/>
      </c>
      <c r="K111" s="9"/>
      <c r="L111" t="str">
        <f t="shared" si="10"/>
        <v>04/01/1991</v>
      </c>
      <c r="M111" s="3">
        <f>VLOOKUP($C111,'All Girls &amp; Descendants - Edit'!$C$2:$AK$440,'All Girls &amp; Descendants - Edit'!M$1,FALSE)</f>
        <v>33242</v>
      </c>
      <c r="N111" s="3" t="str">
        <f>IF(VLOOKUP($C111,'All Girls &amp; Descendants - Edit'!$C$2:$AK$440,'All Girls &amp; Descendants - Edit'!N$1,FALSE)=""," - ",(VLOOKUP($C111,'All Girls &amp; Descendants - Edit'!$C$2:$AK$440,'All Girls &amp; Descendants - Edit'!N$1,FALSE)))</f>
        <v xml:space="preserve"> - </v>
      </c>
      <c r="O111" s="3" t="str">
        <f>IF(VLOOKUP($C111,'All Girls &amp; Descendants - Edit'!$C$2:$AK$440,'All Girls &amp; Descendants - Edit'!O$1,FALSE)="","",(VLOOKUP($C111,'All Girls &amp; Descendants - Edit'!$C$2:$AK$440,'All Girls &amp; Descendants - Edit'!O$1,FALSE)))</f>
        <v/>
      </c>
      <c r="P111" s="3" t="str">
        <f t="shared" si="14"/>
        <v/>
      </c>
      <c r="Q111" s="178" t="str">
        <f t="shared" si="15"/>
        <v>128</v>
      </c>
      <c r="R111" s="23"/>
      <c r="S111" t="str">
        <f>VLOOKUP($C111,'All Girls &amp; Descendants - Edit'!$C$2:$AK$440,'All Girls &amp; Descendants - Edit'!S$1,FALSE)</f>
        <v>Female</v>
      </c>
      <c r="T111" s="176">
        <f t="shared" si="16"/>
        <v>7</v>
      </c>
      <c r="U111" s="176">
        <f t="shared" si="11"/>
        <v>4</v>
      </c>
      <c r="V111" s="176">
        <f t="shared" si="12"/>
        <v>6</v>
      </c>
      <c r="W111" s="177">
        <f t="shared" si="13"/>
        <v>1</v>
      </c>
      <c r="X111" s="3" t="str">
        <f>IF(VLOOKUP($C111,'All Girls &amp; Descendants - Edit'!$C$2:$AK$440,'All Girls &amp; Descendants - Edit'!X$1,FALSE)=""," - ",(VLOOKUP($C111,'All Girls &amp; Descendants - Edit'!$C$2:$AK$440,'All Girls &amp; Descendants - Edit'!X$1,FALSE)))</f>
        <v xml:space="preserve"> - </v>
      </c>
      <c r="Y111" s="3" t="str">
        <f>IF(VLOOKUP($C111,'All Girls &amp; Descendants - Edit'!$C$2:$AK$440,'All Girls &amp; Descendants - Edit'!Y$1,FALSE)=""," - ",(VLOOKUP($C111,'All Girls &amp; Descendants - Edit'!$C$2:$AK$440,'All Girls &amp; Descendants - Edit'!Y$1,FALSE)))</f>
        <v xml:space="preserve"> - </v>
      </c>
      <c r="Z111" s="3" t="str">
        <f>IF(VLOOKUP($C111,'All Girls &amp; Descendants - Edit'!$C$2:$AK$440,'All Girls &amp; Descendants - Edit'!Z$1,FALSE)=""," - ",(VLOOKUP($C111,'All Girls &amp; Descendants - Edit'!$C$2:$AK$440,'All Girls &amp; Descendants - Edit'!Z$1,FALSE)))</f>
        <v>Born at St Albans City Hospital. Baptised 1 Sep 1991 at St Michael’s, St Albans, Hertfordshire.</v>
      </c>
      <c r="AA111" s="101">
        <f>IF(VLOOKUP($C111,'All Girls &amp; Descendants - Edit'!$C$2:$AK$440,'All Girls &amp; Descendants - Edit'!AA$1,FALSE)=""," - ",(VLOOKUP($C111,'All Girls &amp; Descendants - Edit'!$C$2:$AK$440,'All Girls &amp; Descendants - Edit'!AA$1,FALSE)))</f>
        <v>340</v>
      </c>
      <c r="AB111" s="101">
        <f>IF(VLOOKUP($C111,'All Girls &amp; Descendants - Edit'!$C$2:$AK$440,'All Girls &amp; Descendants - Edit'!AB$1,FALSE)=""," - ",(VLOOKUP($C111,'All Girls &amp; Descendants - Edit'!$C$2:$AK$440,'All Girls &amp; Descendants - Edit'!AB$1,FALSE)))</f>
        <v>110</v>
      </c>
      <c r="AC111" s="101">
        <f>IF(VLOOKUP($C111,'All Girls &amp; Descendants - Edit'!$C$2:$AK$440,'All Girls &amp; Descendants - Edit'!AC$1,FALSE)=""," - ",(VLOOKUP($C111,'All Girls &amp; Descendants - Edit'!$C$2:$AK$440,'All Girls &amp; Descendants - Edit'!AC$1,FALSE)))</f>
        <v>1110</v>
      </c>
      <c r="AD111" s="3" t="str">
        <f>IF(VLOOKUP($C111,'All Girls &amp; Descendants - Edit'!$C$2:$AK$440,'All Girls &amp; Descendants - Edit'!AD$1,FALSE)=""," - ",(VLOOKUP($C111,'All Girls &amp; Descendants - Edit'!$C$2:$AK$440,'All Girls &amp; Descendants - Edit'!AD$1,FALSE)))</f>
        <v>128a</v>
      </c>
      <c r="AE111" s="3" t="str">
        <f>IF(VLOOKUP($C111,'All Girls &amp; Descendants - Edit'!$C$2:$AK$440,'All Girls &amp; Descendants - Edit'!AE$1,FALSE)=""," - ",(VLOOKUP($C111,'All Girls &amp; Descendants - Edit'!$C$2:$AK$440,'All Girls &amp; Descendants - Edit'!AE$1,FALSE)))</f>
        <v>Chloe Louise  PEMBERTON (1991 - )</v>
      </c>
      <c r="AF111" s="3" t="str">
        <f>IF(VLOOKUP($C111,'All Girls &amp; Descendants - Edit'!$C$2:$AK$440,'All Girls &amp; Descendants - Edit'!AF$1,FALSE)=""," - ",(VLOOKUP($C111,'All Girls &amp; Descendants - Edit'!$C$2:$AK$440,'All Girls &amp; Descendants - Edit'!AF$1,FALSE)))</f>
        <v>Chloe PEMBERTON (7th &amp; 128)</v>
      </c>
      <c r="AG111" s="3" t="str">
        <f>IF(VLOOKUP($C111,'All Girls &amp; Descendants - Edit'!$C$2:$AK$440,'All Girls &amp; Descendants - Edit'!AG$1,FALSE)=""," - ",(VLOOKUP($C111,'All Girls &amp; Descendants - Edit'!$C$2:$AK$440,'All Girls &amp; Descendants - Edit'!AG$1,FALSE)))</f>
        <v>Female</v>
      </c>
      <c r="AH111" s="3" t="str">
        <f>IF(VLOOKUP($C111,'All Girls &amp; Descendants - Edit'!$C$2:$AK$440,'All Girls &amp; Descendants - Edit'!AH$1,FALSE)=""," - ",(VLOOKUP($C111,'All Girls &amp; Descendants - Edit'!$C$2:$AK$440,'All Girls &amp; Descendants - Edit'!AH$1,FALSE)))</f>
        <v>7th</v>
      </c>
      <c r="AI111" s="3" t="str">
        <f>IF(VLOOKUP($C111,'All Girls &amp; Descendants - Edit'!$C$2:$AK$440,'All Girls &amp; Descendants - Edit'!AI$1,FALSE)=""," - ",(VLOOKUP($C111,'All Girls &amp; Descendants - Edit'!$C$2:$AK$440,'All Girls &amp; Descendants - Edit'!AI$1,FALSE)))</f>
        <v>Unmarried</v>
      </c>
      <c r="AJ111" s="3" t="str">
        <f>IF(VLOOKUP($C111,'All Girls &amp; Descendants - Edit'!$C$2:$AK$440,'All Girls &amp; Descendants - Edit'!AJ$1,FALSE)=""," - ",(VLOOKUP($C111,'All Girls &amp; Descendants - Edit'!$C$2:$AK$440,'All Girls &amp; Descendants - Edit'!AJ$1,FALSE)))</f>
        <v>Female. b. 04/01/1991 Born at St Albans City Hospital. Baptised 1 Sep 1991 at St Michael’s, St Albans, Hertfordshire.</v>
      </c>
      <c r="AK111" s="3" t="str">
        <f>IF(VLOOKUP($C111,'All Girls &amp; Descendants - Edit'!$C$2:$AK$440,'All Girls &amp; Descendants - Edit'!AK$1,FALSE)=""," - ",(VLOOKUP($C111,'All Girls &amp; Descendants - Edit'!$C$2:$AK$440,'All Girls &amp; Descendants - Edit'!AK$1,FALSE)))</f>
        <v>b. 04/01/1991</v>
      </c>
    </row>
    <row r="112" spans="1:37" ht="19">
      <c r="A112">
        <f>VLOOKUP(B112,'Loyd List 1-190 - Edit'!$P$1:$R$219,3,FALSE)</f>
        <v>98</v>
      </c>
      <c r="B112">
        <f>'All Girls &amp; Descendants - Edit'!B113</f>
        <v>128</v>
      </c>
      <c r="C112" s="98" t="str">
        <f>'All Girls &amp; Descendants - Edit'!C113</f>
        <v>128b</v>
      </c>
      <c r="D112" s="2" t="str">
        <f>'All Girls &amp; Descendants - Edit'!D113</f>
        <v>PEMBERTON</v>
      </c>
      <c r="E112" t="str">
        <f>'All Girls &amp; Descendants - Edit'!E113</f>
        <v>Kate</v>
      </c>
      <c r="F112" t="str">
        <f>IF('All Girls &amp; Descendants - Edit'!F113="","",'All Girls &amp; Descendants - Edit'!F113)</f>
        <v>Isobel</v>
      </c>
      <c r="G112" t="str">
        <f>IF('All Girls &amp; Descendants - Edit'!G113="","",'All Girls &amp; Descendants - Edit'!G113)</f>
        <v/>
      </c>
      <c r="H112" t="str">
        <f>IF('All Girls &amp; Descendants - Edit'!H113="","",'All Girls &amp; Descendants - Edit'!H113)</f>
        <v/>
      </c>
      <c r="I112">
        <f>VLOOKUP($C112,'All Girls &amp; Descendants - Edit'!$C$2:$AK$440,'All Girls &amp; Descendants - Edit'!I$1,FALSE)</f>
        <v>1993</v>
      </c>
      <c r="J112" t="str">
        <f>VLOOKUP($C112,'All Girls &amp; Descendants - Edit'!$C$2:$AK$440,'All Girls &amp; Descendants - Edit'!J$1,FALSE)</f>
        <v/>
      </c>
      <c r="K112" s="9"/>
      <c r="L112" t="str">
        <f t="shared" si="10"/>
        <v>13/08/1993</v>
      </c>
      <c r="M112" s="3">
        <f>VLOOKUP($C112,'All Girls &amp; Descendants - Edit'!$C$2:$AK$440,'All Girls &amp; Descendants - Edit'!M$1,FALSE)</f>
        <v>34194</v>
      </c>
      <c r="N112" s="3" t="str">
        <f>IF(VLOOKUP($C112,'All Girls &amp; Descendants - Edit'!$C$2:$AK$440,'All Girls &amp; Descendants - Edit'!N$1,FALSE)=""," - ",(VLOOKUP($C112,'All Girls &amp; Descendants - Edit'!$C$2:$AK$440,'All Girls &amp; Descendants - Edit'!N$1,FALSE)))</f>
        <v xml:space="preserve"> - </v>
      </c>
      <c r="O112" s="3" t="str">
        <f>IF(VLOOKUP($C112,'All Girls &amp; Descendants - Edit'!$C$2:$AK$440,'All Girls &amp; Descendants - Edit'!O$1,FALSE)="","",(VLOOKUP($C112,'All Girls &amp; Descendants - Edit'!$C$2:$AK$440,'All Girls &amp; Descendants - Edit'!O$1,FALSE)))</f>
        <v/>
      </c>
      <c r="P112" s="3" t="str">
        <f t="shared" si="14"/>
        <v/>
      </c>
      <c r="Q112" s="178" t="str">
        <f t="shared" si="15"/>
        <v>128</v>
      </c>
      <c r="R112" s="23"/>
      <c r="S112" t="str">
        <f>VLOOKUP($C112,'All Girls &amp; Descendants - Edit'!$C$2:$AK$440,'All Girls &amp; Descendants - Edit'!S$1,FALSE)</f>
        <v>Female</v>
      </c>
      <c r="T112" s="176">
        <f t="shared" si="16"/>
        <v>7</v>
      </c>
      <c r="U112" s="176">
        <f t="shared" si="11"/>
        <v>4</v>
      </c>
      <c r="V112" s="176">
        <f t="shared" si="12"/>
        <v>6</v>
      </c>
      <c r="W112" s="177">
        <f t="shared" si="13"/>
        <v>1</v>
      </c>
      <c r="X112" s="3" t="str">
        <f>IF(VLOOKUP($C112,'All Girls &amp; Descendants - Edit'!$C$2:$AK$440,'All Girls &amp; Descendants - Edit'!X$1,FALSE)=""," - ",(VLOOKUP($C112,'All Girls &amp; Descendants - Edit'!$C$2:$AK$440,'All Girls &amp; Descendants - Edit'!X$1,FALSE)))</f>
        <v xml:space="preserve"> - </v>
      </c>
      <c r="Y112" s="3" t="str">
        <f>IF(VLOOKUP($C112,'All Girls &amp; Descendants - Edit'!$C$2:$AK$440,'All Girls &amp; Descendants - Edit'!Y$1,FALSE)=""," - ",(VLOOKUP($C112,'All Girls &amp; Descendants - Edit'!$C$2:$AK$440,'All Girls &amp; Descendants - Edit'!Y$1,FALSE)))</f>
        <v xml:space="preserve"> - </v>
      </c>
      <c r="Z112" s="3" t="str">
        <f>IF(VLOOKUP($C112,'All Girls &amp; Descendants - Edit'!$C$2:$AK$440,'All Girls &amp; Descendants - Edit'!Z$1,FALSE)=""," - ",(VLOOKUP($C112,'All Girls &amp; Descendants - Edit'!$C$2:$AK$440,'All Girls &amp; Descendants - Edit'!Z$1,FALSE)))</f>
        <v>Born at Hemel Hempstead General Hospital. Baptised 6 Nov 1994 at St Michael’s, Hertfordshire</v>
      </c>
      <c r="AA112" s="101">
        <f>IF(VLOOKUP($C112,'All Girls &amp; Descendants - Edit'!$C$2:$AK$440,'All Girls &amp; Descendants - Edit'!AA$1,FALSE)=""," - ",(VLOOKUP($C112,'All Girls &amp; Descendants - Edit'!$C$2:$AK$440,'All Girls &amp; Descendants - Edit'!AA$1,FALSE)))</f>
        <v>341</v>
      </c>
      <c r="AB112" s="101">
        <f>IF(VLOOKUP($C112,'All Girls &amp; Descendants - Edit'!$C$2:$AK$440,'All Girls &amp; Descendants - Edit'!AB$1,FALSE)=""," - ",(VLOOKUP($C112,'All Girls &amp; Descendants - Edit'!$C$2:$AK$440,'All Girls &amp; Descendants - Edit'!AB$1,FALSE)))</f>
        <v>111</v>
      </c>
      <c r="AC112" s="101">
        <f>IF(VLOOKUP($C112,'All Girls &amp; Descendants - Edit'!$C$2:$AK$440,'All Girls &amp; Descendants - Edit'!AC$1,FALSE)=""," - ",(VLOOKUP($C112,'All Girls &amp; Descendants - Edit'!$C$2:$AK$440,'All Girls &amp; Descendants - Edit'!AC$1,FALSE)))</f>
        <v>1111</v>
      </c>
      <c r="AD112" s="3" t="str">
        <f>IF(VLOOKUP($C112,'All Girls &amp; Descendants - Edit'!$C$2:$AK$440,'All Girls &amp; Descendants - Edit'!AD$1,FALSE)=""," - ",(VLOOKUP($C112,'All Girls &amp; Descendants - Edit'!$C$2:$AK$440,'All Girls &amp; Descendants - Edit'!AD$1,FALSE)))</f>
        <v>128b</v>
      </c>
      <c r="AE112" s="3" t="str">
        <f>IF(VLOOKUP($C112,'All Girls &amp; Descendants - Edit'!$C$2:$AK$440,'All Girls &amp; Descendants - Edit'!AE$1,FALSE)=""," - ",(VLOOKUP($C112,'All Girls &amp; Descendants - Edit'!$C$2:$AK$440,'All Girls &amp; Descendants - Edit'!AE$1,FALSE)))</f>
        <v>Kate Isobel  PEMBERTON (1993 - )</v>
      </c>
      <c r="AF112" s="3" t="str">
        <f>IF(VLOOKUP($C112,'All Girls &amp; Descendants - Edit'!$C$2:$AK$440,'All Girls &amp; Descendants - Edit'!AF$1,FALSE)=""," - ",(VLOOKUP($C112,'All Girls &amp; Descendants - Edit'!$C$2:$AK$440,'All Girls &amp; Descendants - Edit'!AF$1,FALSE)))</f>
        <v>Kate PEMBERTON (7th &amp; 128)</v>
      </c>
      <c r="AG112" s="3" t="str">
        <f>IF(VLOOKUP($C112,'All Girls &amp; Descendants - Edit'!$C$2:$AK$440,'All Girls &amp; Descendants - Edit'!AG$1,FALSE)=""," - ",(VLOOKUP($C112,'All Girls &amp; Descendants - Edit'!$C$2:$AK$440,'All Girls &amp; Descendants - Edit'!AG$1,FALSE)))</f>
        <v>Female</v>
      </c>
      <c r="AH112" s="3" t="str">
        <f>IF(VLOOKUP($C112,'All Girls &amp; Descendants - Edit'!$C$2:$AK$440,'All Girls &amp; Descendants - Edit'!AH$1,FALSE)=""," - ",(VLOOKUP($C112,'All Girls &amp; Descendants - Edit'!$C$2:$AK$440,'All Girls &amp; Descendants - Edit'!AH$1,FALSE)))</f>
        <v>7th</v>
      </c>
      <c r="AI112" s="3" t="str">
        <f>IF(VLOOKUP($C112,'All Girls &amp; Descendants - Edit'!$C$2:$AK$440,'All Girls &amp; Descendants - Edit'!AI$1,FALSE)=""," - ",(VLOOKUP($C112,'All Girls &amp; Descendants - Edit'!$C$2:$AK$440,'All Girls &amp; Descendants - Edit'!AI$1,FALSE)))</f>
        <v>Unmarried</v>
      </c>
      <c r="AJ112" s="3" t="str">
        <f>IF(VLOOKUP($C112,'All Girls &amp; Descendants - Edit'!$C$2:$AK$440,'All Girls &amp; Descendants - Edit'!AJ$1,FALSE)=""," - ",(VLOOKUP($C112,'All Girls &amp; Descendants - Edit'!$C$2:$AK$440,'All Girls &amp; Descendants - Edit'!AJ$1,FALSE)))</f>
        <v>Female. b. 13/08/1993 Born at Hemel Hempstead General Hospital. Baptised 6 Nov 1994 at St Michael’s, Hertfordshire</v>
      </c>
      <c r="AK112" s="3" t="str">
        <f>IF(VLOOKUP($C112,'All Girls &amp; Descendants - Edit'!$C$2:$AK$440,'All Girls &amp; Descendants - Edit'!AK$1,FALSE)=""," - ",(VLOOKUP($C112,'All Girls &amp; Descendants - Edit'!$C$2:$AK$440,'All Girls &amp; Descendants - Edit'!AK$1,FALSE)))</f>
        <v>b. 13/08/1993</v>
      </c>
    </row>
    <row r="113" spans="1:37" ht="19">
      <c r="A113">
        <f>VLOOKUP(B113,'Loyd List 1-190 - Edit'!$P$1:$R$219,3,FALSE)</f>
        <v>99</v>
      </c>
      <c r="B113">
        <f>'All Girls &amp; Descendants - Edit'!B114</f>
        <v>137</v>
      </c>
      <c r="C113" s="98" t="str">
        <f>'All Girls &amp; Descendants - Edit'!C114</f>
        <v>137a</v>
      </c>
      <c r="D113" s="2" t="str">
        <f>'All Girls &amp; Descendants - Edit'!D114</f>
        <v>GELL</v>
      </c>
      <c r="E113" t="str">
        <f>'All Girls &amp; Descendants - Edit'!E114</f>
        <v>Honor</v>
      </c>
      <c r="F113" t="str">
        <f>IF('All Girls &amp; Descendants - Edit'!F114="","",'All Girls &amp; Descendants - Edit'!F114)</f>
        <v>Constance</v>
      </c>
      <c r="G113" t="str">
        <f>IF('All Girls &amp; Descendants - Edit'!G114="","",'All Girls &amp; Descendants - Edit'!G114)</f>
        <v>Virginia</v>
      </c>
      <c r="H113" t="str">
        <f>IF('All Girls &amp; Descendants - Edit'!H114="","",'All Girls &amp; Descendants - Edit'!H114)</f>
        <v/>
      </c>
      <c r="I113">
        <f>VLOOKUP($C113,'All Girls &amp; Descendants - Edit'!$C$2:$AK$440,'All Girls &amp; Descendants - Edit'!I$1,FALSE)</f>
        <v>1998</v>
      </c>
      <c r="J113" t="str">
        <f>VLOOKUP($C113,'All Girls &amp; Descendants - Edit'!$C$2:$AK$440,'All Girls &amp; Descendants - Edit'!J$1,FALSE)</f>
        <v/>
      </c>
      <c r="K113" s="9"/>
      <c r="L113" t="str">
        <f t="shared" si="10"/>
        <v>29/10/1998</v>
      </c>
      <c r="M113" s="3">
        <f>VLOOKUP($C113,'All Girls &amp; Descendants - Edit'!$C$2:$AK$440,'All Girls &amp; Descendants - Edit'!M$1,FALSE)</f>
        <v>36097</v>
      </c>
      <c r="N113" s="3" t="str">
        <f>IF(VLOOKUP($C113,'All Girls &amp; Descendants - Edit'!$C$2:$AK$440,'All Girls &amp; Descendants - Edit'!N$1,FALSE)=""," - ",(VLOOKUP($C113,'All Girls &amp; Descendants - Edit'!$C$2:$AK$440,'All Girls &amp; Descendants - Edit'!N$1,FALSE)))</f>
        <v xml:space="preserve"> - </v>
      </c>
      <c r="O113" s="3" t="str">
        <f>IF(VLOOKUP($C113,'All Girls &amp; Descendants - Edit'!$C$2:$AK$440,'All Girls &amp; Descendants - Edit'!O$1,FALSE)="","",(VLOOKUP($C113,'All Girls &amp; Descendants - Edit'!$C$2:$AK$440,'All Girls &amp; Descendants - Edit'!O$1,FALSE)))</f>
        <v/>
      </c>
      <c r="P113" s="3" t="str">
        <f t="shared" si="14"/>
        <v/>
      </c>
      <c r="Q113" s="178" t="str">
        <f t="shared" si="15"/>
        <v>137</v>
      </c>
      <c r="R113" s="23"/>
      <c r="S113" t="str">
        <f>VLOOKUP($C113,'All Girls &amp; Descendants - Edit'!$C$2:$AK$440,'All Girls &amp; Descendants - Edit'!S$1,FALSE)</f>
        <v>Female</v>
      </c>
      <c r="T113" s="176">
        <f t="shared" si="16"/>
        <v>7</v>
      </c>
      <c r="U113" s="176">
        <f t="shared" si="11"/>
        <v>4</v>
      </c>
      <c r="V113" s="176">
        <f t="shared" si="12"/>
        <v>6</v>
      </c>
      <c r="W113" s="177">
        <f t="shared" si="13"/>
        <v>1</v>
      </c>
      <c r="X113" s="3" t="str">
        <f>IF(VLOOKUP($C113,'All Girls &amp; Descendants - Edit'!$C$2:$AK$440,'All Girls &amp; Descendants - Edit'!X$1,FALSE)=""," - ",(VLOOKUP($C113,'All Girls &amp; Descendants - Edit'!$C$2:$AK$440,'All Girls &amp; Descendants - Edit'!X$1,FALSE)))</f>
        <v xml:space="preserve"> - </v>
      </c>
      <c r="Y113" s="3" t="str">
        <f>IF(VLOOKUP($C113,'All Girls &amp; Descendants - Edit'!$C$2:$AK$440,'All Girls &amp; Descendants - Edit'!Y$1,FALSE)=""," - ",(VLOOKUP($C113,'All Girls &amp; Descendants - Edit'!$C$2:$AK$440,'All Girls &amp; Descendants - Edit'!Y$1,FALSE)))</f>
        <v xml:space="preserve"> - </v>
      </c>
      <c r="Z113" s="3" t="str">
        <f>IF(VLOOKUP($C113,'All Girls &amp; Descendants - Edit'!$C$2:$AK$440,'All Girls &amp; Descendants - Edit'!Z$1,FALSE)=""," - ",(VLOOKUP($C113,'All Girls &amp; Descendants - Edit'!$C$2:$AK$440,'All Girls &amp; Descendants - Edit'!Z$1,FALSE)))</f>
        <v>Baptised 4 Feb 1999 at St Mary Abbots’, London W8.</v>
      </c>
      <c r="AA113" s="101">
        <f>IF(VLOOKUP($C113,'All Girls &amp; Descendants - Edit'!$C$2:$AK$440,'All Girls &amp; Descendants - Edit'!AA$1,FALSE)=""," - ",(VLOOKUP($C113,'All Girls &amp; Descendants - Edit'!$C$2:$AK$440,'All Girls &amp; Descendants - Edit'!AA$1,FALSE)))</f>
        <v>342</v>
      </c>
      <c r="AB113" s="101">
        <f>IF(VLOOKUP($C113,'All Girls &amp; Descendants - Edit'!$C$2:$AK$440,'All Girls &amp; Descendants - Edit'!AB$1,FALSE)=""," - ",(VLOOKUP($C113,'All Girls &amp; Descendants - Edit'!$C$2:$AK$440,'All Girls &amp; Descendants - Edit'!AB$1,FALSE)))</f>
        <v>112</v>
      </c>
      <c r="AC113" s="101">
        <f>IF(VLOOKUP($C113,'All Girls &amp; Descendants - Edit'!$C$2:$AK$440,'All Girls &amp; Descendants - Edit'!AC$1,FALSE)=""," - ",(VLOOKUP($C113,'All Girls &amp; Descendants - Edit'!$C$2:$AK$440,'All Girls &amp; Descendants - Edit'!AC$1,FALSE)))</f>
        <v>1112</v>
      </c>
      <c r="AD113" s="3" t="str">
        <f>IF(VLOOKUP($C113,'All Girls &amp; Descendants - Edit'!$C$2:$AK$440,'All Girls &amp; Descendants - Edit'!AD$1,FALSE)=""," - ",(VLOOKUP($C113,'All Girls &amp; Descendants - Edit'!$C$2:$AK$440,'All Girls &amp; Descendants - Edit'!AD$1,FALSE)))</f>
        <v>137a</v>
      </c>
      <c r="AE113" s="3" t="str">
        <f>IF(VLOOKUP($C113,'All Girls &amp; Descendants - Edit'!$C$2:$AK$440,'All Girls &amp; Descendants - Edit'!AE$1,FALSE)=""," - ",(VLOOKUP($C113,'All Girls &amp; Descendants - Edit'!$C$2:$AK$440,'All Girls &amp; Descendants - Edit'!AE$1,FALSE)))</f>
        <v>Honor Constance Virginia GELL (1998 - )</v>
      </c>
      <c r="AF113" s="3" t="str">
        <f>IF(VLOOKUP($C113,'All Girls &amp; Descendants - Edit'!$C$2:$AK$440,'All Girls &amp; Descendants - Edit'!AF$1,FALSE)=""," - ",(VLOOKUP($C113,'All Girls &amp; Descendants - Edit'!$C$2:$AK$440,'All Girls &amp; Descendants - Edit'!AF$1,FALSE)))</f>
        <v>Honor GELL (7th &amp; 137)</v>
      </c>
      <c r="AG113" s="3" t="str">
        <f>IF(VLOOKUP($C113,'All Girls &amp; Descendants - Edit'!$C$2:$AK$440,'All Girls &amp; Descendants - Edit'!AG$1,FALSE)=""," - ",(VLOOKUP($C113,'All Girls &amp; Descendants - Edit'!$C$2:$AK$440,'All Girls &amp; Descendants - Edit'!AG$1,FALSE)))</f>
        <v>Female</v>
      </c>
      <c r="AH113" s="3" t="str">
        <f>IF(VLOOKUP($C113,'All Girls &amp; Descendants - Edit'!$C$2:$AK$440,'All Girls &amp; Descendants - Edit'!AH$1,FALSE)=""," - ",(VLOOKUP($C113,'All Girls &amp; Descendants - Edit'!$C$2:$AK$440,'All Girls &amp; Descendants - Edit'!AH$1,FALSE)))</f>
        <v>7th</v>
      </c>
      <c r="AI113" s="3" t="str">
        <f>IF(VLOOKUP($C113,'All Girls &amp; Descendants - Edit'!$C$2:$AK$440,'All Girls &amp; Descendants - Edit'!AI$1,FALSE)=""," - ",(VLOOKUP($C113,'All Girls &amp; Descendants - Edit'!$C$2:$AK$440,'All Girls &amp; Descendants - Edit'!AI$1,FALSE)))</f>
        <v>Unmarried</v>
      </c>
      <c r="AJ113" s="3" t="str">
        <f>IF(VLOOKUP($C113,'All Girls &amp; Descendants - Edit'!$C$2:$AK$440,'All Girls &amp; Descendants - Edit'!AJ$1,FALSE)=""," - ",(VLOOKUP($C113,'All Girls &amp; Descendants - Edit'!$C$2:$AK$440,'All Girls &amp; Descendants - Edit'!AJ$1,FALSE)))</f>
        <v>Female. b. 29/10/1998 Baptised 4 Feb 1999 at St Mary Abbots’, London W8.</v>
      </c>
      <c r="AK113" s="3" t="str">
        <f>IF(VLOOKUP($C113,'All Girls &amp; Descendants - Edit'!$C$2:$AK$440,'All Girls &amp; Descendants - Edit'!AK$1,FALSE)=""," - ",(VLOOKUP($C113,'All Girls &amp; Descendants - Edit'!$C$2:$AK$440,'All Girls &amp; Descendants - Edit'!AK$1,FALSE)))</f>
        <v>b. 29/10/1998</v>
      </c>
    </row>
    <row r="114" spans="1:37" ht="19">
      <c r="A114">
        <f>VLOOKUP(B114,'Loyd List 1-190 - Edit'!$P$1:$R$219,3,FALSE)</f>
        <v>78</v>
      </c>
      <c r="B114">
        <f>'All Girls &amp; Descendants - Edit'!B115</f>
        <v>140</v>
      </c>
      <c r="C114" s="98" t="str">
        <f>'All Girls &amp; Descendants - Edit'!C115</f>
        <v>140a</v>
      </c>
      <c r="D114" s="2" t="str">
        <f>'All Girls &amp; Descendants - Edit'!D115</f>
        <v>MILLER</v>
      </c>
      <c r="E114" t="str">
        <f>'All Girls &amp; Descendants - Edit'!E115</f>
        <v>Daisy</v>
      </c>
      <c r="F114" t="str">
        <f>IF('All Girls &amp; Descendants - Edit'!F115="","",'All Girls &amp; Descendants - Edit'!F115)</f>
        <v>Elizabeth</v>
      </c>
      <c r="G114" t="str">
        <f>IF('All Girls &amp; Descendants - Edit'!G115="","",'All Girls &amp; Descendants - Edit'!G115)</f>
        <v/>
      </c>
      <c r="H114" t="str">
        <f>IF('All Girls &amp; Descendants - Edit'!H115="","",'All Girls &amp; Descendants - Edit'!H115)</f>
        <v/>
      </c>
      <c r="I114">
        <f>VLOOKUP($C114,'All Girls &amp; Descendants - Edit'!$C$2:$AK$440,'All Girls &amp; Descendants - Edit'!I$1,FALSE)</f>
        <v>1995</v>
      </c>
      <c r="J114" t="str">
        <f>VLOOKUP($C114,'All Girls &amp; Descendants - Edit'!$C$2:$AK$440,'All Girls &amp; Descendants - Edit'!J$1,FALSE)</f>
        <v/>
      </c>
      <c r="K114" s="9"/>
      <c r="L114" t="str">
        <f t="shared" si="10"/>
        <v>03/01/1995</v>
      </c>
      <c r="M114" s="3">
        <f>VLOOKUP($C114,'All Girls &amp; Descendants - Edit'!$C$2:$AK$440,'All Girls &amp; Descendants - Edit'!M$1,FALSE)</f>
        <v>34702</v>
      </c>
      <c r="N114" s="3" t="str">
        <f>IF(VLOOKUP($C114,'All Girls &amp; Descendants - Edit'!$C$2:$AK$440,'All Girls &amp; Descendants - Edit'!N$1,FALSE)=""," - ",(VLOOKUP($C114,'All Girls &amp; Descendants - Edit'!$C$2:$AK$440,'All Girls &amp; Descendants - Edit'!N$1,FALSE)))</f>
        <v xml:space="preserve"> - </v>
      </c>
      <c r="O114" s="3" t="str">
        <f>IF(VLOOKUP($C114,'All Girls &amp; Descendants - Edit'!$C$2:$AK$440,'All Girls &amp; Descendants - Edit'!O$1,FALSE)="","",(VLOOKUP($C114,'All Girls &amp; Descendants - Edit'!$C$2:$AK$440,'All Girls &amp; Descendants - Edit'!O$1,FALSE)))</f>
        <v/>
      </c>
      <c r="P114" s="3" t="str">
        <f t="shared" si="14"/>
        <v/>
      </c>
      <c r="Q114" s="178" t="str">
        <f t="shared" si="15"/>
        <v>140</v>
      </c>
      <c r="R114" s="23"/>
      <c r="S114" t="str">
        <f>VLOOKUP($C114,'All Girls &amp; Descendants - Edit'!$C$2:$AK$440,'All Girls &amp; Descendants - Edit'!S$1,FALSE)</f>
        <v>Female</v>
      </c>
      <c r="T114" s="176">
        <f t="shared" si="16"/>
        <v>6</v>
      </c>
      <c r="U114" s="176">
        <f t="shared" si="11"/>
        <v>4</v>
      </c>
      <c r="V114" s="176">
        <f t="shared" si="12"/>
        <v>5</v>
      </c>
      <c r="W114" s="177">
        <f t="shared" si="13"/>
        <v>1</v>
      </c>
      <c r="X114" s="3" t="str">
        <f>IF(VLOOKUP($C114,'All Girls &amp; Descendants - Edit'!$C$2:$AK$440,'All Girls &amp; Descendants - Edit'!X$1,FALSE)=""," - ",(VLOOKUP($C114,'All Girls &amp; Descendants - Edit'!$C$2:$AK$440,'All Girls &amp; Descendants - Edit'!X$1,FALSE)))</f>
        <v xml:space="preserve"> - </v>
      </c>
      <c r="Y114" s="3" t="str">
        <f>IF(VLOOKUP($C114,'All Girls &amp; Descendants - Edit'!$C$2:$AK$440,'All Girls &amp; Descendants - Edit'!Y$1,FALSE)=""," - ",(VLOOKUP($C114,'All Girls &amp; Descendants - Edit'!$C$2:$AK$440,'All Girls &amp; Descendants - Edit'!Y$1,FALSE)))</f>
        <v xml:space="preserve"> - </v>
      </c>
      <c r="Z114" s="3" t="str">
        <f>IF(VLOOKUP($C114,'All Girls &amp; Descendants - Edit'!$C$2:$AK$440,'All Girls &amp; Descendants - Edit'!Z$1,FALSE)=""," - ",(VLOOKUP($C114,'All Girls &amp; Descendants - Edit'!$C$2:$AK$440,'All Girls &amp; Descendants - Edit'!Z$1,FALSE)))</f>
        <v>Twin with her sister, Violet. Baptised 22 Oct 1995 at St Peter and St Paul’s, Barkestone Le Vale, Leicestershire.</v>
      </c>
      <c r="AA114" s="101">
        <f>IF(VLOOKUP($C114,'All Girls &amp; Descendants - Edit'!$C$2:$AK$440,'All Girls &amp; Descendants - Edit'!AA$1,FALSE)=""," - ",(VLOOKUP($C114,'All Girls &amp; Descendants - Edit'!$C$2:$AK$440,'All Girls &amp; Descendants - Edit'!AA$1,FALSE)))</f>
        <v>343</v>
      </c>
      <c r="AB114" s="101">
        <f>IF(VLOOKUP($C114,'All Girls &amp; Descendants - Edit'!$C$2:$AK$440,'All Girls &amp; Descendants - Edit'!AB$1,FALSE)=""," - ",(VLOOKUP($C114,'All Girls &amp; Descendants - Edit'!$C$2:$AK$440,'All Girls &amp; Descendants - Edit'!AB$1,FALSE)))</f>
        <v>113</v>
      </c>
      <c r="AC114" s="101">
        <f>IF(VLOOKUP($C114,'All Girls &amp; Descendants - Edit'!$C$2:$AK$440,'All Girls &amp; Descendants - Edit'!AC$1,FALSE)=""," - ",(VLOOKUP($C114,'All Girls &amp; Descendants - Edit'!$C$2:$AK$440,'All Girls &amp; Descendants - Edit'!AC$1,FALSE)))</f>
        <v>1113</v>
      </c>
      <c r="AD114" s="3" t="str">
        <f>IF(VLOOKUP($C114,'All Girls &amp; Descendants - Edit'!$C$2:$AK$440,'All Girls &amp; Descendants - Edit'!AD$1,FALSE)=""," - ",(VLOOKUP($C114,'All Girls &amp; Descendants - Edit'!$C$2:$AK$440,'All Girls &amp; Descendants - Edit'!AD$1,FALSE)))</f>
        <v>140a</v>
      </c>
      <c r="AE114" s="3" t="str">
        <f>IF(VLOOKUP($C114,'All Girls &amp; Descendants - Edit'!$C$2:$AK$440,'All Girls &amp; Descendants - Edit'!AE$1,FALSE)=""," - ",(VLOOKUP($C114,'All Girls &amp; Descendants - Edit'!$C$2:$AK$440,'All Girls &amp; Descendants - Edit'!AE$1,FALSE)))</f>
        <v>Daisy Elizabeth  MILLER (1995 - )</v>
      </c>
      <c r="AF114" s="3" t="str">
        <f>IF(VLOOKUP($C114,'All Girls &amp; Descendants - Edit'!$C$2:$AK$440,'All Girls &amp; Descendants - Edit'!AF$1,FALSE)=""," - ",(VLOOKUP($C114,'All Girls &amp; Descendants - Edit'!$C$2:$AK$440,'All Girls &amp; Descendants - Edit'!AF$1,FALSE)))</f>
        <v>Daisy MILLER (6th &amp; 140)</v>
      </c>
      <c r="AG114" s="3" t="str">
        <f>IF(VLOOKUP($C114,'All Girls &amp; Descendants - Edit'!$C$2:$AK$440,'All Girls &amp; Descendants - Edit'!AG$1,FALSE)=""," - ",(VLOOKUP($C114,'All Girls &amp; Descendants - Edit'!$C$2:$AK$440,'All Girls &amp; Descendants - Edit'!AG$1,FALSE)))</f>
        <v>Female</v>
      </c>
      <c r="AH114" s="3" t="str">
        <f>IF(VLOOKUP($C114,'All Girls &amp; Descendants - Edit'!$C$2:$AK$440,'All Girls &amp; Descendants - Edit'!AH$1,FALSE)=""," - ",(VLOOKUP($C114,'All Girls &amp; Descendants - Edit'!$C$2:$AK$440,'All Girls &amp; Descendants - Edit'!AH$1,FALSE)))</f>
        <v>6th</v>
      </c>
      <c r="AI114" s="3" t="str">
        <f>IF(VLOOKUP($C114,'All Girls &amp; Descendants - Edit'!$C$2:$AK$440,'All Girls &amp; Descendants - Edit'!AI$1,FALSE)=""," - ",(VLOOKUP($C114,'All Girls &amp; Descendants - Edit'!$C$2:$AK$440,'All Girls &amp; Descendants - Edit'!AI$1,FALSE)))</f>
        <v>Unmarried</v>
      </c>
      <c r="AJ114" s="3" t="str">
        <f>IF(VLOOKUP($C114,'All Girls &amp; Descendants - Edit'!$C$2:$AK$440,'All Girls &amp; Descendants - Edit'!AJ$1,FALSE)=""," - ",(VLOOKUP($C114,'All Girls &amp; Descendants - Edit'!$C$2:$AK$440,'All Girls &amp; Descendants - Edit'!AJ$1,FALSE)))</f>
        <v>Female. b. 03/01/1995 Twin with her sister, Violet. Baptised 22 Oct 1995 at St Peter and St Paul’s, Barkestone Le Vale, Leicestershire.</v>
      </c>
      <c r="AK114" s="3" t="str">
        <f>IF(VLOOKUP($C114,'All Girls &amp; Descendants - Edit'!$C$2:$AK$440,'All Girls &amp; Descendants - Edit'!AK$1,FALSE)=""," - ",(VLOOKUP($C114,'All Girls &amp; Descendants - Edit'!$C$2:$AK$440,'All Girls &amp; Descendants - Edit'!AK$1,FALSE)))</f>
        <v>b. 03/01/1995</v>
      </c>
    </row>
    <row r="115" spans="1:37" ht="19">
      <c r="A115">
        <f>VLOOKUP(B115,'Loyd List 1-190 - Edit'!$P$1:$R$219,3,FALSE)</f>
        <v>78</v>
      </c>
      <c r="B115">
        <f>'All Girls &amp; Descendants - Edit'!B116</f>
        <v>140</v>
      </c>
      <c r="C115" s="98" t="str">
        <f>'All Girls &amp; Descendants - Edit'!C116</f>
        <v>140b</v>
      </c>
      <c r="D115" s="2" t="str">
        <f>'All Girls &amp; Descendants - Edit'!D116</f>
        <v>MILLER</v>
      </c>
      <c r="E115" t="str">
        <f>'All Girls &amp; Descendants - Edit'!E116</f>
        <v>Violet</v>
      </c>
      <c r="F115" t="str">
        <f>IF('All Girls &amp; Descendants - Edit'!F116="","",'All Girls &amp; Descendants - Edit'!F116)</f>
        <v>Emma</v>
      </c>
      <c r="G115" t="str">
        <f>IF('All Girls &amp; Descendants - Edit'!G116="","",'All Girls &amp; Descendants - Edit'!G116)</f>
        <v/>
      </c>
      <c r="H115" t="str">
        <f>IF('All Girls &amp; Descendants - Edit'!H116="","",'All Girls &amp; Descendants - Edit'!H116)</f>
        <v/>
      </c>
      <c r="I115">
        <f>VLOOKUP($C115,'All Girls &amp; Descendants - Edit'!$C$2:$AK$440,'All Girls &amp; Descendants - Edit'!I$1,FALSE)</f>
        <v>1995</v>
      </c>
      <c r="J115" t="str">
        <f>VLOOKUP($C115,'All Girls &amp; Descendants - Edit'!$C$2:$AK$440,'All Girls &amp; Descendants - Edit'!J$1,FALSE)</f>
        <v/>
      </c>
      <c r="K115" s="9"/>
      <c r="L115" t="str">
        <f t="shared" si="10"/>
        <v>03/01/1995</v>
      </c>
      <c r="M115" s="3">
        <f>VLOOKUP($C115,'All Girls &amp; Descendants - Edit'!$C$2:$AK$440,'All Girls &amp; Descendants - Edit'!M$1,FALSE)</f>
        <v>34702</v>
      </c>
      <c r="N115" s="3" t="str">
        <f>IF(VLOOKUP($C115,'All Girls &amp; Descendants - Edit'!$C$2:$AK$440,'All Girls &amp; Descendants - Edit'!N$1,FALSE)=""," - ",(VLOOKUP($C115,'All Girls &amp; Descendants - Edit'!$C$2:$AK$440,'All Girls &amp; Descendants - Edit'!N$1,FALSE)))</f>
        <v xml:space="preserve"> - </v>
      </c>
      <c r="O115" s="3" t="str">
        <f>IF(VLOOKUP($C115,'All Girls &amp; Descendants - Edit'!$C$2:$AK$440,'All Girls &amp; Descendants - Edit'!O$1,FALSE)="","",(VLOOKUP($C115,'All Girls &amp; Descendants - Edit'!$C$2:$AK$440,'All Girls &amp; Descendants - Edit'!O$1,FALSE)))</f>
        <v/>
      </c>
      <c r="P115" s="3" t="str">
        <f t="shared" si="14"/>
        <v/>
      </c>
      <c r="Q115" s="178" t="str">
        <f t="shared" si="15"/>
        <v>140</v>
      </c>
      <c r="R115" s="23"/>
      <c r="S115" t="str">
        <f>VLOOKUP($C115,'All Girls &amp; Descendants - Edit'!$C$2:$AK$440,'All Girls &amp; Descendants - Edit'!S$1,FALSE)</f>
        <v>Female</v>
      </c>
      <c r="T115" s="176">
        <f t="shared" si="16"/>
        <v>6</v>
      </c>
      <c r="U115" s="176">
        <f t="shared" si="11"/>
        <v>4</v>
      </c>
      <c r="V115" s="176">
        <f t="shared" si="12"/>
        <v>5</v>
      </c>
      <c r="W115" s="177">
        <f t="shared" si="13"/>
        <v>1</v>
      </c>
      <c r="X115" s="3" t="str">
        <f>IF(VLOOKUP($C115,'All Girls &amp; Descendants - Edit'!$C$2:$AK$440,'All Girls &amp; Descendants - Edit'!X$1,FALSE)=""," - ",(VLOOKUP($C115,'All Girls &amp; Descendants - Edit'!$C$2:$AK$440,'All Girls &amp; Descendants - Edit'!X$1,FALSE)))</f>
        <v xml:space="preserve"> - </v>
      </c>
      <c r="Y115" s="3" t="str">
        <f>IF(VLOOKUP($C115,'All Girls &amp; Descendants - Edit'!$C$2:$AK$440,'All Girls &amp; Descendants - Edit'!Y$1,FALSE)=""," - ",(VLOOKUP($C115,'All Girls &amp; Descendants - Edit'!$C$2:$AK$440,'All Girls &amp; Descendants - Edit'!Y$1,FALSE)))</f>
        <v xml:space="preserve"> - </v>
      </c>
      <c r="Z115" s="3" t="str">
        <f>IF(VLOOKUP($C115,'All Girls &amp; Descendants - Edit'!$C$2:$AK$440,'All Girls &amp; Descendants - Edit'!Z$1,FALSE)=""," - ",(VLOOKUP($C115,'All Girls &amp; Descendants - Edit'!$C$2:$AK$440,'All Girls &amp; Descendants - Edit'!Z$1,FALSE)))</f>
        <v>Twin with her sister, Daisy. Baptised 22 Oct 1995 at St Peter and St Paul’s, Barkestone Le Vale, Leicestershire.</v>
      </c>
      <c r="AA115" s="101">
        <f>IF(VLOOKUP($C115,'All Girls &amp; Descendants - Edit'!$C$2:$AK$440,'All Girls &amp; Descendants - Edit'!AA$1,FALSE)=""," - ",(VLOOKUP($C115,'All Girls &amp; Descendants - Edit'!$C$2:$AK$440,'All Girls &amp; Descendants - Edit'!AA$1,FALSE)))</f>
        <v>344</v>
      </c>
      <c r="AB115" s="101">
        <f>IF(VLOOKUP($C115,'All Girls &amp; Descendants - Edit'!$C$2:$AK$440,'All Girls &amp; Descendants - Edit'!AB$1,FALSE)=""," - ",(VLOOKUP($C115,'All Girls &amp; Descendants - Edit'!$C$2:$AK$440,'All Girls &amp; Descendants - Edit'!AB$1,FALSE)))</f>
        <v>114</v>
      </c>
      <c r="AC115" s="101">
        <f>IF(VLOOKUP($C115,'All Girls &amp; Descendants - Edit'!$C$2:$AK$440,'All Girls &amp; Descendants - Edit'!AC$1,FALSE)=""," - ",(VLOOKUP($C115,'All Girls &amp; Descendants - Edit'!$C$2:$AK$440,'All Girls &amp; Descendants - Edit'!AC$1,FALSE)))</f>
        <v>1114</v>
      </c>
      <c r="AD115" s="3" t="str">
        <f>IF(VLOOKUP($C115,'All Girls &amp; Descendants - Edit'!$C$2:$AK$440,'All Girls &amp; Descendants - Edit'!AD$1,FALSE)=""," - ",(VLOOKUP($C115,'All Girls &amp; Descendants - Edit'!$C$2:$AK$440,'All Girls &amp; Descendants - Edit'!AD$1,FALSE)))</f>
        <v>140b</v>
      </c>
      <c r="AE115" s="3" t="str">
        <f>IF(VLOOKUP($C115,'All Girls &amp; Descendants - Edit'!$C$2:$AK$440,'All Girls &amp; Descendants - Edit'!AE$1,FALSE)=""," - ",(VLOOKUP($C115,'All Girls &amp; Descendants - Edit'!$C$2:$AK$440,'All Girls &amp; Descendants - Edit'!AE$1,FALSE)))</f>
        <v>Violet Emma  MILLER (1995 - )</v>
      </c>
      <c r="AF115" s="3" t="str">
        <f>IF(VLOOKUP($C115,'All Girls &amp; Descendants - Edit'!$C$2:$AK$440,'All Girls &amp; Descendants - Edit'!AF$1,FALSE)=""," - ",(VLOOKUP($C115,'All Girls &amp; Descendants - Edit'!$C$2:$AK$440,'All Girls &amp; Descendants - Edit'!AF$1,FALSE)))</f>
        <v>Violet MILLER (6th &amp; 140)</v>
      </c>
      <c r="AG115" s="3" t="str">
        <f>IF(VLOOKUP($C115,'All Girls &amp; Descendants - Edit'!$C$2:$AK$440,'All Girls &amp; Descendants - Edit'!AG$1,FALSE)=""," - ",(VLOOKUP($C115,'All Girls &amp; Descendants - Edit'!$C$2:$AK$440,'All Girls &amp; Descendants - Edit'!AG$1,FALSE)))</f>
        <v>Female</v>
      </c>
      <c r="AH115" s="3" t="str">
        <f>IF(VLOOKUP($C115,'All Girls &amp; Descendants - Edit'!$C$2:$AK$440,'All Girls &amp; Descendants - Edit'!AH$1,FALSE)=""," - ",(VLOOKUP($C115,'All Girls &amp; Descendants - Edit'!$C$2:$AK$440,'All Girls &amp; Descendants - Edit'!AH$1,FALSE)))</f>
        <v>6th</v>
      </c>
      <c r="AI115" s="3" t="str">
        <f>IF(VLOOKUP($C115,'All Girls &amp; Descendants - Edit'!$C$2:$AK$440,'All Girls &amp; Descendants - Edit'!AI$1,FALSE)=""," - ",(VLOOKUP($C115,'All Girls &amp; Descendants - Edit'!$C$2:$AK$440,'All Girls &amp; Descendants - Edit'!AI$1,FALSE)))</f>
        <v>Unmarried</v>
      </c>
      <c r="AJ115" s="3" t="str">
        <f>IF(VLOOKUP($C115,'All Girls &amp; Descendants - Edit'!$C$2:$AK$440,'All Girls &amp; Descendants - Edit'!AJ$1,FALSE)=""," - ",(VLOOKUP($C115,'All Girls &amp; Descendants - Edit'!$C$2:$AK$440,'All Girls &amp; Descendants - Edit'!AJ$1,FALSE)))</f>
        <v>Female. b. 03/01/1995 Twin with her sister, Daisy. Baptised 22 Oct 1995 at St Peter and St Paul’s, Barkestone Le Vale, Leicestershire.</v>
      </c>
      <c r="AK115" s="3" t="str">
        <f>IF(VLOOKUP($C115,'All Girls &amp; Descendants - Edit'!$C$2:$AK$440,'All Girls &amp; Descendants - Edit'!AK$1,FALSE)=""," - ",(VLOOKUP($C115,'All Girls &amp; Descendants - Edit'!$C$2:$AK$440,'All Girls &amp; Descendants - Edit'!AK$1,FALSE)))</f>
        <v>b. 03/01/1995</v>
      </c>
    </row>
    <row r="116" spans="1:37" ht="19">
      <c r="A116">
        <f>VLOOKUP(B116,'Loyd List 1-190 - Edit'!$P$1:$R$219,3,FALSE)</f>
        <v>104</v>
      </c>
      <c r="B116">
        <f>'All Girls &amp; Descendants - Edit'!B117</f>
        <v>141</v>
      </c>
      <c r="C116" s="98" t="str">
        <f>'All Girls &amp; Descendants - Edit'!C117</f>
        <v>141a</v>
      </c>
      <c r="D116" s="2" t="str">
        <f>'All Girls &amp; Descendants - Edit'!D117</f>
        <v>BYATT</v>
      </c>
      <c r="E116" t="str">
        <f>'All Girls &amp; Descendants - Edit'!E117</f>
        <v>Letitia</v>
      </c>
      <c r="F116" t="str">
        <f>IF('All Girls &amp; Descendants - Edit'!F117="","",'All Girls &amp; Descendants - Edit'!F117)</f>
        <v>May</v>
      </c>
      <c r="G116" t="str">
        <f>IF('All Girls &amp; Descendants - Edit'!G117="","",'All Girls &amp; Descendants - Edit'!G117)</f>
        <v>Rose Campbell</v>
      </c>
      <c r="H116" t="str">
        <f>IF('All Girls &amp; Descendants - Edit'!H117="","",'All Girls &amp; Descendants - Edit'!H117)</f>
        <v>Letty</v>
      </c>
      <c r="I116">
        <f>VLOOKUP($C116,'All Girls &amp; Descendants - Edit'!$C$2:$AK$440,'All Girls &amp; Descendants - Edit'!I$1,FALSE)</f>
        <v>1996</v>
      </c>
      <c r="J116" t="str">
        <f>VLOOKUP($C116,'All Girls &amp; Descendants - Edit'!$C$2:$AK$440,'All Girls &amp; Descendants - Edit'!J$1,FALSE)</f>
        <v/>
      </c>
      <c r="K116" s="9"/>
      <c r="L116" t="str">
        <f t="shared" si="10"/>
        <v>03/03/1996</v>
      </c>
      <c r="M116" s="3">
        <f>VLOOKUP($C116,'All Girls &amp; Descendants - Edit'!$C$2:$AK$440,'All Girls &amp; Descendants - Edit'!M$1,FALSE)</f>
        <v>35127</v>
      </c>
      <c r="N116" s="3" t="str">
        <f>IF(VLOOKUP($C116,'All Girls &amp; Descendants - Edit'!$C$2:$AK$440,'All Girls &amp; Descendants - Edit'!N$1,FALSE)=""," - ",(VLOOKUP($C116,'All Girls &amp; Descendants - Edit'!$C$2:$AK$440,'All Girls &amp; Descendants - Edit'!N$1,FALSE)))</f>
        <v xml:space="preserve"> - </v>
      </c>
      <c r="O116" s="3" t="str">
        <f>IF(VLOOKUP($C116,'All Girls &amp; Descendants - Edit'!$C$2:$AK$440,'All Girls &amp; Descendants - Edit'!O$1,FALSE)="","",(VLOOKUP($C116,'All Girls &amp; Descendants - Edit'!$C$2:$AK$440,'All Girls &amp; Descendants - Edit'!O$1,FALSE)))</f>
        <v/>
      </c>
      <c r="P116" s="3" t="str">
        <f t="shared" si="14"/>
        <v/>
      </c>
      <c r="Q116" s="178" t="str">
        <f t="shared" si="15"/>
        <v>141</v>
      </c>
      <c r="R116" s="23"/>
      <c r="S116" t="str">
        <f>VLOOKUP($C116,'All Girls &amp; Descendants - Edit'!$C$2:$AK$440,'All Girls &amp; Descendants - Edit'!S$1,FALSE)</f>
        <v>Female</v>
      </c>
      <c r="T116" s="176">
        <f t="shared" si="16"/>
        <v>7</v>
      </c>
      <c r="U116" s="176">
        <f t="shared" si="11"/>
        <v>4</v>
      </c>
      <c r="V116" s="176">
        <f t="shared" si="12"/>
        <v>6</v>
      </c>
      <c r="W116" s="177">
        <f t="shared" si="13"/>
        <v>1</v>
      </c>
      <c r="X116" s="3" t="str">
        <f>IF(VLOOKUP($C116,'All Girls &amp; Descendants - Edit'!$C$2:$AK$440,'All Girls &amp; Descendants - Edit'!X$1,FALSE)=""," - ",(VLOOKUP($C116,'All Girls &amp; Descendants - Edit'!$C$2:$AK$440,'All Girls &amp; Descendants - Edit'!X$1,FALSE)))</f>
        <v xml:space="preserve"> - </v>
      </c>
      <c r="Y116" s="3" t="str">
        <f>IF(VLOOKUP($C116,'All Girls &amp; Descendants - Edit'!$C$2:$AK$440,'All Girls &amp; Descendants - Edit'!Y$1,FALSE)=""," - ",(VLOOKUP($C116,'All Girls &amp; Descendants - Edit'!$C$2:$AK$440,'All Girls &amp; Descendants - Edit'!Y$1,FALSE)))</f>
        <v xml:space="preserve"> - </v>
      </c>
      <c r="Z116" s="3" t="str">
        <f>IF(VLOOKUP($C116,'All Girls &amp; Descendants - Edit'!$C$2:$AK$440,'All Girls &amp; Descendants - Edit'!Z$1,FALSE)=""," - ",(VLOOKUP($C116,'All Girls &amp; Descendants - Edit'!$C$2:$AK$440,'All Girls &amp; Descendants - Edit'!Z$1,FALSE)))</f>
        <v>Baptised 16 May 1996 at the Chapel of The Royal Hospital, Chelsea, London.</v>
      </c>
      <c r="AA116" s="101">
        <f>IF(VLOOKUP($C116,'All Girls &amp; Descendants - Edit'!$C$2:$AK$440,'All Girls &amp; Descendants - Edit'!AA$1,FALSE)=""," - ",(VLOOKUP($C116,'All Girls &amp; Descendants - Edit'!$C$2:$AK$440,'All Girls &amp; Descendants - Edit'!AA$1,FALSE)))</f>
        <v>345</v>
      </c>
      <c r="AB116" s="101">
        <f>IF(VLOOKUP($C116,'All Girls &amp; Descendants - Edit'!$C$2:$AK$440,'All Girls &amp; Descendants - Edit'!AB$1,FALSE)=""," - ",(VLOOKUP($C116,'All Girls &amp; Descendants - Edit'!$C$2:$AK$440,'All Girls &amp; Descendants - Edit'!AB$1,FALSE)))</f>
        <v>115</v>
      </c>
      <c r="AC116" s="101">
        <f>IF(VLOOKUP($C116,'All Girls &amp; Descendants - Edit'!$C$2:$AK$440,'All Girls &amp; Descendants - Edit'!AC$1,FALSE)=""," - ",(VLOOKUP($C116,'All Girls &amp; Descendants - Edit'!$C$2:$AK$440,'All Girls &amp; Descendants - Edit'!AC$1,FALSE)))</f>
        <v>1115</v>
      </c>
      <c r="AD116" s="3" t="str">
        <f>IF(VLOOKUP($C116,'All Girls &amp; Descendants - Edit'!$C$2:$AK$440,'All Girls &amp; Descendants - Edit'!AD$1,FALSE)=""," - ",(VLOOKUP($C116,'All Girls &amp; Descendants - Edit'!$C$2:$AK$440,'All Girls &amp; Descendants - Edit'!AD$1,FALSE)))</f>
        <v>141a</v>
      </c>
      <c r="AE116" s="3" t="str">
        <f>IF(VLOOKUP($C116,'All Girls &amp; Descendants - Edit'!$C$2:$AK$440,'All Girls &amp; Descendants - Edit'!AE$1,FALSE)=""," - ",(VLOOKUP($C116,'All Girls &amp; Descendants - Edit'!$C$2:$AK$440,'All Girls &amp; Descendants - Edit'!AE$1,FALSE)))</f>
        <v>Letitia May Rose Campbell BYATT (1996 - )</v>
      </c>
      <c r="AF116" s="3" t="str">
        <f>IF(VLOOKUP($C116,'All Girls &amp; Descendants - Edit'!$C$2:$AK$440,'All Girls &amp; Descendants - Edit'!AF$1,FALSE)=""," - ",(VLOOKUP($C116,'All Girls &amp; Descendants - Edit'!$C$2:$AK$440,'All Girls &amp; Descendants - Edit'!AF$1,FALSE)))</f>
        <v>Letty BYATT (7th &amp; 141)</v>
      </c>
      <c r="AG116" s="3" t="str">
        <f>IF(VLOOKUP($C116,'All Girls &amp; Descendants - Edit'!$C$2:$AK$440,'All Girls &amp; Descendants - Edit'!AG$1,FALSE)=""," - ",(VLOOKUP($C116,'All Girls &amp; Descendants - Edit'!$C$2:$AK$440,'All Girls &amp; Descendants - Edit'!AG$1,FALSE)))</f>
        <v>Female</v>
      </c>
      <c r="AH116" s="3" t="str">
        <f>IF(VLOOKUP($C116,'All Girls &amp; Descendants - Edit'!$C$2:$AK$440,'All Girls &amp; Descendants - Edit'!AH$1,FALSE)=""," - ",(VLOOKUP($C116,'All Girls &amp; Descendants - Edit'!$C$2:$AK$440,'All Girls &amp; Descendants - Edit'!AH$1,FALSE)))</f>
        <v>7th</v>
      </c>
      <c r="AI116" s="3" t="str">
        <f>IF(VLOOKUP($C116,'All Girls &amp; Descendants - Edit'!$C$2:$AK$440,'All Girls &amp; Descendants - Edit'!AI$1,FALSE)=""," - ",(VLOOKUP($C116,'All Girls &amp; Descendants - Edit'!$C$2:$AK$440,'All Girls &amp; Descendants - Edit'!AI$1,FALSE)))</f>
        <v>Unmarried</v>
      </c>
      <c r="AJ116" s="3" t="str">
        <f>IF(VLOOKUP($C116,'All Girls &amp; Descendants - Edit'!$C$2:$AK$440,'All Girls &amp; Descendants - Edit'!AJ$1,FALSE)=""," - ",(VLOOKUP($C116,'All Girls &amp; Descendants - Edit'!$C$2:$AK$440,'All Girls &amp; Descendants - Edit'!AJ$1,FALSE)))</f>
        <v>Female. b. 03/03/1996 Baptised 16 May 1996 at the Chapel of The Royal Hospital, Chelsea, London.</v>
      </c>
      <c r="AK116" s="3" t="str">
        <f>IF(VLOOKUP($C116,'All Girls &amp; Descendants - Edit'!$C$2:$AK$440,'All Girls &amp; Descendants - Edit'!AK$1,FALSE)=""," - ",(VLOOKUP($C116,'All Girls &amp; Descendants - Edit'!$C$2:$AK$440,'All Girls &amp; Descendants - Edit'!AK$1,FALSE)))</f>
        <v>b. 03/03/1996</v>
      </c>
    </row>
    <row r="117" spans="1:37" ht="19">
      <c r="A117">
        <f>VLOOKUP(B117,'Loyd List 1-190 - Edit'!$P$1:$R$219,3,FALSE)</f>
        <v>104</v>
      </c>
      <c r="B117">
        <f>'All Girls &amp; Descendants - Edit'!B118</f>
        <v>141</v>
      </c>
      <c r="C117" s="98" t="str">
        <f>'All Girls &amp; Descendants - Edit'!C118</f>
        <v>141b</v>
      </c>
      <c r="D117" s="2" t="str">
        <f>'All Girls &amp; Descendants - Edit'!D118</f>
        <v>BYATT</v>
      </c>
      <c r="E117" t="str">
        <f>'All Girls &amp; Descendants - Edit'!E118</f>
        <v>Henry</v>
      </c>
      <c r="F117" t="str">
        <f>IF('All Girls &amp; Descendants - Edit'!F118="","",'All Girls &amp; Descendants - Edit'!F118)</f>
        <v>Hew</v>
      </c>
      <c r="G117" t="str">
        <f>IF('All Girls &amp; Descendants - Edit'!G118="","",'All Girls &amp; Descendants - Edit'!G118)</f>
        <v>Duncan Campbell</v>
      </c>
      <c r="H117" t="str">
        <f>IF('All Girls &amp; Descendants - Edit'!H118="","",'All Girls &amp; Descendants - Edit'!H118)</f>
        <v>Harry</v>
      </c>
      <c r="I117">
        <f>VLOOKUP($C117,'All Girls &amp; Descendants - Edit'!$C$2:$AK$440,'All Girls &amp; Descendants - Edit'!I$1,FALSE)</f>
        <v>1998</v>
      </c>
      <c r="J117">
        <f>VLOOKUP($C117,'All Girls &amp; Descendants - Edit'!$C$2:$AK$440,'All Girls &amp; Descendants - Edit'!J$1,FALSE)</f>
        <v>2017</v>
      </c>
      <c r="K117" s="9"/>
      <c r="L117" t="str">
        <f t="shared" si="10"/>
        <v>10/04/1998</v>
      </c>
      <c r="M117" s="3">
        <f>VLOOKUP($C117,'All Girls &amp; Descendants - Edit'!$C$2:$AK$440,'All Girls &amp; Descendants - Edit'!M$1,FALSE)</f>
        <v>35895</v>
      </c>
      <c r="N117" s="3" t="str">
        <f>IF(VLOOKUP($C117,'All Girls &amp; Descendants - Edit'!$C$2:$AK$440,'All Girls &amp; Descendants - Edit'!N$1,FALSE)=""," - ",(VLOOKUP($C117,'All Girls &amp; Descendants - Edit'!$C$2:$AK$440,'All Girls &amp; Descendants - Edit'!N$1,FALSE)))</f>
        <v xml:space="preserve"> - </v>
      </c>
      <c r="O117" s="3">
        <f>IF(VLOOKUP($C117,'All Girls &amp; Descendants - Edit'!$C$2:$AK$440,'All Girls &amp; Descendants - Edit'!O$1,FALSE)="","",(VLOOKUP($C117,'All Girls &amp; Descendants - Edit'!$C$2:$AK$440,'All Girls &amp; Descendants - Edit'!O$1,FALSE)))</f>
        <v>42953</v>
      </c>
      <c r="P117" s="3" t="str">
        <f t="shared" si="14"/>
        <v>06/08/2017</v>
      </c>
      <c r="Q117" s="178" t="str">
        <f t="shared" si="15"/>
        <v>141</v>
      </c>
      <c r="R117" s="23"/>
      <c r="S117" t="str">
        <f>VLOOKUP($C117,'All Girls &amp; Descendants - Edit'!$C$2:$AK$440,'All Girls &amp; Descendants - Edit'!S$1,FALSE)</f>
        <v>Male</v>
      </c>
      <c r="T117" s="176">
        <f t="shared" si="16"/>
        <v>7</v>
      </c>
      <c r="U117" s="176">
        <f t="shared" si="11"/>
        <v>4</v>
      </c>
      <c r="V117" s="176">
        <f t="shared" si="12"/>
        <v>6</v>
      </c>
      <c r="W117" s="177">
        <f t="shared" si="13"/>
        <v>1</v>
      </c>
      <c r="X117" s="3" t="str">
        <f>IF(VLOOKUP($C117,'All Girls &amp; Descendants - Edit'!$C$2:$AK$440,'All Girls &amp; Descendants - Edit'!X$1,FALSE)=""," - ",(VLOOKUP($C117,'All Girls &amp; Descendants - Edit'!$C$2:$AK$440,'All Girls &amp; Descendants - Edit'!X$1,FALSE)))</f>
        <v xml:space="preserve"> - </v>
      </c>
      <c r="Y117" s="3" t="str">
        <f>IF(VLOOKUP($C117,'All Girls &amp; Descendants - Edit'!$C$2:$AK$440,'All Girls &amp; Descendants - Edit'!Y$1,FALSE)=""," - ",(VLOOKUP($C117,'All Girls &amp; Descendants - Edit'!$C$2:$AK$440,'All Girls &amp; Descendants - Edit'!Y$1,FALSE)))</f>
        <v xml:space="preserve"> - </v>
      </c>
      <c r="Z117" s="3" t="str">
        <f>IF(VLOOKUP($C117,'All Girls &amp; Descendants - Edit'!$C$2:$AK$440,'All Girls &amp; Descendants - Edit'!Z$1,FALSE)=""," - ",(VLOOKUP($C117,'All Girls &amp; Descendants - Edit'!$C$2:$AK$440,'All Girls &amp; Descendants - Edit'!Z$1,FALSE)))</f>
        <v>Baptised 16 Jun 1998 at the Chapel of The Royal Hospital, Chelsea, London. Harry died in a swimming accident whilst working for the summer at the Peligoni Club in Greece on 6 August 2017.</v>
      </c>
      <c r="AA117" s="101">
        <f>IF(VLOOKUP($C117,'All Girls &amp; Descendants - Edit'!$C$2:$AK$440,'All Girls &amp; Descendants - Edit'!AA$1,FALSE)=""," - ",(VLOOKUP($C117,'All Girls &amp; Descendants - Edit'!$C$2:$AK$440,'All Girls &amp; Descendants - Edit'!AA$1,FALSE)))</f>
        <v>346</v>
      </c>
      <c r="AB117" s="101">
        <f>IF(VLOOKUP($C117,'All Girls &amp; Descendants - Edit'!$C$2:$AK$440,'All Girls &amp; Descendants - Edit'!AB$1,FALSE)=""," - ",(VLOOKUP($C117,'All Girls &amp; Descendants - Edit'!$C$2:$AK$440,'All Girls &amp; Descendants - Edit'!AB$1,FALSE)))</f>
        <v>116</v>
      </c>
      <c r="AC117" s="101">
        <f>IF(VLOOKUP($C117,'All Girls &amp; Descendants - Edit'!$C$2:$AK$440,'All Girls &amp; Descendants - Edit'!AC$1,FALSE)=""," - ",(VLOOKUP($C117,'All Girls &amp; Descendants - Edit'!$C$2:$AK$440,'All Girls &amp; Descendants - Edit'!AC$1,FALSE)))</f>
        <v>1116</v>
      </c>
      <c r="AD117" s="3" t="str">
        <f>IF(VLOOKUP($C117,'All Girls &amp; Descendants - Edit'!$C$2:$AK$440,'All Girls &amp; Descendants - Edit'!AD$1,FALSE)=""," - ",(VLOOKUP($C117,'All Girls &amp; Descendants - Edit'!$C$2:$AK$440,'All Girls &amp; Descendants - Edit'!AD$1,FALSE)))</f>
        <v>141b</v>
      </c>
      <c r="AE117" s="3" t="str">
        <f>IF(VLOOKUP($C117,'All Girls &amp; Descendants - Edit'!$C$2:$AK$440,'All Girls &amp; Descendants - Edit'!AE$1,FALSE)=""," - ",(VLOOKUP($C117,'All Girls &amp; Descendants - Edit'!$C$2:$AK$440,'All Girls &amp; Descendants - Edit'!AE$1,FALSE)))</f>
        <v>Henry Hew Duncan Campbell BYATT (1998 - 2017)</v>
      </c>
      <c r="AF117" s="3" t="str">
        <f>IF(VLOOKUP($C117,'All Girls &amp; Descendants - Edit'!$C$2:$AK$440,'All Girls &amp; Descendants - Edit'!AF$1,FALSE)=""," - ",(VLOOKUP($C117,'All Girls &amp; Descendants - Edit'!$C$2:$AK$440,'All Girls &amp; Descendants - Edit'!AF$1,FALSE)))</f>
        <v>Harry BYATT (7th &amp; 141)</v>
      </c>
      <c r="AG117" s="3" t="str">
        <f>IF(VLOOKUP($C117,'All Girls &amp; Descendants - Edit'!$C$2:$AK$440,'All Girls &amp; Descendants - Edit'!AG$1,FALSE)=""," - ",(VLOOKUP($C117,'All Girls &amp; Descendants - Edit'!$C$2:$AK$440,'All Girls &amp; Descendants - Edit'!AG$1,FALSE)))</f>
        <v>Male</v>
      </c>
      <c r="AH117" s="3" t="str">
        <f>IF(VLOOKUP($C117,'All Girls &amp; Descendants - Edit'!$C$2:$AK$440,'All Girls &amp; Descendants - Edit'!AH$1,FALSE)=""," - ",(VLOOKUP($C117,'All Girls &amp; Descendants - Edit'!$C$2:$AK$440,'All Girls &amp; Descendants - Edit'!AH$1,FALSE)))</f>
        <v>7th</v>
      </c>
      <c r="AI117" s="3" t="str">
        <f>IF(VLOOKUP($C117,'All Girls &amp; Descendants - Edit'!$C$2:$AK$440,'All Girls &amp; Descendants - Edit'!AI$1,FALSE)=""," - ",(VLOOKUP($C117,'All Girls &amp; Descendants - Edit'!$C$2:$AK$440,'All Girls &amp; Descendants - Edit'!AI$1,FALSE)))</f>
        <v>Unmarried</v>
      </c>
      <c r="AJ117" s="3" t="str">
        <f>IF(VLOOKUP($C117,'All Girls &amp; Descendants - Edit'!$C$2:$AK$440,'All Girls &amp; Descendants - Edit'!AJ$1,FALSE)=""," - ",(VLOOKUP($C117,'All Girls &amp; Descendants - Edit'!$C$2:$AK$440,'All Girls &amp; Descendants - Edit'!AJ$1,FALSE)))</f>
        <v>Male. b. 10/04/1998, d. 06/08/2017. Baptised 16 Jun 1998 at the Chapel of The Royal Hospital, Chelsea, London. Harry died in a swimming accident whilst working for the summer at the Peligoni Club in Greece on 6 August 2017.</v>
      </c>
      <c r="AK117" s="3" t="str">
        <f>IF(VLOOKUP($C117,'All Girls &amp; Descendants - Edit'!$C$2:$AK$440,'All Girls &amp; Descendants - Edit'!AK$1,FALSE)=""," - ",(VLOOKUP($C117,'All Girls &amp; Descendants - Edit'!$C$2:$AK$440,'All Girls &amp; Descendants - Edit'!AK$1,FALSE)))</f>
        <v>b. 10/04/1998, d. 06/08/2017.</v>
      </c>
    </row>
    <row r="118" spans="1:37" ht="19">
      <c r="A118">
        <f>VLOOKUP(B118,'Loyd List 1-190 - Edit'!$P$1:$R$219,3,FALSE)</f>
        <v>100</v>
      </c>
      <c r="B118">
        <f>'All Girls &amp; Descendants - Edit'!B119</f>
        <v>143</v>
      </c>
      <c r="C118" s="98" t="str">
        <f>'All Girls &amp; Descendants - Edit'!C119</f>
        <v>143a</v>
      </c>
      <c r="D118" s="2" t="str">
        <f>'All Girls &amp; Descendants - Edit'!D119</f>
        <v>ASHE</v>
      </c>
      <c r="E118" t="str">
        <f>'All Girls &amp; Descendants - Edit'!E119</f>
        <v>Emily</v>
      </c>
      <c r="F118" t="str">
        <f>IF('All Girls &amp; Descendants - Edit'!F119="","",'All Girls &amp; Descendants - Edit'!F119)</f>
        <v>Harriert</v>
      </c>
      <c r="G118" t="str">
        <f>IF('All Girls &amp; Descendants - Edit'!G119="","",'All Girls &amp; Descendants - Edit'!G119)</f>
        <v/>
      </c>
      <c r="H118" t="str">
        <f>IF('All Girls &amp; Descendants - Edit'!H119="","",'All Girls &amp; Descendants - Edit'!H119)</f>
        <v/>
      </c>
      <c r="I118">
        <f>VLOOKUP($C118,'All Girls &amp; Descendants - Edit'!$C$2:$AK$440,'All Girls &amp; Descendants - Edit'!I$1,FALSE)</f>
        <v>1988</v>
      </c>
      <c r="J118" t="str">
        <f>VLOOKUP($C118,'All Girls &amp; Descendants - Edit'!$C$2:$AK$440,'All Girls &amp; Descendants - Edit'!J$1,FALSE)</f>
        <v/>
      </c>
      <c r="K118" s="9"/>
      <c r="L118" t="str">
        <f t="shared" si="10"/>
        <v>08/02/1988</v>
      </c>
      <c r="M118" s="3">
        <f>VLOOKUP($C118,'All Girls &amp; Descendants - Edit'!$C$2:$AK$440,'All Girls &amp; Descendants - Edit'!M$1,FALSE)</f>
        <v>32181</v>
      </c>
      <c r="N118" s="3">
        <f>IF(VLOOKUP($C118,'All Girls &amp; Descendants - Edit'!$C$2:$AK$440,'All Girls &amp; Descendants - Edit'!N$1,FALSE)=""," - ",(VLOOKUP($C118,'All Girls &amp; Descendants - Edit'!$C$2:$AK$440,'All Girls &amp; Descendants - Edit'!N$1,FALSE)))</f>
        <v>42868</v>
      </c>
      <c r="O118" s="3" t="str">
        <f>IF(VLOOKUP($C118,'All Girls &amp; Descendants - Edit'!$C$2:$AK$440,'All Girls &amp; Descendants - Edit'!O$1,FALSE)="","",(VLOOKUP($C118,'All Girls &amp; Descendants - Edit'!$C$2:$AK$440,'All Girls &amp; Descendants - Edit'!O$1,FALSE)))</f>
        <v/>
      </c>
      <c r="P118" s="3" t="str">
        <f t="shared" si="14"/>
        <v/>
      </c>
      <c r="Q118" s="178" t="str">
        <f t="shared" si="15"/>
        <v>143</v>
      </c>
      <c r="R118" s="23"/>
      <c r="S118" t="str">
        <f>VLOOKUP($C118,'All Girls &amp; Descendants - Edit'!$C$2:$AK$440,'All Girls &amp; Descendants - Edit'!S$1,FALSE)</f>
        <v>Female</v>
      </c>
      <c r="T118" s="176">
        <f t="shared" si="16"/>
        <v>7</v>
      </c>
      <c r="U118" s="176">
        <f t="shared" si="11"/>
        <v>4</v>
      </c>
      <c r="V118" s="176">
        <f t="shared" si="12"/>
        <v>6</v>
      </c>
      <c r="W118" s="177">
        <f t="shared" si="13"/>
        <v>1</v>
      </c>
      <c r="X118" s="3" t="str">
        <f>IF(VLOOKUP($C118,'All Girls &amp; Descendants - Edit'!$C$2:$AK$440,'All Girls &amp; Descendants - Edit'!X$1,FALSE)=""," - ",(VLOOKUP($C118,'All Girls &amp; Descendants - Edit'!$C$2:$AK$440,'All Girls &amp; Descendants - Edit'!X$1,FALSE)))</f>
        <v>James Edward RUSSELL-STONEHAM</v>
      </c>
      <c r="Y118" s="3" t="str">
        <f>IF(VLOOKUP($C118,'All Girls &amp; Descendants - Edit'!$C$2:$AK$440,'All Girls &amp; Descendants - Edit'!Y$1,FALSE)=""," - ",(VLOOKUP($C118,'All Girls &amp; Descendants - Edit'!$C$2:$AK$440,'All Girls &amp; Descendants - Edit'!Y$1,FALSE)))</f>
        <v xml:space="preserve"> - </v>
      </c>
      <c r="Z118" s="3" t="str">
        <f>IF(VLOOKUP($C118,'All Girls &amp; Descendants - Edit'!$C$2:$AK$440,'All Girls &amp; Descendants - Edit'!Z$1,FALSE)=""," - ",(VLOOKUP($C118,'All Girls &amp; Descendants - Edit'!$C$2:$AK$440,'All Girls &amp; Descendants - Edit'!Z$1,FALSE)))</f>
        <v>Baptised 15 May 1988 at All Saints’, Lockinge.</v>
      </c>
      <c r="AA118" s="101">
        <f>IF(VLOOKUP($C118,'All Girls &amp; Descendants - Edit'!$C$2:$AK$440,'All Girls &amp; Descendants - Edit'!AA$1,FALSE)=""," - ",(VLOOKUP($C118,'All Girls &amp; Descendants - Edit'!$C$2:$AK$440,'All Girls &amp; Descendants - Edit'!AA$1,FALSE)))</f>
        <v>347</v>
      </c>
      <c r="AB118" s="101">
        <f>IF(VLOOKUP($C118,'All Girls &amp; Descendants - Edit'!$C$2:$AK$440,'All Girls &amp; Descendants - Edit'!AB$1,FALSE)=""," - ",(VLOOKUP($C118,'All Girls &amp; Descendants - Edit'!$C$2:$AK$440,'All Girls &amp; Descendants - Edit'!AB$1,FALSE)))</f>
        <v>117</v>
      </c>
      <c r="AC118" s="101">
        <f>IF(VLOOKUP($C118,'All Girls &amp; Descendants - Edit'!$C$2:$AK$440,'All Girls &amp; Descendants - Edit'!AC$1,FALSE)=""," - ",(VLOOKUP($C118,'All Girls &amp; Descendants - Edit'!$C$2:$AK$440,'All Girls &amp; Descendants - Edit'!AC$1,FALSE)))</f>
        <v>1117</v>
      </c>
      <c r="AD118" s="3" t="str">
        <f>IF(VLOOKUP($C118,'All Girls &amp; Descendants - Edit'!$C$2:$AK$440,'All Girls &amp; Descendants - Edit'!AD$1,FALSE)=""," - ",(VLOOKUP($C118,'All Girls &amp; Descendants - Edit'!$C$2:$AK$440,'All Girls &amp; Descendants - Edit'!AD$1,FALSE)))</f>
        <v>143a</v>
      </c>
      <c r="AE118" s="3" t="str">
        <f>IF(VLOOKUP($C118,'All Girls &amp; Descendants - Edit'!$C$2:$AK$440,'All Girls &amp; Descendants - Edit'!AE$1,FALSE)=""," - ",(VLOOKUP($C118,'All Girls &amp; Descendants - Edit'!$C$2:$AK$440,'All Girls &amp; Descendants - Edit'!AE$1,FALSE)))</f>
        <v>Emily Harriert  ASHE (1988 - )</v>
      </c>
      <c r="AF118" s="3" t="str">
        <f>IF(VLOOKUP($C118,'All Girls &amp; Descendants - Edit'!$C$2:$AK$440,'All Girls &amp; Descendants - Edit'!AF$1,FALSE)=""," - ",(VLOOKUP($C118,'All Girls &amp; Descendants - Edit'!$C$2:$AK$440,'All Girls &amp; Descendants - Edit'!AF$1,FALSE)))</f>
        <v>Emily ASHE (7th &amp; 143)</v>
      </c>
      <c r="AG118" s="3" t="str">
        <f>IF(VLOOKUP($C118,'All Girls &amp; Descendants - Edit'!$C$2:$AK$440,'All Girls &amp; Descendants - Edit'!AG$1,FALSE)=""," - ",(VLOOKUP($C118,'All Girls &amp; Descendants - Edit'!$C$2:$AK$440,'All Girls &amp; Descendants - Edit'!AG$1,FALSE)))</f>
        <v>Female</v>
      </c>
      <c r="AH118" s="3" t="str">
        <f>IF(VLOOKUP($C118,'All Girls &amp; Descendants - Edit'!$C$2:$AK$440,'All Girls &amp; Descendants - Edit'!AH$1,FALSE)=""," - ",(VLOOKUP($C118,'All Girls &amp; Descendants - Edit'!$C$2:$AK$440,'All Girls &amp; Descendants - Edit'!AH$1,FALSE)))</f>
        <v>7th</v>
      </c>
      <c r="AI118" s="3" t="str">
        <f>IF(VLOOKUP($C118,'All Girls &amp; Descendants - Edit'!$C$2:$AK$440,'All Girls &amp; Descendants - Edit'!AI$1,FALSE)=""," - ",(VLOOKUP($C118,'All Girls &amp; Descendants - Edit'!$C$2:$AK$440,'All Girls &amp; Descendants - Edit'!AI$1,FALSE)))</f>
        <v xml:space="preserve">Husband: James Edward RUSSELL-STONEHAM. </v>
      </c>
      <c r="AJ118" s="3" t="str">
        <f>IF(VLOOKUP($C118,'All Girls &amp; Descendants - Edit'!$C$2:$AK$440,'All Girls &amp; Descendants - Edit'!AJ$1,FALSE)=""," - ",(VLOOKUP($C118,'All Girls &amp; Descendants - Edit'!$C$2:$AK$440,'All Girls &amp; Descendants - Edit'!AJ$1,FALSE)))</f>
        <v>Female. b. 08/02/1988 Baptised 15 May 1988 at All Saints’, Lockinge.</v>
      </c>
      <c r="AK118" s="3" t="str">
        <f>IF(VLOOKUP($C118,'All Girls &amp; Descendants - Edit'!$C$2:$AK$440,'All Girls &amp; Descendants - Edit'!AK$1,FALSE)=""," - ",(VLOOKUP($C118,'All Girls &amp; Descendants - Edit'!$C$2:$AK$440,'All Girls &amp; Descendants - Edit'!AK$1,FALSE)))</f>
        <v>b. 08/02/1988</v>
      </c>
    </row>
    <row r="119" spans="1:37" ht="19">
      <c r="A119">
        <f>VLOOKUP(B119,'Loyd List 1-190 - Edit'!$P$1:$R$219,3,FALSE)</f>
        <v>100</v>
      </c>
      <c r="B119">
        <f>'All Girls &amp; Descendants - Edit'!B120</f>
        <v>143</v>
      </c>
      <c r="C119" s="98" t="str">
        <f>'All Girls &amp; Descendants - Edit'!C120</f>
        <v>143b</v>
      </c>
      <c r="D119" s="2" t="str">
        <f>'All Girls &amp; Descendants - Edit'!D120</f>
        <v>ASHE</v>
      </c>
      <c r="E119" t="str">
        <f>'All Girls &amp; Descendants - Edit'!E120</f>
        <v>Charles</v>
      </c>
      <c r="F119" t="str">
        <f>IF('All Girls &amp; Descendants - Edit'!F120="","",'All Girls &amp; Descendants - Edit'!F120)</f>
        <v>Windham</v>
      </c>
      <c r="G119" t="str">
        <f>IF('All Girls &amp; Descendants - Edit'!G120="","",'All Girls &amp; Descendants - Edit'!G120)</f>
        <v/>
      </c>
      <c r="H119" t="str">
        <f>IF('All Girls &amp; Descendants - Edit'!H120="","",'All Girls &amp; Descendants - Edit'!H120)</f>
        <v/>
      </c>
      <c r="I119">
        <f>VLOOKUP($C119,'All Girls &amp; Descendants - Edit'!$C$2:$AK$440,'All Girls &amp; Descendants - Edit'!I$1,FALSE)</f>
        <v>1990</v>
      </c>
      <c r="J119" t="str">
        <f>VLOOKUP($C119,'All Girls &amp; Descendants - Edit'!$C$2:$AK$440,'All Girls &amp; Descendants - Edit'!J$1,FALSE)</f>
        <v/>
      </c>
      <c r="K119" s="9"/>
      <c r="L119" t="str">
        <f t="shared" si="10"/>
        <v>11/04/1990</v>
      </c>
      <c r="M119" s="3">
        <f>VLOOKUP($C119,'All Girls &amp; Descendants - Edit'!$C$2:$AK$440,'All Girls &amp; Descendants - Edit'!M$1,FALSE)</f>
        <v>32974</v>
      </c>
      <c r="N119" s="3" t="str">
        <f>IF(VLOOKUP($C119,'All Girls &amp; Descendants - Edit'!$C$2:$AK$440,'All Girls &amp; Descendants - Edit'!N$1,FALSE)=""," - ",(VLOOKUP($C119,'All Girls &amp; Descendants - Edit'!$C$2:$AK$440,'All Girls &amp; Descendants - Edit'!N$1,FALSE)))</f>
        <v xml:space="preserve"> - </v>
      </c>
      <c r="O119" s="3" t="str">
        <f>IF(VLOOKUP($C119,'All Girls &amp; Descendants - Edit'!$C$2:$AK$440,'All Girls &amp; Descendants - Edit'!O$1,FALSE)="","",(VLOOKUP($C119,'All Girls &amp; Descendants - Edit'!$C$2:$AK$440,'All Girls &amp; Descendants - Edit'!O$1,FALSE)))</f>
        <v/>
      </c>
      <c r="P119" s="3" t="str">
        <f t="shared" si="14"/>
        <v/>
      </c>
      <c r="Q119" s="178" t="str">
        <f t="shared" si="15"/>
        <v>143</v>
      </c>
      <c r="R119" s="23"/>
      <c r="S119" t="str">
        <f>VLOOKUP($C119,'All Girls &amp; Descendants - Edit'!$C$2:$AK$440,'All Girls &amp; Descendants - Edit'!S$1,FALSE)</f>
        <v>Male</v>
      </c>
      <c r="T119" s="176">
        <f t="shared" si="16"/>
        <v>7</v>
      </c>
      <c r="U119" s="176">
        <f t="shared" si="11"/>
        <v>4</v>
      </c>
      <c r="V119" s="176">
        <f t="shared" si="12"/>
        <v>6</v>
      </c>
      <c r="W119" s="177">
        <f t="shared" si="13"/>
        <v>1</v>
      </c>
      <c r="X119" s="3" t="str">
        <f>IF(VLOOKUP($C119,'All Girls &amp; Descendants - Edit'!$C$2:$AK$440,'All Girls &amp; Descendants - Edit'!X$1,FALSE)=""," - ",(VLOOKUP($C119,'All Girls &amp; Descendants - Edit'!$C$2:$AK$440,'All Girls &amp; Descendants - Edit'!X$1,FALSE)))</f>
        <v xml:space="preserve"> - </v>
      </c>
      <c r="Y119" s="3" t="str">
        <f>IF(VLOOKUP($C119,'All Girls &amp; Descendants - Edit'!$C$2:$AK$440,'All Girls &amp; Descendants - Edit'!Y$1,FALSE)=""," - ",(VLOOKUP($C119,'All Girls &amp; Descendants - Edit'!$C$2:$AK$440,'All Girls &amp; Descendants - Edit'!Y$1,FALSE)))</f>
        <v xml:space="preserve"> - </v>
      </c>
      <c r="Z119" s="3" t="str">
        <f>IF(VLOOKUP($C119,'All Girls &amp; Descendants - Edit'!$C$2:$AK$440,'All Girls &amp; Descendants - Edit'!Z$1,FALSE)=""," - ",(VLOOKUP($C119,'All Girls &amp; Descendants - Edit'!$C$2:$AK$440,'All Girls &amp; Descendants - Edit'!Z$1,FALSE)))</f>
        <v>Baptised 19 Aug 1990 at All Saints’, Lockinge.</v>
      </c>
      <c r="AA119" s="101">
        <f>IF(VLOOKUP($C119,'All Girls &amp; Descendants - Edit'!$C$2:$AK$440,'All Girls &amp; Descendants - Edit'!AA$1,FALSE)=""," - ",(VLOOKUP($C119,'All Girls &amp; Descendants - Edit'!$C$2:$AK$440,'All Girls &amp; Descendants - Edit'!AA$1,FALSE)))</f>
        <v>348</v>
      </c>
      <c r="AB119" s="101">
        <f>IF(VLOOKUP($C119,'All Girls &amp; Descendants - Edit'!$C$2:$AK$440,'All Girls &amp; Descendants - Edit'!AB$1,FALSE)=""," - ",(VLOOKUP($C119,'All Girls &amp; Descendants - Edit'!$C$2:$AK$440,'All Girls &amp; Descendants - Edit'!AB$1,FALSE)))</f>
        <v>118</v>
      </c>
      <c r="AC119" s="101">
        <f>IF(VLOOKUP($C119,'All Girls &amp; Descendants - Edit'!$C$2:$AK$440,'All Girls &amp; Descendants - Edit'!AC$1,FALSE)=""," - ",(VLOOKUP($C119,'All Girls &amp; Descendants - Edit'!$C$2:$AK$440,'All Girls &amp; Descendants - Edit'!AC$1,FALSE)))</f>
        <v>1118</v>
      </c>
      <c r="AD119" s="3" t="str">
        <f>IF(VLOOKUP($C119,'All Girls &amp; Descendants - Edit'!$C$2:$AK$440,'All Girls &amp; Descendants - Edit'!AD$1,FALSE)=""," - ",(VLOOKUP($C119,'All Girls &amp; Descendants - Edit'!$C$2:$AK$440,'All Girls &amp; Descendants - Edit'!AD$1,FALSE)))</f>
        <v>143b</v>
      </c>
      <c r="AE119" s="3" t="str">
        <f>IF(VLOOKUP($C119,'All Girls &amp; Descendants - Edit'!$C$2:$AK$440,'All Girls &amp; Descendants - Edit'!AE$1,FALSE)=""," - ",(VLOOKUP($C119,'All Girls &amp; Descendants - Edit'!$C$2:$AK$440,'All Girls &amp; Descendants - Edit'!AE$1,FALSE)))</f>
        <v>Charles Windham  ASHE (1990 - )</v>
      </c>
      <c r="AF119" s="3" t="str">
        <f>IF(VLOOKUP($C119,'All Girls &amp; Descendants - Edit'!$C$2:$AK$440,'All Girls &amp; Descendants - Edit'!AF$1,FALSE)=""," - ",(VLOOKUP($C119,'All Girls &amp; Descendants - Edit'!$C$2:$AK$440,'All Girls &amp; Descendants - Edit'!AF$1,FALSE)))</f>
        <v>Charles ASHE (7th &amp; 143)</v>
      </c>
      <c r="AG119" s="3" t="str">
        <f>IF(VLOOKUP($C119,'All Girls &amp; Descendants - Edit'!$C$2:$AK$440,'All Girls &amp; Descendants - Edit'!AG$1,FALSE)=""," - ",(VLOOKUP($C119,'All Girls &amp; Descendants - Edit'!$C$2:$AK$440,'All Girls &amp; Descendants - Edit'!AG$1,FALSE)))</f>
        <v>Male</v>
      </c>
      <c r="AH119" s="3" t="str">
        <f>IF(VLOOKUP($C119,'All Girls &amp; Descendants - Edit'!$C$2:$AK$440,'All Girls &amp; Descendants - Edit'!AH$1,FALSE)=""," - ",(VLOOKUP($C119,'All Girls &amp; Descendants - Edit'!$C$2:$AK$440,'All Girls &amp; Descendants - Edit'!AH$1,FALSE)))</f>
        <v>7th</v>
      </c>
      <c r="AI119" s="3" t="str">
        <f>IF(VLOOKUP($C119,'All Girls &amp; Descendants - Edit'!$C$2:$AK$440,'All Girls &amp; Descendants - Edit'!AI$1,FALSE)=""," - ",(VLOOKUP($C119,'All Girls &amp; Descendants - Edit'!$C$2:$AK$440,'All Girls &amp; Descendants - Edit'!AI$1,FALSE)))</f>
        <v>Unmarried</v>
      </c>
      <c r="AJ119" s="3" t="str">
        <f>IF(VLOOKUP($C119,'All Girls &amp; Descendants - Edit'!$C$2:$AK$440,'All Girls &amp; Descendants - Edit'!AJ$1,FALSE)=""," - ",(VLOOKUP($C119,'All Girls &amp; Descendants - Edit'!$C$2:$AK$440,'All Girls &amp; Descendants - Edit'!AJ$1,FALSE)))</f>
        <v>Male. b. 11/04/1990 Baptised 19 Aug 1990 at All Saints’, Lockinge.</v>
      </c>
      <c r="AK119" s="3" t="str">
        <f>IF(VLOOKUP($C119,'All Girls &amp; Descendants - Edit'!$C$2:$AK$440,'All Girls &amp; Descendants - Edit'!AK$1,FALSE)=""," - ",(VLOOKUP($C119,'All Girls &amp; Descendants - Edit'!$C$2:$AK$440,'All Girls &amp; Descendants - Edit'!AK$1,FALSE)))</f>
        <v>b. 11/04/1990</v>
      </c>
    </row>
    <row r="120" spans="1:37" ht="19">
      <c r="A120">
        <f>VLOOKUP(B120,'Loyd List 1-190 - Edit'!$P$1:$R$219,3,FALSE)</f>
        <v>104</v>
      </c>
      <c r="B120">
        <f>'All Girls &amp; Descendants - Edit'!B121</f>
        <v>152</v>
      </c>
      <c r="C120" s="98" t="str">
        <f>'All Girls &amp; Descendants - Edit'!C121</f>
        <v>152a</v>
      </c>
      <c r="D120" s="2" t="str">
        <f>'All Girls &amp; Descendants - Edit'!D121</f>
        <v>WHITCOMB</v>
      </c>
      <c r="E120" t="str">
        <f>'All Girls &amp; Descendants - Edit'!E121</f>
        <v>Clementine</v>
      </c>
      <c r="F120" t="str">
        <f>IF('All Girls &amp; Descendants - Edit'!F121="","",'All Girls &amp; Descendants - Edit'!F121)</f>
        <v/>
      </c>
      <c r="G120" t="str">
        <f>IF('All Girls &amp; Descendants - Edit'!G121="","",'All Girls &amp; Descendants - Edit'!G121)</f>
        <v/>
      </c>
      <c r="H120" t="str">
        <f>IF('All Girls &amp; Descendants - Edit'!H121="","",'All Girls &amp; Descendants - Edit'!H121)</f>
        <v/>
      </c>
      <c r="I120">
        <f>VLOOKUP($C120,'All Girls &amp; Descendants - Edit'!$C$2:$AK$440,'All Girls &amp; Descendants - Edit'!I$1,FALSE)</f>
        <v>1999</v>
      </c>
      <c r="J120" t="str">
        <f>VLOOKUP($C120,'All Girls &amp; Descendants - Edit'!$C$2:$AK$440,'All Girls &amp; Descendants - Edit'!J$1,FALSE)</f>
        <v/>
      </c>
      <c r="K120" s="9"/>
      <c r="L120" t="str">
        <f t="shared" si="10"/>
        <v>11/12/1999</v>
      </c>
      <c r="M120" s="3">
        <f>VLOOKUP($C120,'All Girls &amp; Descendants - Edit'!$C$2:$AK$440,'All Girls &amp; Descendants - Edit'!M$1,FALSE)</f>
        <v>36505</v>
      </c>
      <c r="N120" s="3" t="str">
        <f>IF(VLOOKUP($C120,'All Girls &amp; Descendants - Edit'!$C$2:$AK$440,'All Girls &amp; Descendants - Edit'!N$1,FALSE)=""," - ",(VLOOKUP($C120,'All Girls &amp; Descendants - Edit'!$C$2:$AK$440,'All Girls &amp; Descendants - Edit'!N$1,FALSE)))</f>
        <v xml:space="preserve"> - </v>
      </c>
      <c r="O120" s="3" t="str">
        <f>IF(VLOOKUP($C120,'All Girls &amp; Descendants - Edit'!$C$2:$AK$440,'All Girls &amp; Descendants - Edit'!O$1,FALSE)="","",(VLOOKUP($C120,'All Girls &amp; Descendants - Edit'!$C$2:$AK$440,'All Girls &amp; Descendants - Edit'!O$1,FALSE)))</f>
        <v/>
      </c>
      <c r="P120" s="3" t="str">
        <f t="shared" si="14"/>
        <v/>
      </c>
      <c r="Q120" s="178" t="str">
        <f t="shared" si="15"/>
        <v>152</v>
      </c>
      <c r="R120" s="23"/>
      <c r="S120" t="str">
        <f>VLOOKUP($C120,'All Girls &amp; Descendants - Edit'!$C$2:$AK$440,'All Girls &amp; Descendants - Edit'!S$1,FALSE)</f>
        <v>Female</v>
      </c>
      <c r="T120" s="176">
        <f t="shared" si="16"/>
        <v>7</v>
      </c>
      <c r="U120" s="176">
        <f t="shared" si="11"/>
        <v>4</v>
      </c>
      <c r="V120" s="176">
        <f t="shared" si="12"/>
        <v>6</v>
      </c>
      <c r="W120" s="177">
        <f t="shared" si="13"/>
        <v>1</v>
      </c>
      <c r="X120" s="3" t="str">
        <f>IF(VLOOKUP($C120,'All Girls &amp; Descendants - Edit'!$C$2:$AK$440,'All Girls &amp; Descendants - Edit'!X$1,FALSE)=""," - ",(VLOOKUP($C120,'All Girls &amp; Descendants - Edit'!$C$2:$AK$440,'All Girls &amp; Descendants - Edit'!X$1,FALSE)))</f>
        <v xml:space="preserve"> - </v>
      </c>
      <c r="Y120" s="3" t="str">
        <f>IF(VLOOKUP($C120,'All Girls &amp; Descendants - Edit'!$C$2:$AK$440,'All Girls &amp; Descendants - Edit'!Y$1,FALSE)=""," - ",(VLOOKUP($C120,'All Girls &amp; Descendants - Edit'!$C$2:$AK$440,'All Girls &amp; Descendants - Edit'!Y$1,FALSE)))</f>
        <v xml:space="preserve"> - </v>
      </c>
      <c r="Z120" s="3" t="str">
        <f>IF(VLOOKUP($C120,'All Girls &amp; Descendants - Edit'!$C$2:$AK$440,'All Girls &amp; Descendants - Edit'!Z$1,FALSE)=""," - ",(VLOOKUP($C120,'All Girls &amp; Descendants - Edit'!$C$2:$AK$440,'All Girls &amp; Descendants - Edit'!Z$1,FALSE)))</f>
        <v xml:space="preserve"> - </v>
      </c>
      <c r="AA120" s="101">
        <f>IF(VLOOKUP($C120,'All Girls &amp; Descendants - Edit'!$C$2:$AK$440,'All Girls &amp; Descendants - Edit'!AA$1,FALSE)=""," - ",(VLOOKUP($C120,'All Girls &amp; Descendants - Edit'!$C$2:$AK$440,'All Girls &amp; Descendants - Edit'!AA$1,FALSE)))</f>
        <v>349</v>
      </c>
      <c r="AB120" s="101">
        <f>IF(VLOOKUP($C120,'All Girls &amp; Descendants - Edit'!$C$2:$AK$440,'All Girls &amp; Descendants - Edit'!AB$1,FALSE)=""," - ",(VLOOKUP($C120,'All Girls &amp; Descendants - Edit'!$C$2:$AK$440,'All Girls &amp; Descendants - Edit'!AB$1,FALSE)))</f>
        <v>119</v>
      </c>
      <c r="AC120" s="101">
        <f>IF(VLOOKUP($C120,'All Girls &amp; Descendants - Edit'!$C$2:$AK$440,'All Girls &amp; Descendants - Edit'!AC$1,FALSE)=""," - ",(VLOOKUP($C120,'All Girls &amp; Descendants - Edit'!$C$2:$AK$440,'All Girls &amp; Descendants - Edit'!AC$1,FALSE)))</f>
        <v>1119</v>
      </c>
      <c r="AD120" s="3" t="str">
        <f>IF(VLOOKUP($C120,'All Girls &amp; Descendants - Edit'!$C$2:$AK$440,'All Girls &amp; Descendants - Edit'!AD$1,FALSE)=""," - ",(VLOOKUP($C120,'All Girls &amp; Descendants - Edit'!$C$2:$AK$440,'All Girls &amp; Descendants - Edit'!AD$1,FALSE)))</f>
        <v>152a</v>
      </c>
      <c r="AE120" s="3" t="str">
        <f>IF(VLOOKUP($C120,'All Girls &amp; Descendants - Edit'!$C$2:$AK$440,'All Girls &amp; Descendants - Edit'!AE$1,FALSE)=""," - ",(VLOOKUP($C120,'All Girls &amp; Descendants - Edit'!$C$2:$AK$440,'All Girls &amp; Descendants - Edit'!AE$1,FALSE)))</f>
        <v>Clementine   WHITCOMB (1999 - )</v>
      </c>
      <c r="AF120" s="3" t="str">
        <f>IF(VLOOKUP($C120,'All Girls &amp; Descendants - Edit'!$C$2:$AK$440,'All Girls &amp; Descendants - Edit'!AF$1,FALSE)=""," - ",(VLOOKUP($C120,'All Girls &amp; Descendants - Edit'!$C$2:$AK$440,'All Girls &amp; Descendants - Edit'!AF$1,FALSE)))</f>
        <v>Clementine WHITCOMB (7th &amp; 152)</v>
      </c>
      <c r="AG120" s="3" t="str">
        <f>IF(VLOOKUP($C120,'All Girls &amp; Descendants - Edit'!$C$2:$AK$440,'All Girls &amp; Descendants - Edit'!AG$1,FALSE)=""," - ",(VLOOKUP($C120,'All Girls &amp; Descendants - Edit'!$C$2:$AK$440,'All Girls &amp; Descendants - Edit'!AG$1,FALSE)))</f>
        <v>Female</v>
      </c>
      <c r="AH120" s="3" t="str">
        <f>IF(VLOOKUP($C120,'All Girls &amp; Descendants - Edit'!$C$2:$AK$440,'All Girls &amp; Descendants - Edit'!AH$1,FALSE)=""," - ",(VLOOKUP($C120,'All Girls &amp; Descendants - Edit'!$C$2:$AK$440,'All Girls &amp; Descendants - Edit'!AH$1,FALSE)))</f>
        <v>7th</v>
      </c>
      <c r="AI120" s="3" t="str">
        <f>IF(VLOOKUP($C120,'All Girls &amp; Descendants - Edit'!$C$2:$AK$440,'All Girls &amp; Descendants - Edit'!AI$1,FALSE)=""," - ",(VLOOKUP($C120,'All Girls &amp; Descendants - Edit'!$C$2:$AK$440,'All Girls &amp; Descendants - Edit'!AI$1,FALSE)))</f>
        <v>Unmarried</v>
      </c>
      <c r="AJ120" s="3" t="str">
        <f>IF(VLOOKUP($C120,'All Girls &amp; Descendants - Edit'!$C$2:$AK$440,'All Girls &amp; Descendants - Edit'!AJ$1,FALSE)=""," - ",(VLOOKUP($C120,'All Girls &amp; Descendants - Edit'!$C$2:$AK$440,'All Girls &amp; Descendants - Edit'!AJ$1,FALSE)))</f>
        <v>Female. b. 11/12/1999</v>
      </c>
      <c r="AK120" s="3" t="str">
        <f>IF(VLOOKUP($C120,'All Girls &amp; Descendants - Edit'!$C$2:$AK$440,'All Girls &amp; Descendants - Edit'!AK$1,FALSE)=""," - ",(VLOOKUP($C120,'All Girls &amp; Descendants - Edit'!$C$2:$AK$440,'All Girls &amp; Descendants - Edit'!AK$1,FALSE)))</f>
        <v>b. 11/12/1999</v>
      </c>
    </row>
    <row r="121" spans="1:37" ht="19">
      <c r="A121">
        <f>VLOOKUP(B121,'Loyd List 1-190 - Edit'!$P$1:$R$219,3,FALSE)</f>
        <v>104</v>
      </c>
      <c r="B121">
        <f>'All Girls &amp; Descendants - Edit'!B122</f>
        <v>152</v>
      </c>
      <c r="C121" s="98" t="str">
        <f>'All Girls &amp; Descendants - Edit'!C122</f>
        <v>152b</v>
      </c>
      <c r="D121" s="2" t="str">
        <f>'All Girls &amp; Descendants - Edit'!D122</f>
        <v>WHITCOMB</v>
      </c>
      <c r="E121" t="str">
        <f>'All Girls &amp; Descendants - Edit'!E122</f>
        <v>Augustin</v>
      </c>
      <c r="F121" t="str">
        <f>IF('All Girls &amp; Descendants - Edit'!F122="","",'All Girls &amp; Descendants - Edit'!F122)</f>
        <v/>
      </c>
      <c r="G121" t="str">
        <f>IF('All Girls &amp; Descendants - Edit'!G122="","",'All Girls &amp; Descendants - Edit'!G122)</f>
        <v/>
      </c>
      <c r="H121" t="str">
        <f>IF('All Girls &amp; Descendants - Edit'!H122="","",'All Girls &amp; Descendants - Edit'!H122)</f>
        <v/>
      </c>
      <c r="I121">
        <f>VLOOKUP($C121,'All Girls &amp; Descendants - Edit'!$C$2:$AK$440,'All Girls &amp; Descendants - Edit'!I$1,FALSE)</f>
        <v>2001</v>
      </c>
      <c r="J121" t="str">
        <f>VLOOKUP($C121,'All Girls &amp; Descendants - Edit'!$C$2:$AK$440,'All Girls &amp; Descendants - Edit'!J$1,FALSE)</f>
        <v/>
      </c>
      <c r="K121" s="9"/>
      <c r="L121" t="str">
        <f t="shared" si="10"/>
        <v>29/01/2001</v>
      </c>
      <c r="M121" s="3">
        <f>VLOOKUP($C121,'All Girls &amp; Descendants - Edit'!$C$2:$AK$440,'All Girls &amp; Descendants - Edit'!M$1,FALSE)</f>
        <v>36920</v>
      </c>
      <c r="N121" s="3" t="str">
        <f>IF(VLOOKUP($C121,'All Girls &amp; Descendants - Edit'!$C$2:$AK$440,'All Girls &amp; Descendants - Edit'!N$1,FALSE)=""," - ",(VLOOKUP($C121,'All Girls &amp; Descendants - Edit'!$C$2:$AK$440,'All Girls &amp; Descendants - Edit'!N$1,FALSE)))</f>
        <v xml:space="preserve"> - </v>
      </c>
      <c r="O121" s="3" t="str">
        <f>IF(VLOOKUP($C121,'All Girls &amp; Descendants - Edit'!$C$2:$AK$440,'All Girls &amp; Descendants - Edit'!O$1,FALSE)="","",(VLOOKUP($C121,'All Girls &amp; Descendants - Edit'!$C$2:$AK$440,'All Girls &amp; Descendants - Edit'!O$1,FALSE)))</f>
        <v/>
      </c>
      <c r="P121" s="3" t="str">
        <f t="shared" si="14"/>
        <v/>
      </c>
      <c r="Q121" s="178" t="str">
        <f t="shared" si="15"/>
        <v>152</v>
      </c>
      <c r="R121" s="23"/>
      <c r="S121" t="str">
        <f>VLOOKUP($C121,'All Girls &amp; Descendants - Edit'!$C$2:$AK$440,'All Girls &amp; Descendants - Edit'!S$1,FALSE)</f>
        <v>Male</v>
      </c>
      <c r="T121" s="176">
        <f t="shared" si="16"/>
        <v>7</v>
      </c>
      <c r="U121" s="176">
        <f t="shared" si="11"/>
        <v>4</v>
      </c>
      <c r="V121" s="176">
        <f t="shared" si="12"/>
        <v>6</v>
      </c>
      <c r="W121" s="177">
        <f t="shared" si="13"/>
        <v>1</v>
      </c>
      <c r="X121" s="3" t="str">
        <f>IF(VLOOKUP($C121,'All Girls &amp; Descendants - Edit'!$C$2:$AK$440,'All Girls &amp; Descendants - Edit'!X$1,FALSE)=""," - ",(VLOOKUP($C121,'All Girls &amp; Descendants - Edit'!$C$2:$AK$440,'All Girls &amp; Descendants - Edit'!X$1,FALSE)))</f>
        <v xml:space="preserve"> - </v>
      </c>
      <c r="Y121" s="3" t="str">
        <f>IF(VLOOKUP($C121,'All Girls &amp; Descendants - Edit'!$C$2:$AK$440,'All Girls &amp; Descendants - Edit'!Y$1,FALSE)=""," - ",(VLOOKUP($C121,'All Girls &amp; Descendants - Edit'!$C$2:$AK$440,'All Girls &amp; Descendants - Edit'!Y$1,FALSE)))</f>
        <v xml:space="preserve"> - </v>
      </c>
      <c r="Z121" s="3" t="str">
        <f>IF(VLOOKUP($C121,'All Girls &amp; Descendants - Edit'!$C$2:$AK$440,'All Girls &amp; Descendants - Edit'!Z$1,FALSE)=""," - ",(VLOOKUP($C121,'All Girls &amp; Descendants - Edit'!$C$2:$AK$440,'All Girls &amp; Descendants - Edit'!Z$1,FALSE)))</f>
        <v xml:space="preserve"> - </v>
      </c>
      <c r="AA121" s="101">
        <f>IF(VLOOKUP($C121,'All Girls &amp; Descendants - Edit'!$C$2:$AK$440,'All Girls &amp; Descendants - Edit'!AA$1,FALSE)=""," - ",(VLOOKUP($C121,'All Girls &amp; Descendants - Edit'!$C$2:$AK$440,'All Girls &amp; Descendants - Edit'!AA$1,FALSE)))</f>
        <v>351</v>
      </c>
      <c r="AB121" s="101">
        <f>IF(VLOOKUP($C121,'All Girls &amp; Descendants - Edit'!$C$2:$AK$440,'All Girls &amp; Descendants - Edit'!AB$1,FALSE)=""," - ",(VLOOKUP($C121,'All Girls &amp; Descendants - Edit'!$C$2:$AK$440,'All Girls &amp; Descendants - Edit'!AB$1,FALSE)))</f>
        <v>120</v>
      </c>
      <c r="AC121" s="101">
        <f>IF(VLOOKUP($C121,'All Girls &amp; Descendants - Edit'!$C$2:$AK$440,'All Girls &amp; Descendants - Edit'!AC$1,FALSE)=""," - ",(VLOOKUP($C121,'All Girls &amp; Descendants - Edit'!$C$2:$AK$440,'All Girls &amp; Descendants - Edit'!AC$1,FALSE)))</f>
        <v>1120</v>
      </c>
      <c r="AD121" s="3" t="str">
        <f>IF(VLOOKUP($C121,'All Girls &amp; Descendants - Edit'!$C$2:$AK$440,'All Girls &amp; Descendants - Edit'!AD$1,FALSE)=""," - ",(VLOOKUP($C121,'All Girls &amp; Descendants - Edit'!$C$2:$AK$440,'All Girls &amp; Descendants - Edit'!AD$1,FALSE)))</f>
        <v>152b</v>
      </c>
      <c r="AE121" s="3" t="str">
        <f>IF(VLOOKUP($C121,'All Girls &amp; Descendants - Edit'!$C$2:$AK$440,'All Girls &amp; Descendants - Edit'!AE$1,FALSE)=""," - ",(VLOOKUP($C121,'All Girls &amp; Descendants - Edit'!$C$2:$AK$440,'All Girls &amp; Descendants - Edit'!AE$1,FALSE)))</f>
        <v>Augustin   WHITCOMB (2001 - )</v>
      </c>
      <c r="AF121" s="3" t="str">
        <f>IF(VLOOKUP($C121,'All Girls &amp; Descendants - Edit'!$C$2:$AK$440,'All Girls &amp; Descendants - Edit'!AF$1,FALSE)=""," - ",(VLOOKUP($C121,'All Girls &amp; Descendants - Edit'!$C$2:$AK$440,'All Girls &amp; Descendants - Edit'!AF$1,FALSE)))</f>
        <v>Augustin WHITCOMB (7th &amp; 152)</v>
      </c>
      <c r="AG121" s="3" t="str">
        <f>IF(VLOOKUP($C121,'All Girls &amp; Descendants - Edit'!$C$2:$AK$440,'All Girls &amp; Descendants - Edit'!AG$1,FALSE)=""," - ",(VLOOKUP($C121,'All Girls &amp; Descendants - Edit'!$C$2:$AK$440,'All Girls &amp; Descendants - Edit'!AG$1,FALSE)))</f>
        <v>Male</v>
      </c>
      <c r="AH121" s="3" t="str">
        <f>IF(VLOOKUP($C121,'All Girls &amp; Descendants - Edit'!$C$2:$AK$440,'All Girls &amp; Descendants - Edit'!AH$1,FALSE)=""," - ",(VLOOKUP($C121,'All Girls &amp; Descendants - Edit'!$C$2:$AK$440,'All Girls &amp; Descendants - Edit'!AH$1,FALSE)))</f>
        <v>7th</v>
      </c>
      <c r="AI121" s="3" t="str">
        <f>IF(VLOOKUP($C121,'All Girls &amp; Descendants - Edit'!$C$2:$AK$440,'All Girls &amp; Descendants - Edit'!AI$1,FALSE)=""," - ",(VLOOKUP($C121,'All Girls &amp; Descendants - Edit'!$C$2:$AK$440,'All Girls &amp; Descendants - Edit'!AI$1,FALSE)))</f>
        <v>Unmarried</v>
      </c>
      <c r="AJ121" s="3" t="str">
        <f>IF(VLOOKUP($C121,'All Girls &amp; Descendants - Edit'!$C$2:$AK$440,'All Girls &amp; Descendants - Edit'!AJ$1,FALSE)=""," - ",(VLOOKUP($C121,'All Girls &amp; Descendants - Edit'!$C$2:$AK$440,'All Girls &amp; Descendants - Edit'!AJ$1,FALSE)))</f>
        <v>Male. b. 29/01/2001</v>
      </c>
      <c r="AK121" s="3" t="str">
        <f>IF(VLOOKUP($C121,'All Girls &amp; Descendants - Edit'!$C$2:$AK$440,'All Girls &amp; Descendants - Edit'!AK$1,FALSE)=""," - ",(VLOOKUP($C121,'All Girls &amp; Descendants - Edit'!$C$2:$AK$440,'All Girls &amp; Descendants - Edit'!AK$1,FALSE)))</f>
        <v>b. 29/01/2001</v>
      </c>
    </row>
    <row r="122" spans="1:37" ht="19">
      <c r="A122">
        <f>VLOOKUP(B122,'Loyd List 1-190 - Edit'!$P$1:$R$219,3,FALSE)</f>
        <v>98</v>
      </c>
      <c r="B122">
        <f>'All Girls &amp; Descendants - Edit'!B123</f>
        <v>154</v>
      </c>
      <c r="C122" s="98" t="str">
        <f>'All Girls &amp; Descendants - Edit'!C123</f>
        <v>154a</v>
      </c>
      <c r="D122" s="2" t="str">
        <f>'All Girls &amp; Descendants - Edit'!D123</f>
        <v>NEWING</v>
      </c>
      <c r="E122" t="str">
        <f>'All Girls &amp; Descendants - Edit'!E123</f>
        <v>Frederick</v>
      </c>
      <c r="F122" t="str">
        <f>IF('All Girls &amp; Descendants - Edit'!F123="","",'All Girls &amp; Descendants - Edit'!F123)</f>
        <v>Otto</v>
      </c>
      <c r="G122" t="str">
        <f>IF('All Girls &amp; Descendants - Edit'!G123="","",'All Girls &amp; Descendants - Edit'!G123)</f>
        <v/>
      </c>
      <c r="H122" t="str">
        <f>IF('All Girls &amp; Descendants - Edit'!H123="","",'All Girls &amp; Descendants - Edit'!H123)</f>
        <v>Freddie</v>
      </c>
      <c r="I122">
        <f>VLOOKUP($C122,'All Girls &amp; Descendants - Edit'!$C$2:$AK$440,'All Girls &amp; Descendants - Edit'!I$1,FALSE)</f>
        <v>2006</v>
      </c>
      <c r="J122" t="str">
        <f>VLOOKUP($C122,'All Girls &amp; Descendants - Edit'!$C$2:$AK$440,'All Girls &amp; Descendants - Edit'!J$1,FALSE)</f>
        <v/>
      </c>
      <c r="K122" s="9"/>
      <c r="L122" t="str">
        <f t="shared" si="10"/>
        <v>20/05/2006</v>
      </c>
      <c r="M122" s="3">
        <f>VLOOKUP($C122,'All Girls &amp; Descendants - Edit'!$C$2:$AK$440,'All Girls &amp; Descendants - Edit'!M$1,FALSE)</f>
        <v>38857</v>
      </c>
      <c r="N122" s="3" t="str">
        <f>IF(VLOOKUP($C122,'All Girls &amp; Descendants - Edit'!$C$2:$AK$440,'All Girls &amp; Descendants - Edit'!N$1,FALSE)=""," - ",(VLOOKUP($C122,'All Girls &amp; Descendants - Edit'!$C$2:$AK$440,'All Girls &amp; Descendants - Edit'!N$1,FALSE)))</f>
        <v xml:space="preserve"> - </v>
      </c>
      <c r="O122" s="3" t="str">
        <f>IF(VLOOKUP($C122,'All Girls &amp; Descendants - Edit'!$C$2:$AK$440,'All Girls &amp; Descendants - Edit'!O$1,FALSE)="","",(VLOOKUP($C122,'All Girls &amp; Descendants - Edit'!$C$2:$AK$440,'All Girls &amp; Descendants - Edit'!O$1,FALSE)))</f>
        <v/>
      </c>
      <c r="P122" s="3" t="str">
        <f t="shared" si="14"/>
        <v/>
      </c>
      <c r="Q122" s="178" t="str">
        <f t="shared" si="15"/>
        <v>154</v>
      </c>
      <c r="R122" s="23"/>
      <c r="S122" t="str">
        <f>VLOOKUP($C122,'All Girls &amp; Descendants - Edit'!$C$2:$AK$440,'All Girls &amp; Descendants - Edit'!S$1,FALSE)</f>
        <v>Male</v>
      </c>
      <c r="T122" s="176">
        <f t="shared" si="16"/>
        <v>7</v>
      </c>
      <c r="U122" s="176">
        <f t="shared" si="11"/>
        <v>4</v>
      </c>
      <c r="V122" s="176">
        <f t="shared" si="12"/>
        <v>6</v>
      </c>
      <c r="W122" s="177">
        <f t="shared" si="13"/>
        <v>1</v>
      </c>
      <c r="X122" s="3" t="str">
        <f>IF(VLOOKUP($C122,'All Girls &amp; Descendants - Edit'!$C$2:$AK$440,'All Girls &amp; Descendants - Edit'!X$1,FALSE)=""," - ",(VLOOKUP($C122,'All Girls &amp; Descendants - Edit'!$C$2:$AK$440,'All Girls &amp; Descendants - Edit'!X$1,FALSE)))</f>
        <v xml:space="preserve"> - </v>
      </c>
      <c r="Y122" s="3" t="str">
        <f>IF(VLOOKUP($C122,'All Girls &amp; Descendants - Edit'!$C$2:$AK$440,'All Girls &amp; Descendants - Edit'!Y$1,FALSE)=""," - ",(VLOOKUP($C122,'All Girls &amp; Descendants - Edit'!$C$2:$AK$440,'All Girls &amp; Descendants - Edit'!Y$1,FALSE)))</f>
        <v xml:space="preserve"> - </v>
      </c>
      <c r="Z122" s="3" t="str">
        <f>IF(VLOOKUP($C122,'All Girls &amp; Descendants - Edit'!$C$2:$AK$440,'All Girls &amp; Descendants - Edit'!Z$1,FALSE)=""," - ",(VLOOKUP($C122,'All Girls &amp; Descendants - Edit'!$C$2:$AK$440,'All Girls &amp; Descendants - Edit'!Z$1,FALSE)))</f>
        <v xml:space="preserve"> - </v>
      </c>
      <c r="AA122" s="101">
        <f>IF(VLOOKUP($C122,'All Girls &amp; Descendants - Edit'!$C$2:$AK$440,'All Girls &amp; Descendants - Edit'!AA$1,FALSE)=""," - ",(VLOOKUP($C122,'All Girls &amp; Descendants - Edit'!$C$2:$AK$440,'All Girls &amp; Descendants - Edit'!AA$1,FALSE)))</f>
        <v>352</v>
      </c>
      <c r="AB122" s="101">
        <f>IF(VLOOKUP($C122,'All Girls &amp; Descendants - Edit'!$C$2:$AK$440,'All Girls &amp; Descendants - Edit'!AB$1,FALSE)=""," - ",(VLOOKUP($C122,'All Girls &amp; Descendants - Edit'!$C$2:$AK$440,'All Girls &amp; Descendants - Edit'!AB$1,FALSE)))</f>
        <v>121</v>
      </c>
      <c r="AC122" s="101">
        <f>IF(VLOOKUP($C122,'All Girls &amp; Descendants - Edit'!$C$2:$AK$440,'All Girls &amp; Descendants - Edit'!AC$1,FALSE)=""," - ",(VLOOKUP($C122,'All Girls &amp; Descendants - Edit'!$C$2:$AK$440,'All Girls &amp; Descendants - Edit'!AC$1,FALSE)))</f>
        <v>1121</v>
      </c>
      <c r="AD122" s="3" t="str">
        <f>IF(VLOOKUP($C122,'All Girls &amp; Descendants - Edit'!$C$2:$AK$440,'All Girls &amp; Descendants - Edit'!AD$1,FALSE)=""," - ",(VLOOKUP($C122,'All Girls &amp; Descendants - Edit'!$C$2:$AK$440,'All Girls &amp; Descendants - Edit'!AD$1,FALSE)))</f>
        <v>154a</v>
      </c>
      <c r="AE122" s="3" t="str">
        <f>IF(VLOOKUP($C122,'All Girls &amp; Descendants - Edit'!$C$2:$AK$440,'All Girls &amp; Descendants - Edit'!AE$1,FALSE)=""," - ",(VLOOKUP($C122,'All Girls &amp; Descendants - Edit'!$C$2:$AK$440,'All Girls &amp; Descendants - Edit'!AE$1,FALSE)))</f>
        <v>Frederick Otto  NEWING (2006 - )</v>
      </c>
      <c r="AF122" s="3" t="str">
        <f>IF(VLOOKUP($C122,'All Girls &amp; Descendants - Edit'!$C$2:$AK$440,'All Girls &amp; Descendants - Edit'!AF$1,FALSE)=""," - ",(VLOOKUP($C122,'All Girls &amp; Descendants - Edit'!$C$2:$AK$440,'All Girls &amp; Descendants - Edit'!AF$1,FALSE)))</f>
        <v>Freddie NEWING (7th &amp; 154)</v>
      </c>
      <c r="AG122" s="3" t="str">
        <f>IF(VLOOKUP($C122,'All Girls &amp; Descendants - Edit'!$C$2:$AK$440,'All Girls &amp; Descendants - Edit'!AG$1,FALSE)=""," - ",(VLOOKUP($C122,'All Girls &amp; Descendants - Edit'!$C$2:$AK$440,'All Girls &amp; Descendants - Edit'!AG$1,FALSE)))</f>
        <v>Male</v>
      </c>
      <c r="AH122" s="3" t="str">
        <f>IF(VLOOKUP($C122,'All Girls &amp; Descendants - Edit'!$C$2:$AK$440,'All Girls &amp; Descendants - Edit'!AH$1,FALSE)=""," - ",(VLOOKUP($C122,'All Girls &amp; Descendants - Edit'!$C$2:$AK$440,'All Girls &amp; Descendants - Edit'!AH$1,FALSE)))</f>
        <v>7th</v>
      </c>
      <c r="AI122" s="3" t="str">
        <f>IF(VLOOKUP($C122,'All Girls &amp; Descendants - Edit'!$C$2:$AK$440,'All Girls &amp; Descendants - Edit'!AI$1,FALSE)=""," - ",(VLOOKUP($C122,'All Girls &amp; Descendants - Edit'!$C$2:$AK$440,'All Girls &amp; Descendants - Edit'!AI$1,FALSE)))</f>
        <v>Unmarried</v>
      </c>
      <c r="AJ122" s="3" t="str">
        <f>IF(VLOOKUP($C122,'All Girls &amp; Descendants - Edit'!$C$2:$AK$440,'All Girls &amp; Descendants - Edit'!AJ$1,FALSE)=""," - ",(VLOOKUP($C122,'All Girls &amp; Descendants - Edit'!$C$2:$AK$440,'All Girls &amp; Descendants - Edit'!AJ$1,FALSE)))</f>
        <v>Male. b. 20/05/2006</v>
      </c>
      <c r="AK122" s="3" t="str">
        <f>IF(VLOOKUP($C122,'All Girls &amp; Descendants - Edit'!$C$2:$AK$440,'All Girls &amp; Descendants - Edit'!AK$1,FALSE)=""," - ",(VLOOKUP($C122,'All Girls &amp; Descendants - Edit'!$C$2:$AK$440,'All Girls &amp; Descendants - Edit'!AK$1,FALSE)))</f>
        <v>b. 20/05/2006</v>
      </c>
    </row>
    <row r="123" spans="1:37" ht="19">
      <c r="A123">
        <f>VLOOKUP(B123,'Loyd List 1-190 - Edit'!$P$1:$R$219,3,FALSE)</f>
        <v>98</v>
      </c>
      <c r="B123">
        <f>'All Girls &amp; Descendants - Edit'!B124</f>
        <v>154</v>
      </c>
      <c r="C123" s="98" t="str">
        <f>'All Girls &amp; Descendants - Edit'!C124</f>
        <v>154b</v>
      </c>
      <c r="D123" s="2" t="str">
        <f>'All Girls &amp; Descendants - Edit'!D124</f>
        <v>NEWING</v>
      </c>
      <c r="E123" t="str">
        <f>'All Girls &amp; Descendants - Edit'!E124</f>
        <v>Henry</v>
      </c>
      <c r="F123" t="str">
        <f>IF('All Girls &amp; Descendants - Edit'!F124="","",'All Girls &amp; Descendants - Edit'!F124)</f>
        <v>Augustus</v>
      </c>
      <c r="G123" t="str">
        <f>IF('All Girls &amp; Descendants - Edit'!G124="","",'All Girls &amp; Descendants - Edit'!G124)</f>
        <v/>
      </c>
      <c r="H123" t="str">
        <f>IF('All Girls &amp; Descendants - Edit'!H124="","",'All Girls &amp; Descendants - Edit'!H124)</f>
        <v>Gus</v>
      </c>
      <c r="I123">
        <f>VLOOKUP($C123,'All Girls &amp; Descendants - Edit'!$C$2:$AK$440,'All Girls &amp; Descendants - Edit'!I$1,FALSE)</f>
        <v>2008</v>
      </c>
      <c r="J123" t="str">
        <f>VLOOKUP($C123,'All Girls &amp; Descendants - Edit'!$C$2:$AK$440,'All Girls &amp; Descendants - Edit'!J$1,FALSE)</f>
        <v/>
      </c>
      <c r="K123" s="9"/>
      <c r="L123" t="str">
        <f t="shared" si="10"/>
        <v>28/09/2008</v>
      </c>
      <c r="M123" s="3">
        <f>VLOOKUP($C123,'All Girls &amp; Descendants - Edit'!$C$2:$AK$440,'All Girls &amp; Descendants - Edit'!M$1,FALSE)</f>
        <v>39719</v>
      </c>
      <c r="N123" s="3" t="str">
        <f>IF(VLOOKUP($C123,'All Girls &amp; Descendants - Edit'!$C$2:$AK$440,'All Girls &amp; Descendants - Edit'!N$1,FALSE)=""," - ",(VLOOKUP($C123,'All Girls &amp; Descendants - Edit'!$C$2:$AK$440,'All Girls &amp; Descendants - Edit'!N$1,FALSE)))</f>
        <v xml:space="preserve"> - </v>
      </c>
      <c r="O123" s="3" t="str">
        <f>IF(VLOOKUP($C123,'All Girls &amp; Descendants - Edit'!$C$2:$AK$440,'All Girls &amp; Descendants - Edit'!O$1,FALSE)="","",(VLOOKUP($C123,'All Girls &amp; Descendants - Edit'!$C$2:$AK$440,'All Girls &amp; Descendants - Edit'!O$1,FALSE)))</f>
        <v/>
      </c>
      <c r="P123" s="3" t="str">
        <f t="shared" si="14"/>
        <v/>
      </c>
      <c r="Q123" s="178" t="str">
        <f t="shared" si="15"/>
        <v>154</v>
      </c>
      <c r="R123" s="23"/>
      <c r="S123" t="str">
        <f>VLOOKUP($C123,'All Girls &amp; Descendants - Edit'!$C$2:$AK$440,'All Girls &amp; Descendants - Edit'!S$1,FALSE)</f>
        <v>Male</v>
      </c>
      <c r="T123" s="176">
        <f t="shared" si="16"/>
        <v>7</v>
      </c>
      <c r="U123" s="176">
        <f t="shared" si="11"/>
        <v>4</v>
      </c>
      <c r="V123" s="176">
        <f t="shared" si="12"/>
        <v>6</v>
      </c>
      <c r="W123" s="177">
        <f t="shared" si="13"/>
        <v>1</v>
      </c>
      <c r="X123" s="3" t="str">
        <f>IF(VLOOKUP($C123,'All Girls &amp; Descendants - Edit'!$C$2:$AK$440,'All Girls &amp; Descendants - Edit'!X$1,FALSE)=""," - ",(VLOOKUP($C123,'All Girls &amp; Descendants - Edit'!$C$2:$AK$440,'All Girls &amp; Descendants - Edit'!X$1,FALSE)))</f>
        <v xml:space="preserve"> - </v>
      </c>
      <c r="Y123" s="3" t="str">
        <f>IF(VLOOKUP($C123,'All Girls &amp; Descendants - Edit'!$C$2:$AK$440,'All Girls &amp; Descendants - Edit'!Y$1,FALSE)=""," - ",(VLOOKUP($C123,'All Girls &amp; Descendants - Edit'!$C$2:$AK$440,'All Girls &amp; Descendants - Edit'!Y$1,FALSE)))</f>
        <v xml:space="preserve"> - </v>
      </c>
      <c r="Z123" s="3" t="str">
        <f>IF(VLOOKUP($C123,'All Girls &amp; Descendants - Edit'!$C$2:$AK$440,'All Girls &amp; Descendants - Edit'!Z$1,FALSE)=""," - ",(VLOOKUP($C123,'All Girls &amp; Descendants - Edit'!$C$2:$AK$440,'All Girls &amp; Descendants - Edit'!Z$1,FALSE)))</f>
        <v xml:space="preserve"> - </v>
      </c>
      <c r="AA123" s="101">
        <f>IF(VLOOKUP($C123,'All Girls &amp; Descendants - Edit'!$C$2:$AK$440,'All Girls &amp; Descendants - Edit'!AA$1,FALSE)=""," - ",(VLOOKUP($C123,'All Girls &amp; Descendants - Edit'!$C$2:$AK$440,'All Girls &amp; Descendants - Edit'!AA$1,FALSE)))</f>
        <v>353</v>
      </c>
      <c r="AB123" s="101">
        <f>IF(VLOOKUP($C123,'All Girls &amp; Descendants - Edit'!$C$2:$AK$440,'All Girls &amp; Descendants - Edit'!AB$1,FALSE)=""," - ",(VLOOKUP($C123,'All Girls &amp; Descendants - Edit'!$C$2:$AK$440,'All Girls &amp; Descendants - Edit'!AB$1,FALSE)))</f>
        <v>122</v>
      </c>
      <c r="AC123" s="101">
        <f>IF(VLOOKUP($C123,'All Girls &amp; Descendants - Edit'!$C$2:$AK$440,'All Girls &amp; Descendants - Edit'!AC$1,FALSE)=""," - ",(VLOOKUP($C123,'All Girls &amp; Descendants - Edit'!$C$2:$AK$440,'All Girls &amp; Descendants - Edit'!AC$1,FALSE)))</f>
        <v>1122</v>
      </c>
      <c r="AD123" s="3" t="str">
        <f>IF(VLOOKUP($C123,'All Girls &amp; Descendants - Edit'!$C$2:$AK$440,'All Girls &amp; Descendants - Edit'!AD$1,FALSE)=""," - ",(VLOOKUP($C123,'All Girls &amp; Descendants - Edit'!$C$2:$AK$440,'All Girls &amp; Descendants - Edit'!AD$1,FALSE)))</f>
        <v>154b</v>
      </c>
      <c r="AE123" s="3" t="str">
        <f>IF(VLOOKUP($C123,'All Girls &amp; Descendants - Edit'!$C$2:$AK$440,'All Girls &amp; Descendants - Edit'!AE$1,FALSE)=""," - ",(VLOOKUP($C123,'All Girls &amp; Descendants - Edit'!$C$2:$AK$440,'All Girls &amp; Descendants - Edit'!AE$1,FALSE)))</f>
        <v>Henry Augustus  NEWING (2008 - )</v>
      </c>
      <c r="AF123" s="3" t="str">
        <f>IF(VLOOKUP($C123,'All Girls &amp; Descendants - Edit'!$C$2:$AK$440,'All Girls &amp; Descendants - Edit'!AF$1,FALSE)=""," - ",(VLOOKUP($C123,'All Girls &amp; Descendants - Edit'!$C$2:$AK$440,'All Girls &amp; Descendants - Edit'!AF$1,FALSE)))</f>
        <v>Gus NEWING (7th &amp; 154)</v>
      </c>
      <c r="AG123" s="3" t="str">
        <f>IF(VLOOKUP($C123,'All Girls &amp; Descendants - Edit'!$C$2:$AK$440,'All Girls &amp; Descendants - Edit'!AG$1,FALSE)=""," - ",(VLOOKUP($C123,'All Girls &amp; Descendants - Edit'!$C$2:$AK$440,'All Girls &amp; Descendants - Edit'!AG$1,FALSE)))</f>
        <v>Male</v>
      </c>
      <c r="AH123" s="3" t="str">
        <f>IF(VLOOKUP($C123,'All Girls &amp; Descendants - Edit'!$C$2:$AK$440,'All Girls &amp; Descendants - Edit'!AH$1,FALSE)=""," - ",(VLOOKUP($C123,'All Girls &amp; Descendants - Edit'!$C$2:$AK$440,'All Girls &amp; Descendants - Edit'!AH$1,FALSE)))</f>
        <v>7th</v>
      </c>
      <c r="AI123" s="3" t="str">
        <f>IF(VLOOKUP($C123,'All Girls &amp; Descendants - Edit'!$C$2:$AK$440,'All Girls &amp; Descendants - Edit'!AI$1,FALSE)=""," - ",(VLOOKUP($C123,'All Girls &amp; Descendants - Edit'!$C$2:$AK$440,'All Girls &amp; Descendants - Edit'!AI$1,FALSE)))</f>
        <v>Unmarried</v>
      </c>
      <c r="AJ123" s="3" t="str">
        <f>IF(VLOOKUP($C123,'All Girls &amp; Descendants - Edit'!$C$2:$AK$440,'All Girls &amp; Descendants - Edit'!AJ$1,FALSE)=""," - ",(VLOOKUP($C123,'All Girls &amp; Descendants - Edit'!$C$2:$AK$440,'All Girls &amp; Descendants - Edit'!AJ$1,FALSE)))</f>
        <v>Male. b. 28/09/2008</v>
      </c>
      <c r="AK123" s="3" t="str">
        <f>IF(VLOOKUP($C123,'All Girls &amp; Descendants - Edit'!$C$2:$AK$440,'All Girls &amp; Descendants - Edit'!AK$1,FALSE)=""," - ",(VLOOKUP($C123,'All Girls &amp; Descendants - Edit'!$C$2:$AK$440,'All Girls &amp; Descendants - Edit'!AK$1,FALSE)))</f>
        <v>b. 28/09/2008</v>
      </c>
    </row>
    <row r="124" spans="1:37" ht="19">
      <c r="A124">
        <f>VLOOKUP(B124,'Loyd List 1-190 - Edit'!$P$1:$R$219,3,FALSE)</f>
        <v>98</v>
      </c>
      <c r="B124">
        <f>'All Girls &amp; Descendants - Edit'!B125</f>
        <v>154</v>
      </c>
      <c r="C124" s="98" t="str">
        <f>'All Girls &amp; Descendants - Edit'!C125</f>
        <v>154c</v>
      </c>
      <c r="D124" s="2" t="str">
        <f>'All Girls &amp; Descendants - Edit'!D125</f>
        <v>NEWING</v>
      </c>
      <c r="E124" t="str">
        <f>'All Girls &amp; Descendants - Edit'!E125</f>
        <v>Albert</v>
      </c>
      <c r="F124" t="str">
        <f>IF('All Girls &amp; Descendants - Edit'!F125="","",'All Girls &amp; Descendants - Edit'!F125)</f>
        <v/>
      </c>
      <c r="G124" t="str">
        <f>IF('All Girls &amp; Descendants - Edit'!G125="","",'All Girls &amp; Descendants - Edit'!G125)</f>
        <v/>
      </c>
      <c r="H124" t="str">
        <f>IF('All Girls &amp; Descendants - Edit'!H125="","",'All Girls &amp; Descendants - Edit'!H125)</f>
        <v/>
      </c>
      <c r="I124">
        <f>VLOOKUP($C124,'All Girls &amp; Descendants - Edit'!$C$2:$AK$440,'All Girls &amp; Descendants - Edit'!I$1,FALSE)</f>
        <v>2015</v>
      </c>
      <c r="J124">
        <f>VLOOKUP($C124,'All Girls &amp; Descendants - Edit'!$C$2:$AK$440,'All Girls &amp; Descendants - Edit'!J$1,FALSE)</f>
        <v>2015</v>
      </c>
      <c r="K124" s="9"/>
      <c r="L124" t="str">
        <f t="shared" si="10"/>
        <v>11/06/2015</v>
      </c>
      <c r="M124" s="3">
        <f>VLOOKUP($C124,'All Girls &amp; Descendants - Edit'!$C$2:$AK$440,'All Girls &amp; Descendants - Edit'!M$1,FALSE)</f>
        <v>42166</v>
      </c>
      <c r="N124" s="3" t="str">
        <f>IF(VLOOKUP($C124,'All Girls &amp; Descendants - Edit'!$C$2:$AK$440,'All Girls &amp; Descendants - Edit'!N$1,FALSE)=""," - ",(VLOOKUP($C124,'All Girls &amp; Descendants - Edit'!$C$2:$AK$440,'All Girls &amp; Descendants - Edit'!N$1,FALSE)))</f>
        <v xml:space="preserve"> - </v>
      </c>
      <c r="O124" s="3">
        <f>IF(VLOOKUP($C124,'All Girls &amp; Descendants - Edit'!$C$2:$AK$440,'All Girls &amp; Descendants - Edit'!O$1,FALSE)="","",(VLOOKUP($C124,'All Girls &amp; Descendants - Edit'!$C$2:$AK$440,'All Girls &amp; Descendants - Edit'!O$1,FALSE)))</f>
        <v>42166</v>
      </c>
      <c r="P124" s="3" t="str">
        <f t="shared" si="14"/>
        <v>11/06/2015</v>
      </c>
      <c r="Q124" s="178" t="str">
        <f t="shared" si="15"/>
        <v>154</v>
      </c>
      <c r="R124" s="23"/>
      <c r="S124" t="str">
        <f>VLOOKUP($C124,'All Girls &amp; Descendants - Edit'!$C$2:$AK$440,'All Girls &amp; Descendants - Edit'!S$1,FALSE)</f>
        <v>Male</v>
      </c>
      <c r="T124" s="176">
        <f t="shared" si="16"/>
        <v>7</v>
      </c>
      <c r="U124" s="176">
        <f t="shared" si="11"/>
        <v>4</v>
      </c>
      <c r="V124" s="176">
        <f t="shared" si="12"/>
        <v>6</v>
      </c>
      <c r="W124" s="177">
        <f t="shared" si="13"/>
        <v>1</v>
      </c>
      <c r="X124" s="3" t="str">
        <f>IF(VLOOKUP($C124,'All Girls &amp; Descendants - Edit'!$C$2:$AK$440,'All Girls &amp; Descendants - Edit'!X$1,FALSE)=""," - ",(VLOOKUP($C124,'All Girls &amp; Descendants - Edit'!$C$2:$AK$440,'All Girls &amp; Descendants - Edit'!X$1,FALSE)))</f>
        <v xml:space="preserve"> - </v>
      </c>
      <c r="Y124" s="3" t="str">
        <f>IF(VLOOKUP($C124,'All Girls &amp; Descendants - Edit'!$C$2:$AK$440,'All Girls &amp; Descendants - Edit'!Y$1,FALSE)=""," - ",(VLOOKUP($C124,'All Girls &amp; Descendants - Edit'!$C$2:$AK$440,'All Girls &amp; Descendants - Edit'!Y$1,FALSE)))</f>
        <v xml:space="preserve"> - </v>
      </c>
      <c r="Z124" s="3" t="str">
        <f>IF(VLOOKUP($C124,'All Girls &amp; Descendants - Edit'!$C$2:$AK$440,'All Girls &amp; Descendants - Edit'!Z$1,FALSE)=""," - ",(VLOOKUP($C124,'All Girls &amp; Descendants - Edit'!$C$2:$AK$440,'All Girls &amp; Descendants - Edit'!Z$1,FALSE)))</f>
        <v xml:space="preserve"> - </v>
      </c>
      <c r="AA124" s="101">
        <f>IF(VLOOKUP($C124,'All Girls &amp; Descendants - Edit'!$C$2:$AK$440,'All Girls &amp; Descendants - Edit'!AA$1,FALSE)=""," - ",(VLOOKUP($C124,'All Girls &amp; Descendants - Edit'!$C$2:$AK$440,'All Girls &amp; Descendants - Edit'!AA$1,FALSE)))</f>
        <v>354</v>
      </c>
      <c r="AB124" s="101">
        <f>IF(VLOOKUP($C124,'All Girls &amp; Descendants - Edit'!$C$2:$AK$440,'All Girls &amp; Descendants - Edit'!AB$1,FALSE)=""," - ",(VLOOKUP($C124,'All Girls &amp; Descendants - Edit'!$C$2:$AK$440,'All Girls &amp; Descendants - Edit'!AB$1,FALSE)))</f>
        <v>123</v>
      </c>
      <c r="AC124" s="101">
        <f>IF(VLOOKUP($C124,'All Girls &amp; Descendants - Edit'!$C$2:$AK$440,'All Girls &amp; Descendants - Edit'!AC$1,FALSE)=""," - ",(VLOOKUP($C124,'All Girls &amp; Descendants - Edit'!$C$2:$AK$440,'All Girls &amp; Descendants - Edit'!AC$1,FALSE)))</f>
        <v>1123</v>
      </c>
      <c r="AD124" s="3" t="str">
        <f>IF(VLOOKUP($C124,'All Girls &amp; Descendants - Edit'!$C$2:$AK$440,'All Girls &amp; Descendants - Edit'!AD$1,FALSE)=""," - ",(VLOOKUP($C124,'All Girls &amp; Descendants - Edit'!$C$2:$AK$440,'All Girls &amp; Descendants - Edit'!AD$1,FALSE)))</f>
        <v>154c</v>
      </c>
      <c r="AE124" s="3" t="str">
        <f>IF(VLOOKUP($C124,'All Girls &amp; Descendants - Edit'!$C$2:$AK$440,'All Girls &amp; Descendants - Edit'!AE$1,FALSE)=""," - ",(VLOOKUP($C124,'All Girls &amp; Descendants - Edit'!$C$2:$AK$440,'All Girls &amp; Descendants - Edit'!AE$1,FALSE)))</f>
        <v>Albert   NEWING (2015 - 2015)</v>
      </c>
      <c r="AF124" s="3" t="str">
        <f>IF(VLOOKUP($C124,'All Girls &amp; Descendants - Edit'!$C$2:$AK$440,'All Girls &amp; Descendants - Edit'!AF$1,FALSE)=""," - ",(VLOOKUP($C124,'All Girls &amp; Descendants - Edit'!$C$2:$AK$440,'All Girls &amp; Descendants - Edit'!AF$1,FALSE)))</f>
        <v>Albert NEWING (7th &amp; 154)</v>
      </c>
      <c r="AG124" s="3" t="str">
        <f>IF(VLOOKUP($C124,'All Girls &amp; Descendants - Edit'!$C$2:$AK$440,'All Girls &amp; Descendants - Edit'!AG$1,FALSE)=""," - ",(VLOOKUP($C124,'All Girls &amp; Descendants - Edit'!$C$2:$AK$440,'All Girls &amp; Descendants - Edit'!AG$1,FALSE)))</f>
        <v>Male</v>
      </c>
      <c r="AH124" s="3" t="str">
        <f>IF(VLOOKUP($C124,'All Girls &amp; Descendants - Edit'!$C$2:$AK$440,'All Girls &amp; Descendants - Edit'!AH$1,FALSE)=""," - ",(VLOOKUP($C124,'All Girls &amp; Descendants - Edit'!$C$2:$AK$440,'All Girls &amp; Descendants - Edit'!AH$1,FALSE)))</f>
        <v>7th</v>
      </c>
      <c r="AI124" s="3" t="str">
        <f>IF(VLOOKUP($C124,'All Girls &amp; Descendants - Edit'!$C$2:$AK$440,'All Girls &amp; Descendants - Edit'!AI$1,FALSE)=""," - ",(VLOOKUP($C124,'All Girls &amp; Descendants - Edit'!$C$2:$AK$440,'All Girls &amp; Descendants - Edit'!AI$1,FALSE)))</f>
        <v>Unmarried</v>
      </c>
      <c r="AJ124" s="3" t="str">
        <f>IF(VLOOKUP($C124,'All Girls &amp; Descendants - Edit'!$C$2:$AK$440,'All Girls &amp; Descendants - Edit'!AJ$1,FALSE)=""," - ",(VLOOKUP($C124,'All Girls &amp; Descendants - Edit'!$C$2:$AK$440,'All Girls &amp; Descendants - Edit'!AJ$1,FALSE)))</f>
        <v>Male. b. 11/06/2015, d. 11/06/2015.</v>
      </c>
      <c r="AK124" s="3" t="str">
        <f>IF(VLOOKUP($C124,'All Girls &amp; Descendants - Edit'!$C$2:$AK$440,'All Girls &amp; Descendants - Edit'!AK$1,FALSE)=""," - ",(VLOOKUP($C124,'All Girls &amp; Descendants - Edit'!$C$2:$AK$440,'All Girls &amp; Descendants - Edit'!AK$1,FALSE)))</f>
        <v>b. 11/06/2015, d. 11/06/2015.</v>
      </c>
    </row>
    <row r="125" spans="1:37" ht="19">
      <c r="A125">
        <f>VLOOKUP(B125,'Loyd List 1-190 - Edit'!$P$1:$R$219,3,FALSE)</f>
        <v>119</v>
      </c>
      <c r="B125">
        <f>'All Girls &amp; Descendants - Edit'!B126</f>
        <v>156</v>
      </c>
      <c r="C125" s="98" t="str">
        <f>'All Girls &amp; Descendants - Edit'!C126</f>
        <v>156a</v>
      </c>
      <c r="D125" s="2" t="str">
        <f>'All Girls &amp; Descendants - Edit'!D126</f>
        <v>GRINDAL</v>
      </c>
      <c r="E125" t="str">
        <f>'All Girls &amp; Descendants - Edit'!E126</f>
        <v>Michael</v>
      </c>
      <c r="F125" t="str">
        <f>IF('All Girls &amp; Descendants - Edit'!F126="","",'All Girls &amp; Descendants - Edit'!F126)</f>
        <v>Peter</v>
      </c>
      <c r="G125" t="str">
        <f>IF('All Girls &amp; Descendants - Edit'!G126="","",'All Girls &amp; Descendants - Edit'!G126)</f>
        <v/>
      </c>
      <c r="H125" t="str">
        <f>IF('All Girls &amp; Descendants - Edit'!H126="","",'All Girls &amp; Descendants - Edit'!H126)</f>
        <v>Peter</v>
      </c>
      <c r="I125">
        <f>VLOOKUP($C125,'All Girls &amp; Descendants - Edit'!$C$2:$AK$440,'All Girls &amp; Descendants - Edit'!I$1,FALSE)</f>
        <v>2014</v>
      </c>
      <c r="J125" t="str">
        <f>VLOOKUP($C125,'All Girls &amp; Descendants - Edit'!$C$2:$AK$440,'All Girls &amp; Descendants - Edit'!J$1,FALSE)</f>
        <v/>
      </c>
      <c r="K125" s="9"/>
      <c r="L125" t="str">
        <f t="shared" si="10"/>
        <v>13/10/2014</v>
      </c>
      <c r="M125" s="3">
        <f>VLOOKUP($C125,'All Girls &amp; Descendants - Edit'!$C$2:$AK$440,'All Girls &amp; Descendants - Edit'!M$1,FALSE)</f>
        <v>41925</v>
      </c>
      <c r="N125" s="3" t="str">
        <f>IF(VLOOKUP($C125,'All Girls &amp; Descendants - Edit'!$C$2:$AK$440,'All Girls &amp; Descendants - Edit'!N$1,FALSE)=""," - ",(VLOOKUP($C125,'All Girls &amp; Descendants - Edit'!$C$2:$AK$440,'All Girls &amp; Descendants - Edit'!N$1,FALSE)))</f>
        <v xml:space="preserve"> - </v>
      </c>
      <c r="O125" s="3" t="str">
        <f>IF(VLOOKUP($C125,'All Girls &amp; Descendants - Edit'!$C$2:$AK$440,'All Girls &amp; Descendants - Edit'!O$1,FALSE)="","",(VLOOKUP($C125,'All Girls &amp; Descendants - Edit'!$C$2:$AK$440,'All Girls &amp; Descendants - Edit'!O$1,FALSE)))</f>
        <v/>
      </c>
      <c r="P125" s="3" t="str">
        <f t="shared" si="14"/>
        <v/>
      </c>
      <c r="Q125" s="178" t="str">
        <f t="shared" si="15"/>
        <v>156</v>
      </c>
      <c r="R125" s="23"/>
      <c r="S125" t="str">
        <f>VLOOKUP($C125,'All Girls &amp; Descendants - Edit'!$C$2:$AK$440,'All Girls &amp; Descendants - Edit'!S$1,FALSE)</f>
        <v>Male</v>
      </c>
      <c r="T125" s="176">
        <f t="shared" si="16"/>
        <v>7</v>
      </c>
      <c r="U125" s="176">
        <f t="shared" si="11"/>
        <v>4</v>
      </c>
      <c r="V125" s="176">
        <f t="shared" si="12"/>
        <v>6</v>
      </c>
      <c r="W125" s="177">
        <f t="shared" si="13"/>
        <v>1</v>
      </c>
      <c r="X125" s="3" t="str">
        <f>IF(VLOOKUP($C125,'All Girls &amp; Descendants - Edit'!$C$2:$AK$440,'All Girls &amp; Descendants - Edit'!X$1,FALSE)=""," - ",(VLOOKUP($C125,'All Girls &amp; Descendants - Edit'!$C$2:$AK$440,'All Girls &amp; Descendants - Edit'!X$1,FALSE)))</f>
        <v xml:space="preserve"> - </v>
      </c>
      <c r="Y125" s="3" t="str">
        <f>IF(VLOOKUP($C125,'All Girls &amp; Descendants - Edit'!$C$2:$AK$440,'All Girls &amp; Descendants - Edit'!Y$1,FALSE)=""," - ",(VLOOKUP($C125,'All Girls &amp; Descendants - Edit'!$C$2:$AK$440,'All Girls &amp; Descendants - Edit'!Y$1,FALSE)))</f>
        <v xml:space="preserve"> - </v>
      </c>
      <c r="Z125" s="3" t="str">
        <f>IF(VLOOKUP($C125,'All Girls &amp; Descendants - Edit'!$C$2:$AK$440,'All Girls &amp; Descendants - Edit'!Z$1,FALSE)=""," - ",(VLOOKUP($C125,'All Girls &amp; Descendants - Edit'!$C$2:$AK$440,'All Girls &amp; Descendants - Edit'!Z$1,FALSE)))</f>
        <v xml:space="preserve"> - </v>
      </c>
      <c r="AA125" s="101">
        <f>IF(VLOOKUP($C125,'All Girls &amp; Descendants - Edit'!$C$2:$AK$440,'All Girls &amp; Descendants - Edit'!AA$1,FALSE)=""," - ",(VLOOKUP($C125,'All Girls &amp; Descendants - Edit'!$C$2:$AK$440,'All Girls &amp; Descendants - Edit'!AA$1,FALSE)))</f>
        <v>355</v>
      </c>
      <c r="AB125" s="101">
        <f>IF(VLOOKUP($C125,'All Girls &amp; Descendants - Edit'!$C$2:$AK$440,'All Girls &amp; Descendants - Edit'!AB$1,FALSE)=""," - ",(VLOOKUP($C125,'All Girls &amp; Descendants - Edit'!$C$2:$AK$440,'All Girls &amp; Descendants - Edit'!AB$1,FALSE)))</f>
        <v>124</v>
      </c>
      <c r="AC125" s="101">
        <f>IF(VLOOKUP($C125,'All Girls &amp; Descendants - Edit'!$C$2:$AK$440,'All Girls &amp; Descendants - Edit'!AC$1,FALSE)=""," - ",(VLOOKUP($C125,'All Girls &amp; Descendants - Edit'!$C$2:$AK$440,'All Girls &amp; Descendants - Edit'!AC$1,FALSE)))</f>
        <v>1124</v>
      </c>
      <c r="AD125" s="3" t="str">
        <f>IF(VLOOKUP($C125,'All Girls &amp; Descendants - Edit'!$C$2:$AK$440,'All Girls &amp; Descendants - Edit'!AD$1,FALSE)=""," - ",(VLOOKUP($C125,'All Girls &amp; Descendants - Edit'!$C$2:$AK$440,'All Girls &amp; Descendants - Edit'!AD$1,FALSE)))</f>
        <v>156a</v>
      </c>
      <c r="AE125" s="3" t="str">
        <f>IF(VLOOKUP($C125,'All Girls &amp; Descendants - Edit'!$C$2:$AK$440,'All Girls &amp; Descendants - Edit'!AE$1,FALSE)=""," - ",(VLOOKUP($C125,'All Girls &amp; Descendants - Edit'!$C$2:$AK$440,'All Girls &amp; Descendants - Edit'!AE$1,FALSE)))</f>
        <v>Michael Peter  GRINDAL (2014 - )</v>
      </c>
      <c r="AF125" s="3" t="str">
        <f>IF(VLOOKUP($C125,'All Girls &amp; Descendants - Edit'!$C$2:$AK$440,'All Girls &amp; Descendants - Edit'!AF$1,FALSE)=""," - ",(VLOOKUP($C125,'All Girls &amp; Descendants - Edit'!$C$2:$AK$440,'All Girls &amp; Descendants - Edit'!AF$1,FALSE)))</f>
        <v>Peter GRINDAL (7th &amp; 156)</v>
      </c>
      <c r="AG125" s="3" t="str">
        <f>IF(VLOOKUP($C125,'All Girls &amp; Descendants - Edit'!$C$2:$AK$440,'All Girls &amp; Descendants - Edit'!AG$1,FALSE)=""," - ",(VLOOKUP($C125,'All Girls &amp; Descendants - Edit'!$C$2:$AK$440,'All Girls &amp; Descendants - Edit'!AG$1,FALSE)))</f>
        <v>Male</v>
      </c>
      <c r="AH125" s="3" t="str">
        <f>IF(VLOOKUP($C125,'All Girls &amp; Descendants - Edit'!$C$2:$AK$440,'All Girls &amp; Descendants - Edit'!AH$1,FALSE)=""," - ",(VLOOKUP($C125,'All Girls &amp; Descendants - Edit'!$C$2:$AK$440,'All Girls &amp; Descendants - Edit'!AH$1,FALSE)))</f>
        <v>7th</v>
      </c>
      <c r="AI125" s="3" t="str">
        <f>IF(VLOOKUP($C125,'All Girls &amp; Descendants - Edit'!$C$2:$AK$440,'All Girls &amp; Descendants - Edit'!AI$1,FALSE)=""," - ",(VLOOKUP($C125,'All Girls &amp; Descendants - Edit'!$C$2:$AK$440,'All Girls &amp; Descendants - Edit'!AI$1,FALSE)))</f>
        <v>Unmarried</v>
      </c>
      <c r="AJ125" s="3" t="str">
        <f>IF(VLOOKUP($C125,'All Girls &amp; Descendants - Edit'!$C$2:$AK$440,'All Girls &amp; Descendants - Edit'!AJ$1,FALSE)=""," - ",(VLOOKUP($C125,'All Girls &amp; Descendants - Edit'!$C$2:$AK$440,'All Girls &amp; Descendants - Edit'!AJ$1,FALSE)))</f>
        <v>Male. b. 13/10/2014</v>
      </c>
      <c r="AK125" s="3" t="str">
        <f>IF(VLOOKUP($C125,'All Girls &amp; Descendants - Edit'!$C$2:$AK$440,'All Girls &amp; Descendants - Edit'!AK$1,FALSE)=""," - ",(VLOOKUP($C125,'All Girls &amp; Descendants - Edit'!$C$2:$AK$440,'All Girls &amp; Descendants - Edit'!AK$1,FALSE)))</f>
        <v>b. 13/10/2014</v>
      </c>
    </row>
    <row r="126" spans="1:37" ht="19">
      <c r="A126">
        <f>VLOOKUP(B126,'Loyd List 1-190 - Edit'!$P$1:$R$219,3,FALSE)</f>
        <v>119</v>
      </c>
      <c r="B126">
        <f>'All Girls &amp; Descendants - Edit'!B127</f>
        <v>156</v>
      </c>
      <c r="C126" s="98" t="str">
        <f>'All Girls &amp; Descendants - Edit'!C127</f>
        <v>156b</v>
      </c>
      <c r="D126" s="2" t="str">
        <f>'All Girls &amp; Descendants - Edit'!D127</f>
        <v>GRINDAL</v>
      </c>
      <c r="E126" t="str">
        <f>'All Girls &amp; Descendants - Edit'!E127</f>
        <v>Dorothy</v>
      </c>
      <c r="F126" t="str">
        <f>IF('All Girls &amp; Descendants - Edit'!F127="","",'All Girls &amp; Descendants - Edit'!F127)</f>
        <v>Mary</v>
      </c>
      <c r="G126" t="str">
        <f>IF('All Girls &amp; Descendants - Edit'!G127="","",'All Girls &amp; Descendants - Edit'!G127)</f>
        <v>Jennifer</v>
      </c>
      <c r="H126" t="str">
        <f>IF('All Girls &amp; Descendants - Edit'!H127="","",'All Girls &amp; Descendants - Edit'!H127)</f>
        <v/>
      </c>
      <c r="I126">
        <f>VLOOKUP($C126,'All Girls &amp; Descendants - Edit'!$C$2:$AK$440,'All Girls &amp; Descendants - Edit'!I$1,FALSE)</f>
        <v>2016</v>
      </c>
      <c r="J126" t="str">
        <f>VLOOKUP($C126,'All Girls &amp; Descendants - Edit'!$C$2:$AK$440,'All Girls &amp; Descendants - Edit'!J$1,FALSE)</f>
        <v/>
      </c>
      <c r="K126" s="9"/>
      <c r="L126" t="str">
        <f t="shared" si="10"/>
        <v>07/04/2016</v>
      </c>
      <c r="M126" s="3">
        <f>VLOOKUP($C126,'All Girls &amp; Descendants - Edit'!$C$2:$AK$440,'All Girls &amp; Descendants - Edit'!M$1,FALSE)</f>
        <v>42467</v>
      </c>
      <c r="N126" s="3" t="str">
        <f>IF(VLOOKUP($C126,'All Girls &amp; Descendants - Edit'!$C$2:$AK$440,'All Girls &amp; Descendants - Edit'!N$1,FALSE)=""," - ",(VLOOKUP($C126,'All Girls &amp; Descendants - Edit'!$C$2:$AK$440,'All Girls &amp; Descendants - Edit'!N$1,FALSE)))</f>
        <v xml:space="preserve"> - </v>
      </c>
      <c r="O126" s="3" t="str">
        <f>IF(VLOOKUP($C126,'All Girls &amp; Descendants - Edit'!$C$2:$AK$440,'All Girls &amp; Descendants - Edit'!O$1,FALSE)="","",(VLOOKUP($C126,'All Girls &amp; Descendants - Edit'!$C$2:$AK$440,'All Girls &amp; Descendants - Edit'!O$1,FALSE)))</f>
        <v/>
      </c>
      <c r="P126" s="3" t="str">
        <f t="shared" si="14"/>
        <v/>
      </c>
      <c r="Q126" s="178" t="str">
        <f t="shared" si="15"/>
        <v>156</v>
      </c>
      <c r="R126" s="23"/>
      <c r="S126" t="str">
        <f>VLOOKUP($C126,'All Girls &amp; Descendants - Edit'!$C$2:$AK$440,'All Girls &amp; Descendants - Edit'!S$1,FALSE)</f>
        <v>Female</v>
      </c>
      <c r="T126" s="176">
        <f t="shared" si="16"/>
        <v>7</v>
      </c>
      <c r="U126" s="176">
        <f t="shared" si="11"/>
        <v>4</v>
      </c>
      <c r="V126" s="176">
        <f t="shared" si="12"/>
        <v>6</v>
      </c>
      <c r="W126" s="177">
        <f t="shared" si="13"/>
        <v>1</v>
      </c>
      <c r="X126" s="3" t="str">
        <f>IF(VLOOKUP($C126,'All Girls &amp; Descendants - Edit'!$C$2:$AK$440,'All Girls &amp; Descendants - Edit'!X$1,FALSE)=""," - ",(VLOOKUP($C126,'All Girls &amp; Descendants - Edit'!$C$2:$AK$440,'All Girls &amp; Descendants - Edit'!X$1,FALSE)))</f>
        <v xml:space="preserve"> - </v>
      </c>
      <c r="Y126" s="3" t="str">
        <f>IF(VLOOKUP($C126,'All Girls &amp; Descendants - Edit'!$C$2:$AK$440,'All Girls &amp; Descendants - Edit'!Y$1,FALSE)=""," - ",(VLOOKUP($C126,'All Girls &amp; Descendants - Edit'!$C$2:$AK$440,'All Girls &amp; Descendants - Edit'!Y$1,FALSE)))</f>
        <v xml:space="preserve"> - </v>
      </c>
      <c r="Z126" s="3" t="str">
        <f>IF(VLOOKUP($C126,'All Girls &amp; Descendants - Edit'!$C$2:$AK$440,'All Girls &amp; Descendants - Edit'!Z$1,FALSE)=""," - ",(VLOOKUP($C126,'All Girls &amp; Descendants - Edit'!$C$2:$AK$440,'All Girls &amp; Descendants - Edit'!Z$1,FALSE)))</f>
        <v xml:space="preserve"> - </v>
      </c>
      <c r="AA126" s="101">
        <f>IF(VLOOKUP($C126,'All Girls &amp; Descendants - Edit'!$C$2:$AK$440,'All Girls &amp; Descendants - Edit'!AA$1,FALSE)=""," - ",(VLOOKUP($C126,'All Girls &amp; Descendants - Edit'!$C$2:$AK$440,'All Girls &amp; Descendants - Edit'!AA$1,FALSE)))</f>
        <v>356</v>
      </c>
      <c r="AB126" s="101">
        <f>IF(VLOOKUP($C126,'All Girls &amp; Descendants - Edit'!$C$2:$AK$440,'All Girls &amp; Descendants - Edit'!AB$1,FALSE)=""," - ",(VLOOKUP($C126,'All Girls &amp; Descendants - Edit'!$C$2:$AK$440,'All Girls &amp; Descendants - Edit'!AB$1,FALSE)))</f>
        <v>125</v>
      </c>
      <c r="AC126" s="101">
        <f>IF(VLOOKUP($C126,'All Girls &amp; Descendants - Edit'!$C$2:$AK$440,'All Girls &amp; Descendants - Edit'!AC$1,FALSE)=""," - ",(VLOOKUP($C126,'All Girls &amp; Descendants - Edit'!$C$2:$AK$440,'All Girls &amp; Descendants - Edit'!AC$1,FALSE)))</f>
        <v>1125</v>
      </c>
      <c r="AD126" s="3" t="str">
        <f>IF(VLOOKUP($C126,'All Girls &amp; Descendants - Edit'!$C$2:$AK$440,'All Girls &amp; Descendants - Edit'!AD$1,FALSE)=""," - ",(VLOOKUP($C126,'All Girls &amp; Descendants - Edit'!$C$2:$AK$440,'All Girls &amp; Descendants - Edit'!AD$1,FALSE)))</f>
        <v>156b</v>
      </c>
      <c r="AE126" s="3" t="str">
        <f>IF(VLOOKUP($C126,'All Girls &amp; Descendants - Edit'!$C$2:$AK$440,'All Girls &amp; Descendants - Edit'!AE$1,FALSE)=""," - ",(VLOOKUP($C126,'All Girls &amp; Descendants - Edit'!$C$2:$AK$440,'All Girls &amp; Descendants - Edit'!AE$1,FALSE)))</f>
        <v>Dorothy Mary Jennifer GRINDAL (2016 - )</v>
      </c>
      <c r="AF126" s="3" t="str">
        <f>IF(VLOOKUP($C126,'All Girls &amp; Descendants - Edit'!$C$2:$AK$440,'All Girls &amp; Descendants - Edit'!AF$1,FALSE)=""," - ",(VLOOKUP($C126,'All Girls &amp; Descendants - Edit'!$C$2:$AK$440,'All Girls &amp; Descendants - Edit'!AF$1,FALSE)))</f>
        <v>Dorothy GRINDAL (7th &amp; 156)</v>
      </c>
      <c r="AG126" s="3" t="str">
        <f>IF(VLOOKUP($C126,'All Girls &amp; Descendants - Edit'!$C$2:$AK$440,'All Girls &amp; Descendants - Edit'!AG$1,FALSE)=""," - ",(VLOOKUP($C126,'All Girls &amp; Descendants - Edit'!$C$2:$AK$440,'All Girls &amp; Descendants - Edit'!AG$1,FALSE)))</f>
        <v>Female</v>
      </c>
      <c r="AH126" s="3" t="str">
        <f>IF(VLOOKUP($C126,'All Girls &amp; Descendants - Edit'!$C$2:$AK$440,'All Girls &amp; Descendants - Edit'!AH$1,FALSE)=""," - ",(VLOOKUP($C126,'All Girls &amp; Descendants - Edit'!$C$2:$AK$440,'All Girls &amp; Descendants - Edit'!AH$1,FALSE)))</f>
        <v>7th</v>
      </c>
      <c r="AI126" s="3" t="str">
        <f>IF(VLOOKUP($C126,'All Girls &amp; Descendants - Edit'!$C$2:$AK$440,'All Girls &amp; Descendants - Edit'!AI$1,FALSE)=""," - ",(VLOOKUP($C126,'All Girls &amp; Descendants - Edit'!$C$2:$AK$440,'All Girls &amp; Descendants - Edit'!AI$1,FALSE)))</f>
        <v>Unmarried</v>
      </c>
      <c r="AJ126" s="3" t="str">
        <f>IF(VLOOKUP($C126,'All Girls &amp; Descendants - Edit'!$C$2:$AK$440,'All Girls &amp; Descendants - Edit'!AJ$1,FALSE)=""," - ",(VLOOKUP($C126,'All Girls &amp; Descendants - Edit'!$C$2:$AK$440,'All Girls &amp; Descendants - Edit'!AJ$1,FALSE)))</f>
        <v>Female. b. 07/04/2016</v>
      </c>
      <c r="AK126" s="3" t="str">
        <f>IF(VLOOKUP($C126,'All Girls &amp; Descendants - Edit'!$C$2:$AK$440,'All Girls &amp; Descendants - Edit'!AK$1,FALSE)=""," - ",(VLOOKUP($C126,'All Girls &amp; Descendants - Edit'!$C$2:$AK$440,'All Girls &amp; Descendants - Edit'!AK$1,FALSE)))</f>
        <v>b. 07/04/2016</v>
      </c>
    </row>
    <row r="127" spans="1:37" ht="19">
      <c r="A127">
        <f>VLOOKUP(B127,'Loyd List 1-190 - Edit'!$P$1:$R$219,3,FALSE)</f>
        <v>114</v>
      </c>
      <c r="B127">
        <f>'All Girls &amp; Descendants - Edit'!B128</f>
        <v>157</v>
      </c>
      <c r="C127" s="98" t="str">
        <f>'All Girls &amp; Descendants - Edit'!C128</f>
        <v>157a</v>
      </c>
      <c r="D127" s="2" t="str">
        <f>'All Girls &amp; Descendants - Edit'!D128</f>
        <v>SIMMONDS</v>
      </c>
      <c r="E127" t="str">
        <f>'All Girls &amp; Descendants - Edit'!E128</f>
        <v>Henry</v>
      </c>
      <c r="F127" t="str">
        <f>IF('All Girls &amp; Descendants - Edit'!F128="","",'All Girls &amp; Descendants - Edit'!F128)</f>
        <v>John</v>
      </c>
      <c r="G127" t="str">
        <f>IF('All Girls &amp; Descendants - Edit'!G128="","",'All Girls &amp; Descendants - Edit'!G128)</f>
        <v>Loyd</v>
      </c>
      <c r="H127" t="str">
        <f>IF('All Girls &amp; Descendants - Edit'!H128="","",'All Girls &amp; Descendants - Edit'!H128)</f>
        <v/>
      </c>
      <c r="I127">
        <f>VLOOKUP($C127,'All Girls &amp; Descendants - Edit'!$C$2:$AK$440,'All Girls &amp; Descendants - Edit'!I$1,FALSE)</f>
        <v>2012</v>
      </c>
      <c r="J127" t="str">
        <f>VLOOKUP($C127,'All Girls &amp; Descendants - Edit'!$C$2:$AK$440,'All Girls &amp; Descendants - Edit'!J$1,FALSE)</f>
        <v/>
      </c>
      <c r="K127" s="9"/>
      <c r="L127" t="str">
        <f t="shared" si="10"/>
        <v>15/06/2012</v>
      </c>
      <c r="M127" s="3">
        <f>VLOOKUP($C127,'All Girls &amp; Descendants - Edit'!$C$2:$AK$440,'All Girls &amp; Descendants - Edit'!M$1,FALSE)</f>
        <v>41075</v>
      </c>
      <c r="N127" s="3" t="str">
        <f>IF(VLOOKUP($C127,'All Girls &amp; Descendants - Edit'!$C$2:$AK$440,'All Girls &amp; Descendants - Edit'!N$1,FALSE)=""," - ",(VLOOKUP($C127,'All Girls &amp; Descendants - Edit'!$C$2:$AK$440,'All Girls &amp; Descendants - Edit'!N$1,FALSE)))</f>
        <v xml:space="preserve"> - </v>
      </c>
      <c r="O127" s="3" t="str">
        <f>IF(VLOOKUP($C127,'All Girls &amp; Descendants - Edit'!$C$2:$AK$440,'All Girls &amp; Descendants - Edit'!O$1,FALSE)="","",(VLOOKUP($C127,'All Girls &amp; Descendants - Edit'!$C$2:$AK$440,'All Girls &amp; Descendants - Edit'!O$1,FALSE)))</f>
        <v/>
      </c>
      <c r="P127" s="3" t="str">
        <f t="shared" si="14"/>
        <v/>
      </c>
      <c r="Q127" s="178" t="str">
        <f t="shared" si="15"/>
        <v>157</v>
      </c>
      <c r="R127" s="23"/>
      <c r="S127" t="str">
        <f>VLOOKUP($C127,'All Girls &amp; Descendants - Edit'!$C$2:$AK$440,'All Girls &amp; Descendants - Edit'!S$1,FALSE)</f>
        <v>Male</v>
      </c>
      <c r="T127" s="176">
        <f t="shared" si="16"/>
        <v>7</v>
      </c>
      <c r="U127" s="176">
        <f t="shared" si="11"/>
        <v>4</v>
      </c>
      <c r="V127" s="176">
        <f t="shared" si="12"/>
        <v>6</v>
      </c>
      <c r="W127" s="177">
        <f t="shared" si="13"/>
        <v>1</v>
      </c>
      <c r="X127" s="3" t="str">
        <f>IF(VLOOKUP($C127,'All Girls &amp; Descendants - Edit'!$C$2:$AK$440,'All Girls &amp; Descendants - Edit'!X$1,FALSE)=""," - ",(VLOOKUP($C127,'All Girls &amp; Descendants - Edit'!$C$2:$AK$440,'All Girls &amp; Descendants - Edit'!X$1,FALSE)))</f>
        <v xml:space="preserve"> - </v>
      </c>
      <c r="Y127" s="3" t="str">
        <f>IF(VLOOKUP($C127,'All Girls &amp; Descendants - Edit'!$C$2:$AK$440,'All Girls &amp; Descendants - Edit'!Y$1,FALSE)=""," - ",(VLOOKUP($C127,'All Girls &amp; Descendants - Edit'!$C$2:$AK$440,'All Girls &amp; Descendants - Edit'!Y$1,FALSE)))</f>
        <v xml:space="preserve"> - </v>
      </c>
      <c r="Z127" s="3" t="str">
        <f>IF(VLOOKUP($C127,'All Girls &amp; Descendants - Edit'!$C$2:$AK$440,'All Girls &amp; Descendants - Edit'!Z$1,FALSE)=""," - ",(VLOOKUP($C127,'All Girls &amp; Descendants - Edit'!$C$2:$AK$440,'All Girls &amp; Descendants - Edit'!Z$1,FALSE)))</f>
        <v>Born at St Mary's Paddington. Baptised 17 Sep 2012</v>
      </c>
      <c r="AA127" s="101">
        <f>IF(VLOOKUP($C127,'All Girls &amp; Descendants - Edit'!$C$2:$AK$440,'All Girls &amp; Descendants - Edit'!AA$1,FALSE)=""," - ",(VLOOKUP($C127,'All Girls &amp; Descendants - Edit'!$C$2:$AK$440,'All Girls &amp; Descendants - Edit'!AA$1,FALSE)))</f>
        <v>357</v>
      </c>
      <c r="AB127" s="101">
        <f>IF(VLOOKUP($C127,'All Girls &amp; Descendants - Edit'!$C$2:$AK$440,'All Girls &amp; Descendants - Edit'!AB$1,FALSE)=""," - ",(VLOOKUP($C127,'All Girls &amp; Descendants - Edit'!$C$2:$AK$440,'All Girls &amp; Descendants - Edit'!AB$1,FALSE)))</f>
        <v>126</v>
      </c>
      <c r="AC127" s="101">
        <f>IF(VLOOKUP($C127,'All Girls &amp; Descendants - Edit'!$C$2:$AK$440,'All Girls &amp; Descendants - Edit'!AC$1,FALSE)=""," - ",(VLOOKUP($C127,'All Girls &amp; Descendants - Edit'!$C$2:$AK$440,'All Girls &amp; Descendants - Edit'!AC$1,FALSE)))</f>
        <v>1126</v>
      </c>
      <c r="AD127" s="3" t="str">
        <f>IF(VLOOKUP($C127,'All Girls &amp; Descendants - Edit'!$C$2:$AK$440,'All Girls &amp; Descendants - Edit'!AD$1,FALSE)=""," - ",(VLOOKUP($C127,'All Girls &amp; Descendants - Edit'!$C$2:$AK$440,'All Girls &amp; Descendants - Edit'!AD$1,FALSE)))</f>
        <v>157a</v>
      </c>
      <c r="AE127" s="3" t="str">
        <f>IF(VLOOKUP($C127,'All Girls &amp; Descendants - Edit'!$C$2:$AK$440,'All Girls &amp; Descendants - Edit'!AE$1,FALSE)=""," - ",(VLOOKUP($C127,'All Girls &amp; Descendants - Edit'!$C$2:$AK$440,'All Girls &amp; Descendants - Edit'!AE$1,FALSE)))</f>
        <v>Henry John Loyd SIMMONDS (2012 - )</v>
      </c>
      <c r="AF127" s="3" t="str">
        <f>IF(VLOOKUP($C127,'All Girls &amp; Descendants - Edit'!$C$2:$AK$440,'All Girls &amp; Descendants - Edit'!AF$1,FALSE)=""," - ",(VLOOKUP($C127,'All Girls &amp; Descendants - Edit'!$C$2:$AK$440,'All Girls &amp; Descendants - Edit'!AF$1,FALSE)))</f>
        <v>Henry SIMMONDS (7th &amp; 157)</v>
      </c>
      <c r="AG127" s="3" t="str">
        <f>IF(VLOOKUP($C127,'All Girls &amp; Descendants - Edit'!$C$2:$AK$440,'All Girls &amp; Descendants - Edit'!AG$1,FALSE)=""," - ",(VLOOKUP($C127,'All Girls &amp; Descendants - Edit'!$C$2:$AK$440,'All Girls &amp; Descendants - Edit'!AG$1,FALSE)))</f>
        <v>Male</v>
      </c>
      <c r="AH127" s="3" t="str">
        <f>IF(VLOOKUP($C127,'All Girls &amp; Descendants - Edit'!$C$2:$AK$440,'All Girls &amp; Descendants - Edit'!AH$1,FALSE)=""," - ",(VLOOKUP($C127,'All Girls &amp; Descendants - Edit'!$C$2:$AK$440,'All Girls &amp; Descendants - Edit'!AH$1,FALSE)))</f>
        <v>7th</v>
      </c>
      <c r="AI127" s="3" t="str">
        <f>IF(VLOOKUP($C127,'All Girls &amp; Descendants - Edit'!$C$2:$AK$440,'All Girls &amp; Descendants - Edit'!AI$1,FALSE)=""," - ",(VLOOKUP($C127,'All Girls &amp; Descendants - Edit'!$C$2:$AK$440,'All Girls &amp; Descendants - Edit'!AI$1,FALSE)))</f>
        <v>Unmarried</v>
      </c>
      <c r="AJ127" s="3" t="str">
        <f>IF(VLOOKUP($C127,'All Girls &amp; Descendants - Edit'!$C$2:$AK$440,'All Girls &amp; Descendants - Edit'!AJ$1,FALSE)=""," - ",(VLOOKUP($C127,'All Girls &amp; Descendants - Edit'!$C$2:$AK$440,'All Girls &amp; Descendants - Edit'!AJ$1,FALSE)))</f>
        <v>Male. b. 15/06/2012 Born at St Mary's Paddington. Baptised 17 Sep 2012</v>
      </c>
      <c r="AK127" s="3" t="str">
        <f>IF(VLOOKUP($C127,'All Girls &amp; Descendants - Edit'!$C$2:$AK$440,'All Girls &amp; Descendants - Edit'!AK$1,FALSE)=""," - ",(VLOOKUP($C127,'All Girls &amp; Descendants - Edit'!$C$2:$AK$440,'All Girls &amp; Descendants - Edit'!AK$1,FALSE)))</f>
        <v>b. 15/06/2012</v>
      </c>
    </row>
    <row r="128" spans="1:37" ht="19">
      <c r="A128">
        <f>VLOOKUP(B128,'Loyd List 1-190 - Edit'!$P$1:$R$219,3,FALSE)</f>
        <v>114</v>
      </c>
      <c r="B128">
        <f>'All Girls &amp; Descendants - Edit'!B129</f>
        <v>157</v>
      </c>
      <c r="C128" s="98" t="str">
        <f>'All Girls &amp; Descendants - Edit'!C129</f>
        <v>157b</v>
      </c>
      <c r="D128" s="2" t="str">
        <f>'All Girls &amp; Descendants - Edit'!D129</f>
        <v>SIMMONDS</v>
      </c>
      <c r="E128" t="str">
        <f>'All Girls &amp; Descendants - Edit'!E129</f>
        <v>Emily</v>
      </c>
      <c r="F128" t="str">
        <f>IF('All Girls &amp; Descendants - Edit'!F129="","",'All Girls &amp; Descendants - Edit'!F129)</f>
        <v>Mary</v>
      </c>
      <c r="G128" t="str">
        <f>IF('All Girls &amp; Descendants - Edit'!G129="","",'All Girls &amp; Descendants - Edit'!G129)</f>
        <v>Loyd</v>
      </c>
      <c r="H128" t="str">
        <f>IF('All Girls &amp; Descendants - Edit'!H129="","",'All Girls &amp; Descendants - Edit'!H129)</f>
        <v/>
      </c>
      <c r="I128">
        <f>VLOOKUP($C128,'All Girls &amp; Descendants - Edit'!$C$2:$AK$440,'All Girls &amp; Descendants - Edit'!I$1,FALSE)</f>
        <v>2014</v>
      </c>
      <c r="J128" t="str">
        <f>VLOOKUP($C128,'All Girls &amp; Descendants - Edit'!$C$2:$AK$440,'All Girls &amp; Descendants - Edit'!J$1,FALSE)</f>
        <v/>
      </c>
      <c r="K128" s="9"/>
      <c r="L128" t="str">
        <f t="shared" si="10"/>
        <v>27/12/2014</v>
      </c>
      <c r="M128" s="3">
        <f>VLOOKUP($C128,'All Girls &amp; Descendants - Edit'!$C$2:$AK$440,'All Girls &amp; Descendants - Edit'!M$1,FALSE)</f>
        <v>42000</v>
      </c>
      <c r="N128" s="3" t="str">
        <f>IF(VLOOKUP($C128,'All Girls &amp; Descendants - Edit'!$C$2:$AK$440,'All Girls &amp; Descendants - Edit'!N$1,FALSE)=""," - ",(VLOOKUP($C128,'All Girls &amp; Descendants - Edit'!$C$2:$AK$440,'All Girls &amp; Descendants - Edit'!N$1,FALSE)))</f>
        <v xml:space="preserve"> - </v>
      </c>
      <c r="O128" s="3" t="str">
        <f>IF(VLOOKUP($C128,'All Girls &amp; Descendants - Edit'!$C$2:$AK$440,'All Girls &amp; Descendants - Edit'!O$1,FALSE)="","",(VLOOKUP($C128,'All Girls &amp; Descendants - Edit'!$C$2:$AK$440,'All Girls &amp; Descendants - Edit'!O$1,FALSE)))</f>
        <v/>
      </c>
      <c r="P128" s="3" t="str">
        <f t="shared" si="14"/>
        <v/>
      </c>
      <c r="Q128" s="178" t="str">
        <f t="shared" si="15"/>
        <v>157</v>
      </c>
      <c r="R128" s="23"/>
      <c r="S128" t="str">
        <f>VLOOKUP($C128,'All Girls &amp; Descendants - Edit'!$C$2:$AK$440,'All Girls &amp; Descendants - Edit'!S$1,FALSE)</f>
        <v>Female</v>
      </c>
      <c r="T128" s="176">
        <f t="shared" si="16"/>
        <v>7</v>
      </c>
      <c r="U128" s="176">
        <f t="shared" si="11"/>
        <v>4</v>
      </c>
      <c r="V128" s="176">
        <f t="shared" si="12"/>
        <v>6</v>
      </c>
      <c r="W128" s="177">
        <f t="shared" si="13"/>
        <v>1</v>
      </c>
      <c r="X128" s="3" t="str">
        <f>IF(VLOOKUP($C128,'All Girls &amp; Descendants - Edit'!$C$2:$AK$440,'All Girls &amp; Descendants - Edit'!X$1,FALSE)=""," - ",(VLOOKUP($C128,'All Girls &amp; Descendants - Edit'!$C$2:$AK$440,'All Girls &amp; Descendants - Edit'!X$1,FALSE)))</f>
        <v xml:space="preserve"> - </v>
      </c>
      <c r="Y128" s="3" t="str">
        <f>IF(VLOOKUP($C128,'All Girls &amp; Descendants - Edit'!$C$2:$AK$440,'All Girls &amp; Descendants - Edit'!Y$1,FALSE)=""," - ",(VLOOKUP($C128,'All Girls &amp; Descendants - Edit'!$C$2:$AK$440,'All Girls &amp; Descendants - Edit'!Y$1,FALSE)))</f>
        <v xml:space="preserve"> - </v>
      </c>
      <c r="Z128" s="3" t="str">
        <f>IF(VLOOKUP($C128,'All Girls &amp; Descendants - Edit'!$C$2:$AK$440,'All Girls &amp; Descendants - Edit'!Z$1,FALSE)=""," - ",(VLOOKUP($C128,'All Girls &amp; Descendants - Edit'!$C$2:$AK$440,'All Girls &amp; Descendants - Edit'!Z$1,FALSE)))</f>
        <v>Born at Royal Victoria Infirmary, Newcastle. Baptised 3 May 2014 at Stagshaw Chapel.</v>
      </c>
      <c r="AA128" s="101">
        <f>IF(VLOOKUP($C128,'All Girls &amp; Descendants - Edit'!$C$2:$AK$440,'All Girls &amp; Descendants - Edit'!AA$1,FALSE)=""," - ",(VLOOKUP($C128,'All Girls &amp; Descendants - Edit'!$C$2:$AK$440,'All Girls &amp; Descendants - Edit'!AA$1,FALSE)))</f>
        <v>358</v>
      </c>
      <c r="AB128" s="101">
        <f>IF(VLOOKUP($C128,'All Girls &amp; Descendants - Edit'!$C$2:$AK$440,'All Girls &amp; Descendants - Edit'!AB$1,FALSE)=""," - ",(VLOOKUP($C128,'All Girls &amp; Descendants - Edit'!$C$2:$AK$440,'All Girls &amp; Descendants - Edit'!AB$1,FALSE)))</f>
        <v>127</v>
      </c>
      <c r="AC128" s="101">
        <f>IF(VLOOKUP($C128,'All Girls &amp; Descendants - Edit'!$C$2:$AK$440,'All Girls &amp; Descendants - Edit'!AC$1,FALSE)=""," - ",(VLOOKUP($C128,'All Girls &amp; Descendants - Edit'!$C$2:$AK$440,'All Girls &amp; Descendants - Edit'!AC$1,FALSE)))</f>
        <v>1127</v>
      </c>
      <c r="AD128" s="3" t="str">
        <f>IF(VLOOKUP($C128,'All Girls &amp; Descendants - Edit'!$C$2:$AK$440,'All Girls &amp; Descendants - Edit'!AD$1,FALSE)=""," - ",(VLOOKUP($C128,'All Girls &amp; Descendants - Edit'!$C$2:$AK$440,'All Girls &amp; Descendants - Edit'!AD$1,FALSE)))</f>
        <v>157b</v>
      </c>
      <c r="AE128" s="3" t="str">
        <f>IF(VLOOKUP($C128,'All Girls &amp; Descendants - Edit'!$C$2:$AK$440,'All Girls &amp; Descendants - Edit'!AE$1,FALSE)=""," - ",(VLOOKUP($C128,'All Girls &amp; Descendants - Edit'!$C$2:$AK$440,'All Girls &amp; Descendants - Edit'!AE$1,FALSE)))</f>
        <v>Emily Mary Loyd SIMMONDS (2014 - )</v>
      </c>
      <c r="AF128" s="3" t="str">
        <f>IF(VLOOKUP($C128,'All Girls &amp; Descendants - Edit'!$C$2:$AK$440,'All Girls &amp; Descendants - Edit'!AF$1,FALSE)=""," - ",(VLOOKUP($C128,'All Girls &amp; Descendants - Edit'!$C$2:$AK$440,'All Girls &amp; Descendants - Edit'!AF$1,FALSE)))</f>
        <v>Emily SIMMONDS (7th &amp; 157)</v>
      </c>
      <c r="AG128" s="3" t="str">
        <f>IF(VLOOKUP($C128,'All Girls &amp; Descendants - Edit'!$C$2:$AK$440,'All Girls &amp; Descendants - Edit'!AG$1,FALSE)=""," - ",(VLOOKUP($C128,'All Girls &amp; Descendants - Edit'!$C$2:$AK$440,'All Girls &amp; Descendants - Edit'!AG$1,FALSE)))</f>
        <v>Female</v>
      </c>
      <c r="AH128" s="3" t="str">
        <f>IF(VLOOKUP($C128,'All Girls &amp; Descendants - Edit'!$C$2:$AK$440,'All Girls &amp; Descendants - Edit'!AH$1,FALSE)=""," - ",(VLOOKUP($C128,'All Girls &amp; Descendants - Edit'!$C$2:$AK$440,'All Girls &amp; Descendants - Edit'!AH$1,FALSE)))</f>
        <v>7th</v>
      </c>
      <c r="AI128" s="3" t="str">
        <f>IF(VLOOKUP($C128,'All Girls &amp; Descendants - Edit'!$C$2:$AK$440,'All Girls &amp; Descendants - Edit'!AI$1,FALSE)=""," - ",(VLOOKUP($C128,'All Girls &amp; Descendants - Edit'!$C$2:$AK$440,'All Girls &amp; Descendants - Edit'!AI$1,FALSE)))</f>
        <v>Unmarried</v>
      </c>
      <c r="AJ128" s="3" t="str">
        <f>IF(VLOOKUP($C128,'All Girls &amp; Descendants - Edit'!$C$2:$AK$440,'All Girls &amp; Descendants - Edit'!AJ$1,FALSE)=""," - ",(VLOOKUP($C128,'All Girls &amp; Descendants - Edit'!$C$2:$AK$440,'All Girls &amp; Descendants - Edit'!AJ$1,FALSE)))</f>
        <v>Female. b. 27/12/2014 Born at Royal Victoria Infirmary, Newcastle. Baptised 3 May 2014 at Stagshaw Chapel.</v>
      </c>
      <c r="AK128" s="3" t="str">
        <f>IF(VLOOKUP($C128,'All Girls &amp; Descendants - Edit'!$C$2:$AK$440,'All Girls &amp; Descendants - Edit'!AK$1,FALSE)=""," - ",(VLOOKUP($C128,'All Girls &amp; Descendants - Edit'!$C$2:$AK$440,'All Girls &amp; Descendants - Edit'!AK$1,FALSE)))</f>
        <v>b. 27/12/2014</v>
      </c>
    </row>
    <row r="129" spans="1:37" ht="19">
      <c r="A129">
        <f>VLOOKUP(B129,'Loyd List 1-190 - Edit'!$P$1:$R$219,3,FALSE)</f>
        <v>114</v>
      </c>
      <c r="B129">
        <f>'All Girls &amp; Descendants - Edit'!B130</f>
        <v>158</v>
      </c>
      <c r="C129" s="98" t="str">
        <f>'All Girls &amp; Descendants - Edit'!C130</f>
        <v>158a</v>
      </c>
      <c r="D129" s="2" t="str">
        <f>'All Girls &amp; Descendants - Edit'!D130</f>
        <v>KYLE</v>
      </c>
      <c r="E129" t="str">
        <f>'All Girls &amp; Descendants - Edit'!E130</f>
        <v>Theodore</v>
      </c>
      <c r="F129" t="str">
        <f>IF('All Girls &amp; Descendants - Edit'!F130="","",'All Girls &amp; Descendants - Edit'!F130)</f>
        <v>Richard</v>
      </c>
      <c r="G129" t="str">
        <f>IF('All Girls &amp; Descendants - Edit'!G130="","",'All Girls &amp; Descendants - Edit'!G130)</f>
        <v/>
      </c>
      <c r="H129" t="str">
        <f>IF('All Girls &amp; Descendants - Edit'!H130="","",'All Girls &amp; Descendants - Edit'!H130)</f>
        <v/>
      </c>
      <c r="I129">
        <f>VLOOKUP($C129,'All Girls &amp; Descendants - Edit'!$C$2:$AK$440,'All Girls &amp; Descendants - Edit'!I$1,FALSE)</f>
        <v>2010</v>
      </c>
      <c r="J129" t="str">
        <f>VLOOKUP($C129,'All Girls &amp; Descendants - Edit'!$C$2:$AK$440,'All Girls &amp; Descendants - Edit'!J$1,FALSE)</f>
        <v/>
      </c>
      <c r="K129" s="9"/>
      <c r="L129" t="str">
        <f>IF(M129="","",TEXT(M129,"dd/mm/yyyy"))</f>
        <v>05/03/2010</v>
      </c>
      <c r="M129" s="3">
        <f>VLOOKUP($C129,'All Girls &amp; Descendants - Edit'!$C$2:$AK$440,'All Girls &amp; Descendants - Edit'!M$1,FALSE)</f>
        <v>40242</v>
      </c>
      <c r="N129" s="3" t="str">
        <f>IF(VLOOKUP($C129,'All Girls &amp; Descendants - Edit'!$C$2:$AK$440,'All Girls &amp; Descendants - Edit'!N$1,FALSE)=""," - ",(VLOOKUP($C129,'All Girls &amp; Descendants - Edit'!$C$2:$AK$440,'All Girls &amp; Descendants - Edit'!N$1,FALSE)))</f>
        <v xml:space="preserve"> - </v>
      </c>
      <c r="O129" s="3" t="str">
        <f>IF(VLOOKUP($C129,'All Girls &amp; Descendants - Edit'!$C$2:$AK$440,'All Girls &amp; Descendants - Edit'!O$1,FALSE)="","",(VLOOKUP($C129,'All Girls &amp; Descendants - Edit'!$C$2:$AK$440,'All Girls &amp; Descendants - Edit'!O$1,FALSE)))</f>
        <v/>
      </c>
      <c r="P129" s="3" t="str">
        <f t="shared" si="14"/>
        <v/>
      </c>
      <c r="Q129" s="178" t="str">
        <f t="shared" si="15"/>
        <v>158</v>
      </c>
      <c r="R129" s="23"/>
      <c r="S129" t="str">
        <f>VLOOKUP($C129,'All Girls &amp; Descendants - Edit'!$C$2:$AK$440,'All Girls &amp; Descendants - Edit'!S$1,FALSE)</f>
        <v>Male</v>
      </c>
      <c r="T129" s="176">
        <f t="shared" si="16"/>
        <v>7</v>
      </c>
      <c r="U129" s="176">
        <f t="shared" si="11"/>
        <v>4</v>
      </c>
      <c r="V129" s="176">
        <f t="shared" si="12"/>
        <v>6</v>
      </c>
      <c r="W129" s="177">
        <f t="shared" si="13"/>
        <v>1</v>
      </c>
      <c r="X129" s="3" t="str">
        <f>IF(VLOOKUP($C129,'All Girls &amp; Descendants - Edit'!$C$2:$AK$440,'All Girls &amp; Descendants - Edit'!X$1,FALSE)=""," - ",(VLOOKUP($C129,'All Girls &amp; Descendants - Edit'!$C$2:$AK$440,'All Girls &amp; Descendants - Edit'!X$1,FALSE)))</f>
        <v xml:space="preserve"> - </v>
      </c>
      <c r="Y129" s="3" t="str">
        <f>IF(VLOOKUP($C129,'All Girls &amp; Descendants - Edit'!$C$2:$AK$440,'All Girls &amp; Descendants - Edit'!Y$1,FALSE)=""," - ",(VLOOKUP($C129,'All Girls &amp; Descendants - Edit'!$C$2:$AK$440,'All Girls &amp; Descendants - Edit'!Y$1,FALSE)))</f>
        <v xml:space="preserve"> - </v>
      </c>
      <c r="Z129" s="3" t="str">
        <f>IF(VLOOKUP($C129,'All Girls &amp; Descendants - Edit'!$C$2:$AK$440,'All Girls &amp; Descendants - Edit'!Z$1,FALSE)=""," - ",(VLOOKUP($C129,'All Girls &amp; Descendants - Edit'!$C$2:$AK$440,'All Girls &amp; Descendants - Edit'!Z$1,FALSE)))</f>
        <v>Born at UCH, London. Baptised March 2011</v>
      </c>
      <c r="AA129" s="101">
        <f>IF(VLOOKUP($C129,'All Girls &amp; Descendants - Edit'!$C$2:$AK$440,'All Girls &amp; Descendants - Edit'!AA$1,FALSE)=""," - ",(VLOOKUP($C129,'All Girls &amp; Descendants - Edit'!$C$2:$AK$440,'All Girls &amp; Descendants - Edit'!AA$1,FALSE)))</f>
        <v>359</v>
      </c>
      <c r="AB129" s="101">
        <f>IF(VLOOKUP($C129,'All Girls &amp; Descendants - Edit'!$C$2:$AK$440,'All Girls &amp; Descendants - Edit'!AB$1,FALSE)=""," - ",(VLOOKUP($C129,'All Girls &amp; Descendants - Edit'!$C$2:$AK$440,'All Girls &amp; Descendants - Edit'!AB$1,FALSE)))</f>
        <v>128</v>
      </c>
      <c r="AC129" s="101">
        <f>IF(VLOOKUP($C129,'All Girls &amp; Descendants - Edit'!$C$2:$AK$440,'All Girls &amp; Descendants - Edit'!AC$1,FALSE)=""," - ",(VLOOKUP($C129,'All Girls &amp; Descendants - Edit'!$C$2:$AK$440,'All Girls &amp; Descendants - Edit'!AC$1,FALSE)))</f>
        <v>1128</v>
      </c>
      <c r="AD129" s="3" t="str">
        <f>IF(VLOOKUP($C129,'All Girls &amp; Descendants - Edit'!$C$2:$AK$440,'All Girls &amp; Descendants - Edit'!AD$1,FALSE)=""," - ",(VLOOKUP($C129,'All Girls &amp; Descendants - Edit'!$C$2:$AK$440,'All Girls &amp; Descendants - Edit'!AD$1,FALSE)))</f>
        <v>158a</v>
      </c>
      <c r="AE129" s="3" t="str">
        <f>IF(VLOOKUP($C129,'All Girls &amp; Descendants - Edit'!$C$2:$AK$440,'All Girls &amp; Descendants - Edit'!AE$1,FALSE)=""," - ",(VLOOKUP($C129,'All Girls &amp; Descendants - Edit'!$C$2:$AK$440,'All Girls &amp; Descendants - Edit'!AE$1,FALSE)))</f>
        <v>Theodore Richard  KYLE (2010 - )</v>
      </c>
      <c r="AF129" s="3" t="str">
        <f>IF(VLOOKUP($C129,'All Girls &amp; Descendants - Edit'!$C$2:$AK$440,'All Girls &amp; Descendants - Edit'!AF$1,FALSE)=""," - ",(VLOOKUP($C129,'All Girls &amp; Descendants - Edit'!$C$2:$AK$440,'All Girls &amp; Descendants - Edit'!AF$1,FALSE)))</f>
        <v>Theodore KYLE (7th &amp; 158)</v>
      </c>
      <c r="AG129" s="3" t="str">
        <f>IF(VLOOKUP($C129,'All Girls &amp; Descendants - Edit'!$C$2:$AK$440,'All Girls &amp; Descendants - Edit'!AG$1,FALSE)=""," - ",(VLOOKUP($C129,'All Girls &amp; Descendants - Edit'!$C$2:$AK$440,'All Girls &amp; Descendants - Edit'!AG$1,FALSE)))</f>
        <v>Male</v>
      </c>
      <c r="AH129" s="3" t="str">
        <f>IF(VLOOKUP($C129,'All Girls &amp; Descendants - Edit'!$C$2:$AK$440,'All Girls &amp; Descendants - Edit'!AH$1,FALSE)=""," - ",(VLOOKUP($C129,'All Girls &amp; Descendants - Edit'!$C$2:$AK$440,'All Girls &amp; Descendants - Edit'!AH$1,FALSE)))</f>
        <v>7th</v>
      </c>
      <c r="AI129" s="3" t="str">
        <f>IF(VLOOKUP($C129,'All Girls &amp; Descendants - Edit'!$C$2:$AK$440,'All Girls &amp; Descendants - Edit'!AI$1,FALSE)=""," - ",(VLOOKUP($C129,'All Girls &amp; Descendants - Edit'!$C$2:$AK$440,'All Girls &amp; Descendants - Edit'!AI$1,FALSE)))</f>
        <v>Unmarried</v>
      </c>
      <c r="AJ129" s="3" t="str">
        <f>IF(VLOOKUP($C129,'All Girls &amp; Descendants - Edit'!$C$2:$AK$440,'All Girls &amp; Descendants - Edit'!AJ$1,FALSE)=""," - ",(VLOOKUP($C129,'All Girls &amp; Descendants - Edit'!$C$2:$AK$440,'All Girls &amp; Descendants - Edit'!AJ$1,FALSE)))</f>
        <v>Male. b. 05/03/2010 Born at UCH, London. Baptised March 2011</v>
      </c>
      <c r="AK129" s="3" t="str">
        <f>IF(VLOOKUP($C129,'All Girls &amp; Descendants - Edit'!$C$2:$AK$440,'All Girls &amp; Descendants - Edit'!AK$1,FALSE)=""," - ",(VLOOKUP($C129,'All Girls &amp; Descendants - Edit'!$C$2:$AK$440,'All Girls &amp; Descendants - Edit'!AK$1,FALSE)))</f>
        <v>b. 05/03/2010</v>
      </c>
    </row>
    <row r="130" spans="1:37" ht="19">
      <c r="A130">
        <f>VLOOKUP(B130,'Loyd List 1-190 - Edit'!$P$1:$R$219,3,FALSE)</f>
        <v>114</v>
      </c>
      <c r="B130">
        <f>'All Girls &amp; Descendants - Edit'!B131</f>
        <v>159</v>
      </c>
      <c r="C130" s="98" t="str">
        <f>'All Girls &amp; Descendants - Edit'!C131</f>
        <v>159a</v>
      </c>
      <c r="D130" s="2" t="str">
        <f>'All Girls &amp; Descendants - Edit'!D131</f>
        <v>GARDENER</v>
      </c>
      <c r="E130" t="str">
        <f>'All Girls &amp; Descendants - Edit'!E131</f>
        <v>Thomas</v>
      </c>
      <c r="F130" t="str">
        <f>IF('All Girls &amp; Descendants - Edit'!F131="","",'All Girls &amp; Descendants - Edit'!F131)</f>
        <v>Philip</v>
      </c>
      <c r="G130" t="str">
        <f>IF('All Girls &amp; Descendants - Edit'!G131="","",'All Girls &amp; Descendants - Edit'!G131)</f>
        <v>Loyd</v>
      </c>
      <c r="H130" t="str">
        <f>IF('All Girls &amp; Descendants - Edit'!H131="","",'All Girls &amp; Descendants - Edit'!H131)</f>
        <v/>
      </c>
      <c r="I130">
        <f>VLOOKUP($C130,'All Girls &amp; Descendants - Edit'!$C$2:$AK$440,'All Girls &amp; Descendants - Edit'!I$1,FALSE)</f>
        <v>2010</v>
      </c>
      <c r="J130" t="str">
        <f>VLOOKUP($C130,'All Girls &amp; Descendants - Edit'!$C$2:$AK$440,'All Girls &amp; Descendants - Edit'!J$1,FALSE)</f>
        <v/>
      </c>
      <c r="K130" s="9"/>
      <c r="L130" t="str">
        <f>IF(M130="","",TEXT(M130,"dd/mm/yyyy"))</f>
        <v>15/05/2010</v>
      </c>
      <c r="M130" s="3">
        <f>VLOOKUP($C130,'All Girls &amp; Descendants - Edit'!$C$2:$AK$440,'All Girls &amp; Descendants - Edit'!M$1,FALSE)</f>
        <v>40313</v>
      </c>
      <c r="N130" s="3" t="str">
        <f>IF(VLOOKUP($C130,'All Girls &amp; Descendants - Edit'!$C$2:$AK$440,'All Girls &amp; Descendants - Edit'!N$1,FALSE)=""," - ",(VLOOKUP($C130,'All Girls &amp; Descendants - Edit'!$C$2:$AK$440,'All Girls &amp; Descendants - Edit'!N$1,FALSE)))</f>
        <v xml:space="preserve"> - </v>
      </c>
      <c r="O130" s="3" t="str">
        <f>IF(VLOOKUP($C130,'All Girls &amp; Descendants - Edit'!$C$2:$AK$440,'All Girls &amp; Descendants - Edit'!O$1,FALSE)="","",(VLOOKUP($C130,'All Girls &amp; Descendants - Edit'!$C$2:$AK$440,'All Girls &amp; Descendants - Edit'!O$1,FALSE)))</f>
        <v/>
      </c>
      <c r="P130" s="3" t="str">
        <f t="shared" si="14"/>
        <v/>
      </c>
      <c r="Q130" s="178" t="str">
        <f t="shared" si="15"/>
        <v>159</v>
      </c>
      <c r="R130" s="23"/>
      <c r="S130" t="str">
        <f>VLOOKUP($C130,'All Girls &amp; Descendants - Edit'!$C$2:$AK$440,'All Girls &amp; Descendants - Edit'!S$1,FALSE)</f>
        <v>Male</v>
      </c>
      <c r="T130" s="176">
        <f t="shared" si="16"/>
        <v>7</v>
      </c>
      <c r="U130" s="176">
        <f>LEN(C130)</f>
        <v>4</v>
      </c>
      <c r="V130" s="176">
        <f>VLOOKUP(B130,Generation,2,FALSE)</f>
        <v>6</v>
      </c>
      <c r="W130" s="177">
        <f>IF(LEN(C130)-IF(B130&lt;10,1,IF(AND(B130&gt;9,B130&lt;100),2,3))=1,1,IF(LEN(C130)-IF(B130&lt;10,1,IF(AND(B130&gt;9,B130&lt;100),2,3))=0,"SELF",LEN(C130)-IF(B130&lt;10,1,IF(AND(B130&gt;9,B130&lt;100),2,3))))</f>
        <v>1</v>
      </c>
      <c r="X130" s="3" t="str">
        <f>IF(VLOOKUP($C130,'All Girls &amp; Descendants - Edit'!$C$2:$AK$440,'All Girls &amp; Descendants - Edit'!X$1,FALSE)=""," - ",(VLOOKUP($C130,'All Girls &amp; Descendants - Edit'!$C$2:$AK$440,'All Girls &amp; Descendants - Edit'!X$1,FALSE)))</f>
        <v xml:space="preserve"> - </v>
      </c>
      <c r="Y130" s="3" t="str">
        <f>IF(VLOOKUP($C130,'All Girls &amp; Descendants - Edit'!$C$2:$AK$440,'All Girls &amp; Descendants - Edit'!Y$1,FALSE)=""," - ",(VLOOKUP($C130,'All Girls &amp; Descendants - Edit'!$C$2:$AK$440,'All Girls &amp; Descendants - Edit'!Y$1,FALSE)))</f>
        <v xml:space="preserve"> - </v>
      </c>
      <c r="Z130" s="3" t="str">
        <f>IF(VLOOKUP($C130,'All Girls &amp; Descendants - Edit'!$C$2:$AK$440,'All Girls &amp; Descendants - Edit'!Z$1,FALSE)=""," - ",(VLOOKUP($C130,'All Girls &amp; Descendants - Edit'!$C$2:$AK$440,'All Girls &amp; Descendants - Edit'!Z$1,FALSE)))</f>
        <v>Born in Abu Dhabi.</v>
      </c>
      <c r="AA130" s="101">
        <f>IF(VLOOKUP($C130,'All Girls &amp; Descendants - Edit'!$C$2:$AK$440,'All Girls &amp; Descendants - Edit'!AA$1,FALSE)=""," - ",(VLOOKUP($C130,'All Girls &amp; Descendants - Edit'!$C$2:$AK$440,'All Girls &amp; Descendants - Edit'!AA$1,FALSE)))</f>
        <v>360</v>
      </c>
      <c r="AB130" s="101">
        <f>IF(VLOOKUP($C130,'All Girls &amp; Descendants - Edit'!$C$2:$AK$440,'All Girls &amp; Descendants - Edit'!AB$1,FALSE)=""," - ",(VLOOKUP($C130,'All Girls &amp; Descendants - Edit'!$C$2:$AK$440,'All Girls &amp; Descendants - Edit'!AB$1,FALSE)))</f>
        <v>129</v>
      </c>
      <c r="AC130" s="101">
        <f>IF(VLOOKUP($C130,'All Girls &amp; Descendants - Edit'!$C$2:$AK$440,'All Girls &amp; Descendants - Edit'!AC$1,FALSE)=""," - ",(VLOOKUP($C130,'All Girls &amp; Descendants - Edit'!$C$2:$AK$440,'All Girls &amp; Descendants - Edit'!AC$1,FALSE)))</f>
        <v>1129</v>
      </c>
      <c r="AD130" s="3" t="str">
        <f>IF(VLOOKUP($C130,'All Girls &amp; Descendants - Edit'!$C$2:$AK$440,'All Girls &amp; Descendants - Edit'!AD$1,FALSE)=""," - ",(VLOOKUP($C130,'All Girls &amp; Descendants - Edit'!$C$2:$AK$440,'All Girls &amp; Descendants - Edit'!AD$1,FALSE)))</f>
        <v>159a</v>
      </c>
      <c r="AE130" s="3" t="str">
        <f>IF(VLOOKUP($C130,'All Girls &amp; Descendants - Edit'!$C$2:$AK$440,'All Girls &amp; Descendants - Edit'!AE$1,FALSE)=""," - ",(VLOOKUP($C130,'All Girls &amp; Descendants - Edit'!$C$2:$AK$440,'All Girls &amp; Descendants - Edit'!AE$1,FALSE)))</f>
        <v>Thomas Philip Loyd GARDENER (2010 - )</v>
      </c>
      <c r="AF130" s="3" t="str">
        <f>IF(VLOOKUP($C130,'All Girls &amp; Descendants - Edit'!$C$2:$AK$440,'All Girls &amp; Descendants - Edit'!AF$1,FALSE)=""," - ",(VLOOKUP($C130,'All Girls &amp; Descendants - Edit'!$C$2:$AK$440,'All Girls &amp; Descendants - Edit'!AF$1,FALSE)))</f>
        <v>Thomas GARDENER (7th &amp; 159)</v>
      </c>
      <c r="AG130" s="3" t="str">
        <f>IF(VLOOKUP($C130,'All Girls &amp; Descendants - Edit'!$C$2:$AK$440,'All Girls &amp; Descendants - Edit'!AG$1,FALSE)=""," - ",(VLOOKUP($C130,'All Girls &amp; Descendants - Edit'!$C$2:$AK$440,'All Girls &amp; Descendants - Edit'!AG$1,FALSE)))</f>
        <v>Male</v>
      </c>
      <c r="AH130" s="3" t="str">
        <f>IF(VLOOKUP($C130,'All Girls &amp; Descendants - Edit'!$C$2:$AK$440,'All Girls &amp; Descendants - Edit'!AH$1,FALSE)=""," - ",(VLOOKUP($C130,'All Girls &amp; Descendants - Edit'!$C$2:$AK$440,'All Girls &amp; Descendants - Edit'!AH$1,FALSE)))</f>
        <v>7th</v>
      </c>
      <c r="AI130" s="3" t="str">
        <f>IF(VLOOKUP($C130,'All Girls &amp; Descendants - Edit'!$C$2:$AK$440,'All Girls &amp; Descendants - Edit'!AI$1,FALSE)=""," - ",(VLOOKUP($C130,'All Girls &amp; Descendants - Edit'!$C$2:$AK$440,'All Girls &amp; Descendants - Edit'!AI$1,FALSE)))</f>
        <v>Unmarried</v>
      </c>
      <c r="AJ130" s="3" t="str">
        <f>IF(VLOOKUP($C130,'All Girls &amp; Descendants - Edit'!$C$2:$AK$440,'All Girls &amp; Descendants - Edit'!AJ$1,FALSE)=""," - ",(VLOOKUP($C130,'All Girls &amp; Descendants - Edit'!$C$2:$AK$440,'All Girls &amp; Descendants - Edit'!AJ$1,FALSE)))</f>
        <v>Male. b. 15/05/2010 Born in Abu Dhabi.</v>
      </c>
      <c r="AK130" s="3" t="str">
        <f>IF(VLOOKUP($C130,'All Girls &amp; Descendants - Edit'!$C$2:$AK$440,'All Girls &amp; Descendants - Edit'!AK$1,FALSE)=""," - ",(VLOOKUP($C130,'All Girls &amp; Descendants - Edit'!$C$2:$AK$440,'All Girls &amp; Descendants - Edit'!AK$1,FALSE)))</f>
        <v>b. 15/05/2010</v>
      </c>
    </row>
    <row r="131" spans="1:37" ht="19">
      <c r="A131">
        <f>VLOOKUP(B131,'Loyd List 1-190 - Edit'!$P$1:$R$219,3,FALSE)</f>
        <v>114</v>
      </c>
      <c r="B131">
        <f>'All Girls &amp; Descendants - Edit'!B132</f>
        <v>159</v>
      </c>
      <c r="C131" s="98" t="str">
        <f>'All Girls &amp; Descendants - Edit'!C132</f>
        <v>159b</v>
      </c>
      <c r="D131" s="2" t="str">
        <f>'All Girls &amp; Descendants - Edit'!D132</f>
        <v>GARDENER</v>
      </c>
      <c r="E131" t="str">
        <f>'All Girls &amp; Descendants - Edit'!E132</f>
        <v>Alice</v>
      </c>
      <c r="F131" t="str">
        <f>IF('All Girls &amp; Descendants - Edit'!F132="","",'All Girls &amp; Descendants - Edit'!F132)</f>
        <v>Daphne</v>
      </c>
      <c r="G131" t="str">
        <f>IF('All Girls &amp; Descendants - Edit'!G132="","",'All Girls &amp; Descendants - Edit'!G132)</f>
        <v>Straker</v>
      </c>
      <c r="H131" t="str">
        <f>IF('All Girls &amp; Descendants - Edit'!H132="","",'All Girls &amp; Descendants - Edit'!H132)</f>
        <v/>
      </c>
      <c r="I131">
        <f>VLOOKUP($C131,'All Girls &amp; Descendants - Edit'!$C$2:$AK$440,'All Girls &amp; Descendants - Edit'!I$1,FALSE)</f>
        <v>2013</v>
      </c>
      <c r="J131" t="str">
        <f>VLOOKUP($C131,'All Girls &amp; Descendants - Edit'!$C$2:$AK$440,'All Girls &amp; Descendants - Edit'!J$1,FALSE)</f>
        <v/>
      </c>
      <c r="K131" s="9"/>
      <c r="L131" t="str">
        <f>IF(M131="","",TEXT(M131,"dd/mm/yyyy"))</f>
        <v>09/03/2013</v>
      </c>
      <c r="M131" s="3">
        <f>VLOOKUP($C131,'All Girls &amp; Descendants - Edit'!$C$2:$AK$440,'All Girls &amp; Descendants - Edit'!M$1,FALSE)</f>
        <v>41342</v>
      </c>
      <c r="N131" s="3" t="str">
        <f>IF(VLOOKUP($C131,'All Girls &amp; Descendants - Edit'!$C$2:$AK$440,'All Girls &amp; Descendants - Edit'!N$1,FALSE)=""," - ",(VLOOKUP($C131,'All Girls &amp; Descendants - Edit'!$C$2:$AK$440,'All Girls &amp; Descendants - Edit'!N$1,FALSE)))</f>
        <v xml:space="preserve"> - </v>
      </c>
      <c r="O131" s="3" t="str">
        <f>IF(VLOOKUP($C131,'All Girls &amp; Descendants - Edit'!$C$2:$AK$440,'All Girls &amp; Descendants - Edit'!O$1,FALSE)="","",(VLOOKUP($C131,'All Girls &amp; Descendants - Edit'!$C$2:$AK$440,'All Girls &amp; Descendants - Edit'!O$1,FALSE)))</f>
        <v/>
      </c>
      <c r="P131" s="3" t="str">
        <f>IF(O131="","",TEXT(O131,"dd/mm/yyyy"))</f>
        <v/>
      </c>
      <c r="Q131" s="178" t="str">
        <f>MID(C131,1,LEN(C131)-1)</f>
        <v>159</v>
      </c>
      <c r="R131" s="23"/>
      <c r="S131" t="str">
        <f>VLOOKUP($C131,'All Girls &amp; Descendants - Edit'!$C$2:$AK$440,'All Girls &amp; Descendants - Edit'!S$1,FALSE)</f>
        <v>Female</v>
      </c>
      <c r="T131" s="176">
        <f t="shared" ref="T131:T195" si="17">IF(B131&lt;10,V131+U131-1,IF(AND(B131&gt;=10,B131&lt;100),V131+U131-2,IF(B131&gt;=100,V131+U131-3)))</f>
        <v>7</v>
      </c>
      <c r="U131" s="176">
        <f>LEN(C131)</f>
        <v>4</v>
      </c>
      <c r="V131" s="176">
        <f>VLOOKUP(B131,Generation,2,FALSE)</f>
        <v>6</v>
      </c>
      <c r="W131" s="177">
        <f>IF(LEN(C131)-IF(B131&lt;10,1,IF(AND(B131&gt;9,B131&lt;100),2,3))=1,1,IF(LEN(C131)-IF(B131&lt;10,1,IF(AND(B131&gt;9,B131&lt;100),2,3))=0,"SELF",LEN(C131)-IF(B131&lt;10,1,IF(AND(B131&gt;9,B131&lt;100),2,3))))</f>
        <v>1</v>
      </c>
      <c r="X131" s="3" t="str">
        <f>IF(VLOOKUP($C131,'All Girls &amp; Descendants - Edit'!$C$2:$AK$440,'All Girls &amp; Descendants - Edit'!X$1,FALSE)=""," - ",(VLOOKUP($C131,'All Girls &amp; Descendants - Edit'!$C$2:$AK$440,'All Girls &amp; Descendants - Edit'!X$1,FALSE)))</f>
        <v xml:space="preserve"> - </v>
      </c>
      <c r="Y131" s="3" t="str">
        <f>IF(VLOOKUP($C131,'All Girls &amp; Descendants - Edit'!$C$2:$AK$440,'All Girls &amp; Descendants - Edit'!Y$1,FALSE)=""," - ",(VLOOKUP($C131,'All Girls &amp; Descendants - Edit'!$C$2:$AK$440,'All Girls &amp; Descendants - Edit'!Y$1,FALSE)))</f>
        <v xml:space="preserve"> - </v>
      </c>
      <c r="Z131" s="3" t="str">
        <f>IF(VLOOKUP($C131,'All Girls &amp; Descendants - Edit'!$C$2:$AK$440,'All Girls &amp; Descendants - Edit'!Z$1,FALSE)=""," - ",(VLOOKUP($C131,'All Girls &amp; Descendants - Edit'!$C$2:$AK$440,'All Girls &amp; Descendants - Edit'!Z$1,FALSE)))</f>
        <v>Born in Abu Dhabi.</v>
      </c>
      <c r="AA131" s="101">
        <f>IF(VLOOKUP($C131,'All Girls &amp; Descendants - Edit'!$C$2:$AK$440,'All Girls &amp; Descendants - Edit'!AA$1,FALSE)=""," - ",(VLOOKUP($C131,'All Girls &amp; Descendants - Edit'!$C$2:$AK$440,'All Girls &amp; Descendants - Edit'!AA$1,FALSE)))</f>
        <v>361</v>
      </c>
      <c r="AB131" s="101">
        <f>IF(VLOOKUP($C131,'All Girls &amp; Descendants - Edit'!$C$2:$AK$440,'All Girls &amp; Descendants - Edit'!AB$1,FALSE)=""," - ",(VLOOKUP($C131,'All Girls &amp; Descendants - Edit'!$C$2:$AK$440,'All Girls &amp; Descendants - Edit'!AB$1,FALSE)))</f>
        <v>130</v>
      </c>
      <c r="AC131" s="101">
        <f>IF(VLOOKUP($C131,'All Girls &amp; Descendants - Edit'!$C$2:$AK$440,'All Girls &amp; Descendants - Edit'!AC$1,FALSE)=""," - ",(VLOOKUP($C131,'All Girls &amp; Descendants - Edit'!$C$2:$AK$440,'All Girls &amp; Descendants - Edit'!AC$1,FALSE)))</f>
        <v>1130</v>
      </c>
      <c r="AD131" s="3" t="str">
        <f>IF(VLOOKUP($C131,'All Girls &amp; Descendants - Edit'!$C$2:$AK$440,'All Girls &amp; Descendants - Edit'!AD$1,FALSE)=""," - ",(VLOOKUP($C131,'All Girls &amp; Descendants - Edit'!$C$2:$AK$440,'All Girls &amp; Descendants - Edit'!AD$1,FALSE)))</f>
        <v>159b</v>
      </c>
      <c r="AE131" s="3" t="str">
        <f>IF(VLOOKUP($C131,'All Girls &amp; Descendants - Edit'!$C$2:$AK$440,'All Girls &amp; Descendants - Edit'!AE$1,FALSE)=""," - ",(VLOOKUP($C131,'All Girls &amp; Descendants - Edit'!$C$2:$AK$440,'All Girls &amp; Descendants - Edit'!AE$1,FALSE)))</f>
        <v>Alice Daphne Straker GARDENER (2013 - )</v>
      </c>
      <c r="AF131" s="3" t="str">
        <f>IF(VLOOKUP($C131,'All Girls &amp; Descendants - Edit'!$C$2:$AK$440,'All Girls &amp; Descendants - Edit'!AF$1,FALSE)=""," - ",(VLOOKUP($C131,'All Girls &amp; Descendants - Edit'!$C$2:$AK$440,'All Girls &amp; Descendants - Edit'!AF$1,FALSE)))</f>
        <v>Alice GARDENER (7th &amp; 159)</v>
      </c>
      <c r="AG131" s="3" t="str">
        <f>IF(VLOOKUP($C131,'All Girls &amp; Descendants - Edit'!$C$2:$AK$440,'All Girls &amp; Descendants - Edit'!AG$1,FALSE)=""," - ",(VLOOKUP($C131,'All Girls &amp; Descendants - Edit'!$C$2:$AK$440,'All Girls &amp; Descendants - Edit'!AG$1,FALSE)))</f>
        <v>Female</v>
      </c>
      <c r="AH131" s="3" t="str">
        <f>IF(VLOOKUP($C131,'All Girls &amp; Descendants - Edit'!$C$2:$AK$440,'All Girls &amp; Descendants - Edit'!AH$1,FALSE)=""," - ",(VLOOKUP($C131,'All Girls &amp; Descendants - Edit'!$C$2:$AK$440,'All Girls &amp; Descendants - Edit'!AH$1,FALSE)))</f>
        <v>7th</v>
      </c>
      <c r="AI131" s="3" t="str">
        <f>IF(VLOOKUP($C131,'All Girls &amp; Descendants - Edit'!$C$2:$AK$440,'All Girls &amp; Descendants - Edit'!AI$1,FALSE)=""," - ",(VLOOKUP($C131,'All Girls &amp; Descendants - Edit'!$C$2:$AK$440,'All Girls &amp; Descendants - Edit'!AI$1,FALSE)))</f>
        <v>Unmarried</v>
      </c>
      <c r="AJ131" s="3" t="str">
        <f>IF(VLOOKUP($C131,'All Girls &amp; Descendants - Edit'!$C$2:$AK$440,'All Girls &amp; Descendants - Edit'!AJ$1,FALSE)=""," - ",(VLOOKUP($C131,'All Girls &amp; Descendants - Edit'!$C$2:$AK$440,'All Girls &amp; Descendants - Edit'!AJ$1,FALSE)))</f>
        <v>Female. b. 09/03/2013 Born in Abu Dhabi.</v>
      </c>
      <c r="AK131" s="3" t="str">
        <f>IF(VLOOKUP($C131,'All Girls &amp; Descendants - Edit'!$C$2:$AK$440,'All Girls &amp; Descendants - Edit'!AK$1,FALSE)=""," - ",(VLOOKUP($C131,'All Girls &amp; Descendants - Edit'!$C$2:$AK$440,'All Girls &amp; Descendants - Edit'!AK$1,FALSE)))</f>
        <v>b. 09/03/2013</v>
      </c>
    </row>
    <row r="132" spans="1:37" ht="19">
      <c r="A132">
        <f>VLOOKUP(B132,'Loyd List 1-190 - Edit'!$P$1:$R$219,3,FALSE)</f>
        <v>119</v>
      </c>
      <c r="B132">
        <f>'All Girls &amp; Descendants - Edit'!B133</f>
        <v>161</v>
      </c>
      <c r="C132" s="98" t="str">
        <f>'All Girls &amp; Descendants - Edit'!C133</f>
        <v>161a</v>
      </c>
      <c r="D132" s="2" t="str">
        <f>'All Girls &amp; Descendants - Edit'!D133</f>
        <v>HAYNS</v>
      </c>
      <c r="E132" t="str">
        <f>'All Girls &amp; Descendants - Edit'!E133</f>
        <v>Alexia</v>
      </c>
      <c r="F132" t="str">
        <f>IF('All Girls &amp; Descendants - Edit'!F133="","",'All Girls &amp; Descendants - Edit'!F133)</f>
        <v>Charlotte</v>
      </c>
      <c r="G132" t="str">
        <f>IF('All Girls &amp; Descendants - Edit'!G133="","",'All Girls &amp; Descendants - Edit'!G133)</f>
        <v/>
      </c>
      <c r="H132" t="str">
        <f>IF('All Girls &amp; Descendants - Edit'!H133="","",'All Girls &amp; Descendants - Edit'!H133)</f>
        <v/>
      </c>
      <c r="I132">
        <f>VLOOKUP($C132,'All Girls &amp; Descendants - Edit'!$C$2:$AK$440,'All Girls &amp; Descendants - Edit'!I$1,FALSE)</f>
        <v>2014</v>
      </c>
      <c r="J132" t="str">
        <f>VLOOKUP($C132,'All Girls &amp; Descendants - Edit'!$C$2:$AK$440,'All Girls &amp; Descendants - Edit'!J$1,FALSE)</f>
        <v/>
      </c>
      <c r="K132" s="9"/>
      <c r="L132" t="str">
        <f>IF(M132="","",TEXT(M132,"dd/mm/yyyy"))</f>
        <v>24/03/2014</v>
      </c>
      <c r="M132" s="3">
        <f>VLOOKUP($C132,'All Girls &amp; Descendants - Edit'!$C$2:$AK$440,'All Girls &amp; Descendants - Edit'!M$1,FALSE)</f>
        <v>41722</v>
      </c>
      <c r="N132" s="3" t="str">
        <f>IF(VLOOKUP($C132,'All Girls &amp; Descendants - Edit'!$C$2:$AK$440,'All Girls &amp; Descendants - Edit'!N$1,FALSE)=""," - ",(VLOOKUP($C132,'All Girls &amp; Descendants - Edit'!$C$2:$AK$440,'All Girls &amp; Descendants - Edit'!N$1,FALSE)))</f>
        <v xml:space="preserve"> - </v>
      </c>
      <c r="O132" s="3" t="str">
        <f>IF(VLOOKUP($C132,'All Girls &amp; Descendants - Edit'!$C$2:$AK$440,'All Girls &amp; Descendants - Edit'!O$1,FALSE)="","",(VLOOKUP($C132,'All Girls &amp; Descendants - Edit'!$C$2:$AK$440,'All Girls &amp; Descendants - Edit'!O$1,FALSE)))</f>
        <v/>
      </c>
      <c r="P132" s="3" t="str">
        <f>IF(O132="","",TEXT(O132,"dd/mm/yyyy"))</f>
        <v/>
      </c>
      <c r="Q132" s="178" t="str">
        <f>MID(C132,1,LEN(C132)-1)</f>
        <v>161</v>
      </c>
      <c r="R132" s="23"/>
      <c r="S132" t="str">
        <f>VLOOKUP($C132,'All Girls &amp; Descendants - Edit'!$C$2:$AK$440,'All Girls &amp; Descendants - Edit'!S$1,FALSE)</f>
        <v>Female</v>
      </c>
      <c r="T132" s="176">
        <f t="shared" si="17"/>
        <v>7</v>
      </c>
      <c r="U132" s="176">
        <f>LEN(C132)</f>
        <v>4</v>
      </c>
      <c r="V132" s="176">
        <f>VLOOKUP(B132,Generation,2,FALSE)</f>
        <v>6</v>
      </c>
      <c r="W132" s="177">
        <f>IF(LEN(C132)-IF(B132&lt;10,1,IF(AND(B132&gt;9,B132&lt;100),2,3))=1,1,IF(LEN(C132)-IF(B132&lt;10,1,IF(AND(B132&gt;9,B132&lt;100),2,3))=0,"SELF",LEN(C132)-IF(B132&lt;10,1,IF(AND(B132&gt;9,B132&lt;100),2,3))))</f>
        <v>1</v>
      </c>
      <c r="X132" s="3" t="str">
        <f>IF(VLOOKUP($C132,'All Girls &amp; Descendants - Edit'!$C$2:$AK$440,'All Girls &amp; Descendants - Edit'!X$1,FALSE)=""," - ",(VLOOKUP($C132,'All Girls &amp; Descendants - Edit'!$C$2:$AK$440,'All Girls &amp; Descendants - Edit'!X$1,FALSE)))</f>
        <v xml:space="preserve"> - </v>
      </c>
      <c r="Y132" s="3" t="str">
        <f>IF(VLOOKUP($C132,'All Girls &amp; Descendants - Edit'!$C$2:$AK$440,'All Girls &amp; Descendants - Edit'!Y$1,FALSE)=""," - ",(VLOOKUP($C132,'All Girls &amp; Descendants - Edit'!$C$2:$AK$440,'All Girls &amp; Descendants - Edit'!Y$1,FALSE)))</f>
        <v xml:space="preserve"> - </v>
      </c>
      <c r="Z132" s="3" t="str">
        <f>IF(VLOOKUP($C132,'All Girls &amp; Descendants - Edit'!$C$2:$AK$440,'All Girls &amp; Descendants - Edit'!Z$1,FALSE)=""," - ",(VLOOKUP($C132,'All Girls &amp; Descendants - Edit'!$C$2:$AK$440,'All Girls &amp; Descendants - Edit'!Z$1,FALSE)))</f>
        <v xml:space="preserve"> - </v>
      </c>
      <c r="AA132" s="101">
        <f>IF(VLOOKUP($C132,'All Girls &amp; Descendants - Edit'!$C$2:$AK$440,'All Girls &amp; Descendants - Edit'!AA$1,FALSE)=""," - ",(VLOOKUP($C132,'All Girls &amp; Descendants - Edit'!$C$2:$AK$440,'All Girls &amp; Descendants - Edit'!AA$1,FALSE)))</f>
        <v>362</v>
      </c>
      <c r="AB132" s="101">
        <f>IF(VLOOKUP($C132,'All Girls &amp; Descendants - Edit'!$C$2:$AK$440,'All Girls &amp; Descendants - Edit'!AB$1,FALSE)=""," - ",(VLOOKUP($C132,'All Girls &amp; Descendants - Edit'!$C$2:$AK$440,'All Girls &amp; Descendants - Edit'!AB$1,FALSE)))</f>
        <v>131</v>
      </c>
      <c r="AC132" s="101">
        <f>IF(VLOOKUP($C132,'All Girls &amp; Descendants - Edit'!$C$2:$AK$440,'All Girls &amp; Descendants - Edit'!AC$1,FALSE)=""," - ",(VLOOKUP($C132,'All Girls &amp; Descendants - Edit'!$C$2:$AK$440,'All Girls &amp; Descendants - Edit'!AC$1,FALSE)))</f>
        <v>1131</v>
      </c>
      <c r="AD132" s="3" t="str">
        <f>IF(VLOOKUP($C132,'All Girls &amp; Descendants - Edit'!$C$2:$AK$440,'All Girls &amp; Descendants - Edit'!AD$1,FALSE)=""," - ",(VLOOKUP($C132,'All Girls &amp; Descendants - Edit'!$C$2:$AK$440,'All Girls &amp; Descendants - Edit'!AD$1,FALSE)))</f>
        <v>161a</v>
      </c>
      <c r="AE132" s="3" t="str">
        <f>IF(VLOOKUP($C132,'All Girls &amp; Descendants - Edit'!$C$2:$AK$440,'All Girls &amp; Descendants - Edit'!AE$1,FALSE)=""," - ",(VLOOKUP($C132,'All Girls &amp; Descendants - Edit'!$C$2:$AK$440,'All Girls &amp; Descendants - Edit'!AE$1,FALSE)))</f>
        <v>Alexia Charlotte  HAYNS (2014 - )</v>
      </c>
      <c r="AF132" s="3" t="str">
        <f>IF(VLOOKUP($C132,'All Girls &amp; Descendants - Edit'!$C$2:$AK$440,'All Girls &amp; Descendants - Edit'!AF$1,FALSE)=""," - ",(VLOOKUP($C132,'All Girls &amp; Descendants - Edit'!$C$2:$AK$440,'All Girls &amp; Descendants - Edit'!AF$1,FALSE)))</f>
        <v>Alexia HAYNS (7th &amp; 161)</v>
      </c>
      <c r="AG132" s="3" t="str">
        <f>IF(VLOOKUP($C132,'All Girls &amp; Descendants - Edit'!$C$2:$AK$440,'All Girls &amp; Descendants - Edit'!AG$1,FALSE)=""," - ",(VLOOKUP($C132,'All Girls &amp; Descendants - Edit'!$C$2:$AK$440,'All Girls &amp; Descendants - Edit'!AG$1,FALSE)))</f>
        <v>Female</v>
      </c>
      <c r="AH132" s="3" t="str">
        <f>IF(VLOOKUP($C132,'All Girls &amp; Descendants - Edit'!$C$2:$AK$440,'All Girls &amp; Descendants - Edit'!AH$1,FALSE)=""," - ",(VLOOKUP($C132,'All Girls &amp; Descendants - Edit'!$C$2:$AK$440,'All Girls &amp; Descendants - Edit'!AH$1,FALSE)))</f>
        <v>7th</v>
      </c>
      <c r="AI132" s="3" t="str">
        <f>IF(VLOOKUP($C132,'All Girls &amp; Descendants - Edit'!$C$2:$AK$440,'All Girls &amp; Descendants - Edit'!AI$1,FALSE)=""," - ",(VLOOKUP($C132,'All Girls &amp; Descendants - Edit'!$C$2:$AK$440,'All Girls &amp; Descendants - Edit'!AI$1,FALSE)))</f>
        <v>Unmarried</v>
      </c>
      <c r="AJ132" s="3" t="str">
        <f>IF(VLOOKUP($C132,'All Girls &amp; Descendants - Edit'!$C$2:$AK$440,'All Girls &amp; Descendants - Edit'!AJ$1,FALSE)=""," - ",(VLOOKUP($C132,'All Girls &amp; Descendants - Edit'!$C$2:$AK$440,'All Girls &amp; Descendants - Edit'!AJ$1,FALSE)))</f>
        <v>Female. b. 24/03/2014</v>
      </c>
      <c r="AK132" s="3" t="str">
        <f>IF(VLOOKUP($C132,'All Girls &amp; Descendants - Edit'!$C$2:$AK$440,'All Girls &amp; Descendants - Edit'!AK$1,FALSE)=""," - ",(VLOOKUP($C132,'All Girls &amp; Descendants - Edit'!$C$2:$AK$440,'All Girls &amp; Descendants - Edit'!AK$1,FALSE)))</f>
        <v>b. 24/03/2014</v>
      </c>
    </row>
    <row r="133" spans="1:37" ht="19">
      <c r="A133">
        <f>VLOOKUP(B133,'Loyd List 1-190 - Edit'!$P$1:$R$219,3,FALSE)</f>
        <v>119</v>
      </c>
      <c r="B133">
        <f>'All Girls &amp; Descendants - Edit'!B134</f>
        <v>161</v>
      </c>
      <c r="C133" s="98" t="str">
        <f>'All Girls &amp; Descendants - Edit'!C134</f>
        <v>161b</v>
      </c>
      <c r="D133" s="2" t="str">
        <f>'All Girls &amp; Descendants - Edit'!D134</f>
        <v>HAYNS</v>
      </c>
      <c r="E133" t="str">
        <f>'All Girls &amp; Descendants - Edit'!E134</f>
        <v>Edward</v>
      </c>
      <c r="F133" t="str">
        <f>IF('All Girls &amp; Descendants - Edit'!F134="","",'All Girls &amp; Descendants - Edit'!F134)</f>
        <v>Loyd</v>
      </c>
      <c r="G133" t="str">
        <f>IF('All Girls &amp; Descendants - Edit'!G134="","",'All Girls &amp; Descendants - Edit'!G134)</f>
        <v>Bickford</v>
      </c>
      <c r="H133" t="str">
        <f>IF('All Girls &amp; Descendants - Edit'!H134="","",'All Girls &amp; Descendants - Edit'!H134)</f>
        <v/>
      </c>
      <c r="I133">
        <f>VLOOKUP($C133,'All Girls &amp; Descendants - Edit'!$C$2:$AK$440,'All Girls &amp; Descendants - Edit'!I$1,FALSE)</f>
        <v>2016</v>
      </c>
      <c r="J133" t="str">
        <f>VLOOKUP($C133,'All Girls &amp; Descendants - Edit'!$C$2:$AK$440,'All Girls &amp; Descendants - Edit'!J$1,FALSE)</f>
        <v/>
      </c>
      <c r="K133" s="9"/>
      <c r="L133" t="str">
        <f>IF(M133="","",TEXT(M133,"dd/mm/yyyy"))</f>
        <v>30/09/2016</v>
      </c>
      <c r="M133" s="3">
        <f>VLOOKUP($C133,'All Girls &amp; Descendants - Edit'!$C$2:$AK$440,'All Girls &amp; Descendants - Edit'!M$1,FALSE)</f>
        <v>42643</v>
      </c>
      <c r="N133" s="3" t="str">
        <f>IF(VLOOKUP($C133,'All Girls &amp; Descendants - Edit'!$C$2:$AK$440,'All Girls &amp; Descendants - Edit'!N$1,FALSE)=""," - ",(VLOOKUP($C133,'All Girls &amp; Descendants - Edit'!$C$2:$AK$440,'All Girls &amp; Descendants - Edit'!N$1,FALSE)))</f>
        <v xml:space="preserve"> - </v>
      </c>
      <c r="O133" s="3" t="str">
        <f>IF(VLOOKUP($C133,'All Girls &amp; Descendants - Edit'!$C$2:$AK$440,'All Girls &amp; Descendants - Edit'!O$1,FALSE)="","",(VLOOKUP($C133,'All Girls &amp; Descendants - Edit'!$C$2:$AK$440,'All Girls &amp; Descendants - Edit'!O$1,FALSE)))</f>
        <v/>
      </c>
      <c r="P133" s="3" t="str">
        <f>IF(O133="","",TEXT(O133,"dd/mm/yyyy"))</f>
        <v/>
      </c>
      <c r="Q133" s="178" t="str">
        <f>MID(C133,1,LEN(C133)-1)</f>
        <v>161</v>
      </c>
      <c r="R133" s="23"/>
      <c r="S133" t="str">
        <f>VLOOKUP($C133,'All Girls &amp; Descendants - Edit'!$C$2:$AK$440,'All Girls &amp; Descendants - Edit'!S$1,FALSE)</f>
        <v>Male</v>
      </c>
      <c r="T133" s="176">
        <f t="shared" si="17"/>
        <v>7</v>
      </c>
      <c r="U133" s="176">
        <f>LEN(C133)</f>
        <v>4</v>
      </c>
      <c r="V133" s="176">
        <f>VLOOKUP(B133,Generation,2,FALSE)</f>
        <v>6</v>
      </c>
      <c r="W133" s="177">
        <f>IF(LEN(C133)-IF(B133&lt;10,1,IF(AND(B133&gt;9,B133&lt;100),2,3))=1,1,IF(LEN(C133)-IF(B133&lt;10,1,IF(AND(B133&gt;9,B133&lt;100),2,3))=0,"SELF",LEN(C133)-IF(B133&lt;10,1,IF(AND(B133&gt;9,B133&lt;100),2,3))))</f>
        <v>1</v>
      </c>
      <c r="X133" s="3" t="str">
        <f>IF(VLOOKUP($C133,'All Girls &amp; Descendants - Edit'!$C$2:$AK$440,'All Girls &amp; Descendants - Edit'!X$1,FALSE)=""," - ",(VLOOKUP($C133,'All Girls &amp; Descendants - Edit'!$C$2:$AK$440,'All Girls &amp; Descendants - Edit'!X$1,FALSE)))</f>
        <v xml:space="preserve"> - </v>
      </c>
      <c r="Y133" s="3" t="str">
        <f>IF(VLOOKUP($C133,'All Girls &amp; Descendants - Edit'!$C$2:$AK$440,'All Girls &amp; Descendants - Edit'!Y$1,FALSE)=""," - ",(VLOOKUP($C133,'All Girls &amp; Descendants - Edit'!$C$2:$AK$440,'All Girls &amp; Descendants - Edit'!Y$1,FALSE)))</f>
        <v xml:space="preserve"> - </v>
      </c>
      <c r="Z133" s="3" t="str">
        <f>IF(VLOOKUP($C133,'All Girls &amp; Descendants - Edit'!$C$2:$AK$440,'All Girls &amp; Descendants - Edit'!Z$1,FALSE)=""," - ",(VLOOKUP($C133,'All Girls &amp; Descendants - Edit'!$C$2:$AK$440,'All Girls &amp; Descendants - Edit'!Z$1,FALSE)))</f>
        <v xml:space="preserve"> - </v>
      </c>
      <c r="AA133" s="101">
        <f>IF(VLOOKUP($C133,'All Girls &amp; Descendants - Edit'!$C$2:$AK$440,'All Girls &amp; Descendants - Edit'!AA$1,FALSE)=""," - ",(VLOOKUP($C133,'All Girls &amp; Descendants - Edit'!$C$2:$AK$440,'All Girls &amp; Descendants - Edit'!AA$1,FALSE)))</f>
        <v>363</v>
      </c>
      <c r="AB133" s="101">
        <f>IF(VLOOKUP($C133,'All Girls &amp; Descendants - Edit'!$C$2:$AK$440,'All Girls &amp; Descendants - Edit'!AB$1,FALSE)=""," - ",(VLOOKUP($C133,'All Girls &amp; Descendants - Edit'!$C$2:$AK$440,'All Girls &amp; Descendants - Edit'!AB$1,FALSE)))</f>
        <v>132</v>
      </c>
      <c r="AC133" s="101">
        <f>IF(VLOOKUP($C133,'All Girls &amp; Descendants - Edit'!$C$2:$AK$440,'All Girls &amp; Descendants - Edit'!AC$1,FALSE)=""," - ",(VLOOKUP($C133,'All Girls &amp; Descendants - Edit'!$C$2:$AK$440,'All Girls &amp; Descendants - Edit'!AC$1,FALSE)))</f>
        <v>1132</v>
      </c>
      <c r="AD133" s="3" t="str">
        <f>IF(VLOOKUP($C133,'All Girls &amp; Descendants - Edit'!$C$2:$AK$440,'All Girls &amp; Descendants - Edit'!AD$1,FALSE)=""," - ",(VLOOKUP($C133,'All Girls &amp; Descendants - Edit'!$C$2:$AK$440,'All Girls &amp; Descendants - Edit'!AD$1,FALSE)))</f>
        <v>161b</v>
      </c>
      <c r="AE133" s="3" t="str">
        <f>IF(VLOOKUP($C133,'All Girls &amp; Descendants - Edit'!$C$2:$AK$440,'All Girls &amp; Descendants - Edit'!AE$1,FALSE)=""," - ",(VLOOKUP($C133,'All Girls &amp; Descendants - Edit'!$C$2:$AK$440,'All Girls &amp; Descendants - Edit'!AE$1,FALSE)))</f>
        <v>Edward Loyd Bickford HAYNS (2016 - )</v>
      </c>
      <c r="AF133" s="3" t="str">
        <f>IF(VLOOKUP($C133,'All Girls &amp; Descendants - Edit'!$C$2:$AK$440,'All Girls &amp; Descendants - Edit'!AF$1,FALSE)=""," - ",(VLOOKUP($C133,'All Girls &amp; Descendants - Edit'!$C$2:$AK$440,'All Girls &amp; Descendants - Edit'!AF$1,FALSE)))</f>
        <v>Edward HAYNS (7th &amp; 161)</v>
      </c>
      <c r="AG133" s="3" t="str">
        <f>IF(VLOOKUP($C133,'All Girls &amp; Descendants - Edit'!$C$2:$AK$440,'All Girls &amp; Descendants - Edit'!AG$1,FALSE)=""," - ",(VLOOKUP($C133,'All Girls &amp; Descendants - Edit'!$C$2:$AK$440,'All Girls &amp; Descendants - Edit'!AG$1,FALSE)))</f>
        <v>Male</v>
      </c>
      <c r="AH133" s="3" t="str">
        <f>IF(VLOOKUP($C133,'All Girls &amp; Descendants - Edit'!$C$2:$AK$440,'All Girls &amp; Descendants - Edit'!AH$1,FALSE)=""," - ",(VLOOKUP($C133,'All Girls &amp; Descendants - Edit'!$C$2:$AK$440,'All Girls &amp; Descendants - Edit'!AH$1,FALSE)))</f>
        <v>7th</v>
      </c>
      <c r="AI133" s="3" t="str">
        <f>IF(VLOOKUP($C133,'All Girls &amp; Descendants - Edit'!$C$2:$AK$440,'All Girls &amp; Descendants - Edit'!AI$1,FALSE)=""," - ",(VLOOKUP($C133,'All Girls &amp; Descendants - Edit'!$C$2:$AK$440,'All Girls &amp; Descendants - Edit'!AI$1,FALSE)))</f>
        <v>Unmarried</v>
      </c>
      <c r="AJ133" s="3" t="str">
        <f>IF(VLOOKUP($C133,'All Girls &amp; Descendants - Edit'!$C$2:$AK$440,'All Girls &amp; Descendants - Edit'!AJ$1,FALSE)=""," - ",(VLOOKUP($C133,'All Girls &amp; Descendants - Edit'!$C$2:$AK$440,'All Girls &amp; Descendants - Edit'!AJ$1,FALSE)))</f>
        <v>Male. b. 30/09/2016</v>
      </c>
      <c r="AK133" s="3" t="str">
        <f>IF(VLOOKUP($C133,'All Girls &amp; Descendants - Edit'!$C$2:$AK$440,'All Girls &amp; Descendants - Edit'!AK$1,FALSE)=""," - ",(VLOOKUP($C133,'All Girls &amp; Descendants - Edit'!$C$2:$AK$440,'All Girls &amp; Descendants - Edit'!AK$1,FALSE)))</f>
        <v>b. 30/09/2016</v>
      </c>
    </row>
    <row r="134" spans="1:37" ht="19">
      <c r="A134">
        <f>VLOOKUP(B134,'Loyd List 1-190 - Edit'!$P$1:$R$219,3,FALSE)</f>
        <v>119</v>
      </c>
      <c r="B134">
        <f>'All Girls &amp; Descendants - Edit'!B135</f>
        <v>163</v>
      </c>
      <c r="C134" s="98" t="str">
        <f>'All Girls &amp; Descendants - Edit'!C135</f>
        <v>163a</v>
      </c>
      <c r="D134" s="2" t="str">
        <f>'All Girls &amp; Descendants - Edit'!D135</f>
        <v>DINSMORE</v>
      </c>
      <c r="E134" t="str">
        <f>'All Girls &amp; Descendants - Edit'!E135</f>
        <v xml:space="preserve">
Thomas</v>
      </c>
      <c r="F134" t="str">
        <f>IF('All Girls &amp; Descendants - Edit'!F135="","",'All Girls &amp; Descendants - Edit'!F135)</f>
        <v>Stephen</v>
      </c>
      <c r="G134" t="str">
        <f>IF('All Girls &amp; Descendants - Edit'!G135="","",'All Girls &amp; Descendants - Edit'!G135)</f>
        <v/>
      </c>
      <c r="H134" t="str">
        <f>IF('All Girls &amp; Descendants - Edit'!H135="","",'All Girls &amp; Descendants - Edit'!H135)</f>
        <v/>
      </c>
      <c r="I134">
        <f>VLOOKUP($C134,'All Girls &amp; Descendants - Edit'!$C$2:$AK$440,'All Girls &amp; Descendants - Edit'!I$1,FALSE)</f>
        <v>2012</v>
      </c>
      <c r="J134" t="str">
        <f>VLOOKUP($C134,'All Girls &amp; Descendants - Edit'!$C$2:$AK$440,'All Girls &amp; Descendants - Edit'!J$1,FALSE)</f>
        <v/>
      </c>
      <c r="K134" s="9"/>
      <c r="L134" t="str">
        <f t="shared" ref="L134:L198" si="18">IF(M134="","",TEXT(M134,"dd/mm/yyyy"))</f>
        <v>17/09/2012</v>
      </c>
      <c r="M134" s="3">
        <f>VLOOKUP($C134,'All Girls &amp; Descendants - Edit'!$C$2:$AK$440,'All Girls &amp; Descendants - Edit'!M$1,FALSE)</f>
        <v>41169</v>
      </c>
      <c r="N134" s="3" t="str">
        <f>IF(VLOOKUP($C134,'All Girls &amp; Descendants - Edit'!$C$2:$AK$440,'All Girls &amp; Descendants - Edit'!N$1,FALSE)=""," - ",(VLOOKUP($C134,'All Girls &amp; Descendants - Edit'!$C$2:$AK$440,'All Girls &amp; Descendants - Edit'!N$1,FALSE)))</f>
        <v xml:space="preserve"> - </v>
      </c>
      <c r="O134" s="3" t="str">
        <f>IF(VLOOKUP($C134,'All Girls &amp; Descendants - Edit'!$C$2:$AK$440,'All Girls &amp; Descendants - Edit'!O$1,FALSE)="","",(VLOOKUP($C134,'All Girls &amp; Descendants - Edit'!$C$2:$AK$440,'All Girls &amp; Descendants - Edit'!O$1,FALSE)))</f>
        <v/>
      </c>
      <c r="P134" s="3" t="str">
        <f t="shared" ref="P134:P198" si="19">IF(O134="","",TEXT(O134,"dd/mm/yyyy"))</f>
        <v/>
      </c>
      <c r="Q134" s="178" t="str">
        <f t="shared" ref="Q134:Q198" si="20">MID(C134,1,LEN(C134)-1)</f>
        <v>163</v>
      </c>
      <c r="R134" s="23"/>
      <c r="S134" t="str">
        <f>VLOOKUP($C134,'All Girls &amp; Descendants - Edit'!$C$2:$AK$440,'All Girls &amp; Descendants - Edit'!S$1,FALSE)</f>
        <v>Male</v>
      </c>
      <c r="T134" s="176">
        <f t="shared" si="17"/>
        <v>7</v>
      </c>
      <c r="U134" s="176">
        <f t="shared" ref="U134:U198" si="21">LEN(C134)</f>
        <v>4</v>
      </c>
      <c r="V134" s="176">
        <f t="shared" ref="V134:V198" si="22">VLOOKUP(B134,Generation,2,FALSE)</f>
        <v>6</v>
      </c>
      <c r="W134" s="177">
        <f t="shared" ref="W134:W198" si="23">IF(LEN(C134)-IF(B134&lt;10,1,IF(AND(B134&gt;9,B134&lt;100),2,3))=1,1,IF(LEN(C134)-IF(B134&lt;10,1,IF(AND(B134&gt;9,B134&lt;100),2,3))=0,"SELF",LEN(C134)-IF(B134&lt;10,1,IF(AND(B134&gt;9,B134&lt;100),2,3))))</f>
        <v>1</v>
      </c>
      <c r="X134" s="3" t="str">
        <f>IF(VLOOKUP($C134,'All Girls &amp; Descendants - Edit'!$C$2:$AK$440,'All Girls &amp; Descendants - Edit'!X$1,FALSE)=""," - ",(VLOOKUP($C134,'All Girls &amp; Descendants - Edit'!$C$2:$AK$440,'All Girls &amp; Descendants - Edit'!X$1,FALSE)))</f>
        <v xml:space="preserve"> - </v>
      </c>
      <c r="Y134" s="3" t="str">
        <f>IF(VLOOKUP($C134,'All Girls &amp; Descendants - Edit'!$C$2:$AK$440,'All Girls &amp; Descendants - Edit'!Y$1,FALSE)=""," - ",(VLOOKUP($C134,'All Girls &amp; Descendants - Edit'!$C$2:$AK$440,'All Girls &amp; Descendants - Edit'!Y$1,FALSE)))</f>
        <v xml:space="preserve"> - </v>
      </c>
      <c r="Z134" s="3" t="str">
        <f>IF(VLOOKUP($C134,'All Girls &amp; Descendants - Edit'!$C$2:$AK$440,'All Girls &amp; Descendants - Edit'!Z$1,FALSE)=""," - ",(VLOOKUP($C134,'All Girls &amp; Descendants - Edit'!$C$2:$AK$440,'All Girls &amp; Descendants - Edit'!Z$1,FALSE)))</f>
        <v xml:space="preserve"> - </v>
      </c>
      <c r="AA134" s="101" t="str">
        <f>IF(VLOOKUP($C134,'All Girls &amp; Descendants - Edit'!$C$2:$AK$440,'All Girls &amp; Descendants - Edit'!AA$1,FALSE)=""," - ",(VLOOKUP($C134,'All Girls &amp; Descendants - Edit'!$C$2:$AK$440,'All Girls &amp; Descendants - Edit'!AA$1,FALSE)))</f>
        <v xml:space="preserve"> - </v>
      </c>
      <c r="AB134" s="101">
        <f>IF(VLOOKUP($C134,'All Girls &amp; Descendants - Edit'!$C$2:$AK$440,'All Girls &amp; Descendants - Edit'!AB$1,FALSE)=""," - ",(VLOOKUP($C134,'All Girls &amp; Descendants - Edit'!$C$2:$AK$440,'All Girls &amp; Descendants - Edit'!AB$1,FALSE)))</f>
        <v>133</v>
      </c>
      <c r="AC134" s="101">
        <f>IF(VLOOKUP($C134,'All Girls &amp; Descendants - Edit'!$C$2:$AK$440,'All Girls &amp; Descendants - Edit'!AC$1,FALSE)=""," - ",(VLOOKUP($C134,'All Girls &amp; Descendants - Edit'!$C$2:$AK$440,'All Girls &amp; Descendants - Edit'!AC$1,FALSE)))</f>
        <v>1133</v>
      </c>
      <c r="AD134" s="3" t="str">
        <f>IF(VLOOKUP($C134,'All Girls &amp; Descendants - Edit'!$C$2:$AK$440,'All Girls &amp; Descendants - Edit'!AD$1,FALSE)=""," - ",(VLOOKUP($C134,'All Girls &amp; Descendants - Edit'!$C$2:$AK$440,'All Girls &amp; Descendants - Edit'!AD$1,FALSE)))</f>
        <v>163a</v>
      </c>
      <c r="AE134" s="3" t="str">
        <f>IF(VLOOKUP($C134,'All Girls &amp; Descendants - Edit'!$C$2:$AK$440,'All Girls &amp; Descendants - Edit'!AE$1,FALSE)=""," - ",(VLOOKUP($C134,'All Girls &amp; Descendants - Edit'!$C$2:$AK$440,'All Girls &amp; Descendants - Edit'!AE$1,FALSE)))</f>
        <v xml:space="preserve">
Thomas Stephen  DINSMORE (2012 - )</v>
      </c>
      <c r="AF134" s="3" t="str">
        <f>IF(VLOOKUP($C134,'All Girls &amp; Descendants - Edit'!$C$2:$AK$440,'All Girls &amp; Descendants - Edit'!AF$1,FALSE)=""," - ",(VLOOKUP($C134,'All Girls &amp; Descendants - Edit'!$C$2:$AK$440,'All Girls &amp; Descendants - Edit'!AF$1,FALSE)))</f>
        <v xml:space="preserve">
Thomas DINSMORE (7th &amp; 163)</v>
      </c>
      <c r="AG134" s="3" t="str">
        <f>IF(VLOOKUP($C134,'All Girls &amp; Descendants - Edit'!$C$2:$AK$440,'All Girls &amp; Descendants - Edit'!AG$1,FALSE)=""," - ",(VLOOKUP($C134,'All Girls &amp; Descendants - Edit'!$C$2:$AK$440,'All Girls &amp; Descendants - Edit'!AG$1,FALSE)))</f>
        <v>Male</v>
      </c>
      <c r="AH134" s="3" t="str">
        <f>IF(VLOOKUP($C134,'All Girls &amp; Descendants - Edit'!$C$2:$AK$440,'All Girls &amp; Descendants - Edit'!AH$1,FALSE)=""," - ",(VLOOKUP($C134,'All Girls &amp; Descendants - Edit'!$C$2:$AK$440,'All Girls &amp; Descendants - Edit'!AH$1,FALSE)))</f>
        <v>7th</v>
      </c>
      <c r="AI134" s="3" t="str">
        <f>IF(VLOOKUP($C134,'All Girls &amp; Descendants - Edit'!$C$2:$AK$440,'All Girls &amp; Descendants - Edit'!AI$1,FALSE)=""," - ",(VLOOKUP($C134,'All Girls &amp; Descendants - Edit'!$C$2:$AK$440,'All Girls &amp; Descendants - Edit'!AI$1,FALSE)))</f>
        <v>Unmarried</v>
      </c>
      <c r="AJ134" s="3" t="str">
        <f>IF(VLOOKUP($C134,'All Girls &amp; Descendants - Edit'!$C$2:$AK$440,'All Girls &amp; Descendants - Edit'!AJ$1,FALSE)=""," - ",(VLOOKUP($C134,'All Girls &amp; Descendants - Edit'!$C$2:$AK$440,'All Girls &amp; Descendants - Edit'!AJ$1,FALSE)))</f>
        <v>Male. b. 17/09/2012</v>
      </c>
      <c r="AK134" s="3" t="str">
        <f>IF(VLOOKUP($C134,'All Girls &amp; Descendants - Edit'!$C$2:$AK$440,'All Girls &amp; Descendants - Edit'!AK$1,FALSE)=""," - ",(VLOOKUP($C134,'All Girls &amp; Descendants - Edit'!$C$2:$AK$440,'All Girls &amp; Descendants - Edit'!AK$1,FALSE)))</f>
        <v>b. 17/09/2012</v>
      </c>
    </row>
    <row r="135" spans="1:37" ht="19">
      <c r="A135">
        <f>VLOOKUP(B135,'Loyd List 1-190 - Edit'!$P$1:$R$219,3,FALSE)</f>
        <v>119</v>
      </c>
      <c r="B135">
        <f>'All Girls &amp; Descendants - Edit'!B136</f>
        <v>163</v>
      </c>
      <c r="C135" s="98" t="str">
        <f>'All Girls &amp; Descendants - Edit'!C136</f>
        <v>163b</v>
      </c>
      <c r="D135" s="2" t="str">
        <f>'All Girls &amp; Descendants - Edit'!D136</f>
        <v>DINSMORE</v>
      </c>
      <c r="E135" t="str">
        <f>'All Girls &amp; Descendants - Edit'!E136</f>
        <v>Mary</v>
      </c>
      <c r="F135" t="str">
        <f>IF('All Girls &amp; Descendants - Edit'!F136="","",'All Girls &amp; Descendants - Edit'!F136)</f>
        <v xml:space="preserve">Charlotte </v>
      </c>
      <c r="G135" t="str">
        <f>IF('All Girls &amp; Descendants - Edit'!G136="","",'All Girls &amp; Descendants - Edit'!G136)</f>
        <v/>
      </c>
      <c r="H135" t="str">
        <f>IF('All Girls &amp; Descendants - Edit'!H136="","",'All Girls &amp; Descendants - Edit'!H136)</f>
        <v/>
      </c>
      <c r="I135">
        <f>VLOOKUP($C135,'All Girls &amp; Descendants - Edit'!$C$2:$AK$440,'All Girls &amp; Descendants - Edit'!I$1,FALSE)</f>
        <v>2014</v>
      </c>
      <c r="J135" t="str">
        <f>VLOOKUP($C135,'All Girls &amp; Descendants - Edit'!$C$2:$AK$440,'All Girls &amp; Descendants - Edit'!J$1,FALSE)</f>
        <v/>
      </c>
      <c r="K135" s="9"/>
      <c r="L135" t="str">
        <f t="shared" si="18"/>
        <v>20/10/2014</v>
      </c>
      <c r="M135" s="3">
        <f>VLOOKUP($C135,'All Girls &amp; Descendants - Edit'!$C$2:$AK$440,'All Girls &amp; Descendants - Edit'!M$1,FALSE)</f>
        <v>41932</v>
      </c>
      <c r="N135" s="3" t="str">
        <f>IF(VLOOKUP($C135,'All Girls &amp; Descendants - Edit'!$C$2:$AK$440,'All Girls &amp; Descendants - Edit'!N$1,FALSE)=""," - ",(VLOOKUP($C135,'All Girls &amp; Descendants - Edit'!$C$2:$AK$440,'All Girls &amp; Descendants - Edit'!N$1,FALSE)))</f>
        <v xml:space="preserve"> - </v>
      </c>
      <c r="O135" s="3" t="str">
        <f>IF(VLOOKUP($C135,'All Girls &amp; Descendants - Edit'!$C$2:$AK$440,'All Girls &amp; Descendants - Edit'!O$1,FALSE)="","",(VLOOKUP($C135,'All Girls &amp; Descendants - Edit'!$C$2:$AK$440,'All Girls &amp; Descendants - Edit'!O$1,FALSE)))</f>
        <v/>
      </c>
      <c r="P135" s="3" t="str">
        <f t="shared" si="19"/>
        <v/>
      </c>
      <c r="Q135" s="178" t="str">
        <f t="shared" si="20"/>
        <v>163</v>
      </c>
      <c r="R135" s="23"/>
      <c r="S135" t="str">
        <f>VLOOKUP($C135,'All Girls &amp; Descendants - Edit'!$C$2:$AK$440,'All Girls &amp; Descendants - Edit'!S$1,FALSE)</f>
        <v>Female</v>
      </c>
      <c r="T135" s="176">
        <f t="shared" si="17"/>
        <v>7</v>
      </c>
      <c r="U135" s="176">
        <f t="shared" si="21"/>
        <v>4</v>
      </c>
      <c r="V135" s="176">
        <f t="shared" si="22"/>
        <v>6</v>
      </c>
      <c r="W135" s="177">
        <f t="shared" si="23"/>
        <v>1</v>
      </c>
      <c r="X135" s="3" t="str">
        <f>IF(VLOOKUP($C135,'All Girls &amp; Descendants - Edit'!$C$2:$AK$440,'All Girls &amp; Descendants - Edit'!X$1,FALSE)=""," - ",(VLOOKUP($C135,'All Girls &amp; Descendants - Edit'!$C$2:$AK$440,'All Girls &amp; Descendants - Edit'!X$1,FALSE)))</f>
        <v xml:space="preserve"> - </v>
      </c>
      <c r="Y135" s="3" t="str">
        <f>IF(VLOOKUP($C135,'All Girls &amp; Descendants - Edit'!$C$2:$AK$440,'All Girls &amp; Descendants - Edit'!Y$1,FALSE)=""," - ",(VLOOKUP($C135,'All Girls &amp; Descendants - Edit'!$C$2:$AK$440,'All Girls &amp; Descendants - Edit'!Y$1,FALSE)))</f>
        <v xml:space="preserve"> - </v>
      </c>
      <c r="Z135" s="3" t="str">
        <f>IF(VLOOKUP($C135,'All Girls &amp; Descendants - Edit'!$C$2:$AK$440,'All Girls &amp; Descendants - Edit'!Z$1,FALSE)=""," - ",(VLOOKUP($C135,'All Girls &amp; Descendants - Edit'!$C$2:$AK$440,'All Girls &amp; Descendants - Edit'!Z$1,FALSE)))</f>
        <v xml:space="preserve"> - </v>
      </c>
      <c r="AA135" s="101" t="str">
        <f>IF(VLOOKUP($C135,'All Girls &amp; Descendants - Edit'!$C$2:$AK$440,'All Girls &amp; Descendants - Edit'!AA$1,FALSE)=""," - ",(VLOOKUP($C135,'All Girls &amp; Descendants - Edit'!$C$2:$AK$440,'All Girls &amp; Descendants - Edit'!AA$1,FALSE)))</f>
        <v xml:space="preserve"> - </v>
      </c>
      <c r="AB135" s="101">
        <f>IF(VLOOKUP($C135,'All Girls &amp; Descendants - Edit'!$C$2:$AK$440,'All Girls &amp; Descendants - Edit'!AB$1,FALSE)=""," - ",(VLOOKUP($C135,'All Girls &amp; Descendants - Edit'!$C$2:$AK$440,'All Girls &amp; Descendants - Edit'!AB$1,FALSE)))</f>
        <v>134</v>
      </c>
      <c r="AC135" s="101">
        <f>IF(VLOOKUP($C135,'All Girls &amp; Descendants - Edit'!$C$2:$AK$440,'All Girls &amp; Descendants - Edit'!AC$1,FALSE)=""," - ",(VLOOKUP($C135,'All Girls &amp; Descendants - Edit'!$C$2:$AK$440,'All Girls &amp; Descendants - Edit'!AC$1,FALSE)))</f>
        <v>1134</v>
      </c>
      <c r="AD135" s="3" t="str">
        <f>IF(VLOOKUP($C135,'All Girls &amp; Descendants - Edit'!$C$2:$AK$440,'All Girls &amp; Descendants - Edit'!AD$1,FALSE)=""," - ",(VLOOKUP($C135,'All Girls &amp; Descendants - Edit'!$C$2:$AK$440,'All Girls &amp; Descendants - Edit'!AD$1,FALSE)))</f>
        <v>163b</v>
      </c>
      <c r="AE135" s="3" t="str">
        <f>IF(VLOOKUP($C135,'All Girls &amp; Descendants - Edit'!$C$2:$AK$440,'All Girls &amp; Descendants - Edit'!AE$1,FALSE)=""," - ",(VLOOKUP($C135,'All Girls &amp; Descendants - Edit'!$C$2:$AK$440,'All Girls &amp; Descendants - Edit'!AE$1,FALSE)))</f>
        <v>Mary Charlotte   DINSMORE (2014 - )</v>
      </c>
      <c r="AF135" s="3" t="str">
        <f>IF(VLOOKUP($C135,'All Girls &amp; Descendants - Edit'!$C$2:$AK$440,'All Girls &amp; Descendants - Edit'!AF$1,FALSE)=""," - ",(VLOOKUP($C135,'All Girls &amp; Descendants - Edit'!$C$2:$AK$440,'All Girls &amp; Descendants - Edit'!AF$1,FALSE)))</f>
        <v>Mary DINSMORE (7th &amp; 163)</v>
      </c>
      <c r="AG135" s="3" t="str">
        <f>IF(VLOOKUP($C135,'All Girls &amp; Descendants - Edit'!$C$2:$AK$440,'All Girls &amp; Descendants - Edit'!AG$1,FALSE)=""," - ",(VLOOKUP($C135,'All Girls &amp; Descendants - Edit'!$C$2:$AK$440,'All Girls &amp; Descendants - Edit'!AG$1,FALSE)))</f>
        <v>Female</v>
      </c>
      <c r="AH135" s="3" t="str">
        <f>IF(VLOOKUP($C135,'All Girls &amp; Descendants - Edit'!$C$2:$AK$440,'All Girls &amp; Descendants - Edit'!AH$1,FALSE)=""," - ",(VLOOKUP($C135,'All Girls &amp; Descendants - Edit'!$C$2:$AK$440,'All Girls &amp; Descendants - Edit'!AH$1,FALSE)))</f>
        <v>7th</v>
      </c>
      <c r="AI135" s="3" t="str">
        <f>IF(VLOOKUP($C135,'All Girls &amp; Descendants - Edit'!$C$2:$AK$440,'All Girls &amp; Descendants - Edit'!AI$1,FALSE)=""," - ",(VLOOKUP($C135,'All Girls &amp; Descendants - Edit'!$C$2:$AK$440,'All Girls &amp; Descendants - Edit'!AI$1,FALSE)))</f>
        <v>Unmarried</v>
      </c>
      <c r="AJ135" s="3" t="str">
        <f>IF(VLOOKUP($C135,'All Girls &amp; Descendants - Edit'!$C$2:$AK$440,'All Girls &amp; Descendants - Edit'!AJ$1,FALSE)=""," - ",(VLOOKUP($C135,'All Girls &amp; Descendants - Edit'!$C$2:$AK$440,'All Girls &amp; Descendants - Edit'!AJ$1,FALSE)))</f>
        <v>Female. b. 20/10/2014</v>
      </c>
      <c r="AK135" s="3" t="str">
        <f>IF(VLOOKUP($C135,'All Girls &amp; Descendants - Edit'!$C$2:$AK$440,'All Girls &amp; Descendants - Edit'!AK$1,FALSE)=""," - ",(VLOOKUP($C135,'All Girls &amp; Descendants - Edit'!$C$2:$AK$440,'All Girls &amp; Descendants - Edit'!AK$1,FALSE)))</f>
        <v>b. 20/10/2014</v>
      </c>
    </row>
    <row r="136" spans="1:37" ht="19">
      <c r="A136">
        <f>VLOOKUP(B136,'Loyd List 1-190 - Edit'!$P$1:$R$219,3,FALSE)</f>
        <v>136</v>
      </c>
      <c r="B136">
        <f>'All Girls &amp; Descendants - Edit'!B137</f>
        <v>164</v>
      </c>
      <c r="C136" s="98" t="str">
        <f>'All Girls &amp; Descendants - Edit'!C137</f>
        <v>164a</v>
      </c>
      <c r="D136" s="2" t="str">
        <f>'All Girls &amp; Descendants - Edit'!D137</f>
        <v>LEASK</v>
      </c>
      <c r="E136" t="str">
        <f>'All Girls &amp; Descendants - Edit'!E137</f>
        <v>Fredrick</v>
      </c>
      <c r="F136" t="str">
        <f>IF('All Girls &amp; Descendants - Edit'!F137="","",'All Girls &amp; Descendants - Edit'!F137)</f>
        <v>Peter</v>
      </c>
      <c r="G136" t="str">
        <f>IF('All Girls &amp; Descendants - Edit'!G137="","",'All Girls &amp; Descendants - Edit'!G137)</f>
        <v>Loyd</v>
      </c>
      <c r="H136" t="str">
        <f>IF('All Girls &amp; Descendants - Edit'!H137="","",'All Girls &amp; Descendants - Edit'!H137)</f>
        <v>Freddie</v>
      </c>
      <c r="I136">
        <f>VLOOKUP($C136,'All Girls &amp; Descendants - Edit'!$C$2:$AK$440,'All Girls &amp; Descendants - Edit'!I$1,FALSE)</f>
        <v>2016</v>
      </c>
      <c r="J136" t="str">
        <f>VLOOKUP($C136,'All Girls &amp; Descendants - Edit'!$C$2:$AK$440,'All Girls &amp; Descendants - Edit'!J$1,FALSE)</f>
        <v/>
      </c>
      <c r="K136" s="9"/>
      <c r="L136" t="str">
        <f t="shared" si="18"/>
        <v>16/05/2016</v>
      </c>
      <c r="M136" s="3">
        <f>VLOOKUP($C136,'All Girls &amp; Descendants - Edit'!$C$2:$AK$440,'All Girls &amp; Descendants - Edit'!M$1,FALSE)</f>
        <v>42506</v>
      </c>
      <c r="N136" s="3" t="str">
        <f>IF(VLOOKUP($C136,'All Girls &amp; Descendants - Edit'!$C$2:$AK$440,'All Girls &amp; Descendants - Edit'!N$1,FALSE)=""," - ",(VLOOKUP($C136,'All Girls &amp; Descendants - Edit'!$C$2:$AK$440,'All Girls &amp; Descendants - Edit'!N$1,FALSE)))</f>
        <v xml:space="preserve"> - </v>
      </c>
      <c r="O136" s="3" t="str">
        <f>IF(VLOOKUP($C136,'All Girls &amp; Descendants - Edit'!$C$2:$AK$440,'All Girls &amp; Descendants - Edit'!O$1,FALSE)="","",(VLOOKUP($C136,'All Girls &amp; Descendants - Edit'!$C$2:$AK$440,'All Girls &amp; Descendants - Edit'!O$1,FALSE)))</f>
        <v/>
      </c>
      <c r="P136" s="3" t="str">
        <f t="shared" si="19"/>
        <v/>
      </c>
      <c r="Q136" s="178" t="str">
        <f t="shared" si="20"/>
        <v>164</v>
      </c>
      <c r="R136" s="23"/>
      <c r="S136" t="str">
        <f>VLOOKUP($C136,'All Girls &amp; Descendants - Edit'!$C$2:$AK$440,'All Girls &amp; Descendants - Edit'!S$1,FALSE)</f>
        <v>Male</v>
      </c>
      <c r="T136" s="176">
        <f t="shared" si="17"/>
        <v>8</v>
      </c>
      <c r="U136" s="176">
        <f t="shared" si="21"/>
        <v>4</v>
      </c>
      <c r="V136" s="176">
        <f t="shared" si="22"/>
        <v>7</v>
      </c>
      <c r="W136" s="177">
        <f t="shared" si="23"/>
        <v>1</v>
      </c>
      <c r="X136" s="3" t="str">
        <f>IF(VLOOKUP($C136,'All Girls &amp; Descendants - Edit'!$C$2:$AK$440,'All Girls &amp; Descendants - Edit'!X$1,FALSE)=""," - ",(VLOOKUP($C136,'All Girls &amp; Descendants - Edit'!$C$2:$AK$440,'All Girls &amp; Descendants - Edit'!X$1,FALSE)))</f>
        <v xml:space="preserve"> - </v>
      </c>
      <c r="Y136" s="3" t="str">
        <f>IF(VLOOKUP($C136,'All Girls &amp; Descendants - Edit'!$C$2:$AK$440,'All Girls &amp; Descendants - Edit'!Y$1,FALSE)=""," - ",(VLOOKUP($C136,'All Girls &amp; Descendants - Edit'!$C$2:$AK$440,'All Girls &amp; Descendants - Edit'!Y$1,FALSE)))</f>
        <v xml:space="preserve"> - </v>
      </c>
      <c r="Z136" s="3" t="str">
        <f>IF(VLOOKUP($C136,'All Girls &amp; Descendants - Edit'!$C$2:$AK$440,'All Girls &amp; Descendants - Edit'!Z$1,FALSE)=""," - ",(VLOOKUP($C136,'All Girls &amp; Descendants - Edit'!$C$2:$AK$440,'All Girls &amp; Descendants - Edit'!Z$1,FALSE)))</f>
        <v>Born at Lincoln County Hospital</v>
      </c>
      <c r="AA136" s="101">
        <f>IF(VLOOKUP($C136,'All Girls &amp; Descendants - Edit'!$C$2:$AK$440,'All Girls &amp; Descendants - Edit'!AA$1,FALSE)=""," - ",(VLOOKUP($C136,'All Girls &amp; Descendants - Edit'!$C$2:$AK$440,'All Girls &amp; Descendants - Edit'!AA$1,FALSE)))</f>
        <v>364</v>
      </c>
      <c r="AB136" s="101">
        <f>IF(VLOOKUP($C136,'All Girls &amp; Descendants - Edit'!$C$2:$AK$440,'All Girls &amp; Descendants - Edit'!AB$1,FALSE)=""," - ",(VLOOKUP($C136,'All Girls &amp; Descendants - Edit'!$C$2:$AK$440,'All Girls &amp; Descendants - Edit'!AB$1,FALSE)))</f>
        <v>135</v>
      </c>
      <c r="AC136" s="101">
        <f>IF(VLOOKUP($C136,'All Girls &amp; Descendants - Edit'!$C$2:$AK$440,'All Girls &amp; Descendants - Edit'!AC$1,FALSE)=""," - ",(VLOOKUP($C136,'All Girls &amp; Descendants - Edit'!$C$2:$AK$440,'All Girls &amp; Descendants - Edit'!AC$1,FALSE)))</f>
        <v>1135</v>
      </c>
      <c r="AD136" s="3" t="str">
        <f>IF(VLOOKUP($C136,'All Girls &amp; Descendants - Edit'!$C$2:$AK$440,'All Girls &amp; Descendants - Edit'!AD$1,FALSE)=""," - ",(VLOOKUP($C136,'All Girls &amp; Descendants - Edit'!$C$2:$AK$440,'All Girls &amp; Descendants - Edit'!AD$1,FALSE)))</f>
        <v>164a</v>
      </c>
      <c r="AE136" s="3" t="str">
        <f>IF(VLOOKUP($C136,'All Girls &amp; Descendants - Edit'!$C$2:$AK$440,'All Girls &amp; Descendants - Edit'!AE$1,FALSE)=""," - ",(VLOOKUP($C136,'All Girls &amp; Descendants - Edit'!$C$2:$AK$440,'All Girls &amp; Descendants - Edit'!AE$1,FALSE)))</f>
        <v>Fredrick Peter Loyd LEASK (2016 - )</v>
      </c>
      <c r="AF136" s="3" t="str">
        <f>IF(VLOOKUP($C136,'All Girls &amp; Descendants - Edit'!$C$2:$AK$440,'All Girls &amp; Descendants - Edit'!AF$1,FALSE)=""," - ",(VLOOKUP($C136,'All Girls &amp; Descendants - Edit'!$C$2:$AK$440,'All Girls &amp; Descendants - Edit'!AF$1,FALSE)))</f>
        <v>Freddie LEASK (8th &amp; 164)</v>
      </c>
      <c r="AG136" s="3" t="str">
        <f>IF(VLOOKUP($C136,'All Girls &amp; Descendants - Edit'!$C$2:$AK$440,'All Girls &amp; Descendants - Edit'!AG$1,FALSE)=""," - ",(VLOOKUP($C136,'All Girls &amp; Descendants - Edit'!$C$2:$AK$440,'All Girls &amp; Descendants - Edit'!AG$1,FALSE)))</f>
        <v>Male</v>
      </c>
      <c r="AH136" s="3" t="str">
        <f>IF(VLOOKUP($C136,'All Girls &amp; Descendants - Edit'!$C$2:$AK$440,'All Girls &amp; Descendants - Edit'!AH$1,FALSE)=""," - ",(VLOOKUP($C136,'All Girls &amp; Descendants - Edit'!$C$2:$AK$440,'All Girls &amp; Descendants - Edit'!AH$1,FALSE)))</f>
        <v>8th</v>
      </c>
      <c r="AI136" s="3" t="str">
        <f>IF(VLOOKUP($C136,'All Girls &amp; Descendants - Edit'!$C$2:$AK$440,'All Girls &amp; Descendants - Edit'!AI$1,FALSE)=""," - ",(VLOOKUP($C136,'All Girls &amp; Descendants - Edit'!$C$2:$AK$440,'All Girls &amp; Descendants - Edit'!AI$1,FALSE)))</f>
        <v>Unmarried</v>
      </c>
      <c r="AJ136" s="3" t="str">
        <f>IF(VLOOKUP($C136,'All Girls &amp; Descendants - Edit'!$C$2:$AK$440,'All Girls &amp; Descendants - Edit'!AJ$1,FALSE)=""," - ",(VLOOKUP($C136,'All Girls &amp; Descendants - Edit'!$C$2:$AK$440,'All Girls &amp; Descendants - Edit'!AJ$1,FALSE)))</f>
        <v>Male. b. 16/05/2016 Born at Lincoln County Hospital</v>
      </c>
      <c r="AK136" s="3" t="str">
        <f>IF(VLOOKUP($C136,'All Girls &amp; Descendants - Edit'!$C$2:$AK$440,'All Girls &amp; Descendants - Edit'!AK$1,FALSE)=""," - ",(VLOOKUP($C136,'All Girls &amp; Descendants - Edit'!$C$2:$AK$440,'All Girls &amp; Descendants - Edit'!AK$1,FALSE)))</f>
        <v>b. 16/05/2016</v>
      </c>
    </row>
    <row r="137" spans="1:37" ht="19">
      <c r="A137">
        <f>VLOOKUP(B137,'Loyd List 1-190 - Edit'!$P$1:$R$219,3,FALSE)</f>
        <v>136</v>
      </c>
      <c r="B137">
        <f>'All Girls &amp; Descendants - Edit'!B138</f>
        <v>164</v>
      </c>
      <c r="C137" s="98" t="str">
        <f>'All Girls &amp; Descendants - Edit'!C138</f>
        <v>164b</v>
      </c>
      <c r="D137" s="2" t="str">
        <f>'All Girls &amp; Descendants - Edit'!D138</f>
        <v>LEASK</v>
      </c>
      <c r="E137" t="str">
        <f>'All Girls &amp; Descendants - Edit'!E138</f>
        <v>Hamish</v>
      </c>
      <c r="F137" t="str">
        <f>IF('All Girls &amp; Descendants - Edit'!F138="","",'All Girls &amp; Descendants - Edit'!F138)</f>
        <v>Alexander</v>
      </c>
      <c r="G137" t="str">
        <f>IF('All Girls &amp; Descendants - Edit'!G138="","",'All Girls &amp; Descendants - Edit'!G138)</f>
        <v>Cormack</v>
      </c>
      <c r="H137" t="str">
        <f>IF('All Girls &amp; Descendants - Edit'!H138="","",'All Girls &amp; Descendants - Edit'!H138)</f>
        <v/>
      </c>
      <c r="I137">
        <f>VLOOKUP($C137,'All Girls &amp; Descendants - Edit'!$C$2:$AK$440,'All Girls &amp; Descendants - Edit'!I$1,FALSE)</f>
        <v>2018</v>
      </c>
      <c r="J137" t="str">
        <f>VLOOKUP($C137,'All Girls &amp; Descendants - Edit'!$C$2:$AK$440,'All Girls &amp; Descendants - Edit'!J$1,FALSE)</f>
        <v/>
      </c>
      <c r="K137" s="9"/>
      <c r="L137" t="str">
        <f t="shared" si="18"/>
        <v>13/03/2018</v>
      </c>
      <c r="M137" s="3">
        <f>VLOOKUP($C137,'All Girls &amp; Descendants - Edit'!$C$2:$AK$440,'All Girls &amp; Descendants - Edit'!M$1,FALSE)</f>
        <v>43172</v>
      </c>
      <c r="N137" s="3" t="str">
        <f>IF(VLOOKUP($C137,'All Girls &amp; Descendants - Edit'!$C$2:$AK$440,'All Girls &amp; Descendants - Edit'!N$1,FALSE)=""," - ",(VLOOKUP($C137,'All Girls &amp; Descendants - Edit'!$C$2:$AK$440,'All Girls &amp; Descendants - Edit'!N$1,FALSE)))</f>
        <v xml:space="preserve"> - </v>
      </c>
      <c r="O137" s="3" t="str">
        <f>IF(VLOOKUP($C137,'All Girls &amp; Descendants - Edit'!$C$2:$AK$440,'All Girls &amp; Descendants - Edit'!O$1,FALSE)="","",(VLOOKUP($C137,'All Girls &amp; Descendants - Edit'!$C$2:$AK$440,'All Girls &amp; Descendants - Edit'!O$1,FALSE)))</f>
        <v/>
      </c>
      <c r="P137" s="3" t="str">
        <f t="shared" si="19"/>
        <v/>
      </c>
      <c r="Q137" s="178" t="str">
        <f t="shared" si="20"/>
        <v>164</v>
      </c>
      <c r="R137" s="23"/>
      <c r="S137" t="str">
        <f>VLOOKUP($C137,'All Girls &amp; Descendants - Edit'!$C$2:$AK$440,'All Girls &amp; Descendants - Edit'!S$1,FALSE)</f>
        <v>Male</v>
      </c>
      <c r="T137" s="176">
        <f t="shared" si="17"/>
        <v>8</v>
      </c>
      <c r="U137" s="176">
        <f t="shared" si="21"/>
        <v>4</v>
      </c>
      <c r="V137" s="176">
        <f t="shared" si="22"/>
        <v>7</v>
      </c>
      <c r="W137" s="177">
        <f t="shared" si="23"/>
        <v>1</v>
      </c>
      <c r="X137" s="3" t="str">
        <f>IF(VLOOKUP($C137,'All Girls &amp; Descendants - Edit'!$C$2:$AK$440,'All Girls &amp; Descendants - Edit'!X$1,FALSE)=""," - ",(VLOOKUP($C137,'All Girls &amp; Descendants - Edit'!$C$2:$AK$440,'All Girls &amp; Descendants - Edit'!X$1,FALSE)))</f>
        <v xml:space="preserve"> - </v>
      </c>
      <c r="Y137" s="3" t="str">
        <f>IF(VLOOKUP($C137,'All Girls &amp; Descendants - Edit'!$C$2:$AK$440,'All Girls &amp; Descendants - Edit'!Y$1,FALSE)=""," - ",(VLOOKUP($C137,'All Girls &amp; Descendants - Edit'!$C$2:$AK$440,'All Girls &amp; Descendants - Edit'!Y$1,FALSE)))</f>
        <v xml:space="preserve"> - </v>
      </c>
      <c r="Z137" s="3" t="str">
        <f>IF(VLOOKUP($C137,'All Girls &amp; Descendants - Edit'!$C$2:$AK$440,'All Girls &amp; Descendants - Edit'!Z$1,FALSE)=""," - ",(VLOOKUP($C137,'All Girls &amp; Descendants - Edit'!$C$2:$AK$440,'All Girls &amp; Descendants - Edit'!Z$1,FALSE)))</f>
        <v>Born in Bristol</v>
      </c>
      <c r="AA137" s="101">
        <f>IF(VLOOKUP($C137,'All Girls &amp; Descendants - Edit'!$C$2:$AK$440,'All Girls &amp; Descendants - Edit'!AA$1,FALSE)=""," - ",(VLOOKUP($C137,'All Girls &amp; Descendants - Edit'!$C$2:$AK$440,'All Girls &amp; Descendants - Edit'!AA$1,FALSE)))</f>
        <v>365</v>
      </c>
      <c r="AB137" s="101">
        <f>IF(VLOOKUP($C137,'All Girls &amp; Descendants - Edit'!$C$2:$AK$440,'All Girls &amp; Descendants - Edit'!AB$1,FALSE)=""," - ",(VLOOKUP($C137,'All Girls &amp; Descendants - Edit'!$C$2:$AK$440,'All Girls &amp; Descendants - Edit'!AB$1,FALSE)))</f>
        <v>136</v>
      </c>
      <c r="AC137" s="101">
        <f>IF(VLOOKUP($C137,'All Girls &amp; Descendants - Edit'!$C$2:$AK$440,'All Girls &amp; Descendants - Edit'!AC$1,FALSE)=""," - ",(VLOOKUP($C137,'All Girls &amp; Descendants - Edit'!$C$2:$AK$440,'All Girls &amp; Descendants - Edit'!AC$1,FALSE)))</f>
        <v>1136</v>
      </c>
      <c r="AD137" s="3" t="str">
        <f>IF(VLOOKUP($C137,'All Girls &amp; Descendants - Edit'!$C$2:$AK$440,'All Girls &amp; Descendants - Edit'!AD$1,FALSE)=""," - ",(VLOOKUP($C137,'All Girls &amp; Descendants - Edit'!$C$2:$AK$440,'All Girls &amp; Descendants - Edit'!AD$1,FALSE)))</f>
        <v>164b</v>
      </c>
      <c r="AE137" s="3" t="str">
        <f>IF(VLOOKUP($C137,'All Girls &amp; Descendants - Edit'!$C$2:$AK$440,'All Girls &amp; Descendants - Edit'!AE$1,FALSE)=""," - ",(VLOOKUP($C137,'All Girls &amp; Descendants - Edit'!$C$2:$AK$440,'All Girls &amp; Descendants - Edit'!AE$1,FALSE)))</f>
        <v>Hamish Alexander Cormack LEASK (2018 - )</v>
      </c>
      <c r="AF137" s="3" t="str">
        <f>IF(VLOOKUP($C137,'All Girls &amp; Descendants - Edit'!$C$2:$AK$440,'All Girls &amp; Descendants - Edit'!AF$1,FALSE)=""," - ",(VLOOKUP($C137,'All Girls &amp; Descendants - Edit'!$C$2:$AK$440,'All Girls &amp; Descendants - Edit'!AF$1,FALSE)))</f>
        <v>Hamish LEASK (8th &amp; 164)</v>
      </c>
      <c r="AG137" s="3" t="str">
        <f>IF(VLOOKUP($C137,'All Girls &amp; Descendants - Edit'!$C$2:$AK$440,'All Girls &amp; Descendants - Edit'!AG$1,FALSE)=""," - ",(VLOOKUP($C137,'All Girls &amp; Descendants - Edit'!$C$2:$AK$440,'All Girls &amp; Descendants - Edit'!AG$1,FALSE)))</f>
        <v>Male</v>
      </c>
      <c r="AH137" s="3" t="str">
        <f>IF(VLOOKUP($C137,'All Girls &amp; Descendants - Edit'!$C$2:$AK$440,'All Girls &amp; Descendants - Edit'!AH$1,FALSE)=""," - ",(VLOOKUP($C137,'All Girls &amp; Descendants - Edit'!$C$2:$AK$440,'All Girls &amp; Descendants - Edit'!AH$1,FALSE)))</f>
        <v>8th</v>
      </c>
      <c r="AI137" s="3" t="str">
        <f>IF(VLOOKUP($C137,'All Girls &amp; Descendants - Edit'!$C$2:$AK$440,'All Girls &amp; Descendants - Edit'!AI$1,FALSE)=""," - ",(VLOOKUP($C137,'All Girls &amp; Descendants - Edit'!$C$2:$AK$440,'All Girls &amp; Descendants - Edit'!AI$1,FALSE)))</f>
        <v>Unmarried</v>
      </c>
      <c r="AJ137" s="3" t="str">
        <f>IF(VLOOKUP($C137,'All Girls &amp; Descendants - Edit'!$C$2:$AK$440,'All Girls &amp; Descendants - Edit'!AJ$1,FALSE)=""," - ",(VLOOKUP($C137,'All Girls &amp; Descendants - Edit'!$C$2:$AK$440,'All Girls &amp; Descendants - Edit'!AJ$1,FALSE)))</f>
        <v>Male. b. 13/03/2018 Born in Bristol</v>
      </c>
      <c r="AK137" s="3" t="str">
        <f>IF(VLOOKUP($C137,'All Girls &amp; Descendants - Edit'!$C$2:$AK$440,'All Girls &amp; Descendants - Edit'!AK$1,FALSE)=""," - ",(VLOOKUP($C137,'All Girls &amp; Descendants - Edit'!$C$2:$AK$440,'All Girls &amp; Descendants - Edit'!AK$1,FALSE)))</f>
        <v>b. 13/03/2018</v>
      </c>
    </row>
    <row r="138" spans="1:37" ht="19">
      <c r="A138">
        <f>VLOOKUP(B138,'Loyd List 1-190 - Edit'!$P$1:$R$219,3,FALSE)</f>
        <v>136</v>
      </c>
      <c r="B138">
        <f>'All Girls &amp; Descendants - Edit'!B139</f>
        <v>164</v>
      </c>
      <c r="C138" s="98" t="str">
        <f>'All Girls &amp; Descendants - Edit'!C139</f>
        <v>164c</v>
      </c>
      <c r="D138" s="2" t="str">
        <f>'All Girls &amp; Descendants - Edit'!D139</f>
        <v>LEASK</v>
      </c>
      <c r="E138" t="str">
        <f>'All Girls &amp; Descendants - Edit'!E139</f>
        <v>Otto</v>
      </c>
      <c r="F138" t="str">
        <f>IF('All Girls &amp; Descendants - Edit'!F139="","",'All Girls &amp; Descendants - Edit'!F139)</f>
        <v>Angus</v>
      </c>
      <c r="G138" t="str">
        <f>IF('All Girls &amp; Descendants - Edit'!G139="","",'All Girls &amp; Descendants - Edit'!G139)</f>
        <v>Davis</v>
      </c>
      <c r="H138" t="str">
        <f>IF('All Girls &amp; Descendants - Edit'!H139="","",'All Girls &amp; Descendants - Edit'!H139)</f>
        <v/>
      </c>
      <c r="I138">
        <f>VLOOKUP($C138,'All Girls &amp; Descendants - Edit'!$C$2:$AK$440,'All Girls &amp; Descendants - Edit'!I$1,FALSE)</f>
        <v>2020</v>
      </c>
      <c r="J138" t="str">
        <f>VLOOKUP($C138,'All Girls &amp; Descendants - Edit'!$C$2:$AK$440,'All Girls &amp; Descendants - Edit'!J$1,FALSE)</f>
        <v/>
      </c>
      <c r="K138" s="9"/>
      <c r="L138" t="str">
        <f t="shared" si="18"/>
        <v>25/09/2020</v>
      </c>
      <c r="M138" s="3">
        <f>VLOOKUP($C138,'All Girls &amp; Descendants - Edit'!$C$2:$AK$440,'All Girls &amp; Descendants - Edit'!M$1,FALSE)</f>
        <v>44099</v>
      </c>
      <c r="N138" s="3" t="str">
        <f>IF(VLOOKUP($C138,'All Girls &amp; Descendants - Edit'!$C$2:$AK$440,'All Girls &amp; Descendants - Edit'!N$1,FALSE)=""," - ",(VLOOKUP($C138,'All Girls &amp; Descendants - Edit'!$C$2:$AK$440,'All Girls &amp; Descendants - Edit'!N$1,FALSE)))</f>
        <v xml:space="preserve"> - </v>
      </c>
      <c r="O138" s="3" t="str">
        <f>IF(VLOOKUP($C138,'All Girls &amp; Descendants - Edit'!$C$2:$AK$440,'All Girls &amp; Descendants - Edit'!O$1,FALSE)="","",(VLOOKUP($C138,'All Girls &amp; Descendants - Edit'!$C$2:$AK$440,'All Girls &amp; Descendants - Edit'!O$1,FALSE)))</f>
        <v/>
      </c>
      <c r="P138" s="3" t="str">
        <f t="shared" si="19"/>
        <v/>
      </c>
      <c r="Q138" s="178" t="str">
        <f t="shared" si="20"/>
        <v>164</v>
      </c>
      <c r="R138" s="23"/>
      <c r="S138" t="str">
        <f>VLOOKUP($C138,'All Girls &amp; Descendants - Edit'!$C$2:$AK$440,'All Girls &amp; Descendants - Edit'!S$1,FALSE)</f>
        <v>Male</v>
      </c>
      <c r="T138" s="176">
        <f t="shared" si="17"/>
        <v>8</v>
      </c>
      <c r="U138" s="176">
        <f t="shared" si="21"/>
        <v>4</v>
      </c>
      <c r="V138" s="176">
        <f t="shared" si="22"/>
        <v>7</v>
      </c>
      <c r="W138" s="177">
        <f t="shared" si="23"/>
        <v>1</v>
      </c>
      <c r="X138" s="3" t="str">
        <f>IF(VLOOKUP($C138,'All Girls &amp; Descendants - Edit'!$C$2:$AK$440,'All Girls &amp; Descendants - Edit'!X$1,FALSE)=""," - ",(VLOOKUP($C138,'All Girls &amp; Descendants - Edit'!$C$2:$AK$440,'All Girls &amp; Descendants - Edit'!X$1,FALSE)))</f>
        <v xml:space="preserve"> - </v>
      </c>
      <c r="Y138" s="3" t="str">
        <f>IF(VLOOKUP($C138,'All Girls &amp; Descendants - Edit'!$C$2:$AK$440,'All Girls &amp; Descendants - Edit'!Y$1,FALSE)=""," - ",(VLOOKUP($C138,'All Girls &amp; Descendants - Edit'!$C$2:$AK$440,'All Girls &amp; Descendants - Edit'!Y$1,FALSE)))</f>
        <v xml:space="preserve"> - </v>
      </c>
      <c r="Z138" s="3" t="str">
        <f>IF(VLOOKUP($C138,'All Girls &amp; Descendants - Edit'!$C$2:$AK$440,'All Girls &amp; Descendants - Edit'!Z$1,FALSE)=""," - ",(VLOOKUP($C138,'All Girls &amp; Descendants - Edit'!$C$2:$AK$440,'All Girls &amp; Descendants - Edit'!Z$1,FALSE)))</f>
        <v>Born in Abderdeen</v>
      </c>
      <c r="AA138" s="101">
        <f>IF(VLOOKUP($C138,'All Girls &amp; Descendants - Edit'!$C$2:$AK$440,'All Girls &amp; Descendants - Edit'!AA$1,FALSE)=""," - ",(VLOOKUP($C138,'All Girls &amp; Descendants - Edit'!$C$2:$AK$440,'All Girls &amp; Descendants - Edit'!AA$1,FALSE)))</f>
        <v>366</v>
      </c>
      <c r="AB138" s="101">
        <f>IF(VLOOKUP($C138,'All Girls &amp; Descendants - Edit'!$C$2:$AK$440,'All Girls &amp; Descendants - Edit'!AB$1,FALSE)=""," - ",(VLOOKUP($C138,'All Girls &amp; Descendants - Edit'!$C$2:$AK$440,'All Girls &amp; Descendants - Edit'!AB$1,FALSE)))</f>
        <v>137</v>
      </c>
      <c r="AC138" s="101">
        <f>IF(VLOOKUP($C138,'All Girls &amp; Descendants - Edit'!$C$2:$AK$440,'All Girls &amp; Descendants - Edit'!AC$1,FALSE)=""," - ",(VLOOKUP($C138,'All Girls &amp; Descendants - Edit'!$C$2:$AK$440,'All Girls &amp; Descendants - Edit'!AC$1,FALSE)))</f>
        <v>1137</v>
      </c>
      <c r="AD138" s="3" t="str">
        <f>IF(VLOOKUP($C138,'All Girls &amp; Descendants - Edit'!$C$2:$AK$440,'All Girls &amp; Descendants - Edit'!AD$1,FALSE)=""," - ",(VLOOKUP($C138,'All Girls &amp; Descendants - Edit'!$C$2:$AK$440,'All Girls &amp; Descendants - Edit'!AD$1,FALSE)))</f>
        <v>164c</v>
      </c>
      <c r="AE138" s="3" t="str">
        <f>IF(VLOOKUP($C138,'All Girls &amp; Descendants - Edit'!$C$2:$AK$440,'All Girls &amp; Descendants - Edit'!AE$1,FALSE)=""," - ",(VLOOKUP($C138,'All Girls &amp; Descendants - Edit'!$C$2:$AK$440,'All Girls &amp; Descendants - Edit'!AE$1,FALSE)))</f>
        <v>Otto Angus Davis LEASK (2020 - )</v>
      </c>
      <c r="AF138" s="3" t="str">
        <f>IF(VLOOKUP($C138,'All Girls &amp; Descendants - Edit'!$C$2:$AK$440,'All Girls &amp; Descendants - Edit'!AF$1,FALSE)=""," - ",(VLOOKUP($C138,'All Girls &amp; Descendants - Edit'!$C$2:$AK$440,'All Girls &amp; Descendants - Edit'!AF$1,FALSE)))</f>
        <v>Otto LEASK (8th &amp; 164)</v>
      </c>
      <c r="AG138" s="3" t="str">
        <f>IF(VLOOKUP($C138,'All Girls &amp; Descendants - Edit'!$C$2:$AK$440,'All Girls &amp; Descendants - Edit'!AG$1,FALSE)=""," - ",(VLOOKUP($C138,'All Girls &amp; Descendants - Edit'!$C$2:$AK$440,'All Girls &amp; Descendants - Edit'!AG$1,FALSE)))</f>
        <v>Male</v>
      </c>
      <c r="AH138" s="3" t="str">
        <f>IF(VLOOKUP($C138,'All Girls &amp; Descendants - Edit'!$C$2:$AK$440,'All Girls &amp; Descendants - Edit'!AH$1,FALSE)=""," - ",(VLOOKUP($C138,'All Girls &amp; Descendants - Edit'!$C$2:$AK$440,'All Girls &amp; Descendants - Edit'!AH$1,FALSE)))</f>
        <v>8th</v>
      </c>
      <c r="AI138" s="3" t="str">
        <f>IF(VLOOKUP($C138,'All Girls &amp; Descendants - Edit'!$C$2:$AK$440,'All Girls &amp; Descendants - Edit'!AI$1,FALSE)=""," - ",(VLOOKUP($C138,'All Girls &amp; Descendants - Edit'!$C$2:$AK$440,'All Girls &amp; Descendants - Edit'!AI$1,FALSE)))</f>
        <v>Unmarried</v>
      </c>
      <c r="AJ138" s="3" t="str">
        <f>IF(VLOOKUP($C138,'All Girls &amp; Descendants - Edit'!$C$2:$AK$440,'All Girls &amp; Descendants - Edit'!AJ$1,FALSE)=""," - ",(VLOOKUP($C138,'All Girls &amp; Descendants - Edit'!$C$2:$AK$440,'All Girls &amp; Descendants - Edit'!AJ$1,FALSE)))</f>
        <v>Male. b. 25/09/2020 Born in Abderdeen</v>
      </c>
      <c r="AK138" s="3" t="str">
        <f>IF(VLOOKUP($C138,'All Girls &amp; Descendants - Edit'!$C$2:$AK$440,'All Girls &amp; Descendants - Edit'!AK$1,FALSE)=""," - ",(VLOOKUP($C138,'All Girls &amp; Descendants - Edit'!$C$2:$AK$440,'All Girls &amp; Descendants - Edit'!AK$1,FALSE)))</f>
        <v>b. 25/09/2020</v>
      </c>
    </row>
    <row r="139" spans="1:37" ht="19">
      <c r="A139">
        <f>VLOOKUP(B139,'Loyd List 1-190 - Edit'!$P$1:$R$219,3,FALSE)</f>
        <v>136</v>
      </c>
      <c r="B139">
        <f>'All Girls &amp; Descendants - Edit'!B140</f>
        <v>165</v>
      </c>
      <c r="C139" s="98" t="str">
        <f>'All Girls &amp; Descendants - Edit'!C140</f>
        <v>165a</v>
      </c>
      <c r="D139" s="2" t="str">
        <f>'All Girls &amp; Descendants - Edit'!D140</f>
        <v>PURI</v>
      </c>
      <c r="E139" t="str">
        <f>'All Girls &amp; Descendants - Edit'!E140</f>
        <v>Leila</v>
      </c>
      <c r="F139" t="str">
        <f>IF('All Girls &amp; Descendants - Edit'!F140="","",'All Girls &amp; Descendants - Edit'!F140)</f>
        <v>Cherry</v>
      </c>
      <c r="G139" t="str">
        <f>IF('All Girls &amp; Descendants - Edit'!G140="","",'All Girls &amp; Descendants - Edit'!G140)</f>
        <v/>
      </c>
      <c r="H139" t="str">
        <f>IF('All Girls &amp; Descendants - Edit'!H140="","",'All Girls &amp; Descendants - Edit'!H140)</f>
        <v/>
      </c>
      <c r="I139">
        <f>VLOOKUP($C139,'All Girls &amp; Descendants - Edit'!$C$2:$AK$440,'All Girls &amp; Descendants - Edit'!I$1,FALSE)</f>
        <v>2017</v>
      </c>
      <c r="J139" t="str">
        <f>VLOOKUP($C139,'All Girls &amp; Descendants - Edit'!$C$2:$AK$440,'All Girls &amp; Descendants - Edit'!J$1,FALSE)</f>
        <v/>
      </c>
      <c r="K139" s="9"/>
      <c r="L139" t="str">
        <f t="shared" si="18"/>
        <v>16/07/2017</v>
      </c>
      <c r="M139" s="3">
        <f>VLOOKUP($C139,'All Girls &amp; Descendants - Edit'!$C$2:$AK$440,'All Girls &amp; Descendants - Edit'!M$1,FALSE)</f>
        <v>42932</v>
      </c>
      <c r="N139" s="3" t="str">
        <f>IF(VLOOKUP($C139,'All Girls &amp; Descendants - Edit'!$C$2:$AK$440,'All Girls &amp; Descendants - Edit'!N$1,FALSE)=""," - ",(VLOOKUP($C139,'All Girls &amp; Descendants - Edit'!$C$2:$AK$440,'All Girls &amp; Descendants - Edit'!N$1,FALSE)))</f>
        <v xml:space="preserve"> - </v>
      </c>
      <c r="O139" s="3" t="str">
        <f>IF(VLOOKUP($C139,'All Girls &amp; Descendants - Edit'!$C$2:$AK$440,'All Girls &amp; Descendants - Edit'!O$1,FALSE)="","",(VLOOKUP($C139,'All Girls &amp; Descendants - Edit'!$C$2:$AK$440,'All Girls &amp; Descendants - Edit'!O$1,FALSE)))</f>
        <v/>
      </c>
      <c r="P139" s="3" t="str">
        <f t="shared" si="19"/>
        <v/>
      </c>
      <c r="Q139" s="178" t="str">
        <f t="shared" si="20"/>
        <v>165</v>
      </c>
      <c r="R139" s="23"/>
      <c r="S139" t="str">
        <f>VLOOKUP($C139,'All Girls &amp; Descendants - Edit'!$C$2:$AK$440,'All Girls &amp; Descendants - Edit'!S$1,FALSE)</f>
        <v>Female</v>
      </c>
      <c r="T139" s="176">
        <f t="shared" si="17"/>
        <v>8</v>
      </c>
      <c r="U139" s="176">
        <f t="shared" si="21"/>
        <v>4</v>
      </c>
      <c r="V139" s="176">
        <f t="shared" si="22"/>
        <v>7</v>
      </c>
      <c r="W139" s="177">
        <f t="shared" si="23"/>
        <v>1</v>
      </c>
      <c r="X139" s="3" t="str">
        <f>IF(VLOOKUP($C139,'All Girls &amp; Descendants - Edit'!$C$2:$AK$440,'All Girls &amp; Descendants - Edit'!X$1,FALSE)=""," - ",(VLOOKUP($C139,'All Girls &amp; Descendants - Edit'!$C$2:$AK$440,'All Girls &amp; Descendants - Edit'!X$1,FALSE)))</f>
        <v xml:space="preserve"> - </v>
      </c>
      <c r="Y139" s="3" t="str">
        <f>IF(VLOOKUP($C139,'All Girls &amp; Descendants - Edit'!$C$2:$AK$440,'All Girls &amp; Descendants - Edit'!Y$1,FALSE)=""," - ",(VLOOKUP($C139,'All Girls &amp; Descendants - Edit'!$C$2:$AK$440,'All Girls &amp; Descendants - Edit'!Y$1,FALSE)))</f>
        <v xml:space="preserve"> - </v>
      </c>
      <c r="Z139" s="3" t="str">
        <f>IF(VLOOKUP($C139,'All Girls &amp; Descendants - Edit'!$C$2:$AK$440,'All Girls &amp; Descendants - Edit'!Z$1,FALSE)=""," - ",(VLOOKUP($C139,'All Girls &amp; Descendants - Edit'!$C$2:$AK$440,'All Girls &amp; Descendants - Edit'!Z$1,FALSE)))</f>
        <v>Born London.</v>
      </c>
      <c r="AA139" s="101">
        <f>IF(VLOOKUP($C139,'All Girls &amp; Descendants - Edit'!$C$2:$AK$440,'All Girls &amp; Descendants - Edit'!AA$1,FALSE)=""," - ",(VLOOKUP($C139,'All Girls &amp; Descendants - Edit'!$C$2:$AK$440,'All Girls &amp; Descendants - Edit'!AA$1,FALSE)))</f>
        <v>367</v>
      </c>
      <c r="AB139" s="101">
        <f>IF(VLOOKUP($C139,'All Girls &amp; Descendants - Edit'!$C$2:$AK$440,'All Girls &amp; Descendants - Edit'!AB$1,FALSE)=""," - ",(VLOOKUP($C139,'All Girls &amp; Descendants - Edit'!$C$2:$AK$440,'All Girls &amp; Descendants - Edit'!AB$1,FALSE)))</f>
        <v>138</v>
      </c>
      <c r="AC139" s="101">
        <f>IF(VLOOKUP($C139,'All Girls &amp; Descendants - Edit'!$C$2:$AK$440,'All Girls &amp; Descendants - Edit'!AC$1,FALSE)=""," - ",(VLOOKUP($C139,'All Girls &amp; Descendants - Edit'!$C$2:$AK$440,'All Girls &amp; Descendants - Edit'!AC$1,FALSE)))</f>
        <v>1138</v>
      </c>
      <c r="AD139" s="3" t="str">
        <f>IF(VLOOKUP($C139,'All Girls &amp; Descendants - Edit'!$C$2:$AK$440,'All Girls &amp; Descendants - Edit'!AD$1,FALSE)=""," - ",(VLOOKUP($C139,'All Girls &amp; Descendants - Edit'!$C$2:$AK$440,'All Girls &amp; Descendants - Edit'!AD$1,FALSE)))</f>
        <v>165a</v>
      </c>
      <c r="AE139" s="3" t="str">
        <f>IF(VLOOKUP($C139,'All Girls &amp; Descendants - Edit'!$C$2:$AK$440,'All Girls &amp; Descendants - Edit'!AE$1,FALSE)=""," - ",(VLOOKUP($C139,'All Girls &amp; Descendants - Edit'!$C$2:$AK$440,'All Girls &amp; Descendants - Edit'!AE$1,FALSE)))</f>
        <v>Leila Cherry  PURI (2017 - )</v>
      </c>
      <c r="AF139" s="3" t="str">
        <f>IF(VLOOKUP($C139,'All Girls &amp; Descendants - Edit'!$C$2:$AK$440,'All Girls &amp; Descendants - Edit'!AF$1,FALSE)=""," - ",(VLOOKUP($C139,'All Girls &amp; Descendants - Edit'!$C$2:$AK$440,'All Girls &amp; Descendants - Edit'!AF$1,FALSE)))</f>
        <v>Leila PURI (8th &amp; 165)</v>
      </c>
      <c r="AG139" s="3" t="str">
        <f>IF(VLOOKUP($C139,'All Girls &amp; Descendants - Edit'!$C$2:$AK$440,'All Girls &amp; Descendants - Edit'!AG$1,FALSE)=""," - ",(VLOOKUP($C139,'All Girls &amp; Descendants - Edit'!$C$2:$AK$440,'All Girls &amp; Descendants - Edit'!AG$1,FALSE)))</f>
        <v>Female</v>
      </c>
      <c r="AH139" s="3" t="str">
        <f>IF(VLOOKUP($C139,'All Girls &amp; Descendants - Edit'!$C$2:$AK$440,'All Girls &amp; Descendants - Edit'!AH$1,FALSE)=""," - ",(VLOOKUP($C139,'All Girls &amp; Descendants - Edit'!$C$2:$AK$440,'All Girls &amp; Descendants - Edit'!AH$1,FALSE)))</f>
        <v>8th</v>
      </c>
      <c r="AI139" s="3" t="str">
        <f>IF(VLOOKUP($C139,'All Girls &amp; Descendants - Edit'!$C$2:$AK$440,'All Girls &amp; Descendants - Edit'!AI$1,FALSE)=""," - ",(VLOOKUP($C139,'All Girls &amp; Descendants - Edit'!$C$2:$AK$440,'All Girls &amp; Descendants - Edit'!AI$1,FALSE)))</f>
        <v>Unmarried</v>
      </c>
      <c r="AJ139" s="3" t="str">
        <f>IF(VLOOKUP($C139,'All Girls &amp; Descendants - Edit'!$C$2:$AK$440,'All Girls &amp; Descendants - Edit'!AJ$1,FALSE)=""," - ",(VLOOKUP($C139,'All Girls &amp; Descendants - Edit'!$C$2:$AK$440,'All Girls &amp; Descendants - Edit'!AJ$1,FALSE)))</f>
        <v>Female. b. 16/07/2017 Born London.</v>
      </c>
      <c r="AK139" s="3" t="str">
        <f>IF(VLOOKUP($C139,'All Girls &amp; Descendants - Edit'!$C$2:$AK$440,'All Girls &amp; Descendants - Edit'!AK$1,FALSE)=""," - ",(VLOOKUP($C139,'All Girls &amp; Descendants - Edit'!$C$2:$AK$440,'All Girls &amp; Descendants - Edit'!AK$1,FALSE)))</f>
        <v>b. 16/07/2017</v>
      </c>
    </row>
    <row r="140" spans="1:37" ht="19">
      <c r="A140">
        <f>VLOOKUP(B140,'Loyd List 1-190 - Edit'!$P$1:$R$219,3,FALSE)</f>
        <v>136</v>
      </c>
      <c r="B140">
        <f>'All Girls &amp; Descendants - Edit'!B141</f>
        <v>165</v>
      </c>
      <c r="C140" s="98" t="str">
        <f>'All Girls &amp; Descendants - Edit'!C141</f>
        <v>165b</v>
      </c>
      <c r="D140" s="2" t="str">
        <f>'All Girls &amp; Descendants - Edit'!D141</f>
        <v>PURI</v>
      </c>
      <c r="E140" t="str">
        <f>'All Girls &amp; Descendants - Edit'!E141</f>
        <v>Alana</v>
      </c>
      <c r="F140" t="str">
        <f>IF('All Girls &amp; Descendants - Edit'!F141="","",'All Girls &amp; Descendants - Edit'!F141)</f>
        <v>Kailash</v>
      </c>
      <c r="G140" t="str">
        <f>IF('All Girls &amp; Descendants - Edit'!G141="","",'All Girls &amp; Descendants - Edit'!G141)</f>
        <v/>
      </c>
      <c r="H140" t="str">
        <f>IF('All Girls &amp; Descendants - Edit'!H141="","",'All Girls &amp; Descendants - Edit'!H141)</f>
        <v/>
      </c>
      <c r="I140">
        <f>VLOOKUP($C140,'All Girls &amp; Descendants - Edit'!$C$2:$AK$440,'All Girls &amp; Descendants - Edit'!I$1,FALSE)</f>
        <v>2019</v>
      </c>
      <c r="J140" t="str">
        <f>VLOOKUP($C140,'All Girls &amp; Descendants - Edit'!$C$2:$AK$440,'All Girls &amp; Descendants - Edit'!J$1,FALSE)</f>
        <v/>
      </c>
      <c r="K140" s="9"/>
      <c r="L140" t="str">
        <f t="shared" si="18"/>
        <v>03/04/2019</v>
      </c>
      <c r="M140" s="3">
        <f>VLOOKUP($C140,'All Girls &amp; Descendants - Edit'!$C$2:$AK$440,'All Girls &amp; Descendants - Edit'!M$1,FALSE)</f>
        <v>43558</v>
      </c>
      <c r="N140" s="3" t="str">
        <f>IF(VLOOKUP($C140,'All Girls &amp; Descendants - Edit'!$C$2:$AK$440,'All Girls &amp; Descendants - Edit'!N$1,FALSE)=""," - ",(VLOOKUP($C140,'All Girls &amp; Descendants - Edit'!$C$2:$AK$440,'All Girls &amp; Descendants - Edit'!N$1,FALSE)))</f>
        <v xml:space="preserve"> - </v>
      </c>
      <c r="O140" s="3" t="str">
        <f>IF(VLOOKUP($C140,'All Girls &amp; Descendants - Edit'!$C$2:$AK$440,'All Girls &amp; Descendants - Edit'!O$1,FALSE)="","",(VLOOKUP($C140,'All Girls &amp; Descendants - Edit'!$C$2:$AK$440,'All Girls &amp; Descendants - Edit'!O$1,FALSE)))</f>
        <v/>
      </c>
      <c r="P140" s="3" t="str">
        <f t="shared" si="19"/>
        <v/>
      </c>
      <c r="Q140" s="178" t="str">
        <f t="shared" si="20"/>
        <v>165</v>
      </c>
      <c r="R140" s="23"/>
      <c r="S140" t="str">
        <f>VLOOKUP($C140,'All Girls &amp; Descendants - Edit'!$C$2:$AK$440,'All Girls &amp; Descendants - Edit'!S$1,FALSE)</f>
        <v>Female</v>
      </c>
      <c r="T140" s="176">
        <f t="shared" si="17"/>
        <v>8</v>
      </c>
      <c r="U140" s="176">
        <f t="shared" si="21"/>
        <v>4</v>
      </c>
      <c r="V140" s="176">
        <f t="shared" si="22"/>
        <v>7</v>
      </c>
      <c r="W140" s="177">
        <f t="shared" si="23"/>
        <v>1</v>
      </c>
      <c r="X140" s="3" t="str">
        <f>IF(VLOOKUP($C140,'All Girls &amp; Descendants - Edit'!$C$2:$AK$440,'All Girls &amp; Descendants - Edit'!X$1,FALSE)=""," - ",(VLOOKUP($C140,'All Girls &amp; Descendants - Edit'!$C$2:$AK$440,'All Girls &amp; Descendants - Edit'!X$1,FALSE)))</f>
        <v xml:space="preserve"> - </v>
      </c>
      <c r="Y140" s="3" t="str">
        <f>IF(VLOOKUP($C140,'All Girls &amp; Descendants - Edit'!$C$2:$AK$440,'All Girls &amp; Descendants - Edit'!Y$1,FALSE)=""," - ",(VLOOKUP($C140,'All Girls &amp; Descendants - Edit'!$C$2:$AK$440,'All Girls &amp; Descendants - Edit'!Y$1,FALSE)))</f>
        <v xml:space="preserve"> - </v>
      </c>
      <c r="Z140" s="3" t="str">
        <f>IF(VLOOKUP($C140,'All Girls &amp; Descendants - Edit'!$C$2:$AK$440,'All Girls &amp; Descendants - Edit'!Z$1,FALSE)=""," - ",(VLOOKUP($C140,'All Girls &amp; Descendants - Edit'!$C$2:$AK$440,'All Girls &amp; Descendants - Edit'!Z$1,FALSE)))</f>
        <v>Born London.</v>
      </c>
      <c r="AA140" s="101">
        <f>IF(VLOOKUP($C140,'All Girls &amp; Descendants - Edit'!$C$2:$AK$440,'All Girls &amp; Descendants - Edit'!AA$1,FALSE)=""," - ",(VLOOKUP($C140,'All Girls &amp; Descendants - Edit'!$C$2:$AK$440,'All Girls &amp; Descendants - Edit'!AA$1,FALSE)))</f>
        <v>368</v>
      </c>
      <c r="AB140" s="101">
        <f>IF(VLOOKUP($C140,'All Girls &amp; Descendants - Edit'!$C$2:$AK$440,'All Girls &amp; Descendants - Edit'!AB$1,FALSE)=""," - ",(VLOOKUP($C140,'All Girls &amp; Descendants - Edit'!$C$2:$AK$440,'All Girls &amp; Descendants - Edit'!AB$1,FALSE)))</f>
        <v>139</v>
      </c>
      <c r="AC140" s="101">
        <f>IF(VLOOKUP($C140,'All Girls &amp; Descendants - Edit'!$C$2:$AK$440,'All Girls &amp; Descendants - Edit'!AC$1,FALSE)=""," - ",(VLOOKUP($C140,'All Girls &amp; Descendants - Edit'!$C$2:$AK$440,'All Girls &amp; Descendants - Edit'!AC$1,FALSE)))</f>
        <v>1139</v>
      </c>
      <c r="AD140" s="3" t="str">
        <f>IF(VLOOKUP($C140,'All Girls &amp; Descendants - Edit'!$C$2:$AK$440,'All Girls &amp; Descendants - Edit'!AD$1,FALSE)=""," - ",(VLOOKUP($C140,'All Girls &amp; Descendants - Edit'!$C$2:$AK$440,'All Girls &amp; Descendants - Edit'!AD$1,FALSE)))</f>
        <v>165b</v>
      </c>
      <c r="AE140" s="3" t="str">
        <f>IF(VLOOKUP($C140,'All Girls &amp; Descendants - Edit'!$C$2:$AK$440,'All Girls &amp; Descendants - Edit'!AE$1,FALSE)=""," - ",(VLOOKUP($C140,'All Girls &amp; Descendants - Edit'!$C$2:$AK$440,'All Girls &amp; Descendants - Edit'!AE$1,FALSE)))</f>
        <v>Alana Kailash  PURI (2019 - )</v>
      </c>
      <c r="AF140" s="3" t="str">
        <f>IF(VLOOKUP($C140,'All Girls &amp; Descendants - Edit'!$C$2:$AK$440,'All Girls &amp; Descendants - Edit'!AF$1,FALSE)=""," - ",(VLOOKUP($C140,'All Girls &amp; Descendants - Edit'!$C$2:$AK$440,'All Girls &amp; Descendants - Edit'!AF$1,FALSE)))</f>
        <v>Alana PURI (8th &amp; 165)</v>
      </c>
      <c r="AG140" s="3" t="str">
        <f>IF(VLOOKUP($C140,'All Girls &amp; Descendants - Edit'!$C$2:$AK$440,'All Girls &amp; Descendants - Edit'!AG$1,FALSE)=""," - ",(VLOOKUP($C140,'All Girls &amp; Descendants - Edit'!$C$2:$AK$440,'All Girls &amp; Descendants - Edit'!AG$1,FALSE)))</f>
        <v>Female</v>
      </c>
      <c r="AH140" s="3" t="str">
        <f>IF(VLOOKUP($C140,'All Girls &amp; Descendants - Edit'!$C$2:$AK$440,'All Girls &amp; Descendants - Edit'!AH$1,FALSE)=""," - ",(VLOOKUP($C140,'All Girls &amp; Descendants - Edit'!$C$2:$AK$440,'All Girls &amp; Descendants - Edit'!AH$1,FALSE)))</f>
        <v>8th</v>
      </c>
      <c r="AI140" s="3" t="str">
        <f>IF(VLOOKUP($C140,'All Girls &amp; Descendants - Edit'!$C$2:$AK$440,'All Girls &amp; Descendants - Edit'!AI$1,FALSE)=""," - ",(VLOOKUP($C140,'All Girls &amp; Descendants - Edit'!$C$2:$AK$440,'All Girls &amp; Descendants - Edit'!AI$1,FALSE)))</f>
        <v>Unmarried</v>
      </c>
      <c r="AJ140" s="3" t="str">
        <f>IF(VLOOKUP($C140,'All Girls &amp; Descendants - Edit'!$C$2:$AK$440,'All Girls &amp; Descendants - Edit'!AJ$1,FALSE)=""," - ",(VLOOKUP($C140,'All Girls &amp; Descendants - Edit'!$C$2:$AK$440,'All Girls &amp; Descendants - Edit'!AJ$1,FALSE)))</f>
        <v>Female. b. 03/04/2019 Born London.</v>
      </c>
      <c r="AK140" s="3" t="str">
        <f>IF(VLOOKUP($C140,'All Girls &amp; Descendants - Edit'!$C$2:$AK$440,'All Girls &amp; Descendants - Edit'!AK$1,FALSE)=""," - ",(VLOOKUP($C140,'All Girls &amp; Descendants - Edit'!$C$2:$AK$440,'All Girls &amp; Descendants - Edit'!AK$1,FALSE)))</f>
        <v>b. 03/04/2019</v>
      </c>
    </row>
    <row r="141" spans="1:37" ht="19">
      <c r="A141">
        <f>VLOOKUP(B141,'Loyd List 1-190 - Edit'!$P$1:$R$219,3,FALSE)</f>
        <v>138</v>
      </c>
      <c r="B141">
        <f>'All Girls &amp; Descendants - Edit'!B142</f>
        <v>168</v>
      </c>
      <c r="C141" s="98" t="str">
        <f>'All Girls &amp; Descendants - Edit'!C142</f>
        <v>168a</v>
      </c>
      <c r="D141" s="2" t="str">
        <f>'All Girls &amp; Descendants - Edit'!D142</f>
        <v>POWELL</v>
      </c>
      <c r="E141" t="str">
        <f>'All Girls &amp; Descendants - Edit'!E142</f>
        <v>Nicholas</v>
      </c>
      <c r="F141" t="str">
        <f>IF('All Girls &amp; Descendants - Edit'!F142="","",'All Girls &amp; Descendants - Edit'!F142)</f>
        <v>Rudyard</v>
      </c>
      <c r="G141" t="str">
        <f>IF('All Girls &amp; Descendants - Edit'!G142="","",'All Girls &amp; Descendants - Edit'!G142)</f>
        <v>Wroughton</v>
      </c>
      <c r="H141" t="str">
        <f>IF('All Girls &amp; Descendants - Edit'!H142="","",'All Girls &amp; Descendants - Edit'!H142)</f>
        <v/>
      </c>
      <c r="I141">
        <f>VLOOKUP($C141,'All Girls &amp; Descendants - Edit'!$C$2:$AK$440,'All Girls &amp; Descendants - Edit'!I$1,FALSE)</f>
        <v>2020</v>
      </c>
      <c r="J141" t="str">
        <f>VLOOKUP($C141,'All Girls &amp; Descendants - Edit'!$C$2:$AK$440,'All Girls &amp; Descendants - Edit'!J$1,FALSE)</f>
        <v/>
      </c>
      <c r="K141" s="9"/>
      <c r="L141" t="str">
        <f t="shared" si="18"/>
        <v>10/12/2020</v>
      </c>
      <c r="M141" s="3">
        <f>VLOOKUP($C141,'All Girls &amp; Descendants - Edit'!$C$2:$AK$440,'All Girls &amp; Descendants - Edit'!M$1,FALSE)</f>
        <v>44175</v>
      </c>
      <c r="N141" s="3" t="str">
        <f>IF(VLOOKUP($C141,'All Girls &amp; Descendants - Edit'!$C$2:$AK$440,'All Girls &amp; Descendants - Edit'!N$1,FALSE)=""," - ",(VLOOKUP($C141,'All Girls &amp; Descendants - Edit'!$C$2:$AK$440,'All Girls &amp; Descendants - Edit'!N$1,FALSE)))</f>
        <v xml:space="preserve"> - </v>
      </c>
      <c r="O141" s="3" t="str">
        <f>IF(VLOOKUP($C141,'All Girls &amp; Descendants - Edit'!$C$2:$AK$440,'All Girls &amp; Descendants - Edit'!O$1,FALSE)="","",(VLOOKUP($C141,'All Girls &amp; Descendants - Edit'!$C$2:$AK$440,'All Girls &amp; Descendants - Edit'!O$1,FALSE)))</f>
        <v/>
      </c>
      <c r="P141" s="3" t="str">
        <f t="shared" si="19"/>
        <v/>
      </c>
      <c r="Q141" s="178" t="str">
        <f t="shared" si="20"/>
        <v>168</v>
      </c>
      <c r="R141" s="23"/>
      <c r="S141" t="str">
        <f>VLOOKUP($C141,'All Girls &amp; Descendants - Edit'!$C$2:$AK$440,'All Girls &amp; Descendants - Edit'!S$1,FALSE)</f>
        <v>Male</v>
      </c>
      <c r="T141" s="176">
        <f t="shared" si="17"/>
        <v>8</v>
      </c>
      <c r="U141" s="176">
        <f t="shared" si="21"/>
        <v>4</v>
      </c>
      <c r="V141" s="176">
        <f t="shared" si="22"/>
        <v>7</v>
      </c>
      <c r="W141" s="177">
        <f t="shared" si="23"/>
        <v>1</v>
      </c>
      <c r="X141" s="3" t="str">
        <f>IF(VLOOKUP($C141,'All Girls &amp; Descendants - Edit'!$C$2:$AK$440,'All Girls &amp; Descendants - Edit'!X$1,FALSE)=""," - ",(VLOOKUP($C141,'All Girls &amp; Descendants - Edit'!$C$2:$AK$440,'All Girls &amp; Descendants - Edit'!X$1,FALSE)))</f>
        <v xml:space="preserve"> - </v>
      </c>
      <c r="Y141" s="3" t="str">
        <f>IF(VLOOKUP($C141,'All Girls &amp; Descendants - Edit'!$C$2:$AK$440,'All Girls &amp; Descendants - Edit'!Y$1,FALSE)=""," - ",(VLOOKUP($C141,'All Girls &amp; Descendants - Edit'!$C$2:$AK$440,'All Girls &amp; Descendants - Edit'!Y$1,FALSE)))</f>
        <v xml:space="preserve"> - </v>
      </c>
      <c r="Z141" s="3" t="str">
        <f>IF(VLOOKUP($C141,'All Girls &amp; Descendants - Edit'!$C$2:$AK$440,'All Girls &amp; Descendants - Edit'!Z$1,FALSE)=""," - ",(VLOOKUP($C141,'All Girls &amp; Descendants - Edit'!$C$2:$AK$440,'All Girls &amp; Descendants - Edit'!Z$1,FALSE)))</f>
        <v xml:space="preserve"> - </v>
      </c>
      <c r="AA141" s="101">
        <f>IF(VLOOKUP($C141,'All Girls &amp; Descendants - Edit'!$C$2:$AK$440,'All Girls &amp; Descendants - Edit'!AA$1,FALSE)=""," - ",(VLOOKUP($C141,'All Girls &amp; Descendants - Edit'!$C$2:$AK$440,'All Girls &amp; Descendants - Edit'!AA$1,FALSE)))</f>
        <v>369</v>
      </c>
      <c r="AB141" s="101">
        <f>IF(VLOOKUP($C141,'All Girls &amp; Descendants - Edit'!$C$2:$AK$440,'All Girls &amp; Descendants - Edit'!AB$1,FALSE)=""," - ",(VLOOKUP($C141,'All Girls &amp; Descendants - Edit'!$C$2:$AK$440,'All Girls &amp; Descendants - Edit'!AB$1,FALSE)))</f>
        <v>140</v>
      </c>
      <c r="AC141" s="101">
        <f>IF(VLOOKUP($C141,'All Girls &amp; Descendants - Edit'!$C$2:$AK$440,'All Girls &amp; Descendants - Edit'!AC$1,FALSE)=""," - ",(VLOOKUP($C141,'All Girls &amp; Descendants - Edit'!$C$2:$AK$440,'All Girls &amp; Descendants - Edit'!AC$1,FALSE)))</f>
        <v>1140</v>
      </c>
      <c r="AD141" s="3" t="str">
        <f>IF(VLOOKUP($C141,'All Girls &amp; Descendants - Edit'!$C$2:$AK$440,'All Girls &amp; Descendants - Edit'!AD$1,FALSE)=""," - ",(VLOOKUP($C141,'All Girls &amp; Descendants - Edit'!$C$2:$AK$440,'All Girls &amp; Descendants - Edit'!AD$1,FALSE)))</f>
        <v>168a</v>
      </c>
      <c r="AE141" s="3" t="str">
        <f>IF(VLOOKUP($C141,'All Girls &amp; Descendants - Edit'!$C$2:$AK$440,'All Girls &amp; Descendants - Edit'!AE$1,FALSE)=""," - ",(VLOOKUP($C141,'All Girls &amp; Descendants - Edit'!$C$2:$AK$440,'All Girls &amp; Descendants - Edit'!AE$1,FALSE)))</f>
        <v>Nicholas Rudyard Wroughton POWELL (2020 - )</v>
      </c>
      <c r="AF141" s="3" t="str">
        <f>IF(VLOOKUP($C141,'All Girls &amp; Descendants - Edit'!$C$2:$AK$440,'All Girls &amp; Descendants - Edit'!AF$1,FALSE)=""," - ",(VLOOKUP($C141,'All Girls &amp; Descendants - Edit'!$C$2:$AK$440,'All Girls &amp; Descendants - Edit'!AF$1,FALSE)))</f>
        <v>Nicholas POWELL (8th &amp; 168)</v>
      </c>
      <c r="AG141" s="3" t="str">
        <f>IF(VLOOKUP($C141,'All Girls &amp; Descendants - Edit'!$C$2:$AK$440,'All Girls &amp; Descendants - Edit'!AG$1,FALSE)=""," - ",(VLOOKUP($C141,'All Girls &amp; Descendants - Edit'!$C$2:$AK$440,'All Girls &amp; Descendants - Edit'!AG$1,FALSE)))</f>
        <v>Male</v>
      </c>
      <c r="AH141" s="3" t="str">
        <f>IF(VLOOKUP($C141,'All Girls &amp; Descendants - Edit'!$C$2:$AK$440,'All Girls &amp; Descendants - Edit'!AH$1,FALSE)=""," - ",(VLOOKUP($C141,'All Girls &amp; Descendants - Edit'!$C$2:$AK$440,'All Girls &amp; Descendants - Edit'!AH$1,FALSE)))</f>
        <v>8th</v>
      </c>
      <c r="AI141" s="3" t="str">
        <f>IF(VLOOKUP($C141,'All Girls &amp; Descendants - Edit'!$C$2:$AK$440,'All Girls &amp; Descendants - Edit'!AI$1,FALSE)=""," - ",(VLOOKUP($C141,'All Girls &amp; Descendants - Edit'!$C$2:$AK$440,'All Girls &amp; Descendants - Edit'!AI$1,FALSE)))</f>
        <v>Unmarried</v>
      </c>
      <c r="AJ141" s="3" t="str">
        <f>IF(VLOOKUP($C141,'All Girls &amp; Descendants - Edit'!$C$2:$AK$440,'All Girls &amp; Descendants - Edit'!AJ$1,FALSE)=""," - ",(VLOOKUP($C141,'All Girls &amp; Descendants - Edit'!$C$2:$AK$440,'All Girls &amp; Descendants - Edit'!AJ$1,FALSE)))</f>
        <v>Male. b. 10/12/2020</v>
      </c>
      <c r="AK141" s="3" t="str">
        <f>IF(VLOOKUP($C141,'All Girls &amp; Descendants - Edit'!$C$2:$AK$440,'All Girls &amp; Descendants - Edit'!AK$1,FALSE)=""," - ",(VLOOKUP($C141,'All Girls &amp; Descendants - Edit'!$C$2:$AK$440,'All Girls &amp; Descendants - Edit'!AK$1,FALSE)))</f>
        <v>b. 10/12/2020</v>
      </c>
    </row>
    <row r="142" spans="1:37" ht="19">
      <c r="A142">
        <f>VLOOKUP(B142,'Loyd List 1-190 - Edit'!$P$1:$R$219,3,FALSE)</f>
        <v>138</v>
      </c>
      <c r="B142">
        <f>'All Girls &amp; Descendants - Edit'!B143</f>
        <v>168</v>
      </c>
      <c r="C142" s="98" t="str">
        <f>'All Girls &amp; Descendants - Edit'!C143</f>
        <v>168b</v>
      </c>
      <c r="D142" s="2" t="str">
        <f>'All Girls &amp; Descendants - Edit'!D143</f>
        <v>POWELL </v>
      </c>
      <c r="E142" t="str">
        <f>'All Girls &amp; Descendants - Edit'!E143</f>
        <v>Florence</v>
      </c>
      <c r="F142" t="str">
        <f>IF('All Girls &amp; Descendants - Edit'!F143="","",'All Girls &amp; Descendants - Edit'!F143)</f>
        <v>Sofia</v>
      </c>
      <c r="G142" t="str">
        <f>IF('All Girls &amp; Descendants - Edit'!G143="","",'All Girls &amp; Descendants - Edit'!G143)</f>
        <v>Berners</v>
      </c>
      <c r="H142" t="str">
        <f>IF('All Girls &amp; Descendants - Edit'!H143="","",'All Girls &amp; Descendants - Edit'!H143)</f>
        <v/>
      </c>
      <c r="I142">
        <f>VLOOKUP($C142,'All Girls &amp; Descendants - Edit'!$C$2:$AK$440,'All Girls &amp; Descendants - Edit'!I$1,FALSE)</f>
        <v>2022</v>
      </c>
      <c r="J142" t="str">
        <f>VLOOKUP($C142,'All Girls &amp; Descendants - Edit'!$C$2:$AK$440,'All Girls &amp; Descendants - Edit'!J$1,FALSE)</f>
        <v/>
      </c>
      <c r="K142" s="9"/>
      <c r="L142" t="str">
        <f>IF(M142="","",TEXT(M142,"dd/mm/yyyy"))</f>
        <v>31/03/2022</v>
      </c>
      <c r="M142" s="3">
        <f>VLOOKUP($C142,'All Girls &amp; Descendants - Edit'!$C$2:$AK$440,'All Girls &amp; Descendants - Edit'!M$1,FALSE)</f>
        <v>44651</v>
      </c>
      <c r="N142" s="3" t="str">
        <f>IF(VLOOKUP($C142,'All Girls &amp; Descendants - Edit'!$C$2:$AK$440,'All Girls &amp; Descendants - Edit'!N$1,FALSE)=""," - ",(VLOOKUP($C142,'All Girls &amp; Descendants - Edit'!$C$2:$AK$440,'All Girls &amp; Descendants - Edit'!N$1,FALSE)))</f>
        <v xml:space="preserve"> - </v>
      </c>
      <c r="O142" s="3" t="str">
        <f>IF(VLOOKUP($C142,'All Girls &amp; Descendants - Edit'!$C$2:$AK$440,'All Girls &amp; Descendants - Edit'!O$1,FALSE)="","",(VLOOKUP($C142,'All Girls &amp; Descendants - Edit'!$C$2:$AK$440,'All Girls &amp; Descendants - Edit'!O$1,FALSE)))</f>
        <v/>
      </c>
      <c r="P142" s="3" t="str">
        <f>IF(O142="","",TEXT(O142,"dd/mm/yyyy"))</f>
        <v/>
      </c>
      <c r="Q142" s="178" t="str">
        <f>MID(C142,1,LEN(C142)-1)</f>
        <v>168</v>
      </c>
      <c r="R142" s="23"/>
      <c r="S142" t="str">
        <f>VLOOKUP($C142,'All Girls &amp; Descendants - Edit'!$C$2:$AK$440,'All Girls &amp; Descendants - Edit'!S$1,FALSE)</f>
        <v>Female</v>
      </c>
      <c r="T142" s="176">
        <f>IF(B142&lt;10,V142+U142-1,IF(AND(B142&gt;=10,B142&lt;100),V142+U142-2,IF(B142&gt;=100,V142+U142-3)))</f>
        <v>8</v>
      </c>
      <c r="U142" s="176">
        <f>LEN(C142)</f>
        <v>4</v>
      </c>
      <c r="V142" s="176">
        <f>VLOOKUP(B142,Generation,2,FALSE)</f>
        <v>7</v>
      </c>
      <c r="W142" s="177">
        <f>IF(LEN(C142)-IF(B142&lt;10,1,IF(AND(B142&gt;9,B142&lt;100),2,3))=1,1,IF(LEN(C142)-IF(B142&lt;10,1,IF(AND(B142&gt;9,B142&lt;100),2,3))=0,"SELF",LEN(C142)-IF(B142&lt;10,1,IF(AND(B142&gt;9,B142&lt;100),2,3))))</f>
        <v>1</v>
      </c>
      <c r="X142" s="3" t="str">
        <f>IF(VLOOKUP($C142,'All Girls &amp; Descendants - Edit'!$C$2:$AK$440,'All Girls &amp; Descendants - Edit'!X$1,FALSE)=""," - ",(VLOOKUP($C142,'All Girls &amp; Descendants - Edit'!$C$2:$AK$440,'All Girls &amp; Descendants - Edit'!X$1,FALSE)))</f>
        <v xml:space="preserve"> - </v>
      </c>
      <c r="Y142" s="3" t="str">
        <f>IF(VLOOKUP($C142,'All Girls &amp; Descendants - Edit'!$C$2:$AK$440,'All Girls &amp; Descendants - Edit'!Y$1,FALSE)=""," - ",(VLOOKUP($C142,'All Girls &amp; Descendants - Edit'!$C$2:$AK$440,'All Girls &amp; Descendants - Edit'!Y$1,FALSE)))</f>
        <v xml:space="preserve"> - </v>
      </c>
      <c r="Z142" s="3" t="str">
        <f>IF(VLOOKUP($C142,'All Girls &amp; Descendants - Edit'!$C$2:$AK$440,'All Girls &amp; Descendants - Edit'!Z$1,FALSE)=""," - ",(VLOOKUP($C142,'All Girls &amp; Descendants - Edit'!$C$2:$AK$440,'All Girls &amp; Descendants - Edit'!Z$1,FALSE)))</f>
        <v xml:space="preserve"> - </v>
      </c>
      <c r="AA142" s="101">
        <f>IF(VLOOKUP($C142,'All Girls &amp; Descendants - Edit'!$C$2:$AK$440,'All Girls &amp; Descendants - Edit'!AA$1,FALSE)=""," - ",(VLOOKUP($C142,'All Girls &amp; Descendants - Edit'!$C$2:$AK$440,'All Girls &amp; Descendants - Edit'!AA$1,FALSE)))</f>
        <v>370</v>
      </c>
      <c r="AB142" s="101">
        <f>IF(VLOOKUP($C142,'All Girls &amp; Descendants - Edit'!$C$2:$AK$440,'All Girls &amp; Descendants - Edit'!AB$1,FALSE)=""," - ",(VLOOKUP($C142,'All Girls &amp; Descendants - Edit'!$C$2:$AK$440,'All Girls &amp; Descendants - Edit'!AB$1,FALSE)))</f>
        <v>141</v>
      </c>
      <c r="AC142" s="101">
        <f>IF(VLOOKUP($C142,'All Girls &amp; Descendants - Edit'!$C$2:$AK$440,'All Girls &amp; Descendants - Edit'!AC$1,FALSE)=""," - ",(VLOOKUP($C142,'All Girls &amp; Descendants - Edit'!$C$2:$AK$440,'All Girls &amp; Descendants - Edit'!AC$1,FALSE)))</f>
        <v>1141</v>
      </c>
      <c r="AD142" s="3" t="str">
        <f>IF(VLOOKUP($C142,'All Girls &amp; Descendants - Edit'!$C$2:$AK$440,'All Girls &amp; Descendants - Edit'!AD$1,FALSE)=""," - ",(VLOOKUP($C142,'All Girls &amp; Descendants - Edit'!$C$2:$AK$440,'All Girls &amp; Descendants - Edit'!AD$1,FALSE)))</f>
        <v>168b</v>
      </c>
      <c r="AE142" s="3" t="str">
        <f>IF(VLOOKUP($C142,'All Girls &amp; Descendants - Edit'!$C$2:$AK$440,'All Girls &amp; Descendants - Edit'!AE$1,FALSE)=""," - ",(VLOOKUP($C142,'All Girls &amp; Descendants - Edit'!$C$2:$AK$440,'All Girls &amp; Descendants - Edit'!AE$1,FALSE)))</f>
        <v>Florence Sofia Berners POWELL  (2022 - )</v>
      </c>
      <c r="AF142" s="3" t="str">
        <f>IF(VLOOKUP($C142,'All Girls &amp; Descendants - Edit'!$C$2:$AK$440,'All Girls &amp; Descendants - Edit'!AF$1,FALSE)=""," - ",(VLOOKUP($C142,'All Girls &amp; Descendants - Edit'!$C$2:$AK$440,'All Girls &amp; Descendants - Edit'!AF$1,FALSE)))</f>
        <v>Florence POWELL  (8th &amp; 168)</v>
      </c>
      <c r="AG142" s="3" t="str">
        <f>IF(VLOOKUP($C142,'All Girls &amp; Descendants - Edit'!$C$2:$AK$440,'All Girls &amp; Descendants - Edit'!AG$1,FALSE)=""," - ",(VLOOKUP($C142,'All Girls &amp; Descendants - Edit'!$C$2:$AK$440,'All Girls &amp; Descendants - Edit'!AG$1,FALSE)))</f>
        <v>Female</v>
      </c>
      <c r="AH142" s="3" t="str">
        <f>IF(VLOOKUP($C142,'All Girls &amp; Descendants - Edit'!$C$2:$AK$440,'All Girls &amp; Descendants - Edit'!AH$1,FALSE)=""," - ",(VLOOKUP($C142,'All Girls &amp; Descendants - Edit'!$C$2:$AK$440,'All Girls &amp; Descendants - Edit'!AH$1,FALSE)))</f>
        <v>8th</v>
      </c>
      <c r="AI142" s="3" t="str">
        <f>IF(VLOOKUP($C142,'All Girls &amp; Descendants - Edit'!$C$2:$AK$440,'All Girls &amp; Descendants - Edit'!AI$1,FALSE)=""," - ",(VLOOKUP($C142,'All Girls &amp; Descendants - Edit'!$C$2:$AK$440,'All Girls &amp; Descendants - Edit'!AI$1,FALSE)))</f>
        <v>Unmarried</v>
      </c>
      <c r="AJ142" s="3" t="str">
        <f>IF(VLOOKUP($C142,'All Girls &amp; Descendants - Edit'!$C$2:$AK$440,'All Girls &amp; Descendants - Edit'!AJ$1,FALSE)=""," - ",(VLOOKUP($C142,'All Girls &amp; Descendants - Edit'!$C$2:$AK$440,'All Girls &amp; Descendants - Edit'!AJ$1,FALSE)))</f>
        <v>Female. b. 31/03/2022</v>
      </c>
      <c r="AK142" s="3" t="str">
        <f>IF(VLOOKUP($C142,'All Girls &amp; Descendants - Edit'!$C$2:$AK$440,'All Girls &amp; Descendants - Edit'!AK$1,FALSE)=""," - ",(VLOOKUP($C142,'All Girls &amp; Descendants - Edit'!$C$2:$AK$440,'All Girls &amp; Descendants - Edit'!AK$1,FALSE)))</f>
        <v>b. 31/03/2022</v>
      </c>
    </row>
    <row r="143" spans="1:37" ht="19">
      <c r="A143">
        <f>VLOOKUP(B143,'Loyd List 1-190 - Edit'!$P$1:$R$219,3,FALSE)</f>
        <v>138</v>
      </c>
      <c r="B143">
        <f>'All Girls &amp; Descendants - Edit'!B144</f>
        <v>170</v>
      </c>
      <c r="C143" s="98" t="str">
        <f>'All Girls &amp; Descendants - Edit'!C144</f>
        <v>170a</v>
      </c>
      <c r="D143" s="2" t="str">
        <f>'All Girls &amp; Descendants - Edit'!D144</f>
        <v>POWELL</v>
      </c>
      <c r="E143" t="str">
        <f>'All Girls &amp; Descendants - Edit'!E144</f>
        <v>Angus</v>
      </c>
      <c r="F143" t="str">
        <f>IF('All Girls &amp; Descendants - Edit'!F144="","",'All Girls &amp; Descendants - Edit'!F144)</f>
        <v>Thomas</v>
      </c>
      <c r="G143" t="str">
        <f>IF('All Girls &amp; Descendants - Edit'!G144="","",'All Girls &amp; Descendants - Edit'!G144)</f>
        <v>Folliott</v>
      </c>
      <c r="H143" t="str">
        <f>IF('All Girls &amp; Descendants - Edit'!H144="","",'All Girls &amp; Descendants - Edit'!H144)</f>
        <v/>
      </c>
      <c r="I143">
        <f>VLOOKUP($C143,'All Girls &amp; Descendants - Edit'!$C$2:$AK$440,'All Girls &amp; Descendants - Edit'!I$1,FALSE)</f>
        <v>2021</v>
      </c>
      <c r="J143" t="str">
        <f>VLOOKUP($C143,'All Girls &amp; Descendants - Edit'!$C$2:$AK$440,'All Girls &amp; Descendants - Edit'!J$1,FALSE)</f>
        <v/>
      </c>
      <c r="K143" s="9"/>
      <c r="L143" t="str">
        <f t="shared" si="18"/>
        <v>27/06/2021</v>
      </c>
      <c r="M143" s="3">
        <f>VLOOKUP($C143,'All Girls &amp; Descendants - Edit'!$C$2:$AK$440,'All Girls &amp; Descendants - Edit'!M$1,FALSE)</f>
        <v>44374</v>
      </c>
      <c r="N143" s="3" t="str">
        <f>IF(VLOOKUP($C143,'All Girls &amp; Descendants - Edit'!$C$2:$AK$440,'All Girls &amp; Descendants - Edit'!N$1,FALSE)=""," - ",(VLOOKUP($C143,'All Girls &amp; Descendants - Edit'!$C$2:$AK$440,'All Girls &amp; Descendants - Edit'!N$1,FALSE)))</f>
        <v xml:space="preserve"> - </v>
      </c>
      <c r="O143" s="3" t="str">
        <f>IF(VLOOKUP($C143,'All Girls &amp; Descendants - Edit'!$C$2:$AK$440,'All Girls &amp; Descendants - Edit'!O$1,FALSE)="","",(VLOOKUP($C143,'All Girls &amp; Descendants - Edit'!$C$2:$AK$440,'All Girls &amp; Descendants - Edit'!O$1,FALSE)))</f>
        <v/>
      </c>
      <c r="P143" s="3" t="str">
        <f t="shared" si="19"/>
        <v/>
      </c>
      <c r="Q143" s="178" t="str">
        <f t="shared" si="20"/>
        <v>170</v>
      </c>
      <c r="R143" s="23"/>
      <c r="S143" t="str">
        <f>VLOOKUP($C143,'All Girls &amp; Descendants - Edit'!$C$2:$AK$440,'All Girls &amp; Descendants - Edit'!S$1,FALSE)</f>
        <v>Male</v>
      </c>
      <c r="T143" s="176">
        <f t="shared" si="17"/>
        <v>8</v>
      </c>
      <c r="U143" s="176">
        <f t="shared" si="21"/>
        <v>4</v>
      </c>
      <c r="V143" s="176">
        <f t="shared" si="22"/>
        <v>7</v>
      </c>
      <c r="W143" s="177">
        <f t="shared" si="23"/>
        <v>1</v>
      </c>
      <c r="X143" s="3" t="str">
        <f>IF(VLOOKUP($C143,'All Girls &amp; Descendants - Edit'!$C$2:$AK$440,'All Girls &amp; Descendants - Edit'!X$1,FALSE)=""," - ",(VLOOKUP($C143,'All Girls &amp; Descendants - Edit'!$C$2:$AK$440,'All Girls &amp; Descendants - Edit'!X$1,FALSE)))</f>
        <v xml:space="preserve"> - </v>
      </c>
      <c r="Y143" s="3" t="str">
        <f>IF(VLOOKUP($C143,'All Girls &amp; Descendants - Edit'!$C$2:$AK$440,'All Girls &amp; Descendants - Edit'!Y$1,FALSE)=""," - ",(VLOOKUP($C143,'All Girls &amp; Descendants - Edit'!$C$2:$AK$440,'All Girls &amp; Descendants - Edit'!Y$1,FALSE)))</f>
        <v xml:space="preserve"> - </v>
      </c>
      <c r="Z143" s="3" t="str">
        <f>IF(VLOOKUP($C143,'All Girls &amp; Descendants - Edit'!$C$2:$AK$440,'All Girls &amp; Descendants - Edit'!Z$1,FALSE)=""," - ",(VLOOKUP($C143,'All Girls &amp; Descendants - Edit'!$C$2:$AK$440,'All Girls &amp; Descendants - Edit'!Z$1,FALSE)))</f>
        <v xml:space="preserve"> - </v>
      </c>
      <c r="AA143" s="101">
        <f>IF(VLOOKUP($C143,'All Girls &amp; Descendants - Edit'!$C$2:$AK$440,'All Girls &amp; Descendants - Edit'!AA$1,FALSE)=""," - ",(VLOOKUP($C143,'All Girls &amp; Descendants - Edit'!$C$2:$AK$440,'All Girls &amp; Descendants - Edit'!AA$1,FALSE)))</f>
        <v>371</v>
      </c>
      <c r="AB143" s="101">
        <f>IF(VLOOKUP($C143,'All Girls &amp; Descendants - Edit'!$C$2:$AK$440,'All Girls &amp; Descendants - Edit'!AB$1,FALSE)=""," - ",(VLOOKUP($C143,'All Girls &amp; Descendants - Edit'!$C$2:$AK$440,'All Girls &amp; Descendants - Edit'!AB$1,FALSE)))</f>
        <v>142</v>
      </c>
      <c r="AC143" s="101">
        <f>IF(VLOOKUP($C143,'All Girls &amp; Descendants - Edit'!$C$2:$AK$440,'All Girls &amp; Descendants - Edit'!AC$1,FALSE)=""," - ",(VLOOKUP($C143,'All Girls &amp; Descendants - Edit'!$C$2:$AK$440,'All Girls &amp; Descendants - Edit'!AC$1,FALSE)))</f>
        <v>1142</v>
      </c>
      <c r="AD143" s="3" t="str">
        <f>IF(VLOOKUP($C143,'All Girls &amp; Descendants - Edit'!$C$2:$AK$440,'All Girls &amp; Descendants - Edit'!AD$1,FALSE)=""," - ",(VLOOKUP($C143,'All Girls &amp; Descendants - Edit'!$C$2:$AK$440,'All Girls &amp; Descendants - Edit'!AD$1,FALSE)))</f>
        <v>170a</v>
      </c>
      <c r="AE143" s="3" t="str">
        <f>IF(VLOOKUP($C143,'All Girls &amp; Descendants - Edit'!$C$2:$AK$440,'All Girls &amp; Descendants - Edit'!AE$1,FALSE)=""," - ",(VLOOKUP($C143,'All Girls &amp; Descendants - Edit'!$C$2:$AK$440,'All Girls &amp; Descendants - Edit'!AE$1,FALSE)))</f>
        <v>Angus Thomas Folliott POWELL (2021 - )</v>
      </c>
      <c r="AF143" s="3" t="str">
        <f>IF(VLOOKUP($C143,'All Girls &amp; Descendants - Edit'!$C$2:$AK$440,'All Girls &amp; Descendants - Edit'!AF$1,FALSE)=""," - ",(VLOOKUP($C143,'All Girls &amp; Descendants - Edit'!$C$2:$AK$440,'All Girls &amp; Descendants - Edit'!AF$1,FALSE)))</f>
        <v>Angus POWELL (8th &amp; 170)</v>
      </c>
      <c r="AG143" s="3" t="str">
        <f>IF(VLOOKUP($C143,'All Girls &amp; Descendants - Edit'!$C$2:$AK$440,'All Girls &amp; Descendants - Edit'!AG$1,FALSE)=""," - ",(VLOOKUP($C143,'All Girls &amp; Descendants - Edit'!$C$2:$AK$440,'All Girls &amp; Descendants - Edit'!AG$1,FALSE)))</f>
        <v>Male</v>
      </c>
      <c r="AH143" s="3" t="str">
        <f>IF(VLOOKUP($C143,'All Girls &amp; Descendants - Edit'!$C$2:$AK$440,'All Girls &amp; Descendants - Edit'!AH$1,FALSE)=""," - ",(VLOOKUP($C143,'All Girls &amp; Descendants - Edit'!$C$2:$AK$440,'All Girls &amp; Descendants - Edit'!AH$1,FALSE)))</f>
        <v>8th</v>
      </c>
      <c r="AI143" s="3" t="str">
        <f>IF(VLOOKUP($C143,'All Girls &amp; Descendants - Edit'!$C$2:$AK$440,'All Girls &amp; Descendants - Edit'!AI$1,FALSE)=""," - ",(VLOOKUP($C143,'All Girls &amp; Descendants - Edit'!$C$2:$AK$440,'All Girls &amp; Descendants - Edit'!AI$1,FALSE)))</f>
        <v>Unmarried</v>
      </c>
      <c r="AJ143" s="3" t="str">
        <f>IF(VLOOKUP($C143,'All Girls &amp; Descendants - Edit'!$C$2:$AK$440,'All Girls &amp; Descendants - Edit'!AJ$1,FALSE)=""," - ",(VLOOKUP($C143,'All Girls &amp; Descendants - Edit'!$C$2:$AK$440,'All Girls &amp; Descendants - Edit'!AJ$1,FALSE)))</f>
        <v>Male. b. 27/06/2021</v>
      </c>
      <c r="AK143" s="3" t="str">
        <f>IF(VLOOKUP($C143,'All Girls &amp; Descendants - Edit'!$C$2:$AK$440,'All Girls &amp; Descendants - Edit'!AK$1,FALSE)=""," - ",(VLOOKUP($C143,'All Girls &amp; Descendants - Edit'!$C$2:$AK$440,'All Girls &amp; Descendants - Edit'!AK$1,FALSE)))</f>
        <v>b. 27/06/2021</v>
      </c>
    </row>
    <row r="144" spans="1:37" ht="19">
      <c r="A144">
        <f>VLOOKUP(B144,'Loyd List 1-190 - Edit'!$P$1:$R$219,3,FALSE)</f>
        <v>1</v>
      </c>
      <c r="B144">
        <f>'All Girls &amp; Descendants - Edit'!B145</f>
        <v>2</v>
      </c>
      <c r="C144" s="98" t="str">
        <f>'All Girls &amp; Descendants - Edit'!C145</f>
        <v>2aa</v>
      </c>
      <c r="D144" s="2" t="str">
        <f>'All Girls &amp; Descendants - Edit'!D145</f>
        <v>DAVIES</v>
      </c>
      <c r="E144" t="str">
        <f>'All Girls &amp; Descendants - Edit'!E145</f>
        <v>William</v>
      </c>
      <c r="F144" t="str">
        <f>IF('All Girls &amp; Descendants - Edit'!F145="","",'All Girls &amp; Descendants - Edit'!F145)</f>
        <v/>
      </c>
      <c r="G144" t="str">
        <f>IF('All Girls &amp; Descendants - Edit'!G145="","",'All Girls &amp; Descendants - Edit'!G145)</f>
        <v/>
      </c>
      <c r="H144" t="str">
        <f>IF('All Girls &amp; Descendants - Edit'!H145="","",'All Girls &amp; Descendants - Edit'!H145)</f>
        <v/>
      </c>
      <c r="I144" t="str">
        <f>VLOOKUP($C144,'All Girls &amp; Descendants - Edit'!$C$2:$AK$440,'All Girls &amp; Descendants - Edit'!I$1,FALSE)</f>
        <v>Date unknown</v>
      </c>
      <c r="J144">
        <f>VLOOKUP($C144,'All Girls &amp; Descendants - Edit'!$C$2:$AK$440,'All Girls &amp; Descendants - Edit'!J$1,FALSE)</f>
        <v>1908</v>
      </c>
      <c r="K144" s="9"/>
      <c r="L144" t="str">
        <f t="shared" si="18"/>
        <v>Date unknown</v>
      </c>
      <c r="M144" s="3" t="str">
        <f>VLOOKUP($C144,'All Girls &amp; Descendants - Edit'!$C$2:$AK$440,'All Girls &amp; Descendants - Edit'!M$1,FALSE)</f>
        <v>Date unknown</v>
      </c>
      <c r="N144" s="3" t="str">
        <f>IF(VLOOKUP($C144,'All Girls &amp; Descendants - Edit'!$C$2:$AK$440,'All Girls &amp; Descendants - Edit'!N$1,FALSE)=""," - ",(VLOOKUP($C144,'All Girls &amp; Descendants - Edit'!$C$2:$AK$440,'All Girls &amp; Descendants - Edit'!N$1,FALSE)))</f>
        <v xml:space="preserve"> - </v>
      </c>
      <c r="O144" s="3">
        <f>IF(VLOOKUP($C144,'All Girls &amp; Descendants - Edit'!$C$2:$AK$440,'All Girls &amp; Descendants - Edit'!O$1,FALSE)="","",(VLOOKUP($C144,'All Girls &amp; Descendants - Edit'!$C$2:$AK$440,'All Girls &amp; Descendants - Edit'!O$1,FALSE)))</f>
        <v>2982</v>
      </c>
      <c r="P144" s="3" t="str">
        <f t="shared" si="19"/>
        <v>29/02/1908</v>
      </c>
      <c r="Q144" s="178" t="str">
        <f t="shared" si="20"/>
        <v>2a</v>
      </c>
      <c r="R144" s="23"/>
      <c r="S144" t="str">
        <f>VLOOKUP($C144,'All Girls &amp; Descendants - Edit'!$C$2:$AK$440,'All Girls &amp; Descendants - Edit'!S$1,FALSE)</f>
        <v>Male</v>
      </c>
      <c r="T144" s="176">
        <f t="shared" si="17"/>
        <v>3</v>
      </c>
      <c r="U144" s="176">
        <f t="shared" si="21"/>
        <v>3</v>
      </c>
      <c r="V144" s="176">
        <f t="shared" si="22"/>
        <v>1</v>
      </c>
      <c r="W144" s="177">
        <f t="shared" si="23"/>
        <v>2</v>
      </c>
      <c r="X144" s="3" t="str">
        <f>IF(VLOOKUP($C144,'All Girls &amp; Descendants - Edit'!$C$2:$AK$440,'All Girls &amp; Descendants - Edit'!X$1,FALSE)=""," - ",(VLOOKUP($C144,'All Girls &amp; Descendants - Edit'!$C$2:$AK$440,'All Girls &amp; Descendants - Edit'!X$1,FALSE)))</f>
        <v xml:space="preserve"> - </v>
      </c>
      <c r="Y144" s="3" t="str">
        <f>IF(VLOOKUP($C144,'All Girls &amp; Descendants - Edit'!$C$2:$AK$440,'All Girls &amp; Descendants - Edit'!Y$1,FALSE)=""," - ",(VLOOKUP($C144,'All Girls &amp; Descendants - Edit'!$C$2:$AK$440,'All Girls &amp; Descendants - Edit'!Y$1,FALSE)))</f>
        <v xml:space="preserve"> - </v>
      </c>
      <c r="Z144" s="3" t="str">
        <f>IF(VLOOKUP($C144,'All Girls &amp; Descendants - Edit'!$C$2:$AK$440,'All Girls &amp; Descendants - Edit'!Z$1,FALSE)=""," - ",(VLOOKUP($C144,'All Girls &amp; Descendants - Edit'!$C$2:$AK$440,'All Girls &amp; Descendants - Edit'!Z$1,FALSE)))</f>
        <v>William DAVIES of Cwm-y-to fach from before 1865 to after 1874, and then of Garth Farm on Blaenos estate overlooking Llandovery. (In 1910 farm occupied by his widow, 2 sons and 2 daughters).</v>
      </c>
      <c r="AA144" s="101">
        <f>IF(VLOOKUP($C144,'All Girls &amp; Descendants - Edit'!$C$2:$AK$440,'All Girls &amp; Descendants - Edit'!AA$1,FALSE)=""," - ",(VLOOKUP($C144,'All Girls &amp; Descendants - Edit'!$C$2:$AK$440,'All Girls &amp; Descendants - Edit'!AA$1,FALSE)))</f>
        <v>2</v>
      </c>
      <c r="AB144" s="101">
        <f>IF(VLOOKUP($C144,'All Girls &amp; Descendants - Edit'!$C$2:$AK$440,'All Girls &amp; Descendants - Edit'!AB$1,FALSE)=""," - ",(VLOOKUP($C144,'All Girls &amp; Descendants - Edit'!$C$2:$AK$440,'All Girls &amp; Descendants - Edit'!AB$1,FALSE)))</f>
        <v>1</v>
      </c>
      <c r="AC144" s="101">
        <f>IF(VLOOKUP($C144,'All Girls &amp; Descendants - Edit'!$C$2:$AK$440,'All Girls &amp; Descendants - Edit'!AC$1,FALSE)=""," - ",(VLOOKUP($C144,'All Girls &amp; Descendants - Edit'!$C$2:$AK$440,'All Girls &amp; Descendants - Edit'!AC$1,FALSE)))</f>
        <v>2001</v>
      </c>
      <c r="AD144" s="3" t="str">
        <f>IF(VLOOKUP($C144,'All Girls &amp; Descendants - Edit'!$C$2:$AK$440,'All Girls &amp; Descendants - Edit'!AD$1,FALSE)=""," - ",(VLOOKUP($C144,'All Girls &amp; Descendants - Edit'!$C$2:$AK$440,'All Girls &amp; Descendants - Edit'!AD$1,FALSE)))</f>
        <v>2aa</v>
      </c>
      <c r="AE144" s="3" t="str">
        <f>IF(VLOOKUP($C144,'All Girls &amp; Descendants - Edit'!$C$2:$AK$440,'All Girls &amp; Descendants - Edit'!AE$1,FALSE)=""," - ",(VLOOKUP($C144,'All Girls &amp; Descendants - Edit'!$C$2:$AK$440,'All Girls &amp; Descendants - Edit'!AE$1,FALSE)))</f>
        <v>William   DAVIES (Date unknown - 1908)</v>
      </c>
      <c r="AF144" s="3" t="str">
        <f>IF(VLOOKUP($C144,'All Girls &amp; Descendants - Edit'!$C$2:$AK$440,'All Girls &amp; Descendants - Edit'!AF$1,FALSE)=""," - ",(VLOOKUP($C144,'All Girls &amp; Descendants - Edit'!$C$2:$AK$440,'All Girls &amp; Descendants - Edit'!AF$1,FALSE)))</f>
        <v>William DAVIES (3rd &amp; 2)</v>
      </c>
      <c r="AG144" s="3" t="str">
        <f>IF(VLOOKUP($C144,'All Girls &amp; Descendants - Edit'!$C$2:$AK$440,'All Girls &amp; Descendants - Edit'!AG$1,FALSE)=""," - ",(VLOOKUP($C144,'All Girls &amp; Descendants - Edit'!$C$2:$AK$440,'All Girls &amp; Descendants - Edit'!AG$1,FALSE)))</f>
        <v>Male</v>
      </c>
      <c r="AH144" s="3" t="str">
        <f>IF(VLOOKUP($C144,'All Girls &amp; Descendants - Edit'!$C$2:$AK$440,'All Girls &amp; Descendants - Edit'!AH$1,FALSE)=""," - ",(VLOOKUP($C144,'All Girls &amp; Descendants - Edit'!$C$2:$AK$440,'All Girls &amp; Descendants - Edit'!AH$1,FALSE)))</f>
        <v>3rd</v>
      </c>
      <c r="AI144" s="3" t="str">
        <f>IF(VLOOKUP($C144,'All Girls &amp; Descendants - Edit'!$C$2:$AK$440,'All Girls &amp; Descendants - Edit'!AI$1,FALSE)=""," - ",(VLOOKUP($C144,'All Girls &amp; Descendants - Edit'!$C$2:$AK$440,'All Girls &amp; Descendants - Edit'!AI$1,FALSE)))</f>
        <v>Wife: Morgan Price PROTHEROE (b. 1816, d. 1882). Wedding at Cilycwm</v>
      </c>
      <c r="AJ144" s="3" t="str">
        <f>IF(VLOOKUP($C144,'All Girls &amp; Descendants - Edit'!$C$2:$AK$440,'All Girls &amp; Descendants - Edit'!AJ$1,FALSE)=""," - ",(VLOOKUP($C144,'All Girls &amp; Descendants - Edit'!$C$2:$AK$440,'All Girls &amp; Descendants - Edit'!AJ$1,FALSE)))</f>
        <v>Male. b. Date unknown, d. 29/02/1908. William DAVIES of Cwm-y-to fach from before 1865 to after 1874, and then of Garth Farm on Blaenos estate overlooking Llandovery. (In 1910 farm occupied by his widow, 2 sons and 2 daughters).</v>
      </c>
      <c r="AK144" s="3" t="str">
        <f>IF(VLOOKUP($C144,'All Girls &amp; Descendants - Edit'!$C$2:$AK$440,'All Girls &amp; Descendants - Edit'!AK$1,FALSE)=""," - ",(VLOOKUP($C144,'All Girls &amp; Descendants - Edit'!$C$2:$AK$440,'All Girls &amp; Descendants - Edit'!AK$1,FALSE)))</f>
        <v>b. Date unknown, d. 29/02/1908.</v>
      </c>
    </row>
    <row r="145" spans="1:37" ht="19">
      <c r="A145">
        <f>VLOOKUP(B145,'Loyd List 1-190 - Edit'!$P$1:$R$219,3,FALSE)</f>
        <v>1</v>
      </c>
      <c r="B145">
        <f>'All Girls &amp; Descendants - Edit'!B146</f>
        <v>2</v>
      </c>
      <c r="C145" s="98" t="str">
        <f>'All Girls &amp; Descendants - Edit'!C146</f>
        <v>2ca</v>
      </c>
      <c r="D145" s="2" t="str">
        <f>'All Girls &amp; Descendants - Edit'!D146</f>
        <v>DAVIES</v>
      </c>
      <c r="E145" t="str">
        <f>'All Girls &amp; Descendants - Edit'!E146</f>
        <v>Catherine</v>
      </c>
      <c r="F145" t="str">
        <f>IF('All Girls &amp; Descendants - Edit'!F146="","",'All Girls &amp; Descendants - Edit'!F146)</f>
        <v/>
      </c>
      <c r="G145" t="str">
        <f>IF('All Girls &amp; Descendants - Edit'!G146="","",'All Girls &amp; Descendants - Edit'!G146)</f>
        <v/>
      </c>
      <c r="H145" t="str">
        <f>IF('All Girls &amp; Descendants - Edit'!H146="","",'All Girls &amp; Descendants - Edit'!H146)</f>
        <v/>
      </c>
      <c r="I145">
        <f>VLOOKUP($C145,'All Girls &amp; Descendants - Edit'!$C$2:$AK$440,'All Girls &amp; Descendants - Edit'!I$1,FALSE)</f>
        <v>1829</v>
      </c>
      <c r="J145">
        <f>VLOOKUP($C145,'All Girls &amp; Descendants - Edit'!$C$2:$AK$440,'All Girls &amp; Descendants - Edit'!J$1,FALSE)</f>
        <v>1866</v>
      </c>
      <c r="K145" s="9"/>
      <c r="L145" t="str">
        <f t="shared" si="18"/>
        <v>09/10/1829</v>
      </c>
      <c r="M145" s="3" t="str">
        <f>VLOOKUP($C145,'All Girls &amp; Descendants - Edit'!$C$2:$AK$440,'All Girls &amp; Descendants - Edit'!M$1,FALSE)</f>
        <v>09/10/1829</v>
      </c>
      <c r="N145" s="3" t="str">
        <f>IF(VLOOKUP($C145,'All Girls &amp; Descendants - Edit'!$C$2:$AK$440,'All Girls &amp; Descendants - Edit'!N$1,FALSE)=""," - ",(VLOOKUP($C145,'All Girls &amp; Descendants - Edit'!$C$2:$AK$440,'All Girls &amp; Descendants - Edit'!N$1,FALSE)))</f>
        <v>26/09/1851</v>
      </c>
      <c r="O145" s="3" t="str">
        <f>IF(VLOOKUP($C145,'All Girls &amp; Descendants - Edit'!$C$2:$AK$440,'All Girls &amp; Descendants - Edit'!O$1,FALSE)="","",(VLOOKUP($C145,'All Girls &amp; Descendants - Edit'!$C$2:$AK$440,'All Girls &amp; Descendants - Edit'!O$1,FALSE)))</f>
        <v>1866</v>
      </c>
      <c r="P145" s="3" t="str">
        <f t="shared" si="19"/>
        <v>08/02/1905</v>
      </c>
      <c r="Q145" s="178" t="str">
        <f t="shared" si="20"/>
        <v>2c</v>
      </c>
      <c r="R145" s="23"/>
      <c r="S145" t="str">
        <f>VLOOKUP($C145,'All Girls &amp; Descendants - Edit'!$C$2:$AK$440,'All Girls &amp; Descendants - Edit'!S$1,FALSE)</f>
        <v>Female</v>
      </c>
      <c r="T145" s="176">
        <f t="shared" si="17"/>
        <v>3</v>
      </c>
      <c r="U145" s="176">
        <f t="shared" si="21"/>
        <v>3</v>
      </c>
      <c r="V145" s="176">
        <f t="shared" si="22"/>
        <v>1</v>
      </c>
      <c r="W145" s="177">
        <f t="shared" si="23"/>
        <v>2</v>
      </c>
      <c r="X145" s="3" t="str">
        <f>IF(VLOOKUP($C145,'All Girls &amp; Descendants - Edit'!$C$2:$AK$440,'All Girls &amp; Descendants - Edit'!X$1,FALSE)=""," - ",(VLOOKUP($C145,'All Girls &amp; Descendants - Edit'!$C$2:$AK$440,'All Girls &amp; Descendants - Edit'!X$1,FALSE)))</f>
        <v>Morgan Price PROTHEROE (b. 1816, d. 1882)</v>
      </c>
      <c r="Y145" s="3" t="str">
        <f>IF(VLOOKUP($C145,'All Girls &amp; Descendants - Edit'!$C$2:$AK$440,'All Girls &amp; Descendants - Edit'!Y$1,FALSE)=""," - ",(VLOOKUP($C145,'All Girls &amp; Descendants - Edit'!$C$2:$AK$440,'All Girls &amp; Descendants - Edit'!Y$1,FALSE)))</f>
        <v>Wedding at Cilycwm</v>
      </c>
      <c r="Z145" s="3" t="str">
        <f>IF(VLOOKUP($C145,'All Girls &amp; Descendants - Edit'!$C$2:$AK$440,'All Girls &amp; Descendants - Edit'!Z$1,FALSE)=""," - ",(VLOOKUP($C145,'All Girls &amp; Descendants - Edit'!$C$2:$AK$440,'All Girls &amp; Descendants - Edit'!Z$1,FALSE)))</f>
        <v>Baptised 9 Oct 1829 at Cilycwm.</v>
      </c>
      <c r="AA145" s="101">
        <f>IF(VLOOKUP($C145,'All Girls &amp; Descendants - Edit'!$C$2:$AK$440,'All Girls &amp; Descendants - Edit'!AA$1,FALSE)=""," - ",(VLOOKUP($C145,'All Girls &amp; Descendants - Edit'!$C$2:$AK$440,'All Girls &amp; Descendants - Edit'!AA$1,FALSE)))</f>
        <v>7</v>
      </c>
      <c r="AB145" s="101">
        <f>IF(VLOOKUP($C145,'All Girls &amp; Descendants - Edit'!$C$2:$AK$440,'All Girls &amp; Descendants - Edit'!AB$1,FALSE)=""," - ",(VLOOKUP($C145,'All Girls &amp; Descendants - Edit'!$C$2:$AK$440,'All Girls &amp; Descendants - Edit'!AB$1,FALSE)))</f>
        <v>2</v>
      </c>
      <c r="AC145" s="101">
        <f>IF(VLOOKUP($C145,'All Girls &amp; Descendants - Edit'!$C$2:$AK$440,'All Girls &amp; Descendants - Edit'!AC$1,FALSE)=""," - ",(VLOOKUP($C145,'All Girls &amp; Descendants - Edit'!$C$2:$AK$440,'All Girls &amp; Descendants - Edit'!AC$1,FALSE)))</f>
        <v>2002</v>
      </c>
      <c r="AD145" s="3" t="str">
        <f>IF(VLOOKUP($C145,'All Girls &amp; Descendants - Edit'!$C$2:$AK$440,'All Girls &amp; Descendants - Edit'!AD$1,FALSE)=""," - ",(VLOOKUP($C145,'All Girls &amp; Descendants - Edit'!$C$2:$AK$440,'All Girls &amp; Descendants - Edit'!AD$1,FALSE)))</f>
        <v>2ca</v>
      </c>
      <c r="AE145" s="3" t="str">
        <f>IF(VLOOKUP($C145,'All Girls &amp; Descendants - Edit'!$C$2:$AK$440,'All Girls &amp; Descendants - Edit'!AE$1,FALSE)=""," - ",(VLOOKUP($C145,'All Girls &amp; Descendants - Edit'!$C$2:$AK$440,'All Girls &amp; Descendants - Edit'!AE$1,FALSE)))</f>
        <v>Catherine   DAVIES (1829 - 1866)</v>
      </c>
      <c r="AF145" s="3" t="str">
        <f>IF(VLOOKUP($C145,'All Girls &amp; Descendants - Edit'!$C$2:$AK$440,'All Girls &amp; Descendants - Edit'!AF$1,FALSE)=""," - ",(VLOOKUP($C145,'All Girls &amp; Descendants - Edit'!$C$2:$AK$440,'All Girls &amp; Descendants - Edit'!AF$1,FALSE)))</f>
        <v>Catherine DAVIES (3rd &amp; 2)</v>
      </c>
      <c r="AG145" s="3" t="str">
        <f>IF(VLOOKUP($C145,'All Girls &amp; Descendants - Edit'!$C$2:$AK$440,'All Girls &amp; Descendants - Edit'!AG$1,FALSE)=""," - ",(VLOOKUP($C145,'All Girls &amp; Descendants - Edit'!$C$2:$AK$440,'All Girls &amp; Descendants - Edit'!AG$1,FALSE)))</f>
        <v>Female</v>
      </c>
      <c r="AH145" s="3" t="str">
        <f>IF(VLOOKUP($C145,'All Girls &amp; Descendants - Edit'!$C$2:$AK$440,'All Girls &amp; Descendants - Edit'!AH$1,FALSE)=""," - ",(VLOOKUP($C145,'All Girls &amp; Descendants - Edit'!$C$2:$AK$440,'All Girls &amp; Descendants - Edit'!AH$1,FALSE)))</f>
        <v>3rd</v>
      </c>
      <c r="AI145" s="3" t="str">
        <f>IF(VLOOKUP($C145,'All Girls &amp; Descendants - Edit'!$C$2:$AK$440,'All Girls &amp; Descendants - Edit'!AI$1,FALSE)=""," - ",(VLOOKUP($C145,'All Girls &amp; Descendants - Edit'!$C$2:$AK$440,'All Girls &amp; Descendants - Edit'!AI$1,FALSE)))</f>
        <v>Husband: Morgan Price PROTHEROE (b. 1816, d. 1882). Wedding at Cilycwm</v>
      </c>
      <c r="AJ145" s="3" t="str">
        <f>IF(VLOOKUP($C145,'All Girls &amp; Descendants - Edit'!$C$2:$AK$440,'All Girls &amp; Descendants - Edit'!AJ$1,FALSE)=""," - ",(VLOOKUP($C145,'All Girls &amp; Descendants - Edit'!$C$2:$AK$440,'All Girls &amp; Descendants - Edit'!AJ$1,FALSE)))</f>
        <v>Female. b. 09/10/1829, d. 1866. Baptised 9 Oct 1829 at Cilycwm.</v>
      </c>
      <c r="AK145" s="3" t="str">
        <f>IF(VLOOKUP($C145,'All Girls &amp; Descendants - Edit'!$C$2:$AK$440,'All Girls &amp; Descendants - Edit'!AK$1,FALSE)=""," - ",(VLOOKUP($C145,'All Girls &amp; Descendants - Edit'!$C$2:$AK$440,'All Girls &amp; Descendants - Edit'!AK$1,FALSE)))</f>
        <v>b. 09/10/1829, d. 1866.</v>
      </c>
    </row>
    <row r="146" spans="1:37" ht="19">
      <c r="A146">
        <f>VLOOKUP(B146,'Loyd List 1-190 - Edit'!$P$1:$R$219,3,FALSE)</f>
        <v>8</v>
      </c>
      <c r="B146">
        <f>'All Girls &amp; Descendants - Edit'!B147</f>
        <v>18</v>
      </c>
      <c r="C146" s="98" t="str">
        <f>'All Girls &amp; Descendants - Edit'!C147</f>
        <v>18ba</v>
      </c>
      <c r="D146" s="2" t="str">
        <f>'All Girls &amp; Descendants - Edit'!D147</f>
        <v>NICOL</v>
      </c>
      <c r="E146" t="str">
        <f>'All Girls &amp; Descendants - Edit'!E147</f>
        <v>Malcolm</v>
      </c>
      <c r="F146" t="str">
        <f>IF('All Girls &amp; Descendants - Edit'!F147="","",'All Girls &amp; Descendants - Edit'!F147)</f>
        <v>William</v>
      </c>
      <c r="G146" t="str">
        <f>IF('All Girls &amp; Descendants - Edit'!G147="","",'All Girls &amp; Descendants - Edit'!G147)</f>
        <v>Prout</v>
      </c>
      <c r="H146" t="str">
        <f>IF('All Girls &amp; Descendants - Edit'!H147="","",'All Girls &amp; Descendants - Edit'!H147)</f>
        <v/>
      </c>
      <c r="I146">
        <f>VLOOKUP($C146,'All Girls &amp; Descendants - Edit'!$C$2:$AK$440,'All Girls &amp; Descendants - Edit'!I$1,FALSE)</f>
        <v>1879</v>
      </c>
      <c r="J146">
        <f>VLOOKUP($C146,'All Girls &amp; Descendants - Edit'!$C$2:$AK$440,'All Girls &amp; Descendants - Edit'!J$1,FALSE)</f>
        <v>1891</v>
      </c>
      <c r="K146" s="9"/>
      <c r="L146" t="str">
        <f t="shared" si="18"/>
        <v>20/04/1879</v>
      </c>
      <c r="M146" s="3" t="str">
        <f>VLOOKUP($C146,'All Girls &amp; Descendants - Edit'!$C$2:$AK$440,'All Girls &amp; Descendants - Edit'!M$1,FALSE)</f>
        <v>20/04/1879</v>
      </c>
      <c r="N146" s="3" t="str">
        <f>IF(VLOOKUP($C146,'All Girls &amp; Descendants - Edit'!$C$2:$AK$440,'All Girls &amp; Descendants - Edit'!N$1,FALSE)=""," - ",(VLOOKUP($C146,'All Girls &amp; Descendants - Edit'!$C$2:$AK$440,'All Girls &amp; Descendants - Edit'!N$1,FALSE)))</f>
        <v>Unmarried</v>
      </c>
      <c r="O146" s="3" t="str">
        <f>IF(VLOOKUP($C146,'All Girls &amp; Descendants - Edit'!$C$2:$AK$440,'All Girls &amp; Descendants - Edit'!O$1,FALSE)="","",(VLOOKUP($C146,'All Girls &amp; Descendants - Edit'!$C$2:$AK$440,'All Girls &amp; Descendants - Edit'!O$1,FALSE)))</f>
        <v>04/04/1891</v>
      </c>
      <c r="P146" s="3" t="str">
        <f t="shared" si="19"/>
        <v>04/04/1891</v>
      </c>
      <c r="Q146" s="178" t="str">
        <f t="shared" si="20"/>
        <v>18b</v>
      </c>
      <c r="R146" s="23"/>
      <c r="S146" t="str">
        <f>VLOOKUP($C146,'All Girls &amp; Descendants - Edit'!$C$2:$AK$440,'All Girls &amp; Descendants - Edit'!S$1,FALSE)</f>
        <v>Male</v>
      </c>
      <c r="T146" s="176">
        <f t="shared" si="17"/>
        <v>4</v>
      </c>
      <c r="U146" s="176">
        <f t="shared" si="21"/>
        <v>4</v>
      </c>
      <c r="V146" s="176">
        <f t="shared" si="22"/>
        <v>2</v>
      </c>
      <c r="W146" s="177">
        <f t="shared" si="23"/>
        <v>2</v>
      </c>
      <c r="X146" s="3" t="str">
        <f>IF(VLOOKUP($C146,'All Girls &amp; Descendants - Edit'!$C$2:$AK$440,'All Girls &amp; Descendants - Edit'!X$1,FALSE)=""," - ",(VLOOKUP($C146,'All Girls &amp; Descendants - Edit'!$C$2:$AK$440,'All Girls &amp; Descendants - Edit'!X$1,FALSE)))</f>
        <v xml:space="preserve"> - </v>
      </c>
      <c r="Y146" s="3" t="str">
        <f>IF(VLOOKUP($C146,'All Girls &amp; Descendants - Edit'!$C$2:$AK$440,'All Girls &amp; Descendants - Edit'!Y$1,FALSE)=""," - ",(VLOOKUP($C146,'All Girls &amp; Descendants - Edit'!$C$2:$AK$440,'All Girls &amp; Descendants - Edit'!Y$1,FALSE)))</f>
        <v xml:space="preserve"> - </v>
      </c>
      <c r="Z146" s="3" t="str">
        <f>IF(VLOOKUP($C146,'All Girls &amp; Descendants - Edit'!$C$2:$AK$440,'All Girls &amp; Descendants - Edit'!Z$1,FALSE)=""," - ",(VLOOKUP($C146,'All Girls &amp; Descendants - Edit'!$C$2:$AK$440,'All Girls &amp; Descendants - Edit'!Z$1,FALSE)))</f>
        <v>Buried at Willesden.</v>
      </c>
      <c r="AA146" s="101">
        <f>IF(VLOOKUP($C146,'All Girls &amp; Descendants - Edit'!$C$2:$AK$440,'All Girls &amp; Descendants - Edit'!AA$1,FALSE)=""," - ",(VLOOKUP($C146,'All Girls &amp; Descendants - Edit'!$C$2:$AK$440,'All Girls &amp; Descendants - Edit'!AA$1,FALSE)))</f>
        <v>25</v>
      </c>
      <c r="AB146" s="101">
        <f>IF(VLOOKUP($C146,'All Girls &amp; Descendants - Edit'!$C$2:$AK$440,'All Girls &amp; Descendants - Edit'!AB$1,FALSE)=""," - ",(VLOOKUP($C146,'All Girls &amp; Descendants - Edit'!$C$2:$AK$440,'All Girls &amp; Descendants - Edit'!AB$1,FALSE)))</f>
        <v>3</v>
      </c>
      <c r="AC146" s="101">
        <f>IF(VLOOKUP($C146,'All Girls &amp; Descendants - Edit'!$C$2:$AK$440,'All Girls &amp; Descendants - Edit'!AC$1,FALSE)=""," - ",(VLOOKUP($C146,'All Girls &amp; Descendants - Edit'!$C$2:$AK$440,'All Girls &amp; Descendants - Edit'!AC$1,FALSE)))</f>
        <v>2003</v>
      </c>
      <c r="AD146" s="3" t="str">
        <f>IF(VLOOKUP($C146,'All Girls &amp; Descendants - Edit'!$C$2:$AK$440,'All Girls &amp; Descendants - Edit'!AD$1,FALSE)=""," - ",(VLOOKUP($C146,'All Girls &amp; Descendants - Edit'!$C$2:$AK$440,'All Girls &amp; Descendants - Edit'!AD$1,FALSE)))</f>
        <v>18ba</v>
      </c>
      <c r="AE146" s="3" t="str">
        <f>IF(VLOOKUP($C146,'All Girls &amp; Descendants - Edit'!$C$2:$AK$440,'All Girls &amp; Descendants - Edit'!AE$1,FALSE)=""," - ",(VLOOKUP($C146,'All Girls &amp; Descendants - Edit'!$C$2:$AK$440,'All Girls &amp; Descendants - Edit'!AE$1,FALSE)))</f>
        <v>Malcolm William Prout NICOL (1879 - 1891)</v>
      </c>
      <c r="AF146" s="3" t="str">
        <f>IF(VLOOKUP($C146,'All Girls &amp; Descendants - Edit'!$C$2:$AK$440,'All Girls &amp; Descendants - Edit'!AF$1,FALSE)=""," - ",(VLOOKUP($C146,'All Girls &amp; Descendants - Edit'!$C$2:$AK$440,'All Girls &amp; Descendants - Edit'!AF$1,FALSE)))</f>
        <v>Malcolm NICOL (4th &amp; 18)</v>
      </c>
      <c r="AG146" s="3" t="str">
        <f>IF(VLOOKUP($C146,'All Girls &amp; Descendants - Edit'!$C$2:$AK$440,'All Girls &amp; Descendants - Edit'!AG$1,FALSE)=""," - ",(VLOOKUP($C146,'All Girls &amp; Descendants - Edit'!$C$2:$AK$440,'All Girls &amp; Descendants - Edit'!AG$1,FALSE)))</f>
        <v>Male</v>
      </c>
      <c r="AH146" s="3" t="str">
        <f>IF(VLOOKUP($C146,'All Girls &amp; Descendants - Edit'!$C$2:$AK$440,'All Girls &amp; Descendants - Edit'!AH$1,FALSE)=""," - ",(VLOOKUP($C146,'All Girls &amp; Descendants - Edit'!$C$2:$AK$440,'All Girls &amp; Descendants - Edit'!AH$1,FALSE)))</f>
        <v>4th</v>
      </c>
      <c r="AI146" s="3" t="str">
        <f>IF(VLOOKUP($C146,'All Girls &amp; Descendants - Edit'!$C$2:$AK$440,'All Girls &amp; Descendants - Edit'!AI$1,FALSE)=""," - ",(VLOOKUP($C146,'All Girls &amp; Descendants - Edit'!$C$2:$AK$440,'All Girls &amp; Descendants - Edit'!AI$1,FALSE)))</f>
        <v>Unmarried</v>
      </c>
      <c r="AJ146" s="3" t="str">
        <f>IF(VLOOKUP($C146,'All Girls &amp; Descendants - Edit'!$C$2:$AK$440,'All Girls &amp; Descendants - Edit'!AJ$1,FALSE)=""," - ",(VLOOKUP($C146,'All Girls &amp; Descendants - Edit'!$C$2:$AK$440,'All Girls &amp; Descendants - Edit'!AJ$1,FALSE)))</f>
        <v>Male. b. 20/04/1879, d. 04/04/1891. Buried at Willesden.</v>
      </c>
      <c r="AK146" s="3" t="str">
        <f>IF(VLOOKUP($C146,'All Girls &amp; Descendants - Edit'!$C$2:$AK$440,'All Girls &amp; Descendants - Edit'!AK$1,FALSE)=""," - ",(VLOOKUP($C146,'All Girls &amp; Descendants - Edit'!$C$2:$AK$440,'All Girls &amp; Descendants - Edit'!AK$1,FALSE)))</f>
        <v>b. 20/04/1879, d. 04/04/1891.</v>
      </c>
    </row>
    <row r="147" spans="1:37" ht="19">
      <c r="A147">
        <f>VLOOKUP(B147,'Loyd List 1-190 - Edit'!$P$1:$R$219,3,FALSE)</f>
        <v>8</v>
      </c>
      <c r="B147">
        <f>'All Girls &amp; Descendants - Edit'!B148</f>
        <v>18</v>
      </c>
      <c r="C147" s="98" t="str">
        <f>'All Girls &amp; Descendants - Edit'!C148</f>
        <v>18bb</v>
      </c>
      <c r="D147" s="2" t="str">
        <f>'All Girls &amp; Descendants - Edit'!D148</f>
        <v>NICOL</v>
      </c>
      <c r="E147" t="str">
        <f>'All Girls &amp; Descendants - Edit'!E148</f>
        <v>Margery</v>
      </c>
      <c r="F147" t="str">
        <f>IF('All Girls &amp; Descendants - Edit'!F148="","",'All Girls &amp; Descendants - Edit'!F148)</f>
        <v>Catherine</v>
      </c>
      <c r="G147" t="str">
        <f>IF('All Girls &amp; Descendants - Edit'!G148="","",'All Girls &amp; Descendants - Edit'!G148)</f>
        <v/>
      </c>
      <c r="H147" t="str">
        <f>IF('All Girls &amp; Descendants - Edit'!H148="","",'All Girls &amp; Descendants - Edit'!H148)</f>
        <v/>
      </c>
      <c r="I147">
        <f>VLOOKUP($C147,'All Girls &amp; Descendants - Edit'!$C$2:$AK$440,'All Girls &amp; Descendants - Edit'!I$1,FALSE)</f>
        <v>1880</v>
      </c>
      <c r="J147">
        <f>VLOOKUP($C147,'All Girls &amp; Descendants - Edit'!$C$2:$AK$440,'All Girls &amp; Descendants - Edit'!J$1,FALSE)</f>
        <v>1963</v>
      </c>
      <c r="K147" s="9"/>
      <c r="L147" t="str">
        <f t="shared" si="18"/>
        <v>08/05/1880</v>
      </c>
      <c r="M147" s="3" t="str">
        <f>VLOOKUP($C147,'All Girls &amp; Descendants - Edit'!$C$2:$AK$440,'All Girls &amp; Descendants - Edit'!M$1,FALSE)</f>
        <v>08/05/1880</v>
      </c>
      <c r="N147" s="3">
        <f>IF(VLOOKUP($C147,'All Girls &amp; Descendants - Edit'!$C$2:$AK$440,'All Girls &amp; Descendants - Edit'!N$1,FALSE)=""," - ",(VLOOKUP($C147,'All Girls &amp; Descendants - Edit'!$C$2:$AK$440,'All Girls &amp; Descendants - Edit'!N$1,FALSE)))</f>
        <v>3764</v>
      </c>
      <c r="O147" s="3">
        <f>IF(VLOOKUP($C147,'All Girls &amp; Descendants - Edit'!$C$2:$AK$440,'All Girls &amp; Descendants - Edit'!O$1,FALSE)="","",(VLOOKUP($C147,'All Girls &amp; Descendants - Edit'!$C$2:$AK$440,'All Girls &amp; Descendants - Edit'!O$1,FALSE)))</f>
        <v>23101</v>
      </c>
      <c r="P147" s="3" t="str">
        <f t="shared" si="19"/>
        <v>31/03/1963</v>
      </c>
      <c r="Q147" s="178" t="str">
        <f t="shared" si="20"/>
        <v>18b</v>
      </c>
      <c r="R147" s="23"/>
      <c r="S147" t="str">
        <f>VLOOKUP($C147,'All Girls &amp; Descendants - Edit'!$C$2:$AK$440,'All Girls &amp; Descendants - Edit'!S$1,FALSE)</f>
        <v>Female</v>
      </c>
      <c r="T147" s="176">
        <f t="shared" si="17"/>
        <v>4</v>
      </c>
      <c r="U147" s="176">
        <f t="shared" si="21"/>
        <v>4</v>
      </c>
      <c r="V147" s="176">
        <f t="shared" si="22"/>
        <v>2</v>
      </c>
      <c r="W147" s="177">
        <f t="shared" si="23"/>
        <v>2</v>
      </c>
      <c r="X147" s="3" t="str">
        <f>IF(VLOOKUP($C147,'All Girls &amp; Descendants - Edit'!$C$2:$AK$440,'All Girls &amp; Descendants - Edit'!X$1,FALSE)=""," - ",(VLOOKUP($C147,'All Girls &amp; Descendants - Edit'!$C$2:$AK$440,'All Girls &amp; Descendants - Edit'!X$1,FALSE)))</f>
        <v>Sir George Redston WARNER (b. 18/07/1879, d. 23 Jun 1978) KCVO, CMG</v>
      </c>
      <c r="Y147" s="3" t="str">
        <f>IF(VLOOKUP($C147,'All Girls &amp; Descendants - Edit'!$C$2:$AK$440,'All Girls &amp; Descendants - Edit'!Y$1,FALSE)=""," - ",(VLOOKUP($C147,'All Girls &amp; Descendants - Edit'!$C$2:$AK$440,'All Girls &amp; Descendants - Edit'!Y$1,FALSE)))</f>
        <v>Sir George, elder son of Sir Joseph Henry WARNER.</v>
      </c>
      <c r="Z147" s="3" t="str">
        <f>IF(VLOOKUP($C147,'All Girls &amp; Descendants - Edit'!$C$2:$AK$440,'All Girls &amp; Descendants - Edit'!Z$1,FALSE)=""," - ",(VLOOKUP($C147,'All Girls &amp; Descendants - Edit'!$C$2:$AK$440,'All Girls &amp; Descendants - Edit'!Z$1,FALSE)))</f>
        <v>Buried at Compton, Winchester.</v>
      </c>
      <c r="AA147" s="101">
        <f>IF(VLOOKUP($C147,'All Girls &amp; Descendants - Edit'!$C$2:$AK$440,'All Girls &amp; Descendants - Edit'!AA$1,FALSE)=""," - ",(VLOOKUP($C147,'All Girls &amp; Descendants - Edit'!$C$2:$AK$440,'All Girls &amp; Descendants - Edit'!AA$1,FALSE)))</f>
        <v>26</v>
      </c>
      <c r="AB147" s="101">
        <f>IF(VLOOKUP($C147,'All Girls &amp; Descendants - Edit'!$C$2:$AK$440,'All Girls &amp; Descendants - Edit'!AB$1,FALSE)=""," - ",(VLOOKUP($C147,'All Girls &amp; Descendants - Edit'!$C$2:$AK$440,'All Girls &amp; Descendants - Edit'!AB$1,FALSE)))</f>
        <v>4</v>
      </c>
      <c r="AC147" s="101">
        <f>IF(VLOOKUP($C147,'All Girls &amp; Descendants - Edit'!$C$2:$AK$440,'All Girls &amp; Descendants - Edit'!AC$1,FALSE)=""," - ",(VLOOKUP($C147,'All Girls &amp; Descendants - Edit'!$C$2:$AK$440,'All Girls &amp; Descendants - Edit'!AC$1,FALSE)))</f>
        <v>2004</v>
      </c>
      <c r="AD147" s="3" t="str">
        <f>IF(VLOOKUP($C147,'All Girls &amp; Descendants - Edit'!$C$2:$AK$440,'All Girls &amp; Descendants - Edit'!AD$1,FALSE)=""," - ",(VLOOKUP($C147,'All Girls &amp; Descendants - Edit'!$C$2:$AK$440,'All Girls &amp; Descendants - Edit'!AD$1,FALSE)))</f>
        <v>18bb</v>
      </c>
      <c r="AE147" s="3" t="str">
        <f>IF(VLOOKUP($C147,'All Girls &amp; Descendants - Edit'!$C$2:$AK$440,'All Girls &amp; Descendants - Edit'!AE$1,FALSE)=""," - ",(VLOOKUP($C147,'All Girls &amp; Descendants - Edit'!$C$2:$AK$440,'All Girls &amp; Descendants - Edit'!AE$1,FALSE)))</f>
        <v>Margery Catherine  NICOL (1880 - 1963)</v>
      </c>
      <c r="AF147" s="3" t="str">
        <f>IF(VLOOKUP($C147,'All Girls &amp; Descendants - Edit'!$C$2:$AK$440,'All Girls &amp; Descendants - Edit'!AF$1,FALSE)=""," - ",(VLOOKUP($C147,'All Girls &amp; Descendants - Edit'!$C$2:$AK$440,'All Girls &amp; Descendants - Edit'!AF$1,FALSE)))</f>
        <v>Margery NICOL (4th &amp; 18)</v>
      </c>
      <c r="AG147" s="3" t="str">
        <f>IF(VLOOKUP($C147,'All Girls &amp; Descendants - Edit'!$C$2:$AK$440,'All Girls &amp; Descendants - Edit'!AG$1,FALSE)=""," - ",(VLOOKUP($C147,'All Girls &amp; Descendants - Edit'!$C$2:$AK$440,'All Girls &amp; Descendants - Edit'!AG$1,FALSE)))</f>
        <v>Female</v>
      </c>
      <c r="AH147" s="3" t="str">
        <f>IF(VLOOKUP($C147,'All Girls &amp; Descendants - Edit'!$C$2:$AK$440,'All Girls &amp; Descendants - Edit'!AH$1,FALSE)=""," - ",(VLOOKUP($C147,'All Girls &amp; Descendants - Edit'!$C$2:$AK$440,'All Girls &amp; Descendants - Edit'!AH$1,FALSE)))</f>
        <v>4th</v>
      </c>
      <c r="AI147" s="3" t="str">
        <f>IF(VLOOKUP($C147,'All Girls &amp; Descendants - Edit'!$C$2:$AK$440,'All Girls &amp; Descendants - Edit'!AI$1,FALSE)=""," - ",(VLOOKUP($C147,'All Girls &amp; Descendants - Edit'!$C$2:$AK$440,'All Girls &amp; Descendants - Edit'!AI$1,FALSE)))</f>
        <v>Husband: Sir George Redston WARNER (b. 18/07/1879, d. 23 Jun 1978) KCVO, CMG. Sir George, elder son of Sir Joseph Henry WARNER.</v>
      </c>
      <c r="AJ147" s="3" t="str">
        <f>IF(VLOOKUP($C147,'All Girls &amp; Descendants - Edit'!$C$2:$AK$440,'All Girls &amp; Descendants - Edit'!AJ$1,FALSE)=""," - ",(VLOOKUP($C147,'All Girls &amp; Descendants - Edit'!$C$2:$AK$440,'All Girls &amp; Descendants - Edit'!AJ$1,FALSE)))</f>
        <v>Female. b. 08/05/1880, d. 31/03/1963. Buried at Compton, Winchester.</v>
      </c>
      <c r="AK147" s="3" t="str">
        <f>IF(VLOOKUP($C147,'All Girls &amp; Descendants - Edit'!$C$2:$AK$440,'All Girls &amp; Descendants - Edit'!AK$1,FALSE)=""," - ",(VLOOKUP($C147,'All Girls &amp; Descendants - Edit'!$C$2:$AK$440,'All Girls &amp; Descendants - Edit'!AK$1,FALSE)))</f>
        <v>b. 08/05/1880, d. 31/03/1963.</v>
      </c>
    </row>
    <row r="148" spans="1:37" ht="19">
      <c r="A148">
        <f>VLOOKUP(B148,'Loyd List 1-190 - Edit'!$P$1:$R$219,3,FALSE)</f>
        <v>8</v>
      </c>
      <c r="B148">
        <f>'All Girls &amp; Descendants - Edit'!B149</f>
        <v>18</v>
      </c>
      <c r="C148" s="98" t="str">
        <f>'All Girls &amp; Descendants - Edit'!C149</f>
        <v>18bc</v>
      </c>
      <c r="D148" s="2" t="str">
        <f>'All Girls &amp; Descendants - Edit'!D149</f>
        <v>NICOL</v>
      </c>
      <c r="E148" t="str">
        <f>'All Girls &amp; Descendants - Edit'!E149</f>
        <v>Randall</v>
      </c>
      <c r="F148" t="str">
        <f>IF('All Girls &amp; Descendants - Edit'!F149="","",'All Girls &amp; Descendants - Edit'!F149)</f>
        <v>James</v>
      </c>
      <c r="G148" t="str">
        <f>IF('All Girls &amp; Descendants - Edit'!G149="","",'All Girls &amp; Descendants - Edit'!G149)</f>
        <v/>
      </c>
      <c r="H148" t="str">
        <f>IF('All Girls &amp; Descendants - Edit'!H149="","",'All Girls &amp; Descendants - Edit'!H149)</f>
        <v/>
      </c>
      <c r="I148">
        <f>VLOOKUP($C148,'All Girls &amp; Descendants - Edit'!$C$2:$AK$440,'All Girls &amp; Descendants - Edit'!I$1,FALSE)</f>
        <v>1882</v>
      </c>
      <c r="J148">
        <f>VLOOKUP($C148,'All Girls &amp; Descendants - Edit'!$C$2:$AK$440,'All Girls &amp; Descendants - Edit'!J$1,FALSE)</f>
        <v>1941</v>
      </c>
      <c r="K148" s="9"/>
      <c r="L148" t="str">
        <f t="shared" si="18"/>
        <v>19/08/1882</v>
      </c>
      <c r="M148" s="3" t="str">
        <f>VLOOKUP($C148,'All Girls &amp; Descendants - Edit'!$C$2:$AK$440,'All Girls &amp; Descendants - Edit'!M$1,FALSE)</f>
        <v>19/08/1882</v>
      </c>
      <c r="N148" s="3" t="str">
        <f>IF(VLOOKUP($C148,'All Girls &amp; Descendants - Edit'!$C$2:$AK$440,'All Girls &amp; Descendants - Edit'!N$1,FALSE)=""," - ",(VLOOKUP($C148,'All Girls &amp; Descendants - Edit'!$C$2:$AK$440,'All Girls &amp; Descendants - Edit'!N$1,FALSE)))</f>
        <v xml:space="preserve"> - </v>
      </c>
      <c r="O148" s="3">
        <f>IF(VLOOKUP($C148,'All Girls &amp; Descendants - Edit'!$C$2:$AK$440,'All Girls &amp; Descendants - Edit'!O$1,FALSE)="","",(VLOOKUP($C148,'All Girls &amp; Descendants - Edit'!$C$2:$AK$440,'All Girls &amp; Descendants - Edit'!O$1,FALSE)))</f>
        <v>15298</v>
      </c>
      <c r="P148" s="3" t="str">
        <f t="shared" si="19"/>
        <v>18/11/1941</v>
      </c>
      <c r="Q148" s="178" t="str">
        <f t="shared" si="20"/>
        <v>18b</v>
      </c>
      <c r="R148" s="23"/>
      <c r="S148" t="str">
        <f>VLOOKUP($C148,'All Girls &amp; Descendants - Edit'!$C$2:$AK$440,'All Girls &amp; Descendants - Edit'!S$1,FALSE)</f>
        <v>Male</v>
      </c>
      <c r="T148" s="176">
        <f t="shared" si="17"/>
        <v>4</v>
      </c>
      <c r="U148" s="176">
        <f t="shared" si="21"/>
        <v>4</v>
      </c>
      <c r="V148" s="176">
        <f t="shared" si="22"/>
        <v>2</v>
      </c>
      <c r="W148" s="177">
        <f t="shared" si="23"/>
        <v>2</v>
      </c>
      <c r="X148" s="3" t="str">
        <f>IF(VLOOKUP($C148,'All Girls &amp; Descendants - Edit'!$C$2:$AK$440,'All Girls &amp; Descendants - Edit'!X$1,FALSE)=""," - ",(VLOOKUP($C148,'All Girls &amp; Descendants - Edit'!$C$2:$AK$440,'All Girls &amp; Descendants - Edit'!X$1,FALSE)))</f>
        <v xml:space="preserve"> - </v>
      </c>
      <c r="Y148" s="3" t="str">
        <f>IF(VLOOKUP($C148,'All Girls &amp; Descendants - Edit'!$C$2:$AK$440,'All Girls &amp; Descendants - Edit'!Y$1,FALSE)=""," - ",(VLOOKUP($C148,'All Girls &amp; Descendants - Edit'!$C$2:$AK$440,'All Girls &amp; Descendants - Edit'!Y$1,FALSE)))</f>
        <v xml:space="preserve"> - </v>
      </c>
      <c r="Z148" s="3" t="str">
        <f>IF(VLOOKUP($C148,'All Girls &amp; Descendants - Edit'!$C$2:$AK$440,'All Girls &amp; Descendants - Edit'!Z$1,FALSE)=""," - ",(VLOOKUP($C148,'All Girls &amp; Descendants - Edit'!$C$2:$AK$440,'All Girls &amp; Descendants - Edit'!Z$1,FALSE)))</f>
        <v>Aberdeenshire. Educated Eton and Christ Church Oxford. Served WW1 with Argyll and Sutherland Highlanders. Awarded OBE. Died at Ballogie. Buried at Christ Church, Kincardine O’Neil.</v>
      </c>
      <c r="AA148" s="101">
        <f>IF(VLOOKUP($C148,'All Girls &amp; Descendants - Edit'!$C$2:$AK$440,'All Girls &amp; Descendants - Edit'!AA$1,FALSE)=""," - ",(VLOOKUP($C148,'All Girls &amp; Descendants - Edit'!$C$2:$AK$440,'All Girls &amp; Descendants - Edit'!AA$1,FALSE)))</f>
        <v>56</v>
      </c>
      <c r="AB148" s="101">
        <f>IF(VLOOKUP($C148,'All Girls &amp; Descendants - Edit'!$C$2:$AK$440,'All Girls &amp; Descendants - Edit'!AB$1,FALSE)=""," - ",(VLOOKUP($C148,'All Girls &amp; Descendants - Edit'!$C$2:$AK$440,'All Girls &amp; Descendants - Edit'!AB$1,FALSE)))</f>
        <v>5</v>
      </c>
      <c r="AC148" s="101">
        <f>IF(VLOOKUP($C148,'All Girls &amp; Descendants - Edit'!$C$2:$AK$440,'All Girls &amp; Descendants - Edit'!AC$1,FALSE)=""," - ",(VLOOKUP($C148,'All Girls &amp; Descendants - Edit'!$C$2:$AK$440,'All Girls &amp; Descendants - Edit'!AC$1,FALSE)))</f>
        <v>2005</v>
      </c>
      <c r="AD148" s="3" t="str">
        <f>IF(VLOOKUP($C148,'All Girls &amp; Descendants - Edit'!$C$2:$AK$440,'All Girls &amp; Descendants - Edit'!AD$1,FALSE)=""," - ",(VLOOKUP($C148,'All Girls &amp; Descendants - Edit'!$C$2:$AK$440,'All Girls &amp; Descendants - Edit'!AD$1,FALSE)))</f>
        <v>18bc</v>
      </c>
      <c r="AE148" s="3" t="str">
        <f>IF(VLOOKUP($C148,'All Girls &amp; Descendants - Edit'!$C$2:$AK$440,'All Girls &amp; Descendants - Edit'!AE$1,FALSE)=""," - ",(VLOOKUP($C148,'All Girls &amp; Descendants - Edit'!$C$2:$AK$440,'All Girls &amp; Descendants - Edit'!AE$1,FALSE)))</f>
        <v>Randall James  NICOL (1882 - 1941)</v>
      </c>
      <c r="AF148" s="3" t="str">
        <f>IF(VLOOKUP($C148,'All Girls &amp; Descendants - Edit'!$C$2:$AK$440,'All Girls &amp; Descendants - Edit'!AF$1,FALSE)=""," - ",(VLOOKUP($C148,'All Girls &amp; Descendants - Edit'!$C$2:$AK$440,'All Girls &amp; Descendants - Edit'!AF$1,FALSE)))</f>
        <v>Randall NICOL (4th &amp; 18)</v>
      </c>
      <c r="AG148" s="3" t="str">
        <f>IF(VLOOKUP($C148,'All Girls &amp; Descendants - Edit'!$C$2:$AK$440,'All Girls &amp; Descendants - Edit'!AG$1,FALSE)=""," - ",(VLOOKUP($C148,'All Girls &amp; Descendants - Edit'!$C$2:$AK$440,'All Girls &amp; Descendants - Edit'!AG$1,FALSE)))</f>
        <v>Male</v>
      </c>
      <c r="AH148" s="3" t="str">
        <f>IF(VLOOKUP($C148,'All Girls &amp; Descendants - Edit'!$C$2:$AK$440,'All Girls &amp; Descendants - Edit'!AH$1,FALSE)=""," - ",(VLOOKUP($C148,'All Girls &amp; Descendants - Edit'!$C$2:$AK$440,'All Girls &amp; Descendants - Edit'!AH$1,FALSE)))</f>
        <v>4th</v>
      </c>
      <c r="AI148" s="3" t="str">
        <f>IF(VLOOKUP($C148,'All Girls &amp; Descendants - Edit'!$C$2:$AK$440,'All Girls &amp; Descendants - Edit'!AI$1,FALSE)=""," - ",(VLOOKUP($C148,'All Girls &amp; Descendants - Edit'!$C$2:$AK$440,'All Girls &amp; Descendants - Edit'!AI$1,FALSE)))</f>
        <v>Unmarried</v>
      </c>
      <c r="AJ148" s="3" t="str">
        <f>IF(VLOOKUP($C148,'All Girls &amp; Descendants - Edit'!$C$2:$AK$440,'All Girls &amp; Descendants - Edit'!AJ$1,FALSE)=""," - ",(VLOOKUP($C148,'All Girls &amp; Descendants - Edit'!$C$2:$AK$440,'All Girls &amp; Descendants - Edit'!AJ$1,FALSE)))</f>
        <v>Male. b. 19/08/1882, d. 18/11/1941. Aberdeenshire. Educated Eton and Christ Church Oxford. Served WW1 with Argyll and Sutherland Highlanders. Awarded OBE. Died at Ballogie. Buried at Christ Church, Kincardine O’Neil.</v>
      </c>
      <c r="AK148" s="3" t="str">
        <f>IF(VLOOKUP($C148,'All Girls &amp; Descendants - Edit'!$C$2:$AK$440,'All Girls &amp; Descendants - Edit'!AK$1,FALSE)=""," - ",(VLOOKUP($C148,'All Girls &amp; Descendants - Edit'!$C$2:$AK$440,'All Girls &amp; Descendants - Edit'!AK$1,FALSE)))</f>
        <v>b. 19/08/1882, d. 18/11/1941.</v>
      </c>
    </row>
    <row r="149" spans="1:37" ht="19">
      <c r="A149">
        <f>VLOOKUP(B149,'Loyd List 1-190 - Edit'!$P$1:$R$219,3,FALSE)</f>
        <v>8</v>
      </c>
      <c r="B149">
        <f>'All Girls &amp; Descendants - Edit'!B150</f>
        <v>18</v>
      </c>
      <c r="C149" s="98" t="str">
        <f>'All Girls &amp; Descendants - Edit'!C150</f>
        <v>18bd</v>
      </c>
      <c r="D149" s="2" t="str">
        <f>'All Girls &amp; Descendants - Edit'!D150</f>
        <v>NICOL</v>
      </c>
      <c r="E149" t="str">
        <f>'All Girls &amp; Descendants - Edit'!E150</f>
        <v>Dorothy</v>
      </c>
      <c r="F149" t="str">
        <f>IF('All Girls &amp; Descendants - Edit'!F150="","",'All Girls &amp; Descendants - Edit'!F150)</f>
        <v>Ada</v>
      </c>
      <c r="G149" t="str">
        <f>IF('All Girls &amp; Descendants - Edit'!G150="","",'All Girls &amp; Descendants - Edit'!G150)</f>
        <v/>
      </c>
      <c r="H149" t="str">
        <f>IF('All Girls &amp; Descendants - Edit'!H150="","",'All Girls &amp; Descendants - Edit'!H150)</f>
        <v/>
      </c>
      <c r="I149">
        <f>VLOOKUP($C149,'All Girls &amp; Descendants - Edit'!$C$2:$AK$440,'All Girls &amp; Descendants - Edit'!I$1,FALSE)</f>
        <v>1885</v>
      </c>
      <c r="J149">
        <f>VLOOKUP($C149,'All Girls &amp; Descendants - Edit'!$C$2:$AK$440,'All Girls &amp; Descendants - Edit'!J$1,FALSE)</f>
        <v>1964</v>
      </c>
      <c r="K149" s="9"/>
      <c r="L149" t="str">
        <f t="shared" si="18"/>
        <v>20/08/1885</v>
      </c>
      <c r="M149" s="3" t="str">
        <f>VLOOKUP($C149,'All Girls &amp; Descendants - Edit'!$C$2:$AK$440,'All Girls &amp; Descendants - Edit'!M$1,FALSE)</f>
        <v>20/08/1885</v>
      </c>
      <c r="N149" s="3" t="str">
        <f>IF(VLOOKUP($C149,'All Girls &amp; Descendants - Edit'!$C$2:$AK$440,'All Girls &amp; Descendants - Edit'!N$1,FALSE)=""," - ",(VLOOKUP($C149,'All Girls &amp; Descendants - Edit'!$C$2:$AK$440,'All Girls &amp; Descendants - Edit'!N$1,FALSE)))</f>
        <v xml:space="preserve"> - </v>
      </c>
      <c r="O149" s="3">
        <f>IF(VLOOKUP($C149,'All Girls &amp; Descendants - Edit'!$C$2:$AK$440,'All Girls &amp; Descendants - Edit'!O$1,FALSE)="","",(VLOOKUP($C149,'All Girls &amp; Descendants - Edit'!$C$2:$AK$440,'All Girls &amp; Descendants - Edit'!O$1,FALSE)))</f>
        <v>23410</v>
      </c>
      <c r="P149" s="3" t="str">
        <f t="shared" si="19"/>
        <v>03/02/1964</v>
      </c>
      <c r="Q149" s="178" t="str">
        <f t="shared" si="20"/>
        <v>18b</v>
      </c>
      <c r="R149" s="23"/>
      <c r="S149" t="str">
        <f>VLOOKUP($C149,'All Girls &amp; Descendants - Edit'!$C$2:$AK$440,'All Girls &amp; Descendants - Edit'!S$1,FALSE)</f>
        <v>Female</v>
      </c>
      <c r="T149" s="176">
        <f t="shared" si="17"/>
        <v>4</v>
      </c>
      <c r="U149" s="176">
        <f t="shared" si="21"/>
        <v>4</v>
      </c>
      <c r="V149" s="176">
        <f t="shared" si="22"/>
        <v>2</v>
      </c>
      <c r="W149" s="177">
        <f t="shared" si="23"/>
        <v>2</v>
      </c>
      <c r="X149" s="3" t="str">
        <f>IF(VLOOKUP($C149,'All Girls &amp; Descendants - Edit'!$C$2:$AK$440,'All Girls &amp; Descendants - Edit'!X$1,FALSE)=""," - ",(VLOOKUP($C149,'All Girls &amp; Descendants - Edit'!$C$2:$AK$440,'All Girls &amp; Descendants - Edit'!X$1,FALSE)))</f>
        <v xml:space="preserve"> - </v>
      </c>
      <c r="Y149" s="3" t="str">
        <f>IF(VLOOKUP($C149,'All Girls &amp; Descendants - Edit'!$C$2:$AK$440,'All Girls &amp; Descendants - Edit'!Y$1,FALSE)=""," - ",(VLOOKUP($C149,'All Girls &amp; Descendants - Edit'!$C$2:$AK$440,'All Girls &amp; Descendants - Edit'!Y$1,FALSE)))</f>
        <v xml:space="preserve"> - </v>
      </c>
      <c r="Z149" s="3" t="str">
        <f>IF(VLOOKUP($C149,'All Girls &amp; Descendants - Edit'!$C$2:$AK$440,'All Girls &amp; Descendants - Edit'!Z$1,FALSE)=""," - ",(VLOOKUP($C149,'All Girls &amp; Descendants - Edit'!$C$2:$AK$440,'All Girls &amp; Descendants - Edit'!Z$1,FALSE)))</f>
        <v>Buried at Christ Church, Kincardine O’Neil, Aberdeenshire.</v>
      </c>
      <c r="AA149" s="101">
        <f>IF(VLOOKUP($C149,'All Girls &amp; Descendants - Edit'!$C$2:$AK$440,'All Girls &amp; Descendants - Edit'!AA$1,FALSE)=""," - ",(VLOOKUP($C149,'All Girls &amp; Descendants - Edit'!$C$2:$AK$440,'All Girls &amp; Descendants - Edit'!AA$1,FALSE)))</f>
        <v>57</v>
      </c>
      <c r="AB149" s="101">
        <f>IF(VLOOKUP($C149,'All Girls &amp; Descendants - Edit'!$C$2:$AK$440,'All Girls &amp; Descendants - Edit'!AB$1,FALSE)=""," - ",(VLOOKUP($C149,'All Girls &amp; Descendants - Edit'!$C$2:$AK$440,'All Girls &amp; Descendants - Edit'!AB$1,FALSE)))</f>
        <v>6</v>
      </c>
      <c r="AC149" s="101">
        <f>IF(VLOOKUP($C149,'All Girls &amp; Descendants - Edit'!$C$2:$AK$440,'All Girls &amp; Descendants - Edit'!AC$1,FALSE)=""," - ",(VLOOKUP($C149,'All Girls &amp; Descendants - Edit'!$C$2:$AK$440,'All Girls &amp; Descendants - Edit'!AC$1,FALSE)))</f>
        <v>2006</v>
      </c>
      <c r="AD149" s="3" t="str">
        <f>IF(VLOOKUP($C149,'All Girls &amp; Descendants - Edit'!$C$2:$AK$440,'All Girls &amp; Descendants - Edit'!AD$1,FALSE)=""," - ",(VLOOKUP($C149,'All Girls &amp; Descendants - Edit'!$C$2:$AK$440,'All Girls &amp; Descendants - Edit'!AD$1,FALSE)))</f>
        <v>18bd</v>
      </c>
      <c r="AE149" s="3" t="str">
        <f>IF(VLOOKUP($C149,'All Girls &amp; Descendants - Edit'!$C$2:$AK$440,'All Girls &amp; Descendants - Edit'!AE$1,FALSE)=""," - ",(VLOOKUP($C149,'All Girls &amp; Descendants - Edit'!$C$2:$AK$440,'All Girls &amp; Descendants - Edit'!AE$1,FALSE)))</f>
        <v>Dorothy Ada  NICOL (1885 - 1964)</v>
      </c>
      <c r="AF149" s="3" t="str">
        <f>IF(VLOOKUP($C149,'All Girls &amp; Descendants - Edit'!$C$2:$AK$440,'All Girls &amp; Descendants - Edit'!AF$1,FALSE)=""," - ",(VLOOKUP($C149,'All Girls &amp; Descendants - Edit'!$C$2:$AK$440,'All Girls &amp; Descendants - Edit'!AF$1,FALSE)))</f>
        <v>Dorothy NICOL (4th &amp; 18)</v>
      </c>
      <c r="AG149" s="3" t="str">
        <f>IF(VLOOKUP($C149,'All Girls &amp; Descendants - Edit'!$C$2:$AK$440,'All Girls &amp; Descendants - Edit'!AG$1,FALSE)=""," - ",(VLOOKUP($C149,'All Girls &amp; Descendants - Edit'!$C$2:$AK$440,'All Girls &amp; Descendants - Edit'!AG$1,FALSE)))</f>
        <v>Female</v>
      </c>
      <c r="AH149" s="3" t="str">
        <f>IF(VLOOKUP($C149,'All Girls &amp; Descendants - Edit'!$C$2:$AK$440,'All Girls &amp; Descendants - Edit'!AH$1,FALSE)=""," - ",(VLOOKUP($C149,'All Girls &amp; Descendants - Edit'!$C$2:$AK$440,'All Girls &amp; Descendants - Edit'!AH$1,FALSE)))</f>
        <v>4th</v>
      </c>
      <c r="AI149" s="3" t="str">
        <f>IF(VLOOKUP($C149,'All Girls &amp; Descendants - Edit'!$C$2:$AK$440,'All Girls &amp; Descendants - Edit'!AI$1,FALSE)=""," - ",(VLOOKUP($C149,'All Girls &amp; Descendants - Edit'!$C$2:$AK$440,'All Girls &amp; Descendants - Edit'!AI$1,FALSE)))</f>
        <v>Unmarried</v>
      </c>
      <c r="AJ149" s="3" t="str">
        <f>IF(VLOOKUP($C149,'All Girls &amp; Descendants - Edit'!$C$2:$AK$440,'All Girls &amp; Descendants - Edit'!AJ$1,FALSE)=""," - ",(VLOOKUP($C149,'All Girls &amp; Descendants - Edit'!$C$2:$AK$440,'All Girls &amp; Descendants - Edit'!AJ$1,FALSE)))</f>
        <v>Female. b. 20/08/1885, d. 03/02/1964. Buried at Christ Church, Kincardine O’Neil, Aberdeenshire.</v>
      </c>
      <c r="AK149" s="3" t="str">
        <f>IF(VLOOKUP($C149,'All Girls &amp; Descendants - Edit'!$C$2:$AK$440,'All Girls &amp; Descendants - Edit'!AK$1,FALSE)=""," - ",(VLOOKUP($C149,'All Girls &amp; Descendants - Edit'!$C$2:$AK$440,'All Girls &amp; Descendants - Edit'!AK$1,FALSE)))</f>
        <v>b. 20/08/1885, d. 03/02/1964.</v>
      </c>
    </row>
    <row r="150" spans="1:37" ht="19">
      <c r="A150">
        <f>VLOOKUP(B150,'Loyd List 1-190 - Edit'!$P$1:$R$219,3,FALSE)</f>
        <v>8</v>
      </c>
      <c r="B150">
        <f>'All Girls &amp; Descendants - Edit'!B151</f>
        <v>18</v>
      </c>
      <c r="C150" s="98" t="str">
        <f>'All Girls &amp; Descendants - Edit'!C151</f>
        <v>18ea</v>
      </c>
      <c r="D150" s="2" t="str">
        <f>'All Girls &amp; Descendants - Edit'!D151</f>
        <v>NICOL</v>
      </c>
      <c r="E150" t="str">
        <f>'All Girls &amp; Descendants - Edit'!E151</f>
        <v>Violet</v>
      </c>
      <c r="F150" t="str">
        <f>IF('All Girls &amp; Descendants - Edit'!F151="","",'All Girls &amp; Descendants - Edit'!F151)</f>
        <v>Dyce</v>
      </c>
      <c r="G150" t="str">
        <f>IF('All Girls &amp; Descendants - Edit'!G151="","",'All Girls &amp; Descendants - Edit'!G151)</f>
        <v>Norah</v>
      </c>
      <c r="H150" t="str">
        <f>IF('All Girls &amp; Descendants - Edit'!H151="","",'All Girls &amp; Descendants - Edit'!H151)</f>
        <v/>
      </c>
      <c r="I150">
        <f>VLOOKUP($C150,'All Girls &amp; Descendants - Edit'!$C$2:$AK$440,'All Girls &amp; Descendants - Edit'!I$1,FALSE)</f>
        <v>1887</v>
      </c>
      <c r="J150">
        <f>VLOOKUP($C150,'All Girls &amp; Descendants - Edit'!$C$2:$AK$440,'All Girls &amp; Descendants - Edit'!J$1,FALSE)</f>
        <v>1957</v>
      </c>
      <c r="K150" s="9"/>
      <c r="L150" t="str">
        <f t="shared" si="18"/>
        <v>12/09/1887</v>
      </c>
      <c r="M150" s="3" t="str">
        <f>VLOOKUP($C150,'All Girls &amp; Descendants - Edit'!$C$2:$AK$440,'All Girls &amp; Descendants - Edit'!M$1,FALSE)</f>
        <v>12/09/1887</v>
      </c>
      <c r="N150" s="3">
        <f>IF(VLOOKUP($C150,'All Girls &amp; Descendants - Edit'!$C$2:$AK$440,'All Girls &amp; Descendants - Edit'!N$1,FALSE)=""," - ",(VLOOKUP($C150,'All Girls &amp; Descendants - Edit'!$C$2:$AK$440,'All Girls &amp; Descendants - Edit'!N$1,FALSE)))</f>
        <v>3686</v>
      </c>
      <c r="O150" s="3">
        <f>IF(VLOOKUP($C150,'All Girls &amp; Descendants - Edit'!$C$2:$AK$440,'All Girls &amp; Descendants - Edit'!O$1,FALSE)="","",(VLOOKUP($C150,'All Girls &amp; Descendants - Edit'!$C$2:$AK$440,'All Girls &amp; Descendants - Edit'!O$1,FALSE)))</f>
        <v>21048</v>
      </c>
      <c r="P150" s="3" t="str">
        <f t="shared" si="19"/>
        <v>16/08/1957</v>
      </c>
      <c r="Q150" s="178" t="str">
        <f t="shared" si="20"/>
        <v>18e</v>
      </c>
      <c r="R150" s="23"/>
      <c r="S150" t="str">
        <f>VLOOKUP($C150,'All Girls &amp; Descendants - Edit'!$C$2:$AK$440,'All Girls &amp; Descendants - Edit'!S$1,FALSE)</f>
        <v>Female</v>
      </c>
      <c r="T150" s="176">
        <f t="shared" si="17"/>
        <v>4</v>
      </c>
      <c r="U150" s="176">
        <f t="shared" si="21"/>
        <v>4</v>
      </c>
      <c r="V150" s="176">
        <f t="shared" si="22"/>
        <v>2</v>
      </c>
      <c r="W150" s="177">
        <f t="shared" si="23"/>
        <v>2</v>
      </c>
      <c r="X150" s="3" t="str">
        <f>IF(VLOOKUP($C150,'All Girls &amp; Descendants - Edit'!$C$2:$AK$440,'All Girls &amp; Descendants - Edit'!X$1,FALSE)=""," - ",(VLOOKUP($C150,'All Girls &amp; Descendants - Edit'!$C$2:$AK$440,'All Girls &amp; Descendants - Edit'!X$1,FALSE)))</f>
        <v>Gerald DUGDALE (b. 19/03/1884, d. 13/06/1941)</v>
      </c>
      <c r="Y150" s="3" t="str">
        <f>IF(VLOOKUP($C150,'All Girls &amp; Descendants - Edit'!$C$2:$AK$440,'All Girls &amp; Descendants - Edit'!Y$1,FALSE)=""," - ",(VLOOKUP($C150,'All Girls &amp; Descendants - Edit'!$C$2:$AK$440,'All Girls &amp; Descendants - Edit'!Y$1,FALSE)))</f>
        <v>Divorced 1926.</v>
      </c>
      <c r="Z150" s="3" t="str">
        <f>IF(VLOOKUP($C150,'All Girls &amp; Descendants - Edit'!$C$2:$AK$440,'All Girls &amp; Descendants - Edit'!Z$1,FALSE)=""," - ",(VLOOKUP($C150,'All Girls &amp; Descendants - Edit'!$C$2:$AK$440,'All Girls &amp; Descendants - Edit'!Z$1,FALSE)))</f>
        <v xml:space="preserve"> - </v>
      </c>
      <c r="AA150" s="101">
        <f>IF(VLOOKUP($C150,'All Girls &amp; Descendants - Edit'!$C$2:$AK$440,'All Girls &amp; Descendants - Edit'!AA$1,FALSE)=""," - ",(VLOOKUP($C150,'All Girls &amp; Descendants - Edit'!$C$2:$AK$440,'All Girls &amp; Descendants - Edit'!AA$1,FALSE)))</f>
        <v>61</v>
      </c>
      <c r="AB150" s="101">
        <f>IF(VLOOKUP($C150,'All Girls &amp; Descendants - Edit'!$C$2:$AK$440,'All Girls &amp; Descendants - Edit'!AB$1,FALSE)=""," - ",(VLOOKUP($C150,'All Girls &amp; Descendants - Edit'!$C$2:$AK$440,'All Girls &amp; Descendants - Edit'!AB$1,FALSE)))</f>
        <v>7</v>
      </c>
      <c r="AC150" s="101">
        <f>IF(VLOOKUP($C150,'All Girls &amp; Descendants - Edit'!$C$2:$AK$440,'All Girls &amp; Descendants - Edit'!AC$1,FALSE)=""," - ",(VLOOKUP($C150,'All Girls &amp; Descendants - Edit'!$C$2:$AK$440,'All Girls &amp; Descendants - Edit'!AC$1,FALSE)))</f>
        <v>2007</v>
      </c>
      <c r="AD150" s="3" t="str">
        <f>IF(VLOOKUP($C150,'All Girls &amp; Descendants - Edit'!$C$2:$AK$440,'All Girls &amp; Descendants - Edit'!AD$1,FALSE)=""," - ",(VLOOKUP($C150,'All Girls &amp; Descendants - Edit'!$C$2:$AK$440,'All Girls &amp; Descendants - Edit'!AD$1,FALSE)))</f>
        <v>18ea</v>
      </c>
      <c r="AE150" s="3" t="str">
        <f>IF(VLOOKUP($C150,'All Girls &amp; Descendants - Edit'!$C$2:$AK$440,'All Girls &amp; Descendants - Edit'!AE$1,FALSE)=""," - ",(VLOOKUP($C150,'All Girls &amp; Descendants - Edit'!$C$2:$AK$440,'All Girls &amp; Descendants - Edit'!AE$1,FALSE)))</f>
        <v>Violet Dyce Norah NICOL (1887 - 1957)</v>
      </c>
      <c r="AF150" s="3" t="str">
        <f>IF(VLOOKUP($C150,'All Girls &amp; Descendants - Edit'!$C$2:$AK$440,'All Girls &amp; Descendants - Edit'!AF$1,FALSE)=""," - ",(VLOOKUP($C150,'All Girls &amp; Descendants - Edit'!$C$2:$AK$440,'All Girls &amp; Descendants - Edit'!AF$1,FALSE)))</f>
        <v>Violet NICOL (4th &amp; 18)</v>
      </c>
      <c r="AG150" s="3" t="str">
        <f>IF(VLOOKUP($C150,'All Girls &amp; Descendants - Edit'!$C$2:$AK$440,'All Girls &amp; Descendants - Edit'!AG$1,FALSE)=""," - ",(VLOOKUP($C150,'All Girls &amp; Descendants - Edit'!$C$2:$AK$440,'All Girls &amp; Descendants - Edit'!AG$1,FALSE)))</f>
        <v>Female</v>
      </c>
      <c r="AH150" s="3" t="str">
        <f>IF(VLOOKUP($C150,'All Girls &amp; Descendants - Edit'!$C$2:$AK$440,'All Girls &amp; Descendants - Edit'!AH$1,FALSE)=""," - ",(VLOOKUP($C150,'All Girls &amp; Descendants - Edit'!$C$2:$AK$440,'All Girls &amp; Descendants - Edit'!AH$1,FALSE)))</f>
        <v>4th</v>
      </c>
      <c r="AI150" s="3" t="str">
        <f>IF(VLOOKUP($C150,'All Girls &amp; Descendants - Edit'!$C$2:$AK$440,'All Girls &amp; Descendants - Edit'!AI$1,FALSE)=""," - ",(VLOOKUP($C150,'All Girls &amp; Descendants - Edit'!$C$2:$AK$440,'All Girls &amp; Descendants - Edit'!AI$1,FALSE)))</f>
        <v>Husband: Gerald DUGDALE (b. 19/03/1884, d. 13/06/1941). Divorced 1926.</v>
      </c>
      <c r="AJ150" s="3" t="str">
        <f>IF(VLOOKUP($C150,'All Girls &amp; Descendants - Edit'!$C$2:$AK$440,'All Girls &amp; Descendants - Edit'!AJ$1,FALSE)=""," - ",(VLOOKUP($C150,'All Girls &amp; Descendants - Edit'!$C$2:$AK$440,'All Girls &amp; Descendants - Edit'!AJ$1,FALSE)))</f>
        <v>Female. b. 12/09/1887, d. 16/08/1957.</v>
      </c>
      <c r="AK150" s="3" t="str">
        <f>IF(VLOOKUP($C150,'All Girls &amp; Descendants - Edit'!$C$2:$AK$440,'All Girls &amp; Descendants - Edit'!AK$1,FALSE)=""," - ",(VLOOKUP($C150,'All Girls &amp; Descendants - Edit'!$C$2:$AK$440,'All Girls &amp; Descendants - Edit'!AK$1,FALSE)))</f>
        <v>b. 12/09/1887, d. 16/08/1957.</v>
      </c>
    </row>
    <row r="151" spans="1:37" ht="19">
      <c r="A151">
        <f>VLOOKUP(B151,'Loyd List 1-190 - Edit'!$P$1:$R$219,3,FALSE)</f>
        <v>22</v>
      </c>
      <c r="B151">
        <f>'All Girls &amp; Descendants - Edit'!B152</f>
        <v>36</v>
      </c>
      <c r="C151" s="98" t="str">
        <f>'All Girls &amp; Descendants - Edit'!C152</f>
        <v>36aa</v>
      </c>
      <c r="D151" s="2" t="str">
        <f>'All Girls &amp; Descendants - Edit'!D152</f>
        <v>COURTHOPE</v>
      </c>
      <c r="E151" t="str">
        <f>'All Girls &amp; Descendants - Edit'!E152</f>
        <v>The Hon Hilda</v>
      </c>
      <c r="F151" t="str">
        <f>IF('All Girls &amp; Descendants - Edit'!F152="","",'All Girls &amp; Descendants - Edit'!F152)</f>
        <v>Beryl</v>
      </c>
      <c r="G151" t="str">
        <f>IF('All Girls &amp; Descendants - Edit'!G152="","",'All Girls &amp; Descendants - Edit'!G152)</f>
        <v/>
      </c>
      <c r="H151" t="str">
        <f>IF('All Girls &amp; Descendants - Edit'!H152="","",'All Girls &amp; Descendants - Edit'!H152)</f>
        <v>Beryl</v>
      </c>
      <c r="I151">
        <f>VLOOKUP($C151,'All Girls &amp; Descendants - Edit'!$C$2:$AK$440,'All Girls &amp; Descendants - Edit'!I$1,FALSE)</f>
        <v>1900</v>
      </c>
      <c r="J151">
        <f>VLOOKUP($C151,'All Girls &amp; Descendants - Edit'!$C$2:$AK$440,'All Girls &amp; Descendants - Edit'!J$1,FALSE)</f>
        <v>1974</v>
      </c>
      <c r="K151" s="9"/>
      <c r="L151" t="str">
        <f t="shared" si="18"/>
        <v>02/11/1900</v>
      </c>
      <c r="M151" s="3" t="str">
        <f>VLOOKUP($C151,'All Girls &amp; Descendants - Edit'!$C$2:$AK$440,'All Girls &amp; Descendants - Edit'!M$1,FALSE)</f>
        <v>02/11/1900</v>
      </c>
      <c r="N151" s="3" t="str">
        <f>IF(VLOOKUP($C151,'All Girls &amp; Descendants - Edit'!$C$2:$AK$440,'All Girls &amp; Descendants - Edit'!N$1,FALSE)=""," - ",(VLOOKUP($C151,'All Girls &amp; Descendants - Edit'!$C$2:$AK$440,'All Girls &amp; Descendants - Edit'!N$1,FALSE)))</f>
        <v xml:space="preserve"> - </v>
      </c>
      <c r="O151" s="3">
        <f>IF(VLOOKUP($C151,'All Girls &amp; Descendants - Edit'!$C$2:$AK$440,'All Girls &amp; Descendants - Edit'!O$1,FALSE)="","",(VLOOKUP($C151,'All Girls &amp; Descendants - Edit'!$C$2:$AK$440,'All Girls &amp; Descendants - Edit'!O$1,FALSE)))</f>
        <v>27246</v>
      </c>
      <c r="P151" s="3" t="str">
        <f t="shared" si="19"/>
        <v>05/08/1974</v>
      </c>
      <c r="Q151" s="178" t="str">
        <f t="shared" si="20"/>
        <v>36a</v>
      </c>
      <c r="R151" s="23"/>
      <c r="S151" t="str">
        <f>VLOOKUP($C151,'All Girls &amp; Descendants - Edit'!$C$2:$AK$440,'All Girls &amp; Descendants - Edit'!S$1,FALSE)</f>
        <v>Female</v>
      </c>
      <c r="T151" s="176">
        <f t="shared" si="17"/>
        <v>5</v>
      </c>
      <c r="U151" s="176">
        <f t="shared" si="21"/>
        <v>4</v>
      </c>
      <c r="V151" s="176">
        <f t="shared" si="22"/>
        <v>3</v>
      </c>
      <c r="W151" s="177">
        <f t="shared" si="23"/>
        <v>2</v>
      </c>
      <c r="X151" s="3" t="str">
        <f>IF(VLOOKUP($C151,'All Girls &amp; Descendants - Edit'!$C$2:$AK$440,'All Girls &amp; Descendants - Edit'!X$1,FALSE)=""," - ",(VLOOKUP($C151,'All Girls &amp; Descendants - Edit'!$C$2:$AK$440,'All Girls &amp; Descendants - Edit'!X$1,FALSE)))</f>
        <v xml:space="preserve"> - </v>
      </c>
      <c r="Y151" s="3" t="str">
        <f>IF(VLOOKUP($C151,'All Girls &amp; Descendants - Edit'!$C$2:$AK$440,'All Girls &amp; Descendants - Edit'!Y$1,FALSE)=""," - ",(VLOOKUP($C151,'All Girls &amp; Descendants - Edit'!$C$2:$AK$440,'All Girls &amp; Descendants - Edit'!Y$1,FALSE)))</f>
        <v xml:space="preserve"> - </v>
      </c>
      <c r="Z151" s="3" t="str">
        <f>IF(VLOOKUP($C151,'All Girls &amp; Descendants - Edit'!$C$2:$AK$440,'All Girls &amp; Descendants - Edit'!Z$1,FALSE)=""," - ",(VLOOKUP($C151,'All Girls &amp; Descendants - Edit'!$C$2:$AK$440,'All Girls &amp; Descendants - Edit'!Z$1,FALSE)))</f>
        <v>Buried at Ticehurst, Sussex 9 Aug 1974. Left the Whiligh estate, on the death of her sister, to Edward John Brierly HARDCASTLE (1923- ), grandson of Caroline Foster LOYD (1864-1940).</v>
      </c>
      <c r="AA151" s="101">
        <f>IF(VLOOKUP($C151,'All Girls &amp; Descendants - Edit'!$C$2:$AK$440,'All Girls &amp; Descendants - Edit'!AA$1,FALSE)=""," - ",(VLOOKUP($C151,'All Girls &amp; Descendants - Edit'!$C$2:$AK$440,'All Girls &amp; Descendants - Edit'!AA$1,FALSE)))</f>
        <v>69</v>
      </c>
      <c r="AB151" s="101">
        <f>IF(VLOOKUP($C151,'All Girls &amp; Descendants - Edit'!$C$2:$AK$440,'All Girls &amp; Descendants - Edit'!AB$1,FALSE)=""," - ",(VLOOKUP($C151,'All Girls &amp; Descendants - Edit'!$C$2:$AK$440,'All Girls &amp; Descendants - Edit'!AB$1,FALSE)))</f>
        <v>8</v>
      </c>
      <c r="AC151" s="101">
        <f>IF(VLOOKUP($C151,'All Girls &amp; Descendants - Edit'!$C$2:$AK$440,'All Girls &amp; Descendants - Edit'!AC$1,FALSE)=""," - ",(VLOOKUP($C151,'All Girls &amp; Descendants - Edit'!$C$2:$AK$440,'All Girls &amp; Descendants - Edit'!AC$1,FALSE)))</f>
        <v>2008</v>
      </c>
      <c r="AD151" s="3" t="str">
        <f>IF(VLOOKUP($C151,'All Girls &amp; Descendants - Edit'!$C$2:$AK$440,'All Girls &amp; Descendants - Edit'!AD$1,FALSE)=""," - ",(VLOOKUP($C151,'All Girls &amp; Descendants - Edit'!$C$2:$AK$440,'All Girls &amp; Descendants - Edit'!AD$1,FALSE)))</f>
        <v>36aa</v>
      </c>
      <c r="AE151" s="3" t="str">
        <f>IF(VLOOKUP($C151,'All Girls &amp; Descendants - Edit'!$C$2:$AK$440,'All Girls &amp; Descendants - Edit'!AE$1,FALSE)=""," - ",(VLOOKUP($C151,'All Girls &amp; Descendants - Edit'!$C$2:$AK$440,'All Girls &amp; Descendants - Edit'!AE$1,FALSE)))</f>
        <v>The Hon Hilda Beryl  COURTHOPE (1900 - 1974)</v>
      </c>
      <c r="AF151" s="3" t="str">
        <f>IF(VLOOKUP($C151,'All Girls &amp; Descendants - Edit'!$C$2:$AK$440,'All Girls &amp; Descendants - Edit'!AF$1,FALSE)=""," - ",(VLOOKUP($C151,'All Girls &amp; Descendants - Edit'!$C$2:$AK$440,'All Girls &amp; Descendants - Edit'!AF$1,FALSE)))</f>
        <v>Beryl COURTHOPE (5th &amp; 36)</v>
      </c>
      <c r="AG151" s="3" t="str">
        <f>IF(VLOOKUP($C151,'All Girls &amp; Descendants - Edit'!$C$2:$AK$440,'All Girls &amp; Descendants - Edit'!AG$1,FALSE)=""," - ",(VLOOKUP($C151,'All Girls &amp; Descendants - Edit'!$C$2:$AK$440,'All Girls &amp; Descendants - Edit'!AG$1,FALSE)))</f>
        <v>Female</v>
      </c>
      <c r="AH151" s="3" t="str">
        <f>IF(VLOOKUP($C151,'All Girls &amp; Descendants - Edit'!$C$2:$AK$440,'All Girls &amp; Descendants - Edit'!AH$1,FALSE)=""," - ",(VLOOKUP($C151,'All Girls &amp; Descendants - Edit'!$C$2:$AK$440,'All Girls &amp; Descendants - Edit'!AH$1,FALSE)))</f>
        <v>5th</v>
      </c>
      <c r="AI151" s="3" t="str">
        <f>IF(VLOOKUP($C151,'All Girls &amp; Descendants - Edit'!$C$2:$AK$440,'All Girls &amp; Descendants - Edit'!AI$1,FALSE)=""," - ",(VLOOKUP($C151,'All Girls &amp; Descendants - Edit'!$C$2:$AK$440,'All Girls &amp; Descendants - Edit'!AI$1,FALSE)))</f>
        <v>Unmarried</v>
      </c>
      <c r="AJ151" s="3" t="str">
        <f>IF(VLOOKUP($C151,'All Girls &amp; Descendants - Edit'!$C$2:$AK$440,'All Girls &amp; Descendants - Edit'!AJ$1,FALSE)=""," - ",(VLOOKUP($C151,'All Girls &amp; Descendants - Edit'!$C$2:$AK$440,'All Girls &amp; Descendants - Edit'!AJ$1,FALSE)))</f>
        <v>Female. b. 02/11/1900, d. 05/08/1974. Buried at Ticehurst, Sussex 9 Aug 1974. Left the Whiligh estate, on the death of her sister, to Edward John Brierly HARDCASTLE (1923- ), grandson of Caroline Foster LOYD (1864-1940).</v>
      </c>
      <c r="AK151" s="3" t="str">
        <f>IF(VLOOKUP($C151,'All Girls &amp; Descendants - Edit'!$C$2:$AK$440,'All Girls &amp; Descendants - Edit'!AK$1,FALSE)=""," - ",(VLOOKUP($C151,'All Girls &amp; Descendants - Edit'!$C$2:$AK$440,'All Girls &amp; Descendants - Edit'!AK$1,FALSE)))</f>
        <v>b. 02/11/1900, d. 05/08/1974.</v>
      </c>
    </row>
    <row r="152" spans="1:37" ht="19">
      <c r="A152">
        <f>VLOOKUP(B152,'Loyd List 1-190 - Edit'!$P$1:$R$219,3,FALSE)</f>
        <v>22</v>
      </c>
      <c r="B152">
        <f>'All Girls &amp; Descendants - Edit'!B153</f>
        <v>36</v>
      </c>
      <c r="C152" s="98" t="str">
        <f>'All Girls &amp; Descendants - Edit'!C153</f>
        <v>36ab</v>
      </c>
      <c r="D152" s="2" t="str">
        <f>'All Girls &amp; Descendants - Edit'!D153</f>
        <v>COURTHOPE</v>
      </c>
      <c r="E152" t="str">
        <f>'All Girls &amp; Descendants - Edit'!E153</f>
        <v>The Hon Elinor</v>
      </c>
      <c r="F152" t="str">
        <f>IF('All Girls &amp; Descendants - Edit'!F153="","",'All Girls &amp; Descendants - Edit'!F153)</f>
        <v>Daphne</v>
      </c>
      <c r="G152" t="str">
        <f>IF('All Girls &amp; Descendants - Edit'!G153="","",'All Girls &amp; Descendants - Edit'!G153)</f>
        <v/>
      </c>
      <c r="H152" t="str">
        <f>IF('All Girls &amp; Descendants - Edit'!H153="","",'All Girls &amp; Descendants - Edit'!H153)</f>
        <v>Daphne</v>
      </c>
      <c r="I152">
        <f>VLOOKUP($C152,'All Girls &amp; Descendants - Edit'!$C$2:$AK$440,'All Girls &amp; Descendants - Edit'!I$1,FALSE)</f>
        <v>1902</v>
      </c>
      <c r="J152">
        <f>VLOOKUP($C152,'All Girls &amp; Descendants - Edit'!$C$2:$AK$440,'All Girls &amp; Descendants - Edit'!J$1,FALSE)</f>
        <v>1980</v>
      </c>
      <c r="K152" s="9"/>
      <c r="L152" t="str">
        <f t="shared" si="18"/>
        <v>11/10/1902</v>
      </c>
      <c r="M152" s="3" t="str">
        <f>VLOOKUP($C152,'All Girls &amp; Descendants - Edit'!$C$2:$AK$440,'All Girls &amp; Descendants - Edit'!M$1,FALSE)</f>
        <v>11/10/1902</v>
      </c>
      <c r="N152" s="3" t="str">
        <f>IF(VLOOKUP($C152,'All Girls &amp; Descendants - Edit'!$C$2:$AK$440,'All Girls &amp; Descendants - Edit'!N$1,FALSE)=""," - ",(VLOOKUP($C152,'All Girls &amp; Descendants - Edit'!$C$2:$AK$440,'All Girls &amp; Descendants - Edit'!N$1,FALSE)))</f>
        <v xml:space="preserve"> - </v>
      </c>
      <c r="O152" s="3">
        <f>IF(VLOOKUP($C152,'All Girls &amp; Descendants - Edit'!$C$2:$AK$440,'All Girls &amp; Descendants - Edit'!O$1,FALSE)="","",(VLOOKUP($C152,'All Girls &amp; Descendants - Edit'!$C$2:$AK$440,'All Girls &amp; Descendants - Edit'!O$1,FALSE)))</f>
        <v>29387</v>
      </c>
      <c r="P152" s="3" t="str">
        <f t="shared" si="19"/>
        <v>15/06/1980</v>
      </c>
      <c r="Q152" s="178" t="str">
        <f t="shared" si="20"/>
        <v>36a</v>
      </c>
      <c r="R152" s="23"/>
      <c r="S152" t="str">
        <f>VLOOKUP($C152,'All Girls &amp; Descendants - Edit'!$C$2:$AK$440,'All Girls &amp; Descendants - Edit'!S$1,FALSE)</f>
        <v>Female</v>
      </c>
      <c r="T152" s="176">
        <f t="shared" si="17"/>
        <v>5</v>
      </c>
      <c r="U152" s="176">
        <f t="shared" si="21"/>
        <v>4</v>
      </c>
      <c r="V152" s="176">
        <f t="shared" si="22"/>
        <v>3</v>
      </c>
      <c r="W152" s="177">
        <f t="shared" si="23"/>
        <v>2</v>
      </c>
      <c r="X152" s="3" t="str">
        <f>IF(VLOOKUP($C152,'All Girls &amp; Descendants - Edit'!$C$2:$AK$440,'All Girls &amp; Descendants - Edit'!X$1,FALSE)=""," - ",(VLOOKUP($C152,'All Girls &amp; Descendants - Edit'!$C$2:$AK$440,'All Girls &amp; Descendants - Edit'!X$1,FALSE)))</f>
        <v xml:space="preserve"> - </v>
      </c>
      <c r="Y152" s="3" t="str">
        <f>IF(VLOOKUP($C152,'All Girls &amp; Descendants - Edit'!$C$2:$AK$440,'All Girls &amp; Descendants - Edit'!Y$1,FALSE)=""," - ",(VLOOKUP($C152,'All Girls &amp; Descendants - Edit'!$C$2:$AK$440,'All Girls &amp; Descendants - Edit'!Y$1,FALSE)))</f>
        <v xml:space="preserve"> - </v>
      </c>
      <c r="Z152" s="3" t="str">
        <f>IF(VLOOKUP($C152,'All Girls &amp; Descendants - Edit'!$C$2:$AK$440,'All Girls &amp; Descendants - Edit'!Z$1,FALSE)=""," - ",(VLOOKUP($C152,'All Girls &amp; Descendants - Edit'!$C$2:$AK$440,'All Girls &amp; Descendants - Edit'!Z$1,FALSE)))</f>
        <v>Buried at Ticehurst, Sussex 23 Jun 1980. OBE 1963. DL East Sussex. Chairman East Sussex CC 1967-70. One time Joint Master of Eridge hunt. Last of the Whiligh COURTHOPES who owned the estate for 467 years 1513-1980.</v>
      </c>
      <c r="AA152" s="101">
        <f>IF(VLOOKUP($C152,'All Girls &amp; Descendants - Edit'!$C$2:$AK$440,'All Girls &amp; Descendants - Edit'!AA$1,FALSE)=""," - ",(VLOOKUP($C152,'All Girls &amp; Descendants - Edit'!$C$2:$AK$440,'All Girls &amp; Descendants - Edit'!AA$1,FALSE)))</f>
        <v>70</v>
      </c>
      <c r="AB152" s="101">
        <f>IF(VLOOKUP($C152,'All Girls &amp; Descendants - Edit'!$C$2:$AK$440,'All Girls &amp; Descendants - Edit'!AB$1,FALSE)=""," - ",(VLOOKUP($C152,'All Girls &amp; Descendants - Edit'!$C$2:$AK$440,'All Girls &amp; Descendants - Edit'!AB$1,FALSE)))</f>
        <v>9</v>
      </c>
      <c r="AC152" s="101">
        <f>IF(VLOOKUP($C152,'All Girls &amp; Descendants - Edit'!$C$2:$AK$440,'All Girls &amp; Descendants - Edit'!AC$1,FALSE)=""," - ",(VLOOKUP($C152,'All Girls &amp; Descendants - Edit'!$C$2:$AK$440,'All Girls &amp; Descendants - Edit'!AC$1,FALSE)))</f>
        <v>2009</v>
      </c>
      <c r="AD152" s="3" t="str">
        <f>IF(VLOOKUP($C152,'All Girls &amp; Descendants - Edit'!$C$2:$AK$440,'All Girls &amp; Descendants - Edit'!AD$1,FALSE)=""," - ",(VLOOKUP($C152,'All Girls &amp; Descendants - Edit'!$C$2:$AK$440,'All Girls &amp; Descendants - Edit'!AD$1,FALSE)))</f>
        <v>36ab</v>
      </c>
      <c r="AE152" s="3" t="str">
        <f>IF(VLOOKUP($C152,'All Girls &amp; Descendants - Edit'!$C$2:$AK$440,'All Girls &amp; Descendants - Edit'!AE$1,FALSE)=""," - ",(VLOOKUP($C152,'All Girls &amp; Descendants - Edit'!$C$2:$AK$440,'All Girls &amp; Descendants - Edit'!AE$1,FALSE)))</f>
        <v>The Hon Elinor Daphne  COURTHOPE (1902 - 1980)</v>
      </c>
      <c r="AF152" s="3" t="str">
        <f>IF(VLOOKUP($C152,'All Girls &amp; Descendants - Edit'!$C$2:$AK$440,'All Girls &amp; Descendants - Edit'!AF$1,FALSE)=""," - ",(VLOOKUP($C152,'All Girls &amp; Descendants - Edit'!$C$2:$AK$440,'All Girls &amp; Descendants - Edit'!AF$1,FALSE)))</f>
        <v>Daphne COURTHOPE (5th &amp; 36)</v>
      </c>
      <c r="AG152" s="3" t="str">
        <f>IF(VLOOKUP($C152,'All Girls &amp; Descendants - Edit'!$C$2:$AK$440,'All Girls &amp; Descendants - Edit'!AG$1,FALSE)=""," - ",(VLOOKUP($C152,'All Girls &amp; Descendants - Edit'!$C$2:$AK$440,'All Girls &amp; Descendants - Edit'!AG$1,FALSE)))</f>
        <v>Female</v>
      </c>
      <c r="AH152" s="3" t="str">
        <f>IF(VLOOKUP($C152,'All Girls &amp; Descendants - Edit'!$C$2:$AK$440,'All Girls &amp; Descendants - Edit'!AH$1,FALSE)=""," - ",(VLOOKUP($C152,'All Girls &amp; Descendants - Edit'!$C$2:$AK$440,'All Girls &amp; Descendants - Edit'!AH$1,FALSE)))</f>
        <v>5th</v>
      </c>
      <c r="AI152" s="3" t="str">
        <f>IF(VLOOKUP($C152,'All Girls &amp; Descendants - Edit'!$C$2:$AK$440,'All Girls &amp; Descendants - Edit'!AI$1,FALSE)=""," - ",(VLOOKUP($C152,'All Girls &amp; Descendants - Edit'!$C$2:$AK$440,'All Girls &amp; Descendants - Edit'!AI$1,FALSE)))</f>
        <v>Unmarried</v>
      </c>
      <c r="AJ152" s="3" t="str">
        <f>IF(VLOOKUP($C152,'All Girls &amp; Descendants - Edit'!$C$2:$AK$440,'All Girls &amp; Descendants - Edit'!AJ$1,FALSE)=""," - ",(VLOOKUP($C152,'All Girls &amp; Descendants - Edit'!$C$2:$AK$440,'All Girls &amp; Descendants - Edit'!AJ$1,FALSE)))</f>
        <v>Female. b. 11/10/1902, d. 15/06/1980. Buried at Ticehurst, Sussex 23 Jun 1980. OBE 1963. DL East Sussex. Chairman East Sussex CC 1967-70. One time Joint Master of Eridge hunt. Last of the Whiligh COURTHOPES who owned the estate for 467 years 1513-1980.</v>
      </c>
      <c r="AK152" s="3" t="str">
        <f>IF(VLOOKUP($C152,'All Girls &amp; Descendants - Edit'!$C$2:$AK$440,'All Girls &amp; Descendants - Edit'!AK$1,FALSE)=""," - ",(VLOOKUP($C152,'All Girls &amp; Descendants - Edit'!$C$2:$AK$440,'All Girls &amp; Descendants - Edit'!AK$1,FALSE)))</f>
        <v>b. 11/10/1902, d. 15/06/1980.</v>
      </c>
    </row>
    <row r="153" spans="1:37" ht="19">
      <c r="A153">
        <f>VLOOKUP(B153,'Loyd List 1-190 - Edit'!$P$1:$R$219,3,FALSE)</f>
        <v>22</v>
      </c>
      <c r="B153">
        <f>'All Girls &amp; Descendants - Edit'!B154</f>
        <v>36</v>
      </c>
      <c r="C153" s="98" t="str">
        <f>'All Girls &amp; Descendants - Edit'!C154</f>
        <v>36da</v>
      </c>
      <c r="D153" s="2" t="str">
        <f>'All Girls &amp; Descendants - Edit'!D154</f>
        <v>POWELL</v>
      </c>
      <c r="E153" t="str">
        <f>'All Girls &amp; Descendants - Edit'!E154</f>
        <v>Elinor</v>
      </c>
      <c r="F153" t="str">
        <f>IF('All Girls &amp; Descendants - Edit'!F154="","",'All Girls &amp; Descendants - Edit'!F154)</f>
        <v>Mary</v>
      </c>
      <c r="G153" t="str">
        <f>IF('All Girls &amp; Descendants - Edit'!G154="","",'All Girls &amp; Descendants - Edit'!G154)</f>
        <v/>
      </c>
      <c r="H153" t="str">
        <f>IF('All Girls &amp; Descendants - Edit'!H154="","",'All Girls &amp; Descendants - Edit'!H154)</f>
        <v/>
      </c>
      <c r="I153">
        <f>VLOOKUP($C153,'All Girls &amp; Descendants - Edit'!$C$2:$AK$440,'All Girls &amp; Descendants - Edit'!I$1,FALSE)</f>
        <v>1911</v>
      </c>
      <c r="J153">
        <f>VLOOKUP($C153,'All Girls &amp; Descendants - Edit'!$C$2:$AK$440,'All Girls &amp; Descendants - Edit'!J$1,FALSE)</f>
        <v>1997</v>
      </c>
      <c r="K153" s="9"/>
      <c r="L153" t="str">
        <f t="shared" si="18"/>
        <v>19/08/1911</v>
      </c>
      <c r="M153" s="3">
        <f>VLOOKUP($C153,'All Girls &amp; Descendants - Edit'!$C$2:$AK$440,'All Girls &amp; Descendants - Edit'!M$1,FALSE)</f>
        <v>4249</v>
      </c>
      <c r="N153" s="3" t="str">
        <f>IF(VLOOKUP($C153,'All Girls &amp; Descendants - Edit'!$C$2:$AK$440,'All Girls &amp; Descendants - Edit'!N$1,FALSE)=""," - ",(VLOOKUP($C153,'All Girls &amp; Descendants - Edit'!$C$2:$AK$440,'All Girls &amp; Descendants - Edit'!N$1,FALSE)))</f>
        <v xml:space="preserve"> - </v>
      </c>
      <c r="O153" s="3">
        <f>IF(VLOOKUP($C153,'All Girls &amp; Descendants - Edit'!$C$2:$AK$440,'All Girls &amp; Descendants - Edit'!O$1,FALSE)="","",(VLOOKUP($C153,'All Girls &amp; Descendants - Edit'!$C$2:$AK$440,'All Girls &amp; Descendants - Edit'!O$1,FALSE)))</f>
        <v>35631</v>
      </c>
      <c r="P153" s="3" t="str">
        <f t="shared" si="19"/>
        <v>20/07/1997</v>
      </c>
      <c r="Q153" s="178" t="str">
        <f t="shared" si="20"/>
        <v>36d</v>
      </c>
      <c r="R153" s="23"/>
      <c r="S153" t="str">
        <f>VLOOKUP($C153,'All Girls &amp; Descendants - Edit'!$C$2:$AK$440,'All Girls &amp; Descendants - Edit'!S$1,FALSE)</f>
        <v>Female</v>
      </c>
      <c r="T153" s="176">
        <f t="shared" si="17"/>
        <v>5</v>
      </c>
      <c r="U153" s="176">
        <f t="shared" si="21"/>
        <v>4</v>
      </c>
      <c r="V153" s="176">
        <f t="shared" si="22"/>
        <v>3</v>
      </c>
      <c r="W153" s="177">
        <f t="shared" si="23"/>
        <v>2</v>
      </c>
      <c r="X153" s="3" t="str">
        <f>IF(VLOOKUP($C153,'All Girls &amp; Descendants - Edit'!$C$2:$AK$440,'All Girls &amp; Descendants - Edit'!X$1,FALSE)=""," - ",(VLOOKUP($C153,'All Girls &amp; Descendants - Edit'!$C$2:$AK$440,'All Girls &amp; Descendants - Edit'!X$1,FALSE)))</f>
        <v xml:space="preserve"> - </v>
      </c>
      <c r="Y153" s="3" t="str">
        <f>IF(VLOOKUP($C153,'All Girls &amp; Descendants - Edit'!$C$2:$AK$440,'All Girls &amp; Descendants - Edit'!Y$1,FALSE)=""," - ",(VLOOKUP($C153,'All Girls &amp; Descendants - Edit'!$C$2:$AK$440,'All Girls &amp; Descendants - Edit'!Y$1,FALSE)))</f>
        <v xml:space="preserve"> - </v>
      </c>
      <c r="Z153" s="3" t="str">
        <f>IF(VLOOKUP($C153,'All Girls &amp; Descendants - Edit'!$C$2:$AK$440,'All Girls &amp; Descendants - Edit'!Z$1,FALSE)=""," - ",(VLOOKUP($C153,'All Girls &amp; Descendants - Edit'!$C$2:$AK$440,'All Girls &amp; Descendants - Edit'!Z$1,FALSE)))</f>
        <v>Died at Wadhurst, Sussex, buried in her mother’s grave at Wadhurst.</v>
      </c>
      <c r="AA153" s="101">
        <f>IF(VLOOKUP($C153,'All Girls &amp; Descendants - Edit'!$C$2:$AK$440,'All Girls &amp; Descendants - Edit'!AA$1,FALSE)=""," - ",(VLOOKUP($C153,'All Girls &amp; Descendants - Edit'!$C$2:$AK$440,'All Girls &amp; Descendants - Edit'!AA$1,FALSE)))</f>
        <v>74</v>
      </c>
      <c r="AB153" s="101">
        <f>IF(VLOOKUP($C153,'All Girls &amp; Descendants - Edit'!$C$2:$AK$440,'All Girls &amp; Descendants - Edit'!AB$1,FALSE)=""," - ",(VLOOKUP($C153,'All Girls &amp; Descendants - Edit'!$C$2:$AK$440,'All Girls &amp; Descendants - Edit'!AB$1,FALSE)))</f>
        <v>10</v>
      </c>
      <c r="AC153" s="101">
        <f>IF(VLOOKUP($C153,'All Girls &amp; Descendants - Edit'!$C$2:$AK$440,'All Girls &amp; Descendants - Edit'!AC$1,FALSE)=""," - ",(VLOOKUP($C153,'All Girls &amp; Descendants - Edit'!$C$2:$AK$440,'All Girls &amp; Descendants - Edit'!AC$1,FALSE)))</f>
        <v>2010</v>
      </c>
      <c r="AD153" s="3" t="str">
        <f>IF(VLOOKUP($C153,'All Girls &amp; Descendants - Edit'!$C$2:$AK$440,'All Girls &amp; Descendants - Edit'!AD$1,FALSE)=""," - ",(VLOOKUP($C153,'All Girls &amp; Descendants - Edit'!$C$2:$AK$440,'All Girls &amp; Descendants - Edit'!AD$1,FALSE)))</f>
        <v>36da</v>
      </c>
      <c r="AE153" s="3" t="str">
        <f>IF(VLOOKUP($C153,'All Girls &amp; Descendants - Edit'!$C$2:$AK$440,'All Girls &amp; Descendants - Edit'!AE$1,FALSE)=""," - ",(VLOOKUP($C153,'All Girls &amp; Descendants - Edit'!$C$2:$AK$440,'All Girls &amp; Descendants - Edit'!AE$1,FALSE)))</f>
        <v>Elinor Mary  POWELL (1911 - 1997)</v>
      </c>
      <c r="AF153" s="3" t="str">
        <f>IF(VLOOKUP($C153,'All Girls &amp; Descendants - Edit'!$C$2:$AK$440,'All Girls &amp; Descendants - Edit'!AF$1,FALSE)=""," - ",(VLOOKUP($C153,'All Girls &amp; Descendants - Edit'!$C$2:$AK$440,'All Girls &amp; Descendants - Edit'!AF$1,FALSE)))</f>
        <v>Elinor POWELL (5th &amp; 36)</v>
      </c>
      <c r="AG153" s="3" t="str">
        <f>IF(VLOOKUP($C153,'All Girls &amp; Descendants - Edit'!$C$2:$AK$440,'All Girls &amp; Descendants - Edit'!AG$1,FALSE)=""," - ",(VLOOKUP($C153,'All Girls &amp; Descendants - Edit'!$C$2:$AK$440,'All Girls &amp; Descendants - Edit'!AG$1,FALSE)))</f>
        <v>Female</v>
      </c>
      <c r="AH153" s="3" t="str">
        <f>IF(VLOOKUP($C153,'All Girls &amp; Descendants - Edit'!$C$2:$AK$440,'All Girls &amp; Descendants - Edit'!AH$1,FALSE)=""," - ",(VLOOKUP($C153,'All Girls &amp; Descendants - Edit'!$C$2:$AK$440,'All Girls &amp; Descendants - Edit'!AH$1,FALSE)))</f>
        <v>5th</v>
      </c>
      <c r="AI153" s="3" t="str">
        <f>IF(VLOOKUP($C153,'All Girls &amp; Descendants - Edit'!$C$2:$AK$440,'All Girls &amp; Descendants - Edit'!AI$1,FALSE)=""," - ",(VLOOKUP($C153,'All Girls &amp; Descendants - Edit'!$C$2:$AK$440,'All Girls &amp; Descendants - Edit'!AI$1,FALSE)))</f>
        <v>Unmarried</v>
      </c>
      <c r="AJ153" s="3" t="str">
        <f>IF(VLOOKUP($C153,'All Girls &amp; Descendants - Edit'!$C$2:$AK$440,'All Girls &amp; Descendants - Edit'!AJ$1,FALSE)=""," - ",(VLOOKUP($C153,'All Girls &amp; Descendants - Edit'!$C$2:$AK$440,'All Girls &amp; Descendants - Edit'!AJ$1,FALSE)))</f>
        <v>Female. b. 19/08/1911, d. 20/07/1997. Died at Wadhurst, Sussex, buried in her mother’s grave at Wadhurst.</v>
      </c>
      <c r="AK153" s="3" t="str">
        <f>IF(VLOOKUP($C153,'All Girls &amp; Descendants - Edit'!$C$2:$AK$440,'All Girls &amp; Descendants - Edit'!AK$1,FALSE)=""," - ",(VLOOKUP($C153,'All Girls &amp; Descendants - Edit'!$C$2:$AK$440,'All Girls &amp; Descendants - Edit'!AK$1,FALSE)))</f>
        <v>b. 19/08/1911, d. 20/07/1997.</v>
      </c>
    </row>
    <row r="154" spans="1:37" ht="19">
      <c r="A154">
        <f>VLOOKUP(B154,'Loyd List 1-190 - Edit'!$P$1:$R$219,3,FALSE)</f>
        <v>22</v>
      </c>
      <c r="B154">
        <f>'All Girls &amp; Descendants - Edit'!B155</f>
        <v>36</v>
      </c>
      <c r="C154" s="98" t="str">
        <f>'All Girls &amp; Descendants - Edit'!C155</f>
        <v>36db</v>
      </c>
      <c r="D154" s="2" t="str">
        <f>'All Girls &amp; Descendants - Edit'!D155</f>
        <v>POWELL</v>
      </c>
      <c r="E154" t="str">
        <f>'All Girls &amp; Descendants - Edit'!E155</f>
        <v>John</v>
      </c>
      <c r="F154" t="str">
        <f>IF('All Girls &amp; Descendants - Edit'!F155="","",'All Girls &amp; Descendants - Edit'!F155)</f>
        <v>Henry</v>
      </c>
      <c r="G154" t="str">
        <f>IF('All Girls &amp; Descendants - Edit'!G155="","",'All Girls &amp; Descendants - Edit'!G155)</f>
        <v>Courthope</v>
      </c>
      <c r="H154" t="str">
        <f>IF('All Girls &amp; Descendants - Edit'!H155="","",'All Girls &amp; Descendants - Edit'!H155)</f>
        <v/>
      </c>
      <c r="I154">
        <f>VLOOKUP($C154,'All Girls &amp; Descendants - Edit'!$C$2:$AK$440,'All Girls &amp; Descendants - Edit'!I$1,FALSE)</f>
        <v>1913</v>
      </c>
      <c r="J154">
        <f>VLOOKUP($C154,'All Girls &amp; Descendants - Edit'!$C$2:$AK$440,'All Girls &amp; Descendants - Edit'!J$1,FALSE)</f>
        <v>1944</v>
      </c>
      <c r="K154" s="9"/>
      <c r="L154" t="str">
        <f t="shared" si="18"/>
        <v>03/03/1913</v>
      </c>
      <c r="M154" s="3">
        <f>VLOOKUP($C154,'All Girls &amp; Descendants - Edit'!$C$2:$AK$440,'All Girls &amp; Descendants - Edit'!M$1,FALSE)</f>
        <v>4811</v>
      </c>
      <c r="N154" s="3">
        <f>IF(VLOOKUP($C154,'All Girls &amp; Descendants - Edit'!$C$2:$AK$440,'All Girls &amp; Descendants - Edit'!N$1,FALSE)=""," - ",(VLOOKUP($C154,'All Girls &amp; Descendants - Edit'!$C$2:$AK$440,'All Girls &amp; Descendants - Edit'!N$1,FALSE)))</f>
        <v>14347</v>
      </c>
      <c r="O154" s="3">
        <f>IF(VLOOKUP($C154,'All Girls &amp; Descendants - Edit'!$C$2:$AK$440,'All Girls &amp; Descendants - Edit'!O$1,FALSE)="","",(VLOOKUP($C154,'All Girls &amp; Descendants - Edit'!$C$2:$AK$440,'All Girls &amp; Descendants - Edit'!O$1,FALSE)))</f>
        <v>16272</v>
      </c>
      <c r="P154" s="3" t="str">
        <f t="shared" si="19"/>
        <v>19/07/1944</v>
      </c>
      <c r="Q154" s="178" t="str">
        <f t="shared" si="20"/>
        <v>36d</v>
      </c>
      <c r="R154" s="23"/>
      <c r="S154" t="str">
        <f>VLOOKUP($C154,'All Girls &amp; Descendants - Edit'!$C$2:$AK$440,'All Girls &amp; Descendants - Edit'!S$1,FALSE)</f>
        <v>Male</v>
      </c>
      <c r="T154" s="176">
        <f t="shared" si="17"/>
        <v>5</v>
      </c>
      <c r="U154" s="176">
        <f t="shared" si="21"/>
        <v>4</v>
      </c>
      <c r="V154" s="176">
        <f t="shared" si="22"/>
        <v>3</v>
      </c>
      <c r="W154" s="177">
        <f t="shared" si="23"/>
        <v>2</v>
      </c>
      <c r="X154" s="3" t="str">
        <f>IF(VLOOKUP($C154,'All Girls &amp; Descendants - Edit'!$C$2:$AK$440,'All Girls &amp; Descendants - Edit'!X$1,FALSE)=""," - ",(VLOOKUP($C154,'All Girls &amp; Descendants - Edit'!$C$2:$AK$440,'All Girls &amp; Descendants - Edit'!X$1,FALSE)))</f>
        <v>Helen Clare SPENCER-NAIRN (b. 30/04/1917, d.?)</v>
      </c>
      <c r="Y154" s="3" t="str">
        <f>IF(VLOOKUP($C154,'All Girls &amp; Descendants - Edit'!$C$2:$AK$440,'All Girls &amp; Descendants - Edit'!Y$1,FALSE)=""," - ",(VLOOKUP($C154,'All Girls &amp; Descendants - Edit'!$C$2:$AK$440,'All Girls &amp; Descendants - Edit'!Y$1,FALSE)))</f>
        <v>Married at Christ Kirk on the Green, Leslie, Fife, Helen daughter of Sir Robert SPENCER-NAIRN Bart: Major, Fife and Forfar Yeomanry.</v>
      </c>
      <c r="Z154" s="3" t="str">
        <f>IF(VLOOKUP($C154,'All Girls &amp; Descendants - Edit'!$C$2:$AK$440,'All Girls &amp; Descendants - Edit'!Z$1,FALSE)=""," - ",(VLOOKUP($C154,'All Girls &amp; Descendants - Edit'!$C$2:$AK$440,'All Girls &amp; Descendants - Edit'!Z$1,FALSE)))</f>
        <v>Killed in action, 19 Jul 1944 in Normandy, buried in Military cemetery, Banneville-la-Campagne, Nr Caen.</v>
      </c>
      <c r="AA154" s="101">
        <f>IF(VLOOKUP($C154,'All Girls &amp; Descendants - Edit'!$C$2:$AK$440,'All Girls &amp; Descendants - Edit'!AA$1,FALSE)=""," - ",(VLOOKUP($C154,'All Girls &amp; Descendants - Edit'!$C$2:$AK$440,'All Girls &amp; Descendants - Edit'!AA$1,FALSE)))</f>
        <v>75</v>
      </c>
      <c r="AB154" s="101">
        <f>IF(VLOOKUP($C154,'All Girls &amp; Descendants - Edit'!$C$2:$AK$440,'All Girls &amp; Descendants - Edit'!AB$1,FALSE)=""," - ",(VLOOKUP($C154,'All Girls &amp; Descendants - Edit'!$C$2:$AK$440,'All Girls &amp; Descendants - Edit'!AB$1,FALSE)))</f>
        <v>11</v>
      </c>
      <c r="AC154" s="101">
        <f>IF(VLOOKUP($C154,'All Girls &amp; Descendants - Edit'!$C$2:$AK$440,'All Girls &amp; Descendants - Edit'!AC$1,FALSE)=""," - ",(VLOOKUP($C154,'All Girls &amp; Descendants - Edit'!$C$2:$AK$440,'All Girls &amp; Descendants - Edit'!AC$1,FALSE)))</f>
        <v>2011</v>
      </c>
      <c r="AD154" s="3" t="str">
        <f>IF(VLOOKUP($C154,'All Girls &amp; Descendants - Edit'!$C$2:$AK$440,'All Girls &amp; Descendants - Edit'!AD$1,FALSE)=""," - ",(VLOOKUP($C154,'All Girls &amp; Descendants - Edit'!$C$2:$AK$440,'All Girls &amp; Descendants - Edit'!AD$1,FALSE)))</f>
        <v>36db</v>
      </c>
      <c r="AE154" s="3" t="str">
        <f>IF(VLOOKUP($C154,'All Girls &amp; Descendants - Edit'!$C$2:$AK$440,'All Girls &amp; Descendants - Edit'!AE$1,FALSE)=""," - ",(VLOOKUP($C154,'All Girls &amp; Descendants - Edit'!$C$2:$AK$440,'All Girls &amp; Descendants - Edit'!AE$1,FALSE)))</f>
        <v>John Henry Courthope POWELL (1913 - 1944)</v>
      </c>
      <c r="AF154" s="3" t="str">
        <f>IF(VLOOKUP($C154,'All Girls &amp; Descendants - Edit'!$C$2:$AK$440,'All Girls &amp; Descendants - Edit'!AF$1,FALSE)=""," - ",(VLOOKUP($C154,'All Girls &amp; Descendants - Edit'!$C$2:$AK$440,'All Girls &amp; Descendants - Edit'!AF$1,FALSE)))</f>
        <v>John POWELL (5th &amp; 36)</v>
      </c>
      <c r="AG154" s="3" t="str">
        <f>IF(VLOOKUP($C154,'All Girls &amp; Descendants - Edit'!$C$2:$AK$440,'All Girls &amp; Descendants - Edit'!AG$1,FALSE)=""," - ",(VLOOKUP($C154,'All Girls &amp; Descendants - Edit'!$C$2:$AK$440,'All Girls &amp; Descendants - Edit'!AG$1,FALSE)))</f>
        <v>Male</v>
      </c>
      <c r="AH154" s="3" t="str">
        <f>IF(VLOOKUP($C154,'All Girls &amp; Descendants - Edit'!$C$2:$AK$440,'All Girls &amp; Descendants - Edit'!AH$1,FALSE)=""," - ",(VLOOKUP($C154,'All Girls &amp; Descendants - Edit'!$C$2:$AK$440,'All Girls &amp; Descendants - Edit'!AH$1,FALSE)))</f>
        <v>5th</v>
      </c>
      <c r="AI154" s="3" t="str">
        <f>IF(VLOOKUP($C154,'All Girls &amp; Descendants - Edit'!$C$2:$AK$440,'All Girls &amp; Descendants - Edit'!AI$1,FALSE)=""," - ",(VLOOKUP($C154,'All Girls &amp; Descendants - Edit'!$C$2:$AK$440,'All Girls &amp; Descendants - Edit'!AI$1,FALSE)))</f>
        <v>Wife: Helen Clare SPENCER-NAIRN (b. 30/04/1917, d.?). Married at Christ Kirk on the Green, Leslie, Fife, Helen daughter of Sir Robert SPENCER-NAIRN Bart: Major, Fife and Forfar Yeomanry.</v>
      </c>
      <c r="AJ154" s="3" t="str">
        <f>IF(VLOOKUP($C154,'All Girls &amp; Descendants - Edit'!$C$2:$AK$440,'All Girls &amp; Descendants - Edit'!AJ$1,FALSE)=""," - ",(VLOOKUP($C154,'All Girls &amp; Descendants - Edit'!$C$2:$AK$440,'All Girls &amp; Descendants - Edit'!AJ$1,FALSE)))</f>
        <v>Male. b. 03/03/1913, d. 19/07/1944. Killed in action, 19 Jul 1944 in Normandy, buried in Military cemetery, Banneville-la-Campagne, Nr Caen.</v>
      </c>
      <c r="AK154" s="3" t="str">
        <f>IF(VLOOKUP($C154,'All Girls &amp; Descendants - Edit'!$C$2:$AK$440,'All Girls &amp; Descendants - Edit'!AK$1,FALSE)=""," - ",(VLOOKUP($C154,'All Girls &amp; Descendants - Edit'!$C$2:$AK$440,'All Girls &amp; Descendants - Edit'!AK$1,FALSE)))</f>
        <v>b. 03/03/1913, d. 19/07/1944.</v>
      </c>
    </row>
    <row r="155" spans="1:37" ht="19">
      <c r="A155">
        <f>VLOOKUP(B155,'Loyd List 1-190 - Edit'!$P$1:$R$219,3,FALSE)</f>
        <v>22</v>
      </c>
      <c r="B155">
        <f>'All Girls &amp; Descendants - Edit'!B156</f>
        <v>47</v>
      </c>
      <c r="C155" s="98" t="str">
        <f>'All Girls &amp; Descendants - Edit'!C156</f>
        <v>47aa</v>
      </c>
      <c r="D155" s="2" t="str">
        <f>'All Girls &amp; Descendants - Edit'!D156</f>
        <v>HARDCASTLE</v>
      </c>
      <c r="E155" t="str">
        <f>'All Girls &amp; Descendants - Edit'!E156</f>
        <v>Edward</v>
      </c>
      <c r="F155" t="str">
        <f>IF('All Girls &amp; Descendants - Edit'!F156="","",'All Girls &amp; Descendants - Edit'!F156)</f>
        <v>John</v>
      </c>
      <c r="G155" t="str">
        <f>IF('All Girls &amp; Descendants - Edit'!G156="","",'All Girls &amp; Descendants - Edit'!G156)</f>
        <v>Brierly</v>
      </c>
      <c r="H155" t="str">
        <f>IF('All Girls &amp; Descendants - Edit'!H156="","",'All Girls &amp; Descendants - Edit'!H156)</f>
        <v>John</v>
      </c>
      <c r="I155">
        <f>VLOOKUP($C155,'All Girls &amp; Descendants - Edit'!$C$2:$AK$440,'All Girls &amp; Descendants - Edit'!I$1,FALSE)</f>
        <v>1923</v>
      </c>
      <c r="J155" t="str">
        <f>VLOOKUP($C155,'All Girls &amp; Descendants - Edit'!$C$2:$AK$440,'All Girls &amp; Descendants - Edit'!J$1,FALSE)</f>
        <v/>
      </c>
      <c r="K155" s="9"/>
      <c r="L155" t="str">
        <f t="shared" si="18"/>
        <v>27/03/1923</v>
      </c>
      <c r="M155" s="3">
        <f>VLOOKUP($C155,'All Girls &amp; Descendants - Edit'!$C$2:$AK$440,'All Girls &amp; Descendants - Edit'!M$1,FALSE)</f>
        <v>8487</v>
      </c>
      <c r="N155" s="3">
        <f>IF(VLOOKUP($C155,'All Girls &amp; Descendants - Edit'!$C$2:$AK$440,'All Girls &amp; Descendants - Edit'!N$1,FALSE)=""," - ",(VLOOKUP($C155,'All Girls &amp; Descendants - Edit'!$C$2:$AK$440,'All Girls &amp; Descendants - Edit'!N$1,FALSE)))</f>
        <v>18485</v>
      </c>
      <c r="O155" s="3" t="str">
        <f>IF(VLOOKUP($C155,'All Girls &amp; Descendants - Edit'!$C$2:$AK$440,'All Girls &amp; Descendants - Edit'!O$1,FALSE)="","",(VLOOKUP($C155,'All Girls &amp; Descendants - Edit'!$C$2:$AK$440,'All Girls &amp; Descendants - Edit'!O$1,FALSE)))</f>
        <v/>
      </c>
      <c r="P155" s="3" t="str">
        <f t="shared" si="19"/>
        <v/>
      </c>
      <c r="Q155" s="178" t="str">
        <f t="shared" si="20"/>
        <v>47a</v>
      </c>
      <c r="R155" s="23"/>
      <c r="S155" t="str">
        <f>VLOOKUP($C155,'All Girls &amp; Descendants - Edit'!$C$2:$AK$440,'All Girls &amp; Descendants - Edit'!S$1,FALSE)</f>
        <v>Male</v>
      </c>
      <c r="T155" s="176">
        <f t="shared" si="17"/>
        <v>5</v>
      </c>
      <c r="U155" s="176">
        <f t="shared" si="21"/>
        <v>4</v>
      </c>
      <c r="V155" s="176">
        <f t="shared" si="22"/>
        <v>3</v>
      </c>
      <c r="W155" s="177">
        <f t="shared" si="23"/>
        <v>2</v>
      </c>
      <c r="X155" s="3" t="str">
        <f>IF(VLOOKUP($C155,'All Girls &amp; Descendants - Edit'!$C$2:$AK$440,'All Girls &amp; Descendants - Edit'!X$1,FALSE)=""," - ",(VLOOKUP($C155,'All Girls &amp; Descendants - Edit'!$C$2:$AK$440,'All Girls &amp; Descendants - Edit'!X$1,FALSE)))</f>
        <v>Elizabeth Ann Dodds SIMPSON (b. 25/08/1929, d. ? )</v>
      </c>
      <c r="Y155" s="3" t="str">
        <f>IF(VLOOKUP($C155,'All Girls &amp; Descendants - Edit'!$C$2:$AK$440,'All Girls &amp; Descendants - Edit'!Y$1,FALSE)=""," - ",(VLOOKUP($C155,'All Girls &amp; Descendants - Edit'!$C$2:$AK$440,'All Girls &amp; Descendants - Edit'!Y$1,FALSE)))</f>
        <v>Married St Augustine’s, Hull, Elizabeth Ann Dodds,  elder daughter of R.R. SIMPSON FRCS of Hull.</v>
      </c>
      <c r="Z155" s="3" t="str">
        <f>IF(VLOOKUP($C155,'All Girls &amp; Descendants - Edit'!$C$2:$AK$440,'All Girls &amp; Descendants - Edit'!Z$1,FALSE)=""," - ",(VLOOKUP($C155,'All Girls &amp; Descendants - Edit'!$C$2:$AK$440,'All Girls &amp; Descendants - Edit'!Z$1,FALSE)))</f>
        <v>Edward John Brierly HARDCASTLE of Whiligh, Shovers Green, Wadhurst, East Sussex, TN5 7JU. Inherited Whiligh in 1980. (see #36).</v>
      </c>
      <c r="AA155" s="101">
        <f>IF(VLOOKUP($C155,'All Girls &amp; Descendants - Edit'!$C$2:$AK$440,'All Girls &amp; Descendants - Edit'!AA$1,FALSE)=""," - ",(VLOOKUP($C155,'All Girls &amp; Descendants - Edit'!$C$2:$AK$440,'All Girls &amp; Descendants - Edit'!AA$1,FALSE)))</f>
        <v>95</v>
      </c>
      <c r="AB155" s="101">
        <f>IF(VLOOKUP($C155,'All Girls &amp; Descendants - Edit'!$C$2:$AK$440,'All Girls &amp; Descendants - Edit'!AB$1,FALSE)=""," - ",(VLOOKUP($C155,'All Girls &amp; Descendants - Edit'!$C$2:$AK$440,'All Girls &amp; Descendants - Edit'!AB$1,FALSE)))</f>
        <v>12</v>
      </c>
      <c r="AC155" s="101">
        <f>IF(VLOOKUP($C155,'All Girls &amp; Descendants - Edit'!$C$2:$AK$440,'All Girls &amp; Descendants - Edit'!AC$1,FALSE)=""," - ",(VLOOKUP($C155,'All Girls &amp; Descendants - Edit'!$C$2:$AK$440,'All Girls &amp; Descendants - Edit'!AC$1,FALSE)))</f>
        <v>2012</v>
      </c>
      <c r="AD155" s="3" t="str">
        <f>IF(VLOOKUP($C155,'All Girls &amp; Descendants - Edit'!$C$2:$AK$440,'All Girls &amp; Descendants - Edit'!AD$1,FALSE)=""," - ",(VLOOKUP($C155,'All Girls &amp; Descendants - Edit'!$C$2:$AK$440,'All Girls &amp; Descendants - Edit'!AD$1,FALSE)))</f>
        <v>47aa</v>
      </c>
      <c r="AE155" s="3" t="str">
        <f>IF(VLOOKUP($C155,'All Girls &amp; Descendants - Edit'!$C$2:$AK$440,'All Girls &amp; Descendants - Edit'!AE$1,FALSE)=""," - ",(VLOOKUP($C155,'All Girls &amp; Descendants - Edit'!$C$2:$AK$440,'All Girls &amp; Descendants - Edit'!AE$1,FALSE)))</f>
        <v>Edward John Brierly HARDCASTLE (1923 - )</v>
      </c>
      <c r="AF155" s="3" t="str">
        <f>IF(VLOOKUP($C155,'All Girls &amp; Descendants - Edit'!$C$2:$AK$440,'All Girls &amp; Descendants - Edit'!AF$1,FALSE)=""," - ",(VLOOKUP($C155,'All Girls &amp; Descendants - Edit'!$C$2:$AK$440,'All Girls &amp; Descendants - Edit'!AF$1,FALSE)))</f>
        <v>John HARDCASTLE (5th &amp; 47)</v>
      </c>
      <c r="AG155" s="3" t="str">
        <f>IF(VLOOKUP($C155,'All Girls &amp; Descendants - Edit'!$C$2:$AK$440,'All Girls &amp; Descendants - Edit'!AG$1,FALSE)=""," - ",(VLOOKUP($C155,'All Girls &amp; Descendants - Edit'!$C$2:$AK$440,'All Girls &amp; Descendants - Edit'!AG$1,FALSE)))</f>
        <v>Male</v>
      </c>
      <c r="AH155" s="3" t="str">
        <f>IF(VLOOKUP($C155,'All Girls &amp; Descendants - Edit'!$C$2:$AK$440,'All Girls &amp; Descendants - Edit'!AH$1,FALSE)=""," - ",(VLOOKUP($C155,'All Girls &amp; Descendants - Edit'!$C$2:$AK$440,'All Girls &amp; Descendants - Edit'!AH$1,FALSE)))</f>
        <v>5th</v>
      </c>
      <c r="AI155" s="3" t="str">
        <f>IF(VLOOKUP($C155,'All Girls &amp; Descendants - Edit'!$C$2:$AK$440,'All Girls &amp; Descendants - Edit'!AI$1,FALSE)=""," - ",(VLOOKUP($C155,'All Girls &amp; Descendants - Edit'!$C$2:$AK$440,'All Girls &amp; Descendants - Edit'!AI$1,FALSE)))</f>
        <v>Wife: Elizabeth Ann Dodds SIMPSON (b. 25/08/1929, d. ? ). Married St Augustine’s, Hull, Elizabeth Ann Dodds,  elder daughter of R.R. SIMPSON FRCS of Hull.</v>
      </c>
      <c r="AJ155" s="3" t="str">
        <f>IF(VLOOKUP($C155,'All Girls &amp; Descendants - Edit'!$C$2:$AK$440,'All Girls &amp; Descendants - Edit'!AJ$1,FALSE)=""," - ",(VLOOKUP($C155,'All Girls &amp; Descendants - Edit'!$C$2:$AK$440,'All Girls &amp; Descendants - Edit'!AJ$1,FALSE)))</f>
        <v>Male. b. 27/03/1923 Edward John Brierly HARDCASTLE of Whiligh, Shovers Green, Wadhurst, East Sussex, TN5 7JU. Inherited Whiligh in 1980. (see #36).</v>
      </c>
      <c r="AK155" s="3" t="str">
        <f>IF(VLOOKUP($C155,'All Girls &amp; Descendants - Edit'!$C$2:$AK$440,'All Girls &amp; Descendants - Edit'!AK$1,FALSE)=""," - ",(VLOOKUP($C155,'All Girls &amp; Descendants - Edit'!$C$2:$AK$440,'All Girls &amp; Descendants - Edit'!AK$1,FALSE)))</f>
        <v>b. 27/03/1923</v>
      </c>
    </row>
    <row r="156" spans="1:37" ht="19">
      <c r="A156">
        <f>VLOOKUP(B156,'Loyd List 1-190 - Edit'!$P$1:$R$219,3,FALSE)</f>
        <v>22</v>
      </c>
      <c r="B156">
        <f>'All Girls &amp; Descendants - Edit'!B157</f>
        <v>47</v>
      </c>
      <c r="C156" s="98" t="str">
        <f>'All Girls &amp; Descendants - Edit'!C157</f>
        <v>47ab</v>
      </c>
      <c r="D156" s="2" t="str">
        <f>'All Girls &amp; Descendants - Edit'!D157</f>
        <v>HARDCASTLE</v>
      </c>
      <c r="E156" t="str">
        <f>'All Girls &amp; Descendants - Edit'!E157</f>
        <v>Priscilla</v>
      </c>
      <c r="F156" t="str">
        <f>IF('All Girls &amp; Descendants - Edit'!F157="","",'All Girls &amp; Descendants - Edit'!F157)</f>
        <v>Brierly</v>
      </c>
      <c r="G156" t="str">
        <f>IF('All Girls &amp; Descendants - Edit'!G157="","",'All Girls &amp; Descendants - Edit'!G157)</f>
        <v/>
      </c>
      <c r="H156" t="str">
        <f>IF('All Girls &amp; Descendants - Edit'!H157="","",'All Girls &amp; Descendants - Edit'!H157)</f>
        <v/>
      </c>
      <c r="I156">
        <f>VLOOKUP($C156,'All Girls &amp; Descendants - Edit'!$C$2:$AK$440,'All Girls &amp; Descendants - Edit'!I$1,FALSE)</f>
        <v>1954</v>
      </c>
      <c r="J156" t="str">
        <f>VLOOKUP($C156,'All Girls &amp; Descendants - Edit'!$C$2:$AK$440,'All Girls &amp; Descendants - Edit'!J$1,FALSE)</f>
        <v/>
      </c>
      <c r="K156" s="9"/>
      <c r="L156" t="str">
        <f t="shared" si="18"/>
        <v>07/06/1954</v>
      </c>
      <c r="M156" s="3">
        <f>VLOOKUP($C156,'All Girls &amp; Descendants - Edit'!$C$2:$AK$440,'All Girls &amp; Descendants - Edit'!M$1,FALSE)</f>
        <v>19882</v>
      </c>
      <c r="N156" s="3">
        <f>IF(VLOOKUP($C156,'All Girls &amp; Descendants - Edit'!$C$2:$AK$440,'All Girls &amp; Descendants - Edit'!N$1,FALSE)=""," - ",(VLOOKUP($C156,'All Girls &amp; Descendants - Edit'!$C$2:$AK$440,'All Girls &amp; Descendants - Edit'!N$1,FALSE)))</f>
        <v>18361</v>
      </c>
      <c r="O156" s="3" t="str">
        <f>IF(VLOOKUP($C156,'All Girls &amp; Descendants - Edit'!$C$2:$AK$440,'All Girls &amp; Descendants - Edit'!O$1,FALSE)="","",(VLOOKUP($C156,'All Girls &amp; Descendants - Edit'!$C$2:$AK$440,'All Girls &amp; Descendants - Edit'!O$1,FALSE)))</f>
        <v/>
      </c>
      <c r="P156" s="3" t="str">
        <f t="shared" si="19"/>
        <v/>
      </c>
      <c r="Q156" s="178" t="str">
        <f t="shared" si="20"/>
        <v>47a</v>
      </c>
      <c r="R156" s="23"/>
      <c r="S156" t="str">
        <f>VLOOKUP($C156,'All Girls &amp; Descendants - Edit'!$C$2:$AK$440,'All Girls &amp; Descendants - Edit'!S$1,FALSE)</f>
        <v>Female</v>
      </c>
      <c r="T156" s="176">
        <f t="shared" si="17"/>
        <v>5</v>
      </c>
      <c r="U156" s="176">
        <f t="shared" si="21"/>
        <v>4</v>
      </c>
      <c r="V156" s="176">
        <f t="shared" si="22"/>
        <v>3</v>
      </c>
      <c r="W156" s="177">
        <f t="shared" si="23"/>
        <v>2</v>
      </c>
      <c r="X156" s="3" t="str">
        <f>IF(VLOOKUP($C156,'All Girls &amp; Descendants - Edit'!$C$2:$AK$440,'All Girls &amp; Descendants - Edit'!X$1,FALSE)=""," - ",(VLOOKUP($C156,'All Girls &amp; Descendants - Edit'!$C$2:$AK$440,'All Girls &amp; Descendants - Edit'!X$1,FALSE)))</f>
        <v>Alwyn Cedric DREW (b. 11/11/1924, d. 17/03/1972)</v>
      </c>
      <c r="Y156" s="3" t="str">
        <f>IF(VLOOKUP($C156,'All Girls &amp; Descendants - Edit'!$C$2:$AK$440,'All Girls &amp; Descendants - Edit'!Y$1,FALSE)=""," - ",(VLOOKUP($C156,'All Girls &amp; Descendants - Edit'!$C$2:$AK$440,'All Girls &amp; Descendants - Edit'!Y$1,FALSE)))</f>
        <v>Married at St Mary’s, Ticehurst, Sussex, Alwyn, Lieutenant, Royal Navy and younger son of Sir Cedric DREWE KCVO of Broadhembury House, Broadhembury, Devon. MP for South Molton 1924-29 and Honiton 1931-52. WHO WAS THE MP?</v>
      </c>
      <c r="Z156" s="3" t="str">
        <f>IF(VLOOKUP($C156,'All Girls &amp; Descendants - Edit'!$C$2:$AK$440,'All Girls &amp; Descendants - Edit'!Z$1,FALSE)=""," - ",(VLOOKUP($C156,'All Girls &amp; Descendants - Edit'!$C$2:$AK$440,'All Girls &amp; Descendants - Edit'!Z$1,FALSE)))</f>
        <v>Born at Tenterden, Kent. Priscilla of PO Box 2023, Voelklip, Hermanus 7200, Western Province, South Africa. Died in Rhodesia.</v>
      </c>
      <c r="AA156" s="101">
        <f>IF(VLOOKUP($C156,'All Girls &amp; Descendants - Edit'!$C$2:$AK$440,'All Girls &amp; Descendants - Edit'!AA$1,FALSE)=""," - ",(VLOOKUP($C156,'All Girls &amp; Descendants - Edit'!$C$2:$AK$440,'All Girls &amp; Descendants - Edit'!AA$1,FALSE)))</f>
        <v>104</v>
      </c>
      <c r="AB156" s="101">
        <f>IF(VLOOKUP($C156,'All Girls &amp; Descendants - Edit'!$C$2:$AK$440,'All Girls &amp; Descendants - Edit'!AB$1,FALSE)=""," - ",(VLOOKUP($C156,'All Girls &amp; Descendants - Edit'!$C$2:$AK$440,'All Girls &amp; Descendants - Edit'!AB$1,FALSE)))</f>
        <v>13</v>
      </c>
      <c r="AC156" s="101">
        <f>IF(VLOOKUP($C156,'All Girls &amp; Descendants - Edit'!$C$2:$AK$440,'All Girls &amp; Descendants - Edit'!AC$1,FALSE)=""," - ",(VLOOKUP($C156,'All Girls &amp; Descendants - Edit'!$C$2:$AK$440,'All Girls &amp; Descendants - Edit'!AC$1,FALSE)))</f>
        <v>2013</v>
      </c>
      <c r="AD156" s="3" t="str">
        <f>IF(VLOOKUP($C156,'All Girls &amp; Descendants - Edit'!$C$2:$AK$440,'All Girls &amp; Descendants - Edit'!AD$1,FALSE)=""," - ",(VLOOKUP($C156,'All Girls &amp; Descendants - Edit'!$C$2:$AK$440,'All Girls &amp; Descendants - Edit'!AD$1,FALSE)))</f>
        <v>47ab</v>
      </c>
      <c r="AE156" s="3" t="str">
        <f>IF(VLOOKUP($C156,'All Girls &amp; Descendants - Edit'!$C$2:$AK$440,'All Girls &amp; Descendants - Edit'!AE$1,FALSE)=""," - ",(VLOOKUP($C156,'All Girls &amp; Descendants - Edit'!$C$2:$AK$440,'All Girls &amp; Descendants - Edit'!AE$1,FALSE)))</f>
        <v>Priscilla Brierly  HARDCASTLE (1954 - )</v>
      </c>
      <c r="AF156" s="3" t="str">
        <f>IF(VLOOKUP($C156,'All Girls &amp; Descendants - Edit'!$C$2:$AK$440,'All Girls &amp; Descendants - Edit'!AF$1,FALSE)=""," - ",(VLOOKUP($C156,'All Girls &amp; Descendants - Edit'!$C$2:$AK$440,'All Girls &amp; Descendants - Edit'!AF$1,FALSE)))</f>
        <v>Priscilla HARDCASTLE (5th &amp; 47)</v>
      </c>
      <c r="AG156" s="3" t="str">
        <f>IF(VLOOKUP($C156,'All Girls &amp; Descendants - Edit'!$C$2:$AK$440,'All Girls &amp; Descendants - Edit'!AG$1,FALSE)=""," - ",(VLOOKUP($C156,'All Girls &amp; Descendants - Edit'!$C$2:$AK$440,'All Girls &amp; Descendants - Edit'!AG$1,FALSE)))</f>
        <v>Female</v>
      </c>
      <c r="AH156" s="3" t="str">
        <f>IF(VLOOKUP($C156,'All Girls &amp; Descendants - Edit'!$C$2:$AK$440,'All Girls &amp; Descendants - Edit'!AH$1,FALSE)=""," - ",(VLOOKUP($C156,'All Girls &amp; Descendants - Edit'!$C$2:$AK$440,'All Girls &amp; Descendants - Edit'!AH$1,FALSE)))</f>
        <v>5th</v>
      </c>
      <c r="AI156" s="3" t="str">
        <f>IF(VLOOKUP($C156,'All Girls &amp; Descendants - Edit'!$C$2:$AK$440,'All Girls &amp; Descendants - Edit'!AI$1,FALSE)=""," - ",(VLOOKUP($C156,'All Girls &amp; Descendants - Edit'!$C$2:$AK$440,'All Girls &amp; Descendants - Edit'!AI$1,FALSE)))</f>
        <v>Husband: Alwyn Cedric DREW (b. 11/11/1924, d. 17/03/1972). Married at St Mary’s, Ticehurst, Sussex, Alwyn, Lieutenant, Royal Navy and younger son of Sir Cedric DREWE KCVO of Broadhembury House, Broadhembury, Devon. MP for South Molton 1924-29 and Honiton 1931-52. WHO WAS THE MP?</v>
      </c>
      <c r="AJ156" s="3" t="str">
        <f>IF(VLOOKUP($C156,'All Girls &amp; Descendants - Edit'!$C$2:$AK$440,'All Girls &amp; Descendants - Edit'!AJ$1,FALSE)=""," - ",(VLOOKUP($C156,'All Girls &amp; Descendants - Edit'!$C$2:$AK$440,'All Girls &amp; Descendants - Edit'!AJ$1,FALSE)))</f>
        <v>Female. b. 07/06/1954 Born at Tenterden, Kent. Priscilla of PO Box 2023, Voelklip, Hermanus 7200, Western Province, South Africa. Died in Rhodesia.</v>
      </c>
      <c r="AK156" s="3" t="str">
        <f>IF(VLOOKUP($C156,'All Girls &amp; Descendants - Edit'!$C$2:$AK$440,'All Girls &amp; Descendants - Edit'!AK$1,FALSE)=""," - ",(VLOOKUP($C156,'All Girls &amp; Descendants - Edit'!$C$2:$AK$440,'All Girls &amp; Descendants - Edit'!AK$1,FALSE)))</f>
        <v>b. 07/06/1954</v>
      </c>
    </row>
    <row r="157" spans="1:37" ht="19">
      <c r="A157">
        <f>VLOOKUP(B157,'Loyd List 1-190 - Edit'!$P$1:$R$219,3,FALSE)</f>
        <v>41</v>
      </c>
      <c r="B157">
        <f>'All Girls &amp; Descendants - Edit'!B158</f>
        <v>63</v>
      </c>
      <c r="C157" s="98" t="str">
        <f>'All Girls &amp; Descendants - Edit'!C158</f>
        <v>63aa</v>
      </c>
      <c r="D157" s="2" t="str">
        <f>'All Girls &amp; Descendants - Edit'!D158</f>
        <v>MOORE</v>
      </c>
      <c r="E157" t="str">
        <f>'All Girls &amp; Descendants - Edit'!E158</f>
        <v>Arthur</v>
      </c>
      <c r="F157" t="str">
        <f>IF('All Girls &amp; Descendants - Edit'!F158="","",'All Girls &amp; Descendants - Edit'!F158)</f>
        <v>William</v>
      </c>
      <c r="G157" t="str">
        <f>IF('All Girls &amp; Descendants - Edit'!G158="","",'All Girls &amp; Descendants - Edit'!G158)</f>
        <v/>
      </c>
      <c r="H157" t="str">
        <f>IF('All Girls &amp; Descendants - Edit'!H158="","",'All Girls &amp; Descendants - Edit'!H158)</f>
        <v/>
      </c>
      <c r="I157">
        <f>VLOOKUP($C157,'All Girls &amp; Descendants - Edit'!$C$2:$AK$440,'All Girls &amp; Descendants - Edit'!I$1,FALSE)</f>
        <v>1950</v>
      </c>
      <c r="J157" t="str">
        <f>VLOOKUP($C157,'All Girls &amp; Descendants - Edit'!$C$2:$AK$440,'All Girls &amp; Descendants - Edit'!J$1,FALSE)</f>
        <v/>
      </c>
      <c r="K157" s="9"/>
      <c r="L157" t="str">
        <f t="shared" si="18"/>
        <v>26/06/1950</v>
      </c>
      <c r="M157" s="3">
        <f>VLOOKUP($C157,'All Girls &amp; Descendants - Edit'!$C$2:$AK$440,'All Girls &amp; Descendants - Edit'!M$1,FALSE)</f>
        <v>18440</v>
      </c>
      <c r="N157" s="3" t="str">
        <f>IF(VLOOKUP($C157,'All Girls &amp; Descendants - Edit'!$C$2:$AK$440,'All Girls &amp; Descendants - Edit'!N$1,FALSE)=""," - ",(VLOOKUP($C157,'All Girls &amp; Descendants - Edit'!$C$2:$AK$440,'All Girls &amp; Descendants - Edit'!N$1,FALSE)))</f>
        <v xml:space="preserve"> - </v>
      </c>
      <c r="O157" s="3" t="str">
        <f>IF(VLOOKUP($C157,'All Girls &amp; Descendants - Edit'!$C$2:$AK$440,'All Girls &amp; Descendants - Edit'!O$1,FALSE)="","",(VLOOKUP($C157,'All Girls &amp; Descendants - Edit'!$C$2:$AK$440,'All Girls &amp; Descendants - Edit'!O$1,FALSE)))</f>
        <v/>
      </c>
      <c r="P157" s="3" t="str">
        <f t="shared" si="19"/>
        <v/>
      </c>
      <c r="Q157" s="178" t="str">
        <f t="shared" si="20"/>
        <v>63a</v>
      </c>
      <c r="R157" s="23"/>
      <c r="S157" t="str">
        <f>VLOOKUP($C157,'All Girls &amp; Descendants - Edit'!$C$2:$AK$440,'All Girls &amp; Descendants - Edit'!S$1,FALSE)</f>
        <v>Male</v>
      </c>
      <c r="T157" s="176">
        <f t="shared" si="17"/>
        <v>6</v>
      </c>
      <c r="U157" s="176">
        <f t="shared" si="21"/>
        <v>4</v>
      </c>
      <c r="V157" s="176">
        <f t="shared" si="22"/>
        <v>4</v>
      </c>
      <c r="W157" s="177">
        <f t="shared" si="23"/>
        <v>2</v>
      </c>
      <c r="X157" s="3" t="str">
        <f>IF(VLOOKUP($C157,'All Girls &amp; Descendants - Edit'!$C$2:$AK$440,'All Girls &amp; Descendants - Edit'!X$1,FALSE)=""," - ",(VLOOKUP($C157,'All Girls &amp; Descendants - Edit'!$C$2:$AK$440,'All Girls &amp; Descendants - Edit'!X$1,FALSE)))</f>
        <v xml:space="preserve"> - </v>
      </c>
      <c r="Y157" s="3" t="str">
        <f>IF(VLOOKUP($C157,'All Girls &amp; Descendants - Edit'!$C$2:$AK$440,'All Girls &amp; Descendants - Edit'!Y$1,FALSE)=""," - ",(VLOOKUP($C157,'All Girls &amp; Descendants - Edit'!$C$2:$AK$440,'All Girls &amp; Descendants - Edit'!Y$1,FALSE)))</f>
        <v xml:space="preserve"> - </v>
      </c>
      <c r="Z157" s="3" t="str">
        <f>IF(VLOOKUP($C157,'All Girls &amp; Descendants - Edit'!$C$2:$AK$440,'All Girls &amp; Descendants - Edit'!Z$1,FALSE)=""," - ",(VLOOKUP($C157,'All Girls &amp; Descendants - Edit'!$C$2:$AK$440,'All Girls &amp; Descendants - Edit'!Z$1,FALSE)))</f>
        <v>Baptised 17 Sep 1950 at St Alban’s, Westbury Park, Bristol. Educated Lower Canada College, Montreal and Dartmouth, New England, USA (AB 1972). Sheffield University (MA). Open University (BA Maths). Systems analyst, Scottish Office, Edinburgh.</v>
      </c>
      <c r="AA157" s="101">
        <f>IF(VLOOKUP($C157,'All Girls &amp; Descendants - Edit'!$C$2:$AK$440,'All Girls &amp; Descendants - Edit'!AA$1,FALSE)=""," - ",(VLOOKUP($C157,'All Girls &amp; Descendants - Edit'!$C$2:$AK$440,'All Girls &amp; Descendants - Edit'!AA$1,FALSE)))</f>
        <v>112</v>
      </c>
      <c r="AB157" s="101">
        <f>IF(VLOOKUP($C157,'All Girls &amp; Descendants - Edit'!$C$2:$AK$440,'All Girls &amp; Descendants - Edit'!AB$1,FALSE)=""," - ",(VLOOKUP($C157,'All Girls &amp; Descendants - Edit'!$C$2:$AK$440,'All Girls &amp; Descendants - Edit'!AB$1,FALSE)))</f>
        <v>14</v>
      </c>
      <c r="AC157" s="101">
        <f>IF(VLOOKUP($C157,'All Girls &amp; Descendants - Edit'!$C$2:$AK$440,'All Girls &amp; Descendants - Edit'!AC$1,FALSE)=""," - ",(VLOOKUP($C157,'All Girls &amp; Descendants - Edit'!$C$2:$AK$440,'All Girls &amp; Descendants - Edit'!AC$1,FALSE)))</f>
        <v>2014</v>
      </c>
      <c r="AD157" s="3" t="str">
        <f>IF(VLOOKUP($C157,'All Girls &amp; Descendants - Edit'!$C$2:$AK$440,'All Girls &amp; Descendants - Edit'!AD$1,FALSE)=""," - ",(VLOOKUP($C157,'All Girls &amp; Descendants - Edit'!$C$2:$AK$440,'All Girls &amp; Descendants - Edit'!AD$1,FALSE)))</f>
        <v>63aa</v>
      </c>
      <c r="AE157" s="3" t="str">
        <f>IF(VLOOKUP($C157,'All Girls &amp; Descendants - Edit'!$C$2:$AK$440,'All Girls &amp; Descendants - Edit'!AE$1,FALSE)=""," - ",(VLOOKUP($C157,'All Girls &amp; Descendants - Edit'!$C$2:$AK$440,'All Girls &amp; Descendants - Edit'!AE$1,FALSE)))</f>
        <v>Arthur William  MOORE (1950 - )</v>
      </c>
      <c r="AF157" s="3" t="str">
        <f>IF(VLOOKUP($C157,'All Girls &amp; Descendants - Edit'!$C$2:$AK$440,'All Girls &amp; Descendants - Edit'!AF$1,FALSE)=""," - ",(VLOOKUP($C157,'All Girls &amp; Descendants - Edit'!$C$2:$AK$440,'All Girls &amp; Descendants - Edit'!AF$1,FALSE)))</f>
        <v>Arthur MOORE (6th &amp; 63)</v>
      </c>
      <c r="AG157" s="3" t="str">
        <f>IF(VLOOKUP($C157,'All Girls &amp; Descendants - Edit'!$C$2:$AK$440,'All Girls &amp; Descendants - Edit'!AG$1,FALSE)=""," - ",(VLOOKUP($C157,'All Girls &amp; Descendants - Edit'!$C$2:$AK$440,'All Girls &amp; Descendants - Edit'!AG$1,FALSE)))</f>
        <v>Male</v>
      </c>
      <c r="AH157" s="3" t="str">
        <f>IF(VLOOKUP($C157,'All Girls &amp; Descendants - Edit'!$C$2:$AK$440,'All Girls &amp; Descendants - Edit'!AH$1,FALSE)=""," - ",(VLOOKUP($C157,'All Girls &amp; Descendants - Edit'!$C$2:$AK$440,'All Girls &amp; Descendants - Edit'!AH$1,FALSE)))</f>
        <v>6th</v>
      </c>
      <c r="AI157" s="3" t="str">
        <f>IF(VLOOKUP($C157,'All Girls &amp; Descendants - Edit'!$C$2:$AK$440,'All Girls &amp; Descendants - Edit'!AI$1,FALSE)=""," - ",(VLOOKUP($C157,'All Girls &amp; Descendants - Edit'!$C$2:$AK$440,'All Girls &amp; Descendants - Edit'!AI$1,FALSE)))</f>
        <v>Unmarried</v>
      </c>
      <c r="AJ157" s="3" t="str">
        <f>IF(VLOOKUP($C157,'All Girls &amp; Descendants - Edit'!$C$2:$AK$440,'All Girls &amp; Descendants - Edit'!AJ$1,FALSE)=""," - ",(VLOOKUP($C157,'All Girls &amp; Descendants - Edit'!$C$2:$AK$440,'All Girls &amp; Descendants - Edit'!AJ$1,FALSE)))</f>
        <v>Male. b. 26/06/1950 Baptised 17 Sep 1950 at St Alban’s, Westbury Park, Bristol. Educated Lower Canada College, Montreal and Dartmouth, New England, USA (AB 1972). Sheffield University (MA). Open University (BA Maths). Systems analyst, Scottish Office, Edinburgh.</v>
      </c>
      <c r="AK157" s="3" t="str">
        <f>IF(VLOOKUP($C157,'All Girls &amp; Descendants - Edit'!$C$2:$AK$440,'All Girls &amp; Descendants - Edit'!AK$1,FALSE)=""," - ",(VLOOKUP($C157,'All Girls &amp; Descendants - Edit'!$C$2:$AK$440,'All Girls &amp; Descendants - Edit'!AK$1,FALSE)))</f>
        <v>b. 26/06/1950</v>
      </c>
    </row>
    <row r="158" spans="1:37" ht="19">
      <c r="A158">
        <f>VLOOKUP(B158,'Loyd List 1-190 - Edit'!$P$1:$R$219,3,FALSE)</f>
        <v>41</v>
      </c>
      <c r="B158">
        <f>'All Girls &amp; Descendants - Edit'!B159</f>
        <v>63</v>
      </c>
      <c r="C158" s="98" t="str">
        <f>'All Girls &amp; Descendants - Edit'!C159</f>
        <v>63ab</v>
      </c>
      <c r="D158" s="2" t="str">
        <f>'All Girls &amp; Descendants - Edit'!D159</f>
        <v>MOORE</v>
      </c>
      <c r="E158" t="str">
        <f>'All Girls &amp; Descendants - Edit'!E159</f>
        <v>Gareth</v>
      </c>
      <c r="F158" t="str">
        <f>IF('All Girls &amp; Descendants - Edit'!F159="","",'All Girls &amp; Descendants - Edit'!F159)</f>
        <v>Allen</v>
      </c>
      <c r="G158" t="str">
        <f>IF('All Girls &amp; Descendants - Edit'!G159="","",'All Girls &amp; Descendants - Edit'!G159)</f>
        <v/>
      </c>
      <c r="H158" t="str">
        <f>IF('All Girls &amp; Descendants - Edit'!H159="","",'All Girls &amp; Descendants - Edit'!H159)</f>
        <v/>
      </c>
      <c r="I158">
        <f>VLOOKUP($C158,'All Girls &amp; Descendants - Edit'!$C$2:$AK$440,'All Girls &amp; Descendants - Edit'!I$1,FALSE)</f>
        <v>1985</v>
      </c>
      <c r="J158" t="str">
        <f>VLOOKUP($C158,'All Girls &amp; Descendants - Edit'!$C$2:$AK$440,'All Girls &amp; Descendants - Edit'!J$1,FALSE)</f>
        <v/>
      </c>
      <c r="K158" s="9"/>
      <c r="L158" t="str">
        <f t="shared" si="18"/>
        <v>24/08/1985</v>
      </c>
      <c r="M158" s="3">
        <f>VLOOKUP($C158,'All Girls &amp; Descendants - Edit'!$C$2:$AK$440,'All Girls &amp; Descendants - Edit'!M$1,FALSE)</f>
        <v>31283</v>
      </c>
      <c r="N158" s="3" t="str">
        <f>IF(VLOOKUP($C158,'All Girls &amp; Descendants - Edit'!$C$2:$AK$440,'All Girls &amp; Descendants - Edit'!N$1,FALSE)=""," - ",(VLOOKUP($C158,'All Girls &amp; Descendants - Edit'!$C$2:$AK$440,'All Girls &amp; Descendants - Edit'!N$1,FALSE)))</f>
        <v xml:space="preserve"> - </v>
      </c>
      <c r="O158" s="3" t="str">
        <f>IF(VLOOKUP($C158,'All Girls &amp; Descendants - Edit'!$C$2:$AK$440,'All Girls &amp; Descendants - Edit'!O$1,FALSE)="","",(VLOOKUP($C158,'All Girls &amp; Descendants - Edit'!$C$2:$AK$440,'All Girls &amp; Descendants - Edit'!O$1,FALSE)))</f>
        <v/>
      </c>
      <c r="P158" s="3" t="str">
        <f t="shared" si="19"/>
        <v/>
      </c>
      <c r="Q158" s="178" t="str">
        <f t="shared" si="20"/>
        <v>63a</v>
      </c>
      <c r="R158" s="23"/>
      <c r="S158" t="str">
        <f>VLOOKUP($C158,'All Girls &amp; Descendants - Edit'!$C$2:$AK$440,'All Girls &amp; Descendants - Edit'!S$1,FALSE)</f>
        <v>Male</v>
      </c>
      <c r="T158" s="176">
        <f t="shared" si="17"/>
        <v>6</v>
      </c>
      <c r="U158" s="176">
        <f t="shared" si="21"/>
        <v>4</v>
      </c>
      <c r="V158" s="176">
        <f t="shared" si="22"/>
        <v>4</v>
      </c>
      <c r="W158" s="177">
        <f t="shared" si="23"/>
        <v>2</v>
      </c>
      <c r="X158" s="3" t="str">
        <f>IF(VLOOKUP($C158,'All Girls &amp; Descendants - Edit'!$C$2:$AK$440,'All Girls &amp; Descendants - Edit'!X$1,FALSE)=""," - ",(VLOOKUP($C158,'All Girls &amp; Descendants - Edit'!$C$2:$AK$440,'All Girls &amp; Descendants - Edit'!X$1,FALSE)))</f>
        <v>Anne Marrei ZAJAC (b. 22/05/1950, d. )</v>
      </c>
      <c r="Y158" s="3" t="str">
        <f>IF(VLOOKUP($C158,'All Girls &amp; Descendants - Edit'!$C$2:$AK$440,'All Girls &amp; Descendants - Edit'!Y$1,FALSE)=""," - ",(VLOOKUP($C158,'All Girls &amp; Descendants - Edit'!$C$2:$AK$440,'All Girls &amp; Descendants - Edit'!Y$1,FALSE)))</f>
        <v>Married at St Paul’s Episcopal, Lansing, Michigan, Anne Marie eldest daughter of Robert ZAJAC of Lansing, Michigan, USA.</v>
      </c>
      <c r="Z158" s="3" t="str">
        <f>IF(VLOOKUP($C158,'All Girls &amp; Descendants - Edit'!$C$2:$AK$440,'All Girls &amp; Descendants - Edit'!Z$1,FALSE)=""," - ",(VLOOKUP($C158,'All Girls &amp; Descendants - Edit'!$C$2:$AK$440,'All Girls &amp; Descendants - Edit'!Z$1,FALSE)))</f>
        <v>Baptised 17 Sep 1954 at St Alban’s, Westbury Park, Bristol. Educated Lower Canada College, Montreal and Dartmouth, New England, USA (AB 1975). University of Guelph (DVM). Ohio State (MS 1987). Educated University of Michigan (BS 1973). Michigan State (MS DVM 1979). Ohio State (PhD 1986). Associate Professor of Parasitology, Virginia/Maryland College of Veterinary Medicine.</v>
      </c>
      <c r="AA158" s="101">
        <f>IF(VLOOKUP($C158,'All Girls &amp; Descendants - Edit'!$C$2:$AK$440,'All Girls &amp; Descendants - Edit'!AA$1,FALSE)=""," - ",(VLOOKUP($C158,'All Girls &amp; Descendants - Edit'!$C$2:$AK$440,'All Girls &amp; Descendants - Edit'!AA$1,FALSE)))</f>
        <v>113</v>
      </c>
      <c r="AB158" s="101">
        <f>IF(VLOOKUP($C158,'All Girls &amp; Descendants - Edit'!$C$2:$AK$440,'All Girls &amp; Descendants - Edit'!AB$1,FALSE)=""," - ",(VLOOKUP($C158,'All Girls &amp; Descendants - Edit'!$C$2:$AK$440,'All Girls &amp; Descendants - Edit'!AB$1,FALSE)))</f>
        <v>15</v>
      </c>
      <c r="AC158" s="101">
        <f>IF(VLOOKUP($C158,'All Girls &amp; Descendants - Edit'!$C$2:$AK$440,'All Girls &amp; Descendants - Edit'!AC$1,FALSE)=""," - ",(VLOOKUP($C158,'All Girls &amp; Descendants - Edit'!$C$2:$AK$440,'All Girls &amp; Descendants - Edit'!AC$1,FALSE)))</f>
        <v>2015</v>
      </c>
      <c r="AD158" s="3" t="str">
        <f>IF(VLOOKUP($C158,'All Girls &amp; Descendants - Edit'!$C$2:$AK$440,'All Girls &amp; Descendants - Edit'!AD$1,FALSE)=""," - ",(VLOOKUP($C158,'All Girls &amp; Descendants - Edit'!$C$2:$AK$440,'All Girls &amp; Descendants - Edit'!AD$1,FALSE)))</f>
        <v>63ab</v>
      </c>
      <c r="AE158" s="3" t="str">
        <f>IF(VLOOKUP($C158,'All Girls &amp; Descendants - Edit'!$C$2:$AK$440,'All Girls &amp; Descendants - Edit'!AE$1,FALSE)=""," - ",(VLOOKUP($C158,'All Girls &amp; Descendants - Edit'!$C$2:$AK$440,'All Girls &amp; Descendants - Edit'!AE$1,FALSE)))</f>
        <v>Gareth Allen  MOORE (1985 - )</v>
      </c>
      <c r="AF158" s="3" t="str">
        <f>IF(VLOOKUP($C158,'All Girls &amp; Descendants - Edit'!$C$2:$AK$440,'All Girls &amp; Descendants - Edit'!AF$1,FALSE)=""," - ",(VLOOKUP($C158,'All Girls &amp; Descendants - Edit'!$C$2:$AK$440,'All Girls &amp; Descendants - Edit'!AF$1,FALSE)))</f>
        <v>Gareth MOORE (6th &amp; 63)</v>
      </c>
      <c r="AG158" s="3" t="str">
        <f>IF(VLOOKUP($C158,'All Girls &amp; Descendants - Edit'!$C$2:$AK$440,'All Girls &amp; Descendants - Edit'!AG$1,FALSE)=""," - ",(VLOOKUP($C158,'All Girls &amp; Descendants - Edit'!$C$2:$AK$440,'All Girls &amp; Descendants - Edit'!AG$1,FALSE)))</f>
        <v>Male</v>
      </c>
      <c r="AH158" s="3" t="str">
        <f>IF(VLOOKUP($C158,'All Girls &amp; Descendants - Edit'!$C$2:$AK$440,'All Girls &amp; Descendants - Edit'!AH$1,FALSE)=""," - ",(VLOOKUP($C158,'All Girls &amp; Descendants - Edit'!$C$2:$AK$440,'All Girls &amp; Descendants - Edit'!AH$1,FALSE)))</f>
        <v>6th</v>
      </c>
      <c r="AI158" s="3" t="str">
        <f>IF(VLOOKUP($C158,'All Girls &amp; Descendants - Edit'!$C$2:$AK$440,'All Girls &amp; Descendants - Edit'!AI$1,FALSE)=""," - ",(VLOOKUP($C158,'All Girls &amp; Descendants - Edit'!$C$2:$AK$440,'All Girls &amp; Descendants - Edit'!AI$1,FALSE)))</f>
        <v>Wife: Anne Marrei ZAJAC (b. 22/05/1950, d. ). Married at St Paul’s Episcopal, Lansing, Michigan, Anne Marie eldest daughter of Robert ZAJAC of Lansing, Michigan, USA.</v>
      </c>
      <c r="AJ158" s="3" t="str">
        <f>IF(VLOOKUP($C158,'All Girls &amp; Descendants - Edit'!$C$2:$AK$440,'All Girls &amp; Descendants - Edit'!AJ$1,FALSE)=""," - ",(VLOOKUP($C158,'All Girls &amp; Descendants - Edit'!$C$2:$AK$440,'All Girls &amp; Descendants - Edit'!AJ$1,FALSE)))</f>
        <v>Male. b. 24/08/1985 Baptised 17 Sep 1954 at St Alban’s, Westbury Park, Bristol. Educated Lower Canada College, Montreal and Dartmouth, New England, USA (AB 1975). University of Guelph (DVM). Ohio State (MS 1987). Educated University of Michigan (BS 1973). Michigan State (MS DVM 1979). Ohio State (PhD 1986). Associate Professor of Parasitology, Virginia/Maryland College of Veterinary Medicine.</v>
      </c>
      <c r="AK158" s="3" t="str">
        <f>IF(VLOOKUP($C158,'All Girls &amp; Descendants - Edit'!$C$2:$AK$440,'All Girls &amp; Descendants - Edit'!AK$1,FALSE)=""," - ",(VLOOKUP($C158,'All Girls &amp; Descendants - Edit'!$C$2:$AK$440,'All Girls &amp; Descendants - Edit'!AK$1,FALSE)))</f>
        <v>b. 24/08/1985</v>
      </c>
    </row>
    <row r="159" spans="1:37" ht="19">
      <c r="A159">
        <f>VLOOKUP(B159,'Loyd List 1-190 - Edit'!$P$1:$R$219,3,FALSE)</f>
        <v>34</v>
      </c>
      <c r="B159">
        <f>'All Girls &amp; Descendants - Edit'!B160</f>
        <v>65</v>
      </c>
      <c r="C159" s="98" t="str">
        <f>'All Girls &amp; Descendants - Edit'!C160</f>
        <v>65ca</v>
      </c>
      <c r="D159" s="2" t="str">
        <f>'All Girls &amp; Descendants - Edit'!D160</f>
        <v>WHEELER</v>
      </c>
      <c r="E159" t="str">
        <f>'All Girls &amp; Descendants - Edit'!E160</f>
        <v>Vanessa</v>
      </c>
      <c r="F159" t="str">
        <f>IF('All Girls &amp; Descendants - Edit'!F160="","",'All Girls &amp; Descendants - Edit'!F160)</f>
        <v>Chantal</v>
      </c>
      <c r="G159" t="str">
        <f>IF('All Girls &amp; Descendants - Edit'!G160="","",'All Girls &amp; Descendants - Edit'!G160)</f>
        <v/>
      </c>
      <c r="H159" t="str">
        <f>IF('All Girls &amp; Descendants - Edit'!H160="","",'All Girls &amp; Descendants - Edit'!H160)</f>
        <v/>
      </c>
      <c r="I159">
        <f>VLOOKUP($C159,'All Girls &amp; Descendants - Edit'!$C$2:$AK$440,'All Girls &amp; Descendants - Edit'!I$1,FALSE)</f>
        <v>1971</v>
      </c>
      <c r="J159" t="str">
        <f>VLOOKUP($C159,'All Girls &amp; Descendants - Edit'!$C$2:$AK$440,'All Girls &amp; Descendants - Edit'!J$1,FALSE)</f>
        <v/>
      </c>
      <c r="K159" s="9"/>
      <c r="L159" t="str">
        <f t="shared" si="18"/>
        <v>01/06/1971</v>
      </c>
      <c r="M159" s="3">
        <f>VLOOKUP($C159,'All Girls &amp; Descendants - Edit'!$C$2:$AK$440,'All Girls &amp; Descendants - Edit'!M$1,FALSE)</f>
        <v>26085</v>
      </c>
      <c r="N159" s="3" t="str">
        <f>IF(VLOOKUP($C159,'All Girls &amp; Descendants - Edit'!$C$2:$AK$440,'All Girls &amp; Descendants - Edit'!N$1,FALSE)=""," - ",(VLOOKUP($C159,'All Girls &amp; Descendants - Edit'!$C$2:$AK$440,'All Girls &amp; Descendants - Edit'!N$1,FALSE)))</f>
        <v xml:space="preserve"> - </v>
      </c>
      <c r="O159" s="3" t="str">
        <f>IF(VLOOKUP($C159,'All Girls &amp; Descendants - Edit'!$C$2:$AK$440,'All Girls &amp; Descendants - Edit'!O$1,FALSE)="","",(VLOOKUP($C159,'All Girls &amp; Descendants - Edit'!$C$2:$AK$440,'All Girls &amp; Descendants - Edit'!O$1,FALSE)))</f>
        <v/>
      </c>
      <c r="P159" s="3" t="str">
        <f t="shared" si="19"/>
        <v/>
      </c>
      <c r="Q159" s="178" t="str">
        <f t="shared" si="20"/>
        <v>65c</v>
      </c>
      <c r="R159" s="23"/>
      <c r="S159" t="str">
        <f>VLOOKUP($C159,'All Girls &amp; Descendants - Edit'!$C$2:$AK$440,'All Girls &amp; Descendants - Edit'!S$1,FALSE)</f>
        <v>Female</v>
      </c>
      <c r="T159" s="176">
        <f t="shared" si="17"/>
        <v>6</v>
      </c>
      <c r="U159" s="176">
        <f t="shared" si="21"/>
        <v>4</v>
      </c>
      <c r="V159" s="176">
        <f t="shared" si="22"/>
        <v>4</v>
      </c>
      <c r="W159" s="177">
        <f t="shared" si="23"/>
        <v>2</v>
      </c>
      <c r="X159" s="3" t="str">
        <f>IF(VLOOKUP($C159,'All Girls &amp; Descendants - Edit'!$C$2:$AK$440,'All Girls &amp; Descendants - Edit'!X$1,FALSE)=""," - ",(VLOOKUP($C159,'All Girls &amp; Descendants - Edit'!$C$2:$AK$440,'All Girls &amp; Descendants - Edit'!X$1,FALSE)))</f>
        <v xml:space="preserve"> - </v>
      </c>
      <c r="Y159" s="3" t="str">
        <f>IF(VLOOKUP($C159,'All Girls &amp; Descendants - Edit'!$C$2:$AK$440,'All Girls &amp; Descendants - Edit'!Y$1,FALSE)=""," - ",(VLOOKUP($C159,'All Girls &amp; Descendants - Edit'!$C$2:$AK$440,'All Girls &amp; Descendants - Edit'!Y$1,FALSE)))</f>
        <v xml:space="preserve"> - </v>
      </c>
      <c r="Z159" s="3" t="str">
        <f>IF(VLOOKUP($C159,'All Girls &amp; Descendants - Edit'!$C$2:$AK$440,'All Girls &amp; Descendants - Edit'!Z$1,FALSE)=""," - ",(VLOOKUP($C159,'All Girls &amp; Descendants - Edit'!$C$2:$AK$440,'All Girls &amp; Descendants - Edit'!Z$1,FALSE)))</f>
        <v>Educated Henrietta Barnett 1982-89 and Sidney Sussex, Cambridge1989-92 (BA). London University (PhD 1996). Research Fellow in Neurogenetics, Massachusetts General Hospital, Boston</v>
      </c>
      <c r="AA159" s="101">
        <f>IF(VLOOKUP($C159,'All Girls &amp; Descendants - Edit'!$C$2:$AK$440,'All Girls &amp; Descendants - Edit'!AA$1,FALSE)=""," - ",(VLOOKUP($C159,'All Girls &amp; Descendants - Edit'!$C$2:$AK$440,'All Girls &amp; Descendants - Edit'!AA$1,FALSE)))</f>
        <v>121</v>
      </c>
      <c r="AB159" s="101">
        <f>IF(VLOOKUP($C159,'All Girls &amp; Descendants - Edit'!$C$2:$AK$440,'All Girls &amp; Descendants - Edit'!AB$1,FALSE)=""," - ",(VLOOKUP($C159,'All Girls &amp; Descendants - Edit'!$C$2:$AK$440,'All Girls &amp; Descendants - Edit'!AB$1,FALSE)))</f>
        <v>16</v>
      </c>
      <c r="AC159" s="101">
        <f>IF(VLOOKUP($C159,'All Girls &amp; Descendants - Edit'!$C$2:$AK$440,'All Girls &amp; Descendants - Edit'!AC$1,FALSE)=""," - ",(VLOOKUP($C159,'All Girls &amp; Descendants - Edit'!$C$2:$AK$440,'All Girls &amp; Descendants - Edit'!AC$1,FALSE)))</f>
        <v>2016</v>
      </c>
      <c r="AD159" s="3" t="str">
        <f>IF(VLOOKUP($C159,'All Girls &amp; Descendants - Edit'!$C$2:$AK$440,'All Girls &amp; Descendants - Edit'!AD$1,FALSE)=""," - ",(VLOOKUP($C159,'All Girls &amp; Descendants - Edit'!$C$2:$AK$440,'All Girls &amp; Descendants - Edit'!AD$1,FALSE)))</f>
        <v>65ca</v>
      </c>
      <c r="AE159" s="3" t="str">
        <f>IF(VLOOKUP($C159,'All Girls &amp; Descendants - Edit'!$C$2:$AK$440,'All Girls &amp; Descendants - Edit'!AE$1,FALSE)=""," - ",(VLOOKUP($C159,'All Girls &amp; Descendants - Edit'!$C$2:$AK$440,'All Girls &amp; Descendants - Edit'!AE$1,FALSE)))</f>
        <v>Vanessa Chantal  WHEELER (1971 - )</v>
      </c>
      <c r="AF159" s="3" t="str">
        <f>IF(VLOOKUP($C159,'All Girls &amp; Descendants - Edit'!$C$2:$AK$440,'All Girls &amp; Descendants - Edit'!AF$1,FALSE)=""," - ",(VLOOKUP($C159,'All Girls &amp; Descendants - Edit'!$C$2:$AK$440,'All Girls &amp; Descendants - Edit'!AF$1,FALSE)))</f>
        <v>Vanessa WHEELER (6th &amp; 65)</v>
      </c>
      <c r="AG159" s="3" t="str">
        <f>IF(VLOOKUP($C159,'All Girls &amp; Descendants - Edit'!$C$2:$AK$440,'All Girls &amp; Descendants - Edit'!AG$1,FALSE)=""," - ",(VLOOKUP($C159,'All Girls &amp; Descendants - Edit'!$C$2:$AK$440,'All Girls &amp; Descendants - Edit'!AG$1,FALSE)))</f>
        <v>Female</v>
      </c>
      <c r="AH159" s="3" t="str">
        <f>IF(VLOOKUP($C159,'All Girls &amp; Descendants - Edit'!$C$2:$AK$440,'All Girls &amp; Descendants - Edit'!AH$1,FALSE)=""," - ",(VLOOKUP($C159,'All Girls &amp; Descendants - Edit'!$C$2:$AK$440,'All Girls &amp; Descendants - Edit'!AH$1,FALSE)))</f>
        <v>6th</v>
      </c>
      <c r="AI159" s="3" t="str">
        <f>IF(VLOOKUP($C159,'All Girls &amp; Descendants - Edit'!$C$2:$AK$440,'All Girls &amp; Descendants - Edit'!AI$1,FALSE)=""," - ",(VLOOKUP($C159,'All Girls &amp; Descendants - Edit'!$C$2:$AK$440,'All Girls &amp; Descendants - Edit'!AI$1,FALSE)))</f>
        <v>Unmarried</v>
      </c>
      <c r="AJ159" s="3" t="str">
        <f>IF(VLOOKUP($C159,'All Girls &amp; Descendants - Edit'!$C$2:$AK$440,'All Girls &amp; Descendants - Edit'!AJ$1,FALSE)=""," - ",(VLOOKUP($C159,'All Girls &amp; Descendants - Edit'!$C$2:$AK$440,'All Girls &amp; Descendants - Edit'!AJ$1,FALSE)))</f>
        <v>Female. b. 01/06/1971 Educated Henrietta Barnett 1982-89 and Sidney Sussex, Cambridge1989-92 (BA). London University (PhD 1996). Research Fellow in Neurogenetics, Massachusetts General Hospital, Boston</v>
      </c>
      <c r="AK159" s="3" t="str">
        <f>IF(VLOOKUP($C159,'All Girls &amp; Descendants - Edit'!$C$2:$AK$440,'All Girls &amp; Descendants - Edit'!AK$1,FALSE)=""," - ",(VLOOKUP($C159,'All Girls &amp; Descendants - Edit'!$C$2:$AK$440,'All Girls &amp; Descendants - Edit'!AK$1,FALSE)))</f>
        <v>b. 01/06/1971</v>
      </c>
    </row>
    <row r="160" spans="1:37" ht="19">
      <c r="A160">
        <f>VLOOKUP(B160,'Loyd List 1-190 - Edit'!$P$1:$R$219,3,FALSE)</f>
        <v>34</v>
      </c>
      <c r="B160">
        <f>'All Girls &amp; Descendants - Edit'!B161</f>
        <v>65</v>
      </c>
      <c r="C160" s="98" t="str">
        <f>'All Girls &amp; Descendants - Edit'!C161</f>
        <v>65cb</v>
      </c>
      <c r="D160" s="2" t="str">
        <f>'All Girls &amp; Descendants - Edit'!D161</f>
        <v>WHEELER</v>
      </c>
      <c r="E160" t="str">
        <f>'All Girls &amp; Descendants - Edit'!E161</f>
        <v>Karen</v>
      </c>
      <c r="F160" t="str">
        <f>IF('All Girls &amp; Descendants - Edit'!F161="","",'All Girls &amp; Descendants - Edit'!F161)</f>
        <v>Natalie</v>
      </c>
      <c r="G160" t="str">
        <f>IF('All Girls &amp; Descendants - Edit'!G161="","",'All Girls &amp; Descendants - Edit'!G161)</f>
        <v/>
      </c>
      <c r="H160" t="str">
        <f>IF('All Girls &amp; Descendants - Edit'!H161="","",'All Girls &amp; Descendants - Edit'!H161)</f>
        <v/>
      </c>
      <c r="I160">
        <f>VLOOKUP($C160,'All Girls &amp; Descendants - Edit'!$C$2:$AK$440,'All Girls &amp; Descendants - Edit'!I$1,FALSE)</f>
        <v>1973</v>
      </c>
      <c r="J160" t="str">
        <f>VLOOKUP($C160,'All Girls &amp; Descendants - Edit'!$C$2:$AK$440,'All Girls &amp; Descendants - Edit'!J$1,FALSE)</f>
        <v/>
      </c>
      <c r="K160" s="9"/>
      <c r="L160" t="str">
        <f t="shared" si="18"/>
        <v>09/07/1973</v>
      </c>
      <c r="M160" s="3">
        <f>VLOOKUP($C160,'All Girls &amp; Descendants - Edit'!$C$2:$AK$440,'All Girls &amp; Descendants - Edit'!M$1,FALSE)</f>
        <v>26854</v>
      </c>
      <c r="N160" s="3" t="str">
        <f>IF(VLOOKUP($C160,'All Girls &amp; Descendants - Edit'!$C$2:$AK$440,'All Girls &amp; Descendants - Edit'!N$1,FALSE)=""," - ",(VLOOKUP($C160,'All Girls &amp; Descendants - Edit'!$C$2:$AK$440,'All Girls &amp; Descendants - Edit'!N$1,FALSE)))</f>
        <v xml:space="preserve"> - </v>
      </c>
      <c r="O160" s="3" t="str">
        <f>IF(VLOOKUP($C160,'All Girls &amp; Descendants - Edit'!$C$2:$AK$440,'All Girls &amp; Descendants - Edit'!O$1,FALSE)="","",(VLOOKUP($C160,'All Girls &amp; Descendants - Edit'!$C$2:$AK$440,'All Girls &amp; Descendants - Edit'!O$1,FALSE)))</f>
        <v/>
      </c>
      <c r="P160" s="3" t="str">
        <f t="shared" si="19"/>
        <v/>
      </c>
      <c r="Q160" s="178" t="str">
        <f t="shared" si="20"/>
        <v>65c</v>
      </c>
      <c r="R160" s="23"/>
      <c r="S160" t="str">
        <f>VLOOKUP($C160,'All Girls &amp; Descendants - Edit'!$C$2:$AK$440,'All Girls &amp; Descendants - Edit'!S$1,FALSE)</f>
        <v>Female</v>
      </c>
      <c r="T160" s="176">
        <f t="shared" si="17"/>
        <v>6</v>
      </c>
      <c r="U160" s="176">
        <f t="shared" si="21"/>
        <v>4</v>
      </c>
      <c r="V160" s="176">
        <f t="shared" si="22"/>
        <v>4</v>
      </c>
      <c r="W160" s="177">
        <f t="shared" si="23"/>
        <v>2</v>
      </c>
      <c r="X160" s="3" t="str">
        <f>IF(VLOOKUP($C160,'All Girls &amp; Descendants - Edit'!$C$2:$AK$440,'All Girls &amp; Descendants - Edit'!X$1,FALSE)=""," - ",(VLOOKUP($C160,'All Girls &amp; Descendants - Edit'!$C$2:$AK$440,'All Girls &amp; Descendants - Edit'!X$1,FALSE)))</f>
        <v xml:space="preserve"> - </v>
      </c>
      <c r="Y160" s="3" t="str">
        <f>IF(VLOOKUP($C160,'All Girls &amp; Descendants - Edit'!$C$2:$AK$440,'All Girls &amp; Descendants - Edit'!Y$1,FALSE)=""," - ",(VLOOKUP($C160,'All Girls &amp; Descendants - Edit'!$C$2:$AK$440,'All Girls &amp; Descendants - Edit'!Y$1,FALSE)))</f>
        <v xml:space="preserve"> - </v>
      </c>
      <c r="Z160" s="3" t="str">
        <f>IF(VLOOKUP($C160,'All Girls &amp; Descendants - Edit'!$C$2:$AK$440,'All Girls &amp; Descendants - Edit'!Z$1,FALSE)=""," - ",(VLOOKUP($C160,'All Girls &amp; Descendants - Edit'!$C$2:$AK$440,'All Girls &amp; Descendants - Edit'!Z$1,FALSE)))</f>
        <v>Educated Henrietta Barnett 1984-91 and Nottingham University 1991-95 (BA).  Assistant Supervisor Ground Staff, Air France 1995-98. Sales Manager, Lagrange Holidays from 1998.</v>
      </c>
      <c r="AA160" s="101">
        <f>IF(VLOOKUP($C160,'All Girls &amp; Descendants - Edit'!$C$2:$AK$440,'All Girls &amp; Descendants - Edit'!AA$1,FALSE)=""," - ",(VLOOKUP($C160,'All Girls &amp; Descendants - Edit'!$C$2:$AK$440,'All Girls &amp; Descendants - Edit'!AA$1,FALSE)))</f>
        <v>122</v>
      </c>
      <c r="AB160" s="101">
        <f>IF(VLOOKUP($C160,'All Girls &amp; Descendants - Edit'!$C$2:$AK$440,'All Girls &amp; Descendants - Edit'!AB$1,FALSE)=""," - ",(VLOOKUP($C160,'All Girls &amp; Descendants - Edit'!$C$2:$AK$440,'All Girls &amp; Descendants - Edit'!AB$1,FALSE)))</f>
        <v>17</v>
      </c>
      <c r="AC160" s="101">
        <f>IF(VLOOKUP($C160,'All Girls &amp; Descendants - Edit'!$C$2:$AK$440,'All Girls &amp; Descendants - Edit'!AC$1,FALSE)=""," - ",(VLOOKUP($C160,'All Girls &amp; Descendants - Edit'!$C$2:$AK$440,'All Girls &amp; Descendants - Edit'!AC$1,FALSE)))</f>
        <v>2017</v>
      </c>
      <c r="AD160" s="3" t="str">
        <f>IF(VLOOKUP($C160,'All Girls &amp; Descendants - Edit'!$C$2:$AK$440,'All Girls &amp; Descendants - Edit'!AD$1,FALSE)=""," - ",(VLOOKUP($C160,'All Girls &amp; Descendants - Edit'!$C$2:$AK$440,'All Girls &amp; Descendants - Edit'!AD$1,FALSE)))</f>
        <v>65cb</v>
      </c>
      <c r="AE160" s="3" t="str">
        <f>IF(VLOOKUP($C160,'All Girls &amp; Descendants - Edit'!$C$2:$AK$440,'All Girls &amp; Descendants - Edit'!AE$1,FALSE)=""," - ",(VLOOKUP($C160,'All Girls &amp; Descendants - Edit'!$C$2:$AK$440,'All Girls &amp; Descendants - Edit'!AE$1,FALSE)))</f>
        <v>Karen Natalie  WHEELER (1973 - )</v>
      </c>
      <c r="AF160" s="3" t="str">
        <f>IF(VLOOKUP($C160,'All Girls &amp; Descendants - Edit'!$C$2:$AK$440,'All Girls &amp; Descendants - Edit'!AF$1,FALSE)=""," - ",(VLOOKUP($C160,'All Girls &amp; Descendants - Edit'!$C$2:$AK$440,'All Girls &amp; Descendants - Edit'!AF$1,FALSE)))</f>
        <v>Karen WHEELER (6th &amp; 65)</v>
      </c>
      <c r="AG160" s="3" t="str">
        <f>IF(VLOOKUP($C160,'All Girls &amp; Descendants - Edit'!$C$2:$AK$440,'All Girls &amp; Descendants - Edit'!AG$1,FALSE)=""," - ",(VLOOKUP($C160,'All Girls &amp; Descendants - Edit'!$C$2:$AK$440,'All Girls &amp; Descendants - Edit'!AG$1,FALSE)))</f>
        <v>Female</v>
      </c>
      <c r="AH160" s="3" t="str">
        <f>IF(VLOOKUP($C160,'All Girls &amp; Descendants - Edit'!$C$2:$AK$440,'All Girls &amp; Descendants - Edit'!AH$1,FALSE)=""," - ",(VLOOKUP($C160,'All Girls &amp; Descendants - Edit'!$C$2:$AK$440,'All Girls &amp; Descendants - Edit'!AH$1,FALSE)))</f>
        <v>6th</v>
      </c>
      <c r="AI160" s="3" t="str">
        <f>IF(VLOOKUP($C160,'All Girls &amp; Descendants - Edit'!$C$2:$AK$440,'All Girls &amp; Descendants - Edit'!AI$1,FALSE)=""," - ",(VLOOKUP($C160,'All Girls &amp; Descendants - Edit'!$C$2:$AK$440,'All Girls &amp; Descendants - Edit'!AI$1,FALSE)))</f>
        <v>Unmarried</v>
      </c>
      <c r="AJ160" s="3" t="str">
        <f>IF(VLOOKUP($C160,'All Girls &amp; Descendants - Edit'!$C$2:$AK$440,'All Girls &amp; Descendants - Edit'!AJ$1,FALSE)=""," - ",(VLOOKUP($C160,'All Girls &amp; Descendants - Edit'!$C$2:$AK$440,'All Girls &amp; Descendants - Edit'!AJ$1,FALSE)))</f>
        <v>Female. b. 09/07/1973 Educated Henrietta Barnett 1984-91 and Nottingham University 1991-95 (BA).  Assistant Supervisor Ground Staff, Air France 1995-98. Sales Manager, Lagrange Holidays from 1998.</v>
      </c>
      <c r="AK160" s="3" t="str">
        <f>IF(VLOOKUP($C160,'All Girls &amp; Descendants - Edit'!$C$2:$AK$440,'All Girls &amp; Descendants - Edit'!AK$1,FALSE)=""," - ",(VLOOKUP($C160,'All Girls &amp; Descendants - Edit'!$C$2:$AK$440,'All Girls &amp; Descendants - Edit'!AK$1,FALSE)))</f>
        <v>b. 09/07/1973</v>
      </c>
    </row>
    <row r="161" spans="1:37" ht="19">
      <c r="A161">
        <f>VLOOKUP(B161,'Loyd List 1-190 - Edit'!$P$1:$R$219,3,FALSE)</f>
        <v>46</v>
      </c>
      <c r="B161">
        <f>'All Girls &amp; Descendants - Edit'!B162</f>
        <v>70</v>
      </c>
      <c r="C161" s="98" t="str">
        <f>'All Girls &amp; Descendants - Edit'!C162</f>
        <v>70aa</v>
      </c>
      <c r="D161" s="2" t="str">
        <f>'All Girls &amp; Descendants - Edit'!D162</f>
        <v>SHEARER</v>
      </c>
      <c r="E161" t="str">
        <f>'All Girls &amp; Descendants - Edit'!E162</f>
        <v>William</v>
      </c>
      <c r="F161" t="str">
        <f>IF('All Girls &amp; Descendants - Edit'!F162="","",'All Girls &amp; Descendants - Edit'!F162)</f>
        <v>Richard</v>
      </c>
      <c r="G161" t="str">
        <f>IF('All Girls &amp; Descendants - Edit'!G162="","",'All Girls &amp; Descendants - Edit'!G162)</f>
        <v>Charles</v>
      </c>
      <c r="H161" t="str">
        <f>IF('All Girls &amp; Descendants - Edit'!H162="","",'All Girls &amp; Descendants - Edit'!H162)</f>
        <v/>
      </c>
      <c r="I161">
        <f>VLOOKUP($C161,'All Girls &amp; Descendants - Edit'!$C$2:$AK$440,'All Girls &amp; Descendants - Edit'!I$1,FALSE)</f>
        <v>1951</v>
      </c>
      <c r="J161" t="str">
        <f>VLOOKUP($C161,'All Girls &amp; Descendants - Edit'!$C$2:$AK$440,'All Girls &amp; Descendants - Edit'!J$1,FALSE)</f>
        <v/>
      </c>
      <c r="K161" s="9"/>
      <c r="L161" t="str">
        <f t="shared" si="18"/>
        <v>31/01/1951</v>
      </c>
      <c r="M161" s="3">
        <f>VLOOKUP($C161,'All Girls &amp; Descendants - Edit'!$C$2:$AK$440,'All Girls &amp; Descendants - Edit'!M$1,FALSE)</f>
        <v>18659</v>
      </c>
      <c r="N161" s="3">
        <f>IF(VLOOKUP($C161,'All Girls &amp; Descendants - Edit'!$C$2:$AK$440,'All Girls &amp; Descendants - Edit'!N$1,FALSE)=""," - ",(VLOOKUP($C161,'All Girls &amp; Descendants - Edit'!$C$2:$AK$440,'All Girls &amp; Descendants - Edit'!N$1,FALSE)))</f>
        <v>29477</v>
      </c>
      <c r="O161" s="3" t="str">
        <f>IF(VLOOKUP($C161,'All Girls &amp; Descendants - Edit'!$C$2:$AK$440,'All Girls &amp; Descendants - Edit'!O$1,FALSE)="","",(VLOOKUP($C161,'All Girls &amp; Descendants - Edit'!$C$2:$AK$440,'All Girls &amp; Descendants - Edit'!O$1,FALSE)))</f>
        <v/>
      </c>
      <c r="P161" s="3" t="str">
        <f t="shared" si="19"/>
        <v/>
      </c>
      <c r="Q161" s="178" t="str">
        <f t="shared" si="20"/>
        <v>70a</v>
      </c>
      <c r="R161" s="23"/>
      <c r="S161" t="str">
        <f>VLOOKUP($C161,'All Girls &amp; Descendants - Edit'!$C$2:$AK$440,'All Girls &amp; Descendants - Edit'!S$1,FALSE)</f>
        <v>Male</v>
      </c>
      <c r="T161" s="176">
        <f t="shared" si="17"/>
        <v>6</v>
      </c>
      <c r="U161" s="176">
        <f t="shared" si="21"/>
        <v>4</v>
      </c>
      <c r="V161" s="176">
        <f t="shared" si="22"/>
        <v>4</v>
      </c>
      <c r="W161" s="177">
        <f t="shared" si="23"/>
        <v>2</v>
      </c>
      <c r="X161" s="3" t="str">
        <f>IF(VLOOKUP($C161,'All Girls &amp; Descendants - Edit'!$C$2:$AK$440,'All Girls &amp; Descendants - Edit'!X$1,FALSE)=""," - ",(VLOOKUP($C161,'All Girls &amp; Descendants - Edit'!$C$2:$AK$440,'All Girls &amp; Descendants - Edit'!X$1,FALSE)))</f>
        <v>Jane Monica JEFFERSON (b. 22/03/1951, d. )</v>
      </c>
      <c r="Y161" s="3" t="str">
        <f>IF(VLOOKUP($C161,'All Girls &amp; Descendants - Edit'!$C$2:$AK$440,'All Girls &amp; Descendants - Edit'!Y$1,FALSE)=""," - ",(VLOOKUP($C161,'All Girls &amp; Descendants - Edit'!$C$2:$AK$440,'All Girls &amp; Descendants - Edit'!Y$1,FALSE)))</f>
        <v xml:space="preserve"> - </v>
      </c>
      <c r="Z161" s="3" t="str">
        <f>IF(VLOOKUP($C161,'All Girls &amp; Descendants - Edit'!$C$2:$AK$440,'All Girls &amp; Descendants - Edit'!Z$1,FALSE)=""," - ",(VLOOKUP($C161,'All Girls &amp; Descendants - Edit'!$C$2:$AK$440,'All Girls &amp; Descendants - Edit'!Z$1,FALSE)))</f>
        <v>William SHEARER of Holly House, Walkers Lane, Church Brampton, Northamptonshire NN6 8DZ.</v>
      </c>
      <c r="AA161" s="101">
        <f>IF(VLOOKUP($C161,'All Girls &amp; Descendants - Edit'!$C$2:$AK$440,'All Girls &amp; Descendants - Edit'!AA$1,FALSE)=""," - ",(VLOOKUP($C161,'All Girls &amp; Descendants - Edit'!$C$2:$AK$440,'All Girls &amp; Descendants - Edit'!AA$1,FALSE)))</f>
        <v>124</v>
      </c>
      <c r="AB161" s="101">
        <f>IF(VLOOKUP($C161,'All Girls &amp; Descendants - Edit'!$C$2:$AK$440,'All Girls &amp; Descendants - Edit'!AB$1,FALSE)=""," - ",(VLOOKUP($C161,'All Girls &amp; Descendants - Edit'!$C$2:$AK$440,'All Girls &amp; Descendants - Edit'!AB$1,FALSE)))</f>
        <v>18</v>
      </c>
      <c r="AC161" s="101">
        <f>IF(VLOOKUP($C161,'All Girls &amp; Descendants - Edit'!$C$2:$AK$440,'All Girls &amp; Descendants - Edit'!AC$1,FALSE)=""," - ",(VLOOKUP($C161,'All Girls &amp; Descendants - Edit'!$C$2:$AK$440,'All Girls &amp; Descendants - Edit'!AC$1,FALSE)))</f>
        <v>2018</v>
      </c>
      <c r="AD161" s="3" t="str">
        <f>IF(VLOOKUP($C161,'All Girls &amp; Descendants - Edit'!$C$2:$AK$440,'All Girls &amp; Descendants - Edit'!AD$1,FALSE)=""," - ",(VLOOKUP($C161,'All Girls &amp; Descendants - Edit'!$C$2:$AK$440,'All Girls &amp; Descendants - Edit'!AD$1,FALSE)))</f>
        <v>70aa</v>
      </c>
      <c r="AE161" s="3" t="str">
        <f>IF(VLOOKUP($C161,'All Girls &amp; Descendants - Edit'!$C$2:$AK$440,'All Girls &amp; Descendants - Edit'!AE$1,FALSE)=""," - ",(VLOOKUP($C161,'All Girls &amp; Descendants - Edit'!$C$2:$AK$440,'All Girls &amp; Descendants - Edit'!AE$1,FALSE)))</f>
        <v>William Richard Charles SHEARER (1951 - )</v>
      </c>
      <c r="AF161" s="3" t="str">
        <f>IF(VLOOKUP($C161,'All Girls &amp; Descendants - Edit'!$C$2:$AK$440,'All Girls &amp; Descendants - Edit'!AF$1,FALSE)=""," - ",(VLOOKUP($C161,'All Girls &amp; Descendants - Edit'!$C$2:$AK$440,'All Girls &amp; Descendants - Edit'!AF$1,FALSE)))</f>
        <v>William SHEARER (6th &amp; 70)</v>
      </c>
      <c r="AG161" s="3" t="str">
        <f>IF(VLOOKUP($C161,'All Girls &amp; Descendants - Edit'!$C$2:$AK$440,'All Girls &amp; Descendants - Edit'!AG$1,FALSE)=""," - ",(VLOOKUP($C161,'All Girls &amp; Descendants - Edit'!$C$2:$AK$440,'All Girls &amp; Descendants - Edit'!AG$1,FALSE)))</f>
        <v>Male</v>
      </c>
      <c r="AH161" s="3" t="str">
        <f>IF(VLOOKUP($C161,'All Girls &amp; Descendants - Edit'!$C$2:$AK$440,'All Girls &amp; Descendants - Edit'!AH$1,FALSE)=""," - ",(VLOOKUP($C161,'All Girls &amp; Descendants - Edit'!$C$2:$AK$440,'All Girls &amp; Descendants - Edit'!AH$1,FALSE)))</f>
        <v>6th</v>
      </c>
      <c r="AI161" s="3" t="str">
        <f>IF(VLOOKUP($C161,'All Girls &amp; Descendants - Edit'!$C$2:$AK$440,'All Girls &amp; Descendants - Edit'!AI$1,FALSE)=""," - ",(VLOOKUP($C161,'All Girls &amp; Descendants - Edit'!$C$2:$AK$440,'All Girls &amp; Descendants - Edit'!AI$1,FALSE)))</f>
        <v xml:space="preserve">Wife: Jane Monica JEFFERSON (b. 22/03/1951, d. ). </v>
      </c>
      <c r="AJ161" s="3" t="str">
        <f>IF(VLOOKUP($C161,'All Girls &amp; Descendants - Edit'!$C$2:$AK$440,'All Girls &amp; Descendants - Edit'!AJ$1,FALSE)=""," - ",(VLOOKUP($C161,'All Girls &amp; Descendants - Edit'!$C$2:$AK$440,'All Girls &amp; Descendants - Edit'!AJ$1,FALSE)))</f>
        <v>Male. b. 31/01/1951 William SHEARER of Holly House, Walkers Lane, Church Brampton, Northamptonshire NN6 8DZ.</v>
      </c>
      <c r="AK161" s="3" t="str">
        <f>IF(VLOOKUP($C161,'All Girls &amp; Descendants - Edit'!$C$2:$AK$440,'All Girls &amp; Descendants - Edit'!AK$1,FALSE)=""," - ",(VLOOKUP($C161,'All Girls &amp; Descendants - Edit'!$C$2:$AK$440,'All Girls &amp; Descendants - Edit'!AK$1,FALSE)))</f>
        <v>b. 31/01/1951</v>
      </c>
    </row>
    <row r="162" spans="1:37" ht="19">
      <c r="A162">
        <f>VLOOKUP(B162,'Loyd List 1-190 - Edit'!$P$1:$R$219,3,FALSE)</f>
        <v>46</v>
      </c>
      <c r="B162">
        <f>'All Girls &amp; Descendants - Edit'!B163</f>
        <v>70</v>
      </c>
      <c r="C162" s="98" t="str">
        <f>'All Girls &amp; Descendants - Edit'!C163</f>
        <v>70ab</v>
      </c>
      <c r="D162" s="2" t="str">
        <f>'All Girls &amp; Descendants - Edit'!D163</f>
        <v>SHEARER</v>
      </c>
      <c r="E162" t="str">
        <f>'All Girls &amp; Descendants - Edit'!E163</f>
        <v>Rosemary</v>
      </c>
      <c r="F162" t="str">
        <f>IF('All Girls &amp; Descendants - Edit'!F163="","",'All Girls &amp; Descendants - Edit'!F163)</f>
        <v>Diana</v>
      </c>
      <c r="G162" t="str">
        <f>IF('All Girls &amp; Descendants - Edit'!G163="","",'All Girls &amp; Descendants - Edit'!G163)</f>
        <v>Esther</v>
      </c>
      <c r="H162" t="str">
        <f>IF('All Girls &amp; Descendants - Edit'!H163="","",'All Girls &amp; Descendants - Edit'!H163)</f>
        <v/>
      </c>
      <c r="I162">
        <f>VLOOKUP($C162,'All Girls &amp; Descendants - Edit'!$C$2:$AK$440,'All Girls &amp; Descendants - Edit'!I$1,FALSE)</f>
        <v>1952</v>
      </c>
      <c r="J162" t="str">
        <f>VLOOKUP($C162,'All Girls &amp; Descendants - Edit'!$C$2:$AK$440,'All Girls &amp; Descendants - Edit'!J$1,FALSE)</f>
        <v/>
      </c>
      <c r="K162" s="9"/>
      <c r="L162" t="str">
        <f t="shared" si="18"/>
        <v>22/11/1952</v>
      </c>
      <c r="M162" s="3">
        <f>VLOOKUP($C162,'All Girls &amp; Descendants - Edit'!$C$2:$AK$440,'All Girls &amp; Descendants - Edit'!M$1,FALSE)</f>
        <v>19320</v>
      </c>
      <c r="N162" s="3">
        <f>IF(VLOOKUP($C162,'All Girls &amp; Descendants - Edit'!$C$2:$AK$440,'All Girls &amp; Descendants - Edit'!N$1,FALSE)=""," - ",(VLOOKUP($C162,'All Girls &amp; Descendants - Edit'!$C$2:$AK$440,'All Girls &amp; Descendants - Edit'!N$1,FALSE)))</f>
        <v>29052</v>
      </c>
      <c r="O162" s="3" t="str">
        <f>IF(VLOOKUP($C162,'All Girls &amp; Descendants - Edit'!$C$2:$AK$440,'All Girls &amp; Descendants - Edit'!O$1,FALSE)="","",(VLOOKUP($C162,'All Girls &amp; Descendants - Edit'!$C$2:$AK$440,'All Girls &amp; Descendants - Edit'!O$1,FALSE)))</f>
        <v/>
      </c>
      <c r="P162" s="3" t="str">
        <f t="shared" si="19"/>
        <v/>
      </c>
      <c r="Q162" s="178" t="str">
        <f t="shared" si="20"/>
        <v>70a</v>
      </c>
      <c r="R162" s="23"/>
      <c r="S162" t="str">
        <f>VLOOKUP($C162,'All Girls &amp; Descendants - Edit'!$C$2:$AK$440,'All Girls &amp; Descendants - Edit'!S$1,FALSE)</f>
        <v>Female</v>
      </c>
      <c r="T162" s="176">
        <f t="shared" si="17"/>
        <v>6</v>
      </c>
      <c r="U162" s="176">
        <f t="shared" si="21"/>
        <v>4</v>
      </c>
      <c r="V162" s="176">
        <f t="shared" si="22"/>
        <v>4</v>
      </c>
      <c r="W162" s="177">
        <f t="shared" si="23"/>
        <v>2</v>
      </c>
      <c r="X162" s="3" t="str">
        <f>IF(VLOOKUP($C162,'All Girls &amp; Descendants - Edit'!$C$2:$AK$440,'All Girls &amp; Descendants - Edit'!X$1,FALSE)=""," - ",(VLOOKUP($C162,'All Girls &amp; Descendants - Edit'!$C$2:$AK$440,'All Girls &amp; Descendants - Edit'!X$1,FALSE)))</f>
        <v>Pierre Robert ANDREY</v>
      </c>
      <c r="Y162" s="3" t="str">
        <f>IF(VLOOKUP($C162,'All Girls &amp; Descendants - Edit'!$C$2:$AK$440,'All Girls &amp; Descendants - Edit'!Y$1,FALSE)=""," - ",(VLOOKUP($C162,'All Girls &amp; Descendants - Edit'!$C$2:$AK$440,'All Girls &amp; Descendants - Edit'!Y$1,FALSE)))</f>
        <v xml:space="preserve"> - </v>
      </c>
      <c r="Z162" s="3" t="str">
        <f>IF(VLOOKUP($C162,'All Girls &amp; Descendants - Edit'!$C$2:$AK$440,'All Girls &amp; Descendants - Edit'!Z$1,FALSE)=""," - ",(VLOOKUP($C162,'All Girls &amp; Descendants - Edit'!$C$2:$AK$440,'All Girls &amp; Descendants - Edit'!Z$1,FALSE)))</f>
        <v xml:space="preserve"> - </v>
      </c>
      <c r="AA162" s="101">
        <f>IF(VLOOKUP($C162,'All Girls &amp; Descendants - Edit'!$C$2:$AK$440,'All Girls &amp; Descendants - Edit'!AA$1,FALSE)=""," - ",(VLOOKUP($C162,'All Girls &amp; Descendants - Edit'!$C$2:$AK$440,'All Girls &amp; Descendants - Edit'!AA$1,FALSE)))</f>
        <v>127</v>
      </c>
      <c r="AB162" s="101">
        <f>IF(VLOOKUP($C162,'All Girls &amp; Descendants - Edit'!$C$2:$AK$440,'All Girls &amp; Descendants - Edit'!AB$1,FALSE)=""," - ",(VLOOKUP($C162,'All Girls &amp; Descendants - Edit'!$C$2:$AK$440,'All Girls &amp; Descendants - Edit'!AB$1,FALSE)))</f>
        <v>19</v>
      </c>
      <c r="AC162" s="101">
        <f>IF(VLOOKUP($C162,'All Girls &amp; Descendants - Edit'!$C$2:$AK$440,'All Girls &amp; Descendants - Edit'!AC$1,FALSE)=""," - ",(VLOOKUP($C162,'All Girls &amp; Descendants - Edit'!$C$2:$AK$440,'All Girls &amp; Descendants - Edit'!AC$1,FALSE)))</f>
        <v>2019</v>
      </c>
      <c r="AD162" s="3" t="str">
        <f>IF(VLOOKUP($C162,'All Girls &amp; Descendants - Edit'!$C$2:$AK$440,'All Girls &amp; Descendants - Edit'!AD$1,FALSE)=""," - ",(VLOOKUP($C162,'All Girls &amp; Descendants - Edit'!$C$2:$AK$440,'All Girls &amp; Descendants - Edit'!AD$1,FALSE)))</f>
        <v>70ab</v>
      </c>
      <c r="AE162" s="3" t="str">
        <f>IF(VLOOKUP($C162,'All Girls &amp; Descendants - Edit'!$C$2:$AK$440,'All Girls &amp; Descendants - Edit'!AE$1,FALSE)=""," - ",(VLOOKUP($C162,'All Girls &amp; Descendants - Edit'!$C$2:$AK$440,'All Girls &amp; Descendants - Edit'!AE$1,FALSE)))</f>
        <v>Rosemary Diana Esther SHEARER (1952 - )</v>
      </c>
      <c r="AF162" s="3" t="str">
        <f>IF(VLOOKUP($C162,'All Girls &amp; Descendants - Edit'!$C$2:$AK$440,'All Girls &amp; Descendants - Edit'!AF$1,FALSE)=""," - ",(VLOOKUP($C162,'All Girls &amp; Descendants - Edit'!$C$2:$AK$440,'All Girls &amp; Descendants - Edit'!AF$1,FALSE)))</f>
        <v>Rosemary SHEARER (6th &amp; 70)</v>
      </c>
      <c r="AG162" s="3" t="str">
        <f>IF(VLOOKUP($C162,'All Girls &amp; Descendants - Edit'!$C$2:$AK$440,'All Girls &amp; Descendants - Edit'!AG$1,FALSE)=""," - ",(VLOOKUP($C162,'All Girls &amp; Descendants - Edit'!$C$2:$AK$440,'All Girls &amp; Descendants - Edit'!AG$1,FALSE)))</f>
        <v>Female</v>
      </c>
      <c r="AH162" s="3" t="str">
        <f>IF(VLOOKUP($C162,'All Girls &amp; Descendants - Edit'!$C$2:$AK$440,'All Girls &amp; Descendants - Edit'!AH$1,FALSE)=""," - ",(VLOOKUP($C162,'All Girls &amp; Descendants - Edit'!$C$2:$AK$440,'All Girls &amp; Descendants - Edit'!AH$1,FALSE)))</f>
        <v>6th</v>
      </c>
      <c r="AI162" s="3" t="str">
        <f>IF(VLOOKUP($C162,'All Girls &amp; Descendants - Edit'!$C$2:$AK$440,'All Girls &amp; Descendants - Edit'!AI$1,FALSE)=""," - ",(VLOOKUP($C162,'All Girls &amp; Descendants - Edit'!$C$2:$AK$440,'All Girls &amp; Descendants - Edit'!AI$1,FALSE)))</f>
        <v xml:space="preserve">Husband: Pierre Robert ANDREY. </v>
      </c>
      <c r="AJ162" s="3" t="str">
        <f>IF(VLOOKUP($C162,'All Girls &amp; Descendants - Edit'!$C$2:$AK$440,'All Girls &amp; Descendants - Edit'!AJ$1,FALSE)=""," - ",(VLOOKUP($C162,'All Girls &amp; Descendants - Edit'!$C$2:$AK$440,'All Girls &amp; Descendants - Edit'!AJ$1,FALSE)))</f>
        <v>Female. b. 22/11/1952</v>
      </c>
      <c r="AK162" s="3" t="str">
        <f>IF(VLOOKUP($C162,'All Girls &amp; Descendants - Edit'!$C$2:$AK$440,'All Girls &amp; Descendants - Edit'!AK$1,FALSE)=""," - ",(VLOOKUP($C162,'All Girls &amp; Descendants - Edit'!$C$2:$AK$440,'All Girls &amp; Descendants - Edit'!AK$1,FALSE)))</f>
        <v>b. 22/11/1952</v>
      </c>
    </row>
    <row r="163" spans="1:37" ht="19">
      <c r="A163">
        <f>VLOOKUP(B163,'Loyd List 1-190 - Edit'!$P$1:$R$219,3,FALSE)</f>
        <v>46</v>
      </c>
      <c r="B163">
        <f>'All Girls &amp; Descendants - Edit'!B164</f>
        <v>70</v>
      </c>
      <c r="C163" s="98" t="str">
        <f>'All Girls &amp; Descendants - Edit'!C164</f>
        <v>70ac</v>
      </c>
      <c r="D163" s="2" t="str">
        <f>'All Girls &amp; Descendants - Edit'!D164</f>
        <v>SHEARER</v>
      </c>
      <c r="E163" t="str">
        <f>'All Girls &amp; Descendants - Edit'!E164</f>
        <v>Andrew</v>
      </c>
      <c r="F163" t="str">
        <f>IF('All Girls &amp; Descendants - Edit'!F164="","",'All Girls &amp; Descendants - Edit'!F164)</f>
        <v>John</v>
      </c>
      <c r="G163" t="str">
        <f>IF('All Girls &amp; Descendants - Edit'!G164="","",'All Girls &amp; Descendants - Edit'!G164)</f>
        <v>Micklem</v>
      </c>
      <c r="H163" t="str">
        <f>IF('All Girls &amp; Descendants - Edit'!H164="","",'All Girls &amp; Descendants - Edit'!H164)</f>
        <v/>
      </c>
      <c r="I163">
        <f>VLOOKUP($C163,'All Girls &amp; Descendants - Edit'!$C$2:$AK$440,'All Girls &amp; Descendants - Edit'!I$1,FALSE)</f>
        <v>1960</v>
      </c>
      <c r="J163" t="str">
        <f>VLOOKUP($C163,'All Girls &amp; Descendants - Edit'!$C$2:$AK$440,'All Girls &amp; Descendants - Edit'!J$1,FALSE)</f>
        <v/>
      </c>
      <c r="K163" s="9"/>
      <c r="L163" t="str">
        <f t="shared" si="18"/>
        <v>01/06/1960</v>
      </c>
      <c r="M163" s="3">
        <f>VLOOKUP($C163,'All Girls &amp; Descendants - Edit'!$C$2:$AK$440,'All Girls &amp; Descendants - Edit'!M$1,FALSE)</f>
        <v>22068</v>
      </c>
      <c r="N163" s="3" t="str">
        <f>IF(VLOOKUP($C163,'All Girls &amp; Descendants - Edit'!$C$2:$AK$440,'All Girls &amp; Descendants - Edit'!N$1,FALSE)=""," - ",(VLOOKUP($C163,'All Girls &amp; Descendants - Edit'!$C$2:$AK$440,'All Girls &amp; Descendants - Edit'!N$1,FALSE)))</f>
        <v xml:space="preserve"> - </v>
      </c>
      <c r="O163" s="3" t="str">
        <f>IF(VLOOKUP($C163,'All Girls &amp; Descendants - Edit'!$C$2:$AK$440,'All Girls &amp; Descendants - Edit'!O$1,FALSE)="","",(VLOOKUP($C163,'All Girls &amp; Descendants - Edit'!$C$2:$AK$440,'All Girls &amp; Descendants - Edit'!O$1,FALSE)))</f>
        <v/>
      </c>
      <c r="P163" s="3" t="str">
        <f t="shared" si="19"/>
        <v/>
      </c>
      <c r="Q163" s="178" t="str">
        <f t="shared" si="20"/>
        <v>70a</v>
      </c>
      <c r="R163" s="23"/>
      <c r="S163" t="str">
        <f>VLOOKUP($C163,'All Girls &amp; Descendants - Edit'!$C$2:$AK$440,'All Girls &amp; Descendants - Edit'!S$1,FALSE)</f>
        <v>Male</v>
      </c>
      <c r="T163" s="176">
        <f t="shared" si="17"/>
        <v>6</v>
      </c>
      <c r="U163" s="176">
        <f t="shared" si="21"/>
        <v>4</v>
      </c>
      <c r="V163" s="176">
        <f t="shared" si="22"/>
        <v>4</v>
      </c>
      <c r="W163" s="177">
        <f t="shared" si="23"/>
        <v>2</v>
      </c>
      <c r="X163" s="3" t="str">
        <f>IF(VLOOKUP($C163,'All Girls &amp; Descendants - Edit'!$C$2:$AK$440,'All Girls &amp; Descendants - Edit'!X$1,FALSE)=""," - ",(VLOOKUP($C163,'All Girls &amp; Descendants - Edit'!$C$2:$AK$440,'All Girls &amp; Descendants - Edit'!X$1,FALSE)))</f>
        <v xml:space="preserve"> - </v>
      </c>
      <c r="Y163" s="3" t="str">
        <f>IF(VLOOKUP($C163,'All Girls &amp; Descendants - Edit'!$C$2:$AK$440,'All Girls &amp; Descendants - Edit'!Y$1,FALSE)=""," - ",(VLOOKUP($C163,'All Girls &amp; Descendants - Edit'!$C$2:$AK$440,'All Girls &amp; Descendants - Edit'!Y$1,FALSE)))</f>
        <v xml:space="preserve"> - </v>
      </c>
      <c r="Z163" s="3" t="str">
        <f>IF(VLOOKUP($C163,'All Girls &amp; Descendants - Edit'!$C$2:$AK$440,'All Girls &amp; Descendants - Edit'!Z$1,FALSE)=""," - ",(VLOOKUP($C163,'All Girls &amp; Descendants - Edit'!$C$2:$AK$440,'All Girls &amp; Descendants - Edit'!Z$1,FALSE)))</f>
        <v xml:space="preserve">Andrew SHEARER of The Old Farmhouse, Alderley, Wooton-under-Edge, Gloucestershire GL12 7QT. </v>
      </c>
      <c r="AA163" s="101">
        <f>IF(VLOOKUP($C163,'All Girls &amp; Descendants - Edit'!$C$2:$AK$440,'All Girls &amp; Descendants - Edit'!AA$1,FALSE)=""," - ",(VLOOKUP($C163,'All Girls &amp; Descendants - Edit'!$C$2:$AK$440,'All Girls &amp; Descendants - Edit'!AA$1,FALSE)))</f>
        <v>130</v>
      </c>
      <c r="AB163" s="101">
        <f>IF(VLOOKUP($C163,'All Girls &amp; Descendants - Edit'!$C$2:$AK$440,'All Girls &amp; Descendants - Edit'!AB$1,FALSE)=""," - ",(VLOOKUP($C163,'All Girls &amp; Descendants - Edit'!$C$2:$AK$440,'All Girls &amp; Descendants - Edit'!AB$1,FALSE)))</f>
        <v>20</v>
      </c>
      <c r="AC163" s="101">
        <f>IF(VLOOKUP($C163,'All Girls &amp; Descendants - Edit'!$C$2:$AK$440,'All Girls &amp; Descendants - Edit'!AC$1,FALSE)=""," - ",(VLOOKUP($C163,'All Girls &amp; Descendants - Edit'!$C$2:$AK$440,'All Girls &amp; Descendants - Edit'!AC$1,FALSE)))</f>
        <v>2020</v>
      </c>
      <c r="AD163" s="3" t="str">
        <f>IF(VLOOKUP($C163,'All Girls &amp; Descendants - Edit'!$C$2:$AK$440,'All Girls &amp; Descendants - Edit'!AD$1,FALSE)=""," - ",(VLOOKUP($C163,'All Girls &amp; Descendants - Edit'!$C$2:$AK$440,'All Girls &amp; Descendants - Edit'!AD$1,FALSE)))</f>
        <v>70ac</v>
      </c>
      <c r="AE163" s="3" t="str">
        <f>IF(VLOOKUP($C163,'All Girls &amp; Descendants - Edit'!$C$2:$AK$440,'All Girls &amp; Descendants - Edit'!AE$1,FALSE)=""," - ",(VLOOKUP($C163,'All Girls &amp; Descendants - Edit'!$C$2:$AK$440,'All Girls &amp; Descendants - Edit'!AE$1,FALSE)))</f>
        <v>Andrew John Micklem SHEARER (1960 - )</v>
      </c>
      <c r="AF163" s="3" t="str">
        <f>IF(VLOOKUP($C163,'All Girls &amp; Descendants - Edit'!$C$2:$AK$440,'All Girls &amp; Descendants - Edit'!AF$1,FALSE)=""," - ",(VLOOKUP($C163,'All Girls &amp; Descendants - Edit'!$C$2:$AK$440,'All Girls &amp; Descendants - Edit'!AF$1,FALSE)))</f>
        <v>Andrew SHEARER (6th &amp; 70)</v>
      </c>
      <c r="AG163" s="3" t="str">
        <f>IF(VLOOKUP($C163,'All Girls &amp; Descendants - Edit'!$C$2:$AK$440,'All Girls &amp; Descendants - Edit'!AG$1,FALSE)=""," - ",(VLOOKUP($C163,'All Girls &amp; Descendants - Edit'!$C$2:$AK$440,'All Girls &amp; Descendants - Edit'!AG$1,FALSE)))</f>
        <v>Male</v>
      </c>
      <c r="AH163" s="3" t="str">
        <f>IF(VLOOKUP($C163,'All Girls &amp; Descendants - Edit'!$C$2:$AK$440,'All Girls &amp; Descendants - Edit'!AH$1,FALSE)=""," - ",(VLOOKUP($C163,'All Girls &amp; Descendants - Edit'!$C$2:$AK$440,'All Girls &amp; Descendants - Edit'!AH$1,FALSE)))</f>
        <v>6th</v>
      </c>
      <c r="AI163" s="3" t="str">
        <f>IF(VLOOKUP($C163,'All Girls &amp; Descendants - Edit'!$C$2:$AK$440,'All Girls &amp; Descendants - Edit'!AI$1,FALSE)=""," - ",(VLOOKUP($C163,'All Girls &amp; Descendants - Edit'!$C$2:$AK$440,'All Girls &amp; Descendants - Edit'!AI$1,FALSE)))</f>
        <v>Unmarried</v>
      </c>
      <c r="AJ163" s="3" t="str">
        <f>IF(VLOOKUP($C163,'All Girls &amp; Descendants - Edit'!$C$2:$AK$440,'All Girls &amp; Descendants - Edit'!AJ$1,FALSE)=""," - ",(VLOOKUP($C163,'All Girls &amp; Descendants - Edit'!$C$2:$AK$440,'All Girls &amp; Descendants - Edit'!AJ$1,FALSE)))</f>
        <v xml:space="preserve">Male. b. 01/06/1960 Andrew SHEARER of The Old Farmhouse, Alderley, Wooton-under-Edge, Gloucestershire GL12 7QT. </v>
      </c>
      <c r="AK163" s="3" t="str">
        <f>IF(VLOOKUP($C163,'All Girls &amp; Descendants - Edit'!$C$2:$AK$440,'All Girls &amp; Descendants - Edit'!AK$1,FALSE)=""," - ",(VLOOKUP($C163,'All Girls &amp; Descendants - Edit'!$C$2:$AK$440,'All Girls &amp; Descendants - Edit'!AK$1,FALSE)))</f>
        <v>b. 01/06/1960</v>
      </c>
    </row>
    <row r="164" spans="1:37" ht="19">
      <c r="A164">
        <f>VLOOKUP(B164,'Loyd List 1-190 - Edit'!$P$1:$R$219,3,FALSE)</f>
        <v>46</v>
      </c>
      <c r="B164">
        <f>'All Girls &amp; Descendants - Edit'!B165</f>
        <v>70</v>
      </c>
      <c r="C164" s="98" t="str">
        <f>'All Girls &amp; Descendants - Edit'!C165</f>
        <v>70ba</v>
      </c>
      <c r="D164" s="2" t="str">
        <f>'All Girls &amp; Descendants - Edit'!D165</f>
        <v>MELITUS</v>
      </c>
      <c r="E164" t="str">
        <f>'All Girls &amp; Descendants - Edit'!E165</f>
        <v>Charles</v>
      </c>
      <c r="F164" t="str">
        <f>IF('All Girls &amp; Descendants - Edit'!F165="","",'All Girls &amp; Descendants - Edit'!F165)</f>
        <v>Peter</v>
      </c>
      <c r="G164" t="str">
        <f>IF('All Girls &amp; Descendants - Edit'!G165="","",'All Girls &amp; Descendants - Edit'!G165)</f>
        <v/>
      </c>
      <c r="H164" t="str">
        <f>IF('All Girls &amp; Descendants - Edit'!H165="","",'All Girls &amp; Descendants - Edit'!H165)</f>
        <v>Peter</v>
      </c>
      <c r="I164">
        <f>VLOOKUP($C164,'All Girls &amp; Descendants - Edit'!$C$2:$AK$440,'All Girls &amp; Descendants - Edit'!I$1,FALSE)</f>
        <v>1955</v>
      </c>
      <c r="J164" t="str">
        <f>VLOOKUP($C164,'All Girls &amp; Descendants - Edit'!$C$2:$AK$440,'All Girls &amp; Descendants - Edit'!J$1,FALSE)</f>
        <v/>
      </c>
      <c r="K164" s="9"/>
      <c r="L164" t="str">
        <f t="shared" si="18"/>
        <v>10/08/1955</v>
      </c>
      <c r="M164" s="3" t="str">
        <f>VLOOKUP($C164,'All Girls &amp; Descendants - Edit'!$C$2:$AK$440,'All Girls &amp; Descendants - Edit'!M$1,FALSE)</f>
        <v>10/08/1955</v>
      </c>
      <c r="N164" s="3">
        <f>IF(VLOOKUP($C164,'All Girls &amp; Descendants - Edit'!$C$2:$AK$440,'All Girls &amp; Descendants - Edit'!N$1,FALSE)=""," - ",(VLOOKUP($C164,'All Girls &amp; Descendants - Edit'!$C$2:$AK$440,'All Girls &amp; Descendants - Edit'!N$1,FALSE)))</f>
        <v>30526</v>
      </c>
      <c r="O164" s="3" t="str">
        <f>IF(VLOOKUP($C164,'All Girls &amp; Descendants - Edit'!$C$2:$AK$440,'All Girls &amp; Descendants - Edit'!O$1,FALSE)="","",(VLOOKUP($C164,'All Girls &amp; Descendants - Edit'!$C$2:$AK$440,'All Girls &amp; Descendants - Edit'!O$1,FALSE)))</f>
        <v/>
      </c>
      <c r="P164" s="3" t="str">
        <f t="shared" si="19"/>
        <v/>
      </c>
      <c r="Q164" s="178" t="str">
        <f t="shared" si="20"/>
        <v>70b</v>
      </c>
      <c r="R164" s="23"/>
      <c r="S164" t="str">
        <f>VLOOKUP($C164,'All Girls &amp; Descendants - Edit'!$C$2:$AK$440,'All Girls &amp; Descendants - Edit'!S$1,FALSE)</f>
        <v>Male</v>
      </c>
      <c r="T164" s="176">
        <f t="shared" si="17"/>
        <v>6</v>
      </c>
      <c r="U164" s="176">
        <f t="shared" si="21"/>
        <v>4</v>
      </c>
      <c r="V164" s="176">
        <f t="shared" si="22"/>
        <v>4</v>
      </c>
      <c r="W164" s="177">
        <f t="shared" si="23"/>
        <v>2</v>
      </c>
      <c r="X164" s="3" t="str">
        <f>IF(VLOOKUP($C164,'All Girls &amp; Descendants - Edit'!$C$2:$AK$440,'All Girls &amp; Descendants - Edit'!X$1,FALSE)=""," - ",(VLOOKUP($C164,'All Girls &amp; Descendants - Edit'!$C$2:$AK$440,'All Girls &amp; Descendants - Edit'!X$1,FALSE)))</f>
        <v>Susan Adele WRIGHT (b. 16/05/1952, d. ?)</v>
      </c>
      <c r="Y164" s="3" t="str">
        <f>IF(VLOOKUP($C164,'All Girls &amp; Descendants - Edit'!$C$2:$AK$440,'All Girls &amp; Descendants - Edit'!Y$1,FALSE)=""," - ",(VLOOKUP($C164,'All Girls &amp; Descendants - Edit'!$C$2:$AK$440,'All Girls &amp; Descendants - Edit'!Y$1,FALSE)))</f>
        <v xml:space="preserve"> - </v>
      </c>
      <c r="Z164" s="3" t="str">
        <f>IF(VLOOKUP($C164,'All Girls &amp; Descendants - Edit'!$C$2:$AK$440,'All Girls &amp; Descendants - Edit'!Z$1,FALSE)=""," - ",(VLOOKUP($C164,'All Girls &amp; Descendants - Edit'!$C$2:$AK$440,'All Girls &amp; Descendants - Edit'!Z$1,FALSE)))</f>
        <v xml:space="preserve"> - </v>
      </c>
      <c r="AA164" s="101">
        <f>IF(VLOOKUP($C164,'All Girls &amp; Descendants - Edit'!$C$2:$AK$440,'All Girls &amp; Descendants - Edit'!AA$1,FALSE)=""," - ",(VLOOKUP($C164,'All Girls &amp; Descendants - Edit'!$C$2:$AK$440,'All Girls &amp; Descendants - Edit'!AA$1,FALSE)))</f>
        <v>132</v>
      </c>
      <c r="AB164" s="101">
        <f>IF(VLOOKUP($C164,'All Girls &amp; Descendants - Edit'!$C$2:$AK$440,'All Girls &amp; Descendants - Edit'!AB$1,FALSE)=""," - ",(VLOOKUP($C164,'All Girls &amp; Descendants - Edit'!$C$2:$AK$440,'All Girls &amp; Descendants - Edit'!AB$1,FALSE)))</f>
        <v>21</v>
      </c>
      <c r="AC164" s="101">
        <f>IF(VLOOKUP($C164,'All Girls &amp; Descendants - Edit'!$C$2:$AK$440,'All Girls &amp; Descendants - Edit'!AC$1,FALSE)=""," - ",(VLOOKUP($C164,'All Girls &amp; Descendants - Edit'!$C$2:$AK$440,'All Girls &amp; Descendants - Edit'!AC$1,FALSE)))</f>
        <v>2021</v>
      </c>
      <c r="AD164" s="3" t="str">
        <f>IF(VLOOKUP($C164,'All Girls &amp; Descendants - Edit'!$C$2:$AK$440,'All Girls &amp; Descendants - Edit'!AD$1,FALSE)=""," - ",(VLOOKUP($C164,'All Girls &amp; Descendants - Edit'!$C$2:$AK$440,'All Girls &amp; Descendants - Edit'!AD$1,FALSE)))</f>
        <v>70ba</v>
      </c>
      <c r="AE164" s="3" t="str">
        <f>IF(VLOOKUP($C164,'All Girls &amp; Descendants - Edit'!$C$2:$AK$440,'All Girls &amp; Descendants - Edit'!AE$1,FALSE)=""," - ",(VLOOKUP($C164,'All Girls &amp; Descendants - Edit'!$C$2:$AK$440,'All Girls &amp; Descendants - Edit'!AE$1,FALSE)))</f>
        <v>Charles Peter  MELITUS (1955 - )</v>
      </c>
      <c r="AF164" s="3" t="str">
        <f>IF(VLOOKUP($C164,'All Girls &amp; Descendants - Edit'!$C$2:$AK$440,'All Girls &amp; Descendants - Edit'!AF$1,FALSE)=""," - ",(VLOOKUP($C164,'All Girls &amp; Descendants - Edit'!$C$2:$AK$440,'All Girls &amp; Descendants - Edit'!AF$1,FALSE)))</f>
        <v>Peter MELITUS (6th &amp; 70)</v>
      </c>
      <c r="AG164" s="3" t="str">
        <f>IF(VLOOKUP($C164,'All Girls &amp; Descendants - Edit'!$C$2:$AK$440,'All Girls &amp; Descendants - Edit'!AG$1,FALSE)=""," - ",(VLOOKUP($C164,'All Girls &amp; Descendants - Edit'!$C$2:$AK$440,'All Girls &amp; Descendants - Edit'!AG$1,FALSE)))</f>
        <v>Male</v>
      </c>
      <c r="AH164" s="3" t="str">
        <f>IF(VLOOKUP($C164,'All Girls &amp; Descendants - Edit'!$C$2:$AK$440,'All Girls &amp; Descendants - Edit'!AH$1,FALSE)=""," - ",(VLOOKUP($C164,'All Girls &amp; Descendants - Edit'!$C$2:$AK$440,'All Girls &amp; Descendants - Edit'!AH$1,FALSE)))</f>
        <v>6th</v>
      </c>
      <c r="AI164" s="3" t="str">
        <f>IF(VLOOKUP($C164,'All Girls &amp; Descendants - Edit'!$C$2:$AK$440,'All Girls &amp; Descendants - Edit'!AI$1,FALSE)=""," - ",(VLOOKUP($C164,'All Girls &amp; Descendants - Edit'!$C$2:$AK$440,'All Girls &amp; Descendants - Edit'!AI$1,FALSE)))</f>
        <v xml:space="preserve">Wife: Susan Adele WRIGHT (b. 16/05/1952, d. ?). </v>
      </c>
      <c r="AJ164" s="3" t="str">
        <f>IF(VLOOKUP($C164,'All Girls &amp; Descendants - Edit'!$C$2:$AK$440,'All Girls &amp; Descendants - Edit'!AJ$1,FALSE)=""," - ",(VLOOKUP($C164,'All Girls &amp; Descendants - Edit'!$C$2:$AK$440,'All Girls &amp; Descendants - Edit'!AJ$1,FALSE)))</f>
        <v>Male. b. 10/08/1955</v>
      </c>
      <c r="AK164" s="3" t="str">
        <f>IF(VLOOKUP($C164,'All Girls &amp; Descendants - Edit'!$C$2:$AK$440,'All Girls &amp; Descendants - Edit'!AK$1,FALSE)=""," - ",(VLOOKUP($C164,'All Girls &amp; Descendants - Edit'!$C$2:$AK$440,'All Girls &amp; Descendants - Edit'!AK$1,FALSE)))</f>
        <v>b. 10/08/1955</v>
      </c>
    </row>
    <row r="165" spans="1:37" ht="19">
      <c r="A165">
        <f>VLOOKUP(B165,'Loyd List 1-190 - Edit'!$P$1:$R$219,3,FALSE)</f>
        <v>46</v>
      </c>
      <c r="B165">
        <f>'All Girls &amp; Descendants - Edit'!B166</f>
        <v>70</v>
      </c>
      <c r="C165" s="98" t="str">
        <f>'All Girls &amp; Descendants - Edit'!C166</f>
        <v>70bb</v>
      </c>
      <c r="D165" s="2" t="str">
        <f>'All Girls &amp; Descendants - Edit'!D166</f>
        <v>MELITUS</v>
      </c>
      <c r="E165" t="str">
        <f>'All Girls &amp; Descendants - Edit'!E166</f>
        <v>Caroline</v>
      </c>
      <c r="F165" t="str">
        <f>IF('All Girls &amp; Descendants - Edit'!F166="","",'All Girls &amp; Descendants - Edit'!F166)</f>
        <v>Margaret</v>
      </c>
      <c r="G165" t="str">
        <f>IF('All Girls &amp; Descendants - Edit'!G166="","",'All Girls &amp; Descendants - Edit'!G166)</f>
        <v>Paula</v>
      </c>
      <c r="H165" t="str">
        <f>IF('All Girls &amp; Descendants - Edit'!H166="","",'All Girls &amp; Descendants - Edit'!H166)</f>
        <v/>
      </c>
      <c r="I165">
        <f>VLOOKUP($C165,'All Girls &amp; Descendants - Edit'!$C$2:$AK$440,'All Girls &amp; Descendants - Edit'!I$1,FALSE)</f>
        <v>1959</v>
      </c>
      <c r="J165" t="str">
        <f>VLOOKUP($C165,'All Girls &amp; Descendants - Edit'!$C$2:$AK$440,'All Girls &amp; Descendants - Edit'!J$1,FALSE)</f>
        <v/>
      </c>
      <c r="K165" s="9"/>
      <c r="L165" t="str">
        <f t="shared" si="18"/>
        <v>14/09/1959</v>
      </c>
      <c r="M165" s="3" t="str">
        <f>VLOOKUP($C165,'All Girls &amp; Descendants - Edit'!$C$2:$AK$440,'All Girls &amp; Descendants - Edit'!M$1,FALSE)</f>
        <v>14/09/1959</v>
      </c>
      <c r="N165" s="3">
        <f>IF(VLOOKUP($C165,'All Girls &amp; Descendants - Edit'!$C$2:$AK$440,'All Girls &amp; Descendants - Edit'!N$1,FALSE)=""," - ",(VLOOKUP($C165,'All Girls &amp; Descendants - Edit'!$C$2:$AK$440,'All Girls &amp; Descendants - Edit'!N$1,FALSE)))</f>
        <v>31759</v>
      </c>
      <c r="O165" s="3" t="str">
        <f>IF(VLOOKUP($C165,'All Girls &amp; Descendants - Edit'!$C$2:$AK$440,'All Girls &amp; Descendants - Edit'!O$1,FALSE)="","",(VLOOKUP($C165,'All Girls &amp; Descendants - Edit'!$C$2:$AK$440,'All Girls &amp; Descendants - Edit'!O$1,FALSE)))</f>
        <v/>
      </c>
      <c r="P165" s="3" t="str">
        <f t="shared" si="19"/>
        <v/>
      </c>
      <c r="Q165" s="178" t="str">
        <f t="shared" si="20"/>
        <v>70b</v>
      </c>
      <c r="R165" s="23"/>
      <c r="S165" t="str">
        <f>VLOOKUP($C165,'All Girls &amp; Descendants - Edit'!$C$2:$AK$440,'All Girls &amp; Descendants - Edit'!S$1,FALSE)</f>
        <v>Female</v>
      </c>
      <c r="T165" s="176">
        <f t="shared" si="17"/>
        <v>6</v>
      </c>
      <c r="U165" s="176">
        <f t="shared" si="21"/>
        <v>4</v>
      </c>
      <c r="V165" s="176">
        <f t="shared" si="22"/>
        <v>4</v>
      </c>
      <c r="W165" s="177">
        <f t="shared" si="23"/>
        <v>2</v>
      </c>
      <c r="X165" s="3" t="str">
        <f>IF(VLOOKUP($C165,'All Girls &amp; Descendants - Edit'!$C$2:$AK$440,'All Girls &amp; Descendants - Edit'!X$1,FALSE)=""," - ",(VLOOKUP($C165,'All Girls &amp; Descendants - Edit'!$C$2:$AK$440,'All Girls &amp; Descendants - Edit'!X$1,FALSE)))</f>
        <v>Owen Arthur Wilfred CHALDECOTT (b. 08/01/1961, )</v>
      </c>
      <c r="Y165" s="3" t="str">
        <f>IF(VLOOKUP($C165,'All Girls &amp; Descendants - Edit'!$C$2:$AK$440,'All Girls &amp; Descendants - Edit'!Y$1,FALSE)=""," - ",(VLOOKUP($C165,'All Girls &amp; Descendants - Edit'!$C$2:$AK$440,'All Girls &amp; Descendants - Edit'!Y$1,FALSE)))</f>
        <v>Married Owen Arthur Wilfred CHALDECOTT (b. 8 Jan 1961) of 62 Herringston Road, Dorchester, Dorset, DT1 2BT</v>
      </c>
      <c r="Z165" s="3" t="str">
        <f>IF(VLOOKUP($C165,'All Girls &amp; Descendants - Edit'!$C$2:$AK$440,'All Girls &amp; Descendants - Edit'!Z$1,FALSE)=""," - ",(VLOOKUP($C165,'All Girls &amp; Descendants - Edit'!$C$2:$AK$440,'All Girls &amp; Descendants - Edit'!Z$1,FALSE)))</f>
        <v>Baptised 14 Apr 1960 at St Andrew’s, Grafham, Surrey.</v>
      </c>
      <c r="AA165" s="101">
        <f>IF(VLOOKUP($C165,'All Girls &amp; Descendants - Edit'!$C$2:$AK$440,'All Girls &amp; Descendants - Edit'!AA$1,FALSE)=""," - ",(VLOOKUP($C165,'All Girls &amp; Descendants - Edit'!$C$2:$AK$440,'All Girls &amp; Descendants - Edit'!AA$1,FALSE)))</f>
        <v>135</v>
      </c>
      <c r="AB165" s="101">
        <f>IF(VLOOKUP($C165,'All Girls &amp; Descendants - Edit'!$C$2:$AK$440,'All Girls &amp; Descendants - Edit'!AB$1,FALSE)=""," - ",(VLOOKUP($C165,'All Girls &amp; Descendants - Edit'!$C$2:$AK$440,'All Girls &amp; Descendants - Edit'!AB$1,FALSE)))</f>
        <v>22</v>
      </c>
      <c r="AC165" s="101">
        <f>IF(VLOOKUP($C165,'All Girls &amp; Descendants - Edit'!$C$2:$AK$440,'All Girls &amp; Descendants - Edit'!AC$1,FALSE)=""," - ",(VLOOKUP($C165,'All Girls &amp; Descendants - Edit'!$C$2:$AK$440,'All Girls &amp; Descendants - Edit'!AC$1,FALSE)))</f>
        <v>2022</v>
      </c>
      <c r="AD165" s="3" t="str">
        <f>IF(VLOOKUP($C165,'All Girls &amp; Descendants - Edit'!$C$2:$AK$440,'All Girls &amp; Descendants - Edit'!AD$1,FALSE)=""," - ",(VLOOKUP($C165,'All Girls &amp; Descendants - Edit'!$C$2:$AK$440,'All Girls &amp; Descendants - Edit'!AD$1,FALSE)))</f>
        <v>70bb</v>
      </c>
      <c r="AE165" s="3" t="str">
        <f>IF(VLOOKUP($C165,'All Girls &amp; Descendants - Edit'!$C$2:$AK$440,'All Girls &amp; Descendants - Edit'!AE$1,FALSE)=""," - ",(VLOOKUP($C165,'All Girls &amp; Descendants - Edit'!$C$2:$AK$440,'All Girls &amp; Descendants - Edit'!AE$1,FALSE)))</f>
        <v>Caroline Margaret Paula MELITUS (1959 - )</v>
      </c>
      <c r="AF165" s="3" t="str">
        <f>IF(VLOOKUP($C165,'All Girls &amp; Descendants - Edit'!$C$2:$AK$440,'All Girls &amp; Descendants - Edit'!AF$1,FALSE)=""," - ",(VLOOKUP($C165,'All Girls &amp; Descendants - Edit'!$C$2:$AK$440,'All Girls &amp; Descendants - Edit'!AF$1,FALSE)))</f>
        <v>Caroline MELITUS (6th &amp; 70)</v>
      </c>
      <c r="AG165" s="3" t="str">
        <f>IF(VLOOKUP($C165,'All Girls &amp; Descendants - Edit'!$C$2:$AK$440,'All Girls &amp; Descendants - Edit'!AG$1,FALSE)=""," - ",(VLOOKUP($C165,'All Girls &amp; Descendants - Edit'!$C$2:$AK$440,'All Girls &amp; Descendants - Edit'!AG$1,FALSE)))</f>
        <v>Female</v>
      </c>
      <c r="AH165" s="3" t="str">
        <f>IF(VLOOKUP($C165,'All Girls &amp; Descendants - Edit'!$C$2:$AK$440,'All Girls &amp; Descendants - Edit'!AH$1,FALSE)=""," - ",(VLOOKUP($C165,'All Girls &amp; Descendants - Edit'!$C$2:$AK$440,'All Girls &amp; Descendants - Edit'!AH$1,FALSE)))</f>
        <v>6th</v>
      </c>
      <c r="AI165" s="3" t="str">
        <f>IF(VLOOKUP($C165,'All Girls &amp; Descendants - Edit'!$C$2:$AK$440,'All Girls &amp; Descendants - Edit'!AI$1,FALSE)=""," - ",(VLOOKUP($C165,'All Girls &amp; Descendants - Edit'!$C$2:$AK$440,'All Girls &amp; Descendants - Edit'!AI$1,FALSE)))</f>
        <v>Husband: Owen Arthur Wilfred CHALDECOTT (b. 08/01/1961, ). Married Owen Arthur Wilfred CHALDECOTT (b. 8 Jan 1961) of 62 Herringston Road, Dorchester, Dorset, DT1 2BT</v>
      </c>
      <c r="AJ165" s="3" t="str">
        <f>IF(VLOOKUP($C165,'All Girls &amp; Descendants - Edit'!$C$2:$AK$440,'All Girls &amp; Descendants - Edit'!AJ$1,FALSE)=""," - ",(VLOOKUP($C165,'All Girls &amp; Descendants - Edit'!$C$2:$AK$440,'All Girls &amp; Descendants - Edit'!AJ$1,FALSE)))</f>
        <v>Female. b. 14/09/1959 Baptised 14 Apr 1960 at St Andrew’s, Grafham, Surrey.</v>
      </c>
      <c r="AK165" s="3" t="str">
        <f>IF(VLOOKUP($C165,'All Girls &amp; Descendants - Edit'!$C$2:$AK$440,'All Girls &amp; Descendants - Edit'!AK$1,FALSE)=""," - ",(VLOOKUP($C165,'All Girls &amp; Descendants - Edit'!$C$2:$AK$440,'All Girls &amp; Descendants - Edit'!AK$1,FALSE)))</f>
        <v>b. 14/09/1959</v>
      </c>
    </row>
    <row r="166" spans="1:37" ht="19">
      <c r="A166">
        <f>VLOOKUP(B166,'Loyd List 1-190 - Edit'!$P$1:$R$219,3,FALSE)</f>
        <v>46</v>
      </c>
      <c r="B166">
        <f>'All Girls &amp; Descendants - Edit'!B167</f>
        <v>70</v>
      </c>
      <c r="C166" s="98" t="str">
        <f>'All Girls &amp; Descendants - Edit'!C167</f>
        <v>70ca</v>
      </c>
      <c r="D166" s="2" t="str">
        <f>'All Girls &amp; Descendants - Edit'!D167</f>
        <v>PAGE</v>
      </c>
      <c r="E166" t="str">
        <f>'All Girls &amp; Descendants - Edit'!E167</f>
        <v>Arthur</v>
      </c>
      <c r="F166" t="str">
        <f>IF('All Girls &amp; Descendants - Edit'!F167="","",'All Girls &amp; Descendants - Edit'!F167)</f>
        <v>Hugo</v>
      </c>
      <c r="G166" t="str">
        <f>IF('All Girls &amp; Descendants - Edit'!G167="","",'All Girls &amp; Descendants - Edit'!G167)</f>
        <v>Micklem</v>
      </c>
      <c r="H166" t="str">
        <f>IF('All Girls &amp; Descendants - Edit'!H167="","",'All Girls &amp; Descendants - Edit'!H167)</f>
        <v>Hugo</v>
      </c>
      <c r="I166">
        <f>VLOOKUP($C166,'All Girls &amp; Descendants - Edit'!$C$2:$AK$440,'All Girls &amp; Descendants - Edit'!I$1,FALSE)</f>
        <v>1951</v>
      </c>
      <c r="J166" t="str">
        <f>VLOOKUP($C166,'All Girls &amp; Descendants - Edit'!$C$2:$AK$440,'All Girls &amp; Descendants - Edit'!J$1,FALSE)</f>
        <v/>
      </c>
      <c r="K166" s="9"/>
      <c r="L166" t="str">
        <f t="shared" si="18"/>
        <v>16/09/1951</v>
      </c>
      <c r="M166" s="3">
        <f>VLOOKUP($C166,'All Girls &amp; Descendants - Edit'!$C$2:$AK$440,'All Girls &amp; Descendants - Edit'!M$1,FALSE)</f>
        <v>18887</v>
      </c>
      <c r="N166" s="3" t="str">
        <f>IF(VLOOKUP($C166,'All Girls &amp; Descendants - Edit'!$C$2:$AK$440,'All Girls &amp; Descendants - Edit'!N$1,FALSE)=""," - ",(VLOOKUP($C166,'All Girls &amp; Descendants - Edit'!$C$2:$AK$440,'All Girls &amp; Descendants - Edit'!N$1,FALSE)))</f>
        <v>00/10/1992</v>
      </c>
      <c r="O166" s="3" t="str">
        <f>IF(VLOOKUP($C166,'All Girls &amp; Descendants - Edit'!$C$2:$AK$440,'All Girls &amp; Descendants - Edit'!O$1,FALSE)="","",(VLOOKUP($C166,'All Girls &amp; Descendants - Edit'!$C$2:$AK$440,'All Girls &amp; Descendants - Edit'!O$1,FALSE)))</f>
        <v/>
      </c>
      <c r="P166" s="3" t="str">
        <f t="shared" si="19"/>
        <v/>
      </c>
      <c r="Q166" s="178" t="str">
        <f t="shared" si="20"/>
        <v>70c</v>
      </c>
      <c r="R166" s="23"/>
      <c r="S166" t="str">
        <f>VLOOKUP($C166,'All Girls &amp; Descendants - Edit'!$C$2:$AK$440,'All Girls &amp; Descendants - Edit'!S$1,FALSE)</f>
        <v>Male</v>
      </c>
      <c r="T166" s="176">
        <f t="shared" si="17"/>
        <v>6</v>
      </c>
      <c r="U166" s="176">
        <f t="shared" si="21"/>
        <v>4</v>
      </c>
      <c r="V166" s="176">
        <f t="shared" si="22"/>
        <v>4</v>
      </c>
      <c r="W166" s="177">
        <f t="shared" si="23"/>
        <v>2</v>
      </c>
      <c r="X166" s="3" t="str">
        <f>IF(VLOOKUP($C166,'All Girls &amp; Descendants - Edit'!$C$2:$AK$440,'All Girls &amp; Descendants - Edit'!X$1,FALSE)=""," - ",(VLOOKUP($C166,'All Girls &amp; Descendants - Edit'!$C$2:$AK$440,'All Girls &amp; Descendants - Edit'!X$1,FALSE)))</f>
        <v>Angelique DE FOLIN (b. 09/04/1968, )</v>
      </c>
      <c r="Y166" s="3" t="str">
        <f>IF(VLOOKUP($C166,'All Girls &amp; Descendants - Edit'!$C$2:$AK$440,'All Girls &amp; Descendants - Edit'!Y$1,FALSE)=""," - ",(VLOOKUP($C166,'All Girls &amp; Descendants - Edit'!$C$2:$AK$440,'All Girls &amp; Descendants - Edit'!Y$1,FALSE)))</f>
        <v>Married  in Venice, Angelique  daughter of Le Marquis DE FOLIN of Paris.</v>
      </c>
      <c r="Z166" s="3" t="str">
        <f>IF(VLOOKUP($C166,'All Girls &amp; Descendants - Edit'!$C$2:$AK$440,'All Girls &amp; Descendants - Edit'!Z$1,FALSE)=""," - ",(VLOOKUP($C166,'All Girls &amp; Descendants - Edit'!$C$2:$AK$440,'All Girls &amp; Descendants - Edit'!Z$1,FALSE)))</f>
        <v>Arthur of 20 Brechin Place, London SW7 4QA. Educated Harrow and Magdalene College, Cambridge (Engineering &amp; Philosophy). Barrister-at-law.</v>
      </c>
      <c r="AA166" s="101">
        <f>IF(VLOOKUP($C166,'All Girls &amp; Descendants - Edit'!$C$2:$AK$440,'All Girls &amp; Descendants - Edit'!AA$1,FALSE)=""," - ",(VLOOKUP($C166,'All Girls &amp; Descendants - Edit'!$C$2:$AK$440,'All Girls &amp; Descendants - Edit'!AA$1,FALSE)))</f>
        <v>140</v>
      </c>
      <c r="AB166" s="101">
        <f>IF(VLOOKUP($C166,'All Girls &amp; Descendants - Edit'!$C$2:$AK$440,'All Girls &amp; Descendants - Edit'!AB$1,FALSE)=""," - ",(VLOOKUP($C166,'All Girls &amp; Descendants - Edit'!$C$2:$AK$440,'All Girls &amp; Descendants - Edit'!AB$1,FALSE)))</f>
        <v>23</v>
      </c>
      <c r="AC166" s="101">
        <f>IF(VLOOKUP($C166,'All Girls &amp; Descendants - Edit'!$C$2:$AK$440,'All Girls &amp; Descendants - Edit'!AC$1,FALSE)=""," - ",(VLOOKUP($C166,'All Girls &amp; Descendants - Edit'!$C$2:$AK$440,'All Girls &amp; Descendants - Edit'!AC$1,FALSE)))</f>
        <v>2023</v>
      </c>
      <c r="AD166" s="3" t="str">
        <f>IF(VLOOKUP($C166,'All Girls &amp; Descendants - Edit'!$C$2:$AK$440,'All Girls &amp; Descendants - Edit'!AD$1,FALSE)=""," - ",(VLOOKUP($C166,'All Girls &amp; Descendants - Edit'!$C$2:$AK$440,'All Girls &amp; Descendants - Edit'!AD$1,FALSE)))</f>
        <v>70ca</v>
      </c>
      <c r="AE166" s="3" t="str">
        <f>IF(VLOOKUP($C166,'All Girls &amp; Descendants - Edit'!$C$2:$AK$440,'All Girls &amp; Descendants - Edit'!AE$1,FALSE)=""," - ",(VLOOKUP($C166,'All Girls &amp; Descendants - Edit'!$C$2:$AK$440,'All Girls &amp; Descendants - Edit'!AE$1,FALSE)))</f>
        <v>Arthur Hugo Micklem PAGE (1951 - )</v>
      </c>
      <c r="AF166" s="3" t="str">
        <f>IF(VLOOKUP($C166,'All Girls &amp; Descendants - Edit'!$C$2:$AK$440,'All Girls &amp; Descendants - Edit'!AF$1,FALSE)=""," - ",(VLOOKUP($C166,'All Girls &amp; Descendants - Edit'!$C$2:$AK$440,'All Girls &amp; Descendants - Edit'!AF$1,FALSE)))</f>
        <v>Hugo PAGE (6th &amp; 70)</v>
      </c>
      <c r="AG166" s="3" t="str">
        <f>IF(VLOOKUP($C166,'All Girls &amp; Descendants - Edit'!$C$2:$AK$440,'All Girls &amp; Descendants - Edit'!AG$1,FALSE)=""," - ",(VLOOKUP($C166,'All Girls &amp; Descendants - Edit'!$C$2:$AK$440,'All Girls &amp; Descendants - Edit'!AG$1,FALSE)))</f>
        <v>Male</v>
      </c>
      <c r="AH166" s="3" t="str">
        <f>IF(VLOOKUP($C166,'All Girls &amp; Descendants - Edit'!$C$2:$AK$440,'All Girls &amp; Descendants - Edit'!AH$1,FALSE)=""," - ",(VLOOKUP($C166,'All Girls &amp; Descendants - Edit'!$C$2:$AK$440,'All Girls &amp; Descendants - Edit'!AH$1,FALSE)))</f>
        <v>6th</v>
      </c>
      <c r="AI166" s="3" t="str">
        <f>IF(VLOOKUP($C166,'All Girls &amp; Descendants - Edit'!$C$2:$AK$440,'All Girls &amp; Descendants - Edit'!AI$1,FALSE)=""," - ",(VLOOKUP($C166,'All Girls &amp; Descendants - Edit'!$C$2:$AK$440,'All Girls &amp; Descendants - Edit'!AI$1,FALSE)))</f>
        <v>Wife: Angelique DE FOLIN (b. 09/04/1968, ). Married  in Venice, Angelique  daughter of Le Marquis DE FOLIN of Paris.</v>
      </c>
      <c r="AJ166" s="3" t="str">
        <f>IF(VLOOKUP($C166,'All Girls &amp; Descendants - Edit'!$C$2:$AK$440,'All Girls &amp; Descendants - Edit'!AJ$1,FALSE)=""," - ",(VLOOKUP($C166,'All Girls &amp; Descendants - Edit'!$C$2:$AK$440,'All Girls &amp; Descendants - Edit'!AJ$1,FALSE)))</f>
        <v>Male. b. 16/09/1951 Arthur of 20 Brechin Place, London SW7 4QA. Educated Harrow and Magdalene College, Cambridge (Engineering &amp; Philosophy). Barrister-at-law.</v>
      </c>
      <c r="AK166" s="3" t="str">
        <f>IF(VLOOKUP($C166,'All Girls &amp; Descendants - Edit'!$C$2:$AK$440,'All Girls &amp; Descendants - Edit'!AK$1,FALSE)=""," - ",(VLOOKUP($C166,'All Girls &amp; Descendants - Edit'!$C$2:$AK$440,'All Girls &amp; Descendants - Edit'!AK$1,FALSE)))</f>
        <v>b. 16/09/1951</v>
      </c>
    </row>
    <row r="167" spans="1:37" ht="19">
      <c r="A167">
        <f>VLOOKUP(B167,'Loyd List 1-190 - Edit'!$P$1:$R$219,3,FALSE)</f>
        <v>46</v>
      </c>
      <c r="B167">
        <f>'All Girls &amp; Descendants - Edit'!B168</f>
        <v>70</v>
      </c>
      <c r="C167" s="98" t="str">
        <f>'All Girls &amp; Descendants - Edit'!C168</f>
        <v>70cb</v>
      </c>
      <c r="D167" s="2" t="str">
        <f>'All Girls &amp; Descendants - Edit'!D168</f>
        <v>PAGE</v>
      </c>
      <c r="E167" t="str">
        <f>'All Girls &amp; Descendants - Edit'!E168</f>
        <v>John</v>
      </c>
      <c r="F167" t="str">
        <f>IF('All Girls &amp; Descendants - Edit'!F168="","",'All Girls &amp; Descendants - Edit'!F168)</f>
        <v>Nathaniel</v>
      </c>
      <c r="G167" t="str">
        <f>IF('All Girls &amp; Descendants - Edit'!G168="","",'All Girls &amp; Descendants - Edit'!G168)</f>
        <v>Micklem</v>
      </c>
      <c r="H167" t="str">
        <f>IF('All Girls &amp; Descendants - Edit'!H168="","",'All Girls &amp; Descendants - Edit'!H168)</f>
        <v>Nat</v>
      </c>
      <c r="I167">
        <f>VLOOKUP($C167,'All Girls &amp; Descendants - Edit'!$C$2:$AK$440,'All Girls &amp; Descendants - Edit'!I$1,FALSE)</f>
        <v>1953</v>
      </c>
      <c r="J167" t="str">
        <f>VLOOKUP($C167,'All Girls &amp; Descendants - Edit'!$C$2:$AK$440,'All Girls &amp; Descendants - Edit'!J$1,FALSE)</f>
        <v/>
      </c>
      <c r="K167" s="9"/>
      <c r="L167" t="str">
        <f t="shared" si="18"/>
        <v>16/12/1953</v>
      </c>
      <c r="M167" s="3">
        <f>VLOOKUP($C167,'All Girls &amp; Descendants - Edit'!$C$2:$AK$440,'All Girls &amp; Descendants - Edit'!M$1,FALSE)</f>
        <v>19709</v>
      </c>
      <c r="N167" s="3">
        <f>IF(VLOOKUP($C167,'All Girls &amp; Descendants - Edit'!$C$2:$AK$440,'All Girls &amp; Descendants - Edit'!N$1,FALSE)=""," - ",(VLOOKUP($C167,'All Girls &amp; Descendants - Edit'!$C$2:$AK$440,'All Girls &amp; Descendants - Edit'!N$1,FALSE)))</f>
        <v>31094</v>
      </c>
      <c r="O167" s="3" t="str">
        <f>IF(VLOOKUP($C167,'All Girls &amp; Descendants - Edit'!$C$2:$AK$440,'All Girls &amp; Descendants - Edit'!O$1,FALSE)="","",(VLOOKUP($C167,'All Girls &amp; Descendants - Edit'!$C$2:$AK$440,'All Girls &amp; Descendants - Edit'!O$1,FALSE)))</f>
        <v/>
      </c>
      <c r="P167" s="3" t="str">
        <f t="shared" si="19"/>
        <v/>
      </c>
      <c r="Q167" s="178" t="str">
        <f t="shared" si="20"/>
        <v>70c</v>
      </c>
      <c r="R167" s="23"/>
      <c r="S167" t="str">
        <f>VLOOKUP($C167,'All Girls &amp; Descendants - Edit'!$C$2:$AK$440,'All Girls &amp; Descendants - Edit'!S$1,FALSE)</f>
        <v>Male</v>
      </c>
      <c r="T167" s="176">
        <f t="shared" si="17"/>
        <v>6</v>
      </c>
      <c r="U167" s="176">
        <f t="shared" si="21"/>
        <v>4</v>
      </c>
      <c r="V167" s="176">
        <f t="shared" si="22"/>
        <v>4</v>
      </c>
      <c r="W167" s="177">
        <f t="shared" si="23"/>
        <v>2</v>
      </c>
      <c r="X167" s="3" t="str">
        <f>IF(VLOOKUP($C167,'All Girls &amp; Descendants - Edit'!$C$2:$AK$440,'All Girls &amp; Descendants - Edit'!X$1,FALSE)=""," - ",(VLOOKUP($C167,'All Girls &amp; Descendants - Edit'!$C$2:$AK$440,'All Girls &amp; Descendants - Edit'!X$1,FALSE)))</f>
        <v>Lady Katharine Rose Celestine (Kate) ASQUITH (b. 16/10/1949, )</v>
      </c>
      <c r="Y167" s="3" t="str">
        <f>IF(VLOOKUP($C167,'All Girls &amp; Descendants - Edit'!$C$2:$AK$440,'All Girls &amp; Descendants - Edit'!Y$1,FALSE)=""," - ",(VLOOKUP($C167,'All Girls &amp; Descendants - Edit'!$C$2:$AK$440,'All Girls &amp; Descendants - Edit'!Y$1,FALSE)))</f>
        <v>Kate 2nd daughter of the Earl of OXFORD and ASQUITH.</v>
      </c>
      <c r="Z167" s="3" t="str">
        <f>IF(VLOOKUP($C167,'All Girls &amp; Descendants - Edit'!$C$2:$AK$440,'All Girls &amp; Descendants - Edit'!Z$1,FALSE)=""," - ",(VLOOKUP($C167,'All Girls &amp; Descendants - Edit'!$C$2:$AK$440,'All Girls &amp; Descendants - Edit'!Z$1,FALSE)))</f>
        <v>Nat of Upper Leigh Farm, East Knoyle, Salisbry, Wiltshire SP3 6AP. Twin with his brother (Henry). Educated Harrow and New Colege, Oxford (Biology).</v>
      </c>
      <c r="AA167" s="101">
        <f>IF(VLOOKUP($C167,'All Girls &amp; Descendants - Edit'!$C$2:$AK$440,'All Girls &amp; Descendants - Edit'!AA$1,FALSE)=""," - ",(VLOOKUP($C167,'All Girls &amp; Descendants - Edit'!$C$2:$AK$440,'All Girls &amp; Descendants - Edit'!AA$1,FALSE)))</f>
        <v>141</v>
      </c>
      <c r="AB167" s="101">
        <f>IF(VLOOKUP($C167,'All Girls &amp; Descendants - Edit'!$C$2:$AK$440,'All Girls &amp; Descendants - Edit'!AB$1,FALSE)=""," - ",(VLOOKUP($C167,'All Girls &amp; Descendants - Edit'!$C$2:$AK$440,'All Girls &amp; Descendants - Edit'!AB$1,FALSE)))</f>
        <v>24</v>
      </c>
      <c r="AC167" s="101">
        <f>IF(VLOOKUP($C167,'All Girls &amp; Descendants - Edit'!$C$2:$AK$440,'All Girls &amp; Descendants - Edit'!AC$1,FALSE)=""," - ",(VLOOKUP($C167,'All Girls &amp; Descendants - Edit'!$C$2:$AK$440,'All Girls &amp; Descendants - Edit'!AC$1,FALSE)))</f>
        <v>2024</v>
      </c>
      <c r="AD167" s="3" t="str">
        <f>IF(VLOOKUP($C167,'All Girls &amp; Descendants - Edit'!$C$2:$AK$440,'All Girls &amp; Descendants - Edit'!AD$1,FALSE)=""," - ",(VLOOKUP($C167,'All Girls &amp; Descendants - Edit'!$C$2:$AK$440,'All Girls &amp; Descendants - Edit'!AD$1,FALSE)))</f>
        <v>70cb</v>
      </c>
      <c r="AE167" s="3" t="str">
        <f>IF(VLOOKUP($C167,'All Girls &amp; Descendants - Edit'!$C$2:$AK$440,'All Girls &amp; Descendants - Edit'!AE$1,FALSE)=""," - ",(VLOOKUP($C167,'All Girls &amp; Descendants - Edit'!$C$2:$AK$440,'All Girls &amp; Descendants - Edit'!AE$1,FALSE)))</f>
        <v>John Nathaniel Micklem PAGE (1953 - )</v>
      </c>
      <c r="AF167" s="3" t="str">
        <f>IF(VLOOKUP($C167,'All Girls &amp; Descendants - Edit'!$C$2:$AK$440,'All Girls &amp; Descendants - Edit'!AF$1,FALSE)=""," - ",(VLOOKUP($C167,'All Girls &amp; Descendants - Edit'!$C$2:$AK$440,'All Girls &amp; Descendants - Edit'!AF$1,FALSE)))</f>
        <v>Nat PAGE (6th &amp; 70)</v>
      </c>
      <c r="AG167" s="3" t="str">
        <f>IF(VLOOKUP($C167,'All Girls &amp; Descendants - Edit'!$C$2:$AK$440,'All Girls &amp; Descendants - Edit'!AG$1,FALSE)=""," - ",(VLOOKUP($C167,'All Girls &amp; Descendants - Edit'!$C$2:$AK$440,'All Girls &amp; Descendants - Edit'!AG$1,FALSE)))</f>
        <v>Male</v>
      </c>
      <c r="AH167" s="3" t="str">
        <f>IF(VLOOKUP($C167,'All Girls &amp; Descendants - Edit'!$C$2:$AK$440,'All Girls &amp; Descendants - Edit'!AH$1,FALSE)=""," - ",(VLOOKUP($C167,'All Girls &amp; Descendants - Edit'!$C$2:$AK$440,'All Girls &amp; Descendants - Edit'!AH$1,FALSE)))</f>
        <v>6th</v>
      </c>
      <c r="AI167" s="3" t="str">
        <f>IF(VLOOKUP($C167,'All Girls &amp; Descendants - Edit'!$C$2:$AK$440,'All Girls &amp; Descendants - Edit'!AI$1,FALSE)=""," - ",(VLOOKUP($C167,'All Girls &amp; Descendants - Edit'!$C$2:$AK$440,'All Girls &amp; Descendants - Edit'!AI$1,FALSE)))</f>
        <v>Wife: Lady Katharine Rose Celestine (Kate) ASQUITH (b. 16/10/1949, ). Kate 2nd daughter of the Earl of OXFORD and ASQUITH.</v>
      </c>
      <c r="AJ167" s="3" t="str">
        <f>IF(VLOOKUP($C167,'All Girls &amp; Descendants - Edit'!$C$2:$AK$440,'All Girls &amp; Descendants - Edit'!AJ$1,FALSE)=""," - ",(VLOOKUP($C167,'All Girls &amp; Descendants - Edit'!$C$2:$AK$440,'All Girls &amp; Descendants - Edit'!AJ$1,FALSE)))</f>
        <v>Male. b. 16/12/1953 Nat of Upper Leigh Farm, East Knoyle, Salisbry, Wiltshire SP3 6AP. Twin with his brother (Henry). Educated Harrow and New Colege, Oxford (Biology).</v>
      </c>
      <c r="AK167" s="3" t="str">
        <f>IF(VLOOKUP($C167,'All Girls &amp; Descendants - Edit'!$C$2:$AK$440,'All Girls &amp; Descendants - Edit'!AK$1,FALSE)=""," - ",(VLOOKUP($C167,'All Girls &amp; Descendants - Edit'!$C$2:$AK$440,'All Girls &amp; Descendants - Edit'!AK$1,FALSE)))</f>
        <v>b. 16/12/1953</v>
      </c>
    </row>
    <row r="168" spans="1:37" ht="19">
      <c r="A168">
        <f>VLOOKUP(B168,'Loyd List 1-190 - Edit'!$P$1:$R$219,3,FALSE)</f>
        <v>46</v>
      </c>
      <c r="B168">
        <f>'All Girls &amp; Descendants - Edit'!B169</f>
        <v>70</v>
      </c>
      <c r="C168" s="98" t="str">
        <f>'All Girls &amp; Descendants - Edit'!C169</f>
        <v>70cc</v>
      </c>
      <c r="D168" s="2" t="str">
        <f>'All Girls &amp; Descendants - Edit'!D169</f>
        <v>PAGE</v>
      </c>
      <c r="E168" t="str">
        <f>'All Girls &amp; Descendants - Edit'!E169</f>
        <v>Henry</v>
      </c>
      <c r="F168" t="str">
        <f>IF('All Girls &amp; Descendants - Edit'!F169="","",'All Girls &amp; Descendants - Edit'!F169)</f>
        <v>Charles</v>
      </c>
      <c r="G168" t="str">
        <f>IF('All Girls &amp; Descendants - Edit'!G169="","",'All Girls &amp; Descendants - Edit'!G169)</f>
        <v>Micklem</v>
      </c>
      <c r="H168" t="str">
        <f>IF('All Girls &amp; Descendants - Edit'!H169="","",'All Girls &amp; Descendants - Edit'!H169)</f>
        <v/>
      </c>
      <c r="I168">
        <f>VLOOKUP($C168,'All Girls &amp; Descendants - Edit'!$C$2:$AK$440,'All Girls &amp; Descendants - Edit'!I$1,FALSE)</f>
        <v>1953</v>
      </c>
      <c r="J168" t="str">
        <f>VLOOKUP($C168,'All Girls &amp; Descendants - Edit'!$C$2:$AK$440,'All Girls &amp; Descendants - Edit'!J$1,FALSE)</f>
        <v/>
      </c>
      <c r="K168" s="9"/>
      <c r="L168" t="str">
        <f t="shared" si="18"/>
        <v>16/12/1953</v>
      </c>
      <c r="M168" s="3">
        <f>VLOOKUP($C168,'All Girls &amp; Descendants - Edit'!$C$2:$AK$440,'All Girls &amp; Descendants - Edit'!M$1,FALSE)</f>
        <v>19709</v>
      </c>
      <c r="N168" s="3">
        <f>IF(VLOOKUP($C168,'All Girls &amp; Descendants - Edit'!$C$2:$AK$440,'All Girls &amp; Descendants - Edit'!N$1,FALSE)=""," - ",(VLOOKUP($C168,'All Girls &amp; Descendants - Edit'!$C$2:$AK$440,'All Girls &amp; Descendants - Edit'!N$1,FALSE)))</f>
        <v>30536</v>
      </c>
      <c r="O168" s="3" t="str">
        <f>IF(VLOOKUP($C168,'All Girls &amp; Descendants - Edit'!$C$2:$AK$440,'All Girls &amp; Descendants - Edit'!O$1,FALSE)="","",(VLOOKUP($C168,'All Girls &amp; Descendants - Edit'!$C$2:$AK$440,'All Girls &amp; Descendants - Edit'!O$1,FALSE)))</f>
        <v/>
      </c>
      <c r="P168" s="3" t="str">
        <f t="shared" si="19"/>
        <v/>
      </c>
      <c r="Q168" s="178" t="str">
        <f t="shared" si="20"/>
        <v>70c</v>
      </c>
      <c r="R168" s="23"/>
      <c r="S168" t="str">
        <f>VLOOKUP($C168,'All Girls &amp; Descendants - Edit'!$C$2:$AK$440,'All Girls &amp; Descendants - Edit'!S$1,FALSE)</f>
        <v>Male</v>
      </c>
      <c r="T168" s="176">
        <f t="shared" si="17"/>
        <v>6</v>
      </c>
      <c r="U168" s="176">
        <f t="shared" si="21"/>
        <v>4</v>
      </c>
      <c r="V168" s="176">
        <f t="shared" si="22"/>
        <v>4</v>
      </c>
      <c r="W168" s="177">
        <f t="shared" si="23"/>
        <v>2</v>
      </c>
      <c r="X168" s="3" t="str">
        <f>IF(VLOOKUP($C168,'All Girls &amp; Descendants - Edit'!$C$2:$AK$440,'All Girls &amp; Descendants - Edit'!X$1,FALSE)=""," - ",(VLOOKUP($C168,'All Girls &amp; Descendants - Edit'!$C$2:$AK$440,'All Girls &amp; Descendants - Edit'!X$1,FALSE)))</f>
        <v>Isabelle ANTHOT (b. 1960)</v>
      </c>
      <c r="Y168" s="3" t="str">
        <f>IF(VLOOKUP($C168,'All Girls &amp; Descendants - Edit'!$C$2:$AK$440,'All Girls &amp; Descendants - Edit'!Y$1,FALSE)=""," - ",(VLOOKUP($C168,'All Girls &amp; Descendants - Edit'!$C$2:$AK$440,'All Girls &amp; Descendants - Edit'!Y$1,FALSE)))</f>
        <v>Married at St Anthot, Dijon, daughter of Le Viscompte DE SAINT ANTHOT</v>
      </c>
      <c r="Z168" s="3" t="str">
        <f>IF(VLOOKUP($C168,'All Girls &amp; Descendants - Edit'!$C$2:$AK$440,'All Girls &amp; Descendants - Edit'!Z$1,FALSE)=""," - ",(VLOOKUP($C168,'All Girls &amp; Descendants - Edit'!$C$2:$AK$440,'All Girls &amp; Descendants - Edit'!Z$1,FALSE)))</f>
        <v>Henry of of Penningtons, 23 Rue d' Anjou 75008, paris. Educated Gordonstoun. Solicitor.</v>
      </c>
      <c r="AA168" s="101">
        <f>IF(VLOOKUP($C168,'All Girls &amp; Descendants - Edit'!$C$2:$AK$440,'All Girls &amp; Descendants - Edit'!AA$1,FALSE)=""," - ",(VLOOKUP($C168,'All Girls &amp; Descendants - Edit'!$C$2:$AK$440,'All Girls &amp; Descendants - Edit'!AA$1,FALSE)))</f>
        <v>142</v>
      </c>
      <c r="AB168" s="101">
        <f>IF(VLOOKUP($C168,'All Girls &amp; Descendants - Edit'!$C$2:$AK$440,'All Girls &amp; Descendants - Edit'!AB$1,FALSE)=""," - ",(VLOOKUP($C168,'All Girls &amp; Descendants - Edit'!$C$2:$AK$440,'All Girls &amp; Descendants - Edit'!AB$1,FALSE)))</f>
        <v>25</v>
      </c>
      <c r="AC168" s="101">
        <f>IF(VLOOKUP($C168,'All Girls &amp; Descendants - Edit'!$C$2:$AK$440,'All Girls &amp; Descendants - Edit'!AC$1,FALSE)=""," - ",(VLOOKUP($C168,'All Girls &amp; Descendants - Edit'!$C$2:$AK$440,'All Girls &amp; Descendants - Edit'!AC$1,FALSE)))</f>
        <v>2025</v>
      </c>
      <c r="AD168" s="3" t="str">
        <f>IF(VLOOKUP($C168,'All Girls &amp; Descendants - Edit'!$C$2:$AK$440,'All Girls &amp; Descendants - Edit'!AD$1,FALSE)=""," - ",(VLOOKUP($C168,'All Girls &amp; Descendants - Edit'!$C$2:$AK$440,'All Girls &amp; Descendants - Edit'!AD$1,FALSE)))</f>
        <v>70cc</v>
      </c>
      <c r="AE168" s="3" t="str">
        <f>IF(VLOOKUP($C168,'All Girls &amp; Descendants - Edit'!$C$2:$AK$440,'All Girls &amp; Descendants - Edit'!AE$1,FALSE)=""," - ",(VLOOKUP($C168,'All Girls &amp; Descendants - Edit'!$C$2:$AK$440,'All Girls &amp; Descendants - Edit'!AE$1,FALSE)))</f>
        <v>Henry Charles Micklem PAGE (1953 - )</v>
      </c>
      <c r="AF168" s="3" t="str">
        <f>IF(VLOOKUP($C168,'All Girls &amp; Descendants - Edit'!$C$2:$AK$440,'All Girls &amp; Descendants - Edit'!AF$1,FALSE)=""," - ",(VLOOKUP($C168,'All Girls &amp; Descendants - Edit'!$C$2:$AK$440,'All Girls &amp; Descendants - Edit'!AF$1,FALSE)))</f>
        <v>Henry PAGE (6th &amp; 70)</v>
      </c>
      <c r="AG168" s="3" t="str">
        <f>IF(VLOOKUP($C168,'All Girls &amp; Descendants - Edit'!$C$2:$AK$440,'All Girls &amp; Descendants - Edit'!AG$1,FALSE)=""," - ",(VLOOKUP($C168,'All Girls &amp; Descendants - Edit'!$C$2:$AK$440,'All Girls &amp; Descendants - Edit'!AG$1,FALSE)))</f>
        <v>Male</v>
      </c>
      <c r="AH168" s="3" t="str">
        <f>IF(VLOOKUP($C168,'All Girls &amp; Descendants - Edit'!$C$2:$AK$440,'All Girls &amp; Descendants - Edit'!AH$1,FALSE)=""," - ",(VLOOKUP($C168,'All Girls &amp; Descendants - Edit'!$C$2:$AK$440,'All Girls &amp; Descendants - Edit'!AH$1,FALSE)))</f>
        <v>6th</v>
      </c>
      <c r="AI168" s="3" t="str">
        <f>IF(VLOOKUP($C168,'All Girls &amp; Descendants - Edit'!$C$2:$AK$440,'All Girls &amp; Descendants - Edit'!AI$1,FALSE)=""," - ",(VLOOKUP($C168,'All Girls &amp; Descendants - Edit'!$C$2:$AK$440,'All Girls &amp; Descendants - Edit'!AI$1,FALSE)))</f>
        <v>Wife: Isabelle ANTHOT (b. 1960). Married at St Anthot, Dijon, daughter of Le Viscompte DE SAINT ANTHOT</v>
      </c>
      <c r="AJ168" s="3" t="str">
        <f>IF(VLOOKUP($C168,'All Girls &amp; Descendants - Edit'!$C$2:$AK$440,'All Girls &amp; Descendants - Edit'!AJ$1,FALSE)=""," - ",(VLOOKUP($C168,'All Girls &amp; Descendants - Edit'!$C$2:$AK$440,'All Girls &amp; Descendants - Edit'!AJ$1,FALSE)))</f>
        <v>Male. b. 16/12/1953 Henry of of Penningtons, 23 Rue d' Anjou 75008, paris. Educated Gordonstoun. Solicitor.</v>
      </c>
      <c r="AK168" s="3" t="str">
        <f>IF(VLOOKUP($C168,'All Girls &amp; Descendants - Edit'!$C$2:$AK$440,'All Girls &amp; Descendants - Edit'!AK$1,FALSE)=""," - ",(VLOOKUP($C168,'All Girls &amp; Descendants - Edit'!$C$2:$AK$440,'All Girls &amp; Descendants - Edit'!AK$1,FALSE)))</f>
        <v>b. 16/12/1953</v>
      </c>
    </row>
    <row r="169" spans="1:37" ht="19">
      <c r="A169">
        <f>VLOOKUP(B169,'Loyd List 1-190 - Edit'!$P$1:$R$219,3,FALSE)</f>
        <v>46</v>
      </c>
      <c r="B169">
        <f>'All Girls &amp; Descendants - Edit'!B170</f>
        <v>70</v>
      </c>
      <c r="C169" s="98" t="str">
        <f>'All Girls &amp; Descendants - Edit'!C170</f>
        <v>70cd</v>
      </c>
      <c r="D169" s="2" t="str">
        <f>'All Girls &amp; Descendants - Edit'!D170</f>
        <v>PAGE</v>
      </c>
      <c r="E169" t="str">
        <f>'All Girls &amp; Descendants - Edit'!E170</f>
        <v>Rupert</v>
      </c>
      <c r="F169" t="str">
        <f>IF('All Girls &amp; Descendants - Edit'!F170="","",'All Girls &amp; Descendants - Edit'!F170)</f>
        <v>James</v>
      </c>
      <c r="G169" t="str">
        <f>IF('All Girls &amp; Descendants - Edit'!G170="","",'All Girls &amp; Descendants - Edit'!G170)</f>
        <v>Oliver</v>
      </c>
      <c r="H169" t="str">
        <f>IF('All Girls &amp; Descendants - Edit'!H170="","",'All Girls &amp; Descendants - Edit'!H170)</f>
        <v/>
      </c>
      <c r="I169">
        <f>VLOOKUP($C169,'All Girls &amp; Descendants - Edit'!$C$2:$AK$440,'All Girls &amp; Descendants - Edit'!I$1,FALSE)</f>
        <v>1963</v>
      </c>
      <c r="J169" t="str">
        <f>VLOOKUP($C169,'All Girls &amp; Descendants - Edit'!$C$2:$AK$440,'All Girls &amp; Descendants - Edit'!J$1,FALSE)</f>
        <v/>
      </c>
      <c r="K169" s="9"/>
      <c r="L169" t="str">
        <f t="shared" si="18"/>
        <v>06/08/1963</v>
      </c>
      <c r="M169" s="3">
        <f>VLOOKUP($C169,'All Girls &amp; Descendants - Edit'!$C$2:$AK$440,'All Girls &amp; Descendants - Edit'!M$1,FALSE)</f>
        <v>23229</v>
      </c>
      <c r="N169" s="3" t="str">
        <f>IF(VLOOKUP($C169,'All Girls &amp; Descendants - Edit'!$C$2:$AK$440,'All Girls &amp; Descendants - Edit'!N$1,FALSE)=""," - ",(VLOOKUP($C169,'All Girls &amp; Descendants - Edit'!$C$2:$AK$440,'All Girls &amp; Descendants - Edit'!N$1,FALSE)))</f>
        <v xml:space="preserve"> - </v>
      </c>
      <c r="O169" s="3" t="str">
        <f>IF(VLOOKUP($C169,'All Girls &amp; Descendants - Edit'!$C$2:$AK$440,'All Girls &amp; Descendants - Edit'!O$1,FALSE)="","",(VLOOKUP($C169,'All Girls &amp; Descendants - Edit'!$C$2:$AK$440,'All Girls &amp; Descendants - Edit'!O$1,FALSE)))</f>
        <v/>
      </c>
      <c r="P169" s="3" t="str">
        <f t="shared" si="19"/>
        <v/>
      </c>
      <c r="Q169" s="178" t="str">
        <f t="shared" si="20"/>
        <v>70c</v>
      </c>
      <c r="R169" s="23"/>
      <c r="S169" t="str">
        <f>VLOOKUP($C169,'All Girls &amp; Descendants - Edit'!$C$2:$AK$440,'All Girls &amp; Descendants - Edit'!S$1,FALSE)</f>
        <v>Male</v>
      </c>
      <c r="T169" s="176">
        <f t="shared" si="17"/>
        <v>6</v>
      </c>
      <c r="U169" s="176">
        <f t="shared" si="21"/>
        <v>4</v>
      </c>
      <c r="V169" s="176">
        <f t="shared" si="22"/>
        <v>4</v>
      </c>
      <c r="W169" s="177">
        <f t="shared" si="23"/>
        <v>2</v>
      </c>
      <c r="X169" s="3" t="str">
        <f>IF(VLOOKUP($C169,'All Girls &amp; Descendants - Edit'!$C$2:$AK$440,'All Girls &amp; Descendants - Edit'!X$1,FALSE)=""," - ",(VLOOKUP($C169,'All Girls &amp; Descendants - Edit'!$C$2:$AK$440,'All Girls &amp; Descendants - Edit'!X$1,FALSE)))</f>
        <v>Philippa Clare DOWDESWELL (b. 1974)</v>
      </c>
      <c r="Y169" s="3" t="str">
        <f>IF(VLOOKUP($C169,'All Girls &amp; Descendants - Edit'!$C$2:$AK$440,'All Girls &amp; Descendants - Edit'!Y$1,FALSE)=""," - ",(VLOOKUP($C169,'All Girls &amp; Descendants - Edit'!$C$2:$AK$440,'All Girls &amp; Descendants - Edit'!Y$1,FALSE)))</f>
        <v xml:space="preserve"> - </v>
      </c>
      <c r="Z169" s="3" t="str">
        <f>IF(VLOOKUP($C169,'All Girls &amp; Descendants - Edit'!$C$2:$AK$440,'All Girls &amp; Descendants - Edit'!Z$1,FALSE)=""," - ",(VLOOKUP($C169,'All Girls &amp; Descendants - Edit'!$C$2:$AK$440,'All Girls &amp; Descendants - Edit'!Z$1,FALSE)))</f>
        <v>Rupert of Old Manor Cottage, Waddesdon, Aylesbury, Buckinghamshire  HP18 0LG. Educated Eton 1977-81 and Kings College, London.</v>
      </c>
      <c r="AA169" s="101">
        <f>IF(VLOOKUP($C169,'All Girls &amp; Descendants - Edit'!$C$2:$AK$440,'All Girls &amp; Descendants - Edit'!AA$1,FALSE)=""," - ",(VLOOKUP($C169,'All Girls &amp; Descendants - Edit'!$C$2:$AK$440,'All Girls &amp; Descendants - Edit'!AA$1,FALSE)))</f>
        <v>144</v>
      </c>
      <c r="AB169" s="101">
        <f>IF(VLOOKUP($C169,'All Girls &amp; Descendants - Edit'!$C$2:$AK$440,'All Girls &amp; Descendants - Edit'!AB$1,FALSE)=""," - ",(VLOOKUP($C169,'All Girls &amp; Descendants - Edit'!$C$2:$AK$440,'All Girls &amp; Descendants - Edit'!AB$1,FALSE)))</f>
        <v>26</v>
      </c>
      <c r="AC169" s="101">
        <f>IF(VLOOKUP($C169,'All Girls &amp; Descendants - Edit'!$C$2:$AK$440,'All Girls &amp; Descendants - Edit'!AC$1,FALSE)=""," - ",(VLOOKUP($C169,'All Girls &amp; Descendants - Edit'!$C$2:$AK$440,'All Girls &amp; Descendants - Edit'!AC$1,FALSE)))</f>
        <v>2026</v>
      </c>
      <c r="AD169" s="3" t="str">
        <f>IF(VLOOKUP($C169,'All Girls &amp; Descendants - Edit'!$C$2:$AK$440,'All Girls &amp; Descendants - Edit'!AD$1,FALSE)=""," - ",(VLOOKUP($C169,'All Girls &amp; Descendants - Edit'!$C$2:$AK$440,'All Girls &amp; Descendants - Edit'!AD$1,FALSE)))</f>
        <v>70cd</v>
      </c>
      <c r="AE169" s="3" t="str">
        <f>IF(VLOOKUP($C169,'All Girls &amp; Descendants - Edit'!$C$2:$AK$440,'All Girls &amp; Descendants - Edit'!AE$1,FALSE)=""," - ",(VLOOKUP($C169,'All Girls &amp; Descendants - Edit'!$C$2:$AK$440,'All Girls &amp; Descendants - Edit'!AE$1,FALSE)))</f>
        <v>Rupert James Oliver PAGE (1963 - )</v>
      </c>
      <c r="AF169" s="3" t="str">
        <f>IF(VLOOKUP($C169,'All Girls &amp; Descendants - Edit'!$C$2:$AK$440,'All Girls &amp; Descendants - Edit'!AF$1,FALSE)=""," - ",(VLOOKUP($C169,'All Girls &amp; Descendants - Edit'!$C$2:$AK$440,'All Girls &amp; Descendants - Edit'!AF$1,FALSE)))</f>
        <v>Rupert PAGE (6th &amp; 70)</v>
      </c>
      <c r="AG169" s="3" t="str">
        <f>IF(VLOOKUP($C169,'All Girls &amp; Descendants - Edit'!$C$2:$AK$440,'All Girls &amp; Descendants - Edit'!AG$1,FALSE)=""," - ",(VLOOKUP($C169,'All Girls &amp; Descendants - Edit'!$C$2:$AK$440,'All Girls &amp; Descendants - Edit'!AG$1,FALSE)))</f>
        <v>Male</v>
      </c>
      <c r="AH169" s="3" t="str">
        <f>IF(VLOOKUP($C169,'All Girls &amp; Descendants - Edit'!$C$2:$AK$440,'All Girls &amp; Descendants - Edit'!AH$1,FALSE)=""," - ",(VLOOKUP($C169,'All Girls &amp; Descendants - Edit'!$C$2:$AK$440,'All Girls &amp; Descendants - Edit'!AH$1,FALSE)))</f>
        <v>6th</v>
      </c>
      <c r="AI169" s="3" t="str">
        <f>IF(VLOOKUP($C169,'All Girls &amp; Descendants - Edit'!$C$2:$AK$440,'All Girls &amp; Descendants - Edit'!AI$1,FALSE)=""," - ",(VLOOKUP($C169,'All Girls &amp; Descendants - Edit'!$C$2:$AK$440,'All Girls &amp; Descendants - Edit'!AI$1,FALSE)))</f>
        <v xml:space="preserve">Wife: Philippa Clare DOWDESWELL (b. 1974). </v>
      </c>
      <c r="AJ169" s="3" t="str">
        <f>IF(VLOOKUP($C169,'All Girls &amp; Descendants - Edit'!$C$2:$AK$440,'All Girls &amp; Descendants - Edit'!AJ$1,FALSE)=""," - ",(VLOOKUP($C169,'All Girls &amp; Descendants - Edit'!$C$2:$AK$440,'All Girls &amp; Descendants - Edit'!AJ$1,FALSE)))</f>
        <v>Male. b. 06/08/1963 Rupert of Old Manor Cottage, Waddesdon, Aylesbury, Buckinghamshire  HP18 0LG. Educated Eton 1977-81 and Kings College, London.</v>
      </c>
      <c r="AK169" s="3" t="str">
        <f>IF(VLOOKUP($C169,'All Girls &amp; Descendants - Edit'!$C$2:$AK$440,'All Girls &amp; Descendants - Edit'!AK$1,FALSE)=""," - ",(VLOOKUP($C169,'All Girls &amp; Descendants - Edit'!$C$2:$AK$440,'All Girls &amp; Descendants - Edit'!AK$1,FALSE)))</f>
        <v>b. 06/08/1963</v>
      </c>
    </row>
    <row r="170" spans="1:37" ht="19">
      <c r="A170">
        <f>VLOOKUP(B170,'Loyd List 1-190 - Edit'!$P$1:$R$219,3,FALSE)</f>
        <v>46</v>
      </c>
      <c r="B170">
        <f>'All Girls &amp; Descendants - Edit'!B171</f>
        <v>70</v>
      </c>
      <c r="C170" s="98" t="str">
        <f>'All Girls &amp; Descendants - Edit'!C171</f>
        <v>70da</v>
      </c>
      <c r="D170" s="2" t="str">
        <f>'All Girls &amp; Descendants - Edit'!D171</f>
        <v>MICKLEM</v>
      </c>
      <c r="E170" t="str">
        <f>'All Girls &amp; Descendants - Edit'!E171</f>
        <v>Philippa</v>
      </c>
      <c r="F170" t="str">
        <f>IF('All Girls &amp; Descendants - Edit'!F171="","",'All Girls &amp; Descendants - Edit'!F171)</f>
        <v>Rhona</v>
      </c>
      <c r="G170" t="str">
        <f>IF('All Girls &amp; Descendants - Edit'!G171="","",'All Girls &amp; Descendants - Edit'!G171)</f>
        <v/>
      </c>
      <c r="H170" t="str">
        <f>IF('All Girls &amp; Descendants - Edit'!H171="","",'All Girls &amp; Descendants - Edit'!H171)</f>
        <v/>
      </c>
      <c r="I170">
        <f>VLOOKUP($C170,'All Girls &amp; Descendants - Edit'!$C$2:$AK$440,'All Girls &amp; Descendants - Edit'!I$1,FALSE)</f>
        <v>1958</v>
      </c>
      <c r="J170" t="str">
        <f>VLOOKUP($C170,'All Girls &amp; Descendants - Edit'!$C$2:$AK$440,'All Girls &amp; Descendants - Edit'!J$1,FALSE)</f>
        <v/>
      </c>
      <c r="K170" s="9"/>
      <c r="L170" t="str">
        <f t="shared" si="18"/>
        <v>24/09/1958</v>
      </c>
      <c r="M170" s="3" t="str">
        <f>VLOOKUP($C170,'All Girls &amp; Descendants - Edit'!$C$2:$AK$440,'All Girls &amp; Descendants - Edit'!M$1,FALSE)</f>
        <v>24/09/1958</v>
      </c>
      <c r="N170" s="3">
        <f>IF(VLOOKUP($C170,'All Girls &amp; Descendants - Edit'!$C$2:$AK$440,'All Girls &amp; Descendants - Edit'!N$1,FALSE)=""," - ",(VLOOKUP($C170,'All Girls &amp; Descendants - Edit'!$C$2:$AK$440,'All Girls &amp; Descendants - Edit'!N$1,FALSE)))</f>
        <v>31494</v>
      </c>
      <c r="O170" s="3" t="str">
        <f>IF(VLOOKUP($C170,'All Girls &amp; Descendants - Edit'!$C$2:$AK$440,'All Girls &amp; Descendants - Edit'!O$1,FALSE)="","",(VLOOKUP($C170,'All Girls &amp; Descendants - Edit'!$C$2:$AK$440,'All Girls &amp; Descendants - Edit'!O$1,FALSE)))</f>
        <v/>
      </c>
      <c r="P170" s="3" t="str">
        <f t="shared" si="19"/>
        <v/>
      </c>
      <c r="Q170" s="178" t="str">
        <f t="shared" si="20"/>
        <v>70d</v>
      </c>
      <c r="R170" s="23"/>
      <c r="S170" t="str">
        <f>VLOOKUP($C170,'All Girls &amp; Descendants - Edit'!$C$2:$AK$440,'All Girls &amp; Descendants - Edit'!S$1,FALSE)</f>
        <v>Female</v>
      </c>
      <c r="T170" s="176">
        <f t="shared" si="17"/>
        <v>6</v>
      </c>
      <c r="U170" s="176">
        <f t="shared" si="21"/>
        <v>4</v>
      </c>
      <c r="V170" s="176">
        <f t="shared" si="22"/>
        <v>4</v>
      </c>
      <c r="W170" s="177">
        <f t="shared" si="23"/>
        <v>2</v>
      </c>
      <c r="X170" s="3" t="str">
        <f>IF(VLOOKUP($C170,'All Girls &amp; Descendants - Edit'!$C$2:$AK$440,'All Girls &amp; Descendants - Edit'!X$1,FALSE)=""," - ",(VLOOKUP($C170,'All Girls &amp; Descendants - Edit'!$C$2:$AK$440,'All Girls &amp; Descendants - Edit'!X$1,FALSE)))</f>
        <v>(1) Gary Maxwell WEILEY (Divorced 1992); (2) 03/06/2000 Colin John GILLANDERS (b. 17/07/1954)</v>
      </c>
      <c r="Y170" s="3" t="str">
        <f>IF(VLOOKUP($C170,'All Girls &amp; Descendants - Edit'!$C$2:$AK$440,'All Girls &amp; Descendants - Edit'!Y$1,FALSE)=""," - ",(VLOOKUP($C170,'All Girls &amp; Descendants - Edit'!$C$2:$AK$440,'All Girls &amp; Descendants - Edit'!Y$1,FALSE)))</f>
        <v xml:space="preserve"> - </v>
      </c>
      <c r="Z170" s="3" t="str">
        <f>IF(VLOOKUP($C170,'All Girls &amp; Descendants - Edit'!$C$2:$AK$440,'All Girls &amp; Descendants - Edit'!Z$1,FALSE)=""," - ",(VLOOKUP($C170,'All Girls &amp; Descendants - Edit'!$C$2:$AK$440,'All Girls &amp; Descendants - Edit'!Z$1,FALSE)))</f>
        <v xml:space="preserve"> - </v>
      </c>
      <c r="AA170" s="101">
        <f>IF(VLOOKUP($C170,'All Girls &amp; Descendants - Edit'!$C$2:$AK$440,'All Girls &amp; Descendants - Edit'!AA$1,FALSE)=""," - ",(VLOOKUP($C170,'All Girls &amp; Descendants - Edit'!$C$2:$AK$440,'All Girls &amp; Descendants - Edit'!AA$1,FALSE)))</f>
        <v>146</v>
      </c>
      <c r="AB170" s="101">
        <f>IF(VLOOKUP($C170,'All Girls &amp; Descendants - Edit'!$C$2:$AK$440,'All Girls &amp; Descendants - Edit'!AB$1,FALSE)=""," - ",(VLOOKUP($C170,'All Girls &amp; Descendants - Edit'!$C$2:$AK$440,'All Girls &amp; Descendants - Edit'!AB$1,FALSE)))</f>
        <v>27</v>
      </c>
      <c r="AC170" s="101">
        <f>IF(VLOOKUP($C170,'All Girls &amp; Descendants - Edit'!$C$2:$AK$440,'All Girls &amp; Descendants - Edit'!AC$1,FALSE)=""," - ",(VLOOKUP($C170,'All Girls &amp; Descendants - Edit'!$C$2:$AK$440,'All Girls &amp; Descendants - Edit'!AC$1,FALSE)))</f>
        <v>2027</v>
      </c>
      <c r="AD170" s="3" t="str">
        <f>IF(VLOOKUP($C170,'All Girls &amp; Descendants - Edit'!$C$2:$AK$440,'All Girls &amp; Descendants - Edit'!AD$1,FALSE)=""," - ",(VLOOKUP($C170,'All Girls &amp; Descendants - Edit'!$C$2:$AK$440,'All Girls &amp; Descendants - Edit'!AD$1,FALSE)))</f>
        <v>70da</v>
      </c>
      <c r="AE170" s="3" t="str">
        <f>IF(VLOOKUP($C170,'All Girls &amp; Descendants - Edit'!$C$2:$AK$440,'All Girls &amp; Descendants - Edit'!AE$1,FALSE)=""," - ",(VLOOKUP($C170,'All Girls &amp; Descendants - Edit'!$C$2:$AK$440,'All Girls &amp; Descendants - Edit'!AE$1,FALSE)))</f>
        <v>Philippa Rhona  MICKLEM (1958 - )</v>
      </c>
      <c r="AF170" s="3" t="str">
        <f>IF(VLOOKUP($C170,'All Girls &amp; Descendants - Edit'!$C$2:$AK$440,'All Girls &amp; Descendants - Edit'!AF$1,FALSE)=""," - ",(VLOOKUP($C170,'All Girls &amp; Descendants - Edit'!$C$2:$AK$440,'All Girls &amp; Descendants - Edit'!AF$1,FALSE)))</f>
        <v>Philippa MICKLEM (6th &amp; 70)</v>
      </c>
      <c r="AG170" s="3" t="str">
        <f>IF(VLOOKUP($C170,'All Girls &amp; Descendants - Edit'!$C$2:$AK$440,'All Girls &amp; Descendants - Edit'!AG$1,FALSE)=""," - ",(VLOOKUP($C170,'All Girls &amp; Descendants - Edit'!$C$2:$AK$440,'All Girls &amp; Descendants - Edit'!AG$1,FALSE)))</f>
        <v>Female</v>
      </c>
      <c r="AH170" s="3" t="str">
        <f>IF(VLOOKUP($C170,'All Girls &amp; Descendants - Edit'!$C$2:$AK$440,'All Girls &amp; Descendants - Edit'!AH$1,FALSE)=""," - ",(VLOOKUP($C170,'All Girls &amp; Descendants - Edit'!$C$2:$AK$440,'All Girls &amp; Descendants - Edit'!AH$1,FALSE)))</f>
        <v>6th</v>
      </c>
      <c r="AI170" s="3" t="str">
        <f>IF(VLOOKUP($C170,'All Girls &amp; Descendants - Edit'!$C$2:$AK$440,'All Girls &amp; Descendants - Edit'!AI$1,FALSE)=""," - ",(VLOOKUP($C170,'All Girls &amp; Descendants - Edit'!$C$2:$AK$440,'All Girls &amp; Descendants - Edit'!AI$1,FALSE)))</f>
        <v xml:space="preserve">Husband: (1) Gary Maxwell WEILEY (Divorced 1992); (2) 03/06/2000 Colin John GILLANDERS (b. 17/07/1954). </v>
      </c>
      <c r="AJ170" s="3" t="str">
        <f>IF(VLOOKUP($C170,'All Girls &amp; Descendants - Edit'!$C$2:$AK$440,'All Girls &amp; Descendants - Edit'!AJ$1,FALSE)=""," - ",(VLOOKUP($C170,'All Girls &amp; Descendants - Edit'!$C$2:$AK$440,'All Girls &amp; Descendants - Edit'!AJ$1,FALSE)))</f>
        <v>Female. b. 24/09/1958</v>
      </c>
      <c r="AK170" s="3" t="str">
        <f>IF(VLOOKUP($C170,'All Girls &amp; Descendants - Edit'!$C$2:$AK$440,'All Girls &amp; Descendants - Edit'!AK$1,FALSE)=""," - ",(VLOOKUP($C170,'All Girls &amp; Descendants - Edit'!$C$2:$AK$440,'All Girls &amp; Descendants - Edit'!AK$1,FALSE)))</f>
        <v>b. 24/09/1958</v>
      </c>
    </row>
    <row r="171" spans="1:37" ht="19">
      <c r="A171">
        <f>VLOOKUP(B171,'Loyd List 1-190 - Edit'!$P$1:$R$219,3,FALSE)</f>
        <v>46</v>
      </c>
      <c r="B171">
        <f>'All Girls &amp; Descendants - Edit'!B172</f>
        <v>70</v>
      </c>
      <c r="C171" s="98" t="str">
        <f>'All Girls &amp; Descendants - Edit'!C172</f>
        <v>70db</v>
      </c>
      <c r="D171" s="2" t="str">
        <f>'All Girls &amp; Descendants - Edit'!D172</f>
        <v>MICKLEM</v>
      </c>
      <c r="E171" t="str">
        <f>'All Girls &amp; Descendants - Edit'!E172</f>
        <v>Jeremy</v>
      </c>
      <c r="F171" t="str">
        <f>IF('All Girls &amp; Descendants - Edit'!F172="","",'All Girls &amp; Descendants - Edit'!F172)</f>
        <v>Charles</v>
      </c>
      <c r="G171" t="str">
        <f>IF('All Girls &amp; Descendants - Edit'!G172="","",'All Girls &amp; Descendants - Edit'!G172)</f>
        <v>Cracroft</v>
      </c>
      <c r="H171" t="str">
        <f>IF('All Girls &amp; Descendants - Edit'!H172="","",'All Girls &amp; Descendants - Edit'!H172)</f>
        <v/>
      </c>
      <c r="I171">
        <f>VLOOKUP($C171,'All Girls &amp; Descendants - Edit'!$C$2:$AK$440,'All Girls &amp; Descendants - Edit'!I$1,FALSE)</f>
        <v>1961</v>
      </c>
      <c r="J171" t="str">
        <f>VLOOKUP($C171,'All Girls &amp; Descendants - Edit'!$C$2:$AK$440,'All Girls &amp; Descendants - Edit'!J$1,FALSE)</f>
        <v/>
      </c>
      <c r="K171" s="9"/>
      <c r="L171" t="str">
        <f t="shared" si="18"/>
        <v>06/02/1961</v>
      </c>
      <c r="M171" s="3">
        <f>VLOOKUP($C171,'All Girls &amp; Descendants - Edit'!$C$2:$AK$440,'All Girls &amp; Descendants - Edit'!M$1,FALSE)</f>
        <v>22318</v>
      </c>
      <c r="N171" s="3" t="str">
        <f>IF(VLOOKUP($C171,'All Girls &amp; Descendants - Edit'!$C$2:$AK$440,'All Girls &amp; Descendants - Edit'!N$1,FALSE)=""," - ",(VLOOKUP($C171,'All Girls &amp; Descendants - Edit'!$C$2:$AK$440,'All Girls &amp; Descendants - Edit'!N$1,FALSE)))</f>
        <v xml:space="preserve"> - </v>
      </c>
      <c r="O171" s="3" t="str">
        <f>IF(VLOOKUP($C171,'All Girls &amp; Descendants - Edit'!$C$2:$AK$440,'All Girls &amp; Descendants - Edit'!O$1,FALSE)="","",(VLOOKUP($C171,'All Girls &amp; Descendants - Edit'!$C$2:$AK$440,'All Girls &amp; Descendants - Edit'!O$1,FALSE)))</f>
        <v/>
      </c>
      <c r="P171" s="3" t="str">
        <f t="shared" si="19"/>
        <v/>
      </c>
      <c r="Q171" s="178" t="str">
        <f t="shared" si="20"/>
        <v>70d</v>
      </c>
      <c r="R171" s="23"/>
      <c r="S171" t="str">
        <f>VLOOKUP($C171,'All Girls &amp; Descendants - Edit'!$C$2:$AK$440,'All Girls &amp; Descendants - Edit'!S$1,FALSE)</f>
        <v>Male</v>
      </c>
      <c r="T171" s="176">
        <f t="shared" si="17"/>
        <v>6</v>
      </c>
      <c r="U171" s="176">
        <f t="shared" si="21"/>
        <v>4</v>
      </c>
      <c r="V171" s="176">
        <f t="shared" si="22"/>
        <v>4</v>
      </c>
      <c r="W171" s="177">
        <f t="shared" si="23"/>
        <v>2</v>
      </c>
      <c r="X171" s="3" t="str">
        <f>IF(VLOOKUP($C171,'All Girls &amp; Descendants - Edit'!$C$2:$AK$440,'All Girls &amp; Descendants - Edit'!X$1,FALSE)=""," - ",(VLOOKUP($C171,'All Girls &amp; Descendants - Edit'!$C$2:$AK$440,'All Girls &amp; Descendants - Edit'!X$1,FALSE)))</f>
        <v xml:space="preserve"> - </v>
      </c>
      <c r="Y171" s="3" t="str">
        <f>IF(VLOOKUP($C171,'All Girls &amp; Descendants - Edit'!$C$2:$AK$440,'All Girls &amp; Descendants - Edit'!Y$1,FALSE)=""," - ",(VLOOKUP($C171,'All Girls &amp; Descendants - Edit'!$C$2:$AK$440,'All Girls &amp; Descendants - Edit'!Y$1,FALSE)))</f>
        <v xml:space="preserve"> - </v>
      </c>
      <c r="Z171" s="3" t="str">
        <f>IF(VLOOKUP($C171,'All Girls &amp; Descendants - Edit'!$C$2:$AK$440,'All Girls &amp; Descendants - Edit'!Z$1,FALSE)=""," - ",(VLOOKUP($C171,'All Girls &amp; Descendants - Edit'!$C$2:$AK$440,'All Girls &amp; Descendants - Edit'!Z$1,FALSE)))</f>
        <v xml:space="preserve"> - </v>
      </c>
      <c r="AA171" s="101">
        <f>IF(VLOOKUP($C171,'All Girls &amp; Descendants - Edit'!$C$2:$AK$440,'All Girls &amp; Descendants - Edit'!AA$1,FALSE)=""," - ",(VLOOKUP($C171,'All Girls &amp; Descendants - Edit'!$C$2:$AK$440,'All Girls &amp; Descendants - Edit'!AA$1,FALSE)))</f>
        <v>147</v>
      </c>
      <c r="AB171" s="101">
        <f>IF(VLOOKUP($C171,'All Girls &amp; Descendants - Edit'!$C$2:$AK$440,'All Girls &amp; Descendants - Edit'!AB$1,FALSE)=""," - ",(VLOOKUP($C171,'All Girls &amp; Descendants - Edit'!$C$2:$AK$440,'All Girls &amp; Descendants - Edit'!AB$1,FALSE)))</f>
        <v>28</v>
      </c>
      <c r="AC171" s="101">
        <f>IF(VLOOKUP($C171,'All Girls &amp; Descendants - Edit'!$C$2:$AK$440,'All Girls &amp; Descendants - Edit'!AC$1,FALSE)=""," - ",(VLOOKUP($C171,'All Girls &amp; Descendants - Edit'!$C$2:$AK$440,'All Girls &amp; Descendants - Edit'!AC$1,FALSE)))</f>
        <v>2028</v>
      </c>
      <c r="AD171" s="3" t="str">
        <f>IF(VLOOKUP($C171,'All Girls &amp; Descendants - Edit'!$C$2:$AK$440,'All Girls &amp; Descendants - Edit'!AD$1,FALSE)=""," - ",(VLOOKUP($C171,'All Girls &amp; Descendants - Edit'!$C$2:$AK$440,'All Girls &amp; Descendants - Edit'!AD$1,FALSE)))</f>
        <v>70db</v>
      </c>
      <c r="AE171" s="3" t="str">
        <f>IF(VLOOKUP($C171,'All Girls &amp; Descendants - Edit'!$C$2:$AK$440,'All Girls &amp; Descendants - Edit'!AE$1,FALSE)=""," - ",(VLOOKUP($C171,'All Girls &amp; Descendants - Edit'!$C$2:$AK$440,'All Girls &amp; Descendants - Edit'!AE$1,FALSE)))</f>
        <v>Jeremy Charles Cracroft MICKLEM (1961 - )</v>
      </c>
      <c r="AF171" s="3" t="str">
        <f>IF(VLOOKUP($C171,'All Girls &amp; Descendants - Edit'!$C$2:$AK$440,'All Girls &amp; Descendants - Edit'!AF$1,FALSE)=""," - ",(VLOOKUP($C171,'All Girls &amp; Descendants - Edit'!$C$2:$AK$440,'All Girls &amp; Descendants - Edit'!AF$1,FALSE)))</f>
        <v>Jeremy MICKLEM (6th &amp; 70)</v>
      </c>
      <c r="AG171" s="3" t="str">
        <f>IF(VLOOKUP($C171,'All Girls &amp; Descendants - Edit'!$C$2:$AK$440,'All Girls &amp; Descendants - Edit'!AG$1,FALSE)=""," - ",(VLOOKUP($C171,'All Girls &amp; Descendants - Edit'!$C$2:$AK$440,'All Girls &amp; Descendants - Edit'!AG$1,FALSE)))</f>
        <v>Male</v>
      </c>
      <c r="AH171" s="3" t="str">
        <f>IF(VLOOKUP($C171,'All Girls &amp; Descendants - Edit'!$C$2:$AK$440,'All Girls &amp; Descendants - Edit'!AH$1,FALSE)=""," - ",(VLOOKUP($C171,'All Girls &amp; Descendants - Edit'!$C$2:$AK$440,'All Girls &amp; Descendants - Edit'!AH$1,FALSE)))</f>
        <v>6th</v>
      </c>
      <c r="AI171" s="3" t="str">
        <f>IF(VLOOKUP($C171,'All Girls &amp; Descendants - Edit'!$C$2:$AK$440,'All Girls &amp; Descendants - Edit'!AI$1,FALSE)=""," - ",(VLOOKUP($C171,'All Girls &amp; Descendants - Edit'!$C$2:$AK$440,'All Girls &amp; Descendants - Edit'!AI$1,FALSE)))</f>
        <v>Unmarried</v>
      </c>
      <c r="AJ171" s="3" t="str">
        <f>IF(VLOOKUP($C171,'All Girls &amp; Descendants - Edit'!$C$2:$AK$440,'All Girls &amp; Descendants - Edit'!AJ$1,FALSE)=""," - ",(VLOOKUP($C171,'All Girls &amp; Descendants - Edit'!$C$2:$AK$440,'All Girls &amp; Descendants - Edit'!AJ$1,FALSE)))</f>
        <v>Male. b. 06/02/1961</v>
      </c>
      <c r="AK171" s="3" t="str">
        <f>IF(VLOOKUP($C171,'All Girls &amp; Descendants - Edit'!$C$2:$AK$440,'All Girls &amp; Descendants - Edit'!AK$1,FALSE)=""," - ",(VLOOKUP($C171,'All Girls &amp; Descendants - Edit'!$C$2:$AK$440,'All Girls &amp; Descendants - Edit'!AK$1,FALSE)))</f>
        <v>b. 06/02/1961</v>
      </c>
    </row>
    <row r="172" spans="1:37" ht="19">
      <c r="A172">
        <f>VLOOKUP(B172,'Loyd List 1-190 - Edit'!$P$1:$R$219,3,FALSE)</f>
        <v>46</v>
      </c>
      <c r="B172">
        <f>'All Girls &amp; Descendants - Edit'!B173</f>
        <v>70</v>
      </c>
      <c r="C172" s="98" t="str">
        <f>'All Girls &amp; Descendants - Edit'!C173</f>
        <v>70dc</v>
      </c>
      <c r="D172" s="2" t="str">
        <f>'All Girls &amp; Descendants - Edit'!D173</f>
        <v>MICKLEM</v>
      </c>
      <c r="E172" t="str">
        <f>'All Girls &amp; Descendants - Edit'!E173</f>
        <v>Sylvia</v>
      </c>
      <c r="F172" t="str">
        <f>IF('All Girls &amp; Descendants - Edit'!F173="","",'All Girls &amp; Descendants - Edit'!F173)</f>
        <v>Diana</v>
      </c>
      <c r="G172" t="str">
        <f>IF('All Girls &amp; Descendants - Edit'!G173="","",'All Girls &amp; Descendants - Edit'!G173)</f>
        <v/>
      </c>
      <c r="H172" t="str">
        <f>IF('All Girls &amp; Descendants - Edit'!H173="","",'All Girls &amp; Descendants - Edit'!H173)</f>
        <v>Sylvie</v>
      </c>
      <c r="I172">
        <f>VLOOKUP($C172,'All Girls &amp; Descendants - Edit'!$C$2:$AK$440,'All Girls &amp; Descendants - Edit'!I$1,FALSE)</f>
        <v>1964</v>
      </c>
      <c r="J172" t="str">
        <f>VLOOKUP($C172,'All Girls &amp; Descendants - Edit'!$C$2:$AK$440,'All Girls &amp; Descendants - Edit'!J$1,FALSE)</f>
        <v/>
      </c>
      <c r="K172" s="9"/>
      <c r="L172" t="str">
        <f t="shared" si="18"/>
        <v>09/07/1964</v>
      </c>
      <c r="M172" s="3">
        <f>VLOOKUP($C172,'All Girls &amp; Descendants - Edit'!$C$2:$AK$440,'All Girls &amp; Descendants - Edit'!M$1,FALSE)</f>
        <v>23567</v>
      </c>
      <c r="N172" s="3">
        <f>IF(VLOOKUP($C172,'All Girls &amp; Descendants - Edit'!$C$2:$AK$440,'All Girls &amp; Descendants - Edit'!N$1,FALSE)=""," - ",(VLOOKUP($C172,'All Girls &amp; Descendants - Edit'!$C$2:$AK$440,'All Girls &amp; Descendants - Edit'!N$1,FALSE)))</f>
        <v>31724</v>
      </c>
      <c r="O172" s="3" t="str">
        <f>IF(VLOOKUP($C172,'All Girls &amp; Descendants - Edit'!$C$2:$AK$440,'All Girls &amp; Descendants - Edit'!O$1,FALSE)="","",(VLOOKUP($C172,'All Girls &amp; Descendants - Edit'!$C$2:$AK$440,'All Girls &amp; Descendants - Edit'!O$1,FALSE)))</f>
        <v/>
      </c>
      <c r="P172" s="3" t="str">
        <f t="shared" si="19"/>
        <v/>
      </c>
      <c r="Q172" s="178" t="str">
        <f t="shared" si="20"/>
        <v>70d</v>
      </c>
      <c r="R172" s="23"/>
      <c r="S172" t="str">
        <f>VLOOKUP($C172,'All Girls &amp; Descendants - Edit'!$C$2:$AK$440,'All Girls &amp; Descendants - Edit'!S$1,FALSE)</f>
        <v>Female</v>
      </c>
      <c r="T172" s="176">
        <f t="shared" si="17"/>
        <v>6</v>
      </c>
      <c r="U172" s="176">
        <f t="shared" si="21"/>
        <v>4</v>
      </c>
      <c r="V172" s="176">
        <f t="shared" si="22"/>
        <v>4</v>
      </c>
      <c r="W172" s="177">
        <f t="shared" si="23"/>
        <v>2</v>
      </c>
      <c r="X172" s="3" t="str">
        <f>IF(VLOOKUP($C172,'All Girls &amp; Descendants - Edit'!$C$2:$AK$440,'All Girls &amp; Descendants - Edit'!X$1,FALSE)=""," - ",(VLOOKUP($C172,'All Girls &amp; Descendants - Edit'!$C$2:$AK$440,'All Girls &amp; Descendants - Edit'!X$1,FALSE)))</f>
        <v>Andrew Alistair Gavin GOW (b. 03/01/1965, )</v>
      </c>
      <c r="Y172" s="3" t="str">
        <f>IF(VLOOKUP($C172,'All Girls &amp; Descendants - Edit'!$C$2:$AK$440,'All Girls &amp; Descendants - Edit'!Y$1,FALSE)=""," - ",(VLOOKUP($C172,'All Girls &amp; Descendants - Edit'!$C$2:$AK$440,'All Girls &amp; Descendants - Edit'!Y$1,FALSE)))</f>
        <v xml:space="preserve"> - </v>
      </c>
      <c r="Z172" s="3" t="str">
        <f>IF(VLOOKUP($C172,'All Girls &amp; Descendants - Edit'!$C$2:$AK$440,'All Girls &amp; Descendants - Edit'!Z$1,FALSE)=""," - ",(VLOOKUP($C172,'All Girls &amp; Descendants - Edit'!$C$2:$AK$440,'All Girls &amp; Descendants - Edit'!Z$1,FALSE)))</f>
        <v xml:space="preserve"> - </v>
      </c>
      <c r="AA172" s="101">
        <f>IF(VLOOKUP($C172,'All Girls &amp; Descendants - Edit'!$C$2:$AK$440,'All Girls &amp; Descendants - Edit'!AA$1,FALSE)=""," - ",(VLOOKUP($C172,'All Girls &amp; Descendants - Edit'!$C$2:$AK$440,'All Girls &amp; Descendants - Edit'!AA$1,FALSE)))</f>
        <v>148</v>
      </c>
      <c r="AB172" s="101">
        <f>IF(VLOOKUP($C172,'All Girls &amp; Descendants - Edit'!$C$2:$AK$440,'All Girls &amp; Descendants - Edit'!AB$1,FALSE)=""," - ",(VLOOKUP($C172,'All Girls &amp; Descendants - Edit'!$C$2:$AK$440,'All Girls &amp; Descendants - Edit'!AB$1,FALSE)))</f>
        <v>29</v>
      </c>
      <c r="AC172" s="101">
        <f>IF(VLOOKUP($C172,'All Girls &amp; Descendants - Edit'!$C$2:$AK$440,'All Girls &amp; Descendants - Edit'!AC$1,FALSE)=""," - ",(VLOOKUP($C172,'All Girls &amp; Descendants - Edit'!$C$2:$AK$440,'All Girls &amp; Descendants - Edit'!AC$1,FALSE)))</f>
        <v>2029</v>
      </c>
      <c r="AD172" s="3" t="str">
        <f>IF(VLOOKUP($C172,'All Girls &amp; Descendants - Edit'!$C$2:$AK$440,'All Girls &amp; Descendants - Edit'!AD$1,FALSE)=""," - ",(VLOOKUP($C172,'All Girls &amp; Descendants - Edit'!$C$2:$AK$440,'All Girls &amp; Descendants - Edit'!AD$1,FALSE)))</f>
        <v>70dc</v>
      </c>
      <c r="AE172" s="3" t="str">
        <f>IF(VLOOKUP($C172,'All Girls &amp; Descendants - Edit'!$C$2:$AK$440,'All Girls &amp; Descendants - Edit'!AE$1,FALSE)=""," - ",(VLOOKUP($C172,'All Girls &amp; Descendants - Edit'!$C$2:$AK$440,'All Girls &amp; Descendants - Edit'!AE$1,FALSE)))</f>
        <v>Sylvia Diana  MICKLEM (1964 - )</v>
      </c>
      <c r="AF172" s="3" t="str">
        <f>IF(VLOOKUP($C172,'All Girls &amp; Descendants - Edit'!$C$2:$AK$440,'All Girls &amp; Descendants - Edit'!AF$1,FALSE)=""," - ",(VLOOKUP($C172,'All Girls &amp; Descendants - Edit'!$C$2:$AK$440,'All Girls &amp; Descendants - Edit'!AF$1,FALSE)))</f>
        <v>Sylvie MICKLEM (6th &amp; 70)</v>
      </c>
      <c r="AG172" s="3" t="str">
        <f>IF(VLOOKUP($C172,'All Girls &amp; Descendants - Edit'!$C$2:$AK$440,'All Girls &amp; Descendants - Edit'!AG$1,FALSE)=""," - ",(VLOOKUP($C172,'All Girls &amp; Descendants - Edit'!$C$2:$AK$440,'All Girls &amp; Descendants - Edit'!AG$1,FALSE)))</f>
        <v>Female</v>
      </c>
      <c r="AH172" s="3" t="str">
        <f>IF(VLOOKUP($C172,'All Girls &amp; Descendants - Edit'!$C$2:$AK$440,'All Girls &amp; Descendants - Edit'!AH$1,FALSE)=""," - ",(VLOOKUP($C172,'All Girls &amp; Descendants - Edit'!$C$2:$AK$440,'All Girls &amp; Descendants - Edit'!AH$1,FALSE)))</f>
        <v>6th</v>
      </c>
      <c r="AI172" s="3" t="str">
        <f>IF(VLOOKUP($C172,'All Girls &amp; Descendants - Edit'!$C$2:$AK$440,'All Girls &amp; Descendants - Edit'!AI$1,FALSE)=""," - ",(VLOOKUP($C172,'All Girls &amp; Descendants - Edit'!$C$2:$AK$440,'All Girls &amp; Descendants - Edit'!AI$1,FALSE)))</f>
        <v xml:space="preserve">Husband: Andrew Alistair Gavin GOW (b. 03/01/1965, ). </v>
      </c>
      <c r="AJ172" s="3" t="str">
        <f>IF(VLOOKUP($C172,'All Girls &amp; Descendants - Edit'!$C$2:$AK$440,'All Girls &amp; Descendants - Edit'!AJ$1,FALSE)=""," - ",(VLOOKUP($C172,'All Girls &amp; Descendants - Edit'!$C$2:$AK$440,'All Girls &amp; Descendants - Edit'!AJ$1,FALSE)))</f>
        <v>Female. b. 09/07/1964</v>
      </c>
      <c r="AK172" s="3" t="str">
        <f>IF(VLOOKUP($C172,'All Girls &amp; Descendants - Edit'!$C$2:$AK$440,'All Girls &amp; Descendants - Edit'!AK$1,FALSE)=""," - ",(VLOOKUP($C172,'All Girls &amp; Descendants - Edit'!$C$2:$AK$440,'All Girls &amp; Descendants - Edit'!AK$1,FALSE)))</f>
        <v>b. 09/07/1964</v>
      </c>
    </row>
    <row r="173" spans="1:37" ht="19">
      <c r="A173">
        <f>VLOOKUP(B173,'Loyd List 1-190 - Edit'!$P$1:$R$219,3,FALSE)</f>
        <v>56</v>
      </c>
      <c r="B173">
        <f>'All Girls &amp; Descendants - Edit'!B174</f>
        <v>85</v>
      </c>
      <c r="C173" s="98" t="str">
        <f>'All Girls &amp; Descendants - Edit'!C174</f>
        <v>85aa</v>
      </c>
      <c r="D173" s="2" t="str">
        <f>'All Girls &amp; Descendants - Edit'!D174</f>
        <v>LANE FOX</v>
      </c>
      <c r="E173" t="str">
        <f>'All Girls &amp; Descendants - Edit'!E174</f>
        <v>Charlotte</v>
      </c>
      <c r="F173" t="str">
        <f>IF('All Girls &amp; Descendants - Edit'!F174="","",'All Girls &amp; Descendants - Edit'!F174)</f>
        <v>Mary</v>
      </c>
      <c r="G173" t="str">
        <f>IF('All Girls &amp; Descendants - Edit'!G174="","",'All Girls &amp; Descendants - Edit'!G174)</f>
        <v/>
      </c>
      <c r="H173" t="str">
        <f>IF('All Girls &amp; Descendants - Edit'!H174="","",'All Girls &amp; Descendants - Edit'!H174)</f>
        <v/>
      </c>
      <c r="I173">
        <f>VLOOKUP($C173,'All Girls &amp; Descendants - Edit'!$C$2:$AK$440,'All Girls &amp; Descendants - Edit'!I$1,FALSE)</f>
        <v>1967</v>
      </c>
      <c r="J173" t="str">
        <f>VLOOKUP($C173,'All Girls &amp; Descendants - Edit'!$C$2:$AK$440,'All Girls &amp; Descendants - Edit'!J$1,FALSE)</f>
        <v/>
      </c>
      <c r="K173" s="9"/>
      <c r="L173" t="str">
        <f t="shared" si="18"/>
        <v>18/04/1967</v>
      </c>
      <c r="M173" s="3">
        <f>VLOOKUP($C173,'All Girls &amp; Descendants - Edit'!$C$2:$AK$440,'All Girls &amp; Descendants - Edit'!M$1,FALSE)</f>
        <v>24580</v>
      </c>
      <c r="N173" s="3">
        <f>IF(VLOOKUP($C173,'All Girls &amp; Descendants - Edit'!$C$2:$AK$440,'All Girls &amp; Descendants - Edit'!N$1,FALSE)=""," - ",(VLOOKUP($C173,'All Girls &amp; Descendants - Edit'!$C$2:$AK$440,'All Girls &amp; Descendants - Edit'!N$1,FALSE)))</f>
        <v>33950</v>
      </c>
      <c r="O173" s="3" t="str">
        <f>IF(VLOOKUP($C173,'All Girls &amp; Descendants - Edit'!$C$2:$AK$440,'All Girls &amp; Descendants - Edit'!O$1,FALSE)="","",(VLOOKUP($C173,'All Girls &amp; Descendants - Edit'!$C$2:$AK$440,'All Girls &amp; Descendants - Edit'!O$1,FALSE)))</f>
        <v/>
      </c>
      <c r="P173" s="3" t="str">
        <f t="shared" si="19"/>
        <v/>
      </c>
      <c r="Q173" s="178" t="str">
        <f t="shared" si="20"/>
        <v>85a</v>
      </c>
      <c r="R173" s="23"/>
      <c r="S173" t="str">
        <f>VLOOKUP($C173,'All Girls &amp; Descendants - Edit'!$C$2:$AK$440,'All Girls &amp; Descendants - Edit'!S$1,FALSE)</f>
        <v>Female</v>
      </c>
      <c r="T173" s="176">
        <f t="shared" si="17"/>
        <v>7</v>
      </c>
      <c r="U173" s="176">
        <f t="shared" si="21"/>
        <v>4</v>
      </c>
      <c r="V173" s="176">
        <f t="shared" si="22"/>
        <v>5</v>
      </c>
      <c r="W173" s="177">
        <f t="shared" si="23"/>
        <v>2</v>
      </c>
      <c r="X173" s="3" t="str">
        <f>IF(VLOOKUP($C173,'All Girls &amp; Descendants - Edit'!$C$2:$AK$440,'All Girls &amp; Descendants - Edit'!X$1,FALSE)=""," - ",(VLOOKUP($C173,'All Girls &amp; Descendants - Edit'!$C$2:$AK$440,'All Girls &amp; Descendants - Edit'!X$1,FALSE)))</f>
        <v>Bruce J ELLIS (b. , )</v>
      </c>
      <c r="Y173" s="3" t="str">
        <f>IF(VLOOKUP($C173,'All Girls &amp; Descendants - Edit'!$C$2:$AK$440,'All Girls &amp; Descendants - Edit'!Y$1,FALSE)=""," - ",(VLOOKUP($C173,'All Girls &amp; Descendants - Edit'!$C$2:$AK$440,'All Girls &amp; Descendants - Edit'!Y$1,FALSE)))</f>
        <v xml:space="preserve"> - </v>
      </c>
      <c r="Z173" s="3" t="str">
        <f>IF(VLOOKUP($C173,'All Girls &amp; Descendants - Edit'!$C$2:$AK$440,'All Girls &amp; Descendants - Edit'!Z$1,FALSE)=""," - ",(VLOOKUP($C173,'All Girls &amp; Descendants - Edit'!$C$2:$AK$440,'All Girls &amp; Descendants - Edit'!Z$1,FALSE)))</f>
        <v>Baptised 6 July 1967 at St James’s, Piccadilly, London W1.</v>
      </c>
      <c r="AA173" s="101">
        <f>IF(VLOOKUP($C173,'All Girls &amp; Descendants - Edit'!$C$2:$AK$440,'All Girls &amp; Descendants - Edit'!AA$1,FALSE)=""," - ",(VLOOKUP($C173,'All Girls &amp; Descendants - Edit'!$C$2:$AK$440,'All Girls &amp; Descendants - Edit'!AA$1,FALSE)))</f>
        <v>155</v>
      </c>
      <c r="AB173" s="101">
        <f>IF(VLOOKUP($C173,'All Girls &amp; Descendants - Edit'!$C$2:$AK$440,'All Girls &amp; Descendants - Edit'!AB$1,FALSE)=""," - ",(VLOOKUP($C173,'All Girls &amp; Descendants - Edit'!$C$2:$AK$440,'All Girls &amp; Descendants - Edit'!AB$1,FALSE)))</f>
        <v>30</v>
      </c>
      <c r="AC173" s="101">
        <f>IF(VLOOKUP($C173,'All Girls &amp; Descendants - Edit'!$C$2:$AK$440,'All Girls &amp; Descendants - Edit'!AC$1,FALSE)=""," - ",(VLOOKUP($C173,'All Girls &amp; Descendants - Edit'!$C$2:$AK$440,'All Girls &amp; Descendants - Edit'!AC$1,FALSE)))</f>
        <v>2030</v>
      </c>
      <c r="AD173" s="3" t="str">
        <f>IF(VLOOKUP($C173,'All Girls &amp; Descendants - Edit'!$C$2:$AK$440,'All Girls &amp; Descendants - Edit'!AD$1,FALSE)=""," - ",(VLOOKUP($C173,'All Girls &amp; Descendants - Edit'!$C$2:$AK$440,'All Girls &amp; Descendants - Edit'!AD$1,FALSE)))</f>
        <v>85aa</v>
      </c>
      <c r="AE173" s="3" t="str">
        <f>IF(VLOOKUP($C173,'All Girls &amp; Descendants - Edit'!$C$2:$AK$440,'All Girls &amp; Descendants - Edit'!AE$1,FALSE)=""," - ",(VLOOKUP($C173,'All Girls &amp; Descendants - Edit'!$C$2:$AK$440,'All Girls &amp; Descendants - Edit'!AE$1,FALSE)))</f>
        <v>Charlotte Mary  LANE FOX (1967 - )</v>
      </c>
      <c r="AF173" s="3" t="str">
        <f>IF(VLOOKUP($C173,'All Girls &amp; Descendants - Edit'!$C$2:$AK$440,'All Girls &amp; Descendants - Edit'!AF$1,FALSE)=""," - ",(VLOOKUP($C173,'All Girls &amp; Descendants - Edit'!$C$2:$AK$440,'All Girls &amp; Descendants - Edit'!AF$1,FALSE)))</f>
        <v>Charlotte LANE FOX (7th &amp; 85)</v>
      </c>
      <c r="AG173" s="3" t="str">
        <f>IF(VLOOKUP($C173,'All Girls &amp; Descendants - Edit'!$C$2:$AK$440,'All Girls &amp; Descendants - Edit'!AG$1,FALSE)=""," - ",(VLOOKUP($C173,'All Girls &amp; Descendants - Edit'!$C$2:$AK$440,'All Girls &amp; Descendants - Edit'!AG$1,FALSE)))</f>
        <v>Female</v>
      </c>
      <c r="AH173" s="3" t="str">
        <f>IF(VLOOKUP($C173,'All Girls &amp; Descendants - Edit'!$C$2:$AK$440,'All Girls &amp; Descendants - Edit'!AH$1,FALSE)=""," - ",(VLOOKUP($C173,'All Girls &amp; Descendants - Edit'!$C$2:$AK$440,'All Girls &amp; Descendants - Edit'!AH$1,FALSE)))</f>
        <v>7th</v>
      </c>
      <c r="AI173" s="3" t="str">
        <f>IF(VLOOKUP($C173,'All Girls &amp; Descendants - Edit'!$C$2:$AK$440,'All Girls &amp; Descendants - Edit'!AI$1,FALSE)=""," - ",(VLOOKUP($C173,'All Girls &amp; Descendants - Edit'!$C$2:$AK$440,'All Girls &amp; Descendants - Edit'!AI$1,FALSE)))</f>
        <v xml:space="preserve">Husband: Bruce J ELLIS (b. , ). </v>
      </c>
      <c r="AJ173" s="3" t="str">
        <f>IF(VLOOKUP($C173,'All Girls &amp; Descendants - Edit'!$C$2:$AK$440,'All Girls &amp; Descendants - Edit'!AJ$1,FALSE)=""," - ",(VLOOKUP($C173,'All Girls &amp; Descendants - Edit'!$C$2:$AK$440,'All Girls &amp; Descendants - Edit'!AJ$1,FALSE)))</f>
        <v>Female. b. 18/04/1967 Baptised 6 July 1967 at St James’s, Piccadilly, London W1.</v>
      </c>
      <c r="AK173" s="3" t="str">
        <f>IF(VLOOKUP($C173,'All Girls &amp; Descendants - Edit'!$C$2:$AK$440,'All Girls &amp; Descendants - Edit'!AK$1,FALSE)=""," - ",(VLOOKUP($C173,'All Girls &amp; Descendants - Edit'!$C$2:$AK$440,'All Girls &amp; Descendants - Edit'!AK$1,FALSE)))</f>
        <v>b. 18/04/1967</v>
      </c>
    </row>
    <row r="174" spans="1:37" ht="19">
      <c r="A174">
        <f>VLOOKUP(B174,'Loyd List 1-190 - Edit'!$P$1:$R$219,3,FALSE)</f>
        <v>56</v>
      </c>
      <c r="B174">
        <f>'All Girls &amp; Descendants - Edit'!B175</f>
        <v>85</v>
      </c>
      <c r="C174" s="98" t="str">
        <f>'All Girls &amp; Descendants - Edit'!C175</f>
        <v>85ab</v>
      </c>
      <c r="D174" s="2" t="str">
        <f>'All Girls &amp; Descendants - Edit'!D175</f>
        <v>LANE FOX</v>
      </c>
      <c r="E174" t="str">
        <f>'All Girls &amp; Descendants - Edit'!E175</f>
        <v>Oliver</v>
      </c>
      <c r="F174" t="str">
        <f>IF('All Girls &amp; Descendants - Edit'!F175="","",'All Girls &amp; Descendants - Edit'!F175)</f>
        <v>James</v>
      </c>
      <c r="G174" t="str">
        <f>IF('All Girls &amp; Descendants - Edit'!G175="","",'All Girls &amp; Descendants - Edit'!G175)</f>
        <v/>
      </c>
      <c r="H174" t="str">
        <f>IF('All Girls &amp; Descendants - Edit'!H175="","",'All Girls &amp; Descendants - Edit'!H175)</f>
        <v/>
      </c>
      <c r="I174">
        <f>VLOOKUP($C174,'All Girls &amp; Descendants - Edit'!$C$2:$AK$440,'All Girls &amp; Descendants - Edit'!I$1,FALSE)</f>
        <v>1968</v>
      </c>
      <c r="J174" t="str">
        <f>VLOOKUP($C174,'All Girls &amp; Descendants - Edit'!$C$2:$AK$440,'All Girls &amp; Descendants - Edit'!J$1,FALSE)</f>
        <v/>
      </c>
      <c r="K174" s="9"/>
      <c r="L174" t="str">
        <f t="shared" si="18"/>
        <v>03/09/1968</v>
      </c>
      <c r="M174" s="3">
        <f>VLOOKUP($C174,'All Girls &amp; Descendants - Edit'!$C$2:$AK$440,'All Girls &amp; Descendants - Edit'!M$1,FALSE)</f>
        <v>25084</v>
      </c>
      <c r="N174" s="3">
        <f>IF(VLOOKUP($C174,'All Girls &amp; Descendants - Edit'!$C$2:$AK$440,'All Girls &amp; Descendants - Edit'!N$1,FALSE)=""," - ",(VLOOKUP($C174,'All Girls &amp; Descendants - Edit'!$C$2:$AK$440,'All Girls &amp; Descendants - Edit'!N$1,FALSE)))</f>
        <v>36337</v>
      </c>
      <c r="O174" s="3" t="str">
        <f>IF(VLOOKUP($C174,'All Girls &amp; Descendants - Edit'!$C$2:$AK$440,'All Girls &amp; Descendants - Edit'!O$1,FALSE)="","",(VLOOKUP($C174,'All Girls &amp; Descendants - Edit'!$C$2:$AK$440,'All Girls &amp; Descendants - Edit'!O$1,FALSE)))</f>
        <v/>
      </c>
      <c r="P174" s="3" t="str">
        <f t="shared" si="19"/>
        <v/>
      </c>
      <c r="Q174" s="178" t="str">
        <f t="shared" si="20"/>
        <v>85a</v>
      </c>
      <c r="R174" s="23"/>
      <c r="S174" t="str">
        <f>VLOOKUP($C174,'All Girls &amp; Descendants - Edit'!$C$2:$AK$440,'All Girls &amp; Descendants - Edit'!S$1,FALSE)</f>
        <v>Male</v>
      </c>
      <c r="T174" s="176">
        <f t="shared" si="17"/>
        <v>7</v>
      </c>
      <c r="U174" s="176">
        <f t="shared" si="21"/>
        <v>4</v>
      </c>
      <c r="V174" s="176">
        <f t="shared" si="22"/>
        <v>5</v>
      </c>
      <c r="W174" s="177">
        <f t="shared" si="23"/>
        <v>2</v>
      </c>
      <c r="X174" s="3" t="str">
        <f>IF(VLOOKUP($C174,'All Girls &amp; Descendants - Edit'!$C$2:$AK$440,'All Girls &amp; Descendants - Edit'!X$1,FALSE)=""," - ",(VLOOKUP($C174,'All Girls &amp; Descendants - Edit'!$C$2:$AK$440,'All Girls &amp; Descendants - Edit'!X$1,FALSE)))</f>
        <v>Harriet (Hatty) MADDEN.</v>
      </c>
      <c r="Y174" s="3" t="str">
        <f>IF(VLOOKUP($C174,'All Girls &amp; Descendants - Edit'!$C$2:$AK$440,'All Girls &amp; Descendants - Edit'!Y$1,FALSE)=""," - ",(VLOOKUP($C174,'All Girls &amp; Descendants - Edit'!$C$2:$AK$440,'All Girls &amp; Descendants - Edit'!Y$1,FALSE)))</f>
        <v xml:space="preserve"> - </v>
      </c>
      <c r="Z174" s="3" t="str">
        <f>IF(VLOOKUP($C174,'All Girls &amp; Descendants - Edit'!$C$2:$AK$440,'All Girls &amp; Descendants - Edit'!Z$1,FALSE)=""," - ",(VLOOKUP($C174,'All Girls &amp; Descendants - Edit'!$C$2:$AK$440,'All Girls &amp; Descendants - Edit'!Z$1,FALSE)))</f>
        <v>Educated Eton.</v>
      </c>
      <c r="AA174" s="101">
        <f>IF(VLOOKUP($C174,'All Girls &amp; Descendants - Edit'!$C$2:$AK$440,'All Girls &amp; Descendants - Edit'!AA$1,FALSE)=""," - ",(VLOOKUP($C174,'All Girls &amp; Descendants - Edit'!$C$2:$AK$440,'All Girls &amp; Descendants - Edit'!AA$1,FALSE)))</f>
        <v>158</v>
      </c>
      <c r="AB174" s="101">
        <f>IF(VLOOKUP($C174,'All Girls &amp; Descendants - Edit'!$C$2:$AK$440,'All Girls &amp; Descendants - Edit'!AB$1,FALSE)=""," - ",(VLOOKUP($C174,'All Girls &amp; Descendants - Edit'!$C$2:$AK$440,'All Girls &amp; Descendants - Edit'!AB$1,FALSE)))</f>
        <v>31</v>
      </c>
      <c r="AC174" s="101">
        <f>IF(VLOOKUP($C174,'All Girls &amp; Descendants - Edit'!$C$2:$AK$440,'All Girls &amp; Descendants - Edit'!AC$1,FALSE)=""," - ",(VLOOKUP($C174,'All Girls &amp; Descendants - Edit'!$C$2:$AK$440,'All Girls &amp; Descendants - Edit'!AC$1,FALSE)))</f>
        <v>2031</v>
      </c>
      <c r="AD174" s="3" t="str">
        <f>IF(VLOOKUP($C174,'All Girls &amp; Descendants - Edit'!$C$2:$AK$440,'All Girls &amp; Descendants - Edit'!AD$1,FALSE)=""," - ",(VLOOKUP($C174,'All Girls &amp; Descendants - Edit'!$C$2:$AK$440,'All Girls &amp; Descendants - Edit'!AD$1,FALSE)))</f>
        <v>85ab</v>
      </c>
      <c r="AE174" s="3" t="str">
        <f>IF(VLOOKUP($C174,'All Girls &amp; Descendants - Edit'!$C$2:$AK$440,'All Girls &amp; Descendants - Edit'!AE$1,FALSE)=""," - ",(VLOOKUP($C174,'All Girls &amp; Descendants - Edit'!$C$2:$AK$440,'All Girls &amp; Descendants - Edit'!AE$1,FALSE)))</f>
        <v>Oliver James  LANE FOX (1968 - )</v>
      </c>
      <c r="AF174" s="3" t="str">
        <f>IF(VLOOKUP($C174,'All Girls &amp; Descendants - Edit'!$C$2:$AK$440,'All Girls &amp; Descendants - Edit'!AF$1,FALSE)=""," - ",(VLOOKUP($C174,'All Girls &amp; Descendants - Edit'!$C$2:$AK$440,'All Girls &amp; Descendants - Edit'!AF$1,FALSE)))</f>
        <v>Oliver LANE FOX (7th &amp; 85)</v>
      </c>
      <c r="AG174" s="3" t="str">
        <f>IF(VLOOKUP($C174,'All Girls &amp; Descendants - Edit'!$C$2:$AK$440,'All Girls &amp; Descendants - Edit'!AG$1,FALSE)=""," - ",(VLOOKUP($C174,'All Girls &amp; Descendants - Edit'!$C$2:$AK$440,'All Girls &amp; Descendants - Edit'!AG$1,FALSE)))</f>
        <v>Male</v>
      </c>
      <c r="AH174" s="3" t="str">
        <f>IF(VLOOKUP($C174,'All Girls &amp; Descendants - Edit'!$C$2:$AK$440,'All Girls &amp; Descendants - Edit'!AH$1,FALSE)=""," - ",(VLOOKUP($C174,'All Girls &amp; Descendants - Edit'!$C$2:$AK$440,'All Girls &amp; Descendants - Edit'!AH$1,FALSE)))</f>
        <v>7th</v>
      </c>
      <c r="AI174" s="3" t="str">
        <f>IF(VLOOKUP($C174,'All Girls &amp; Descendants - Edit'!$C$2:$AK$440,'All Girls &amp; Descendants - Edit'!AI$1,FALSE)=""," - ",(VLOOKUP($C174,'All Girls &amp; Descendants - Edit'!$C$2:$AK$440,'All Girls &amp; Descendants - Edit'!AI$1,FALSE)))</f>
        <v xml:space="preserve">Wife: Harriet (Hatty) MADDEN.. </v>
      </c>
      <c r="AJ174" s="3" t="str">
        <f>IF(VLOOKUP($C174,'All Girls &amp; Descendants - Edit'!$C$2:$AK$440,'All Girls &amp; Descendants - Edit'!AJ$1,FALSE)=""," - ",(VLOOKUP($C174,'All Girls &amp; Descendants - Edit'!$C$2:$AK$440,'All Girls &amp; Descendants - Edit'!AJ$1,FALSE)))</f>
        <v>Male. b. 03/09/1968 Educated Eton.</v>
      </c>
      <c r="AK174" s="3" t="str">
        <f>IF(VLOOKUP($C174,'All Girls &amp; Descendants - Edit'!$C$2:$AK$440,'All Girls &amp; Descendants - Edit'!AK$1,FALSE)=""," - ",(VLOOKUP($C174,'All Girls &amp; Descendants - Edit'!$C$2:$AK$440,'All Girls &amp; Descendants - Edit'!AK$1,FALSE)))</f>
        <v>b. 03/09/1968</v>
      </c>
    </row>
    <row r="175" spans="1:37" ht="19">
      <c r="A175">
        <f>VLOOKUP(B175,'Loyd List 1-190 - Edit'!$P$1:$R$219,3,FALSE)</f>
        <v>56</v>
      </c>
      <c r="B175">
        <f>'All Girls &amp; Descendants - Edit'!B176</f>
        <v>85</v>
      </c>
      <c r="C175" s="98" t="str">
        <f>'All Girls &amp; Descendants - Edit'!C176</f>
        <v>85ac</v>
      </c>
      <c r="D175" s="2" t="str">
        <f>'All Girls &amp; Descendants - Edit'!D176</f>
        <v>LANE FOX</v>
      </c>
      <c r="E175" t="str">
        <f>'All Girls &amp; Descendants - Edit'!E176</f>
        <v>Sophie</v>
      </c>
      <c r="F175" t="str">
        <f>IF('All Girls &amp; Descendants - Edit'!F176="","",'All Girls &amp; Descendants - Edit'!F176)</f>
        <v>Anne</v>
      </c>
      <c r="G175" t="str">
        <f>IF('All Girls &amp; Descendants - Edit'!G176="","",'All Girls &amp; Descendants - Edit'!G176)</f>
        <v/>
      </c>
      <c r="H175" t="str">
        <f>IF('All Girls &amp; Descendants - Edit'!H176="","",'All Girls &amp; Descendants - Edit'!H176)</f>
        <v/>
      </c>
      <c r="I175">
        <f>VLOOKUP($C175,'All Girls &amp; Descendants - Edit'!$C$2:$AK$440,'All Girls &amp; Descendants - Edit'!I$1,FALSE)</f>
        <v>1972</v>
      </c>
      <c r="J175" t="str">
        <f>VLOOKUP($C175,'All Girls &amp; Descendants - Edit'!$C$2:$AK$440,'All Girls &amp; Descendants - Edit'!J$1,FALSE)</f>
        <v/>
      </c>
      <c r="K175" s="9"/>
      <c r="L175" t="str">
        <f t="shared" si="18"/>
        <v>21/07/1972</v>
      </c>
      <c r="M175" s="3">
        <f>VLOOKUP($C175,'All Girls &amp; Descendants - Edit'!$C$2:$AK$440,'All Girls &amp; Descendants - Edit'!M$1,FALSE)</f>
        <v>26501</v>
      </c>
      <c r="N175" s="3" t="str">
        <f>IF(VLOOKUP($C175,'All Girls &amp; Descendants - Edit'!$C$2:$AK$440,'All Girls &amp; Descendants - Edit'!N$1,FALSE)=""," - ",(VLOOKUP($C175,'All Girls &amp; Descendants - Edit'!$C$2:$AK$440,'All Girls &amp; Descendants - Edit'!N$1,FALSE)))</f>
        <v xml:space="preserve"> - </v>
      </c>
      <c r="O175" s="3" t="str">
        <f>IF(VLOOKUP($C175,'All Girls &amp; Descendants - Edit'!$C$2:$AK$440,'All Girls &amp; Descendants - Edit'!O$1,FALSE)="","",(VLOOKUP($C175,'All Girls &amp; Descendants - Edit'!$C$2:$AK$440,'All Girls &amp; Descendants - Edit'!O$1,FALSE)))</f>
        <v/>
      </c>
      <c r="P175" s="3" t="str">
        <f t="shared" si="19"/>
        <v/>
      </c>
      <c r="Q175" s="178" t="str">
        <f t="shared" si="20"/>
        <v>85a</v>
      </c>
      <c r="R175" s="23"/>
      <c r="S175" t="str">
        <f>VLOOKUP($C175,'All Girls &amp; Descendants - Edit'!$C$2:$AK$440,'All Girls &amp; Descendants - Edit'!S$1,FALSE)</f>
        <v>Female</v>
      </c>
      <c r="T175" s="176">
        <f t="shared" si="17"/>
        <v>7</v>
      </c>
      <c r="U175" s="176">
        <f t="shared" si="21"/>
        <v>4</v>
      </c>
      <c r="V175" s="176">
        <f t="shared" si="22"/>
        <v>5</v>
      </c>
      <c r="W175" s="177">
        <f t="shared" si="23"/>
        <v>2</v>
      </c>
      <c r="X175" s="3" t="str">
        <f>IF(VLOOKUP($C175,'All Girls &amp; Descendants - Edit'!$C$2:$AK$440,'All Girls &amp; Descendants - Edit'!X$1,FALSE)=""," - ",(VLOOKUP($C175,'All Girls &amp; Descendants - Edit'!$C$2:$AK$440,'All Girls &amp; Descendants - Edit'!X$1,FALSE)))</f>
        <v xml:space="preserve"> - </v>
      </c>
      <c r="Y175" s="3" t="str">
        <f>IF(VLOOKUP($C175,'All Girls &amp; Descendants - Edit'!$C$2:$AK$440,'All Girls &amp; Descendants - Edit'!Y$1,FALSE)=""," - ",(VLOOKUP($C175,'All Girls &amp; Descendants - Edit'!$C$2:$AK$440,'All Girls &amp; Descendants - Edit'!Y$1,FALSE)))</f>
        <v xml:space="preserve"> - </v>
      </c>
      <c r="Z175" s="3" t="str">
        <f>IF(VLOOKUP($C175,'All Girls &amp; Descendants - Edit'!$C$2:$AK$440,'All Girls &amp; Descendants - Edit'!Z$1,FALSE)=""," - ",(VLOOKUP($C175,'All Girls &amp; Descendants - Edit'!$C$2:$AK$440,'All Girls &amp; Descendants - Edit'!Z$1,FALSE)))</f>
        <v>Baptised 31 Oct 1972 at St John’s Wood Church, London NW8.</v>
      </c>
      <c r="AA175" s="101">
        <f>IF(VLOOKUP($C175,'All Girls &amp; Descendants - Edit'!$C$2:$AK$440,'All Girls &amp; Descendants - Edit'!AA$1,FALSE)=""," - ",(VLOOKUP($C175,'All Girls &amp; Descendants - Edit'!$C$2:$AK$440,'All Girls &amp; Descendants - Edit'!AA$1,FALSE)))</f>
        <v>161</v>
      </c>
      <c r="AB175" s="101">
        <f>IF(VLOOKUP($C175,'All Girls &amp; Descendants - Edit'!$C$2:$AK$440,'All Girls &amp; Descendants - Edit'!AB$1,FALSE)=""," - ",(VLOOKUP($C175,'All Girls &amp; Descendants - Edit'!$C$2:$AK$440,'All Girls &amp; Descendants - Edit'!AB$1,FALSE)))</f>
        <v>32</v>
      </c>
      <c r="AC175" s="101">
        <f>IF(VLOOKUP($C175,'All Girls &amp; Descendants - Edit'!$C$2:$AK$440,'All Girls &amp; Descendants - Edit'!AC$1,FALSE)=""," - ",(VLOOKUP($C175,'All Girls &amp; Descendants - Edit'!$C$2:$AK$440,'All Girls &amp; Descendants - Edit'!AC$1,FALSE)))</f>
        <v>2032</v>
      </c>
      <c r="AD175" s="3" t="str">
        <f>IF(VLOOKUP($C175,'All Girls &amp; Descendants - Edit'!$C$2:$AK$440,'All Girls &amp; Descendants - Edit'!AD$1,FALSE)=""," - ",(VLOOKUP($C175,'All Girls &amp; Descendants - Edit'!$C$2:$AK$440,'All Girls &amp; Descendants - Edit'!AD$1,FALSE)))</f>
        <v>85ac</v>
      </c>
      <c r="AE175" s="3" t="str">
        <f>IF(VLOOKUP($C175,'All Girls &amp; Descendants - Edit'!$C$2:$AK$440,'All Girls &amp; Descendants - Edit'!AE$1,FALSE)=""," - ",(VLOOKUP($C175,'All Girls &amp; Descendants - Edit'!$C$2:$AK$440,'All Girls &amp; Descendants - Edit'!AE$1,FALSE)))</f>
        <v>Sophie Anne  LANE FOX (1972 - )</v>
      </c>
      <c r="AF175" s="3" t="str">
        <f>IF(VLOOKUP($C175,'All Girls &amp; Descendants - Edit'!$C$2:$AK$440,'All Girls &amp; Descendants - Edit'!AF$1,FALSE)=""," - ",(VLOOKUP($C175,'All Girls &amp; Descendants - Edit'!$C$2:$AK$440,'All Girls &amp; Descendants - Edit'!AF$1,FALSE)))</f>
        <v>Sophie LANE FOX (7th &amp; 85)</v>
      </c>
      <c r="AG175" s="3" t="str">
        <f>IF(VLOOKUP($C175,'All Girls &amp; Descendants - Edit'!$C$2:$AK$440,'All Girls &amp; Descendants - Edit'!AG$1,FALSE)=""," - ",(VLOOKUP($C175,'All Girls &amp; Descendants - Edit'!$C$2:$AK$440,'All Girls &amp; Descendants - Edit'!AG$1,FALSE)))</f>
        <v>Female</v>
      </c>
      <c r="AH175" s="3" t="str">
        <f>IF(VLOOKUP($C175,'All Girls &amp; Descendants - Edit'!$C$2:$AK$440,'All Girls &amp; Descendants - Edit'!AH$1,FALSE)=""," - ",(VLOOKUP($C175,'All Girls &amp; Descendants - Edit'!$C$2:$AK$440,'All Girls &amp; Descendants - Edit'!AH$1,FALSE)))</f>
        <v>7th</v>
      </c>
      <c r="AI175" s="3" t="str">
        <f>IF(VLOOKUP($C175,'All Girls &amp; Descendants - Edit'!$C$2:$AK$440,'All Girls &amp; Descendants - Edit'!AI$1,FALSE)=""," - ",(VLOOKUP($C175,'All Girls &amp; Descendants - Edit'!$C$2:$AK$440,'All Girls &amp; Descendants - Edit'!AI$1,FALSE)))</f>
        <v>Unmarried</v>
      </c>
      <c r="AJ175" s="3" t="str">
        <f>IF(VLOOKUP($C175,'All Girls &amp; Descendants - Edit'!$C$2:$AK$440,'All Girls &amp; Descendants - Edit'!AJ$1,FALSE)=""," - ",(VLOOKUP($C175,'All Girls &amp; Descendants - Edit'!$C$2:$AK$440,'All Girls &amp; Descendants - Edit'!AJ$1,FALSE)))</f>
        <v>Female. b. 21/07/1972 Baptised 31 Oct 1972 at St John’s Wood Church, London NW8.</v>
      </c>
      <c r="AK175" s="3" t="str">
        <f>IF(VLOOKUP($C175,'All Girls &amp; Descendants - Edit'!$C$2:$AK$440,'All Girls &amp; Descendants - Edit'!AK$1,FALSE)=""," - ",(VLOOKUP($C175,'All Girls &amp; Descendants - Edit'!$C$2:$AK$440,'All Girls &amp; Descendants - Edit'!AK$1,FALSE)))</f>
        <v>b. 21/07/1972</v>
      </c>
    </row>
    <row r="176" spans="1:37" ht="19">
      <c r="A176">
        <f>VLOOKUP(B176,'Loyd List 1-190 - Edit'!$P$1:$R$219,3,FALSE)</f>
        <v>56</v>
      </c>
      <c r="B176">
        <f>'All Girls &amp; Descendants - Edit'!B177</f>
        <v>85</v>
      </c>
      <c r="C176" s="98" t="str">
        <f>'All Girls &amp; Descendants - Edit'!C177</f>
        <v>85ba</v>
      </c>
      <c r="D176" s="2" t="str">
        <f>'All Girls &amp; Descendants - Edit'!D177</f>
        <v>LANE FOX</v>
      </c>
      <c r="E176" t="str">
        <f>'All Girls &amp; Descendants - Edit'!E177</f>
        <v>Lucy</v>
      </c>
      <c r="F176" t="str">
        <f>IF('All Girls &amp; Descendants - Edit'!F177="","",'All Girls &amp; Descendants - Edit'!F177)</f>
        <v>Jane</v>
      </c>
      <c r="G176" t="str">
        <f>IF('All Girls &amp; Descendants - Edit'!G177="","",'All Girls &amp; Descendants - Edit'!G177)</f>
        <v/>
      </c>
      <c r="H176" t="str">
        <f>IF('All Girls &amp; Descendants - Edit'!H177="","",'All Girls &amp; Descendants - Edit'!H177)</f>
        <v/>
      </c>
      <c r="I176">
        <f>VLOOKUP($C176,'All Girls &amp; Descendants - Edit'!$C$2:$AK$440,'All Girls &amp; Descendants - Edit'!I$1,FALSE)</f>
        <v>1965</v>
      </c>
      <c r="J176" t="str">
        <f>VLOOKUP($C176,'All Girls &amp; Descendants - Edit'!$C$2:$AK$440,'All Girls &amp; Descendants - Edit'!J$1,FALSE)</f>
        <v/>
      </c>
      <c r="K176" s="9"/>
      <c r="L176" t="str">
        <f t="shared" si="18"/>
        <v>25/09/1965</v>
      </c>
      <c r="M176" s="3">
        <f>VLOOKUP($C176,'All Girls &amp; Descendants - Edit'!$C$2:$AK$440,'All Girls &amp; Descendants - Edit'!M$1,FALSE)</f>
        <v>24010</v>
      </c>
      <c r="N176" s="3">
        <f>IF(VLOOKUP($C176,'All Girls &amp; Descendants - Edit'!$C$2:$AK$440,'All Girls &amp; Descendants - Edit'!N$1,FALSE)=""," - ",(VLOOKUP($C176,'All Girls &amp; Descendants - Edit'!$C$2:$AK$440,'All Girls &amp; Descendants - Edit'!N$1,FALSE)))</f>
        <v>32774</v>
      </c>
      <c r="O176" s="3" t="str">
        <f>IF(VLOOKUP($C176,'All Girls &amp; Descendants - Edit'!$C$2:$AK$440,'All Girls &amp; Descendants - Edit'!O$1,FALSE)="","",(VLOOKUP($C176,'All Girls &amp; Descendants - Edit'!$C$2:$AK$440,'All Girls &amp; Descendants - Edit'!O$1,FALSE)))</f>
        <v/>
      </c>
      <c r="P176" s="3" t="str">
        <f t="shared" si="19"/>
        <v/>
      </c>
      <c r="Q176" s="178" t="str">
        <f t="shared" si="20"/>
        <v>85b</v>
      </c>
      <c r="R176" s="23"/>
      <c r="S176" t="str">
        <f>VLOOKUP($C176,'All Girls &amp; Descendants - Edit'!$C$2:$AK$440,'All Girls &amp; Descendants - Edit'!S$1,FALSE)</f>
        <v>Female</v>
      </c>
      <c r="T176" s="176">
        <f t="shared" si="17"/>
        <v>7</v>
      </c>
      <c r="U176" s="176">
        <f t="shared" si="21"/>
        <v>4</v>
      </c>
      <c r="V176" s="176">
        <f t="shared" si="22"/>
        <v>5</v>
      </c>
      <c r="W176" s="177">
        <f t="shared" si="23"/>
        <v>2</v>
      </c>
      <c r="X176" s="3" t="str">
        <f>IF(VLOOKUP($C176,'All Girls &amp; Descendants - Edit'!$C$2:$AK$440,'All Girls &amp; Descendants - Edit'!X$1,FALSE)=""," - ",(VLOOKUP($C176,'All Girls &amp; Descendants - Edit'!$C$2:$AK$440,'All Girls &amp; Descendants - Edit'!X$1,FALSE)))</f>
        <v>Giles B. TRENTHAM (b. 1958, d. 1988)</v>
      </c>
      <c r="Y176" s="3" t="str">
        <f>IF(VLOOKUP($C176,'All Girls &amp; Descendants - Edit'!$C$2:$AK$440,'All Girls &amp; Descendants - Edit'!Y$1,FALSE)=""," - ",(VLOOKUP($C176,'All Girls &amp; Descendants - Edit'!$C$2:$AK$440,'All Girls &amp; Descendants - Edit'!Y$1,FALSE)))</f>
        <v>Giles, son of David TRENTHAM, Captain Royal Navy. Divorced 1996</v>
      </c>
      <c r="Z176" s="3" t="str">
        <f>IF(VLOOKUP($C176,'All Girls &amp; Descendants - Edit'!$C$2:$AK$440,'All Girls &amp; Descendants - Edit'!Z$1,FALSE)=""," - ",(VLOOKUP($C176,'All Girls &amp; Descendants - Edit'!$C$2:$AK$440,'All Girls &amp; Descendants - Edit'!Z$1,FALSE)))</f>
        <v>Baptised 21 Nov 1965 at All Saints’, Middleton Cheney, Banbury, Oxfordshire. Educated Wycombe Abbey and Bristol University.</v>
      </c>
      <c r="AA176" s="101">
        <f>IF(VLOOKUP($C176,'All Girls &amp; Descendants - Edit'!$C$2:$AK$440,'All Girls &amp; Descendants - Edit'!AA$1,FALSE)=""," - ",(VLOOKUP($C176,'All Girls &amp; Descendants - Edit'!$C$2:$AK$440,'All Girls &amp; Descendants - Edit'!AA$1,FALSE)))</f>
        <v>163</v>
      </c>
      <c r="AB176" s="101">
        <f>IF(VLOOKUP($C176,'All Girls &amp; Descendants - Edit'!$C$2:$AK$440,'All Girls &amp; Descendants - Edit'!AB$1,FALSE)=""," - ",(VLOOKUP($C176,'All Girls &amp; Descendants - Edit'!$C$2:$AK$440,'All Girls &amp; Descendants - Edit'!AB$1,FALSE)))</f>
        <v>33</v>
      </c>
      <c r="AC176" s="101">
        <f>IF(VLOOKUP($C176,'All Girls &amp; Descendants - Edit'!$C$2:$AK$440,'All Girls &amp; Descendants - Edit'!AC$1,FALSE)=""," - ",(VLOOKUP($C176,'All Girls &amp; Descendants - Edit'!$C$2:$AK$440,'All Girls &amp; Descendants - Edit'!AC$1,FALSE)))</f>
        <v>2033</v>
      </c>
      <c r="AD176" s="3" t="str">
        <f>IF(VLOOKUP($C176,'All Girls &amp; Descendants - Edit'!$C$2:$AK$440,'All Girls &amp; Descendants - Edit'!AD$1,FALSE)=""," - ",(VLOOKUP($C176,'All Girls &amp; Descendants - Edit'!$C$2:$AK$440,'All Girls &amp; Descendants - Edit'!AD$1,FALSE)))</f>
        <v>85ba</v>
      </c>
      <c r="AE176" s="3" t="str">
        <f>IF(VLOOKUP($C176,'All Girls &amp; Descendants - Edit'!$C$2:$AK$440,'All Girls &amp; Descendants - Edit'!AE$1,FALSE)=""," - ",(VLOOKUP($C176,'All Girls &amp; Descendants - Edit'!$C$2:$AK$440,'All Girls &amp; Descendants - Edit'!AE$1,FALSE)))</f>
        <v>Lucy Jane  LANE FOX (1965 - )</v>
      </c>
      <c r="AF176" s="3" t="str">
        <f>IF(VLOOKUP($C176,'All Girls &amp; Descendants - Edit'!$C$2:$AK$440,'All Girls &amp; Descendants - Edit'!AF$1,FALSE)=""," - ",(VLOOKUP($C176,'All Girls &amp; Descendants - Edit'!$C$2:$AK$440,'All Girls &amp; Descendants - Edit'!AF$1,FALSE)))</f>
        <v>Lucy LANE FOX (7th &amp; 85)</v>
      </c>
      <c r="AG176" s="3" t="str">
        <f>IF(VLOOKUP($C176,'All Girls &amp; Descendants - Edit'!$C$2:$AK$440,'All Girls &amp; Descendants - Edit'!AG$1,FALSE)=""," - ",(VLOOKUP($C176,'All Girls &amp; Descendants - Edit'!$C$2:$AK$440,'All Girls &amp; Descendants - Edit'!AG$1,FALSE)))</f>
        <v>Female</v>
      </c>
      <c r="AH176" s="3" t="str">
        <f>IF(VLOOKUP($C176,'All Girls &amp; Descendants - Edit'!$C$2:$AK$440,'All Girls &amp; Descendants - Edit'!AH$1,FALSE)=""," - ",(VLOOKUP($C176,'All Girls &amp; Descendants - Edit'!$C$2:$AK$440,'All Girls &amp; Descendants - Edit'!AH$1,FALSE)))</f>
        <v>7th</v>
      </c>
      <c r="AI176" s="3" t="str">
        <f>IF(VLOOKUP($C176,'All Girls &amp; Descendants - Edit'!$C$2:$AK$440,'All Girls &amp; Descendants - Edit'!AI$1,FALSE)=""," - ",(VLOOKUP($C176,'All Girls &amp; Descendants - Edit'!$C$2:$AK$440,'All Girls &amp; Descendants - Edit'!AI$1,FALSE)))</f>
        <v>Husband: Giles B. TRENTHAM (b. 1958, d. 1988). Giles, son of David TRENTHAM, Captain Royal Navy. Divorced 1996</v>
      </c>
      <c r="AJ176" s="3" t="str">
        <f>IF(VLOOKUP($C176,'All Girls &amp; Descendants - Edit'!$C$2:$AK$440,'All Girls &amp; Descendants - Edit'!AJ$1,FALSE)=""," - ",(VLOOKUP($C176,'All Girls &amp; Descendants - Edit'!$C$2:$AK$440,'All Girls &amp; Descendants - Edit'!AJ$1,FALSE)))</f>
        <v>Female. b. 25/09/1965 Baptised 21 Nov 1965 at All Saints’, Middleton Cheney, Banbury, Oxfordshire. Educated Wycombe Abbey and Bristol University.</v>
      </c>
      <c r="AK176" s="3" t="str">
        <f>IF(VLOOKUP($C176,'All Girls &amp; Descendants - Edit'!$C$2:$AK$440,'All Girls &amp; Descendants - Edit'!AK$1,FALSE)=""," - ",(VLOOKUP($C176,'All Girls &amp; Descendants - Edit'!$C$2:$AK$440,'All Girls &amp; Descendants - Edit'!AK$1,FALSE)))</f>
        <v>b. 25/09/1965</v>
      </c>
    </row>
    <row r="177" spans="1:37" ht="19">
      <c r="A177">
        <f>VLOOKUP(B177,'Loyd List 1-190 - Edit'!$P$1:$R$219,3,FALSE)</f>
        <v>56</v>
      </c>
      <c r="B177">
        <f>'All Girls &amp; Descendants - Edit'!B178</f>
        <v>85</v>
      </c>
      <c r="C177" s="98" t="str">
        <f>'All Girls &amp; Descendants - Edit'!C178</f>
        <v>85bb</v>
      </c>
      <c r="D177" s="2" t="str">
        <f>'All Girls &amp; Descendants - Edit'!D178</f>
        <v>LANE FOX</v>
      </c>
      <c r="E177" t="str">
        <f>'All Girls &amp; Descendants - Edit'!E178</f>
        <v>Serena</v>
      </c>
      <c r="F177" t="str">
        <f>IF('All Girls &amp; Descendants - Edit'!F178="","",'All Girls &amp; Descendants - Edit'!F178)</f>
        <v>Mary</v>
      </c>
      <c r="G177" t="str">
        <f>IF('All Girls &amp; Descendants - Edit'!G178="","",'All Girls &amp; Descendants - Edit'!G178)</f>
        <v/>
      </c>
      <c r="H177" t="str">
        <f>IF('All Girls &amp; Descendants - Edit'!H178="","",'All Girls &amp; Descendants - Edit'!H178)</f>
        <v/>
      </c>
      <c r="I177">
        <f>VLOOKUP($C177,'All Girls &amp; Descendants - Edit'!$C$2:$AK$440,'All Girls &amp; Descendants - Edit'!I$1,FALSE)</f>
        <v>1967</v>
      </c>
      <c r="J177" t="str">
        <f>VLOOKUP($C177,'All Girls &amp; Descendants - Edit'!$C$2:$AK$440,'All Girls &amp; Descendants - Edit'!J$1,FALSE)</f>
        <v/>
      </c>
      <c r="K177" s="9"/>
      <c r="L177" t="str">
        <f t="shared" si="18"/>
        <v>19/02/1967</v>
      </c>
      <c r="M177" s="3">
        <f>VLOOKUP($C177,'All Girls &amp; Descendants - Edit'!$C$2:$AK$440,'All Girls &amp; Descendants - Edit'!M$1,FALSE)</f>
        <v>24522</v>
      </c>
      <c r="N177" s="3">
        <f>IF(VLOOKUP($C177,'All Girls &amp; Descendants - Edit'!$C$2:$AK$440,'All Girls &amp; Descendants - Edit'!N$1,FALSE)=""," - ",(VLOOKUP($C177,'All Girls &amp; Descendants - Edit'!$C$2:$AK$440,'All Girls &amp; Descendants - Edit'!N$1,FALSE)))</f>
        <v>35944</v>
      </c>
      <c r="O177" s="3" t="str">
        <f>IF(VLOOKUP($C177,'All Girls &amp; Descendants - Edit'!$C$2:$AK$440,'All Girls &amp; Descendants - Edit'!O$1,FALSE)="","",(VLOOKUP($C177,'All Girls &amp; Descendants - Edit'!$C$2:$AK$440,'All Girls &amp; Descendants - Edit'!O$1,FALSE)))</f>
        <v/>
      </c>
      <c r="P177" s="3" t="str">
        <f t="shared" si="19"/>
        <v/>
      </c>
      <c r="Q177" s="178" t="str">
        <f t="shared" si="20"/>
        <v>85b</v>
      </c>
      <c r="R177" s="23"/>
      <c r="S177" t="str">
        <f>VLOOKUP($C177,'All Girls &amp; Descendants - Edit'!$C$2:$AK$440,'All Girls &amp; Descendants - Edit'!S$1,FALSE)</f>
        <v>Female</v>
      </c>
      <c r="T177" s="176">
        <f t="shared" si="17"/>
        <v>7</v>
      </c>
      <c r="U177" s="176">
        <f t="shared" si="21"/>
        <v>4</v>
      </c>
      <c r="V177" s="176">
        <f t="shared" si="22"/>
        <v>5</v>
      </c>
      <c r="W177" s="177">
        <f t="shared" si="23"/>
        <v>2</v>
      </c>
      <c r="X177" s="3" t="str">
        <f>IF(VLOOKUP($C177,'All Girls &amp; Descendants - Edit'!$C$2:$AK$440,'All Girls &amp; Descendants - Edit'!X$1,FALSE)=""," - ",(VLOOKUP($C177,'All Girls &amp; Descendants - Edit'!$C$2:$AK$440,'All Girls &amp; Descendants - Edit'!X$1,FALSE)))</f>
        <v>Duncan Paul Brendan MAILE (b. 29/05/1998, )</v>
      </c>
      <c r="Y177" s="3" t="str">
        <f>IF(VLOOKUP($C177,'All Girls &amp; Descendants - Edit'!$C$2:$AK$440,'All Girls &amp; Descendants - Edit'!Y$1,FALSE)=""," - ",(VLOOKUP($C177,'All Girls &amp; Descendants - Edit'!$C$2:$AK$440,'All Girls &amp; Descendants - Edit'!Y$1,FALSE)))</f>
        <v>Duncan  son of Donald George MAILE of Norwich, Norfolk.</v>
      </c>
      <c r="Z177" s="3" t="str">
        <f>IF(VLOOKUP($C177,'All Girls &amp; Descendants - Edit'!$C$2:$AK$440,'All Girls &amp; Descendants - Edit'!Z$1,FALSE)=""," - ",(VLOOKUP($C177,'All Girls &amp; Descendants - Edit'!$C$2:$AK$440,'All Girls &amp; Descendants - Edit'!Z$1,FALSE)))</f>
        <v>Baptised 14 May 1967 at St Mary’s, Lower Heyford, Oxfordshire. Educated Hatherop Castle, Gloucestershire and in Paris.</v>
      </c>
      <c r="AA177" s="101">
        <f>IF(VLOOKUP($C177,'All Girls &amp; Descendants - Edit'!$C$2:$AK$440,'All Girls &amp; Descendants - Edit'!AA$1,FALSE)=""," - ",(VLOOKUP($C177,'All Girls &amp; Descendants - Edit'!$C$2:$AK$440,'All Girls &amp; Descendants - Edit'!AA$1,FALSE)))</f>
        <v>164</v>
      </c>
      <c r="AB177" s="101">
        <f>IF(VLOOKUP($C177,'All Girls &amp; Descendants - Edit'!$C$2:$AK$440,'All Girls &amp; Descendants - Edit'!AB$1,FALSE)=""," - ",(VLOOKUP($C177,'All Girls &amp; Descendants - Edit'!$C$2:$AK$440,'All Girls &amp; Descendants - Edit'!AB$1,FALSE)))</f>
        <v>34</v>
      </c>
      <c r="AC177" s="101">
        <f>IF(VLOOKUP($C177,'All Girls &amp; Descendants - Edit'!$C$2:$AK$440,'All Girls &amp; Descendants - Edit'!AC$1,FALSE)=""," - ",(VLOOKUP($C177,'All Girls &amp; Descendants - Edit'!$C$2:$AK$440,'All Girls &amp; Descendants - Edit'!AC$1,FALSE)))</f>
        <v>2034</v>
      </c>
      <c r="AD177" s="3" t="str">
        <f>IF(VLOOKUP($C177,'All Girls &amp; Descendants - Edit'!$C$2:$AK$440,'All Girls &amp; Descendants - Edit'!AD$1,FALSE)=""," - ",(VLOOKUP($C177,'All Girls &amp; Descendants - Edit'!$C$2:$AK$440,'All Girls &amp; Descendants - Edit'!AD$1,FALSE)))</f>
        <v>85bb</v>
      </c>
      <c r="AE177" s="3" t="str">
        <f>IF(VLOOKUP($C177,'All Girls &amp; Descendants - Edit'!$C$2:$AK$440,'All Girls &amp; Descendants - Edit'!AE$1,FALSE)=""," - ",(VLOOKUP($C177,'All Girls &amp; Descendants - Edit'!$C$2:$AK$440,'All Girls &amp; Descendants - Edit'!AE$1,FALSE)))</f>
        <v>Serena Mary  LANE FOX (1967 - )</v>
      </c>
      <c r="AF177" s="3" t="str">
        <f>IF(VLOOKUP($C177,'All Girls &amp; Descendants - Edit'!$C$2:$AK$440,'All Girls &amp; Descendants - Edit'!AF$1,FALSE)=""," - ",(VLOOKUP($C177,'All Girls &amp; Descendants - Edit'!$C$2:$AK$440,'All Girls &amp; Descendants - Edit'!AF$1,FALSE)))</f>
        <v>Serena LANE FOX (7th &amp; 85)</v>
      </c>
      <c r="AG177" s="3" t="str">
        <f>IF(VLOOKUP($C177,'All Girls &amp; Descendants - Edit'!$C$2:$AK$440,'All Girls &amp; Descendants - Edit'!AG$1,FALSE)=""," - ",(VLOOKUP($C177,'All Girls &amp; Descendants - Edit'!$C$2:$AK$440,'All Girls &amp; Descendants - Edit'!AG$1,FALSE)))</f>
        <v>Female</v>
      </c>
      <c r="AH177" s="3" t="str">
        <f>IF(VLOOKUP($C177,'All Girls &amp; Descendants - Edit'!$C$2:$AK$440,'All Girls &amp; Descendants - Edit'!AH$1,FALSE)=""," - ",(VLOOKUP($C177,'All Girls &amp; Descendants - Edit'!$C$2:$AK$440,'All Girls &amp; Descendants - Edit'!AH$1,FALSE)))</f>
        <v>7th</v>
      </c>
      <c r="AI177" s="3" t="str">
        <f>IF(VLOOKUP($C177,'All Girls &amp; Descendants - Edit'!$C$2:$AK$440,'All Girls &amp; Descendants - Edit'!AI$1,FALSE)=""," - ",(VLOOKUP($C177,'All Girls &amp; Descendants - Edit'!$C$2:$AK$440,'All Girls &amp; Descendants - Edit'!AI$1,FALSE)))</f>
        <v>Husband: Duncan Paul Brendan MAILE (b. 29/05/1998, ). Duncan  son of Donald George MAILE of Norwich, Norfolk.</v>
      </c>
      <c r="AJ177" s="3" t="str">
        <f>IF(VLOOKUP($C177,'All Girls &amp; Descendants - Edit'!$C$2:$AK$440,'All Girls &amp; Descendants - Edit'!AJ$1,FALSE)=""," - ",(VLOOKUP($C177,'All Girls &amp; Descendants - Edit'!$C$2:$AK$440,'All Girls &amp; Descendants - Edit'!AJ$1,FALSE)))</f>
        <v>Female. b. 19/02/1967 Baptised 14 May 1967 at St Mary’s, Lower Heyford, Oxfordshire. Educated Hatherop Castle, Gloucestershire and in Paris.</v>
      </c>
      <c r="AK177" s="3" t="str">
        <f>IF(VLOOKUP($C177,'All Girls &amp; Descendants - Edit'!$C$2:$AK$440,'All Girls &amp; Descendants - Edit'!AK$1,FALSE)=""," - ",(VLOOKUP($C177,'All Girls &amp; Descendants - Edit'!$C$2:$AK$440,'All Girls &amp; Descendants - Edit'!AK$1,FALSE)))</f>
        <v>b. 19/02/1967</v>
      </c>
    </row>
    <row r="178" spans="1:37" ht="19">
      <c r="A178">
        <f>VLOOKUP(B178,'Loyd List 1-190 - Edit'!$P$1:$R$219,3,FALSE)</f>
        <v>56</v>
      </c>
      <c r="B178">
        <f>'All Girls &amp; Descendants - Edit'!B179</f>
        <v>85</v>
      </c>
      <c r="C178" s="98" t="str">
        <f>'All Girls &amp; Descendants - Edit'!C179</f>
        <v>85bc</v>
      </c>
      <c r="D178" s="2" t="str">
        <f>'All Girls &amp; Descendants - Edit'!D179</f>
        <v>LANE FOX</v>
      </c>
      <c r="E178" t="str">
        <f>'All Girls &amp; Descendants - Edit'!E179</f>
        <v>Emily</v>
      </c>
      <c r="F178" t="str">
        <f>IF('All Girls &amp; Descendants - Edit'!F179="","",'All Girls &amp; Descendants - Edit'!F179)</f>
        <v>Laura</v>
      </c>
      <c r="G178" t="str">
        <f>IF('All Girls &amp; Descendants - Edit'!G179="","",'All Girls &amp; Descendants - Edit'!G179)</f>
        <v/>
      </c>
      <c r="H178" t="str">
        <f>IF('All Girls &amp; Descendants - Edit'!H179="","",'All Girls &amp; Descendants - Edit'!H179)</f>
        <v/>
      </c>
      <c r="I178">
        <f>VLOOKUP($C178,'All Girls &amp; Descendants - Edit'!$C$2:$AK$440,'All Girls &amp; Descendants - Edit'!I$1,FALSE)</f>
        <v>1969</v>
      </c>
      <c r="J178" t="str">
        <f>VLOOKUP($C178,'All Girls &amp; Descendants - Edit'!$C$2:$AK$440,'All Girls &amp; Descendants - Edit'!J$1,FALSE)</f>
        <v/>
      </c>
      <c r="K178" s="9"/>
      <c r="L178" t="str">
        <f t="shared" si="18"/>
        <v>02/10/1969</v>
      </c>
      <c r="M178" s="3">
        <f>VLOOKUP($C178,'All Girls &amp; Descendants - Edit'!$C$2:$AK$440,'All Girls &amp; Descendants - Edit'!M$1,FALSE)</f>
        <v>25478</v>
      </c>
      <c r="N178" s="3">
        <f>IF(VLOOKUP($C178,'All Girls &amp; Descendants - Edit'!$C$2:$AK$440,'All Girls &amp; Descendants - Edit'!N$1,FALSE)=""," - ",(VLOOKUP($C178,'All Girls &amp; Descendants - Edit'!$C$2:$AK$440,'All Girls &amp; Descendants - Edit'!N$1,FALSE)))</f>
        <v>33852</v>
      </c>
      <c r="O178" s="3" t="str">
        <f>IF(VLOOKUP($C178,'All Girls &amp; Descendants - Edit'!$C$2:$AK$440,'All Girls &amp; Descendants - Edit'!O$1,FALSE)="","",(VLOOKUP($C178,'All Girls &amp; Descendants - Edit'!$C$2:$AK$440,'All Girls &amp; Descendants - Edit'!O$1,FALSE)))</f>
        <v/>
      </c>
      <c r="P178" s="3" t="str">
        <f t="shared" si="19"/>
        <v/>
      </c>
      <c r="Q178" s="178" t="str">
        <f t="shared" si="20"/>
        <v>85b</v>
      </c>
      <c r="R178" s="23"/>
      <c r="S178" t="str">
        <f>VLOOKUP($C178,'All Girls &amp; Descendants - Edit'!$C$2:$AK$440,'All Girls &amp; Descendants - Edit'!S$1,FALSE)</f>
        <v>Female</v>
      </c>
      <c r="T178" s="176">
        <f t="shared" si="17"/>
        <v>7</v>
      </c>
      <c r="U178" s="176">
        <f t="shared" si="21"/>
        <v>4</v>
      </c>
      <c r="V178" s="176">
        <f t="shared" si="22"/>
        <v>5</v>
      </c>
      <c r="W178" s="177">
        <f t="shared" si="23"/>
        <v>2</v>
      </c>
      <c r="X178" s="3" t="str">
        <f>IF(VLOOKUP($C178,'All Girls &amp; Descendants - Edit'!$C$2:$AK$440,'All Girls &amp; Descendants - Edit'!X$1,FALSE)=""," - ",(VLOOKUP($C178,'All Girls &amp; Descendants - Edit'!$C$2:$AK$440,'All Girls &amp; Descendants - Edit'!X$1,FALSE)))</f>
        <v>Cyril Benoit Gabriel GASZTOWTT (b. 26/03/1965, )</v>
      </c>
      <c r="Y178" s="3" t="str">
        <f>IF(VLOOKUP($C178,'All Girls &amp; Descendants - Edit'!$C$2:$AK$440,'All Girls &amp; Descendants - Edit'!Y$1,FALSE)=""," - ",(VLOOKUP($C178,'All Girls &amp; Descendants - Edit'!$C$2:$AK$440,'All Girls &amp; Descendants - Edit'!Y$1,FALSE)))</f>
        <v>Cyril son of Benoit Leon Marie GASZTOWTT of Paris.</v>
      </c>
      <c r="Z178" s="3" t="str">
        <f>IF(VLOOKUP($C178,'All Girls &amp; Descendants - Edit'!$C$2:$AK$440,'All Girls &amp; Descendants - Edit'!Z$1,FALSE)=""," - ",(VLOOKUP($C178,'All Girls &amp; Descendants - Edit'!$C$2:$AK$440,'All Girls &amp; Descendants - Edit'!Z$1,FALSE)))</f>
        <v>Baptised. 30 Nov 1969 at St Mary’s, Lower Heyford, Oxfordshire.</v>
      </c>
      <c r="AA178" s="101">
        <f>IF(VLOOKUP($C178,'All Girls &amp; Descendants - Edit'!$C$2:$AK$440,'All Girls &amp; Descendants - Edit'!AA$1,FALSE)=""," - ",(VLOOKUP($C178,'All Girls &amp; Descendants - Edit'!$C$2:$AK$440,'All Girls &amp; Descendants - Edit'!AA$1,FALSE)))</f>
        <v>165</v>
      </c>
      <c r="AB178" s="101">
        <f>IF(VLOOKUP($C178,'All Girls &amp; Descendants - Edit'!$C$2:$AK$440,'All Girls &amp; Descendants - Edit'!AB$1,FALSE)=""," - ",(VLOOKUP($C178,'All Girls &amp; Descendants - Edit'!$C$2:$AK$440,'All Girls &amp; Descendants - Edit'!AB$1,FALSE)))</f>
        <v>35</v>
      </c>
      <c r="AC178" s="101">
        <f>IF(VLOOKUP($C178,'All Girls &amp; Descendants - Edit'!$C$2:$AK$440,'All Girls &amp; Descendants - Edit'!AC$1,FALSE)=""," - ",(VLOOKUP($C178,'All Girls &amp; Descendants - Edit'!$C$2:$AK$440,'All Girls &amp; Descendants - Edit'!AC$1,FALSE)))</f>
        <v>2035</v>
      </c>
      <c r="AD178" s="3" t="str">
        <f>IF(VLOOKUP($C178,'All Girls &amp; Descendants - Edit'!$C$2:$AK$440,'All Girls &amp; Descendants - Edit'!AD$1,FALSE)=""," - ",(VLOOKUP($C178,'All Girls &amp; Descendants - Edit'!$C$2:$AK$440,'All Girls &amp; Descendants - Edit'!AD$1,FALSE)))</f>
        <v>85bc</v>
      </c>
      <c r="AE178" s="3" t="str">
        <f>IF(VLOOKUP($C178,'All Girls &amp; Descendants - Edit'!$C$2:$AK$440,'All Girls &amp; Descendants - Edit'!AE$1,FALSE)=""," - ",(VLOOKUP($C178,'All Girls &amp; Descendants - Edit'!$C$2:$AK$440,'All Girls &amp; Descendants - Edit'!AE$1,FALSE)))</f>
        <v>Emily Laura  LANE FOX (1969 - )</v>
      </c>
      <c r="AF178" s="3" t="str">
        <f>IF(VLOOKUP($C178,'All Girls &amp; Descendants - Edit'!$C$2:$AK$440,'All Girls &amp; Descendants - Edit'!AF$1,FALSE)=""," - ",(VLOOKUP($C178,'All Girls &amp; Descendants - Edit'!$C$2:$AK$440,'All Girls &amp; Descendants - Edit'!AF$1,FALSE)))</f>
        <v>Emily LANE FOX (7th &amp; 85)</v>
      </c>
      <c r="AG178" s="3" t="str">
        <f>IF(VLOOKUP($C178,'All Girls &amp; Descendants - Edit'!$C$2:$AK$440,'All Girls &amp; Descendants - Edit'!AG$1,FALSE)=""," - ",(VLOOKUP($C178,'All Girls &amp; Descendants - Edit'!$C$2:$AK$440,'All Girls &amp; Descendants - Edit'!AG$1,FALSE)))</f>
        <v>Female</v>
      </c>
      <c r="AH178" s="3" t="str">
        <f>IF(VLOOKUP($C178,'All Girls &amp; Descendants - Edit'!$C$2:$AK$440,'All Girls &amp; Descendants - Edit'!AH$1,FALSE)=""," - ",(VLOOKUP($C178,'All Girls &amp; Descendants - Edit'!$C$2:$AK$440,'All Girls &amp; Descendants - Edit'!AH$1,FALSE)))</f>
        <v>7th</v>
      </c>
      <c r="AI178" s="3" t="str">
        <f>IF(VLOOKUP($C178,'All Girls &amp; Descendants - Edit'!$C$2:$AK$440,'All Girls &amp; Descendants - Edit'!AI$1,FALSE)=""," - ",(VLOOKUP($C178,'All Girls &amp; Descendants - Edit'!$C$2:$AK$440,'All Girls &amp; Descendants - Edit'!AI$1,FALSE)))</f>
        <v>Husband: Cyril Benoit Gabriel GASZTOWTT (b. 26/03/1965, ). Cyril son of Benoit Leon Marie GASZTOWTT of Paris.</v>
      </c>
      <c r="AJ178" s="3" t="str">
        <f>IF(VLOOKUP($C178,'All Girls &amp; Descendants - Edit'!$C$2:$AK$440,'All Girls &amp; Descendants - Edit'!AJ$1,FALSE)=""," - ",(VLOOKUP($C178,'All Girls &amp; Descendants - Edit'!$C$2:$AK$440,'All Girls &amp; Descendants - Edit'!AJ$1,FALSE)))</f>
        <v>Female. b. 02/10/1969 Baptised. 30 Nov 1969 at St Mary’s, Lower Heyford, Oxfordshire.</v>
      </c>
      <c r="AK178" s="3" t="str">
        <f>IF(VLOOKUP($C178,'All Girls &amp; Descendants - Edit'!$C$2:$AK$440,'All Girls &amp; Descendants - Edit'!AK$1,FALSE)=""," - ",(VLOOKUP($C178,'All Girls &amp; Descendants - Edit'!$C$2:$AK$440,'All Girls &amp; Descendants - Edit'!AK$1,FALSE)))</f>
        <v>b. 02/10/1969</v>
      </c>
    </row>
    <row r="179" spans="1:37" ht="19">
      <c r="A179">
        <f>VLOOKUP(B179,'Loyd List 1-190 - Edit'!$P$1:$R$219,3,FALSE)</f>
        <v>56</v>
      </c>
      <c r="B179">
        <f>'All Girls &amp; Descendants - Edit'!B180</f>
        <v>85</v>
      </c>
      <c r="C179" s="98" t="str">
        <f>'All Girls &amp; Descendants - Edit'!C180</f>
        <v>85bd</v>
      </c>
      <c r="D179" s="2" t="str">
        <f>'All Girls &amp; Descendants - Edit'!D180</f>
        <v>LANE FOX</v>
      </c>
      <c r="E179" t="str">
        <f>'All Girls &amp; Descendants - Edit'!E180</f>
        <v>Charles</v>
      </c>
      <c r="F179" t="str">
        <f>IF('All Girls &amp; Descendants - Edit'!F180="","",'All Girls &amp; Descendants - Edit'!F180)</f>
        <v>James</v>
      </c>
      <c r="G179" t="str">
        <f>IF('All Girls &amp; Descendants - Edit'!G180="","",'All Girls &amp; Descendants - Edit'!G180)</f>
        <v/>
      </c>
      <c r="H179" t="str">
        <f>IF('All Girls &amp; Descendants - Edit'!H180="","",'All Girls &amp; Descendants - Edit'!H180)</f>
        <v/>
      </c>
      <c r="I179">
        <f>VLOOKUP($C179,'All Girls &amp; Descendants - Edit'!$C$2:$AK$440,'All Girls &amp; Descendants - Edit'!I$1,FALSE)</f>
        <v>1977</v>
      </c>
      <c r="J179" t="str">
        <f>VLOOKUP($C179,'All Girls &amp; Descendants - Edit'!$C$2:$AK$440,'All Girls &amp; Descendants - Edit'!J$1,FALSE)</f>
        <v/>
      </c>
      <c r="K179" s="9"/>
      <c r="L179" t="str">
        <f t="shared" si="18"/>
        <v>03/04/1977</v>
      </c>
      <c r="M179" s="3">
        <f>VLOOKUP($C179,'All Girls &amp; Descendants - Edit'!$C$2:$AK$440,'All Girls &amp; Descendants - Edit'!M$1,FALSE)</f>
        <v>28218</v>
      </c>
      <c r="N179" s="3" t="str">
        <f>IF(VLOOKUP($C179,'All Girls &amp; Descendants - Edit'!$C$2:$AK$440,'All Girls &amp; Descendants - Edit'!N$1,FALSE)=""," - ",(VLOOKUP($C179,'All Girls &amp; Descendants - Edit'!$C$2:$AK$440,'All Girls &amp; Descendants - Edit'!N$1,FALSE)))</f>
        <v xml:space="preserve"> - </v>
      </c>
      <c r="O179" s="3" t="str">
        <f>IF(VLOOKUP($C179,'All Girls &amp; Descendants - Edit'!$C$2:$AK$440,'All Girls &amp; Descendants - Edit'!O$1,FALSE)="","",(VLOOKUP($C179,'All Girls &amp; Descendants - Edit'!$C$2:$AK$440,'All Girls &amp; Descendants - Edit'!O$1,FALSE)))</f>
        <v/>
      </c>
      <c r="P179" s="3" t="str">
        <f t="shared" si="19"/>
        <v/>
      </c>
      <c r="Q179" s="178" t="str">
        <f t="shared" si="20"/>
        <v>85b</v>
      </c>
      <c r="R179" s="23"/>
      <c r="S179" t="str">
        <f>VLOOKUP($C179,'All Girls &amp; Descendants - Edit'!$C$2:$AK$440,'All Girls &amp; Descendants - Edit'!S$1,FALSE)</f>
        <v>Male</v>
      </c>
      <c r="T179" s="176">
        <f t="shared" si="17"/>
        <v>7</v>
      </c>
      <c r="U179" s="176">
        <f t="shared" si="21"/>
        <v>4</v>
      </c>
      <c r="V179" s="176">
        <f t="shared" si="22"/>
        <v>5</v>
      </c>
      <c r="W179" s="177">
        <f t="shared" si="23"/>
        <v>2</v>
      </c>
      <c r="X179" s="3" t="str">
        <f>IF(VLOOKUP($C179,'All Girls &amp; Descendants - Edit'!$C$2:$AK$440,'All Girls &amp; Descendants - Edit'!X$1,FALSE)=""," - ",(VLOOKUP($C179,'All Girls &amp; Descendants - Edit'!$C$2:$AK$440,'All Girls &amp; Descendants - Edit'!X$1,FALSE)))</f>
        <v xml:space="preserve"> - </v>
      </c>
      <c r="Y179" s="3" t="str">
        <f>IF(VLOOKUP($C179,'All Girls &amp; Descendants - Edit'!$C$2:$AK$440,'All Girls &amp; Descendants - Edit'!Y$1,FALSE)=""," - ",(VLOOKUP($C179,'All Girls &amp; Descendants - Edit'!$C$2:$AK$440,'All Girls &amp; Descendants - Edit'!Y$1,FALSE)))</f>
        <v xml:space="preserve"> - </v>
      </c>
      <c r="Z179" s="3" t="str">
        <f>IF(VLOOKUP($C179,'All Girls &amp; Descendants - Edit'!$C$2:$AK$440,'All Girls &amp; Descendants - Edit'!Z$1,FALSE)=""," - ",(VLOOKUP($C179,'All Girls &amp; Descendants - Edit'!$C$2:$AK$440,'All Girls &amp; Descendants - Edit'!Z$1,FALSE)))</f>
        <v>Baptised 10 Jul 1977 at St Mary’s, Lower Heyford, Oxfordshire. Educated Eton and St Andrews University.</v>
      </c>
      <c r="AA179" s="101">
        <f>IF(VLOOKUP($C179,'All Girls &amp; Descendants - Edit'!$C$2:$AK$440,'All Girls &amp; Descendants - Edit'!AA$1,FALSE)=""," - ",(VLOOKUP($C179,'All Girls &amp; Descendants - Edit'!$C$2:$AK$440,'All Girls &amp; Descendants - Edit'!AA$1,FALSE)))</f>
        <v>167</v>
      </c>
      <c r="AB179" s="101">
        <f>IF(VLOOKUP($C179,'All Girls &amp; Descendants - Edit'!$C$2:$AK$440,'All Girls &amp; Descendants - Edit'!AB$1,FALSE)=""," - ",(VLOOKUP($C179,'All Girls &amp; Descendants - Edit'!$C$2:$AK$440,'All Girls &amp; Descendants - Edit'!AB$1,FALSE)))</f>
        <v>36</v>
      </c>
      <c r="AC179" s="101">
        <f>IF(VLOOKUP($C179,'All Girls &amp; Descendants - Edit'!$C$2:$AK$440,'All Girls &amp; Descendants - Edit'!AC$1,FALSE)=""," - ",(VLOOKUP($C179,'All Girls &amp; Descendants - Edit'!$C$2:$AK$440,'All Girls &amp; Descendants - Edit'!AC$1,FALSE)))</f>
        <v>2036</v>
      </c>
      <c r="AD179" s="3" t="str">
        <f>IF(VLOOKUP($C179,'All Girls &amp; Descendants - Edit'!$C$2:$AK$440,'All Girls &amp; Descendants - Edit'!AD$1,FALSE)=""," - ",(VLOOKUP($C179,'All Girls &amp; Descendants - Edit'!$C$2:$AK$440,'All Girls &amp; Descendants - Edit'!AD$1,FALSE)))</f>
        <v>85bd</v>
      </c>
      <c r="AE179" s="3" t="str">
        <f>IF(VLOOKUP($C179,'All Girls &amp; Descendants - Edit'!$C$2:$AK$440,'All Girls &amp; Descendants - Edit'!AE$1,FALSE)=""," - ",(VLOOKUP($C179,'All Girls &amp; Descendants - Edit'!$C$2:$AK$440,'All Girls &amp; Descendants - Edit'!AE$1,FALSE)))</f>
        <v>Charles James  LANE FOX (1977 - )</v>
      </c>
      <c r="AF179" s="3" t="str">
        <f>IF(VLOOKUP($C179,'All Girls &amp; Descendants - Edit'!$C$2:$AK$440,'All Girls &amp; Descendants - Edit'!AF$1,FALSE)=""," - ",(VLOOKUP($C179,'All Girls &amp; Descendants - Edit'!$C$2:$AK$440,'All Girls &amp; Descendants - Edit'!AF$1,FALSE)))</f>
        <v>Charles LANE FOX (7th &amp; 85)</v>
      </c>
      <c r="AG179" s="3" t="str">
        <f>IF(VLOOKUP($C179,'All Girls &amp; Descendants - Edit'!$C$2:$AK$440,'All Girls &amp; Descendants - Edit'!AG$1,FALSE)=""," - ",(VLOOKUP($C179,'All Girls &amp; Descendants - Edit'!$C$2:$AK$440,'All Girls &amp; Descendants - Edit'!AG$1,FALSE)))</f>
        <v>Male</v>
      </c>
      <c r="AH179" s="3" t="str">
        <f>IF(VLOOKUP($C179,'All Girls &amp; Descendants - Edit'!$C$2:$AK$440,'All Girls &amp; Descendants - Edit'!AH$1,FALSE)=""," - ",(VLOOKUP($C179,'All Girls &amp; Descendants - Edit'!$C$2:$AK$440,'All Girls &amp; Descendants - Edit'!AH$1,FALSE)))</f>
        <v>7th</v>
      </c>
      <c r="AI179" s="3" t="str">
        <f>IF(VLOOKUP($C179,'All Girls &amp; Descendants - Edit'!$C$2:$AK$440,'All Girls &amp; Descendants - Edit'!AI$1,FALSE)=""," - ",(VLOOKUP($C179,'All Girls &amp; Descendants - Edit'!$C$2:$AK$440,'All Girls &amp; Descendants - Edit'!AI$1,FALSE)))</f>
        <v>Unmarried</v>
      </c>
      <c r="AJ179" s="3" t="str">
        <f>IF(VLOOKUP($C179,'All Girls &amp; Descendants - Edit'!$C$2:$AK$440,'All Girls &amp; Descendants - Edit'!AJ$1,FALSE)=""," - ",(VLOOKUP($C179,'All Girls &amp; Descendants - Edit'!$C$2:$AK$440,'All Girls &amp; Descendants - Edit'!AJ$1,FALSE)))</f>
        <v>Male. b. 03/04/1977 Baptised 10 Jul 1977 at St Mary’s, Lower Heyford, Oxfordshire. Educated Eton and St Andrews University.</v>
      </c>
      <c r="AK179" s="3" t="str">
        <f>IF(VLOOKUP($C179,'All Girls &amp; Descendants - Edit'!$C$2:$AK$440,'All Girls &amp; Descendants - Edit'!AK$1,FALSE)=""," - ",(VLOOKUP($C179,'All Girls &amp; Descendants - Edit'!$C$2:$AK$440,'All Girls &amp; Descendants - Edit'!AK$1,FALSE)))</f>
        <v>b. 03/04/1977</v>
      </c>
    </row>
    <row r="180" spans="1:37" ht="19">
      <c r="A180">
        <f>VLOOKUP(B180,'Loyd List 1-190 - Edit'!$P$1:$R$219,3,FALSE)</f>
        <v>56</v>
      </c>
      <c r="B180">
        <f>'All Girls &amp; Descendants - Edit'!B181</f>
        <v>85</v>
      </c>
      <c r="C180" s="98" t="str">
        <f>'All Girls &amp; Descendants - Edit'!C181</f>
        <v>85ca</v>
      </c>
      <c r="D180" s="2" t="str">
        <f>'All Girls &amp; Descendants - Edit'!D181</f>
        <v>TENNYSON d'EYNCOURT</v>
      </c>
      <c r="E180" t="str">
        <f>'All Girls &amp; Descendants - Edit'!E181</f>
        <v>James</v>
      </c>
      <c r="F180" t="str">
        <f>IF('All Girls &amp; Descendants - Edit'!F181="","",'All Girls &amp; Descendants - Edit'!F181)</f>
        <v>Alfred</v>
      </c>
      <c r="G180" t="str">
        <f>IF('All Girls &amp; Descendants - Edit'!G181="","",'All Girls &amp; Descendants - Edit'!G181)</f>
        <v>Louis</v>
      </c>
      <c r="H180" t="str">
        <f>IF('All Girls &amp; Descendants - Edit'!H181="","",'All Girls &amp; Descendants - Edit'!H181)</f>
        <v/>
      </c>
      <c r="I180">
        <f>VLOOKUP($C180,'All Girls &amp; Descendants - Edit'!$C$2:$AK$440,'All Girls &amp; Descendants - Edit'!I$1,FALSE)</f>
        <v>1978</v>
      </c>
      <c r="J180" t="str">
        <f>VLOOKUP($C180,'All Girls &amp; Descendants - Edit'!$C$2:$AK$440,'All Girls &amp; Descendants - Edit'!J$1,FALSE)</f>
        <v/>
      </c>
      <c r="K180" s="9"/>
      <c r="L180" t="str">
        <f t="shared" si="18"/>
        <v>11/06/1978</v>
      </c>
      <c r="M180" s="3">
        <f>VLOOKUP($C180,'All Girls &amp; Descendants - Edit'!$C$2:$AK$440,'All Girls &amp; Descendants - Edit'!M$1,FALSE)</f>
        <v>28652</v>
      </c>
      <c r="N180" s="3" t="str">
        <f>IF(VLOOKUP($C180,'All Girls &amp; Descendants - Edit'!$C$2:$AK$440,'All Girls &amp; Descendants - Edit'!N$1,FALSE)=""," - ",(VLOOKUP($C180,'All Girls &amp; Descendants - Edit'!$C$2:$AK$440,'All Girls &amp; Descendants - Edit'!N$1,FALSE)))</f>
        <v xml:space="preserve"> - </v>
      </c>
      <c r="O180" s="3" t="str">
        <f>IF(VLOOKUP($C180,'All Girls &amp; Descendants - Edit'!$C$2:$AK$440,'All Girls &amp; Descendants - Edit'!O$1,FALSE)="","",(VLOOKUP($C180,'All Girls &amp; Descendants - Edit'!$C$2:$AK$440,'All Girls &amp; Descendants - Edit'!O$1,FALSE)))</f>
        <v/>
      </c>
      <c r="P180" s="3" t="str">
        <f t="shared" si="19"/>
        <v/>
      </c>
      <c r="Q180" s="178" t="str">
        <f t="shared" si="20"/>
        <v>85c</v>
      </c>
      <c r="R180" s="23"/>
      <c r="S180" t="str">
        <f>VLOOKUP($C180,'All Girls &amp; Descendants - Edit'!$C$2:$AK$440,'All Girls &amp; Descendants - Edit'!S$1,FALSE)</f>
        <v>Male</v>
      </c>
      <c r="T180" s="176">
        <f t="shared" si="17"/>
        <v>7</v>
      </c>
      <c r="U180" s="176">
        <f t="shared" si="21"/>
        <v>4</v>
      </c>
      <c r="V180" s="176">
        <f t="shared" si="22"/>
        <v>5</v>
      </c>
      <c r="W180" s="177">
        <f t="shared" si="23"/>
        <v>2</v>
      </c>
      <c r="X180" s="3" t="str">
        <f>IF(VLOOKUP($C180,'All Girls &amp; Descendants - Edit'!$C$2:$AK$440,'All Girls &amp; Descendants - Edit'!X$1,FALSE)=""," - ",(VLOOKUP($C180,'All Girls &amp; Descendants - Edit'!$C$2:$AK$440,'All Girls &amp; Descendants - Edit'!X$1,FALSE)))</f>
        <v xml:space="preserve"> - </v>
      </c>
      <c r="Y180" s="3" t="str">
        <f>IF(VLOOKUP($C180,'All Girls &amp; Descendants - Edit'!$C$2:$AK$440,'All Girls &amp; Descendants - Edit'!Y$1,FALSE)=""," - ",(VLOOKUP($C180,'All Girls &amp; Descendants - Edit'!$C$2:$AK$440,'All Girls &amp; Descendants - Edit'!Y$1,FALSE)))</f>
        <v xml:space="preserve"> - </v>
      </c>
      <c r="Z180" s="3" t="str">
        <f>IF(VLOOKUP($C180,'All Girls &amp; Descendants - Edit'!$C$2:$AK$440,'All Girls &amp; Descendants - Edit'!Z$1,FALSE)=""," - ",(VLOOKUP($C180,'All Girls &amp; Descendants - Edit'!$C$2:$AK$440,'All Girls &amp; Descendants - Edit'!Z$1,FALSE)))</f>
        <v>Baptised Oct 1978 at the Queen’s Chapel of the Savoy, London WC2. Educated Eton and Taunton.</v>
      </c>
      <c r="AA180" s="101">
        <f>IF(VLOOKUP($C180,'All Girls &amp; Descendants - Edit'!$C$2:$AK$440,'All Girls &amp; Descendants - Edit'!AA$1,FALSE)=""," - ",(VLOOKUP($C180,'All Girls &amp; Descendants - Edit'!$C$2:$AK$440,'All Girls &amp; Descendants - Edit'!AA$1,FALSE)))</f>
        <v>169</v>
      </c>
      <c r="AB180" s="101">
        <f>IF(VLOOKUP($C180,'All Girls &amp; Descendants - Edit'!$C$2:$AK$440,'All Girls &amp; Descendants - Edit'!AB$1,FALSE)=""," - ",(VLOOKUP($C180,'All Girls &amp; Descendants - Edit'!$C$2:$AK$440,'All Girls &amp; Descendants - Edit'!AB$1,FALSE)))</f>
        <v>37</v>
      </c>
      <c r="AC180" s="101">
        <f>IF(VLOOKUP($C180,'All Girls &amp; Descendants - Edit'!$C$2:$AK$440,'All Girls &amp; Descendants - Edit'!AC$1,FALSE)=""," - ",(VLOOKUP($C180,'All Girls &amp; Descendants - Edit'!$C$2:$AK$440,'All Girls &amp; Descendants - Edit'!AC$1,FALSE)))</f>
        <v>2037</v>
      </c>
      <c r="AD180" s="3" t="str">
        <f>IF(VLOOKUP($C180,'All Girls &amp; Descendants - Edit'!$C$2:$AK$440,'All Girls &amp; Descendants - Edit'!AD$1,FALSE)=""," - ",(VLOOKUP($C180,'All Girls &amp; Descendants - Edit'!$C$2:$AK$440,'All Girls &amp; Descendants - Edit'!AD$1,FALSE)))</f>
        <v>85ca</v>
      </c>
      <c r="AE180" s="3" t="str">
        <f>IF(VLOOKUP($C180,'All Girls &amp; Descendants - Edit'!$C$2:$AK$440,'All Girls &amp; Descendants - Edit'!AE$1,FALSE)=""," - ",(VLOOKUP($C180,'All Girls &amp; Descendants - Edit'!$C$2:$AK$440,'All Girls &amp; Descendants - Edit'!AE$1,FALSE)))</f>
        <v>James Alfred Louis TENNYSON d'EYNCOURT (1978 - )</v>
      </c>
      <c r="AF180" s="3" t="str">
        <f>IF(VLOOKUP($C180,'All Girls &amp; Descendants - Edit'!$C$2:$AK$440,'All Girls &amp; Descendants - Edit'!AF$1,FALSE)=""," - ",(VLOOKUP($C180,'All Girls &amp; Descendants - Edit'!$C$2:$AK$440,'All Girls &amp; Descendants - Edit'!AF$1,FALSE)))</f>
        <v>James TENNYSON d'EYNCOURT (7th &amp; 85)</v>
      </c>
      <c r="AG180" s="3" t="str">
        <f>IF(VLOOKUP($C180,'All Girls &amp; Descendants - Edit'!$C$2:$AK$440,'All Girls &amp; Descendants - Edit'!AG$1,FALSE)=""," - ",(VLOOKUP($C180,'All Girls &amp; Descendants - Edit'!$C$2:$AK$440,'All Girls &amp; Descendants - Edit'!AG$1,FALSE)))</f>
        <v>Male</v>
      </c>
      <c r="AH180" s="3" t="str">
        <f>IF(VLOOKUP($C180,'All Girls &amp; Descendants - Edit'!$C$2:$AK$440,'All Girls &amp; Descendants - Edit'!AH$1,FALSE)=""," - ",(VLOOKUP($C180,'All Girls &amp; Descendants - Edit'!$C$2:$AK$440,'All Girls &amp; Descendants - Edit'!AH$1,FALSE)))</f>
        <v>7th</v>
      </c>
      <c r="AI180" s="3" t="str">
        <f>IF(VLOOKUP($C180,'All Girls &amp; Descendants - Edit'!$C$2:$AK$440,'All Girls &amp; Descendants - Edit'!AI$1,FALSE)=""," - ",(VLOOKUP($C180,'All Girls &amp; Descendants - Edit'!$C$2:$AK$440,'All Girls &amp; Descendants - Edit'!AI$1,FALSE)))</f>
        <v>Unmarried</v>
      </c>
      <c r="AJ180" s="3" t="str">
        <f>IF(VLOOKUP($C180,'All Girls &amp; Descendants - Edit'!$C$2:$AK$440,'All Girls &amp; Descendants - Edit'!AJ$1,FALSE)=""," - ",(VLOOKUP($C180,'All Girls &amp; Descendants - Edit'!$C$2:$AK$440,'All Girls &amp; Descendants - Edit'!AJ$1,FALSE)))</f>
        <v>Male. b. 11/06/1978 Baptised Oct 1978 at the Queen’s Chapel of the Savoy, London WC2. Educated Eton and Taunton.</v>
      </c>
      <c r="AK180" s="3" t="str">
        <f>IF(VLOOKUP($C180,'All Girls &amp; Descendants - Edit'!$C$2:$AK$440,'All Girls &amp; Descendants - Edit'!AK$1,FALSE)=""," - ",(VLOOKUP($C180,'All Girls &amp; Descendants - Edit'!$C$2:$AK$440,'All Girls &amp; Descendants - Edit'!AK$1,FALSE)))</f>
        <v>b. 11/06/1978</v>
      </c>
    </row>
    <row r="181" spans="1:37" ht="19">
      <c r="A181">
        <f>VLOOKUP(B181,'Loyd List 1-190 - Edit'!$P$1:$R$219,3,FALSE)</f>
        <v>56</v>
      </c>
      <c r="B181">
        <f>'All Girls &amp; Descendants - Edit'!B182</f>
        <v>85</v>
      </c>
      <c r="C181" s="98" t="str">
        <f>'All Girls &amp; Descendants - Edit'!C182</f>
        <v>85cb</v>
      </c>
      <c r="D181" s="2" t="str">
        <f>'All Girls &amp; Descendants - Edit'!D182</f>
        <v>TENNYSON d'EYNCOURT</v>
      </c>
      <c r="E181" t="str">
        <f>'All Girls &amp; Descendants - Edit'!E182</f>
        <v>Frances</v>
      </c>
      <c r="F181" t="str">
        <f>IF('All Girls &amp; Descendants - Edit'!F182="","",'All Girls &amp; Descendants - Edit'!F182)</f>
        <v>Rosemary</v>
      </c>
      <c r="G181" t="str">
        <f>IF('All Girls &amp; Descendants - Edit'!G182="","",'All Girls &amp; Descendants - Edit'!G182)</f>
        <v>Amaryllis</v>
      </c>
      <c r="H181" t="str">
        <f>IF('All Girls &amp; Descendants - Edit'!H182="","",'All Girls &amp; Descendants - Edit'!H182)</f>
        <v/>
      </c>
      <c r="I181">
        <f>VLOOKUP($C181,'All Girls &amp; Descendants - Edit'!$C$2:$AK$440,'All Girls &amp; Descendants - Edit'!I$1,FALSE)</f>
        <v>1980</v>
      </c>
      <c r="J181" t="str">
        <f>VLOOKUP($C181,'All Girls &amp; Descendants - Edit'!$C$2:$AK$440,'All Girls &amp; Descendants - Edit'!J$1,FALSE)</f>
        <v/>
      </c>
      <c r="K181" s="9"/>
      <c r="L181" t="str">
        <f t="shared" si="18"/>
        <v>22/03/1980</v>
      </c>
      <c r="M181" s="3">
        <f>VLOOKUP($C181,'All Girls &amp; Descendants - Edit'!$C$2:$AK$440,'All Girls &amp; Descendants - Edit'!M$1,FALSE)</f>
        <v>29302</v>
      </c>
      <c r="N181" s="3" t="str">
        <f>IF(VLOOKUP($C181,'All Girls &amp; Descendants - Edit'!$C$2:$AK$440,'All Girls &amp; Descendants - Edit'!N$1,FALSE)=""," - ",(VLOOKUP($C181,'All Girls &amp; Descendants - Edit'!$C$2:$AK$440,'All Girls &amp; Descendants - Edit'!N$1,FALSE)))</f>
        <v xml:space="preserve"> - </v>
      </c>
      <c r="O181" s="3" t="str">
        <f>IF(VLOOKUP($C181,'All Girls &amp; Descendants - Edit'!$C$2:$AK$440,'All Girls &amp; Descendants - Edit'!O$1,FALSE)="","",(VLOOKUP($C181,'All Girls &amp; Descendants - Edit'!$C$2:$AK$440,'All Girls &amp; Descendants - Edit'!O$1,FALSE)))</f>
        <v/>
      </c>
      <c r="P181" s="3" t="str">
        <f t="shared" si="19"/>
        <v/>
      </c>
      <c r="Q181" s="178" t="str">
        <f t="shared" si="20"/>
        <v>85c</v>
      </c>
      <c r="R181" s="23"/>
      <c r="S181" t="str">
        <f>VLOOKUP($C181,'All Girls &amp; Descendants - Edit'!$C$2:$AK$440,'All Girls &amp; Descendants - Edit'!S$1,FALSE)</f>
        <v>Female</v>
      </c>
      <c r="T181" s="176">
        <f t="shared" si="17"/>
        <v>7</v>
      </c>
      <c r="U181" s="176">
        <f t="shared" si="21"/>
        <v>4</v>
      </c>
      <c r="V181" s="176">
        <f t="shared" si="22"/>
        <v>5</v>
      </c>
      <c r="W181" s="177">
        <f t="shared" si="23"/>
        <v>2</v>
      </c>
      <c r="X181" s="3" t="str">
        <f>IF(VLOOKUP($C181,'All Girls &amp; Descendants - Edit'!$C$2:$AK$440,'All Girls &amp; Descendants - Edit'!X$1,FALSE)=""," - ",(VLOOKUP($C181,'All Girls &amp; Descendants - Edit'!$C$2:$AK$440,'All Girls &amp; Descendants - Edit'!X$1,FALSE)))</f>
        <v xml:space="preserve"> - </v>
      </c>
      <c r="Y181" s="3" t="str">
        <f>IF(VLOOKUP($C181,'All Girls &amp; Descendants - Edit'!$C$2:$AK$440,'All Girls &amp; Descendants - Edit'!Y$1,FALSE)=""," - ",(VLOOKUP($C181,'All Girls &amp; Descendants - Edit'!$C$2:$AK$440,'All Girls &amp; Descendants - Edit'!Y$1,FALSE)))</f>
        <v xml:space="preserve"> - </v>
      </c>
      <c r="Z181" s="3" t="str">
        <f>IF(VLOOKUP($C181,'All Girls &amp; Descendants - Edit'!$C$2:$AK$440,'All Girls &amp; Descendants - Edit'!Z$1,FALSE)=""," - ",(VLOOKUP($C181,'All Girls &amp; Descendants - Edit'!$C$2:$AK$440,'All Girls &amp; Descendants - Edit'!Z$1,FALSE)))</f>
        <v>Baptised 13 Jul 1980 at the Queen’s Chapel of the Savoy, London WC2. Educated Godolphin &amp; Latymer.</v>
      </c>
      <c r="AA181" s="101">
        <f>IF(VLOOKUP($C181,'All Girls &amp; Descendants - Edit'!$C$2:$AK$440,'All Girls &amp; Descendants - Edit'!AA$1,FALSE)=""," - ",(VLOOKUP($C181,'All Girls &amp; Descendants - Edit'!$C$2:$AK$440,'All Girls &amp; Descendants - Edit'!AA$1,FALSE)))</f>
        <v>170</v>
      </c>
      <c r="AB181" s="101">
        <f>IF(VLOOKUP($C181,'All Girls &amp; Descendants - Edit'!$C$2:$AK$440,'All Girls &amp; Descendants - Edit'!AB$1,FALSE)=""," - ",(VLOOKUP($C181,'All Girls &amp; Descendants - Edit'!$C$2:$AK$440,'All Girls &amp; Descendants - Edit'!AB$1,FALSE)))</f>
        <v>38</v>
      </c>
      <c r="AC181" s="101">
        <f>IF(VLOOKUP($C181,'All Girls &amp; Descendants - Edit'!$C$2:$AK$440,'All Girls &amp; Descendants - Edit'!AC$1,FALSE)=""," - ",(VLOOKUP($C181,'All Girls &amp; Descendants - Edit'!$C$2:$AK$440,'All Girls &amp; Descendants - Edit'!AC$1,FALSE)))</f>
        <v>2038</v>
      </c>
      <c r="AD181" s="3" t="str">
        <f>IF(VLOOKUP($C181,'All Girls &amp; Descendants - Edit'!$C$2:$AK$440,'All Girls &amp; Descendants - Edit'!AD$1,FALSE)=""," - ",(VLOOKUP($C181,'All Girls &amp; Descendants - Edit'!$C$2:$AK$440,'All Girls &amp; Descendants - Edit'!AD$1,FALSE)))</f>
        <v>85cb</v>
      </c>
      <c r="AE181" s="3" t="str">
        <f>IF(VLOOKUP($C181,'All Girls &amp; Descendants - Edit'!$C$2:$AK$440,'All Girls &amp; Descendants - Edit'!AE$1,FALSE)=""," - ",(VLOOKUP($C181,'All Girls &amp; Descendants - Edit'!$C$2:$AK$440,'All Girls &amp; Descendants - Edit'!AE$1,FALSE)))</f>
        <v>Frances Rosemary Amaryllis TENNYSON d'EYNCOURT (1980 - )</v>
      </c>
      <c r="AF181" s="3" t="str">
        <f>IF(VLOOKUP($C181,'All Girls &amp; Descendants - Edit'!$C$2:$AK$440,'All Girls &amp; Descendants - Edit'!AF$1,FALSE)=""," - ",(VLOOKUP($C181,'All Girls &amp; Descendants - Edit'!$C$2:$AK$440,'All Girls &amp; Descendants - Edit'!AF$1,FALSE)))</f>
        <v>Frances TENNYSON d'EYNCOURT (7th &amp; 85)</v>
      </c>
      <c r="AG181" s="3" t="str">
        <f>IF(VLOOKUP($C181,'All Girls &amp; Descendants - Edit'!$C$2:$AK$440,'All Girls &amp; Descendants - Edit'!AG$1,FALSE)=""," - ",(VLOOKUP($C181,'All Girls &amp; Descendants - Edit'!$C$2:$AK$440,'All Girls &amp; Descendants - Edit'!AG$1,FALSE)))</f>
        <v>Female</v>
      </c>
      <c r="AH181" s="3" t="str">
        <f>IF(VLOOKUP($C181,'All Girls &amp; Descendants - Edit'!$C$2:$AK$440,'All Girls &amp; Descendants - Edit'!AH$1,FALSE)=""," - ",(VLOOKUP($C181,'All Girls &amp; Descendants - Edit'!$C$2:$AK$440,'All Girls &amp; Descendants - Edit'!AH$1,FALSE)))</f>
        <v>7th</v>
      </c>
      <c r="AI181" s="3" t="str">
        <f>IF(VLOOKUP($C181,'All Girls &amp; Descendants - Edit'!$C$2:$AK$440,'All Girls &amp; Descendants - Edit'!AI$1,FALSE)=""," - ",(VLOOKUP($C181,'All Girls &amp; Descendants - Edit'!$C$2:$AK$440,'All Girls &amp; Descendants - Edit'!AI$1,FALSE)))</f>
        <v>Unmarried</v>
      </c>
      <c r="AJ181" s="3" t="str">
        <f>IF(VLOOKUP($C181,'All Girls &amp; Descendants - Edit'!$C$2:$AK$440,'All Girls &amp; Descendants - Edit'!AJ$1,FALSE)=""," - ",(VLOOKUP($C181,'All Girls &amp; Descendants - Edit'!$C$2:$AK$440,'All Girls &amp; Descendants - Edit'!AJ$1,FALSE)))</f>
        <v>Female. b. 22/03/1980 Baptised 13 Jul 1980 at the Queen’s Chapel of the Savoy, London WC2. Educated Godolphin &amp; Latymer.</v>
      </c>
      <c r="AK181" s="3" t="str">
        <f>IF(VLOOKUP($C181,'All Girls &amp; Descendants - Edit'!$C$2:$AK$440,'All Girls &amp; Descendants - Edit'!AK$1,FALSE)=""," - ",(VLOOKUP($C181,'All Girls &amp; Descendants - Edit'!$C$2:$AK$440,'All Girls &amp; Descendants - Edit'!AK$1,FALSE)))</f>
        <v>b. 22/03/1980</v>
      </c>
    </row>
    <row r="182" spans="1:37" ht="19">
      <c r="A182">
        <f>VLOOKUP(B182,'Loyd List 1-190 - Edit'!$P$1:$R$219,3,FALSE)</f>
        <v>56</v>
      </c>
      <c r="B182">
        <f>'All Girls &amp; Descendants - Edit'!B183</f>
        <v>85</v>
      </c>
      <c r="C182" s="98" t="str">
        <f>'All Girls &amp; Descendants - Edit'!C183</f>
        <v>85da</v>
      </c>
      <c r="D182" s="2" t="str">
        <f>'All Girls &amp; Descendants - Edit'!D183</f>
        <v>LANE FOX</v>
      </c>
      <c r="E182" t="str">
        <f>'All Girls &amp; Descendants - Edit'!E183</f>
        <v>Martha</v>
      </c>
      <c r="F182" t="str">
        <f>IF('All Girls &amp; Descendants - Edit'!F183="","",'All Girls &amp; Descendants - Edit'!F183)</f>
        <v/>
      </c>
      <c r="G182" t="str">
        <f>IF('All Girls &amp; Descendants - Edit'!G183="","",'All Girls &amp; Descendants - Edit'!G183)</f>
        <v/>
      </c>
      <c r="H182" t="str">
        <f>IF('All Girls &amp; Descendants - Edit'!H183="","",'All Girls &amp; Descendants - Edit'!H183)</f>
        <v/>
      </c>
      <c r="I182">
        <f>VLOOKUP($C182,'All Girls &amp; Descendants - Edit'!$C$2:$AK$440,'All Girls &amp; Descendants - Edit'!I$1,FALSE)</f>
        <v>1973</v>
      </c>
      <c r="J182" t="str">
        <f>VLOOKUP($C182,'All Girls &amp; Descendants - Edit'!$C$2:$AK$440,'All Girls &amp; Descendants - Edit'!J$1,FALSE)</f>
        <v/>
      </c>
      <c r="K182" s="9"/>
      <c r="L182" t="str">
        <f t="shared" si="18"/>
        <v>10/02/1973</v>
      </c>
      <c r="M182" s="3">
        <f>VLOOKUP($C182,'All Girls &amp; Descendants - Edit'!$C$2:$AK$440,'All Girls &amp; Descendants - Edit'!M$1,FALSE)</f>
        <v>26705</v>
      </c>
      <c r="N182" s="3" t="str">
        <f>IF(VLOOKUP($C182,'All Girls &amp; Descendants - Edit'!$C$2:$AK$440,'All Girls &amp; Descendants - Edit'!N$1,FALSE)=""," - ",(VLOOKUP($C182,'All Girls &amp; Descendants - Edit'!$C$2:$AK$440,'All Girls &amp; Descendants - Edit'!N$1,FALSE)))</f>
        <v xml:space="preserve"> - </v>
      </c>
      <c r="O182" s="3" t="str">
        <f>IF(VLOOKUP($C182,'All Girls &amp; Descendants - Edit'!$C$2:$AK$440,'All Girls &amp; Descendants - Edit'!O$1,FALSE)="","",(VLOOKUP($C182,'All Girls &amp; Descendants - Edit'!$C$2:$AK$440,'All Girls &amp; Descendants - Edit'!O$1,FALSE)))</f>
        <v/>
      </c>
      <c r="P182" s="3" t="str">
        <f t="shared" si="19"/>
        <v/>
      </c>
      <c r="Q182" s="178" t="str">
        <f t="shared" si="20"/>
        <v>85d</v>
      </c>
      <c r="R182" s="23"/>
      <c r="S182" t="str">
        <f>VLOOKUP($C182,'All Girls &amp; Descendants - Edit'!$C$2:$AK$440,'All Girls &amp; Descendants - Edit'!S$1,FALSE)</f>
        <v>Female</v>
      </c>
      <c r="T182" s="176">
        <f t="shared" si="17"/>
        <v>7</v>
      </c>
      <c r="U182" s="176">
        <f t="shared" si="21"/>
        <v>4</v>
      </c>
      <c r="V182" s="176">
        <f t="shared" si="22"/>
        <v>5</v>
      </c>
      <c r="W182" s="177">
        <f t="shared" si="23"/>
        <v>2</v>
      </c>
      <c r="X182" s="3" t="str">
        <f>IF(VLOOKUP($C182,'All Girls &amp; Descendants - Edit'!$C$2:$AK$440,'All Girls &amp; Descendants - Edit'!X$1,FALSE)=""," - ",(VLOOKUP($C182,'All Girls &amp; Descendants - Edit'!$C$2:$AK$440,'All Girls &amp; Descendants - Edit'!X$1,FALSE)))</f>
        <v xml:space="preserve"> - </v>
      </c>
      <c r="Y182" s="3" t="str">
        <f>IF(VLOOKUP($C182,'All Girls &amp; Descendants - Edit'!$C$2:$AK$440,'All Girls &amp; Descendants - Edit'!Y$1,FALSE)=""," - ",(VLOOKUP($C182,'All Girls &amp; Descendants - Edit'!$C$2:$AK$440,'All Girls &amp; Descendants - Edit'!Y$1,FALSE)))</f>
        <v xml:space="preserve"> - </v>
      </c>
      <c r="Z182" s="3" t="str">
        <f>IF(VLOOKUP($C182,'All Girls &amp; Descendants - Edit'!$C$2:$AK$440,'All Girls &amp; Descendants - Edit'!Z$1,FALSE)=""," - ",(VLOOKUP($C182,'All Girls &amp; Descendants - Edit'!$C$2:$AK$440,'All Girls &amp; Descendants - Edit'!Z$1,FALSE)))</f>
        <v>Baptised 10 Aug 1973 at Hatley St George, Cambridgeshire. Educated Oxford High 1983-89, Westminster 1989-91 and Magdalen College, Oxford 1991-94. Joint Founder e-business ‘lastminute.com’ 1998. Martha created CBE in 2013 and created a Life Baroness.</v>
      </c>
      <c r="AA182" s="101">
        <f>IF(VLOOKUP($C182,'All Girls &amp; Descendants - Edit'!$C$2:$AK$440,'All Girls &amp; Descendants - Edit'!AA$1,FALSE)=""," - ",(VLOOKUP($C182,'All Girls &amp; Descendants - Edit'!$C$2:$AK$440,'All Girls &amp; Descendants - Edit'!AA$1,FALSE)))</f>
        <v>172</v>
      </c>
      <c r="AB182" s="101">
        <f>IF(VLOOKUP($C182,'All Girls &amp; Descendants - Edit'!$C$2:$AK$440,'All Girls &amp; Descendants - Edit'!AB$1,FALSE)=""," - ",(VLOOKUP($C182,'All Girls &amp; Descendants - Edit'!$C$2:$AK$440,'All Girls &amp; Descendants - Edit'!AB$1,FALSE)))</f>
        <v>39</v>
      </c>
      <c r="AC182" s="101">
        <f>IF(VLOOKUP($C182,'All Girls &amp; Descendants - Edit'!$C$2:$AK$440,'All Girls &amp; Descendants - Edit'!AC$1,FALSE)=""," - ",(VLOOKUP($C182,'All Girls &amp; Descendants - Edit'!$C$2:$AK$440,'All Girls &amp; Descendants - Edit'!AC$1,FALSE)))</f>
        <v>2039</v>
      </c>
      <c r="AD182" s="3" t="str">
        <f>IF(VLOOKUP($C182,'All Girls &amp; Descendants - Edit'!$C$2:$AK$440,'All Girls &amp; Descendants - Edit'!AD$1,FALSE)=""," - ",(VLOOKUP($C182,'All Girls &amp; Descendants - Edit'!$C$2:$AK$440,'All Girls &amp; Descendants - Edit'!AD$1,FALSE)))</f>
        <v>85da</v>
      </c>
      <c r="AE182" s="3" t="str">
        <f>IF(VLOOKUP($C182,'All Girls &amp; Descendants - Edit'!$C$2:$AK$440,'All Girls &amp; Descendants - Edit'!AE$1,FALSE)=""," - ",(VLOOKUP($C182,'All Girls &amp; Descendants - Edit'!$C$2:$AK$440,'All Girls &amp; Descendants - Edit'!AE$1,FALSE)))</f>
        <v>Martha   LANE FOX (1973 - )</v>
      </c>
      <c r="AF182" s="3" t="str">
        <f>IF(VLOOKUP($C182,'All Girls &amp; Descendants - Edit'!$C$2:$AK$440,'All Girls &amp; Descendants - Edit'!AF$1,FALSE)=""," - ",(VLOOKUP($C182,'All Girls &amp; Descendants - Edit'!$C$2:$AK$440,'All Girls &amp; Descendants - Edit'!AF$1,FALSE)))</f>
        <v>Martha LANE FOX (7th &amp; 85)</v>
      </c>
      <c r="AG182" s="3" t="str">
        <f>IF(VLOOKUP($C182,'All Girls &amp; Descendants - Edit'!$C$2:$AK$440,'All Girls &amp; Descendants - Edit'!AG$1,FALSE)=""," - ",(VLOOKUP($C182,'All Girls &amp; Descendants - Edit'!$C$2:$AK$440,'All Girls &amp; Descendants - Edit'!AG$1,FALSE)))</f>
        <v>Female</v>
      </c>
      <c r="AH182" s="3" t="str">
        <f>IF(VLOOKUP($C182,'All Girls &amp; Descendants - Edit'!$C$2:$AK$440,'All Girls &amp; Descendants - Edit'!AH$1,FALSE)=""," - ",(VLOOKUP($C182,'All Girls &amp; Descendants - Edit'!$C$2:$AK$440,'All Girls &amp; Descendants - Edit'!AH$1,FALSE)))</f>
        <v>7th</v>
      </c>
      <c r="AI182" s="3" t="str">
        <f>IF(VLOOKUP($C182,'All Girls &amp; Descendants - Edit'!$C$2:$AK$440,'All Girls &amp; Descendants - Edit'!AI$1,FALSE)=""," - ",(VLOOKUP($C182,'All Girls &amp; Descendants - Edit'!$C$2:$AK$440,'All Girls &amp; Descendants - Edit'!AI$1,FALSE)))</f>
        <v>Unmarried</v>
      </c>
      <c r="AJ182" s="3" t="str">
        <f>IF(VLOOKUP($C182,'All Girls &amp; Descendants - Edit'!$C$2:$AK$440,'All Girls &amp; Descendants - Edit'!AJ$1,FALSE)=""," - ",(VLOOKUP($C182,'All Girls &amp; Descendants - Edit'!$C$2:$AK$440,'All Girls &amp; Descendants - Edit'!AJ$1,FALSE)))</f>
        <v>Female. b. 10/02/1973 Baptised 10 Aug 1973 at Hatley St George, Cambridgeshire. Educated Oxford High 1983-89, Westminster 1989-91 and Magdalen College, Oxford 1991-94. Joint Founder e-business ‘lastminute.com’ 1998. Martha created CBE in 2013 and created a Life Baroness.</v>
      </c>
      <c r="AK182" s="3" t="str">
        <f>IF(VLOOKUP($C182,'All Girls &amp; Descendants - Edit'!$C$2:$AK$440,'All Girls &amp; Descendants - Edit'!AK$1,FALSE)=""," - ",(VLOOKUP($C182,'All Girls &amp; Descendants - Edit'!$C$2:$AK$440,'All Girls &amp; Descendants - Edit'!AK$1,FALSE)))</f>
        <v>b. 10/02/1973</v>
      </c>
    </row>
    <row r="183" spans="1:37" ht="19">
      <c r="A183">
        <f>VLOOKUP(B183,'Loyd List 1-190 - Edit'!$P$1:$R$219,3,FALSE)</f>
        <v>56</v>
      </c>
      <c r="B183">
        <f>'All Girls &amp; Descendants - Edit'!B184</f>
        <v>85</v>
      </c>
      <c r="C183" s="98" t="str">
        <f>'All Girls &amp; Descendants - Edit'!C184</f>
        <v>85db</v>
      </c>
      <c r="D183" s="2" t="str">
        <f>'All Girls &amp; Descendants - Edit'!D184</f>
        <v>LANE FOX</v>
      </c>
      <c r="E183" t="str">
        <f>'All Girls &amp; Descendants - Edit'!E184</f>
        <v>Henry</v>
      </c>
      <c r="F183" t="str">
        <f>IF('All Girls &amp; Descendants - Edit'!F184="","",'All Girls &amp; Descendants - Edit'!F184)</f>
        <v>James</v>
      </c>
      <c r="G183" t="str">
        <f>IF('All Girls &amp; Descendants - Edit'!G184="","",'All Girls &amp; Descendants - Edit'!G184)</f>
        <v/>
      </c>
      <c r="H183" t="str">
        <f>IF('All Girls &amp; Descendants - Edit'!H184="","",'All Girls &amp; Descendants - Edit'!H184)</f>
        <v/>
      </c>
      <c r="I183">
        <f>VLOOKUP($C183,'All Girls &amp; Descendants - Edit'!$C$2:$AK$440,'All Girls &amp; Descendants - Edit'!I$1,FALSE)</f>
        <v>1974</v>
      </c>
      <c r="J183" t="str">
        <f>VLOOKUP($C183,'All Girls &amp; Descendants - Edit'!$C$2:$AK$440,'All Girls &amp; Descendants - Edit'!J$1,FALSE)</f>
        <v/>
      </c>
      <c r="K183" s="9"/>
      <c r="L183" t="str">
        <f t="shared" si="18"/>
        <v>19/10/1974</v>
      </c>
      <c r="M183" s="3">
        <f>VLOOKUP($C183,'All Girls &amp; Descendants - Edit'!$C$2:$AK$440,'All Girls &amp; Descendants - Edit'!M$1,FALSE)</f>
        <v>27321</v>
      </c>
      <c r="N183" s="3" t="str">
        <f>IF(VLOOKUP($C183,'All Girls &amp; Descendants - Edit'!$C$2:$AK$440,'All Girls &amp; Descendants - Edit'!N$1,FALSE)=""," - ",(VLOOKUP($C183,'All Girls &amp; Descendants - Edit'!$C$2:$AK$440,'All Girls &amp; Descendants - Edit'!N$1,FALSE)))</f>
        <v xml:space="preserve"> - </v>
      </c>
      <c r="O183" s="3" t="str">
        <f>IF(VLOOKUP($C183,'All Girls &amp; Descendants - Edit'!$C$2:$AK$440,'All Girls &amp; Descendants - Edit'!O$1,FALSE)="","",(VLOOKUP($C183,'All Girls &amp; Descendants - Edit'!$C$2:$AK$440,'All Girls &amp; Descendants - Edit'!O$1,FALSE)))</f>
        <v/>
      </c>
      <c r="P183" s="3" t="str">
        <f t="shared" si="19"/>
        <v/>
      </c>
      <c r="Q183" s="178" t="str">
        <f t="shared" si="20"/>
        <v>85d</v>
      </c>
      <c r="R183" s="23"/>
      <c r="S183" t="str">
        <f>VLOOKUP($C183,'All Girls &amp; Descendants - Edit'!$C$2:$AK$440,'All Girls &amp; Descendants - Edit'!S$1,FALSE)</f>
        <v>Male</v>
      </c>
      <c r="T183" s="176">
        <f t="shared" si="17"/>
        <v>7</v>
      </c>
      <c r="U183" s="176">
        <f t="shared" si="21"/>
        <v>4</v>
      </c>
      <c r="V183" s="176">
        <f t="shared" si="22"/>
        <v>5</v>
      </c>
      <c r="W183" s="177">
        <f t="shared" si="23"/>
        <v>2</v>
      </c>
      <c r="X183" s="3" t="str">
        <f>IF(VLOOKUP($C183,'All Girls &amp; Descendants - Edit'!$C$2:$AK$440,'All Girls &amp; Descendants - Edit'!X$1,FALSE)=""," - ",(VLOOKUP($C183,'All Girls &amp; Descendants - Edit'!$C$2:$AK$440,'All Girls &amp; Descendants - Edit'!X$1,FALSE)))</f>
        <v xml:space="preserve"> - </v>
      </c>
      <c r="Y183" s="3" t="str">
        <f>IF(VLOOKUP($C183,'All Girls &amp; Descendants - Edit'!$C$2:$AK$440,'All Girls &amp; Descendants - Edit'!Y$1,FALSE)=""," - ",(VLOOKUP($C183,'All Girls &amp; Descendants - Edit'!$C$2:$AK$440,'All Girls &amp; Descendants - Edit'!Y$1,FALSE)))</f>
        <v xml:space="preserve"> - </v>
      </c>
      <c r="Z183" s="3" t="str">
        <f>IF(VLOOKUP($C183,'All Girls &amp; Descendants - Edit'!$C$2:$AK$440,'All Girls &amp; Descendants - Edit'!Z$1,FALSE)=""," - ",(VLOOKUP($C183,'All Girls &amp; Descendants - Edit'!$C$2:$AK$440,'All Girls &amp; Descendants - Edit'!Z$1,FALSE)))</f>
        <v>Baptised 20 Feb 1975 at Beckley, Oxfordshire. Educated Eton 1987-92 and Wadham College, Oxford 1992-96.</v>
      </c>
      <c r="AA183" s="101">
        <f>IF(VLOOKUP($C183,'All Girls &amp; Descendants - Edit'!$C$2:$AK$440,'All Girls &amp; Descendants - Edit'!AA$1,FALSE)=""," - ",(VLOOKUP($C183,'All Girls &amp; Descendants - Edit'!$C$2:$AK$440,'All Girls &amp; Descendants - Edit'!AA$1,FALSE)))</f>
        <v>173</v>
      </c>
      <c r="AB183" s="101">
        <f>IF(VLOOKUP($C183,'All Girls &amp; Descendants - Edit'!$C$2:$AK$440,'All Girls &amp; Descendants - Edit'!AB$1,FALSE)=""," - ",(VLOOKUP($C183,'All Girls &amp; Descendants - Edit'!$C$2:$AK$440,'All Girls &amp; Descendants - Edit'!AB$1,FALSE)))</f>
        <v>40</v>
      </c>
      <c r="AC183" s="101">
        <f>IF(VLOOKUP($C183,'All Girls &amp; Descendants - Edit'!$C$2:$AK$440,'All Girls &amp; Descendants - Edit'!AC$1,FALSE)=""," - ",(VLOOKUP($C183,'All Girls &amp; Descendants - Edit'!$C$2:$AK$440,'All Girls &amp; Descendants - Edit'!AC$1,FALSE)))</f>
        <v>2040</v>
      </c>
      <c r="AD183" s="3" t="str">
        <f>IF(VLOOKUP($C183,'All Girls &amp; Descendants - Edit'!$C$2:$AK$440,'All Girls &amp; Descendants - Edit'!AD$1,FALSE)=""," - ",(VLOOKUP($C183,'All Girls &amp; Descendants - Edit'!$C$2:$AK$440,'All Girls &amp; Descendants - Edit'!AD$1,FALSE)))</f>
        <v>85db</v>
      </c>
      <c r="AE183" s="3" t="str">
        <f>IF(VLOOKUP($C183,'All Girls &amp; Descendants - Edit'!$C$2:$AK$440,'All Girls &amp; Descendants - Edit'!AE$1,FALSE)=""," - ",(VLOOKUP($C183,'All Girls &amp; Descendants - Edit'!$C$2:$AK$440,'All Girls &amp; Descendants - Edit'!AE$1,FALSE)))</f>
        <v>Henry James  LANE FOX (1974 - )</v>
      </c>
      <c r="AF183" s="3" t="str">
        <f>IF(VLOOKUP($C183,'All Girls &amp; Descendants - Edit'!$C$2:$AK$440,'All Girls &amp; Descendants - Edit'!AF$1,FALSE)=""," - ",(VLOOKUP($C183,'All Girls &amp; Descendants - Edit'!$C$2:$AK$440,'All Girls &amp; Descendants - Edit'!AF$1,FALSE)))</f>
        <v>Henry LANE FOX (7th &amp; 85)</v>
      </c>
      <c r="AG183" s="3" t="str">
        <f>IF(VLOOKUP($C183,'All Girls &amp; Descendants - Edit'!$C$2:$AK$440,'All Girls &amp; Descendants - Edit'!AG$1,FALSE)=""," - ",(VLOOKUP($C183,'All Girls &amp; Descendants - Edit'!$C$2:$AK$440,'All Girls &amp; Descendants - Edit'!AG$1,FALSE)))</f>
        <v>Male</v>
      </c>
      <c r="AH183" s="3" t="str">
        <f>IF(VLOOKUP($C183,'All Girls &amp; Descendants - Edit'!$C$2:$AK$440,'All Girls &amp; Descendants - Edit'!AH$1,FALSE)=""," - ",(VLOOKUP($C183,'All Girls &amp; Descendants - Edit'!$C$2:$AK$440,'All Girls &amp; Descendants - Edit'!AH$1,FALSE)))</f>
        <v>7th</v>
      </c>
      <c r="AI183" s="3" t="str">
        <f>IF(VLOOKUP($C183,'All Girls &amp; Descendants - Edit'!$C$2:$AK$440,'All Girls &amp; Descendants - Edit'!AI$1,FALSE)=""," - ",(VLOOKUP($C183,'All Girls &amp; Descendants - Edit'!$C$2:$AK$440,'All Girls &amp; Descendants - Edit'!AI$1,FALSE)))</f>
        <v>Unmarried</v>
      </c>
      <c r="AJ183" s="3" t="str">
        <f>IF(VLOOKUP($C183,'All Girls &amp; Descendants - Edit'!$C$2:$AK$440,'All Girls &amp; Descendants - Edit'!AJ$1,FALSE)=""," - ",(VLOOKUP($C183,'All Girls &amp; Descendants - Edit'!$C$2:$AK$440,'All Girls &amp; Descendants - Edit'!AJ$1,FALSE)))</f>
        <v>Male. b. 19/10/1974 Baptised 20 Feb 1975 at Beckley, Oxfordshire. Educated Eton 1987-92 and Wadham College, Oxford 1992-96.</v>
      </c>
      <c r="AK183" s="3" t="str">
        <f>IF(VLOOKUP($C183,'All Girls &amp; Descendants - Edit'!$C$2:$AK$440,'All Girls &amp; Descendants - Edit'!AK$1,FALSE)=""," - ",(VLOOKUP($C183,'All Girls &amp; Descendants - Edit'!$C$2:$AK$440,'All Girls &amp; Descendants - Edit'!AK$1,FALSE)))</f>
        <v>b. 19/10/1974</v>
      </c>
    </row>
    <row r="184" spans="1:37" ht="19">
      <c r="A184">
        <f>VLOOKUP(B184,'Loyd List 1-190 - Edit'!$P$1:$R$219,3,FALSE)</f>
        <v>66</v>
      </c>
      <c r="B184">
        <f>'All Girls &amp; Descendants - Edit'!B185</f>
        <v>88</v>
      </c>
      <c r="C184" s="98" t="str">
        <f>'All Girls &amp; Descendants - Edit'!C185</f>
        <v>88aa</v>
      </c>
      <c r="D184" s="2" t="str">
        <f>'All Girls &amp; Descendants - Edit'!D185</f>
        <v>HOLMAN</v>
      </c>
      <c r="E184" t="str">
        <f>'All Girls &amp; Descendants - Edit'!E185</f>
        <v>Richard</v>
      </c>
      <c r="F184" t="str">
        <f>IF('All Girls &amp; Descendants - Edit'!F185="","",'All Girls &amp; Descendants - Edit'!F185)</f>
        <v>Ian</v>
      </c>
      <c r="G184" t="str">
        <f>IF('All Girls &amp; Descendants - Edit'!G185="","",'All Girls &amp; Descendants - Edit'!G185)</f>
        <v/>
      </c>
      <c r="H184" t="str">
        <f>IF('All Girls &amp; Descendants - Edit'!H185="","",'All Girls &amp; Descendants - Edit'!H185)</f>
        <v/>
      </c>
      <c r="I184">
        <f>VLOOKUP($C184,'All Girls &amp; Descendants - Edit'!$C$2:$AK$440,'All Girls &amp; Descendants - Edit'!I$1,FALSE)</f>
        <v>1958</v>
      </c>
      <c r="J184" t="str">
        <f>VLOOKUP($C184,'All Girls &amp; Descendants - Edit'!$C$2:$AK$440,'All Girls &amp; Descendants - Edit'!J$1,FALSE)</f>
        <v/>
      </c>
      <c r="K184" s="9"/>
      <c r="L184" t="str">
        <f t="shared" si="18"/>
        <v>02/09/1958</v>
      </c>
      <c r="M184" s="3" t="str">
        <f>VLOOKUP($C184,'All Girls &amp; Descendants - Edit'!$C$2:$AK$440,'All Girls &amp; Descendants - Edit'!M$1,FALSE)</f>
        <v>02/09/1958</v>
      </c>
      <c r="N184" s="3">
        <f>IF(VLOOKUP($C184,'All Girls &amp; Descendants - Edit'!$C$2:$AK$440,'All Girls &amp; Descendants - Edit'!N$1,FALSE)=""," - ",(VLOOKUP($C184,'All Girls &amp; Descendants - Edit'!$C$2:$AK$440,'All Girls &amp; Descendants - Edit'!N$1,FALSE)))</f>
        <v>31157</v>
      </c>
      <c r="O184" s="3" t="str">
        <f>IF(VLOOKUP($C184,'All Girls &amp; Descendants - Edit'!$C$2:$AK$440,'All Girls &amp; Descendants - Edit'!O$1,FALSE)="","",(VLOOKUP($C184,'All Girls &amp; Descendants - Edit'!$C$2:$AK$440,'All Girls &amp; Descendants - Edit'!O$1,FALSE)))</f>
        <v/>
      </c>
      <c r="P184" s="3" t="str">
        <f t="shared" si="19"/>
        <v/>
      </c>
      <c r="Q184" s="178" t="str">
        <f t="shared" si="20"/>
        <v>88a</v>
      </c>
      <c r="R184" s="23"/>
      <c r="S184" t="str">
        <f>VLOOKUP($C184,'All Girls &amp; Descendants - Edit'!$C$2:$AK$440,'All Girls &amp; Descendants - Edit'!S$1,FALSE)</f>
        <v>Male</v>
      </c>
      <c r="T184" s="176">
        <f t="shared" si="17"/>
        <v>7</v>
      </c>
      <c r="U184" s="176">
        <f t="shared" si="21"/>
        <v>4</v>
      </c>
      <c r="V184" s="176">
        <f t="shared" si="22"/>
        <v>5</v>
      </c>
      <c r="W184" s="177">
        <f t="shared" si="23"/>
        <v>2</v>
      </c>
      <c r="X184" s="3" t="str">
        <f>IF(VLOOKUP($C184,'All Girls &amp; Descendants - Edit'!$C$2:$AK$440,'All Girls &amp; Descendants - Edit'!X$1,FALSE)=""," - ",(VLOOKUP($C184,'All Girls &amp; Descendants - Edit'!$C$2:$AK$440,'All Girls &amp; Descendants - Edit'!X$1,FALSE)))</f>
        <v>(1) 20 Apr 1985 Saragh Evelyn WOOD (b. 25 Jul 1958, d. 7 May 1987, buried at Banchory). (2) 13 Apr 1996 Polly Sophia (b. 27/07/1958)</v>
      </c>
      <c r="Y184" s="3" t="str">
        <f>IF(VLOOKUP($C184,'All Girls &amp; Descendants - Edit'!$C$2:$AK$440,'All Girls &amp; Descendants - Edit'!Y$1,FALSE)=""," - ",(VLOOKUP($C184,'All Girls &amp; Descendants - Edit'!$C$2:$AK$440,'All Girls &amp; Descendants - Edit'!Y$1,FALSE)))</f>
        <v>(1) Married Saragh at Kirkoswald; (2) Married Poly THOMPSON at Longparish, Hampshire, only daughter of Angus THOMSON.</v>
      </c>
      <c r="Z184" s="3" t="str">
        <f>IF(VLOOKUP($C184,'All Girls &amp; Descendants - Edit'!$C$2:$AK$440,'All Girls &amp; Descendants - Edit'!Z$1,FALSE)=""," - ",(VLOOKUP($C184,'All Girls &amp; Descendants - Edit'!$C$2:$AK$440,'All Girls &amp; Descendants - Edit'!Z$1,FALSE)))</f>
        <v>Richard of Ury and Lockwood, of Glenton House, Rickarton, Stonehaven, Kincardinshire. Baptised at Rudgwick, Sussex. Educated Gordonstoun.</v>
      </c>
      <c r="AA184" s="101">
        <f>IF(VLOOKUP($C184,'All Girls &amp; Descendants - Edit'!$C$2:$AK$440,'All Girls &amp; Descendants - Edit'!AA$1,FALSE)=""," - ",(VLOOKUP($C184,'All Girls &amp; Descendants - Edit'!$C$2:$AK$440,'All Girls &amp; Descendants - Edit'!AA$1,FALSE)))</f>
        <v>175</v>
      </c>
      <c r="AB184" s="101">
        <f>IF(VLOOKUP($C184,'All Girls &amp; Descendants - Edit'!$C$2:$AK$440,'All Girls &amp; Descendants - Edit'!AB$1,FALSE)=""," - ",(VLOOKUP($C184,'All Girls &amp; Descendants - Edit'!$C$2:$AK$440,'All Girls &amp; Descendants - Edit'!AB$1,FALSE)))</f>
        <v>41</v>
      </c>
      <c r="AC184" s="101">
        <f>IF(VLOOKUP($C184,'All Girls &amp; Descendants - Edit'!$C$2:$AK$440,'All Girls &amp; Descendants - Edit'!AC$1,FALSE)=""," - ",(VLOOKUP($C184,'All Girls &amp; Descendants - Edit'!$C$2:$AK$440,'All Girls &amp; Descendants - Edit'!AC$1,FALSE)))</f>
        <v>2041</v>
      </c>
      <c r="AD184" s="3" t="str">
        <f>IF(VLOOKUP($C184,'All Girls &amp; Descendants - Edit'!$C$2:$AK$440,'All Girls &amp; Descendants - Edit'!AD$1,FALSE)=""," - ",(VLOOKUP($C184,'All Girls &amp; Descendants - Edit'!$C$2:$AK$440,'All Girls &amp; Descendants - Edit'!AD$1,FALSE)))</f>
        <v>88aa</v>
      </c>
      <c r="AE184" s="3" t="str">
        <f>IF(VLOOKUP($C184,'All Girls &amp; Descendants - Edit'!$C$2:$AK$440,'All Girls &amp; Descendants - Edit'!AE$1,FALSE)=""," - ",(VLOOKUP($C184,'All Girls &amp; Descendants - Edit'!$C$2:$AK$440,'All Girls &amp; Descendants - Edit'!AE$1,FALSE)))</f>
        <v>Richard Ian  HOLMAN (1958 - )</v>
      </c>
      <c r="AF184" s="3" t="str">
        <f>IF(VLOOKUP($C184,'All Girls &amp; Descendants - Edit'!$C$2:$AK$440,'All Girls &amp; Descendants - Edit'!AF$1,FALSE)=""," - ",(VLOOKUP($C184,'All Girls &amp; Descendants - Edit'!$C$2:$AK$440,'All Girls &amp; Descendants - Edit'!AF$1,FALSE)))</f>
        <v>Richard BAIRD (7th &amp; 88)</v>
      </c>
      <c r="AG184" s="3" t="str">
        <f>IF(VLOOKUP($C184,'All Girls &amp; Descendants - Edit'!$C$2:$AK$440,'All Girls &amp; Descendants - Edit'!AG$1,FALSE)=""," - ",(VLOOKUP($C184,'All Girls &amp; Descendants - Edit'!$C$2:$AK$440,'All Girls &amp; Descendants - Edit'!AG$1,FALSE)))</f>
        <v>Male</v>
      </c>
      <c r="AH184" s="3" t="str">
        <f>IF(VLOOKUP($C184,'All Girls &amp; Descendants - Edit'!$C$2:$AK$440,'All Girls &amp; Descendants - Edit'!AH$1,FALSE)=""," - ",(VLOOKUP($C184,'All Girls &amp; Descendants - Edit'!$C$2:$AK$440,'All Girls &amp; Descendants - Edit'!AH$1,FALSE)))</f>
        <v>7th</v>
      </c>
      <c r="AI184" s="3" t="str">
        <f>IF(VLOOKUP($C184,'All Girls &amp; Descendants - Edit'!$C$2:$AK$440,'All Girls &amp; Descendants - Edit'!AI$1,FALSE)=""," - ",(VLOOKUP($C184,'All Girls &amp; Descendants - Edit'!$C$2:$AK$440,'All Girls &amp; Descendants - Edit'!AI$1,FALSE)))</f>
        <v>Wife: (1) 20 Apr 1985 Saragh Evelyn WOOD (b. 25 Jul 1958, d. 7 May 1987, buried at Banchory). (2) 13 Apr 1996 Polly Sophia (b. 27/07/1958). (1) Married Saragh at Kirkoswald; (2) Married Poly THOMPSON at Longparish, Hampshire, only daughter of Angus THOMSON.</v>
      </c>
      <c r="AJ184" s="3" t="str">
        <f>IF(VLOOKUP($C184,'All Girls &amp; Descendants - Edit'!$C$2:$AK$440,'All Girls &amp; Descendants - Edit'!AJ$1,FALSE)=""," - ",(VLOOKUP($C184,'All Girls &amp; Descendants - Edit'!$C$2:$AK$440,'All Girls &amp; Descendants - Edit'!AJ$1,FALSE)))</f>
        <v>Male. b. 02/09/1958 Richard of Ury and Lockwood, of Glenton House, Rickarton, Stonehaven, Kincardinshire. Baptised at Rudgwick, Sussex. Educated Gordonstoun.</v>
      </c>
      <c r="AK184" s="3" t="str">
        <f>IF(VLOOKUP($C184,'All Girls &amp; Descendants - Edit'!$C$2:$AK$440,'All Girls &amp; Descendants - Edit'!AK$1,FALSE)=""," - ",(VLOOKUP($C184,'All Girls &amp; Descendants - Edit'!$C$2:$AK$440,'All Girls &amp; Descendants - Edit'!AK$1,FALSE)))</f>
        <v>b. 02/09/1958</v>
      </c>
    </row>
    <row r="185" spans="1:37" ht="19">
      <c r="A185">
        <f>VLOOKUP(B185,'Loyd List 1-190 - Edit'!$P$1:$R$219,3,FALSE)</f>
        <v>66</v>
      </c>
      <c r="B185">
        <f>'All Girls &amp; Descendants - Edit'!B186</f>
        <v>88</v>
      </c>
      <c r="C185" s="98" t="str">
        <f>'All Girls &amp; Descendants - Edit'!C186</f>
        <v>88ab</v>
      </c>
      <c r="D185" s="2" t="str">
        <f>'All Girls &amp; Descendants - Edit'!D186</f>
        <v>HOLMAN</v>
      </c>
      <c r="E185" t="str">
        <f>'All Girls &amp; Descendants - Edit'!E186</f>
        <v>Edward</v>
      </c>
      <c r="F185" t="str">
        <f>IF('All Girls &amp; Descendants - Edit'!F186="","",'All Girls &amp; Descendants - Edit'!F186)</f>
        <v/>
      </c>
      <c r="G185" t="str">
        <f>IF('All Girls &amp; Descendants - Edit'!G186="","",'All Girls &amp; Descendants - Edit'!G186)</f>
        <v/>
      </c>
      <c r="H185" t="str">
        <f>IF('All Girls &amp; Descendants - Edit'!H186="","",'All Girls &amp; Descendants - Edit'!H186)</f>
        <v/>
      </c>
      <c r="I185">
        <f>VLOOKUP($C185,'All Girls &amp; Descendants - Edit'!$C$2:$AK$440,'All Girls &amp; Descendants - Edit'!I$1,FALSE)</f>
        <v>1960</v>
      </c>
      <c r="J185" t="str">
        <f>VLOOKUP($C185,'All Girls &amp; Descendants - Edit'!$C$2:$AK$440,'All Girls &amp; Descendants - Edit'!J$1,FALSE)</f>
        <v/>
      </c>
      <c r="K185" s="9"/>
      <c r="L185" t="str">
        <f t="shared" si="18"/>
        <v>15/02/1960</v>
      </c>
      <c r="M185" s="3">
        <f>VLOOKUP($C185,'All Girls &amp; Descendants - Edit'!$C$2:$AK$440,'All Girls &amp; Descendants - Edit'!M$1,FALSE)</f>
        <v>21961</v>
      </c>
      <c r="N185" s="3" t="str">
        <f>IF(VLOOKUP($C185,'All Girls &amp; Descendants - Edit'!$C$2:$AK$440,'All Girls &amp; Descendants - Edit'!N$1,FALSE)=""," - ",(VLOOKUP($C185,'All Girls &amp; Descendants - Edit'!$C$2:$AK$440,'All Girls &amp; Descendants - Edit'!N$1,FALSE)))</f>
        <v xml:space="preserve"> - </v>
      </c>
      <c r="O185" s="3" t="str">
        <f>IF(VLOOKUP($C185,'All Girls &amp; Descendants - Edit'!$C$2:$AK$440,'All Girls &amp; Descendants - Edit'!O$1,FALSE)="","",(VLOOKUP($C185,'All Girls &amp; Descendants - Edit'!$C$2:$AK$440,'All Girls &amp; Descendants - Edit'!O$1,FALSE)))</f>
        <v/>
      </c>
      <c r="P185" s="3" t="str">
        <f t="shared" si="19"/>
        <v/>
      </c>
      <c r="Q185" s="178" t="str">
        <f t="shared" si="20"/>
        <v>88a</v>
      </c>
      <c r="R185" s="23"/>
      <c r="S185" t="str">
        <f>VLOOKUP($C185,'All Girls &amp; Descendants - Edit'!$C$2:$AK$440,'All Girls &amp; Descendants - Edit'!S$1,FALSE)</f>
        <v>Male</v>
      </c>
      <c r="T185" s="176">
        <f t="shared" si="17"/>
        <v>7</v>
      </c>
      <c r="U185" s="176">
        <f t="shared" si="21"/>
        <v>4</v>
      </c>
      <c r="V185" s="176">
        <f t="shared" si="22"/>
        <v>5</v>
      </c>
      <c r="W185" s="177">
        <f t="shared" si="23"/>
        <v>2</v>
      </c>
      <c r="X185" s="3" t="str">
        <f>IF(VLOOKUP($C185,'All Girls &amp; Descendants - Edit'!$C$2:$AK$440,'All Girls &amp; Descendants - Edit'!X$1,FALSE)=""," - ",(VLOOKUP($C185,'All Girls &amp; Descendants - Edit'!$C$2:$AK$440,'All Girls &amp; Descendants - Edit'!X$1,FALSE)))</f>
        <v xml:space="preserve"> - </v>
      </c>
      <c r="Y185" s="3" t="str">
        <f>IF(VLOOKUP($C185,'All Girls &amp; Descendants - Edit'!$C$2:$AK$440,'All Girls &amp; Descendants - Edit'!Y$1,FALSE)=""," - ",(VLOOKUP($C185,'All Girls &amp; Descendants - Edit'!$C$2:$AK$440,'All Girls &amp; Descendants - Edit'!Y$1,FALSE)))</f>
        <v xml:space="preserve"> - </v>
      </c>
      <c r="Z185" s="3" t="str">
        <f>IF(VLOOKUP($C185,'All Girls &amp; Descendants - Edit'!$C$2:$AK$440,'All Girls &amp; Descendants - Edit'!Z$1,FALSE)=""," - ",(VLOOKUP($C185,'All Girls &amp; Descendants - Edit'!$C$2:$AK$440,'All Girls &amp; Descendants - Edit'!Z$1,FALSE)))</f>
        <v>Baptised at Rudgwick, Sussex. Educated Gordonstoun.</v>
      </c>
      <c r="AA185" s="101">
        <f>IF(VLOOKUP($C185,'All Girls &amp; Descendants - Edit'!$C$2:$AK$440,'All Girls &amp; Descendants - Edit'!AA$1,FALSE)=""," - ",(VLOOKUP($C185,'All Girls &amp; Descendants - Edit'!$C$2:$AK$440,'All Girls &amp; Descendants - Edit'!AA$1,FALSE)))</f>
        <v>179</v>
      </c>
      <c r="AB185" s="101">
        <f>IF(VLOOKUP($C185,'All Girls &amp; Descendants - Edit'!$C$2:$AK$440,'All Girls &amp; Descendants - Edit'!AB$1,FALSE)=""," - ",(VLOOKUP($C185,'All Girls &amp; Descendants - Edit'!$C$2:$AK$440,'All Girls &amp; Descendants - Edit'!AB$1,FALSE)))</f>
        <v>42</v>
      </c>
      <c r="AC185" s="101">
        <f>IF(VLOOKUP($C185,'All Girls &amp; Descendants - Edit'!$C$2:$AK$440,'All Girls &amp; Descendants - Edit'!AC$1,FALSE)=""," - ",(VLOOKUP($C185,'All Girls &amp; Descendants - Edit'!$C$2:$AK$440,'All Girls &amp; Descendants - Edit'!AC$1,FALSE)))</f>
        <v>2042</v>
      </c>
      <c r="AD185" s="3" t="str">
        <f>IF(VLOOKUP($C185,'All Girls &amp; Descendants - Edit'!$C$2:$AK$440,'All Girls &amp; Descendants - Edit'!AD$1,FALSE)=""," - ",(VLOOKUP($C185,'All Girls &amp; Descendants - Edit'!$C$2:$AK$440,'All Girls &amp; Descendants - Edit'!AD$1,FALSE)))</f>
        <v>88ab</v>
      </c>
      <c r="AE185" s="3" t="str">
        <f>IF(VLOOKUP($C185,'All Girls &amp; Descendants - Edit'!$C$2:$AK$440,'All Girls &amp; Descendants - Edit'!AE$1,FALSE)=""," - ",(VLOOKUP($C185,'All Girls &amp; Descendants - Edit'!$C$2:$AK$440,'All Girls &amp; Descendants - Edit'!AE$1,FALSE)))</f>
        <v>Edward   HOLMAN (1960 - )</v>
      </c>
      <c r="AF185" s="3" t="str">
        <f>IF(VLOOKUP($C185,'All Girls &amp; Descendants - Edit'!$C$2:$AK$440,'All Girls &amp; Descendants - Edit'!AF$1,FALSE)=""," - ",(VLOOKUP($C185,'All Girls &amp; Descendants - Edit'!$C$2:$AK$440,'All Girls &amp; Descendants - Edit'!AF$1,FALSE)))</f>
        <v>Edward HOLMAN (7th &amp; 88)</v>
      </c>
      <c r="AG185" s="3" t="str">
        <f>IF(VLOOKUP($C185,'All Girls &amp; Descendants - Edit'!$C$2:$AK$440,'All Girls &amp; Descendants - Edit'!AG$1,FALSE)=""," - ",(VLOOKUP($C185,'All Girls &amp; Descendants - Edit'!$C$2:$AK$440,'All Girls &amp; Descendants - Edit'!AG$1,FALSE)))</f>
        <v>Male</v>
      </c>
      <c r="AH185" s="3" t="str">
        <f>IF(VLOOKUP($C185,'All Girls &amp; Descendants - Edit'!$C$2:$AK$440,'All Girls &amp; Descendants - Edit'!AH$1,FALSE)=""," - ",(VLOOKUP($C185,'All Girls &amp; Descendants - Edit'!$C$2:$AK$440,'All Girls &amp; Descendants - Edit'!AH$1,FALSE)))</f>
        <v>7th</v>
      </c>
      <c r="AI185" s="3" t="str">
        <f>IF(VLOOKUP($C185,'All Girls &amp; Descendants - Edit'!$C$2:$AK$440,'All Girls &amp; Descendants - Edit'!AI$1,FALSE)=""," - ",(VLOOKUP($C185,'All Girls &amp; Descendants - Edit'!$C$2:$AK$440,'All Girls &amp; Descendants - Edit'!AI$1,FALSE)))</f>
        <v>Unmarried</v>
      </c>
      <c r="AJ185" s="3" t="str">
        <f>IF(VLOOKUP($C185,'All Girls &amp; Descendants - Edit'!$C$2:$AK$440,'All Girls &amp; Descendants - Edit'!AJ$1,FALSE)=""," - ",(VLOOKUP($C185,'All Girls &amp; Descendants - Edit'!$C$2:$AK$440,'All Girls &amp; Descendants - Edit'!AJ$1,FALSE)))</f>
        <v>Male. b. 15/02/1960 Baptised at Rudgwick, Sussex. Educated Gordonstoun.</v>
      </c>
      <c r="AK185" s="3" t="str">
        <f>IF(VLOOKUP($C185,'All Girls &amp; Descendants - Edit'!$C$2:$AK$440,'All Girls &amp; Descendants - Edit'!AK$1,FALSE)=""," - ",(VLOOKUP($C185,'All Girls &amp; Descendants - Edit'!$C$2:$AK$440,'All Girls &amp; Descendants - Edit'!AK$1,FALSE)))</f>
        <v>b. 15/02/1960</v>
      </c>
    </row>
    <row r="186" spans="1:37" ht="19">
      <c r="A186">
        <f>VLOOKUP(B186,'Loyd List 1-190 - Edit'!$P$1:$R$219,3,FALSE)</f>
        <v>66</v>
      </c>
      <c r="B186">
        <f>'All Girls &amp; Descendants - Edit'!B187</f>
        <v>88</v>
      </c>
      <c r="C186" s="98" t="str">
        <f>'All Girls &amp; Descendants - Edit'!C187</f>
        <v>88ac</v>
      </c>
      <c r="D186" s="2" t="str">
        <f>'All Girls &amp; Descendants - Edit'!D187</f>
        <v>HOLMAN</v>
      </c>
      <c r="E186" t="str">
        <f>'All Girls &amp; Descendants - Edit'!E187</f>
        <v>Georgina</v>
      </c>
      <c r="F186" t="str">
        <f>IF('All Girls &amp; Descendants - Edit'!F187="","",'All Girls &amp; Descendants - Edit'!F187)</f>
        <v>Mary</v>
      </c>
      <c r="G186" t="str">
        <f>IF('All Girls &amp; Descendants - Edit'!G187="","",'All Girls &amp; Descendants - Edit'!G187)</f>
        <v/>
      </c>
      <c r="H186" t="str">
        <f>IF('All Girls &amp; Descendants - Edit'!H187="","",'All Girls &amp; Descendants - Edit'!H187)</f>
        <v/>
      </c>
      <c r="I186">
        <f>VLOOKUP($C186,'All Girls &amp; Descendants - Edit'!$C$2:$AK$440,'All Girls &amp; Descendants - Edit'!I$1,FALSE)</f>
        <v>1964</v>
      </c>
      <c r="J186" t="str">
        <f>VLOOKUP($C186,'All Girls &amp; Descendants - Edit'!$C$2:$AK$440,'All Girls &amp; Descendants - Edit'!J$1,FALSE)</f>
        <v/>
      </c>
      <c r="K186" s="9"/>
      <c r="L186" t="str">
        <f t="shared" si="18"/>
        <v>04/10/1964</v>
      </c>
      <c r="M186" s="3">
        <f>VLOOKUP($C186,'All Girls &amp; Descendants - Edit'!$C$2:$AK$440,'All Girls &amp; Descendants - Edit'!M$1,FALSE)</f>
        <v>23654</v>
      </c>
      <c r="N186" s="3">
        <f>IF(VLOOKUP($C186,'All Girls &amp; Descendants - Edit'!$C$2:$AK$440,'All Girls &amp; Descendants - Edit'!N$1,FALSE)=""," - ",(VLOOKUP($C186,'All Girls &amp; Descendants - Edit'!$C$2:$AK$440,'All Girls &amp; Descendants - Edit'!N$1,FALSE)))</f>
        <v>32344</v>
      </c>
      <c r="O186" s="3" t="str">
        <f>IF(VLOOKUP($C186,'All Girls &amp; Descendants - Edit'!$C$2:$AK$440,'All Girls &amp; Descendants - Edit'!O$1,FALSE)="","",(VLOOKUP($C186,'All Girls &amp; Descendants - Edit'!$C$2:$AK$440,'All Girls &amp; Descendants - Edit'!O$1,FALSE)))</f>
        <v/>
      </c>
      <c r="P186" s="3" t="str">
        <f t="shared" si="19"/>
        <v/>
      </c>
      <c r="Q186" s="178" t="str">
        <f t="shared" si="20"/>
        <v>88a</v>
      </c>
      <c r="R186" s="23"/>
      <c r="S186" t="str">
        <f>VLOOKUP($C186,'All Girls &amp; Descendants - Edit'!$C$2:$AK$440,'All Girls &amp; Descendants - Edit'!S$1,FALSE)</f>
        <v>Female</v>
      </c>
      <c r="T186" s="176">
        <f t="shared" si="17"/>
        <v>7</v>
      </c>
      <c r="U186" s="176">
        <f t="shared" si="21"/>
        <v>4</v>
      </c>
      <c r="V186" s="176">
        <f t="shared" si="22"/>
        <v>5</v>
      </c>
      <c r="W186" s="177">
        <f t="shared" si="23"/>
        <v>2</v>
      </c>
      <c r="X186" s="3" t="str">
        <f>IF(VLOOKUP($C186,'All Girls &amp; Descendants - Edit'!$C$2:$AK$440,'All Girls &amp; Descendants - Edit'!X$1,FALSE)=""," - ",(VLOOKUP($C186,'All Girls &amp; Descendants - Edit'!$C$2:$AK$440,'All Girls &amp; Descendants - Edit'!X$1,FALSE)))</f>
        <v>Charles STIRRUP (b. 06/02/1961, d.)</v>
      </c>
      <c r="Y186" s="3" t="str">
        <f>IF(VLOOKUP($C186,'All Girls &amp; Descendants - Edit'!$C$2:$AK$440,'All Girls &amp; Descendants - Edit'!Y$1,FALSE)=""," - ",(VLOOKUP($C186,'All Girls &amp; Descendants - Edit'!$C$2:$AK$440,'All Girls &amp; Descendants - Edit'!Y$1,FALSE)))</f>
        <v>Married at Kincardine-O-Neil, Charles (b. 6 Feb 1961) of 6 St Luke’s Street, London SW3, only son of John Hayward STIRRUP of Christmas Cottage, Simon’s Town, Cape, South Africa.</v>
      </c>
      <c r="Z186" s="3" t="str">
        <f>IF(VLOOKUP($C186,'All Girls &amp; Descendants - Edit'!$C$2:$AK$440,'All Girls &amp; Descendants - Edit'!Z$1,FALSE)=""," - ",(VLOOKUP($C186,'All Girls &amp; Descendants - Edit'!$C$2:$AK$440,'All Girls &amp; Descendants - Edit'!Z$1,FALSE)))</f>
        <v>Baptised at Rudgwick, Sussex. Educated North Foreland Lodge, Basingstoke 1972-78.</v>
      </c>
      <c r="AA186" s="101">
        <f>IF(VLOOKUP($C186,'All Girls &amp; Descendants - Edit'!$C$2:$AK$440,'All Girls &amp; Descendants - Edit'!AA$1,FALSE)=""," - ",(VLOOKUP($C186,'All Girls &amp; Descendants - Edit'!$C$2:$AK$440,'All Girls &amp; Descendants - Edit'!AA$1,FALSE)))</f>
        <v>180</v>
      </c>
      <c r="AB186" s="101">
        <f>IF(VLOOKUP($C186,'All Girls &amp; Descendants - Edit'!$C$2:$AK$440,'All Girls &amp; Descendants - Edit'!AB$1,FALSE)=""," - ",(VLOOKUP($C186,'All Girls &amp; Descendants - Edit'!$C$2:$AK$440,'All Girls &amp; Descendants - Edit'!AB$1,FALSE)))</f>
        <v>43</v>
      </c>
      <c r="AC186" s="101">
        <f>IF(VLOOKUP($C186,'All Girls &amp; Descendants - Edit'!$C$2:$AK$440,'All Girls &amp; Descendants - Edit'!AC$1,FALSE)=""," - ",(VLOOKUP($C186,'All Girls &amp; Descendants - Edit'!$C$2:$AK$440,'All Girls &amp; Descendants - Edit'!AC$1,FALSE)))</f>
        <v>2043</v>
      </c>
      <c r="AD186" s="3" t="str">
        <f>IF(VLOOKUP($C186,'All Girls &amp; Descendants - Edit'!$C$2:$AK$440,'All Girls &amp; Descendants - Edit'!AD$1,FALSE)=""," - ",(VLOOKUP($C186,'All Girls &amp; Descendants - Edit'!$C$2:$AK$440,'All Girls &amp; Descendants - Edit'!AD$1,FALSE)))</f>
        <v>88ac</v>
      </c>
      <c r="AE186" s="3" t="str">
        <f>IF(VLOOKUP($C186,'All Girls &amp; Descendants - Edit'!$C$2:$AK$440,'All Girls &amp; Descendants - Edit'!AE$1,FALSE)=""," - ",(VLOOKUP($C186,'All Girls &amp; Descendants - Edit'!$C$2:$AK$440,'All Girls &amp; Descendants - Edit'!AE$1,FALSE)))</f>
        <v>Georgina Mary  HOLMAN (1964 - )</v>
      </c>
      <c r="AF186" s="3" t="str">
        <f>IF(VLOOKUP($C186,'All Girls &amp; Descendants - Edit'!$C$2:$AK$440,'All Girls &amp; Descendants - Edit'!AF$1,FALSE)=""," - ",(VLOOKUP($C186,'All Girls &amp; Descendants - Edit'!$C$2:$AK$440,'All Girls &amp; Descendants - Edit'!AF$1,FALSE)))</f>
        <v>Georgina HOLMAN (7th &amp; 88)</v>
      </c>
      <c r="AG186" s="3" t="str">
        <f>IF(VLOOKUP($C186,'All Girls &amp; Descendants - Edit'!$C$2:$AK$440,'All Girls &amp; Descendants - Edit'!AG$1,FALSE)=""," - ",(VLOOKUP($C186,'All Girls &amp; Descendants - Edit'!$C$2:$AK$440,'All Girls &amp; Descendants - Edit'!AG$1,FALSE)))</f>
        <v>Female</v>
      </c>
      <c r="AH186" s="3" t="str">
        <f>IF(VLOOKUP($C186,'All Girls &amp; Descendants - Edit'!$C$2:$AK$440,'All Girls &amp; Descendants - Edit'!AH$1,FALSE)=""," - ",(VLOOKUP($C186,'All Girls &amp; Descendants - Edit'!$C$2:$AK$440,'All Girls &amp; Descendants - Edit'!AH$1,FALSE)))</f>
        <v>7th</v>
      </c>
      <c r="AI186" s="3" t="str">
        <f>IF(VLOOKUP($C186,'All Girls &amp; Descendants - Edit'!$C$2:$AK$440,'All Girls &amp; Descendants - Edit'!AI$1,FALSE)=""," - ",(VLOOKUP($C186,'All Girls &amp; Descendants - Edit'!$C$2:$AK$440,'All Girls &amp; Descendants - Edit'!AI$1,FALSE)))</f>
        <v>Husband: Charles STIRRUP (b. 06/02/1961, d.). Married at Kincardine-O-Neil, Charles (b. 6 Feb 1961) of 6 St Luke’s Street, London SW3, only son of John Hayward STIRRUP of Christmas Cottage, Simon’s Town, Cape, South Africa.</v>
      </c>
      <c r="AJ186" s="3" t="str">
        <f>IF(VLOOKUP($C186,'All Girls &amp; Descendants - Edit'!$C$2:$AK$440,'All Girls &amp; Descendants - Edit'!AJ$1,FALSE)=""," - ",(VLOOKUP($C186,'All Girls &amp; Descendants - Edit'!$C$2:$AK$440,'All Girls &amp; Descendants - Edit'!AJ$1,FALSE)))</f>
        <v>Female. b. 04/10/1964 Baptised at Rudgwick, Sussex. Educated North Foreland Lodge, Basingstoke 1972-78.</v>
      </c>
      <c r="AK186" s="3" t="str">
        <f>IF(VLOOKUP($C186,'All Girls &amp; Descendants - Edit'!$C$2:$AK$440,'All Girls &amp; Descendants - Edit'!AK$1,FALSE)=""," - ",(VLOOKUP($C186,'All Girls &amp; Descendants - Edit'!$C$2:$AK$440,'All Girls &amp; Descendants - Edit'!AK$1,FALSE)))</f>
        <v>b. 04/10/1964</v>
      </c>
    </row>
    <row r="187" spans="1:37" ht="19">
      <c r="A187">
        <f>VLOOKUP(B187,'Loyd List 1-190 - Edit'!$P$1:$R$219,3,FALSE)</f>
        <v>66</v>
      </c>
      <c r="B187">
        <f>'All Girls &amp; Descendants - Edit'!B188</f>
        <v>88</v>
      </c>
      <c r="C187" s="98" t="str">
        <f>'All Girls &amp; Descendants - Edit'!C188</f>
        <v>88ad</v>
      </c>
      <c r="D187" s="2" t="str">
        <f>'All Girls &amp; Descendants - Edit'!D188</f>
        <v>HOLMAN</v>
      </c>
      <c r="E187" t="str">
        <f>'All Girls &amp; Descendants - Edit'!E188</f>
        <v>Emma</v>
      </c>
      <c r="F187" t="str">
        <f>IF('All Girls &amp; Descendants - Edit'!F188="","",'All Girls &amp; Descendants - Edit'!F188)</f>
        <v>Charlotte</v>
      </c>
      <c r="G187" t="str">
        <f>IF('All Girls &amp; Descendants - Edit'!G188="","",'All Girls &amp; Descendants - Edit'!G188)</f>
        <v/>
      </c>
      <c r="H187" t="str">
        <f>IF('All Girls &amp; Descendants - Edit'!H188="","",'All Girls &amp; Descendants - Edit'!H188)</f>
        <v/>
      </c>
      <c r="I187">
        <f>VLOOKUP($C187,'All Girls &amp; Descendants - Edit'!$C$2:$AK$440,'All Girls &amp; Descendants - Edit'!I$1,FALSE)</f>
        <v>1966</v>
      </c>
      <c r="J187" t="str">
        <f>VLOOKUP($C187,'All Girls &amp; Descendants - Edit'!$C$2:$AK$440,'All Girls &amp; Descendants - Edit'!J$1,FALSE)</f>
        <v/>
      </c>
      <c r="K187" s="9"/>
      <c r="L187" t="str">
        <f t="shared" si="18"/>
        <v>11/04/1966</v>
      </c>
      <c r="M187" s="3">
        <f>VLOOKUP($C187,'All Girls &amp; Descendants - Edit'!$C$2:$AK$440,'All Girls &amp; Descendants - Edit'!M$1,FALSE)</f>
        <v>24208</v>
      </c>
      <c r="N187" s="3">
        <f>IF(VLOOKUP($C187,'All Girls &amp; Descendants - Edit'!$C$2:$AK$440,'All Girls &amp; Descendants - Edit'!N$1,FALSE)=""," - ",(VLOOKUP($C187,'All Girls &amp; Descendants - Edit'!$C$2:$AK$440,'All Girls &amp; Descendants - Edit'!N$1,FALSE)))</f>
        <v>32984</v>
      </c>
      <c r="O187" s="3" t="str">
        <f>IF(VLOOKUP($C187,'All Girls &amp; Descendants - Edit'!$C$2:$AK$440,'All Girls &amp; Descendants - Edit'!O$1,FALSE)="","",(VLOOKUP($C187,'All Girls &amp; Descendants - Edit'!$C$2:$AK$440,'All Girls &amp; Descendants - Edit'!O$1,FALSE)))</f>
        <v/>
      </c>
      <c r="P187" s="3" t="str">
        <f t="shared" si="19"/>
        <v/>
      </c>
      <c r="Q187" s="178" t="str">
        <f t="shared" si="20"/>
        <v>88a</v>
      </c>
      <c r="R187" s="23"/>
      <c r="S187" t="str">
        <f>VLOOKUP($C187,'All Girls &amp; Descendants - Edit'!$C$2:$AK$440,'All Girls &amp; Descendants - Edit'!S$1,FALSE)</f>
        <v>Female</v>
      </c>
      <c r="T187" s="176">
        <f t="shared" si="17"/>
        <v>7</v>
      </c>
      <c r="U187" s="176">
        <f t="shared" si="21"/>
        <v>4</v>
      </c>
      <c r="V187" s="176">
        <f t="shared" si="22"/>
        <v>5</v>
      </c>
      <c r="W187" s="177">
        <f t="shared" si="23"/>
        <v>2</v>
      </c>
      <c r="X187" s="3" t="str">
        <f>IF(VLOOKUP($C187,'All Girls &amp; Descendants - Edit'!$C$2:$AK$440,'All Girls &amp; Descendants - Edit'!X$1,FALSE)=""," - ",(VLOOKUP($C187,'All Girls &amp; Descendants - Edit'!$C$2:$AK$440,'All Girls &amp; Descendants - Edit'!X$1,FALSE)))</f>
        <v>Benjamin (Ben) COLE (b. 16/03/1963, )</v>
      </c>
      <c r="Y187" s="3" t="str">
        <f>IF(VLOOKUP($C187,'All Girls &amp; Descendants - Edit'!$C$2:$AK$440,'All Girls &amp; Descendants - Edit'!Y$1,FALSE)=""," - ",(VLOOKUP($C187,'All Girls &amp; Descendants - Edit'!$C$2:$AK$440,'All Girls &amp; Descendants - Edit'!Y$1,FALSE)))</f>
        <v>Married  at Banchory. Ben of Staplecross, Sussex.</v>
      </c>
      <c r="Z187" s="3" t="str">
        <f>IF(VLOOKUP($C187,'All Girls &amp; Descendants - Edit'!$C$2:$AK$440,'All Girls &amp; Descendants - Edit'!Z$1,FALSE)=""," - ",(VLOOKUP($C187,'All Girls &amp; Descendants - Edit'!$C$2:$AK$440,'All Girls &amp; Descendants - Edit'!Z$1,FALSE)))</f>
        <v>Emma of Easter Friarton, Newport on Tay, Fife, DD6 8RB. Baptised at Rudgwick, Sussex. Educated Southover.</v>
      </c>
      <c r="AA187" s="101">
        <f>IF(VLOOKUP($C187,'All Girls &amp; Descendants - Edit'!$C$2:$AK$440,'All Girls &amp; Descendants - Edit'!AA$1,FALSE)=""," - ",(VLOOKUP($C187,'All Girls &amp; Descendants - Edit'!$C$2:$AK$440,'All Girls &amp; Descendants - Edit'!AA$1,FALSE)))</f>
        <v>184</v>
      </c>
      <c r="AB187" s="101">
        <f>IF(VLOOKUP($C187,'All Girls &amp; Descendants - Edit'!$C$2:$AK$440,'All Girls &amp; Descendants - Edit'!AB$1,FALSE)=""," - ",(VLOOKUP($C187,'All Girls &amp; Descendants - Edit'!$C$2:$AK$440,'All Girls &amp; Descendants - Edit'!AB$1,FALSE)))</f>
        <v>44</v>
      </c>
      <c r="AC187" s="101">
        <f>IF(VLOOKUP($C187,'All Girls &amp; Descendants - Edit'!$C$2:$AK$440,'All Girls &amp; Descendants - Edit'!AC$1,FALSE)=""," - ",(VLOOKUP($C187,'All Girls &amp; Descendants - Edit'!$C$2:$AK$440,'All Girls &amp; Descendants - Edit'!AC$1,FALSE)))</f>
        <v>2044</v>
      </c>
      <c r="AD187" s="3" t="str">
        <f>IF(VLOOKUP($C187,'All Girls &amp; Descendants - Edit'!$C$2:$AK$440,'All Girls &amp; Descendants - Edit'!AD$1,FALSE)=""," - ",(VLOOKUP($C187,'All Girls &amp; Descendants - Edit'!$C$2:$AK$440,'All Girls &amp; Descendants - Edit'!AD$1,FALSE)))</f>
        <v>88ad</v>
      </c>
      <c r="AE187" s="3" t="str">
        <f>IF(VLOOKUP($C187,'All Girls &amp; Descendants - Edit'!$C$2:$AK$440,'All Girls &amp; Descendants - Edit'!AE$1,FALSE)=""," - ",(VLOOKUP($C187,'All Girls &amp; Descendants - Edit'!$C$2:$AK$440,'All Girls &amp; Descendants - Edit'!AE$1,FALSE)))</f>
        <v>Emma Charlotte  HOLMAN (1966 - )</v>
      </c>
      <c r="AF187" s="3" t="str">
        <f>IF(VLOOKUP($C187,'All Girls &amp; Descendants - Edit'!$C$2:$AK$440,'All Girls &amp; Descendants - Edit'!AF$1,FALSE)=""," - ",(VLOOKUP($C187,'All Girls &amp; Descendants - Edit'!$C$2:$AK$440,'All Girls &amp; Descendants - Edit'!AF$1,FALSE)))</f>
        <v>Emma HOLMAN (7th &amp; 88)</v>
      </c>
      <c r="AG187" s="3" t="str">
        <f>IF(VLOOKUP($C187,'All Girls &amp; Descendants - Edit'!$C$2:$AK$440,'All Girls &amp; Descendants - Edit'!AG$1,FALSE)=""," - ",(VLOOKUP($C187,'All Girls &amp; Descendants - Edit'!$C$2:$AK$440,'All Girls &amp; Descendants - Edit'!AG$1,FALSE)))</f>
        <v>Female</v>
      </c>
      <c r="AH187" s="3" t="str">
        <f>IF(VLOOKUP($C187,'All Girls &amp; Descendants - Edit'!$C$2:$AK$440,'All Girls &amp; Descendants - Edit'!AH$1,FALSE)=""," - ",(VLOOKUP($C187,'All Girls &amp; Descendants - Edit'!$C$2:$AK$440,'All Girls &amp; Descendants - Edit'!AH$1,FALSE)))</f>
        <v>7th</v>
      </c>
      <c r="AI187" s="3" t="str">
        <f>IF(VLOOKUP($C187,'All Girls &amp; Descendants - Edit'!$C$2:$AK$440,'All Girls &amp; Descendants - Edit'!AI$1,FALSE)=""," - ",(VLOOKUP($C187,'All Girls &amp; Descendants - Edit'!$C$2:$AK$440,'All Girls &amp; Descendants - Edit'!AI$1,FALSE)))</f>
        <v>Husband: Benjamin (Ben) COLE (b. 16/03/1963, ). Married  at Banchory. Ben of Staplecross, Sussex.</v>
      </c>
      <c r="AJ187" s="3" t="str">
        <f>IF(VLOOKUP($C187,'All Girls &amp; Descendants - Edit'!$C$2:$AK$440,'All Girls &amp; Descendants - Edit'!AJ$1,FALSE)=""," - ",(VLOOKUP($C187,'All Girls &amp; Descendants - Edit'!$C$2:$AK$440,'All Girls &amp; Descendants - Edit'!AJ$1,FALSE)))</f>
        <v>Female. b. 11/04/1966 Emma of Easter Friarton, Newport on Tay, Fife, DD6 8RB. Baptised at Rudgwick, Sussex. Educated Southover.</v>
      </c>
      <c r="AK187" s="3" t="str">
        <f>IF(VLOOKUP($C187,'All Girls &amp; Descendants - Edit'!$C$2:$AK$440,'All Girls &amp; Descendants - Edit'!AK$1,FALSE)=""," - ",(VLOOKUP($C187,'All Girls &amp; Descendants - Edit'!$C$2:$AK$440,'All Girls &amp; Descendants - Edit'!AK$1,FALSE)))</f>
        <v>b. 11/04/1966</v>
      </c>
    </row>
    <row r="188" spans="1:37" ht="19">
      <c r="A188">
        <f>VLOOKUP(B188,'Loyd List 1-190 - Edit'!$P$1:$R$219,3,FALSE)</f>
        <v>66</v>
      </c>
      <c r="B188">
        <f>'All Girls &amp; Descendants - Edit'!B189</f>
        <v>88</v>
      </c>
      <c r="C188" s="98" t="str">
        <f>'All Girls &amp; Descendants - Edit'!C189</f>
        <v>88ba</v>
      </c>
      <c r="D188" s="2" t="str">
        <f>'All Girls &amp; Descendants - Edit'!D189</f>
        <v>KEITH</v>
      </c>
      <c r="E188" t="str">
        <f>'All Girls &amp; Descendants - Edit'!E189</f>
        <v>James</v>
      </c>
      <c r="F188" t="str">
        <f>IF('All Girls &amp; Descendants - Edit'!F189="","",'All Girls &amp; Descendants - Edit'!F189)</f>
        <v>William</v>
      </c>
      <c r="G188" t="str">
        <f>IF('All Girls &amp; Descendants - Edit'!G189="","",'All Girls &amp; Descendants - Edit'!G189)</f>
        <v>Falconer</v>
      </c>
      <c r="H188" t="str">
        <f>IF('All Girls &amp; Descendants - Edit'!H189="","",'All Girls &amp; Descendants - Edit'!H189)</f>
        <v/>
      </c>
      <c r="I188">
        <f>VLOOKUP($C188,'All Girls &amp; Descendants - Edit'!$C$2:$AK$440,'All Girls &amp; Descendants - Edit'!I$1,FALSE)</f>
        <v>1976</v>
      </c>
      <c r="J188" t="str">
        <f>VLOOKUP($C188,'All Girls &amp; Descendants - Edit'!$C$2:$AK$440,'All Girls &amp; Descendants - Edit'!J$1,FALSE)</f>
        <v/>
      </c>
      <c r="K188" s="9"/>
      <c r="L188" t="str">
        <f t="shared" si="18"/>
        <v>15/04/1976</v>
      </c>
      <c r="M188" s="3">
        <f>VLOOKUP($C188,'All Girls &amp; Descendants - Edit'!$C$2:$AK$440,'All Girls &amp; Descendants - Edit'!M$1,FALSE)</f>
        <v>27865</v>
      </c>
      <c r="N188" s="3" t="str">
        <f>IF(VLOOKUP($C188,'All Girls &amp; Descendants - Edit'!$C$2:$AK$440,'All Girls &amp; Descendants - Edit'!N$1,FALSE)=""," - ",(VLOOKUP($C188,'All Girls &amp; Descendants - Edit'!$C$2:$AK$440,'All Girls &amp; Descendants - Edit'!N$1,FALSE)))</f>
        <v xml:space="preserve"> - </v>
      </c>
      <c r="O188" s="3" t="str">
        <f>IF(VLOOKUP($C188,'All Girls &amp; Descendants - Edit'!$C$2:$AK$440,'All Girls &amp; Descendants - Edit'!O$1,FALSE)="","",(VLOOKUP($C188,'All Girls &amp; Descendants - Edit'!$C$2:$AK$440,'All Girls &amp; Descendants - Edit'!O$1,FALSE)))</f>
        <v/>
      </c>
      <c r="P188" s="3" t="str">
        <f t="shared" si="19"/>
        <v/>
      </c>
      <c r="Q188" s="178" t="str">
        <f t="shared" si="20"/>
        <v>88b</v>
      </c>
      <c r="R188" s="23"/>
      <c r="S188" t="str">
        <f>VLOOKUP($C188,'All Girls &amp; Descendants - Edit'!$C$2:$AK$440,'All Girls &amp; Descendants - Edit'!S$1,FALSE)</f>
        <v>Male</v>
      </c>
      <c r="T188" s="176">
        <f t="shared" si="17"/>
        <v>7</v>
      </c>
      <c r="U188" s="176">
        <f t="shared" si="21"/>
        <v>4</v>
      </c>
      <c r="V188" s="176">
        <f t="shared" si="22"/>
        <v>5</v>
      </c>
      <c r="W188" s="177">
        <f t="shared" si="23"/>
        <v>2</v>
      </c>
      <c r="X188" s="3" t="str">
        <f>IF(VLOOKUP($C188,'All Girls &amp; Descendants - Edit'!$C$2:$AK$440,'All Girls &amp; Descendants - Edit'!X$1,FALSE)=""," - ",(VLOOKUP($C188,'All Girls &amp; Descendants - Edit'!$C$2:$AK$440,'All Girls &amp; Descendants - Edit'!X$1,FALSE)))</f>
        <v>Carrie</v>
      </c>
      <c r="Y188" s="3" t="str">
        <f>IF(VLOOKUP($C188,'All Girls &amp; Descendants - Edit'!$C$2:$AK$440,'All Girls &amp; Descendants - Edit'!Y$1,FALSE)=""," - ",(VLOOKUP($C188,'All Girls &amp; Descendants - Edit'!$C$2:$AK$440,'All Girls &amp; Descendants - Edit'!Y$1,FALSE)))</f>
        <v xml:space="preserve"> - </v>
      </c>
      <c r="Z188" s="3" t="str">
        <f>IF(VLOOKUP($C188,'All Girls &amp; Descendants - Edit'!$C$2:$AK$440,'All Girls &amp; Descendants - Edit'!Z$1,FALSE)=""," - ",(VLOOKUP($C188,'All Girls &amp; Descendants - Edit'!$C$2:$AK$440,'All Girls &amp; Descendants - Edit'!Z$1,FALSE)))</f>
        <v>James William Falconer KEITH, Lord INVERURIE, Master of KINTORE.</v>
      </c>
      <c r="AA188" s="101">
        <f>IF(VLOOKUP($C188,'All Girls &amp; Descendants - Edit'!$C$2:$AK$440,'All Girls &amp; Descendants - Edit'!AA$1,FALSE)=""," - ",(VLOOKUP($C188,'All Girls &amp; Descendants - Edit'!$C$2:$AK$440,'All Girls &amp; Descendants - Edit'!AA$1,FALSE)))</f>
        <v>188</v>
      </c>
      <c r="AB188" s="101">
        <f>IF(VLOOKUP($C188,'All Girls &amp; Descendants - Edit'!$C$2:$AK$440,'All Girls &amp; Descendants - Edit'!AB$1,FALSE)=""," - ",(VLOOKUP($C188,'All Girls &amp; Descendants - Edit'!$C$2:$AK$440,'All Girls &amp; Descendants - Edit'!AB$1,FALSE)))</f>
        <v>45</v>
      </c>
      <c r="AC188" s="101">
        <f>IF(VLOOKUP($C188,'All Girls &amp; Descendants - Edit'!$C$2:$AK$440,'All Girls &amp; Descendants - Edit'!AC$1,FALSE)=""," - ",(VLOOKUP($C188,'All Girls &amp; Descendants - Edit'!$C$2:$AK$440,'All Girls &amp; Descendants - Edit'!AC$1,FALSE)))</f>
        <v>2045</v>
      </c>
      <c r="AD188" s="3" t="str">
        <f>IF(VLOOKUP($C188,'All Girls &amp; Descendants - Edit'!$C$2:$AK$440,'All Girls &amp; Descendants - Edit'!AD$1,FALSE)=""," - ",(VLOOKUP($C188,'All Girls &amp; Descendants - Edit'!$C$2:$AK$440,'All Girls &amp; Descendants - Edit'!AD$1,FALSE)))</f>
        <v>88ba</v>
      </c>
      <c r="AE188" s="3" t="str">
        <f>IF(VLOOKUP($C188,'All Girls &amp; Descendants - Edit'!$C$2:$AK$440,'All Girls &amp; Descendants - Edit'!AE$1,FALSE)=""," - ",(VLOOKUP($C188,'All Girls &amp; Descendants - Edit'!$C$2:$AK$440,'All Girls &amp; Descendants - Edit'!AE$1,FALSE)))</f>
        <v>James William Falconer KEITH (1976 - )</v>
      </c>
      <c r="AF188" s="3" t="str">
        <f>IF(VLOOKUP($C188,'All Girls &amp; Descendants - Edit'!$C$2:$AK$440,'All Girls &amp; Descendants - Edit'!AF$1,FALSE)=""," - ",(VLOOKUP($C188,'All Girls &amp; Descendants - Edit'!$C$2:$AK$440,'All Girls &amp; Descendants - Edit'!AF$1,FALSE)))</f>
        <v>James KEITH (7th &amp; 88)</v>
      </c>
      <c r="AG188" s="3" t="str">
        <f>IF(VLOOKUP($C188,'All Girls &amp; Descendants - Edit'!$C$2:$AK$440,'All Girls &amp; Descendants - Edit'!AG$1,FALSE)=""," - ",(VLOOKUP($C188,'All Girls &amp; Descendants - Edit'!$C$2:$AK$440,'All Girls &amp; Descendants - Edit'!AG$1,FALSE)))</f>
        <v>Male</v>
      </c>
      <c r="AH188" s="3" t="str">
        <f>IF(VLOOKUP($C188,'All Girls &amp; Descendants - Edit'!$C$2:$AK$440,'All Girls &amp; Descendants - Edit'!AH$1,FALSE)=""," - ",(VLOOKUP($C188,'All Girls &amp; Descendants - Edit'!$C$2:$AK$440,'All Girls &amp; Descendants - Edit'!AH$1,FALSE)))</f>
        <v>7th</v>
      </c>
      <c r="AI188" s="3" t="str">
        <f>IF(VLOOKUP($C188,'All Girls &amp; Descendants - Edit'!$C$2:$AK$440,'All Girls &amp; Descendants - Edit'!AI$1,FALSE)=""," - ",(VLOOKUP($C188,'All Girls &amp; Descendants - Edit'!$C$2:$AK$440,'All Girls &amp; Descendants - Edit'!AI$1,FALSE)))</f>
        <v xml:space="preserve">Wife: Carrie. </v>
      </c>
      <c r="AJ188" s="3" t="str">
        <f>IF(VLOOKUP($C188,'All Girls &amp; Descendants - Edit'!$C$2:$AK$440,'All Girls &amp; Descendants - Edit'!AJ$1,FALSE)=""," - ",(VLOOKUP($C188,'All Girls &amp; Descendants - Edit'!$C$2:$AK$440,'All Girls &amp; Descendants - Edit'!AJ$1,FALSE)))</f>
        <v>Male. b. 15/04/1976 James William Falconer KEITH, Lord INVERURIE, Master of KINTORE.</v>
      </c>
      <c r="AK188" s="3" t="str">
        <f>IF(VLOOKUP($C188,'All Girls &amp; Descendants - Edit'!$C$2:$AK$440,'All Girls &amp; Descendants - Edit'!AK$1,FALSE)=""," - ",(VLOOKUP($C188,'All Girls &amp; Descendants - Edit'!$C$2:$AK$440,'All Girls &amp; Descendants - Edit'!AK$1,FALSE)))</f>
        <v>b. 15/04/1976</v>
      </c>
    </row>
    <row r="189" spans="1:37" ht="19">
      <c r="A189">
        <f>VLOOKUP(B189,'Loyd List 1-190 - Edit'!$P$1:$R$219,3,FALSE)</f>
        <v>66</v>
      </c>
      <c r="B189">
        <f>'All Girls &amp; Descendants - Edit'!B190</f>
        <v>88</v>
      </c>
      <c r="C189" s="98" t="str">
        <f>'All Girls &amp; Descendants - Edit'!C190</f>
        <v>88ca</v>
      </c>
      <c r="D189" s="2" t="str">
        <f>'All Girls &amp; Descendants - Edit'!D190</f>
        <v>KEITH</v>
      </c>
      <c r="E189" t="str">
        <f>'All Girls &amp; Descendants - Edit'!E190</f>
        <v>The Honourable Iona</v>
      </c>
      <c r="F189" t="str">
        <f>IF('All Girls &amp; Descendants - Edit'!F190="","",'All Girls &amp; Descendants - Edit'!F190)</f>
        <v>Delia Mary</v>
      </c>
      <c r="G189" t="str">
        <f>IF('All Girls &amp; Descendants - Edit'!G190="","",'All Girls &amp; Descendants - Edit'!G190)</f>
        <v>Gaddis</v>
      </c>
      <c r="H189" t="str">
        <f>IF('All Girls &amp; Descendants - Edit'!H190="","",'All Girls &amp; Descendants - Edit'!H190)</f>
        <v/>
      </c>
      <c r="I189">
        <f>VLOOKUP($C189,'All Girls &amp; Descendants - Edit'!$C$2:$AK$440,'All Girls &amp; Descendants - Edit'!I$1,FALSE)</f>
        <v>1978</v>
      </c>
      <c r="J189" t="str">
        <f>VLOOKUP($C189,'All Girls &amp; Descendants - Edit'!$C$2:$AK$440,'All Girls &amp; Descendants - Edit'!J$1,FALSE)</f>
        <v/>
      </c>
      <c r="K189" s="9"/>
      <c r="L189" t="str">
        <f t="shared" si="18"/>
        <v>01/01/1978</v>
      </c>
      <c r="M189" s="3">
        <f>VLOOKUP($C189,'All Girls &amp; Descendants - Edit'!$C$2:$AK$440,'All Girls &amp; Descendants - Edit'!M$1,FALSE)</f>
        <v>28491</v>
      </c>
      <c r="N189" s="3" t="str">
        <f>IF(VLOOKUP($C189,'All Girls &amp; Descendants - Edit'!$C$2:$AK$440,'All Girls &amp; Descendants - Edit'!N$1,FALSE)=""," - ",(VLOOKUP($C189,'All Girls &amp; Descendants - Edit'!$C$2:$AK$440,'All Girls &amp; Descendants - Edit'!N$1,FALSE)))</f>
        <v xml:space="preserve"> - </v>
      </c>
      <c r="O189" s="3" t="str">
        <f>IF(VLOOKUP($C189,'All Girls &amp; Descendants - Edit'!$C$2:$AK$440,'All Girls &amp; Descendants - Edit'!O$1,FALSE)="","",(VLOOKUP($C189,'All Girls &amp; Descendants - Edit'!$C$2:$AK$440,'All Girls &amp; Descendants - Edit'!O$1,FALSE)))</f>
        <v/>
      </c>
      <c r="P189" s="3" t="str">
        <f t="shared" si="19"/>
        <v/>
      </c>
      <c r="Q189" s="178" t="str">
        <f t="shared" si="20"/>
        <v>88c</v>
      </c>
      <c r="R189" s="23"/>
      <c r="S189" t="str">
        <f>VLOOKUP($C189,'All Girls &amp; Descendants - Edit'!$C$2:$AK$440,'All Girls &amp; Descendants - Edit'!S$1,FALSE)</f>
        <v>Female</v>
      </c>
      <c r="T189" s="176">
        <f t="shared" si="17"/>
        <v>7</v>
      </c>
      <c r="U189" s="176">
        <f t="shared" si="21"/>
        <v>4</v>
      </c>
      <c r="V189" s="176">
        <f t="shared" si="22"/>
        <v>5</v>
      </c>
      <c r="W189" s="177">
        <f t="shared" si="23"/>
        <v>2</v>
      </c>
      <c r="X189" s="3" t="str">
        <f>IF(VLOOKUP($C189,'All Girls &amp; Descendants - Edit'!$C$2:$AK$440,'All Girls &amp; Descendants - Edit'!X$1,FALSE)=""," - ",(VLOOKUP($C189,'All Girls &amp; Descendants - Edit'!$C$2:$AK$440,'All Girls &amp; Descendants - Edit'!X$1,FALSE)))</f>
        <v>Mark HOPKINS</v>
      </c>
      <c r="Y189" s="3" t="str">
        <f>IF(VLOOKUP($C189,'All Girls &amp; Descendants - Edit'!$C$2:$AK$440,'All Girls &amp; Descendants - Edit'!Y$1,FALSE)=""," - ",(VLOOKUP($C189,'All Girls &amp; Descendants - Edit'!$C$2:$AK$440,'All Girls &amp; Descendants - Edit'!Y$1,FALSE)))</f>
        <v xml:space="preserve"> - </v>
      </c>
      <c r="Z189" s="3" t="str">
        <f>IF(VLOOKUP($C189,'All Girls &amp; Descendants - Edit'!$C$2:$AK$440,'All Girls &amp; Descendants - Edit'!Z$1,FALSE)=""," - ",(VLOOKUP($C189,'All Girls &amp; Descendants - Edit'!$C$2:$AK$440,'All Girls &amp; Descendants - Edit'!Z$1,FALSE)))</f>
        <v>The Hon Iona Delia Mary Gaddis KEITH. Baptised at Keith Hall Church.</v>
      </c>
      <c r="AA189" s="101">
        <f>IF(VLOOKUP($C189,'All Girls &amp; Descendants - Edit'!$C$2:$AK$440,'All Girls &amp; Descendants - Edit'!AA$1,FALSE)=""," - ",(VLOOKUP($C189,'All Girls &amp; Descendants - Edit'!$C$2:$AK$440,'All Girls &amp; Descendants - Edit'!AA$1,FALSE)))</f>
        <v>189</v>
      </c>
      <c r="AB189" s="101">
        <f>IF(VLOOKUP($C189,'All Girls &amp; Descendants - Edit'!$C$2:$AK$440,'All Girls &amp; Descendants - Edit'!AB$1,FALSE)=""," - ",(VLOOKUP($C189,'All Girls &amp; Descendants - Edit'!$C$2:$AK$440,'All Girls &amp; Descendants - Edit'!AB$1,FALSE)))</f>
        <v>46</v>
      </c>
      <c r="AC189" s="101">
        <f>IF(VLOOKUP($C189,'All Girls &amp; Descendants - Edit'!$C$2:$AK$440,'All Girls &amp; Descendants - Edit'!AC$1,FALSE)=""," - ",(VLOOKUP($C189,'All Girls &amp; Descendants - Edit'!$C$2:$AK$440,'All Girls &amp; Descendants - Edit'!AC$1,FALSE)))</f>
        <v>2046</v>
      </c>
      <c r="AD189" s="3" t="str">
        <f>IF(VLOOKUP($C189,'All Girls &amp; Descendants - Edit'!$C$2:$AK$440,'All Girls &amp; Descendants - Edit'!AD$1,FALSE)=""," - ",(VLOOKUP($C189,'All Girls &amp; Descendants - Edit'!$C$2:$AK$440,'All Girls &amp; Descendants - Edit'!AD$1,FALSE)))</f>
        <v>88ca</v>
      </c>
      <c r="AE189" s="3" t="str">
        <f>IF(VLOOKUP($C189,'All Girls &amp; Descendants - Edit'!$C$2:$AK$440,'All Girls &amp; Descendants - Edit'!AE$1,FALSE)=""," - ",(VLOOKUP($C189,'All Girls &amp; Descendants - Edit'!$C$2:$AK$440,'All Girls &amp; Descendants - Edit'!AE$1,FALSE)))</f>
        <v>The Honourable Iona Delia Mary Gaddis KEITH (1978 - )</v>
      </c>
      <c r="AF189" s="3" t="str">
        <f>IF(VLOOKUP($C189,'All Girls &amp; Descendants - Edit'!$C$2:$AK$440,'All Girls &amp; Descendants - Edit'!AF$1,FALSE)=""," - ",(VLOOKUP($C189,'All Girls &amp; Descendants - Edit'!$C$2:$AK$440,'All Girls &amp; Descendants - Edit'!AF$1,FALSE)))</f>
        <v>The Honourable Iona KEITH (7th &amp; 88)</v>
      </c>
      <c r="AG189" s="3" t="str">
        <f>IF(VLOOKUP($C189,'All Girls &amp; Descendants - Edit'!$C$2:$AK$440,'All Girls &amp; Descendants - Edit'!AG$1,FALSE)=""," - ",(VLOOKUP($C189,'All Girls &amp; Descendants - Edit'!$C$2:$AK$440,'All Girls &amp; Descendants - Edit'!AG$1,FALSE)))</f>
        <v>Female</v>
      </c>
      <c r="AH189" s="3" t="str">
        <f>IF(VLOOKUP($C189,'All Girls &amp; Descendants - Edit'!$C$2:$AK$440,'All Girls &amp; Descendants - Edit'!AH$1,FALSE)=""," - ",(VLOOKUP($C189,'All Girls &amp; Descendants - Edit'!$C$2:$AK$440,'All Girls &amp; Descendants - Edit'!AH$1,FALSE)))</f>
        <v>7th</v>
      </c>
      <c r="AI189" s="3" t="str">
        <f>IF(VLOOKUP($C189,'All Girls &amp; Descendants - Edit'!$C$2:$AK$440,'All Girls &amp; Descendants - Edit'!AI$1,FALSE)=""," - ",(VLOOKUP($C189,'All Girls &amp; Descendants - Edit'!$C$2:$AK$440,'All Girls &amp; Descendants - Edit'!AI$1,FALSE)))</f>
        <v xml:space="preserve">Husband: Mark HOPKINS. </v>
      </c>
      <c r="AJ189" s="3" t="str">
        <f>IF(VLOOKUP($C189,'All Girls &amp; Descendants - Edit'!$C$2:$AK$440,'All Girls &amp; Descendants - Edit'!AJ$1,FALSE)=""," - ",(VLOOKUP($C189,'All Girls &amp; Descendants - Edit'!$C$2:$AK$440,'All Girls &amp; Descendants - Edit'!AJ$1,FALSE)))</f>
        <v>Female. b. 01/01/1978 The Hon Iona Delia Mary Gaddis KEITH. Baptised at Keith Hall Church.</v>
      </c>
      <c r="AK189" s="3" t="str">
        <f>IF(VLOOKUP($C189,'All Girls &amp; Descendants - Edit'!$C$2:$AK$440,'All Girls &amp; Descendants - Edit'!AK$1,FALSE)=""," - ",(VLOOKUP($C189,'All Girls &amp; Descendants - Edit'!$C$2:$AK$440,'All Girls &amp; Descendants - Edit'!AK$1,FALSE)))</f>
        <v>b. 01/01/1978</v>
      </c>
    </row>
    <row r="190" spans="1:37" ht="19">
      <c r="A190">
        <f>VLOOKUP(B190,'Loyd List 1-190 - Edit'!$P$1:$R$219,3,FALSE)</f>
        <v>52</v>
      </c>
      <c r="B190">
        <f>'All Girls &amp; Descendants - Edit'!B191</f>
        <v>90</v>
      </c>
      <c r="C190" s="98" t="str">
        <f>'All Girls &amp; Descendants - Edit'!C191</f>
        <v>90aa</v>
      </c>
      <c r="D190" s="2" t="str">
        <f>'All Girls &amp; Descendants - Edit'!D191</f>
        <v>NORMAN</v>
      </c>
      <c r="E190" t="str">
        <f>'All Girls &amp; Descendants - Edit'!E191</f>
        <v>Emily</v>
      </c>
      <c r="F190" t="str">
        <f>IF('All Girls &amp; Descendants - Edit'!F191="","",'All Girls &amp; Descendants - Edit'!F191)</f>
        <v>Kate</v>
      </c>
      <c r="G190" t="str">
        <f>IF('All Girls &amp; Descendants - Edit'!G191="","",'All Girls &amp; Descendants - Edit'!G191)</f>
        <v/>
      </c>
      <c r="H190" t="str">
        <f>IF('All Girls &amp; Descendants - Edit'!H191="","",'All Girls &amp; Descendants - Edit'!H191)</f>
        <v/>
      </c>
      <c r="I190">
        <f>VLOOKUP($C190,'All Girls &amp; Descendants - Edit'!$C$2:$AK$440,'All Girls &amp; Descendants - Edit'!I$1,FALSE)</f>
        <v>1975</v>
      </c>
      <c r="J190" t="str">
        <f>VLOOKUP($C190,'All Girls &amp; Descendants - Edit'!$C$2:$AK$440,'All Girls &amp; Descendants - Edit'!J$1,FALSE)</f>
        <v/>
      </c>
      <c r="K190" s="9"/>
      <c r="L190" t="str">
        <f t="shared" si="18"/>
        <v>24/09/1975</v>
      </c>
      <c r="M190" s="3">
        <f>VLOOKUP($C190,'All Girls &amp; Descendants - Edit'!$C$2:$AK$440,'All Girls &amp; Descendants - Edit'!M$1,FALSE)</f>
        <v>27661</v>
      </c>
      <c r="N190" s="3" t="str">
        <f>IF(VLOOKUP($C190,'All Girls &amp; Descendants - Edit'!$C$2:$AK$440,'All Girls &amp; Descendants - Edit'!N$1,FALSE)=""," - ",(VLOOKUP($C190,'All Girls &amp; Descendants - Edit'!$C$2:$AK$440,'All Girls &amp; Descendants - Edit'!N$1,FALSE)))</f>
        <v xml:space="preserve"> - </v>
      </c>
      <c r="O190" s="3" t="str">
        <f>IF(VLOOKUP($C190,'All Girls &amp; Descendants - Edit'!$C$2:$AK$440,'All Girls &amp; Descendants - Edit'!O$1,FALSE)="","",(VLOOKUP($C190,'All Girls &amp; Descendants - Edit'!$C$2:$AK$440,'All Girls &amp; Descendants - Edit'!O$1,FALSE)))</f>
        <v/>
      </c>
      <c r="P190" s="3" t="str">
        <f t="shared" si="19"/>
        <v/>
      </c>
      <c r="Q190" s="178" t="str">
        <f t="shared" si="20"/>
        <v>90a</v>
      </c>
      <c r="R190" s="23"/>
      <c r="S190" t="str">
        <f>VLOOKUP($C190,'All Girls &amp; Descendants - Edit'!$C$2:$AK$440,'All Girls &amp; Descendants - Edit'!S$1,FALSE)</f>
        <v>Female</v>
      </c>
      <c r="T190" s="176">
        <f t="shared" si="17"/>
        <v>7</v>
      </c>
      <c r="U190" s="176">
        <f t="shared" si="21"/>
        <v>4</v>
      </c>
      <c r="V190" s="176">
        <f t="shared" si="22"/>
        <v>5</v>
      </c>
      <c r="W190" s="177">
        <f t="shared" si="23"/>
        <v>2</v>
      </c>
      <c r="X190" s="3" t="str">
        <f>IF(VLOOKUP($C190,'All Girls &amp; Descendants - Edit'!$C$2:$AK$440,'All Girls &amp; Descendants - Edit'!X$1,FALSE)=""," - ",(VLOOKUP($C190,'All Girls &amp; Descendants - Edit'!$C$2:$AK$440,'All Girls &amp; Descendants - Edit'!X$1,FALSE)))</f>
        <v xml:space="preserve"> - </v>
      </c>
      <c r="Y190" s="3" t="str">
        <f>IF(VLOOKUP($C190,'All Girls &amp; Descendants - Edit'!$C$2:$AK$440,'All Girls &amp; Descendants - Edit'!Y$1,FALSE)=""," - ",(VLOOKUP($C190,'All Girls &amp; Descendants - Edit'!$C$2:$AK$440,'All Girls &amp; Descendants - Edit'!Y$1,FALSE)))</f>
        <v xml:space="preserve"> - </v>
      </c>
      <c r="Z190" s="3" t="str">
        <f>IF(VLOOKUP($C190,'All Girls &amp; Descendants - Edit'!$C$2:$AK$440,'All Girls &amp; Descendants - Edit'!Z$1,FALSE)=""," - ",(VLOOKUP($C190,'All Girls &amp; Descendants - Edit'!$C$2:$AK$440,'All Girls &amp; Descendants - Edit'!Z$1,FALSE)))</f>
        <v>Adopted Emily Kate NORMAN. Educated North Foreland Lodge and Manchester University (BA Hons 1998).</v>
      </c>
      <c r="AA190" s="101">
        <f>IF(VLOOKUP($C190,'All Girls &amp; Descendants - Edit'!$C$2:$AK$440,'All Girls &amp; Descendants - Edit'!AA$1,FALSE)=""," - ",(VLOOKUP($C190,'All Girls &amp; Descendants - Edit'!$C$2:$AK$440,'All Girls &amp; Descendants - Edit'!AA$1,FALSE)))</f>
        <v>192</v>
      </c>
      <c r="AB190" s="101">
        <f>IF(VLOOKUP($C190,'All Girls &amp; Descendants - Edit'!$C$2:$AK$440,'All Girls &amp; Descendants - Edit'!AB$1,FALSE)=""," - ",(VLOOKUP($C190,'All Girls &amp; Descendants - Edit'!$C$2:$AK$440,'All Girls &amp; Descendants - Edit'!AB$1,FALSE)))</f>
        <v>47</v>
      </c>
      <c r="AC190" s="101">
        <f>IF(VLOOKUP($C190,'All Girls &amp; Descendants - Edit'!$C$2:$AK$440,'All Girls &amp; Descendants - Edit'!AC$1,FALSE)=""," - ",(VLOOKUP($C190,'All Girls &amp; Descendants - Edit'!$C$2:$AK$440,'All Girls &amp; Descendants - Edit'!AC$1,FALSE)))</f>
        <v>2047</v>
      </c>
      <c r="AD190" s="3" t="str">
        <f>IF(VLOOKUP($C190,'All Girls &amp; Descendants - Edit'!$C$2:$AK$440,'All Girls &amp; Descendants - Edit'!AD$1,FALSE)=""," - ",(VLOOKUP($C190,'All Girls &amp; Descendants - Edit'!$C$2:$AK$440,'All Girls &amp; Descendants - Edit'!AD$1,FALSE)))</f>
        <v>90aa</v>
      </c>
      <c r="AE190" s="3" t="str">
        <f>IF(VLOOKUP($C190,'All Girls &amp; Descendants - Edit'!$C$2:$AK$440,'All Girls &amp; Descendants - Edit'!AE$1,FALSE)=""," - ",(VLOOKUP($C190,'All Girls &amp; Descendants - Edit'!$C$2:$AK$440,'All Girls &amp; Descendants - Edit'!AE$1,FALSE)))</f>
        <v>Emily Kate  NORMAN (1975 - )</v>
      </c>
      <c r="AF190" s="3" t="str">
        <f>IF(VLOOKUP($C190,'All Girls &amp; Descendants - Edit'!$C$2:$AK$440,'All Girls &amp; Descendants - Edit'!AF$1,FALSE)=""," - ",(VLOOKUP($C190,'All Girls &amp; Descendants - Edit'!$C$2:$AK$440,'All Girls &amp; Descendants - Edit'!AF$1,FALSE)))</f>
        <v>Emily NORMAN (7th &amp; 90)</v>
      </c>
      <c r="AG190" s="3" t="str">
        <f>IF(VLOOKUP($C190,'All Girls &amp; Descendants - Edit'!$C$2:$AK$440,'All Girls &amp; Descendants - Edit'!AG$1,FALSE)=""," - ",(VLOOKUP($C190,'All Girls &amp; Descendants - Edit'!$C$2:$AK$440,'All Girls &amp; Descendants - Edit'!AG$1,FALSE)))</f>
        <v>Female</v>
      </c>
      <c r="AH190" s="3" t="str">
        <f>IF(VLOOKUP($C190,'All Girls &amp; Descendants - Edit'!$C$2:$AK$440,'All Girls &amp; Descendants - Edit'!AH$1,FALSE)=""," - ",(VLOOKUP($C190,'All Girls &amp; Descendants - Edit'!$C$2:$AK$440,'All Girls &amp; Descendants - Edit'!AH$1,FALSE)))</f>
        <v>7th</v>
      </c>
      <c r="AI190" s="3" t="str">
        <f>IF(VLOOKUP($C190,'All Girls &amp; Descendants - Edit'!$C$2:$AK$440,'All Girls &amp; Descendants - Edit'!AI$1,FALSE)=""," - ",(VLOOKUP($C190,'All Girls &amp; Descendants - Edit'!$C$2:$AK$440,'All Girls &amp; Descendants - Edit'!AI$1,FALSE)))</f>
        <v>Unmarried</v>
      </c>
      <c r="AJ190" s="3" t="str">
        <f>IF(VLOOKUP($C190,'All Girls &amp; Descendants - Edit'!$C$2:$AK$440,'All Girls &amp; Descendants - Edit'!AJ$1,FALSE)=""," - ",(VLOOKUP($C190,'All Girls &amp; Descendants - Edit'!$C$2:$AK$440,'All Girls &amp; Descendants - Edit'!AJ$1,FALSE)))</f>
        <v>Female. b. 24/09/1975 Adopted Emily Kate NORMAN. Educated North Foreland Lodge and Manchester University (BA Hons 1998).</v>
      </c>
      <c r="AK190" s="3" t="str">
        <f>IF(VLOOKUP($C190,'All Girls &amp; Descendants - Edit'!$C$2:$AK$440,'All Girls &amp; Descendants - Edit'!AK$1,FALSE)=""," - ",(VLOOKUP($C190,'All Girls &amp; Descendants - Edit'!$C$2:$AK$440,'All Girls &amp; Descendants - Edit'!AK$1,FALSE)))</f>
        <v>b. 24/09/1975</v>
      </c>
    </row>
    <row r="191" spans="1:37" ht="19">
      <c r="A191">
        <f>VLOOKUP(B191,'Loyd List 1-190 - Edit'!$P$1:$R$219,3,FALSE)</f>
        <v>52</v>
      </c>
      <c r="B191">
        <f>'All Girls &amp; Descendants - Edit'!B192</f>
        <v>90</v>
      </c>
      <c r="C191" s="98" t="str">
        <f>'All Girls &amp; Descendants - Edit'!C192</f>
        <v>90ab</v>
      </c>
      <c r="D191" s="2" t="str">
        <f>'All Girls &amp; Descendants - Edit'!D192</f>
        <v>RANKIN</v>
      </c>
      <c r="E191" t="str">
        <f>'All Girls &amp; Descendants - Edit'!E192</f>
        <v>Lachlan</v>
      </c>
      <c r="F191" t="str">
        <f>IF('All Girls &amp; Descendants - Edit'!F192="","",'All Girls &amp; Descendants - Edit'!F192)</f>
        <v>John</v>
      </c>
      <c r="G191" t="str">
        <f>IF('All Girls &amp; Descendants - Edit'!G192="","",'All Girls &amp; Descendants - Edit'!G192)</f>
        <v/>
      </c>
      <c r="H191" t="str">
        <f>IF('All Girls &amp; Descendants - Edit'!H192="","",'All Girls &amp; Descendants - Edit'!H192)</f>
        <v/>
      </c>
      <c r="I191">
        <f>VLOOKUP($C191,'All Girls &amp; Descendants - Edit'!$C$2:$AK$440,'All Girls &amp; Descendants - Edit'!I$1,FALSE)</f>
        <v>1980</v>
      </c>
      <c r="J191" t="str">
        <f>VLOOKUP($C191,'All Girls &amp; Descendants - Edit'!$C$2:$AK$440,'All Girls &amp; Descendants - Edit'!J$1,FALSE)</f>
        <v/>
      </c>
      <c r="K191" s="9"/>
      <c r="L191" t="str">
        <f t="shared" si="18"/>
        <v>27/04/1980</v>
      </c>
      <c r="M191" s="3">
        <f>VLOOKUP($C191,'All Girls &amp; Descendants - Edit'!$C$2:$AK$440,'All Girls &amp; Descendants - Edit'!M$1,FALSE)</f>
        <v>29338</v>
      </c>
      <c r="N191" s="3" t="str">
        <f>IF(VLOOKUP($C191,'All Girls &amp; Descendants - Edit'!$C$2:$AK$440,'All Girls &amp; Descendants - Edit'!N$1,FALSE)=""," - ",(VLOOKUP($C191,'All Girls &amp; Descendants - Edit'!$C$2:$AK$440,'All Girls &amp; Descendants - Edit'!N$1,FALSE)))</f>
        <v xml:space="preserve"> - </v>
      </c>
      <c r="O191" s="3" t="str">
        <f>IF(VLOOKUP($C191,'All Girls &amp; Descendants - Edit'!$C$2:$AK$440,'All Girls &amp; Descendants - Edit'!O$1,FALSE)="","",(VLOOKUP($C191,'All Girls &amp; Descendants - Edit'!$C$2:$AK$440,'All Girls &amp; Descendants - Edit'!O$1,FALSE)))</f>
        <v/>
      </c>
      <c r="P191" s="3" t="str">
        <f t="shared" si="19"/>
        <v/>
      </c>
      <c r="Q191" s="178" t="str">
        <f t="shared" si="20"/>
        <v>90a</v>
      </c>
      <c r="R191" s="23"/>
      <c r="S191" t="str">
        <f>VLOOKUP($C191,'All Girls &amp; Descendants - Edit'!$C$2:$AK$440,'All Girls &amp; Descendants - Edit'!S$1,FALSE)</f>
        <v>Male</v>
      </c>
      <c r="T191" s="176">
        <f t="shared" si="17"/>
        <v>7</v>
      </c>
      <c r="U191" s="176">
        <f t="shared" si="21"/>
        <v>4</v>
      </c>
      <c r="V191" s="176">
        <f t="shared" si="22"/>
        <v>5</v>
      </c>
      <c r="W191" s="177">
        <f t="shared" si="23"/>
        <v>2</v>
      </c>
      <c r="X191" s="3" t="str">
        <f>IF(VLOOKUP($C191,'All Girls &amp; Descendants - Edit'!$C$2:$AK$440,'All Girls &amp; Descendants - Edit'!X$1,FALSE)=""," - ",(VLOOKUP($C191,'All Girls &amp; Descendants - Edit'!$C$2:$AK$440,'All Girls &amp; Descendants - Edit'!X$1,FALSE)))</f>
        <v xml:space="preserve"> - </v>
      </c>
      <c r="Y191" s="3" t="str">
        <f>IF(VLOOKUP($C191,'All Girls &amp; Descendants - Edit'!$C$2:$AK$440,'All Girls &amp; Descendants - Edit'!Y$1,FALSE)=""," - ",(VLOOKUP($C191,'All Girls &amp; Descendants - Edit'!$C$2:$AK$440,'All Girls &amp; Descendants - Edit'!Y$1,FALSE)))</f>
        <v xml:space="preserve"> - </v>
      </c>
      <c r="Z191" s="3" t="str">
        <f>IF(VLOOKUP($C191,'All Girls &amp; Descendants - Edit'!$C$2:$AK$440,'All Girls &amp; Descendants - Edit'!Z$1,FALSE)=""," - ",(VLOOKUP($C191,'All Girls &amp; Descendants - Edit'!$C$2:$AK$440,'All Girls &amp; Descendants - Edit'!Z$1,FALSE)))</f>
        <v>Born at Queen Charlotte’s Hospital, London. Educated Eton and Manchester University.</v>
      </c>
      <c r="AA191" s="101">
        <f>IF(VLOOKUP($C191,'All Girls &amp; Descendants - Edit'!$C$2:$AK$440,'All Girls &amp; Descendants - Edit'!AA$1,FALSE)=""," - ",(VLOOKUP($C191,'All Girls &amp; Descendants - Edit'!$C$2:$AK$440,'All Girls &amp; Descendants - Edit'!AA$1,FALSE)))</f>
        <v>193</v>
      </c>
      <c r="AB191" s="101">
        <f>IF(VLOOKUP($C191,'All Girls &amp; Descendants - Edit'!$C$2:$AK$440,'All Girls &amp; Descendants - Edit'!AB$1,FALSE)=""," - ",(VLOOKUP($C191,'All Girls &amp; Descendants - Edit'!$C$2:$AK$440,'All Girls &amp; Descendants - Edit'!AB$1,FALSE)))</f>
        <v>48</v>
      </c>
      <c r="AC191" s="101">
        <f>IF(VLOOKUP($C191,'All Girls &amp; Descendants - Edit'!$C$2:$AK$440,'All Girls &amp; Descendants - Edit'!AC$1,FALSE)=""," - ",(VLOOKUP($C191,'All Girls &amp; Descendants - Edit'!$C$2:$AK$440,'All Girls &amp; Descendants - Edit'!AC$1,FALSE)))</f>
        <v>2048</v>
      </c>
      <c r="AD191" s="3" t="str">
        <f>IF(VLOOKUP($C191,'All Girls &amp; Descendants - Edit'!$C$2:$AK$440,'All Girls &amp; Descendants - Edit'!AD$1,FALSE)=""," - ",(VLOOKUP($C191,'All Girls &amp; Descendants - Edit'!$C$2:$AK$440,'All Girls &amp; Descendants - Edit'!AD$1,FALSE)))</f>
        <v>90ab</v>
      </c>
      <c r="AE191" s="3" t="str">
        <f>IF(VLOOKUP($C191,'All Girls &amp; Descendants - Edit'!$C$2:$AK$440,'All Girls &amp; Descendants - Edit'!AE$1,FALSE)=""," - ",(VLOOKUP($C191,'All Girls &amp; Descendants - Edit'!$C$2:$AK$440,'All Girls &amp; Descendants - Edit'!AE$1,FALSE)))</f>
        <v>Lachlan John  RANKIN (1980 - )</v>
      </c>
      <c r="AF191" s="3" t="str">
        <f>IF(VLOOKUP($C191,'All Girls &amp; Descendants - Edit'!$C$2:$AK$440,'All Girls &amp; Descendants - Edit'!AF$1,FALSE)=""," - ",(VLOOKUP($C191,'All Girls &amp; Descendants - Edit'!$C$2:$AK$440,'All Girls &amp; Descendants - Edit'!AF$1,FALSE)))</f>
        <v>Lachlan RANKIN (7th &amp; 90)</v>
      </c>
      <c r="AG191" s="3" t="str">
        <f>IF(VLOOKUP($C191,'All Girls &amp; Descendants - Edit'!$C$2:$AK$440,'All Girls &amp; Descendants - Edit'!AG$1,FALSE)=""," - ",(VLOOKUP($C191,'All Girls &amp; Descendants - Edit'!$C$2:$AK$440,'All Girls &amp; Descendants - Edit'!AG$1,FALSE)))</f>
        <v>Male</v>
      </c>
      <c r="AH191" s="3" t="str">
        <f>IF(VLOOKUP($C191,'All Girls &amp; Descendants - Edit'!$C$2:$AK$440,'All Girls &amp; Descendants - Edit'!AH$1,FALSE)=""," - ",(VLOOKUP($C191,'All Girls &amp; Descendants - Edit'!$C$2:$AK$440,'All Girls &amp; Descendants - Edit'!AH$1,FALSE)))</f>
        <v>7th</v>
      </c>
      <c r="AI191" s="3" t="str">
        <f>IF(VLOOKUP($C191,'All Girls &amp; Descendants - Edit'!$C$2:$AK$440,'All Girls &amp; Descendants - Edit'!AI$1,FALSE)=""," - ",(VLOOKUP($C191,'All Girls &amp; Descendants - Edit'!$C$2:$AK$440,'All Girls &amp; Descendants - Edit'!AI$1,FALSE)))</f>
        <v>Unmarried</v>
      </c>
      <c r="AJ191" s="3" t="str">
        <f>IF(VLOOKUP($C191,'All Girls &amp; Descendants - Edit'!$C$2:$AK$440,'All Girls &amp; Descendants - Edit'!AJ$1,FALSE)=""," - ",(VLOOKUP($C191,'All Girls &amp; Descendants - Edit'!$C$2:$AK$440,'All Girls &amp; Descendants - Edit'!AJ$1,FALSE)))</f>
        <v>Male. b. 27/04/1980 Born at Queen Charlotte’s Hospital, London. Educated Eton and Manchester University.</v>
      </c>
      <c r="AK191" s="3" t="str">
        <f>IF(VLOOKUP($C191,'All Girls &amp; Descendants - Edit'!$C$2:$AK$440,'All Girls &amp; Descendants - Edit'!AK$1,FALSE)=""," - ",(VLOOKUP($C191,'All Girls &amp; Descendants - Edit'!$C$2:$AK$440,'All Girls &amp; Descendants - Edit'!AK$1,FALSE)))</f>
        <v>b. 27/04/1980</v>
      </c>
    </row>
    <row r="192" spans="1:37" ht="19">
      <c r="A192">
        <f>VLOOKUP(B192,'Loyd List 1-190 - Edit'!$P$1:$R$219,3,FALSE)</f>
        <v>52</v>
      </c>
      <c r="B192">
        <f>'All Girls &amp; Descendants - Edit'!B193</f>
        <v>90</v>
      </c>
      <c r="C192" s="98" t="str">
        <f>'All Girls &amp; Descendants - Edit'!C193</f>
        <v>90ba</v>
      </c>
      <c r="D192" s="2" t="str">
        <f>'All Girls &amp; Descendants - Edit'!D193</f>
        <v>STUDIATI BERNI</v>
      </c>
      <c r="E192" t="str">
        <f>'All Girls &amp; Descendants - Edit'!E193</f>
        <v>Cesare</v>
      </c>
      <c r="F192" t="str">
        <f>IF('All Girls &amp; Descendants - Edit'!F193="","",'All Girls &amp; Descendants - Edit'!F193)</f>
        <v/>
      </c>
      <c r="G192" t="str">
        <f>IF('All Girls &amp; Descendants - Edit'!G193="","",'All Girls &amp; Descendants - Edit'!G193)</f>
        <v/>
      </c>
      <c r="H192" t="str">
        <f>IF('All Girls &amp; Descendants - Edit'!H193="","",'All Girls &amp; Descendants - Edit'!H193)</f>
        <v/>
      </c>
      <c r="I192">
        <f>VLOOKUP($C192,'All Girls &amp; Descendants - Edit'!$C$2:$AK$440,'All Girls &amp; Descendants - Edit'!I$1,FALSE)</f>
        <v>1972</v>
      </c>
      <c r="J192" t="str">
        <f>VLOOKUP($C192,'All Girls &amp; Descendants - Edit'!$C$2:$AK$440,'All Girls &amp; Descendants - Edit'!J$1,FALSE)</f>
        <v/>
      </c>
      <c r="K192" s="9"/>
      <c r="L192" t="str">
        <f t="shared" si="18"/>
        <v>07/09/1972</v>
      </c>
      <c r="M192" s="3">
        <f>VLOOKUP($C192,'All Girls &amp; Descendants - Edit'!$C$2:$AK$440,'All Girls &amp; Descendants - Edit'!M$1,FALSE)</f>
        <v>26549</v>
      </c>
      <c r="N192" s="3" t="str">
        <f>IF(VLOOKUP($C192,'All Girls &amp; Descendants - Edit'!$C$2:$AK$440,'All Girls &amp; Descendants - Edit'!N$1,FALSE)=""," - ",(VLOOKUP($C192,'All Girls &amp; Descendants - Edit'!$C$2:$AK$440,'All Girls &amp; Descendants - Edit'!N$1,FALSE)))</f>
        <v xml:space="preserve"> - </v>
      </c>
      <c r="O192" s="3" t="str">
        <f>IF(VLOOKUP($C192,'All Girls &amp; Descendants - Edit'!$C$2:$AK$440,'All Girls &amp; Descendants - Edit'!O$1,FALSE)="","",(VLOOKUP($C192,'All Girls &amp; Descendants - Edit'!$C$2:$AK$440,'All Girls &amp; Descendants - Edit'!O$1,FALSE)))</f>
        <v/>
      </c>
      <c r="P192" s="3" t="str">
        <f t="shared" si="19"/>
        <v/>
      </c>
      <c r="Q192" s="178" t="str">
        <f t="shared" si="20"/>
        <v>90b</v>
      </c>
      <c r="R192" s="23"/>
      <c r="S192" t="str">
        <f>VLOOKUP($C192,'All Girls &amp; Descendants - Edit'!$C$2:$AK$440,'All Girls &amp; Descendants - Edit'!S$1,FALSE)</f>
        <v>Female</v>
      </c>
      <c r="T192" s="176">
        <f t="shared" si="17"/>
        <v>7</v>
      </c>
      <c r="U192" s="176">
        <f t="shared" si="21"/>
        <v>4</v>
      </c>
      <c r="V192" s="176">
        <f t="shared" si="22"/>
        <v>5</v>
      </c>
      <c r="W192" s="177">
        <f t="shared" si="23"/>
        <v>2</v>
      </c>
      <c r="X192" s="3" t="str">
        <f>IF(VLOOKUP($C192,'All Girls &amp; Descendants - Edit'!$C$2:$AK$440,'All Girls &amp; Descendants - Edit'!X$1,FALSE)=""," - ",(VLOOKUP($C192,'All Girls &amp; Descendants - Edit'!$C$2:$AK$440,'All Girls &amp; Descendants - Edit'!X$1,FALSE)))</f>
        <v xml:space="preserve"> - </v>
      </c>
      <c r="Y192" s="3" t="str">
        <f>IF(VLOOKUP($C192,'All Girls &amp; Descendants - Edit'!$C$2:$AK$440,'All Girls &amp; Descendants - Edit'!Y$1,FALSE)=""," - ",(VLOOKUP($C192,'All Girls &amp; Descendants - Edit'!$C$2:$AK$440,'All Girls &amp; Descendants - Edit'!Y$1,FALSE)))</f>
        <v xml:space="preserve"> - </v>
      </c>
      <c r="Z192" s="3" t="str">
        <f>IF(VLOOKUP($C192,'All Girls &amp; Descendants - Edit'!$C$2:$AK$440,'All Girls &amp; Descendants - Edit'!Z$1,FALSE)=""," - ",(VLOOKUP($C192,'All Girls &amp; Descendants - Edit'!$C$2:$AK$440,'All Girls &amp; Descendants - Edit'!Z$1,FALSE)))</f>
        <v>Farm Manager, Pisa, Italy.</v>
      </c>
      <c r="AA192" s="101">
        <f>IF(VLOOKUP($C192,'All Girls &amp; Descendants - Edit'!$C$2:$AK$440,'All Girls &amp; Descendants - Edit'!AA$1,FALSE)=""," - ",(VLOOKUP($C192,'All Girls &amp; Descendants - Edit'!$C$2:$AK$440,'All Girls &amp; Descendants - Edit'!AA$1,FALSE)))</f>
        <v>195</v>
      </c>
      <c r="AB192" s="101">
        <f>IF(VLOOKUP($C192,'All Girls &amp; Descendants - Edit'!$C$2:$AK$440,'All Girls &amp; Descendants - Edit'!AB$1,FALSE)=""," - ",(VLOOKUP($C192,'All Girls &amp; Descendants - Edit'!$C$2:$AK$440,'All Girls &amp; Descendants - Edit'!AB$1,FALSE)))</f>
        <v>49</v>
      </c>
      <c r="AC192" s="101">
        <f>IF(VLOOKUP($C192,'All Girls &amp; Descendants - Edit'!$C$2:$AK$440,'All Girls &amp; Descendants - Edit'!AC$1,FALSE)=""," - ",(VLOOKUP($C192,'All Girls &amp; Descendants - Edit'!$C$2:$AK$440,'All Girls &amp; Descendants - Edit'!AC$1,FALSE)))</f>
        <v>2049</v>
      </c>
      <c r="AD192" s="3" t="str">
        <f>IF(VLOOKUP($C192,'All Girls &amp; Descendants - Edit'!$C$2:$AK$440,'All Girls &amp; Descendants - Edit'!AD$1,FALSE)=""," - ",(VLOOKUP($C192,'All Girls &amp; Descendants - Edit'!$C$2:$AK$440,'All Girls &amp; Descendants - Edit'!AD$1,FALSE)))</f>
        <v>90ba</v>
      </c>
      <c r="AE192" s="3" t="str">
        <f>IF(VLOOKUP($C192,'All Girls &amp; Descendants - Edit'!$C$2:$AK$440,'All Girls &amp; Descendants - Edit'!AE$1,FALSE)=""," - ",(VLOOKUP($C192,'All Girls &amp; Descendants - Edit'!$C$2:$AK$440,'All Girls &amp; Descendants - Edit'!AE$1,FALSE)))</f>
        <v>Cesare   STUDIATI BERNI (1972 - )</v>
      </c>
      <c r="AF192" s="3" t="str">
        <f>IF(VLOOKUP($C192,'All Girls &amp; Descendants - Edit'!$C$2:$AK$440,'All Girls &amp; Descendants - Edit'!AF$1,FALSE)=""," - ",(VLOOKUP($C192,'All Girls &amp; Descendants - Edit'!$C$2:$AK$440,'All Girls &amp; Descendants - Edit'!AF$1,FALSE)))</f>
        <v>Cesare STUDIATI BERNI (7th &amp; 90)</v>
      </c>
      <c r="AG192" s="3" t="str">
        <f>IF(VLOOKUP($C192,'All Girls &amp; Descendants - Edit'!$C$2:$AK$440,'All Girls &amp; Descendants - Edit'!AG$1,FALSE)=""," - ",(VLOOKUP($C192,'All Girls &amp; Descendants - Edit'!$C$2:$AK$440,'All Girls &amp; Descendants - Edit'!AG$1,FALSE)))</f>
        <v>Female</v>
      </c>
      <c r="AH192" s="3" t="str">
        <f>IF(VLOOKUP($C192,'All Girls &amp; Descendants - Edit'!$C$2:$AK$440,'All Girls &amp; Descendants - Edit'!AH$1,FALSE)=""," - ",(VLOOKUP($C192,'All Girls &amp; Descendants - Edit'!$C$2:$AK$440,'All Girls &amp; Descendants - Edit'!AH$1,FALSE)))</f>
        <v>7th</v>
      </c>
      <c r="AI192" s="3" t="str">
        <f>IF(VLOOKUP($C192,'All Girls &amp; Descendants - Edit'!$C$2:$AK$440,'All Girls &amp; Descendants - Edit'!AI$1,FALSE)=""," - ",(VLOOKUP($C192,'All Girls &amp; Descendants - Edit'!$C$2:$AK$440,'All Girls &amp; Descendants - Edit'!AI$1,FALSE)))</f>
        <v>Unmarried</v>
      </c>
      <c r="AJ192" s="3" t="str">
        <f>IF(VLOOKUP($C192,'All Girls &amp; Descendants - Edit'!$C$2:$AK$440,'All Girls &amp; Descendants - Edit'!AJ$1,FALSE)=""," - ",(VLOOKUP($C192,'All Girls &amp; Descendants - Edit'!$C$2:$AK$440,'All Girls &amp; Descendants - Edit'!AJ$1,FALSE)))</f>
        <v>Female. b. 07/09/1972 Farm Manager, Pisa, Italy.</v>
      </c>
      <c r="AK192" s="3" t="str">
        <f>IF(VLOOKUP($C192,'All Girls &amp; Descendants - Edit'!$C$2:$AK$440,'All Girls &amp; Descendants - Edit'!AK$1,FALSE)=""," - ",(VLOOKUP($C192,'All Girls &amp; Descendants - Edit'!$C$2:$AK$440,'All Girls &amp; Descendants - Edit'!AK$1,FALSE)))</f>
        <v>b. 07/09/1972</v>
      </c>
    </row>
    <row r="193" spans="1:37" ht="19">
      <c r="A193">
        <f>VLOOKUP(B193,'Loyd List 1-190 - Edit'!$P$1:$R$219,3,FALSE)</f>
        <v>52</v>
      </c>
      <c r="B193">
        <f>'All Girls &amp; Descendants - Edit'!B194</f>
        <v>90</v>
      </c>
      <c r="C193" s="98" t="str">
        <f>'All Girls &amp; Descendants - Edit'!C194</f>
        <v>90bb</v>
      </c>
      <c r="D193" s="2" t="str">
        <f>'All Girls &amp; Descendants - Edit'!D194</f>
        <v>STUDIATI BERNI</v>
      </c>
      <c r="E193" t="str">
        <f>'All Girls &amp; Descendants - Edit'!E194</f>
        <v>Viola</v>
      </c>
      <c r="F193" t="str">
        <f>IF('All Girls &amp; Descendants - Edit'!F194="","",'All Girls &amp; Descendants - Edit'!F194)</f>
        <v/>
      </c>
      <c r="G193" t="str">
        <f>IF('All Girls &amp; Descendants - Edit'!G194="","",'All Girls &amp; Descendants - Edit'!G194)</f>
        <v/>
      </c>
      <c r="H193" t="str">
        <f>IF('All Girls &amp; Descendants - Edit'!H194="","",'All Girls &amp; Descendants - Edit'!H194)</f>
        <v/>
      </c>
      <c r="I193">
        <f>VLOOKUP($C193,'All Girls &amp; Descendants - Edit'!$C$2:$AK$440,'All Girls &amp; Descendants - Edit'!I$1,FALSE)</f>
        <v>1975</v>
      </c>
      <c r="J193" t="str">
        <f>VLOOKUP($C193,'All Girls &amp; Descendants - Edit'!$C$2:$AK$440,'All Girls &amp; Descendants - Edit'!J$1,FALSE)</f>
        <v/>
      </c>
      <c r="K193" s="9"/>
      <c r="L193" t="str">
        <f t="shared" si="18"/>
        <v>30/07/1975</v>
      </c>
      <c r="M193" s="3">
        <f>VLOOKUP($C193,'All Girls &amp; Descendants - Edit'!$C$2:$AK$440,'All Girls &amp; Descendants - Edit'!M$1,FALSE)</f>
        <v>27605</v>
      </c>
      <c r="N193" s="3" t="str">
        <f>IF(VLOOKUP($C193,'All Girls &amp; Descendants - Edit'!$C$2:$AK$440,'All Girls &amp; Descendants - Edit'!N$1,FALSE)=""," - ",(VLOOKUP($C193,'All Girls &amp; Descendants - Edit'!$C$2:$AK$440,'All Girls &amp; Descendants - Edit'!N$1,FALSE)))</f>
        <v xml:space="preserve"> - </v>
      </c>
      <c r="O193" s="3" t="str">
        <f>IF(VLOOKUP($C193,'All Girls &amp; Descendants - Edit'!$C$2:$AK$440,'All Girls &amp; Descendants - Edit'!O$1,FALSE)="","",(VLOOKUP($C193,'All Girls &amp; Descendants - Edit'!$C$2:$AK$440,'All Girls &amp; Descendants - Edit'!O$1,FALSE)))</f>
        <v/>
      </c>
      <c r="P193" s="3" t="str">
        <f t="shared" si="19"/>
        <v/>
      </c>
      <c r="Q193" s="178" t="str">
        <f t="shared" si="20"/>
        <v>90b</v>
      </c>
      <c r="R193" s="23"/>
      <c r="S193" t="str">
        <f>VLOOKUP($C193,'All Girls &amp; Descendants - Edit'!$C$2:$AK$440,'All Girls &amp; Descendants - Edit'!S$1,FALSE)</f>
        <v>Female</v>
      </c>
      <c r="T193" s="176">
        <f t="shared" si="17"/>
        <v>7</v>
      </c>
      <c r="U193" s="176">
        <f t="shared" si="21"/>
        <v>4</v>
      </c>
      <c r="V193" s="176">
        <f t="shared" si="22"/>
        <v>5</v>
      </c>
      <c r="W193" s="177">
        <f t="shared" si="23"/>
        <v>2</v>
      </c>
      <c r="X193" s="3" t="str">
        <f>IF(VLOOKUP($C193,'All Girls &amp; Descendants - Edit'!$C$2:$AK$440,'All Girls &amp; Descendants - Edit'!X$1,FALSE)=""," - ",(VLOOKUP($C193,'All Girls &amp; Descendants - Edit'!$C$2:$AK$440,'All Girls &amp; Descendants - Edit'!X$1,FALSE)))</f>
        <v xml:space="preserve"> - </v>
      </c>
      <c r="Y193" s="3" t="str">
        <f>IF(VLOOKUP($C193,'All Girls &amp; Descendants - Edit'!$C$2:$AK$440,'All Girls &amp; Descendants - Edit'!Y$1,FALSE)=""," - ",(VLOOKUP($C193,'All Girls &amp; Descendants - Edit'!$C$2:$AK$440,'All Girls &amp; Descendants - Edit'!Y$1,FALSE)))</f>
        <v xml:space="preserve"> - </v>
      </c>
      <c r="Z193" s="3" t="str">
        <f>IF(VLOOKUP($C193,'All Girls &amp; Descendants - Edit'!$C$2:$AK$440,'All Girls &amp; Descendants - Edit'!Z$1,FALSE)=""," - ",(VLOOKUP($C193,'All Girls &amp; Descendants - Edit'!$C$2:$AK$440,'All Girls &amp; Descendants - Edit'!Z$1,FALSE)))</f>
        <v xml:space="preserve"> - </v>
      </c>
      <c r="AA193" s="101">
        <f>IF(VLOOKUP($C193,'All Girls &amp; Descendants - Edit'!$C$2:$AK$440,'All Girls &amp; Descendants - Edit'!AA$1,FALSE)=""," - ",(VLOOKUP($C193,'All Girls &amp; Descendants - Edit'!$C$2:$AK$440,'All Girls &amp; Descendants - Edit'!AA$1,FALSE)))</f>
        <v>196</v>
      </c>
      <c r="AB193" s="101">
        <f>IF(VLOOKUP($C193,'All Girls &amp; Descendants - Edit'!$C$2:$AK$440,'All Girls &amp; Descendants - Edit'!AB$1,FALSE)=""," - ",(VLOOKUP($C193,'All Girls &amp; Descendants - Edit'!$C$2:$AK$440,'All Girls &amp; Descendants - Edit'!AB$1,FALSE)))</f>
        <v>50</v>
      </c>
      <c r="AC193" s="101">
        <f>IF(VLOOKUP($C193,'All Girls &amp; Descendants - Edit'!$C$2:$AK$440,'All Girls &amp; Descendants - Edit'!AC$1,FALSE)=""," - ",(VLOOKUP($C193,'All Girls &amp; Descendants - Edit'!$C$2:$AK$440,'All Girls &amp; Descendants - Edit'!AC$1,FALSE)))</f>
        <v>2050</v>
      </c>
      <c r="AD193" s="3" t="str">
        <f>IF(VLOOKUP($C193,'All Girls &amp; Descendants - Edit'!$C$2:$AK$440,'All Girls &amp; Descendants - Edit'!AD$1,FALSE)=""," - ",(VLOOKUP($C193,'All Girls &amp; Descendants - Edit'!$C$2:$AK$440,'All Girls &amp; Descendants - Edit'!AD$1,FALSE)))</f>
        <v>90bb</v>
      </c>
      <c r="AE193" s="3" t="str">
        <f>IF(VLOOKUP($C193,'All Girls &amp; Descendants - Edit'!$C$2:$AK$440,'All Girls &amp; Descendants - Edit'!AE$1,FALSE)=""," - ",(VLOOKUP($C193,'All Girls &amp; Descendants - Edit'!$C$2:$AK$440,'All Girls &amp; Descendants - Edit'!AE$1,FALSE)))</f>
        <v>Viola   STUDIATI BERNI (1975 - )</v>
      </c>
      <c r="AF193" s="3" t="str">
        <f>IF(VLOOKUP($C193,'All Girls &amp; Descendants - Edit'!$C$2:$AK$440,'All Girls &amp; Descendants - Edit'!AF$1,FALSE)=""," - ",(VLOOKUP($C193,'All Girls &amp; Descendants - Edit'!$C$2:$AK$440,'All Girls &amp; Descendants - Edit'!AF$1,FALSE)))</f>
        <v>Viola STUDIATI BERNI (7th &amp; 90)</v>
      </c>
      <c r="AG193" s="3" t="str">
        <f>IF(VLOOKUP($C193,'All Girls &amp; Descendants - Edit'!$C$2:$AK$440,'All Girls &amp; Descendants - Edit'!AG$1,FALSE)=""," - ",(VLOOKUP($C193,'All Girls &amp; Descendants - Edit'!$C$2:$AK$440,'All Girls &amp; Descendants - Edit'!AG$1,FALSE)))</f>
        <v>Female</v>
      </c>
      <c r="AH193" s="3" t="str">
        <f>IF(VLOOKUP($C193,'All Girls &amp; Descendants - Edit'!$C$2:$AK$440,'All Girls &amp; Descendants - Edit'!AH$1,FALSE)=""," - ",(VLOOKUP($C193,'All Girls &amp; Descendants - Edit'!$C$2:$AK$440,'All Girls &amp; Descendants - Edit'!AH$1,FALSE)))</f>
        <v>7th</v>
      </c>
      <c r="AI193" s="3" t="str">
        <f>IF(VLOOKUP($C193,'All Girls &amp; Descendants - Edit'!$C$2:$AK$440,'All Girls &amp; Descendants - Edit'!AI$1,FALSE)=""," - ",(VLOOKUP($C193,'All Girls &amp; Descendants - Edit'!$C$2:$AK$440,'All Girls &amp; Descendants - Edit'!AI$1,FALSE)))</f>
        <v>Unmarried</v>
      </c>
      <c r="AJ193" s="3" t="str">
        <f>IF(VLOOKUP($C193,'All Girls &amp; Descendants - Edit'!$C$2:$AK$440,'All Girls &amp; Descendants - Edit'!AJ$1,FALSE)=""," - ",(VLOOKUP($C193,'All Girls &amp; Descendants - Edit'!$C$2:$AK$440,'All Girls &amp; Descendants - Edit'!AJ$1,FALSE)))</f>
        <v>Female. b. 30/07/1975</v>
      </c>
      <c r="AK193" s="3" t="str">
        <f>IF(VLOOKUP($C193,'All Girls &amp; Descendants - Edit'!$C$2:$AK$440,'All Girls &amp; Descendants - Edit'!AK$1,FALSE)=""," - ",(VLOOKUP($C193,'All Girls &amp; Descendants - Edit'!$C$2:$AK$440,'All Girls &amp; Descendants - Edit'!AK$1,FALSE)))</f>
        <v>b. 30/07/1975</v>
      </c>
    </row>
    <row r="194" spans="1:37" ht="19">
      <c r="A194">
        <f>VLOOKUP(B194,'Loyd List 1-190 - Edit'!$P$1:$R$219,3,FALSE)</f>
        <v>52</v>
      </c>
      <c r="B194">
        <f>'All Girls &amp; Descendants - Edit'!B195</f>
        <v>90</v>
      </c>
      <c r="C194" s="98" t="str">
        <f>'All Girls &amp; Descendants - Edit'!C195</f>
        <v>90ca</v>
      </c>
      <c r="D194" s="2" t="str">
        <f>'All Girls &amp; Descendants - Edit'!D195</f>
        <v>CLARKE</v>
      </c>
      <c r="E194" t="str">
        <f>'All Girls &amp; Descendants - Edit'!E195</f>
        <v xml:space="preserve">Georgina </v>
      </c>
      <c r="F194" t="str">
        <f>IF('All Girls &amp; Descendants - Edit'!F195="","",'All Girls &amp; Descendants - Edit'!F195)</f>
        <v>Louise</v>
      </c>
      <c r="G194" t="str">
        <f>IF('All Girls &amp; Descendants - Edit'!G195="","",'All Girls &amp; Descendants - Edit'!G195)</f>
        <v>Stephenson</v>
      </c>
      <c r="H194" t="str">
        <f>IF('All Girls &amp; Descendants - Edit'!H195="","",'All Girls &amp; Descendants - Edit'!H195)</f>
        <v/>
      </c>
      <c r="I194">
        <f>VLOOKUP($C194,'All Girls &amp; Descendants - Edit'!$C$2:$AK$440,'All Girls &amp; Descendants - Edit'!I$1,FALSE)</f>
        <v>1976</v>
      </c>
      <c r="J194" t="str">
        <f>VLOOKUP($C194,'All Girls &amp; Descendants - Edit'!$C$2:$AK$440,'All Girls &amp; Descendants - Edit'!J$1,FALSE)</f>
        <v/>
      </c>
      <c r="K194" s="9"/>
      <c r="L194" t="str">
        <f t="shared" si="18"/>
        <v>21/02/1976</v>
      </c>
      <c r="M194" s="3">
        <f>VLOOKUP($C194,'All Girls &amp; Descendants - Edit'!$C$2:$AK$440,'All Girls &amp; Descendants - Edit'!M$1,FALSE)</f>
        <v>27811</v>
      </c>
      <c r="N194" s="3" t="str">
        <f>IF(VLOOKUP($C194,'All Girls &amp; Descendants - Edit'!$C$2:$AK$440,'All Girls &amp; Descendants - Edit'!N$1,FALSE)=""," - ",(VLOOKUP($C194,'All Girls &amp; Descendants - Edit'!$C$2:$AK$440,'All Girls &amp; Descendants - Edit'!N$1,FALSE)))</f>
        <v xml:space="preserve"> - </v>
      </c>
      <c r="O194" s="3" t="str">
        <f>IF(VLOOKUP($C194,'All Girls &amp; Descendants - Edit'!$C$2:$AK$440,'All Girls &amp; Descendants - Edit'!O$1,FALSE)="","",(VLOOKUP($C194,'All Girls &amp; Descendants - Edit'!$C$2:$AK$440,'All Girls &amp; Descendants - Edit'!O$1,FALSE)))</f>
        <v/>
      </c>
      <c r="P194" s="3" t="str">
        <f t="shared" si="19"/>
        <v/>
      </c>
      <c r="Q194" s="178" t="str">
        <f t="shared" si="20"/>
        <v>90c</v>
      </c>
      <c r="R194" s="23"/>
      <c r="S194" t="str">
        <f>VLOOKUP($C194,'All Girls &amp; Descendants - Edit'!$C$2:$AK$440,'All Girls &amp; Descendants - Edit'!S$1,FALSE)</f>
        <v>Female</v>
      </c>
      <c r="T194" s="176">
        <f t="shared" si="17"/>
        <v>7</v>
      </c>
      <c r="U194" s="176">
        <f t="shared" si="21"/>
        <v>4</v>
      </c>
      <c r="V194" s="176">
        <f t="shared" si="22"/>
        <v>5</v>
      </c>
      <c r="W194" s="177">
        <f t="shared" si="23"/>
        <v>2</v>
      </c>
      <c r="X194" s="3" t="str">
        <f>IF(VLOOKUP($C194,'All Girls &amp; Descendants - Edit'!$C$2:$AK$440,'All Girls &amp; Descendants - Edit'!X$1,FALSE)=""," - ",(VLOOKUP($C194,'All Girls &amp; Descendants - Edit'!$C$2:$AK$440,'All Girls &amp; Descendants - Edit'!X$1,FALSE)))</f>
        <v xml:space="preserve"> - </v>
      </c>
      <c r="Y194" s="3" t="str">
        <f>IF(VLOOKUP($C194,'All Girls &amp; Descendants - Edit'!$C$2:$AK$440,'All Girls &amp; Descendants - Edit'!Y$1,FALSE)=""," - ",(VLOOKUP($C194,'All Girls &amp; Descendants - Edit'!$C$2:$AK$440,'All Girls &amp; Descendants - Edit'!Y$1,FALSE)))</f>
        <v xml:space="preserve"> - </v>
      </c>
      <c r="Z194" s="3" t="str">
        <f>IF(VLOOKUP($C194,'All Girls &amp; Descendants - Edit'!$C$2:$AK$440,'All Girls &amp; Descendants - Edit'!Z$1,FALSE)=""," - ",(VLOOKUP($C194,'All Girls &amp; Descendants - Edit'!$C$2:$AK$440,'All Girls &amp; Descendants - Edit'!Z$1,FALSE)))</f>
        <v xml:space="preserve">Born at St. Mary’s Hospital, Roehampton. Baptised Highbrook Church,West Sussex. Educated Downe House, Newbury and Newcastle University (BA Hons 1998). </v>
      </c>
      <c r="AA194" s="101">
        <f>IF(VLOOKUP($C194,'All Girls &amp; Descendants - Edit'!$C$2:$AK$440,'All Girls &amp; Descendants - Edit'!AA$1,FALSE)=""," - ",(VLOOKUP($C194,'All Girls &amp; Descendants - Edit'!$C$2:$AK$440,'All Girls &amp; Descendants - Edit'!AA$1,FALSE)))</f>
        <v>198</v>
      </c>
      <c r="AB194" s="101">
        <f>IF(VLOOKUP($C194,'All Girls &amp; Descendants - Edit'!$C$2:$AK$440,'All Girls &amp; Descendants - Edit'!AB$1,FALSE)=""," - ",(VLOOKUP($C194,'All Girls &amp; Descendants - Edit'!$C$2:$AK$440,'All Girls &amp; Descendants - Edit'!AB$1,FALSE)))</f>
        <v>51</v>
      </c>
      <c r="AC194" s="101">
        <f>IF(VLOOKUP($C194,'All Girls &amp; Descendants - Edit'!$C$2:$AK$440,'All Girls &amp; Descendants - Edit'!AC$1,FALSE)=""," - ",(VLOOKUP($C194,'All Girls &amp; Descendants - Edit'!$C$2:$AK$440,'All Girls &amp; Descendants - Edit'!AC$1,FALSE)))</f>
        <v>2051</v>
      </c>
      <c r="AD194" s="3" t="str">
        <f>IF(VLOOKUP($C194,'All Girls &amp; Descendants - Edit'!$C$2:$AK$440,'All Girls &amp; Descendants - Edit'!AD$1,FALSE)=""," - ",(VLOOKUP($C194,'All Girls &amp; Descendants - Edit'!$C$2:$AK$440,'All Girls &amp; Descendants - Edit'!AD$1,FALSE)))</f>
        <v>90ca</v>
      </c>
      <c r="AE194" s="3" t="str">
        <f>IF(VLOOKUP($C194,'All Girls &amp; Descendants - Edit'!$C$2:$AK$440,'All Girls &amp; Descendants - Edit'!AE$1,FALSE)=""," - ",(VLOOKUP($C194,'All Girls &amp; Descendants - Edit'!$C$2:$AK$440,'All Girls &amp; Descendants - Edit'!AE$1,FALSE)))</f>
        <v>Georgina  Louise Stephenson CLARKE (1976 - )</v>
      </c>
      <c r="AF194" s="3" t="str">
        <f>IF(VLOOKUP($C194,'All Girls &amp; Descendants - Edit'!$C$2:$AK$440,'All Girls &amp; Descendants - Edit'!AF$1,FALSE)=""," - ",(VLOOKUP($C194,'All Girls &amp; Descendants - Edit'!$C$2:$AK$440,'All Girls &amp; Descendants - Edit'!AF$1,FALSE)))</f>
        <v>Georgina  CLARKE (7th &amp; 90)</v>
      </c>
      <c r="AG194" s="3" t="str">
        <f>IF(VLOOKUP($C194,'All Girls &amp; Descendants - Edit'!$C$2:$AK$440,'All Girls &amp; Descendants - Edit'!AG$1,FALSE)=""," - ",(VLOOKUP($C194,'All Girls &amp; Descendants - Edit'!$C$2:$AK$440,'All Girls &amp; Descendants - Edit'!AG$1,FALSE)))</f>
        <v>Female</v>
      </c>
      <c r="AH194" s="3" t="str">
        <f>IF(VLOOKUP($C194,'All Girls &amp; Descendants - Edit'!$C$2:$AK$440,'All Girls &amp; Descendants - Edit'!AH$1,FALSE)=""," - ",(VLOOKUP($C194,'All Girls &amp; Descendants - Edit'!$C$2:$AK$440,'All Girls &amp; Descendants - Edit'!AH$1,FALSE)))</f>
        <v>7th</v>
      </c>
      <c r="AI194" s="3" t="str">
        <f>IF(VLOOKUP($C194,'All Girls &amp; Descendants - Edit'!$C$2:$AK$440,'All Girls &amp; Descendants - Edit'!AI$1,FALSE)=""," - ",(VLOOKUP($C194,'All Girls &amp; Descendants - Edit'!$C$2:$AK$440,'All Girls &amp; Descendants - Edit'!AI$1,FALSE)))</f>
        <v>Unmarried</v>
      </c>
      <c r="AJ194" s="3" t="str">
        <f>IF(VLOOKUP($C194,'All Girls &amp; Descendants - Edit'!$C$2:$AK$440,'All Girls &amp; Descendants - Edit'!AJ$1,FALSE)=""," - ",(VLOOKUP($C194,'All Girls &amp; Descendants - Edit'!$C$2:$AK$440,'All Girls &amp; Descendants - Edit'!AJ$1,FALSE)))</f>
        <v xml:space="preserve">Female. b. 21/02/1976 Born at St. Mary’s Hospital, Roehampton. Baptised Highbrook Church,West Sussex. Educated Downe House, Newbury and Newcastle University (BA Hons 1998). </v>
      </c>
      <c r="AK194" s="3" t="str">
        <f>IF(VLOOKUP($C194,'All Girls &amp; Descendants - Edit'!$C$2:$AK$440,'All Girls &amp; Descendants - Edit'!AK$1,FALSE)=""," - ",(VLOOKUP($C194,'All Girls &amp; Descendants - Edit'!$C$2:$AK$440,'All Girls &amp; Descendants - Edit'!AK$1,FALSE)))</f>
        <v>b. 21/02/1976</v>
      </c>
    </row>
    <row r="195" spans="1:37" ht="19">
      <c r="A195">
        <f>VLOOKUP(B195,'Loyd List 1-190 - Edit'!$P$1:$R$219,3,FALSE)</f>
        <v>52</v>
      </c>
      <c r="B195">
        <f>'All Girls &amp; Descendants - Edit'!B196</f>
        <v>90</v>
      </c>
      <c r="C195" s="98" t="str">
        <f>'All Girls &amp; Descendants - Edit'!C196</f>
        <v>90cb</v>
      </c>
      <c r="D195" s="2" t="str">
        <f>'All Girls &amp; Descendants - Edit'!D196</f>
        <v>CLARKE</v>
      </c>
      <c r="E195" t="str">
        <f>'All Girls &amp; Descendants - Edit'!E196</f>
        <v>Philippa</v>
      </c>
      <c r="F195" t="str">
        <f>IF('All Girls &amp; Descendants - Edit'!F196="","",'All Girls &amp; Descendants - Edit'!F196)</f>
        <v>Francesca</v>
      </c>
      <c r="G195" t="str">
        <f>IF('All Girls &amp; Descendants - Edit'!G196="","",'All Girls &amp; Descendants - Edit'!G196)</f>
        <v>Stephenson</v>
      </c>
      <c r="H195" t="str">
        <f>IF('All Girls &amp; Descendants - Edit'!H196="","",'All Girls &amp; Descendants - Edit'!H196)</f>
        <v/>
      </c>
      <c r="I195">
        <f>VLOOKUP($C195,'All Girls &amp; Descendants - Edit'!$C$2:$AK$440,'All Girls &amp; Descendants - Edit'!I$1,FALSE)</f>
        <v>1980</v>
      </c>
      <c r="J195">
        <f>VLOOKUP($C195,'All Girls &amp; Descendants - Edit'!$C$2:$AK$440,'All Girls &amp; Descendants - Edit'!J$1,FALSE)</f>
        <v>1980</v>
      </c>
      <c r="K195" s="9"/>
      <c r="L195" t="str">
        <f t="shared" si="18"/>
        <v>15/01/1980</v>
      </c>
      <c r="M195" s="3">
        <f>VLOOKUP($C195,'All Girls &amp; Descendants - Edit'!$C$2:$AK$440,'All Girls &amp; Descendants - Edit'!M$1,FALSE)</f>
        <v>29235</v>
      </c>
      <c r="N195" s="3" t="str">
        <f>IF(VLOOKUP($C195,'All Girls &amp; Descendants - Edit'!$C$2:$AK$440,'All Girls &amp; Descendants - Edit'!N$1,FALSE)=""," - ",(VLOOKUP($C195,'All Girls &amp; Descendants - Edit'!$C$2:$AK$440,'All Girls &amp; Descendants - Edit'!N$1,FALSE)))</f>
        <v xml:space="preserve"> - </v>
      </c>
      <c r="O195" s="3">
        <f>IF(VLOOKUP($C195,'All Girls &amp; Descendants - Edit'!$C$2:$AK$440,'All Girls &amp; Descendants - Edit'!O$1,FALSE)="","",(VLOOKUP($C195,'All Girls &amp; Descendants - Edit'!$C$2:$AK$440,'All Girls &amp; Descendants - Edit'!O$1,FALSE)))</f>
        <v>29320</v>
      </c>
      <c r="P195" s="3" t="str">
        <f t="shared" si="19"/>
        <v>09/04/1980</v>
      </c>
      <c r="Q195" s="178" t="str">
        <f t="shared" si="20"/>
        <v>90c</v>
      </c>
      <c r="R195" s="23"/>
      <c r="S195" t="str">
        <f>VLOOKUP($C195,'All Girls &amp; Descendants - Edit'!$C$2:$AK$440,'All Girls &amp; Descendants - Edit'!S$1,FALSE)</f>
        <v>Female</v>
      </c>
      <c r="T195" s="176">
        <f t="shared" si="17"/>
        <v>7</v>
      </c>
      <c r="U195" s="176">
        <f t="shared" si="21"/>
        <v>4</v>
      </c>
      <c r="V195" s="176">
        <f t="shared" si="22"/>
        <v>5</v>
      </c>
      <c r="W195" s="177">
        <f t="shared" si="23"/>
        <v>2</v>
      </c>
      <c r="X195" s="3" t="str">
        <f>IF(VLOOKUP($C195,'All Girls &amp; Descendants - Edit'!$C$2:$AK$440,'All Girls &amp; Descendants - Edit'!X$1,FALSE)=""," - ",(VLOOKUP($C195,'All Girls &amp; Descendants - Edit'!$C$2:$AK$440,'All Girls &amp; Descendants - Edit'!X$1,FALSE)))</f>
        <v xml:space="preserve"> - </v>
      </c>
      <c r="Y195" s="3" t="str">
        <f>IF(VLOOKUP($C195,'All Girls &amp; Descendants - Edit'!$C$2:$AK$440,'All Girls &amp; Descendants - Edit'!Y$1,FALSE)=""," - ",(VLOOKUP($C195,'All Girls &amp; Descendants - Edit'!$C$2:$AK$440,'All Girls &amp; Descendants - Edit'!Y$1,FALSE)))</f>
        <v xml:space="preserve"> - </v>
      </c>
      <c r="Z195" s="3" t="str">
        <f>IF(VLOOKUP($C195,'All Girls &amp; Descendants - Edit'!$C$2:$AK$440,'All Girls &amp; Descendants - Edit'!Z$1,FALSE)=""," - ",(VLOOKUP($C195,'All Girls &amp; Descendants - Edit'!$C$2:$AK$440,'All Girls &amp; Descendants - Edit'!Z$1,FALSE)))</f>
        <v>Born at St. Mary’s Hospital, Roehampton, baptised  Highbrook Church, West Sussex. Died 9 Apr 1980, buried at Highbrook Church, West Sussex.</v>
      </c>
      <c r="AA195" s="101">
        <f>IF(VLOOKUP($C195,'All Girls &amp; Descendants - Edit'!$C$2:$AK$440,'All Girls &amp; Descendants - Edit'!AA$1,FALSE)=""," - ",(VLOOKUP($C195,'All Girls &amp; Descendants - Edit'!$C$2:$AK$440,'All Girls &amp; Descendants - Edit'!AA$1,FALSE)))</f>
        <v>199</v>
      </c>
      <c r="AB195" s="101">
        <f>IF(VLOOKUP($C195,'All Girls &amp; Descendants - Edit'!$C$2:$AK$440,'All Girls &amp; Descendants - Edit'!AB$1,FALSE)=""," - ",(VLOOKUP($C195,'All Girls &amp; Descendants - Edit'!$C$2:$AK$440,'All Girls &amp; Descendants - Edit'!AB$1,FALSE)))</f>
        <v>52</v>
      </c>
      <c r="AC195" s="101">
        <f>IF(VLOOKUP($C195,'All Girls &amp; Descendants - Edit'!$C$2:$AK$440,'All Girls &amp; Descendants - Edit'!AC$1,FALSE)=""," - ",(VLOOKUP($C195,'All Girls &amp; Descendants - Edit'!$C$2:$AK$440,'All Girls &amp; Descendants - Edit'!AC$1,FALSE)))</f>
        <v>2052</v>
      </c>
      <c r="AD195" s="3" t="str">
        <f>IF(VLOOKUP($C195,'All Girls &amp; Descendants - Edit'!$C$2:$AK$440,'All Girls &amp; Descendants - Edit'!AD$1,FALSE)=""," - ",(VLOOKUP($C195,'All Girls &amp; Descendants - Edit'!$C$2:$AK$440,'All Girls &amp; Descendants - Edit'!AD$1,FALSE)))</f>
        <v>90cb</v>
      </c>
      <c r="AE195" s="3" t="str">
        <f>IF(VLOOKUP($C195,'All Girls &amp; Descendants - Edit'!$C$2:$AK$440,'All Girls &amp; Descendants - Edit'!AE$1,FALSE)=""," - ",(VLOOKUP($C195,'All Girls &amp; Descendants - Edit'!$C$2:$AK$440,'All Girls &amp; Descendants - Edit'!AE$1,FALSE)))</f>
        <v>Philippa Francesca Stephenson CLARKE (1980 - 1980)</v>
      </c>
      <c r="AF195" s="3" t="str">
        <f>IF(VLOOKUP($C195,'All Girls &amp; Descendants - Edit'!$C$2:$AK$440,'All Girls &amp; Descendants - Edit'!AF$1,FALSE)=""," - ",(VLOOKUP($C195,'All Girls &amp; Descendants - Edit'!$C$2:$AK$440,'All Girls &amp; Descendants - Edit'!AF$1,FALSE)))</f>
        <v>Philippa CLARKE (7th &amp; 90)</v>
      </c>
      <c r="AG195" s="3" t="str">
        <f>IF(VLOOKUP($C195,'All Girls &amp; Descendants - Edit'!$C$2:$AK$440,'All Girls &amp; Descendants - Edit'!AG$1,FALSE)=""," - ",(VLOOKUP($C195,'All Girls &amp; Descendants - Edit'!$C$2:$AK$440,'All Girls &amp; Descendants - Edit'!AG$1,FALSE)))</f>
        <v>Female</v>
      </c>
      <c r="AH195" s="3" t="str">
        <f>IF(VLOOKUP($C195,'All Girls &amp; Descendants - Edit'!$C$2:$AK$440,'All Girls &amp; Descendants - Edit'!AH$1,FALSE)=""," - ",(VLOOKUP($C195,'All Girls &amp; Descendants - Edit'!$C$2:$AK$440,'All Girls &amp; Descendants - Edit'!AH$1,FALSE)))</f>
        <v>7th</v>
      </c>
      <c r="AI195" s="3" t="str">
        <f>IF(VLOOKUP($C195,'All Girls &amp; Descendants - Edit'!$C$2:$AK$440,'All Girls &amp; Descendants - Edit'!AI$1,FALSE)=""," - ",(VLOOKUP($C195,'All Girls &amp; Descendants - Edit'!$C$2:$AK$440,'All Girls &amp; Descendants - Edit'!AI$1,FALSE)))</f>
        <v>Unmarried</v>
      </c>
      <c r="AJ195" s="3" t="str">
        <f>IF(VLOOKUP($C195,'All Girls &amp; Descendants - Edit'!$C$2:$AK$440,'All Girls &amp; Descendants - Edit'!AJ$1,FALSE)=""," - ",(VLOOKUP($C195,'All Girls &amp; Descendants - Edit'!$C$2:$AK$440,'All Girls &amp; Descendants - Edit'!AJ$1,FALSE)))</f>
        <v>Female. b. 15/01/1980, d. 09/04/1980. Born at St. Mary’s Hospital, Roehampton, baptised  Highbrook Church, West Sussex. Died 9 Apr 1980, buried at Highbrook Church, West Sussex.</v>
      </c>
      <c r="AK195" s="3" t="str">
        <f>IF(VLOOKUP($C195,'All Girls &amp; Descendants - Edit'!$C$2:$AK$440,'All Girls &amp; Descendants - Edit'!AK$1,FALSE)=""," - ",(VLOOKUP($C195,'All Girls &amp; Descendants - Edit'!$C$2:$AK$440,'All Girls &amp; Descendants - Edit'!AK$1,FALSE)))</f>
        <v>b. 15/01/1980, d. 09/04/1980.</v>
      </c>
    </row>
    <row r="196" spans="1:37" ht="19">
      <c r="A196">
        <f>VLOOKUP(B196,'Loyd List 1-190 - Edit'!$P$1:$R$219,3,FALSE)</f>
        <v>52</v>
      </c>
      <c r="B196">
        <f>'All Girls &amp; Descendants - Edit'!B197</f>
        <v>90</v>
      </c>
      <c r="C196" s="98" t="str">
        <f>'All Girls &amp; Descendants - Edit'!C197</f>
        <v>90cc</v>
      </c>
      <c r="D196" s="2" t="str">
        <f>'All Girls &amp; Descendants - Edit'!D197</f>
        <v>CLARKE</v>
      </c>
      <c r="E196" t="str">
        <f>'All Girls &amp; Descendants - Edit'!E197</f>
        <v>Marina</v>
      </c>
      <c r="F196" t="str">
        <f>IF('All Girls &amp; Descendants - Edit'!F197="","",'All Girls &amp; Descendants - Edit'!F197)</f>
        <v>Rose</v>
      </c>
      <c r="G196" t="str">
        <f>IF('All Girls &amp; Descendants - Edit'!G197="","",'All Girls &amp; Descendants - Edit'!G197)</f>
        <v>Stephenson</v>
      </c>
      <c r="H196" t="str">
        <f>IF('All Girls &amp; Descendants - Edit'!H197="","",'All Girls &amp; Descendants - Edit'!H197)</f>
        <v/>
      </c>
      <c r="I196">
        <f>VLOOKUP($C196,'All Girls &amp; Descendants - Edit'!$C$2:$AK$440,'All Girls &amp; Descendants - Edit'!I$1,FALSE)</f>
        <v>1982</v>
      </c>
      <c r="J196" t="str">
        <f>VLOOKUP($C196,'All Girls &amp; Descendants - Edit'!$C$2:$AK$440,'All Girls &amp; Descendants - Edit'!J$1,FALSE)</f>
        <v/>
      </c>
      <c r="K196" s="9"/>
      <c r="L196" t="str">
        <f t="shared" si="18"/>
        <v>20/03/1982</v>
      </c>
      <c r="M196" s="3">
        <f>VLOOKUP($C196,'All Girls &amp; Descendants - Edit'!$C$2:$AK$440,'All Girls &amp; Descendants - Edit'!M$1,FALSE)</f>
        <v>30030</v>
      </c>
      <c r="N196" s="3" t="str">
        <f>IF(VLOOKUP($C196,'All Girls &amp; Descendants - Edit'!$C$2:$AK$440,'All Girls &amp; Descendants - Edit'!N$1,FALSE)=""," - ",(VLOOKUP($C196,'All Girls &amp; Descendants - Edit'!$C$2:$AK$440,'All Girls &amp; Descendants - Edit'!N$1,FALSE)))</f>
        <v xml:space="preserve"> - </v>
      </c>
      <c r="O196" s="3" t="str">
        <f>IF(VLOOKUP($C196,'All Girls &amp; Descendants - Edit'!$C$2:$AK$440,'All Girls &amp; Descendants - Edit'!O$1,FALSE)="","",(VLOOKUP($C196,'All Girls &amp; Descendants - Edit'!$C$2:$AK$440,'All Girls &amp; Descendants - Edit'!O$1,FALSE)))</f>
        <v/>
      </c>
      <c r="P196" s="3" t="str">
        <f t="shared" si="19"/>
        <v/>
      </c>
      <c r="Q196" s="178" t="str">
        <f t="shared" si="20"/>
        <v>90c</v>
      </c>
      <c r="R196" s="23"/>
      <c r="S196" t="str">
        <f>VLOOKUP($C196,'All Girls &amp; Descendants - Edit'!$C$2:$AK$440,'All Girls &amp; Descendants - Edit'!S$1,FALSE)</f>
        <v>Male</v>
      </c>
      <c r="T196" s="176">
        <f t="shared" ref="T196:T259" si="24">IF(B196&lt;10,V196+U196-1,IF(AND(B196&gt;=10,B196&lt;100),V196+U196-2,IF(B196&gt;=100,V196+U196-3)))</f>
        <v>7</v>
      </c>
      <c r="U196" s="176">
        <f t="shared" si="21"/>
        <v>4</v>
      </c>
      <c r="V196" s="176">
        <f t="shared" si="22"/>
        <v>5</v>
      </c>
      <c r="W196" s="177">
        <f t="shared" si="23"/>
        <v>2</v>
      </c>
      <c r="X196" s="3" t="str">
        <f>IF(VLOOKUP($C196,'All Girls &amp; Descendants - Edit'!$C$2:$AK$440,'All Girls &amp; Descendants - Edit'!X$1,FALSE)=""," - ",(VLOOKUP($C196,'All Girls &amp; Descendants - Edit'!$C$2:$AK$440,'All Girls &amp; Descendants - Edit'!X$1,FALSE)))</f>
        <v xml:space="preserve"> - </v>
      </c>
      <c r="Y196" s="3" t="str">
        <f>IF(VLOOKUP($C196,'All Girls &amp; Descendants - Edit'!$C$2:$AK$440,'All Girls &amp; Descendants - Edit'!Y$1,FALSE)=""," - ",(VLOOKUP($C196,'All Girls &amp; Descendants - Edit'!$C$2:$AK$440,'All Girls &amp; Descendants - Edit'!Y$1,FALSE)))</f>
        <v xml:space="preserve"> - </v>
      </c>
      <c r="Z196" s="3" t="str">
        <f>IF(VLOOKUP($C196,'All Girls &amp; Descendants - Edit'!$C$2:$AK$440,'All Girls &amp; Descendants - Edit'!Z$1,FALSE)=""," - ",(VLOOKUP($C196,'All Girls &amp; Descendants - Edit'!$C$2:$AK$440,'All Girls &amp; Descendants - Edit'!Z$1,FALSE)))</f>
        <v>Born at St Mary’s Hospital, Roehampton. Baptised at Highbrook Church, West Sussex. Educated Downe House, Newbury.</v>
      </c>
      <c r="AA196" s="101">
        <f>IF(VLOOKUP($C196,'All Girls &amp; Descendants - Edit'!$C$2:$AK$440,'All Girls &amp; Descendants - Edit'!AA$1,FALSE)=""," - ",(VLOOKUP($C196,'All Girls &amp; Descendants - Edit'!$C$2:$AK$440,'All Girls &amp; Descendants - Edit'!AA$1,FALSE)))</f>
        <v>200</v>
      </c>
      <c r="AB196" s="101">
        <f>IF(VLOOKUP($C196,'All Girls &amp; Descendants - Edit'!$C$2:$AK$440,'All Girls &amp; Descendants - Edit'!AB$1,FALSE)=""," - ",(VLOOKUP($C196,'All Girls &amp; Descendants - Edit'!$C$2:$AK$440,'All Girls &amp; Descendants - Edit'!AB$1,FALSE)))</f>
        <v>53</v>
      </c>
      <c r="AC196" s="101">
        <f>IF(VLOOKUP($C196,'All Girls &amp; Descendants - Edit'!$C$2:$AK$440,'All Girls &amp; Descendants - Edit'!AC$1,FALSE)=""," - ",(VLOOKUP($C196,'All Girls &amp; Descendants - Edit'!$C$2:$AK$440,'All Girls &amp; Descendants - Edit'!AC$1,FALSE)))</f>
        <v>2053</v>
      </c>
      <c r="AD196" s="3" t="str">
        <f>IF(VLOOKUP($C196,'All Girls &amp; Descendants - Edit'!$C$2:$AK$440,'All Girls &amp; Descendants - Edit'!AD$1,FALSE)=""," - ",(VLOOKUP($C196,'All Girls &amp; Descendants - Edit'!$C$2:$AK$440,'All Girls &amp; Descendants - Edit'!AD$1,FALSE)))</f>
        <v>90cc</v>
      </c>
      <c r="AE196" s="3" t="str">
        <f>IF(VLOOKUP($C196,'All Girls &amp; Descendants - Edit'!$C$2:$AK$440,'All Girls &amp; Descendants - Edit'!AE$1,FALSE)=""," - ",(VLOOKUP($C196,'All Girls &amp; Descendants - Edit'!$C$2:$AK$440,'All Girls &amp; Descendants - Edit'!AE$1,FALSE)))</f>
        <v>Marina Rose Stephenson CLARKE (1982 - )</v>
      </c>
      <c r="AF196" s="3" t="str">
        <f>IF(VLOOKUP($C196,'All Girls &amp; Descendants - Edit'!$C$2:$AK$440,'All Girls &amp; Descendants - Edit'!AF$1,FALSE)=""," - ",(VLOOKUP($C196,'All Girls &amp; Descendants - Edit'!$C$2:$AK$440,'All Girls &amp; Descendants - Edit'!AF$1,FALSE)))</f>
        <v>Marina CLARKE (7th &amp; 90)</v>
      </c>
      <c r="AG196" s="3" t="str">
        <f>IF(VLOOKUP($C196,'All Girls &amp; Descendants - Edit'!$C$2:$AK$440,'All Girls &amp; Descendants - Edit'!AG$1,FALSE)=""," - ",(VLOOKUP($C196,'All Girls &amp; Descendants - Edit'!$C$2:$AK$440,'All Girls &amp; Descendants - Edit'!AG$1,FALSE)))</f>
        <v>Male</v>
      </c>
      <c r="AH196" s="3" t="str">
        <f>IF(VLOOKUP($C196,'All Girls &amp; Descendants - Edit'!$C$2:$AK$440,'All Girls &amp; Descendants - Edit'!AH$1,FALSE)=""," - ",(VLOOKUP($C196,'All Girls &amp; Descendants - Edit'!$C$2:$AK$440,'All Girls &amp; Descendants - Edit'!AH$1,FALSE)))</f>
        <v>7th</v>
      </c>
      <c r="AI196" s="3" t="str">
        <f>IF(VLOOKUP($C196,'All Girls &amp; Descendants - Edit'!$C$2:$AK$440,'All Girls &amp; Descendants - Edit'!AI$1,FALSE)=""," - ",(VLOOKUP($C196,'All Girls &amp; Descendants - Edit'!$C$2:$AK$440,'All Girls &amp; Descendants - Edit'!AI$1,FALSE)))</f>
        <v>Unmarried</v>
      </c>
      <c r="AJ196" s="3" t="str">
        <f>IF(VLOOKUP($C196,'All Girls &amp; Descendants - Edit'!$C$2:$AK$440,'All Girls &amp; Descendants - Edit'!AJ$1,FALSE)=""," - ",(VLOOKUP($C196,'All Girls &amp; Descendants - Edit'!$C$2:$AK$440,'All Girls &amp; Descendants - Edit'!AJ$1,FALSE)))</f>
        <v>Male. b. 20/03/1982 Born at St Mary’s Hospital, Roehampton. Baptised at Highbrook Church, West Sussex. Educated Downe House, Newbury.</v>
      </c>
      <c r="AK196" s="3" t="str">
        <f>IF(VLOOKUP($C196,'All Girls &amp; Descendants - Edit'!$C$2:$AK$440,'All Girls &amp; Descendants - Edit'!AK$1,FALSE)=""," - ",(VLOOKUP($C196,'All Girls &amp; Descendants - Edit'!$C$2:$AK$440,'All Girls &amp; Descendants - Edit'!AK$1,FALSE)))</f>
        <v>b. 20/03/1982</v>
      </c>
    </row>
    <row r="197" spans="1:37" ht="19">
      <c r="A197">
        <f>VLOOKUP(B197,'Loyd List 1-190 - Edit'!$P$1:$R$219,3,FALSE)</f>
        <v>54</v>
      </c>
      <c r="B197">
        <f>'All Girls &amp; Descendants - Edit'!B198</f>
        <v>92</v>
      </c>
      <c r="C197" s="98" t="str">
        <f>'All Girls &amp; Descendants - Edit'!C198</f>
        <v>92aa</v>
      </c>
      <c r="D197" s="2" t="str">
        <f>'All Girls &amp; Descendants - Edit'!D198</f>
        <v>TATTON-BROWN</v>
      </c>
      <c r="E197" t="str">
        <f>'All Girls &amp; Descendants - Edit'!E198</f>
        <v>Hugh</v>
      </c>
      <c r="F197" t="str">
        <f>IF('All Girls &amp; Descendants - Edit'!F198="","",'All Girls &amp; Descendants - Edit'!F198)</f>
        <v>Trelawny</v>
      </c>
      <c r="G197" t="str">
        <f>IF('All Girls &amp; Descendants - Edit'!G198="","",'All Girls &amp; Descendants - Edit'!G198)</f>
        <v/>
      </c>
      <c r="H197" t="str">
        <f>IF('All Girls &amp; Descendants - Edit'!H198="","",'All Girls &amp; Descendants - Edit'!H198)</f>
        <v/>
      </c>
      <c r="I197">
        <f>VLOOKUP($C197,'All Girls &amp; Descendants - Edit'!$C$2:$AK$440,'All Girls &amp; Descendants - Edit'!I$1,FALSE)</f>
        <v>1980</v>
      </c>
      <c r="J197" t="str">
        <f>VLOOKUP($C197,'All Girls &amp; Descendants - Edit'!$C$2:$AK$440,'All Girls &amp; Descendants - Edit'!J$1,FALSE)</f>
        <v/>
      </c>
      <c r="K197" s="9"/>
      <c r="L197" t="str">
        <f t="shared" si="18"/>
        <v>22/07/1980</v>
      </c>
      <c r="M197" s="3">
        <f>VLOOKUP($C197,'All Girls &amp; Descendants - Edit'!$C$2:$AK$440,'All Girls &amp; Descendants - Edit'!M$1,FALSE)</f>
        <v>29424</v>
      </c>
      <c r="N197" s="3" t="str">
        <f>IF(VLOOKUP($C197,'All Girls &amp; Descendants - Edit'!$C$2:$AK$440,'All Girls &amp; Descendants - Edit'!N$1,FALSE)=""," - ",(VLOOKUP($C197,'All Girls &amp; Descendants - Edit'!$C$2:$AK$440,'All Girls &amp; Descendants - Edit'!N$1,FALSE)))</f>
        <v xml:space="preserve"> - </v>
      </c>
      <c r="O197" s="3" t="str">
        <f>IF(VLOOKUP($C197,'All Girls &amp; Descendants - Edit'!$C$2:$AK$440,'All Girls &amp; Descendants - Edit'!O$1,FALSE)="","",(VLOOKUP($C197,'All Girls &amp; Descendants - Edit'!$C$2:$AK$440,'All Girls &amp; Descendants - Edit'!O$1,FALSE)))</f>
        <v/>
      </c>
      <c r="P197" s="3" t="str">
        <f t="shared" si="19"/>
        <v/>
      </c>
      <c r="Q197" s="178" t="str">
        <f t="shared" si="20"/>
        <v>92a</v>
      </c>
      <c r="R197" s="23"/>
      <c r="S197" t="str">
        <f>VLOOKUP($C197,'All Girls &amp; Descendants - Edit'!$C$2:$AK$440,'All Girls &amp; Descendants - Edit'!S$1,FALSE)</f>
        <v>Male</v>
      </c>
      <c r="T197" s="176">
        <f t="shared" si="24"/>
        <v>7</v>
      </c>
      <c r="U197" s="176">
        <f t="shared" si="21"/>
        <v>4</v>
      </c>
      <c r="V197" s="176">
        <f t="shared" si="22"/>
        <v>5</v>
      </c>
      <c r="W197" s="177">
        <f t="shared" si="23"/>
        <v>2</v>
      </c>
      <c r="X197" s="3" t="str">
        <f>IF(VLOOKUP($C197,'All Girls &amp; Descendants - Edit'!$C$2:$AK$440,'All Girls &amp; Descendants - Edit'!X$1,FALSE)=""," - ",(VLOOKUP($C197,'All Girls &amp; Descendants - Edit'!$C$2:$AK$440,'All Girls &amp; Descendants - Edit'!X$1,FALSE)))</f>
        <v>Anna MASON (b. 17/01/1981, )</v>
      </c>
      <c r="Y197" s="3" t="str">
        <f>IF(VLOOKUP($C197,'All Girls &amp; Descendants - Edit'!$C$2:$AK$440,'All Girls &amp; Descendants - Edit'!Y$1,FALSE)=""," - ",(VLOOKUP($C197,'All Girls &amp; Descendants - Edit'!$C$2:$AK$440,'All Girls &amp; Descendants - Edit'!Y$1,FALSE)))</f>
        <v>Married in Salisbury Cathedral, Wiltshire on 20/05/2006.</v>
      </c>
      <c r="Z197" s="3" t="str">
        <f>IF(VLOOKUP($C197,'All Girls &amp; Descendants - Edit'!$C$2:$AK$440,'All Girls &amp; Descendants - Edit'!Z$1,FALSE)=""," - ",(VLOOKUP($C197,'All Girls &amp; Descendants - Edit'!$C$2:$AK$440,'All Girls &amp; Descendants - Edit'!Z$1,FALSE)))</f>
        <v>Baptised 28 Sep 1980 at Canterbury Cathedral.</v>
      </c>
      <c r="AA197" s="101">
        <f>IF(VLOOKUP($C197,'All Girls &amp; Descendants - Edit'!$C$2:$AK$440,'All Girls &amp; Descendants - Edit'!AA$1,FALSE)=""," - ",(VLOOKUP($C197,'All Girls &amp; Descendants - Edit'!$C$2:$AK$440,'All Girls &amp; Descendants - Edit'!AA$1,FALSE)))</f>
        <v>202</v>
      </c>
      <c r="AB197" s="101">
        <f>IF(VLOOKUP($C197,'All Girls &amp; Descendants - Edit'!$C$2:$AK$440,'All Girls &amp; Descendants - Edit'!AB$1,FALSE)=""," - ",(VLOOKUP($C197,'All Girls &amp; Descendants - Edit'!$C$2:$AK$440,'All Girls &amp; Descendants - Edit'!AB$1,FALSE)))</f>
        <v>54</v>
      </c>
      <c r="AC197" s="101">
        <f>IF(VLOOKUP($C197,'All Girls &amp; Descendants - Edit'!$C$2:$AK$440,'All Girls &amp; Descendants - Edit'!AC$1,FALSE)=""," - ",(VLOOKUP($C197,'All Girls &amp; Descendants - Edit'!$C$2:$AK$440,'All Girls &amp; Descendants - Edit'!AC$1,FALSE)))</f>
        <v>2054</v>
      </c>
      <c r="AD197" s="3" t="str">
        <f>IF(VLOOKUP($C197,'All Girls &amp; Descendants - Edit'!$C$2:$AK$440,'All Girls &amp; Descendants - Edit'!AD$1,FALSE)=""," - ",(VLOOKUP($C197,'All Girls &amp; Descendants - Edit'!$C$2:$AK$440,'All Girls &amp; Descendants - Edit'!AD$1,FALSE)))</f>
        <v>92aa</v>
      </c>
      <c r="AE197" s="3" t="str">
        <f>IF(VLOOKUP($C197,'All Girls &amp; Descendants - Edit'!$C$2:$AK$440,'All Girls &amp; Descendants - Edit'!AE$1,FALSE)=""," - ",(VLOOKUP($C197,'All Girls &amp; Descendants - Edit'!$C$2:$AK$440,'All Girls &amp; Descendants - Edit'!AE$1,FALSE)))</f>
        <v>Hugh Trelawny  TATTON-BROWN (1980 - )</v>
      </c>
      <c r="AF197" s="3" t="str">
        <f>IF(VLOOKUP($C197,'All Girls &amp; Descendants - Edit'!$C$2:$AK$440,'All Girls &amp; Descendants - Edit'!AF$1,FALSE)=""," - ",(VLOOKUP($C197,'All Girls &amp; Descendants - Edit'!$C$2:$AK$440,'All Girls &amp; Descendants - Edit'!AF$1,FALSE)))</f>
        <v>Hugh TATTON-BROWN (7th &amp; 92)</v>
      </c>
      <c r="AG197" s="3" t="str">
        <f>IF(VLOOKUP($C197,'All Girls &amp; Descendants - Edit'!$C$2:$AK$440,'All Girls &amp; Descendants - Edit'!AG$1,FALSE)=""," - ",(VLOOKUP($C197,'All Girls &amp; Descendants - Edit'!$C$2:$AK$440,'All Girls &amp; Descendants - Edit'!AG$1,FALSE)))</f>
        <v>Male</v>
      </c>
      <c r="AH197" s="3" t="str">
        <f>IF(VLOOKUP($C197,'All Girls &amp; Descendants - Edit'!$C$2:$AK$440,'All Girls &amp; Descendants - Edit'!AH$1,FALSE)=""," - ",(VLOOKUP($C197,'All Girls &amp; Descendants - Edit'!$C$2:$AK$440,'All Girls &amp; Descendants - Edit'!AH$1,FALSE)))</f>
        <v>7th</v>
      </c>
      <c r="AI197" s="3" t="str">
        <f>IF(VLOOKUP($C197,'All Girls &amp; Descendants - Edit'!$C$2:$AK$440,'All Girls &amp; Descendants - Edit'!AI$1,FALSE)=""," - ",(VLOOKUP($C197,'All Girls &amp; Descendants - Edit'!$C$2:$AK$440,'All Girls &amp; Descendants - Edit'!AI$1,FALSE)))</f>
        <v>Wife: Anna MASON (b. 17/01/1981, ). Married in Salisbury Cathedral, Wiltshire on 20/05/2006.</v>
      </c>
      <c r="AJ197" s="3" t="str">
        <f>IF(VLOOKUP($C197,'All Girls &amp; Descendants - Edit'!$C$2:$AK$440,'All Girls &amp; Descendants - Edit'!AJ$1,FALSE)=""," - ",(VLOOKUP($C197,'All Girls &amp; Descendants - Edit'!$C$2:$AK$440,'All Girls &amp; Descendants - Edit'!AJ$1,FALSE)))</f>
        <v>Male. b. 22/07/1980 Baptised 28 Sep 1980 at Canterbury Cathedral.</v>
      </c>
      <c r="AK197" s="3" t="str">
        <f>IF(VLOOKUP($C197,'All Girls &amp; Descendants - Edit'!$C$2:$AK$440,'All Girls &amp; Descendants - Edit'!AK$1,FALSE)=""," - ",(VLOOKUP($C197,'All Girls &amp; Descendants - Edit'!$C$2:$AK$440,'All Girls &amp; Descendants - Edit'!AK$1,FALSE)))</f>
        <v>b. 22/07/1980</v>
      </c>
    </row>
    <row r="198" spans="1:37" ht="19">
      <c r="A198">
        <f>VLOOKUP(B198,'Loyd List 1-190 - Edit'!$P$1:$R$219,3,FALSE)</f>
        <v>54</v>
      </c>
      <c r="B198">
        <f>'All Girls &amp; Descendants - Edit'!B199</f>
        <v>92</v>
      </c>
      <c r="C198" s="98" t="str">
        <f>'All Girls &amp; Descendants - Edit'!C199</f>
        <v>92ab</v>
      </c>
      <c r="D198" s="2" t="str">
        <f>'All Girls &amp; Descendants - Edit'!D199</f>
        <v>TATTON-BROWN</v>
      </c>
      <c r="E198" t="str">
        <f>'All Girls &amp; Descendants - Edit'!E199</f>
        <v>Miranda</v>
      </c>
      <c r="F198" t="str">
        <f>IF('All Girls &amp; Descendants - Edit'!F199="","",'All Girls &amp; Descendants - Edit'!F199)</f>
        <v>Emily</v>
      </c>
      <c r="G198" t="str">
        <f>IF('All Girls &amp; Descendants - Edit'!G199="","",'All Girls &amp; Descendants - Edit'!G199)</f>
        <v>Jean</v>
      </c>
      <c r="H198" t="str">
        <f>IF('All Girls &amp; Descendants - Edit'!H199="","",'All Girls &amp; Descendants - Edit'!H199)</f>
        <v/>
      </c>
      <c r="I198">
        <f>VLOOKUP($C198,'All Girls &amp; Descendants - Edit'!$C$2:$AK$440,'All Girls &amp; Descendants - Edit'!I$1,FALSE)</f>
        <v>1983</v>
      </c>
      <c r="J198" t="str">
        <f>VLOOKUP($C198,'All Girls &amp; Descendants - Edit'!$C$2:$AK$440,'All Girls &amp; Descendants - Edit'!J$1,FALSE)</f>
        <v/>
      </c>
      <c r="K198" s="9"/>
      <c r="L198" t="str">
        <f t="shared" si="18"/>
        <v>24/01/1983</v>
      </c>
      <c r="M198" s="3" t="str">
        <f>VLOOKUP($C198,'All Girls &amp; Descendants - Edit'!$C$2:$AK$440,'All Girls &amp; Descendants - Edit'!M$1,FALSE)</f>
        <v>24/01/1983</v>
      </c>
      <c r="N198" s="3" t="str">
        <f>IF(VLOOKUP($C198,'All Girls &amp; Descendants - Edit'!$C$2:$AK$440,'All Girls &amp; Descendants - Edit'!N$1,FALSE)=""," - ",(VLOOKUP($C198,'All Girls &amp; Descendants - Edit'!$C$2:$AK$440,'All Girls &amp; Descendants - Edit'!N$1,FALSE)))</f>
        <v xml:space="preserve"> - </v>
      </c>
      <c r="O198" s="3" t="str">
        <f>IF(VLOOKUP($C198,'All Girls &amp; Descendants - Edit'!$C$2:$AK$440,'All Girls &amp; Descendants - Edit'!O$1,FALSE)="","",(VLOOKUP($C198,'All Girls &amp; Descendants - Edit'!$C$2:$AK$440,'All Girls &amp; Descendants - Edit'!O$1,FALSE)))</f>
        <v/>
      </c>
      <c r="P198" s="3" t="str">
        <f t="shared" si="19"/>
        <v/>
      </c>
      <c r="Q198" s="178" t="str">
        <f t="shared" si="20"/>
        <v>92a</v>
      </c>
      <c r="R198" s="23"/>
      <c r="S198" t="str">
        <f>VLOOKUP($C198,'All Girls &amp; Descendants - Edit'!$C$2:$AK$440,'All Girls &amp; Descendants - Edit'!S$1,FALSE)</f>
        <v>Female</v>
      </c>
      <c r="T198" s="176">
        <f t="shared" si="24"/>
        <v>7</v>
      </c>
      <c r="U198" s="176">
        <f t="shared" si="21"/>
        <v>4</v>
      </c>
      <c r="V198" s="176">
        <f t="shared" si="22"/>
        <v>5</v>
      </c>
      <c r="W198" s="177">
        <f t="shared" si="23"/>
        <v>2</v>
      </c>
      <c r="X198" s="3" t="str">
        <f>IF(VLOOKUP($C198,'All Girls &amp; Descendants - Edit'!$C$2:$AK$440,'All Girls &amp; Descendants - Edit'!X$1,FALSE)=""," - ",(VLOOKUP($C198,'All Girls &amp; Descendants - Edit'!$C$2:$AK$440,'All Girls &amp; Descendants - Edit'!X$1,FALSE)))</f>
        <v xml:space="preserve"> - </v>
      </c>
      <c r="Y198" s="3" t="str">
        <f>IF(VLOOKUP($C198,'All Girls &amp; Descendants - Edit'!$C$2:$AK$440,'All Girls &amp; Descendants - Edit'!Y$1,FALSE)=""," - ",(VLOOKUP($C198,'All Girls &amp; Descendants - Edit'!$C$2:$AK$440,'All Girls &amp; Descendants - Edit'!Y$1,FALSE)))</f>
        <v xml:space="preserve"> - </v>
      </c>
      <c r="Z198" s="3" t="str">
        <f>IF(VLOOKUP($C198,'All Girls &amp; Descendants - Edit'!$C$2:$AK$440,'All Girls &amp; Descendants - Edit'!Z$1,FALSE)=""," - ",(VLOOKUP($C198,'All Girls &amp; Descendants - Edit'!$C$2:$AK$440,'All Girls &amp; Descendants - Edit'!Z$1,FALSE)))</f>
        <v>Baptised 17 Apr 1983, at Canterbury Cathedral.</v>
      </c>
      <c r="AA198" s="101">
        <f>IF(VLOOKUP($C198,'All Girls &amp; Descendants - Edit'!$C$2:$AK$440,'All Girls &amp; Descendants - Edit'!AA$1,FALSE)=""," - ",(VLOOKUP($C198,'All Girls &amp; Descendants - Edit'!$C$2:$AK$440,'All Girls &amp; Descendants - Edit'!AA$1,FALSE)))</f>
        <v>203</v>
      </c>
      <c r="AB198" s="101">
        <f>IF(VLOOKUP($C198,'All Girls &amp; Descendants - Edit'!$C$2:$AK$440,'All Girls &amp; Descendants - Edit'!AB$1,FALSE)=""," - ",(VLOOKUP($C198,'All Girls &amp; Descendants - Edit'!$C$2:$AK$440,'All Girls &amp; Descendants - Edit'!AB$1,FALSE)))</f>
        <v>55</v>
      </c>
      <c r="AC198" s="101">
        <f>IF(VLOOKUP($C198,'All Girls &amp; Descendants - Edit'!$C$2:$AK$440,'All Girls &amp; Descendants - Edit'!AC$1,FALSE)=""," - ",(VLOOKUP($C198,'All Girls &amp; Descendants - Edit'!$C$2:$AK$440,'All Girls &amp; Descendants - Edit'!AC$1,FALSE)))</f>
        <v>2055</v>
      </c>
      <c r="AD198" s="3" t="str">
        <f>IF(VLOOKUP($C198,'All Girls &amp; Descendants - Edit'!$C$2:$AK$440,'All Girls &amp; Descendants - Edit'!AD$1,FALSE)=""," - ",(VLOOKUP($C198,'All Girls &amp; Descendants - Edit'!$C$2:$AK$440,'All Girls &amp; Descendants - Edit'!AD$1,FALSE)))</f>
        <v>92ab</v>
      </c>
      <c r="AE198" s="3" t="str">
        <f>IF(VLOOKUP($C198,'All Girls &amp; Descendants - Edit'!$C$2:$AK$440,'All Girls &amp; Descendants - Edit'!AE$1,FALSE)=""," - ",(VLOOKUP($C198,'All Girls &amp; Descendants - Edit'!$C$2:$AK$440,'All Girls &amp; Descendants - Edit'!AE$1,FALSE)))</f>
        <v>Miranda Emily Jean TATTON-BROWN (1983 - )</v>
      </c>
      <c r="AF198" s="3" t="str">
        <f>IF(VLOOKUP($C198,'All Girls &amp; Descendants - Edit'!$C$2:$AK$440,'All Girls &amp; Descendants - Edit'!AF$1,FALSE)=""," - ",(VLOOKUP($C198,'All Girls &amp; Descendants - Edit'!$C$2:$AK$440,'All Girls &amp; Descendants - Edit'!AF$1,FALSE)))</f>
        <v>Miranda TATTON-BROWN (7th &amp; 92)</v>
      </c>
      <c r="AG198" s="3" t="str">
        <f>IF(VLOOKUP($C198,'All Girls &amp; Descendants - Edit'!$C$2:$AK$440,'All Girls &amp; Descendants - Edit'!AG$1,FALSE)=""," - ",(VLOOKUP($C198,'All Girls &amp; Descendants - Edit'!$C$2:$AK$440,'All Girls &amp; Descendants - Edit'!AG$1,FALSE)))</f>
        <v>Female</v>
      </c>
      <c r="AH198" s="3" t="str">
        <f>IF(VLOOKUP($C198,'All Girls &amp; Descendants - Edit'!$C$2:$AK$440,'All Girls &amp; Descendants - Edit'!AH$1,FALSE)=""," - ",(VLOOKUP($C198,'All Girls &amp; Descendants - Edit'!$C$2:$AK$440,'All Girls &amp; Descendants - Edit'!AH$1,FALSE)))</f>
        <v>7th</v>
      </c>
      <c r="AI198" s="3" t="str">
        <f>IF(VLOOKUP($C198,'All Girls &amp; Descendants - Edit'!$C$2:$AK$440,'All Girls &amp; Descendants - Edit'!AI$1,FALSE)=""," - ",(VLOOKUP($C198,'All Girls &amp; Descendants - Edit'!$C$2:$AK$440,'All Girls &amp; Descendants - Edit'!AI$1,FALSE)))</f>
        <v>Unmarried</v>
      </c>
      <c r="AJ198" s="3" t="str">
        <f>IF(VLOOKUP($C198,'All Girls &amp; Descendants - Edit'!$C$2:$AK$440,'All Girls &amp; Descendants - Edit'!AJ$1,FALSE)=""," - ",(VLOOKUP($C198,'All Girls &amp; Descendants - Edit'!$C$2:$AK$440,'All Girls &amp; Descendants - Edit'!AJ$1,FALSE)))</f>
        <v>Female. b. 24/01/1983 Baptised 17 Apr 1983, at Canterbury Cathedral.</v>
      </c>
      <c r="AK198" s="3" t="str">
        <f>IF(VLOOKUP($C198,'All Girls &amp; Descendants - Edit'!$C$2:$AK$440,'All Girls &amp; Descendants - Edit'!AK$1,FALSE)=""," - ",(VLOOKUP($C198,'All Girls &amp; Descendants - Edit'!$C$2:$AK$440,'All Girls &amp; Descendants - Edit'!AK$1,FALSE)))</f>
        <v>b. 24/01/1983</v>
      </c>
    </row>
    <row r="199" spans="1:37" ht="19">
      <c r="A199">
        <f>VLOOKUP(B199,'Loyd List 1-190 - Edit'!$P$1:$R$219,3,FALSE)</f>
        <v>54</v>
      </c>
      <c r="B199">
        <f>'All Girls &amp; Descendants - Edit'!B200</f>
        <v>92</v>
      </c>
      <c r="C199" s="98" t="str">
        <f>'All Girls &amp; Descendants - Edit'!C200</f>
        <v>92ac</v>
      </c>
      <c r="D199" s="2" t="str">
        <f>'All Girls &amp; Descendants - Edit'!D200</f>
        <v>TATTON-BROWN</v>
      </c>
      <c r="E199" t="str">
        <f>'All Girls &amp; Descendants - Edit'!E200</f>
        <v>Lucy</v>
      </c>
      <c r="F199" t="str">
        <f>IF('All Girls &amp; Descendants - Edit'!F200="","",'All Girls &amp; Descendants - Edit'!F200)</f>
        <v>Ann</v>
      </c>
      <c r="G199" t="str">
        <f>IF('All Girls &amp; Descendants - Edit'!G200="","",'All Girls &amp; Descendants - Edit'!G200)</f>
        <v/>
      </c>
      <c r="H199" t="str">
        <f>IF('All Girls &amp; Descendants - Edit'!H200="","",'All Girls &amp; Descendants - Edit'!H200)</f>
        <v/>
      </c>
      <c r="I199">
        <f>VLOOKUP($C199,'All Girls &amp; Descendants - Edit'!$C$2:$AK$440,'All Girls &amp; Descendants - Edit'!I$1,FALSE)</f>
        <v>1984</v>
      </c>
      <c r="J199" t="str">
        <f>VLOOKUP($C199,'All Girls &amp; Descendants - Edit'!$C$2:$AK$440,'All Girls &amp; Descendants - Edit'!J$1,FALSE)</f>
        <v/>
      </c>
      <c r="K199" s="9"/>
      <c r="L199" t="str">
        <f t="shared" ref="L199:L264" si="25">IF(M199="","",TEXT(M199,"dd/mm/yyyy"))</f>
        <v>15/10/1984</v>
      </c>
      <c r="M199" s="3">
        <f>VLOOKUP($C199,'All Girls &amp; Descendants - Edit'!$C$2:$AK$440,'All Girls &amp; Descendants - Edit'!M$1,FALSE)</f>
        <v>30970</v>
      </c>
      <c r="N199" s="3" t="str">
        <f>IF(VLOOKUP($C199,'All Girls &amp; Descendants - Edit'!$C$2:$AK$440,'All Girls &amp; Descendants - Edit'!N$1,FALSE)=""," - ",(VLOOKUP($C199,'All Girls &amp; Descendants - Edit'!$C$2:$AK$440,'All Girls &amp; Descendants - Edit'!N$1,FALSE)))</f>
        <v xml:space="preserve"> - </v>
      </c>
      <c r="O199" s="3" t="str">
        <f>IF(VLOOKUP($C199,'All Girls &amp; Descendants - Edit'!$C$2:$AK$440,'All Girls &amp; Descendants - Edit'!O$1,FALSE)="","",(VLOOKUP($C199,'All Girls &amp; Descendants - Edit'!$C$2:$AK$440,'All Girls &amp; Descendants - Edit'!O$1,FALSE)))</f>
        <v/>
      </c>
      <c r="P199" s="3" t="str">
        <f t="shared" ref="P199:P264" si="26">IF(O199="","",TEXT(O199,"dd/mm/yyyy"))</f>
        <v/>
      </c>
      <c r="Q199" s="178" t="str">
        <f t="shared" ref="Q199:Q264" si="27">MID(C199,1,LEN(C199)-1)</f>
        <v>92a</v>
      </c>
      <c r="R199" s="23"/>
      <c r="S199" t="str">
        <f>VLOOKUP($C199,'All Girls &amp; Descendants - Edit'!$C$2:$AK$440,'All Girls &amp; Descendants - Edit'!S$1,FALSE)</f>
        <v>Female</v>
      </c>
      <c r="T199" s="176">
        <f t="shared" si="24"/>
        <v>7</v>
      </c>
      <c r="U199" s="176">
        <f t="shared" ref="U199:U264" si="28">LEN(C199)</f>
        <v>4</v>
      </c>
      <c r="V199" s="176">
        <f t="shared" ref="V199:V264" si="29">VLOOKUP(B199,Generation,2,FALSE)</f>
        <v>5</v>
      </c>
      <c r="W199" s="177">
        <f t="shared" ref="W199:W264" si="30">IF(LEN(C199)-IF(B199&lt;10,1,IF(AND(B199&gt;9,B199&lt;100),2,3))=1,1,IF(LEN(C199)-IF(B199&lt;10,1,IF(AND(B199&gt;9,B199&lt;100),2,3))=0,"SELF",LEN(C199)-IF(B199&lt;10,1,IF(AND(B199&gt;9,B199&lt;100),2,3))))</f>
        <v>2</v>
      </c>
      <c r="X199" s="3" t="str">
        <f>IF(VLOOKUP($C199,'All Girls &amp; Descendants - Edit'!$C$2:$AK$440,'All Girls &amp; Descendants - Edit'!X$1,FALSE)=""," - ",(VLOOKUP($C199,'All Girls &amp; Descendants - Edit'!$C$2:$AK$440,'All Girls &amp; Descendants - Edit'!X$1,FALSE)))</f>
        <v>David BATTEY (b. 24/06/1980, )</v>
      </c>
      <c r="Y199" s="3" t="str">
        <f>IF(VLOOKUP($C199,'All Girls &amp; Descendants - Edit'!$C$2:$AK$440,'All Girls &amp; Descendants - Edit'!Y$1,FALSE)=""," - ",(VLOOKUP($C199,'All Girls &amp; Descendants - Edit'!$C$2:$AK$440,'All Girls &amp; Descendants - Edit'!Y$1,FALSE)))</f>
        <v>Married in Salisbury Cathedral, Wiltshire on 03/09/2011.</v>
      </c>
      <c r="Z199" s="3" t="str">
        <f>IF(VLOOKUP($C199,'All Girls &amp; Descendants - Edit'!$C$2:$AK$440,'All Girls &amp; Descendants - Edit'!Z$1,FALSE)=""," - ",(VLOOKUP($C199,'All Girls &amp; Descendants - Edit'!$C$2:$AK$440,'All Girls &amp; Descendants - Edit'!Z$1,FALSE)))</f>
        <v>Baptised 20 Jan 1985 at Canterbury Cathedral.</v>
      </c>
      <c r="AA199" s="101">
        <f>IF(VLOOKUP($C199,'All Girls &amp; Descendants - Edit'!$C$2:$AK$440,'All Girls &amp; Descendants - Edit'!AA$1,FALSE)=""," - ",(VLOOKUP($C199,'All Girls &amp; Descendants - Edit'!$C$2:$AK$440,'All Girls &amp; Descendants - Edit'!AA$1,FALSE)))</f>
        <v>204</v>
      </c>
      <c r="AB199" s="101">
        <f>IF(VLOOKUP($C199,'All Girls &amp; Descendants - Edit'!$C$2:$AK$440,'All Girls &amp; Descendants - Edit'!AB$1,FALSE)=""," - ",(VLOOKUP($C199,'All Girls &amp; Descendants - Edit'!$C$2:$AK$440,'All Girls &amp; Descendants - Edit'!AB$1,FALSE)))</f>
        <v>56</v>
      </c>
      <c r="AC199" s="101">
        <f>IF(VLOOKUP($C199,'All Girls &amp; Descendants - Edit'!$C$2:$AK$440,'All Girls &amp; Descendants - Edit'!AC$1,FALSE)=""," - ",(VLOOKUP($C199,'All Girls &amp; Descendants - Edit'!$C$2:$AK$440,'All Girls &amp; Descendants - Edit'!AC$1,FALSE)))</f>
        <v>2056</v>
      </c>
      <c r="AD199" s="3" t="str">
        <f>IF(VLOOKUP($C199,'All Girls &amp; Descendants - Edit'!$C$2:$AK$440,'All Girls &amp; Descendants - Edit'!AD$1,FALSE)=""," - ",(VLOOKUP($C199,'All Girls &amp; Descendants - Edit'!$C$2:$AK$440,'All Girls &amp; Descendants - Edit'!AD$1,FALSE)))</f>
        <v>92ac</v>
      </c>
      <c r="AE199" s="3" t="str">
        <f>IF(VLOOKUP($C199,'All Girls &amp; Descendants - Edit'!$C$2:$AK$440,'All Girls &amp; Descendants - Edit'!AE$1,FALSE)=""," - ",(VLOOKUP($C199,'All Girls &amp; Descendants - Edit'!$C$2:$AK$440,'All Girls &amp; Descendants - Edit'!AE$1,FALSE)))</f>
        <v>Lucy Ann  TATTON-BROWN (1984 - )</v>
      </c>
      <c r="AF199" s="3" t="str">
        <f>IF(VLOOKUP($C199,'All Girls &amp; Descendants - Edit'!$C$2:$AK$440,'All Girls &amp; Descendants - Edit'!AF$1,FALSE)=""," - ",(VLOOKUP($C199,'All Girls &amp; Descendants - Edit'!$C$2:$AK$440,'All Girls &amp; Descendants - Edit'!AF$1,FALSE)))</f>
        <v>Lucy TATTON-BROWN (7th &amp; 92)</v>
      </c>
      <c r="AG199" s="3" t="str">
        <f>IF(VLOOKUP($C199,'All Girls &amp; Descendants - Edit'!$C$2:$AK$440,'All Girls &amp; Descendants - Edit'!AG$1,FALSE)=""," - ",(VLOOKUP($C199,'All Girls &amp; Descendants - Edit'!$C$2:$AK$440,'All Girls &amp; Descendants - Edit'!AG$1,FALSE)))</f>
        <v>Female</v>
      </c>
      <c r="AH199" s="3" t="str">
        <f>IF(VLOOKUP($C199,'All Girls &amp; Descendants - Edit'!$C$2:$AK$440,'All Girls &amp; Descendants - Edit'!AH$1,FALSE)=""," - ",(VLOOKUP($C199,'All Girls &amp; Descendants - Edit'!$C$2:$AK$440,'All Girls &amp; Descendants - Edit'!AH$1,FALSE)))</f>
        <v>7th</v>
      </c>
      <c r="AI199" s="3" t="str">
        <f>IF(VLOOKUP($C199,'All Girls &amp; Descendants - Edit'!$C$2:$AK$440,'All Girls &amp; Descendants - Edit'!AI$1,FALSE)=""," - ",(VLOOKUP($C199,'All Girls &amp; Descendants - Edit'!$C$2:$AK$440,'All Girls &amp; Descendants - Edit'!AI$1,FALSE)))</f>
        <v>Husband: David BATTEY (b. 24/06/1980, ). Married in Salisbury Cathedral, Wiltshire on 03/09/2011.</v>
      </c>
      <c r="AJ199" s="3" t="str">
        <f>IF(VLOOKUP($C199,'All Girls &amp; Descendants - Edit'!$C$2:$AK$440,'All Girls &amp; Descendants - Edit'!AJ$1,FALSE)=""," - ",(VLOOKUP($C199,'All Girls &amp; Descendants - Edit'!$C$2:$AK$440,'All Girls &amp; Descendants - Edit'!AJ$1,FALSE)))</f>
        <v>Female. b. 15/10/1984 Baptised 20 Jan 1985 at Canterbury Cathedral.</v>
      </c>
      <c r="AK199" s="3" t="str">
        <f>IF(VLOOKUP($C199,'All Girls &amp; Descendants - Edit'!$C$2:$AK$440,'All Girls &amp; Descendants - Edit'!AK$1,FALSE)=""," - ",(VLOOKUP($C199,'All Girls &amp; Descendants - Edit'!$C$2:$AK$440,'All Girls &amp; Descendants - Edit'!AK$1,FALSE)))</f>
        <v>b. 15/10/1984</v>
      </c>
    </row>
    <row r="200" spans="1:37" ht="19">
      <c r="A200">
        <f>VLOOKUP(B200,'Loyd List 1-190 - Edit'!$P$1:$R$219,3,FALSE)</f>
        <v>54</v>
      </c>
      <c r="B200">
        <f>'All Girls &amp; Descendants - Edit'!B201</f>
        <v>92</v>
      </c>
      <c r="C200" s="98" t="str">
        <f>'All Girls &amp; Descendants - Edit'!C201</f>
        <v>92ad</v>
      </c>
      <c r="D200" s="2" t="str">
        <f>'All Girls &amp; Descendants - Edit'!D201</f>
        <v>TATTON-BROWN</v>
      </c>
      <c r="E200" t="str">
        <f>'All Girls &amp; Descendants - Edit'!E201</f>
        <v>Robert</v>
      </c>
      <c r="F200" t="str">
        <f>IF('All Girls &amp; Descendants - Edit'!F201="","",'All Girls &amp; Descendants - Edit'!F201)</f>
        <v>William</v>
      </c>
      <c r="G200" t="str">
        <f>IF('All Girls &amp; Descendants - Edit'!G201="","",'All Girls &amp; Descendants - Edit'!G201)</f>
        <v>Loyd</v>
      </c>
      <c r="H200" t="str">
        <f>IF('All Girls &amp; Descendants - Edit'!H201="","",'All Girls &amp; Descendants - Edit'!H201)</f>
        <v/>
      </c>
      <c r="I200">
        <f>VLOOKUP($C200,'All Girls &amp; Descendants - Edit'!$C$2:$AK$440,'All Girls &amp; Descendants - Edit'!I$1,FALSE)</f>
        <v>1993</v>
      </c>
      <c r="J200" t="str">
        <f>VLOOKUP($C200,'All Girls &amp; Descendants - Edit'!$C$2:$AK$440,'All Girls &amp; Descendants - Edit'!J$1,FALSE)</f>
        <v/>
      </c>
      <c r="K200" s="9"/>
      <c r="L200" t="str">
        <f t="shared" si="25"/>
        <v>25/02/1993</v>
      </c>
      <c r="M200" s="3">
        <f>VLOOKUP($C200,'All Girls &amp; Descendants - Edit'!$C$2:$AK$440,'All Girls &amp; Descendants - Edit'!M$1,FALSE)</f>
        <v>34025</v>
      </c>
      <c r="N200" s="3" t="str">
        <f>IF(VLOOKUP($C200,'All Girls &amp; Descendants - Edit'!$C$2:$AK$440,'All Girls &amp; Descendants - Edit'!N$1,FALSE)=""," - ",(VLOOKUP($C200,'All Girls &amp; Descendants - Edit'!$C$2:$AK$440,'All Girls &amp; Descendants - Edit'!N$1,FALSE)))</f>
        <v xml:space="preserve"> - </v>
      </c>
      <c r="O200" s="3" t="str">
        <f>IF(VLOOKUP($C200,'All Girls &amp; Descendants - Edit'!$C$2:$AK$440,'All Girls &amp; Descendants - Edit'!O$1,FALSE)="","",(VLOOKUP($C200,'All Girls &amp; Descendants - Edit'!$C$2:$AK$440,'All Girls &amp; Descendants - Edit'!O$1,FALSE)))</f>
        <v/>
      </c>
      <c r="P200" s="3" t="str">
        <f t="shared" si="26"/>
        <v/>
      </c>
      <c r="Q200" s="178" t="str">
        <f t="shared" si="27"/>
        <v>92a</v>
      </c>
      <c r="R200" s="23"/>
      <c r="S200" t="str">
        <f>VLOOKUP($C200,'All Girls &amp; Descendants - Edit'!$C$2:$AK$440,'All Girls &amp; Descendants - Edit'!S$1,FALSE)</f>
        <v>Male</v>
      </c>
      <c r="T200" s="176">
        <f t="shared" si="24"/>
        <v>7</v>
      </c>
      <c r="U200" s="176">
        <f t="shared" si="28"/>
        <v>4</v>
      </c>
      <c r="V200" s="176">
        <f t="shared" si="29"/>
        <v>5</v>
      </c>
      <c r="W200" s="177">
        <f t="shared" si="30"/>
        <v>2</v>
      </c>
      <c r="X200" s="3" t="str">
        <f>IF(VLOOKUP($C200,'All Girls &amp; Descendants - Edit'!$C$2:$AK$440,'All Girls &amp; Descendants - Edit'!X$1,FALSE)=""," - ",(VLOOKUP($C200,'All Girls &amp; Descendants - Edit'!$C$2:$AK$440,'All Girls &amp; Descendants - Edit'!X$1,FALSE)))</f>
        <v xml:space="preserve"> - </v>
      </c>
      <c r="Y200" s="3" t="str">
        <f>IF(VLOOKUP($C200,'All Girls &amp; Descendants - Edit'!$C$2:$AK$440,'All Girls &amp; Descendants - Edit'!Y$1,FALSE)=""," - ",(VLOOKUP($C200,'All Girls &amp; Descendants - Edit'!$C$2:$AK$440,'All Girls &amp; Descendants - Edit'!Y$1,FALSE)))</f>
        <v xml:space="preserve"> - </v>
      </c>
      <c r="Z200" s="3" t="str">
        <f>IF(VLOOKUP($C200,'All Girls &amp; Descendants - Edit'!$C$2:$AK$440,'All Girls &amp; Descendants - Edit'!Z$1,FALSE)=""," - ",(VLOOKUP($C200,'All Girls &amp; Descendants - Edit'!$C$2:$AK$440,'All Girls &amp; Descendants - Edit'!Z$1,FALSE)))</f>
        <v>Baptised 18 Apr 1993 at St Martin’s, Canterbury.</v>
      </c>
      <c r="AA200" s="101">
        <f>IF(VLOOKUP($C200,'All Girls &amp; Descendants - Edit'!$C$2:$AK$440,'All Girls &amp; Descendants - Edit'!AA$1,FALSE)=""," - ",(VLOOKUP($C200,'All Girls &amp; Descendants - Edit'!$C$2:$AK$440,'All Girls &amp; Descendants - Edit'!AA$1,FALSE)))</f>
        <v>205</v>
      </c>
      <c r="AB200" s="101">
        <f>IF(VLOOKUP($C200,'All Girls &amp; Descendants - Edit'!$C$2:$AK$440,'All Girls &amp; Descendants - Edit'!AB$1,FALSE)=""," - ",(VLOOKUP($C200,'All Girls &amp; Descendants - Edit'!$C$2:$AK$440,'All Girls &amp; Descendants - Edit'!AB$1,FALSE)))</f>
        <v>57</v>
      </c>
      <c r="AC200" s="101">
        <f>IF(VLOOKUP($C200,'All Girls &amp; Descendants - Edit'!$C$2:$AK$440,'All Girls &amp; Descendants - Edit'!AC$1,FALSE)=""," - ",(VLOOKUP($C200,'All Girls &amp; Descendants - Edit'!$C$2:$AK$440,'All Girls &amp; Descendants - Edit'!AC$1,FALSE)))</f>
        <v>2057</v>
      </c>
      <c r="AD200" s="3" t="str">
        <f>IF(VLOOKUP($C200,'All Girls &amp; Descendants - Edit'!$C$2:$AK$440,'All Girls &amp; Descendants - Edit'!AD$1,FALSE)=""," - ",(VLOOKUP($C200,'All Girls &amp; Descendants - Edit'!$C$2:$AK$440,'All Girls &amp; Descendants - Edit'!AD$1,FALSE)))</f>
        <v>92ad</v>
      </c>
      <c r="AE200" s="3" t="str">
        <f>IF(VLOOKUP($C200,'All Girls &amp; Descendants - Edit'!$C$2:$AK$440,'All Girls &amp; Descendants - Edit'!AE$1,FALSE)=""," - ",(VLOOKUP($C200,'All Girls &amp; Descendants - Edit'!$C$2:$AK$440,'All Girls &amp; Descendants - Edit'!AE$1,FALSE)))</f>
        <v>Robert William Loyd TATTON-BROWN (1993 - )</v>
      </c>
      <c r="AF200" s="3" t="str">
        <f>IF(VLOOKUP($C200,'All Girls &amp; Descendants - Edit'!$C$2:$AK$440,'All Girls &amp; Descendants - Edit'!AF$1,FALSE)=""," - ",(VLOOKUP($C200,'All Girls &amp; Descendants - Edit'!$C$2:$AK$440,'All Girls &amp; Descendants - Edit'!AF$1,FALSE)))</f>
        <v>Robert TATTON-BROWN (7th &amp; 92)</v>
      </c>
      <c r="AG200" s="3" t="str">
        <f>IF(VLOOKUP($C200,'All Girls &amp; Descendants - Edit'!$C$2:$AK$440,'All Girls &amp; Descendants - Edit'!AG$1,FALSE)=""," - ",(VLOOKUP($C200,'All Girls &amp; Descendants - Edit'!$C$2:$AK$440,'All Girls &amp; Descendants - Edit'!AG$1,FALSE)))</f>
        <v>Male</v>
      </c>
      <c r="AH200" s="3" t="str">
        <f>IF(VLOOKUP($C200,'All Girls &amp; Descendants - Edit'!$C$2:$AK$440,'All Girls &amp; Descendants - Edit'!AH$1,FALSE)=""," - ",(VLOOKUP($C200,'All Girls &amp; Descendants - Edit'!$C$2:$AK$440,'All Girls &amp; Descendants - Edit'!AH$1,FALSE)))</f>
        <v>7th</v>
      </c>
      <c r="AI200" s="3" t="str">
        <f>IF(VLOOKUP($C200,'All Girls &amp; Descendants - Edit'!$C$2:$AK$440,'All Girls &amp; Descendants - Edit'!AI$1,FALSE)=""," - ",(VLOOKUP($C200,'All Girls &amp; Descendants - Edit'!$C$2:$AK$440,'All Girls &amp; Descendants - Edit'!AI$1,FALSE)))</f>
        <v>Unmarried</v>
      </c>
      <c r="AJ200" s="3" t="str">
        <f>IF(VLOOKUP($C200,'All Girls &amp; Descendants - Edit'!$C$2:$AK$440,'All Girls &amp; Descendants - Edit'!AJ$1,FALSE)=""," - ",(VLOOKUP($C200,'All Girls &amp; Descendants - Edit'!$C$2:$AK$440,'All Girls &amp; Descendants - Edit'!AJ$1,FALSE)))</f>
        <v>Male. b. 25/02/1993 Baptised 18 Apr 1993 at St Martin’s, Canterbury.</v>
      </c>
      <c r="AK200" s="3" t="str">
        <f>IF(VLOOKUP($C200,'All Girls &amp; Descendants - Edit'!$C$2:$AK$440,'All Girls &amp; Descendants - Edit'!AK$1,FALSE)=""," - ",(VLOOKUP($C200,'All Girls &amp; Descendants - Edit'!$C$2:$AK$440,'All Girls &amp; Descendants - Edit'!AK$1,FALSE)))</f>
        <v>b. 25/02/1993</v>
      </c>
    </row>
    <row r="201" spans="1:37" ht="19">
      <c r="A201">
        <f>VLOOKUP(B201,'Loyd List 1-190 - Edit'!$P$1:$R$219,3,FALSE)</f>
        <v>54</v>
      </c>
      <c r="B201">
        <f>'All Girls &amp; Descendants - Edit'!B202</f>
        <v>92</v>
      </c>
      <c r="C201" s="98" t="str">
        <f>'All Girls &amp; Descendants - Edit'!C202</f>
        <v>92ba</v>
      </c>
      <c r="D201" s="2" t="str">
        <f>'All Girls &amp; Descendants - Edit'!D202</f>
        <v>TATTON-BROWN</v>
      </c>
      <c r="E201" t="str">
        <f>'All Girls &amp; Descendants - Edit'!E202</f>
        <v>Olivia</v>
      </c>
      <c r="F201" t="str">
        <f>IF('All Girls &amp; Descendants - Edit'!F202="","",'All Girls &amp; Descendants - Edit'!F202)</f>
        <v>Daphne</v>
      </c>
      <c r="G201" t="str">
        <f>IF('All Girls &amp; Descendants - Edit'!G202="","",'All Girls &amp; Descendants - Edit'!G202)</f>
        <v>Noelle</v>
      </c>
      <c r="H201" t="str">
        <f>IF('All Girls &amp; Descendants - Edit'!H202="","",'All Girls &amp; Descendants - Edit'!H202)</f>
        <v/>
      </c>
      <c r="I201">
        <f>VLOOKUP($C201,'All Girls &amp; Descendants - Edit'!$C$2:$AK$440,'All Girls &amp; Descendants - Edit'!I$1,FALSE)</f>
        <v>1971</v>
      </c>
      <c r="J201" t="str">
        <f>VLOOKUP($C201,'All Girls &amp; Descendants - Edit'!$C$2:$AK$440,'All Girls &amp; Descendants - Edit'!J$1,FALSE)</f>
        <v/>
      </c>
      <c r="K201" s="9"/>
      <c r="L201" t="str">
        <f t="shared" si="25"/>
        <v>13/05/1971</v>
      </c>
      <c r="M201" s="3">
        <f>VLOOKUP($C201,'All Girls &amp; Descendants - Edit'!$C$2:$AK$440,'All Girls &amp; Descendants - Edit'!M$1,FALSE)</f>
        <v>26066</v>
      </c>
      <c r="N201" s="3" t="str">
        <f>IF(VLOOKUP($C201,'All Girls &amp; Descendants - Edit'!$C$2:$AK$440,'All Girls &amp; Descendants - Edit'!N$1,FALSE)=""," - ",(VLOOKUP($C201,'All Girls &amp; Descendants - Edit'!$C$2:$AK$440,'All Girls &amp; Descendants - Edit'!N$1,FALSE)))</f>
        <v>32/09/1970</v>
      </c>
      <c r="O201" s="3" t="str">
        <f>IF(VLOOKUP($C201,'All Girls &amp; Descendants - Edit'!$C$2:$AK$440,'All Girls &amp; Descendants - Edit'!O$1,FALSE)="","",(VLOOKUP($C201,'All Girls &amp; Descendants - Edit'!$C$2:$AK$440,'All Girls &amp; Descendants - Edit'!O$1,FALSE)))</f>
        <v/>
      </c>
      <c r="P201" s="3" t="str">
        <f t="shared" si="26"/>
        <v/>
      </c>
      <c r="Q201" s="178" t="str">
        <f t="shared" si="27"/>
        <v>92b</v>
      </c>
      <c r="R201" s="23"/>
      <c r="S201" t="str">
        <f>VLOOKUP($C201,'All Girls &amp; Descendants - Edit'!$C$2:$AK$440,'All Girls &amp; Descendants - Edit'!S$1,FALSE)</f>
        <v>Female</v>
      </c>
      <c r="T201" s="176">
        <f t="shared" si="24"/>
        <v>7</v>
      </c>
      <c r="U201" s="176">
        <f t="shared" si="28"/>
        <v>4</v>
      </c>
      <c r="V201" s="176">
        <f t="shared" si="29"/>
        <v>5</v>
      </c>
      <c r="W201" s="177">
        <f t="shared" si="30"/>
        <v>2</v>
      </c>
      <c r="X201" s="3" t="str">
        <f>IF(VLOOKUP($C201,'All Girls &amp; Descendants - Edit'!$C$2:$AK$440,'All Girls &amp; Descendants - Edit'!X$1,FALSE)=""," - ",(VLOOKUP($C201,'All Girls &amp; Descendants - Edit'!$C$2:$AK$440,'All Girls &amp; Descendants - Edit'!X$1,FALSE)))</f>
        <v>Robert McGegor ANDERSEN (b. 19/12/1965, )</v>
      </c>
      <c r="Y201" s="3" t="str">
        <f>IF(VLOOKUP($C201,'All Girls &amp; Descendants - Edit'!$C$2:$AK$440,'All Girls &amp; Descendants - Edit'!Y$1,FALSE)=""," - ",(VLOOKUP($C201,'All Girls &amp; Descendants - Edit'!$C$2:$AK$440,'All Girls &amp; Descendants - Edit'!Y$1,FALSE)))</f>
        <v xml:space="preserve"> - </v>
      </c>
      <c r="Z201" s="3" t="str">
        <f>IF(VLOOKUP($C201,'All Girls &amp; Descendants - Edit'!$C$2:$AK$440,'All Girls &amp; Descendants - Edit'!Z$1,FALSE)=""," - ",(VLOOKUP($C201,'All Girls &amp; Descendants - Edit'!$C$2:$AK$440,'All Girls &amp; Descendants - Edit'!Z$1,FALSE)))</f>
        <v>Baptised 17 Jul 1971 at the Roman Catholic Church, Farnham. Olivia &amp; Robert never married. Robert is the father of Octavia Kenya (11.3.1999) and Augustus Eden (22.6.2003).</v>
      </c>
      <c r="AA201" s="101">
        <f>IF(VLOOKUP($C201,'All Girls &amp; Descendants - Edit'!$C$2:$AK$440,'All Girls &amp; Descendants - Edit'!AA$1,FALSE)=""," - ",(VLOOKUP($C201,'All Girls &amp; Descendants - Edit'!$C$2:$AK$440,'All Girls &amp; Descendants - Edit'!AA$1,FALSE)))</f>
        <v>207</v>
      </c>
      <c r="AB201" s="101">
        <f>IF(VLOOKUP($C201,'All Girls &amp; Descendants - Edit'!$C$2:$AK$440,'All Girls &amp; Descendants - Edit'!AB$1,FALSE)=""," - ",(VLOOKUP($C201,'All Girls &amp; Descendants - Edit'!$C$2:$AK$440,'All Girls &amp; Descendants - Edit'!AB$1,FALSE)))</f>
        <v>58</v>
      </c>
      <c r="AC201" s="101">
        <f>IF(VLOOKUP($C201,'All Girls &amp; Descendants - Edit'!$C$2:$AK$440,'All Girls &amp; Descendants - Edit'!AC$1,FALSE)=""," - ",(VLOOKUP($C201,'All Girls &amp; Descendants - Edit'!$C$2:$AK$440,'All Girls &amp; Descendants - Edit'!AC$1,FALSE)))</f>
        <v>2058</v>
      </c>
      <c r="AD201" s="3" t="str">
        <f>IF(VLOOKUP($C201,'All Girls &amp; Descendants - Edit'!$C$2:$AK$440,'All Girls &amp; Descendants - Edit'!AD$1,FALSE)=""," - ",(VLOOKUP($C201,'All Girls &amp; Descendants - Edit'!$C$2:$AK$440,'All Girls &amp; Descendants - Edit'!AD$1,FALSE)))</f>
        <v>92ba</v>
      </c>
      <c r="AE201" s="3" t="str">
        <f>IF(VLOOKUP($C201,'All Girls &amp; Descendants - Edit'!$C$2:$AK$440,'All Girls &amp; Descendants - Edit'!AE$1,FALSE)=""," - ",(VLOOKUP($C201,'All Girls &amp; Descendants - Edit'!$C$2:$AK$440,'All Girls &amp; Descendants - Edit'!AE$1,FALSE)))</f>
        <v>Olivia Daphne Noelle TATTON-BROWN (1971 - )</v>
      </c>
      <c r="AF201" s="3" t="str">
        <f>IF(VLOOKUP($C201,'All Girls &amp; Descendants - Edit'!$C$2:$AK$440,'All Girls &amp; Descendants - Edit'!AF$1,FALSE)=""," - ",(VLOOKUP($C201,'All Girls &amp; Descendants - Edit'!$C$2:$AK$440,'All Girls &amp; Descendants - Edit'!AF$1,FALSE)))</f>
        <v>Olivia TATTON-BROWN (7th &amp; 92)</v>
      </c>
      <c r="AG201" s="3" t="str">
        <f>IF(VLOOKUP($C201,'All Girls &amp; Descendants - Edit'!$C$2:$AK$440,'All Girls &amp; Descendants - Edit'!AG$1,FALSE)=""," - ",(VLOOKUP($C201,'All Girls &amp; Descendants - Edit'!$C$2:$AK$440,'All Girls &amp; Descendants - Edit'!AG$1,FALSE)))</f>
        <v>Female</v>
      </c>
      <c r="AH201" s="3" t="str">
        <f>IF(VLOOKUP($C201,'All Girls &amp; Descendants - Edit'!$C$2:$AK$440,'All Girls &amp; Descendants - Edit'!AH$1,FALSE)=""," - ",(VLOOKUP($C201,'All Girls &amp; Descendants - Edit'!$C$2:$AK$440,'All Girls &amp; Descendants - Edit'!AH$1,FALSE)))</f>
        <v>7th</v>
      </c>
      <c r="AI201" s="3" t="str">
        <f>IF(VLOOKUP($C201,'All Girls &amp; Descendants - Edit'!$C$2:$AK$440,'All Girls &amp; Descendants - Edit'!AI$1,FALSE)=""," - ",(VLOOKUP($C201,'All Girls &amp; Descendants - Edit'!$C$2:$AK$440,'All Girls &amp; Descendants - Edit'!AI$1,FALSE)))</f>
        <v xml:space="preserve">Husband: Robert McGegor ANDERSEN (b. 19/12/1965, ). </v>
      </c>
      <c r="AJ201" s="3" t="str">
        <f>IF(VLOOKUP($C201,'All Girls &amp; Descendants - Edit'!$C$2:$AK$440,'All Girls &amp; Descendants - Edit'!AJ$1,FALSE)=""," - ",(VLOOKUP($C201,'All Girls &amp; Descendants - Edit'!$C$2:$AK$440,'All Girls &amp; Descendants - Edit'!AJ$1,FALSE)))</f>
        <v>Female. b. 13/05/1971 Baptised 17 Jul 1971 at the Roman Catholic Church, Farnham. Olivia &amp; Robert never married. Robert is the father of Octavia Kenya (11.3.1999) and Augustus Eden (22.6.2003).</v>
      </c>
      <c r="AK201" s="3" t="str">
        <f>IF(VLOOKUP($C201,'All Girls &amp; Descendants - Edit'!$C$2:$AK$440,'All Girls &amp; Descendants - Edit'!AK$1,FALSE)=""," - ",(VLOOKUP($C201,'All Girls &amp; Descendants - Edit'!$C$2:$AK$440,'All Girls &amp; Descendants - Edit'!AK$1,FALSE)))</f>
        <v>b. 13/05/1971</v>
      </c>
    </row>
    <row r="202" spans="1:37" ht="19">
      <c r="A202">
        <f>VLOOKUP(B202,'Loyd List 1-190 - Edit'!$P$1:$R$219,3,FALSE)</f>
        <v>54</v>
      </c>
      <c r="B202">
        <f>'All Girls &amp; Descendants - Edit'!B203</f>
        <v>92</v>
      </c>
      <c r="C202" s="98" t="str">
        <f>'All Girls &amp; Descendants - Edit'!C203</f>
        <v>92bb</v>
      </c>
      <c r="D202" s="2" t="str">
        <f>'All Girls &amp; Descendants - Edit'!D203</f>
        <v>TATTON-BROWN</v>
      </c>
      <c r="E202" t="str">
        <f>'All Girls &amp; Descendants - Edit'!E203</f>
        <v>Benjamin</v>
      </c>
      <c r="F202" t="str">
        <f>IF('All Girls &amp; Descendants - Edit'!F203="","",'All Girls &amp; Descendants - Edit'!F203)</f>
        <v>Robert</v>
      </c>
      <c r="G202" t="str">
        <f>IF('All Girls &amp; Descendants - Edit'!G203="","",'All Girls &amp; Descendants - Edit'!G203)</f>
        <v>Louis</v>
      </c>
      <c r="H202" t="str">
        <f>IF('All Girls &amp; Descendants - Edit'!H203="","",'All Girls &amp; Descendants - Edit'!H203)</f>
        <v>Ben</v>
      </c>
      <c r="I202">
        <f>VLOOKUP($C202,'All Girls &amp; Descendants - Edit'!$C$2:$AK$440,'All Girls &amp; Descendants - Edit'!I$1,FALSE)</f>
        <v>1973</v>
      </c>
      <c r="J202" t="str">
        <f>VLOOKUP($C202,'All Girls &amp; Descendants - Edit'!$C$2:$AK$440,'All Girls &amp; Descendants - Edit'!J$1,FALSE)</f>
        <v/>
      </c>
      <c r="K202" s="9"/>
      <c r="L202" t="str">
        <f t="shared" si="25"/>
        <v>23/06/1973</v>
      </c>
      <c r="M202" s="3">
        <f>VLOOKUP($C202,'All Girls &amp; Descendants - Edit'!$C$2:$AK$440,'All Girls &amp; Descendants - Edit'!M$1,FALSE)</f>
        <v>26838</v>
      </c>
      <c r="N202" s="3" t="str">
        <f>IF(VLOOKUP($C202,'All Girls &amp; Descendants - Edit'!$C$2:$AK$440,'All Girls &amp; Descendants - Edit'!N$1,FALSE)=""," - ",(VLOOKUP($C202,'All Girls &amp; Descendants - Edit'!$C$2:$AK$440,'All Girls &amp; Descendants - Edit'!N$1,FALSE)))</f>
        <v xml:space="preserve"> - </v>
      </c>
      <c r="O202" s="3" t="str">
        <f>IF(VLOOKUP($C202,'All Girls &amp; Descendants - Edit'!$C$2:$AK$440,'All Girls &amp; Descendants - Edit'!O$1,FALSE)="","",(VLOOKUP($C202,'All Girls &amp; Descendants - Edit'!$C$2:$AK$440,'All Girls &amp; Descendants - Edit'!O$1,FALSE)))</f>
        <v/>
      </c>
      <c r="P202" s="3" t="str">
        <f t="shared" si="26"/>
        <v/>
      </c>
      <c r="Q202" s="178" t="str">
        <f t="shared" si="27"/>
        <v>92b</v>
      </c>
      <c r="R202" s="23"/>
      <c r="S202" t="str">
        <f>VLOOKUP($C202,'All Girls &amp; Descendants - Edit'!$C$2:$AK$440,'All Girls &amp; Descendants - Edit'!S$1,FALSE)</f>
        <v>Male</v>
      </c>
      <c r="T202" s="176">
        <f t="shared" si="24"/>
        <v>7</v>
      </c>
      <c r="U202" s="176">
        <f t="shared" si="28"/>
        <v>4</v>
      </c>
      <c r="V202" s="176">
        <f t="shared" si="29"/>
        <v>5</v>
      </c>
      <c r="W202" s="177">
        <f t="shared" si="30"/>
        <v>2</v>
      </c>
      <c r="X202" s="3" t="str">
        <f>IF(VLOOKUP($C202,'All Girls &amp; Descendants - Edit'!$C$2:$AK$440,'All Girls &amp; Descendants - Edit'!X$1,FALSE)=""," - ",(VLOOKUP($C202,'All Girls &amp; Descendants - Edit'!$C$2:$AK$440,'All Girls &amp; Descendants - Edit'!X$1,FALSE)))</f>
        <v>Elfi Helene Artero (b. 19/12/1974, )</v>
      </c>
      <c r="Y202" s="3" t="str">
        <f>IF(VLOOKUP($C202,'All Girls &amp; Descendants - Edit'!$C$2:$AK$440,'All Girls &amp; Descendants - Edit'!Y$1,FALSE)=""," - ",(VLOOKUP($C202,'All Girls &amp; Descendants - Edit'!$C$2:$AK$440,'All Girls &amp; Descendants - Edit'!Y$1,FALSE)))</f>
        <v xml:space="preserve"> - </v>
      </c>
      <c r="Z202" s="3" t="str">
        <f>IF(VLOOKUP($C202,'All Girls &amp; Descendants - Edit'!$C$2:$AK$440,'All Girls &amp; Descendants - Edit'!Z$1,FALSE)=""," - ",(VLOOKUP($C202,'All Girls &amp; Descendants - Edit'!$C$2:$AK$440,'All Girls &amp; Descendants - Edit'!Z$1,FALSE)))</f>
        <v>Baptised Jul 1973 at the Cathedral, Aix en Provence. Ben married Elfi on10.08.2002 at St Jean Baptiste church, St Jean de Luz, France. Children: Twins Felix Edgar Oliver and Marius Cesar Fabien TATTON-BROWN born 07/10/2004 and Poppy May TATTON-BROWN 12/09/2008.</v>
      </c>
      <c r="AA202" s="101">
        <f>IF(VLOOKUP($C202,'All Girls &amp; Descendants - Edit'!$C$2:$AK$440,'All Girls &amp; Descendants - Edit'!AA$1,FALSE)=""," - ",(VLOOKUP($C202,'All Girls &amp; Descendants - Edit'!$C$2:$AK$440,'All Girls &amp; Descendants - Edit'!AA$1,FALSE)))</f>
        <v>209</v>
      </c>
      <c r="AB202" s="101">
        <f>IF(VLOOKUP($C202,'All Girls &amp; Descendants - Edit'!$C$2:$AK$440,'All Girls &amp; Descendants - Edit'!AB$1,FALSE)=""," - ",(VLOOKUP($C202,'All Girls &amp; Descendants - Edit'!$C$2:$AK$440,'All Girls &amp; Descendants - Edit'!AB$1,FALSE)))</f>
        <v>59</v>
      </c>
      <c r="AC202" s="101">
        <f>IF(VLOOKUP($C202,'All Girls &amp; Descendants - Edit'!$C$2:$AK$440,'All Girls &amp; Descendants - Edit'!AC$1,FALSE)=""," - ",(VLOOKUP($C202,'All Girls &amp; Descendants - Edit'!$C$2:$AK$440,'All Girls &amp; Descendants - Edit'!AC$1,FALSE)))</f>
        <v>2059</v>
      </c>
      <c r="AD202" s="3" t="str">
        <f>IF(VLOOKUP($C202,'All Girls &amp; Descendants - Edit'!$C$2:$AK$440,'All Girls &amp; Descendants - Edit'!AD$1,FALSE)=""," - ",(VLOOKUP($C202,'All Girls &amp; Descendants - Edit'!$C$2:$AK$440,'All Girls &amp; Descendants - Edit'!AD$1,FALSE)))</f>
        <v>92bb</v>
      </c>
      <c r="AE202" s="3" t="str">
        <f>IF(VLOOKUP($C202,'All Girls &amp; Descendants - Edit'!$C$2:$AK$440,'All Girls &amp; Descendants - Edit'!AE$1,FALSE)=""," - ",(VLOOKUP($C202,'All Girls &amp; Descendants - Edit'!$C$2:$AK$440,'All Girls &amp; Descendants - Edit'!AE$1,FALSE)))</f>
        <v>Benjamin Robert Louis TATTON-BROWN (1973 - )</v>
      </c>
      <c r="AF202" s="3" t="str">
        <f>IF(VLOOKUP($C202,'All Girls &amp; Descendants - Edit'!$C$2:$AK$440,'All Girls &amp; Descendants - Edit'!AF$1,FALSE)=""," - ",(VLOOKUP($C202,'All Girls &amp; Descendants - Edit'!$C$2:$AK$440,'All Girls &amp; Descendants - Edit'!AF$1,FALSE)))</f>
        <v>Ben TATTON-BROWN (7th &amp; 92)</v>
      </c>
      <c r="AG202" s="3" t="str">
        <f>IF(VLOOKUP($C202,'All Girls &amp; Descendants - Edit'!$C$2:$AK$440,'All Girls &amp; Descendants - Edit'!AG$1,FALSE)=""," - ",(VLOOKUP($C202,'All Girls &amp; Descendants - Edit'!$C$2:$AK$440,'All Girls &amp; Descendants - Edit'!AG$1,FALSE)))</f>
        <v>Male</v>
      </c>
      <c r="AH202" s="3" t="str">
        <f>IF(VLOOKUP($C202,'All Girls &amp; Descendants - Edit'!$C$2:$AK$440,'All Girls &amp; Descendants - Edit'!AH$1,FALSE)=""," - ",(VLOOKUP($C202,'All Girls &amp; Descendants - Edit'!$C$2:$AK$440,'All Girls &amp; Descendants - Edit'!AH$1,FALSE)))</f>
        <v>7th</v>
      </c>
      <c r="AI202" s="3" t="str">
        <f>IF(VLOOKUP($C202,'All Girls &amp; Descendants - Edit'!$C$2:$AK$440,'All Girls &amp; Descendants - Edit'!AI$1,FALSE)=""," - ",(VLOOKUP($C202,'All Girls &amp; Descendants - Edit'!$C$2:$AK$440,'All Girls &amp; Descendants - Edit'!AI$1,FALSE)))</f>
        <v xml:space="preserve">Wife: Elfi Helene Artero (b. 19/12/1974, ). </v>
      </c>
      <c r="AJ202" s="3" t="str">
        <f>IF(VLOOKUP($C202,'All Girls &amp; Descendants - Edit'!$C$2:$AK$440,'All Girls &amp; Descendants - Edit'!AJ$1,FALSE)=""," - ",(VLOOKUP($C202,'All Girls &amp; Descendants - Edit'!$C$2:$AK$440,'All Girls &amp; Descendants - Edit'!AJ$1,FALSE)))</f>
        <v>Male. b. 23/06/1973 Baptised Jul 1973 at the Cathedral, Aix en Provence. Ben married Elfi on10.08.2002 at St Jean Baptiste church, St Jean de Luz, France. Children: Twins Felix Edgar Oliver and Marius Cesar Fabien TATTON-BROWN born 07/10/2004 and Poppy May TATTON-BROWN 12/09/2008.</v>
      </c>
      <c r="AK202" s="3" t="str">
        <f>IF(VLOOKUP($C202,'All Girls &amp; Descendants - Edit'!$C$2:$AK$440,'All Girls &amp; Descendants - Edit'!AK$1,FALSE)=""," - ",(VLOOKUP($C202,'All Girls &amp; Descendants - Edit'!$C$2:$AK$440,'All Girls &amp; Descendants - Edit'!AK$1,FALSE)))</f>
        <v>b. 23/06/1973</v>
      </c>
    </row>
    <row r="203" spans="1:37" ht="19">
      <c r="A203">
        <f>VLOOKUP(B203,'Loyd List 1-190 - Edit'!$P$1:$R$219,3,FALSE)</f>
        <v>54</v>
      </c>
      <c r="B203">
        <f>'All Girls &amp; Descendants - Edit'!B204</f>
        <v>92</v>
      </c>
      <c r="C203" s="98" t="str">
        <f>'All Girls &amp; Descendants - Edit'!C204</f>
        <v>92bc</v>
      </c>
      <c r="D203" s="2" t="str">
        <f>'All Girls &amp; Descendants - Edit'!D204</f>
        <v>TATTON-BROWN</v>
      </c>
      <c r="E203" t="str">
        <f>'All Girls &amp; Descendants - Edit'!E204</f>
        <v>Daisy</v>
      </c>
      <c r="F203" t="str">
        <f>IF('All Girls &amp; Descendants - Edit'!F204="","",'All Girls &amp; Descendants - Edit'!F204)</f>
        <v>Maud</v>
      </c>
      <c r="G203" t="str">
        <f>IF('All Girls &amp; Descendants - Edit'!G204="","",'All Girls &amp; Descendants - Edit'!G204)</f>
        <v/>
      </c>
      <c r="H203" t="str">
        <f>IF('All Girls &amp; Descendants - Edit'!H204="","",'All Girls &amp; Descendants - Edit'!H204)</f>
        <v/>
      </c>
      <c r="I203">
        <f>VLOOKUP($C203,'All Girls &amp; Descendants - Edit'!$C$2:$AK$440,'All Girls &amp; Descendants - Edit'!I$1,FALSE)</f>
        <v>1983</v>
      </c>
      <c r="J203" t="str">
        <f>VLOOKUP($C203,'All Girls &amp; Descendants - Edit'!$C$2:$AK$440,'All Girls &amp; Descendants - Edit'!J$1,FALSE)</f>
        <v/>
      </c>
      <c r="K203" s="9"/>
      <c r="L203" t="str">
        <f t="shared" si="25"/>
        <v>10/04/1983</v>
      </c>
      <c r="M203" s="3">
        <f>VLOOKUP($C203,'All Girls &amp; Descendants - Edit'!$C$2:$AK$440,'All Girls &amp; Descendants - Edit'!M$1,FALSE)</f>
        <v>30416</v>
      </c>
      <c r="N203" s="3" t="str">
        <f>IF(VLOOKUP($C203,'All Girls &amp; Descendants - Edit'!$C$2:$AK$440,'All Girls &amp; Descendants - Edit'!N$1,FALSE)=""," - ",(VLOOKUP($C203,'All Girls &amp; Descendants - Edit'!$C$2:$AK$440,'All Girls &amp; Descendants - Edit'!N$1,FALSE)))</f>
        <v xml:space="preserve"> - </v>
      </c>
      <c r="O203" s="3" t="str">
        <f>IF(VLOOKUP($C203,'All Girls &amp; Descendants - Edit'!$C$2:$AK$440,'All Girls &amp; Descendants - Edit'!O$1,FALSE)="","",(VLOOKUP($C203,'All Girls &amp; Descendants - Edit'!$C$2:$AK$440,'All Girls &amp; Descendants - Edit'!O$1,FALSE)))</f>
        <v/>
      </c>
      <c r="P203" s="3" t="str">
        <f t="shared" si="26"/>
        <v/>
      </c>
      <c r="Q203" s="178" t="str">
        <f t="shared" si="27"/>
        <v>92b</v>
      </c>
      <c r="R203" s="23"/>
      <c r="S203" t="str">
        <f>VLOOKUP($C203,'All Girls &amp; Descendants - Edit'!$C$2:$AK$440,'All Girls &amp; Descendants - Edit'!S$1,FALSE)</f>
        <v>Female</v>
      </c>
      <c r="T203" s="176">
        <f t="shared" si="24"/>
        <v>7</v>
      </c>
      <c r="U203" s="176">
        <f t="shared" si="28"/>
        <v>4</v>
      </c>
      <c r="V203" s="176">
        <f t="shared" si="29"/>
        <v>5</v>
      </c>
      <c r="W203" s="177">
        <f t="shared" si="30"/>
        <v>2</v>
      </c>
      <c r="X203" s="3" t="str">
        <f>IF(VLOOKUP($C203,'All Girls &amp; Descendants - Edit'!$C$2:$AK$440,'All Girls &amp; Descendants - Edit'!X$1,FALSE)=""," - ",(VLOOKUP($C203,'All Girls &amp; Descendants - Edit'!$C$2:$AK$440,'All Girls &amp; Descendants - Edit'!X$1,FALSE)))</f>
        <v xml:space="preserve">Oliver BOURNE (born 19/06/1980, ) </v>
      </c>
      <c r="Y203" s="3" t="str">
        <f>IF(VLOOKUP($C203,'All Girls &amp; Descendants - Edit'!$C$2:$AK$440,'All Girls &amp; Descendants - Edit'!Y$1,FALSE)=""," - ",(VLOOKUP($C203,'All Girls &amp; Descendants - Edit'!$C$2:$AK$440,'All Girls &amp; Descendants - Edit'!Y$1,FALSE)))</f>
        <v>Married Oliver on 19/06/2010 at St Jean de Malte church, Aix en Provence, France.</v>
      </c>
      <c r="Z203" s="3" t="str">
        <f>IF(VLOOKUP($C203,'All Girls &amp; Descendants - Edit'!$C$2:$AK$440,'All Girls &amp; Descendants - Edit'!Z$1,FALSE)=""," - ",(VLOOKUP($C203,'All Girls &amp; Descendants - Edit'!$C$2:$AK$440,'All Girls &amp; Descendants - Edit'!Z$1,FALSE)))</f>
        <v>Baptised 15 Aug 1983 at the Parish Church, St Jean de Luz, France. 
Children: Rose Henrietta BOURNE (b. 18/04/2014, ), Basil Louis BOURNE (b. 30/01/2016, ), Stanley Eden (b. 04/07/2018, ), Montague Alfred BOURNE (b. 23/11/2020, ).</v>
      </c>
      <c r="AA203" s="101">
        <f>IF(VLOOKUP($C203,'All Girls &amp; Descendants - Edit'!$C$2:$AK$440,'All Girls &amp; Descendants - Edit'!AA$1,FALSE)=""," - ",(VLOOKUP($C203,'All Girls &amp; Descendants - Edit'!$C$2:$AK$440,'All Girls &amp; Descendants - Edit'!AA$1,FALSE)))</f>
        <v>210</v>
      </c>
      <c r="AB203" s="101">
        <f>IF(VLOOKUP($C203,'All Girls &amp; Descendants - Edit'!$C$2:$AK$440,'All Girls &amp; Descendants - Edit'!AB$1,FALSE)=""," - ",(VLOOKUP($C203,'All Girls &amp; Descendants - Edit'!$C$2:$AK$440,'All Girls &amp; Descendants - Edit'!AB$1,FALSE)))</f>
        <v>60</v>
      </c>
      <c r="AC203" s="101">
        <f>IF(VLOOKUP($C203,'All Girls &amp; Descendants - Edit'!$C$2:$AK$440,'All Girls &amp; Descendants - Edit'!AC$1,FALSE)=""," - ",(VLOOKUP($C203,'All Girls &amp; Descendants - Edit'!$C$2:$AK$440,'All Girls &amp; Descendants - Edit'!AC$1,FALSE)))</f>
        <v>2060</v>
      </c>
      <c r="AD203" s="3" t="str">
        <f>IF(VLOOKUP($C203,'All Girls &amp; Descendants - Edit'!$C$2:$AK$440,'All Girls &amp; Descendants - Edit'!AD$1,FALSE)=""," - ",(VLOOKUP($C203,'All Girls &amp; Descendants - Edit'!$C$2:$AK$440,'All Girls &amp; Descendants - Edit'!AD$1,FALSE)))</f>
        <v>92bc</v>
      </c>
      <c r="AE203" s="3" t="str">
        <f>IF(VLOOKUP($C203,'All Girls &amp; Descendants - Edit'!$C$2:$AK$440,'All Girls &amp; Descendants - Edit'!AE$1,FALSE)=""," - ",(VLOOKUP($C203,'All Girls &amp; Descendants - Edit'!$C$2:$AK$440,'All Girls &amp; Descendants - Edit'!AE$1,FALSE)))</f>
        <v>Daisy Maud  TATTON-BROWN (1983 - )</v>
      </c>
      <c r="AF203" s="3" t="str">
        <f>IF(VLOOKUP($C203,'All Girls &amp; Descendants - Edit'!$C$2:$AK$440,'All Girls &amp; Descendants - Edit'!AF$1,FALSE)=""," - ",(VLOOKUP($C203,'All Girls &amp; Descendants - Edit'!$C$2:$AK$440,'All Girls &amp; Descendants - Edit'!AF$1,FALSE)))</f>
        <v>Daisy TATTON-BROWN (7th &amp; 92)</v>
      </c>
      <c r="AG203" s="3" t="str">
        <f>IF(VLOOKUP($C203,'All Girls &amp; Descendants - Edit'!$C$2:$AK$440,'All Girls &amp; Descendants - Edit'!AG$1,FALSE)=""," - ",(VLOOKUP($C203,'All Girls &amp; Descendants - Edit'!$C$2:$AK$440,'All Girls &amp; Descendants - Edit'!AG$1,FALSE)))</f>
        <v>Female</v>
      </c>
      <c r="AH203" s="3" t="str">
        <f>IF(VLOOKUP($C203,'All Girls &amp; Descendants - Edit'!$C$2:$AK$440,'All Girls &amp; Descendants - Edit'!AH$1,FALSE)=""," - ",(VLOOKUP($C203,'All Girls &amp; Descendants - Edit'!$C$2:$AK$440,'All Girls &amp; Descendants - Edit'!AH$1,FALSE)))</f>
        <v>7th</v>
      </c>
      <c r="AI203" s="3" t="str">
        <f>IF(VLOOKUP($C203,'All Girls &amp; Descendants - Edit'!$C$2:$AK$440,'All Girls &amp; Descendants - Edit'!AI$1,FALSE)=""," - ",(VLOOKUP($C203,'All Girls &amp; Descendants - Edit'!$C$2:$AK$440,'All Girls &amp; Descendants - Edit'!AI$1,FALSE)))</f>
        <v>Husband: Oliver BOURNE (born 19/06/1980, ) . Married Oliver on 19/06/2010 at St Jean de Malte church, Aix en Provence, France.</v>
      </c>
      <c r="AJ203" s="3" t="str">
        <f>IF(VLOOKUP($C203,'All Girls &amp; Descendants - Edit'!$C$2:$AK$440,'All Girls &amp; Descendants - Edit'!AJ$1,FALSE)=""," - ",(VLOOKUP($C203,'All Girls &amp; Descendants - Edit'!$C$2:$AK$440,'All Girls &amp; Descendants - Edit'!AJ$1,FALSE)))</f>
        <v>Female. b. 10/04/1983 Baptised 15 Aug 1983 at the Parish Church, St Jean de Luz, France. 
Children: Rose Henrietta BOURNE (b. 18/04/2014, ), Basil Louis BOURNE (b. 30/01/2016, ), Stanley Eden (b. 04/07/2018, ), Montague Alfred BOURNE (b. 23/11/2020, ).</v>
      </c>
      <c r="AK203" s="3" t="str">
        <f>IF(VLOOKUP($C203,'All Girls &amp; Descendants - Edit'!$C$2:$AK$440,'All Girls &amp; Descendants - Edit'!AK$1,FALSE)=""," - ",(VLOOKUP($C203,'All Girls &amp; Descendants - Edit'!$C$2:$AK$440,'All Girls &amp; Descendants - Edit'!AK$1,FALSE)))</f>
        <v>b. 10/04/1983</v>
      </c>
    </row>
    <row r="204" spans="1:37" ht="19">
      <c r="A204">
        <f>VLOOKUP(B204,'Loyd List 1-190 - Edit'!$P$1:$R$219,3,FALSE)</f>
        <v>54</v>
      </c>
      <c r="B204">
        <f>'All Girls &amp; Descendants - Edit'!B205</f>
        <v>92</v>
      </c>
      <c r="C204" s="98" t="str">
        <f>'All Girls &amp; Descendants - Edit'!C205</f>
        <v>92bd</v>
      </c>
      <c r="D204" s="2" t="str">
        <f>'All Girls &amp; Descendants - Edit'!D205</f>
        <v>TATTON-BROWN</v>
      </c>
      <c r="E204" t="str">
        <f>'All Girls &amp; Descendants - Edit'!E205</f>
        <v>Gregory</v>
      </c>
      <c r="F204" t="str">
        <f>IF('All Girls &amp; Descendants - Edit'!F205="","",'All Girls &amp; Descendants - Edit'!F205)</f>
        <v>Mark</v>
      </c>
      <c r="G204" t="str">
        <f>IF('All Girls &amp; Descendants - Edit'!G205="","",'All Girls &amp; Descendants - Edit'!G205)</f>
        <v>Eden</v>
      </c>
      <c r="H204" t="str">
        <f>IF('All Girls &amp; Descendants - Edit'!H205="","",'All Girls &amp; Descendants - Edit'!H205)</f>
        <v/>
      </c>
      <c r="I204">
        <f>VLOOKUP($C204,'All Girls &amp; Descendants - Edit'!$C$2:$AK$440,'All Girls &amp; Descendants - Edit'!I$1,FALSE)</f>
        <v>1985</v>
      </c>
      <c r="J204" t="str">
        <f>VLOOKUP($C204,'All Girls &amp; Descendants - Edit'!$C$2:$AK$440,'All Girls &amp; Descendants - Edit'!J$1,FALSE)</f>
        <v/>
      </c>
      <c r="K204" s="9"/>
      <c r="L204" t="str">
        <f t="shared" si="25"/>
        <v>06/07/1985</v>
      </c>
      <c r="M204" s="3">
        <f>VLOOKUP($C204,'All Girls &amp; Descendants - Edit'!$C$2:$AK$440,'All Girls &amp; Descendants - Edit'!M$1,FALSE)</f>
        <v>31234</v>
      </c>
      <c r="N204" s="3" t="str">
        <f>IF(VLOOKUP($C204,'All Girls &amp; Descendants - Edit'!$C$2:$AK$440,'All Girls &amp; Descendants - Edit'!N$1,FALSE)=""," - ",(VLOOKUP($C204,'All Girls &amp; Descendants - Edit'!$C$2:$AK$440,'All Girls &amp; Descendants - Edit'!N$1,FALSE)))</f>
        <v xml:space="preserve"> - </v>
      </c>
      <c r="O204" s="3" t="str">
        <f>IF(VLOOKUP($C204,'All Girls &amp; Descendants - Edit'!$C$2:$AK$440,'All Girls &amp; Descendants - Edit'!O$1,FALSE)="","",(VLOOKUP($C204,'All Girls &amp; Descendants - Edit'!$C$2:$AK$440,'All Girls &amp; Descendants - Edit'!O$1,FALSE)))</f>
        <v/>
      </c>
      <c r="P204" s="3" t="str">
        <f t="shared" si="26"/>
        <v/>
      </c>
      <c r="Q204" s="178" t="str">
        <f t="shared" si="27"/>
        <v>92b</v>
      </c>
      <c r="R204" s="23"/>
      <c r="S204" t="str">
        <f>VLOOKUP($C204,'All Girls &amp; Descendants - Edit'!$C$2:$AK$440,'All Girls &amp; Descendants - Edit'!S$1,FALSE)</f>
        <v>Male</v>
      </c>
      <c r="T204" s="176">
        <f t="shared" si="24"/>
        <v>7</v>
      </c>
      <c r="U204" s="176">
        <f t="shared" si="28"/>
        <v>4</v>
      </c>
      <c r="V204" s="176">
        <f t="shared" si="29"/>
        <v>5</v>
      </c>
      <c r="W204" s="177">
        <f t="shared" si="30"/>
        <v>2</v>
      </c>
      <c r="X204" s="3" t="str">
        <f>IF(VLOOKUP($C204,'All Girls &amp; Descendants - Edit'!$C$2:$AK$440,'All Girls &amp; Descendants - Edit'!X$1,FALSE)=""," - ",(VLOOKUP($C204,'All Girls &amp; Descendants - Edit'!$C$2:$AK$440,'All Girls &amp; Descendants - Edit'!X$1,FALSE)))</f>
        <v>Solene Claire Monique Marie de Rancourt de Mimerand (b. 17/10/1984, )</v>
      </c>
      <c r="Y204" s="3" t="str">
        <f>IF(VLOOKUP($C204,'All Girls &amp; Descendants - Edit'!$C$2:$AK$440,'All Girls &amp; Descendants - Edit'!Y$1,FALSE)=""," - ",(VLOOKUP($C204,'All Girls &amp; Descendants - Edit'!$C$2:$AK$440,'All Girls &amp; Descendants - Edit'!Y$1,FALSE)))</f>
        <v>Marrid Solene on 02/07/2011 at at St Jean de Malte church, Aix en Provence, France.</v>
      </c>
      <c r="Z204" s="3" t="str">
        <f>IF(VLOOKUP($C204,'All Girls &amp; Descendants - Edit'!$C$2:$AK$440,'All Girls &amp; Descendants - Edit'!Z$1,FALSE)=""," - ",(VLOOKUP($C204,'All Girls &amp; Descendants - Edit'!$C$2:$AK$440,'All Girls &amp; Descendants - Edit'!Z$1,FALSE)))</f>
        <v>Baptised 15 Aug 1985 at the Parish Church, St Jean de Luz, France. 
Children: Alice Clementine Mary TATTON-BROWN (b. 20.10.2013, ), 
Théodore Eden Louis TATTON-BROWN (b. 09/06/2018, ), 
Oscar Arthur Alexandre TATTON-BROWN (b. 12/02/2021, )</v>
      </c>
      <c r="AA204" s="101">
        <f>IF(VLOOKUP($C204,'All Girls &amp; Descendants - Edit'!$C$2:$AK$440,'All Girls &amp; Descendants - Edit'!AA$1,FALSE)=""," - ",(VLOOKUP($C204,'All Girls &amp; Descendants - Edit'!$C$2:$AK$440,'All Girls &amp; Descendants - Edit'!AA$1,FALSE)))</f>
        <v>211</v>
      </c>
      <c r="AB204" s="101">
        <f>IF(VLOOKUP($C204,'All Girls &amp; Descendants - Edit'!$C$2:$AK$440,'All Girls &amp; Descendants - Edit'!AB$1,FALSE)=""," - ",(VLOOKUP($C204,'All Girls &amp; Descendants - Edit'!$C$2:$AK$440,'All Girls &amp; Descendants - Edit'!AB$1,FALSE)))</f>
        <v>61</v>
      </c>
      <c r="AC204" s="101">
        <f>IF(VLOOKUP($C204,'All Girls &amp; Descendants - Edit'!$C$2:$AK$440,'All Girls &amp; Descendants - Edit'!AC$1,FALSE)=""," - ",(VLOOKUP($C204,'All Girls &amp; Descendants - Edit'!$C$2:$AK$440,'All Girls &amp; Descendants - Edit'!AC$1,FALSE)))</f>
        <v>2061</v>
      </c>
      <c r="AD204" s="3" t="str">
        <f>IF(VLOOKUP($C204,'All Girls &amp; Descendants - Edit'!$C$2:$AK$440,'All Girls &amp; Descendants - Edit'!AD$1,FALSE)=""," - ",(VLOOKUP($C204,'All Girls &amp; Descendants - Edit'!$C$2:$AK$440,'All Girls &amp; Descendants - Edit'!AD$1,FALSE)))</f>
        <v>92bd</v>
      </c>
      <c r="AE204" s="3" t="str">
        <f>IF(VLOOKUP($C204,'All Girls &amp; Descendants - Edit'!$C$2:$AK$440,'All Girls &amp; Descendants - Edit'!AE$1,FALSE)=""," - ",(VLOOKUP($C204,'All Girls &amp; Descendants - Edit'!$C$2:$AK$440,'All Girls &amp; Descendants - Edit'!AE$1,FALSE)))</f>
        <v>Gregory Mark Eden TATTON-BROWN (1985 - )</v>
      </c>
      <c r="AF204" s="3" t="str">
        <f>IF(VLOOKUP($C204,'All Girls &amp; Descendants - Edit'!$C$2:$AK$440,'All Girls &amp; Descendants - Edit'!AF$1,FALSE)=""," - ",(VLOOKUP($C204,'All Girls &amp; Descendants - Edit'!$C$2:$AK$440,'All Girls &amp; Descendants - Edit'!AF$1,FALSE)))</f>
        <v>Gregory TATTON-BROWN (7th &amp; 92)</v>
      </c>
      <c r="AG204" s="3" t="str">
        <f>IF(VLOOKUP($C204,'All Girls &amp; Descendants - Edit'!$C$2:$AK$440,'All Girls &amp; Descendants - Edit'!AG$1,FALSE)=""," - ",(VLOOKUP($C204,'All Girls &amp; Descendants - Edit'!$C$2:$AK$440,'All Girls &amp; Descendants - Edit'!AG$1,FALSE)))</f>
        <v>Male</v>
      </c>
      <c r="AH204" s="3" t="str">
        <f>IF(VLOOKUP($C204,'All Girls &amp; Descendants - Edit'!$C$2:$AK$440,'All Girls &amp; Descendants - Edit'!AH$1,FALSE)=""," - ",(VLOOKUP($C204,'All Girls &amp; Descendants - Edit'!$C$2:$AK$440,'All Girls &amp; Descendants - Edit'!AH$1,FALSE)))</f>
        <v>7th</v>
      </c>
      <c r="AI204" s="3" t="str">
        <f>IF(VLOOKUP($C204,'All Girls &amp; Descendants - Edit'!$C$2:$AK$440,'All Girls &amp; Descendants - Edit'!AI$1,FALSE)=""," - ",(VLOOKUP($C204,'All Girls &amp; Descendants - Edit'!$C$2:$AK$440,'All Girls &amp; Descendants - Edit'!AI$1,FALSE)))</f>
        <v>Wife: Solene Claire Monique Marie de Rancourt de Mimerand (b. 17/10/1984, ). Marrid Solene on 02/07/2011 at at St Jean de Malte church, Aix en Provence, France.</v>
      </c>
      <c r="AJ204" s="3" t="str">
        <f>IF(VLOOKUP($C204,'All Girls &amp; Descendants - Edit'!$C$2:$AK$440,'All Girls &amp; Descendants - Edit'!AJ$1,FALSE)=""," - ",(VLOOKUP($C204,'All Girls &amp; Descendants - Edit'!$C$2:$AK$440,'All Girls &amp; Descendants - Edit'!AJ$1,FALSE)))</f>
        <v>Male. b. 06/07/1985 Baptised 15 Aug 1985 at the Parish Church, St Jean de Luz, France. 
Children: Alice Clementine Mary TATTON-BROWN (b. 20.10.2013, ), 
Théodore Eden Louis TATTON-BROWN (b. 09/06/2018, ), 
Oscar Arthur Alexandre TATTON-BROWN (b. 12/02/2021, )</v>
      </c>
      <c r="AK204" s="3" t="str">
        <f>IF(VLOOKUP($C204,'All Girls &amp; Descendants - Edit'!$C$2:$AK$440,'All Girls &amp; Descendants - Edit'!AK$1,FALSE)=""," - ",(VLOOKUP($C204,'All Girls &amp; Descendants - Edit'!$C$2:$AK$440,'All Girls &amp; Descendants - Edit'!AK$1,FALSE)))</f>
        <v>b. 06/07/1985</v>
      </c>
    </row>
    <row r="205" spans="1:37" ht="19">
      <c r="A205">
        <f>VLOOKUP(B205,'Loyd List 1-190 - Edit'!$P$1:$R$219,3,FALSE)</f>
        <v>54</v>
      </c>
      <c r="B205">
        <f>'All Girls &amp; Descendants - Edit'!B206</f>
        <v>92</v>
      </c>
      <c r="C205" s="98" t="str">
        <f>'All Girls &amp; Descendants - Edit'!C206</f>
        <v>92da</v>
      </c>
      <c r="D205" s="2" t="str">
        <f>'All Girls &amp; Descendants - Edit'!D206</f>
        <v>SURTEES</v>
      </c>
      <c r="E205" t="str">
        <f>'All Girls &amp; Descendants - Edit'!E206</f>
        <v>Jonathan</v>
      </c>
      <c r="F205" t="str">
        <f>IF('All Girls &amp; Descendants - Edit'!F206="","",'All Girls &amp; Descendants - Edit'!F206)</f>
        <v>William</v>
      </c>
      <c r="G205" t="str">
        <f>IF('All Girls &amp; Descendants - Edit'!G206="","",'All Girls &amp; Descendants - Edit'!G206)</f>
        <v>Robert</v>
      </c>
      <c r="H205" t="str">
        <f>IF('All Girls &amp; Descendants - Edit'!H206="","",'All Girls &amp; Descendants - Edit'!H206)</f>
        <v/>
      </c>
      <c r="I205">
        <f>VLOOKUP($C205,'All Girls &amp; Descendants - Edit'!$C$2:$AK$440,'All Girls &amp; Descendants - Edit'!I$1,FALSE)</f>
        <v>1982</v>
      </c>
      <c r="J205" t="str">
        <f>VLOOKUP($C205,'All Girls &amp; Descendants - Edit'!$C$2:$AK$440,'All Girls &amp; Descendants - Edit'!J$1,FALSE)</f>
        <v/>
      </c>
      <c r="K205" s="9"/>
      <c r="L205" t="str">
        <f t="shared" si="25"/>
        <v>20/02/1982</v>
      </c>
      <c r="M205" s="3">
        <f>VLOOKUP($C205,'All Girls &amp; Descendants - Edit'!$C$2:$AK$440,'All Girls &amp; Descendants - Edit'!M$1,FALSE)</f>
        <v>30002</v>
      </c>
      <c r="N205" s="3" t="str">
        <f>IF(VLOOKUP($C205,'All Girls &amp; Descendants - Edit'!$C$2:$AK$440,'All Girls &amp; Descendants - Edit'!N$1,FALSE)=""," - ",(VLOOKUP($C205,'All Girls &amp; Descendants - Edit'!$C$2:$AK$440,'All Girls &amp; Descendants - Edit'!N$1,FALSE)))</f>
        <v xml:space="preserve"> - </v>
      </c>
      <c r="O205" s="3" t="str">
        <f>IF(VLOOKUP($C205,'All Girls &amp; Descendants - Edit'!$C$2:$AK$440,'All Girls &amp; Descendants - Edit'!O$1,FALSE)="","",(VLOOKUP($C205,'All Girls &amp; Descendants - Edit'!$C$2:$AK$440,'All Girls &amp; Descendants - Edit'!O$1,FALSE)))</f>
        <v/>
      </c>
      <c r="P205" s="3" t="str">
        <f t="shared" si="26"/>
        <v/>
      </c>
      <c r="Q205" s="178" t="str">
        <f t="shared" si="27"/>
        <v>92d</v>
      </c>
      <c r="R205" s="23"/>
      <c r="S205" t="str">
        <f>VLOOKUP($C205,'All Girls &amp; Descendants - Edit'!$C$2:$AK$440,'All Girls &amp; Descendants - Edit'!S$1,FALSE)</f>
        <v>Male</v>
      </c>
      <c r="T205" s="176">
        <f t="shared" si="24"/>
        <v>7</v>
      </c>
      <c r="U205" s="176">
        <f t="shared" si="28"/>
        <v>4</v>
      </c>
      <c r="V205" s="176">
        <f t="shared" si="29"/>
        <v>5</v>
      </c>
      <c r="W205" s="177">
        <f t="shared" si="30"/>
        <v>2</v>
      </c>
      <c r="X205" s="3" t="str">
        <f>IF(VLOOKUP($C205,'All Girls &amp; Descendants - Edit'!$C$2:$AK$440,'All Girls &amp; Descendants - Edit'!X$1,FALSE)=""," - ",(VLOOKUP($C205,'All Girls &amp; Descendants - Edit'!$C$2:$AK$440,'All Girls &amp; Descendants - Edit'!X$1,FALSE)))</f>
        <v xml:space="preserve"> - </v>
      </c>
      <c r="Y205" s="3" t="str">
        <f>IF(VLOOKUP($C205,'All Girls &amp; Descendants - Edit'!$C$2:$AK$440,'All Girls &amp; Descendants - Edit'!Y$1,FALSE)=""," - ",(VLOOKUP($C205,'All Girls &amp; Descendants - Edit'!$C$2:$AK$440,'All Girls &amp; Descendants - Edit'!Y$1,FALSE)))</f>
        <v xml:space="preserve"> - </v>
      </c>
      <c r="Z205" s="3" t="str">
        <f>IF(VLOOKUP($C205,'All Girls &amp; Descendants - Edit'!$C$2:$AK$440,'All Girls &amp; Descendants - Edit'!Z$1,FALSE)=""," - ",(VLOOKUP($C205,'All Girls &amp; Descendants - Edit'!$C$2:$AK$440,'All Girls &amp; Descendants - Edit'!Z$1,FALSE)))</f>
        <v>Baptised 16 May 1982 at Clyst St. George Church, Nr. Exeter, Devon.</v>
      </c>
      <c r="AA205" s="101">
        <f>IF(VLOOKUP($C205,'All Girls &amp; Descendants - Edit'!$C$2:$AK$440,'All Girls &amp; Descendants - Edit'!AA$1,FALSE)=""," - ",(VLOOKUP($C205,'All Girls &amp; Descendants - Edit'!$C$2:$AK$440,'All Girls &amp; Descendants - Edit'!AA$1,FALSE)))</f>
        <v>214</v>
      </c>
      <c r="AB205" s="101">
        <f>IF(VLOOKUP($C205,'All Girls &amp; Descendants - Edit'!$C$2:$AK$440,'All Girls &amp; Descendants - Edit'!AB$1,FALSE)=""," - ",(VLOOKUP($C205,'All Girls &amp; Descendants - Edit'!$C$2:$AK$440,'All Girls &amp; Descendants - Edit'!AB$1,FALSE)))</f>
        <v>62</v>
      </c>
      <c r="AC205" s="101">
        <f>IF(VLOOKUP($C205,'All Girls &amp; Descendants - Edit'!$C$2:$AK$440,'All Girls &amp; Descendants - Edit'!AC$1,FALSE)=""," - ",(VLOOKUP($C205,'All Girls &amp; Descendants - Edit'!$C$2:$AK$440,'All Girls &amp; Descendants - Edit'!AC$1,FALSE)))</f>
        <v>2062</v>
      </c>
      <c r="AD205" s="3" t="str">
        <f>IF(VLOOKUP($C205,'All Girls &amp; Descendants - Edit'!$C$2:$AK$440,'All Girls &amp; Descendants - Edit'!AD$1,FALSE)=""," - ",(VLOOKUP($C205,'All Girls &amp; Descendants - Edit'!$C$2:$AK$440,'All Girls &amp; Descendants - Edit'!AD$1,FALSE)))</f>
        <v>92da</v>
      </c>
      <c r="AE205" s="3" t="str">
        <f>IF(VLOOKUP($C205,'All Girls &amp; Descendants - Edit'!$C$2:$AK$440,'All Girls &amp; Descendants - Edit'!AE$1,FALSE)=""," - ",(VLOOKUP($C205,'All Girls &amp; Descendants - Edit'!$C$2:$AK$440,'All Girls &amp; Descendants - Edit'!AE$1,FALSE)))</f>
        <v>Jonathan William Robert SURTEES (1982 - )</v>
      </c>
      <c r="AF205" s="3" t="str">
        <f>IF(VLOOKUP($C205,'All Girls &amp; Descendants - Edit'!$C$2:$AK$440,'All Girls &amp; Descendants - Edit'!AF$1,FALSE)=""," - ",(VLOOKUP($C205,'All Girls &amp; Descendants - Edit'!$C$2:$AK$440,'All Girls &amp; Descendants - Edit'!AF$1,FALSE)))</f>
        <v>Jonathan SURTEES (7th &amp; 92)</v>
      </c>
      <c r="AG205" s="3" t="str">
        <f>IF(VLOOKUP($C205,'All Girls &amp; Descendants - Edit'!$C$2:$AK$440,'All Girls &amp; Descendants - Edit'!AG$1,FALSE)=""," - ",(VLOOKUP($C205,'All Girls &amp; Descendants - Edit'!$C$2:$AK$440,'All Girls &amp; Descendants - Edit'!AG$1,FALSE)))</f>
        <v>Male</v>
      </c>
      <c r="AH205" s="3" t="str">
        <f>IF(VLOOKUP($C205,'All Girls &amp; Descendants - Edit'!$C$2:$AK$440,'All Girls &amp; Descendants - Edit'!AH$1,FALSE)=""," - ",(VLOOKUP($C205,'All Girls &amp; Descendants - Edit'!$C$2:$AK$440,'All Girls &amp; Descendants - Edit'!AH$1,FALSE)))</f>
        <v>7th</v>
      </c>
      <c r="AI205" s="3" t="str">
        <f>IF(VLOOKUP($C205,'All Girls &amp; Descendants - Edit'!$C$2:$AK$440,'All Girls &amp; Descendants - Edit'!AI$1,FALSE)=""," - ",(VLOOKUP($C205,'All Girls &amp; Descendants - Edit'!$C$2:$AK$440,'All Girls &amp; Descendants - Edit'!AI$1,FALSE)))</f>
        <v>Unmarried</v>
      </c>
      <c r="AJ205" s="3" t="str">
        <f>IF(VLOOKUP($C205,'All Girls &amp; Descendants - Edit'!$C$2:$AK$440,'All Girls &amp; Descendants - Edit'!AJ$1,FALSE)=""," - ",(VLOOKUP($C205,'All Girls &amp; Descendants - Edit'!$C$2:$AK$440,'All Girls &amp; Descendants - Edit'!AJ$1,FALSE)))</f>
        <v>Male. b. 20/02/1982 Baptised 16 May 1982 at Clyst St. George Church, Nr. Exeter, Devon.</v>
      </c>
      <c r="AK205" s="3" t="str">
        <f>IF(VLOOKUP($C205,'All Girls &amp; Descendants - Edit'!$C$2:$AK$440,'All Girls &amp; Descendants - Edit'!AK$1,FALSE)=""," - ",(VLOOKUP($C205,'All Girls &amp; Descendants - Edit'!$C$2:$AK$440,'All Girls &amp; Descendants - Edit'!AK$1,FALSE)))</f>
        <v>b. 20/02/1982</v>
      </c>
    </row>
    <row r="206" spans="1:37" ht="19">
      <c r="A206">
        <f>VLOOKUP(B206,'Loyd List 1-190 - Edit'!$P$1:$R$219,3,FALSE)</f>
        <v>54</v>
      </c>
      <c r="B206">
        <f>'All Girls &amp; Descendants - Edit'!B207</f>
        <v>92</v>
      </c>
      <c r="C206" s="98" t="str">
        <f>'All Girls &amp; Descendants - Edit'!C207</f>
        <v>92db</v>
      </c>
      <c r="D206" s="2" t="str">
        <f>'All Girls &amp; Descendants - Edit'!D207</f>
        <v>SURTEES</v>
      </c>
      <c r="E206" t="str">
        <f>'All Girls &amp; Descendants - Edit'!E207</f>
        <v>Rosamund</v>
      </c>
      <c r="F206" t="str">
        <f>IF('All Girls &amp; Descendants - Edit'!F207="","",'All Girls &amp; Descendants - Edit'!F207)</f>
        <v>Daphne</v>
      </c>
      <c r="G206" t="str">
        <f>IF('All Girls &amp; Descendants - Edit'!G207="","",'All Girls &amp; Descendants - Edit'!G207)</f>
        <v>Patricia</v>
      </c>
      <c r="H206" t="str">
        <f>IF('All Girls &amp; Descendants - Edit'!H207="","",'All Girls &amp; Descendants - Edit'!H207)</f>
        <v/>
      </c>
      <c r="I206">
        <f>VLOOKUP($C206,'All Girls &amp; Descendants - Edit'!$C$2:$AK$440,'All Girls &amp; Descendants - Edit'!I$1,FALSE)</f>
        <v>1987</v>
      </c>
      <c r="J206" t="str">
        <f>VLOOKUP($C206,'All Girls &amp; Descendants - Edit'!$C$2:$AK$440,'All Girls &amp; Descendants - Edit'!J$1,FALSE)</f>
        <v/>
      </c>
      <c r="K206" s="9"/>
      <c r="L206" t="str">
        <f t="shared" si="25"/>
        <v>08/02/1987</v>
      </c>
      <c r="M206" s="3">
        <f>VLOOKUP($C206,'All Girls &amp; Descendants - Edit'!$C$2:$AK$440,'All Girls &amp; Descendants - Edit'!M$1,FALSE)</f>
        <v>31816</v>
      </c>
      <c r="N206" s="3" t="str">
        <f>IF(VLOOKUP($C206,'All Girls &amp; Descendants - Edit'!$C$2:$AK$440,'All Girls &amp; Descendants - Edit'!N$1,FALSE)=""," - ",(VLOOKUP($C206,'All Girls &amp; Descendants - Edit'!$C$2:$AK$440,'All Girls &amp; Descendants - Edit'!N$1,FALSE)))</f>
        <v xml:space="preserve"> - </v>
      </c>
      <c r="O206" s="3" t="str">
        <f>IF(VLOOKUP($C206,'All Girls &amp; Descendants - Edit'!$C$2:$AK$440,'All Girls &amp; Descendants - Edit'!O$1,FALSE)="","",(VLOOKUP($C206,'All Girls &amp; Descendants - Edit'!$C$2:$AK$440,'All Girls &amp; Descendants - Edit'!O$1,FALSE)))</f>
        <v/>
      </c>
      <c r="P206" s="3" t="str">
        <f t="shared" si="26"/>
        <v/>
      </c>
      <c r="Q206" s="178" t="str">
        <f t="shared" si="27"/>
        <v>92d</v>
      </c>
      <c r="R206" s="23"/>
      <c r="S206" t="str">
        <f>VLOOKUP($C206,'All Girls &amp; Descendants - Edit'!$C$2:$AK$440,'All Girls &amp; Descendants - Edit'!S$1,FALSE)</f>
        <v>Female</v>
      </c>
      <c r="T206" s="176">
        <f t="shared" si="24"/>
        <v>7</v>
      </c>
      <c r="U206" s="176">
        <f t="shared" si="28"/>
        <v>4</v>
      </c>
      <c r="V206" s="176">
        <f t="shared" si="29"/>
        <v>5</v>
      </c>
      <c r="W206" s="177">
        <f t="shared" si="30"/>
        <v>2</v>
      </c>
      <c r="X206" s="3" t="str">
        <f>IF(VLOOKUP($C206,'All Girls &amp; Descendants - Edit'!$C$2:$AK$440,'All Girls &amp; Descendants - Edit'!X$1,FALSE)=""," - ",(VLOOKUP($C206,'All Girls &amp; Descendants - Edit'!$C$2:$AK$440,'All Girls &amp; Descendants - Edit'!X$1,FALSE)))</f>
        <v xml:space="preserve"> - </v>
      </c>
      <c r="Y206" s="3" t="str">
        <f>IF(VLOOKUP($C206,'All Girls &amp; Descendants - Edit'!$C$2:$AK$440,'All Girls &amp; Descendants - Edit'!Y$1,FALSE)=""," - ",(VLOOKUP($C206,'All Girls &amp; Descendants - Edit'!$C$2:$AK$440,'All Girls &amp; Descendants - Edit'!Y$1,FALSE)))</f>
        <v xml:space="preserve"> - </v>
      </c>
      <c r="Z206" s="3" t="str">
        <f>IF(VLOOKUP($C206,'All Girls &amp; Descendants - Edit'!$C$2:$AK$440,'All Girls &amp; Descendants - Edit'!Z$1,FALSE)=""," - ",(VLOOKUP($C206,'All Girls &amp; Descendants - Edit'!$C$2:$AK$440,'All Girls &amp; Descendants - Edit'!Z$1,FALSE)))</f>
        <v>Baptised 24 May 1987 at Salisbury Cathedral.</v>
      </c>
      <c r="AA206" s="101">
        <f>IF(VLOOKUP($C206,'All Girls &amp; Descendants - Edit'!$C$2:$AK$440,'All Girls &amp; Descendants - Edit'!AA$1,FALSE)=""," - ",(VLOOKUP($C206,'All Girls &amp; Descendants - Edit'!$C$2:$AK$440,'All Girls &amp; Descendants - Edit'!AA$1,FALSE)))</f>
        <v>215</v>
      </c>
      <c r="AB206" s="101">
        <f>IF(VLOOKUP($C206,'All Girls &amp; Descendants - Edit'!$C$2:$AK$440,'All Girls &amp; Descendants - Edit'!AB$1,FALSE)=""," - ",(VLOOKUP($C206,'All Girls &amp; Descendants - Edit'!$C$2:$AK$440,'All Girls &amp; Descendants - Edit'!AB$1,FALSE)))</f>
        <v>63</v>
      </c>
      <c r="AC206" s="101">
        <f>IF(VLOOKUP($C206,'All Girls &amp; Descendants - Edit'!$C$2:$AK$440,'All Girls &amp; Descendants - Edit'!AC$1,FALSE)=""," - ",(VLOOKUP($C206,'All Girls &amp; Descendants - Edit'!$C$2:$AK$440,'All Girls &amp; Descendants - Edit'!AC$1,FALSE)))</f>
        <v>2063</v>
      </c>
      <c r="AD206" s="3" t="str">
        <f>IF(VLOOKUP($C206,'All Girls &amp; Descendants - Edit'!$C$2:$AK$440,'All Girls &amp; Descendants - Edit'!AD$1,FALSE)=""," - ",(VLOOKUP($C206,'All Girls &amp; Descendants - Edit'!$C$2:$AK$440,'All Girls &amp; Descendants - Edit'!AD$1,FALSE)))</f>
        <v>92db</v>
      </c>
      <c r="AE206" s="3" t="str">
        <f>IF(VLOOKUP($C206,'All Girls &amp; Descendants - Edit'!$C$2:$AK$440,'All Girls &amp; Descendants - Edit'!AE$1,FALSE)=""," - ",(VLOOKUP($C206,'All Girls &amp; Descendants - Edit'!$C$2:$AK$440,'All Girls &amp; Descendants - Edit'!AE$1,FALSE)))</f>
        <v>Rosamund Daphne Patricia SURTEES (1987 - )</v>
      </c>
      <c r="AF206" s="3" t="str">
        <f>IF(VLOOKUP($C206,'All Girls &amp; Descendants - Edit'!$C$2:$AK$440,'All Girls &amp; Descendants - Edit'!AF$1,FALSE)=""," - ",(VLOOKUP($C206,'All Girls &amp; Descendants - Edit'!$C$2:$AK$440,'All Girls &amp; Descendants - Edit'!AF$1,FALSE)))</f>
        <v>Rosamund SURTEES (7th &amp; 92)</v>
      </c>
      <c r="AG206" s="3" t="str">
        <f>IF(VLOOKUP($C206,'All Girls &amp; Descendants - Edit'!$C$2:$AK$440,'All Girls &amp; Descendants - Edit'!AG$1,FALSE)=""," - ",(VLOOKUP($C206,'All Girls &amp; Descendants - Edit'!$C$2:$AK$440,'All Girls &amp; Descendants - Edit'!AG$1,FALSE)))</f>
        <v>Female</v>
      </c>
      <c r="AH206" s="3" t="str">
        <f>IF(VLOOKUP($C206,'All Girls &amp; Descendants - Edit'!$C$2:$AK$440,'All Girls &amp; Descendants - Edit'!AH$1,FALSE)=""," - ",(VLOOKUP($C206,'All Girls &amp; Descendants - Edit'!$C$2:$AK$440,'All Girls &amp; Descendants - Edit'!AH$1,FALSE)))</f>
        <v>7th</v>
      </c>
      <c r="AI206" s="3" t="str">
        <f>IF(VLOOKUP($C206,'All Girls &amp; Descendants - Edit'!$C$2:$AK$440,'All Girls &amp; Descendants - Edit'!AI$1,FALSE)=""," - ",(VLOOKUP($C206,'All Girls &amp; Descendants - Edit'!$C$2:$AK$440,'All Girls &amp; Descendants - Edit'!AI$1,FALSE)))</f>
        <v>Unmarried</v>
      </c>
      <c r="AJ206" s="3" t="str">
        <f>IF(VLOOKUP($C206,'All Girls &amp; Descendants - Edit'!$C$2:$AK$440,'All Girls &amp; Descendants - Edit'!AJ$1,FALSE)=""," - ",(VLOOKUP($C206,'All Girls &amp; Descendants - Edit'!$C$2:$AK$440,'All Girls &amp; Descendants - Edit'!AJ$1,FALSE)))</f>
        <v>Female. b. 08/02/1987 Baptised 24 May 1987 at Salisbury Cathedral.</v>
      </c>
      <c r="AK206" s="3" t="str">
        <f>IF(VLOOKUP($C206,'All Girls &amp; Descendants - Edit'!$C$2:$AK$440,'All Girls &amp; Descendants - Edit'!AK$1,FALSE)=""," - ",(VLOOKUP($C206,'All Girls &amp; Descendants - Edit'!$C$2:$AK$440,'All Girls &amp; Descendants - Edit'!AK$1,FALSE)))</f>
        <v>b. 08/02/1987</v>
      </c>
    </row>
    <row r="207" spans="1:37" ht="19">
      <c r="A207">
        <f>VLOOKUP(B207,'Loyd List 1-190 - Edit'!$P$1:$R$219,3,FALSE)</f>
        <v>56</v>
      </c>
      <c r="B207">
        <f>'All Girls &amp; Descendants - Edit'!B208</f>
        <v>95</v>
      </c>
      <c r="C207" s="98" t="str">
        <f>'All Girls &amp; Descendants - Edit'!C208</f>
        <v>95ba</v>
      </c>
      <c r="D207" s="2" t="str">
        <f>'All Girls &amp; Descendants - Edit'!D208</f>
        <v>VESTEY</v>
      </c>
      <c r="E207" t="str">
        <f>'All Girls &amp; Descendants - Edit'!E208</f>
        <v>THE Hon William</v>
      </c>
      <c r="F207" t="str">
        <f>IF('All Girls &amp; Descendants - Edit'!F208="","",'All Girls &amp; Descendants - Edit'!F208)</f>
        <v>Guy</v>
      </c>
      <c r="G207" t="str">
        <f>IF('All Girls &amp; Descendants - Edit'!G208="","",'All Girls &amp; Descendants - Edit'!G208)</f>
        <v/>
      </c>
      <c r="H207" t="str">
        <f>IF('All Girls &amp; Descendants - Edit'!H208="","",'All Girls &amp; Descendants - Edit'!H208)</f>
        <v/>
      </c>
      <c r="I207">
        <f>VLOOKUP($C207,'All Girls &amp; Descendants - Edit'!$C$2:$AK$440,'All Girls &amp; Descendants - Edit'!I$1,FALSE)</f>
        <v>1983</v>
      </c>
      <c r="J207" t="str">
        <f>VLOOKUP($C207,'All Girls &amp; Descendants - Edit'!$C$2:$AK$440,'All Girls &amp; Descendants - Edit'!J$1,FALSE)</f>
        <v/>
      </c>
      <c r="K207" s="9"/>
      <c r="L207" t="str">
        <f t="shared" si="25"/>
        <v>27/08/1983</v>
      </c>
      <c r="M207" s="3">
        <f>VLOOKUP($C207,'All Girls &amp; Descendants - Edit'!$C$2:$AK$440,'All Girls &amp; Descendants - Edit'!M$1,FALSE)</f>
        <v>30555</v>
      </c>
      <c r="N207" s="3">
        <f>IF(VLOOKUP($C207,'All Girls &amp; Descendants - Edit'!$C$2:$AK$440,'All Girls &amp; Descendants - Edit'!N$1,FALSE)=""," - ",(VLOOKUP($C207,'All Girls &amp; Descendants - Edit'!$C$2:$AK$440,'All Girls &amp; Descendants - Edit'!N$1,FALSE)))</f>
        <v>41181</v>
      </c>
      <c r="O207" s="3" t="str">
        <f>IF(VLOOKUP($C207,'All Girls &amp; Descendants - Edit'!$C$2:$AK$440,'All Girls &amp; Descendants - Edit'!O$1,FALSE)="","",(VLOOKUP($C207,'All Girls &amp; Descendants - Edit'!$C$2:$AK$440,'All Girls &amp; Descendants - Edit'!O$1,FALSE)))</f>
        <v/>
      </c>
      <c r="P207" s="3" t="str">
        <f t="shared" si="26"/>
        <v/>
      </c>
      <c r="Q207" s="178" t="str">
        <f t="shared" si="27"/>
        <v>95b</v>
      </c>
      <c r="R207" s="23"/>
      <c r="S207" t="str">
        <f>VLOOKUP($C207,'All Girls &amp; Descendants - Edit'!$C$2:$AK$440,'All Girls &amp; Descendants - Edit'!S$1,FALSE)</f>
        <v>Male</v>
      </c>
      <c r="T207" s="176">
        <f t="shared" si="24"/>
        <v>7</v>
      </c>
      <c r="U207" s="176">
        <f t="shared" si="28"/>
        <v>4</v>
      </c>
      <c r="V207" s="176">
        <f t="shared" si="29"/>
        <v>5</v>
      </c>
      <c r="W207" s="177">
        <f t="shared" si="30"/>
        <v>2</v>
      </c>
      <c r="X207" s="3" t="str">
        <f>IF(VLOOKUP($C207,'All Girls &amp; Descendants - Edit'!$C$2:$AK$440,'All Girls &amp; Descendants - Edit'!X$1,FALSE)=""," - ",(VLOOKUP($C207,'All Girls &amp; Descendants - Edit'!$C$2:$AK$440,'All Girls &amp; Descendants - Edit'!X$1,FALSE)))</f>
        <v>Violet Gweneth Henderson</v>
      </c>
      <c r="Y207" s="3" t="str">
        <f>IF(VLOOKUP($C207,'All Girls &amp; Descendants - Edit'!$C$2:$AK$440,'All Girls &amp; Descendants - Edit'!Y$1,FALSE)=""," - ",(VLOOKUP($C207,'All Girls &amp; Descendants - Edit'!$C$2:$AK$440,'All Girls &amp; Descendants - Edit'!Y$1,FALSE)))</f>
        <v>Married 29/09/2012.</v>
      </c>
      <c r="Z207" s="3" t="str">
        <f>IF(VLOOKUP($C207,'All Girls &amp; Descendants - Edit'!$C$2:$AK$440,'All Girls &amp; Descendants - Edit'!Z$1,FALSE)=""," - ",(VLOOKUP($C207,'All Girls &amp; Descendants - Edit'!$C$2:$AK$440,'All Girls &amp; Descendants - Edit'!Z$1,FALSE)))</f>
        <v>Baptised at St Leonard’s, Stowell Park.</v>
      </c>
      <c r="AA207" s="101">
        <f>IF(VLOOKUP($C207,'All Girls &amp; Descendants - Edit'!$C$2:$AK$440,'All Girls &amp; Descendants - Edit'!AA$1,FALSE)=""," - ",(VLOOKUP($C207,'All Girls &amp; Descendants - Edit'!$C$2:$AK$440,'All Girls &amp; Descendants - Edit'!AA$1,FALSE)))</f>
        <v>218</v>
      </c>
      <c r="AB207" s="101">
        <f>IF(VLOOKUP($C207,'All Girls &amp; Descendants - Edit'!$C$2:$AK$440,'All Girls &amp; Descendants - Edit'!AB$1,FALSE)=""," - ",(VLOOKUP($C207,'All Girls &amp; Descendants - Edit'!$C$2:$AK$440,'All Girls &amp; Descendants - Edit'!AB$1,FALSE)))</f>
        <v>64</v>
      </c>
      <c r="AC207" s="101">
        <f>IF(VLOOKUP($C207,'All Girls &amp; Descendants - Edit'!$C$2:$AK$440,'All Girls &amp; Descendants - Edit'!AC$1,FALSE)=""," - ",(VLOOKUP($C207,'All Girls &amp; Descendants - Edit'!$C$2:$AK$440,'All Girls &amp; Descendants - Edit'!AC$1,FALSE)))</f>
        <v>2064</v>
      </c>
      <c r="AD207" s="3" t="str">
        <f>IF(VLOOKUP($C207,'All Girls &amp; Descendants - Edit'!$C$2:$AK$440,'All Girls &amp; Descendants - Edit'!AD$1,FALSE)=""," - ",(VLOOKUP($C207,'All Girls &amp; Descendants - Edit'!$C$2:$AK$440,'All Girls &amp; Descendants - Edit'!AD$1,FALSE)))</f>
        <v>95ba</v>
      </c>
      <c r="AE207" s="3" t="str">
        <f>IF(VLOOKUP($C207,'All Girls &amp; Descendants - Edit'!$C$2:$AK$440,'All Girls &amp; Descendants - Edit'!AE$1,FALSE)=""," - ",(VLOOKUP($C207,'All Girls &amp; Descendants - Edit'!$C$2:$AK$440,'All Girls &amp; Descendants - Edit'!AE$1,FALSE)))</f>
        <v>THE Hon William Guy  VESTEY (1983 - )</v>
      </c>
      <c r="AF207" s="3" t="str">
        <f>IF(VLOOKUP($C207,'All Girls &amp; Descendants - Edit'!$C$2:$AK$440,'All Girls &amp; Descendants - Edit'!AF$1,FALSE)=""," - ",(VLOOKUP($C207,'All Girls &amp; Descendants - Edit'!$C$2:$AK$440,'All Girls &amp; Descendants - Edit'!AF$1,FALSE)))</f>
        <v>THE Hon William VESTEY (7th &amp; 95)</v>
      </c>
      <c r="AG207" s="3" t="str">
        <f>IF(VLOOKUP($C207,'All Girls &amp; Descendants - Edit'!$C$2:$AK$440,'All Girls &amp; Descendants - Edit'!AG$1,FALSE)=""," - ",(VLOOKUP($C207,'All Girls &amp; Descendants - Edit'!$C$2:$AK$440,'All Girls &amp; Descendants - Edit'!AG$1,FALSE)))</f>
        <v>Male</v>
      </c>
      <c r="AH207" s="3" t="str">
        <f>IF(VLOOKUP($C207,'All Girls &amp; Descendants - Edit'!$C$2:$AK$440,'All Girls &amp; Descendants - Edit'!AH$1,FALSE)=""," - ",(VLOOKUP($C207,'All Girls &amp; Descendants - Edit'!$C$2:$AK$440,'All Girls &amp; Descendants - Edit'!AH$1,FALSE)))</f>
        <v>7th</v>
      </c>
      <c r="AI207" s="3" t="str">
        <f>IF(VLOOKUP($C207,'All Girls &amp; Descendants - Edit'!$C$2:$AK$440,'All Girls &amp; Descendants - Edit'!AI$1,FALSE)=""," - ",(VLOOKUP($C207,'All Girls &amp; Descendants - Edit'!$C$2:$AK$440,'All Girls &amp; Descendants - Edit'!AI$1,FALSE)))</f>
        <v>Wife: Violet Gweneth Henderson. Married 29/09/2012.</v>
      </c>
      <c r="AJ207" s="3" t="str">
        <f>IF(VLOOKUP($C207,'All Girls &amp; Descendants - Edit'!$C$2:$AK$440,'All Girls &amp; Descendants - Edit'!AJ$1,FALSE)=""," - ",(VLOOKUP($C207,'All Girls &amp; Descendants - Edit'!$C$2:$AK$440,'All Girls &amp; Descendants - Edit'!AJ$1,FALSE)))</f>
        <v>Male. b. 27/08/1983 Baptised at St Leonard’s, Stowell Park.</v>
      </c>
      <c r="AK207" s="3" t="str">
        <f>IF(VLOOKUP($C207,'All Girls &amp; Descendants - Edit'!$C$2:$AK$440,'All Girls &amp; Descendants - Edit'!AK$1,FALSE)=""," - ",(VLOOKUP($C207,'All Girls &amp; Descendants - Edit'!$C$2:$AK$440,'All Girls &amp; Descendants - Edit'!AK$1,FALSE)))</f>
        <v>b. 27/08/1983</v>
      </c>
    </row>
    <row r="208" spans="1:37" ht="19">
      <c r="A208">
        <f>VLOOKUP(B208,'Loyd List 1-190 - Edit'!$P$1:$R$219,3,FALSE)</f>
        <v>56</v>
      </c>
      <c r="B208">
        <f>'All Girls &amp; Descendants - Edit'!B209</f>
        <v>95</v>
      </c>
      <c r="C208" s="98" t="str">
        <f>'All Girls &amp; Descendants - Edit'!C209</f>
        <v>95bb</v>
      </c>
      <c r="D208" s="2" t="str">
        <f>'All Girls &amp; Descendants - Edit'!D209</f>
        <v>VESTEY</v>
      </c>
      <c r="E208" t="str">
        <f>'All Girls &amp; Descendants - Edit'!E209</f>
        <v>THE Hon Arthur</v>
      </c>
      <c r="F208" t="str">
        <f>IF('All Girls &amp; Descendants - Edit'!F209="","",'All Girls &amp; Descendants - Edit'!F209)</f>
        <v>George</v>
      </c>
      <c r="G208" t="str">
        <f>IF('All Girls &amp; Descendants - Edit'!G209="","",'All Girls &amp; Descendants - Edit'!G209)</f>
        <v/>
      </c>
      <c r="H208" t="str">
        <f>IF('All Girls &amp; Descendants - Edit'!H209="","",'All Girls &amp; Descendants - Edit'!H209)</f>
        <v/>
      </c>
      <c r="I208">
        <f>VLOOKUP($C208,'All Girls &amp; Descendants - Edit'!$C$2:$AK$440,'All Girls &amp; Descendants - Edit'!I$1,FALSE)</f>
        <v>1985</v>
      </c>
      <c r="J208" t="str">
        <f>VLOOKUP($C208,'All Girls &amp; Descendants - Edit'!$C$2:$AK$440,'All Girls &amp; Descendants - Edit'!J$1,FALSE)</f>
        <v/>
      </c>
      <c r="K208" s="9"/>
      <c r="L208" t="str">
        <f t="shared" si="25"/>
        <v>11/07/1985</v>
      </c>
      <c r="M208" s="3">
        <f>VLOOKUP($C208,'All Girls &amp; Descendants - Edit'!$C$2:$AK$440,'All Girls &amp; Descendants - Edit'!M$1,FALSE)</f>
        <v>31239</v>
      </c>
      <c r="N208" s="3" t="str">
        <f>IF(VLOOKUP($C208,'All Girls &amp; Descendants - Edit'!$C$2:$AK$440,'All Girls &amp; Descendants - Edit'!N$1,FALSE)=""," - ",(VLOOKUP($C208,'All Girls &amp; Descendants - Edit'!$C$2:$AK$440,'All Girls &amp; Descendants - Edit'!N$1,FALSE)))</f>
        <v xml:space="preserve"> - </v>
      </c>
      <c r="O208" s="3" t="str">
        <f>IF(VLOOKUP($C208,'All Girls &amp; Descendants - Edit'!$C$2:$AK$440,'All Girls &amp; Descendants - Edit'!O$1,FALSE)="","",(VLOOKUP($C208,'All Girls &amp; Descendants - Edit'!$C$2:$AK$440,'All Girls &amp; Descendants - Edit'!O$1,FALSE)))</f>
        <v/>
      </c>
      <c r="P208" s="3" t="str">
        <f t="shared" si="26"/>
        <v/>
      </c>
      <c r="Q208" s="178" t="str">
        <f t="shared" si="27"/>
        <v>95b</v>
      </c>
      <c r="R208" s="23"/>
      <c r="S208" t="str">
        <f>VLOOKUP($C208,'All Girls &amp; Descendants - Edit'!$C$2:$AK$440,'All Girls &amp; Descendants - Edit'!S$1,FALSE)</f>
        <v>Male</v>
      </c>
      <c r="T208" s="176">
        <f t="shared" si="24"/>
        <v>7</v>
      </c>
      <c r="U208" s="176">
        <f t="shared" si="28"/>
        <v>4</v>
      </c>
      <c r="V208" s="176">
        <f t="shared" si="29"/>
        <v>5</v>
      </c>
      <c r="W208" s="177">
        <f t="shared" si="30"/>
        <v>2</v>
      </c>
      <c r="X208" s="3" t="str">
        <f>IF(VLOOKUP($C208,'All Girls &amp; Descendants - Edit'!$C$2:$AK$440,'All Girls &amp; Descendants - Edit'!X$1,FALSE)=""," - ",(VLOOKUP($C208,'All Girls &amp; Descendants - Edit'!$C$2:$AK$440,'All Girls &amp; Descendants - Edit'!X$1,FALSE)))</f>
        <v>The Honourable Martha A. Beaumont.</v>
      </c>
      <c r="Y208" s="3" t="str">
        <f>IF(VLOOKUP($C208,'All Girls &amp; Descendants - Edit'!$C$2:$AK$440,'All Girls &amp; Descendants - Edit'!Y$1,FALSE)=""," - ",(VLOOKUP($C208,'All Girls &amp; Descendants - Edit'!$C$2:$AK$440,'All Girls &amp; Descendants - Edit'!Y$1,FALSE)))</f>
        <v>Married 12/02/1986.</v>
      </c>
      <c r="Z208" s="3" t="str">
        <f>IF(VLOOKUP($C208,'All Girls &amp; Descendants - Edit'!$C$2:$AK$440,'All Girls &amp; Descendants - Edit'!Z$1,FALSE)=""," - ",(VLOOKUP($C208,'All Girls &amp; Descendants - Edit'!$C$2:$AK$440,'All Girls &amp; Descendants - Edit'!Z$1,FALSE)))</f>
        <v>Baptised at St Leonard’s, Stowell Park.</v>
      </c>
      <c r="AA208" s="101">
        <f>IF(VLOOKUP($C208,'All Girls &amp; Descendants - Edit'!$C$2:$AK$440,'All Girls &amp; Descendants - Edit'!AA$1,FALSE)=""," - ",(VLOOKUP($C208,'All Girls &amp; Descendants - Edit'!$C$2:$AK$440,'All Girls &amp; Descendants - Edit'!AA$1,FALSE)))</f>
        <v>219</v>
      </c>
      <c r="AB208" s="101">
        <f>IF(VLOOKUP($C208,'All Girls &amp; Descendants - Edit'!$C$2:$AK$440,'All Girls &amp; Descendants - Edit'!AB$1,FALSE)=""," - ",(VLOOKUP($C208,'All Girls &amp; Descendants - Edit'!$C$2:$AK$440,'All Girls &amp; Descendants - Edit'!AB$1,FALSE)))</f>
        <v>65</v>
      </c>
      <c r="AC208" s="101">
        <f>IF(VLOOKUP($C208,'All Girls &amp; Descendants - Edit'!$C$2:$AK$440,'All Girls &amp; Descendants - Edit'!AC$1,FALSE)=""," - ",(VLOOKUP($C208,'All Girls &amp; Descendants - Edit'!$C$2:$AK$440,'All Girls &amp; Descendants - Edit'!AC$1,FALSE)))</f>
        <v>2065</v>
      </c>
      <c r="AD208" s="3" t="str">
        <f>IF(VLOOKUP($C208,'All Girls &amp; Descendants - Edit'!$C$2:$AK$440,'All Girls &amp; Descendants - Edit'!AD$1,FALSE)=""," - ",(VLOOKUP($C208,'All Girls &amp; Descendants - Edit'!$C$2:$AK$440,'All Girls &amp; Descendants - Edit'!AD$1,FALSE)))</f>
        <v>95bb</v>
      </c>
      <c r="AE208" s="3" t="str">
        <f>IF(VLOOKUP($C208,'All Girls &amp; Descendants - Edit'!$C$2:$AK$440,'All Girls &amp; Descendants - Edit'!AE$1,FALSE)=""," - ",(VLOOKUP($C208,'All Girls &amp; Descendants - Edit'!$C$2:$AK$440,'All Girls &amp; Descendants - Edit'!AE$1,FALSE)))</f>
        <v>THE Hon Arthur George  VESTEY (1985 - )</v>
      </c>
      <c r="AF208" s="3" t="str">
        <f>IF(VLOOKUP($C208,'All Girls &amp; Descendants - Edit'!$C$2:$AK$440,'All Girls &amp; Descendants - Edit'!AF$1,FALSE)=""," - ",(VLOOKUP($C208,'All Girls &amp; Descendants - Edit'!$C$2:$AK$440,'All Girls &amp; Descendants - Edit'!AF$1,FALSE)))</f>
        <v>THE Hon Arthur VESTEY (7th &amp; 95)</v>
      </c>
      <c r="AG208" s="3" t="str">
        <f>IF(VLOOKUP($C208,'All Girls &amp; Descendants - Edit'!$C$2:$AK$440,'All Girls &amp; Descendants - Edit'!AG$1,FALSE)=""," - ",(VLOOKUP($C208,'All Girls &amp; Descendants - Edit'!$C$2:$AK$440,'All Girls &amp; Descendants - Edit'!AG$1,FALSE)))</f>
        <v>Male</v>
      </c>
      <c r="AH208" s="3" t="str">
        <f>IF(VLOOKUP($C208,'All Girls &amp; Descendants - Edit'!$C$2:$AK$440,'All Girls &amp; Descendants - Edit'!AH$1,FALSE)=""," - ",(VLOOKUP($C208,'All Girls &amp; Descendants - Edit'!$C$2:$AK$440,'All Girls &amp; Descendants - Edit'!AH$1,FALSE)))</f>
        <v>7th</v>
      </c>
      <c r="AI208" s="3" t="str">
        <f>IF(VLOOKUP($C208,'All Girls &amp; Descendants - Edit'!$C$2:$AK$440,'All Girls &amp; Descendants - Edit'!AI$1,FALSE)=""," - ",(VLOOKUP($C208,'All Girls &amp; Descendants - Edit'!$C$2:$AK$440,'All Girls &amp; Descendants - Edit'!AI$1,FALSE)))</f>
        <v>Wife: The Honourable Martha A. Beaumont.. Married 12/02/1986.</v>
      </c>
      <c r="AJ208" s="3" t="str">
        <f>IF(VLOOKUP($C208,'All Girls &amp; Descendants - Edit'!$C$2:$AK$440,'All Girls &amp; Descendants - Edit'!AJ$1,FALSE)=""," - ",(VLOOKUP($C208,'All Girls &amp; Descendants - Edit'!$C$2:$AK$440,'All Girls &amp; Descendants - Edit'!AJ$1,FALSE)))</f>
        <v>Male. b. 11/07/1985 Baptised at St Leonard’s, Stowell Park.</v>
      </c>
      <c r="AK208" s="3" t="str">
        <f>IF(VLOOKUP($C208,'All Girls &amp; Descendants - Edit'!$C$2:$AK$440,'All Girls &amp; Descendants - Edit'!AK$1,FALSE)=""," - ",(VLOOKUP($C208,'All Girls &amp; Descendants - Edit'!$C$2:$AK$440,'All Girls &amp; Descendants - Edit'!AK$1,FALSE)))</f>
        <v>b. 11/07/1985</v>
      </c>
    </row>
    <row r="209" spans="1:37" ht="19">
      <c r="A209">
        <f>VLOOKUP(B209,'Loyd List 1-190 - Edit'!$P$1:$R$219,3,FALSE)</f>
        <v>56</v>
      </c>
      <c r="B209">
        <f>'All Girls &amp; Descendants - Edit'!B210</f>
        <v>95</v>
      </c>
      <c r="C209" s="98" t="str">
        <f>'All Girls &amp; Descendants - Edit'!C210</f>
        <v>95bc</v>
      </c>
      <c r="D209" s="2" t="str">
        <f>'All Girls &amp; Descendants - Edit'!D210</f>
        <v>VESTEY</v>
      </c>
      <c r="E209" t="str">
        <f>'All Girls &amp; Descendants - Edit'!E210</f>
        <v>The Hon Mary</v>
      </c>
      <c r="F209" t="str">
        <f>IF('All Girls &amp; Descendants - Edit'!F210="","",'All Girls &amp; Descendants - Edit'!F210)</f>
        <v>Henrietta</v>
      </c>
      <c r="G209" t="str">
        <f>IF('All Girls &amp; Descendants - Edit'!G210="","",'All Girls &amp; Descendants - Edit'!G210)</f>
        <v/>
      </c>
      <c r="H209" t="str">
        <f>IF('All Girls &amp; Descendants - Edit'!H210="","",'All Girls &amp; Descendants - Edit'!H210)</f>
        <v/>
      </c>
      <c r="I209">
        <f>VLOOKUP($C209,'All Girls &amp; Descendants - Edit'!$C$2:$AK$440,'All Girls &amp; Descendants - Edit'!I$1,FALSE)</f>
        <v>1992</v>
      </c>
      <c r="J209" t="str">
        <f>VLOOKUP($C209,'All Girls &amp; Descendants - Edit'!$C$2:$AK$440,'All Girls &amp; Descendants - Edit'!J$1,FALSE)</f>
        <v/>
      </c>
      <c r="K209" s="9"/>
      <c r="L209" t="str">
        <f t="shared" si="25"/>
        <v>27/04/1992</v>
      </c>
      <c r="M209" s="3">
        <f>VLOOKUP($C209,'All Girls &amp; Descendants - Edit'!$C$2:$AK$440,'All Girls &amp; Descendants - Edit'!M$1,FALSE)</f>
        <v>33721</v>
      </c>
      <c r="N209" s="3" t="str">
        <f>IF(VLOOKUP($C209,'All Girls &amp; Descendants - Edit'!$C$2:$AK$440,'All Girls &amp; Descendants - Edit'!N$1,FALSE)=""," - ",(VLOOKUP($C209,'All Girls &amp; Descendants - Edit'!$C$2:$AK$440,'All Girls &amp; Descendants - Edit'!N$1,FALSE)))</f>
        <v xml:space="preserve"> - </v>
      </c>
      <c r="O209" s="3" t="str">
        <f>IF(VLOOKUP($C209,'All Girls &amp; Descendants - Edit'!$C$2:$AK$440,'All Girls &amp; Descendants - Edit'!O$1,FALSE)="","",(VLOOKUP($C209,'All Girls &amp; Descendants - Edit'!$C$2:$AK$440,'All Girls &amp; Descendants - Edit'!O$1,FALSE)))</f>
        <v/>
      </c>
      <c r="P209" s="3" t="str">
        <f t="shared" si="26"/>
        <v/>
      </c>
      <c r="Q209" s="178" t="str">
        <f t="shared" si="27"/>
        <v>95b</v>
      </c>
      <c r="R209" s="23"/>
      <c r="S209" t="str">
        <f>VLOOKUP($C209,'All Girls &amp; Descendants - Edit'!$C$2:$AK$440,'All Girls &amp; Descendants - Edit'!S$1,FALSE)</f>
        <v>Female</v>
      </c>
      <c r="T209" s="176">
        <f t="shared" si="24"/>
        <v>7</v>
      </c>
      <c r="U209" s="176">
        <f t="shared" si="28"/>
        <v>4</v>
      </c>
      <c r="V209" s="176">
        <f t="shared" si="29"/>
        <v>5</v>
      </c>
      <c r="W209" s="177">
        <f t="shared" si="30"/>
        <v>2</v>
      </c>
      <c r="X209" s="3" t="str">
        <f>IF(VLOOKUP($C209,'All Girls &amp; Descendants - Edit'!$C$2:$AK$440,'All Girls &amp; Descendants - Edit'!X$1,FALSE)=""," - ",(VLOOKUP($C209,'All Girls &amp; Descendants - Edit'!$C$2:$AK$440,'All Girls &amp; Descendants - Edit'!X$1,FALSE)))</f>
        <v>Edward Cookson</v>
      </c>
      <c r="Y209" s="3" t="str">
        <f>IF(VLOOKUP($C209,'All Girls &amp; Descendants - Edit'!$C$2:$AK$440,'All Girls &amp; Descendants - Edit'!Y$1,FALSE)=""," - ",(VLOOKUP($C209,'All Girls &amp; Descendants - Edit'!$C$2:$AK$440,'All Girls &amp; Descendants - Edit'!Y$1,FALSE)))</f>
        <v>Married 01/05/1988.</v>
      </c>
      <c r="Z209" s="3" t="str">
        <f>IF(VLOOKUP($C209,'All Girls &amp; Descendants - Edit'!$C$2:$AK$440,'All Girls &amp; Descendants - Edit'!Z$1,FALSE)=""," - ",(VLOOKUP($C209,'All Girls &amp; Descendants - Edit'!$C$2:$AK$440,'All Girls &amp; Descendants - Edit'!Z$1,FALSE)))</f>
        <v>Baptised at St Leonard’s, Stowell Park.</v>
      </c>
      <c r="AA209" s="101">
        <f>IF(VLOOKUP($C209,'All Girls &amp; Descendants - Edit'!$C$2:$AK$440,'All Girls &amp; Descendants - Edit'!AA$1,FALSE)=""," - ",(VLOOKUP($C209,'All Girls &amp; Descendants - Edit'!$C$2:$AK$440,'All Girls &amp; Descendants - Edit'!AA$1,FALSE)))</f>
        <v>220</v>
      </c>
      <c r="AB209" s="101">
        <f>IF(VLOOKUP($C209,'All Girls &amp; Descendants - Edit'!$C$2:$AK$440,'All Girls &amp; Descendants - Edit'!AB$1,FALSE)=""," - ",(VLOOKUP($C209,'All Girls &amp; Descendants - Edit'!$C$2:$AK$440,'All Girls &amp; Descendants - Edit'!AB$1,FALSE)))</f>
        <v>66</v>
      </c>
      <c r="AC209" s="101">
        <f>IF(VLOOKUP($C209,'All Girls &amp; Descendants - Edit'!$C$2:$AK$440,'All Girls &amp; Descendants - Edit'!AC$1,FALSE)=""," - ",(VLOOKUP($C209,'All Girls &amp; Descendants - Edit'!$C$2:$AK$440,'All Girls &amp; Descendants - Edit'!AC$1,FALSE)))</f>
        <v>2066</v>
      </c>
      <c r="AD209" s="3" t="str">
        <f>IF(VLOOKUP($C209,'All Girls &amp; Descendants - Edit'!$C$2:$AK$440,'All Girls &amp; Descendants - Edit'!AD$1,FALSE)=""," - ",(VLOOKUP($C209,'All Girls &amp; Descendants - Edit'!$C$2:$AK$440,'All Girls &amp; Descendants - Edit'!AD$1,FALSE)))</f>
        <v>95bc</v>
      </c>
      <c r="AE209" s="3" t="str">
        <f>IF(VLOOKUP($C209,'All Girls &amp; Descendants - Edit'!$C$2:$AK$440,'All Girls &amp; Descendants - Edit'!AE$1,FALSE)=""," - ",(VLOOKUP($C209,'All Girls &amp; Descendants - Edit'!$C$2:$AK$440,'All Girls &amp; Descendants - Edit'!AE$1,FALSE)))</f>
        <v>The Hon Mary Henrietta  VESTEY (1992 - )</v>
      </c>
      <c r="AF209" s="3" t="str">
        <f>IF(VLOOKUP($C209,'All Girls &amp; Descendants - Edit'!$C$2:$AK$440,'All Girls &amp; Descendants - Edit'!AF$1,FALSE)=""," - ",(VLOOKUP($C209,'All Girls &amp; Descendants - Edit'!$C$2:$AK$440,'All Girls &amp; Descendants - Edit'!AF$1,FALSE)))</f>
        <v>The Hon Mary VESTEY (7th &amp; 95)</v>
      </c>
      <c r="AG209" s="3" t="str">
        <f>IF(VLOOKUP($C209,'All Girls &amp; Descendants - Edit'!$C$2:$AK$440,'All Girls &amp; Descendants - Edit'!AG$1,FALSE)=""," - ",(VLOOKUP($C209,'All Girls &amp; Descendants - Edit'!$C$2:$AK$440,'All Girls &amp; Descendants - Edit'!AG$1,FALSE)))</f>
        <v>Female</v>
      </c>
      <c r="AH209" s="3" t="str">
        <f>IF(VLOOKUP($C209,'All Girls &amp; Descendants - Edit'!$C$2:$AK$440,'All Girls &amp; Descendants - Edit'!AH$1,FALSE)=""," - ",(VLOOKUP($C209,'All Girls &amp; Descendants - Edit'!$C$2:$AK$440,'All Girls &amp; Descendants - Edit'!AH$1,FALSE)))</f>
        <v>7th</v>
      </c>
      <c r="AI209" s="3" t="str">
        <f>IF(VLOOKUP($C209,'All Girls &amp; Descendants - Edit'!$C$2:$AK$440,'All Girls &amp; Descendants - Edit'!AI$1,FALSE)=""," - ",(VLOOKUP($C209,'All Girls &amp; Descendants - Edit'!$C$2:$AK$440,'All Girls &amp; Descendants - Edit'!AI$1,FALSE)))</f>
        <v>Husband: Edward Cookson. Married 01/05/1988.</v>
      </c>
      <c r="AJ209" s="3" t="str">
        <f>IF(VLOOKUP($C209,'All Girls &amp; Descendants - Edit'!$C$2:$AK$440,'All Girls &amp; Descendants - Edit'!AJ$1,FALSE)=""," - ",(VLOOKUP($C209,'All Girls &amp; Descendants - Edit'!$C$2:$AK$440,'All Girls &amp; Descendants - Edit'!AJ$1,FALSE)))</f>
        <v>Female. b. 27/04/1992 Baptised at St Leonard’s, Stowell Park.</v>
      </c>
      <c r="AK209" s="3" t="str">
        <f>IF(VLOOKUP($C209,'All Girls &amp; Descendants - Edit'!$C$2:$AK$440,'All Girls &amp; Descendants - Edit'!AK$1,FALSE)=""," - ",(VLOOKUP($C209,'All Girls &amp; Descendants - Edit'!$C$2:$AK$440,'All Girls &amp; Descendants - Edit'!AK$1,FALSE)))</f>
        <v>b. 27/04/1992</v>
      </c>
    </row>
    <row r="210" spans="1:37" ht="19">
      <c r="A210">
        <f>VLOOKUP(B210,'Loyd List 1-190 - Edit'!$P$1:$R$219,3,FALSE)</f>
        <v>53</v>
      </c>
      <c r="B210">
        <f>'All Girls &amp; Descendants - Edit'!B211</f>
        <v>97</v>
      </c>
      <c r="C210" s="98" t="str">
        <f>'All Girls &amp; Descendants - Edit'!C211</f>
        <v>97aa</v>
      </c>
      <c r="D210" s="2" t="str">
        <f>'All Girls &amp; Descendants - Edit'!D211</f>
        <v>SALE</v>
      </c>
      <c r="E210" t="str">
        <f>'All Girls &amp; Descendants - Edit'!E211</f>
        <v>Alexander</v>
      </c>
      <c r="F210" t="str">
        <f>IF('All Girls &amp; Descendants - Edit'!F211="","",'All Girls &amp; Descendants - Edit'!F211)</f>
        <v>Robert</v>
      </c>
      <c r="G210" t="str">
        <f>IF('All Girls &amp; Descendants - Edit'!G211="","",'All Girls &amp; Descendants - Edit'!G211)</f>
        <v>Loyd</v>
      </c>
      <c r="H210" t="str">
        <f>IF('All Girls &amp; Descendants - Edit'!H211="","",'All Girls &amp; Descendants - Edit'!H211)</f>
        <v/>
      </c>
      <c r="I210">
        <f>VLOOKUP($C210,'All Girls &amp; Descendants - Edit'!$C$2:$AK$440,'All Girls &amp; Descendants - Edit'!I$1,FALSE)</f>
        <v>1991</v>
      </c>
      <c r="J210" t="str">
        <f>VLOOKUP($C210,'All Girls &amp; Descendants - Edit'!$C$2:$AK$440,'All Girls &amp; Descendants - Edit'!J$1,FALSE)</f>
        <v/>
      </c>
      <c r="K210" s="9"/>
      <c r="L210" t="str">
        <f t="shared" si="25"/>
        <v>17/03/1991</v>
      </c>
      <c r="M210" s="3">
        <f>VLOOKUP($C210,'All Girls &amp; Descendants - Edit'!$C$2:$AK$440,'All Girls &amp; Descendants - Edit'!M$1,FALSE)</f>
        <v>33314</v>
      </c>
      <c r="N210" s="3" t="str">
        <f>IF(VLOOKUP($C210,'All Girls &amp; Descendants - Edit'!$C$2:$AK$440,'All Girls &amp; Descendants - Edit'!N$1,FALSE)=""," - ",(VLOOKUP($C210,'All Girls &amp; Descendants - Edit'!$C$2:$AK$440,'All Girls &amp; Descendants - Edit'!N$1,FALSE)))</f>
        <v xml:space="preserve"> - </v>
      </c>
      <c r="O210" s="3" t="str">
        <f>IF(VLOOKUP($C210,'All Girls &amp; Descendants - Edit'!$C$2:$AK$440,'All Girls &amp; Descendants - Edit'!O$1,FALSE)="","",(VLOOKUP($C210,'All Girls &amp; Descendants - Edit'!$C$2:$AK$440,'All Girls &amp; Descendants - Edit'!O$1,FALSE)))</f>
        <v/>
      </c>
      <c r="P210" s="3" t="str">
        <f t="shared" si="26"/>
        <v/>
      </c>
      <c r="Q210" s="178" t="str">
        <f t="shared" si="27"/>
        <v>97a</v>
      </c>
      <c r="R210" s="23"/>
      <c r="S210" t="str">
        <f>VLOOKUP($C210,'All Girls &amp; Descendants - Edit'!$C$2:$AK$440,'All Girls &amp; Descendants - Edit'!S$1,FALSE)</f>
        <v>Male</v>
      </c>
      <c r="T210" s="176">
        <f t="shared" si="24"/>
        <v>7</v>
      </c>
      <c r="U210" s="176">
        <f t="shared" si="28"/>
        <v>4</v>
      </c>
      <c r="V210" s="176">
        <f t="shared" si="29"/>
        <v>5</v>
      </c>
      <c r="W210" s="177">
        <f t="shared" si="30"/>
        <v>2</v>
      </c>
      <c r="X210" s="3" t="str">
        <f>IF(VLOOKUP($C210,'All Girls &amp; Descendants - Edit'!$C$2:$AK$440,'All Girls &amp; Descendants - Edit'!X$1,FALSE)=""," - ",(VLOOKUP($C210,'All Girls &amp; Descendants - Edit'!$C$2:$AK$440,'All Girls &amp; Descendants - Edit'!X$1,FALSE)))</f>
        <v xml:space="preserve"> - </v>
      </c>
      <c r="Y210" s="3" t="str">
        <f>IF(VLOOKUP($C210,'All Girls &amp; Descendants - Edit'!$C$2:$AK$440,'All Girls &amp; Descendants - Edit'!Y$1,FALSE)=""," - ",(VLOOKUP($C210,'All Girls &amp; Descendants - Edit'!$C$2:$AK$440,'All Girls &amp; Descendants - Edit'!Y$1,FALSE)))</f>
        <v xml:space="preserve"> - </v>
      </c>
      <c r="Z210" s="3" t="str">
        <f>IF(VLOOKUP($C210,'All Girls &amp; Descendants - Edit'!$C$2:$AK$440,'All Girls &amp; Descendants - Edit'!Z$1,FALSE)=""," - ",(VLOOKUP($C210,'All Girls &amp; Descendants - Edit'!$C$2:$AK$440,'All Girls &amp; Descendants - Edit'!Z$1,FALSE)))</f>
        <v>Baptised Sep 1991 at St Michael’s, Withington. Educated: Shrewsbury School 2004 - 2009; and Exeter (BSc, Human Bioscience, 2010 - 2013). Career: EY, Chartered accountant 2013 - 2018; UBS, healthcare M&amp;A 2018 onwards.</v>
      </c>
      <c r="AA210" s="101">
        <f>IF(VLOOKUP($C210,'All Girls &amp; Descendants - Edit'!$C$2:$AK$440,'All Girls &amp; Descendants - Edit'!AA$1,FALSE)=""," - ",(VLOOKUP($C210,'All Girls &amp; Descendants - Edit'!$C$2:$AK$440,'All Girls &amp; Descendants - Edit'!AA$1,FALSE)))</f>
        <v>222</v>
      </c>
      <c r="AB210" s="101">
        <f>IF(VLOOKUP($C210,'All Girls &amp; Descendants - Edit'!$C$2:$AK$440,'All Girls &amp; Descendants - Edit'!AB$1,FALSE)=""," - ",(VLOOKUP($C210,'All Girls &amp; Descendants - Edit'!$C$2:$AK$440,'All Girls &amp; Descendants - Edit'!AB$1,FALSE)))</f>
        <v>67</v>
      </c>
      <c r="AC210" s="101">
        <f>IF(VLOOKUP($C210,'All Girls &amp; Descendants - Edit'!$C$2:$AK$440,'All Girls &amp; Descendants - Edit'!AC$1,FALSE)=""," - ",(VLOOKUP($C210,'All Girls &amp; Descendants - Edit'!$C$2:$AK$440,'All Girls &amp; Descendants - Edit'!AC$1,FALSE)))</f>
        <v>2067</v>
      </c>
      <c r="AD210" s="3" t="str">
        <f>IF(VLOOKUP($C210,'All Girls &amp; Descendants - Edit'!$C$2:$AK$440,'All Girls &amp; Descendants - Edit'!AD$1,FALSE)=""," - ",(VLOOKUP($C210,'All Girls &amp; Descendants - Edit'!$C$2:$AK$440,'All Girls &amp; Descendants - Edit'!AD$1,FALSE)))</f>
        <v>97aa</v>
      </c>
      <c r="AE210" s="3" t="str">
        <f>IF(VLOOKUP($C210,'All Girls &amp; Descendants - Edit'!$C$2:$AK$440,'All Girls &amp; Descendants - Edit'!AE$1,FALSE)=""," - ",(VLOOKUP($C210,'All Girls &amp; Descendants - Edit'!$C$2:$AK$440,'All Girls &amp; Descendants - Edit'!AE$1,FALSE)))</f>
        <v>Alexander Robert Loyd SALE (1991 - )</v>
      </c>
      <c r="AF210" s="3" t="str">
        <f>IF(VLOOKUP($C210,'All Girls &amp; Descendants - Edit'!$C$2:$AK$440,'All Girls &amp; Descendants - Edit'!AF$1,FALSE)=""," - ",(VLOOKUP($C210,'All Girls &amp; Descendants - Edit'!$C$2:$AK$440,'All Girls &amp; Descendants - Edit'!AF$1,FALSE)))</f>
        <v>Alexander SALE (7th &amp; 97)</v>
      </c>
      <c r="AG210" s="3" t="str">
        <f>IF(VLOOKUP($C210,'All Girls &amp; Descendants - Edit'!$C$2:$AK$440,'All Girls &amp; Descendants - Edit'!AG$1,FALSE)=""," - ",(VLOOKUP($C210,'All Girls &amp; Descendants - Edit'!$C$2:$AK$440,'All Girls &amp; Descendants - Edit'!AG$1,FALSE)))</f>
        <v>Male</v>
      </c>
      <c r="AH210" s="3" t="str">
        <f>IF(VLOOKUP($C210,'All Girls &amp; Descendants - Edit'!$C$2:$AK$440,'All Girls &amp; Descendants - Edit'!AH$1,FALSE)=""," - ",(VLOOKUP($C210,'All Girls &amp; Descendants - Edit'!$C$2:$AK$440,'All Girls &amp; Descendants - Edit'!AH$1,FALSE)))</f>
        <v>7th</v>
      </c>
      <c r="AI210" s="3" t="str">
        <f>IF(VLOOKUP($C210,'All Girls &amp; Descendants - Edit'!$C$2:$AK$440,'All Girls &amp; Descendants - Edit'!AI$1,FALSE)=""," - ",(VLOOKUP($C210,'All Girls &amp; Descendants - Edit'!$C$2:$AK$440,'All Girls &amp; Descendants - Edit'!AI$1,FALSE)))</f>
        <v>Unmarried</v>
      </c>
      <c r="AJ210" s="3" t="str">
        <f>IF(VLOOKUP($C210,'All Girls &amp; Descendants - Edit'!$C$2:$AK$440,'All Girls &amp; Descendants - Edit'!AJ$1,FALSE)=""," - ",(VLOOKUP($C210,'All Girls &amp; Descendants - Edit'!$C$2:$AK$440,'All Girls &amp; Descendants - Edit'!AJ$1,FALSE)))</f>
        <v>Male. b. 17/03/1991 Baptised Sep 1991 at St Michael’s, Withington. Educated: Shrewsbury School 2004 - 2009; and Exeter (BSc, Human Bioscience, 2010 - 2013). Career: EY, Chartered accountant 2013 - 2018; UBS, healthcare M&amp;A 2018 onwards.</v>
      </c>
      <c r="AK210" s="3" t="str">
        <f>IF(VLOOKUP($C210,'All Girls &amp; Descendants - Edit'!$C$2:$AK$440,'All Girls &amp; Descendants - Edit'!AK$1,FALSE)=""," - ",(VLOOKUP($C210,'All Girls &amp; Descendants - Edit'!$C$2:$AK$440,'All Girls &amp; Descendants - Edit'!AK$1,FALSE)))</f>
        <v>b. 17/03/1991</v>
      </c>
    </row>
    <row r="211" spans="1:37" ht="19">
      <c r="A211">
        <f>VLOOKUP(B211,'Loyd List 1-190 - Edit'!$P$1:$R$219,3,FALSE)</f>
        <v>53</v>
      </c>
      <c r="B211">
        <f>'All Girls &amp; Descendants - Edit'!B212</f>
        <v>97</v>
      </c>
      <c r="C211" s="98" t="str">
        <f>'All Girls &amp; Descendants - Edit'!C212</f>
        <v>97ab</v>
      </c>
      <c r="D211" s="2" t="str">
        <f>'All Girls &amp; Descendants - Edit'!D212</f>
        <v>SALE</v>
      </c>
      <c r="E211" t="str">
        <f>'All Girls &amp; Descendants - Edit'!E212</f>
        <v>Oliver</v>
      </c>
      <c r="F211" t="str">
        <f>IF('All Girls &amp; Descendants - Edit'!F212="","",'All Girls &amp; Descendants - Edit'!F212)</f>
        <v>Edward</v>
      </c>
      <c r="G211" t="str">
        <f>IF('All Girls &amp; Descendants - Edit'!G212="","",'All Girls &amp; Descendants - Edit'!G212)</f>
        <v>David</v>
      </c>
      <c r="H211" t="str">
        <f>IF('All Girls &amp; Descendants - Edit'!H212="","",'All Girls &amp; Descendants - Edit'!H212)</f>
        <v/>
      </c>
      <c r="I211">
        <f>VLOOKUP($C211,'All Girls &amp; Descendants - Edit'!$C$2:$AK$440,'All Girls &amp; Descendants - Edit'!I$1,FALSE)</f>
        <v>1995</v>
      </c>
      <c r="J211" t="str">
        <f>VLOOKUP($C211,'All Girls &amp; Descendants - Edit'!$C$2:$AK$440,'All Girls &amp; Descendants - Edit'!J$1,FALSE)</f>
        <v/>
      </c>
      <c r="K211" s="9"/>
      <c r="L211" t="str">
        <f t="shared" si="25"/>
        <v>15/09/1995</v>
      </c>
      <c r="M211" s="3">
        <f>VLOOKUP($C211,'All Girls &amp; Descendants - Edit'!$C$2:$AK$440,'All Girls &amp; Descendants - Edit'!M$1,FALSE)</f>
        <v>34957</v>
      </c>
      <c r="N211" s="3" t="str">
        <f>IF(VLOOKUP($C211,'All Girls &amp; Descendants - Edit'!$C$2:$AK$440,'All Girls &amp; Descendants - Edit'!N$1,FALSE)=""," - ",(VLOOKUP($C211,'All Girls &amp; Descendants - Edit'!$C$2:$AK$440,'All Girls &amp; Descendants - Edit'!N$1,FALSE)))</f>
        <v xml:space="preserve"> - </v>
      </c>
      <c r="O211" s="3" t="str">
        <f>IF(VLOOKUP($C211,'All Girls &amp; Descendants - Edit'!$C$2:$AK$440,'All Girls &amp; Descendants - Edit'!O$1,FALSE)="","",(VLOOKUP($C211,'All Girls &amp; Descendants - Edit'!$C$2:$AK$440,'All Girls &amp; Descendants - Edit'!O$1,FALSE)))</f>
        <v/>
      </c>
      <c r="P211" s="3" t="str">
        <f t="shared" si="26"/>
        <v/>
      </c>
      <c r="Q211" s="178" t="str">
        <f t="shared" si="27"/>
        <v>97a</v>
      </c>
      <c r="R211" s="23"/>
      <c r="S211" t="str">
        <f>VLOOKUP($C211,'All Girls &amp; Descendants - Edit'!$C$2:$AK$440,'All Girls &amp; Descendants - Edit'!S$1,FALSE)</f>
        <v>Male</v>
      </c>
      <c r="T211" s="176">
        <f t="shared" si="24"/>
        <v>7</v>
      </c>
      <c r="U211" s="176">
        <f t="shared" si="28"/>
        <v>4</v>
      </c>
      <c r="V211" s="176">
        <f t="shared" si="29"/>
        <v>5</v>
      </c>
      <c r="W211" s="177">
        <f t="shared" si="30"/>
        <v>2</v>
      </c>
      <c r="X211" s="3" t="str">
        <f>IF(VLOOKUP($C211,'All Girls &amp; Descendants - Edit'!$C$2:$AK$440,'All Girls &amp; Descendants - Edit'!X$1,FALSE)=""," - ",(VLOOKUP($C211,'All Girls &amp; Descendants - Edit'!$C$2:$AK$440,'All Girls &amp; Descendants - Edit'!X$1,FALSE)))</f>
        <v xml:space="preserve"> - </v>
      </c>
      <c r="Y211" s="3" t="str">
        <f>IF(VLOOKUP($C211,'All Girls &amp; Descendants - Edit'!$C$2:$AK$440,'All Girls &amp; Descendants - Edit'!Y$1,FALSE)=""," - ",(VLOOKUP($C211,'All Girls &amp; Descendants - Edit'!$C$2:$AK$440,'All Girls &amp; Descendants - Edit'!Y$1,FALSE)))</f>
        <v xml:space="preserve"> - </v>
      </c>
      <c r="Z211" s="3" t="str">
        <f>IF(VLOOKUP($C211,'All Girls &amp; Descendants - Edit'!$C$2:$AK$440,'All Girls &amp; Descendants - Edit'!Z$1,FALSE)=""," - ",(VLOOKUP($C211,'All Girls &amp; Descendants - Edit'!$C$2:$AK$440,'All Girls &amp; Descendants - Edit'!Z$1,FALSE)))</f>
        <v>Baptised Mar 1996 at St Michael’s, Withington. Educated: Eton College 2009 - 2014; &amp; Oxford (MSc, Physics, 2014 - 2018). Tsing Hua University in Beijing, Mandarin 2018 - 2019. Lazard, investment banking, 2019 to present</v>
      </c>
      <c r="AA211" s="101">
        <f>IF(VLOOKUP($C211,'All Girls &amp; Descendants - Edit'!$C$2:$AK$440,'All Girls &amp; Descendants - Edit'!AA$1,FALSE)=""," - ",(VLOOKUP($C211,'All Girls &amp; Descendants - Edit'!$C$2:$AK$440,'All Girls &amp; Descendants - Edit'!AA$1,FALSE)))</f>
        <v>223</v>
      </c>
      <c r="AB211" s="101">
        <f>IF(VLOOKUP($C211,'All Girls &amp; Descendants - Edit'!$C$2:$AK$440,'All Girls &amp; Descendants - Edit'!AB$1,FALSE)=""," - ",(VLOOKUP($C211,'All Girls &amp; Descendants - Edit'!$C$2:$AK$440,'All Girls &amp; Descendants - Edit'!AB$1,FALSE)))</f>
        <v>68</v>
      </c>
      <c r="AC211" s="101">
        <f>IF(VLOOKUP($C211,'All Girls &amp; Descendants - Edit'!$C$2:$AK$440,'All Girls &amp; Descendants - Edit'!AC$1,FALSE)=""," - ",(VLOOKUP($C211,'All Girls &amp; Descendants - Edit'!$C$2:$AK$440,'All Girls &amp; Descendants - Edit'!AC$1,FALSE)))</f>
        <v>2068</v>
      </c>
      <c r="AD211" s="3" t="str">
        <f>IF(VLOOKUP($C211,'All Girls &amp; Descendants - Edit'!$C$2:$AK$440,'All Girls &amp; Descendants - Edit'!AD$1,FALSE)=""," - ",(VLOOKUP($C211,'All Girls &amp; Descendants - Edit'!$C$2:$AK$440,'All Girls &amp; Descendants - Edit'!AD$1,FALSE)))</f>
        <v>97ab</v>
      </c>
      <c r="AE211" s="3" t="str">
        <f>IF(VLOOKUP($C211,'All Girls &amp; Descendants - Edit'!$C$2:$AK$440,'All Girls &amp; Descendants - Edit'!AE$1,FALSE)=""," - ",(VLOOKUP($C211,'All Girls &amp; Descendants - Edit'!$C$2:$AK$440,'All Girls &amp; Descendants - Edit'!AE$1,FALSE)))</f>
        <v>Oliver Edward David SALE (1995 - )</v>
      </c>
      <c r="AF211" s="3" t="str">
        <f>IF(VLOOKUP($C211,'All Girls &amp; Descendants - Edit'!$C$2:$AK$440,'All Girls &amp; Descendants - Edit'!AF$1,FALSE)=""," - ",(VLOOKUP($C211,'All Girls &amp; Descendants - Edit'!$C$2:$AK$440,'All Girls &amp; Descendants - Edit'!AF$1,FALSE)))</f>
        <v>Oliver SALE (7th &amp; 97)</v>
      </c>
      <c r="AG211" s="3" t="str">
        <f>IF(VLOOKUP($C211,'All Girls &amp; Descendants - Edit'!$C$2:$AK$440,'All Girls &amp; Descendants - Edit'!AG$1,FALSE)=""," - ",(VLOOKUP($C211,'All Girls &amp; Descendants - Edit'!$C$2:$AK$440,'All Girls &amp; Descendants - Edit'!AG$1,FALSE)))</f>
        <v>Male</v>
      </c>
      <c r="AH211" s="3" t="str">
        <f>IF(VLOOKUP($C211,'All Girls &amp; Descendants - Edit'!$C$2:$AK$440,'All Girls &amp; Descendants - Edit'!AH$1,FALSE)=""," - ",(VLOOKUP($C211,'All Girls &amp; Descendants - Edit'!$C$2:$AK$440,'All Girls &amp; Descendants - Edit'!AH$1,FALSE)))</f>
        <v>7th</v>
      </c>
      <c r="AI211" s="3" t="str">
        <f>IF(VLOOKUP($C211,'All Girls &amp; Descendants - Edit'!$C$2:$AK$440,'All Girls &amp; Descendants - Edit'!AI$1,FALSE)=""," - ",(VLOOKUP($C211,'All Girls &amp; Descendants - Edit'!$C$2:$AK$440,'All Girls &amp; Descendants - Edit'!AI$1,FALSE)))</f>
        <v>Unmarried</v>
      </c>
      <c r="AJ211" s="3" t="str">
        <f>IF(VLOOKUP($C211,'All Girls &amp; Descendants - Edit'!$C$2:$AK$440,'All Girls &amp; Descendants - Edit'!AJ$1,FALSE)=""," - ",(VLOOKUP($C211,'All Girls &amp; Descendants - Edit'!$C$2:$AK$440,'All Girls &amp; Descendants - Edit'!AJ$1,FALSE)))</f>
        <v>Male. b. 15/09/1995 Baptised Mar 1996 at St Michael’s, Withington. Educated: Eton College 2009 - 2014; &amp; Oxford (MSc, Physics, 2014 - 2018). Tsing Hua University in Beijing, Mandarin 2018 - 2019. Lazard, investment banking, 2019 to present</v>
      </c>
      <c r="AK211" s="3" t="str">
        <f>IF(VLOOKUP($C211,'All Girls &amp; Descendants - Edit'!$C$2:$AK$440,'All Girls &amp; Descendants - Edit'!AK$1,FALSE)=""," - ",(VLOOKUP($C211,'All Girls &amp; Descendants - Edit'!$C$2:$AK$440,'All Girls &amp; Descendants - Edit'!AK$1,FALSE)))</f>
        <v>b. 15/09/1995</v>
      </c>
    </row>
    <row r="212" spans="1:37" ht="19">
      <c r="A212">
        <f>VLOOKUP(B212,'Loyd List 1-190 - Edit'!$P$1:$R$219,3,FALSE)</f>
        <v>53</v>
      </c>
      <c r="B212">
        <f>'All Girls &amp; Descendants - Edit'!B213</f>
        <v>97</v>
      </c>
      <c r="C212" s="98" t="str">
        <f>'All Girls &amp; Descendants - Edit'!C213</f>
        <v>97ea</v>
      </c>
      <c r="D212" s="2" t="str">
        <f>'All Girls &amp; Descendants - Edit'!D213</f>
        <v>SALE</v>
      </c>
      <c r="E212" t="str">
        <f>'All Girls &amp; Descendants - Edit'!E213</f>
        <v>Frank</v>
      </c>
      <c r="F212" t="str">
        <f>IF('All Girls &amp; Descendants - Edit'!F213="","",'All Girls &amp; Descendants - Edit'!F213)</f>
        <v>Thomas</v>
      </c>
      <c r="G212" t="str">
        <f>IF('All Girls &amp; Descendants - Edit'!G213="","",'All Girls &amp; Descendants - Edit'!G213)</f>
        <v>Arthur</v>
      </c>
      <c r="H212" t="str">
        <f>IF('All Girls &amp; Descendants - Edit'!H213="","",'All Girls &amp; Descendants - Edit'!H213)</f>
        <v/>
      </c>
      <c r="I212">
        <f>VLOOKUP($C212,'All Girls &amp; Descendants - Edit'!$C$2:$AK$440,'All Girls &amp; Descendants - Edit'!I$1,FALSE)</f>
        <v>1995</v>
      </c>
      <c r="J212" t="str">
        <f>VLOOKUP($C212,'All Girls &amp; Descendants - Edit'!$C$2:$AK$440,'All Girls &amp; Descendants - Edit'!J$1,FALSE)</f>
        <v/>
      </c>
      <c r="K212" s="9"/>
      <c r="L212" t="str">
        <f t="shared" si="25"/>
        <v>21/08/1995</v>
      </c>
      <c r="M212" s="3">
        <f>VLOOKUP($C212,'All Girls &amp; Descendants - Edit'!$C$2:$AK$440,'All Girls &amp; Descendants - Edit'!M$1,FALSE)</f>
        <v>34932</v>
      </c>
      <c r="N212" s="3" t="str">
        <f>IF(VLOOKUP($C212,'All Girls &amp; Descendants - Edit'!$C$2:$AK$440,'All Girls &amp; Descendants - Edit'!N$1,FALSE)=""," - ",(VLOOKUP($C212,'All Girls &amp; Descendants - Edit'!$C$2:$AK$440,'All Girls &amp; Descendants - Edit'!N$1,FALSE)))</f>
        <v xml:space="preserve"> - </v>
      </c>
      <c r="O212" s="3" t="str">
        <f>IF(VLOOKUP($C212,'All Girls &amp; Descendants - Edit'!$C$2:$AK$440,'All Girls &amp; Descendants - Edit'!O$1,FALSE)="","",(VLOOKUP($C212,'All Girls &amp; Descendants - Edit'!$C$2:$AK$440,'All Girls &amp; Descendants - Edit'!O$1,FALSE)))</f>
        <v/>
      </c>
      <c r="P212" s="3" t="str">
        <f t="shared" si="26"/>
        <v/>
      </c>
      <c r="Q212" s="178" t="str">
        <f t="shared" si="27"/>
        <v>97e</v>
      </c>
      <c r="R212" s="23"/>
      <c r="S212" t="str">
        <f>VLOOKUP($C212,'All Girls &amp; Descendants - Edit'!$C$2:$AK$440,'All Girls &amp; Descendants - Edit'!S$1,FALSE)</f>
        <v>Male</v>
      </c>
      <c r="T212" s="176">
        <f t="shared" si="24"/>
        <v>7</v>
      </c>
      <c r="U212" s="176">
        <f t="shared" si="28"/>
        <v>4</v>
      </c>
      <c r="V212" s="176">
        <f t="shared" si="29"/>
        <v>5</v>
      </c>
      <c r="W212" s="177">
        <f t="shared" si="30"/>
        <v>2</v>
      </c>
      <c r="X212" s="3" t="str">
        <f>IF(VLOOKUP($C212,'All Girls &amp; Descendants - Edit'!$C$2:$AK$440,'All Girls &amp; Descendants - Edit'!X$1,FALSE)=""," - ",(VLOOKUP($C212,'All Girls &amp; Descendants - Edit'!$C$2:$AK$440,'All Girls &amp; Descendants - Edit'!X$1,FALSE)))</f>
        <v xml:space="preserve"> - </v>
      </c>
      <c r="Y212" s="3" t="str">
        <f>IF(VLOOKUP($C212,'All Girls &amp; Descendants - Edit'!$C$2:$AK$440,'All Girls &amp; Descendants - Edit'!Y$1,FALSE)=""," - ",(VLOOKUP($C212,'All Girls &amp; Descendants - Edit'!$C$2:$AK$440,'All Girls &amp; Descendants - Edit'!Y$1,FALSE)))</f>
        <v xml:space="preserve"> - </v>
      </c>
      <c r="Z212" s="3" t="str">
        <f>IF(VLOOKUP($C212,'All Girls &amp; Descendants - Edit'!$C$2:$AK$440,'All Girls &amp; Descendants - Edit'!Z$1,FALSE)=""," - ",(VLOOKUP($C212,'All Girls &amp; Descendants - Edit'!$C$2:$AK$440,'All Girls &amp; Descendants - Edit'!Z$1,FALSE)))</f>
        <v>Baptised 5 Jan 1996 at St George’s, Brailes, Warwickshire. Educated: Maidwell Hall 2003-2008; Harrow School 2008-2013; University of Manchester (BA Politics) 2014-2017. Joined HBA Media in 2017. Managing Director of HBA Media 2020 to date. HBA Media is the leading owner of media rights for the world's top international flat horse races.</v>
      </c>
      <c r="AA212" s="101">
        <f>IF(VLOOKUP($C212,'All Girls &amp; Descendants - Edit'!$C$2:$AK$440,'All Girls &amp; Descendants - Edit'!AA$1,FALSE)=""," - ",(VLOOKUP($C212,'All Girls &amp; Descendants - Edit'!$C$2:$AK$440,'All Girls &amp; Descendants - Edit'!AA$1,FALSE)))</f>
        <v>228</v>
      </c>
      <c r="AB212" s="101">
        <f>IF(VLOOKUP($C212,'All Girls &amp; Descendants - Edit'!$C$2:$AK$440,'All Girls &amp; Descendants - Edit'!AB$1,FALSE)=""," - ",(VLOOKUP($C212,'All Girls &amp; Descendants - Edit'!$C$2:$AK$440,'All Girls &amp; Descendants - Edit'!AB$1,FALSE)))</f>
        <v>69</v>
      </c>
      <c r="AC212" s="101">
        <f>IF(VLOOKUP($C212,'All Girls &amp; Descendants - Edit'!$C$2:$AK$440,'All Girls &amp; Descendants - Edit'!AC$1,FALSE)=""," - ",(VLOOKUP($C212,'All Girls &amp; Descendants - Edit'!$C$2:$AK$440,'All Girls &amp; Descendants - Edit'!AC$1,FALSE)))</f>
        <v>2069</v>
      </c>
      <c r="AD212" s="3" t="str">
        <f>IF(VLOOKUP($C212,'All Girls &amp; Descendants - Edit'!$C$2:$AK$440,'All Girls &amp; Descendants - Edit'!AD$1,FALSE)=""," - ",(VLOOKUP($C212,'All Girls &amp; Descendants - Edit'!$C$2:$AK$440,'All Girls &amp; Descendants - Edit'!AD$1,FALSE)))</f>
        <v>97ea</v>
      </c>
      <c r="AE212" s="3" t="str">
        <f>IF(VLOOKUP($C212,'All Girls &amp; Descendants - Edit'!$C$2:$AK$440,'All Girls &amp; Descendants - Edit'!AE$1,FALSE)=""," - ",(VLOOKUP($C212,'All Girls &amp; Descendants - Edit'!$C$2:$AK$440,'All Girls &amp; Descendants - Edit'!AE$1,FALSE)))</f>
        <v>Frank Thomas Arthur SALE (1995 - )</v>
      </c>
      <c r="AF212" s="3" t="str">
        <f>IF(VLOOKUP($C212,'All Girls &amp; Descendants - Edit'!$C$2:$AK$440,'All Girls &amp; Descendants - Edit'!AF$1,FALSE)=""," - ",(VLOOKUP($C212,'All Girls &amp; Descendants - Edit'!$C$2:$AK$440,'All Girls &amp; Descendants - Edit'!AF$1,FALSE)))</f>
        <v>Frank SALE (7th &amp; 97)</v>
      </c>
      <c r="AG212" s="3" t="str">
        <f>IF(VLOOKUP($C212,'All Girls &amp; Descendants - Edit'!$C$2:$AK$440,'All Girls &amp; Descendants - Edit'!AG$1,FALSE)=""," - ",(VLOOKUP($C212,'All Girls &amp; Descendants - Edit'!$C$2:$AK$440,'All Girls &amp; Descendants - Edit'!AG$1,FALSE)))</f>
        <v>Male</v>
      </c>
      <c r="AH212" s="3" t="str">
        <f>IF(VLOOKUP($C212,'All Girls &amp; Descendants - Edit'!$C$2:$AK$440,'All Girls &amp; Descendants - Edit'!AH$1,FALSE)=""," - ",(VLOOKUP($C212,'All Girls &amp; Descendants - Edit'!$C$2:$AK$440,'All Girls &amp; Descendants - Edit'!AH$1,FALSE)))</f>
        <v>7th</v>
      </c>
      <c r="AI212" s="3" t="str">
        <f>IF(VLOOKUP($C212,'All Girls &amp; Descendants - Edit'!$C$2:$AK$440,'All Girls &amp; Descendants - Edit'!AI$1,FALSE)=""," - ",(VLOOKUP($C212,'All Girls &amp; Descendants - Edit'!$C$2:$AK$440,'All Girls &amp; Descendants - Edit'!AI$1,FALSE)))</f>
        <v>Unmarried</v>
      </c>
      <c r="AJ212" s="3" t="str">
        <f>IF(VLOOKUP($C212,'All Girls &amp; Descendants - Edit'!$C$2:$AK$440,'All Girls &amp; Descendants - Edit'!AJ$1,FALSE)=""," - ",(VLOOKUP($C212,'All Girls &amp; Descendants - Edit'!$C$2:$AK$440,'All Girls &amp; Descendants - Edit'!AJ$1,FALSE)))</f>
        <v>Male. b. 21/08/1995 Baptised 5 Jan 1996 at St George’s, Brailes, Warwickshire. Educated: Maidwell Hall 2003-2008; Harrow School 2008-2013; University of Manchester (BA Politics) 2014-2017. Joined HBA Media in 2017. Managing Director of HBA Media 2020 to date. HBA Media is the leading owner of media rights for the world's top international flat horse races.</v>
      </c>
      <c r="AK212" s="3" t="str">
        <f>IF(VLOOKUP($C212,'All Girls &amp; Descendants - Edit'!$C$2:$AK$440,'All Girls &amp; Descendants - Edit'!AK$1,FALSE)=""," - ",(VLOOKUP($C212,'All Girls &amp; Descendants - Edit'!$C$2:$AK$440,'All Girls &amp; Descendants - Edit'!AK$1,FALSE)))</f>
        <v>b. 21/08/1995</v>
      </c>
    </row>
    <row r="213" spans="1:37" ht="19">
      <c r="A213">
        <f>VLOOKUP(B213,'Loyd List 1-190 - Edit'!$P$1:$R$219,3,FALSE)</f>
        <v>53</v>
      </c>
      <c r="B213">
        <f>'All Girls &amp; Descendants - Edit'!B214</f>
        <v>97</v>
      </c>
      <c r="C213" s="98" t="str">
        <f>'All Girls &amp; Descendants - Edit'!C214</f>
        <v>97eb</v>
      </c>
      <c r="D213" s="2" t="str">
        <f>'All Girls &amp; Descendants - Edit'!D214</f>
        <v>SALE</v>
      </c>
      <c r="E213" t="str">
        <f>'All Girls &amp; Descendants - Edit'!E214</f>
        <v>Constancy</v>
      </c>
      <c r="F213" t="str">
        <f>IF('All Girls &amp; Descendants - Edit'!F214="","",'All Girls &amp; Descendants - Edit'!F214)</f>
        <v>Nancy</v>
      </c>
      <c r="G213" t="str">
        <f>IF('All Girls &amp; Descendants - Edit'!G214="","",'All Girls &amp; Descendants - Edit'!G214)</f>
        <v/>
      </c>
      <c r="H213" t="str">
        <f>IF('All Girls &amp; Descendants - Edit'!H214="","",'All Girls &amp; Descendants - Edit'!H214)</f>
        <v>Connie</v>
      </c>
      <c r="I213">
        <f>VLOOKUP($C213,'All Girls &amp; Descendants - Edit'!$C$2:$AK$440,'All Girls &amp; Descendants - Edit'!I$1,FALSE)</f>
        <v>1997</v>
      </c>
      <c r="J213" t="str">
        <f>VLOOKUP($C213,'All Girls &amp; Descendants - Edit'!$C$2:$AK$440,'All Girls &amp; Descendants - Edit'!J$1,FALSE)</f>
        <v/>
      </c>
      <c r="K213" s="9"/>
      <c r="L213" t="str">
        <f t="shared" si="25"/>
        <v>31/12/1997</v>
      </c>
      <c r="M213" s="3">
        <f>VLOOKUP($C213,'All Girls &amp; Descendants - Edit'!$C$2:$AK$440,'All Girls &amp; Descendants - Edit'!M$1,FALSE)</f>
        <v>35795</v>
      </c>
      <c r="N213" s="3" t="str">
        <f>IF(VLOOKUP($C213,'All Girls &amp; Descendants - Edit'!$C$2:$AK$440,'All Girls &amp; Descendants - Edit'!N$1,FALSE)=""," - ",(VLOOKUP($C213,'All Girls &amp; Descendants - Edit'!$C$2:$AK$440,'All Girls &amp; Descendants - Edit'!N$1,FALSE)))</f>
        <v xml:space="preserve"> - </v>
      </c>
      <c r="O213" s="3" t="str">
        <f>IF(VLOOKUP($C213,'All Girls &amp; Descendants - Edit'!$C$2:$AK$440,'All Girls &amp; Descendants - Edit'!O$1,FALSE)="","",(VLOOKUP($C213,'All Girls &amp; Descendants - Edit'!$C$2:$AK$440,'All Girls &amp; Descendants - Edit'!O$1,FALSE)))</f>
        <v/>
      </c>
      <c r="P213" s="3" t="str">
        <f t="shared" si="26"/>
        <v/>
      </c>
      <c r="Q213" s="178" t="str">
        <f t="shared" si="27"/>
        <v>97e</v>
      </c>
      <c r="R213" s="23"/>
      <c r="S213" t="str">
        <f>VLOOKUP($C213,'All Girls &amp; Descendants - Edit'!$C$2:$AK$440,'All Girls &amp; Descendants - Edit'!S$1,FALSE)</f>
        <v>Female</v>
      </c>
      <c r="T213" s="176">
        <f t="shared" si="24"/>
        <v>7</v>
      </c>
      <c r="U213" s="176">
        <f t="shared" si="28"/>
        <v>4</v>
      </c>
      <c r="V213" s="176">
        <f t="shared" si="29"/>
        <v>5</v>
      </c>
      <c r="W213" s="177">
        <f t="shared" si="30"/>
        <v>2</v>
      </c>
      <c r="X213" s="3" t="str">
        <f>IF(VLOOKUP($C213,'All Girls &amp; Descendants - Edit'!$C$2:$AK$440,'All Girls &amp; Descendants - Edit'!X$1,FALSE)=""," - ",(VLOOKUP($C213,'All Girls &amp; Descendants - Edit'!$C$2:$AK$440,'All Girls &amp; Descendants - Edit'!X$1,FALSE)))</f>
        <v xml:space="preserve"> - </v>
      </c>
      <c r="Y213" s="3" t="str">
        <f>IF(VLOOKUP($C213,'All Girls &amp; Descendants - Edit'!$C$2:$AK$440,'All Girls &amp; Descendants - Edit'!Y$1,FALSE)=""," - ",(VLOOKUP($C213,'All Girls &amp; Descendants - Edit'!$C$2:$AK$440,'All Girls &amp; Descendants - Edit'!Y$1,FALSE)))</f>
        <v xml:space="preserve"> - </v>
      </c>
      <c r="Z213" s="3" t="str">
        <f>IF(VLOOKUP($C213,'All Girls &amp; Descendants - Edit'!$C$2:$AK$440,'All Girls &amp; Descendants - Edit'!Z$1,FALSE)=""," - ",(VLOOKUP($C213,'All Girls &amp; Descendants - Edit'!$C$2:$AK$440,'All Girls &amp; Descendants - Edit'!Z$1,FALSE)))</f>
        <v>Baptised 19 Apr 1998 at St George’s, Brailes, Warwickshire. Educated Tudor Hall School, 2010-16 (Head Girl). Nursery School teacher 2017-18; Interior Designer 2019-21, Executive Assistant at Key4Life Charity 2022 to date.</v>
      </c>
      <c r="AA213" s="101">
        <f>IF(VLOOKUP($C213,'All Girls &amp; Descendants - Edit'!$C$2:$AK$440,'All Girls &amp; Descendants - Edit'!AA$1,FALSE)=""," - ",(VLOOKUP($C213,'All Girls &amp; Descendants - Edit'!$C$2:$AK$440,'All Girls &amp; Descendants - Edit'!AA$1,FALSE)))</f>
        <v>229</v>
      </c>
      <c r="AB213" s="101">
        <f>IF(VLOOKUP($C213,'All Girls &amp; Descendants - Edit'!$C$2:$AK$440,'All Girls &amp; Descendants - Edit'!AB$1,FALSE)=""," - ",(VLOOKUP($C213,'All Girls &amp; Descendants - Edit'!$C$2:$AK$440,'All Girls &amp; Descendants - Edit'!AB$1,FALSE)))</f>
        <v>70</v>
      </c>
      <c r="AC213" s="101">
        <f>IF(VLOOKUP($C213,'All Girls &amp; Descendants - Edit'!$C$2:$AK$440,'All Girls &amp; Descendants - Edit'!AC$1,FALSE)=""," - ",(VLOOKUP($C213,'All Girls &amp; Descendants - Edit'!$C$2:$AK$440,'All Girls &amp; Descendants - Edit'!AC$1,FALSE)))</f>
        <v>2070</v>
      </c>
      <c r="AD213" s="3" t="str">
        <f>IF(VLOOKUP($C213,'All Girls &amp; Descendants - Edit'!$C$2:$AK$440,'All Girls &amp; Descendants - Edit'!AD$1,FALSE)=""," - ",(VLOOKUP($C213,'All Girls &amp; Descendants - Edit'!$C$2:$AK$440,'All Girls &amp; Descendants - Edit'!AD$1,FALSE)))</f>
        <v>97eb</v>
      </c>
      <c r="AE213" s="3" t="str">
        <f>IF(VLOOKUP($C213,'All Girls &amp; Descendants - Edit'!$C$2:$AK$440,'All Girls &amp; Descendants - Edit'!AE$1,FALSE)=""," - ",(VLOOKUP($C213,'All Girls &amp; Descendants - Edit'!$C$2:$AK$440,'All Girls &amp; Descendants - Edit'!AE$1,FALSE)))</f>
        <v>Constancy Nancy  SALE (1997 - )</v>
      </c>
      <c r="AF213" s="3" t="str">
        <f>IF(VLOOKUP($C213,'All Girls &amp; Descendants - Edit'!$C$2:$AK$440,'All Girls &amp; Descendants - Edit'!AF$1,FALSE)=""," - ",(VLOOKUP($C213,'All Girls &amp; Descendants - Edit'!$C$2:$AK$440,'All Girls &amp; Descendants - Edit'!AF$1,FALSE)))</f>
        <v>Connie SALE (7th &amp; 97)</v>
      </c>
      <c r="AG213" s="3" t="str">
        <f>IF(VLOOKUP($C213,'All Girls &amp; Descendants - Edit'!$C$2:$AK$440,'All Girls &amp; Descendants - Edit'!AG$1,FALSE)=""," - ",(VLOOKUP($C213,'All Girls &amp; Descendants - Edit'!$C$2:$AK$440,'All Girls &amp; Descendants - Edit'!AG$1,FALSE)))</f>
        <v>Female</v>
      </c>
      <c r="AH213" s="3" t="str">
        <f>IF(VLOOKUP($C213,'All Girls &amp; Descendants - Edit'!$C$2:$AK$440,'All Girls &amp; Descendants - Edit'!AH$1,FALSE)=""," - ",(VLOOKUP($C213,'All Girls &amp; Descendants - Edit'!$C$2:$AK$440,'All Girls &amp; Descendants - Edit'!AH$1,FALSE)))</f>
        <v>7th</v>
      </c>
      <c r="AI213" s="3" t="str">
        <f>IF(VLOOKUP($C213,'All Girls &amp; Descendants - Edit'!$C$2:$AK$440,'All Girls &amp; Descendants - Edit'!AI$1,FALSE)=""," - ",(VLOOKUP($C213,'All Girls &amp; Descendants - Edit'!$C$2:$AK$440,'All Girls &amp; Descendants - Edit'!AI$1,FALSE)))</f>
        <v>Unmarried</v>
      </c>
      <c r="AJ213" s="3" t="str">
        <f>IF(VLOOKUP($C213,'All Girls &amp; Descendants - Edit'!$C$2:$AK$440,'All Girls &amp; Descendants - Edit'!AJ$1,FALSE)=""," - ",(VLOOKUP($C213,'All Girls &amp; Descendants - Edit'!$C$2:$AK$440,'All Girls &amp; Descendants - Edit'!AJ$1,FALSE)))</f>
        <v>Female. b. 31/12/1997 Baptised 19 Apr 1998 at St George’s, Brailes, Warwickshire. Educated Tudor Hall School, 2010-16 (Head Girl). Nursery School teacher 2017-18; Interior Designer 2019-21, Executive Assistant at Key4Life Charity 2022 to date.</v>
      </c>
      <c r="AK213" s="3" t="str">
        <f>IF(VLOOKUP($C213,'All Girls &amp; Descendants - Edit'!$C$2:$AK$440,'All Girls &amp; Descendants - Edit'!AK$1,FALSE)=""," - ",(VLOOKUP($C213,'All Girls &amp; Descendants - Edit'!$C$2:$AK$440,'All Girls &amp; Descendants - Edit'!AK$1,FALSE)))</f>
        <v>b. 31/12/1997</v>
      </c>
    </row>
    <row r="214" spans="1:37" ht="19">
      <c r="A214">
        <f>VLOOKUP(B214,'Loyd List 1-190 - Edit'!$P$1:$R$219,3,FALSE)</f>
        <v>53</v>
      </c>
      <c r="B214">
        <f>'All Girls &amp; Descendants - Edit'!B215</f>
        <v>97</v>
      </c>
      <c r="C214" s="98" t="str">
        <f>'All Girls &amp; Descendants - Edit'!C215</f>
        <v>97ec</v>
      </c>
      <c r="D214" s="2" t="str">
        <f>'All Girls &amp; Descendants - Edit'!D215</f>
        <v>SALE</v>
      </c>
      <c r="E214" t="str">
        <f>'All Girls &amp; Descendants - Edit'!E215</f>
        <v>Grace</v>
      </c>
      <c r="F214" t="str">
        <f>IF('All Girls &amp; Descendants - Edit'!F215="","",'All Girls &amp; Descendants - Edit'!F215)</f>
        <v>Alice</v>
      </c>
      <c r="G214" t="str">
        <f>IF('All Girls &amp; Descendants - Edit'!G215="","",'All Girls &amp; Descendants - Edit'!G215)</f>
        <v/>
      </c>
      <c r="H214" t="str">
        <f>IF('All Girls &amp; Descendants - Edit'!H215="","",'All Girls &amp; Descendants - Edit'!H215)</f>
        <v/>
      </c>
      <c r="I214">
        <f>VLOOKUP($C214,'All Girls &amp; Descendants - Edit'!$C$2:$AK$440,'All Girls &amp; Descendants - Edit'!I$1,FALSE)</f>
        <v>2002</v>
      </c>
      <c r="J214">
        <f>VLOOKUP($C214,'All Girls &amp; Descendants - Edit'!$C$2:$AK$440,'All Girls &amp; Descendants - Edit'!J$1,FALSE)</f>
        <v>0</v>
      </c>
      <c r="K214" s="9"/>
      <c r="L214" t="str">
        <f>IF(M214="","",TEXT(M214,"dd/mm/yyyy"))</f>
        <v>24/01/2002</v>
      </c>
      <c r="M214" s="3">
        <f>VLOOKUP($C214,'All Girls &amp; Descendants - Edit'!$C$2:$AK$440,'All Girls &amp; Descendants - Edit'!M$1,FALSE)</f>
        <v>37280</v>
      </c>
      <c r="N214" s="3" t="str">
        <f>IF(VLOOKUP($C214,'All Girls &amp; Descendants - Edit'!$C$2:$AK$440,'All Girls &amp; Descendants - Edit'!N$1,FALSE)=""," - ",(VLOOKUP($C214,'All Girls &amp; Descendants - Edit'!$C$2:$AK$440,'All Girls &amp; Descendants - Edit'!N$1,FALSE)))</f>
        <v xml:space="preserve"> - </v>
      </c>
      <c r="O214" s="3" t="str">
        <f>IF(VLOOKUP($C214,'All Girls &amp; Descendants - Edit'!$C$2:$AK$440,'All Girls &amp; Descendants - Edit'!O$1,FALSE)="","",(VLOOKUP($C214,'All Girls &amp; Descendants - Edit'!$C$2:$AK$440,'All Girls &amp; Descendants - Edit'!O$1,FALSE)))</f>
        <v/>
      </c>
      <c r="P214" s="3" t="str">
        <f>IF(O214="","",TEXT(O214,"dd/mm/yyyy"))</f>
        <v/>
      </c>
      <c r="Q214" s="178" t="str">
        <f>MID(C214,1,LEN(C214)-1)</f>
        <v>97e</v>
      </c>
      <c r="R214" s="23"/>
      <c r="S214" t="str">
        <f>VLOOKUP($C214,'All Girls &amp; Descendants - Edit'!$C$2:$AK$440,'All Girls &amp; Descendants - Edit'!S$1,FALSE)</f>
        <v>Female</v>
      </c>
      <c r="T214" s="176">
        <f t="shared" si="24"/>
        <v>7</v>
      </c>
      <c r="U214" s="176">
        <f>LEN(C214)</f>
        <v>4</v>
      </c>
      <c r="V214" s="176">
        <f>VLOOKUP(B214,Generation,2,FALSE)</f>
        <v>5</v>
      </c>
      <c r="W214" s="177">
        <f>IF(LEN(C214)-IF(B214&lt;10,1,IF(AND(B214&gt;9,B214&lt;100),2,3))=1,1,IF(LEN(C214)-IF(B214&lt;10,1,IF(AND(B214&gt;9,B214&lt;100),2,3))=0,"SELF",LEN(C214)-IF(B214&lt;10,1,IF(AND(B214&gt;9,B214&lt;100),2,3))))</f>
        <v>2</v>
      </c>
      <c r="X214" s="3" t="str">
        <f>IF(VLOOKUP($C214,'All Girls &amp; Descendants - Edit'!$C$2:$AK$440,'All Girls &amp; Descendants - Edit'!X$1,FALSE)=""," - ",(VLOOKUP($C214,'All Girls &amp; Descendants - Edit'!$C$2:$AK$440,'All Girls &amp; Descendants - Edit'!X$1,FALSE)))</f>
        <v xml:space="preserve"> - </v>
      </c>
      <c r="Y214" s="3" t="str">
        <f>IF(VLOOKUP($C214,'All Girls &amp; Descendants - Edit'!$C$2:$AK$440,'All Girls &amp; Descendants - Edit'!Y$1,FALSE)=""," - ",(VLOOKUP($C214,'All Girls &amp; Descendants - Edit'!$C$2:$AK$440,'All Girls &amp; Descendants - Edit'!Y$1,FALSE)))</f>
        <v xml:space="preserve"> - </v>
      </c>
      <c r="Z214" s="3" t="str">
        <f>IF(VLOOKUP($C214,'All Girls &amp; Descendants - Edit'!$C$2:$AK$440,'All Girls &amp; Descendants - Edit'!Z$1,FALSE)=""," - ",(VLOOKUP($C214,'All Girls &amp; Descendants - Edit'!$C$2:$AK$440,'All Girls &amp; Descendants - Edit'!Z$1,FALSE)))</f>
        <v>Educated: Tudor Hall School 2014-2020, University of Edinburgh 2020 to date reading English Literature.</v>
      </c>
      <c r="AA214" s="101">
        <f>IF(VLOOKUP($C214,'All Girls &amp; Descendants - Edit'!$C$2:$AK$440,'All Girls &amp; Descendants - Edit'!AA$1,FALSE)=""," - ",(VLOOKUP($C214,'All Girls &amp; Descendants - Edit'!$C$2:$AK$440,'All Girls &amp; Descendants - Edit'!AA$1,FALSE)))</f>
        <v>230</v>
      </c>
      <c r="AB214" s="101">
        <f>IF(VLOOKUP($C214,'All Girls &amp; Descendants - Edit'!$C$2:$AK$440,'All Girls &amp; Descendants - Edit'!AB$1,FALSE)=""," - ",(VLOOKUP($C214,'All Girls &amp; Descendants - Edit'!$C$2:$AK$440,'All Girls &amp; Descendants - Edit'!AB$1,FALSE)))</f>
        <v>71</v>
      </c>
      <c r="AC214" s="101">
        <f>IF(VLOOKUP($C214,'All Girls &amp; Descendants - Edit'!$C$2:$AK$440,'All Girls &amp; Descendants - Edit'!AC$1,FALSE)=""," - ",(VLOOKUP($C214,'All Girls &amp; Descendants - Edit'!$C$2:$AK$440,'All Girls &amp; Descendants - Edit'!AC$1,FALSE)))</f>
        <v>2071</v>
      </c>
      <c r="AD214" s="3" t="str">
        <f>IF(VLOOKUP($C214,'All Girls &amp; Descendants - Edit'!$C$2:$AK$440,'All Girls &amp; Descendants - Edit'!AD$1,FALSE)=""," - ",(VLOOKUP($C214,'All Girls &amp; Descendants - Edit'!$C$2:$AK$440,'All Girls &amp; Descendants - Edit'!AD$1,FALSE)))</f>
        <v>97ec</v>
      </c>
      <c r="AE214" s="3" t="str">
        <f>IF(VLOOKUP($C214,'All Girls &amp; Descendants - Edit'!$C$2:$AK$440,'All Girls &amp; Descendants - Edit'!AE$1,FALSE)=""," - ",(VLOOKUP($C214,'All Girls &amp; Descendants - Edit'!$C$2:$AK$440,'All Girls &amp; Descendants - Edit'!AE$1,FALSE)))</f>
        <v>Grace Alice  SALE (2002 - )</v>
      </c>
      <c r="AF214" s="3" t="str">
        <f>IF(VLOOKUP($C214,'All Girls &amp; Descendants - Edit'!$C$2:$AK$440,'All Girls &amp; Descendants - Edit'!AF$1,FALSE)=""," - ",(VLOOKUP($C214,'All Girls &amp; Descendants - Edit'!$C$2:$AK$440,'All Girls &amp; Descendants - Edit'!AF$1,FALSE)))</f>
        <v>Grace SALE (7th &amp; 97)</v>
      </c>
      <c r="AG214" s="3" t="str">
        <f>IF(VLOOKUP($C214,'All Girls &amp; Descendants - Edit'!$C$2:$AK$440,'All Girls &amp; Descendants - Edit'!AG$1,FALSE)=""," - ",(VLOOKUP($C214,'All Girls &amp; Descendants - Edit'!$C$2:$AK$440,'All Girls &amp; Descendants - Edit'!AG$1,FALSE)))</f>
        <v>Female</v>
      </c>
      <c r="AH214" s="3" t="str">
        <f>IF(VLOOKUP($C214,'All Girls &amp; Descendants - Edit'!$C$2:$AK$440,'All Girls &amp; Descendants - Edit'!AH$1,FALSE)=""," - ",(VLOOKUP($C214,'All Girls &amp; Descendants - Edit'!$C$2:$AK$440,'All Girls &amp; Descendants - Edit'!AH$1,FALSE)))</f>
        <v>7th</v>
      </c>
      <c r="AI214" s="3" t="str">
        <f>IF(VLOOKUP($C214,'All Girls &amp; Descendants - Edit'!$C$2:$AK$440,'All Girls &amp; Descendants - Edit'!AI$1,FALSE)=""," - ",(VLOOKUP($C214,'All Girls &amp; Descendants - Edit'!$C$2:$AK$440,'All Girls &amp; Descendants - Edit'!AI$1,FALSE)))</f>
        <v>Unmarried</v>
      </c>
      <c r="AJ214" s="3" t="str">
        <f>IF(VLOOKUP($C214,'All Girls &amp; Descendants - Edit'!$C$2:$AK$440,'All Girls &amp; Descendants - Edit'!AJ$1,FALSE)=""," - ",(VLOOKUP($C214,'All Girls &amp; Descendants - Edit'!$C$2:$AK$440,'All Girls &amp; Descendants - Edit'!AJ$1,FALSE)))</f>
        <v>Female. b. 24/01/2002 Educated: Tudor Hall School 2014-2020, University of Edinburgh 2020 to date reading English Literature.</v>
      </c>
      <c r="AK214" s="3" t="str">
        <f>IF(VLOOKUP($C214,'All Girls &amp; Descendants - Edit'!$C$2:$AK$440,'All Girls &amp; Descendants - Edit'!AK$1,FALSE)=""," - ",(VLOOKUP($C214,'All Girls &amp; Descendants - Edit'!$C$2:$AK$440,'All Girls &amp; Descendants - Edit'!AK$1,FALSE)))</f>
        <v>b. 24/01/2002</v>
      </c>
    </row>
    <row r="215" spans="1:37" ht="19">
      <c r="A215">
        <f>VLOOKUP(B215,'Loyd List 1-190 - Edit'!$P$1:$R$219,3,FALSE)</f>
        <v>56</v>
      </c>
      <c r="B215">
        <f>'All Girls &amp; Descendants - Edit'!B216</f>
        <v>101</v>
      </c>
      <c r="C215" s="98" t="str">
        <f>'All Girls &amp; Descendants - Edit'!C216</f>
        <v>101aa</v>
      </c>
      <c r="D215" s="2" t="str">
        <f>'All Girls &amp; Descendants - Edit'!D216</f>
        <v>TIMPSON</v>
      </c>
      <c r="E215" t="str">
        <f>'All Girls &amp; Descendants - Edit'!E216</f>
        <v>Lawrence</v>
      </c>
      <c r="F215" t="str">
        <f>IF('All Girls &amp; Descendants - Edit'!F216="","",'All Girls &amp; Descendants - Edit'!F216)</f>
        <v>Rupert</v>
      </c>
      <c r="G215" t="str">
        <f>IF('All Girls &amp; Descendants - Edit'!G216="","",'All Girls &amp; Descendants - Edit'!G216)</f>
        <v>John</v>
      </c>
      <c r="H215" t="str">
        <f>IF('All Girls &amp; Descendants - Edit'!H216="","",'All Girls &amp; Descendants - Edit'!H216)</f>
        <v/>
      </c>
      <c r="I215">
        <f>VLOOKUP($C215,'All Girls &amp; Descendants - Edit'!$C$2:$AK$440,'All Girls &amp; Descendants - Edit'!I$1,FALSE)</f>
        <v>1974</v>
      </c>
      <c r="J215" t="str">
        <f>VLOOKUP($C215,'All Girls &amp; Descendants - Edit'!$C$2:$AK$440,'All Girls &amp; Descendants - Edit'!J$1,FALSE)</f>
        <v/>
      </c>
      <c r="K215" s="9"/>
      <c r="L215" t="str">
        <f t="shared" si="25"/>
        <v>05/07/1974</v>
      </c>
      <c r="M215" s="3">
        <f>VLOOKUP($C215,'All Girls &amp; Descendants - Edit'!$C$2:$AK$440,'All Girls &amp; Descendants - Edit'!M$1,FALSE)</f>
        <v>27215</v>
      </c>
      <c r="N215" s="3" t="str">
        <f>IF(VLOOKUP($C215,'All Girls &amp; Descendants - Edit'!$C$2:$AK$440,'All Girls &amp; Descendants - Edit'!N$1,FALSE)=""," - ",(VLOOKUP($C215,'All Girls &amp; Descendants - Edit'!$C$2:$AK$440,'All Girls &amp; Descendants - Edit'!N$1,FALSE)))</f>
        <v xml:space="preserve"> - </v>
      </c>
      <c r="O215" s="3" t="str">
        <f>IF(VLOOKUP($C215,'All Girls &amp; Descendants - Edit'!$C$2:$AK$440,'All Girls &amp; Descendants - Edit'!O$1,FALSE)="","",(VLOOKUP($C215,'All Girls &amp; Descendants - Edit'!$C$2:$AK$440,'All Girls &amp; Descendants - Edit'!O$1,FALSE)))</f>
        <v/>
      </c>
      <c r="P215" s="3" t="str">
        <f t="shared" si="26"/>
        <v/>
      </c>
      <c r="Q215" s="178" t="str">
        <f t="shared" si="27"/>
        <v>101a</v>
      </c>
      <c r="R215" s="23"/>
      <c r="S215" t="str">
        <f>VLOOKUP($C215,'All Girls &amp; Descendants - Edit'!$C$2:$AK$440,'All Girls &amp; Descendants - Edit'!S$1,FALSE)</f>
        <v>Male</v>
      </c>
      <c r="T215" s="176">
        <f t="shared" si="24"/>
        <v>7</v>
      </c>
      <c r="U215" s="176">
        <f t="shared" si="28"/>
        <v>5</v>
      </c>
      <c r="V215" s="176">
        <f t="shared" si="29"/>
        <v>5</v>
      </c>
      <c r="W215" s="177">
        <f t="shared" si="30"/>
        <v>2</v>
      </c>
      <c r="X215" s="3" t="str">
        <f>IF(VLOOKUP($C215,'All Girls &amp; Descendants - Edit'!$C$2:$AK$440,'All Girls &amp; Descendants - Edit'!X$1,FALSE)=""," - ",(VLOOKUP($C215,'All Girls &amp; Descendants - Edit'!$C$2:$AK$440,'All Girls &amp; Descendants - Edit'!X$1,FALSE)))</f>
        <v xml:space="preserve"> - </v>
      </c>
      <c r="Y215" s="3" t="str">
        <f>IF(VLOOKUP($C215,'All Girls &amp; Descendants - Edit'!$C$2:$AK$440,'All Girls &amp; Descendants - Edit'!Y$1,FALSE)=""," - ",(VLOOKUP($C215,'All Girls &amp; Descendants - Edit'!$C$2:$AK$440,'All Girls &amp; Descendants - Edit'!Y$1,FALSE)))</f>
        <v xml:space="preserve"> - </v>
      </c>
      <c r="Z215" s="3" t="str">
        <f>IF(VLOOKUP($C215,'All Girls &amp; Descendants - Edit'!$C$2:$AK$440,'All Girls &amp; Descendants - Edit'!Z$1,FALSE)=""," - ",(VLOOKUP($C215,'All Girls &amp; Descendants - Edit'!$C$2:$AK$440,'All Girls &amp; Descendants - Edit'!Z$1,FALSE)))</f>
        <v>Baptised 28 Oct 1974 at the Guards’ Chapel. Birdcage Walk, London.</v>
      </c>
      <c r="AA215" s="101">
        <f>IF(VLOOKUP($C215,'All Girls &amp; Descendants - Edit'!$C$2:$AK$440,'All Girls &amp; Descendants - Edit'!AA$1,FALSE)=""," - ",(VLOOKUP($C215,'All Girls &amp; Descendants - Edit'!$C$2:$AK$440,'All Girls &amp; Descendants - Edit'!AA$1,FALSE)))</f>
        <v>231</v>
      </c>
      <c r="AB215" s="101">
        <f>IF(VLOOKUP($C215,'All Girls &amp; Descendants - Edit'!$C$2:$AK$440,'All Girls &amp; Descendants - Edit'!AB$1,FALSE)=""," - ",(VLOOKUP($C215,'All Girls &amp; Descendants - Edit'!$C$2:$AK$440,'All Girls &amp; Descendants - Edit'!AB$1,FALSE)))</f>
        <v>72</v>
      </c>
      <c r="AC215" s="101">
        <f>IF(VLOOKUP($C215,'All Girls &amp; Descendants - Edit'!$C$2:$AK$440,'All Girls &amp; Descendants - Edit'!AC$1,FALSE)=""," - ",(VLOOKUP($C215,'All Girls &amp; Descendants - Edit'!$C$2:$AK$440,'All Girls &amp; Descendants - Edit'!AC$1,FALSE)))</f>
        <v>2072</v>
      </c>
      <c r="AD215" s="3" t="str">
        <f>IF(VLOOKUP($C215,'All Girls &amp; Descendants - Edit'!$C$2:$AK$440,'All Girls &amp; Descendants - Edit'!AD$1,FALSE)=""," - ",(VLOOKUP($C215,'All Girls &amp; Descendants - Edit'!$C$2:$AK$440,'All Girls &amp; Descendants - Edit'!AD$1,FALSE)))</f>
        <v>101aa</v>
      </c>
      <c r="AE215" s="3" t="str">
        <f>IF(VLOOKUP($C215,'All Girls &amp; Descendants - Edit'!$C$2:$AK$440,'All Girls &amp; Descendants - Edit'!AE$1,FALSE)=""," - ",(VLOOKUP($C215,'All Girls &amp; Descendants - Edit'!$C$2:$AK$440,'All Girls &amp; Descendants - Edit'!AE$1,FALSE)))</f>
        <v>Lawrence Rupert John TIMPSON (1974 - )</v>
      </c>
      <c r="AF215" s="3" t="str">
        <f>IF(VLOOKUP($C215,'All Girls &amp; Descendants - Edit'!$C$2:$AK$440,'All Girls &amp; Descendants - Edit'!AF$1,FALSE)=""," - ",(VLOOKUP($C215,'All Girls &amp; Descendants - Edit'!$C$2:$AK$440,'All Girls &amp; Descendants - Edit'!AF$1,FALSE)))</f>
        <v>Lawrence TIMPSON (7th &amp; 101)</v>
      </c>
      <c r="AG215" s="3" t="str">
        <f>IF(VLOOKUP($C215,'All Girls &amp; Descendants - Edit'!$C$2:$AK$440,'All Girls &amp; Descendants - Edit'!AG$1,FALSE)=""," - ",(VLOOKUP($C215,'All Girls &amp; Descendants - Edit'!$C$2:$AK$440,'All Girls &amp; Descendants - Edit'!AG$1,FALSE)))</f>
        <v>Male</v>
      </c>
      <c r="AH215" s="3" t="str">
        <f>IF(VLOOKUP($C215,'All Girls &amp; Descendants - Edit'!$C$2:$AK$440,'All Girls &amp; Descendants - Edit'!AH$1,FALSE)=""," - ",(VLOOKUP($C215,'All Girls &amp; Descendants - Edit'!$C$2:$AK$440,'All Girls &amp; Descendants - Edit'!AH$1,FALSE)))</f>
        <v>7th</v>
      </c>
      <c r="AI215" s="3" t="str">
        <f>IF(VLOOKUP($C215,'All Girls &amp; Descendants - Edit'!$C$2:$AK$440,'All Girls &amp; Descendants - Edit'!AI$1,FALSE)=""," - ",(VLOOKUP($C215,'All Girls &amp; Descendants - Edit'!$C$2:$AK$440,'All Girls &amp; Descendants - Edit'!AI$1,FALSE)))</f>
        <v>Unmarried</v>
      </c>
      <c r="AJ215" s="3" t="str">
        <f>IF(VLOOKUP($C215,'All Girls &amp; Descendants - Edit'!$C$2:$AK$440,'All Girls &amp; Descendants - Edit'!AJ$1,FALSE)=""," - ",(VLOOKUP($C215,'All Girls &amp; Descendants - Edit'!$C$2:$AK$440,'All Girls &amp; Descendants - Edit'!AJ$1,FALSE)))</f>
        <v>Male. b. 05/07/1974 Baptised 28 Oct 1974 at the Guards’ Chapel. Birdcage Walk, London.</v>
      </c>
      <c r="AK215" s="3" t="str">
        <f>IF(VLOOKUP($C215,'All Girls &amp; Descendants - Edit'!$C$2:$AK$440,'All Girls &amp; Descendants - Edit'!AK$1,FALSE)=""," - ",(VLOOKUP($C215,'All Girls &amp; Descendants - Edit'!$C$2:$AK$440,'All Girls &amp; Descendants - Edit'!AK$1,FALSE)))</f>
        <v>b. 05/07/1974</v>
      </c>
    </row>
    <row r="216" spans="1:37" ht="19">
      <c r="A216">
        <f>VLOOKUP(B216,'Loyd List 1-190 - Edit'!$P$1:$R$219,3,FALSE)</f>
        <v>56</v>
      </c>
      <c r="B216">
        <f>'All Girls &amp; Descendants - Edit'!B217</f>
        <v>101</v>
      </c>
      <c r="C216" s="98" t="str">
        <f>'All Girls &amp; Descendants - Edit'!C217</f>
        <v>101ab</v>
      </c>
      <c r="D216" s="2" t="str">
        <f>'All Girls &amp; Descendants - Edit'!D217</f>
        <v>TIMPSON</v>
      </c>
      <c r="E216" t="str">
        <f>'All Girls &amp; Descendants - Edit'!E217</f>
        <v>Catherine</v>
      </c>
      <c r="F216" t="str">
        <f>IF('All Girls &amp; Descendants - Edit'!F217="","",'All Girls &amp; Descendants - Edit'!F217)</f>
        <v>Selina</v>
      </c>
      <c r="G216" t="str">
        <f>IF('All Girls &amp; Descendants - Edit'!G217="","",'All Girls &amp; Descendants - Edit'!G217)</f>
        <v>Alexandra</v>
      </c>
      <c r="H216" t="str">
        <f>IF('All Girls &amp; Descendants - Edit'!H217="","",'All Girls &amp; Descendants - Edit'!H217)</f>
        <v/>
      </c>
      <c r="I216">
        <f>VLOOKUP($C216,'All Girls &amp; Descendants - Edit'!$C$2:$AK$440,'All Girls &amp; Descendants - Edit'!I$1,FALSE)</f>
        <v>1979</v>
      </c>
      <c r="J216" t="str">
        <f>VLOOKUP($C216,'All Girls &amp; Descendants - Edit'!$C$2:$AK$440,'All Girls &amp; Descendants - Edit'!J$1,FALSE)</f>
        <v/>
      </c>
      <c r="K216" s="9"/>
      <c r="L216" t="str">
        <f t="shared" si="25"/>
        <v>13/01/1979</v>
      </c>
      <c r="M216" s="3">
        <f>VLOOKUP($C216,'All Girls &amp; Descendants - Edit'!$C$2:$AK$440,'All Girls &amp; Descendants - Edit'!M$1,FALSE)</f>
        <v>28868</v>
      </c>
      <c r="N216" s="3" t="str">
        <f>IF(VLOOKUP($C216,'All Girls &amp; Descendants - Edit'!$C$2:$AK$440,'All Girls &amp; Descendants - Edit'!N$1,FALSE)=""," - ",(VLOOKUP($C216,'All Girls &amp; Descendants - Edit'!$C$2:$AK$440,'All Girls &amp; Descendants - Edit'!N$1,FALSE)))</f>
        <v xml:space="preserve"> - </v>
      </c>
      <c r="O216" s="3" t="str">
        <f>IF(VLOOKUP($C216,'All Girls &amp; Descendants - Edit'!$C$2:$AK$440,'All Girls &amp; Descendants - Edit'!O$1,FALSE)="","",(VLOOKUP($C216,'All Girls &amp; Descendants - Edit'!$C$2:$AK$440,'All Girls &amp; Descendants - Edit'!O$1,FALSE)))</f>
        <v/>
      </c>
      <c r="P216" s="3" t="str">
        <f t="shared" si="26"/>
        <v/>
      </c>
      <c r="Q216" s="178" t="str">
        <f t="shared" si="27"/>
        <v>101a</v>
      </c>
      <c r="R216" s="23"/>
      <c r="S216" t="str">
        <f>VLOOKUP($C216,'All Girls &amp; Descendants - Edit'!$C$2:$AK$440,'All Girls &amp; Descendants - Edit'!S$1,FALSE)</f>
        <v>Female</v>
      </c>
      <c r="T216" s="176">
        <f t="shared" si="24"/>
        <v>7</v>
      </c>
      <c r="U216" s="176">
        <f t="shared" si="28"/>
        <v>5</v>
      </c>
      <c r="V216" s="176">
        <f t="shared" si="29"/>
        <v>5</v>
      </c>
      <c r="W216" s="177">
        <f t="shared" si="30"/>
        <v>2</v>
      </c>
      <c r="X216" s="3" t="str">
        <f>IF(VLOOKUP($C216,'All Girls &amp; Descendants - Edit'!$C$2:$AK$440,'All Girls &amp; Descendants - Edit'!X$1,FALSE)=""," - ",(VLOOKUP($C216,'All Girls &amp; Descendants - Edit'!$C$2:$AK$440,'All Girls &amp; Descendants - Edit'!X$1,FALSE)))</f>
        <v xml:space="preserve"> - </v>
      </c>
      <c r="Y216" s="3" t="str">
        <f>IF(VLOOKUP($C216,'All Girls &amp; Descendants - Edit'!$C$2:$AK$440,'All Girls &amp; Descendants - Edit'!Y$1,FALSE)=""," - ",(VLOOKUP($C216,'All Girls &amp; Descendants - Edit'!$C$2:$AK$440,'All Girls &amp; Descendants - Edit'!Y$1,FALSE)))</f>
        <v xml:space="preserve"> - </v>
      </c>
      <c r="Z216" s="3" t="str">
        <f>IF(VLOOKUP($C216,'All Girls &amp; Descendants - Edit'!$C$2:$AK$440,'All Girls &amp; Descendants - Edit'!Z$1,FALSE)=""," - ",(VLOOKUP($C216,'All Girls &amp; Descendants - Edit'!$C$2:$AK$440,'All Girls &amp; Descendants - Edit'!Z$1,FALSE)))</f>
        <v>Baptised 27 Jul 1979 at All Saints’, Lockinge.</v>
      </c>
      <c r="AA216" s="101">
        <f>IF(VLOOKUP($C216,'All Girls &amp; Descendants - Edit'!$C$2:$AK$440,'All Girls &amp; Descendants - Edit'!AA$1,FALSE)=""," - ",(VLOOKUP($C216,'All Girls &amp; Descendants - Edit'!$C$2:$AK$440,'All Girls &amp; Descendants - Edit'!AA$1,FALSE)))</f>
        <v>232</v>
      </c>
      <c r="AB216" s="101">
        <f>IF(VLOOKUP($C216,'All Girls &amp; Descendants - Edit'!$C$2:$AK$440,'All Girls &amp; Descendants - Edit'!AB$1,FALSE)=""," - ",(VLOOKUP($C216,'All Girls &amp; Descendants - Edit'!$C$2:$AK$440,'All Girls &amp; Descendants - Edit'!AB$1,FALSE)))</f>
        <v>73</v>
      </c>
      <c r="AC216" s="101">
        <f>IF(VLOOKUP($C216,'All Girls &amp; Descendants - Edit'!$C$2:$AK$440,'All Girls &amp; Descendants - Edit'!AC$1,FALSE)=""," - ",(VLOOKUP($C216,'All Girls &amp; Descendants - Edit'!$C$2:$AK$440,'All Girls &amp; Descendants - Edit'!AC$1,FALSE)))</f>
        <v>2073</v>
      </c>
      <c r="AD216" s="3" t="str">
        <f>IF(VLOOKUP($C216,'All Girls &amp; Descendants - Edit'!$C$2:$AK$440,'All Girls &amp; Descendants - Edit'!AD$1,FALSE)=""," - ",(VLOOKUP($C216,'All Girls &amp; Descendants - Edit'!$C$2:$AK$440,'All Girls &amp; Descendants - Edit'!AD$1,FALSE)))</f>
        <v>101ab</v>
      </c>
      <c r="AE216" s="3" t="str">
        <f>IF(VLOOKUP($C216,'All Girls &amp; Descendants - Edit'!$C$2:$AK$440,'All Girls &amp; Descendants - Edit'!AE$1,FALSE)=""," - ",(VLOOKUP($C216,'All Girls &amp; Descendants - Edit'!$C$2:$AK$440,'All Girls &amp; Descendants - Edit'!AE$1,FALSE)))</f>
        <v>Catherine Selina Alexandra TIMPSON (1979 - )</v>
      </c>
      <c r="AF216" s="3" t="str">
        <f>IF(VLOOKUP($C216,'All Girls &amp; Descendants - Edit'!$C$2:$AK$440,'All Girls &amp; Descendants - Edit'!AF$1,FALSE)=""," - ",(VLOOKUP($C216,'All Girls &amp; Descendants - Edit'!$C$2:$AK$440,'All Girls &amp; Descendants - Edit'!AF$1,FALSE)))</f>
        <v>Catherine TIMPSON (7th &amp; 101)</v>
      </c>
      <c r="AG216" s="3" t="str">
        <f>IF(VLOOKUP($C216,'All Girls &amp; Descendants - Edit'!$C$2:$AK$440,'All Girls &amp; Descendants - Edit'!AG$1,FALSE)=""," - ",(VLOOKUP($C216,'All Girls &amp; Descendants - Edit'!$C$2:$AK$440,'All Girls &amp; Descendants - Edit'!AG$1,FALSE)))</f>
        <v>Female</v>
      </c>
      <c r="AH216" s="3" t="str">
        <f>IF(VLOOKUP($C216,'All Girls &amp; Descendants - Edit'!$C$2:$AK$440,'All Girls &amp; Descendants - Edit'!AH$1,FALSE)=""," - ",(VLOOKUP($C216,'All Girls &amp; Descendants - Edit'!$C$2:$AK$440,'All Girls &amp; Descendants - Edit'!AH$1,FALSE)))</f>
        <v>7th</v>
      </c>
      <c r="AI216" s="3" t="str">
        <f>IF(VLOOKUP($C216,'All Girls &amp; Descendants - Edit'!$C$2:$AK$440,'All Girls &amp; Descendants - Edit'!AI$1,FALSE)=""," - ",(VLOOKUP($C216,'All Girls &amp; Descendants - Edit'!$C$2:$AK$440,'All Girls &amp; Descendants - Edit'!AI$1,FALSE)))</f>
        <v>Unmarried</v>
      </c>
      <c r="AJ216" s="3" t="str">
        <f>IF(VLOOKUP($C216,'All Girls &amp; Descendants - Edit'!$C$2:$AK$440,'All Girls &amp; Descendants - Edit'!AJ$1,FALSE)=""," - ",(VLOOKUP($C216,'All Girls &amp; Descendants - Edit'!$C$2:$AK$440,'All Girls &amp; Descendants - Edit'!AJ$1,FALSE)))</f>
        <v>Female. b. 13/01/1979 Baptised 27 Jul 1979 at All Saints’, Lockinge.</v>
      </c>
      <c r="AK216" s="3" t="str">
        <f>IF(VLOOKUP($C216,'All Girls &amp; Descendants - Edit'!$C$2:$AK$440,'All Girls &amp; Descendants - Edit'!AK$1,FALSE)=""," - ",(VLOOKUP($C216,'All Girls &amp; Descendants - Edit'!$C$2:$AK$440,'All Girls &amp; Descendants - Edit'!AK$1,FALSE)))</f>
        <v>b. 13/01/1979</v>
      </c>
    </row>
    <row r="217" spans="1:37" ht="19">
      <c r="A217">
        <f>VLOOKUP(B217,'Loyd List 1-190 - Edit'!$P$1:$R$219,3,FALSE)</f>
        <v>56</v>
      </c>
      <c r="B217">
        <f>'All Girls &amp; Descendants - Edit'!B218</f>
        <v>101</v>
      </c>
      <c r="C217" s="98" t="str">
        <f>'All Girls &amp; Descendants - Edit'!C218</f>
        <v>101ba</v>
      </c>
      <c r="D217" s="2" t="str">
        <f>'All Girls &amp; Descendants - Edit'!D218</f>
        <v>LOWRY-CORRY</v>
      </c>
      <c r="E217" t="str">
        <f>'All Girls &amp; Descendants - Edit'!E218</f>
        <v>Viscount John</v>
      </c>
      <c r="F217" t="str">
        <f>IF('All Girls &amp; Descendants - Edit'!F218="","",'All Girls &amp; Descendants - Edit'!F218)</f>
        <v>Armar</v>
      </c>
      <c r="G217" t="str">
        <f>IF('All Girls &amp; Descendants - Edit'!G218="","",'All Girls &amp; Descendants - Edit'!G218)</f>
        <v>Galbraith</v>
      </c>
      <c r="H217" t="str">
        <f>IF('All Girls &amp; Descendants - Edit'!H218="","",'All Girls &amp; Descendants - Edit'!H218)</f>
        <v/>
      </c>
      <c r="I217">
        <f>VLOOKUP($C217,'All Girls &amp; Descendants - Edit'!$C$2:$AK$440,'All Girls &amp; Descendants - Edit'!I$1,FALSE)</f>
        <v>1985</v>
      </c>
      <c r="J217" t="str">
        <f>VLOOKUP($C217,'All Girls &amp; Descendants - Edit'!$C$2:$AK$440,'All Girls &amp; Descendants - Edit'!J$1,FALSE)</f>
        <v/>
      </c>
      <c r="K217" s="9"/>
      <c r="L217" t="str">
        <f t="shared" si="25"/>
        <v>02/11/1985</v>
      </c>
      <c r="M217" s="3">
        <f>VLOOKUP($C217,'All Girls &amp; Descendants - Edit'!$C$2:$AK$440,'All Girls &amp; Descendants - Edit'!M$1,FALSE)</f>
        <v>31353</v>
      </c>
      <c r="N217" s="3" t="str">
        <f>IF(VLOOKUP($C217,'All Girls &amp; Descendants - Edit'!$C$2:$AK$440,'All Girls &amp; Descendants - Edit'!N$1,FALSE)=""," - ",(VLOOKUP($C217,'All Girls &amp; Descendants - Edit'!$C$2:$AK$440,'All Girls &amp; Descendants - Edit'!N$1,FALSE)))</f>
        <v xml:space="preserve"> - </v>
      </c>
      <c r="O217" s="3" t="str">
        <f>IF(VLOOKUP($C217,'All Girls &amp; Descendants - Edit'!$C$2:$AK$440,'All Girls &amp; Descendants - Edit'!O$1,FALSE)="","",(VLOOKUP($C217,'All Girls &amp; Descendants - Edit'!$C$2:$AK$440,'All Girls &amp; Descendants - Edit'!O$1,FALSE)))</f>
        <v/>
      </c>
      <c r="P217" s="3" t="str">
        <f t="shared" si="26"/>
        <v/>
      </c>
      <c r="Q217" s="178" t="str">
        <f t="shared" si="27"/>
        <v>101b</v>
      </c>
      <c r="R217" s="23"/>
      <c r="S217" t="str">
        <f>VLOOKUP($C217,'All Girls &amp; Descendants - Edit'!$C$2:$AK$440,'All Girls &amp; Descendants - Edit'!S$1,FALSE)</f>
        <v>Male</v>
      </c>
      <c r="T217" s="176">
        <f t="shared" si="24"/>
        <v>7</v>
      </c>
      <c r="U217" s="176">
        <f t="shared" si="28"/>
        <v>5</v>
      </c>
      <c r="V217" s="176">
        <f t="shared" si="29"/>
        <v>5</v>
      </c>
      <c r="W217" s="177">
        <f t="shared" si="30"/>
        <v>2</v>
      </c>
      <c r="X217" s="3" t="str">
        <f>IF(VLOOKUP($C217,'All Girls &amp; Descendants - Edit'!$C$2:$AK$440,'All Girls &amp; Descendants - Edit'!X$1,FALSE)=""," - ",(VLOOKUP($C217,'All Girls &amp; Descendants - Edit'!$C$2:$AK$440,'All Girls &amp; Descendants - Edit'!X$1,FALSE)))</f>
        <v xml:space="preserve"> - </v>
      </c>
      <c r="Y217" s="3" t="str">
        <f>IF(VLOOKUP($C217,'All Girls &amp; Descendants - Edit'!$C$2:$AK$440,'All Girls &amp; Descendants - Edit'!Y$1,FALSE)=""," - ",(VLOOKUP($C217,'All Girls &amp; Descendants - Edit'!$C$2:$AK$440,'All Girls &amp; Descendants - Edit'!Y$1,FALSE)))</f>
        <v xml:space="preserve"> - </v>
      </c>
      <c r="Z217" s="3" t="str">
        <f>IF(VLOOKUP($C217,'All Girls &amp; Descendants - Edit'!$C$2:$AK$440,'All Girls &amp; Descendants - Edit'!Z$1,FALSE)=""," - ",(VLOOKUP($C217,'All Girls &amp; Descendants - Edit'!$C$2:$AK$440,'All Girls &amp; Descendants - Edit'!Z$1,FALSE)))</f>
        <v>Baptised Feb 1986 at Derryvullen Church, Enniskillen.</v>
      </c>
      <c r="AA217" s="101">
        <f>IF(VLOOKUP($C217,'All Girls &amp; Descendants - Edit'!$C$2:$AK$440,'All Girls &amp; Descendants - Edit'!AA$1,FALSE)=""," - ",(VLOOKUP($C217,'All Girls &amp; Descendants - Edit'!$C$2:$AK$440,'All Girls &amp; Descendants - Edit'!AA$1,FALSE)))</f>
        <v>234</v>
      </c>
      <c r="AB217" s="101">
        <f>IF(VLOOKUP($C217,'All Girls &amp; Descendants - Edit'!$C$2:$AK$440,'All Girls &amp; Descendants - Edit'!AB$1,FALSE)=""," - ",(VLOOKUP($C217,'All Girls &amp; Descendants - Edit'!$C$2:$AK$440,'All Girls &amp; Descendants - Edit'!AB$1,FALSE)))</f>
        <v>74</v>
      </c>
      <c r="AC217" s="101">
        <f>IF(VLOOKUP($C217,'All Girls &amp; Descendants - Edit'!$C$2:$AK$440,'All Girls &amp; Descendants - Edit'!AC$1,FALSE)=""," - ",(VLOOKUP($C217,'All Girls &amp; Descendants - Edit'!$C$2:$AK$440,'All Girls &amp; Descendants - Edit'!AC$1,FALSE)))</f>
        <v>2074</v>
      </c>
      <c r="AD217" s="3" t="str">
        <f>IF(VLOOKUP($C217,'All Girls &amp; Descendants - Edit'!$C$2:$AK$440,'All Girls &amp; Descendants - Edit'!AD$1,FALSE)=""," - ",(VLOOKUP($C217,'All Girls &amp; Descendants - Edit'!$C$2:$AK$440,'All Girls &amp; Descendants - Edit'!AD$1,FALSE)))</f>
        <v>101ba</v>
      </c>
      <c r="AE217" s="3" t="str">
        <f>IF(VLOOKUP($C217,'All Girls &amp; Descendants - Edit'!$C$2:$AK$440,'All Girls &amp; Descendants - Edit'!AE$1,FALSE)=""," - ",(VLOOKUP($C217,'All Girls &amp; Descendants - Edit'!$C$2:$AK$440,'All Girls &amp; Descendants - Edit'!AE$1,FALSE)))</f>
        <v>Viscount John Armar Galbraith LOWRY-CORRY (1985 - )</v>
      </c>
      <c r="AF217" s="3" t="str">
        <f>IF(VLOOKUP($C217,'All Girls &amp; Descendants - Edit'!$C$2:$AK$440,'All Girls &amp; Descendants - Edit'!AF$1,FALSE)=""," - ",(VLOOKUP($C217,'All Girls &amp; Descendants - Edit'!$C$2:$AK$440,'All Girls &amp; Descendants - Edit'!AF$1,FALSE)))</f>
        <v>Viscount John LOWRY-CORRY (7th &amp; 101)</v>
      </c>
      <c r="AG217" s="3" t="str">
        <f>IF(VLOOKUP($C217,'All Girls &amp; Descendants - Edit'!$C$2:$AK$440,'All Girls &amp; Descendants - Edit'!AG$1,FALSE)=""," - ",(VLOOKUP($C217,'All Girls &amp; Descendants - Edit'!$C$2:$AK$440,'All Girls &amp; Descendants - Edit'!AG$1,FALSE)))</f>
        <v>Male</v>
      </c>
      <c r="AH217" s="3" t="str">
        <f>IF(VLOOKUP($C217,'All Girls &amp; Descendants - Edit'!$C$2:$AK$440,'All Girls &amp; Descendants - Edit'!AH$1,FALSE)=""," - ",(VLOOKUP($C217,'All Girls &amp; Descendants - Edit'!$C$2:$AK$440,'All Girls &amp; Descendants - Edit'!AH$1,FALSE)))</f>
        <v>7th</v>
      </c>
      <c r="AI217" s="3" t="str">
        <f>IF(VLOOKUP($C217,'All Girls &amp; Descendants - Edit'!$C$2:$AK$440,'All Girls &amp; Descendants - Edit'!AI$1,FALSE)=""," - ",(VLOOKUP($C217,'All Girls &amp; Descendants - Edit'!$C$2:$AK$440,'All Girls &amp; Descendants - Edit'!AI$1,FALSE)))</f>
        <v>Unmarried</v>
      </c>
      <c r="AJ217" s="3" t="str">
        <f>IF(VLOOKUP($C217,'All Girls &amp; Descendants - Edit'!$C$2:$AK$440,'All Girls &amp; Descendants - Edit'!AJ$1,FALSE)=""," - ",(VLOOKUP($C217,'All Girls &amp; Descendants - Edit'!$C$2:$AK$440,'All Girls &amp; Descendants - Edit'!AJ$1,FALSE)))</f>
        <v>Male. b. 02/11/1985 Baptised Feb 1986 at Derryvullen Church, Enniskillen.</v>
      </c>
      <c r="AK217" s="3" t="str">
        <f>IF(VLOOKUP($C217,'All Girls &amp; Descendants - Edit'!$C$2:$AK$440,'All Girls &amp; Descendants - Edit'!AK$1,FALSE)=""," - ",(VLOOKUP($C217,'All Girls &amp; Descendants - Edit'!$C$2:$AK$440,'All Girls &amp; Descendants - Edit'!AK$1,FALSE)))</f>
        <v>b. 02/11/1985</v>
      </c>
    </row>
    <row r="218" spans="1:37" ht="19">
      <c r="A218">
        <f>VLOOKUP(B218,'Loyd List 1-190 - Edit'!$P$1:$R$219,3,FALSE)</f>
        <v>56</v>
      </c>
      <c r="B218">
        <f>'All Girls &amp; Descendants - Edit'!B219</f>
        <v>101</v>
      </c>
      <c r="C218" s="98" t="str">
        <f>'All Girls &amp; Descendants - Edit'!C219</f>
        <v>101bb</v>
      </c>
      <c r="D218" s="2" t="str">
        <f>'All Girls &amp; Descendants - Edit'!D219</f>
        <v>LOWRY-CORRY</v>
      </c>
      <c r="E218" t="str">
        <f>'All Girls &amp; Descendants - Edit'!E219</f>
        <v>The Hon Montagu</v>
      </c>
      <c r="F218" t="str">
        <f>IF('All Girls &amp; Descendants - Edit'!F219="","",'All Girls &amp; Descendants - Edit'!F219)</f>
        <v>Gilford</v>
      </c>
      <c r="G218" t="str">
        <f>IF('All Girls &amp; Descendants - Edit'!G219="","",'All Girls &amp; Descendants - Edit'!G219)</f>
        <v>George</v>
      </c>
      <c r="H218" t="str">
        <f>IF('All Girls &amp; Descendants - Edit'!H219="","",'All Girls &amp; Descendants - Edit'!H219)</f>
        <v/>
      </c>
      <c r="I218">
        <f>VLOOKUP($C218,'All Girls &amp; Descendants - Edit'!$C$2:$AK$440,'All Girls &amp; Descendants - Edit'!I$1,FALSE)</f>
        <v>1989</v>
      </c>
      <c r="J218" t="str">
        <f>VLOOKUP($C218,'All Girls &amp; Descendants - Edit'!$C$2:$AK$440,'All Girls &amp; Descendants - Edit'!J$1,FALSE)</f>
        <v/>
      </c>
      <c r="K218" s="9"/>
      <c r="L218" t="str">
        <f t="shared" si="25"/>
        <v>30/03/1989</v>
      </c>
      <c r="M218" s="3">
        <f>VLOOKUP($C218,'All Girls &amp; Descendants - Edit'!$C$2:$AK$440,'All Girls &amp; Descendants - Edit'!M$1,FALSE)</f>
        <v>32597</v>
      </c>
      <c r="N218" s="3" t="str">
        <f>IF(VLOOKUP($C218,'All Girls &amp; Descendants - Edit'!$C$2:$AK$440,'All Girls &amp; Descendants - Edit'!N$1,FALSE)=""," - ",(VLOOKUP($C218,'All Girls &amp; Descendants - Edit'!$C$2:$AK$440,'All Girls &amp; Descendants - Edit'!N$1,FALSE)))</f>
        <v xml:space="preserve"> - </v>
      </c>
      <c r="O218" s="3" t="str">
        <f>IF(VLOOKUP($C218,'All Girls &amp; Descendants - Edit'!$C$2:$AK$440,'All Girls &amp; Descendants - Edit'!O$1,FALSE)="","",(VLOOKUP($C218,'All Girls &amp; Descendants - Edit'!$C$2:$AK$440,'All Girls &amp; Descendants - Edit'!O$1,FALSE)))</f>
        <v/>
      </c>
      <c r="P218" s="3" t="str">
        <f t="shared" si="26"/>
        <v/>
      </c>
      <c r="Q218" s="178" t="str">
        <f t="shared" si="27"/>
        <v>101b</v>
      </c>
      <c r="R218" s="23"/>
      <c r="S218" t="str">
        <f>VLOOKUP($C218,'All Girls &amp; Descendants - Edit'!$C$2:$AK$440,'All Girls &amp; Descendants - Edit'!S$1,FALSE)</f>
        <v>Male</v>
      </c>
      <c r="T218" s="176">
        <f t="shared" si="24"/>
        <v>7</v>
      </c>
      <c r="U218" s="176">
        <f t="shared" si="28"/>
        <v>5</v>
      </c>
      <c r="V218" s="176">
        <f t="shared" si="29"/>
        <v>5</v>
      </c>
      <c r="W218" s="177">
        <f t="shared" si="30"/>
        <v>2</v>
      </c>
      <c r="X218" s="3" t="str">
        <f>IF(VLOOKUP($C218,'All Girls &amp; Descendants - Edit'!$C$2:$AK$440,'All Girls &amp; Descendants - Edit'!X$1,FALSE)=""," - ",(VLOOKUP($C218,'All Girls &amp; Descendants - Edit'!$C$2:$AK$440,'All Girls &amp; Descendants - Edit'!X$1,FALSE)))</f>
        <v xml:space="preserve"> - </v>
      </c>
      <c r="Y218" s="3" t="str">
        <f>IF(VLOOKUP($C218,'All Girls &amp; Descendants - Edit'!$C$2:$AK$440,'All Girls &amp; Descendants - Edit'!Y$1,FALSE)=""," - ",(VLOOKUP($C218,'All Girls &amp; Descendants - Edit'!$C$2:$AK$440,'All Girls &amp; Descendants - Edit'!Y$1,FALSE)))</f>
        <v xml:space="preserve"> - </v>
      </c>
      <c r="Z218" s="3" t="str">
        <f>IF(VLOOKUP($C218,'All Girls &amp; Descendants - Edit'!$C$2:$AK$440,'All Girls &amp; Descendants - Edit'!Z$1,FALSE)=""," - ",(VLOOKUP($C218,'All Girls &amp; Descendants - Edit'!$C$2:$AK$440,'All Girls &amp; Descendants - Edit'!Z$1,FALSE)))</f>
        <v>Baptised Jul 1989 at Derryvullen Church, Enniskillen.</v>
      </c>
      <c r="AA218" s="101">
        <f>IF(VLOOKUP($C218,'All Girls &amp; Descendants - Edit'!$C$2:$AK$440,'All Girls &amp; Descendants - Edit'!AA$1,FALSE)=""," - ",(VLOOKUP($C218,'All Girls &amp; Descendants - Edit'!$C$2:$AK$440,'All Girls &amp; Descendants - Edit'!AA$1,FALSE)))</f>
        <v>235</v>
      </c>
      <c r="AB218" s="101">
        <f>IF(VLOOKUP($C218,'All Girls &amp; Descendants - Edit'!$C$2:$AK$440,'All Girls &amp; Descendants - Edit'!AB$1,FALSE)=""," - ",(VLOOKUP($C218,'All Girls &amp; Descendants - Edit'!$C$2:$AK$440,'All Girls &amp; Descendants - Edit'!AB$1,FALSE)))</f>
        <v>75</v>
      </c>
      <c r="AC218" s="101">
        <f>IF(VLOOKUP($C218,'All Girls &amp; Descendants - Edit'!$C$2:$AK$440,'All Girls &amp; Descendants - Edit'!AC$1,FALSE)=""," - ",(VLOOKUP($C218,'All Girls &amp; Descendants - Edit'!$C$2:$AK$440,'All Girls &amp; Descendants - Edit'!AC$1,FALSE)))</f>
        <v>2075</v>
      </c>
      <c r="AD218" s="3" t="str">
        <f>IF(VLOOKUP($C218,'All Girls &amp; Descendants - Edit'!$C$2:$AK$440,'All Girls &amp; Descendants - Edit'!AD$1,FALSE)=""," - ",(VLOOKUP($C218,'All Girls &amp; Descendants - Edit'!$C$2:$AK$440,'All Girls &amp; Descendants - Edit'!AD$1,FALSE)))</f>
        <v>101bb</v>
      </c>
      <c r="AE218" s="3" t="str">
        <f>IF(VLOOKUP($C218,'All Girls &amp; Descendants - Edit'!$C$2:$AK$440,'All Girls &amp; Descendants - Edit'!AE$1,FALSE)=""," - ",(VLOOKUP($C218,'All Girls &amp; Descendants - Edit'!$C$2:$AK$440,'All Girls &amp; Descendants - Edit'!AE$1,FALSE)))</f>
        <v>The Hon Montagu Gilford George LOWRY-CORRY (1989 - )</v>
      </c>
      <c r="AF218" s="3" t="str">
        <f>IF(VLOOKUP($C218,'All Girls &amp; Descendants - Edit'!$C$2:$AK$440,'All Girls &amp; Descendants - Edit'!AF$1,FALSE)=""," - ",(VLOOKUP($C218,'All Girls &amp; Descendants - Edit'!$C$2:$AK$440,'All Girls &amp; Descendants - Edit'!AF$1,FALSE)))</f>
        <v>The Hon Montagu LOWRY-CORRY (7th &amp; 101)</v>
      </c>
      <c r="AG218" s="3" t="str">
        <f>IF(VLOOKUP($C218,'All Girls &amp; Descendants - Edit'!$C$2:$AK$440,'All Girls &amp; Descendants - Edit'!AG$1,FALSE)=""," - ",(VLOOKUP($C218,'All Girls &amp; Descendants - Edit'!$C$2:$AK$440,'All Girls &amp; Descendants - Edit'!AG$1,FALSE)))</f>
        <v>Male</v>
      </c>
      <c r="AH218" s="3" t="str">
        <f>IF(VLOOKUP($C218,'All Girls &amp; Descendants - Edit'!$C$2:$AK$440,'All Girls &amp; Descendants - Edit'!AH$1,FALSE)=""," - ",(VLOOKUP($C218,'All Girls &amp; Descendants - Edit'!$C$2:$AK$440,'All Girls &amp; Descendants - Edit'!AH$1,FALSE)))</f>
        <v>7th</v>
      </c>
      <c r="AI218" s="3" t="str">
        <f>IF(VLOOKUP($C218,'All Girls &amp; Descendants - Edit'!$C$2:$AK$440,'All Girls &amp; Descendants - Edit'!AI$1,FALSE)=""," - ",(VLOOKUP($C218,'All Girls &amp; Descendants - Edit'!$C$2:$AK$440,'All Girls &amp; Descendants - Edit'!AI$1,FALSE)))</f>
        <v>Unmarried</v>
      </c>
      <c r="AJ218" s="3" t="str">
        <f>IF(VLOOKUP($C218,'All Girls &amp; Descendants - Edit'!$C$2:$AK$440,'All Girls &amp; Descendants - Edit'!AJ$1,FALSE)=""," - ",(VLOOKUP($C218,'All Girls &amp; Descendants - Edit'!$C$2:$AK$440,'All Girls &amp; Descendants - Edit'!AJ$1,FALSE)))</f>
        <v>Male. b. 30/03/1989 Baptised Jul 1989 at Derryvullen Church, Enniskillen.</v>
      </c>
      <c r="AK218" s="3" t="str">
        <f>IF(VLOOKUP($C218,'All Girls &amp; Descendants - Edit'!$C$2:$AK$440,'All Girls &amp; Descendants - Edit'!AK$1,FALSE)=""," - ",(VLOOKUP($C218,'All Girls &amp; Descendants - Edit'!$C$2:$AK$440,'All Girls &amp; Descendants - Edit'!AK$1,FALSE)))</f>
        <v>b. 30/03/1989</v>
      </c>
    </row>
    <row r="219" spans="1:37" ht="19">
      <c r="A219">
        <f>VLOOKUP(B219,'Loyd List 1-190 - Edit'!$P$1:$R$219,3,FALSE)</f>
        <v>56</v>
      </c>
      <c r="B219">
        <f>'All Girls &amp; Descendants - Edit'!B220</f>
        <v>101</v>
      </c>
      <c r="C219" s="98" t="str">
        <f>'All Girls &amp; Descendants - Edit'!C220</f>
        <v>101bc</v>
      </c>
      <c r="D219" s="2" t="str">
        <f>'All Girls &amp; Descendants - Edit'!D220</f>
        <v>LOWRY-CORRY</v>
      </c>
      <c r="E219" t="str">
        <f>'All Girls &amp; Descendants - Edit'!E220</f>
        <v>Lady Martha</v>
      </c>
      <c r="F219" t="str">
        <f>IF('All Girls &amp; Descendants - Edit'!F220="","",'All Girls &amp; Descendants - Edit'!F220)</f>
        <v>Catherine</v>
      </c>
      <c r="G219" t="str">
        <f>IF('All Girls &amp; Descendants - Edit'!G220="","",'All Girls &amp; Descendants - Edit'!G220)</f>
        <v/>
      </c>
      <c r="H219" t="str">
        <f>IF('All Girls &amp; Descendants - Edit'!H220="","",'All Girls &amp; Descendants - Edit'!H220)</f>
        <v/>
      </c>
      <c r="I219">
        <f>VLOOKUP($C219,'All Girls &amp; Descendants - Edit'!$C$2:$AK$440,'All Girls &amp; Descendants - Edit'!I$1,FALSE)</f>
        <v>1992</v>
      </c>
      <c r="J219" t="str">
        <f>VLOOKUP($C219,'All Girls &amp; Descendants - Edit'!$C$2:$AK$440,'All Girls &amp; Descendants - Edit'!J$1,FALSE)</f>
        <v/>
      </c>
      <c r="K219" s="9"/>
      <c r="L219" t="str">
        <f t="shared" si="25"/>
        <v>27/05/1992</v>
      </c>
      <c r="M219" s="3">
        <f>VLOOKUP($C219,'All Girls &amp; Descendants - Edit'!$C$2:$AK$440,'All Girls &amp; Descendants - Edit'!M$1,FALSE)</f>
        <v>33751</v>
      </c>
      <c r="N219" s="3" t="str">
        <f>IF(VLOOKUP($C219,'All Girls &amp; Descendants - Edit'!$C$2:$AK$440,'All Girls &amp; Descendants - Edit'!N$1,FALSE)=""," - ",(VLOOKUP($C219,'All Girls &amp; Descendants - Edit'!$C$2:$AK$440,'All Girls &amp; Descendants - Edit'!N$1,FALSE)))</f>
        <v xml:space="preserve"> - </v>
      </c>
      <c r="O219" s="3" t="str">
        <f>IF(VLOOKUP($C219,'All Girls &amp; Descendants - Edit'!$C$2:$AK$440,'All Girls &amp; Descendants - Edit'!O$1,FALSE)="","",(VLOOKUP($C219,'All Girls &amp; Descendants - Edit'!$C$2:$AK$440,'All Girls &amp; Descendants - Edit'!O$1,FALSE)))</f>
        <v/>
      </c>
      <c r="P219" s="3" t="str">
        <f t="shared" si="26"/>
        <v/>
      </c>
      <c r="Q219" s="178" t="str">
        <f t="shared" si="27"/>
        <v>101b</v>
      </c>
      <c r="R219" s="23"/>
      <c r="S219" t="str">
        <f>VLOOKUP($C219,'All Girls &amp; Descendants - Edit'!$C$2:$AK$440,'All Girls &amp; Descendants - Edit'!S$1,FALSE)</f>
        <v>Female</v>
      </c>
      <c r="T219" s="176">
        <f t="shared" si="24"/>
        <v>7</v>
      </c>
      <c r="U219" s="176">
        <f t="shared" si="28"/>
        <v>5</v>
      </c>
      <c r="V219" s="176">
        <f t="shared" si="29"/>
        <v>5</v>
      </c>
      <c r="W219" s="177">
        <f t="shared" si="30"/>
        <v>2</v>
      </c>
      <c r="X219" s="3" t="str">
        <f>IF(VLOOKUP($C219,'All Girls &amp; Descendants - Edit'!$C$2:$AK$440,'All Girls &amp; Descendants - Edit'!X$1,FALSE)=""," - ",(VLOOKUP($C219,'All Girls &amp; Descendants - Edit'!$C$2:$AK$440,'All Girls &amp; Descendants - Edit'!X$1,FALSE)))</f>
        <v xml:space="preserve"> - </v>
      </c>
      <c r="Y219" s="3" t="str">
        <f>IF(VLOOKUP($C219,'All Girls &amp; Descendants - Edit'!$C$2:$AK$440,'All Girls &amp; Descendants - Edit'!Y$1,FALSE)=""," - ",(VLOOKUP($C219,'All Girls &amp; Descendants - Edit'!$C$2:$AK$440,'All Girls &amp; Descendants - Edit'!Y$1,FALSE)))</f>
        <v xml:space="preserve"> - </v>
      </c>
      <c r="Z219" s="3" t="str">
        <f>IF(VLOOKUP($C219,'All Girls &amp; Descendants - Edit'!$C$2:$AK$440,'All Girls &amp; Descendants - Edit'!Z$1,FALSE)=""," - ",(VLOOKUP($C219,'All Girls &amp; Descendants - Edit'!$C$2:$AK$440,'All Girls &amp; Descendants - Edit'!Z$1,FALSE)))</f>
        <v>Baptised Oct 1992 at Derryvullen Church, Enniskillen.</v>
      </c>
      <c r="AA219" s="101">
        <f>IF(VLOOKUP($C219,'All Girls &amp; Descendants - Edit'!$C$2:$AK$440,'All Girls &amp; Descendants - Edit'!AA$1,FALSE)=""," - ",(VLOOKUP($C219,'All Girls &amp; Descendants - Edit'!$C$2:$AK$440,'All Girls &amp; Descendants - Edit'!AA$1,FALSE)))</f>
        <v>236</v>
      </c>
      <c r="AB219" s="101">
        <f>IF(VLOOKUP($C219,'All Girls &amp; Descendants - Edit'!$C$2:$AK$440,'All Girls &amp; Descendants - Edit'!AB$1,FALSE)=""," - ",(VLOOKUP($C219,'All Girls &amp; Descendants - Edit'!$C$2:$AK$440,'All Girls &amp; Descendants - Edit'!AB$1,FALSE)))</f>
        <v>76</v>
      </c>
      <c r="AC219" s="101">
        <f>IF(VLOOKUP($C219,'All Girls &amp; Descendants - Edit'!$C$2:$AK$440,'All Girls &amp; Descendants - Edit'!AC$1,FALSE)=""," - ",(VLOOKUP($C219,'All Girls &amp; Descendants - Edit'!$C$2:$AK$440,'All Girls &amp; Descendants - Edit'!AC$1,FALSE)))</f>
        <v>2076</v>
      </c>
      <c r="AD219" s="3" t="str">
        <f>IF(VLOOKUP($C219,'All Girls &amp; Descendants - Edit'!$C$2:$AK$440,'All Girls &amp; Descendants - Edit'!AD$1,FALSE)=""," - ",(VLOOKUP($C219,'All Girls &amp; Descendants - Edit'!$C$2:$AK$440,'All Girls &amp; Descendants - Edit'!AD$1,FALSE)))</f>
        <v>101bc</v>
      </c>
      <c r="AE219" s="3" t="str">
        <f>IF(VLOOKUP($C219,'All Girls &amp; Descendants - Edit'!$C$2:$AK$440,'All Girls &amp; Descendants - Edit'!AE$1,FALSE)=""," - ",(VLOOKUP($C219,'All Girls &amp; Descendants - Edit'!$C$2:$AK$440,'All Girls &amp; Descendants - Edit'!AE$1,FALSE)))</f>
        <v>Lady Martha Catherine  LOWRY-CORRY (1992 - )</v>
      </c>
      <c r="AF219" s="3" t="str">
        <f>IF(VLOOKUP($C219,'All Girls &amp; Descendants - Edit'!$C$2:$AK$440,'All Girls &amp; Descendants - Edit'!AF$1,FALSE)=""," - ",(VLOOKUP($C219,'All Girls &amp; Descendants - Edit'!$C$2:$AK$440,'All Girls &amp; Descendants - Edit'!AF$1,FALSE)))</f>
        <v>Lady Martha LOWRY-CORRY (7th &amp; 101)</v>
      </c>
      <c r="AG219" s="3" t="str">
        <f>IF(VLOOKUP($C219,'All Girls &amp; Descendants - Edit'!$C$2:$AK$440,'All Girls &amp; Descendants - Edit'!AG$1,FALSE)=""," - ",(VLOOKUP($C219,'All Girls &amp; Descendants - Edit'!$C$2:$AK$440,'All Girls &amp; Descendants - Edit'!AG$1,FALSE)))</f>
        <v>Female</v>
      </c>
      <c r="AH219" s="3" t="str">
        <f>IF(VLOOKUP($C219,'All Girls &amp; Descendants - Edit'!$C$2:$AK$440,'All Girls &amp; Descendants - Edit'!AH$1,FALSE)=""," - ",(VLOOKUP($C219,'All Girls &amp; Descendants - Edit'!$C$2:$AK$440,'All Girls &amp; Descendants - Edit'!AH$1,FALSE)))</f>
        <v>7th</v>
      </c>
      <c r="AI219" s="3" t="str">
        <f>IF(VLOOKUP($C219,'All Girls &amp; Descendants - Edit'!$C$2:$AK$440,'All Girls &amp; Descendants - Edit'!AI$1,FALSE)=""," - ",(VLOOKUP($C219,'All Girls &amp; Descendants - Edit'!$C$2:$AK$440,'All Girls &amp; Descendants - Edit'!AI$1,FALSE)))</f>
        <v>Unmarried</v>
      </c>
      <c r="AJ219" s="3" t="str">
        <f>IF(VLOOKUP($C219,'All Girls &amp; Descendants - Edit'!$C$2:$AK$440,'All Girls &amp; Descendants - Edit'!AJ$1,FALSE)=""," - ",(VLOOKUP($C219,'All Girls &amp; Descendants - Edit'!$C$2:$AK$440,'All Girls &amp; Descendants - Edit'!AJ$1,FALSE)))</f>
        <v>Female. b. 27/05/1992 Baptised Oct 1992 at Derryvullen Church, Enniskillen.</v>
      </c>
      <c r="AK219" s="3" t="str">
        <f>IF(VLOOKUP($C219,'All Girls &amp; Descendants - Edit'!$C$2:$AK$440,'All Girls &amp; Descendants - Edit'!AK$1,FALSE)=""," - ",(VLOOKUP($C219,'All Girls &amp; Descendants - Edit'!$C$2:$AK$440,'All Girls &amp; Descendants - Edit'!AK$1,FALSE)))</f>
        <v>b. 27/05/1992</v>
      </c>
    </row>
    <row r="220" spans="1:37" ht="19">
      <c r="A220">
        <f>VLOOKUP(B220,'Loyd List 1-190 - Edit'!$P$1:$R$219,3,FALSE)</f>
        <v>56</v>
      </c>
      <c r="B220">
        <f>'All Girls &amp; Descendants - Edit'!B221</f>
        <v>101</v>
      </c>
      <c r="C220" s="98" t="str">
        <f>'All Girls &amp; Descendants - Edit'!C221</f>
        <v>101ca</v>
      </c>
      <c r="D220" s="2" t="str">
        <f>'All Girls &amp; Descendants - Edit'!D221</f>
        <v>HISCOX</v>
      </c>
      <c r="E220" t="str">
        <f>'All Girls &amp; Descendants - Edit'!E221</f>
        <v>Milo</v>
      </c>
      <c r="F220" t="str">
        <f>IF('All Girls &amp; Descendants - Edit'!F221="","",'All Girls &amp; Descendants - Edit'!F221)</f>
        <v>Edmund</v>
      </c>
      <c r="G220" t="str">
        <f>IF('All Girls &amp; Descendants - Edit'!G221="","",'All Girls &amp; Descendants - Edit'!G221)</f>
        <v/>
      </c>
      <c r="H220" t="str">
        <f>IF('All Girls &amp; Descendants - Edit'!H221="","",'All Girls &amp; Descendants - Edit'!H221)</f>
        <v/>
      </c>
      <c r="I220">
        <f>VLOOKUP($C220,'All Girls &amp; Descendants - Edit'!$C$2:$AK$440,'All Girls &amp; Descendants - Edit'!I$1,FALSE)</f>
        <v>1987</v>
      </c>
      <c r="J220" t="str">
        <f>VLOOKUP($C220,'All Girls &amp; Descendants - Edit'!$C$2:$AK$440,'All Girls &amp; Descendants - Edit'!J$1,FALSE)</f>
        <v/>
      </c>
      <c r="K220" s="9"/>
      <c r="L220" t="str">
        <f t="shared" si="25"/>
        <v>04/01/1987</v>
      </c>
      <c r="M220" s="3">
        <f>VLOOKUP($C220,'All Girls &amp; Descendants - Edit'!$C$2:$AK$440,'All Girls &amp; Descendants - Edit'!M$1,FALSE)</f>
        <v>31781</v>
      </c>
      <c r="N220" s="3" t="str">
        <f>IF(VLOOKUP($C220,'All Girls &amp; Descendants - Edit'!$C$2:$AK$440,'All Girls &amp; Descendants - Edit'!N$1,FALSE)=""," - ",(VLOOKUP($C220,'All Girls &amp; Descendants - Edit'!$C$2:$AK$440,'All Girls &amp; Descendants - Edit'!N$1,FALSE)))</f>
        <v xml:space="preserve"> - </v>
      </c>
      <c r="O220" s="3" t="str">
        <f>IF(VLOOKUP($C220,'All Girls &amp; Descendants - Edit'!$C$2:$AK$440,'All Girls &amp; Descendants - Edit'!O$1,FALSE)="","",(VLOOKUP($C220,'All Girls &amp; Descendants - Edit'!$C$2:$AK$440,'All Girls &amp; Descendants - Edit'!O$1,FALSE)))</f>
        <v/>
      </c>
      <c r="P220" s="3" t="str">
        <f t="shared" si="26"/>
        <v/>
      </c>
      <c r="Q220" s="178" t="str">
        <f t="shared" si="27"/>
        <v>101c</v>
      </c>
      <c r="R220" s="23"/>
      <c r="S220" t="str">
        <f>VLOOKUP($C220,'All Girls &amp; Descendants - Edit'!$C$2:$AK$440,'All Girls &amp; Descendants - Edit'!S$1,FALSE)</f>
        <v>Male</v>
      </c>
      <c r="T220" s="176">
        <f t="shared" si="24"/>
        <v>7</v>
      </c>
      <c r="U220" s="176">
        <f t="shared" si="28"/>
        <v>5</v>
      </c>
      <c r="V220" s="176">
        <f t="shared" si="29"/>
        <v>5</v>
      </c>
      <c r="W220" s="177">
        <f t="shared" si="30"/>
        <v>2</v>
      </c>
      <c r="X220" s="3" t="str">
        <f>IF(VLOOKUP($C220,'All Girls &amp; Descendants - Edit'!$C$2:$AK$440,'All Girls &amp; Descendants - Edit'!X$1,FALSE)=""," - ",(VLOOKUP($C220,'All Girls &amp; Descendants - Edit'!$C$2:$AK$440,'All Girls &amp; Descendants - Edit'!X$1,FALSE)))</f>
        <v xml:space="preserve"> - </v>
      </c>
      <c r="Y220" s="3" t="str">
        <f>IF(VLOOKUP($C220,'All Girls &amp; Descendants - Edit'!$C$2:$AK$440,'All Girls &amp; Descendants - Edit'!Y$1,FALSE)=""," - ",(VLOOKUP($C220,'All Girls &amp; Descendants - Edit'!$C$2:$AK$440,'All Girls &amp; Descendants - Edit'!Y$1,FALSE)))</f>
        <v xml:space="preserve"> - </v>
      </c>
      <c r="Z220" s="3" t="str">
        <f>IF(VLOOKUP($C220,'All Girls &amp; Descendants - Edit'!$C$2:$AK$440,'All Girls &amp; Descendants - Edit'!Z$1,FALSE)=""," - ",(VLOOKUP($C220,'All Girls &amp; Descendants - Edit'!$C$2:$AK$440,'All Girls &amp; Descendants - Edit'!Z$1,FALSE)))</f>
        <v>Baptised 17 May 1987 at St George’s, Preschute, Marlborough,Wiltshire.</v>
      </c>
      <c r="AA220" s="101">
        <f>IF(VLOOKUP($C220,'All Girls &amp; Descendants - Edit'!$C$2:$AK$440,'All Girls &amp; Descendants - Edit'!AA$1,FALSE)=""," - ",(VLOOKUP($C220,'All Girls &amp; Descendants - Edit'!$C$2:$AK$440,'All Girls &amp; Descendants - Edit'!AA$1,FALSE)))</f>
        <v>238</v>
      </c>
      <c r="AB220" s="101">
        <f>IF(VLOOKUP($C220,'All Girls &amp; Descendants - Edit'!$C$2:$AK$440,'All Girls &amp; Descendants - Edit'!AB$1,FALSE)=""," - ",(VLOOKUP($C220,'All Girls &amp; Descendants - Edit'!$C$2:$AK$440,'All Girls &amp; Descendants - Edit'!AB$1,FALSE)))</f>
        <v>77</v>
      </c>
      <c r="AC220" s="101">
        <f>IF(VLOOKUP($C220,'All Girls &amp; Descendants - Edit'!$C$2:$AK$440,'All Girls &amp; Descendants - Edit'!AC$1,FALSE)=""," - ",(VLOOKUP($C220,'All Girls &amp; Descendants - Edit'!$C$2:$AK$440,'All Girls &amp; Descendants - Edit'!AC$1,FALSE)))</f>
        <v>2077</v>
      </c>
      <c r="AD220" s="3" t="str">
        <f>IF(VLOOKUP($C220,'All Girls &amp; Descendants - Edit'!$C$2:$AK$440,'All Girls &amp; Descendants - Edit'!AD$1,FALSE)=""," - ",(VLOOKUP($C220,'All Girls &amp; Descendants - Edit'!$C$2:$AK$440,'All Girls &amp; Descendants - Edit'!AD$1,FALSE)))</f>
        <v>101ca</v>
      </c>
      <c r="AE220" s="3" t="str">
        <f>IF(VLOOKUP($C220,'All Girls &amp; Descendants - Edit'!$C$2:$AK$440,'All Girls &amp; Descendants - Edit'!AE$1,FALSE)=""," - ",(VLOOKUP($C220,'All Girls &amp; Descendants - Edit'!$C$2:$AK$440,'All Girls &amp; Descendants - Edit'!AE$1,FALSE)))</f>
        <v>Milo Edmund  HISCOX (1987 - )</v>
      </c>
      <c r="AF220" s="3" t="str">
        <f>IF(VLOOKUP($C220,'All Girls &amp; Descendants - Edit'!$C$2:$AK$440,'All Girls &amp; Descendants - Edit'!AF$1,FALSE)=""," - ",(VLOOKUP($C220,'All Girls &amp; Descendants - Edit'!$C$2:$AK$440,'All Girls &amp; Descendants - Edit'!AF$1,FALSE)))</f>
        <v>Milo HISCOX (7th &amp; 101)</v>
      </c>
      <c r="AG220" s="3" t="str">
        <f>IF(VLOOKUP($C220,'All Girls &amp; Descendants - Edit'!$C$2:$AK$440,'All Girls &amp; Descendants - Edit'!AG$1,FALSE)=""," - ",(VLOOKUP($C220,'All Girls &amp; Descendants - Edit'!$C$2:$AK$440,'All Girls &amp; Descendants - Edit'!AG$1,FALSE)))</f>
        <v>Male</v>
      </c>
      <c r="AH220" s="3" t="str">
        <f>IF(VLOOKUP($C220,'All Girls &amp; Descendants - Edit'!$C$2:$AK$440,'All Girls &amp; Descendants - Edit'!AH$1,FALSE)=""," - ",(VLOOKUP($C220,'All Girls &amp; Descendants - Edit'!$C$2:$AK$440,'All Girls &amp; Descendants - Edit'!AH$1,FALSE)))</f>
        <v>7th</v>
      </c>
      <c r="AI220" s="3" t="str">
        <f>IF(VLOOKUP($C220,'All Girls &amp; Descendants - Edit'!$C$2:$AK$440,'All Girls &amp; Descendants - Edit'!AI$1,FALSE)=""," - ",(VLOOKUP($C220,'All Girls &amp; Descendants - Edit'!$C$2:$AK$440,'All Girls &amp; Descendants - Edit'!AI$1,FALSE)))</f>
        <v>Unmarried</v>
      </c>
      <c r="AJ220" s="3" t="str">
        <f>IF(VLOOKUP($C220,'All Girls &amp; Descendants - Edit'!$C$2:$AK$440,'All Girls &amp; Descendants - Edit'!AJ$1,FALSE)=""," - ",(VLOOKUP($C220,'All Girls &amp; Descendants - Edit'!$C$2:$AK$440,'All Girls &amp; Descendants - Edit'!AJ$1,FALSE)))</f>
        <v>Male. b. 04/01/1987 Baptised 17 May 1987 at St George’s, Preschute, Marlborough,Wiltshire.</v>
      </c>
      <c r="AK220" s="3" t="str">
        <f>IF(VLOOKUP($C220,'All Girls &amp; Descendants - Edit'!$C$2:$AK$440,'All Girls &amp; Descendants - Edit'!AK$1,FALSE)=""," - ",(VLOOKUP($C220,'All Girls &amp; Descendants - Edit'!$C$2:$AK$440,'All Girls &amp; Descendants - Edit'!AK$1,FALSE)))</f>
        <v>b. 04/01/1987</v>
      </c>
    </row>
    <row r="221" spans="1:37" ht="19">
      <c r="A221">
        <f>VLOOKUP(B221,'Loyd List 1-190 - Edit'!$P$1:$R$219,3,FALSE)</f>
        <v>56</v>
      </c>
      <c r="B221">
        <f>'All Girls &amp; Descendants - Edit'!B222</f>
        <v>101</v>
      </c>
      <c r="C221" s="98" t="str">
        <f>'All Girls &amp; Descendants - Edit'!C222</f>
        <v>101cb</v>
      </c>
      <c r="D221" s="2" t="str">
        <f>'All Girls &amp; Descendants - Edit'!D222</f>
        <v>HISCOX</v>
      </c>
      <c r="E221" t="str">
        <f>'All Girls &amp; Descendants - Edit'!E222</f>
        <v>Henry</v>
      </c>
      <c r="F221" t="str">
        <f>IF('All Girls &amp; Descendants - Edit'!F222="","",'All Girls &amp; Descendants - Edit'!F222)</f>
        <v>Charles</v>
      </c>
      <c r="G221" t="str">
        <f>IF('All Girls &amp; Descendants - Edit'!G222="","",'All Girls &amp; Descendants - Edit'!G222)</f>
        <v/>
      </c>
      <c r="H221" t="str">
        <f>IF('All Girls &amp; Descendants - Edit'!H222="","",'All Girls &amp; Descendants - Edit'!H222)</f>
        <v/>
      </c>
      <c r="I221">
        <f>VLOOKUP($C221,'All Girls &amp; Descendants - Edit'!$C$2:$AK$440,'All Girls &amp; Descendants - Edit'!I$1,FALSE)</f>
        <v>1989</v>
      </c>
      <c r="J221" t="str">
        <f>VLOOKUP($C221,'All Girls &amp; Descendants - Edit'!$C$2:$AK$440,'All Girls &amp; Descendants - Edit'!J$1,FALSE)</f>
        <v/>
      </c>
      <c r="K221" s="9"/>
      <c r="L221" t="str">
        <f t="shared" si="25"/>
        <v>23/09/1989</v>
      </c>
      <c r="M221" s="3">
        <f>VLOOKUP($C221,'All Girls &amp; Descendants - Edit'!$C$2:$AK$440,'All Girls &amp; Descendants - Edit'!M$1,FALSE)</f>
        <v>32774</v>
      </c>
      <c r="N221" s="3" t="str">
        <f>IF(VLOOKUP($C221,'All Girls &amp; Descendants - Edit'!$C$2:$AK$440,'All Girls &amp; Descendants - Edit'!N$1,FALSE)=""," - ",(VLOOKUP($C221,'All Girls &amp; Descendants - Edit'!$C$2:$AK$440,'All Girls &amp; Descendants - Edit'!N$1,FALSE)))</f>
        <v xml:space="preserve"> - </v>
      </c>
      <c r="O221" s="3" t="str">
        <f>IF(VLOOKUP($C221,'All Girls &amp; Descendants - Edit'!$C$2:$AK$440,'All Girls &amp; Descendants - Edit'!O$1,FALSE)="","",(VLOOKUP($C221,'All Girls &amp; Descendants - Edit'!$C$2:$AK$440,'All Girls &amp; Descendants - Edit'!O$1,FALSE)))</f>
        <v/>
      </c>
      <c r="P221" s="3" t="str">
        <f t="shared" si="26"/>
        <v/>
      </c>
      <c r="Q221" s="178" t="str">
        <f t="shared" si="27"/>
        <v>101c</v>
      </c>
      <c r="R221" s="23"/>
      <c r="S221" t="str">
        <f>VLOOKUP($C221,'All Girls &amp; Descendants - Edit'!$C$2:$AK$440,'All Girls &amp; Descendants - Edit'!S$1,FALSE)</f>
        <v>Male</v>
      </c>
      <c r="T221" s="176">
        <f t="shared" si="24"/>
        <v>7</v>
      </c>
      <c r="U221" s="176">
        <f t="shared" si="28"/>
        <v>5</v>
      </c>
      <c r="V221" s="176">
        <f t="shared" si="29"/>
        <v>5</v>
      </c>
      <c r="W221" s="177">
        <f t="shared" si="30"/>
        <v>2</v>
      </c>
      <c r="X221" s="3" t="str">
        <f>IF(VLOOKUP($C221,'All Girls &amp; Descendants - Edit'!$C$2:$AK$440,'All Girls &amp; Descendants - Edit'!X$1,FALSE)=""," - ",(VLOOKUP($C221,'All Girls &amp; Descendants - Edit'!$C$2:$AK$440,'All Girls &amp; Descendants - Edit'!X$1,FALSE)))</f>
        <v xml:space="preserve"> - </v>
      </c>
      <c r="Y221" s="3" t="str">
        <f>IF(VLOOKUP($C221,'All Girls &amp; Descendants - Edit'!$C$2:$AK$440,'All Girls &amp; Descendants - Edit'!Y$1,FALSE)=""," - ",(VLOOKUP($C221,'All Girls &amp; Descendants - Edit'!$C$2:$AK$440,'All Girls &amp; Descendants - Edit'!Y$1,FALSE)))</f>
        <v xml:space="preserve"> - </v>
      </c>
      <c r="Z221" s="3" t="str">
        <f>IF(VLOOKUP($C221,'All Girls &amp; Descendants - Edit'!$C$2:$AK$440,'All Girls &amp; Descendants - Edit'!Z$1,FALSE)=""," - ",(VLOOKUP($C221,'All Girls &amp; Descendants - Edit'!$C$2:$AK$440,'All Girls &amp; Descendants - Edit'!Z$1,FALSE)))</f>
        <v>Baptised 11 Mar 1990 at St George’s, Preschute, Marlborough, Wiltshire.</v>
      </c>
      <c r="AA221" s="101">
        <f>IF(VLOOKUP($C221,'All Girls &amp; Descendants - Edit'!$C$2:$AK$440,'All Girls &amp; Descendants - Edit'!AA$1,FALSE)=""," - ",(VLOOKUP($C221,'All Girls &amp; Descendants - Edit'!$C$2:$AK$440,'All Girls &amp; Descendants - Edit'!AA$1,FALSE)))</f>
        <v>239</v>
      </c>
      <c r="AB221" s="101">
        <f>IF(VLOOKUP($C221,'All Girls &amp; Descendants - Edit'!$C$2:$AK$440,'All Girls &amp; Descendants - Edit'!AB$1,FALSE)=""," - ",(VLOOKUP($C221,'All Girls &amp; Descendants - Edit'!$C$2:$AK$440,'All Girls &amp; Descendants - Edit'!AB$1,FALSE)))</f>
        <v>78</v>
      </c>
      <c r="AC221" s="101">
        <f>IF(VLOOKUP($C221,'All Girls &amp; Descendants - Edit'!$C$2:$AK$440,'All Girls &amp; Descendants - Edit'!AC$1,FALSE)=""," - ",(VLOOKUP($C221,'All Girls &amp; Descendants - Edit'!$C$2:$AK$440,'All Girls &amp; Descendants - Edit'!AC$1,FALSE)))</f>
        <v>2078</v>
      </c>
      <c r="AD221" s="3" t="str">
        <f>IF(VLOOKUP($C221,'All Girls &amp; Descendants - Edit'!$C$2:$AK$440,'All Girls &amp; Descendants - Edit'!AD$1,FALSE)=""," - ",(VLOOKUP($C221,'All Girls &amp; Descendants - Edit'!$C$2:$AK$440,'All Girls &amp; Descendants - Edit'!AD$1,FALSE)))</f>
        <v>101cb</v>
      </c>
      <c r="AE221" s="3" t="str">
        <f>IF(VLOOKUP($C221,'All Girls &amp; Descendants - Edit'!$C$2:$AK$440,'All Girls &amp; Descendants - Edit'!AE$1,FALSE)=""," - ",(VLOOKUP($C221,'All Girls &amp; Descendants - Edit'!$C$2:$AK$440,'All Girls &amp; Descendants - Edit'!AE$1,FALSE)))</f>
        <v>Henry Charles  HISCOX (1989 - )</v>
      </c>
      <c r="AF221" s="3" t="str">
        <f>IF(VLOOKUP($C221,'All Girls &amp; Descendants - Edit'!$C$2:$AK$440,'All Girls &amp; Descendants - Edit'!AF$1,FALSE)=""," - ",(VLOOKUP($C221,'All Girls &amp; Descendants - Edit'!$C$2:$AK$440,'All Girls &amp; Descendants - Edit'!AF$1,FALSE)))</f>
        <v>Henry HISCOX (7th &amp; 101)</v>
      </c>
      <c r="AG221" s="3" t="str">
        <f>IF(VLOOKUP($C221,'All Girls &amp; Descendants - Edit'!$C$2:$AK$440,'All Girls &amp; Descendants - Edit'!AG$1,FALSE)=""," - ",(VLOOKUP($C221,'All Girls &amp; Descendants - Edit'!$C$2:$AK$440,'All Girls &amp; Descendants - Edit'!AG$1,FALSE)))</f>
        <v>Male</v>
      </c>
      <c r="AH221" s="3" t="str">
        <f>IF(VLOOKUP($C221,'All Girls &amp; Descendants - Edit'!$C$2:$AK$440,'All Girls &amp; Descendants - Edit'!AH$1,FALSE)=""," - ",(VLOOKUP($C221,'All Girls &amp; Descendants - Edit'!$C$2:$AK$440,'All Girls &amp; Descendants - Edit'!AH$1,FALSE)))</f>
        <v>7th</v>
      </c>
      <c r="AI221" s="3" t="str">
        <f>IF(VLOOKUP($C221,'All Girls &amp; Descendants - Edit'!$C$2:$AK$440,'All Girls &amp; Descendants - Edit'!AI$1,FALSE)=""," - ",(VLOOKUP($C221,'All Girls &amp; Descendants - Edit'!$C$2:$AK$440,'All Girls &amp; Descendants - Edit'!AI$1,FALSE)))</f>
        <v>Unmarried</v>
      </c>
      <c r="AJ221" s="3" t="str">
        <f>IF(VLOOKUP($C221,'All Girls &amp; Descendants - Edit'!$C$2:$AK$440,'All Girls &amp; Descendants - Edit'!AJ$1,FALSE)=""," - ",(VLOOKUP($C221,'All Girls &amp; Descendants - Edit'!$C$2:$AK$440,'All Girls &amp; Descendants - Edit'!AJ$1,FALSE)))</f>
        <v>Male. b. 23/09/1989 Baptised 11 Mar 1990 at St George’s, Preschute, Marlborough, Wiltshire.</v>
      </c>
      <c r="AK221" s="3" t="str">
        <f>IF(VLOOKUP($C221,'All Girls &amp; Descendants - Edit'!$C$2:$AK$440,'All Girls &amp; Descendants - Edit'!AK$1,FALSE)=""," - ",(VLOOKUP($C221,'All Girls &amp; Descendants - Edit'!$C$2:$AK$440,'All Girls &amp; Descendants - Edit'!AK$1,FALSE)))</f>
        <v>b. 23/09/1989</v>
      </c>
    </row>
    <row r="222" spans="1:37" ht="19">
      <c r="A222">
        <f>VLOOKUP(B222,'Loyd List 1-190 - Edit'!$P$1:$R$219,3,FALSE)</f>
        <v>56</v>
      </c>
      <c r="B222">
        <f>'All Girls &amp; Descendants - Edit'!B223</f>
        <v>101</v>
      </c>
      <c r="C222" s="98" t="str">
        <f>'All Girls &amp; Descendants - Edit'!C223</f>
        <v>101cc</v>
      </c>
      <c r="D222" s="2" t="str">
        <f>'All Girls &amp; Descendants - Edit'!D223</f>
        <v>HISCOX</v>
      </c>
      <c r="E222" t="str">
        <f>'All Girls &amp; Descendants - Edit'!E223</f>
        <v>Sydney</v>
      </c>
      <c r="F222" t="str">
        <f>IF('All Girls &amp; Descendants - Edit'!F223="","",'All Girls &amp; Descendants - Edit'!F223)</f>
        <v>John</v>
      </c>
      <c r="G222" t="str">
        <f>IF('All Girls &amp; Descendants - Edit'!G223="","",'All Girls &amp; Descendants - Edit'!G223)</f>
        <v/>
      </c>
      <c r="H222" t="str">
        <f>IF('All Girls &amp; Descendants - Edit'!H223="","",'All Girls &amp; Descendants - Edit'!H223)</f>
        <v/>
      </c>
      <c r="I222">
        <f>VLOOKUP($C222,'All Girls &amp; Descendants - Edit'!$C$2:$AK$440,'All Girls &amp; Descendants - Edit'!I$1,FALSE)</f>
        <v>1993</v>
      </c>
      <c r="J222" t="str">
        <f>VLOOKUP($C222,'All Girls &amp; Descendants - Edit'!$C$2:$AK$440,'All Girls &amp; Descendants - Edit'!J$1,FALSE)</f>
        <v/>
      </c>
      <c r="K222" s="9"/>
      <c r="L222" t="str">
        <f t="shared" si="25"/>
        <v>24/01/1993</v>
      </c>
      <c r="M222" s="3">
        <f>VLOOKUP($C222,'All Girls &amp; Descendants - Edit'!$C$2:$AK$440,'All Girls &amp; Descendants - Edit'!M$1,FALSE)</f>
        <v>33993</v>
      </c>
      <c r="N222" s="3" t="str">
        <f>IF(VLOOKUP($C222,'All Girls &amp; Descendants - Edit'!$C$2:$AK$440,'All Girls &amp; Descendants - Edit'!N$1,FALSE)=""," - ",(VLOOKUP($C222,'All Girls &amp; Descendants - Edit'!$C$2:$AK$440,'All Girls &amp; Descendants - Edit'!N$1,FALSE)))</f>
        <v xml:space="preserve"> - </v>
      </c>
      <c r="O222" s="3" t="str">
        <f>IF(VLOOKUP($C222,'All Girls &amp; Descendants - Edit'!$C$2:$AK$440,'All Girls &amp; Descendants - Edit'!O$1,FALSE)="","",(VLOOKUP($C222,'All Girls &amp; Descendants - Edit'!$C$2:$AK$440,'All Girls &amp; Descendants - Edit'!O$1,FALSE)))</f>
        <v/>
      </c>
      <c r="P222" s="3" t="str">
        <f t="shared" si="26"/>
        <v/>
      </c>
      <c r="Q222" s="178" t="str">
        <f t="shared" si="27"/>
        <v>101c</v>
      </c>
      <c r="R222" s="23"/>
      <c r="S222" t="str">
        <f>VLOOKUP($C222,'All Girls &amp; Descendants - Edit'!$C$2:$AK$440,'All Girls &amp; Descendants - Edit'!S$1,FALSE)</f>
        <v>Male</v>
      </c>
      <c r="T222" s="176">
        <f t="shared" si="24"/>
        <v>7</v>
      </c>
      <c r="U222" s="176">
        <f t="shared" si="28"/>
        <v>5</v>
      </c>
      <c r="V222" s="176">
        <f t="shared" si="29"/>
        <v>5</v>
      </c>
      <c r="W222" s="177">
        <f t="shared" si="30"/>
        <v>2</v>
      </c>
      <c r="X222" s="3" t="str">
        <f>IF(VLOOKUP($C222,'All Girls &amp; Descendants - Edit'!$C$2:$AK$440,'All Girls &amp; Descendants - Edit'!X$1,FALSE)=""," - ",(VLOOKUP($C222,'All Girls &amp; Descendants - Edit'!$C$2:$AK$440,'All Girls &amp; Descendants - Edit'!X$1,FALSE)))</f>
        <v xml:space="preserve"> - </v>
      </c>
      <c r="Y222" s="3" t="str">
        <f>IF(VLOOKUP($C222,'All Girls &amp; Descendants - Edit'!$C$2:$AK$440,'All Girls &amp; Descendants - Edit'!Y$1,FALSE)=""," - ",(VLOOKUP($C222,'All Girls &amp; Descendants - Edit'!$C$2:$AK$440,'All Girls &amp; Descendants - Edit'!Y$1,FALSE)))</f>
        <v xml:space="preserve"> - </v>
      </c>
      <c r="Z222" s="3" t="str">
        <f>IF(VLOOKUP($C222,'All Girls &amp; Descendants - Edit'!$C$2:$AK$440,'All Girls &amp; Descendants - Edit'!Z$1,FALSE)=""," - ",(VLOOKUP($C222,'All Girls &amp; Descendants - Edit'!$C$2:$AK$440,'All Girls &amp; Descendants - Edit'!Z$1,FALSE)))</f>
        <v>Baptised 27 Jun 1993 at St George’s, Preschute, Marlborough, Wiltshire.</v>
      </c>
      <c r="AA222" s="101">
        <f>IF(VLOOKUP($C222,'All Girls &amp; Descendants - Edit'!$C$2:$AK$440,'All Girls &amp; Descendants - Edit'!AA$1,FALSE)=""," - ",(VLOOKUP($C222,'All Girls &amp; Descendants - Edit'!$C$2:$AK$440,'All Girls &amp; Descendants - Edit'!AA$1,FALSE)))</f>
        <v>240</v>
      </c>
      <c r="AB222" s="101">
        <f>IF(VLOOKUP($C222,'All Girls &amp; Descendants - Edit'!$C$2:$AK$440,'All Girls &amp; Descendants - Edit'!AB$1,FALSE)=""," - ",(VLOOKUP($C222,'All Girls &amp; Descendants - Edit'!$C$2:$AK$440,'All Girls &amp; Descendants - Edit'!AB$1,FALSE)))</f>
        <v>79</v>
      </c>
      <c r="AC222" s="101">
        <f>IF(VLOOKUP($C222,'All Girls &amp; Descendants - Edit'!$C$2:$AK$440,'All Girls &amp; Descendants - Edit'!AC$1,FALSE)=""," - ",(VLOOKUP($C222,'All Girls &amp; Descendants - Edit'!$C$2:$AK$440,'All Girls &amp; Descendants - Edit'!AC$1,FALSE)))</f>
        <v>2079</v>
      </c>
      <c r="AD222" s="3" t="str">
        <f>IF(VLOOKUP($C222,'All Girls &amp; Descendants - Edit'!$C$2:$AK$440,'All Girls &amp; Descendants - Edit'!AD$1,FALSE)=""," - ",(VLOOKUP($C222,'All Girls &amp; Descendants - Edit'!$C$2:$AK$440,'All Girls &amp; Descendants - Edit'!AD$1,FALSE)))</f>
        <v>101cc</v>
      </c>
      <c r="AE222" s="3" t="str">
        <f>IF(VLOOKUP($C222,'All Girls &amp; Descendants - Edit'!$C$2:$AK$440,'All Girls &amp; Descendants - Edit'!AE$1,FALSE)=""," - ",(VLOOKUP($C222,'All Girls &amp; Descendants - Edit'!$C$2:$AK$440,'All Girls &amp; Descendants - Edit'!AE$1,FALSE)))</f>
        <v>Sydney John  HISCOX (1993 - )</v>
      </c>
      <c r="AF222" s="3" t="str">
        <f>IF(VLOOKUP($C222,'All Girls &amp; Descendants - Edit'!$C$2:$AK$440,'All Girls &amp; Descendants - Edit'!AF$1,FALSE)=""," - ",(VLOOKUP($C222,'All Girls &amp; Descendants - Edit'!$C$2:$AK$440,'All Girls &amp; Descendants - Edit'!AF$1,FALSE)))</f>
        <v>Sydney HISCOX (7th &amp; 101)</v>
      </c>
      <c r="AG222" s="3" t="str">
        <f>IF(VLOOKUP($C222,'All Girls &amp; Descendants - Edit'!$C$2:$AK$440,'All Girls &amp; Descendants - Edit'!AG$1,FALSE)=""," - ",(VLOOKUP($C222,'All Girls &amp; Descendants - Edit'!$C$2:$AK$440,'All Girls &amp; Descendants - Edit'!AG$1,FALSE)))</f>
        <v>Male</v>
      </c>
      <c r="AH222" s="3" t="str">
        <f>IF(VLOOKUP($C222,'All Girls &amp; Descendants - Edit'!$C$2:$AK$440,'All Girls &amp; Descendants - Edit'!AH$1,FALSE)=""," - ",(VLOOKUP($C222,'All Girls &amp; Descendants - Edit'!$C$2:$AK$440,'All Girls &amp; Descendants - Edit'!AH$1,FALSE)))</f>
        <v>7th</v>
      </c>
      <c r="AI222" s="3" t="str">
        <f>IF(VLOOKUP($C222,'All Girls &amp; Descendants - Edit'!$C$2:$AK$440,'All Girls &amp; Descendants - Edit'!AI$1,FALSE)=""," - ",(VLOOKUP($C222,'All Girls &amp; Descendants - Edit'!$C$2:$AK$440,'All Girls &amp; Descendants - Edit'!AI$1,FALSE)))</f>
        <v>Unmarried</v>
      </c>
      <c r="AJ222" s="3" t="str">
        <f>IF(VLOOKUP($C222,'All Girls &amp; Descendants - Edit'!$C$2:$AK$440,'All Girls &amp; Descendants - Edit'!AJ$1,FALSE)=""," - ",(VLOOKUP($C222,'All Girls &amp; Descendants - Edit'!$C$2:$AK$440,'All Girls &amp; Descendants - Edit'!AJ$1,FALSE)))</f>
        <v>Male. b. 24/01/1993 Baptised 27 Jun 1993 at St George’s, Preschute, Marlborough, Wiltshire.</v>
      </c>
      <c r="AK222" s="3" t="str">
        <f>IF(VLOOKUP($C222,'All Girls &amp; Descendants - Edit'!$C$2:$AK$440,'All Girls &amp; Descendants - Edit'!AK$1,FALSE)=""," - ",(VLOOKUP($C222,'All Girls &amp; Descendants - Edit'!$C$2:$AK$440,'All Girls &amp; Descendants - Edit'!AK$1,FALSE)))</f>
        <v>b. 24/01/1993</v>
      </c>
    </row>
    <row r="223" spans="1:37" ht="19">
      <c r="A223">
        <f>VLOOKUP(B223,'Loyd List 1-190 - Edit'!$P$1:$R$219,3,FALSE)</f>
        <v>56</v>
      </c>
      <c r="B223">
        <f>'All Girls &amp; Descendants - Edit'!B224</f>
        <v>101</v>
      </c>
      <c r="C223" s="98" t="str">
        <f>'All Girls &amp; Descendants - Edit'!C224</f>
        <v>101da</v>
      </c>
      <c r="D223" s="2" t="str">
        <f>'All Girls &amp; Descendants - Edit'!D224</f>
        <v>REID</v>
      </c>
      <c r="E223" t="str">
        <f>'All Girls &amp; Descendants - Edit'!E224</f>
        <v>Nicholas</v>
      </c>
      <c r="F223" t="str">
        <f>IF('All Girls &amp; Descendants - Edit'!F224="","",'All Girls &amp; Descendants - Edit'!F224)</f>
        <v>John</v>
      </c>
      <c r="G223" t="str">
        <f>IF('All Girls &amp; Descendants - Edit'!G224="","",'All Girls &amp; Descendants - Edit'!G224)</f>
        <v>Howard</v>
      </c>
      <c r="H223" t="str">
        <f>IF('All Girls &amp; Descendants - Edit'!H224="","",'All Girls &amp; Descendants - Edit'!H224)</f>
        <v/>
      </c>
      <c r="I223">
        <f>VLOOKUP($C223,'All Girls &amp; Descendants - Edit'!$C$2:$AK$440,'All Girls &amp; Descendants - Edit'!I$1,FALSE)</f>
        <v>1982</v>
      </c>
      <c r="J223" t="str">
        <f>VLOOKUP($C223,'All Girls &amp; Descendants - Edit'!$C$2:$AK$440,'All Girls &amp; Descendants - Edit'!J$1,FALSE)</f>
        <v/>
      </c>
      <c r="K223" s="9"/>
      <c r="L223" t="str">
        <f t="shared" si="25"/>
        <v>30/12/1982</v>
      </c>
      <c r="M223" s="3" t="str">
        <f>VLOOKUP($C223,'All Girls &amp; Descendants - Edit'!$C$2:$AK$440,'All Girls &amp; Descendants - Edit'!M$1,FALSE)</f>
        <v>30/12/1982</v>
      </c>
      <c r="N223" s="3" t="str">
        <f>IF(VLOOKUP($C223,'All Girls &amp; Descendants - Edit'!$C$2:$AK$440,'All Girls &amp; Descendants - Edit'!N$1,FALSE)=""," - ",(VLOOKUP($C223,'All Girls &amp; Descendants - Edit'!$C$2:$AK$440,'All Girls &amp; Descendants - Edit'!N$1,FALSE)))</f>
        <v xml:space="preserve"> - </v>
      </c>
      <c r="O223" s="3" t="str">
        <f>IF(VLOOKUP($C223,'All Girls &amp; Descendants - Edit'!$C$2:$AK$440,'All Girls &amp; Descendants - Edit'!O$1,FALSE)="","",(VLOOKUP($C223,'All Girls &amp; Descendants - Edit'!$C$2:$AK$440,'All Girls &amp; Descendants - Edit'!O$1,FALSE)))</f>
        <v/>
      </c>
      <c r="P223" s="3" t="str">
        <f t="shared" si="26"/>
        <v/>
      </c>
      <c r="Q223" s="178" t="str">
        <f t="shared" si="27"/>
        <v>101d</v>
      </c>
      <c r="R223" s="23"/>
      <c r="S223" t="str">
        <f>VLOOKUP($C223,'All Girls &amp; Descendants - Edit'!$C$2:$AK$440,'All Girls &amp; Descendants - Edit'!S$1,FALSE)</f>
        <v>Male</v>
      </c>
      <c r="T223" s="176">
        <f t="shared" si="24"/>
        <v>7</v>
      </c>
      <c r="U223" s="176">
        <f t="shared" si="28"/>
        <v>5</v>
      </c>
      <c r="V223" s="176">
        <f t="shared" si="29"/>
        <v>5</v>
      </c>
      <c r="W223" s="177">
        <f t="shared" si="30"/>
        <v>2</v>
      </c>
      <c r="X223" s="3" t="str">
        <f>IF(VLOOKUP($C223,'All Girls &amp; Descendants - Edit'!$C$2:$AK$440,'All Girls &amp; Descendants - Edit'!X$1,FALSE)=""," - ",(VLOOKUP($C223,'All Girls &amp; Descendants - Edit'!$C$2:$AK$440,'All Girls &amp; Descendants - Edit'!X$1,FALSE)))</f>
        <v xml:space="preserve"> - </v>
      </c>
      <c r="Y223" s="3" t="str">
        <f>IF(VLOOKUP($C223,'All Girls &amp; Descendants - Edit'!$C$2:$AK$440,'All Girls &amp; Descendants - Edit'!Y$1,FALSE)=""," - ",(VLOOKUP($C223,'All Girls &amp; Descendants - Edit'!$C$2:$AK$440,'All Girls &amp; Descendants - Edit'!Y$1,FALSE)))</f>
        <v xml:space="preserve"> - </v>
      </c>
      <c r="Z223" s="3" t="str">
        <f>IF(VLOOKUP($C223,'All Girls &amp; Descendants - Edit'!$C$2:$AK$440,'All Girls &amp; Descendants - Edit'!Z$1,FALSE)=""," - ",(VLOOKUP($C223,'All Girls &amp; Descendants - Edit'!$C$2:$AK$440,'All Girls &amp; Descendants - Edit'!Z$1,FALSE)))</f>
        <v>Baptised at St George’s, Preschute, Marlborough, Wiltshire.</v>
      </c>
      <c r="AA223" s="101">
        <f>IF(VLOOKUP($C223,'All Girls &amp; Descendants - Edit'!$C$2:$AK$440,'All Girls &amp; Descendants - Edit'!AA$1,FALSE)=""," - ",(VLOOKUP($C223,'All Girls &amp; Descendants - Edit'!$C$2:$AK$440,'All Girls &amp; Descendants - Edit'!AA$1,FALSE)))</f>
        <v>242</v>
      </c>
      <c r="AB223" s="101">
        <f>IF(VLOOKUP($C223,'All Girls &amp; Descendants - Edit'!$C$2:$AK$440,'All Girls &amp; Descendants - Edit'!AB$1,FALSE)=""," - ",(VLOOKUP($C223,'All Girls &amp; Descendants - Edit'!$C$2:$AK$440,'All Girls &amp; Descendants - Edit'!AB$1,FALSE)))</f>
        <v>80</v>
      </c>
      <c r="AC223" s="101">
        <f>IF(VLOOKUP($C223,'All Girls &amp; Descendants - Edit'!$C$2:$AK$440,'All Girls &amp; Descendants - Edit'!AC$1,FALSE)=""," - ",(VLOOKUP($C223,'All Girls &amp; Descendants - Edit'!$C$2:$AK$440,'All Girls &amp; Descendants - Edit'!AC$1,FALSE)))</f>
        <v>2080</v>
      </c>
      <c r="AD223" s="3" t="str">
        <f>IF(VLOOKUP($C223,'All Girls &amp; Descendants - Edit'!$C$2:$AK$440,'All Girls &amp; Descendants - Edit'!AD$1,FALSE)=""," - ",(VLOOKUP($C223,'All Girls &amp; Descendants - Edit'!$C$2:$AK$440,'All Girls &amp; Descendants - Edit'!AD$1,FALSE)))</f>
        <v>101da</v>
      </c>
      <c r="AE223" s="3" t="str">
        <f>IF(VLOOKUP($C223,'All Girls &amp; Descendants - Edit'!$C$2:$AK$440,'All Girls &amp; Descendants - Edit'!AE$1,FALSE)=""," - ",(VLOOKUP($C223,'All Girls &amp; Descendants - Edit'!$C$2:$AK$440,'All Girls &amp; Descendants - Edit'!AE$1,FALSE)))</f>
        <v>Nicholas John Howard REID (1982 - )</v>
      </c>
      <c r="AF223" s="3" t="str">
        <f>IF(VLOOKUP($C223,'All Girls &amp; Descendants - Edit'!$C$2:$AK$440,'All Girls &amp; Descendants - Edit'!AF$1,FALSE)=""," - ",(VLOOKUP($C223,'All Girls &amp; Descendants - Edit'!$C$2:$AK$440,'All Girls &amp; Descendants - Edit'!AF$1,FALSE)))</f>
        <v>Nicholas REID (7th &amp; 101)</v>
      </c>
      <c r="AG223" s="3" t="str">
        <f>IF(VLOOKUP($C223,'All Girls &amp; Descendants - Edit'!$C$2:$AK$440,'All Girls &amp; Descendants - Edit'!AG$1,FALSE)=""," - ",(VLOOKUP($C223,'All Girls &amp; Descendants - Edit'!$C$2:$AK$440,'All Girls &amp; Descendants - Edit'!AG$1,FALSE)))</f>
        <v>Male</v>
      </c>
      <c r="AH223" s="3" t="str">
        <f>IF(VLOOKUP($C223,'All Girls &amp; Descendants - Edit'!$C$2:$AK$440,'All Girls &amp; Descendants - Edit'!AH$1,FALSE)=""," - ",(VLOOKUP($C223,'All Girls &amp; Descendants - Edit'!$C$2:$AK$440,'All Girls &amp; Descendants - Edit'!AH$1,FALSE)))</f>
        <v>7th</v>
      </c>
      <c r="AI223" s="3" t="str">
        <f>IF(VLOOKUP($C223,'All Girls &amp; Descendants - Edit'!$C$2:$AK$440,'All Girls &amp; Descendants - Edit'!AI$1,FALSE)=""," - ",(VLOOKUP($C223,'All Girls &amp; Descendants - Edit'!$C$2:$AK$440,'All Girls &amp; Descendants - Edit'!AI$1,FALSE)))</f>
        <v>Unmarried</v>
      </c>
      <c r="AJ223" s="3" t="str">
        <f>IF(VLOOKUP($C223,'All Girls &amp; Descendants - Edit'!$C$2:$AK$440,'All Girls &amp; Descendants - Edit'!AJ$1,FALSE)=""," - ",(VLOOKUP($C223,'All Girls &amp; Descendants - Edit'!$C$2:$AK$440,'All Girls &amp; Descendants - Edit'!AJ$1,FALSE)))</f>
        <v>Male. b. 30/12/1982 Baptised at St George’s, Preschute, Marlborough, Wiltshire.</v>
      </c>
      <c r="AK223" s="3" t="str">
        <f>IF(VLOOKUP($C223,'All Girls &amp; Descendants - Edit'!$C$2:$AK$440,'All Girls &amp; Descendants - Edit'!AK$1,FALSE)=""," - ",(VLOOKUP($C223,'All Girls &amp; Descendants - Edit'!$C$2:$AK$440,'All Girls &amp; Descendants - Edit'!AK$1,FALSE)))</f>
        <v>b. 30/12/1982</v>
      </c>
    </row>
    <row r="224" spans="1:37" ht="19">
      <c r="A224">
        <f>VLOOKUP(B224,'Loyd List 1-190 - Edit'!$P$1:$R$219,3,FALSE)</f>
        <v>56</v>
      </c>
      <c r="B224">
        <f>'All Girls &amp; Descendants - Edit'!B225</f>
        <v>101</v>
      </c>
      <c r="C224" s="98" t="str">
        <f>'All Girls &amp; Descendants - Edit'!C225</f>
        <v>101db</v>
      </c>
      <c r="D224" s="2" t="str">
        <f>'All Girls &amp; Descendants - Edit'!D225</f>
        <v>REID</v>
      </c>
      <c r="E224" t="str">
        <f>'All Girls &amp; Descendants - Edit'!E225</f>
        <v>Amelia</v>
      </c>
      <c r="F224" t="str">
        <f>IF('All Girls &amp; Descendants - Edit'!F225="","",'All Girls &amp; Descendants - Edit'!F225)</f>
        <v>Louise</v>
      </c>
      <c r="G224" t="str">
        <f>IF('All Girls &amp; Descendants - Edit'!G225="","",'All Girls &amp; Descendants - Edit'!G225)</f>
        <v>Catherine</v>
      </c>
      <c r="H224" t="str">
        <f>IF('All Girls &amp; Descendants - Edit'!H225="","",'All Girls &amp; Descendants - Edit'!H225)</f>
        <v/>
      </c>
      <c r="I224">
        <f>VLOOKUP($C224,'All Girls &amp; Descendants - Edit'!$C$2:$AK$440,'All Girls &amp; Descendants - Edit'!I$1,FALSE)</f>
        <v>1984</v>
      </c>
      <c r="J224" t="str">
        <f>VLOOKUP($C224,'All Girls &amp; Descendants - Edit'!$C$2:$AK$440,'All Girls &amp; Descendants - Edit'!J$1,FALSE)</f>
        <v/>
      </c>
      <c r="K224" s="9"/>
      <c r="L224" t="str">
        <f t="shared" si="25"/>
        <v>24/12/1984</v>
      </c>
      <c r="M224" s="3">
        <f>VLOOKUP($C224,'All Girls &amp; Descendants - Edit'!$C$2:$AK$440,'All Girls &amp; Descendants - Edit'!M$1,FALSE)</f>
        <v>31040</v>
      </c>
      <c r="N224" s="3" t="str">
        <f>IF(VLOOKUP($C224,'All Girls &amp; Descendants - Edit'!$C$2:$AK$440,'All Girls &amp; Descendants - Edit'!N$1,FALSE)=""," - ",(VLOOKUP($C224,'All Girls &amp; Descendants - Edit'!$C$2:$AK$440,'All Girls &amp; Descendants - Edit'!N$1,FALSE)))</f>
        <v xml:space="preserve"> - </v>
      </c>
      <c r="O224" s="3" t="str">
        <f>IF(VLOOKUP($C224,'All Girls &amp; Descendants - Edit'!$C$2:$AK$440,'All Girls &amp; Descendants - Edit'!O$1,FALSE)="","",(VLOOKUP($C224,'All Girls &amp; Descendants - Edit'!$C$2:$AK$440,'All Girls &amp; Descendants - Edit'!O$1,FALSE)))</f>
        <v/>
      </c>
      <c r="P224" s="3" t="str">
        <f t="shared" si="26"/>
        <v/>
      </c>
      <c r="Q224" s="178" t="str">
        <f t="shared" si="27"/>
        <v>101d</v>
      </c>
      <c r="R224" s="23"/>
      <c r="S224" t="str">
        <f>VLOOKUP($C224,'All Girls &amp; Descendants - Edit'!$C$2:$AK$440,'All Girls &amp; Descendants - Edit'!S$1,FALSE)</f>
        <v>Female</v>
      </c>
      <c r="T224" s="176">
        <f t="shared" si="24"/>
        <v>7</v>
      </c>
      <c r="U224" s="176">
        <f t="shared" si="28"/>
        <v>5</v>
      </c>
      <c r="V224" s="176">
        <f t="shared" si="29"/>
        <v>5</v>
      </c>
      <c r="W224" s="177">
        <f t="shared" si="30"/>
        <v>2</v>
      </c>
      <c r="X224" s="3" t="str">
        <f>IF(VLOOKUP($C224,'All Girls &amp; Descendants - Edit'!$C$2:$AK$440,'All Girls &amp; Descendants - Edit'!X$1,FALSE)=""," - ",(VLOOKUP($C224,'All Girls &amp; Descendants - Edit'!$C$2:$AK$440,'All Girls &amp; Descendants - Edit'!X$1,FALSE)))</f>
        <v xml:space="preserve"> - </v>
      </c>
      <c r="Y224" s="3" t="str">
        <f>IF(VLOOKUP($C224,'All Girls &amp; Descendants - Edit'!$C$2:$AK$440,'All Girls &amp; Descendants - Edit'!Y$1,FALSE)=""," - ",(VLOOKUP($C224,'All Girls &amp; Descendants - Edit'!$C$2:$AK$440,'All Girls &amp; Descendants - Edit'!Y$1,FALSE)))</f>
        <v xml:space="preserve"> - </v>
      </c>
      <c r="Z224" s="3" t="str">
        <f>IF(VLOOKUP($C224,'All Girls &amp; Descendants - Edit'!$C$2:$AK$440,'All Girls &amp; Descendants - Edit'!Z$1,FALSE)=""," - ",(VLOOKUP($C224,'All Girls &amp; Descendants - Edit'!$C$2:$AK$440,'All Girls &amp; Descendants - Edit'!Z$1,FALSE)))</f>
        <v>Baptised at Christ Church, Rye, New York.</v>
      </c>
      <c r="AA224" s="101">
        <f>IF(VLOOKUP($C224,'All Girls &amp; Descendants - Edit'!$C$2:$AK$440,'All Girls &amp; Descendants - Edit'!AA$1,FALSE)=""," - ",(VLOOKUP($C224,'All Girls &amp; Descendants - Edit'!$C$2:$AK$440,'All Girls &amp; Descendants - Edit'!AA$1,FALSE)))</f>
        <v>243</v>
      </c>
      <c r="AB224" s="101">
        <f>IF(VLOOKUP($C224,'All Girls &amp; Descendants - Edit'!$C$2:$AK$440,'All Girls &amp; Descendants - Edit'!AB$1,FALSE)=""," - ",(VLOOKUP($C224,'All Girls &amp; Descendants - Edit'!$C$2:$AK$440,'All Girls &amp; Descendants - Edit'!AB$1,FALSE)))</f>
        <v>81</v>
      </c>
      <c r="AC224" s="101">
        <f>IF(VLOOKUP($C224,'All Girls &amp; Descendants - Edit'!$C$2:$AK$440,'All Girls &amp; Descendants - Edit'!AC$1,FALSE)=""," - ",(VLOOKUP($C224,'All Girls &amp; Descendants - Edit'!$C$2:$AK$440,'All Girls &amp; Descendants - Edit'!AC$1,FALSE)))</f>
        <v>2081</v>
      </c>
      <c r="AD224" s="3" t="str">
        <f>IF(VLOOKUP($C224,'All Girls &amp; Descendants - Edit'!$C$2:$AK$440,'All Girls &amp; Descendants - Edit'!AD$1,FALSE)=""," - ",(VLOOKUP($C224,'All Girls &amp; Descendants - Edit'!$C$2:$AK$440,'All Girls &amp; Descendants - Edit'!AD$1,FALSE)))</f>
        <v>101db</v>
      </c>
      <c r="AE224" s="3" t="str">
        <f>IF(VLOOKUP($C224,'All Girls &amp; Descendants - Edit'!$C$2:$AK$440,'All Girls &amp; Descendants - Edit'!AE$1,FALSE)=""," - ",(VLOOKUP($C224,'All Girls &amp; Descendants - Edit'!$C$2:$AK$440,'All Girls &amp; Descendants - Edit'!AE$1,FALSE)))</f>
        <v>Amelia Louise Catherine REID (1984 - )</v>
      </c>
      <c r="AF224" s="3" t="str">
        <f>IF(VLOOKUP($C224,'All Girls &amp; Descendants - Edit'!$C$2:$AK$440,'All Girls &amp; Descendants - Edit'!AF$1,FALSE)=""," - ",(VLOOKUP($C224,'All Girls &amp; Descendants - Edit'!$C$2:$AK$440,'All Girls &amp; Descendants - Edit'!AF$1,FALSE)))</f>
        <v>Amelia REID (7th &amp; 101)</v>
      </c>
      <c r="AG224" s="3" t="str">
        <f>IF(VLOOKUP($C224,'All Girls &amp; Descendants - Edit'!$C$2:$AK$440,'All Girls &amp; Descendants - Edit'!AG$1,FALSE)=""," - ",(VLOOKUP($C224,'All Girls &amp; Descendants - Edit'!$C$2:$AK$440,'All Girls &amp; Descendants - Edit'!AG$1,FALSE)))</f>
        <v>Female</v>
      </c>
      <c r="AH224" s="3" t="str">
        <f>IF(VLOOKUP($C224,'All Girls &amp; Descendants - Edit'!$C$2:$AK$440,'All Girls &amp; Descendants - Edit'!AH$1,FALSE)=""," - ",(VLOOKUP($C224,'All Girls &amp; Descendants - Edit'!$C$2:$AK$440,'All Girls &amp; Descendants - Edit'!AH$1,FALSE)))</f>
        <v>7th</v>
      </c>
      <c r="AI224" s="3" t="str">
        <f>IF(VLOOKUP($C224,'All Girls &amp; Descendants - Edit'!$C$2:$AK$440,'All Girls &amp; Descendants - Edit'!AI$1,FALSE)=""," - ",(VLOOKUP($C224,'All Girls &amp; Descendants - Edit'!$C$2:$AK$440,'All Girls &amp; Descendants - Edit'!AI$1,FALSE)))</f>
        <v>Unmarried</v>
      </c>
      <c r="AJ224" s="3" t="str">
        <f>IF(VLOOKUP($C224,'All Girls &amp; Descendants - Edit'!$C$2:$AK$440,'All Girls &amp; Descendants - Edit'!AJ$1,FALSE)=""," - ",(VLOOKUP($C224,'All Girls &amp; Descendants - Edit'!$C$2:$AK$440,'All Girls &amp; Descendants - Edit'!AJ$1,FALSE)))</f>
        <v>Female. b. 24/12/1984 Baptised at Christ Church, Rye, New York.</v>
      </c>
      <c r="AK224" s="3" t="str">
        <f>IF(VLOOKUP($C224,'All Girls &amp; Descendants - Edit'!$C$2:$AK$440,'All Girls &amp; Descendants - Edit'!AK$1,FALSE)=""," - ",(VLOOKUP($C224,'All Girls &amp; Descendants - Edit'!$C$2:$AK$440,'All Girls &amp; Descendants - Edit'!AK$1,FALSE)))</f>
        <v>b. 24/12/1984</v>
      </c>
    </row>
    <row r="225" spans="1:37" ht="19">
      <c r="A225">
        <f>VLOOKUP(B225,'Loyd List 1-190 - Edit'!$P$1:$R$219,3,FALSE)</f>
        <v>56</v>
      </c>
      <c r="B225">
        <f>'All Girls &amp; Descendants - Edit'!B226</f>
        <v>101</v>
      </c>
      <c r="C225" s="98" t="str">
        <f>'All Girls &amp; Descendants - Edit'!C226</f>
        <v>101dc</v>
      </c>
      <c r="D225" s="2" t="str">
        <f>'All Girls &amp; Descendants - Edit'!D226</f>
        <v>REID</v>
      </c>
      <c r="E225" t="str">
        <f>'All Girls &amp; Descendants - Edit'!E226</f>
        <v>Clementine</v>
      </c>
      <c r="F225" t="str">
        <f>IF('All Girls &amp; Descendants - Edit'!F226="","",'All Girls &amp; Descendants - Edit'!F226)</f>
        <v>Julia</v>
      </c>
      <c r="G225" t="str">
        <f>IF('All Girls &amp; Descendants - Edit'!G226="","",'All Girls &amp; Descendants - Edit'!G226)</f>
        <v/>
      </c>
      <c r="H225" t="str">
        <f>IF('All Girls &amp; Descendants - Edit'!H226="","",'All Girls &amp; Descendants - Edit'!H226)</f>
        <v/>
      </c>
      <c r="I225">
        <f>VLOOKUP($C225,'All Girls &amp; Descendants - Edit'!$C$2:$AK$440,'All Girls &amp; Descendants - Edit'!I$1,FALSE)</f>
        <v>1988</v>
      </c>
      <c r="J225" t="str">
        <f>VLOOKUP($C225,'All Girls &amp; Descendants - Edit'!$C$2:$AK$440,'All Girls &amp; Descendants - Edit'!J$1,FALSE)</f>
        <v/>
      </c>
      <c r="K225" s="9"/>
      <c r="L225" t="str">
        <f t="shared" si="25"/>
        <v>09/09/1988</v>
      </c>
      <c r="M225" s="3">
        <f>VLOOKUP($C225,'All Girls &amp; Descendants - Edit'!$C$2:$AK$440,'All Girls &amp; Descendants - Edit'!M$1,FALSE)</f>
        <v>32395</v>
      </c>
      <c r="N225" s="3" t="str">
        <f>IF(VLOOKUP($C225,'All Girls &amp; Descendants - Edit'!$C$2:$AK$440,'All Girls &amp; Descendants - Edit'!N$1,FALSE)=""," - ",(VLOOKUP($C225,'All Girls &amp; Descendants - Edit'!$C$2:$AK$440,'All Girls &amp; Descendants - Edit'!N$1,FALSE)))</f>
        <v xml:space="preserve"> - </v>
      </c>
      <c r="O225" s="3" t="str">
        <f>IF(VLOOKUP($C225,'All Girls &amp; Descendants - Edit'!$C$2:$AK$440,'All Girls &amp; Descendants - Edit'!O$1,FALSE)="","",(VLOOKUP($C225,'All Girls &amp; Descendants - Edit'!$C$2:$AK$440,'All Girls &amp; Descendants - Edit'!O$1,FALSE)))</f>
        <v/>
      </c>
      <c r="P225" s="3" t="str">
        <f t="shared" si="26"/>
        <v/>
      </c>
      <c r="Q225" s="178" t="str">
        <f t="shared" si="27"/>
        <v>101d</v>
      </c>
      <c r="R225" s="23"/>
      <c r="S225" t="str">
        <f>VLOOKUP($C225,'All Girls &amp; Descendants - Edit'!$C$2:$AK$440,'All Girls &amp; Descendants - Edit'!S$1,FALSE)</f>
        <v>Female</v>
      </c>
      <c r="T225" s="176">
        <f t="shared" si="24"/>
        <v>7</v>
      </c>
      <c r="U225" s="176">
        <f t="shared" si="28"/>
        <v>5</v>
      </c>
      <c r="V225" s="176">
        <f t="shared" si="29"/>
        <v>5</v>
      </c>
      <c r="W225" s="177">
        <f t="shared" si="30"/>
        <v>2</v>
      </c>
      <c r="X225" s="3" t="str">
        <f>IF(VLOOKUP($C225,'All Girls &amp; Descendants - Edit'!$C$2:$AK$440,'All Girls &amp; Descendants - Edit'!X$1,FALSE)=""," - ",(VLOOKUP($C225,'All Girls &amp; Descendants - Edit'!$C$2:$AK$440,'All Girls &amp; Descendants - Edit'!X$1,FALSE)))</f>
        <v xml:space="preserve"> - </v>
      </c>
      <c r="Y225" s="3" t="str">
        <f>IF(VLOOKUP($C225,'All Girls &amp; Descendants - Edit'!$C$2:$AK$440,'All Girls &amp; Descendants - Edit'!Y$1,FALSE)=""," - ",(VLOOKUP($C225,'All Girls &amp; Descendants - Edit'!$C$2:$AK$440,'All Girls &amp; Descendants - Edit'!Y$1,FALSE)))</f>
        <v xml:space="preserve"> - </v>
      </c>
      <c r="Z225" s="3" t="str">
        <f>IF(VLOOKUP($C225,'All Girls &amp; Descendants - Edit'!$C$2:$AK$440,'All Girls &amp; Descendants - Edit'!Z$1,FALSE)=""," - ",(VLOOKUP($C225,'All Girls &amp; Descendants - Edit'!$C$2:$AK$440,'All Girls &amp; Descendants - Edit'!Z$1,FALSE)))</f>
        <v>Baptised at Christ Church, Rye, New York.</v>
      </c>
      <c r="AA225" s="101">
        <f>IF(VLOOKUP($C225,'All Girls &amp; Descendants - Edit'!$C$2:$AK$440,'All Girls &amp; Descendants - Edit'!AA$1,FALSE)=""," - ",(VLOOKUP($C225,'All Girls &amp; Descendants - Edit'!$C$2:$AK$440,'All Girls &amp; Descendants - Edit'!AA$1,FALSE)))</f>
        <v>244</v>
      </c>
      <c r="AB225" s="101">
        <f>IF(VLOOKUP($C225,'All Girls &amp; Descendants - Edit'!$C$2:$AK$440,'All Girls &amp; Descendants - Edit'!AB$1,FALSE)=""," - ",(VLOOKUP($C225,'All Girls &amp; Descendants - Edit'!$C$2:$AK$440,'All Girls &amp; Descendants - Edit'!AB$1,FALSE)))</f>
        <v>82</v>
      </c>
      <c r="AC225" s="101">
        <f>IF(VLOOKUP($C225,'All Girls &amp; Descendants - Edit'!$C$2:$AK$440,'All Girls &amp; Descendants - Edit'!AC$1,FALSE)=""," - ",(VLOOKUP($C225,'All Girls &amp; Descendants - Edit'!$C$2:$AK$440,'All Girls &amp; Descendants - Edit'!AC$1,FALSE)))</f>
        <v>2082</v>
      </c>
      <c r="AD225" s="3" t="str">
        <f>IF(VLOOKUP($C225,'All Girls &amp; Descendants - Edit'!$C$2:$AK$440,'All Girls &amp; Descendants - Edit'!AD$1,FALSE)=""," - ",(VLOOKUP($C225,'All Girls &amp; Descendants - Edit'!$C$2:$AK$440,'All Girls &amp; Descendants - Edit'!AD$1,FALSE)))</f>
        <v>101dc</v>
      </c>
      <c r="AE225" s="3" t="str">
        <f>IF(VLOOKUP($C225,'All Girls &amp; Descendants - Edit'!$C$2:$AK$440,'All Girls &amp; Descendants - Edit'!AE$1,FALSE)=""," - ",(VLOOKUP($C225,'All Girls &amp; Descendants - Edit'!$C$2:$AK$440,'All Girls &amp; Descendants - Edit'!AE$1,FALSE)))</f>
        <v>Clementine Julia  REID (1988 - )</v>
      </c>
      <c r="AF225" s="3" t="str">
        <f>IF(VLOOKUP($C225,'All Girls &amp; Descendants - Edit'!$C$2:$AK$440,'All Girls &amp; Descendants - Edit'!AF$1,FALSE)=""," - ",(VLOOKUP($C225,'All Girls &amp; Descendants - Edit'!$C$2:$AK$440,'All Girls &amp; Descendants - Edit'!AF$1,FALSE)))</f>
        <v>Clementine REID (7th &amp; 101)</v>
      </c>
      <c r="AG225" s="3" t="str">
        <f>IF(VLOOKUP($C225,'All Girls &amp; Descendants - Edit'!$C$2:$AK$440,'All Girls &amp; Descendants - Edit'!AG$1,FALSE)=""," - ",(VLOOKUP($C225,'All Girls &amp; Descendants - Edit'!$C$2:$AK$440,'All Girls &amp; Descendants - Edit'!AG$1,FALSE)))</f>
        <v>Female</v>
      </c>
      <c r="AH225" s="3" t="str">
        <f>IF(VLOOKUP($C225,'All Girls &amp; Descendants - Edit'!$C$2:$AK$440,'All Girls &amp; Descendants - Edit'!AH$1,FALSE)=""," - ",(VLOOKUP($C225,'All Girls &amp; Descendants - Edit'!$C$2:$AK$440,'All Girls &amp; Descendants - Edit'!AH$1,FALSE)))</f>
        <v>7th</v>
      </c>
      <c r="AI225" s="3" t="str">
        <f>IF(VLOOKUP($C225,'All Girls &amp; Descendants - Edit'!$C$2:$AK$440,'All Girls &amp; Descendants - Edit'!AI$1,FALSE)=""," - ",(VLOOKUP($C225,'All Girls &amp; Descendants - Edit'!$C$2:$AK$440,'All Girls &amp; Descendants - Edit'!AI$1,FALSE)))</f>
        <v>Unmarried</v>
      </c>
      <c r="AJ225" s="3" t="str">
        <f>IF(VLOOKUP($C225,'All Girls &amp; Descendants - Edit'!$C$2:$AK$440,'All Girls &amp; Descendants - Edit'!AJ$1,FALSE)=""," - ",(VLOOKUP($C225,'All Girls &amp; Descendants - Edit'!$C$2:$AK$440,'All Girls &amp; Descendants - Edit'!AJ$1,FALSE)))</f>
        <v>Female. b. 09/09/1988 Baptised at Christ Church, Rye, New York.</v>
      </c>
      <c r="AK225" s="3" t="str">
        <f>IF(VLOOKUP($C225,'All Girls &amp; Descendants - Edit'!$C$2:$AK$440,'All Girls &amp; Descendants - Edit'!AK$1,FALSE)=""," - ",(VLOOKUP($C225,'All Girls &amp; Descendants - Edit'!$C$2:$AK$440,'All Girls &amp; Descendants - Edit'!AK$1,FALSE)))</f>
        <v>b. 09/09/1988</v>
      </c>
    </row>
    <row r="226" spans="1:37" ht="19">
      <c r="A226">
        <f>VLOOKUP(B226,'Loyd List 1-190 - Edit'!$P$1:$R$219,3,FALSE)</f>
        <v>56</v>
      </c>
      <c r="B226">
        <f>'All Girls &amp; Descendants - Edit'!B227</f>
        <v>101</v>
      </c>
      <c r="C226" s="98" t="str">
        <f>'All Girls &amp; Descendants - Edit'!C227</f>
        <v>101ea</v>
      </c>
      <c r="D226" s="2" t="str">
        <f>'All Girls &amp; Descendants - Edit'!D227</f>
        <v>WILLS</v>
      </c>
      <c r="E226" t="str">
        <f>'All Girls &amp; Descendants - Edit'!E227</f>
        <v>Thomas</v>
      </c>
      <c r="F226" t="str">
        <f>IF('All Girls &amp; Descendants - Edit'!F227="","",'All Girls &amp; Descendants - Edit'!F227)</f>
        <v>Robert</v>
      </c>
      <c r="G226" t="str">
        <f>IF('All Girls &amp; Descendants - Edit'!G227="","",'All Girls &amp; Descendants - Edit'!G227)</f>
        <v>Hamilton</v>
      </c>
      <c r="H226" t="str">
        <f>IF('All Girls &amp; Descendants - Edit'!H227="","",'All Girls &amp; Descendants - Edit'!H227)</f>
        <v/>
      </c>
      <c r="I226">
        <f>VLOOKUP($C226,'All Girls &amp; Descendants - Edit'!$C$2:$AK$440,'All Girls &amp; Descendants - Edit'!I$1,FALSE)</f>
        <v>1991</v>
      </c>
      <c r="J226" t="str">
        <f>VLOOKUP($C226,'All Girls &amp; Descendants - Edit'!$C$2:$AK$440,'All Girls &amp; Descendants - Edit'!J$1,FALSE)</f>
        <v/>
      </c>
      <c r="K226" s="9"/>
      <c r="L226" t="str">
        <f t="shared" si="25"/>
        <v>04/07/1991</v>
      </c>
      <c r="M226" s="3">
        <f>VLOOKUP($C226,'All Girls &amp; Descendants - Edit'!$C$2:$AK$440,'All Girls &amp; Descendants - Edit'!M$1,FALSE)</f>
        <v>33423</v>
      </c>
      <c r="N226" s="3" t="str">
        <f>IF(VLOOKUP($C226,'All Girls &amp; Descendants - Edit'!$C$2:$AK$440,'All Girls &amp; Descendants - Edit'!N$1,FALSE)=""," - ",(VLOOKUP($C226,'All Girls &amp; Descendants - Edit'!$C$2:$AK$440,'All Girls &amp; Descendants - Edit'!N$1,FALSE)))</f>
        <v xml:space="preserve"> - </v>
      </c>
      <c r="O226" s="3" t="str">
        <f>IF(VLOOKUP($C226,'All Girls &amp; Descendants - Edit'!$C$2:$AK$440,'All Girls &amp; Descendants - Edit'!O$1,FALSE)="","",(VLOOKUP($C226,'All Girls &amp; Descendants - Edit'!$C$2:$AK$440,'All Girls &amp; Descendants - Edit'!O$1,FALSE)))</f>
        <v/>
      </c>
      <c r="P226" s="3" t="str">
        <f t="shared" si="26"/>
        <v/>
      </c>
      <c r="Q226" s="178" t="str">
        <f t="shared" si="27"/>
        <v>101e</v>
      </c>
      <c r="R226" s="23"/>
      <c r="S226" t="str">
        <f>VLOOKUP($C226,'All Girls &amp; Descendants - Edit'!$C$2:$AK$440,'All Girls &amp; Descendants - Edit'!S$1,FALSE)</f>
        <v>Male</v>
      </c>
      <c r="T226" s="176">
        <f t="shared" si="24"/>
        <v>7</v>
      </c>
      <c r="U226" s="176">
        <f t="shared" si="28"/>
        <v>5</v>
      </c>
      <c r="V226" s="176">
        <f t="shared" si="29"/>
        <v>5</v>
      </c>
      <c r="W226" s="177">
        <f t="shared" si="30"/>
        <v>2</v>
      </c>
      <c r="X226" s="3" t="str">
        <f>IF(VLOOKUP($C226,'All Girls &amp; Descendants - Edit'!$C$2:$AK$440,'All Girls &amp; Descendants - Edit'!X$1,FALSE)=""," - ",(VLOOKUP($C226,'All Girls &amp; Descendants - Edit'!$C$2:$AK$440,'All Girls &amp; Descendants - Edit'!X$1,FALSE)))</f>
        <v xml:space="preserve"> - </v>
      </c>
      <c r="Y226" s="3" t="str">
        <f>IF(VLOOKUP($C226,'All Girls &amp; Descendants - Edit'!$C$2:$AK$440,'All Girls &amp; Descendants - Edit'!Y$1,FALSE)=""," - ",(VLOOKUP($C226,'All Girls &amp; Descendants - Edit'!$C$2:$AK$440,'All Girls &amp; Descendants - Edit'!Y$1,FALSE)))</f>
        <v xml:space="preserve"> - </v>
      </c>
      <c r="Z226" s="3" t="str">
        <f>IF(VLOOKUP($C226,'All Girls &amp; Descendants - Edit'!$C$2:$AK$440,'All Girls &amp; Descendants - Edit'!Z$1,FALSE)=""," - ",(VLOOKUP($C226,'All Girls &amp; Descendants - Edit'!$C$2:$AK$440,'All Girls &amp; Descendants - Edit'!Z$1,FALSE)))</f>
        <v xml:space="preserve"> - </v>
      </c>
      <c r="AA226" s="101">
        <f>IF(VLOOKUP($C226,'All Girls &amp; Descendants - Edit'!$C$2:$AK$440,'All Girls &amp; Descendants - Edit'!AA$1,FALSE)=""," - ",(VLOOKUP($C226,'All Girls &amp; Descendants - Edit'!$C$2:$AK$440,'All Girls &amp; Descendants - Edit'!AA$1,FALSE)))</f>
        <v>246</v>
      </c>
      <c r="AB226" s="101">
        <f>IF(VLOOKUP($C226,'All Girls &amp; Descendants - Edit'!$C$2:$AK$440,'All Girls &amp; Descendants - Edit'!AB$1,FALSE)=""," - ",(VLOOKUP($C226,'All Girls &amp; Descendants - Edit'!$C$2:$AK$440,'All Girls &amp; Descendants - Edit'!AB$1,FALSE)))</f>
        <v>83</v>
      </c>
      <c r="AC226" s="101">
        <f>IF(VLOOKUP($C226,'All Girls &amp; Descendants - Edit'!$C$2:$AK$440,'All Girls &amp; Descendants - Edit'!AC$1,FALSE)=""," - ",(VLOOKUP($C226,'All Girls &amp; Descendants - Edit'!$C$2:$AK$440,'All Girls &amp; Descendants - Edit'!AC$1,FALSE)))</f>
        <v>2083</v>
      </c>
      <c r="AD226" s="3" t="str">
        <f>IF(VLOOKUP($C226,'All Girls &amp; Descendants - Edit'!$C$2:$AK$440,'All Girls &amp; Descendants - Edit'!AD$1,FALSE)=""," - ",(VLOOKUP($C226,'All Girls &amp; Descendants - Edit'!$C$2:$AK$440,'All Girls &amp; Descendants - Edit'!AD$1,FALSE)))</f>
        <v>101ea</v>
      </c>
      <c r="AE226" s="3" t="str">
        <f>IF(VLOOKUP($C226,'All Girls &amp; Descendants - Edit'!$C$2:$AK$440,'All Girls &amp; Descendants - Edit'!AE$1,FALSE)=""," - ",(VLOOKUP($C226,'All Girls &amp; Descendants - Edit'!$C$2:$AK$440,'All Girls &amp; Descendants - Edit'!AE$1,FALSE)))</f>
        <v>Thomas Robert Hamilton WILLS (1991 - )</v>
      </c>
      <c r="AF226" s="3" t="str">
        <f>IF(VLOOKUP($C226,'All Girls &amp; Descendants - Edit'!$C$2:$AK$440,'All Girls &amp; Descendants - Edit'!AF$1,FALSE)=""," - ",(VLOOKUP($C226,'All Girls &amp; Descendants - Edit'!$C$2:$AK$440,'All Girls &amp; Descendants - Edit'!AF$1,FALSE)))</f>
        <v>Thomas WILLS (7th &amp; 101)</v>
      </c>
      <c r="AG226" s="3" t="str">
        <f>IF(VLOOKUP($C226,'All Girls &amp; Descendants - Edit'!$C$2:$AK$440,'All Girls &amp; Descendants - Edit'!AG$1,FALSE)=""," - ",(VLOOKUP($C226,'All Girls &amp; Descendants - Edit'!$C$2:$AK$440,'All Girls &amp; Descendants - Edit'!AG$1,FALSE)))</f>
        <v>Male</v>
      </c>
      <c r="AH226" s="3" t="str">
        <f>IF(VLOOKUP($C226,'All Girls &amp; Descendants - Edit'!$C$2:$AK$440,'All Girls &amp; Descendants - Edit'!AH$1,FALSE)=""," - ",(VLOOKUP($C226,'All Girls &amp; Descendants - Edit'!$C$2:$AK$440,'All Girls &amp; Descendants - Edit'!AH$1,FALSE)))</f>
        <v>7th</v>
      </c>
      <c r="AI226" s="3" t="str">
        <f>IF(VLOOKUP($C226,'All Girls &amp; Descendants - Edit'!$C$2:$AK$440,'All Girls &amp; Descendants - Edit'!AI$1,FALSE)=""," - ",(VLOOKUP($C226,'All Girls &amp; Descendants - Edit'!$C$2:$AK$440,'All Girls &amp; Descendants - Edit'!AI$1,FALSE)))</f>
        <v>Unmarried</v>
      </c>
      <c r="AJ226" s="3" t="str">
        <f>IF(VLOOKUP($C226,'All Girls &amp; Descendants - Edit'!$C$2:$AK$440,'All Girls &amp; Descendants - Edit'!AJ$1,FALSE)=""," - ",(VLOOKUP($C226,'All Girls &amp; Descendants - Edit'!$C$2:$AK$440,'All Girls &amp; Descendants - Edit'!AJ$1,FALSE)))</f>
        <v>Male. b. 04/07/1991</v>
      </c>
      <c r="AK226" s="3" t="str">
        <f>IF(VLOOKUP($C226,'All Girls &amp; Descendants - Edit'!$C$2:$AK$440,'All Girls &amp; Descendants - Edit'!AK$1,FALSE)=""," - ",(VLOOKUP($C226,'All Girls &amp; Descendants - Edit'!$C$2:$AK$440,'All Girls &amp; Descendants - Edit'!AK$1,FALSE)))</f>
        <v>b. 04/07/1991</v>
      </c>
    </row>
    <row r="227" spans="1:37" ht="19">
      <c r="A227">
        <f>VLOOKUP(B227,'Loyd List 1-190 - Edit'!$P$1:$R$219,3,FALSE)</f>
        <v>56</v>
      </c>
      <c r="B227">
        <f>'All Girls &amp; Descendants - Edit'!B228</f>
        <v>101</v>
      </c>
      <c r="C227" s="98" t="str">
        <f>'All Girls &amp; Descendants - Edit'!C228</f>
        <v>101eb</v>
      </c>
      <c r="D227" s="2" t="str">
        <f>'All Girls &amp; Descendants - Edit'!D228</f>
        <v>WILLS</v>
      </c>
      <c r="E227" t="str">
        <f>'All Girls &amp; Descendants - Edit'!E228</f>
        <v>George</v>
      </c>
      <c r="F227" t="str">
        <f>IF('All Girls &amp; Descendants - Edit'!F228="","",'All Girls &amp; Descendants - Edit'!F228)</f>
        <v>Edmund</v>
      </c>
      <c r="G227" t="str">
        <f>IF('All Girls &amp; Descendants - Edit'!G228="","",'All Girls &amp; Descendants - Edit'!G228)</f>
        <v>Hamilton</v>
      </c>
      <c r="H227" t="str">
        <f>IF('All Girls &amp; Descendants - Edit'!H228="","",'All Girls &amp; Descendants - Edit'!H228)</f>
        <v/>
      </c>
      <c r="I227">
        <f>VLOOKUP($C227,'All Girls &amp; Descendants - Edit'!$C$2:$AK$440,'All Girls &amp; Descendants - Edit'!I$1,FALSE)</f>
        <v>1993</v>
      </c>
      <c r="J227" t="str">
        <f>VLOOKUP($C227,'All Girls &amp; Descendants - Edit'!$C$2:$AK$440,'All Girls &amp; Descendants - Edit'!J$1,FALSE)</f>
        <v/>
      </c>
      <c r="K227" s="9"/>
      <c r="L227" t="str">
        <f t="shared" si="25"/>
        <v>29/08/1993</v>
      </c>
      <c r="M227" s="3">
        <f>VLOOKUP($C227,'All Girls &amp; Descendants - Edit'!$C$2:$AK$440,'All Girls &amp; Descendants - Edit'!M$1,FALSE)</f>
        <v>34210</v>
      </c>
      <c r="N227" s="3" t="str">
        <f>IF(VLOOKUP($C227,'All Girls &amp; Descendants - Edit'!$C$2:$AK$440,'All Girls &amp; Descendants - Edit'!N$1,FALSE)=""," - ",(VLOOKUP($C227,'All Girls &amp; Descendants - Edit'!$C$2:$AK$440,'All Girls &amp; Descendants - Edit'!N$1,FALSE)))</f>
        <v xml:space="preserve"> - </v>
      </c>
      <c r="O227" s="3" t="str">
        <f>IF(VLOOKUP($C227,'All Girls &amp; Descendants - Edit'!$C$2:$AK$440,'All Girls &amp; Descendants - Edit'!O$1,FALSE)="","",(VLOOKUP($C227,'All Girls &amp; Descendants - Edit'!$C$2:$AK$440,'All Girls &amp; Descendants - Edit'!O$1,FALSE)))</f>
        <v/>
      </c>
      <c r="P227" s="3" t="str">
        <f t="shared" si="26"/>
        <v/>
      </c>
      <c r="Q227" s="178" t="str">
        <f t="shared" si="27"/>
        <v>101e</v>
      </c>
      <c r="R227" s="23"/>
      <c r="S227" t="str">
        <f>VLOOKUP($C227,'All Girls &amp; Descendants - Edit'!$C$2:$AK$440,'All Girls &amp; Descendants - Edit'!S$1,FALSE)</f>
        <v>Male</v>
      </c>
      <c r="T227" s="176">
        <f t="shared" si="24"/>
        <v>7</v>
      </c>
      <c r="U227" s="176">
        <f t="shared" si="28"/>
        <v>5</v>
      </c>
      <c r="V227" s="176">
        <f t="shared" si="29"/>
        <v>5</v>
      </c>
      <c r="W227" s="177">
        <f t="shared" si="30"/>
        <v>2</v>
      </c>
      <c r="X227" s="3" t="str">
        <f>IF(VLOOKUP($C227,'All Girls &amp; Descendants - Edit'!$C$2:$AK$440,'All Girls &amp; Descendants - Edit'!X$1,FALSE)=""," - ",(VLOOKUP($C227,'All Girls &amp; Descendants - Edit'!$C$2:$AK$440,'All Girls &amp; Descendants - Edit'!X$1,FALSE)))</f>
        <v xml:space="preserve"> - </v>
      </c>
      <c r="Y227" s="3" t="str">
        <f>IF(VLOOKUP($C227,'All Girls &amp; Descendants - Edit'!$C$2:$AK$440,'All Girls &amp; Descendants - Edit'!Y$1,FALSE)=""," - ",(VLOOKUP($C227,'All Girls &amp; Descendants - Edit'!$C$2:$AK$440,'All Girls &amp; Descendants - Edit'!Y$1,FALSE)))</f>
        <v xml:space="preserve"> - </v>
      </c>
      <c r="Z227" s="3" t="str">
        <f>IF(VLOOKUP($C227,'All Girls &amp; Descendants - Edit'!$C$2:$AK$440,'All Girls &amp; Descendants - Edit'!Z$1,FALSE)=""," - ",(VLOOKUP($C227,'All Girls &amp; Descendants - Edit'!$C$2:$AK$440,'All Girls &amp; Descendants - Edit'!Z$1,FALSE)))</f>
        <v xml:space="preserve"> - </v>
      </c>
      <c r="AA227" s="101">
        <f>IF(VLOOKUP($C227,'All Girls &amp; Descendants - Edit'!$C$2:$AK$440,'All Girls &amp; Descendants - Edit'!AA$1,FALSE)=""," - ",(VLOOKUP($C227,'All Girls &amp; Descendants - Edit'!$C$2:$AK$440,'All Girls &amp; Descendants - Edit'!AA$1,FALSE)))</f>
        <v>247</v>
      </c>
      <c r="AB227" s="101">
        <f>IF(VLOOKUP($C227,'All Girls &amp; Descendants - Edit'!$C$2:$AK$440,'All Girls &amp; Descendants - Edit'!AB$1,FALSE)=""," - ",(VLOOKUP($C227,'All Girls &amp; Descendants - Edit'!$C$2:$AK$440,'All Girls &amp; Descendants - Edit'!AB$1,FALSE)))</f>
        <v>84</v>
      </c>
      <c r="AC227" s="101">
        <f>IF(VLOOKUP($C227,'All Girls &amp; Descendants - Edit'!$C$2:$AK$440,'All Girls &amp; Descendants - Edit'!AC$1,FALSE)=""," - ",(VLOOKUP($C227,'All Girls &amp; Descendants - Edit'!$C$2:$AK$440,'All Girls &amp; Descendants - Edit'!AC$1,FALSE)))</f>
        <v>2084</v>
      </c>
      <c r="AD227" s="3" t="str">
        <f>IF(VLOOKUP($C227,'All Girls &amp; Descendants - Edit'!$C$2:$AK$440,'All Girls &amp; Descendants - Edit'!AD$1,FALSE)=""," - ",(VLOOKUP($C227,'All Girls &amp; Descendants - Edit'!$C$2:$AK$440,'All Girls &amp; Descendants - Edit'!AD$1,FALSE)))</f>
        <v>101eb</v>
      </c>
      <c r="AE227" s="3" t="str">
        <f>IF(VLOOKUP($C227,'All Girls &amp; Descendants - Edit'!$C$2:$AK$440,'All Girls &amp; Descendants - Edit'!AE$1,FALSE)=""," - ",(VLOOKUP($C227,'All Girls &amp; Descendants - Edit'!$C$2:$AK$440,'All Girls &amp; Descendants - Edit'!AE$1,FALSE)))</f>
        <v>George Edmund Hamilton WILLS (1993 - )</v>
      </c>
      <c r="AF227" s="3" t="str">
        <f>IF(VLOOKUP($C227,'All Girls &amp; Descendants - Edit'!$C$2:$AK$440,'All Girls &amp; Descendants - Edit'!AF$1,FALSE)=""," - ",(VLOOKUP($C227,'All Girls &amp; Descendants - Edit'!$C$2:$AK$440,'All Girls &amp; Descendants - Edit'!AF$1,FALSE)))</f>
        <v>George WILLS (7th &amp; 101)</v>
      </c>
      <c r="AG227" s="3" t="str">
        <f>IF(VLOOKUP($C227,'All Girls &amp; Descendants - Edit'!$C$2:$AK$440,'All Girls &amp; Descendants - Edit'!AG$1,FALSE)=""," - ",(VLOOKUP($C227,'All Girls &amp; Descendants - Edit'!$C$2:$AK$440,'All Girls &amp; Descendants - Edit'!AG$1,FALSE)))</f>
        <v>Male</v>
      </c>
      <c r="AH227" s="3" t="str">
        <f>IF(VLOOKUP($C227,'All Girls &amp; Descendants - Edit'!$C$2:$AK$440,'All Girls &amp; Descendants - Edit'!AH$1,FALSE)=""," - ",(VLOOKUP($C227,'All Girls &amp; Descendants - Edit'!$C$2:$AK$440,'All Girls &amp; Descendants - Edit'!AH$1,FALSE)))</f>
        <v>7th</v>
      </c>
      <c r="AI227" s="3" t="str">
        <f>IF(VLOOKUP($C227,'All Girls &amp; Descendants - Edit'!$C$2:$AK$440,'All Girls &amp; Descendants - Edit'!AI$1,FALSE)=""," - ",(VLOOKUP($C227,'All Girls &amp; Descendants - Edit'!$C$2:$AK$440,'All Girls &amp; Descendants - Edit'!AI$1,FALSE)))</f>
        <v>Unmarried</v>
      </c>
      <c r="AJ227" s="3" t="str">
        <f>IF(VLOOKUP($C227,'All Girls &amp; Descendants - Edit'!$C$2:$AK$440,'All Girls &amp; Descendants - Edit'!AJ$1,FALSE)=""," - ",(VLOOKUP($C227,'All Girls &amp; Descendants - Edit'!$C$2:$AK$440,'All Girls &amp; Descendants - Edit'!AJ$1,FALSE)))</f>
        <v>Male. b. 29/08/1993</v>
      </c>
      <c r="AK227" s="3" t="str">
        <f>IF(VLOOKUP($C227,'All Girls &amp; Descendants - Edit'!$C$2:$AK$440,'All Girls &amp; Descendants - Edit'!AK$1,FALSE)=""," - ",(VLOOKUP($C227,'All Girls &amp; Descendants - Edit'!$C$2:$AK$440,'All Girls &amp; Descendants - Edit'!AK$1,FALSE)))</f>
        <v>b. 29/08/1993</v>
      </c>
    </row>
    <row r="228" spans="1:37" ht="19">
      <c r="A228">
        <f>VLOOKUP(B228,'Loyd List 1-190 - Edit'!$P$1:$R$219,3,FALSE)</f>
        <v>56</v>
      </c>
      <c r="B228">
        <f>'All Girls &amp; Descendants - Edit'!B229</f>
        <v>101</v>
      </c>
      <c r="C228" s="98" t="str">
        <f>'All Girls &amp; Descendants - Edit'!C229</f>
        <v>101ec</v>
      </c>
      <c r="D228" s="2" t="str">
        <f>'All Girls &amp; Descendants - Edit'!D229</f>
        <v>WILLS</v>
      </c>
      <c r="E228" t="str">
        <f>'All Girls &amp; Descendants - Edit'!E229</f>
        <v>Laura</v>
      </c>
      <c r="F228" t="str">
        <f>IF('All Girls &amp; Descendants - Edit'!F229="","",'All Girls &amp; Descendants - Edit'!F229)</f>
        <v>Felicity</v>
      </c>
      <c r="G228" t="str">
        <f>IF('All Girls &amp; Descendants - Edit'!G229="","",'All Girls &amp; Descendants - Edit'!G229)</f>
        <v>Hamilton</v>
      </c>
      <c r="H228" t="str">
        <f>IF('All Girls &amp; Descendants - Edit'!H229="","",'All Girls &amp; Descendants - Edit'!H229)</f>
        <v/>
      </c>
      <c r="I228">
        <f>VLOOKUP($C228,'All Girls &amp; Descendants - Edit'!$C$2:$AK$440,'All Girls &amp; Descendants - Edit'!I$1,FALSE)</f>
        <v>1996</v>
      </c>
      <c r="J228" t="str">
        <f>VLOOKUP($C228,'All Girls &amp; Descendants - Edit'!$C$2:$AK$440,'All Girls &amp; Descendants - Edit'!J$1,FALSE)</f>
        <v/>
      </c>
      <c r="K228" s="9"/>
      <c r="L228" t="str">
        <f t="shared" si="25"/>
        <v>14/02/1996</v>
      </c>
      <c r="M228" s="3">
        <f>VLOOKUP($C228,'All Girls &amp; Descendants - Edit'!$C$2:$AK$440,'All Girls &amp; Descendants - Edit'!M$1,FALSE)</f>
        <v>35109</v>
      </c>
      <c r="N228" s="3" t="str">
        <f>IF(VLOOKUP($C228,'All Girls &amp; Descendants - Edit'!$C$2:$AK$440,'All Girls &amp; Descendants - Edit'!N$1,FALSE)=""," - ",(VLOOKUP($C228,'All Girls &amp; Descendants - Edit'!$C$2:$AK$440,'All Girls &amp; Descendants - Edit'!N$1,FALSE)))</f>
        <v xml:space="preserve"> - </v>
      </c>
      <c r="O228" s="3" t="str">
        <f>IF(VLOOKUP($C228,'All Girls &amp; Descendants - Edit'!$C$2:$AK$440,'All Girls &amp; Descendants - Edit'!O$1,FALSE)="","",(VLOOKUP($C228,'All Girls &amp; Descendants - Edit'!$C$2:$AK$440,'All Girls &amp; Descendants - Edit'!O$1,FALSE)))</f>
        <v/>
      </c>
      <c r="P228" s="3" t="str">
        <f t="shared" si="26"/>
        <v/>
      </c>
      <c r="Q228" s="178" t="str">
        <f t="shared" si="27"/>
        <v>101e</v>
      </c>
      <c r="R228" s="23"/>
      <c r="S228" t="str">
        <f>VLOOKUP($C228,'All Girls &amp; Descendants - Edit'!$C$2:$AK$440,'All Girls &amp; Descendants - Edit'!S$1,FALSE)</f>
        <v>Female</v>
      </c>
      <c r="T228" s="176">
        <f t="shared" si="24"/>
        <v>7</v>
      </c>
      <c r="U228" s="176">
        <f t="shared" si="28"/>
        <v>5</v>
      </c>
      <c r="V228" s="176">
        <f t="shared" si="29"/>
        <v>5</v>
      </c>
      <c r="W228" s="177">
        <f t="shared" si="30"/>
        <v>2</v>
      </c>
      <c r="X228" s="3" t="str">
        <f>IF(VLOOKUP($C228,'All Girls &amp; Descendants - Edit'!$C$2:$AK$440,'All Girls &amp; Descendants - Edit'!X$1,FALSE)=""," - ",(VLOOKUP($C228,'All Girls &amp; Descendants - Edit'!$C$2:$AK$440,'All Girls &amp; Descendants - Edit'!X$1,FALSE)))</f>
        <v xml:space="preserve"> - </v>
      </c>
      <c r="Y228" s="3" t="str">
        <f>IF(VLOOKUP($C228,'All Girls &amp; Descendants - Edit'!$C$2:$AK$440,'All Girls &amp; Descendants - Edit'!Y$1,FALSE)=""," - ",(VLOOKUP($C228,'All Girls &amp; Descendants - Edit'!$C$2:$AK$440,'All Girls &amp; Descendants - Edit'!Y$1,FALSE)))</f>
        <v xml:space="preserve"> - </v>
      </c>
      <c r="Z228" s="3" t="str">
        <f>IF(VLOOKUP($C228,'All Girls &amp; Descendants - Edit'!$C$2:$AK$440,'All Girls &amp; Descendants - Edit'!Z$1,FALSE)=""," - ",(VLOOKUP($C228,'All Girls &amp; Descendants - Edit'!$C$2:$AK$440,'All Girls &amp; Descendants - Edit'!Z$1,FALSE)))</f>
        <v xml:space="preserve"> - </v>
      </c>
      <c r="AA228" s="101">
        <f>IF(VLOOKUP($C228,'All Girls &amp; Descendants - Edit'!$C$2:$AK$440,'All Girls &amp; Descendants - Edit'!AA$1,FALSE)=""," - ",(VLOOKUP($C228,'All Girls &amp; Descendants - Edit'!$C$2:$AK$440,'All Girls &amp; Descendants - Edit'!AA$1,FALSE)))</f>
        <v>248</v>
      </c>
      <c r="AB228" s="101">
        <f>IF(VLOOKUP($C228,'All Girls &amp; Descendants - Edit'!$C$2:$AK$440,'All Girls &amp; Descendants - Edit'!AB$1,FALSE)=""," - ",(VLOOKUP($C228,'All Girls &amp; Descendants - Edit'!$C$2:$AK$440,'All Girls &amp; Descendants - Edit'!AB$1,FALSE)))</f>
        <v>85</v>
      </c>
      <c r="AC228" s="101">
        <f>IF(VLOOKUP($C228,'All Girls &amp; Descendants - Edit'!$C$2:$AK$440,'All Girls &amp; Descendants - Edit'!AC$1,FALSE)=""," - ",(VLOOKUP($C228,'All Girls &amp; Descendants - Edit'!$C$2:$AK$440,'All Girls &amp; Descendants - Edit'!AC$1,FALSE)))</f>
        <v>2085</v>
      </c>
      <c r="AD228" s="3" t="str">
        <f>IF(VLOOKUP($C228,'All Girls &amp; Descendants - Edit'!$C$2:$AK$440,'All Girls &amp; Descendants - Edit'!AD$1,FALSE)=""," - ",(VLOOKUP($C228,'All Girls &amp; Descendants - Edit'!$C$2:$AK$440,'All Girls &amp; Descendants - Edit'!AD$1,FALSE)))</f>
        <v>101ec</v>
      </c>
      <c r="AE228" s="3" t="str">
        <f>IF(VLOOKUP($C228,'All Girls &amp; Descendants - Edit'!$C$2:$AK$440,'All Girls &amp; Descendants - Edit'!AE$1,FALSE)=""," - ",(VLOOKUP($C228,'All Girls &amp; Descendants - Edit'!$C$2:$AK$440,'All Girls &amp; Descendants - Edit'!AE$1,FALSE)))</f>
        <v>Laura Felicity Hamilton WILLS (1996 - )</v>
      </c>
      <c r="AF228" s="3" t="str">
        <f>IF(VLOOKUP($C228,'All Girls &amp; Descendants - Edit'!$C$2:$AK$440,'All Girls &amp; Descendants - Edit'!AF$1,FALSE)=""," - ",(VLOOKUP($C228,'All Girls &amp; Descendants - Edit'!$C$2:$AK$440,'All Girls &amp; Descendants - Edit'!AF$1,FALSE)))</f>
        <v>Laura WILLS (7th &amp; 101)</v>
      </c>
      <c r="AG228" s="3" t="str">
        <f>IF(VLOOKUP($C228,'All Girls &amp; Descendants - Edit'!$C$2:$AK$440,'All Girls &amp; Descendants - Edit'!AG$1,FALSE)=""," - ",(VLOOKUP($C228,'All Girls &amp; Descendants - Edit'!$C$2:$AK$440,'All Girls &amp; Descendants - Edit'!AG$1,FALSE)))</f>
        <v>Female</v>
      </c>
      <c r="AH228" s="3" t="str">
        <f>IF(VLOOKUP($C228,'All Girls &amp; Descendants - Edit'!$C$2:$AK$440,'All Girls &amp; Descendants - Edit'!AH$1,FALSE)=""," - ",(VLOOKUP($C228,'All Girls &amp; Descendants - Edit'!$C$2:$AK$440,'All Girls &amp; Descendants - Edit'!AH$1,FALSE)))</f>
        <v>7th</v>
      </c>
      <c r="AI228" s="3" t="str">
        <f>IF(VLOOKUP($C228,'All Girls &amp; Descendants - Edit'!$C$2:$AK$440,'All Girls &amp; Descendants - Edit'!AI$1,FALSE)=""," - ",(VLOOKUP($C228,'All Girls &amp; Descendants - Edit'!$C$2:$AK$440,'All Girls &amp; Descendants - Edit'!AI$1,FALSE)))</f>
        <v>Unmarried</v>
      </c>
      <c r="AJ228" s="3" t="str">
        <f>IF(VLOOKUP($C228,'All Girls &amp; Descendants - Edit'!$C$2:$AK$440,'All Girls &amp; Descendants - Edit'!AJ$1,FALSE)=""," - ",(VLOOKUP($C228,'All Girls &amp; Descendants - Edit'!$C$2:$AK$440,'All Girls &amp; Descendants - Edit'!AJ$1,FALSE)))</f>
        <v>Female. b. 14/02/1996</v>
      </c>
      <c r="AK228" s="3" t="str">
        <f>IF(VLOOKUP($C228,'All Girls &amp; Descendants - Edit'!$C$2:$AK$440,'All Girls &amp; Descendants - Edit'!AK$1,FALSE)=""," - ",(VLOOKUP($C228,'All Girls &amp; Descendants - Edit'!$C$2:$AK$440,'All Girls &amp; Descendants - Edit'!AK$1,FALSE)))</f>
        <v>b. 14/02/1996</v>
      </c>
    </row>
    <row r="229" spans="1:37" ht="19">
      <c r="A229">
        <f>VLOOKUP(B229,'Loyd List 1-190 - Edit'!$P$1:$R$219,3,FALSE)</f>
        <v>56</v>
      </c>
      <c r="B229">
        <f>'All Girls &amp; Descendants - Edit'!B230</f>
        <v>101</v>
      </c>
      <c r="C229" s="98" t="str">
        <f>'All Girls &amp; Descendants - Edit'!C230</f>
        <v>101fa</v>
      </c>
      <c r="D229" s="2" t="str">
        <f>'All Girls &amp; Descendants - Edit'!D230</f>
        <v>HEYWOOD</v>
      </c>
      <c r="E229" t="str">
        <f>'All Girls &amp; Descendants - Edit'!E230</f>
        <v>Richard</v>
      </c>
      <c r="F229" t="str">
        <f>IF('All Girls &amp; Descendants - Edit'!F230="","",'All Girls &amp; Descendants - Edit'!F230)</f>
        <v>Garnett</v>
      </c>
      <c r="G229" t="str">
        <f>IF('All Girls &amp; Descendants - Edit'!G230="","",'All Girls &amp; Descendants - Edit'!G230)</f>
        <v/>
      </c>
      <c r="H229" t="str">
        <f>IF('All Girls &amp; Descendants - Edit'!H230="","",'All Girls &amp; Descendants - Edit'!H230)</f>
        <v/>
      </c>
      <c r="I229">
        <f>VLOOKUP($C229,'All Girls &amp; Descendants - Edit'!$C$2:$AK$440,'All Girls &amp; Descendants - Edit'!I$1,FALSE)</f>
        <v>1993</v>
      </c>
      <c r="J229" t="str">
        <f>VLOOKUP($C229,'All Girls &amp; Descendants - Edit'!$C$2:$AK$440,'All Girls &amp; Descendants - Edit'!J$1,FALSE)</f>
        <v/>
      </c>
      <c r="K229" s="9"/>
      <c r="L229" t="str">
        <f t="shared" si="25"/>
        <v>13/12/1993</v>
      </c>
      <c r="M229" s="3">
        <f>VLOOKUP($C229,'All Girls &amp; Descendants - Edit'!$C$2:$AK$440,'All Girls &amp; Descendants - Edit'!M$1,FALSE)</f>
        <v>34316</v>
      </c>
      <c r="N229" s="3" t="str">
        <f>IF(VLOOKUP($C229,'All Girls &amp; Descendants - Edit'!$C$2:$AK$440,'All Girls &amp; Descendants - Edit'!N$1,FALSE)=""," - ",(VLOOKUP($C229,'All Girls &amp; Descendants - Edit'!$C$2:$AK$440,'All Girls &amp; Descendants - Edit'!N$1,FALSE)))</f>
        <v xml:space="preserve"> - </v>
      </c>
      <c r="O229" s="3" t="str">
        <f>IF(VLOOKUP($C229,'All Girls &amp; Descendants - Edit'!$C$2:$AK$440,'All Girls &amp; Descendants - Edit'!O$1,FALSE)="","",(VLOOKUP($C229,'All Girls &amp; Descendants - Edit'!$C$2:$AK$440,'All Girls &amp; Descendants - Edit'!O$1,FALSE)))</f>
        <v/>
      </c>
      <c r="P229" s="3" t="str">
        <f t="shared" si="26"/>
        <v/>
      </c>
      <c r="Q229" s="178" t="str">
        <f t="shared" si="27"/>
        <v>101f</v>
      </c>
      <c r="R229" s="23"/>
      <c r="S229" t="str">
        <f>VLOOKUP($C229,'All Girls &amp; Descendants - Edit'!$C$2:$AK$440,'All Girls &amp; Descendants - Edit'!S$1,FALSE)</f>
        <v>Male</v>
      </c>
      <c r="T229" s="176">
        <f t="shared" si="24"/>
        <v>7</v>
      </c>
      <c r="U229" s="176">
        <f t="shared" si="28"/>
        <v>5</v>
      </c>
      <c r="V229" s="176">
        <f t="shared" si="29"/>
        <v>5</v>
      </c>
      <c r="W229" s="177">
        <f t="shared" si="30"/>
        <v>2</v>
      </c>
      <c r="X229" s="3" t="str">
        <f>IF(VLOOKUP($C229,'All Girls &amp; Descendants - Edit'!$C$2:$AK$440,'All Girls &amp; Descendants - Edit'!X$1,FALSE)=""," - ",(VLOOKUP($C229,'All Girls &amp; Descendants - Edit'!$C$2:$AK$440,'All Girls &amp; Descendants - Edit'!X$1,FALSE)))</f>
        <v xml:space="preserve"> - </v>
      </c>
      <c r="Y229" s="3" t="str">
        <f>IF(VLOOKUP($C229,'All Girls &amp; Descendants - Edit'!$C$2:$AK$440,'All Girls &amp; Descendants - Edit'!Y$1,FALSE)=""," - ",(VLOOKUP($C229,'All Girls &amp; Descendants - Edit'!$C$2:$AK$440,'All Girls &amp; Descendants - Edit'!Y$1,FALSE)))</f>
        <v xml:space="preserve"> - </v>
      </c>
      <c r="Z229" s="3" t="str">
        <f>IF(VLOOKUP($C229,'All Girls &amp; Descendants - Edit'!$C$2:$AK$440,'All Girls &amp; Descendants - Edit'!Z$1,FALSE)=""," - ",(VLOOKUP($C229,'All Girls &amp; Descendants - Edit'!$C$2:$AK$440,'All Girls &amp; Descendants - Edit'!Z$1,FALSE)))</f>
        <v>Baptised at St John’s, Pewsey, Wiltshire.</v>
      </c>
      <c r="AA229" s="101">
        <f>IF(VLOOKUP($C229,'All Girls &amp; Descendants - Edit'!$C$2:$AK$440,'All Girls &amp; Descendants - Edit'!AA$1,FALSE)=""," - ",(VLOOKUP($C229,'All Girls &amp; Descendants - Edit'!$C$2:$AK$440,'All Girls &amp; Descendants - Edit'!AA$1,FALSE)))</f>
        <v>250</v>
      </c>
      <c r="AB229" s="101">
        <f>IF(VLOOKUP($C229,'All Girls &amp; Descendants - Edit'!$C$2:$AK$440,'All Girls &amp; Descendants - Edit'!AB$1,FALSE)=""," - ",(VLOOKUP($C229,'All Girls &amp; Descendants - Edit'!$C$2:$AK$440,'All Girls &amp; Descendants - Edit'!AB$1,FALSE)))</f>
        <v>86</v>
      </c>
      <c r="AC229" s="101">
        <f>IF(VLOOKUP($C229,'All Girls &amp; Descendants - Edit'!$C$2:$AK$440,'All Girls &amp; Descendants - Edit'!AC$1,FALSE)=""," - ",(VLOOKUP($C229,'All Girls &amp; Descendants - Edit'!$C$2:$AK$440,'All Girls &amp; Descendants - Edit'!AC$1,FALSE)))</f>
        <v>2086</v>
      </c>
      <c r="AD229" s="3" t="str">
        <f>IF(VLOOKUP($C229,'All Girls &amp; Descendants - Edit'!$C$2:$AK$440,'All Girls &amp; Descendants - Edit'!AD$1,FALSE)=""," - ",(VLOOKUP($C229,'All Girls &amp; Descendants - Edit'!$C$2:$AK$440,'All Girls &amp; Descendants - Edit'!AD$1,FALSE)))</f>
        <v>101fa</v>
      </c>
      <c r="AE229" s="3" t="str">
        <f>IF(VLOOKUP($C229,'All Girls &amp; Descendants - Edit'!$C$2:$AK$440,'All Girls &amp; Descendants - Edit'!AE$1,FALSE)=""," - ",(VLOOKUP($C229,'All Girls &amp; Descendants - Edit'!$C$2:$AK$440,'All Girls &amp; Descendants - Edit'!AE$1,FALSE)))</f>
        <v>Richard Garnett  HEYWOOD (1993 - )</v>
      </c>
      <c r="AF229" s="3" t="str">
        <f>IF(VLOOKUP($C229,'All Girls &amp; Descendants - Edit'!$C$2:$AK$440,'All Girls &amp; Descendants - Edit'!AF$1,FALSE)=""," - ",(VLOOKUP($C229,'All Girls &amp; Descendants - Edit'!$C$2:$AK$440,'All Girls &amp; Descendants - Edit'!AF$1,FALSE)))</f>
        <v>Richard HEYWOOD (7th &amp; 101)</v>
      </c>
      <c r="AG229" s="3" t="str">
        <f>IF(VLOOKUP($C229,'All Girls &amp; Descendants - Edit'!$C$2:$AK$440,'All Girls &amp; Descendants - Edit'!AG$1,FALSE)=""," - ",(VLOOKUP($C229,'All Girls &amp; Descendants - Edit'!$C$2:$AK$440,'All Girls &amp; Descendants - Edit'!AG$1,FALSE)))</f>
        <v>Male</v>
      </c>
      <c r="AH229" s="3" t="str">
        <f>IF(VLOOKUP($C229,'All Girls &amp; Descendants - Edit'!$C$2:$AK$440,'All Girls &amp; Descendants - Edit'!AH$1,FALSE)=""," - ",(VLOOKUP($C229,'All Girls &amp; Descendants - Edit'!$C$2:$AK$440,'All Girls &amp; Descendants - Edit'!AH$1,FALSE)))</f>
        <v>7th</v>
      </c>
      <c r="AI229" s="3" t="str">
        <f>IF(VLOOKUP($C229,'All Girls &amp; Descendants - Edit'!$C$2:$AK$440,'All Girls &amp; Descendants - Edit'!AI$1,FALSE)=""," - ",(VLOOKUP($C229,'All Girls &amp; Descendants - Edit'!$C$2:$AK$440,'All Girls &amp; Descendants - Edit'!AI$1,FALSE)))</f>
        <v>Unmarried</v>
      </c>
      <c r="AJ229" s="3" t="str">
        <f>IF(VLOOKUP($C229,'All Girls &amp; Descendants - Edit'!$C$2:$AK$440,'All Girls &amp; Descendants - Edit'!AJ$1,FALSE)=""," - ",(VLOOKUP($C229,'All Girls &amp; Descendants - Edit'!$C$2:$AK$440,'All Girls &amp; Descendants - Edit'!AJ$1,FALSE)))</f>
        <v>Male. b. 13/12/1993 Baptised at St John’s, Pewsey, Wiltshire.</v>
      </c>
      <c r="AK229" s="3" t="str">
        <f>IF(VLOOKUP($C229,'All Girls &amp; Descendants - Edit'!$C$2:$AK$440,'All Girls &amp; Descendants - Edit'!AK$1,FALSE)=""," - ",(VLOOKUP($C229,'All Girls &amp; Descendants - Edit'!$C$2:$AK$440,'All Girls &amp; Descendants - Edit'!AK$1,FALSE)))</f>
        <v>b. 13/12/1993</v>
      </c>
    </row>
    <row r="230" spans="1:37" ht="19">
      <c r="A230">
        <f>VLOOKUP(B230,'Loyd List 1-190 - Edit'!$P$1:$R$219,3,FALSE)</f>
        <v>56</v>
      </c>
      <c r="B230">
        <f>'All Girls &amp; Descendants - Edit'!B231</f>
        <v>101</v>
      </c>
      <c r="C230" s="98" t="str">
        <f>'All Girls &amp; Descendants - Edit'!C231</f>
        <v>101fb</v>
      </c>
      <c r="D230" s="2" t="str">
        <f>'All Girls &amp; Descendants - Edit'!D231</f>
        <v>HEYWOOD</v>
      </c>
      <c r="E230" t="str">
        <f>'All Girls &amp; Descendants - Edit'!E231</f>
        <v>Alec</v>
      </c>
      <c r="F230" t="str">
        <f>IF('All Girls &amp; Descendants - Edit'!F231="","",'All Girls &amp; Descendants - Edit'!F231)</f>
        <v>Garnett</v>
      </c>
      <c r="G230" t="str">
        <f>IF('All Girls &amp; Descendants - Edit'!G231="","",'All Girls &amp; Descendants - Edit'!G231)</f>
        <v/>
      </c>
      <c r="H230" t="str">
        <f>IF('All Girls &amp; Descendants - Edit'!H231="","",'All Girls &amp; Descendants - Edit'!H231)</f>
        <v/>
      </c>
      <c r="I230">
        <f>VLOOKUP($C230,'All Girls &amp; Descendants - Edit'!$C$2:$AK$440,'All Girls &amp; Descendants - Edit'!I$1,FALSE)</f>
        <v>1996</v>
      </c>
      <c r="J230" t="str">
        <f>VLOOKUP($C230,'All Girls &amp; Descendants - Edit'!$C$2:$AK$440,'All Girls &amp; Descendants - Edit'!J$1,FALSE)</f>
        <v/>
      </c>
      <c r="K230" s="9"/>
      <c r="L230" t="str">
        <f t="shared" si="25"/>
        <v>22/02/1996</v>
      </c>
      <c r="M230" s="3">
        <f>VLOOKUP($C230,'All Girls &amp; Descendants - Edit'!$C$2:$AK$440,'All Girls &amp; Descendants - Edit'!M$1,FALSE)</f>
        <v>35117</v>
      </c>
      <c r="N230" s="3" t="str">
        <f>IF(VLOOKUP($C230,'All Girls &amp; Descendants - Edit'!$C$2:$AK$440,'All Girls &amp; Descendants - Edit'!N$1,FALSE)=""," - ",(VLOOKUP($C230,'All Girls &amp; Descendants - Edit'!$C$2:$AK$440,'All Girls &amp; Descendants - Edit'!N$1,FALSE)))</f>
        <v xml:space="preserve"> - </v>
      </c>
      <c r="O230" s="3" t="str">
        <f>IF(VLOOKUP($C230,'All Girls &amp; Descendants - Edit'!$C$2:$AK$440,'All Girls &amp; Descendants - Edit'!O$1,FALSE)="","",(VLOOKUP($C230,'All Girls &amp; Descendants - Edit'!$C$2:$AK$440,'All Girls &amp; Descendants - Edit'!O$1,FALSE)))</f>
        <v/>
      </c>
      <c r="P230" s="3" t="str">
        <f t="shared" si="26"/>
        <v/>
      </c>
      <c r="Q230" s="178" t="str">
        <f t="shared" si="27"/>
        <v>101f</v>
      </c>
      <c r="R230" s="23"/>
      <c r="S230" t="str">
        <f>VLOOKUP($C230,'All Girls &amp; Descendants - Edit'!$C$2:$AK$440,'All Girls &amp; Descendants - Edit'!S$1,FALSE)</f>
        <v>Male</v>
      </c>
      <c r="T230" s="176">
        <f t="shared" si="24"/>
        <v>7</v>
      </c>
      <c r="U230" s="176">
        <f t="shared" si="28"/>
        <v>5</v>
      </c>
      <c r="V230" s="176">
        <f t="shared" si="29"/>
        <v>5</v>
      </c>
      <c r="W230" s="177">
        <f t="shared" si="30"/>
        <v>2</v>
      </c>
      <c r="X230" s="3" t="str">
        <f>IF(VLOOKUP($C230,'All Girls &amp; Descendants - Edit'!$C$2:$AK$440,'All Girls &amp; Descendants - Edit'!X$1,FALSE)=""," - ",(VLOOKUP($C230,'All Girls &amp; Descendants - Edit'!$C$2:$AK$440,'All Girls &amp; Descendants - Edit'!X$1,FALSE)))</f>
        <v xml:space="preserve"> - </v>
      </c>
      <c r="Y230" s="3" t="str">
        <f>IF(VLOOKUP($C230,'All Girls &amp; Descendants - Edit'!$C$2:$AK$440,'All Girls &amp; Descendants - Edit'!Y$1,FALSE)=""," - ",(VLOOKUP($C230,'All Girls &amp; Descendants - Edit'!$C$2:$AK$440,'All Girls &amp; Descendants - Edit'!Y$1,FALSE)))</f>
        <v xml:space="preserve"> - </v>
      </c>
      <c r="Z230" s="3" t="str">
        <f>IF(VLOOKUP($C230,'All Girls &amp; Descendants - Edit'!$C$2:$AK$440,'All Girls &amp; Descendants - Edit'!Z$1,FALSE)=""," - ",(VLOOKUP($C230,'All Girls &amp; Descendants - Edit'!$C$2:$AK$440,'All Girls &amp; Descendants - Edit'!Z$1,FALSE)))</f>
        <v>Baptised at St John’s, Pewsey, Wiltshire.</v>
      </c>
      <c r="AA230" s="101">
        <f>IF(VLOOKUP($C230,'All Girls &amp; Descendants - Edit'!$C$2:$AK$440,'All Girls &amp; Descendants - Edit'!AA$1,FALSE)=""," - ",(VLOOKUP($C230,'All Girls &amp; Descendants - Edit'!$C$2:$AK$440,'All Girls &amp; Descendants - Edit'!AA$1,FALSE)))</f>
        <v>251</v>
      </c>
      <c r="AB230" s="101">
        <f>IF(VLOOKUP($C230,'All Girls &amp; Descendants - Edit'!$C$2:$AK$440,'All Girls &amp; Descendants - Edit'!AB$1,FALSE)=""," - ",(VLOOKUP($C230,'All Girls &amp; Descendants - Edit'!$C$2:$AK$440,'All Girls &amp; Descendants - Edit'!AB$1,FALSE)))</f>
        <v>87</v>
      </c>
      <c r="AC230" s="101">
        <f>IF(VLOOKUP($C230,'All Girls &amp; Descendants - Edit'!$C$2:$AK$440,'All Girls &amp; Descendants - Edit'!AC$1,FALSE)=""," - ",(VLOOKUP($C230,'All Girls &amp; Descendants - Edit'!$C$2:$AK$440,'All Girls &amp; Descendants - Edit'!AC$1,FALSE)))</f>
        <v>2087</v>
      </c>
      <c r="AD230" s="3" t="str">
        <f>IF(VLOOKUP($C230,'All Girls &amp; Descendants - Edit'!$C$2:$AK$440,'All Girls &amp; Descendants - Edit'!AD$1,FALSE)=""," - ",(VLOOKUP($C230,'All Girls &amp; Descendants - Edit'!$C$2:$AK$440,'All Girls &amp; Descendants - Edit'!AD$1,FALSE)))</f>
        <v>101fb</v>
      </c>
      <c r="AE230" s="3" t="str">
        <f>IF(VLOOKUP($C230,'All Girls &amp; Descendants - Edit'!$C$2:$AK$440,'All Girls &amp; Descendants - Edit'!AE$1,FALSE)=""," - ",(VLOOKUP($C230,'All Girls &amp; Descendants - Edit'!$C$2:$AK$440,'All Girls &amp; Descendants - Edit'!AE$1,FALSE)))</f>
        <v>Alec Garnett  HEYWOOD (1996 - )</v>
      </c>
      <c r="AF230" s="3" t="str">
        <f>IF(VLOOKUP($C230,'All Girls &amp; Descendants - Edit'!$C$2:$AK$440,'All Girls &amp; Descendants - Edit'!AF$1,FALSE)=""," - ",(VLOOKUP($C230,'All Girls &amp; Descendants - Edit'!$C$2:$AK$440,'All Girls &amp; Descendants - Edit'!AF$1,FALSE)))</f>
        <v>Alec HEYWOOD (7th &amp; 101)</v>
      </c>
      <c r="AG230" s="3" t="str">
        <f>IF(VLOOKUP($C230,'All Girls &amp; Descendants - Edit'!$C$2:$AK$440,'All Girls &amp; Descendants - Edit'!AG$1,FALSE)=""," - ",(VLOOKUP($C230,'All Girls &amp; Descendants - Edit'!$C$2:$AK$440,'All Girls &amp; Descendants - Edit'!AG$1,FALSE)))</f>
        <v>Male</v>
      </c>
      <c r="AH230" s="3" t="str">
        <f>IF(VLOOKUP($C230,'All Girls &amp; Descendants - Edit'!$C$2:$AK$440,'All Girls &amp; Descendants - Edit'!AH$1,FALSE)=""," - ",(VLOOKUP($C230,'All Girls &amp; Descendants - Edit'!$C$2:$AK$440,'All Girls &amp; Descendants - Edit'!AH$1,FALSE)))</f>
        <v>7th</v>
      </c>
      <c r="AI230" s="3" t="str">
        <f>IF(VLOOKUP($C230,'All Girls &amp; Descendants - Edit'!$C$2:$AK$440,'All Girls &amp; Descendants - Edit'!AI$1,FALSE)=""," - ",(VLOOKUP($C230,'All Girls &amp; Descendants - Edit'!$C$2:$AK$440,'All Girls &amp; Descendants - Edit'!AI$1,FALSE)))</f>
        <v>Unmarried</v>
      </c>
      <c r="AJ230" s="3" t="str">
        <f>IF(VLOOKUP($C230,'All Girls &amp; Descendants - Edit'!$C$2:$AK$440,'All Girls &amp; Descendants - Edit'!AJ$1,FALSE)=""," - ",(VLOOKUP($C230,'All Girls &amp; Descendants - Edit'!$C$2:$AK$440,'All Girls &amp; Descendants - Edit'!AJ$1,FALSE)))</f>
        <v>Male. b. 22/02/1996 Baptised at St John’s, Pewsey, Wiltshire.</v>
      </c>
      <c r="AK230" s="3" t="str">
        <f>IF(VLOOKUP($C230,'All Girls &amp; Descendants - Edit'!$C$2:$AK$440,'All Girls &amp; Descendants - Edit'!AK$1,FALSE)=""," - ",(VLOOKUP($C230,'All Girls &amp; Descendants - Edit'!$C$2:$AK$440,'All Girls &amp; Descendants - Edit'!AK$1,FALSE)))</f>
        <v>b. 22/02/1996</v>
      </c>
    </row>
    <row r="231" spans="1:37" ht="19">
      <c r="A231">
        <f>VLOOKUP(B231,'Loyd List 1-190 - Edit'!$P$1:$R$219,3,FALSE)</f>
        <v>62</v>
      </c>
      <c r="B231">
        <f>'All Girls &amp; Descendants - Edit'!B232</f>
        <v>102</v>
      </c>
      <c r="C231" s="98" t="str">
        <f>'All Girls &amp; Descendants - Edit'!C232</f>
        <v>102ba</v>
      </c>
      <c r="D231" s="2" t="str">
        <f>'All Girls &amp; Descendants - Edit'!D232</f>
        <v>DUNLOP</v>
      </c>
      <c r="E231" t="str">
        <f>'All Girls &amp; Descendants - Edit'!E232</f>
        <v>Ella</v>
      </c>
      <c r="F231" t="str">
        <f>IF('All Girls &amp; Descendants - Edit'!F232="","",'All Girls &amp; Descendants - Edit'!F232)</f>
        <v>Genevieve</v>
      </c>
      <c r="G231" t="str">
        <f>IF('All Girls &amp; Descendants - Edit'!G232="","",'All Girls &amp; Descendants - Edit'!G232)</f>
        <v>Elgin</v>
      </c>
      <c r="H231" t="str">
        <f>IF('All Girls &amp; Descendants - Edit'!H232="","",'All Girls &amp; Descendants - Edit'!H232)</f>
        <v/>
      </c>
      <c r="I231">
        <f>VLOOKUP($C231,'All Girls &amp; Descendants - Edit'!$C$2:$AK$440,'All Girls &amp; Descendants - Edit'!I$1,FALSE)</f>
        <v>1998</v>
      </c>
      <c r="J231" t="str">
        <f>VLOOKUP($C231,'All Girls &amp; Descendants - Edit'!$C$2:$AK$440,'All Girls &amp; Descendants - Edit'!J$1,FALSE)</f>
        <v/>
      </c>
      <c r="K231" s="9"/>
      <c r="L231" t="str">
        <f t="shared" si="25"/>
        <v>25/03/1998</v>
      </c>
      <c r="M231" s="3">
        <f>VLOOKUP($C231,'All Girls &amp; Descendants - Edit'!$C$2:$AK$440,'All Girls &amp; Descendants - Edit'!M$1,FALSE)</f>
        <v>35879</v>
      </c>
      <c r="N231" s="3" t="str">
        <f>IF(VLOOKUP($C231,'All Girls &amp; Descendants - Edit'!$C$2:$AK$440,'All Girls &amp; Descendants - Edit'!N$1,FALSE)=""," - ",(VLOOKUP($C231,'All Girls &amp; Descendants - Edit'!$C$2:$AK$440,'All Girls &amp; Descendants - Edit'!N$1,FALSE)))</f>
        <v xml:space="preserve"> - </v>
      </c>
      <c r="O231" s="3" t="str">
        <f>IF(VLOOKUP($C231,'All Girls &amp; Descendants - Edit'!$C$2:$AK$440,'All Girls &amp; Descendants - Edit'!O$1,FALSE)="","",(VLOOKUP($C231,'All Girls &amp; Descendants - Edit'!$C$2:$AK$440,'All Girls &amp; Descendants - Edit'!O$1,FALSE)))</f>
        <v/>
      </c>
      <c r="P231" s="3" t="str">
        <f t="shared" si="26"/>
        <v/>
      </c>
      <c r="Q231" s="178" t="str">
        <f t="shared" si="27"/>
        <v>102b</v>
      </c>
      <c r="R231" s="23"/>
      <c r="S231" t="str">
        <f>VLOOKUP($C231,'All Girls &amp; Descendants - Edit'!$C$2:$AK$440,'All Girls &amp; Descendants - Edit'!S$1,FALSE)</f>
        <v>Female</v>
      </c>
      <c r="T231" s="176">
        <f t="shared" si="24"/>
        <v>7</v>
      </c>
      <c r="U231" s="176">
        <f t="shared" si="28"/>
        <v>5</v>
      </c>
      <c r="V231" s="176">
        <f t="shared" si="29"/>
        <v>5</v>
      </c>
      <c r="W231" s="177">
        <f t="shared" si="30"/>
        <v>2</v>
      </c>
      <c r="X231" s="3" t="str">
        <f>IF(VLOOKUP($C231,'All Girls &amp; Descendants - Edit'!$C$2:$AK$440,'All Girls &amp; Descendants - Edit'!X$1,FALSE)=""," - ",(VLOOKUP($C231,'All Girls &amp; Descendants - Edit'!$C$2:$AK$440,'All Girls &amp; Descendants - Edit'!X$1,FALSE)))</f>
        <v xml:space="preserve"> - </v>
      </c>
      <c r="Y231" s="3" t="str">
        <f>IF(VLOOKUP($C231,'All Girls &amp; Descendants - Edit'!$C$2:$AK$440,'All Girls &amp; Descendants - Edit'!Y$1,FALSE)=""," - ",(VLOOKUP($C231,'All Girls &amp; Descendants - Edit'!$C$2:$AK$440,'All Girls &amp; Descendants - Edit'!Y$1,FALSE)))</f>
        <v xml:space="preserve"> - </v>
      </c>
      <c r="Z231" s="3" t="str">
        <f>IF(VLOOKUP($C231,'All Girls &amp; Descendants - Edit'!$C$2:$AK$440,'All Girls &amp; Descendants - Edit'!Z$1,FALSE)=""," - ",(VLOOKUP($C231,'All Girls &amp; Descendants - Edit'!$C$2:$AK$440,'All Girls &amp; Descendants - Edit'!Z$1,FALSE)))</f>
        <v>Born at Hoechst General Hospital, Frankfurt am Main, Germany. Baptised 11 Oct 1998 at St Mary
Abbots, London W8. Educated: Ladies College, Guernsey 2011-14; Canford School, Dorset (scholar) 2014-16; Brasenose, Oxford 2016-2019, (BA Hons Med Science); Green Templeton, Oxford from 2020 (for BM BCh), various papers published.</v>
      </c>
      <c r="AA231" s="101">
        <f>IF(VLOOKUP($C231,'All Girls &amp; Descendants - Edit'!$C$2:$AK$440,'All Girls &amp; Descendants - Edit'!AA$1,FALSE)=""," - ",(VLOOKUP($C231,'All Girls &amp; Descendants - Edit'!$C$2:$AK$440,'All Girls &amp; Descendants - Edit'!AA$1,FALSE)))</f>
        <v>254</v>
      </c>
      <c r="AB231" s="101">
        <f>IF(VLOOKUP($C231,'All Girls &amp; Descendants - Edit'!$C$2:$AK$440,'All Girls &amp; Descendants - Edit'!AB$1,FALSE)=""," - ",(VLOOKUP($C231,'All Girls &amp; Descendants - Edit'!$C$2:$AK$440,'All Girls &amp; Descendants - Edit'!AB$1,FALSE)))</f>
        <v>88</v>
      </c>
      <c r="AC231" s="101">
        <f>IF(VLOOKUP($C231,'All Girls &amp; Descendants - Edit'!$C$2:$AK$440,'All Girls &amp; Descendants - Edit'!AC$1,FALSE)=""," - ",(VLOOKUP($C231,'All Girls &amp; Descendants - Edit'!$C$2:$AK$440,'All Girls &amp; Descendants - Edit'!AC$1,FALSE)))</f>
        <v>2088</v>
      </c>
      <c r="AD231" s="3" t="str">
        <f>IF(VLOOKUP($C231,'All Girls &amp; Descendants - Edit'!$C$2:$AK$440,'All Girls &amp; Descendants - Edit'!AD$1,FALSE)=""," - ",(VLOOKUP($C231,'All Girls &amp; Descendants - Edit'!$C$2:$AK$440,'All Girls &amp; Descendants - Edit'!AD$1,FALSE)))</f>
        <v>102ba</v>
      </c>
      <c r="AE231" s="3" t="str">
        <f>IF(VLOOKUP($C231,'All Girls &amp; Descendants - Edit'!$C$2:$AK$440,'All Girls &amp; Descendants - Edit'!AE$1,FALSE)=""," - ",(VLOOKUP($C231,'All Girls &amp; Descendants - Edit'!$C$2:$AK$440,'All Girls &amp; Descendants - Edit'!AE$1,FALSE)))</f>
        <v>Ella Genevieve Elgin DUNLOP (1998 - )</v>
      </c>
      <c r="AF231" s="3" t="str">
        <f>IF(VLOOKUP($C231,'All Girls &amp; Descendants - Edit'!$C$2:$AK$440,'All Girls &amp; Descendants - Edit'!AF$1,FALSE)=""," - ",(VLOOKUP($C231,'All Girls &amp; Descendants - Edit'!$C$2:$AK$440,'All Girls &amp; Descendants - Edit'!AF$1,FALSE)))</f>
        <v>Ella DUNLOP (7th &amp; 102)</v>
      </c>
      <c r="AG231" s="3" t="str">
        <f>IF(VLOOKUP($C231,'All Girls &amp; Descendants - Edit'!$C$2:$AK$440,'All Girls &amp; Descendants - Edit'!AG$1,FALSE)=""," - ",(VLOOKUP($C231,'All Girls &amp; Descendants - Edit'!$C$2:$AK$440,'All Girls &amp; Descendants - Edit'!AG$1,FALSE)))</f>
        <v>Female</v>
      </c>
      <c r="AH231" s="3" t="str">
        <f>IF(VLOOKUP($C231,'All Girls &amp; Descendants - Edit'!$C$2:$AK$440,'All Girls &amp; Descendants - Edit'!AH$1,FALSE)=""," - ",(VLOOKUP($C231,'All Girls &amp; Descendants - Edit'!$C$2:$AK$440,'All Girls &amp; Descendants - Edit'!AH$1,FALSE)))</f>
        <v>7th</v>
      </c>
      <c r="AI231" s="3" t="str">
        <f>IF(VLOOKUP($C231,'All Girls &amp; Descendants - Edit'!$C$2:$AK$440,'All Girls &amp; Descendants - Edit'!AI$1,FALSE)=""," - ",(VLOOKUP($C231,'All Girls &amp; Descendants - Edit'!$C$2:$AK$440,'All Girls &amp; Descendants - Edit'!AI$1,FALSE)))</f>
        <v>Unmarried</v>
      </c>
      <c r="AJ231" s="3" t="str">
        <f>IF(VLOOKUP($C231,'All Girls &amp; Descendants - Edit'!$C$2:$AK$440,'All Girls &amp; Descendants - Edit'!AJ$1,FALSE)=""," - ",(VLOOKUP($C231,'All Girls &amp; Descendants - Edit'!$C$2:$AK$440,'All Girls &amp; Descendants - Edit'!AJ$1,FALSE)))</f>
        <v>Female. b. 25/03/1998 Born at Hoechst General Hospital, Frankfurt am Main, Germany. Baptised 11 Oct 1998 at St Mary
Abbots, London W8. Educated: Ladies College, Guernsey 2011-14; Canford School, Dorset (scholar) 2014-16; Brasenose, Oxford 2016-2019, (BA Hons Med Science); Green Templeton, Oxford from 2020 (for BM BCh), various papers published.</v>
      </c>
      <c r="AK231" s="3" t="str">
        <f>IF(VLOOKUP($C231,'All Girls &amp; Descendants - Edit'!$C$2:$AK$440,'All Girls &amp; Descendants - Edit'!AK$1,FALSE)=""," - ",(VLOOKUP($C231,'All Girls &amp; Descendants - Edit'!$C$2:$AK$440,'All Girls &amp; Descendants - Edit'!AK$1,FALSE)))</f>
        <v>b. 25/03/1998</v>
      </c>
    </row>
    <row r="232" spans="1:37" ht="19">
      <c r="A232">
        <f>VLOOKUP(B232,'Loyd List 1-190 - Edit'!$P$1:$R$219,3,FALSE)</f>
        <v>62</v>
      </c>
      <c r="B232">
        <f>'All Girls &amp; Descendants - Edit'!B233</f>
        <v>102</v>
      </c>
      <c r="C232" s="98" t="str">
        <f>'All Girls &amp; Descendants - Edit'!C233</f>
        <v>102bb</v>
      </c>
      <c r="D232" s="2" t="str">
        <f>'All Girls &amp; Descendants - Edit'!D233</f>
        <v>DUNLOP</v>
      </c>
      <c r="E232" t="str">
        <f>'All Girls &amp; Descendants - Edit'!E233</f>
        <v>John</v>
      </c>
      <c r="F232" t="str">
        <f>IF('All Girls &amp; Descendants - Edit'!F233="","",'All Girls &amp; Descendants - Edit'!F233)</f>
        <v>Fergus</v>
      </c>
      <c r="G232" t="str">
        <f>IF('All Girls &amp; Descendants - Edit'!G233="","",'All Girls &amp; Descendants - Edit'!G233)</f>
        <v>Elgin</v>
      </c>
      <c r="I232">
        <f>VLOOKUP($C232,'All Girls &amp; Descendants - Edit'!$C$2:$AK$440,'All Girls &amp; Descendants - Edit'!I$1,FALSE)</f>
        <v>2000</v>
      </c>
      <c r="K232" s="9"/>
      <c r="L232" t="str">
        <f>IF(M232="","",TEXT(M232,"dd/mm/yyyy"))</f>
        <v>04/07/2000</v>
      </c>
      <c r="M232" s="3">
        <f>VLOOKUP($C232,'All Girls &amp; Descendants - Edit'!$C$2:$AK$440,'All Girls &amp; Descendants - Edit'!M$1,FALSE)</f>
        <v>36711</v>
      </c>
      <c r="N232" s="3" t="str">
        <f>IF(VLOOKUP($C232,'All Girls &amp; Descendants - Edit'!$C$2:$AK$440,'All Girls &amp; Descendants - Edit'!N$1,FALSE)=""," - ",(VLOOKUP($C232,'All Girls &amp; Descendants - Edit'!$C$2:$AK$440,'All Girls &amp; Descendants - Edit'!N$1,FALSE)))</f>
        <v xml:space="preserve"> - </v>
      </c>
      <c r="O232" s="3"/>
      <c r="P232" s="3"/>
      <c r="Q232" s="178" t="str">
        <f t="shared" si="27"/>
        <v>102b</v>
      </c>
      <c r="R232" s="23"/>
      <c r="S232" t="str">
        <f>VLOOKUP($C232,'All Girls &amp; Descendants - Edit'!$C$2:$AK$440,'All Girls &amp; Descendants - Edit'!S$1,FALSE)</f>
        <v>Male</v>
      </c>
      <c r="T232" s="176">
        <f t="shared" si="24"/>
        <v>7</v>
      </c>
      <c r="U232" s="176">
        <f>LEN(C232)</f>
        <v>5</v>
      </c>
      <c r="V232" s="176">
        <f>VLOOKUP(B232,Generation,2,FALSE)</f>
        <v>5</v>
      </c>
      <c r="W232" s="177">
        <f>IF(LEN(C232)-IF(B232&lt;10,1,IF(AND(B232&gt;9,B232&lt;100),2,3))=1,1,IF(LEN(C232)-IF(B232&lt;10,1,IF(AND(B232&gt;9,B232&lt;100),2,3))=0,"SELF",LEN(C232)-IF(B232&lt;10,1,IF(AND(B232&gt;9,B232&lt;100),2,3))))</f>
        <v>2</v>
      </c>
      <c r="X232" s="3" t="str">
        <f>IF(VLOOKUP($C232,'All Girls &amp; Descendants - Edit'!$C$2:$AK$440,'All Girls &amp; Descendants - Edit'!X$1,FALSE)=""," - ",(VLOOKUP($C232,'All Girls &amp; Descendants - Edit'!$C$2:$AK$440,'All Girls &amp; Descendants - Edit'!X$1,FALSE)))</f>
        <v xml:space="preserve"> - </v>
      </c>
      <c r="Y232" s="3" t="str">
        <f>IF(VLOOKUP($C232,'All Girls &amp; Descendants - Edit'!$C$2:$AK$440,'All Girls &amp; Descendants - Edit'!Y$1,FALSE)=""," - ",(VLOOKUP($C232,'All Girls &amp; Descendants - Edit'!$C$2:$AK$440,'All Girls &amp; Descendants - Edit'!Y$1,FALSE)))</f>
        <v xml:space="preserve"> - </v>
      </c>
      <c r="Z232" s="3" t="str">
        <f>IF(VLOOKUP($C232,'All Girls &amp; Descendants - Edit'!$C$2:$AK$440,'All Girls &amp; Descendants - Edit'!Z$1,FALSE)=""," - ",(VLOOKUP($C232,'All Girls &amp; Descendants - Edit'!$C$2:$AK$440,'All Girls &amp; Descendants - Edit'!Z$1,FALSE)))</f>
        <v>Born at Portland Hospital, London W1. Baptised 05/11/2000 at St Mary Abbots, London W8. Educated: Eton 2013-2018; Durham 2018-2022 (M Eng Hons). Jaguar Land Rover (drivetrains) from 2022.</v>
      </c>
      <c r="AA232" s="101"/>
      <c r="AB232" s="101"/>
      <c r="AC232" s="101">
        <f>IF(VLOOKUP($C232,'All Girls &amp; Descendants - Edit'!$C$2:$AK$440,'All Girls &amp; Descendants - Edit'!AC$1,FALSE)=""," - ",(VLOOKUP($C232,'All Girls &amp; Descendants - Edit'!$C$2:$AK$440,'All Girls &amp; Descendants - Edit'!AC$1,FALSE)))</f>
        <v>2089</v>
      </c>
      <c r="AD232" s="3" t="str">
        <f>IF(VLOOKUP($C232,'All Girls &amp; Descendants - Edit'!$C$2:$AK$440,'All Girls &amp; Descendants - Edit'!AD$1,FALSE)=""," - ",(VLOOKUP($C232,'All Girls &amp; Descendants - Edit'!$C$2:$AK$440,'All Girls &amp; Descendants - Edit'!AD$1,FALSE)))</f>
        <v>102bb</v>
      </c>
      <c r="AE232" s="3"/>
      <c r="AF232" s="3"/>
      <c r="AG232" s="3"/>
      <c r="AH232" s="3"/>
      <c r="AI232" s="3"/>
      <c r="AJ232" s="3"/>
      <c r="AK232" s="3"/>
    </row>
    <row r="233" spans="1:37" ht="19">
      <c r="A233">
        <f>VLOOKUP(B233,'Loyd List 1-190 - Edit'!$P$1:$R$219,3,FALSE)</f>
        <v>72</v>
      </c>
      <c r="B233">
        <f>'All Girls &amp; Descendants - Edit'!B234</f>
        <v>103</v>
      </c>
      <c r="C233" s="98" t="str">
        <f>'All Girls &amp; Descendants - Edit'!C234</f>
        <v>103aa</v>
      </c>
      <c r="D233" s="2" t="str">
        <f>'All Girls &amp; Descendants - Edit'!D234</f>
        <v>GORE-BROWNE</v>
      </c>
      <c r="E233" t="str">
        <f>'All Girls &amp; Descendants - Edit'!E234</f>
        <v>Marina</v>
      </c>
      <c r="F233" t="str">
        <f>IF('All Girls &amp; Descendants - Edit'!F234="","",'All Girls &amp; Descendants - Edit'!F234)</f>
        <v>Harriet</v>
      </c>
      <c r="G233" t="str">
        <f>IF('All Girls &amp; Descendants - Edit'!G234="","",'All Girls &amp; Descendants - Edit'!G234)</f>
        <v/>
      </c>
      <c r="H233" t="str">
        <f>IF('All Girls &amp; Descendants - Edit'!H234="","",'All Girls &amp; Descendants - Edit'!H234)</f>
        <v/>
      </c>
      <c r="I233">
        <f>VLOOKUP($C233,'All Girls &amp; Descendants - Edit'!$C$2:$AK$440,'All Girls &amp; Descendants - Edit'!I$1,FALSE)</f>
        <v>1984</v>
      </c>
      <c r="J233" t="str">
        <f>VLOOKUP($C233,'All Girls &amp; Descendants - Edit'!$C$2:$AK$440,'All Girls &amp; Descendants - Edit'!J$1,FALSE)</f>
        <v/>
      </c>
      <c r="K233" s="9"/>
      <c r="L233" t="str">
        <f t="shared" si="25"/>
        <v>19/12/1984</v>
      </c>
      <c r="M233" s="3">
        <f>VLOOKUP($C233,'All Girls &amp; Descendants - Edit'!$C$2:$AK$440,'All Girls &amp; Descendants - Edit'!M$1,FALSE)</f>
        <v>31035</v>
      </c>
      <c r="N233" s="3" t="str">
        <f>IF(VLOOKUP($C233,'All Girls &amp; Descendants - Edit'!$C$2:$AK$440,'All Girls &amp; Descendants - Edit'!N$1,FALSE)=""," - ",(VLOOKUP($C233,'All Girls &amp; Descendants - Edit'!$C$2:$AK$440,'All Girls &amp; Descendants - Edit'!N$1,FALSE)))</f>
        <v xml:space="preserve"> - </v>
      </c>
      <c r="O233" s="3" t="str">
        <f>IF(VLOOKUP($C233,'All Girls &amp; Descendants - Edit'!$C$2:$AK$440,'All Girls &amp; Descendants - Edit'!O$1,FALSE)="","",(VLOOKUP($C233,'All Girls &amp; Descendants - Edit'!$C$2:$AK$440,'All Girls &amp; Descendants - Edit'!O$1,FALSE)))</f>
        <v/>
      </c>
      <c r="P233" s="3" t="str">
        <f t="shared" si="26"/>
        <v/>
      </c>
      <c r="Q233" s="178" t="str">
        <f t="shared" si="27"/>
        <v>103a</v>
      </c>
      <c r="R233" s="23"/>
      <c r="S233" t="str">
        <f>VLOOKUP($C233,'All Girls &amp; Descendants - Edit'!$C$2:$AK$440,'All Girls &amp; Descendants - Edit'!S$1,FALSE)</f>
        <v>Female</v>
      </c>
      <c r="T233" s="176">
        <f t="shared" si="24"/>
        <v>7</v>
      </c>
      <c r="U233" s="176">
        <f t="shared" si="28"/>
        <v>5</v>
      </c>
      <c r="V233" s="176">
        <f t="shared" si="29"/>
        <v>5</v>
      </c>
      <c r="W233" s="177">
        <f t="shared" si="30"/>
        <v>2</v>
      </c>
      <c r="X233" s="3" t="str">
        <f>IF(VLOOKUP($C233,'All Girls &amp; Descendants - Edit'!$C$2:$AK$440,'All Girls &amp; Descendants - Edit'!X$1,FALSE)=""," - ",(VLOOKUP($C233,'All Girls &amp; Descendants - Edit'!$C$2:$AK$440,'All Girls &amp; Descendants - Edit'!X$1,FALSE)))</f>
        <v xml:space="preserve"> - </v>
      </c>
      <c r="Y233" s="3" t="str">
        <f>IF(VLOOKUP($C233,'All Girls &amp; Descendants - Edit'!$C$2:$AK$440,'All Girls &amp; Descendants - Edit'!Y$1,FALSE)=""," - ",(VLOOKUP($C233,'All Girls &amp; Descendants - Edit'!$C$2:$AK$440,'All Girls &amp; Descendants - Edit'!Y$1,FALSE)))</f>
        <v xml:space="preserve"> - </v>
      </c>
      <c r="Z233" s="3" t="str">
        <f>IF(VLOOKUP($C233,'All Girls &amp; Descendants - Edit'!$C$2:$AK$440,'All Girls &amp; Descendants - Edit'!Z$1,FALSE)=""," - ",(VLOOKUP($C233,'All Girls &amp; Descendants - Edit'!$C$2:$AK$440,'All Girls &amp; Descendants - Edit'!Z$1,FALSE)))</f>
        <v>Baptised at Holy Trinity, Clapham Common, London.</v>
      </c>
      <c r="AA233" s="101">
        <f>IF(VLOOKUP($C233,'All Girls &amp; Descendants - Edit'!$C$2:$AK$440,'All Girls &amp; Descendants - Edit'!AA$1,FALSE)=""," - ",(VLOOKUP($C233,'All Girls &amp; Descendants - Edit'!$C$2:$AK$440,'All Girls &amp; Descendants - Edit'!AA$1,FALSE)))</f>
        <v>257</v>
      </c>
      <c r="AB233" s="101">
        <f>IF(VLOOKUP($C233,'All Girls &amp; Descendants - Edit'!$C$2:$AK$440,'All Girls &amp; Descendants - Edit'!AB$1,FALSE)=""," - ",(VLOOKUP($C233,'All Girls &amp; Descendants - Edit'!$C$2:$AK$440,'All Girls &amp; Descendants - Edit'!AB$1,FALSE)))</f>
        <v>90</v>
      </c>
      <c r="AC233" s="101">
        <f>IF(VLOOKUP($C233,'All Girls &amp; Descendants - Edit'!$C$2:$AK$440,'All Girls &amp; Descendants - Edit'!AC$1,FALSE)=""," - ",(VLOOKUP($C233,'All Girls &amp; Descendants - Edit'!$C$2:$AK$440,'All Girls &amp; Descendants - Edit'!AC$1,FALSE)))</f>
        <v>2090</v>
      </c>
      <c r="AD233" s="3" t="str">
        <f>IF(VLOOKUP($C233,'All Girls &amp; Descendants - Edit'!$C$2:$AK$440,'All Girls &amp; Descendants - Edit'!AD$1,FALSE)=""," - ",(VLOOKUP($C233,'All Girls &amp; Descendants - Edit'!$C$2:$AK$440,'All Girls &amp; Descendants - Edit'!AD$1,FALSE)))</f>
        <v>103aa</v>
      </c>
      <c r="AE233" s="3" t="str">
        <f>IF(VLOOKUP($C233,'All Girls &amp; Descendants - Edit'!$C$2:$AK$440,'All Girls &amp; Descendants - Edit'!AE$1,FALSE)=""," - ",(VLOOKUP($C233,'All Girls &amp; Descendants - Edit'!$C$2:$AK$440,'All Girls &amp; Descendants - Edit'!AE$1,FALSE)))</f>
        <v>Marina Harriet  GORE-BROWNE (1984 - )</v>
      </c>
      <c r="AF233" s="3" t="str">
        <f>IF(VLOOKUP($C233,'All Girls &amp; Descendants - Edit'!$C$2:$AK$440,'All Girls &amp; Descendants - Edit'!AF$1,FALSE)=""," - ",(VLOOKUP($C233,'All Girls &amp; Descendants - Edit'!$C$2:$AK$440,'All Girls &amp; Descendants - Edit'!AF$1,FALSE)))</f>
        <v>Marina GORE-BROWNE (7th &amp; 103)</v>
      </c>
      <c r="AG233" s="3" t="str">
        <f>IF(VLOOKUP($C233,'All Girls &amp; Descendants - Edit'!$C$2:$AK$440,'All Girls &amp; Descendants - Edit'!AG$1,FALSE)=""," - ",(VLOOKUP($C233,'All Girls &amp; Descendants - Edit'!$C$2:$AK$440,'All Girls &amp; Descendants - Edit'!AG$1,FALSE)))</f>
        <v>Female</v>
      </c>
      <c r="AH233" s="3" t="str">
        <f>IF(VLOOKUP($C233,'All Girls &amp; Descendants - Edit'!$C$2:$AK$440,'All Girls &amp; Descendants - Edit'!AH$1,FALSE)=""," - ",(VLOOKUP($C233,'All Girls &amp; Descendants - Edit'!$C$2:$AK$440,'All Girls &amp; Descendants - Edit'!AH$1,FALSE)))</f>
        <v>7th</v>
      </c>
      <c r="AI233" s="3" t="str">
        <f>IF(VLOOKUP($C233,'All Girls &amp; Descendants - Edit'!$C$2:$AK$440,'All Girls &amp; Descendants - Edit'!AI$1,FALSE)=""," - ",(VLOOKUP($C233,'All Girls &amp; Descendants - Edit'!$C$2:$AK$440,'All Girls &amp; Descendants - Edit'!AI$1,FALSE)))</f>
        <v>Unmarried</v>
      </c>
      <c r="AJ233" s="3" t="str">
        <f>IF(VLOOKUP($C233,'All Girls &amp; Descendants - Edit'!$C$2:$AK$440,'All Girls &amp; Descendants - Edit'!AJ$1,FALSE)=""," - ",(VLOOKUP($C233,'All Girls &amp; Descendants - Edit'!$C$2:$AK$440,'All Girls &amp; Descendants - Edit'!AJ$1,FALSE)))</f>
        <v>Female. b. 19/12/1984 Baptised at Holy Trinity, Clapham Common, London.</v>
      </c>
      <c r="AK233" s="3" t="str">
        <f>IF(VLOOKUP($C233,'All Girls &amp; Descendants - Edit'!$C$2:$AK$440,'All Girls &amp; Descendants - Edit'!AK$1,FALSE)=""," - ",(VLOOKUP($C233,'All Girls &amp; Descendants - Edit'!$C$2:$AK$440,'All Girls &amp; Descendants - Edit'!AK$1,FALSE)))</f>
        <v>b. 19/12/1984</v>
      </c>
    </row>
    <row r="234" spans="1:37" ht="19">
      <c r="A234">
        <f>VLOOKUP(B234,'Loyd List 1-190 - Edit'!$P$1:$R$219,3,FALSE)</f>
        <v>72</v>
      </c>
      <c r="B234">
        <f>'All Girls &amp; Descendants - Edit'!B235</f>
        <v>103</v>
      </c>
      <c r="C234" s="98" t="str">
        <f>'All Girls &amp; Descendants - Edit'!C235</f>
        <v>103ab</v>
      </c>
      <c r="D234" s="2" t="str">
        <f>'All Girls &amp; Descendants - Edit'!D235</f>
        <v>GORE-BROWNE</v>
      </c>
      <c r="E234" t="str">
        <f>'All Girls &amp; Descendants - Edit'!E235</f>
        <v>Frederick</v>
      </c>
      <c r="F234" t="str">
        <f>IF('All Girls &amp; Descendants - Edit'!F235="","",'All Girls &amp; Descendants - Edit'!F235)</f>
        <v>Henry</v>
      </c>
      <c r="G234" t="str">
        <f>IF('All Girls &amp; Descendants - Edit'!G235="","",'All Girls &amp; Descendants - Edit'!G235)</f>
        <v/>
      </c>
      <c r="H234" t="str">
        <f>IF('All Girls &amp; Descendants - Edit'!H235="","",'All Girls &amp; Descendants - Edit'!H235)</f>
        <v/>
      </c>
      <c r="I234">
        <f>VLOOKUP($C234,'All Girls &amp; Descendants - Edit'!$C$2:$AK$440,'All Girls &amp; Descendants - Edit'!I$1,FALSE)</f>
        <v>1987</v>
      </c>
      <c r="J234" t="str">
        <f>VLOOKUP($C234,'All Girls &amp; Descendants - Edit'!$C$2:$AK$440,'All Girls &amp; Descendants - Edit'!J$1,FALSE)</f>
        <v/>
      </c>
      <c r="K234" s="9"/>
      <c r="L234" t="str">
        <f t="shared" si="25"/>
        <v>21/01/1987</v>
      </c>
      <c r="M234" s="3">
        <f>VLOOKUP($C234,'All Girls &amp; Descendants - Edit'!$C$2:$AK$440,'All Girls &amp; Descendants - Edit'!M$1,FALSE)</f>
        <v>31798</v>
      </c>
      <c r="N234" s="3" t="str">
        <f>IF(VLOOKUP($C234,'All Girls &amp; Descendants - Edit'!$C$2:$AK$440,'All Girls &amp; Descendants - Edit'!N$1,FALSE)=""," - ",(VLOOKUP($C234,'All Girls &amp; Descendants - Edit'!$C$2:$AK$440,'All Girls &amp; Descendants - Edit'!N$1,FALSE)))</f>
        <v xml:space="preserve"> - </v>
      </c>
      <c r="O234" s="3" t="str">
        <f>IF(VLOOKUP($C234,'All Girls &amp; Descendants - Edit'!$C$2:$AK$440,'All Girls &amp; Descendants - Edit'!O$1,FALSE)="","",(VLOOKUP($C234,'All Girls &amp; Descendants - Edit'!$C$2:$AK$440,'All Girls &amp; Descendants - Edit'!O$1,FALSE)))</f>
        <v/>
      </c>
      <c r="P234" s="3" t="str">
        <f t="shared" si="26"/>
        <v/>
      </c>
      <c r="Q234" s="178" t="str">
        <f t="shared" si="27"/>
        <v>103a</v>
      </c>
      <c r="R234" s="23"/>
      <c r="S234" t="str">
        <f>VLOOKUP($C234,'All Girls &amp; Descendants - Edit'!$C$2:$AK$440,'All Girls &amp; Descendants - Edit'!S$1,FALSE)</f>
        <v>Male</v>
      </c>
      <c r="T234" s="176">
        <f t="shared" si="24"/>
        <v>7</v>
      </c>
      <c r="U234" s="176">
        <f t="shared" si="28"/>
        <v>5</v>
      </c>
      <c r="V234" s="176">
        <f t="shared" si="29"/>
        <v>5</v>
      </c>
      <c r="W234" s="177">
        <f t="shared" si="30"/>
        <v>2</v>
      </c>
      <c r="X234" s="3" t="str">
        <f>IF(VLOOKUP($C234,'All Girls &amp; Descendants - Edit'!$C$2:$AK$440,'All Girls &amp; Descendants - Edit'!X$1,FALSE)=""," - ",(VLOOKUP($C234,'All Girls &amp; Descendants - Edit'!$C$2:$AK$440,'All Girls &amp; Descendants - Edit'!X$1,FALSE)))</f>
        <v xml:space="preserve"> - </v>
      </c>
      <c r="Y234" s="3" t="str">
        <f>IF(VLOOKUP($C234,'All Girls &amp; Descendants - Edit'!$C$2:$AK$440,'All Girls &amp; Descendants - Edit'!Y$1,FALSE)=""," - ",(VLOOKUP($C234,'All Girls &amp; Descendants - Edit'!$C$2:$AK$440,'All Girls &amp; Descendants - Edit'!Y$1,FALSE)))</f>
        <v xml:space="preserve"> - </v>
      </c>
      <c r="Z234" s="3" t="str">
        <f>IF(VLOOKUP($C234,'All Girls &amp; Descendants - Edit'!$C$2:$AK$440,'All Girls &amp; Descendants - Edit'!Z$1,FALSE)=""," - ",(VLOOKUP($C234,'All Girls &amp; Descendants - Edit'!$C$2:$AK$440,'All Girls &amp; Descendants - Edit'!Z$1,FALSE)))</f>
        <v>Baptised at Holy Trinity, Clapham Common, London.</v>
      </c>
      <c r="AA234" s="101">
        <f>IF(VLOOKUP($C234,'All Girls &amp; Descendants - Edit'!$C$2:$AK$440,'All Girls &amp; Descendants - Edit'!AA$1,FALSE)=""," - ",(VLOOKUP($C234,'All Girls &amp; Descendants - Edit'!$C$2:$AK$440,'All Girls &amp; Descendants - Edit'!AA$1,FALSE)))</f>
        <v>258</v>
      </c>
      <c r="AB234" s="101">
        <f>IF(VLOOKUP($C234,'All Girls &amp; Descendants - Edit'!$C$2:$AK$440,'All Girls &amp; Descendants - Edit'!AB$1,FALSE)=""," - ",(VLOOKUP($C234,'All Girls &amp; Descendants - Edit'!$C$2:$AK$440,'All Girls &amp; Descendants - Edit'!AB$1,FALSE)))</f>
        <v>91</v>
      </c>
      <c r="AC234" s="101">
        <f>IF(VLOOKUP($C234,'All Girls &amp; Descendants - Edit'!$C$2:$AK$440,'All Girls &amp; Descendants - Edit'!AC$1,FALSE)=""," - ",(VLOOKUP($C234,'All Girls &amp; Descendants - Edit'!$C$2:$AK$440,'All Girls &amp; Descendants - Edit'!AC$1,FALSE)))</f>
        <v>2091</v>
      </c>
      <c r="AD234" s="3" t="str">
        <f>IF(VLOOKUP($C234,'All Girls &amp; Descendants - Edit'!$C$2:$AK$440,'All Girls &amp; Descendants - Edit'!AD$1,FALSE)=""," - ",(VLOOKUP($C234,'All Girls &amp; Descendants - Edit'!$C$2:$AK$440,'All Girls &amp; Descendants - Edit'!AD$1,FALSE)))</f>
        <v>103ab</v>
      </c>
      <c r="AE234" s="3" t="str">
        <f>IF(VLOOKUP($C234,'All Girls &amp; Descendants - Edit'!$C$2:$AK$440,'All Girls &amp; Descendants - Edit'!AE$1,FALSE)=""," - ",(VLOOKUP($C234,'All Girls &amp; Descendants - Edit'!$C$2:$AK$440,'All Girls &amp; Descendants - Edit'!AE$1,FALSE)))</f>
        <v>Frederick Henry  GORE-BROWNE (1987 - )</v>
      </c>
      <c r="AF234" s="3" t="str">
        <f>IF(VLOOKUP($C234,'All Girls &amp; Descendants - Edit'!$C$2:$AK$440,'All Girls &amp; Descendants - Edit'!AF$1,FALSE)=""," - ",(VLOOKUP($C234,'All Girls &amp; Descendants - Edit'!$C$2:$AK$440,'All Girls &amp; Descendants - Edit'!AF$1,FALSE)))</f>
        <v>Frederick GORE-BROWNE (7th &amp; 103)</v>
      </c>
      <c r="AG234" s="3" t="str">
        <f>IF(VLOOKUP($C234,'All Girls &amp; Descendants - Edit'!$C$2:$AK$440,'All Girls &amp; Descendants - Edit'!AG$1,FALSE)=""," - ",(VLOOKUP($C234,'All Girls &amp; Descendants - Edit'!$C$2:$AK$440,'All Girls &amp; Descendants - Edit'!AG$1,FALSE)))</f>
        <v>Male</v>
      </c>
      <c r="AH234" s="3" t="str">
        <f>IF(VLOOKUP($C234,'All Girls &amp; Descendants - Edit'!$C$2:$AK$440,'All Girls &amp; Descendants - Edit'!AH$1,FALSE)=""," - ",(VLOOKUP($C234,'All Girls &amp; Descendants - Edit'!$C$2:$AK$440,'All Girls &amp; Descendants - Edit'!AH$1,FALSE)))</f>
        <v>7th</v>
      </c>
      <c r="AI234" s="3" t="str">
        <f>IF(VLOOKUP($C234,'All Girls &amp; Descendants - Edit'!$C$2:$AK$440,'All Girls &amp; Descendants - Edit'!AI$1,FALSE)=""," - ",(VLOOKUP($C234,'All Girls &amp; Descendants - Edit'!$C$2:$AK$440,'All Girls &amp; Descendants - Edit'!AI$1,FALSE)))</f>
        <v>Unmarried</v>
      </c>
      <c r="AJ234" s="3" t="str">
        <f>IF(VLOOKUP($C234,'All Girls &amp; Descendants - Edit'!$C$2:$AK$440,'All Girls &amp; Descendants - Edit'!AJ$1,FALSE)=""," - ",(VLOOKUP($C234,'All Girls &amp; Descendants - Edit'!$C$2:$AK$440,'All Girls &amp; Descendants - Edit'!AJ$1,FALSE)))</f>
        <v>Male. b. 21/01/1987 Baptised at Holy Trinity, Clapham Common, London.</v>
      </c>
      <c r="AK234" s="3" t="str">
        <f>IF(VLOOKUP($C234,'All Girls &amp; Descendants - Edit'!$C$2:$AK$440,'All Girls &amp; Descendants - Edit'!AK$1,FALSE)=""," - ",(VLOOKUP($C234,'All Girls &amp; Descendants - Edit'!$C$2:$AK$440,'All Girls &amp; Descendants - Edit'!AK$1,FALSE)))</f>
        <v>b. 21/01/1987</v>
      </c>
    </row>
    <row r="235" spans="1:37" ht="19">
      <c r="A235">
        <f>VLOOKUP(B235,'Loyd List 1-190 - Edit'!$P$1:$R$219,3,FALSE)</f>
        <v>72</v>
      </c>
      <c r="B235">
        <f>'All Girls &amp; Descendants - Edit'!B236</f>
        <v>103</v>
      </c>
      <c r="C235" s="98" t="str">
        <f>'All Girls &amp; Descendants - Edit'!C236</f>
        <v>103ac</v>
      </c>
      <c r="D235" s="2" t="str">
        <f>'All Girls &amp; Descendants - Edit'!D236</f>
        <v>GORE-BROWNE</v>
      </c>
      <c r="E235" t="str">
        <f>'All Girls &amp; Descendants - Edit'!E236</f>
        <v>Harry</v>
      </c>
      <c r="F235" t="str">
        <f>IF('All Girls &amp; Descendants - Edit'!F236="","",'All Girls &amp; Descendants - Edit'!F236)</f>
        <v>Alastair</v>
      </c>
      <c r="G235" t="str">
        <f>IF('All Girls &amp; Descendants - Edit'!G236="","",'All Girls &amp; Descendants - Edit'!G236)</f>
        <v/>
      </c>
      <c r="H235" t="str">
        <f>IF('All Girls &amp; Descendants - Edit'!H236="","",'All Girls &amp; Descendants - Edit'!H236)</f>
        <v/>
      </c>
      <c r="I235">
        <f>VLOOKUP($C235,'All Girls &amp; Descendants - Edit'!$C$2:$AK$440,'All Girls &amp; Descendants - Edit'!I$1,FALSE)</f>
        <v>1988</v>
      </c>
      <c r="J235" t="str">
        <f>VLOOKUP($C235,'All Girls &amp; Descendants - Edit'!$C$2:$AK$440,'All Girls &amp; Descendants - Edit'!J$1,FALSE)</f>
        <v/>
      </c>
      <c r="K235" s="9"/>
      <c r="L235" t="str">
        <f t="shared" si="25"/>
        <v>20/04/1988</v>
      </c>
      <c r="M235" s="3">
        <f>VLOOKUP($C235,'All Girls &amp; Descendants - Edit'!$C$2:$AK$440,'All Girls &amp; Descendants - Edit'!M$1,FALSE)</f>
        <v>32253</v>
      </c>
      <c r="N235" s="3" t="str">
        <f>IF(VLOOKUP($C235,'All Girls &amp; Descendants - Edit'!$C$2:$AK$440,'All Girls &amp; Descendants - Edit'!N$1,FALSE)=""," - ",(VLOOKUP($C235,'All Girls &amp; Descendants - Edit'!$C$2:$AK$440,'All Girls &amp; Descendants - Edit'!N$1,FALSE)))</f>
        <v xml:space="preserve"> - </v>
      </c>
      <c r="O235" s="3" t="str">
        <f>IF(VLOOKUP($C235,'All Girls &amp; Descendants - Edit'!$C$2:$AK$440,'All Girls &amp; Descendants - Edit'!O$1,FALSE)="","",(VLOOKUP($C235,'All Girls &amp; Descendants - Edit'!$C$2:$AK$440,'All Girls &amp; Descendants - Edit'!O$1,FALSE)))</f>
        <v/>
      </c>
      <c r="P235" s="3" t="str">
        <f t="shared" si="26"/>
        <v/>
      </c>
      <c r="Q235" s="178" t="str">
        <f t="shared" si="27"/>
        <v>103a</v>
      </c>
      <c r="R235" s="23"/>
      <c r="S235" t="str">
        <f>VLOOKUP($C235,'All Girls &amp; Descendants - Edit'!$C$2:$AK$440,'All Girls &amp; Descendants - Edit'!S$1,FALSE)</f>
        <v>Male</v>
      </c>
      <c r="T235" s="176">
        <f t="shared" si="24"/>
        <v>7</v>
      </c>
      <c r="U235" s="176">
        <f t="shared" si="28"/>
        <v>5</v>
      </c>
      <c r="V235" s="176">
        <f t="shared" si="29"/>
        <v>5</v>
      </c>
      <c r="W235" s="177">
        <f t="shared" si="30"/>
        <v>2</v>
      </c>
      <c r="X235" s="3" t="str">
        <f>IF(VLOOKUP($C235,'All Girls &amp; Descendants - Edit'!$C$2:$AK$440,'All Girls &amp; Descendants - Edit'!X$1,FALSE)=""," - ",(VLOOKUP($C235,'All Girls &amp; Descendants - Edit'!$C$2:$AK$440,'All Girls &amp; Descendants - Edit'!X$1,FALSE)))</f>
        <v xml:space="preserve"> - </v>
      </c>
      <c r="Y235" s="3" t="str">
        <f>IF(VLOOKUP($C235,'All Girls &amp; Descendants - Edit'!$C$2:$AK$440,'All Girls &amp; Descendants - Edit'!Y$1,FALSE)=""," - ",(VLOOKUP($C235,'All Girls &amp; Descendants - Edit'!$C$2:$AK$440,'All Girls &amp; Descendants - Edit'!Y$1,FALSE)))</f>
        <v xml:space="preserve"> - </v>
      </c>
      <c r="Z235" s="3" t="str">
        <f>IF(VLOOKUP($C235,'All Girls &amp; Descendants - Edit'!$C$2:$AK$440,'All Girls &amp; Descendants - Edit'!Z$1,FALSE)=""," - ",(VLOOKUP($C235,'All Girls &amp; Descendants - Edit'!$C$2:$AK$440,'All Girls &amp; Descendants - Edit'!Z$1,FALSE)))</f>
        <v>Baptised at Holy Trinity, Clapham Common, London.</v>
      </c>
      <c r="AA235" s="101">
        <f>IF(VLOOKUP($C235,'All Girls &amp; Descendants - Edit'!$C$2:$AK$440,'All Girls &amp; Descendants - Edit'!AA$1,FALSE)=""," - ",(VLOOKUP($C235,'All Girls &amp; Descendants - Edit'!$C$2:$AK$440,'All Girls &amp; Descendants - Edit'!AA$1,FALSE)))</f>
        <v>259</v>
      </c>
      <c r="AB235" s="101">
        <f>IF(VLOOKUP($C235,'All Girls &amp; Descendants - Edit'!$C$2:$AK$440,'All Girls &amp; Descendants - Edit'!AB$1,FALSE)=""," - ",(VLOOKUP($C235,'All Girls &amp; Descendants - Edit'!$C$2:$AK$440,'All Girls &amp; Descendants - Edit'!AB$1,FALSE)))</f>
        <v>92</v>
      </c>
      <c r="AC235" s="101">
        <f>IF(VLOOKUP($C235,'All Girls &amp; Descendants - Edit'!$C$2:$AK$440,'All Girls &amp; Descendants - Edit'!AC$1,FALSE)=""," - ",(VLOOKUP($C235,'All Girls &amp; Descendants - Edit'!$C$2:$AK$440,'All Girls &amp; Descendants - Edit'!AC$1,FALSE)))</f>
        <v>2092</v>
      </c>
      <c r="AD235" s="3" t="str">
        <f>IF(VLOOKUP($C235,'All Girls &amp; Descendants - Edit'!$C$2:$AK$440,'All Girls &amp; Descendants - Edit'!AD$1,FALSE)=""," - ",(VLOOKUP($C235,'All Girls &amp; Descendants - Edit'!$C$2:$AK$440,'All Girls &amp; Descendants - Edit'!AD$1,FALSE)))</f>
        <v>103ac</v>
      </c>
      <c r="AE235" s="3" t="str">
        <f>IF(VLOOKUP($C235,'All Girls &amp; Descendants - Edit'!$C$2:$AK$440,'All Girls &amp; Descendants - Edit'!AE$1,FALSE)=""," - ",(VLOOKUP($C235,'All Girls &amp; Descendants - Edit'!$C$2:$AK$440,'All Girls &amp; Descendants - Edit'!AE$1,FALSE)))</f>
        <v>Harry Alastair  GORE-BROWNE (1988 - )</v>
      </c>
      <c r="AF235" s="3" t="str">
        <f>IF(VLOOKUP($C235,'All Girls &amp; Descendants - Edit'!$C$2:$AK$440,'All Girls &amp; Descendants - Edit'!AF$1,FALSE)=""," - ",(VLOOKUP($C235,'All Girls &amp; Descendants - Edit'!$C$2:$AK$440,'All Girls &amp; Descendants - Edit'!AF$1,FALSE)))</f>
        <v>Harry GORE-BROWNE (7th &amp; 103)</v>
      </c>
      <c r="AG235" s="3" t="str">
        <f>IF(VLOOKUP($C235,'All Girls &amp; Descendants - Edit'!$C$2:$AK$440,'All Girls &amp; Descendants - Edit'!AG$1,FALSE)=""," - ",(VLOOKUP($C235,'All Girls &amp; Descendants - Edit'!$C$2:$AK$440,'All Girls &amp; Descendants - Edit'!AG$1,FALSE)))</f>
        <v>Male</v>
      </c>
      <c r="AH235" s="3" t="str">
        <f>IF(VLOOKUP($C235,'All Girls &amp; Descendants - Edit'!$C$2:$AK$440,'All Girls &amp; Descendants - Edit'!AH$1,FALSE)=""," - ",(VLOOKUP($C235,'All Girls &amp; Descendants - Edit'!$C$2:$AK$440,'All Girls &amp; Descendants - Edit'!AH$1,FALSE)))</f>
        <v>7th</v>
      </c>
      <c r="AI235" s="3" t="str">
        <f>IF(VLOOKUP($C235,'All Girls &amp; Descendants - Edit'!$C$2:$AK$440,'All Girls &amp; Descendants - Edit'!AI$1,FALSE)=""," - ",(VLOOKUP($C235,'All Girls &amp; Descendants - Edit'!$C$2:$AK$440,'All Girls &amp; Descendants - Edit'!AI$1,FALSE)))</f>
        <v>Unmarried</v>
      </c>
      <c r="AJ235" s="3" t="str">
        <f>IF(VLOOKUP($C235,'All Girls &amp; Descendants - Edit'!$C$2:$AK$440,'All Girls &amp; Descendants - Edit'!AJ$1,FALSE)=""," - ",(VLOOKUP($C235,'All Girls &amp; Descendants - Edit'!$C$2:$AK$440,'All Girls &amp; Descendants - Edit'!AJ$1,FALSE)))</f>
        <v>Male. b. 20/04/1988 Baptised at Holy Trinity, Clapham Common, London.</v>
      </c>
      <c r="AK235" s="3" t="str">
        <f>IF(VLOOKUP($C235,'All Girls &amp; Descendants - Edit'!$C$2:$AK$440,'All Girls &amp; Descendants - Edit'!AK$1,FALSE)=""," - ",(VLOOKUP($C235,'All Girls &amp; Descendants - Edit'!$C$2:$AK$440,'All Girls &amp; Descendants - Edit'!AK$1,FALSE)))</f>
        <v>b. 20/04/1988</v>
      </c>
    </row>
    <row r="236" spans="1:37" ht="19">
      <c r="A236">
        <f>VLOOKUP(B236,'Loyd List 1-190 - Edit'!$P$1:$R$219,3,FALSE)</f>
        <v>72</v>
      </c>
      <c r="B236">
        <f>'All Girls &amp; Descendants - Edit'!B237</f>
        <v>103</v>
      </c>
      <c r="C236" s="98" t="str">
        <f>'All Girls &amp; Descendants - Edit'!C237</f>
        <v>103ba</v>
      </c>
      <c r="D236" s="2" t="str">
        <f>'All Girls &amp; Descendants - Edit'!D237</f>
        <v>PILKINGTON</v>
      </c>
      <c r="E236" t="str">
        <f>'All Girls &amp; Descendants - Edit'!E237</f>
        <v>Edward</v>
      </c>
      <c r="F236" t="str">
        <f>IF('All Girls &amp; Descendants - Edit'!F237="","",'All Girls &amp; Descendants - Edit'!F237)</f>
        <v>Thomas</v>
      </c>
      <c r="G236" t="str">
        <f>IF('All Girls &amp; Descendants - Edit'!G237="","",'All Girls &amp; Descendants - Edit'!G237)</f>
        <v/>
      </c>
      <c r="H236" t="str">
        <f>IF('All Girls &amp; Descendants - Edit'!H237="","",'All Girls &amp; Descendants - Edit'!H237)</f>
        <v/>
      </c>
      <c r="I236">
        <f>VLOOKUP($C236,'All Girls &amp; Descendants - Edit'!$C$2:$AK$440,'All Girls &amp; Descendants - Edit'!I$1,FALSE)</f>
        <v>1971</v>
      </c>
      <c r="J236" t="str">
        <f>VLOOKUP($C236,'All Girls &amp; Descendants - Edit'!$C$2:$AK$440,'All Girls &amp; Descendants - Edit'!J$1,FALSE)</f>
        <v/>
      </c>
      <c r="K236" s="9"/>
      <c r="L236" t="str">
        <f t="shared" si="25"/>
        <v>15/09/1971</v>
      </c>
      <c r="M236" s="3">
        <f>VLOOKUP($C236,'All Girls &amp; Descendants - Edit'!$C$2:$AK$440,'All Girls &amp; Descendants - Edit'!M$1,FALSE)</f>
        <v>26191</v>
      </c>
      <c r="N236" s="3" t="str">
        <f>IF(VLOOKUP($C236,'All Girls &amp; Descendants - Edit'!$C$2:$AK$440,'All Girls &amp; Descendants - Edit'!N$1,FALSE)=""," - ",(VLOOKUP($C236,'All Girls &amp; Descendants - Edit'!$C$2:$AK$440,'All Girls &amp; Descendants - Edit'!N$1,FALSE)))</f>
        <v xml:space="preserve"> - </v>
      </c>
      <c r="O236" s="3" t="str">
        <f>IF(VLOOKUP($C236,'All Girls &amp; Descendants - Edit'!$C$2:$AK$440,'All Girls &amp; Descendants - Edit'!O$1,FALSE)="","",(VLOOKUP($C236,'All Girls &amp; Descendants - Edit'!$C$2:$AK$440,'All Girls &amp; Descendants - Edit'!O$1,FALSE)))</f>
        <v/>
      </c>
      <c r="P236" s="3" t="str">
        <f t="shared" si="26"/>
        <v/>
      </c>
      <c r="Q236" s="178" t="str">
        <f t="shared" si="27"/>
        <v>103b</v>
      </c>
      <c r="R236" s="23"/>
      <c r="S236" t="str">
        <f>VLOOKUP($C236,'All Girls &amp; Descendants - Edit'!$C$2:$AK$440,'All Girls &amp; Descendants - Edit'!S$1,FALSE)</f>
        <v>Male</v>
      </c>
      <c r="T236" s="176">
        <f t="shared" si="24"/>
        <v>7</v>
      </c>
      <c r="U236" s="176">
        <f t="shared" si="28"/>
        <v>5</v>
      </c>
      <c r="V236" s="176">
        <f t="shared" si="29"/>
        <v>5</v>
      </c>
      <c r="W236" s="177">
        <f t="shared" si="30"/>
        <v>2</v>
      </c>
      <c r="X236" s="3" t="str">
        <f>IF(VLOOKUP($C236,'All Girls &amp; Descendants - Edit'!$C$2:$AK$440,'All Girls &amp; Descendants - Edit'!X$1,FALSE)=""," - ",(VLOOKUP($C236,'All Girls &amp; Descendants - Edit'!$C$2:$AK$440,'All Girls &amp; Descendants - Edit'!X$1,FALSE)))</f>
        <v xml:space="preserve"> - </v>
      </c>
      <c r="Y236" s="3" t="str">
        <f>IF(VLOOKUP($C236,'All Girls &amp; Descendants - Edit'!$C$2:$AK$440,'All Girls &amp; Descendants - Edit'!Y$1,FALSE)=""," - ",(VLOOKUP($C236,'All Girls &amp; Descendants - Edit'!$C$2:$AK$440,'All Girls &amp; Descendants - Edit'!Y$1,FALSE)))</f>
        <v xml:space="preserve"> - </v>
      </c>
      <c r="Z236" s="3" t="str">
        <f>IF(VLOOKUP($C236,'All Girls &amp; Descendants - Edit'!$C$2:$AK$440,'All Girls &amp; Descendants - Edit'!Z$1,FALSE)=""," - ",(VLOOKUP($C236,'All Girls &amp; Descendants - Edit'!$C$2:$AK$440,'All Girls &amp; Descendants - Edit'!Z$1,FALSE)))</f>
        <v>Born in London. Baptised at St Michael’s, Chester Square, London.</v>
      </c>
      <c r="AA236" s="101">
        <f>IF(VLOOKUP($C236,'All Girls &amp; Descendants - Edit'!$C$2:$AK$440,'All Girls &amp; Descendants - Edit'!AA$1,FALSE)=""," - ",(VLOOKUP($C236,'All Girls &amp; Descendants - Edit'!$C$2:$AK$440,'All Girls &amp; Descendants - Edit'!AA$1,FALSE)))</f>
        <v>261</v>
      </c>
      <c r="AB236" s="101">
        <f>IF(VLOOKUP($C236,'All Girls &amp; Descendants - Edit'!$C$2:$AK$440,'All Girls &amp; Descendants - Edit'!AB$1,FALSE)=""," - ",(VLOOKUP($C236,'All Girls &amp; Descendants - Edit'!$C$2:$AK$440,'All Girls &amp; Descendants - Edit'!AB$1,FALSE)))</f>
        <v>93</v>
      </c>
      <c r="AC236" s="101">
        <f>IF(VLOOKUP($C236,'All Girls &amp; Descendants - Edit'!$C$2:$AK$440,'All Girls &amp; Descendants - Edit'!AC$1,FALSE)=""," - ",(VLOOKUP($C236,'All Girls &amp; Descendants - Edit'!$C$2:$AK$440,'All Girls &amp; Descendants - Edit'!AC$1,FALSE)))</f>
        <v>2093</v>
      </c>
      <c r="AD236" s="3" t="str">
        <f>IF(VLOOKUP($C236,'All Girls &amp; Descendants - Edit'!$C$2:$AK$440,'All Girls &amp; Descendants - Edit'!AD$1,FALSE)=""," - ",(VLOOKUP($C236,'All Girls &amp; Descendants - Edit'!$C$2:$AK$440,'All Girls &amp; Descendants - Edit'!AD$1,FALSE)))</f>
        <v>103ba</v>
      </c>
      <c r="AE236" s="3" t="str">
        <f>IF(VLOOKUP($C236,'All Girls &amp; Descendants - Edit'!$C$2:$AK$440,'All Girls &amp; Descendants - Edit'!AE$1,FALSE)=""," - ",(VLOOKUP($C236,'All Girls &amp; Descendants - Edit'!$C$2:$AK$440,'All Girls &amp; Descendants - Edit'!AE$1,FALSE)))</f>
        <v>Edward Thomas  PILKINGTON (1971 - )</v>
      </c>
      <c r="AF236" s="3" t="str">
        <f>IF(VLOOKUP($C236,'All Girls &amp; Descendants - Edit'!$C$2:$AK$440,'All Girls &amp; Descendants - Edit'!AF$1,FALSE)=""," - ",(VLOOKUP($C236,'All Girls &amp; Descendants - Edit'!$C$2:$AK$440,'All Girls &amp; Descendants - Edit'!AF$1,FALSE)))</f>
        <v>Edward PILKINGTON (7th &amp; 103)</v>
      </c>
      <c r="AG236" s="3" t="str">
        <f>IF(VLOOKUP($C236,'All Girls &amp; Descendants - Edit'!$C$2:$AK$440,'All Girls &amp; Descendants - Edit'!AG$1,FALSE)=""," - ",(VLOOKUP($C236,'All Girls &amp; Descendants - Edit'!$C$2:$AK$440,'All Girls &amp; Descendants - Edit'!AG$1,FALSE)))</f>
        <v>Male</v>
      </c>
      <c r="AH236" s="3" t="str">
        <f>IF(VLOOKUP($C236,'All Girls &amp; Descendants - Edit'!$C$2:$AK$440,'All Girls &amp; Descendants - Edit'!AH$1,FALSE)=""," - ",(VLOOKUP($C236,'All Girls &amp; Descendants - Edit'!$C$2:$AK$440,'All Girls &amp; Descendants - Edit'!AH$1,FALSE)))</f>
        <v>7th</v>
      </c>
      <c r="AI236" s="3" t="str">
        <f>IF(VLOOKUP($C236,'All Girls &amp; Descendants - Edit'!$C$2:$AK$440,'All Girls &amp; Descendants - Edit'!AI$1,FALSE)=""," - ",(VLOOKUP($C236,'All Girls &amp; Descendants - Edit'!$C$2:$AK$440,'All Girls &amp; Descendants - Edit'!AI$1,FALSE)))</f>
        <v>Unmarried</v>
      </c>
      <c r="AJ236" s="3" t="str">
        <f>IF(VLOOKUP($C236,'All Girls &amp; Descendants - Edit'!$C$2:$AK$440,'All Girls &amp; Descendants - Edit'!AJ$1,FALSE)=""," - ",(VLOOKUP($C236,'All Girls &amp; Descendants - Edit'!$C$2:$AK$440,'All Girls &amp; Descendants - Edit'!AJ$1,FALSE)))</f>
        <v>Male. b. 15/09/1971 Born in London. Baptised at St Michael’s, Chester Square, London.</v>
      </c>
      <c r="AK236" s="3" t="str">
        <f>IF(VLOOKUP($C236,'All Girls &amp; Descendants - Edit'!$C$2:$AK$440,'All Girls &amp; Descendants - Edit'!AK$1,FALSE)=""," - ",(VLOOKUP($C236,'All Girls &amp; Descendants - Edit'!$C$2:$AK$440,'All Girls &amp; Descendants - Edit'!AK$1,FALSE)))</f>
        <v>b. 15/09/1971</v>
      </c>
    </row>
    <row r="237" spans="1:37" ht="19">
      <c r="A237">
        <f>VLOOKUP(B237,'Loyd List 1-190 - Edit'!$P$1:$R$219,3,FALSE)</f>
        <v>72</v>
      </c>
      <c r="B237">
        <f>'All Girls &amp; Descendants - Edit'!B238</f>
        <v>103</v>
      </c>
      <c r="C237" s="98" t="str">
        <f>'All Girls &amp; Descendants - Edit'!C238</f>
        <v>103bb</v>
      </c>
      <c r="D237" s="2" t="str">
        <f>'All Girls &amp; Descendants - Edit'!D238</f>
        <v>PILKINGTON</v>
      </c>
      <c r="E237" t="str">
        <f>'All Girls &amp; Descendants - Edit'!E238</f>
        <v>Lucinda</v>
      </c>
      <c r="F237" t="str">
        <f>IF('All Girls &amp; Descendants - Edit'!F238="","",'All Girls &amp; Descendants - Edit'!F238)</f>
        <v>Mary</v>
      </c>
      <c r="G237" t="str">
        <f>IF('All Girls &amp; Descendants - Edit'!G238="","",'All Girls &amp; Descendants - Edit'!G238)</f>
        <v/>
      </c>
      <c r="H237" t="str">
        <f>IF('All Girls &amp; Descendants - Edit'!H238="","",'All Girls &amp; Descendants - Edit'!H238)</f>
        <v>Lucy</v>
      </c>
      <c r="I237">
        <f>VLOOKUP($C237,'All Girls &amp; Descendants - Edit'!$C$2:$AK$440,'All Girls &amp; Descendants - Edit'!I$1,FALSE)</f>
        <v>1973</v>
      </c>
      <c r="J237" t="str">
        <f>VLOOKUP($C237,'All Girls &amp; Descendants - Edit'!$C$2:$AK$440,'All Girls &amp; Descendants - Edit'!J$1,FALSE)</f>
        <v/>
      </c>
      <c r="K237" s="9"/>
      <c r="L237" t="str">
        <f t="shared" si="25"/>
        <v>24/05/1973</v>
      </c>
      <c r="M237" s="3">
        <f>VLOOKUP($C237,'All Girls &amp; Descendants - Edit'!$C$2:$AK$440,'All Girls &amp; Descendants - Edit'!M$1,FALSE)</f>
        <v>26808</v>
      </c>
      <c r="N237" s="3" t="str">
        <f>IF(VLOOKUP($C237,'All Girls &amp; Descendants - Edit'!$C$2:$AK$440,'All Girls &amp; Descendants - Edit'!N$1,FALSE)=""," - ",(VLOOKUP($C237,'All Girls &amp; Descendants - Edit'!$C$2:$AK$440,'All Girls &amp; Descendants - Edit'!N$1,FALSE)))</f>
        <v xml:space="preserve"> - </v>
      </c>
      <c r="O237" s="3" t="str">
        <f>IF(VLOOKUP($C237,'All Girls &amp; Descendants - Edit'!$C$2:$AK$440,'All Girls &amp; Descendants - Edit'!O$1,FALSE)="","",(VLOOKUP($C237,'All Girls &amp; Descendants - Edit'!$C$2:$AK$440,'All Girls &amp; Descendants - Edit'!O$1,FALSE)))</f>
        <v/>
      </c>
      <c r="P237" s="3" t="str">
        <f t="shared" si="26"/>
        <v/>
      </c>
      <c r="Q237" s="178" t="str">
        <f t="shared" si="27"/>
        <v>103b</v>
      </c>
      <c r="R237" s="23"/>
      <c r="S237" t="str">
        <f>VLOOKUP($C237,'All Girls &amp; Descendants - Edit'!$C$2:$AK$440,'All Girls &amp; Descendants - Edit'!S$1,FALSE)</f>
        <v>Female</v>
      </c>
      <c r="T237" s="176">
        <f t="shared" si="24"/>
        <v>7</v>
      </c>
      <c r="U237" s="176">
        <f t="shared" si="28"/>
        <v>5</v>
      </c>
      <c r="V237" s="176">
        <f t="shared" si="29"/>
        <v>5</v>
      </c>
      <c r="W237" s="177">
        <f t="shared" si="30"/>
        <v>2</v>
      </c>
      <c r="X237" s="3" t="str">
        <f>IF(VLOOKUP($C237,'All Girls &amp; Descendants - Edit'!$C$2:$AK$440,'All Girls &amp; Descendants - Edit'!X$1,FALSE)=""," - ",(VLOOKUP($C237,'All Girls &amp; Descendants - Edit'!$C$2:$AK$440,'All Girls &amp; Descendants - Edit'!X$1,FALSE)))</f>
        <v xml:space="preserve"> - </v>
      </c>
      <c r="Y237" s="3" t="str">
        <f>IF(VLOOKUP($C237,'All Girls &amp; Descendants - Edit'!$C$2:$AK$440,'All Girls &amp; Descendants - Edit'!Y$1,FALSE)=""," - ",(VLOOKUP($C237,'All Girls &amp; Descendants - Edit'!$C$2:$AK$440,'All Girls &amp; Descendants - Edit'!Y$1,FALSE)))</f>
        <v xml:space="preserve"> - </v>
      </c>
      <c r="Z237" s="3" t="str">
        <f>IF(VLOOKUP($C237,'All Girls &amp; Descendants - Edit'!$C$2:$AK$440,'All Girls &amp; Descendants - Edit'!Z$1,FALSE)=""," - ",(VLOOKUP($C237,'All Girls &amp; Descendants - Edit'!$C$2:$AK$440,'All Girls &amp; Descendants - Edit'!Z$1,FALSE)))</f>
        <v>Born in London. Baptised 3 Dec 1973 at Cirencester Parish Church.</v>
      </c>
      <c r="AA237" s="101">
        <f>IF(VLOOKUP($C237,'All Girls &amp; Descendants - Edit'!$C$2:$AK$440,'All Girls &amp; Descendants - Edit'!AA$1,FALSE)=""," - ",(VLOOKUP($C237,'All Girls &amp; Descendants - Edit'!$C$2:$AK$440,'All Girls &amp; Descendants - Edit'!AA$1,FALSE)))</f>
        <v>262</v>
      </c>
      <c r="AB237" s="101">
        <f>IF(VLOOKUP($C237,'All Girls &amp; Descendants - Edit'!$C$2:$AK$440,'All Girls &amp; Descendants - Edit'!AB$1,FALSE)=""," - ",(VLOOKUP($C237,'All Girls &amp; Descendants - Edit'!$C$2:$AK$440,'All Girls &amp; Descendants - Edit'!AB$1,FALSE)))</f>
        <v>94</v>
      </c>
      <c r="AC237" s="101">
        <f>IF(VLOOKUP($C237,'All Girls &amp; Descendants - Edit'!$C$2:$AK$440,'All Girls &amp; Descendants - Edit'!AC$1,FALSE)=""," - ",(VLOOKUP($C237,'All Girls &amp; Descendants - Edit'!$C$2:$AK$440,'All Girls &amp; Descendants - Edit'!AC$1,FALSE)))</f>
        <v>2094</v>
      </c>
      <c r="AD237" s="3" t="str">
        <f>IF(VLOOKUP($C237,'All Girls &amp; Descendants - Edit'!$C$2:$AK$440,'All Girls &amp; Descendants - Edit'!AD$1,FALSE)=""," - ",(VLOOKUP($C237,'All Girls &amp; Descendants - Edit'!$C$2:$AK$440,'All Girls &amp; Descendants - Edit'!AD$1,FALSE)))</f>
        <v>103bb</v>
      </c>
      <c r="AE237" s="3" t="str">
        <f>IF(VLOOKUP($C237,'All Girls &amp; Descendants - Edit'!$C$2:$AK$440,'All Girls &amp; Descendants - Edit'!AE$1,FALSE)=""," - ",(VLOOKUP($C237,'All Girls &amp; Descendants - Edit'!$C$2:$AK$440,'All Girls &amp; Descendants - Edit'!AE$1,FALSE)))</f>
        <v>Lucinda Mary  PILKINGTON (1973 - )</v>
      </c>
      <c r="AF237" s="3" t="str">
        <f>IF(VLOOKUP($C237,'All Girls &amp; Descendants - Edit'!$C$2:$AK$440,'All Girls &amp; Descendants - Edit'!AF$1,FALSE)=""," - ",(VLOOKUP($C237,'All Girls &amp; Descendants - Edit'!$C$2:$AK$440,'All Girls &amp; Descendants - Edit'!AF$1,FALSE)))</f>
        <v>Lucy PILKINGTON (7th &amp; 103)</v>
      </c>
      <c r="AG237" s="3" t="str">
        <f>IF(VLOOKUP($C237,'All Girls &amp; Descendants - Edit'!$C$2:$AK$440,'All Girls &amp; Descendants - Edit'!AG$1,FALSE)=""," - ",(VLOOKUP($C237,'All Girls &amp; Descendants - Edit'!$C$2:$AK$440,'All Girls &amp; Descendants - Edit'!AG$1,FALSE)))</f>
        <v>Female</v>
      </c>
      <c r="AH237" s="3" t="str">
        <f>IF(VLOOKUP($C237,'All Girls &amp; Descendants - Edit'!$C$2:$AK$440,'All Girls &amp; Descendants - Edit'!AH$1,FALSE)=""," - ",(VLOOKUP($C237,'All Girls &amp; Descendants - Edit'!$C$2:$AK$440,'All Girls &amp; Descendants - Edit'!AH$1,FALSE)))</f>
        <v>7th</v>
      </c>
      <c r="AI237" s="3" t="str">
        <f>IF(VLOOKUP($C237,'All Girls &amp; Descendants - Edit'!$C$2:$AK$440,'All Girls &amp; Descendants - Edit'!AI$1,FALSE)=""," - ",(VLOOKUP($C237,'All Girls &amp; Descendants - Edit'!$C$2:$AK$440,'All Girls &amp; Descendants - Edit'!AI$1,FALSE)))</f>
        <v>Unmarried</v>
      </c>
      <c r="AJ237" s="3" t="str">
        <f>IF(VLOOKUP($C237,'All Girls &amp; Descendants - Edit'!$C$2:$AK$440,'All Girls &amp; Descendants - Edit'!AJ$1,FALSE)=""," - ",(VLOOKUP($C237,'All Girls &amp; Descendants - Edit'!$C$2:$AK$440,'All Girls &amp; Descendants - Edit'!AJ$1,FALSE)))</f>
        <v>Female. b. 24/05/1973 Born in London. Baptised 3 Dec 1973 at Cirencester Parish Church.</v>
      </c>
      <c r="AK237" s="3" t="str">
        <f>IF(VLOOKUP($C237,'All Girls &amp; Descendants - Edit'!$C$2:$AK$440,'All Girls &amp; Descendants - Edit'!AK$1,FALSE)=""," - ",(VLOOKUP($C237,'All Girls &amp; Descendants - Edit'!$C$2:$AK$440,'All Girls &amp; Descendants - Edit'!AK$1,FALSE)))</f>
        <v>b. 24/05/1973</v>
      </c>
    </row>
    <row r="238" spans="1:37" ht="19">
      <c r="A238">
        <f>VLOOKUP(B238,'Loyd List 1-190 - Edit'!$P$1:$R$219,3,FALSE)</f>
        <v>72</v>
      </c>
      <c r="B238">
        <f>'All Girls &amp; Descendants - Edit'!B239</f>
        <v>103</v>
      </c>
      <c r="C238" s="98" t="str">
        <f>'All Girls &amp; Descendants - Edit'!C239</f>
        <v>103bc</v>
      </c>
      <c r="D238" s="2" t="str">
        <f>'All Girls &amp; Descendants - Edit'!D239</f>
        <v>PILKINGTON</v>
      </c>
      <c r="E238" t="str">
        <f>'All Girls &amp; Descendants - Edit'!E239</f>
        <v>Nicholas</v>
      </c>
      <c r="F238" t="str">
        <f>IF('All Girls &amp; Descendants - Edit'!F239="","",'All Girls &amp; Descendants - Edit'!F239)</f>
        <v>James</v>
      </c>
      <c r="G238" t="str">
        <f>IF('All Girls &amp; Descendants - Edit'!G239="","",'All Girls &amp; Descendants - Edit'!G239)</f>
        <v/>
      </c>
      <c r="H238" t="str">
        <f>IF('All Girls &amp; Descendants - Edit'!H239="","",'All Girls &amp; Descendants - Edit'!H239)</f>
        <v/>
      </c>
      <c r="I238">
        <f>VLOOKUP($C238,'All Girls &amp; Descendants - Edit'!$C$2:$AK$440,'All Girls &amp; Descendants - Edit'!I$1,FALSE)</f>
        <v>1976</v>
      </c>
      <c r="J238" t="str">
        <f>VLOOKUP($C238,'All Girls &amp; Descendants - Edit'!$C$2:$AK$440,'All Girls &amp; Descendants - Edit'!J$1,FALSE)</f>
        <v/>
      </c>
      <c r="K238" s="9"/>
      <c r="L238" t="str">
        <f t="shared" si="25"/>
        <v>29/04/1976</v>
      </c>
      <c r="M238" s="3">
        <f>VLOOKUP($C238,'All Girls &amp; Descendants - Edit'!$C$2:$AK$440,'All Girls &amp; Descendants - Edit'!M$1,FALSE)</f>
        <v>27879</v>
      </c>
      <c r="N238" s="3" t="str">
        <f>IF(VLOOKUP($C238,'All Girls &amp; Descendants - Edit'!$C$2:$AK$440,'All Girls &amp; Descendants - Edit'!N$1,FALSE)=""," - ",(VLOOKUP($C238,'All Girls &amp; Descendants - Edit'!$C$2:$AK$440,'All Girls &amp; Descendants - Edit'!N$1,FALSE)))</f>
        <v xml:space="preserve"> - </v>
      </c>
      <c r="O238" s="3" t="str">
        <f>IF(VLOOKUP($C238,'All Girls &amp; Descendants - Edit'!$C$2:$AK$440,'All Girls &amp; Descendants - Edit'!O$1,FALSE)="","",(VLOOKUP($C238,'All Girls &amp; Descendants - Edit'!$C$2:$AK$440,'All Girls &amp; Descendants - Edit'!O$1,FALSE)))</f>
        <v/>
      </c>
      <c r="P238" s="3" t="str">
        <f t="shared" si="26"/>
        <v/>
      </c>
      <c r="Q238" s="178" t="str">
        <f t="shared" si="27"/>
        <v>103b</v>
      </c>
      <c r="R238" s="23"/>
      <c r="S238" t="str">
        <f>VLOOKUP($C238,'All Girls &amp; Descendants - Edit'!$C$2:$AK$440,'All Girls &amp; Descendants - Edit'!S$1,FALSE)</f>
        <v>Male</v>
      </c>
      <c r="T238" s="176">
        <f t="shared" si="24"/>
        <v>7</v>
      </c>
      <c r="U238" s="176">
        <f t="shared" si="28"/>
        <v>5</v>
      </c>
      <c r="V238" s="176">
        <f t="shared" si="29"/>
        <v>5</v>
      </c>
      <c r="W238" s="177">
        <f t="shared" si="30"/>
        <v>2</v>
      </c>
      <c r="X238" s="3" t="str">
        <f>IF(VLOOKUP($C238,'All Girls &amp; Descendants - Edit'!$C$2:$AK$440,'All Girls &amp; Descendants - Edit'!X$1,FALSE)=""," - ",(VLOOKUP($C238,'All Girls &amp; Descendants - Edit'!$C$2:$AK$440,'All Girls &amp; Descendants - Edit'!X$1,FALSE)))</f>
        <v xml:space="preserve"> - </v>
      </c>
      <c r="Y238" s="3" t="str">
        <f>IF(VLOOKUP($C238,'All Girls &amp; Descendants - Edit'!$C$2:$AK$440,'All Girls &amp; Descendants - Edit'!Y$1,FALSE)=""," - ",(VLOOKUP($C238,'All Girls &amp; Descendants - Edit'!$C$2:$AK$440,'All Girls &amp; Descendants - Edit'!Y$1,FALSE)))</f>
        <v xml:space="preserve"> - </v>
      </c>
      <c r="Z238" s="3" t="str">
        <f>IF(VLOOKUP($C238,'All Girls &amp; Descendants - Edit'!$C$2:$AK$440,'All Girls &amp; Descendants - Edit'!Z$1,FALSE)=""," - ",(VLOOKUP($C238,'All Girls &amp; Descendants - Edit'!$C$2:$AK$440,'All Girls &amp; Descendants - Edit'!Z$1,FALSE)))</f>
        <v>Born in Salisbury. Baptised at St Andrew’s, Landford, Salisbury.</v>
      </c>
      <c r="AA238" s="101">
        <f>IF(VLOOKUP($C238,'All Girls &amp; Descendants - Edit'!$C$2:$AK$440,'All Girls &amp; Descendants - Edit'!AA$1,FALSE)=""," - ",(VLOOKUP($C238,'All Girls &amp; Descendants - Edit'!$C$2:$AK$440,'All Girls &amp; Descendants - Edit'!AA$1,FALSE)))</f>
        <v>263</v>
      </c>
      <c r="AB238" s="101">
        <f>IF(VLOOKUP($C238,'All Girls &amp; Descendants - Edit'!$C$2:$AK$440,'All Girls &amp; Descendants - Edit'!AB$1,FALSE)=""," - ",(VLOOKUP($C238,'All Girls &amp; Descendants - Edit'!$C$2:$AK$440,'All Girls &amp; Descendants - Edit'!AB$1,FALSE)))</f>
        <v>95</v>
      </c>
      <c r="AC238" s="101">
        <f>IF(VLOOKUP($C238,'All Girls &amp; Descendants - Edit'!$C$2:$AK$440,'All Girls &amp; Descendants - Edit'!AC$1,FALSE)=""," - ",(VLOOKUP($C238,'All Girls &amp; Descendants - Edit'!$C$2:$AK$440,'All Girls &amp; Descendants - Edit'!AC$1,FALSE)))</f>
        <v>2095</v>
      </c>
      <c r="AD238" s="3" t="str">
        <f>IF(VLOOKUP($C238,'All Girls &amp; Descendants - Edit'!$C$2:$AK$440,'All Girls &amp; Descendants - Edit'!AD$1,FALSE)=""," - ",(VLOOKUP($C238,'All Girls &amp; Descendants - Edit'!$C$2:$AK$440,'All Girls &amp; Descendants - Edit'!AD$1,FALSE)))</f>
        <v>103bc</v>
      </c>
      <c r="AE238" s="3" t="str">
        <f>IF(VLOOKUP($C238,'All Girls &amp; Descendants - Edit'!$C$2:$AK$440,'All Girls &amp; Descendants - Edit'!AE$1,FALSE)=""," - ",(VLOOKUP($C238,'All Girls &amp; Descendants - Edit'!$C$2:$AK$440,'All Girls &amp; Descendants - Edit'!AE$1,FALSE)))</f>
        <v>Nicholas James  PILKINGTON (1976 - )</v>
      </c>
      <c r="AF238" s="3" t="str">
        <f>IF(VLOOKUP($C238,'All Girls &amp; Descendants - Edit'!$C$2:$AK$440,'All Girls &amp; Descendants - Edit'!AF$1,FALSE)=""," - ",(VLOOKUP($C238,'All Girls &amp; Descendants - Edit'!$C$2:$AK$440,'All Girls &amp; Descendants - Edit'!AF$1,FALSE)))</f>
        <v>Nicholas PILKINGTON (7th &amp; 103)</v>
      </c>
      <c r="AG238" s="3" t="str">
        <f>IF(VLOOKUP($C238,'All Girls &amp; Descendants - Edit'!$C$2:$AK$440,'All Girls &amp; Descendants - Edit'!AG$1,FALSE)=""," - ",(VLOOKUP($C238,'All Girls &amp; Descendants - Edit'!$C$2:$AK$440,'All Girls &amp; Descendants - Edit'!AG$1,FALSE)))</f>
        <v>Male</v>
      </c>
      <c r="AH238" s="3" t="str">
        <f>IF(VLOOKUP($C238,'All Girls &amp; Descendants - Edit'!$C$2:$AK$440,'All Girls &amp; Descendants - Edit'!AH$1,FALSE)=""," - ",(VLOOKUP($C238,'All Girls &amp; Descendants - Edit'!$C$2:$AK$440,'All Girls &amp; Descendants - Edit'!AH$1,FALSE)))</f>
        <v>7th</v>
      </c>
      <c r="AI238" s="3" t="str">
        <f>IF(VLOOKUP($C238,'All Girls &amp; Descendants - Edit'!$C$2:$AK$440,'All Girls &amp; Descendants - Edit'!AI$1,FALSE)=""," - ",(VLOOKUP($C238,'All Girls &amp; Descendants - Edit'!$C$2:$AK$440,'All Girls &amp; Descendants - Edit'!AI$1,FALSE)))</f>
        <v>Unmarried</v>
      </c>
      <c r="AJ238" s="3" t="str">
        <f>IF(VLOOKUP($C238,'All Girls &amp; Descendants - Edit'!$C$2:$AK$440,'All Girls &amp; Descendants - Edit'!AJ$1,FALSE)=""," - ",(VLOOKUP($C238,'All Girls &amp; Descendants - Edit'!$C$2:$AK$440,'All Girls &amp; Descendants - Edit'!AJ$1,FALSE)))</f>
        <v>Male. b. 29/04/1976 Born in Salisbury. Baptised at St Andrew’s, Landford, Salisbury.</v>
      </c>
      <c r="AK238" s="3" t="str">
        <f>IF(VLOOKUP($C238,'All Girls &amp; Descendants - Edit'!$C$2:$AK$440,'All Girls &amp; Descendants - Edit'!AK$1,FALSE)=""," - ",(VLOOKUP($C238,'All Girls &amp; Descendants - Edit'!$C$2:$AK$440,'All Girls &amp; Descendants - Edit'!AK$1,FALSE)))</f>
        <v>b. 29/04/1976</v>
      </c>
    </row>
    <row r="239" spans="1:37" ht="19">
      <c r="A239">
        <f>VLOOKUP(B239,'Loyd List 1-190 - Edit'!$P$1:$R$219,3,FALSE)</f>
        <v>72</v>
      </c>
      <c r="B239">
        <f>'All Girls &amp; Descendants - Edit'!B240</f>
        <v>103</v>
      </c>
      <c r="C239" s="98" t="str">
        <f>'All Girls &amp; Descendants - Edit'!C240</f>
        <v>103bd</v>
      </c>
      <c r="D239" s="2" t="str">
        <f>'All Girls &amp; Descendants - Edit'!D240</f>
        <v>PILKINGTON</v>
      </c>
      <c r="E239" t="str">
        <f>'All Girls &amp; Descendants - Edit'!E240</f>
        <v>Claire</v>
      </c>
      <c r="F239" t="str">
        <f>IF('All Girls &amp; Descendants - Edit'!F240="","",'All Girls &amp; Descendants - Edit'!F240)</f>
        <v>Georgina</v>
      </c>
      <c r="G239" t="str">
        <f>IF('All Girls &amp; Descendants - Edit'!G240="","",'All Girls &amp; Descendants - Edit'!G240)</f>
        <v/>
      </c>
      <c r="H239" t="str">
        <f>IF('All Girls &amp; Descendants - Edit'!H240="","",'All Girls &amp; Descendants - Edit'!H240)</f>
        <v/>
      </c>
      <c r="I239">
        <f>VLOOKUP($C239,'All Girls &amp; Descendants - Edit'!$C$2:$AK$440,'All Girls &amp; Descendants - Edit'!I$1,FALSE)</f>
        <v>1979</v>
      </c>
      <c r="J239" t="str">
        <f>VLOOKUP($C239,'All Girls &amp; Descendants - Edit'!$C$2:$AK$440,'All Girls &amp; Descendants - Edit'!J$1,FALSE)</f>
        <v/>
      </c>
      <c r="K239" s="9"/>
      <c r="L239" t="str">
        <f t="shared" si="25"/>
        <v>03/01/1979</v>
      </c>
      <c r="M239" s="3">
        <f>VLOOKUP($C239,'All Girls &amp; Descendants - Edit'!$C$2:$AK$440,'All Girls &amp; Descendants - Edit'!M$1,FALSE)</f>
        <v>28858</v>
      </c>
      <c r="N239" s="3" t="str">
        <f>IF(VLOOKUP($C239,'All Girls &amp; Descendants - Edit'!$C$2:$AK$440,'All Girls &amp; Descendants - Edit'!N$1,FALSE)=""," - ",(VLOOKUP($C239,'All Girls &amp; Descendants - Edit'!$C$2:$AK$440,'All Girls &amp; Descendants - Edit'!N$1,FALSE)))</f>
        <v xml:space="preserve"> - </v>
      </c>
      <c r="O239" s="3" t="str">
        <f>IF(VLOOKUP($C239,'All Girls &amp; Descendants - Edit'!$C$2:$AK$440,'All Girls &amp; Descendants - Edit'!O$1,FALSE)="","",(VLOOKUP($C239,'All Girls &amp; Descendants - Edit'!$C$2:$AK$440,'All Girls &amp; Descendants - Edit'!O$1,FALSE)))</f>
        <v/>
      </c>
      <c r="P239" s="3" t="str">
        <f t="shared" si="26"/>
        <v/>
      </c>
      <c r="Q239" s="178" t="str">
        <f t="shared" si="27"/>
        <v>103b</v>
      </c>
      <c r="R239" s="23"/>
      <c r="S239" t="str">
        <f>VLOOKUP($C239,'All Girls &amp; Descendants - Edit'!$C$2:$AK$440,'All Girls &amp; Descendants - Edit'!S$1,FALSE)</f>
        <v>Female</v>
      </c>
      <c r="T239" s="176">
        <f t="shared" si="24"/>
        <v>7</v>
      </c>
      <c r="U239" s="176">
        <f t="shared" si="28"/>
        <v>5</v>
      </c>
      <c r="V239" s="176">
        <f t="shared" si="29"/>
        <v>5</v>
      </c>
      <c r="W239" s="177">
        <f t="shared" si="30"/>
        <v>2</v>
      </c>
      <c r="X239" s="3" t="str">
        <f>IF(VLOOKUP($C239,'All Girls &amp; Descendants - Edit'!$C$2:$AK$440,'All Girls &amp; Descendants - Edit'!X$1,FALSE)=""," - ",(VLOOKUP($C239,'All Girls &amp; Descendants - Edit'!$C$2:$AK$440,'All Girls &amp; Descendants - Edit'!X$1,FALSE)))</f>
        <v xml:space="preserve"> - </v>
      </c>
      <c r="Y239" s="3" t="str">
        <f>IF(VLOOKUP($C239,'All Girls &amp; Descendants - Edit'!$C$2:$AK$440,'All Girls &amp; Descendants - Edit'!Y$1,FALSE)=""," - ",(VLOOKUP($C239,'All Girls &amp; Descendants - Edit'!$C$2:$AK$440,'All Girls &amp; Descendants - Edit'!Y$1,FALSE)))</f>
        <v xml:space="preserve"> - </v>
      </c>
      <c r="Z239" s="3" t="str">
        <f>IF(VLOOKUP($C239,'All Girls &amp; Descendants - Edit'!$C$2:$AK$440,'All Girls &amp; Descendants - Edit'!Z$1,FALSE)=""," - ",(VLOOKUP($C239,'All Girls &amp; Descendants - Edit'!$C$2:$AK$440,'All Girls &amp; Descendants - Edit'!Z$1,FALSE)))</f>
        <v>Born in Salisbury. Baptised at St Andrew’s, Landford, Salisbury.</v>
      </c>
      <c r="AA239" s="101">
        <f>IF(VLOOKUP($C239,'All Girls &amp; Descendants - Edit'!$C$2:$AK$440,'All Girls &amp; Descendants - Edit'!AA$1,FALSE)=""," - ",(VLOOKUP($C239,'All Girls &amp; Descendants - Edit'!$C$2:$AK$440,'All Girls &amp; Descendants - Edit'!AA$1,FALSE)))</f>
        <v>264</v>
      </c>
      <c r="AB239" s="101">
        <f>IF(VLOOKUP($C239,'All Girls &amp; Descendants - Edit'!$C$2:$AK$440,'All Girls &amp; Descendants - Edit'!AB$1,FALSE)=""," - ",(VLOOKUP($C239,'All Girls &amp; Descendants - Edit'!$C$2:$AK$440,'All Girls &amp; Descendants - Edit'!AB$1,FALSE)))</f>
        <v>96</v>
      </c>
      <c r="AC239" s="101">
        <f>IF(VLOOKUP($C239,'All Girls &amp; Descendants - Edit'!$C$2:$AK$440,'All Girls &amp; Descendants - Edit'!AC$1,FALSE)=""," - ",(VLOOKUP($C239,'All Girls &amp; Descendants - Edit'!$C$2:$AK$440,'All Girls &amp; Descendants - Edit'!AC$1,FALSE)))</f>
        <v>2096</v>
      </c>
      <c r="AD239" s="3" t="str">
        <f>IF(VLOOKUP($C239,'All Girls &amp; Descendants - Edit'!$C$2:$AK$440,'All Girls &amp; Descendants - Edit'!AD$1,FALSE)=""," - ",(VLOOKUP($C239,'All Girls &amp; Descendants - Edit'!$C$2:$AK$440,'All Girls &amp; Descendants - Edit'!AD$1,FALSE)))</f>
        <v>103bd</v>
      </c>
      <c r="AE239" s="3" t="str">
        <f>IF(VLOOKUP($C239,'All Girls &amp; Descendants - Edit'!$C$2:$AK$440,'All Girls &amp; Descendants - Edit'!AE$1,FALSE)=""," - ",(VLOOKUP($C239,'All Girls &amp; Descendants - Edit'!$C$2:$AK$440,'All Girls &amp; Descendants - Edit'!AE$1,FALSE)))</f>
        <v>Claire Georgina  PILKINGTON (1979 - )</v>
      </c>
      <c r="AF239" s="3" t="str">
        <f>IF(VLOOKUP($C239,'All Girls &amp; Descendants - Edit'!$C$2:$AK$440,'All Girls &amp; Descendants - Edit'!AF$1,FALSE)=""," - ",(VLOOKUP($C239,'All Girls &amp; Descendants - Edit'!$C$2:$AK$440,'All Girls &amp; Descendants - Edit'!AF$1,FALSE)))</f>
        <v>Claire PILKINGTON (7th &amp; 103)</v>
      </c>
      <c r="AG239" s="3" t="str">
        <f>IF(VLOOKUP($C239,'All Girls &amp; Descendants - Edit'!$C$2:$AK$440,'All Girls &amp; Descendants - Edit'!AG$1,FALSE)=""," - ",(VLOOKUP($C239,'All Girls &amp; Descendants - Edit'!$C$2:$AK$440,'All Girls &amp; Descendants - Edit'!AG$1,FALSE)))</f>
        <v>Female</v>
      </c>
      <c r="AH239" s="3" t="str">
        <f>IF(VLOOKUP($C239,'All Girls &amp; Descendants - Edit'!$C$2:$AK$440,'All Girls &amp; Descendants - Edit'!AH$1,FALSE)=""," - ",(VLOOKUP($C239,'All Girls &amp; Descendants - Edit'!$C$2:$AK$440,'All Girls &amp; Descendants - Edit'!AH$1,FALSE)))</f>
        <v>7th</v>
      </c>
      <c r="AI239" s="3" t="str">
        <f>IF(VLOOKUP($C239,'All Girls &amp; Descendants - Edit'!$C$2:$AK$440,'All Girls &amp; Descendants - Edit'!AI$1,FALSE)=""," - ",(VLOOKUP($C239,'All Girls &amp; Descendants - Edit'!$C$2:$AK$440,'All Girls &amp; Descendants - Edit'!AI$1,FALSE)))</f>
        <v>Unmarried</v>
      </c>
      <c r="AJ239" s="3" t="str">
        <f>IF(VLOOKUP($C239,'All Girls &amp; Descendants - Edit'!$C$2:$AK$440,'All Girls &amp; Descendants - Edit'!AJ$1,FALSE)=""," - ",(VLOOKUP($C239,'All Girls &amp; Descendants - Edit'!$C$2:$AK$440,'All Girls &amp; Descendants - Edit'!AJ$1,FALSE)))</f>
        <v>Female. b. 03/01/1979 Born in Salisbury. Baptised at St Andrew’s, Landford, Salisbury.</v>
      </c>
      <c r="AK239" s="3" t="str">
        <f>IF(VLOOKUP($C239,'All Girls &amp; Descendants - Edit'!$C$2:$AK$440,'All Girls &amp; Descendants - Edit'!AK$1,FALSE)=""," - ",(VLOOKUP($C239,'All Girls &amp; Descendants - Edit'!$C$2:$AK$440,'All Girls &amp; Descendants - Edit'!AK$1,FALSE)))</f>
        <v>b. 03/01/1979</v>
      </c>
    </row>
    <row r="240" spans="1:37" ht="19">
      <c r="A240">
        <f>VLOOKUP(B240,'Loyd List 1-190 - Edit'!$P$1:$R$219,3,FALSE)</f>
        <v>72</v>
      </c>
      <c r="B240">
        <f>'All Girls &amp; Descendants - Edit'!B241</f>
        <v>103</v>
      </c>
      <c r="C240" s="98" t="str">
        <f>'All Girls &amp; Descendants - Edit'!C241</f>
        <v>103ca</v>
      </c>
      <c r="D240" s="2" t="str">
        <f>'All Girls &amp; Descendants - Edit'!D241</f>
        <v>GORE-BROWNE</v>
      </c>
      <c r="E240" t="str">
        <f>'All Girls &amp; Descendants - Edit'!E241</f>
        <v>William</v>
      </c>
      <c r="F240" t="str">
        <f>IF('All Girls &amp; Descendants - Edit'!F241="","",'All Girls &amp; Descendants - Edit'!F241)</f>
        <v>Thomas</v>
      </c>
      <c r="G240" t="str">
        <f>IF('All Girls &amp; Descendants - Edit'!G241="","",'All Girls &amp; Descendants - Edit'!G241)</f>
        <v/>
      </c>
      <c r="H240" t="str">
        <f>IF('All Girls &amp; Descendants - Edit'!H241="","",'All Girls &amp; Descendants - Edit'!H241)</f>
        <v/>
      </c>
      <c r="I240">
        <f>VLOOKUP($C240,'All Girls &amp; Descendants - Edit'!$C$2:$AK$440,'All Girls &amp; Descendants - Edit'!I$1,FALSE)</f>
        <v>1988</v>
      </c>
      <c r="J240" t="str">
        <f>VLOOKUP($C240,'All Girls &amp; Descendants - Edit'!$C$2:$AK$440,'All Girls &amp; Descendants - Edit'!J$1,FALSE)</f>
        <v/>
      </c>
      <c r="K240" s="9"/>
      <c r="L240" t="str">
        <f t="shared" si="25"/>
        <v>28/05/1988</v>
      </c>
      <c r="M240" s="3">
        <f>VLOOKUP($C240,'All Girls &amp; Descendants - Edit'!$C$2:$AK$440,'All Girls &amp; Descendants - Edit'!M$1,FALSE)</f>
        <v>32291</v>
      </c>
      <c r="N240" s="3" t="str">
        <f>IF(VLOOKUP($C240,'All Girls &amp; Descendants - Edit'!$C$2:$AK$440,'All Girls &amp; Descendants - Edit'!N$1,FALSE)=""," - ",(VLOOKUP($C240,'All Girls &amp; Descendants - Edit'!$C$2:$AK$440,'All Girls &amp; Descendants - Edit'!N$1,FALSE)))</f>
        <v xml:space="preserve"> - </v>
      </c>
      <c r="O240" s="3" t="str">
        <f>IF(VLOOKUP($C240,'All Girls &amp; Descendants - Edit'!$C$2:$AK$440,'All Girls &amp; Descendants - Edit'!O$1,FALSE)="","",(VLOOKUP($C240,'All Girls &amp; Descendants - Edit'!$C$2:$AK$440,'All Girls &amp; Descendants - Edit'!O$1,FALSE)))</f>
        <v/>
      </c>
      <c r="P240" s="3" t="str">
        <f t="shared" si="26"/>
        <v/>
      </c>
      <c r="Q240" s="178" t="str">
        <f t="shared" si="27"/>
        <v>103c</v>
      </c>
      <c r="R240" s="23"/>
      <c r="S240" t="str">
        <f>VLOOKUP($C240,'All Girls &amp; Descendants - Edit'!$C$2:$AK$440,'All Girls &amp; Descendants - Edit'!S$1,FALSE)</f>
        <v>Male</v>
      </c>
      <c r="T240" s="176">
        <f t="shared" si="24"/>
        <v>7</v>
      </c>
      <c r="U240" s="176">
        <f t="shared" si="28"/>
        <v>5</v>
      </c>
      <c r="V240" s="176">
        <f t="shared" si="29"/>
        <v>5</v>
      </c>
      <c r="W240" s="177">
        <f t="shared" si="30"/>
        <v>2</v>
      </c>
      <c r="X240" s="3" t="str">
        <f>IF(VLOOKUP($C240,'All Girls &amp; Descendants - Edit'!$C$2:$AK$440,'All Girls &amp; Descendants - Edit'!X$1,FALSE)=""," - ",(VLOOKUP($C240,'All Girls &amp; Descendants - Edit'!$C$2:$AK$440,'All Girls &amp; Descendants - Edit'!X$1,FALSE)))</f>
        <v xml:space="preserve"> - </v>
      </c>
      <c r="Y240" s="3" t="str">
        <f>IF(VLOOKUP($C240,'All Girls &amp; Descendants - Edit'!$C$2:$AK$440,'All Girls &amp; Descendants - Edit'!Y$1,FALSE)=""," - ",(VLOOKUP($C240,'All Girls &amp; Descendants - Edit'!$C$2:$AK$440,'All Girls &amp; Descendants - Edit'!Y$1,FALSE)))</f>
        <v xml:space="preserve"> - </v>
      </c>
      <c r="Z240" s="3" t="str">
        <f>IF(VLOOKUP($C240,'All Girls &amp; Descendants - Edit'!$C$2:$AK$440,'All Girls &amp; Descendants - Edit'!Z$1,FALSE)=""," - ",(VLOOKUP($C240,'All Girls &amp; Descendants - Edit'!$C$2:$AK$440,'All Girls &amp; Descendants - Edit'!Z$1,FALSE)))</f>
        <v>Born at Salisbury. Baptised at Damerham Parish Church, Fordingbridge.</v>
      </c>
      <c r="AA240" s="101">
        <f>IF(VLOOKUP($C240,'All Girls &amp; Descendants - Edit'!$C$2:$AK$440,'All Girls &amp; Descendants - Edit'!AA$1,FALSE)=""," - ",(VLOOKUP($C240,'All Girls &amp; Descendants - Edit'!$C$2:$AK$440,'All Girls &amp; Descendants - Edit'!AA$1,FALSE)))</f>
        <v>266</v>
      </c>
      <c r="AB240" s="101">
        <f>IF(VLOOKUP($C240,'All Girls &amp; Descendants - Edit'!$C$2:$AK$440,'All Girls &amp; Descendants - Edit'!AB$1,FALSE)=""," - ",(VLOOKUP($C240,'All Girls &amp; Descendants - Edit'!$C$2:$AK$440,'All Girls &amp; Descendants - Edit'!AB$1,FALSE)))</f>
        <v>97</v>
      </c>
      <c r="AC240" s="101">
        <f>IF(VLOOKUP($C240,'All Girls &amp; Descendants - Edit'!$C$2:$AK$440,'All Girls &amp; Descendants - Edit'!AC$1,FALSE)=""," - ",(VLOOKUP($C240,'All Girls &amp; Descendants - Edit'!$C$2:$AK$440,'All Girls &amp; Descendants - Edit'!AC$1,FALSE)))</f>
        <v>2097</v>
      </c>
      <c r="AD240" s="3" t="str">
        <f>IF(VLOOKUP($C240,'All Girls &amp; Descendants - Edit'!$C$2:$AK$440,'All Girls &amp; Descendants - Edit'!AD$1,FALSE)=""," - ",(VLOOKUP($C240,'All Girls &amp; Descendants - Edit'!$C$2:$AK$440,'All Girls &amp; Descendants - Edit'!AD$1,FALSE)))</f>
        <v>103ca</v>
      </c>
      <c r="AE240" s="3" t="str">
        <f>IF(VLOOKUP($C240,'All Girls &amp; Descendants - Edit'!$C$2:$AK$440,'All Girls &amp; Descendants - Edit'!AE$1,FALSE)=""," - ",(VLOOKUP($C240,'All Girls &amp; Descendants - Edit'!$C$2:$AK$440,'All Girls &amp; Descendants - Edit'!AE$1,FALSE)))</f>
        <v>William Thomas  GORE-BROWNE (1988 - )</v>
      </c>
      <c r="AF240" s="3" t="str">
        <f>IF(VLOOKUP($C240,'All Girls &amp; Descendants - Edit'!$C$2:$AK$440,'All Girls &amp; Descendants - Edit'!AF$1,FALSE)=""," - ",(VLOOKUP($C240,'All Girls &amp; Descendants - Edit'!$C$2:$AK$440,'All Girls &amp; Descendants - Edit'!AF$1,FALSE)))</f>
        <v>William GORE-BROWNE (7th &amp; 103)</v>
      </c>
      <c r="AG240" s="3" t="str">
        <f>IF(VLOOKUP($C240,'All Girls &amp; Descendants - Edit'!$C$2:$AK$440,'All Girls &amp; Descendants - Edit'!AG$1,FALSE)=""," - ",(VLOOKUP($C240,'All Girls &amp; Descendants - Edit'!$C$2:$AK$440,'All Girls &amp; Descendants - Edit'!AG$1,FALSE)))</f>
        <v>Male</v>
      </c>
      <c r="AH240" s="3" t="str">
        <f>IF(VLOOKUP($C240,'All Girls &amp; Descendants - Edit'!$C$2:$AK$440,'All Girls &amp; Descendants - Edit'!AH$1,FALSE)=""," - ",(VLOOKUP($C240,'All Girls &amp; Descendants - Edit'!$C$2:$AK$440,'All Girls &amp; Descendants - Edit'!AH$1,FALSE)))</f>
        <v>7th</v>
      </c>
      <c r="AI240" s="3" t="str">
        <f>IF(VLOOKUP($C240,'All Girls &amp; Descendants - Edit'!$C$2:$AK$440,'All Girls &amp; Descendants - Edit'!AI$1,FALSE)=""," - ",(VLOOKUP($C240,'All Girls &amp; Descendants - Edit'!$C$2:$AK$440,'All Girls &amp; Descendants - Edit'!AI$1,FALSE)))</f>
        <v>Unmarried</v>
      </c>
      <c r="AJ240" s="3" t="str">
        <f>IF(VLOOKUP($C240,'All Girls &amp; Descendants - Edit'!$C$2:$AK$440,'All Girls &amp; Descendants - Edit'!AJ$1,FALSE)=""," - ",(VLOOKUP($C240,'All Girls &amp; Descendants - Edit'!$C$2:$AK$440,'All Girls &amp; Descendants - Edit'!AJ$1,FALSE)))</f>
        <v>Male. b. 28/05/1988 Born at Salisbury. Baptised at Damerham Parish Church, Fordingbridge.</v>
      </c>
      <c r="AK240" s="3" t="str">
        <f>IF(VLOOKUP($C240,'All Girls &amp; Descendants - Edit'!$C$2:$AK$440,'All Girls &amp; Descendants - Edit'!AK$1,FALSE)=""," - ",(VLOOKUP($C240,'All Girls &amp; Descendants - Edit'!$C$2:$AK$440,'All Girls &amp; Descendants - Edit'!AK$1,FALSE)))</f>
        <v>b. 28/05/1988</v>
      </c>
    </row>
    <row r="241" spans="1:37" ht="19">
      <c r="A241">
        <f>VLOOKUP(B241,'Loyd List 1-190 - Edit'!$P$1:$R$219,3,FALSE)</f>
        <v>72</v>
      </c>
      <c r="B241">
        <f>'All Girls &amp; Descendants - Edit'!B242</f>
        <v>103</v>
      </c>
      <c r="C241" s="98" t="str">
        <f>'All Girls &amp; Descendants - Edit'!C242</f>
        <v>103cb</v>
      </c>
      <c r="D241" s="2" t="str">
        <f>'All Girls &amp; Descendants - Edit'!D242</f>
        <v>GORE-BROWNE</v>
      </c>
      <c r="E241" t="str">
        <f>'All Girls &amp; Descendants - Edit'!E242</f>
        <v>Heather</v>
      </c>
      <c r="F241" t="str">
        <f>IF('All Girls &amp; Descendants - Edit'!F242="","",'All Girls &amp; Descendants - Edit'!F242)</f>
        <v>Caroline</v>
      </c>
      <c r="G241" t="str">
        <f>IF('All Girls &amp; Descendants - Edit'!G242="","",'All Girls &amp; Descendants - Edit'!G242)</f>
        <v>Mona</v>
      </c>
      <c r="H241" t="str">
        <f>IF('All Girls &amp; Descendants - Edit'!H242="","",'All Girls &amp; Descendants - Edit'!H242)</f>
        <v/>
      </c>
      <c r="I241">
        <f>VLOOKUP($C241,'All Girls &amp; Descendants - Edit'!$C$2:$AK$440,'All Girls &amp; Descendants - Edit'!I$1,FALSE)</f>
        <v>1990</v>
      </c>
      <c r="J241" t="str">
        <f>VLOOKUP($C241,'All Girls &amp; Descendants - Edit'!$C$2:$AK$440,'All Girls &amp; Descendants - Edit'!J$1,FALSE)</f>
        <v/>
      </c>
      <c r="K241" s="9"/>
      <c r="L241" t="str">
        <f t="shared" si="25"/>
        <v>17/02/1990</v>
      </c>
      <c r="M241" s="3">
        <f>VLOOKUP($C241,'All Girls &amp; Descendants - Edit'!$C$2:$AK$440,'All Girls &amp; Descendants - Edit'!M$1,FALSE)</f>
        <v>32921</v>
      </c>
      <c r="N241" s="3" t="str">
        <f>IF(VLOOKUP($C241,'All Girls &amp; Descendants - Edit'!$C$2:$AK$440,'All Girls &amp; Descendants - Edit'!N$1,FALSE)=""," - ",(VLOOKUP($C241,'All Girls &amp; Descendants - Edit'!$C$2:$AK$440,'All Girls &amp; Descendants - Edit'!N$1,FALSE)))</f>
        <v xml:space="preserve"> - </v>
      </c>
      <c r="O241" s="3" t="str">
        <f>IF(VLOOKUP($C241,'All Girls &amp; Descendants - Edit'!$C$2:$AK$440,'All Girls &amp; Descendants - Edit'!O$1,FALSE)="","",(VLOOKUP($C241,'All Girls &amp; Descendants - Edit'!$C$2:$AK$440,'All Girls &amp; Descendants - Edit'!O$1,FALSE)))</f>
        <v/>
      </c>
      <c r="P241" s="3" t="str">
        <f t="shared" si="26"/>
        <v/>
      </c>
      <c r="Q241" s="178" t="str">
        <f t="shared" si="27"/>
        <v>103c</v>
      </c>
      <c r="R241" s="23"/>
      <c r="S241" t="str">
        <f>VLOOKUP($C241,'All Girls &amp; Descendants - Edit'!$C$2:$AK$440,'All Girls &amp; Descendants - Edit'!S$1,FALSE)</f>
        <v>Female</v>
      </c>
      <c r="T241" s="176">
        <f t="shared" si="24"/>
        <v>7</v>
      </c>
      <c r="U241" s="176">
        <f t="shared" si="28"/>
        <v>5</v>
      </c>
      <c r="V241" s="176">
        <f t="shared" si="29"/>
        <v>5</v>
      </c>
      <c r="W241" s="177">
        <f t="shared" si="30"/>
        <v>2</v>
      </c>
      <c r="X241" s="3" t="str">
        <f>IF(VLOOKUP($C241,'All Girls &amp; Descendants - Edit'!$C$2:$AK$440,'All Girls &amp; Descendants - Edit'!X$1,FALSE)=""," - ",(VLOOKUP($C241,'All Girls &amp; Descendants - Edit'!$C$2:$AK$440,'All Girls &amp; Descendants - Edit'!X$1,FALSE)))</f>
        <v xml:space="preserve"> - </v>
      </c>
      <c r="Y241" s="3" t="str">
        <f>IF(VLOOKUP($C241,'All Girls &amp; Descendants - Edit'!$C$2:$AK$440,'All Girls &amp; Descendants - Edit'!Y$1,FALSE)=""," - ",(VLOOKUP($C241,'All Girls &amp; Descendants - Edit'!$C$2:$AK$440,'All Girls &amp; Descendants - Edit'!Y$1,FALSE)))</f>
        <v xml:space="preserve"> - </v>
      </c>
      <c r="Z241" s="3" t="str">
        <f>IF(VLOOKUP($C241,'All Girls &amp; Descendants - Edit'!$C$2:$AK$440,'All Girls &amp; Descendants - Edit'!Z$1,FALSE)=""," - ",(VLOOKUP($C241,'All Girls &amp; Descendants - Edit'!$C$2:$AK$440,'All Girls &amp; Descendants - Edit'!Z$1,FALSE)))</f>
        <v>Born at Salisbury. Baptised at Hale Parish Church, Fordingbridge.</v>
      </c>
      <c r="AA241" s="101">
        <f>IF(VLOOKUP($C241,'All Girls &amp; Descendants - Edit'!$C$2:$AK$440,'All Girls &amp; Descendants - Edit'!AA$1,FALSE)=""," - ",(VLOOKUP($C241,'All Girls &amp; Descendants - Edit'!$C$2:$AK$440,'All Girls &amp; Descendants - Edit'!AA$1,FALSE)))</f>
        <v>267</v>
      </c>
      <c r="AB241" s="101">
        <f>IF(VLOOKUP($C241,'All Girls &amp; Descendants - Edit'!$C$2:$AK$440,'All Girls &amp; Descendants - Edit'!AB$1,FALSE)=""," - ",(VLOOKUP($C241,'All Girls &amp; Descendants - Edit'!$C$2:$AK$440,'All Girls &amp; Descendants - Edit'!AB$1,FALSE)))</f>
        <v>98</v>
      </c>
      <c r="AC241" s="101">
        <f>IF(VLOOKUP($C241,'All Girls &amp; Descendants - Edit'!$C$2:$AK$440,'All Girls &amp; Descendants - Edit'!AC$1,FALSE)=""," - ",(VLOOKUP($C241,'All Girls &amp; Descendants - Edit'!$C$2:$AK$440,'All Girls &amp; Descendants - Edit'!AC$1,FALSE)))</f>
        <v>2098</v>
      </c>
      <c r="AD241" s="3" t="str">
        <f>IF(VLOOKUP($C241,'All Girls &amp; Descendants - Edit'!$C$2:$AK$440,'All Girls &amp; Descendants - Edit'!AD$1,FALSE)=""," - ",(VLOOKUP($C241,'All Girls &amp; Descendants - Edit'!$C$2:$AK$440,'All Girls &amp; Descendants - Edit'!AD$1,FALSE)))</f>
        <v>103cb</v>
      </c>
      <c r="AE241" s="3" t="str">
        <f>IF(VLOOKUP($C241,'All Girls &amp; Descendants - Edit'!$C$2:$AK$440,'All Girls &amp; Descendants - Edit'!AE$1,FALSE)=""," - ",(VLOOKUP($C241,'All Girls &amp; Descendants - Edit'!$C$2:$AK$440,'All Girls &amp; Descendants - Edit'!AE$1,FALSE)))</f>
        <v>Heather Caroline Mona GORE-BROWNE (1990 - )</v>
      </c>
      <c r="AF241" s="3" t="str">
        <f>IF(VLOOKUP($C241,'All Girls &amp; Descendants - Edit'!$C$2:$AK$440,'All Girls &amp; Descendants - Edit'!AF$1,FALSE)=""," - ",(VLOOKUP($C241,'All Girls &amp; Descendants - Edit'!$C$2:$AK$440,'All Girls &amp; Descendants - Edit'!AF$1,FALSE)))</f>
        <v>Heather GORE-BROWNE (7th &amp; 103)</v>
      </c>
      <c r="AG241" s="3" t="str">
        <f>IF(VLOOKUP($C241,'All Girls &amp; Descendants - Edit'!$C$2:$AK$440,'All Girls &amp; Descendants - Edit'!AG$1,FALSE)=""," - ",(VLOOKUP($C241,'All Girls &amp; Descendants - Edit'!$C$2:$AK$440,'All Girls &amp; Descendants - Edit'!AG$1,FALSE)))</f>
        <v>Female</v>
      </c>
      <c r="AH241" s="3" t="str">
        <f>IF(VLOOKUP($C241,'All Girls &amp; Descendants - Edit'!$C$2:$AK$440,'All Girls &amp; Descendants - Edit'!AH$1,FALSE)=""," - ",(VLOOKUP($C241,'All Girls &amp; Descendants - Edit'!$C$2:$AK$440,'All Girls &amp; Descendants - Edit'!AH$1,FALSE)))</f>
        <v>7th</v>
      </c>
      <c r="AI241" s="3" t="str">
        <f>IF(VLOOKUP($C241,'All Girls &amp; Descendants - Edit'!$C$2:$AK$440,'All Girls &amp; Descendants - Edit'!AI$1,FALSE)=""," - ",(VLOOKUP($C241,'All Girls &amp; Descendants - Edit'!$C$2:$AK$440,'All Girls &amp; Descendants - Edit'!AI$1,FALSE)))</f>
        <v>Unmarried</v>
      </c>
      <c r="AJ241" s="3" t="str">
        <f>IF(VLOOKUP($C241,'All Girls &amp; Descendants - Edit'!$C$2:$AK$440,'All Girls &amp; Descendants - Edit'!AJ$1,FALSE)=""," - ",(VLOOKUP($C241,'All Girls &amp; Descendants - Edit'!$C$2:$AK$440,'All Girls &amp; Descendants - Edit'!AJ$1,FALSE)))</f>
        <v>Female. b. 17/02/1990 Born at Salisbury. Baptised at Hale Parish Church, Fordingbridge.</v>
      </c>
      <c r="AK241" s="3" t="str">
        <f>IF(VLOOKUP($C241,'All Girls &amp; Descendants - Edit'!$C$2:$AK$440,'All Girls &amp; Descendants - Edit'!AK$1,FALSE)=""," - ",(VLOOKUP($C241,'All Girls &amp; Descendants - Edit'!$C$2:$AK$440,'All Girls &amp; Descendants - Edit'!AK$1,FALSE)))</f>
        <v>b. 17/02/1990</v>
      </c>
    </row>
    <row r="242" spans="1:37" ht="19">
      <c r="A242">
        <f>VLOOKUP(B242,'Loyd List 1-190 - Edit'!$P$1:$R$219,3,FALSE)</f>
        <v>72</v>
      </c>
      <c r="B242">
        <f>'All Girls &amp; Descendants - Edit'!B243</f>
        <v>103</v>
      </c>
      <c r="C242" s="98" t="str">
        <f>'All Girls &amp; Descendants - Edit'!C243</f>
        <v>103cc</v>
      </c>
      <c r="D242" s="2" t="str">
        <f>'All Girls &amp; Descendants - Edit'!D243</f>
        <v>GORE-BROWNE</v>
      </c>
      <c r="E242" t="str">
        <f>'All Girls &amp; Descendants - Edit'!E243</f>
        <v>Rose</v>
      </c>
      <c r="F242" t="str">
        <f>IF('All Girls &amp; Descendants - Edit'!F243="","",'All Girls &amp; Descendants - Edit'!F243)</f>
        <v>Elizabeth</v>
      </c>
      <c r="G242" t="str">
        <f>IF('All Girls &amp; Descendants - Edit'!G243="","",'All Girls &amp; Descendants - Edit'!G243)</f>
        <v>Lavinia</v>
      </c>
      <c r="H242" t="str">
        <f>IF('All Girls &amp; Descendants - Edit'!H243="","",'All Girls &amp; Descendants - Edit'!H243)</f>
        <v/>
      </c>
      <c r="I242">
        <f>VLOOKUP($C242,'All Girls &amp; Descendants - Edit'!$C$2:$AK$440,'All Girls &amp; Descendants - Edit'!I$1,FALSE)</f>
        <v>1991</v>
      </c>
      <c r="J242" t="str">
        <f>VLOOKUP($C242,'All Girls &amp; Descendants - Edit'!$C$2:$AK$440,'All Girls &amp; Descendants - Edit'!J$1,FALSE)</f>
        <v/>
      </c>
      <c r="K242" s="9"/>
      <c r="L242" t="str">
        <f t="shared" si="25"/>
        <v>27/10/1991</v>
      </c>
      <c r="M242" s="3">
        <f>VLOOKUP($C242,'All Girls &amp; Descendants - Edit'!$C$2:$AK$440,'All Girls &amp; Descendants - Edit'!M$1,FALSE)</f>
        <v>33538</v>
      </c>
      <c r="N242" s="3" t="str">
        <f>IF(VLOOKUP($C242,'All Girls &amp; Descendants - Edit'!$C$2:$AK$440,'All Girls &amp; Descendants - Edit'!N$1,FALSE)=""," - ",(VLOOKUP($C242,'All Girls &amp; Descendants - Edit'!$C$2:$AK$440,'All Girls &amp; Descendants - Edit'!N$1,FALSE)))</f>
        <v xml:space="preserve"> - </v>
      </c>
      <c r="O242" s="3" t="str">
        <f>IF(VLOOKUP($C242,'All Girls &amp; Descendants - Edit'!$C$2:$AK$440,'All Girls &amp; Descendants - Edit'!O$1,FALSE)="","",(VLOOKUP($C242,'All Girls &amp; Descendants - Edit'!$C$2:$AK$440,'All Girls &amp; Descendants - Edit'!O$1,FALSE)))</f>
        <v/>
      </c>
      <c r="P242" s="3" t="str">
        <f t="shared" si="26"/>
        <v/>
      </c>
      <c r="Q242" s="178" t="str">
        <f t="shared" si="27"/>
        <v>103c</v>
      </c>
      <c r="R242" s="23"/>
      <c r="S242" t="str">
        <f>VLOOKUP($C242,'All Girls &amp; Descendants - Edit'!$C$2:$AK$440,'All Girls &amp; Descendants - Edit'!S$1,FALSE)</f>
        <v>Female</v>
      </c>
      <c r="T242" s="176">
        <f t="shared" si="24"/>
        <v>7</v>
      </c>
      <c r="U242" s="176">
        <f t="shared" si="28"/>
        <v>5</v>
      </c>
      <c r="V242" s="176">
        <f t="shared" si="29"/>
        <v>5</v>
      </c>
      <c r="W242" s="177">
        <f t="shared" si="30"/>
        <v>2</v>
      </c>
      <c r="X242" s="3" t="str">
        <f>IF(VLOOKUP($C242,'All Girls &amp; Descendants - Edit'!$C$2:$AK$440,'All Girls &amp; Descendants - Edit'!X$1,FALSE)=""," - ",(VLOOKUP($C242,'All Girls &amp; Descendants - Edit'!$C$2:$AK$440,'All Girls &amp; Descendants - Edit'!X$1,FALSE)))</f>
        <v xml:space="preserve"> - </v>
      </c>
      <c r="Y242" s="3" t="str">
        <f>IF(VLOOKUP($C242,'All Girls &amp; Descendants - Edit'!$C$2:$AK$440,'All Girls &amp; Descendants - Edit'!Y$1,FALSE)=""," - ",(VLOOKUP($C242,'All Girls &amp; Descendants - Edit'!$C$2:$AK$440,'All Girls &amp; Descendants - Edit'!Y$1,FALSE)))</f>
        <v xml:space="preserve"> - </v>
      </c>
      <c r="Z242" s="3" t="str">
        <f>IF(VLOOKUP($C242,'All Girls &amp; Descendants - Edit'!$C$2:$AK$440,'All Girls &amp; Descendants - Edit'!Z$1,FALSE)=""," - ",(VLOOKUP($C242,'All Girls &amp; Descendants - Edit'!$C$2:$AK$440,'All Girls &amp; Descendants - Edit'!Z$1,FALSE)))</f>
        <v>Born at Salisbury. Baptised at Hale Parish Church, Fordingbridge.</v>
      </c>
      <c r="AA242" s="101">
        <f>IF(VLOOKUP($C242,'All Girls &amp; Descendants - Edit'!$C$2:$AK$440,'All Girls &amp; Descendants - Edit'!AA$1,FALSE)=""," - ",(VLOOKUP($C242,'All Girls &amp; Descendants - Edit'!$C$2:$AK$440,'All Girls &amp; Descendants - Edit'!AA$1,FALSE)))</f>
        <v>268</v>
      </c>
      <c r="AB242" s="101">
        <f>IF(VLOOKUP($C242,'All Girls &amp; Descendants - Edit'!$C$2:$AK$440,'All Girls &amp; Descendants - Edit'!AB$1,FALSE)=""," - ",(VLOOKUP($C242,'All Girls &amp; Descendants - Edit'!$C$2:$AK$440,'All Girls &amp; Descendants - Edit'!AB$1,FALSE)))</f>
        <v>99</v>
      </c>
      <c r="AC242" s="101">
        <f>IF(VLOOKUP($C242,'All Girls &amp; Descendants - Edit'!$C$2:$AK$440,'All Girls &amp; Descendants - Edit'!AC$1,FALSE)=""," - ",(VLOOKUP($C242,'All Girls &amp; Descendants - Edit'!$C$2:$AK$440,'All Girls &amp; Descendants - Edit'!AC$1,FALSE)))</f>
        <v>2099</v>
      </c>
      <c r="AD242" s="3" t="str">
        <f>IF(VLOOKUP($C242,'All Girls &amp; Descendants - Edit'!$C$2:$AK$440,'All Girls &amp; Descendants - Edit'!AD$1,FALSE)=""," - ",(VLOOKUP($C242,'All Girls &amp; Descendants - Edit'!$C$2:$AK$440,'All Girls &amp; Descendants - Edit'!AD$1,FALSE)))</f>
        <v>103cc</v>
      </c>
      <c r="AE242" s="3" t="str">
        <f>IF(VLOOKUP($C242,'All Girls &amp; Descendants - Edit'!$C$2:$AK$440,'All Girls &amp; Descendants - Edit'!AE$1,FALSE)=""," - ",(VLOOKUP($C242,'All Girls &amp; Descendants - Edit'!$C$2:$AK$440,'All Girls &amp; Descendants - Edit'!AE$1,FALSE)))</f>
        <v>Rose Elizabeth Lavinia GORE-BROWNE (1991 - )</v>
      </c>
      <c r="AF242" s="3" t="str">
        <f>IF(VLOOKUP($C242,'All Girls &amp; Descendants - Edit'!$C$2:$AK$440,'All Girls &amp; Descendants - Edit'!AF$1,FALSE)=""," - ",(VLOOKUP($C242,'All Girls &amp; Descendants - Edit'!$C$2:$AK$440,'All Girls &amp; Descendants - Edit'!AF$1,FALSE)))</f>
        <v>Rose GORE-BROWNE (7th &amp; 103)</v>
      </c>
      <c r="AG242" s="3" t="str">
        <f>IF(VLOOKUP($C242,'All Girls &amp; Descendants - Edit'!$C$2:$AK$440,'All Girls &amp; Descendants - Edit'!AG$1,FALSE)=""," - ",(VLOOKUP($C242,'All Girls &amp; Descendants - Edit'!$C$2:$AK$440,'All Girls &amp; Descendants - Edit'!AG$1,FALSE)))</f>
        <v>Female</v>
      </c>
      <c r="AH242" s="3" t="str">
        <f>IF(VLOOKUP($C242,'All Girls &amp; Descendants - Edit'!$C$2:$AK$440,'All Girls &amp; Descendants - Edit'!AH$1,FALSE)=""," - ",(VLOOKUP($C242,'All Girls &amp; Descendants - Edit'!$C$2:$AK$440,'All Girls &amp; Descendants - Edit'!AH$1,FALSE)))</f>
        <v>7th</v>
      </c>
      <c r="AI242" s="3" t="str">
        <f>IF(VLOOKUP($C242,'All Girls &amp; Descendants - Edit'!$C$2:$AK$440,'All Girls &amp; Descendants - Edit'!AI$1,FALSE)=""," - ",(VLOOKUP($C242,'All Girls &amp; Descendants - Edit'!$C$2:$AK$440,'All Girls &amp; Descendants - Edit'!AI$1,FALSE)))</f>
        <v>Unmarried</v>
      </c>
      <c r="AJ242" s="3" t="str">
        <f>IF(VLOOKUP($C242,'All Girls &amp; Descendants - Edit'!$C$2:$AK$440,'All Girls &amp; Descendants - Edit'!AJ$1,FALSE)=""," - ",(VLOOKUP($C242,'All Girls &amp; Descendants - Edit'!$C$2:$AK$440,'All Girls &amp; Descendants - Edit'!AJ$1,FALSE)))</f>
        <v>Female. b. 27/10/1991 Born at Salisbury. Baptised at Hale Parish Church, Fordingbridge.</v>
      </c>
      <c r="AK242" s="3" t="str">
        <f>IF(VLOOKUP($C242,'All Girls &amp; Descendants - Edit'!$C$2:$AK$440,'All Girls &amp; Descendants - Edit'!AK$1,FALSE)=""," - ",(VLOOKUP($C242,'All Girls &amp; Descendants - Edit'!$C$2:$AK$440,'All Girls &amp; Descendants - Edit'!AK$1,FALSE)))</f>
        <v>b. 27/10/1991</v>
      </c>
    </row>
    <row r="243" spans="1:37" ht="19">
      <c r="A243">
        <f>VLOOKUP(B243,'Loyd List 1-190 - Edit'!$P$1:$R$219,3,FALSE)</f>
        <v>72</v>
      </c>
      <c r="B243">
        <f>'All Girls &amp; Descendants - Edit'!B244</f>
        <v>103</v>
      </c>
      <c r="C243" s="98" t="str">
        <f>'All Girls &amp; Descendants - Edit'!C244</f>
        <v>103da</v>
      </c>
      <c r="D243" s="2" t="str">
        <f>'All Girls &amp; Descendants - Edit'!D244</f>
        <v>GORE-BROWNE</v>
      </c>
      <c r="E243" t="str">
        <f>'All Girls &amp; Descendants - Edit'!E244</f>
        <v>Sophie</v>
      </c>
      <c r="F243" t="str">
        <f>IF('All Girls &amp; Descendants - Edit'!F244="","",'All Girls &amp; Descendants - Edit'!F244)</f>
        <v>Mary</v>
      </c>
      <c r="G243" t="str">
        <f>IF('All Girls &amp; Descendants - Edit'!G244="","",'All Girls &amp; Descendants - Edit'!G244)</f>
        <v/>
      </c>
      <c r="H243" t="str">
        <f>IF('All Girls &amp; Descendants - Edit'!H244="","",'All Girls &amp; Descendants - Edit'!H244)</f>
        <v/>
      </c>
      <c r="I243">
        <f>VLOOKUP($C243,'All Girls &amp; Descendants - Edit'!$C$2:$AK$440,'All Girls &amp; Descendants - Edit'!I$1,FALSE)</f>
        <v>1985</v>
      </c>
      <c r="J243" t="str">
        <f>VLOOKUP($C243,'All Girls &amp; Descendants - Edit'!$C$2:$AK$440,'All Girls &amp; Descendants - Edit'!J$1,FALSE)</f>
        <v/>
      </c>
      <c r="K243" s="9"/>
      <c r="L243" t="str">
        <f t="shared" si="25"/>
        <v>28/03/1985</v>
      </c>
      <c r="M243" s="3">
        <f>VLOOKUP($C243,'All Girls &amp; Descendants - Edit'!$C$2:$AK$440,'All Girls &amp; Descendants - Edit'!M$1,FALSE)</f>
        <v>31134</v>
      </c>
      <c r="N243" s="3" t="str">
        <f>IF(VLOOKUP($C243,'All Girls &amp; Descendants - Edit'!$C$2:$AK$440,'All Girls &amp; Descendants - Edit'!N$1,FALSE)=""," - ",(VLOOKUP($C243,'All Girls &amp; Descendants - Edit'!$C$2:$AK$440,'All Girls &amp; Descendants - Edit'!N$1,FALSE)))</f>
        <v xml:space="preserve"> - </v>
      </c>
      <c r="O243" s="3" t="str">
        <f>IF(VLOOKUP($C243,'All Girls &amp; Descendants - Edit'!$C$2:$AK$440,'All Girls &amp; Descendants - Edit'!O$1,FALSE)="","",(VLOOKUP($C243,'All Girls &amp; Descendants - Edit'!$C$2:$AK$440,'All Girls &amp; Descendants - Edit'!O$1,FALSE)))</f>
        <v/>
      </c>
      <c r="P243" s="3" t="str">
        <f t="shared" si="26"/>
        <v/>
      </c>
      <c r="Q243" s="178" t="str">
        <f t="shared" si="27"/>
        <v>103d</v>
      </c>
      <c r="R243" s="23"/>
      <c r="S243" t="str">
        <f>VLOOKUP($C243,'All Girls &amp; Descendants - Edit'!$C$2:$AK$440,'All Girls &amp; Descendants - Edit'!S$1,FALSE)</f>
        <v>Female</v>
      </c>
      <c r="T243" s="176">
        <f t="shared" si="24"/>
        <v>7</v>
      </c>
      <c r="U243" s="176">
        <f t="shared" si="28"/>
        <v>5</v>
      </c>
      <c r="V243" s="176">
        <f t="shared" si="29"/>
        <v>5</v>
      </c>
      <c r="W243" s="177">
        <f t="shared" si="30"/>
        <v>2</v>
      </c>
      <c r="X243" s="3" t="str">
        <f>IF(VLOOKUP($C243,'All Girls &amp; Descendants - Edit'!$C$2:$AK$440,'All Girls &amp; Descendants - Edit'!X$1,FALSE)=""," - ",(VLOOKUP($C243,'All Girls &amp; Descendants - Edit'!$C$2:$AK$440,'All Girls &amp; Descendants - Edit'!X$1,FALSE)))</f>
        <v xml:space="preserve"> - </v>
      </c>
      <c r="Y243" s="3" t="str">
        <f>IF(VLOOKUP($C243,'All Girls &amp; Descendants - Edit'!$C$2:$AK$440,'All Girls &amp; Descendants - Edit'!Y$1,FALSE)=""," - ",(VLOOKUP($C243,'All Girls &amp; Descendants - Edit'!$C$2:$AK$440,'All Girls &amp; Descendants - Edit'!Y$1,FALSE)))</f>
        <v xml:space="preserve"> - </v>
      </c>
      <c r="Z243" s="3" t="str">
        <f>IF(VLOOKUP($C243,'All Girls &amp; Descendants - Edit'!$C$2:$AK$440,'All Girls &amp; Descendants - Edit'!Z$1,FALSE)=""," - ",(VLOOKUP($C243,'All Girls &amp; Descendants - Edit'!$C$2:$AK$440,'All Girls &amp; Descendants - Edit'!Z$1,FALSE)))</f>
        <v>Born at Winchester. Baptised 7 Jul 1985 at St Mary’s, Bentworth, Alton, Hampshire.</v>
      </c>
      <c r="AA243" s="101">
        <f>IF(VLOOKUP($C243,'All Girls &amp; Descendants - Edit'!$C$2:$AK$440,'All Girls &amp; Descendants - Edit'!AA$1,FALSE)=""," - ",(VLOOKUP($C243,'All Girls &amp; Descendants - Edit'!$C$2:$AK$440,'All Girls &amp; Descendants - Edit'!AA$1,FALSE)))</f>
        <v>270</v>
      </c>
      <c r="AB243" s="101">
        <f>IF(VLOOKUP($C243,'All Girls &amp; Descendants - Edit'!$C$2:$AK$440,'All Girls &amp; Descendants - Edit'!AB$1,FALSE)=""," - ",(VLOOKUP($C243,'All Girls &amp; Descendants - Edit'!$C$2:$AK$440,'All Girls &amp; Descendants - Edit'!AB$1,FALSE)))</f>
        <v>100</v>
      </c>
      <c r="AC243" s="101">
        <f>IF(VLOOKUP($C243,'All Girls &amp; Descendants - Edit'!$C$2:$AK$440,'All Girls &amp; Descendants - Edit'!AC$1,FALSE)=""," - ",(VLOOKUP($C243,'All Girls &amp; Descendants - Edit'!$C$2:$AK$440,'All Girls &amp; Descendants - Edit'!AC$1,FALSE)))</f>
        <v>2100</v>
      </c>
      <c r="AD243" s="3" t="str">
        <f>IF(VLOOKUP($C243,'All Girls &amp; Descendants - Edit'!$C$2:$AK$440,'All Girls &amp; Descendants - Edit'!AD$1,FALSE)=""," - ",(VLOOKUP($C243,'All Girls &amp; Descendants - Edit'!$C$2:$AK$440,'All Girls &amp; Descendants - Edit'!AD$1,FALSE)))</f>
        <v>103da</v>
      </c>
      <c r="AE243" s="3" t="str">
        <f>IF(VLOOKUP($C243,'All Girls &amp; Descendants - Edit'!$C$2:$AK$440,'All Girls &amp; Descendants - Edit'!AE$1,FALSE)=""," - ",(VLOOKUP($C243,'All Girls &amp; Descendants - Edit'!$C$2:$AK$440,'All Girls &amp; Descendants - Edit'!AE$1,FALSE)))</f>
        <v>Sophie Mary  GORE-BROWNE (1985 - )</v>
      </c>
      <c r="AF243" s="3" t="str">
        <f>IF(VLOOKUP($C243,'All Girls &amp; Descendants - Edit'!$C$2:$AK$440,'All Girls &amp; Descendants - Edit'!AF$1,FALSE)=""," - ",(VLOOKUP($C243,'All Girls &amp; Descendants - Edit'!$C$2:$AK$440,'All Girls &amp; Descendants - Edit'!AF$1,FALSE)))</f>
        <v>Sophie GORE-BROWNE (7th &amp; 103)</v>
      </c>
      <c r="AG243" s="3" t="str">
        <f>IF(VLOOKUP($C243,'All Girls &amp; Descendants - Edit'!$C$2:$AK$440,'All Girls &amp; Descendants - Edit'!AG$1,FALSE)=""," - ",(VLOOKUP($C243,'All Girls &amp; Descendants - Edit'!$C$2:$AK$440,'All Girls &amp; Descendants - Edit'!AG$1,FALSE)))</f>
        <v>Female</v>
      </c>
      <c r="AH243" s="3" t="str">
        <f>IF(VLOOKUP($C243,'All Girls &amp; Descendants - Edit'!$C$2:$AK$440,'All Girls &amp; Descendants - Edit'!AH$1,FALSE)=""," - ",(VLOOKUP($C243,'All Girls &amp; Descendants - Edit'!$C$2:$AK$440,'All Girls &amp; Descendants - Edit'!AH$1,FALSE)))</f>
        <v>7th</v>
      </c>
      <c r="AI243" s="3" t="str">
        <f>IF(VLOOKUP($C243,'All Girls &amp; Descendants - Edit'!$C$2:$AK$440,'All Girls &amp; Descendants - Edit'!AI$1,FALSE)=""," - ",(VLOOKUP($C243,'All Girls &amp; Descendants - Edit'!$C$2:$AK$440,'All Girls &amp; Descendants - Edit'!AI$1,FALSE)))</f>
        <v>Unmarried</v>
      </c>
      <c r="AJ243" s="3" t="str">
        <f>IF(VLOOKUP($C243,'All Girls &amp; Descendants - Edit'!$C$2:$AK$440,'All Girls &amp; Descendants - Edit'!AJ$1,FALSE)=""," - ",(VLOOKUP($C243,'All Girls &amp; Descendants - Edit'!$C$2:$AK$440,'All Girls &amp; Descendants - Edit'!AJ$1,FALSE)))</f>
        <v>Female. b. 28/03/1985 Born at Winchester. Baptised 7 Jul 1985 at St Mary’s, Bentworth, Alton, Hampshire.</v>
      </c>
      <c r="AK243" s="3" t="str">
        <f>IF(VLOOKUP($C243,'All Girls &amp; Descendants - Edit'!$C$2:$AK$440,'All Girls &amp; Descendants - Edit'!AK$1,FALSE)=""," - ",(VLOOKUP($C243,'All Girls &amp; Descendants - Edit'!$C$2:$AK$440,'All Girls &amp; Descendants - Edit'!AK$1,FALSE)))</f>
        <v>b. 28/03/1985</v>
      </c>
    </row>
    <row r="244" spans="1:37" ht="19">
      <c r="A244">
        <f>VLOOKUP(B244,'Loyd List 1-190 - Edit'!$P$1:$R$219,3,FALSE)</f>
        <v>72</v>
      </c>
      <c r="B244">
        <f>'All Girls &amp; Descendants - Edit'!B245</f>
        <v>103</v>
      </c>
      <c r="C244" s="98" t="str">
        <f>'All Girls &amp; Descendants - Edit'!C245</f>
        <v>103db</v>
      </c>
      <c r="D244" s="2" t="str">
        <f>'All Girls &amp; Descendants - Edit'!D245</f>
        <v>GORE-BROWNE</v>
      </c>
      <c r="E244" t="str">
        <f>'All Girls &amp; Descendants - Edit'!E245</f>
        <v>Elizabeth</v>
      </c>
      <c r="F244" t="str">
        <f>IF('All Girls &amp; Descendants - Edit'!F245="","",'All Girls &amp; Descendants - Edit'!F245)</f>
        <v>Clare</v>
      </c>
      <c r="G244" t="str">
        <f>IF('All Girls &amp; Descendants - Edit'!G245="","",'All Girls &amp; Descendants - Edit'!G245)</f>
        <v/>
      </c>
      <c r="H244" t="str">
        <f>IF('All Girls &amp; Descendants - Edit'!H245="","",'All Girls &amp; Descendants - Edit'!H245)</f>
        <v/>
      </c>
      <c r="I244">
        <f>VLOOKUP($C244,'All Girls &amp; Descendants - Edit'!$C$2:$AK$440,'All Girls &amp; Descendants - Edit'!I$1,FALSE)</f>
        <v>1988</v>
      </c>
      <c r="J244" t="str">
        <f>VLOOKUP($C244,'All Girls &amp; Descendants - Edit'!$C$2:$AK$440,'All Girls &amp; Descendants - Edit'!J$1,FALSE)</f>
        <v/>
      </c>
      <c r="K244" s="9"/>
      <c r="L244" t="str">
        <f t="shared" si="25"/>
        <v>18/05/1988</v>
      </c>
      <c r="M244" s="3">
        <f>VLOOKUP($C244,'All Girls &amp; Descendants - Edit'!$C$2:$AK$440,'All Girls &amp; Descendants - Edit'!M$1,FALSE)</f>
        <v>32281</v>
      </c>
      <c r="N244" s="3" t="str">
        <f>IF(VLOOKUP($C244,'All Girls &amp; Descendants - Edit'!$C$2:$AK$440,'All Girls &amp; Descendants - Edit'!N$1,FALSE)=""," - ",(VLOOKUP($C244,'All Girls &amp; Descendants - Edit'!$C$2:$AK$440,'All Girls &amp; Descendants - Edit'!N$1,FALSE)))</f>
        <v xml:space="preserve"> - </v>
      </c>
      <c r="O244" s="3" t="str">
        <f>IF(VLOOKUP($C244,'All Girls &amp; Descendants - Edit'!$C$2:$AK$440,'All Girls &amp; Descendants - Edit'!O$1,FALSE)="","",(VLOOKUP($C244,'All Girls &amp; Descendants - Edit'!$C$2:$AK$440,'All Girls &amp; Descendants - Edit'!O$1,FALSE)))</f>
        <v/>
      </c>
      <c r="P244" s="3" t="str">
        <f t="shared" si="26"/>
        <v/>
      </c>
      <c r="Q244" s="178" t="str">
        <f t="shared" si="27"/>
        <v>103d</v>
      </c>
      <c r="R244" s="23"/>
      <c r="S244" t="str">
        <f>VLOOKUP($C244,'All Girls &amp; Descendants - Edit'!$C$2:$AK$440,'All Girls &amp; Descendants - Edit'!S$1,FALSE)</f>
        <v>Female</v>
      </c>
      <c r="T244" s="176">
        <f t="shared" si="24"/>
        <v>7</v>
      </c>
      <c r="U244" s="176">
        <f t="shared" si="28"/>
        <v>5</v>
      </c>
      <c r="V244" s="176">
        <f t="shared" si="29"/>
        <v>5</v>
      </c>
      <c r="W244" s="177">
        <f t="shared" si="30"/>
        <v>2</v>
      </c>
      <c r="X244" s="3" t="str">
        <f>IF(VLOOKUP($C244,'All Girls &amp; Descendants - Edit'!$C$2:$AK$440,'All Girls &amp; Descendants - Edit'!X$1,FALSE)=""," - ",(VLOOKUP($C244,'All Girls &amp; Descendants - Edit'!$C$2:$AK$440,'All Girls &amp; Descendants - Edit'!X$1,FALSE)))</f>
        <v xml:space="preserve"> - </v>
      </c>
      <c r="Y244" s="3" t="str">
        <f>IF(VLOOKUP($C244,'All Girls &amp; Descendants - Edit'!$C$2:$AK$440,'All Girls &amp; Descendants - Edit'!Y$1,FALSE)=""," - ",(VLOOKUP($C244,'All Girls &amp; Descendants - Edit'!$C$2:$AK$440,'All Girls &amp; Descendants - Edit'!Y$1,FALSE)))</f>
        <v xml:space="preserve"> - </v>
      </c>
      <c r="Z244" s="3" t="str">
        <f>IF(VLOOKUP($C244,'All Girls &amp; Descendants - Edit'!$C$2:$AK$440,'All Girls &amp; Descendants - Edit'!Z$1,FALSE)=""," - ",(VLOOKUP($C244,'All Girls &amp; Descendants - Edit'!$C$2:$AK$440,'All Girls &amp; Descendants - Edit'!Z$1,FALSE)))</f>
        <v>Born at Winchester.  Baptised 12 Apr 1989 at St Mary’s. Bentworth, Alton, Hampshire.</v>
      </c>
      <c r="AA244" s="101">
        <f>IF(VLOOKUP($C244,'All Girls &amp; Descendants - Edit'!$C$2:$AK$440,'All Girls &amp; Descendants - Edit'!AA$1,FALSE)=""," - ",(VLOOKUP($C244,'All Girls &amp; Descendants - Edit'!$C$2:$AK$440,'All Girls &amp; Descendants - Edit'!AA$1,FALSE)))</f>
        <v>271</v>
      </c>
      <c r="AB244" s="101">
        <f>IF(VLOOKUP($C244,'All Girls &amp; Descendants - Edit'!$C$2:$AK$440,'All Girls &amp; Descendants - Edit'!AB$1,FALSE)=""," - ",(VLOOKUP($C244,'All Girls &amp; Descendants - Edit'!$C$2:$AK$440,'All Girls &amp; Descendants - Edit'!AB$1,FALSE)))</f>
        <v>101</v>
      </c>
      <c r="AC244" s="101">
        <f>IF(VLOOKUP($C244,'All Girls &amp; Descendants - Edit'!$C$2:$AK$440,'All Girls &amp; Descendants - Edit'!AC$1,FALSE)=""," - ",(VLOOKUP($C244,'All Girls &amp; Descendants - Edit'!$C$2:$AK$440,'All Girls &amp; Descendants - Edit'!AC$1,FALSE)))</f>
        <v>2101</v>
      </c>
      <c r="AD244" s="3" t="str">
        <f>IF(VLOOKUP($C244,'All Girls &amp; Descendants - Edit'!$C$2:$AK$440,'All Girls &amp; Descendants - Edit'!AD$1,FALSE)=""," - ",(VLOOKUP($C244,'All Girls &amp; Descendants - Edit'!$C$2:$AK$440,'All Girls &amp; Descendants - Edit'!AD$1,FALSE)))</f>
        <v>103db</v>
      </c>
      <c r="AE244" s="3" t="str">
        <f>IF(VLOOKUP($C244,'All Girls &amp; Descendants - Edit'!$C$2:$AK$440,'All Girls &amp; Descendants - Edit'!AE$1,FALSE)=""," - ",(VLOOKUP($C244,'All Girls &amp; Descendants - Edit'!$C$2:$AK$440,'All Girls &amp; Descendants - Edit'!AE$1,FALSE)))</f>
        <v>Elizabeth Clare  GORE-BROWNE (1988 - )</v>
      </c>
      <c r="AF244" s="3" t="str">
        <f>IF(VLOOKUP($C244,'All Girls &amp; Descendants - Edit'!$C$2:$AK$440,'All Girls &amp; Descendants - Edit'!AF$1,FALSE)=""," - ",(VLOOKUP($C244,'All Girls &amp; Descendants - Edit'!$C$2:$AK$440,'All Girls &amp; Descendants - Edit'!AF$1,FALSE)))</f>
        <v>Elizabeth GORE-BROWNE (7th &amp; 103)</v>
      </c>
      <c r="AG244" s="3" t="str">
        <f>IF(VLOOKUP($C244,'All Girls &amp; Descendants - Edit'!$C$2:$AK$440,'All Girls &amp; Descendants - Edit'!AG$1,FALSE)=""," - ",(VLOOKUP($C244,'All Girls &amp; Descendants - Edit'!$C$2:$AK$440,'All Girls &amp; Descendants - Edit'!AG$1,FALSE)))</f>
        <v>Female</v>
      </c>
      <c r="AH244" s="3" t="str">
        <f>IF(VLOOKUP($C244,'All Girls &amp; Descendants - Edit'!$C$2:$AK$440,'All Girls &amp; Descendants - Edit'!AH$1,FALSE)=""," - ",(VLOOKUP($C244,'All Girls &amp; Descendants - Edit'!$C$2:$AK$440,'All Girls &amp; Descendants - Edit'!AH$1,FALSE)))</f>
        <v>7th</v>
      </c>
      <c r="AI244" s="3" t="str">
        <f>IF(VLOOKUP($C244,'All Girls &amp; Descendants - Edit'!$C$2:$AK$440,'All Girls &amp; Descendants - Edit'!AI$1,FALSE)=""," - ",(VLOOKUP($C244,'All Girls &amp; Descendants - Edit'!$C$2:$AK$440,'All Girls &amp; Descendants - Edit'!AI$1,FALSE)))</f>
        <v>Unmarried</v>
      </c>
      <c r="AJ244" s="3" t="str">
        <f>IF(VLOOKUP($C244,'All Girls &amp; Descendants - Edit'!$C$2:$AK$440,'All Girls &amp; Descendants - Edit'!AJ$1,FALSE)=""," - ",(VLOOKUP($C244,'All Girls &amp; Descendants - Edit'!$C$2:$AK$440,'All Girls &amp; Descendants - Edit'!AJ$1,FALSE)))</f>
        <v>Female. b. 18/05/1988 Born at Winchester.  Baptised 12 Apr 1989 at St Mary’s. Bentworth, Alton, Hampshire.</v>
      </c>
      <c r="AK244" s="3" t="str">
        <f>IF(VLOOKUP($C244,'All Girls &amp; Descendants - Edit'!$C$2:$AK$440,'All Girls &amp; Descendants - Edit'!AK$1,FALSE)=""," - ",(VLOOKUP($C244,'All Girls &amp; Descendants - Edit'!$C$2:$AK$440,'All Girls &amp; Descendants - Edit'!AK$1,FALSE)))</f>
        <v>b. 18/05/1988</v>
      </c>
    </row>
    <row r="245" spans="1:37" ht="19">
      <c r="A245">
        <f>VLOOKUP(B245,'Loyd List 1-190 - Edit'!$P$1:$R$219,3,FALSE)</f>
        <v>72</v>
      </c>
      <c r="B245">
        <f>'All Girls &amp; Descendants - Edit'!B246</f>
        <v>103</v>
      </c>
      <c r="C245" s="98" t="str">
        <f>'All Girls &amp; Descendants - Edit'!C246</f>
        <v>103dc</v>
      </c>
      <c r="D245" s="2" t="str">
        <f>'All Girls &amp; Descendants - Edit'!D246</f>
        <v>GORE-BROWNE</v>
      </c>
      <c r="E245" t="str">
        <f>'All Girls &amp; Descendants - Edit'!E246</f>
        <v>Georgina</v>
      </c>
      <c r="F245" t="str">
        <f>IF('All Girls &amp; Descendants - Edit'!F246="","",'All Girls &amp; Descendants - Edit'!F246)</f>
        <v>Sarah</v>
      </c>
      <c r="G245" t="str">
        <f>IF('All Girls &amp; Descendants - Edit'!G246="","",'All Girls &amp; Descendants - Edit'!G246)</f>
        <v/>
      </c>
      <c r="H245" t="str">
        <f>IF('All Girls &amp; Descendants - Edit'!H246="","",'All Girls &amp; Descendants - Edit'!H246)</f>
        <v/>
      </c>
      <c r="I245">
        <f>VLOOKUP($C245,'All Girls &amp; Descendants - Edit'!$C$2:$AK$440,'All Girls &amp; Descendants - Edit'!I$1,FALSE)</f>
        <v>1992</v>
      </c>
      <c r="J245" t="str">
        <f>VLOOKUP($C245,'All Girls &amp; Descendants - Edit'!$C$2:$AK$440,'All Girls &amp; Descendants - Edit'!J$1,FALSE)</f>
        <v/>
      </c>
      <c r="K245" s="9"/>
      <c r="L245" t="str">
        <f t="shared" si="25"/>
        <v>14/03/1992</v>
      </c>
      <c r="M245" s="3">
        <f>VLOOKUP($C245,'All Girls &amp; Descendants - Edit'!$C$2:$AK$440,'All Girls &amp; Descendants - Edit'!M$1,FALSE)</f>
        <v>33677</v>
      </c>
      <c r="N245" s="3" t="str">
        <f>IF(VLOOKUP($C245,'All Girls &amp; Descendants - Edit'!$C$2:$AK$440,'All Girls &amp; Descendants - Edit'!N$1,FALSE)=""," - ",(VLOOKUP($C245,'All Girls &amp; Descendants - Edit'!$C$2:$AK$440,'All Girls &amp; Descendants - Edit'!N$1,FALSE)))</f>
        <v xml:space="preserve"> - </v>
      </c>
      <c r="O245" s="3" t="str">
        <f>IF(VLOOKUP($C245,'All Girls &amp; Descendants - Edit'!$C$2:$AK$440,'All Girls &amp; Descendants - Edit'!O$1,FALSE)="","",(VLOOKUP($C245,'All Girls &amp; Descendants - Edit'!$C$2:$AK$440,'All Girls &amp; Descendants - Edit'!O$1,FALSE)))</f>
        <v/>
      </c>
      <c r="P245" s="3" t="str">
        <f t="shared" si="26"/>
        <v/>
      </c>
      <c r="Q245" s="178" t="str">
        <f t="shared" si="27"/>
        <v>103d</v>
      </c>
      <c r="R245" s="23"/>
      <c r="S245" t="str">
        <f>VLOOKUP($C245,'All Girls &amp; Descendants - Edit'!$C$2:$AK$440,'All Girls &amp; Descendants - Edit'!S$1,FALSE)</f>
        <v>Female</v>
      </c>
      <c r="T245" s="176">
        <f t="shared" si="24"/>
        <v>7</v>
      </c>
      <c r="U245" s="176">
        <f t="shared" si="28"/>
        <v>5</v>
      </c>
      <c r="V245" s="176">
        <f t="shared" si="29"/>
        <v>5</v>
      </c>
      <c r="W245" s="177">
        <f t="shared" si="30"/>
        <v>2</v>
      </c>
      <c r="X245" s="3" t="str">
        <f>IF(VLOOKUP($C245,'All Girls &amp; Descendants - Edit'!$C$2:$AK$440,'All Girls &amp; Descendants - Edit'!X$1,FALSE)=""," - ",(VLOOKUP($C245,'All Girls &amp; Descendants - Edit'!$C$2:$AK$440,'All Girls &amp; Descendants - Edit'!X$1,FALSE)))</f>
        <v xml:space="preserve"> - </v>
      </c>
      <c r="Y245" s="3" t="str">
        <f>IF(VLOOKUP($C245,'All Girls &amp; Descendants - Edit'!$C$2:$AK$440,'All Girls &amp; Descendants - Edit'!Y$1,FALSE)=""," - ",(VLOOKUP($C245,'All Girls &amp; Descendants - Edit'!$C$2:$AK$440,'All Girls &amp; Descendants - Edit'!Y$1,FALSE)))</f>
        <v xml:space="preserve"> - </v>
      </c>
      <c r="Z245" s="3" t="str">
        <f>IF(VLOOKUP($C245,'All Girls &amp; Descendants - Edit'!$C$2:$AK$440,'All Girls &amp; Descendants - Edit'!Z$1,FALSE)=""," - ",(VLOOKUP($C245,'All Girls &amp; Descendants - Edit'!$C$2:$AK$440,'All Girls &amp; Descendants - Edit'!Z$1,FALSE)))</f>
        <v>Born at Winchester. Baptised 20 Sep 1992 at St Mary’s, Bentworth, Alton, Hampshire.</v>
      </c>
      <c r="AA245" s="101">
        <f>IF(VLOOKUP($C245,'All Girls &amp; Descendants - Edit'!$C$2:$AK$440,'All Girls &amp; Descendants - Edit'!AA$1,FALSE)=""," - ",(VLOOKUP($C245,'All Girls &amp; Descendants - Edit'!$C$2:$AK$440,'All Girls &amp; Descendants - Edit'!AA$1,FALSE)))</f>
        <v>272</v>
      </c>
      <c r="AB245" s="101">
        <f>IF(VLOOKUP($C245,'All Girls &amp; Descendants - Edit'!$C$2:$AK$440,'All Girls &amp; Descendants - Edit'!AB$1,FALSE)=""," - ",(VLOOKUP($C245,'All Girls &amp; Descendants - Edit'!$C$2:$AK$440,'All Girls &amp; Descendants - Edit'!AB$1,FALSE)))</f>
        <v>102</v>
      </c>
      <c r="AC245" s="101">
        <f>IF(VLOOKUP($C245,'All Girls &amp; Descendants - Edit'!$C$2:$AK$440,'All Girls &amp; Descendants - Edit'!AC$1,FALSE)=""," - ",(VLOOKUP($C245,'All Girls &amp; Descendants - Edit'!$C$2:$AK$440,'All Girls &amp; Descendants - Edit'!AC$1,FALSE)))</f>
        <v>2102</v>
      </c>
      <c r="AD245" s="3" t="str">
        <f>IF(VLOOKUP($C245,'All Girls &amp; Descendants - Edit'!$C$2:$AK$440,'All Girls &amp; Descendants - Edit'!AD$1,FALSE)=""," - ",(VLOOKUP($C245,'All Girls &amp; Descendants - Edit'!$C$2:$AK$440,'All Girls &amp; Descendants - Edit'!AD$1,FALSE)))</f>
        <v>103dc</v>
      </c>
      <c r="AE245" s="3" t="str">
        <f>IF(VLOOKUP($C245,'All Girls &amp; Descendants - Edit'!$C$2:$AK$440,'All Girls &amp; Descendants - Edit'!AE$1,FALSE)=""," - ",(VLOOKUP($C245,'All Girls &amp; Descendants - Edit'!$C$2:$AK$440,'All Girls &amp; Descendants - Edit'!AE$1,FALSE)))</f>
        <v>Georgina Sarah  GORE-BROWNE (1992 - )</v>
      </c>
      <c r="AF245" s="3" t="str">
        <f>IF(VLOOKUP($C245,'All Girls &amp; Descendants - Edit'!$C$2:$AK$440,'All Girls &amp; Descendants - Edit'!AF$1,FALSE)=""," - ",(VLOOKUP($C245,'All Girls &amp; Descendants - Edit'!$C$2:$AK$440,'All Girls &amp; Descendants - Edit'!AF$1,FALSE)))</f>
        <v>Georgina GORE-BROWNE (7th &amp; 103)</v>
      </c>
      <c r="AG245" s="3" t="str">
        <f>IF(VLOOKUP($C245,'All Girls &amp; Descendants - Edit'!$C$2:$AK$440,'All Girls &amp; Descendants - Edit'!AG$1,FALSE)=""," - ",(VLOOKUP($C245,'All Girls &amp; Descendants - Edit'!$C$2:$AK$440,'All Girls &amp; Descendants - Edit'!AG$1,FALSE)))</f>
        <v>Female</v>
      </c>
      <c r="AH245" s="3" t="str">
        <f>IF(VLOOKUP($C245,'All Girls &amp; Descendants - Edit'!$C$2:$AK$440,'All Girls &amp; Descendants - Edit'!AH$1,FALSE)=""," - ",(VLOOKUP($C245,'All Girls &amp; Descendants - Edit'!$C$2:$AK$440,'All Girls &amp; Descendants - Edit'!AH$1,FALSE)))</f>
        <v>7th</v>
      </c>
      <c r="AI245" s="3" t="str">
        <f>IF(VLOOKUP($C245,'All Girls &amp; Descendants - Edit'!$C$2:$AK$440,'All Girls &amp; Descendants - Edit'!AI$1,FALSE)=""," - ",(VLOOKUP($C245,'All Girls &amp; Descendants - Edit'!$C$2:$AK$440,'All Girls &amp; Descendants - Edit'!AI$1,FALSE)))</f>
        <v>Unmarried</v>
      </c>
      <c r="AJ245" s="3" t="str">
        <f>IF(VLOOKUP($C245,'All Girls &amp; Descendants - Edit'!$C$2:$AK$440,'All Girls &amp; Descendants - Edit'!AJ$1,FALSE)=""," - ",(VLOOKUP($C245,'All Girls &amp; Descendants - Edit'!$C$2:$AK$440,'All Girls &amp; Descendants - Edit'!AJ$1,FALSE)))</f>
        <v>Female. b. 14/03/1992 Born at Winchester. Baptised 20 Sep 1992 at St Mary’s, Bentworth, Alton, Hampshire.</v>
      </c>
      <c r="AK245" s="3" t="str">
        <f>IF(VLOOKUP($C245,'All Girls &amp; Descendants - Edit'!$C$2:$AK$440,'All Girls &amp; Descendants - Edit'!AK$1,FALSE)=""," - ",(VLOOKUP($C245,'All Girls &amp; Descendants - Edit'!$C$2:$AK$440,'All Girls &amp; Descendants - Edit'!AK$1,FALSE)))</f>
        <v>b. 14/03/1992</v>
      </c>
    </row>
    <row r="246" spans="1:37" ht="19">
      <c r="A246">
        <f>VLOOKUP(B246,'Loyd List 1-190 - Edit'!$P$1:$R$219,3,FALSE)</f>
        <v>77</v>
      </c>
      <c r="B246">
        <f>'All Girls &amp; Descendants - Edit'!B247</f>
        <v>106</v>
      </c>
      <c r="C246" s="98" t="str">
        <f>'All Girls &amp; Descendants - Edit'!C247</f>
        <v>106aa</v>
      </c>
      <c r="D246" s="2" t="str">
        <f>'All Girls &amp; Descendants - Edit'!D247</f>
        <v>BLACKETT</v>
      </c>
      <c r="E246" t="str">
        <f>'All Girls &amp; Descendants - Edit'!E247</f>
        <v>Helena</v>
      </c>
      <c r="F246" t="str">
        <f>IF('All Girls &amp; Descendants - Edit'!F247="","",'All Girls &amp; Descendants - Edit'!F247)</f>
        <v>Charlotte</v>
      </c>
      <c r="G246" t="str">
        <f>IF('All Girls &amp; Descendants - Edit'!G247="","",'All Girls &amp; Descendants - Edit'!G247)</f>
        <v>Rose</v>
      </c>
      <c r="H246" t="str">
        <f>IF('All Girls &amp; Descendants - Edit'!H247="","",'All Girls &amp; Descendants - Edit'!H247)</f>
        <v>Charlotte</v>
      </c>
      <c r="I246">
        <f>VLOOKUP($C246,'All Girls &amp; Descendants - Edit'!$C$2:$AK$440,'All Girls &amp; Descendants - Edit'!I$1,FALSE)</f>
        <v>1988</v>
      </c>
      <c r="J246" t="str">
        <f>VLOOKUP($C246,'All Girls &amp; Descendants - Edit'!$C$2:$AK$440,'All Girls &amp; Descendants - Edit'!J$1,FALSE)</f>
        <v/>
      </c>
      <c r="K246" s="9"/>
      <c r="L246" t="str">
        <f t="shared" si="25"/>
        <v>22/09/1988</v>
      </c>
      <c r="M246" s="3">
        <f>VLOOKUP($C246,'All Girls &amp; Descendants - Edit'!$C$2:$AK$440,'All Girls &amp; Descendants - Edit'!M$1,FALSE)</f>
        <v>32408</v>
      </c>
      <c r="N246" s="3" t="str">
        <f>IF(VLOOKUP($C246,'All Girls &amp; Descendants - Edit'!$C$2:$AK$440,'All Girls &amp; Descendants - Edit'!N$1,FALSE)=""," - ",(VLOOKUP($C246,'All Girls &amp; Descendants - Edit'!$C$2:$AK$440,'All Girls &amp; Descendants - Edit'!N$1,FALSE)))</f>
        <v xml:space="preserve"> - </v>
      </c>
      <c r="O246" s="3" t="str">
        <f>IF(VLOOKUP($C246,'All Girls &amp; Descendants - Edit'!$C$2:$AK$440,'All Girls &amp; Descendants - Edit'!O$1,FALSE)="","",(VLOOKUP($C246,'All Girls &amp; Descendants - Edit'!$C$2:$AK$440,'All Girls &amp; Descendants - Edit'!O$1,FALSE)))</f>
        <v/>
      </c>
      <c r="P246" s="3" t="str">
        <f t="shared" si="26"/>
        <v/>
      </c>
      <c r="Q246" s="178" t="str">
        <f t="shared" si="27"/>
        <v>106a</v>
      </c>
      <c r="R246" s="23"/>
      <c r="S246" t="str">
        <f>VLOOKUP($C246,'All Girls &amp; Descendants - Edit'!$C$2:$AK$440,'All Girls &amp; Descendants - Edit'!S$1,FALSE)</f>
        <v>Female</v>
      </c>
      <c r="T246" s="176">
        <f t="shared" si="24"/>
        <v>7</v>
      </c>
      <c r="U246" s="176">
        <f t="shared" si="28"/>
        <v>5</v>
      </c>
      <c r="V246" s="176">
        <f t="shared" si="29"/>
        <v>5</v>
      </c>
      <c r="W246" s="177">
        <f t="shared" si="30"/>
        <v>2</v>
      </c>
      <c r="X246" s="3" t="str">
        <f>IF(VLOOKUP($C246,'All Girls &amp; Descendants - Edit'!$C$2:$AK$440,'All Girls &amp; Descendants - Edit'!X$1,FALSE)=""," - ",(VLOOKUP($C246,'All Girls &amp; Descendants - Edit'!$C$2:$AK$440,'All Girls &amp; Descendants - Edit'!X$1,FALSE)))</f>
        <v>Edward John HOLLAND (b. , d.)</v>
      </c>
      <c r="Y246" s="3" t="str">
        <f>IF(VLOOKUP($C246,'All Girls &amp; Descendants - Edit'!$C$2:$AK$440,'All Girls &amp; Descendants - Edit'!Y$1,FALSE)=""," - ",(VLOOKUP($C246,'All Girls &amp; Descendants - Edit'!$C$2:$AK$440,'All Girls &amp; Descendants - Edit'!Y$1,FALSE)))</f>
        <v>Married Edward, 2nd son of Liam Holland of Co. Laois, Ireland, 14/05/2016.</v>
      </c>
      <c r="Z246" s="3" t="str">
        <f>IF(VLOOKUP($C246,'All Girls &amp; Descendants - Edit'!$C$2:$AK$440,'All Girls &amp; Descendants - Edit'!Z$1,FALSE)=""," - ",(VLOOKUP($C246,'All Girls &amp; Descendants - Edit'!$C$2:$AK$440,'All Girls &amp; Descendants - Edit'!Z$1,FALSE)))</f>
        <v>Born at Grantham General Hospital. Baptised 4 Dec 1988 at St Dennis’s, Aswarby, Lincolnshire.</v>
      </c>
      <c r="AA246" s="101">
        <f>IF(VLOOKUP($C246,'All Girls &amp; Descendants - Edit'!$C$2:$AK$440,'All Girls &amp; Descendants - Edit'!AA$1,FALSE)=""," - ",(VLOOKUP($C246,'All Girls &amp; Descendants - Edit'!$C$2:$AK$440,'All Girls &amp; Descendants - Edit'!AA$1,FALSE)))</f>
        <v>274</v>
      </c>
      <c r="AB246" s="101">
        <f>IF(VLOOKUP($C246,'All Girls &amp; Descendants - Edit'!$C$2:$AK$440,'All Girls &amp; Descendants - Edit'!AB$1,FALSE)=""," - ",(VLOOKUP($C246,'All Girls &amp; Descendants - Edit'!$C$2:$AK$440,'All Girls &amp; Descendants - Edit'!AB$1,FALSE)))</f>
        <v>103</v>
      </c>
      <c r="AC246" s="101">
        <f>IF(VLOOKUP($C246,'All Girls &amp; Descendants - Edit'!$C$2:$AK$440,'All Girls &amp; Descendants - Edit'!AC$1,FALSE)=""," - ",(VLOOKUP($C246,'All Girls &amp; Descendants - Edit'!$C$2:$AK$440,'All Girls &amp; Descendants - Edit'!AC$1,FALSE)))</f>
        <v>2103</v>
      </c>
      <c r="AD246" s="3" t="str">
        <f>IF(VLOOKUP($C246,'All Girls &amp; Descendants - Edit'!$C$2:$AK$440,'All Girls &amp; Descendants - Edit'!AD$1,FALSE)=""," - ",(VLOOKUP($C246,'All Girls &amp; Descendants - Edit'!$C$2:$AK$440,'All Girls &amp; Descendants - Edit'!AD$1,FALSE)))</f>
        <v>106aa</v>
      </c>
      <c r="AE246" s="3" t="str">
        <f>IF(VLOOKUP($C246,'All Girls &amp; Descendants - Edit'!$C$2:$AK$440,'All Girls &amp; Descendants - Edit'!AE$1,FALSE)=""," - ",(VLOOKUP($C246,'All Girls &amp; Descendants - Edit'!$C$2:$AK$440,'All Girls &amp; Descendants - Edit'!AE$1,FALSE)))</f>
        <v>Helena Charlotte Rose BLACKETT (1988 - )</v>
      </c>
      <c r="AF246" s="3" t="str">
        <f>IF(VLOOKUP($C246,'All Girls &amp; Descendants - Edit'!$C$2:$AK$440,'All Girls &amp; Descendants - Edit'!AF$1,FALSE)=""," - ",(VLOOKUP($C246,'All Girls &amp; Descendants - Edit'!$C$2:$AK$440,'All Girls &amp; Descendants - Edit'!AF$1,FALSE)))</f>
        <v>Charlotte BLACKETT (7th &amp; 106)</v>
      </c>
      <c r="AG246" s="3" t="str">
        <f>IF(VLOOKUP($C246,'All Girls &amp; Descendants - Edit'!$C$2:$AK$440,'All Girls &amp; Descendants - Edit'!AG$1,FALSE)=""," - ",(VLOOKUP($C246,'All Girls &amp; Descendants - Edit'!$C$2:$AK$440,'All Girls &amp; Descendants - Edit'!AG$1,FALSE)))</f>
        <v>Female</v>
      </c>
      <c r="AH246" s="3" t="str">
        <f>IF(VLOOKUP($C246,'All Girls &amp; Descendants - Edit'!$C$2:$AK$440,'All Girls &amp; Descendants - Edit'!AH$1,FALSE)=""," - ",(VLOOKUP($C246,'All Girls &amp; Descendants - Edit'!$C$2:$AK$440,'All Girls &amp; Descendants - Edit'!AH$1,FALSE)))</f>
        <v>7th</v>
      </c>
      <c r="AI246" s="3" t="str">
        <f>IF(VLOOKUP($C246,'All Girls &amp; Descendants - Edit'!$C$2:$AK$440,'All Girls &amp; Descendants - Edit'!AI$1,FALSE)=""," - ",(VLOOKUP($C246,'All Girls &amp; Descendants - Edit'!$C$2:$AK$440,'All Girls &amp; Descendants - Edit'!AI$1,FALSE)))</f>
        <v>Husband: Edward John HOLLAND (b. , d.). Married Edward, 2nd son of Liam Holland of Co. Laois, Ireland, 14/05/2016.</v>
      </c>
      <c r="AJ246" s="3" t="str">
        <f>IF(VLOOKUP($C246,'All Girls &amp; Descendants - Edit'!$C$2:$AK$440,'All Girls &amp; Descendants - Edit'!AJ$1,FALSE)=""," - ",(VLOOKUP($C246,'All Girls &amp; Descendants - Edit'!$C$2:$AK$440,'All Girls &amp; Descendants - Edit'!AJ$1,FALSE)))</f>
        <v>Female. b. 22/09/1988 Born at Grantham General Hospital. Baptised 4 Dec 1988 at St Dennis’s, Aswarby, Lincolnshire.</v>
      </c>
      <c r="AK246" s="3" t="str">
        <f>IF(VLOOKUP($C246,'All Girls &amp; Descendants - Edit'!$C$2:$AK$440,'All Girls &amp; Descendants - Edit'!AK$1,FALSE)=""," - ",(VLOOKUP($C246,'All Girls &amp; Descendants - Edit'!$C$2:$AK$440,'All Girls &amp; Descendants - Edit'!AK$1,FALSE)))</f>
        <v>b. 22/09/1988</v>
      </c>
    </row>
    <row r="247" spans="1:37" ht="19">
      <c r="A247">
        <f>VLOOKUP(B247,'Loyd List 1-190 - Edit'!$P$1:$R$219,3,FALSE)</f>
        <v>77</v>
      </c>
      <c r="B247">
        <f>'All Girls &amp; Descendants - Edit'!B248</f>
        <v>106</v>
      </c>
      <c r="C247" s="98" t="str">
        <f>'All Girls &amp; Descendants - Edit'!C248</f>
        <v>106ab</v>
      </c>
      <c r="D247" s="2" t="str">
        <f>'All Girls &amp; Descendants - Edit'!D248</f>
        <v>BLACKETT</v>
      </c>
      <c r="E247" t="str">
        <f>'All Girls &amp; Descendants - Edit'!E248</f>
        <v>Camilla</v>
      </c>
      <c r="F247" t="str">
        <f>IF('All Girls &amp; Descendants - Edit'!F248="","",'All Girls &amp; Descendants - Edit'!F248)</f>
        <v>Harriet</v>
      </c>
      <c r="G247" t="str">
        <f>IF('All Girls &amp; Descendants - Edit'!G248="","",'All Girls &amp; Descendants - Edit'!G248)</f>
        <v>Eve</v>
      </c>
      <c r="H247" t="str">
        <f>IF('All Girls &amp; Descendants - Edit'!H248="","",'All Girls &amp; Descendants - Edit'!H248)</f>
        <v>Eve</v>
      </c>
      <c r="I247">
        <f>VLOOKUP($C247,'All Girls &amp; Descendants - Edit'!$C$2:$AK$440,'All Girls &amp; Descendants - Edit'!I$1,FALSE)</f>
        <v>1989</v>
      </c>
      <c r="J247" t="str">
        <f>VLOOKUP($C247,'All Girls &amp; Descendants - Edit'!$C$2:$AK$440,'All Girls &amp; Descendants - Edit'!J$1,FALSE)</f>
        <v/>
      </c>
      <c r="K247" s="9"/>
      <c r="L247" t="str">
        <f t="shared" si="25"/>
        <v>23/11/1989</v>
      </c>
      <c r="M247" s="3">
        <f>VLOOKUP($C247,'All Girls &amp; Descendants - Edit'!$C$2:$AK$440,'All Girls &amp; Descendants - Edit'!M$1,FALSE)</f>
        <v>32835</v>
      </c>
      <c r="N247" s="3" t="str">
        <f>IF(VLOOKUP($C247,'All Girls &amp; Descendants - Edit'!$C$2:$AK$440,'All Girls &amp; Descendants - Edit'!N$1,FALSE)=""," - ",(VLOOKUP($C247,'All Girls &amp; Descendants - Edit'!$C$2:$AK$440,'All Girls &amp; Descendants - Edit'!N$1,FALSE)))</f>
        <v xml:space="preserve"> - </v>
      </c>
      <c r="O247" s="3" t="str">
        <f>IF(VLOOKUP($C247,'All Girls &amp; Descendants - Edit'!$C$2:$AK$440,'All Girls &amp; Descendants - Edit'!O$1,FALSE)="","",(VLOOKUP($C247,'All Girls &amp; Descendants - Edit'!$C$2:$AK$440,'All Girls &amp; Descendants - Edit'!O$1,FALSE)))</f>
        <v/>
      </c>
      <c r="P247" s="3" t="str">
        <f t="shared" si="26"/>
        <v/>
      </c>
      <c r="Q247" s="178" t="str">
        <f t="shared" si="27"/>
        <v>106a</v>
      </c>
      <c r="R247" s="23"/>
      <c r="S247" t="str">
        <f>VLOOKUP($C247,'All Girls &amp; Descendants - Edit'!$C$2:$AK$440,'All Girls &amp; Descendants - Edit'!S$1,FALSE)</f>
        <v>Female</v>
      </c>
      <c r="T247" s="176">
        <f t="shared" si="24"/>
        <v>7</v>
      </c>
      <c r="U247" s="176">
        <f t="shared" si="28"/>
        <v>5</v>
      </c>
      <c r="V247" s="176">
        <f t="shared" si="29"/>
        <v>5</v>
      </c>
      <c r="W247" s="177">
        <f t="shared" si="30"/>
        <v>2</v>
      </c>
      <c r="X247" s="3" t="str">
        <f>IF(VLOOKUP($C247,'All Girls &amp; Descendants - Edit'!$C$2:$AK$440,'All Girls &amp; Descendants - Edit'!X$1,FALSE)=""," - ",(VLOOKUP($C247,'All Girls &amp; Descendants - Edit'!$C$2:$AK$440,'All Girls &amp; Descendants - Edit'!X$1,FALSE)))</f>
        <v>Jonathan George Mercer TELFORD</v>
      </c>
      <c r="Y247" s="3" t="str">
        <f>IF(VLOOKUP($C247,'All Girls &amp; Descendants - Edit'!$C$2:$AK$440,'All Girls &amp; Descendants - Edit'!Y$1,FALSE)=""," - ",(VLOOKUP($C247,'All Girls &amp; Descendants - Edit'!$C$2:$AK$440,'All Girls &amp; Descendants - Edit'!Y$1,FALSE)))</f>
        <v>Married Jonathan, eldest son of Richard Telford of Exton, Devon, 23/07/2021.</v>
      </c>
      <c r="Z247" s="3" t="str">
        <f>IF(VLOOKUP($C247,'All Girls &amp; Descendants - Edit'!$C$2:$AK$440,'All Girls &amp; Descendants - Edit'!Z$1,FALSE)=""," - ",(VLOOKUP($C247,'All Girls &amp; Descendants - Edit'!$C$2:$AK$440,'All Girls &amp; Descendants - Edit'!Z$1,FALSE)))</f>
        <v>Eve born at Grantham General Hospital. Baptised 14 Apr 1990 at St Dennis’s, Aswarby, Lincolnshire.</v>
      </c>
      <c r="AA247" s="101">
        <f>IF(VLOOKUP($C247,'All Girls &amp; Descendants - Edit'!$C$2:$AK$440,'All Girls &amp; Descendants - Edit'!AA$1,FALSE)=""," - ",(VLOOKUP($C247,'All Girls &amp; Descendants - Edit'!$C$2:$AK$440,'All Girls &amp; Descendants - Edit'!AA$1,FALSE)))</f>
        <v>275</v>
      </c>
      <c r="AB247" s="101">
        <f>IF(VLOOKUP($C247,'All Girls &amp; Descendants - Edit'!$C$2:$AK$440,'All Girls &amp; Descendants - Edit'!AB$1,FALSE)=""," - ",(VLOOKUP($C247,'All Girls &amp; Descendants - Edit'!$C$2:$AK$440,'All Girls &amp; Descendants - Edit'!AB$1,FALSE)))</f>
        <v>104</v>
      </c>
      <c r="AC247" s="101">
        <f>IF(VLOOKUP($C247,'All Girls &amp; Descendants - Edit'!$C$2:$AK$440,'All Girls &amp; Descendants - Edit'!AC$1,FALSE)=""," - ",(VLOOKUP($C247,'All Girls &amp; Descendants - Edit'!$C$2:$AK$440,'All Girls &amp; Descendants - Edit'!AC$1,FALSE)))</f>
        <v>2104</v>
      </c>
      <c r="AD247" s="3" t="str">
        <f>IF(VLOOKUP($C247,'All Girls &amp; Descendants - Edit'!$C$2:$AK$440,'All Girls &amp; Descendants - Edit'!AD$1,FALSE)=""," - ",(VLOOKUP($C247,'All Girls &amp; Descendants - Edit'!$C$2:$AK$440,'All Girls &amp; Descendants - Edit'!AD$1,FALSE)))</f>
        <v>106ab</v>
      </c>
      <c r="AE247" s="3" t="str">
        <f>IF(VLOOKUP($C247,'All Girls &amp; Descendants - Edit'!$C$2:$AK$440,'All Girls &amp; Descendants - Edit'!AE$1,FALSE)=""," - ",(VLOOKUP($C247,'All Girls &amp; Descendants - Edit'!$C$2:$AK$440,'All Girls &amp; Descendants - Edit'!AE$1,FALSE)))</f>
        <v>Camilla Harriet Eve BLACKETT (1989 - )</v>
      </c>
      <c r="AF247" s="3" t="str">
        <f>IF(VLOOKUP($C247,'All Girls &amp; Descendants - Edit'!$C$2:$AK$440,'All Girls &amp; Descendants - Edit'!AF$1,FALSE)=""," - ",(VLOOKUP($C247,'All Girls &amp; Descendants - Edit'!$C$2:$AK$440,'All Girls &amp; Descendants - Edit'!AF$1,FALSE)))</f>
        <v>Eve BLACKETT (7th &amp; 106)</v>
      </c>
      <c r="AG247" s="3" t="str">
        <f>IF(VLOOKUP($C247,'All Girls &amp; Descendants - Edit'!$C$2:$AK$440,'All Girls &amp; Descendants - Edit'!AG$1,FALSE)=""," - ",(VLOOKUP($C247,'All Girls &amp; Descendants - Edit'!$C$2:$AK$440,'All Girls &amp; Descendants - Edit'!AG$1,FALSE)))</f>
        <v>Female</v>
      </c>
      <c r="AH247" s="3" t="str">
        <f>IF(VLOOKUP($C247,'All Girls &amp; Descendants - Edit'!$C$2:$AK$440,'All Girls &amp; Descendants - Edit'!AH$1,FALSE)=""," - ",(VLOOKUP($C247,'All Girls &amp; Descendants - Edit'!$C$2:$AK$440,'All Girls &amp; Descendants - Edit'!AH$1,FALSE)))</f>
        <v>7th</v>
      </c>
      <c r="AI247" s="3" t="str">
        <f>IF(VLOOKUP($C247,'All Girls &amp; Descendants - Edit'!$C$2:$AK$440,'All Girls &amp; Descendants - Edit'!AI$1,FALSE)=""," - ",(VLOOKUP($C247,'All Girls &amp; Descendants - Edit'!$C$2:$AK$440,'All Girls &amp; Descendants - Edit'!AI$1,FALSE)))</f>
        <v>Husband: Jonathan George Mercer TELFORD. Married Jonathan, eldest son of Richard Telford of Exton, Devon, 23/07/2021.</v>
      </c>
      <c r="AJ247" s="3" t="str">
        <f>IF(VLOOKUP($C247,'All Girls &amp; Descendants - Edit'!$C$2:$AK$440,'All Girls &amp; Descendants - Edit'!AJ$1,FALSE)=""," - ",(VLOOKUP($C247,'All Girls &amp; Descendants - Edit'!$C$2:$AK$440,'All Girls &amp; Descendants - Edit'!AJ$1,FALSE)))</f>
        <v>Female. b. 23/11/1989 Eve born at Grantham General Hospital. Baptised 14 Apr 1990 at St Dennis’s, Aswarby, Lincolnshire.</v>
      </c>
      <c r="AK247" s="3" t="str">
        <f>IF(VLOOKUP($C247,'All Girls &amp; Descendants - Edit'!$C$2:$AK$440,'All Girls &amp; Descendants - Edit'!AK$1,FALSE)=""," - ",(VLOOKUP($C247,'All Girls &amp; Descendants - Edit'!$C$2:$AK$440,'All Girls &amp; Descendants - Edit'!AK$1,FALSE)))</f>
        <v>b. 23/11/1989</v>
      </c>
    </row>
    <row r="248" spans="1:37" ht="19">
      <c r="A248">
        <f>VLOOKUP(B248,'Loyd List 1-190 - Edit'!$P$1:$R$219,3,FALSE)</f>
        <v>77</v>
      </c>
      <c r="B248">
        <f>'All Girls &amp; Descendants - Edit'!B249</f>
        <v>106</v>
      </c>
      <c r="C248" s="98" t="str">
        <f>'All Girls &amp; Descendants - Edit'!C249</f>
        <v>106ac</v>
      </c>
      <c r="D248" s="2" t="str">
        <f>'All Girls &amp; Descendants - Edit'!D249</f>
        <v>BLACKETT</v>
      </c>
      <c r="E248" t="str">
        <f>'All Girls &amp; Descendants - Edit'!E249</f>
        <v>Letitia</v>
      </c>
      <c r="F248" t="str">
        <f>IF('All Girls &amp; Descendants - Edit'!F249="","",'All Girls &amp; Descendants - Edit'!F249)</f>
        <v>Sarah</v>
      </c>
      <c r="G248" t="str">
        <f>IF('All Girls &amp; Descendants - Edit'!G249="","",'All Girls &amp; Descendants - Edit'!G249)</f>
        <v>Alice</v>
      </c>
      <c r="H248" t="str">
        <f>IF('All Girls &amp; Descendants - Edit'!H249="","",'All Girls &amp; Descendants - Edit'!H249)</f>
        <v>Lettie</v>
      </c>
      <c r="I248">
        <f>VLOOKUP($C248,'All Girls &amp; Descendants - Edit'!$C$2:$AK$440,'All Girls &amp; Descendants - Edit'!I$1,FALSE)</f>
        <v>1991</v>
      </c>
      <c r="J248" t="str">
        <f>VLOOKUP($C248,'All Girls &amp; Descendants - Edit'!$C$2:$AK$440,'All Girls &amp; Descendants - Edit'!J$1,FALSE)</f>
        <v/>
      </c>
      <c r="K248" s="9"/>
      <c r="L248" t="str">
        <f t="shared" si="25"/>
        <v>06/08/1991</v>
      </c>
      <c r="M248" s="3">
        <f>VLOOKUP($C248,'All Girls &amp; Descendants - Edit'!$C$2:$AK$440,'All Girls &amp; Descendants - Edit'!M$1,FALSE)</f>
        <v>33456</v>
      </c>
      <c r="N248" s="3" t="str">
        <f>IF(VLOOKUP($C248,'All Girls &amp; Descendants - Edit'!$C$2:$AK$440,'All Girls &amp; Descendants - Edit'!N$1,FALSE)=""," - ",(VLOOKUP($C248,'All Girls &amp; Descendants - Edit'!$C$2:$AK$440,'All Girls &amp; Descendants - Edit'!N$1,FALSE)))</f>
        <v xml:space="preserve"> - </v>
      </c>
      <c r="O248" s="3" t="str">
        <f>IF(VLOOKUP($C248,'All Girls &amp; Descendants - Edit'!$C$2:$AK$440,'All Girls &amp; Descendants - Edit'!O$1,FALSE)="","",(VLOOKUP($C248,'All Girls &amp; Descendants - Edit'!$C$2:$AK$440,'All Girls &amp; Descendants - Edit'!O$1,FALSE)))</f>
        <v/>
      </c>
      <c r="P248" s="3" t="str">
        <f t="shared" si="26"/>
        <v/>
      </c>
      <c r="Q248" s="178" t="str">
        <f t="shared" si="27"/>
        <v>106a</v>
      </c>
      <c r="R248" s="23"/>
      <c r="S248" t="str">
        <f>VLOOKUP($C248,'All Girls &amp; Descendants - Edit'!$C$2:$AK$440,'All Girls &amp; Descendants - Edit'!S$1,FALSE)</f>
        <v>Female</v>
      </c>
      <c r="T248" s="176">
        <f t="shared" si="24"/>
        <v>7</v>
      </c>
      <c r="U248" s="176">
        <f t="shared" si="28"/>
        <v>5</v>
      </c>
      <c r="V248" s="176">
        <f t="shared" si="29"/>
        <v>5</v>
      </c>
      <c r="W248" s="177">
        <f t="shared" si="30"/>
        <v>2</v>
      </c>
      <c r="X248" s="3" t="str">
        <f>IF(VLOOKUP($C248,'All Girls &amp; Descendants - Edit'!$C$2:$AK$440,'All Girls &amp; Descendants - Edit'!X$1,FALSE)=""," - ",(VLOOKUP($C248,'All Girls &amp; Descendants - Edit'!$C$2:$AK$440,'All Girls &amp; Descendants - Edit'!X$1,FALSE)))</f>
        <v>Richard WEST</v>
      </c>
      <c r="Y248" s="3" t="str">
        <f>IF(VLOOKUP($C248,'All Girls &amp; Descendants - Edit'!$C$2:$AK$440,'All Girls &amp; Descendants - Edit'!Y$1,FALSE)=""," - ",(VLOOKUP($C248,'All Girls &amp; Descendants - Edit'!$C$2:$AK$440,'All Girls &amp; Descendants - Edit'!Y$1,FALSE)))</f>
        <v>Married Richard,  eldest son of Murray West of West Sussex, on 10/10/2020.</v>
      </c>
      <c r="Z248" s="3" t="str">
        <f>IF(VLOOKUP($C248,'All Girls &amp; Descendants - Edit'!$C$2:$AK$440,'All Girls &amp; Descendants - Edit'!Z$1,FALSE)=""," - ",(VLOOKUP($C248,'All Girls &amp; Descendants - Edit'!$C$2:$AK$440,'All Girls &amp; Descendants - Edit'!Z$1,FALSE)))</f>
        <v>Lettie baptised 24 Nov 1991 at St Dennis’s, Aswarby, Lincolnshire.</v>
      </c>
      <c r="AA248" s="101">
        <f>IF(VLOOKUP($C248,'All Girls &amp; Descendants - Edit'!$C$2:$AK$440,'All Girls &amp; Descendants - Edit'!AA$1,FALSE)=""," - ",(VLOOKUP($C248,'All Girls &amp; Descendants - Edit'!$C$2:$AK$440,'All Girls &amp; Descendants - Edit'!AA$1,FALSE)))</f>
        <v>276</v>
      </c>
      <c r="AB248" s="101">
        <f>IF(VLOOKUP($C248,'All Girls &amp; Descendants - Edit'!$C$2:$AK$440,'All Girls &amp; Descendants - Edit'!AB$1,FALSE)=""," - ",(VLOOKUP($C248,'All Girls &amp; Descendants - Edit'!$C$2:$AK$440,'All Girls &amp; Descendants - Edit'!AB$1,FALSE)))</f>
        <v>105</v>
      </c>
      <c r="AC248" s="101">
        <f>IF(VLOOKUP($C248,'All Girls &amp; Descendants - Edit'!$C$2:$AK$440,'All Girls &amp; Descendants - Edit'!AC$1,FALSE)=""," - ",(VLOOKUP($C248,'All Girls &amp; Descendants - Edit'!$C$2:$AK$440,'All Girls &amp; Descendants - Edit'!AC$1,FALSE)))</f>
        <v>2105</v>
      </c>
      <c r="AD248" s="3" t="str">
        <f>IF(VLOOKUP($C248,'All Girls &amp; Descendants - Edit'!$C$2:$AK$440,'All Girls &amp; Descendants - Edit'!AD$1,FALSE)=""," - ",(VLOOKUP($C248,'All Girls &amp; Descendants - Edit'!$C$2:$AK$440,'All Girls &amp; Descendants - Edit'!AD$1,FALSE)))</f>
        <v>106ac</v>
      </c>
      <c r="AE248" s="3" t="str">
        <f>IF(VLOOKUP($C248,'All Girls &amp; Descendants - Edit'!$C$2:$AK$440,'All Girls &amp; Descendants - Edit'!AE$1,FALSE)=""," - ",(VLOOKUP($C248,'All Girls &amp; Descendants - Edit'!$C$2:$AK$440,'All Girls &amp; Descendants - Edit'!AE$1,FALSE)))</f>
        <v>Letitia Sarah Alice BLACKETT (1991 - )</v>
      </c>
      <c r="AF248" s="3" t="str">
        <f>IF(VLOOKUP($C248,'All Girls &amp; Descendants - Edit'!$C$2:$AK$440,'All Girls &amp; Descendants - Edit'!AF$1,FALSE)=""," - ",(VLOOKUP($C248,'All Girls &amp; Descendants - Edit'!$C$2:$AK$440,'All Girls &amp; Descendants - Edit'!AF$1,FALSE)))</f>
        <v>Lettie BLACKETT (7th &amp; 106)</v>
      </c>
      <c r="AG248" s="3" t="str">
        <f>IF(VLOOKUP($C248,'All Girls &amp; Descendants - Edit'!$C$2:$AK$440,'All Girls &amp; Descendants - Edit'!AG$1,FALSE)=""," - ",(VLOOKUP($C248,'All Girls &amp; Descendants - Edit'!$C$2:$AK$440,'All Girls &amp; Descendants - Edit'!AG$1,FALSE)))</f>
        <v>Female</v>
      </c>
      <c r="AH248" s="3" t="str">
        <f>IF(VLOOKUP($C248,'All Girls &amp; Descendants - Edit'!$C$2:$AK$440,'All Girls &amp; Descendants - Edit'!AH$1,FALSE)=""," - ",(VLOOKUP($C248,'All Girls &amp; Descendants - Edit'!$C$2:$AK$440,'All Girls &amp; Descendants - Edit'!AH$1,FALSE)))</f>
        <v>7th</v>
      </c>
      <c r="AI248" s="3" t="str">
        <f>IF(VLOOKUP($C248,'All Girls &amp; Descendants - Edit'!$C$2:$AK$440,'All Girls &amp; Descendants - Edit'!AI$1,FALSE)=""," - ",(VLOOKUP($C248,'All Girls &amp; Descendants - Edit'!$C$2:$AK$440,'All Girls &amp; Descendants - Edit'!AI$1,FALSE)))</f>
        <v>Husband: Richard WEST. Married Richard,  eldest son of Murray West of West Sussex, on 10/10/2020.</v>
      </c>
      <c r="AJ248" s="3" t="str">
        <f>IF(VLOOKUP($C248,'All Girls &amp; Descendants - Edit'!$C$2:$AK$440,'All Girls &amp; Descendants - Edit'!AJ$1,FALSE)=""," - ",(VLOOKUP($C248,'All Girls &amp; Descendants - Edit'!$C$2:$AK$440,'All Girls &amp; Descendants - Edit'!AJ$1,FALSE)))</f>
        <v>Female. b. 06/08/1991 Lettie baptised 24 Nov 1991 at St Dennis’s, Aswarby, Lincolnshire.</v>
      </c>
      <c r="AK248" s="3" t="str">
        <f>IF(VLOOKUP($C248,'All Girls &amp; Descendants - Edit'!$C$2:$AK$440,'All Girls &amp; Descendants - Edit'!AK$1,FALSE)=""," - ",(VLOOKUP($C248,'All Girls &amp; Descendants - Edit'!$C$2:$AK$440,'All Girls &amp; Descendants - Edit'!AK$1,FALSE)))</f>
        <v>b. 06/08/1991</v>
      </c>
    </row>
    <row r="249" spans="1:37" ht="19">
      <c r="A249">
        <f>VLOOKUP(B249,'Loyd List 1-190 - Edit'!$P$1:$R$219,3,FALSE)</f>
        <v>77</v>
      </c>
      <c r="B249">
        <f>'All Girls &amp; Descendants - Edit'!B250</f>
        <v>106</v>
      </c>
      <c r="C249" s="98" t="str">
        <f>'All Girls &amp; Descendants - Edit'!C250</f>
        <v>106ad</v>
      </c>
      <c r="D249" s="2" t="str">
        <f>'All Girls &amp; Descendants - Edit'!D250</f>
        <v>BLACKETT</v>
      </c>
      <c r="E249" t="str">
        <f>'All Girls &amp; Descendants - Edit'!E250</f>
        <v>Annabel</v>
      </c>
      <c r="F249" t="str">
        <f>IF('All Girls &amp; Descendants - Edit'!F250="","",'All Girls &amp; Descendants - Edit'!F250)</f>
        <v>Victoria</v>
      </c>
      <c r="G249" t="str">
        <f>IF('All Girls &amp; Descendants - Edit'!G250="","",'All Girls &amp; Descendants - Edit'!G250)</f>
        <v>Louisa</v>
      </c>
      <c r="H249" t="str">
        <f>IF('All Girls &amp; Descendants - Edit'!H250="","",'All Girls &amp; Descendants - Edit'!H250)</f>
        <v/>
      </c>
      <c r="I249">
        <f>VLOOKUP($C249,'All Girls &amp; Descendants - Edit'!$C$2:$AK$440,'All Girls &amp; Descendants - Edit'!I$1,FALSE)</f>
        <v>1993</v>
      </c>
      <c r="J249" t="str">
        <f>VLOOKUP($C249,'All Girls &amp; Descendants - Edit'!$C$2:$AK$440,'All Girls &amp; Descendants - Edit'!J$1,FALSE)</f>
        <v/>
      </c>
      <c r="K249" s="9"/>
      <c r="L249" t="str">
        <f t="shared" si="25"/>
        <v>24/03/1993</v>
      </c>
      <c r="M249" s="3">
        <f>VLOOKUP($C249,'All Girls &amp; Descendants - Edit'!$C$2:$AK$440,'All Girls &amp; Descendants - Edit'!M$1,FALSE)</f>
        <v>34052</v>
      </c>
      <c r="N249" s="3" t="str">
        <f>IF(VLOOKUP($C249,'All Girls &amp; Descendants - Edit'!$C$2:$AK$440,'All Girls &amp; Descendants - Edit'!N$1,FALSE)=""," - ",(VLOOKUP($C249,'All Girls &amp; Descendants - Edit'!$C$2:$AK$440,'All Girls &amp; Descendants - Edit'!N$1,FALSE)))</f>
        <v xml:space="preserve"> - </v>
      </c>
      <c r="O249" s="3" t="str">
        <f>IF(VLOOKUP($C249,'All Girls &amp; Descendants - Edit'!$C$2:$AK$440,'All Girls &amp; Descendants - Edit'!O$1,FALSE)="","",(VLOOKUP($C249,'All Girls &amp; Descendants - Edit'!$C$2:$AK$440,'All Girls &amp; Descendants - Edit'!O$1,FALSE)))</f>
        <v/>
      </c>
      <c r="P249" s="3" t="str">
        <f t="shared" si="26"/>
        <v/>
      </c>
      <c r="Q249" s="178" t="str">
        <f t="shared" si="27"/>
        <v>106a</v>
      </c>
      <c r="R249" s="23"/>
      <c r="S249" t="str">
        <f>VLOOKUP($C249,'All Girls &amp; Descendants - Edit'!$C$2:$AK$440,'All Girls &amp; Descendants - Edit'!S$1,FALSE)</f>
        <v>Female</v>
      </c>
      <c r="T249" s="176">
        <f t="shared" si="24"/>
        <v>7</v>
      </c>
      <c r="U249" s="176">
        <f t="shared" si="28"/>
        <v>5</v>
      </c>
      <c r="V249" s="176">
        <f t="shared" si="29"/>
        <v>5</v>
      </c>
      <c r="W249" s="177">
        <f t="shared" si="30"/>
        <v>2</v>
      </c>
      <c r="X249" s="3" t="str">
        <f>IF(VLOOKUP($C249,'All Girls &amp; Descendants - Edit'!$C$2:$AK$440,'All Girls &amp; Descendants - Edit'!X$1,FALSE)=""," - ",(VLOOKUP($C249,'All Girls &amp; Descendants - Edit'!$C$2:$AK$440,'All Girls &amp; Descendants - Edit'!X$1,FALSE)))</f>
        <v xml:space="preserve"> - </v>
      </c>
      <c r="Y249" s="3" t="str">
        <f>IF(VLOOKUP($C249,'All Girls &amp; Descendants - Edit'!$C$2:$AK$440,'All Girls &amp; Descendants - Edit'!Y$1,FALSE)=""," - ",(VLOOKUP($C249,'All Girls &amp; Descendants - Edit'!$C$2:$AK$440,'All Girls &amp; Descendants - Edit'!Y$1,FALSE)))</f>
        <v xml:space="preserve"> - </v>
      </c>
      <c r="Z249" s="3" t="str">
        <f>IF(VLOOKUP($C249,'All Girls &amp; Descendants - Edit'!$C$2:$AK$440,'All Girls &amp; Descendants - Edit'!Z$1,FALSE)=""," - ",(VLOOKUP($C249,'All Girls &amp; Descendants - Edit'!$C$2:$AK$440,'All Girls &amp; Descendants - Edit'!Z$1,FALSE)))</f>
        <v>Baptised 13 Jun 1993 at St Dennis’s, Aswarby, Lincolnshire.</v>
      </c>
      <c r="AA249" s="101">
        <f>IF(VLOOKUP($C249,'All Girls &amp; Descendants - Edit'!$C$2:$AK$440,'All Girls &amp; Descendants - Edit'!AA$1,FALSE)=""," - ",(VLOOKUP($C249,'All Girls &amp; Descendants - Edit'!$C$2:$AK$440,'All Girls &amp; Descendants - Edit'!AA$1,FALSE)))</f>
        <v>277</v>
      </c>
      <c r="AB249" s="101">
        <f>IF(VLOOKUP($C249,'All Girls &amp; Descendants - Edit'!$C$2:$AK$440,'All Girls &amp; Descendants - Edit'!AB$1,FALSE)=""," - ",(VLOOKUP($C249,'All Girls &amp; Descendants - Edit'!$C$2:$AK$440,'All Girls &amp; Descendants - Edit'!AB$1,FALSE)))</f>
        <v>106</v>
      </c>
      <c r="AC249" s="101">
        <f>IF(VLOOKUP($C249,'All Girls &amp; Descendants - Edit'!$C$2:$AK$440,'All Girls &amp; Descendants - Edit'!AC$1,FALSE)=""," - ",(VLOOKUP($C249,'All Girls &amp; Descendants - Edit'!$C$2:$AK$440,'All Girls &amp; Descendants - Edit'!AC$1,FALSE)))</f>
        <v>2106</v>
      </c>
      <c r="AD249" s="3" t="str">
        <f>IF(VLOOKUP($C249,'All Girls &amp; Descendants - Edit'!$C$2:$AK$440,'All Girls &amp; Descendants - Edit'!AD$1,FALSE)=""," - ",(VLOOKUP($C249,'All Girls &amp; Descendants - Edit'!$C$2:$AK$440,'All Girls &amp; Descendants - Edit'!AD$1,FALSE)))</f>
        <v>106ad</v>
      </c>
      <c r="AE249" s="3" t="str">
        <f>IF(VLOOKUP($C249,'All Girls &amp; Descendants - Edit'!$C$2:$AK$440,'All Girls &amp; Descendants - Edit'!AE$1,FALSE)=""," - ",(VLOOKUP($C249,'All Girls &amp; Descendants - Edit'!$C$2:$AK$440,'All Girls &amp; Descendants - Edit'!AE$1,FALSE)))</f>
        <v>Annabel Victoria Louisa BLACKETT (1993 - )</v>
      </c>
      <c r="AF249" s="3" t="str">
        <f>IF(VLOOKUP($C249,'All Girls &amp; Descendants - Edit'!$C$2:$AK$440,'All Girls &amp; Descendants - Edit'!AF$1,FALSE)=""," - ",(VLOOKUP($C249,'All Girls &amp; Descendants - Edit'!$C$2:$AK$440,'All Girls &amp; Descendants - Edit'!AF$1,FALSE)))</f>
        <v>Annabel BLACKETT (7th &amp; 106)</v>
      </c>
      <c r="AG249" s="3" t="str">
        <f>IF(VLOOKUP($C249,'All Girls &amp; Descendants - Edit'!$C$2:$AK$440,'All Girls &amp; Descendants - Edit'!AG$1,FALSE)=""," - ",(VLOOKUP($C249,'All Girls &amp; Descendants - Edit'!$C$2:$AK$440,'All Girls &amp; Descendants - Edit'!AG$1,FALSE)))</f>
        <v>Female</v>
      </c>
      <c r="AH249" s="3" t="str">
        <f>IF(VLOOKUP($C249,'All Girls &amp; Descendants - Edit'!$C$2:$AK$440,'All Girls &amp; Descendants - Edit'!AH$1,FALSE)=""," - ",(VLOOKUP($C249,'All Girls &amp; Descendants - Edit'!$C$2:$AK$440,'All Girls &amp; Descendants - Edit'!AH$1,FALSE)))</f>
        <v>7th</v>
      </c>
      <c r="AI249" s="3" t="str">
        <f>IF(VLOOKUP($C249,'All Girls &amp; Descendants - Edit'!$C$2:$AK$440,'All Girls &amp; Descendants - Edit'!AI$1,FALSE)=""," - ",(VLOOKUP($C249,'All Girls &amp; Descendants - Edit'!$C$2:$AK$440,'All Girls &amp; Descendants - Edit'!AI$1,FALSE)))</f>
        <v>Unmarried</v>
      </c>
      <c r="AJ249" s="3" t="str">
        <f>IF(VLOOKUP($C249,'All Girls &amp; Descendants - Edit'!$C$2:$AK$440,'All Girls &amp; Descendants - Edit'!AJ$1,FALSE)=""," - ",(VLOOKUP($C249,'All Girls &amp; Descendants - Edit'!$C$2:$AK$440,'All Girls &amp; Descendants - Edit'!AJ$1,FALSE)))</f>
        <v>Female. b. 24/03/1993 Baptised 13 Jun 1993 at St Dennis’s, Aswarby, Lincolnshire.</v>
      </c>
      <c r="AK249" s="3" t="str">
        <f>IF(VLOOKUP($C249,'All Girls &amp; Descendants - Edit'!$C$2:$AK$440,'All Girls &amp; Descendants - Edit'!AK$1,FALSE)=""," - ",(VLOOKUP($C249,'All Girls &amp; Descendants - Edit'!$C$2:$AK$440,'All Girls &amp; Descendants - Edit'!AK$1,FALSE)))</f>
        <v>b. 24/03/1993</v>
      </c>
    </row>
    <row r="250" spans="1:37" ht="19">
      <c r="A250">
        <f>VLOOKUP(B250,'Loyd List 1-190 - Edit'!$P$1:$R$219,3,FALSE)</f>
        <v>77</v>
      </c>
      <c r="B250">
        <f>'All Girls &amp; Descendants - Edit'!B251</f>
        <v>106</v>
      </c>
      <c r="C250" s="98" t="str">
        <f>'All Girls &amp; Descendants - Edit'!C251</f>
        <v>106ba</v>
      </c>
      <c r="D250" s="2" t="str">
        <f>'All Girls &amp; Descendants - Edit'!D251</f>
        <v>WINN</v>
      </c>
      <c r="E250" t="str">
        <f>'All Girls &amp; Descendants - Edit'!E251</f>
        <v>The Hon Rowland</v>
      </c>
      <c r="F250" t="str">
        <f>IF('All Girls &amp; Descendants - Edit'!F251="","",'All Girls &amp; Descendants - Edit'!F251)</f>
        <v>Charles</v>
      </c>
      <c r="G250" t="str">
        <f>IF('All Girls &amp; Descendants - Edit'!G251="","",'All Girls &amp; Descendants - Edit'!G251)</f>
        <v>Sebastian Henry</v>
      </c>
      <c r="H250" t="str">
        <f>IF('All Girls &amp; Descendants - Edit'!H251="","",'All Girls &amp; Descendants - Edit'!H251)</f>
        <v/>
      </c>
      <c r="I250">
        <f>VLOOKUP($C250,'All Girls &amp; Descendants - Edit'!$C$2:$AK$440,'All Girls &amp; Descendants - Edit'!I$1,FALSE)</f>
        <v>1986</v>
      </c>
      <c r="J250" t="str">
        <f>VLOOKUP($C250,'All Girls &amp; Descendants - Edit'!$C$2:$AK$440,'All Girls &amp; Descendants - Edit'!J$1,FALSE)</f>
        <v/>
      </c>
      <c r="K250" s="9"/>
      <c r="L250" t="str">
        <f t="shared" si="25"/>
        <v>15/04/1986</v>
      </c>
      <c r="M250" s="3">
        <f>VLOOKUP($C250,'All Girls &amp; Descendants - Edit'!$C$2:$AK$440,'All Girls &amp; Descendants - Edit'!M$1,FALSE)</f>
        <v>31517</v>
      </c>
      <c r="N250" s="3" t="str">
        <f>IF(VLOOKUP($C250,'All Girls &amp; Descendants - Edit'!$C$2:$AK$440,'All Girls &amp; Descendants - Edit'!N$1,FALSE)=""," - ",(VLOOKUP($C250,'All Girls &amp; Descendants - Edit'!$C$2:$AK$440,'All Girls &amp; Descendants - Edit'!N$1,FALSE)))</f>
        <v xml:space="preserve"> - </v>
      </c>
      <c r="O250" s="3" t="str">
        <f>IF(VLOOKUP($C250,'All Girls &amp; Descendants - Edit'!$C$2:$AK$440,'All Girls &amp; Descendants - Edit'!O$1,FALSE)="","",(VLOOKUP($C250,'All Girls &amp; Descendants - Edit'!$C$2:$AK$440,'All Girls &amp; Descendants - Edit'!O$1,FALSE)))</f>
        <v/>
      </c>
      <c r="P250" s="3" t="str">
        <f t="shared" si="26"/>
        <v/>
      </c>
      <c r="Q250" s="178" t="str">
        <f t="shared" si="27"/>
        <v>106b</v>
      </c>
      <c r="R250" s="23"/>
      <c r="S250" t="str">
        <f>VLOOKUP($C250,'All Girls &amp; Descendants - Edit'!$C$2:$AK$440,'All Girls &amp; Descendants - Edit'!S$1,FALSE)</f>
        <v>Male</v>
      </c>
      <c r="T250" s="176">
        <f t="shared" si="24"/>
        <v>7</v>
      </c>
      <c r="U250" s="176">
        <f t="shared" si="28"/>
        <v>5</v>
      </c>
      <c r="V250" s="176">
        <f t="shared" si="29"/>
        <v>5</v>
      </c>
      <c r="W250" s="177">
        <f t="shared" si="30"/>
        <v>2</v>
      </c>
      <c r="X250" s="3" t="str">
        <f>IF(VLOOKUP($C250,'All Girls &amp; Descendants - Edit'!$C$2:$AK$440,'All Girls &amp; Descendants - Edit'!X$1,FALSE)=""," - ",(VLOOKUP($C250,'All Girls &amp; Descendants - Edit'!$C$2:$AK$440,'All Girls &amp; Descendants - Edit'!X$1,FALSE)))</f>
        <v xml:space="preserve"> - </v>
      </c>
      <c r="Y250" s="3" t="str">
        <f>IF(VLOOKUP($C250,'All Girls &amp; Descendants - Edit'!$C$2:$AK$440,'All Girls &amp; Descendants - Edit'!Y$1,FALSE)=""," - ",(VLOOKUP($C250,'All Girls &amp; Descendants - Edit'!$C$2:$AK$440,'All Girls &amp; Descendants - Edit'!Y$1,FALSE)))</f>
        <v xml:space="preserve"> - </v>
      </c>
      <c r="Z250" s="3" t="str">
        <f>IF(VLOOKUP($C250,'All Girls &amp; Descendants - Edit'!$C$2:$AK$440,'All Girls &amp; Descendants - Edit'!Z$1,FALSE)=""," - ",(VLOOKUP($C250,'All Girls &amp; Descendants - Edit'!$C$2:$AK$440,'All Girls &amp; Descendants - Edit'!Z$1,FALSE)))</f>
        <v>The Hon Rowland Charles Sebastian Henry (Rowley) WINN. Born at Harrogate, Yorkshire. Baptised 23 Nov 1986 at St Michael and Our Lady, Wragby, West Yorkshire by the Bishop of Wakefield.</v>
      </c>
      <c r="AA250" s="101">
        <f>IF(VLOOKUP($C250,'All Girls &amp; Descendants - Edit'!$C$2:$AK$440,'All Girls &amp; Descendants - Edit'!AA$1,FALSE)=""," - ",(VLOOKUP($C250,'All Girls &amp; Descendants - Edit'!$C$2:$AK$440,'All Girls &amp; Descendants - Edit'!AA$1,FALSE)))</f>
        <v>279</v>
      </c>
      <c r="AB250" s="101">
        <f>IF(VLOOKUP($C250,'All Girls &amp; Descendants - Edit'!$C$2:$AK$440,'All Girls &amp; Descendants - Edit'!AB$1,FALSE)=""," - ",(VLOOKUP($C250,'All Girls &amp; Descendants - Edit'!$C$2:$AK$440,'All Girls &amp; Descendants - Edit'!AB$1,FALSE)))</f>
        <v>107</v>
      </c>
      <c r="AC250" s="101">
        <f>IF(VLOOKUP($C250,'All Girls &amp; Descendants - Edit'!$C$2:$AK$440,'All Girls &amp; Descendants - Edit'!AC$1,FALSE)=""," - ",(VLOOKUP($C250,'All Girls &amp; Descendants - Edit'!$C$2:$AK$440,'All Girls &amp; Descendants - Edit'!AC$1,FALSE)))</f>
        <v>2107</v>
      </c>
      <c r="AD250" s="3" t="str">
        <f>IF(VLOOKUP($C250,'All Girls &amp; Descendants - Edit'!$C$2:$AK$440,'All Girls &amp; Descendants - Edit'!AD$1,FALSE)=""," - ",(VLOOKUP($C250,'All Girls &amp; Descendants - Edit'!$C$2:$AK$440,'All Girls &amp; Descendants - Edit'!AD$1,FALSE)))</f>
        <v>106ba</v>
      </c>
      <c r="AE250" s="3" t="str">
        <f>IF(VLOOKUP($C250,'All Girls &amp; Descendants - Edit'!$C$2:$AK$440,'All Girls &amp; Descendants - Edit'!AE$1,FALSE)=""," - ",(VLOOKUP($C250,'All Girls &amp; Descendants - Edit'!$C$2:$AK$440,'All Girls &amp; Descendants - Edit'!AE$1,FALSE)))</f>
        <v>The Hon Rowland Charles Sebastian Henry WINN (1986 - )</v>
      </c>
      <c r="AF250" s="3" t="str">
        <f>IF(VLOOKUP($C250,'All Girls &amp; Descendants - Edit'!$C$2:$AK$440,'All Girls &amp; Descendants - Edit'!AF$1,FALSE)=""," - ",(VLOOKUP($C250,'All Girls &amp; Descendants - Edit'!$C$2:$AK$440,'All Girls &amp; Descendants - Edit'!AF$1,FALSE)))</f>
        <v>The Hon Rowland WINN (7th &amp; 106)</v>
      </c>
      <c r="AG250" s="3" t="str">
        <f>IF(VLOOKUP($C250,'All Girls &amp; Descendants - Edit'!$C$2:$AK$440,'All Girls &amp; Descendants - Edit'!AG$1,FALSE)=""," - ",(VLOOKUP($C250,'All Girls &amp; Descendants - Edit'!$C$2:$AK$440,'All Girls &amp; Descendants - Edit'!AG$1,FALSE)))</f>
        <v>Male</v>
      </c>
      <c r="AH250" s="3" t="str">
        <f>IF(VLOOKUP($C250,'All Girls &amp; Descendants - Edit'!$C$2:$AK$440,'All Girls &amp; Descendants - Edit'!AH$1,FALSE)=""," - ",(VLOOKUP($C250,'All Girls &amp; Descendants - Edit'!$C$2:$AK$440,'All Girls &amp; Descendants - Edit'!AH$1,FALSE)))</f>
        <v>7th</v>
      </c>
      <c r="AI250" s="3" t="str">
        <f>IF(VLOOKUP($C250,'All Girls &amp; Descendants - Edit'!$C$2:$AK$440,'All Girls &amp; Descendants - Edit'!AI$1,FALSE)=""," - ",(VLOOKUP($C250,'All Girls &amp; Descendants - Edit'!$C$2:$AK$440,'All Girls &amp; Descendants - Edit'!AI$1,FALSE)))</f>
        <v>Unmarried</v>
      </c>
      <c r="AJ250" s="3" t="str">
        <f>IF(VLOOKUP($C250,'All Girls &amp; Descendants - Edit'!$C$2:$AK$440,'All Girls &amp; Descendants - Edit'!AJ$1,FALSE)=""," - ",(VLOOKUP($C250,'All Girls &amp; Descendants - Edit'!$C$2:$AK$440,'All Girls &amp; Descendants - Edit'!AJ$1,FALSE)))</f>
        <v>Male. b. 15/04/1986 The Hon Rowland Charles Sebastian Henry (Rowley) WINN. Born at Harrogate, Yorkshire. Baptised 23 Nov 1986 at St Michael and Our Lady, Wragby, West Yorkshire by the Bishop of Wakefield.</v>
      </c>
      <c r="AK250" s="3" t="str">
        <f>IF(VLOOKUP($C250,'All Girls &amp; Descendants - Edit'!$C$2:$AK$440,'All Girls &amp; Descendants - Edit'!AK$1,FALSE)=""," - ",(VLOOKUP($C250,'All Girls &amp; Descendants - Edit'!$C$2:$AK$440,'All Girls &amp; Descendants - Edit'!AK$1,FALSE)))</f>
        <v>b. 15/04/1986</v>
      </c>
    </row>
    <row r="251" spans="1:37" ht="19">
      <c r="A251">
        <f>VLOOKUP(B251,'Loyd List 1-190 - Edit'!$P$1:$R$219,3,FALSE)</f>
        <v>77</v>
      </c>
      <c r="B251">
        <f>'All Girls &amp; Descendants - Edit'!B252</f>
        <v>106</v>
      </c>
      <c r="C251" s="98" t="str">
        <f>'All Girls &amp; Descendants - Edit'!C252</f>
        <v>106bb</v>
      </c>
      <c r="D251" s="2" t="str">
        <f>'All Girls &amp; Descendants - Edit'!D252</f>
        <v>WINN</v>
      </c>
      <c r="E251" t="str">
        <f>'All Girls &amp; Descendants - Edit'!E252</f>
        <v>The Hon Henrietta</v>
      </c>
      <c r="F251" t="str">
        <f>IF('All Girls &amp; Descendants - Edit'!F252="","",'All Girls &amp; Descendants - Edit'!F252)</f>
        <v>Sophia</v>
      </c>
      <c r="G251" t="str">
        <f>IF('All Girls &amp; Descendants - Edit'!G252="","",'All Girls &amp; Descendants - Edit'!G252)</f>
        <v>Alexandra</v>
      </c>
      <c r="H251" t="str">
        <f>IF('All Girls &amp; Descendants - Edit'!H252="","",'All Girls &amp; Descendants - Edit'!H252)</f>
        <v/>
      </c>
      <c r="I251">
        <f>VLOOKUP($C251,'All Girls &amp; Descendants - Edit'!$C$2:$AK$440,'All Girls &amp; Descendants - Edit'!I$1,FALSE)</f>
        <v>1993</v>
      </c>
      <c r="J251" t="str">
        <f>VLOOKUP($C251,'All Girls &amp; Descendants - Edit'!$C$2:$AK$440,'All Girls &amp; Descendants - Edit'!J$1,FALSE)</f>
        <v/>
      </c>
      <c r="K251" s="9"/>
      <c r="L251" t="str">
        <f t="shared" si="25"/>
        <v>22/04/1993</v>
      </c>
      <c r="M251" s="3">
        <f>VLOOKUP($C251,'All Girls &amp; Descendants - Edit'!$C$2:$AK$440,'All Girls &amp; Descendants - Edit'!M$1,FALSE)</f>
        <v>34081</v>
      </c>
      <c r="N251" s="3" t="str">
        <f>IF(VLOOKUP($C251,'All Girls &amp; Descendants - Edit'!$C$2:$AK$440,'All Girls &amp; Descendants - Edit'!N$1,FALSE)=""," - ",(VLOOKUP($C251,'All Girls &amp; Descendants - Edit'!$C$2:$AK$440,'All Girls &amp; Descendants - Edit'!N$1,FALSE)))</f>
        <v xml:space="preserve"> - </v>
      </c>
      <c r="O251" s="3" t="str">
        <f>IF(VLOOKUP($C251,'All Girls &amp; Descendants - Edit'!$C$2:$AK$440,'All Girls &amp; Descendants - Edit'!O$1,FALSE)="","",(VLOOKUP($C251,'All Girls &amp; Descendants - Edit'!$C$2:$AK$440,'All Girls &amp; Descendants - Edit'!O$1,FALSE)))</f>
        <v/>
      </c>
      <c r="P251" s="3" t="str">
        <f t="shared" si="26"/>
        <v/>
      </c>
      <c r="Q251" s="178" t="str">
        <f t="shared" si="27"/>
        <v>106b</v>
      </c>
      <c r="R251" s="23"/>
      <c r="S251" t="str">
        <f>VLOOKUP($C251,'All Girls &amp; Descendants - Edit'!$C$2:$AK$440,'All Girls &amp; Descendants - Edit'!S$1,FALSE)</f>
        <v>Female</v>
      </c>
      <c r="T251" s="176">
        <f t="shared" si="24"/>
        <v>7</v>
      </c>
      <c r="U251" s="176">
        <f t="shared" si="28"/>
        <v>5</v>
      </c>
      <c r="V251" s="176">
        <f t="shared" si="29"/>
        <v>5</v>
      </c>
      <c r="W251" s="177">
        <f t="shared" si="30"/>
        <v>2</v>
      </c>
      <c r="X251" s="3" t="str">
        <f>IF(VLOOKUP($C251,'All Girls &amp; Descendants - Edit'!$C$2:$AK$440,'All Girls &amp; Descendants - Edit'!X$1,FALSE)=""," - ",(VLOOKUP($C251,'All Girls &amp; Descendants - Edit'!$C$2:$AK$440,'All Girls &amp; Descendants - Edit'!X$1,FALSE)))</f>
        <v xml:space="preserve"> - </v>
      </c>
      <c r="Y251" s="3" t="str">
        <f>IF(VLOOKUP($C251,'All Girls &amp; Descendants - Edit'!$C$2:$AK$440,'All Girls &amp; Descendants - Edit'!Y$1,FALSE)=""," - ",(VLOOKUP($C251,'All Girls &amp; Descendants - Edit'!$C$2:$AK$440,'All Girls &amp; Descendants - Edit'!Y$1,FALSE)))</f>
        <v xml:space="preserve"> - </v>
      </c>
      <c r="Z251" s="3" t="str">
        <f>IF(VLOOKUP($C251,'All Girls &amp; Descendants - Edit'!$C$2:$AK$440,'All Girls &amp; Descendants - Edit'!Z$1,FALSE)=""," - ",(VLOOKUP($C251,'All Girls &amp; Descendants - Edit'!$C$2:$AK$440,'All Girls &amp; Descendants - Edit'!Z$1,FALSE)))</f>
        <v>The Hon Henrietta Sophia Alexandra WINN baptised 19 Dec 1993 at St Michael and Our Lady, Wragby, West Yorkshire by the Bishop of Wakefield.</v>
      </c>
      <c r="AA251" s="101">
        <f>IF(VLOOKUP($C251,'All Girls &amp; Descendants - Edit'!$C$2:$AK$440,'All Girls &amp; Descendants - Edit'!AA$1,FALSE)=""," - ",(VLOOKUP($C251,'All Girls &amp; Descendants - Edit'!$C$2:$AK$440,'All Girls &amp; Descendants - Edit'!AA$1,FALSE)))</f>
        <v>280</v>
      </c>
      <c r="AB251" s="101">
        <f>IF(VLOOKUP($C251,'All Girls &amp; Descendants - Edit'!$C$2:$AK$440,'All Girls &amp; Descendants - Edit'!AB$1,FALSE)=""," - ",(VLOOKUP($C251,'All Girls &amp; Descendants - Edit'!$C$2:$AK$440,'All Girls &amp; Descendants - Edit'!AB$1,FALSE)))</f>
        <v>108</v>
      </c>
      <c r="AC251" s="101">
        <f>IF(VLOOKUP($C251,'All Girls &amp; Descendants - Edit'!$C$2:$AK$440,'All Girls &amp; Descendants - Edit'!AC$1,FALSE)=""," - ",(VLOOKUP($C251,'All Girls &amp; Descendants - Edit'!$C$2:$AK$440,'All Girls &amp; Descendants - Edit'!AC$1,FALSE)))</f>
        <v>2108</v>
      </c>
      <c r="AD251" s="3" t="str">
        <f>IF(VLOOKUP($C251,'All Girls &amp; Descendants - Edit'!$C$2:$AK$440,'All Girls &amp; Descendants - Edit'!AD$1,FALSE)=""," - ",(VLOOKUP($C251,'All Girls &amp; Descendants - Edit'!$C$2:$AK$440,'All Girls &amp; Descendants - Edit'!AD$1,FALSE)))</f>
        <v>106bb</v>
      </c>
      <c r="AE251" s="3" t="str">
        <f>IF(VLOOKUP($C251,'All Girls &amp; Descendants - Edit'!$C$2:$AK$440,'All Girls &amp; Descendants - Edit'!AE$1,FALSE)=""," - ",(VLOOKUP($C251,'All Girls &amp; Descendants - Edit'!$C$2:$AK$440,'All Girls &amp; Descendants - Edit'!AE$1,FALSE)))</f>
        <v>The Hon Henrietta Sophia Alexandra WINN (1993 - )</v>
      </c>
      <c r="AF251" s="3" t="str">
        <f>IF(VLOOKUP($C251,'All Girls &amp; Descendants - Edit'!$C$2:$AK$440,'All Girls &amp; Descendants - Edit'!AF$1,FALSE)=""," - ",(VLOOKUP($C251,'All Girls &amp; Descendants - Edit'!$C$2:$AK$440,'All Girls &amp; Descendants - Edit'!AF$1,FALSE)))</f>
        <v>The Hon Henrietta WINN (7th &amp; 106)</v>
      </c>
      <c r="AG251" s="3" t="str">
        <f>IF(VLOOKUP($C251,'All Girls &amp; Descendants - Edit'!$C$2:$AK$440,'All Girls &amp; Descendants - Edit'!AG$1,FALSE)=""," - ",(VLOOKUP($C251,'All Girls &amp; Descendants - Edit'!$C$2:$AK$440,'All Girls &amp; Descendants - Edit'!AG$1,FALSE)))</f>
        <v>Female</v>
      </c>
      <c r="AH251" s="3" t="str">
        <f>IF(VLOOKUP($C251,'All Girls &amp; Descendants - Edit'!$C$2:$AK$440,'All Girls &amp; Descendants - Edit'!AH$1,FALSE)=""," - ",(VLOOKUP($C251,'All Girls &amp; Descendants - Edit'!$C$2:$AK$440,'All Girls &amp; Descendants - Edit'!AH$1,FALSE)))</f>
        <v>7th</v>
      </c>
      <c r="AI251" s="3" t="str">
        <f>IF(VLOOKUP($C251,'All Girls &amp; Descendants - Edit'!$C$2:$AK$440,'All Girls &amp; Descendants - Edit'!AI$1,FALSE)=""," - ",(VLOOKUP($C251,'All Girls &amp; Descendants - Edit'!$C$2:$AK$440,'All Girls &amp; Descendants - Edit'!AI$1,FALSE)))</f>
        <v>Unmarried</v>
      </c>
      <c r="AJ251" s="3" t="str">
        <f>IF(VLOOKUP($C251,'All Girls &amp; Descendants - Edit'!$C$2:$AK$440,'All Girls &amp; Descendants - Edit'!AJ$1,FALSE)=""," - ",(VLOOKUP($C251,'All Girls &amp; Descendants - Edit'!$C$2:$AK$440,'All Girls &amp; Descendants - Edit'!AJ$1,FALSE)))</f>
        <v>Female. b. 22/04/1993 The Hon Henrietta Sophia Alexandra WINN baptised 19 Dec 1993 at St Michael and Our Lady, Wragby, West Yorkshire by the Bishop of Wakefield.</v>
      </c>
      <c r="AK251" s="3" t="str">
        <f>IF(VLOOKUP($C251,'All Girls &amp; Descendants - Edit'!$C$2:$AK$440,'All Girls &amp; Descendants - Edit'!AK$1,FALSE)=""," - ",(VLOOKUP($C251,'All Girls &amp; Descendants - Edit'!$C$2:$AK$440,'All Girls &amp; Descendants - Edit'!AK$1,FALSE)))</f>
        <v>b. 22/04/1993</v>
      </c>
    </row>
    <row r="252" spans="1:37" ht="19">
      <c r="A252">
        <f>VLOOKUP(B252,'Loyd List 1-190 - Edit'!$P$1:$R$219,3,FALSE)</f>
        <v>76</v>
      </c>
      <c r="B252">
        <f>'All Girls &amp; Descendants - Edit'!B253</f>
        <v>107</v>
      </c>
      <c r="C252" s="98" t="str">
        <f>'All Girls &amp; Descendants - Edit'!C253</f>
        <v>107aa</v>
      </c>
      <c r="D252" s="2" t="str">
        <f>'All Girls &amp; Descendants - Edit'!D253</f>
        <v>RUSSELL</v>
      </c>
      <c r="E252" t="str">
        <f>'All Girls &amp; Descendants - Edit'!E253</f>
        <v>Edward</v>
      </c>
      <c r="F252" t="str">
        <f>IF('All Girls &amp; Descendants - Edit'!F253="","",'All Girls &amp; Descendants - Edit'!F253)</f>
        <v>Allen</v>
      </c>
      <c r="G252" t="str">
        <f>IF('All Girls &amp; Descendants - Edit'!G253="","",'All Girls &amp; Descendants - Edit'!G253)</f>
        <v/>
      </c>
      <c r="H252" t="str">
        <f>IF('All Girls &amp; Descendants - Edit'!H253="","",'All Girls &amp; Descendants - Edit'!H253)</f>
        <v/>
      </c>
      <c r="I252">
        <f>VLOOKUP($C252,'All Girls &amp; Descendants - Edit'!$C$2:$AK$440,'All Girls &amp; Descendants - Edit'!I$1,FALSE)</f>
        <v>1976</v>
      </c>
      <c r="J252" t="str">
        <f>VLOOKUP($C252,'All Girls &amp; Descendants - Edit'!$C$2:$AK$440,'All Girls &amp; Descendants - Edit'!J$1,FALSE)</f>
        <v/>
      </c>
      <c r="K252" s="9"/>
      <c r="L252" t="str">
        <f t="shared" si="25"/>
        <v>09/09/1976</v>
      </c>
      <c r="M252" s="3">
        <f>VLOOKUP($C252,'All Girls &amp; Descendants - Edit'!$C$2:$AK$440,'All Girls &amp; Descendants - Edit'!M$1,FALSE)</f>
        <v>28012</v>
      </c>
      <c r="N252" s="3" t="str">
        <f>IF(VLOOKUP($C252,'All Girls &amp; Descendants - Edit'!$C$2:$AK$440,'All Girls &amp; Descendants - Edit'!N$1,FALSE)=""," - ",(VLOOKUP($C252,'All Girls &amp; Descendants - Edit'!$C$2:$AK$440,'All Girls &amp; Descendants - Edit'!N$1,FALSE)))</f>
        <v xml:space="preserve"> - </v>
      </c>
      <c r="O252" s="3" t="str">
        <f>IF(VLOOKUP($C252,'All Girls &amp; Descendants - Edit'!$C$2:$AK$440,'All Girls &amp; Descendants - Edit'!O$1,FALSE)="","",(VLOOKUP($C252,'All Girls &amp; Descendants - Edit'!$C$2:$AK$440,'All Girls &amp; Descendants - Edit'!O$1,FALSE)))</f>
        <v/>
      </c>
      <c r="P252" s="3" t="str">
        <f t="shared" si="26"/>
        <v/>
      </c>
      <c r="Q252" s="178" t="str">
        <f t="shared" si="27"/>
        <v>107a</v>
      </c>
      <c r="R252" s="23"/>
      <c r="S252" t="str">
        <f>VLOOKUP($C252,'All Girls &amp; Descendants - Edit'!$C$2:$AK$440,'All Girls &amp; Descendants - Edit'!S$1,FALSE)</f>
        <v>Male</v>
      </c>
      <c r="T252" s="176">
        <f t="shared" si="24"/>
        <v>7</v>
      </c>
      <c r="U252" s="176">
        <f t="shared" si="28"/>
        <v>5</v>
      </c>
      <c r="V252" s="176">
        <f t="shared" si="29"/>
        <v>5</v>
      </c>
      <c r="W252" s="177">
        <f t="shared" si="30"/>
        <v>2</v>
      </c>
      <c r="X252" s="3" t="str">
        <f>IF(VLOOKUP($C252,'All Girls &amp; Descendants - Edit'!$C$2:$AK$440,'All Girls &amp; Descendants - Edit'!X$1,FALSE)=""," - ",(VLOOKUP($C252,'All Girls &amp; Descendants - Edit'!$C$2:$AK$440,'All Girls &amp; Descendants - Edit'!X$1,FALSE)))</f>
        <v xml:space="preserve"> - </v>
      </c>
      <c r="Y252" s="3" t="str">
        <f>IF(VLOOKUP($C252,'All Girls &amp; Descendants - Edit'!$C$2:$AK$440,'All Girls &amp; Descendants - Edit'!Y$1,FALSE)=""," - ",(VLOOKUP($C252,'All Girls &amp; Descendants - Edit'!$C$2:$AK$440,'All Girls &amp; Descendants - Edit'!Y$1,FALSE)))</f>
        <v xml:space="preserve"> - </v>
      </c>
      <c r="Z252" s="3" t="str">
        <f>IF(VLOOKUP($C252,'All Girls &amp; Descendants - Edit'!$C$2:$AK$440,'All Girls &amp; Descendants - Edit'!Z$1,FALSE)=""," - ",(VLOOKUP($C252,'All Girls &amp; Descendants - Edit'!$C$2:$AK$440,'All Girls &amp; Descendants - Edit'!Z$1,FALSE)))</f>
        <v>Issue: (a) Edward Allen RUSSELL</v>
      </c>
      <c r="AA252" s="101">
        <f>IF(VLOOKUP($C252,'All Girls &amp; Descendants - Edit'!$C$2:$AK$440,'All Girls &amp; Descendants - Edit'!AA$1,FALSE)=""," - ",(VLOOKUP($C252,'All Girls &amp; Descendants - Edit'!$C$2:$AK$440,'All Girls &amp; Descendants - Edit'!AA$1,FALSE)))</f>
        <v>282</v>
      </c>
      <c r="AB252" s="101">
        <f>IF(VLOOKUP($C252,'All Girls &amp; Descendants - Edit'!$C$2:$AK$440,'All Girls &amp; Descendants - Edit'!AB$1,FALSE)=""," - ",(VLOOKUP($C252,'All Girls &amp; Descendants - Edit'!$C$2:$AK$440,'All Girls &amp; Descendants - Edit'!AB$1,FALSE)))</f>
        <v>109</v>
      </c>
      <c r="AC252" s="101">
        <f>IF(VLOOKUP($C252,'All Girls &amp; Descendants - Edit'!$C$2:$AK$440,'All Girls &amp; Descendants - Edit'!AC$1,FALSE)=""," - ",(VLOOKUP($C252,'All Girls &amp; Descendants - Edit'!$C$2:$AK$440,'All Girls &amp; Descendants - Edit'!AC$1,FALSE)))</f>
        <v>2109</v>
      </c>
      <c r="AD252" s="3" t="str">
        <f>IF(VLOOKUP($C252,'All Girls &amp; Descendants - Edit'!$C$2:$AK$440,'All Girls &amp; Descendants - Edit'!AD$1,FALSE)=""," - ",(VLOOKUP($C252,'All Girls &amp; Descendants - Edit'!$C$2:$AK$440,'All Girls &amp; Descendants - Edit'!AD$1,FALSE)))</f>
        <v>107aa</v>
      </c>
      <c r="AE252" s="3" t="str">
        <f>IF(VLOOKUP($C252,'All Girls &amp; Descendants - Edit'!$C$2:$AK$440,'All Girls &amp; Descendants - Edit'!AE$1,FALSE)=""," - ",(VLOOKUP($C252,'All Girls &amp; Descendants - Edit'!$C$2:$AK$440,'All Girls &amp; Descendants - Edit'!AE$1,FALSE)))</f>
        <v>Edward Allen  RUSSELL (1976 - )</v>
      </c>
      <c r="AF252" s="3" t="str">
        <f>IF(VLOOKUP($C252,'All Girls &amp; Descendants - Edit'!$C$2:$AK$440,'All Girls &amp; Descendants - Edit'!AF$1,FALSE)=""," - ",(VLOOKUP($C252,'All Girls &amp; Descendants - Edit'!$C$2:$AK$440,'All Girls &amp; Descendants - Edit'!AF$1,FALSE)))</f>
        <v>Edward RUSSELL (7th &amp; 107)</v>
      </c>
      <c r="AG252" s="3" t="str">
        <f>IF(VLOOKUP($C252,'All Girls &amp; Descendants - Edit'!$C$2:$AK$440,'All Girls &amp; Descendants - Edit'!AG$1,FALSE)=""," - ",(VLOOKUP($C252,'All Girls &amp; Descendants - Edit'!$C$2:$AK$440,'All Girls &amp; Descendants - Edit'!AG$1,FALSE)))</f>
        <v>Male</v>
      </c>
      <c r="AH252" s="3" t="str">
        <f>IF(VLOOKUP($C252,'All Girls &amp; Descendants - Edit'!$C$2:$AK$440,'All Girls &amp; Descendants - Edit'!AH$1,FALSE)=""," - ",(VLOOKUP($C252,'All Girls &amp; Descendants - Edit'!$C$2:$AK$440,'All Girls &amp; Descendants - Edit'!AH$1,FALSE)))</f>
        <v>7th</v>
      </c>
      <c r="AI252" s="3" t="str">
        <f>IF(VLOOKUP($C252,'All Girls &amp; Descendants - Edit'!$C$2:$AK$440,'All Girls &amp; Descendants - Edit'!AI$1,FALSE)=""," - ",(VLOOKUP($C252,'All Girls &amp; Descendants - Edit'!$C$2:$AK$440,'All Girls &amp; Descendants - Edit'!AI$1,FALSE)))</f>
        <v>Unmarried</v>
      </c>
      <c r="AJ252" s="3" t="str">
        <f>IF(VLOOKUP($C252,'All Girls &amp; Descendants - Edit'!$C$2:$AK$440,'All Girls &amp; Descendants - Edit'!AJ$1,FALSE)=""," - ",(VLOOKUP($C252,'All Girls &amp; Descendants - Edit'!$C$2:$AK$440,'All Girls &amp; Descendants - Edit'!AJ$1,FALSE)))</f>
        <v>Male. b. 09/09/1976 Issue: (a) Edward Allen RUSSELL</v>
      </c>
      <c r="AK252" s="3" t="str">
        <f>IF(VLOOKUP($C252,'All Girls &amp; Descendants - Edit'!$C$2:$AK$440,'All Girls &amp; Descendants - Edit'!AK$1,FALSE)=""," - ",(VLOOKUP($C252,'All Girls &amp; Descendants - Edit'!$C$2:$AK$440,'All Girls &amp; Descendants - Edit'!AK$1,FALSE)))</f>
        <v>b. 09/09/1976</v>
      </c>
    </row>
    <row r="253" spans="1:37" ht="19">
      <c r="A253">
        <f>VLOOKUP(B253,'Loyd List 1-190 - Edit'!$P$1:$R$219,3,FALSE)</f>
        <v>76</v>
      </c>
      <c r="B253">
        <f>'All Girls &amp; Descendants - Edit'!B254</f>
        <v>107</v>
      </c>
      <c r="C253" s="98" t="str">
        <f>'All Girls &amp; Descendants - Edit'!C254</f>
        <v>107ab</v>
      </c>
      <c r="D253" s="2" t="str">
        <f>'All Girls &amp; Descendants - Edit'!D254</f>
        <v>AMY</v>
      </c>
      <c r="E253" t="str">
        <f>'All Girls &amp; Descendants - Edit'!E254</f>
        <v>Mathew</v>
      </c>
      <c r="F253" t="str">
        <f>IF('All Girls &amp; Descendants - Edit'!F254="","",'All Girls &amp; Descendants - Edit'!F254)</f>
        <v>Howard</v>
      </c>
      <c r="G253" t="str">
        <f>IF('All Girls &amp; Descendants - Edit'!G254="","",'All Girls &amp; Descendants - Edit'!G254)</f>
        <v/>
      </c>
      <c r="H253" t="str">
        <f>IF('All Girls &amp; Descendants - Edit'!H254="","",'All Girls &amp; Descendants - Edit'!H254)</f>
        <v/>
      </c>
      <c r="I253">
        <f>VLOOKUP($C253,'All Girls &amp; Descendants - Edit'!$C$2:$AK$440,'All Girls &amp; Descendants - Edit'!I$1,FALSE)</f>
        <v>1981</v>
      </c>
      <c r="J253" t="str">
        <f>VLOOKUP($C253,'All Girls &amp; Descendants - Edit'!$C$2:$AK$440,'All Girls &amp; Descendants - Edit'!J$1,FALSE)</f>
        <v/>
      </c>
      <c r="K253" s="9"/>
      <c r="L253" t="str">
        <f t="shared" si="25"/>
        <v>06/06/1981</v>
      </c>
      <c r="M253" s="3">
        <f>VLOOKUP($C253,'All Girls &amp; Descendants - Edit'!$C$2:$AK$440,'All Girls &amp; Descendants - Edit'!M$1,FALSE)</f>
        <v>29743</v>
      </c>
      <c r="N253" s="3" t="str">
        <f>IF(VLOOKUP($C253,'All Girls &amp; Descendants - Edit'!$C$2:$AK$440,'All Girls &amp; Descendants - Edit'!N$1,FALSE)=""," - ",(VLOOKUP($C253,'All Girls &amp; Descendants - Edit'!$C$2:$AK$440,'All Girls &amp; Descendants - Edit'!N$1,FALSE)))</f>
        <v xml:space="preserve"> - </v>
      </c>
      <c r="O253" s="3" t="str">
        <f>IF(VLOOKUP($C253,'All Girls &amp; Descendants - Edit'!$C$2:$AK$440,'All Girls &amp; Descendants - Edit'!O$1,FALSE)="","",(VLOOKUP($C253,'All Girls &amp; Descendants - Edit'!$C$2:$AK$440,'All Girls &amp; Descendants - Edit'!O$1,FALSE)))</f>
        <v/>
      </c>
      <c r="P253" s="3" t="str">
        <f t="shared" si="26"/>
        <v/>
      </c>
      <c r="Q253" s="178" t="str">
        <f t="shared" si="27"/>
        <v>107a</v>
      </c>
      <c r="R253" s="23"/>
      <c r="S253" t="str">
        <f>VLOOKUP($C253,'All Girls &amp; Descendants - Edit'!$C$2:$AK$440,'All Girls &amp; Descendants - Edit'!S$1,FALSE)</f>
        <v>Male</v>
      </c>
      <c r="T253" s="176">
        <f t="shared" si="24"/>
        <v>7</v>
      </c>
      <c r="U253" s="176">
        <f t="shared" si="28"/>
        <v>5</v>
      </c>
      <c r="V253" s="176">
        <f t="shared" si="29"/>
        <v>5</v>
      </c>
      <c r="W253" s="177">
        <f t="shared" si="30"/>
        <v>2</v>
      </c>
      <c r="X253" s="3" t="str">
        <f>IF(VLOOKUP($C253,'All Girls &amp; Descendants - Edit'!$C$2:$AK$440,'All Girls &amp; Descendants - Edit'!X$1,FALSE)=""," - ",(VLOOKUP($C253,'All Girls &amp; Descendants - Edit'!$C$2:$AK$440,'All Girls &amp; Descendants - Edit'!X$1,FALSE)))</f>
        <v xml:space="preserve"> - </v>
      </c>
      <c r="Y253" s="3" t="str">
        <f>IF(VLOOKUP($C253,'All Girls &amp; Descendants - Edit'!$C$2:$AK$440,'All Girls &amp; Descendants - Edit'!Y$1,FALSE)=""," - ",(VLOOKUP($C253,'All Girls &amp; Descendants - Edit'!$C$2:$AK$440,'All Girls &amp; Descendants - Edit'!Y$1,FALSE)))</f>
        <v xml:space="preserve"> - </v>
      </c>
      <c r="Z253" s="3" t="str">
        <f>IF(VLOOKUP($C253,'All Girls &amp; Descendants - Edit'!$C$2:$AK$440,'All Girls &amp; Descendants - Edit'!Z$1,FALSE)=""," - ",(VLOOKUP($C253,'All Girls &amp; Descendants - Edit'!$C$2:$AK$440,'All Girls &amp; Descendants - Edit'!Z$1,FALSE)))</f>
        <v>Twin with his brother Michael</v>
      </c>
      <c r="AA253" s="101">
        <f>IF(VLOOKUP($C253,'All Girls &amp; Descendants - Edit'!$C$2:$AK$440,'All Girls &amp; Descendants - Edit'!AA$1,FALSE)=""," - ",(VLOOKUP($C253,'All Girls &amp; Descendants - Edit'!$C$2:$AK$440,'All Girls &amp; Descendants - Edit'!AA$1,FALSE)))</f>
        <v>283</v>
      </c>
      <c r="AB253" s="101">
        <f>IF(VLOOKUP($C253,'All Girls &amp; Descendants - Edit'!$C$2:$AK$440,'All Girls &amp; Descendants - Edit'!AB$1,FALSE)=""," - ",(VLOOKUP($C253,'All Girls &amp; Descendants - Edit'!$C$2:$AK$440,'All Girls &amp; Descendants - Edit'!AB$1,FALSE)))</f>
        <v>110</v>
      </c>
      <c r="AC253" s="101">
        <f>IF(VLOOKUP($C253,'All Girls &amp; Descendants - Edit'!$C$2:$AK$440,'All Girls &amp; Descendants - Edit'!AC$1,FALSE)=""," - ",(VLOOKUP($C253,'All Girls &amp; Descendants - Edit'!$C$2:$AK$440,'All Girls &amp; Descendants - Edit'!AC$1,FALSE)))</f>
        <v>2110</v>
      </c>
      <c r="AD253" s="3" t="str">
        <f>IF(VLOOKUP($C253,'All Girls &amp; Descendants - Edit'!$C$2:$AK$440,'All Girls &amp; Descendants - Edit'!AD$1,FALSE)=""," - ",(VLOOKUP($C253,'All Girls &amp; Descendants - Edit'!$C$2:$AK$440,'All Girls &amp; Descendants - Edit'!AD$1,FALSE)))</f>
        <v>107ab</v>
      </c>
      <c r="AE253" s="3" t="str">
        <f>IF(VLOOKUP($C253,'All Girls &amp; Descendants - Edit'!$C$2:$AK$440,'All Girls &amp; Descendants - Edit'!AE$1,FALSE)=""," - ",(VLOOKUP($C253,'All Girls &amp; Descendants - Edit'!$C$2:$AK$440,'All Girls &amp; Descendants - Edit'!AE$1,FALSE)))</f>
        <v>Mathew Howard  AMY (1981 - )</v>
      </c>
      <c r="AF253" s="3" t="str">
        <f>IF(VLOOKUP($C253,'All Girls &amp; Descendants - Edit'!$C$2:$AK$440,'All Girls &amp; Descendants - Edit'!AF$1,FALSE)=""," - ",(VLOOKUP($C253,'All Girls &amp; Descendants - Edit'!$C$2:$AK$440,'All Girls &amp; Descendants - Edit'!AF$1,FALSE)))</f>
        <v>Mathew AMY (7th &amp; 107)</v>
      </c>
      <c r="AG253" s="3" t="str">
        <f>IF(VLOOKUP($C253,'All Girls &amp; Descendants - Edit'!$C$2:$AK$440,'All Girls &amp; Descendants - Edit'!AG$1,FALSE)=""," - ",(VLOOKUP($C253,'All Girls &amp; Descendants - Edit'!$C$2:$AK$440,'All Girls &amp; Descendants - Edit'!AG$1,FALSE)))</f>
        <v>Male</v>
      </c>
      <c r="AH253" s="3" t="str">
        <f>IF(VLOOKUP($C253,'All Girls &amp; Descendants - Edit'!$C$2:$AK$440,'All Girls &amp; Descendants - Edit'!AH$1,FALSE)=""," - ",(VLOOKUP($C253,'All Girls &amp; Descendants - Edit'!$C$2:$AK$440,'All Girls &amp; Descendants - Edit'!AH$1,FALSE)))</f>
        <v>7th</v>
      </c>
      <c r="AI253" s="3" t="str">
        <f>IF(VLOOKUP($C253,'All Girls &amp; Descendants - Edit'!$C$2:$AK$440,'All Girls &amp; Descendants - Edit'!AI$1,FALSE)=""," - ",(VLOOKUP($C253,'All Girls &amp; Descendants - Edit'!$C$2:$AK$440,'All Girls &amp; Descendants - Edit'!AI$1,FALSE)))</f>
        <v>Unmarried</v>
      </c>
      <c r="AJ253" s="3" t="str">
        <f>IF(VLOOKUP($C253,'All Girls &amp; Descendants - Edit'!$C$2:$AK$440,'All Girls &amp; Descendants - Edit'!AJ$1,FALSE)=""," - ",(VLOOKUP($C253,'All Girls &amp; Descendants - Edit'!$C$2:$AK$440,'All Girls &amp; Descendants - Edit'!AJ$1,FALSE)))</f>
        <v>Male. b. 06/06/1981 Twin with his brother Michael</v>
      </c>
      <c r="AK253" s="3" t="str">
        <f>IF(VLOOKUP($C253,'All Girls &amp; Descendants - Edit'!$C$2:$AK$440,'All Girls &amp; Descendants - Edit'!AK$1,FALSE)=""," - ",(VLOOKUP($C253,'All Girls &amp; Descendants - Edit'!$C$2:$AK$440,'All Girls &amp; Descendants - Edit'!AK$1,FALSE)))</f>
        <v>b. 06/06/1981</v>
      </c>
    </row>
    <row r="254" spans="1:37" ht="19">
      <c r="A254">
        <f>VLOOKUP(B254,'Loyd List 1-190 - Edit'!$P$1:$R$219,3,FALSE)</f>
        <v>76</v>
      </c>
      <c r="B254">
        <f>'All Girls &amp; Descendants - Edit'!B255</f>
        <v>107</v>
      </c>
      <c r="C254" s="98" t="str">
        <f>'All Girls &amp; Descendants - Edit'!C255</f>
        <v>107ac</v>
      </c>
      <c r="D254" s="2" t="str">
        <f>'All Girls &amp; Descendants - Edit'!D255</f>
        <v>AMY</v>
      </c>
      <c r="E254" t="str">
        <f>'All Girls &amp; Descendants - Edit'!E255</f>
        <v>Michael</v>
      </c>
      <c r="F254" t="str">
        <f>IF('All Girls &amp; Descendants - Edit'!F255="","",'All Girls &amp; Descendants - Edit'!F255)</f>
        <v>William</v>
      </c>
      <c r="G254" t="str">
        <f>IF('All Girls &amp; Descendants - Edit'!G255="","",'All Girls &amp; Descendants - Edit'!G255)</f>
        <v/>
      </c>
      <c r="H254" t="str">
        <f>IF('All Girls &amp; Descendants - Edit'!H255="","",'All Girls &amp; Descendants - Edit'!H255)</f>
        <v/>
      </c>
      <c r="I254">
        <f>VLOOKUP($C254,'All Girls &amp; Descendants - Edit'!$C$2:$AK$440,'All Girls &amp; Descendants - Edit'!I$1,FALSE)</f>
        <v>1981</v>
      </c>
      <c r="J254" t="str">
        <f>VLOOKUP($C254,'All Girls &amp; Descendants - Edit'!$C$2:$AK$440,'All Girls &amp; Descendants - Edit'!J$1,FALSE)</f>
        <v/>
      </c>
      <c r="K254" s="9"/>
      <c r="L254" t="str">
        <f t="shared" si="25"/>
        <v>06/06/1981</v>
      </c>
      <c r="M254" s="3">
        <f>VLOOKUP($C254,'All Girls &amp; Descendants - Edit'!$C$2:$AK$440,'All Girls &amp; Descendants - Edit'!M$1,FALSE)</f>
        <v>29743</v>
      </c>
      <c r="N254" s="3" t="str">
        <f>IF(VLOOKUP($C254,'All Girls &amp; Descendants - Edit'!$C$2:$AK$440,'All Girls &amp; Descendants - Edit'!N$1,FALSE)=""," - ",(VLOOKUP($C254,'All Girls &amp; Descendants - Edit'!$C$2:$AK$440,'All Girls &amp; Descendants - Edit'!N$1,FALSE)))</f>
        <v xml:space="preserve"> - </v>
      </c>
      <c r="O254" s="3" t="str">
        <f>IF(VLOOKUP($C254,'All Girls &amp; Descendants - Edit'!$C$2:$AK$440,'All Girls &amp; Descendants - Edit'!O$1,FALSE)="","",(VLOOKUP($C254,'All Girls &amp; Descendants - Edit'!$C$2:$AK$440,'All Girls &amp; Descendants - Edit'!O$1,FALSE)))</f>
        <v/>
      </c>
      <c r="P254" s="3" t="str">
        <f t="shared" si="26"/>
        <v/>
      </c>
      <c r="Q254" s="178" t="str">
        <f t="shared" si="27"/>
        <v>107a</v>
      </c>
      <c r="R254" s="23"/>
      <c r="S254" t="str">
        <f>VLOOKUP($C254,'All Girls &amp; Descendants - Edit'!$C$2:$AK$440,'All Girls &amp; Descendants - Edit'!S$1,FALSE)</f>
        <v>Male</v>
      </c>
      <c r="T254" s="176">
        <f t="shared" si="24"/>
        <v>7</v>
      </c>
      <c r="U254" s="176">
        <f t="shared" si="28"/>
        <v>5</v>
      </c>
      <c r="V254" s="176">
        <f t="shared" si="29"/>
        <v>5</v>
      </c>
      <c r="W254" s="177">
        <f t="shared" si="30"/>
        <v>2</v>
      </c>
      <c r="X254" s="3" t="str">
        <f>IF(VLOOKUP($C254,'All Girls &amp; Descendants - Edit'!$C$2:$AK$440,'All Girls &amp; Descendants - Edit'!X$1,FALSE)=""," - ",(VLOOKUP($C254,'All Girls &amp; Descendants - Edit'!$C$2:$AK$440,'All Girls &amp; Descendants - Edit'!X$1,FALSE)))</f>
        <v xml:space="preserve"> - </v>
      </c>
      <c r="Y254" s="3" t="str">
        <f>IF(VLOOKUP($C254,'All Girls &amp; Descendants - Edit'!$C$2:$AK$440,'All Girls &amp; Descendants - Edit'!Y$1,FALSE)=""," - ",(VLOOKUP($C254,'All Girls &amp; Descendants - Edit'!$C$2:$AK$440,'All Girls &amp; Descendants - Edit'!Y$1,FALSE)))</f>
        <v xml:space="preserve"> - </v>
      </c>
      <c r="Z254" s="3" t="str">
        <f>IF(VLOOKUP($C254,'All Girls &amp; Descendants - Edit'!$C$2:$AK$440,'All Girls &amp; Descendants - Edit'!Z$1,FALSE)=""," - ",(VLOOKUP($C254,'All Girls &amp; Descendants - Edit'!$C$2:$AK$440,'All Girls &amp; Descendants - Edit'!Z$1,FALSE)))</f>
        <v>Twin with his brother Mathew</v>
      </c>
      <c r="AA254" s="101">
        <f>IF(VLOOKUP($C254,'All Girls &amp; Descendants - Edit'!$C$2:$AK$440,'All Girls &amp; Descendants - Edit'!AA$1,FALSE)=""," - ",(VLOOKUP($C254,'All Girls &amp; Descendants - Edit'!$C$2:$AK$440,'All Girls &amp; Descendants - Edit'!AA$1,FALSE)))</f>
        <v>284</v>
      </c>
      <c r="AB254" s="101">
        <f>IF(VLOOKUP($C254,'All Girls &amp; Descendants - Edit'!$C$2:$AK$440,'All Girls &amp; Descendants - Edit'!AB$1,FALSE)=""," - ",(VLOOKUP($C254,'All Girls &amp; Descendants - Edit'!$C$2:$AK$440,'All Girls &amp; Descendants - Edit'!AB$1,FALSE)))</f>
        <v>111</v>
      </c>
      <c r="AC254" s="101">
        <f>IF(VLOOKUP($C254,'All Girls &amp; Descendants - Edit'!$C$2:$AK$440,'All Girls &amp; Descendants - Edit'!AC$1,FALSE)=""," - ",(VLOOKUP($C254,'All Girls &amp; Descendants - Edit'!$C$2:$AK$440,'All Girls &amp; Descendants - Edit'!AC$1,FALSE)))</f>
        <v>2111</v>
      </c>
      <c r="AD254" s="3" t="str">
        <f>IF(VLOOKUP($C254,'All Girls &amp; Descendants - Edit'!$C$2:$AK$440,'All Girls &amp; Descendants - Edit'!AD$1,FALSE)=""," - ",(VLOOKUP($C254,'All Girls &amp; Descendants - Edit'!$C$2:$AK$440,'All Girls &amp; Descendants - Edit'!AD$1,FALSE)))</f>
        <v>107ac</v>
      </c>
      <c r="AE254" s="3" t="str">
        <f>IF(VLOOKUP($C254,'All Girls &amp; Descendants - Edit'!$C$2:$AK$440,'All Girls &amp; Descendants - Edit'!AE$1,FALSE)=""," - ",(VLOOKUP($C254,'All Girls &amp; Descendants - Edit'!$C$2:$AK$440,'All Girls &amp; Descendants - Edit'!AE$1,FALSE)))</f>
        <v>Michael William  AMY (1981 - )</v>
      </c>
      <c r="AF254" s="3" t="str">
        <f>IF(VLOOKUP($C254,'All Girls &amp; Descendants - Edit'!$C$2:$AK$440,'All Girls &amp; Descendants - Edit'!AF$1,FALSE)=""," - ",(VLOOKUP($C254,'All Girls &amp; Descendants - Edit'!$C$2:$AK$440,'All Girls &amp; Descendants - Edit'!AF$1,FALSE)))</f>
        <v>Michael AMY (7th &amp; 107)</v>
      </c>
      <c r="AG254" s="3" t="str">
        <f>IF(VLOOKUP($C254,'All Girls &amp; Descendants - Edit'!$C$2:$AK$440,'All Girls &amp; Descendants - Edit'!AG$1,FALSE)=""," - ",(VLOOKUP($C254,'All Girls &amp; Descendants - Edit'!$C$2:$AK$440,'All Girls &amp; Descendants - Edit'!AG$1,FALSE)))</f>
        <v>Male</v>
      </c>
      <c r="AH254" s="3" t="str">
        <f>IF(VLOOKUP($C254,'All Girls &amp; Descendants - Edit'!$C$2:$AK$440,'All Girls &amp; Descendants - Edit'!AH$1,FALSE)=""," - ",(VLOOKUP($C254,'All Girls &amp; Descendants - Edit'!$C$2:$AK$440,'All Girls &amp; Descendants - Edit'!AH$1,FALSE)))</f>
        <v>7th</v>
      </c>
      <c r="AI254" s="3" t="str">
        <f>IF(VLOOKUP($C254,'All Girls &amp; Descendants - Edit'!$C$2:$AK$440,'All Girls &amp; Descendants - Edit'!AI$1,FALSE)=""," - ",(VLOOKUP($C254,'All Girls &amp; Descendants - Edit'!$C$2:$AK$440,'All Girls &amp; Descendants - Edit'!AI$1,FALSE)))</f>
        <v>Unmarried</v>
      </c>
      <c r="AJ254" s="3" t="str">
        <f>IF(VLOOKUP($C254,'All Girls &amp; Descendants - Edit'!$C$2:$AK$440,'All Girls &amp; Descendants - Edit'!AJ$1,FALSE)=""," - ",(VLOOKUP($C254,'All Girls &amp; Descendants - Edit'!$C$2:$AK$440,'All Girls &amp; Descendants - Edit'!AJ$1,FALSE)))</f>
        <v>Male. b. 06/06/1981 Twin with his brother Mathew</v>
      </c>
      <c r="AK254" s="3" t="str">
        <f>IF(VLOOKUP($C254,'All Girls &amp; Descendants - Edit'!$C$2:$AK$440,'All Girls &amp; Descendants - Edit'!AK$1,FALSE)=""," - ",(VLOOKUP($C254,'All Girls &amp; Descendants - Edit'!$C$2:$AK$440,'All Girls &amp; Descendants - Edit'!AK$1,FALSE)))</f>
        <v>b. 06/06/1981</v>
      </c>
    </row>
    <row r="255" spans="1:37" ht="19">
      <c r="A255">
        <f>VLOOKUP(B255,'Loyd List 1-190 - Edit'!$P$1:$R$219,3,FALSE)</f>
        <v>76</v>
      </c>
      <c r="B255">
        <f>'All Girls &amp; Descendants - Edit'!B256</f>
        <v>107</v>
      </c>
      <c r="C255" s="98" t="str">
        <f>'All Girls &amp; Descendants - Edit'!C256</f>
        <v>107ad</v>
      </c>
      <c r="D255" s="2" t="str">
        <f>'All Girls &amp; Descendants - Edit'!D256</f>
        <v>AMY</v>
      </c>
      <c r="E255" t="str">
        <f>'All Girls &amp; Descendants - Edit'!E256</f>
        <v>Jonathon</v>
      </c>
      <c r="F255" t="str">
        <f>IF('All Girls &amp; Descendants - Edit'!F256="","",'All Girls &amp; Descendants - Edit'!F256)</f>
        <v>Glen</v>
      </c>
      <c r="G255" t="str">
        <f>IF('All Girls &amp; Descendants - Edit'!G256="","",'All Girls &amp; Descendants - Edit'!G256)</f>
        <v/>
      </c>
      <c r="H255" t="str">
        <f>IF('All Girls &amp; Descendants - Edit'!H256="","",'All Girls &amp; Descendants - Edit'!H256)</f>
        <v/>
      </c>
      <c r="I255">
        <f>VLOOKUP($C255,'All Girls &amp; Descendants - Edit'!$C$2:$AK$440,'All Girls &amp; Descendants - Edit'!I$1,FALSE)</f>
        <v>1983</v>
      </c>
      <c r="J255" t="str">
        <f>VLOOKUP($C255,'All Girls &amp; Descendants - Edit'!$C$2:$AK$440,'All Girls &amp; Descendants - Edit'!J$1,FALSE)</f>
        <v/>
      </c>
      <c r="K255" s="9"/>
      <c r="L255" t="str">
        <f t="shared" si="25"/>
        <v>31/07/1983</v>
      </c>
      <c r="M255" s="3">
        <f>VLOOKUP($C255,'All Girls &amp; Descendants - Edit'!$C$2:$AK$440,'All Girls &amp; Descendants - Edit'!M$1,FALSE)</f>
        <v>30528</v>
      </c>
      <c r="N255" s="3" t="str">
        <f>IF(VLOOKUP($C255,'All Girls &amp; Descendants - Edit'!$C$2:$AK$440,'All Girls &amp; Descendants - Edit'!N$1,FALSE)=""," - ",(VLOOKUP($C255,'All Girls &amp; Descendants - Edit'!$C$2:$AK$440,'All Girls &amp; Descendants - Edit'!N$1,FALSE)))</f>
        <v xml:space="preserve"> - </v>
      </c>
      <c r="O255" s="3" t="str">
        <f>IF(VLOOKUP($C255,'All Girls &amp; Descendants - Edit'!$C$2:$AK$440,'All Girls &amp; Descendants - Edit'!O$1,FALSE)="","",(VLOOKUP($C255,'All Girls &amp; Descendants - Edit'!$C$2:$AK$440,'All Girls &amp; Descendants - Edit'!O$1,FALSE)))</f>
        <v/>
      </c>
      <c r="P255" s="3" t="str">
        <f t="shared" si="26"/>
        <v/>
      </c>
      <c r="Q255" s="178" t="str">
        <f t="shared" si="27"/>
        <v>107a</v>
      </c>
      <c r="R255" s="23"/>
      <c r="S255" t="str">
        <f>VLOOKUP($C255,'All Girls &amp; Descendants - Edit'!$C$2:$AK$440,'All Girls &amp; Descendants - Edit'!S$1,FALSE)</f>
        <v>Male</v>
      </c>
      <c r="T255" s="176">
        <f t="shared" si="24"/>
        <v>7</v>
      </c>
      <c r="U255" s="176">
        <f t="shared" si="28"/>
        <v>5</v>
      </c>
      <c r="V255" s="176">
        <f t="shared" si="29"/>
        <v>5</v>
      </c>
      <c r="W255" s="177">
        <f t="shared" si="30"/>
        <v>2</v>
      </c>
      <c r="X255" s="3" t="str">
        <f>IF(VLOOKUP($C255,'All Girls &amp; Descendants - Edit'!$C$2:$AK$440,'All Girls &amp; Descendants - Edit'!X$1,FALSE)=""," - ",(VLOOKUP($C255,'All Girls &amp; Descendants - Edit'!$C$2:$AK$440,'All Girls &amp; Descendants - Edit'!X$1,FALSE)))</f>
        <v xml:space="preserve"> - </v>
      </c>
      <c r="Y255" s="3" t="str">
        <f>IF(VLOOKUP($C255,'All Girls &amp; Descendants - Edit'!$C$2:$AK$440,'All Girls &amp; Descendants - Edit'!Y$1,FALSE)=""," - ",(VLOOKUP($C255,'All Girls &amp; Descendants - Edit'!$C$2:$AK$440,'All Girls &amp; Descendants - Edit'!Y$1,FALSE)))</f>
        <v xml:space="preserve"> - </v>
      </c>
      <c r="Z255" s="3" t="str">
        <f>IF(VLOOKUP($C255,'All Girls &amp; Descendants - Edit'!$C$2:$AK$440,'All Girls &amp; Descendants - Edit'!Z$1,FALSE)=""," - ",(VLOOKUP($C255,'All Girls &amp; Descendants - Edit'!$C$2:$AK$440,'All Girls &amp; Descendants - Edit'!Z$1,FALSE)))</f>
        <v xml:space="preserve"> - </v>
      </c>
      <c r="AA255" s="101">
        <f>IF(VLOOKUP($C255,'All Girls &amp; Descendants - Edit'!$C$2:$AK$440,'All Girls &amp; Descendants - Edit'!AA$1,FALSE)=""," - ",(VLOOKUP($C255,'All Girls &amp; Descendants - Edit'!$C$2:$AK$440,'All Girls &amp; Descendants - Edit'!AA$1,FALSE)))</f>
        <v>285</v>
      </c>
      <c r="AB255" s="101">
        <f>IF(VLOOKUP($C255,'All Girls &amp; Descendants - Edit'!$C$2:$AK$440,'All Girls &amp; Descendants - Edit'!AB$1,FALSE)=""," - ",(VLOOKUP($C255,'All Girls &amp; Descendants - Edit'!$C$2:$AK$440,'All Girls &amp; Descendants - Edit'!AB$1,FALSE)))</f>
        <v>112</v>
      </c>
      <c r="AC255" s="101">
        <f>IF(VLOOKUP($C255,'All Girls &amp; Descendants - Edit'!$C$2:$AK$440,'All Girls &amp; Descendants - Edit'!AC$1,FALSE)=""," - ",(VLOOKUP($C255,'All Girls &amp; Descendants - Edit'!$C$2:$AK$440,'All Girls &amp; Descendants - Edit'!AC$1,FALSE)))</f>
        <v>2112</v>
      </c>
      <c r="AD255" s="3" t="str">
        <f>IF(VLOOKUP($C255,'All Girls &amp; Descendants - Edit'!$C$2:$AK$440,'All Girls &amp; Descendants - Edit'!AD$1,FALSE)=""," - ",(VLOOKUP($C255,'All Girls &amp; Descendants - Edit'!$C$2:$AK$440,'All Girls &amp; Descendants - Edit'!AD$1,FALSE)))</f>
        <v>107ad</v>
      </c>
      <c r="AE255" s="3" t="str">
        <f>IF(VLOOKUP($C255,'All Girls &amp; Descendants - Edit'!$C$2:$AK$440,'All Girls &amp; Descendants - Edit'!AE$1,FALSE)=""," - ",(VLOOKUP($C255,'All Girls &amp; Descendants - Edit'!$C$2:$AK$440,'All Girls &amp; Descendants - Edit'!AE$1,FALSE)))</f>
        <v>Jonathon Glen  AMY (1983 - )</v>
      </c>
      <c r="AF255" s="3" t="str">
        <f>IF(VLOOKUP($C255,'All Girls &amp; Descendants - Edit'!$C$2:$AK$440,'All Girls &amp; Descendants - Edit'!AF$1,FALSE)=""," - ",(VLOOKUP($C255,'All Girls &amp; Descendants - Edit'!$C$2:$AK$440,'All Girls &amp; Descendants - Edit'!AF$1,FALSE)))</f>
        <v>Jonathon AMY (7th &amp; 107)</v>
      </c>
      <c r="AG255" s="3" t="str">
        <f>IF(VLOOKUP($C255,'All Girls &amp; Descendants - Edit'!$C$2:$AK$440,'All Girls &amp; Descendants - Edit'!AG$1,FALSE)=""," - ",(VLOOKUP($C255,'All Girls &amp; Descendants - Edit'!$C$2:$AK$440,'All Girls &amp; Descendants - Edit'!AG$1,FALSE)))</f>
        <v>Male</v>
      </c>
      <c r="AH255" s="3" t="str">
        <f>IF(VLOOKUP($C255,'All Girls &amp; Descendants - Edit'!$C$2:$AK$440,'All Girls &amp; Descendants - Edit'!AH$1,FALSE)=""," - ",(VLOOKUP($C255,'All Girls &amp; Descendants - Edit'!$C$2:$AK$440,'All Girls &amp; Descendants - Edit'!AH$1,FALSE)))</f>
        <v>7th</v>
      </c>
      <c r="AI255" s="3" t="str">
        <f>IF(VLOOKUP($C255,'All Girls &amp; Descendants - Edit'!$C$2:$AK$440,'All Girls &amp; Descendants - Edit'!AI$1,FALSE)=""," - ",(VLOOKUP($C255,'All Girls &amp; Descendants - Edit'!$C$2:$AK$440,'All Girls &amp; Descendants - Edit'!AI$1,FALSE)))</f>
        <v>Unmarried</v>
      </c>
      <c r="AJ255" s="3" t="str">
        <f>IF(VLOOKUP($C255,'All Girls &amp; Descendants - Edit'!$C$2:$AK$440,'All Girls &amp; Descendants - Edit'!AJ$1,FALSE)=""," - ",(VLOOKUP($C255,'All Girls &amp; Descendants - Edit'!$C$2:$AK$440,'All Girls &amp; Descendants - Edit'!AJ$1,FALSE)))</f>
        <v>Male. b. 31/07/1983</v>
      </c>
      <c r="AK255" s="3" t="str">
        <f>IF(VLOOKUP($C255,'All Girls &amp; Descendants - Edit'!$C$2:$AK$440,'All Girls &amp; Descendants - Edit'!AK$1,FALSE)=""," - ",(VLOOKUP($C255,'All Girls &amp; Descendants - Edit'!$C$2:$AK$440,'All Girls &amp; Descendants - Edit'!AK$1,FALSE)))</f>
        <v>b. 31/07/1983</v>
      </c>
    </row>
    <row r="256" spans="1:37" ht="19">
      <c r="A256">
        <f>VLOOKUP(B256,'Loyd List 1-190 - Edit'!$P$1:$R$219,3,FALSE)</f>
        <v>76</v>
      </c>
      <c r="B256">
        <f>'All Girls &amp; Descendants - Edit'!B257</f>
        <v>107</v>
      </c>
      <c r="C256" s="98" t="str">
        <f>'All Girls &amp; Descendants - Edit'!C257</f>
        <v>107ba</v>
      </c>
      <c r="D256" s="2" t="str">
        <f>'All Girls &amp; Descendants - Edit'!D257</f>
        <v>THOMPSON</v>
      </c>
      <c r="E256" t="str">
        <f>'All Girls &amp; Descendants - Edit'!E257</f>
        <v>Christopher</v>
      </c>
      <c r="F256" t="str">
        <f>IF('All Girls &amp; Descendants - Edit'!F257="","",'All Girls &amp; Descendants - Edit'!F257)</f>
        <v>Allen</v>
      </c>
      <c r="G256" t="str">
        <f>IF('All Girls &amp; Descendants - Edit'!G257="","",'All Girls &amp; Descendants - Edit'!G257)</f>
        <v/>
      </c>
      <c r="H256" t="str">
        <f>IF('All Girls &amp; Descendants - Edit'!H257="","",'All Girls &amp; Descendants - Edit'!H257)</f>
        <v/>
      </c>
      <c r="I256">
        <f>VLOOKUP($C256,'All Girls &amp; Descendants - Edit'!$C$2:$AK$440,'All Girls &amp; Descendants - Edit'!I$1,FALSE)</f>
        <v>1973</v>
      </c>
      <c r="J256" t="str">
        <f>VLOOKUP($C256,'All Girls &amp; Descendants - Edit'!$C$2:$AK$440,'All Girls &amp; Descendants - Edit'!J$1,FALSE)</f>
        <v/>
      </c>
      <c r="K256" s="9"/>
      <c r="L256" t="str">
        <f t="shared" si="25"/>
        <v>14/10/1973</v>
      </c>
      <c r="M256" s="3">
        <f>VLOOKUP($C256,'All Girls &amp; Descendants - Edit'!$C$2:$AK$440,'All Girls &amp; Descendants - Edit'!M$1,FALSE)</f>
        <v>26951</v>
      </c>
      <c r="N256" s="3" t="str">
        <f>IF(VLOOKUP($C256,'All Girls &amp; Descendants - Edit'!$C$2:$AK$440,'All Girls &amp; Descendants - Edit'!N$1,FALSE)=""," - ",(VLOOKUP($C256,'All Girls &amp; Descendants - Edit'!$C$2:$AK$440,'All Girls &amp; Descendants - Edit'!N$1,FALSE)))</f>
        <v xml:space="preserve"> - </v>
      </c>
      <c r="O256" s="3" t="str">
        <f>IF(VLOOKUP($C256,'All Girls &amp; Descendants - Edit'!$C$2:$AK$440,'All Girls &amp; Descendants - Edit'!O$1,FALSE)="","",(VLOOKUP($C256,'All Girls &amp; Descendants - Edit'!$C$2:$AK$440,'All Girls &amp; Descendants - Edit'!O$1,FALSE)))</f>
        <v/>
      </c>
      <c r="P256" s="3" t="str">
        <f t="shared" si="26"/>
        <v/>
      </c>
      <c r="Q256" s="178" t="str">
        <f t="shared" si="27"/>
        <v>107b</v>
      </c>
      <c r="R256" s="23"/>
      <c r="S256" t="str">
        <f>VLOOKUP($C256,'All Girls &amp; Descendants - Edit'!$C$2:$AK$440,'All Girls &amp; Descendants - Edit'!S$1,FALSE)</f>
        <v>Male</v>
      </c>
      <c r="T256" s="176">
        <f t="shared" si="24"/>
        <v>7</v>
      </c>
      <c r="U256" s="176">
        <f t="shared" si="28"/>
        <v>5</v>
      </c>
      <c r="V256" s="176">
        <f t="shared" si="29"/>
        <v>5</v>
      </c>
      <c r="W256" s="177">
        <f t="shared" si="30"/>
        <v>2</v>
      </c>
      <c r="X256" s="3" t="str">
        <f>IF(VLOOKUP($C256,'All Girls &amp; Descendants - Edit'!$C$2:$AK$440,'All Girls &amp; Descendants - Edit'!X$1,FALSE)=""," - ",(VLOOKUP($C256,'All Girls &amp; Descendants - Edit'!$C$2:$AK$440,'All Girls &amp; Descendants - Edit'!X$1,FALSE)))</f>
        <v xml:space="preserve"> - </v>
      </c>
      <c r="Y256" s="3" t="str">
        <f>IF(VLOOKUP($C256,'All Girls &amp; Descendants - Edit'!$C$2:$AK$440,'All Girls &amp; Descendants - Edit'!Y$1,FALSE)=""," - ",(VLOOKUP($C256,'All Girls &amp; Descendants - Edit'!$C$2:$AK$440,'All Girls &amp; Descendants - Edit'!Y$1,FALSE)))</f>
        <v xml:space="preserve"> - </v>
      </c>
      <c r="Z256" s="3" t="str">
        <f>IF(VLOOKUP($C256,'All Girls &amp; Descendants - Edit'!$C$2:$AK$440,'All Girls &amp; Descendants - Edit'!Z$1,FALSE)=""," - ",(VLOOKUP($C256,'All Girls &amp; Descendants - Edit'!$C$2:$AK$440,'All Girls &amp; Descendants - Edit'!Z$1,FALSE)))</f>
        <v>Baptised 1973 at St Joseph’s Cathedral Church, Otis Orchards, Washington. USA.</v>
      </c>
      <c r="AA256" s="101">
        <f>IF(VLOOKUP($C256,'All Girls &amp; Descendants - Edit'!$C$2:$AK$440,'All Girls &amp; Descendants - Edit'!AA$1,FALSE)=""," - ",(VLOOKUP($C256,'All Girls &amp; Descendants - Edit'!$C$2:$AK$440,'All Girls &amp; Descendants - Edit'!AA$1,FALSE)))</f>
        <v>287</v>
      </c>
      <c r="AB256" s="101">
        <f>IF(VLOOKUP($C256,'All Girls &amp; Descendants - Edit'!$C$2:$AK$440,'All Girls &amp; Descendants - Edit'!AB$1,FALSE)=""," - ",(VLOOKUP($C256,'All Girls &amp; Descendants - Edit'!$C$2:$AK$440,'All Girls &amp; Descendants - Edit'!AB$1,FALSE)))</f>
        <v>113</v>
      </c>
      <c r="AC256" s="101">
        <f>IF(VLOOKUP($C256,'All Girls &amp; Descendants - Edit'!$C$2:$AK$440,'All Girls &amp; Descendants - Edit'!AC$1,FALSE)=""," - ",(VLOOKUP($C256,'All Girls &amp; Descendants - Edit'!$C$2:$AK$440,'All Girls &amp; Descendants - Edit'!AC$1,FALSE)))</f>
        <v>2113</v>
      </c>
      <c r="AD256" s="3" t="str">
        <f>IF(VLOOKUP($C256,'All Girls &amp; Descendants - Edit'!$C$2:$AK$440,'All Girls &amp; Descendants - Edit'!AD$1,FALSE)=""," - ",(VLOOKUP($C256,'All Girls &amp; Descendants - Edit'!$C$2:$AK$440,'All Girls &amp; Descendants - Edit'!AD$1,FALSE)))</f>
        <v>107ba</v>
      </c>
      <c r="AE256" s="3" t="str">
        <f>IF(VLOOKUP($C256,'All Girls &amp; Descendants - Edit'!$C$2:$AK$440,'All Girls &amp; Descendants - Edit'!AE$1,FALSE)=""," - ",(VLOOKUP($C256,'All Girls &amp; Descendants - Edit'!$C$2:$AK$440,'All Girls &amp; Descendants - Edit'!AE$1,FALSE)))</f>
        <v>Christopher Allen  THOMPSON (1973 - )</v>
      </c>
      <c r="AF256" s="3" t="str">
        <f>IF(VLOOKUP($C256,'All Girls &amp; Descendants - Edit'!$C$2:$AK$440,'All Girls &amp; Descendants - Edit'!AF$1,FALSE)=""," - ",(VLOOKUP($C256,'All Girls &amp; Descendants - Edit'!$C$2:$AK$440,'All Girls &amp; Descendants - Edit'!AF$1,FALSE)))</f>
        <v>Christopher THOMPSON (7th &amp; 107)</v>
      </c>
      <c r="AG256" s="3" t="str">
        <f>IF(VLOOKUP($C256,'All Girls &amp; Descendants - Edit'!$C$2:$AK$440,'All Girls &amp; Descendants - Edit'!AG$1,FALSE)=""," - ",(VLOOKUP($C256,'All Girls &amp; Descendants - Edit'!$C$2:$AK$440,'All Girls &amp; Descendants - Edit'!AG$1,FALSE)))</f>
        <v>Male</v>
      </c>
      <c r="AH256" s="3" t="str">
        <f>IF(VLOOKUP($C256,'All Girls &amp; Descendants - Edit'!$C$2:$AK$440,'All Girls &amp; Descendants - Edit'!AH$1,FALSE)=""," - ",(VLOOKUP($C256,'All Girls &amp; Descendants - Edit'!$C$2:$AK$440,'All Girls &amp; Descendants - Edit'!AH$1,FALSE)))</f>
        <v>7th</v>
      </c>
      <c r="AI256" s="3" t="str">
        <f>IF(VLOOKUP($C256,'All Girls &amp; Descendants - Edit'!$C$2:$AK$440,'All Girls &amp; Descendants - Edit'!AI$1,FALSE)=""," - ",(VLOOKUP($C256,'All Girls &amp; Descendants - Edit'!$C$2:$AK$440,'All Girls &amp; Descendants - Edit'!AI$1,FALSE)))</f>
        <v>Unmarried</v>
      </c>
      <c r="AJ256" s="3" t="str">
        <f>IF(VLOOKUP($C256,'All Girls &amp; Descendants - Edit'!$C$2:$AK$440,'All Girls &amp; Descendants - Edit'!AJ$1,FALSE)=""," - ",(VLOOKUP($C256,'All Girls &amp; Descendants - Edit'!$C$2:$AK$440,'All Girls &amp; Descendants - Edit'!AJ$1,FALSE)))</f>
        <v>Male. b. 14/10/1973 Baptised 1973 at St Joseph’s Cathedral Church, Otis Orchards, Washington. USA.</v>
      </c>
      <c r="AK256" s="3" t="str">
        <f>IF(VLOOKUP($C256,'All Girls &amp; Descendants - Edit'!$C$2:$AK$440,'All Girls &amp; Descendants - Edit'!AK$1,FALSE)=""," - ",(VLOOKUP($C256,'All Girls &amp; Descendants - Edit'!$C$2:$AK$440,'All Girls &amp; Descendants - Edit'!AK$1,FALSE)))</f>
        <v>b. 14/10/1973</v>
      </c>
    </row>
    <row r="257" spans="1:37" ht="19">
      <c r="A257">
        <f>VLOOKUP(B257,'Loyd List 1-190 - Edit'!$P$1:$R$219,3,FALSE)</f>
        <v>76</v>
      </c>
      <c r="B257">
        <f>'All Girls &amp; Descendants - Edit'!B258</f>
        <v>107</v>
      </c>
      <c r="C257" s="98" t="str">
        <f>'All Girls &amp; Descendants - Edit'!C258</f>
        <v>107bb</v>
      </c>
      <c r="D257" s="2" t="str">
        <f>'All Girls &amp; Descendants - Edit'!D258</f>
        <v>THOMPSON</v>
      </c>
      <c r="E257" t="str">
        <f>'All Girls &amp; Descendants - Edit'!E258</f>
        <v>George</v>
      </c>
      <c r="F257" t="str">
        <f>IF('All Girls &amp; Descendants - Edit'!F258="","",'All Girls &amp; Descendants - Edit'!F258)</f>
        <v>William</v>
      </c>
      <c r="G257" t="str">
        <f>IF('All Girls &amp; Descendants - Edit'!G258="","",'All Girls &amp; Descendants - Edit'!G258)</f>
        <v/>
      </c>
      <c r="H257" t="str">
        <f>IF('All Girls &amp; Descendants - Edit'!H258="","",'All Girls &amp; Descendants - Edit'!H258)</f>
        <v/>
      </c>
      <c r="I257">
        <f>VLOOKUP($C257,'All Girls &amp; Descendants - Edit'!$C$2:$AK$440,'All Girls &amp; Descendants - Edit'!I$1,FALSE)</f>
        <v>1976</v>
      </c>
      <c r="J257" t="str">
        <f>VLOOKUP($C257,'All Girls &amp; Descendants - Edit'!$C$2:$AK$440,'All Girls &amp; Descendants - Edit'!J$1,FALSE)</f>
        <v/>
      </c>
      <c r="K257" s="9"/>
      <c r="L257" t="str">
        <f t="shared" si="25"/>
        <v>26/09/1976</v>
      </c>
      <c r="M257" s="3">
        <f>VLOOKUP($C257,'All Girls &amp; Descendants - Edit'!$C$2:$AK$440,'All Girls &amp; Descendants - Edit'!M$1,FALSE)</f>
        <v>28029</v>
      </c>
      <c r="N257" s="3" t="str">
        <f>IF(VLOOKUP($C257,'All Girls &amp; Descendants - Edit'!$C$2:$AK$440,'All Girls &amp; Descendants - Edit'!N$1,FALSE)=""," - ",(VLOOKUP($C257,'All Girls &amp; Descendants - Edit'!$C$2:$AK$440,'All Girls &amp; Descendants - Edit'!N$1,FALSE)))</f>
        <v xml:space="preserve"> - </v>
      </c>
      <c r="O257" s="3" t="str">
        <f>IF(VLOOKUP($C257,'All Girls &amp; Descendants - Edit'!$C$2:$AK$440,'All Girls &amp; Descendants - Edit'!O$1,FALSE)="","",(VLOOKUP($C257,'All Girls &amp; Descendants - Edit'!$C$2:$AK$440,'All Girls &amp; Descendants - Edit'!O$1,FALSE)))</f>
        <v/>
      </c>
      <c r="P257" s="3" t="str">
        <f t="shared" si="26"/>
        <v/>
      </c>
      <c r="Q257" s="178" t="str">
        <f t="shared" si="27"/>
        <v>107b</v>
      </c>
      <c r="R257" s="23"/>
      <c r="S257" t="str">
        <f>VLOOKUP($C257,'All Girls &amp; Descendants - Edit'!$C$2:$AK$440,'All Girls &amp; Descendants - Edit'!S$1,FALSE)</f>
        <v>Male</v>
      </c>
      <c r="T257" s="176">
        <f t="shared" si="24"/>
        <v>7</v>
      </c>
      <c r="U257" s="176">
        <f t="shared" si="28"/>
        <v>5</v>
      </c>
      <c r="V257" s="176">
        <f t="shared" si="29"/>
        <v>5</v>
      </c>
      <c r="W257" s="177">
        <f t="shared" si="30"/>
        <v>2</v>
      </c>
      <c r="X257" s="3" t="str">
        <f>IF(VLOOKUP($C257,'All Girls &amp; Descendants - Edit'!$C$2:$AK$440,'All Girls &amp; Descendants - Edit'!X$1,FALSE)=""," - ",(VLOOKUP($C257,'All Girls &amp; Descendants - Edit'!$C$2:$AK$440,'All Girls &amp; Descendants - Edit'!X$1,FALSE)))</f>
        <v xml:space="preserve"> - </v>
      </c>
      <c r="Y257" s="3" t="str">
        <f>IF(VLOOKUP($C257,'All Girls &amp; Descendants - Edit'!$C$2:$AK$440,'All Girls &amp; Descendants - Edit'!Y$1,FALSE)=""," - ",(VLOOKUP($C257,'All Girls &amp; Descendants - Edit'!$C$2:$AK$440,'All Girls &amp; Descendants - Edit'!Y$1,FALSE)))</f>
        <v xml:space="preserve"> - </v>
      </c>
      <c r="Z257" s="3" t="str">
        <f>IF(VLOOKUP($C257,'All Girls &amp; Descendants - Edit'!$C$2:$AK$440,'All Girls &amp; Descendants - Edit'!Z$1,FALSE)=""," - ",(VLOOKUP($C257,'All Girls &amp; Descendants - Edit'!$C$2:$AK$440,'All Girls &amp; Descendants - Edit'!Z$1,FALSE)))</f>
        <v>Baptised 1976 at St Joseph’s Cathedral Church, Otis Orchards, Washington. USA.</v>
      </c>
      <c r="AA257" s="101">
        <f>IF(VLOOKUP($C257,'All Girls &amp; Descendants - Edit'!$C$2:$AK$440,'All Girls &amp; Descendants - Edit'!AA$1,FALSE)=""," - ",(VLOOKUP($C257,'All Girls &amp; Descendants - Edit'!$C$2:$AK$440,'All Girls &amp; Descendants - Edit'!AA$1,FALSE)))</f>
        <v>288</v>
      </c>
      <c r="AB257" s="101">
        <f>IF(VLOOKUP($C257,'All Girls &amp; Descendants - Edit'!$C$2:$AK$440,'All Girls &amp; Descendants - Edit'!AB$1,FALSE)=""," - ",(VLOOKUP($C257,'All Girls &amp; Descendants - Edit'!$C$2:$AK$440,'All Girls &amp; Descendants - Edit'!AB$1,FALSE)))</f>
        <v>114</v>
      </c>
      <c r="AC257" s="101">
        <f>IF(VLOOKUP($C257,'All Girls &amp; Descendants - Edit'!$C$2:$AK$440,'All Girls &amp; Descendants - Edit'!AC$1,FALSE)=""," - ",(VLOOKUP($C257,'All Girls &amp; Descendants - Edit'!$C$2:$AK$440,'All Girls &amp; Descendants - Edit'!AC$1,FALSE)))</f>
        <v>2114</v>
      </c>
      <c r="AD257" s="3" t="str">
        <f>IF(VLOOKUP($C257,'All Girls &amp; Descendants - Edit'!$C$2:$AK$440,'All Girls &amp; Descendants - Edit'!AD$1,FALSE)=""," - ",(VLOOKUP($C257,'All Girls &amp; Descendants - Edit'!$C$2:$AK$440,'All Girls &amp; Descendants - Edit'!AD$1,FALSE)))</f>
        <v>107bb</v>
      </c>
      <c r="AE257" s="3" t="str">
        <f>IF(VLOOKUP($C257,'All Girls &amp; Descendants - Edit'!$C$2:$AK$440,'All Girls &amp; Descendants - Edit'!AE$1,FALSE)=""," - ",(VLOOKUP($C257,'All Girls &amp; Descendants - Edit'!$C$2:$AK$440,'All Girls &amp; Descendants - Edit'!AE$1,FALSE)))</f>
        <v>George William  THOMPSON (1976 - )</v>
      </c>
      <c r="AF257" s="3" t="str">
        <f>IF(VLOOKUP($C257,'All Girls &amp; Descendants - Edit'!$C$2:$AK$440,'All Girls &amp; Descendants - Edit'!AF$1,FALSE)=""," - ",(VLOOKUP($C257,'All Girls &amp; Descendants - Edit'!$C$2:$AK$440,'All Girls &amp; Descendants - Edit'!AF$1,FALSE)))</f>
        <v>George THOMPSON (7th &amp; 107)</v>
      </c>
      <c r="AG257" s="3" t="str">
        <f>IF(VLOOKUP($C257,'All Girls &amp; Descendants - Edit'!$C$2:$AK$440,'All Girls &amp; Descendants - Edit'!AG$1,FALSE)=""," - ",(VLOOKUP($C257,'All Girls &amp; Descendants - Edit'!$C$2:$AK$440,'All Girls &amp; Descendants - Edit'!AG$1,FALSE)))</f>
        <v>Male</v>
      </c>
      <c r="AH257" s="3" t="str">
        <f>IF(VLOOKUP($C257,'All Girls &amp; Descendants - Edit'!$C$2:$AK$440,'All Girls &amp; Descendants - Edit'!AH$1,FALSE)=""," - ",(VLOOKUP($C257,'All Girls &amp; Descendants - Edit'!$C$2:$AK$440,'All Girls &amp; Descendants - Edit'!AH$1,FALSE)))</f>
        <v>7th</v>
      </c>
      <c r="AI257" s="3" t="str">
        <f>IF(VLOOKUP($C257,'All Girls &amp; Descendants - Edit'!$C$2:$AK$440,'All Girls &amp; Descendants - Edit'!AI$1,FALSE)=""," - ",(VLOOKUP($C257,'All Girls &amp; Descendants - Edit'!$C$2:$AK$440,'All Girls &amp; Descendants - Edit'!AI$1,FALSE)))</f>
        <v>Unmarried</v>
      </c>
      <c r="AJ257" s="3" t="str">
        <f>IF(VLOOKUP($C257,'All Girls &amp; Descendants - Edit'!$C$2:$AK$440,'All Girls &amp; Descendants - Edit'!AJ$1,FALSE)=""," - ",(VLOOKUP($C257,'All Girls &amp; Descendants - Edit'!$C$2:$AK$440,'All Girls &amp; Descendants - Edit'!AJ$1,FALSE)))</f>
        <v>Male. b. 26/09/1976 Baptised 1976 at St Joseph’s Cathedral Church, Otis Orchards, Washington. USA.</v>
      </c>
      <c r="AK257" s="3" t="str">
        <f>IF(VLOOKUP($C257,'All Girls &amp; Descendants - Edit'!$C$2:$AK$440,'All Girls &amp; Descendants - Edit'!AK$1,FALSE)=""," - ",(VLOOKUP($C257,'All Girls &amp; Descendants - Edit'!$C$2:$AK$440,'All Girls &amp; Descendants - Edit'!AK$1,FALSE)))</f>
        <v>b. 26/09/1976</v>
      </c>
    </row>
    <row r="258" spans="1:37" ht="19">
      <c r="A258">
        <f>VLOOKUP(B258,'Loyd List 1-190 - Edit'!$P$1:$R$219,3,FALSE)</f>
        <v>76</v>
      </c>
      <c r="B258">
        <f>'All Girls &amp; Descendants - Edit'!B259</f>
        <v>107</v>
      </c>
      <c r="C258" s="98" t="str">
        <f>'All Girls &amp; Descendants - Edit'!C259</f>
        <v>107bc</v>
      </c>
      <c r="D258" s="2" t="str">
        <f>'All Girls &amp; Descendants - Edit'!D259</f>
        <v>THOMPSON</v>
      </c>
      <c r="E258" t="str">
        <f>'All Girls &amp; Descendants - Edit'!E259</f>
        <v>Jeremy</v>
      </c>
      <c r="F258" t="str">
        <f>IF('All Girls &amp; Descendants - Edit'!F259="","",'All Girls &amp; Descendants - Edit'!F259)</f>
        <v>James</v>
      </c>
      <c r="G258" t="str">
        <f>IF('All Girls &amp; Descendants - Edit'!G259="","",'All Girls &amp; Descendants - Edit'!G259)</f>
        <v/>
      </c>
      <c r="H258" t="str">
        <f>IF('All Girls &amp; Descendants - Edit'!H259="","",'All Girls &amp; Descendants - Edit'!H259)</f>
        <v/>
      </c>
      <c r="I258">
        <f>VLOOKUP($C258,'All Girls &amp; Descendants - Edit'!$C$2:$AK$440,'All Girls &amp; Descendants - Edit'!I$1,FALSE)</f>
        <v>1979</v>
      </c>
      <c r="J258" t="str">
        <f>VLOOKUP($C258,'All Girls &amp; Descendants - Edit'!$C$2:$AK$440,'All Girls &amp; Descendants - Edit'!J$1,FALSE)</f>
        <v/>
      </c>
      <c r="K258" s="9"/>
      <c r="L258" t="str">
        <f t="shared" si="25"/>
        <v>18/04/1979</v>
      </c>
      <c r="M258" s="3">
        <f>VLOOKUP($C258,'All Girls &amp; Descendants - Edit'!$C$2:$AK$440,'All Girls &amp; Descendants - Edit'!M$1,FALSE)</f>
        <v>28963</v>
      </c>
      <c r="N258" s="3" t="str">
        <f>IF(VLOOKUP($C258,'All Girls &amp; Descendants - Edit'!$C$2:$AK$440,'All Girls &amp; Descendants - Edit'!N$1,FALSE)=""," - ",(VLOOKUP($C258,'All Girls &amp; Descendants - Edit'!$C$2:$AK$440,'All Girls &amp; Descendants - Edit'!N$1,FALSE)))</f>
        <v xml:space="preserve"> - </v>
      </c>
      <c r="O258" s="3" t="str">
        <f>IF(VLOOKUP($C258,'All Girls &amp; Descendants - Edit'!$C$2:$AK$440,'All Girls &amp; Descendants - Edit'!O$1,FALSE)="","",(VLOOKUP($C258,'All Girls &amp; Descendants - Edit'!$C$2:$AK$440,'All Girls &amp; Descendants - Edit'!O$1,FALSE)))</f>
        <v/>
      </c>
      <c r="P258" s="3" t="str">
        <f t="shared" si="26"/>
        <v/>
      </c>
      <c r="Q258" s="178" t="str">
        <f t="shared" si="27"/>
        <v>107b</v>
      </c>
      <c r="R258" s="23"/>
      <c r="S258" t="str">
        <f>VLOOKUP($C258,'All Girls &amp; Descendants - Edit'!$C$2:$AK$440,'All Girls &amp; Descendants - Edit'!S$1,FALSE)</f>
        <v>Male</v>
      </c>
      <c r="T258" s="176">
        <f t="shared" si="24"/>
        <v>7</v>
      </c>
      <c r="U258" s="176">
        <f t="shared" si="28"/>
        <v>5</v>
      </c>
      <c r="V258" s="176">
        <f t="shared" si="29"/>
        <v>5</v>
      </c>
      <c r="W258" s="177">
        <f t="shared" si="30"/>
        <v>2</v>
      </c>
      <c r="X258" s="3" t="str">
        <f>IF(VLOOKUP($C258,'All Girls &amp; Descendants - Edit'!$C$2:$AK$440,'All Girls &amp; Descendants - Edit'!X$1,FALSE)=""," - ",(VLOOKUP($C258,'All Girls &amp; Descendants - Edit'!$C$2:$AK$440,'All Girls &amp; Descendants - Edit'!X$1,FALSE)))</f>
        <v xml:space="preserve"> - </v>
      </c>
      <c r="Y258" s="3" t="str">
        <f>IF(VLOOKUP($C258,'All Girls &amp; Descendants - Edit'!$C$2:$AK$440,'All Girls &amp; Descendants - Edit'!Y$1,FALSE)=""," - ",(VLOOKUP($C258,'All Girls &amp; Descendants - Edit'!$C$2:$AK$440,'All Girls &amp; Descendants - Edit'!Y$1,FALSE)))</f>
        <v xml:space="preserve"> - </v>
      </c>
      <c r="Z258" s="3" t="str">
        <f>IF(VLOOKUP($C258,'All Girls &amp; Descendants - Edit'!$C$2:$AK$440,'All Girls &amp; Descendants - Edit'!Z$1,FALSE)=""," - ",(VLOOKUP($C258,'All Girls &amp; Descendants - Edit'!$C$2:$AK$440,'All Girls &amp; Descendants - Edit'!Z$1,FALSE)))</f>
        <v>Baptised 1979 at Holy Family Church, Yakima, Washington. USA</v>
      </c>
      <c r="AA258" s="101">
        <f>IF(VLOOKUP($C258,'All Girls &amp; Descendants - Edit'!$C$2:$AK$440,'All Girls &amp; Descendants - Edit'!AA$1,FALSE)=""," - ",(VLOOKUP($C258,'All Girls &amp; Descendants - Edit'!$C$2:$AK$440,'All Girls &amp; Descendants - Edit'!AA$1,FALSE)))</f>
        <v>289</v>
      </c>
      <c r="AB258" s="101">
        <f>IF(VLOOKUP($C258,'All Girls &amp; Descendants - Edit'!$C$2:$AK$440,'All Girls &amp; Descendants - Edit'!AB$1,FALSE)=""," - ",(VLOOKUP($C258,'All Girls &amp; Descendants - Edit'!$C$2:$AK$440,'All Girls &amp; Descendants - Edit'!AB$1,FALSE)))</f>
        <v>115</v>
      </c>
      <c r="AC258" s="101">
        <f>IF(VLOOKUP($C258,'All Girls &amp; Descendants - Edit'!$C$2:$AK$440,'All Girls &amp; Descendants - Edit'!AC$1,FALSE)=""," - ",(VLOOKUP($C258,'All Girls &amp; Descendants - Edit'!$C$2:$AK$440,'All Girls &amp; Descendants - Edit'!AC$1,FALSE)))</f>
        <v>2115</v>
      </c>
      <c r="AD258" s="3" t="str">
        <f>IF(VLOOKUP($C258,'All Girls &amp; Descendants - Edit'!$C$2:$AK$440,'All Girls &amp; Descendants - Edit'!AD$1,FALSE)=""," - ",(VLOOKUP($C258,'All Girls &amp; Descendants - Edit'!$C$2:$AK$440,'All Girls &amp; Descendants - Edit'!AD$1,FALSE)))</f>
        <v>107bc</v>
      </c>
      <c r="AE258" s="3" t="str">
        <f>IF(VLOOKUP($C258,'All Girls &amp; Descendants - Edit'!$C$2:$AK$440,'All Girls &amp; Descendants - Edit'!AE$1,FALSE)=""," - ",(VLOOKUP($C258,'All Girls &amp; Descendants - Edit'!$C$2:$AK$440,'All Girls &amp; Descendants - Edit'!AE$1,FALSE)))</f>
        <v>Jeremy James  THOMPSON (1979 - )</v>
      </c>
      <c r="AF258" s="3" t="str">
        <f>IF(VLOOKUP($C258,'All Girls &amp; Descendants - Edit'!$C$2:$AK$440,'All Girls &amp; Descendants - Edit'!AF$1,FALSE)=""," - ",(VLOOKUP($C258,'All Girls &amp; Descendants - Edit'!$C$2:$AK$440,'All Girls &amp; Descendants - Edit'!AF$1,FALSE)))</f>
        <v>Jeremy THOMPSON (7th &amp; 107)</v>
      </c>
      <c r="AG258" s="3" t="str">
        <f>IF(VLOOKUP($C258,'All Girls &amp; Descendants - Edit'!$C$2:$AK$440,'All Girls &amp; Descendants - Edit'!AG$1,FALSE)=""," - ",(VLOOKUP($C258,'All Girls &amp; Descendants - Edit'!$C$2:$AK$440,'All Girls &amp; Descendants - Edit'!AG$1,FALSE)))</f>
        <v>Male</v>
      </c>
      <c r="AH258" s="3" t="str">
        <f>IF(VLOOKUP($C258,'All Girls &amp; Descendants - Edit'!$C$2:$AK$440,'All Girls &amp; Descendants - Edit'!AH$1,FALSE)=""," - ",(VLOOKUP($C258,'All Girls &amp; Descendants - Edit'!$C$2:$AK$440,'All Girls &amp; Descendants - Edit'!AH$1,FALSE)))</f>
        <v>7th</v>
      </c>
      <c r="AI258" s="3" t="str">
        <f>IF(VLOOKUP($C258,'All Girls &amp; Descendants - Edit'!$C$2:$AK$440,'All Girls &amp; Descendants - Edit'!AI$1,FALSE)=""," - ",(VLOOKUP($C258,'All Girls &amp; Descendants - Edit'!$C$2:$AK$440,'All Girls &amp; Descendants - Edit'!AI$1,FALSE)))</f>
        <v>Unmarried</v>
      </c>
      <c r="AJ258" s="3" t="str">
        <f>IF(VLOOKUP($C258,'All Girls &amp; Descendants - Edit'!$C$2:$AK$440,'All Girls &amp; Descendants - Edit'!AJ$1,FALSE)=""," - ",(VLOOKUP($C258,'All Girls &amp; Descendants - Edit'!$C$2:$AK$440,'All Girls &amp; Descendants - Edit'!AJ$1,FALSE)))</f>
        <v>Male. b. 18/04/1979 Baptised 1979 at Holy Family Church, Yakima, Washington. USA</v>
      </c>
      <c r="AK258" s="3" t="str">
        <f>IF(VLOOKUP($C258,'All Girls &amp; Descendants - Edit'!$C$2:$AK$440,'All Girls &amp; Descendants - Edit'!AK$1,FALSE)=""," - ",(VLOOKUP($C258,'All Girls &amp; Descendants - Edit'!$C$2:$AK$440,'All Girls &amp; Descendants - Edit'!AK$1,FALSE)))</f>
        <v>b. 18/04/1979</v>
      </c>
    </row>
    <row r="259" spans="1:37" ht="19">
      <c r="A259">
        <f>VLOOKUP(B259,'Loyd List 1-190 - Edit'!$P$1:$R$219,3,FALSE)</f>
        <v>76</v>
      </c>
      <c r="B259">
        <f>'All Girls &amp; Descendants - Edit'!B260</f>
        <v>107</v>
      </c>
      <c r="C259" s="98" t="str">
        <f>'All Girls &amp; Descendants - Edit'!C260</f>
        <v>107ca</v>
      </c>
      <c r="D259" s="2" t="str">
        <f>'All Girls &amp; Descendants - Edit'!D260</f>
        <v>ORR</v>
      </c>
      <c r="E259" t="str">
        <f>'All Girls &amp; Descendants - Edit'!E260</f>
        <v>Charitie</v>
      </c>
      <c r="F259" t="str">
        <f>IF('All Girls &amp; Descendants - Edit'!F260="","",'All Girls &amp; Descendants - Edit'!F260)</f>
        <v>Lee</v>
      </c>
      <c r="G259" t="str">
        <f>IF('All Girls &amp; Descendants - Edit'!G260="","",'All Girls &amp; Descendants - Edit'!G260)</f>
        <v/>
      </c>
      <c r="H259" t="str">
        <f>IF('All Girls &amp; Descendants - Edit'!H260="","",'All Girls &amp; Descendants - Edit'!H260)</f>
        <v/>
      </c>
      <c r="I259">
        <f>VLOOKUP($C259,'All Girls &amp; Descendants - Edit'!$C$2:$AK$440,'All Girls &amp; Descendants - Edit'!I$1,FALSE)</f>
        <v>1978</v>
      </c>
      <c r="J259" t="str">
        <f>VLOOKUP($C259,'All Girls &amp; Descendants - Edit'!$C$2:$AK$440,'All Girls &amp; Descendants - Edit'!J$1,FALSE)</f>
        <v/>
      </c>
      <c r="K259" s="9"/>
      <c r="L259" t="str">
        <f t="shared" si="25"/>
        <v>24/07/1978</v>
      </c>
      <c r="M259" s="3">
        <f>VLOOKUP($C259,'All Girls &amp; Descendants - Edit'!$C$2:$AK$440,'All Girls &amp; Descendants - Edit'!M$1,FALSE)</f>
        <v>28695</v>
      </c>
      <c r="N259" s="3" t="str">
        <f>IF(VLOOKUP($C259,'All Girls &amp; Descendants - Edit'!$C$2:$AK$440,'All Girls &amp; Descendants - Edit'!N$1,FALSE)=""," - ",(VLOOKUP($C259,'All Girls &amp; Descendants - Edit'!$C$2:$AK$440,'All Girls &amp; Descendants - Edit'!N$1,FALSE)))</f>
        <v xml:space="preserve"> - </v>
      </c>
      <c r="O259" s="3" t="str">
        <f>IF(VLOOKUP($C259,'All Girls &amp; Descendants - Edit'!$C$2:$AK$440,'All Girls &amp; Descendants - Edit'!O$1,FALSE)="","",(VLOOKUP($C259,'All Girls &amp; Descendants - Edit'!$C$2:$AK$440,'All Girls &amp; Descendants - Edit'!O$1,FALSE)))</f>
        <v/>
      </c>
      <c r="P259" s="3" t="str">
        <f t="shared" si="26"/>
        <v/>
      </c>
      <c r="Q259" s="178" t="str">
        <f t="shared" si="27"/>
        <v>107c</v>
      </c>
      <c r="R259" s="23"/>
      <c r="S259" t="str">
        <f>VLOOKUP($C259,'All Girls &amp; Descendants - Edit'!$C$2:$AK$440,'All Girls &amp; Descendants - Edit'!S$1,FALSE)</f>
        <v>Female</v>
      </c>
      <c r="T259" s="176">
        <f t="shared" si="24"/>
        <v>7</v>
      </c>
      <c r="U259" s="176">
        <f t="shared" si="28"/>
        <v>5</v>
      </c>
      <c r="V259" s="176">
        <f t="shared" si="29"/>
        <v>5</v>
      </c>
      <c r="W259" s="177">
        <f t="shared" si="30"/>
        <v>2</v>
      </c>
      <c r="X259" s="3" t="str">
        <f>IF(VLOOKUP($C259,'All Girls &amp; Descendants - Edit'!$C$2:$AK$440,'All Girls &amp; Descendants - Edit'!X$1,FALSE)=""," - ",(VLOOKUP($C259,'All Girls &amp; Descendants - Edit'!$C$2:$AK$440,'All Girls &amp; Descendants - Edit'!X$1,FALSE)))</f>
        <v xml:space="preserve"> - </v>
      </c>
      <c r="Y259" s="3" t="str">
        <f>IF(VLOOKUP($C259,'All Girls &amp; Descendants - Edit'!$C$2:$AK$440,'All Girls &amp; Descendants - Edit'!Y$1,FALSE)=""," - ",(VLOOKUP($C259,'All Girls &amp; Descendants - Edit'!$C$2:$AK$440,'All Girls &amp; Descendants - Edit'!Y$1,FALSE)))</f>
        <v xml:space="preserve"> - </v>
      </c>
      <c r="Z259" s="3" t="str">
        <f>IF(VLOOKUP($C259,'All Girls &amp; Descendants - Edit'!$C$2:$AK$440,'All Girls &amp; Descendants - Edit'!Z$1,FALSE)=""," - ",(VLOOKUP($C259,'All Girls &amp; Descendants - Edit'!$C$2:$AK$440,'All Girls &amp; Descendants - Edit'!Z$1,FALSE)))</f>
        <v xml:space="preserve"> - </v>
      </c>
      <c r="AA259" s="101">
        <f>IF(VLOOKUP($C259,'All Girls &amp; Descendants - Edit'!$C$2:$AK$440,'All Girls &amp; Descendants - Edit'!AA$1,FALSE)=""," - ",(VLOOKUP($C259,'All Girls &amp; Descendants - Edit'!$C$2:$AK$440,'All Girls &amp; Descendants - Edit'!AA$1,FALSE)))</f>
        <v>291</v>
      </c>
      <c r="AB259" s="101">
        <f>IF(VLOOKUP($C259,'All Girls &amp; Descendants - Edit'!$C$2:$AK$440,'All Girls &amp; Descendants - Edit'!AB$1,FALSE)=""," - ",(VLOOKUP($C259,'All Girls &amp; Descendants - Edit'!$C$2:$AK$440,'All Girls &amp; Descendants - Edit'!AB$1,FALSE)))</f>
        <v>116</v>
      </c>
      <c r="AC259" s="101">
        <f>IF(VLOOKUP($C259,'All Girls &amp; Descendants - Edit'!$C$2:$AK$440,'All Girls &amp; Descendants - Edit'!AC$1,FALSE)=""," - ",(VLOOKUP($C259,'All Girls &amp; Descendants - Edit'!$C$2:$AK$440,'All Girls &amp; Descendants - Edit'!AC$1,FALSE)))</f>
        <v>2116</v>
      </c>
      <c r="AD259" s="3" t="str">
        <f>IF(VLOOKUP($C259,'All Girls &amp; Descendants - Edit'!$C$2:$AK$440,'All Girls &amp; Descendants - Edit'!AD$1,FALSE)=""," - ",(VLOOKUP($C259,'All Girls &amp; Descendants - Edit'!$C$2:$AK$440,'All Girls &amp; Descendants - Edit'!AD$1,FALSE)))</f>
        <v>107ca</v>
      </c>
      <c r="AE259" s="3" t="str">
        <f>IF(VLOOKUP($C259,'All Girls &amp; Descendants - Edit'!$C$2:$AK$440,'All Girls &amp; Descendants - Edit'!AE$1,FALSE)=""," - ",(VLOOKUP($C259,'All Girls &amp; Descendants - Edit'!$C$2:$AK$440,'All Girls &amp; Descendants - Edit'!AE$1,FALSE)))</f>
        <v>Charitie Lee  ORR (1978 - )</v>
      </c>
      <c r="AF259" s="3" t="str">
        <f>IF(VLOOKUP($C259,'All Girls &amp; Descendants - Edit'!$C$2:$AK$440,'All Girls &amp; Descendants - Edit'!AF$1,FALSE)=""," - ",(VLOOKUP($C259,'All Girls &amp; Descendants - Edit'!$C$2:$AK$440,'All Girls &amp; Descendants - Edit'!AF$1,FALSE)))</f>
        <v>Charitie ORR (7th &amp; 107)</v>
      </c>
      <c r="AG259" s="3" t="str">
        <f>IF(VLOOKUP($C259,'All Girls &amp; Descendants - Edit'!$C$2:$AK$440,'All Girls &amp; Descendants - Edit'!AG$1,FALSE)=""," - ",(VLOOKUP($C259,'All Girls &amp; Descendants - Edit'!$C$2:$AK$440,'All Girls &amp; Descendants - Edit'!AG$1,FALSE)))</f>
        <v>Female</v>
      </c>
      <c r="AH259" s="3" t="str">
        <f>IF(VLOOKUP($C259,'All Girls &amp; Descendants - Edit'!$C$2:$AK$440,'All Girls &amp; Descendants - Edit'!AH$1,FALSE)=""," - ",(VLOOKUP($C259,'All Girls &amp; Descendants - Edit'!$C$2:$AK$440,'All Girls &amp; Descendants - Edit'!AH$1,FALSE)))</f>
        <v>7th</v>
      </c>
      <c r="AI259" s="3" t="str">
        <f>IF(VLOOKUP($C259,'All Girls &amp; Descendants - Edit'!$C$2:$AK$440,'All Girls &amp; Descendants - Edit'!AI$1,FALSE)=""," - ",(VLOOKUP($C259,'All Girls &amp; Descendants - Edit'!$C$2:$AK$440,'All Girls &amp; Descendants - Edit'!AI$1,FALSE)))</f>
        <v>Unmarried</v>
      </c>
      <c r="AJ259" s="3" t="str">
        <f>IF(VLOOKUP($C259,'All Girls &amp; Descendants - Edit'!$C$2:$AK$440,'All Girls &amp; Descendants - Edit'!AJ$1,FALSE)=""," - ",(VLOOKUP($C259,'All Girls &amp; Descendants - Edit'!$C$2:$AK$440,'All Girls &amp; Descendants - Edit'!AJ$1,FALSE)))</f>
        <v>Female. b. 24/07/1978</v>
      </c>
      <c r="AK259" s="3" t="str">
        <f>IF(VLOOKUP($C259,'All Girls &amp; Descendants - Edit'!$C$2:$AK$440,'All Girls &amp; Descendants - Edit'!AK$1,FALSE)=""," - ",(VLOOKUP($C259,'All Girls &amp; Descendants - Edit'!$C$2:$AK$440,'All Girls &amp; Descendants - Edit'!AK$1,FALSE)))</f>
        <v>b. 24/07/1978</v>
      </c>
    </row>
    <row r="260" spans="1:37" ht="19">
      <c r="A260">
        <f>VLOOKUP(B260,'Loyd List 1-190 - Edit'!$P$1:$R$219,3,FALSE)</f>
        <v>76</v>
      </c>
      <c r="B260">
        <f>'All Girls &amp; Descendants - Edit'!B261</f>
        <v>107</v>
      </c>
      <c r="C260" s="98" t="str">
        <f>'All Girls &amp; Descendants - Edit'!C261</f>
        <v>107cb</v>
      </c>
      <c r="D260" s="2" t="str">
        <f>'All Girls &amp; Descendants - Edit'!D261</f>
        <v>ORR</v>
      </c>
      <c r="E260" t="str">
        <f>'All Girls &amp; Descendants - Edit'!E261</f>
        <v>Audrey</v>
      </c>
      <c r="F260" t="str">
        <f>IF('All Girls &amp; Descendants - Edit'!F261="","",'All Girls &amp; Descendants - Edit'!F261)</f>
        <v>Dawn</v>
      </c>
      <c r="G260" t="str">
        <f>IF('All Girls &amp; Descendants - Edit'!G261="","",'All Girls &amp; Descendants - Edit'!G261)</f>
        <v/>
      </c>
      <c r="H260" t="str">
        <f>IF('All Girls &amp; Descendants - Edit'!H261="","",'All Girls &amp; Descendants - Edit'!H261)</f>
        <v/>
      </c>
      <c r="I260">
        <f>VLOOKUP($C260,'All Girls &amp; Descendants - Edit'!$C$2:$AK$440,'All Girls &amp; Descendants - Edit'!I$1,FALSE)</f>
        <v>1980</v>
      </c>
      <c r="J260" t="str">
        <f>VLOOKUP($C260,'All Girls &amp; Descendants - Edit'!$C$2:$AK$440,'All Girls &amp; Descendants - Edit'!J$1,FALSE)</f>
        <v/>
      </c>
      <c r="K260" s="9"/>
      <c r="L260" t="str">
        <f t="shared" si="25"/>
        <v>12/07/1980</v>
      </c>
      <c r="M260" s="3">
        <f>VLOOKUP($C260,'All Girls &amp; Descendants - Edit'!$C$2:$AK$440,'All Girls &amp; Descendants - Edit'!M$1,FALSE)</f>
        <v>29414</v>
      </c>
      <c r="N260" s="3" t="str">
        <f>IF(VLOOKUP($C260,'All Girls &amp; Descendants - Edit'!$C$2:$AK$440,'All Girls &amp; Descendants - Edit'!N$1,FALSE)=""," - ",(VLOOKUP($C260,'All Girls &amp; Descendants - Edit'!$C$2:$AK$440,'All Girls &amp; Descendants - Edit'!N$1,FALSE)))</f>
        <v xml:space="preserve"> - </v>
      </c>
      <c r="O260" s="3" t="str">
        <f>IF(VLOOKUP($C260,'All Girls &amp; Descendants - Edit'!$C$2:$AK$440,'All Girls &amp; Descendants - Edit'!O$1,FALSE)="","",(VLOOKUP($C260,'All Girls &amp; Descendants - Edit'!$C$2:$AK$440,'All Girls &amp; Descendants - Edit'!O$1,FALSE)))</f>
        <v/>
      </c>
      <c r="P260" s="3" t="str">
        <f t="shared" si="26"/>
        <v/>
      </c>
      <c r="Q260" s="178" t="str">
        <f t="shared" si="27"/>
        <v>107c</v>
      </c>
      <c r="R260" s="23"/>
      <c r="S260" t="str">
        <f>VLOOKUP($C260,'All Girls &amp; Descendants - Edit'!$C$2:$AK$440,'All Girls &amp; Descendants - Edit'!S$1,FALSE)</f>
        <v>Male</v>
      </c>
      <c r="T260" s="176">
        <f t="shared" ref="T260:T323" si="31">IF(B260&lt;10,V260+U260-1,IF(AND(B260&gt;=10,B260&lt;100),V260+U260-2,IF(B260&gt;=100,V260+U260-3)))</f>
        <v>7</v>
      </c>
      <c r="U260" s="176">
        <f t="shared" si="28"/>
        <v>5</v>
      </c>
      <c r="V260" s="176">
        <f t="shared" si="29"/>
        <v>5</v>
      </c>
      <c r="W260" s="177">
        <f t="shared" si="30"/>
        <v>2</v>
      </c>
      <c r="X260" s="3" t="str">
        <f>IF(VLOOKUP($C260,'All Girls &amp; Descendants - Edit'!$C$2:$AK$440,'All Girls &amp; Descendants - Edit'!X$1,FALSE)=""," - ",(VLOOKUP($C260,'All Girls &amp; Descendants - Edit'!$C$2:$AK$440,'All Girls &amp; Descendants - Edit'!X$1,FALSE)))</f>
        <v xml:space="preserve"> - </v>
      </c>
      <c r="Y260" s="3" t="str">
        <f>IF(VLOOKUP($C260,'All Girls &amp; Descendants - Edit'!$C$2:$AK$440,'All Girls &amp; Descendants - Edit'!Y$1,FALSE)=""," - ",(VLOOKUP($C260,'All Girls &amp; Descendants - Edit'!$C$2:$AK$440,'All Girls &amp; Descendants - Edit'!Y$1,FALSE)))</f>
        <v xml:space="preserve"> - </v>
      </c>
      <c r="Z260" s="3" t="str">
        <f>IF(VLOOKUP($C260,'All Girls &amp; Descendants - Edit'!$C$2:$AK$440,'All Girls &amp; Descendants - Edit'!Z$1,FALSE)=""," - ",(VLOOKUP($C260,'All Girls &amp; Descendants - Edit'!$C$2:$AK$440,'All Girls &amp; Descendants - Edit'!Z$1,FALSE)))</f>
        <v xml:space="preserve"> - </v>
      </c>
      <c r="AA260" s="101">
        <f>IF(VLOOKUP($C260,'All Girls &amp; Descendants - Edit'!$C$2:$AK$440,'All Girls &amp; Descendants - Edit'!AA$1,FALSE)=""," - ",(VLOOKUP($C260,'All Girls &amp; Descendants - Edit'!$C$2:$AK$440,'All Girls &amp; Descendants - Edit'!AA$1,FALSE)))</f>
        <v>292</v>
      </c>
      <c r="AB260" s="101">
        <f>IF(VLOOKUP($C260,'All Girls &amp; Descendants - Edit'!$C$2:$AK$440,'All Girls &amp; Descendants - Edit'!AB$1,FALSE)=""," - ",(VLOOKUP($C260,'All Girls &amp; Descendants - Edit'!$C$2:$AK$440,'All Girls &amp; Descendants - Edit'!AB$1,FALSE)))</f>
        <v>117</v>
      </c>
      <c r="AC260" s="101">
        <f>IF(VLOOKUP($C260,'All Girls &amp; Descendants - Edit'!$C$2:$AK$440,'All Girls &amp; Descendants - Edit'!AC$1,FALSE)=""," - ",(VLOOKUP($C260,'All Girls &amp; Descendants - Edit'!$C$2:$AK$440,'All Girls &amp; Descendants - Edit'!AC$1,FALSE)))</f>
        <v>2117</v>
      </c>
      <c r="AD260" s="3" t="str">
        <f>IF(VLOOKUP($C260,'All Girls &amp; Descendants - Edit'!$C$2:$AK$440,'All Girls &amp; Descendants - Edit'!AD$1,FALSE)=""," - ",(VLOOKUP($C260,'All Girls &amp; Descendants - Edit'!$C$2:$AK$440,'All Girls &amp; Descendants - Edit'!AD$1,FALSE)))</f>
        <v>107cb</v>
      </c>
      <c r="AE260" s="3" t="str">
        <f>IF(VLOOKUP($C260,'All Girls &amp; Descendants - Edit'!$C$2:$AK$440,'All Girls &amp; Descendants - Edit'!AE$1,FALSE)=""," - ",(VLOOKUP($C260,'All Girls &amp; Descendants - Edit'!$C$2:$AK$440,'All Girls &amp; Descendants - Edit'!AE$1,FALSE)))</f>
        <v>Audrey Dawn  ORR (1980 - )</v>
      </c>
      <c r="AF260" s="3" t="str">
        <f>IF(VLOOKUP($C260,'All Girls &amp; Descendants - Edit'!$C$2:$AK$440,'All Girls &amp; Descendants - Edit'!AF$1,FALSE)=""," - ",(VLOOKUP($C260,'All Girls &amp; Descendants - Edit'!$C$2:$AK$440,'All Girls &amp; Descendants - Edit'!AF$1,FALSE)))</f>
        <v>Audrey ORR (7th &amp; 107)</v>
      </c>
      <c r="AG260" s="3" t="str">
        <f>IF(VLOOKUP($C260,'All Girls &amp; Descendants - Edit'!$C$2:$AK$440,'All Girls &amp; Descendants - Edit'!AG$1,FALSE)=""," - ",(VLOOKUP($C260,'All Girls &amp; Descendants - Edit'!$C$2:$AK$440,'All Girls &amp; Descendants - Edit'!AG$1,FALSE)))</f>
        <v>Male</v>
      </c>
      <c r="AH260" s="3" t="str">
        <f>IF(VLOOKUP($C260,'All Girls &amp; Descendants - Edit'!$C$2:$AK$440,'All Girls &amp; Descendants - Edit'!AH$1,FALSE)=""," - ",(VLOOKUP($C260,'All Girls &amp; Descendants - Edit'!$C$2:$AK$440,'All Girls &amp; Descendants - Edit'!AH$1,FALSE)))</f>
        <v>7th</v>
      </c>
      <c r="AI260" s="3" t="str">
        <f>IF(VLOOKUP($C260,'All Girls &amp; Descendants - Edit'!$C$2:$AK$440,'All Girls &amp; Descendants - Edit'!AI$1,FALSE)=""," - ",(VLOOKUP($C260,'All Girls &amp; Descendants - Edit'!$C$2:$AK$440,'All Girls &amp; Descendants - Edit'!AI$1,FALSE)))</f>
        <v>Unmarried</v>
      </c>
      <c r="AJ260" s="3" t="str">
        <f>IF(VLOOKUP($C260,'All Girls &amp; Descendants - Edit'!$C$2:$AK$440,'All Girls &amp; Descendants - Edit'!AJ$1,FALSE)=""," - ",(VLOOKUP($C260,'All Girls &amp; Descendants - Edit'!$C$2:$AK$440,'All Girls &amp; Descendants - Edit'!AJ$1,FALSE)))</f>
        <v>Male. b. 12/07/1980</v>
      </c>
      <c r="AK260" s="3" t="str">
        <f>IF(VLOOKUP($C260,'All Girls &amp; Descendants - Edit'!$C$2:$AK$440,'All Girls &amp; Descendants - Edit'!AK$1,FALSE)=""," - ",(VLOOKUP($C260,'All Girls &amp; Descendants - Edit'!$C$2:$AK$440,'All Girls &amp; Descendants - Edit'!AK$1,FALSE)))</f>
        <v>b. 12/07/1980</v>
      </c>
    </row>
    <row r="261" spans="1:37" ht="19">
      <c r="A261">
        <f>VLOOKUP(B261,'Loyd List 1-190 - Edit'!$P$1:$R$219,3,FALSE)</f>
        <v>76</v>
      </c>
      <c r="B261">
        <f>'All Girls &amp; Descendants - Edit'!B262</f>
        <v>107</v>
      </c>
      <c r="C261" s="98" t="str">
        <f>'All Girls &amp; Descendants - Edit'!C262</f>
        <v>107cc</v>
      </c>
      <c r="D261" s="2" t="str">
        <f>'All Girls &amp; Descendants - Edit'!D262</f>
        <v>ORR</v>
      </c>
      <c r="E261" t="str">
        <f>'All Girls &amp; Descendants - Edit'!E262</f>
        <v>Michael</v>
      </c>
      <c r="F261" t="str">
        <f>IF('All Girls &amp; Descendants - Edit'!F262="","",'All Girls &amp; Descendants - Edit'!F262)</f>
        <v>Travis</v>
      </c>
      <c r="G261" t="str">
        <f>IF('All Girls &amp; Descendants - Edit'!G262="","",'All Girls &amp; Descendants - Edit'!G262)</f>
        <v>Kirkman</v>
      </c>
      <c r="H261" t="str">
        <f>IF('All Girls &amp; Descendants - Edit'!H262="","",'All Girls &amp; Descendants - Edit'!H262)</f>
        <v/>
      </c>
      <c r="I261">
        <f>VLOOKUP($C261,'All Girls &amp; Descendants - Edit'!$C$2:$AK$440,'All Girls &amp; Descendants - Edit'!I$1,FALSE)</f>
        <v>1984</v>
      </c>
      <c r="J261" t="str">
        <f>VLOOKUP($C261,'All Girls &amp; Descendants - Edit'!$C$2:$AK$440,'All Girls &amp; Descendants - Edit'!J$1,FALSE)</f>
        <v/>
      </c>
      <c r="K261" s="9"/>
      <c r="L261" t="str">
        <f t="shared" si="25"/>
        <v>12/04/1984</v>
      </c>
      <c r="M261" s="3">
        <f>VLOOKUP($C261,'All Girls &amp; Descendants - Edit'!$C$2:$AK$440,'All Girls &amp; Descendants - Edit'!M$1,FALSE)</f>
        <v>30784</v>
      </c>
      <c r="N261" s="3" t="str">
        <f>IF(VLOOKUP($C261,'All Girls &amp; Descendants - Edit'!$C$2:$AK$440,'All Girls &amp; Descendants - Edit'!N$1,FALSE)=""," - ",(VLOOKUP($C261,'All Girls &amp; Descendants - Edit'!$C$2:$AK$440,'All Girls &amp; Descendants - Edit'!N$1,FALSE)))</f>
        <v xml:space="preserve"> - </v>
      </c>
      <c r="O261" s="3" t="str">
        <f>IF(VLOOKUP($C261,'All Girls &amp; Descendants - Edit'!$C$2:$AK$440,'All Girls &amp; Descendants - Edit'!O$1,FALSE)="","",(VLOOKUP($C261,'All Girls &amp; Descendants - Edit'!$C$2:$AK$440,'All Girls &amp; Descendants - Edit'!O$1,FALSE)))</f>
        <v/>
      </c>
      <c r="P261" s="3" t="str">
        <f t="shared" si="26"/>
        <v/>
      </c>
      <c r="Q261" s="178" t="str">
        <f t="shared" si="27"/>
        <v>107c</v>
      </c>
      <c r="R261" s="23"/>
      <c r="S261" t="str">
        <f>VLOOKUP($C261,'All Girls &amp; Descendants - Edit'!$C$2:$AK$440,'All Girls &amp; Descendants - Edit'!S$1,FALSE)</f>
        <v>Female</v>
      </c>
      <c r="T261" s="176">
        <f t="shared" si="31"/>
        <v>7</v>
      </c>
      <c r="U261" s="176">
        <f t="shared" si="28"/>
        <v>5</v>
      </c>
      <c r="V261" s="176">
        <f t="shared" si="29"/>
        <v>5</v>
      </c>
      <c r="W261" s="177">
        <f t="shared" si="30"/>
        <v>2</v>
      </c>
      <c r="X261" s="3" t="str">
        <f>IF(VLOOKUP($C261,'All Girls &amp; Descendants - Edit'!$C$2:$AK$440,'All Girls &amp; Descendants - Edit'!X$1,FALSE)=""," - ",(VLOOKUP($C261,'All Girls &amp; Descendants - Edit'!$C$2:$AK$440,'All Girls &amp; Descendants - Edit'!X$1,FALSE)))</f>
        <v xml:space="preserve"> - </v>
      </c>
      <c r="Y261" s="3" t="str">
        <f>IF(VLOOKUP($C261,'All Girls &amp; Descendants - Edit'!$C$2:$AK$440,'All Girls &amp; Descendants - Edit'!Y$1,FALSE)=""," - ",(VLOOKUP($C261,'All Girls &amp; Descendants - Edit'!$C$2:$AK$440,'All Girls &amp; Descendants - Edit'!Y$1,FALSE)))</f>
        <v xml:space="preserve"> - </v>
      </c>
      <c r="Z261" s="3" t="str">
        <f>IF(VLOOKUP($C261,'All Girls &amp; Descendants - Edit'!$C$2:$AK$440,'All Girls &amp; Descendants - Edit'!Z$1,FALSE)=""," - ",(VLOOKUP($C261,'All Girls &amp; Descendants - Edit'!$C$2:$AK$440,'All Girls &amp; Descendants - Edit'!Z$1,FALSE)))</f>
        <v xml:space="preserve"> - </v>
      </c>
      <c r="AA261" s="101">
        <f>IF(VLOOKUP($C261,'All Girls &amp; Descendants - Edit'!$C$2:$AK$440,'All Girls &amp; Descendants - Edit'!AA$1,FALSE)=""," - ",(VLOOKUP($C261,'All Girls &amp; Descendants - Edit'!$C$2:$AK$440,'All Girls &amp; Descendants - Edit'!AA$1,FALSE)))</f>
        <v>293</v>
      </c>
      <c r="AB261" s="101">
        <f>IF(VLOOKUP($C261,'All Girls &amp; Descendants - Edit'!$C$2:$AK$440,'All Girls &amp; Descendants - Edit'!AB$1,FALSE)=""," - ",(VLOOKUP($C261,'All Girls &amp; Descendants - Edit'!$C$2:$AK$440,'All Girls &amp; Descendants - Edit'!AB$1,FALSE)))</f>
        <v>118</v>
      </c>
      <c r="AC261" s="101">
        <f>IF(VLOOKUP($C261,'All Girls &amp; Descendants - Edit'!$C$2:$AK$440,'All Girls &amp; Descendants - Edit'!AC$1,FALSE)=""," - ",(VLOOKUP($C261,'All Girls &amp; Descendants - Edit'!$C$2:$AK$440,'All Girls &amp; Descendants - Edit'!AC$1,FALSE)))</f>
        <v>2118</v>
      </c>
      <c r="AD261" s="3" t="str">
        <f>IF(VLOOKUP($C261,'All Girls &amp; Descendants - Edit'!$C$2:$AK$440,'All Girls &amp; Descendants - Edit'!AD$1,FALSE)=""," - ",(VLOOKUP($C261,'All Girls &amp; Descendants - Edit'!$C$2:$AK$440,'All Girls &amp; Descendants - Edit'!AD$1,FALSE)))</f>
        <v>107cc</v>
      </c>
      <c r="AE261" s="3" t="str">
        <f>IF(VLOOKUP($C261,'All Girls &amp; Descendants - Edit'!$C$2:$AK$440,'All Girls &amp; Descendants - Edit'!AE$1,FALSE)=""," - ",(VLOOKUP($C261,'All Girls &amp; Descendants - Edit'!$C$2:$AK$440,'All Girls &amp; Descendants - Edit'!AE$1,FALSE)))</f>
        <v>Michael Travis Kirkman ORR (1984 - )</v>
      </c>
      <c r="AF261" s="3" t="str">
        <f>IF(VLOOKUP($C261,'All Girls &amp; Descendants - Edit'!$C$2:$AK$440,'All Girls &amp; Descendants - Edit'!AF$1,FALSE)=""," - ",(VLOOKUP($C261,'All Girls &amp; Descendants - Edit'!$C$2:$AK$440,'All Girls &amp; Descendants - Edit'!AF$1,FALSE)))</f>
        <v>Michael ORR (7th &amp; 107)</v>
      </c>
      <c r="AG261" s="3" t="str">
        <f>IF(VLOOKUP($C261,'All Girls &amp; Descendants - Edit'!$C$2:$AK$440,'All Girls &amp; Descendants - Edit'!AG$1,FALSE)=""," - ",(VLOOKUP($C261,'All Girls &amp; Descendants - Edit'!$C$2:$AK$440,'All Girls &amp; Descendants - Edit'!AG$1,FALSE)))</f>
        <v>Female</v>
      </c>
      <c r="AH261" s="3" t="str">
        <f>IF(VLOOKUP($C261,'All Girls &amp; Descendants - Edit'!$C$2:$AK$440,'All Girls &amp; Descendants - Edit'!AH$1,FALSE)=""," - ",(VLOOKUP($C261,'All Girls &amp; Descendants - Edit'!$C$2:$AK$440,'All Girls &amp; Descendants - Edit'!AH$1,FALSE)))</f>
        <v>7th</v>
      </c>
      <c r="AI261" s="3" t="str">
        <f>IF(VLOOKUP($C261,'All Girls &amp; Descendants - Edit'!$C$2:$AK$440,'All Girls &amp; Descendants - Edit'!AI$1,FALSE)=""," - ",(VLOOKUP($C261,'All Girls &amp; Descendants - Edit'!$C$2:$AK$440,'All Girls &amp; Descendants - Edit'!AI$1,FALSE)))</f>
        <v>Unmarried</v>
      </c>
      <c r="AJ261" s="3" t="str">
        <f>IF(VLOOKUP($C261,'All Girls &amp; Descendants - Edit'!$C$2:$AK$440,'All Girls &amp; Descendants - Edit'!AJ$1,FALSE)=""," - ",(VLOOKUP($C261,'All Girls &amp; Descendants - Edit'!$C$2:$AK$440,'All Girls &amp; Descendants - Edit'!AJ$1,FALSE)))</f>
        <v>Female. b. 12/04/1984</v>
      </c>
      <c r="AK261" s="3" t="str">
        <f>IF(VLOOKUP($C261,'All Girls &amp; Descendants - Edit'!$C$2:$AK$440,'All Girls &amp; Descendants - Edit'!AK$1,FALSE)=""," - ",(VLOOKUP($C261,'All Girls &amp; Descendants - Edit'!$C$2:$AK$440,'All Girls &amp; Descendants - Edit'!AK$1,FALSE)))</f>
        <v>b. 12/04/1984</v>
      </c>
    </row>
    <row r="262" spans="1:37" ht="19">
      <c r="A262">
        <f>VLOOKUP(B262,'Loyd List 1-190 - Edit'!$P$1:$R$219,3,FALSE)</f>
        <v>76</v>
      </c>
      <c r="B262">
        <f>'All Girls &amp; Descendants - Edit'!B263</f>
        <v>107</v>
      </c>
      <c r="C262" s="98" t="str">
        <f>'All Girls &amp; Descendants - Edit'!C263</f>
        <v>107cd</v>
      </c>
      <c r="D262" s="2" t="str">
        <f>'All Girls &amp; Descendants - Edit'!D263</f>
        <v>ORR</v>
      </c>
      <c r="E262" t="str">
        <f>'All Girls &amp; Descendants - Edit'!E263</f>
        <v>Seth</v>
      </c>
      <c r="F262" t="str">
        <f>IF('All Girls &amp; Descendants - Edit'!F263="","",'All Girls &amp; Descendants - Edit'!F263)</f>
        <v>Edward</v>
      </c>
      <c r="G262" t="str">
        <f>IF('All Girls &amp; Descendants - Edit'!G263="","",'All Girls &amp; Descendants - Edit'!G263)</f>
        <v/>
      </c>
      <c r="H262" t="str">
        <f>IF('All Girls &amp; Descendants - Edit'!H263="","",'All Girls &amp; Descendants - Edit'!H263)</f>
        <v/>
      </c>
      <c r="I262">
        <f>VLOOKUP($C262,'All Girls &amp; Descendants - Edit'!$C$2:$AK$440,'All Girls &amp; Descendants - Edit'!I$1,FALSE)</f>
        <v>1986</v>
      </c>
      <c r="J262" t="str">
        <f>VLOOKUP($C262,'All Girls &amp; Descendants - Edit'!$C$2:$AK$440,'All Girls &amp; Descendants - Edit'!J$1,FALSE)</f>
        <v/>
      </c>
      <c r="K262" s="9"/>
      <c r="L262" t="str">
        <f t="shared" si="25"/>
        <v>26/10/1986</v>
      </c>
      <c r="M262" s="3">
        <f>VLOOKUP($C262,'All Girls &amp; Descendants - Edit'!$C$2:$AK$440,'All Girls &amp; Descendants - Edit'!M$1,FALSE)</f>
        <v>31711</v>
      </c>
      <c r="N262" s="3" t="str">
        <f>IF(VLOOKUP($C262,'All Girls &amp; Descendants - Edit'!$C$2:$AK$440,'All Girls &amp; Descendants - Edit'!N$1,FALSE)=""," - ",(VLOOKUP($C262,'All Girls &amp; Descendants - Edit'!$C$2:$AK$440,'All Girls &amp; Descendants - Edit'!N$1,FALSE)))</f>
        <v xml:space="preserve"> - </v>
      </c>
      <c r="O262" s="3" t="str">
        <f>IF(VLOOKUP($C262,'All Girls &amp; Descendants - Edit'!$C$2:$AK$440,'All Girls &amp; Descendants - Edit'!O$1,FALSE)="","",(VLOOKUP($C262,'All Girls &amp; Descendants - Edit'!$C$2:$AK$440,'All Girls &amp; Descendants - Edit'!O$1,FALSE)))</f>
        <v/>
      </c>
      <c r="P262" s="3" t="str">
        <f t="shared" si="26"/>
        <v/>
      </c>
      <c r="Q262" s="178" t="str">
        <f t="shared" si="27"/>
        <v>107c</v>
      </c>
      <c r="R262" s="23"/>
      <c r="S262" t="str">
        <f>VLOOKUP($C262,'All Girls &amp; Descendants - Edit'!$C$2:$AK$440,'All Girls &amp; Descendants - Edit'!S$1,FALSE)</f>
        <v>Male</v>
      </c>
      <c r="T262" s="176">
        <f t="shared" si="31"/>
        <v>7</v>
      </c>
      <c r="U262" s="176">
        <f t="shared" si="28"/>
        <v>5</v>
      </c>
      <c r="V262" s="176">
        <f t="shared" si="29"/>
        <v>5</v>
      </c>
      <c r="W262" s="177">
        <f t="shared" si="30"/>
        <v>2</v>
      </c>
      <c r="X262" s="3" t="str">
        <f>IF(VLOOKUP($C262,'All Girls &amp; Descendants - Edit'!$C$2:$AK$440,'All Girls &amp; Descendants - Edit'!X$1,FALSE)=""," - ",(VLOOKUP($C262,'All Girls &amp; Descendants - Edit'!$C$2:$AK$440,'All Girls &amp; Descendants - Edit'!X$1,FALSE)))</f>
        <v xml:space="preserve"> - </v>
      </c>
      <c r="Y262" s="3" t="str">
        <f>IF(VLOOKUP($C262,'All Girls &amp; Descendants - Edit'!$C$2:$AK$440,'All Girls &amp; Descendants - Edit'!Y$1,FALSE)=""," - ",(VLOOKUP($C262,'All Girls &amp; Descendants - Edit'!$C$2:$AK$440,'All Girls &amp; Descendants - Edit'!Y$1,FALSE)))</f>
        <v xml:space="preserve"> - </v>
      </c>
      <c r="Z262" s="3" t="str">
        <f>IF(VLOOKUP($C262,'All Girls &amp; Descendants - Edit'!$C$2:$AK$440,'All Girls &amp; Descendants - Edit'!Z$1,FALSE)=""," - ",(VLOOKUP($C262,'All Girls &amp; Descendants - Edit'!$C$2:$AK$440,'All Girls &amp; Descendants - Edit'!Z$1,FALSE)))</f>
        <v xml:space="preserve"> - </v>
      </c>
      <c r="AA262" s="101">
        <f>IF(VLOOKUP($C262,'All Girls &amp; Descendants - Edit'!$C$2:$AK$440,'All Girls &amp; Descendants - Edit'!AA$1,FALSE)=""," - ",(VLOOKUP($C262,'All Girls &amp; Descendants - Edit'!$C$2:$AK$440,'All Girls &amp; Descendants - Edit'!AA$1,FALSE)))</f>
        <v>294</v>
      </c>
      <c r="AB262" s="101">
        <f>IF(VLOOKUP($C262,'All Girls &amp; Descendants - Edit'!$C$2:$AK$440,'All Girls &amp; Descendants - Edit'!AB$1,FALSE)=""," - ",(VLOOKUP($C262,'All Girls &amp; Descendants - Edit'!$C$2:$AK$440,'All Girls &amp; Descendants - Edit'!AB$1,FALSE)))</f>
        <v>119</v>
      </c>
      <c r="AC262" s="101">
        <f>IF(VLOOKUP($C262,'All Girls &amp; Descendants - Edit'!$C$2:$AK$440,'All Girls &amp; Descendants - Edit'!AC$1,FALSE)=""," - ",(VLOOKUP($C262,'All Girls &amp; Descendants - Edit'!$C$2:$AK$440,'All Girls &amp; Descendants - Edit'!AC$1,FALSE)))</f>
        <v>2119</v>
      </c>
      <c r="AD262" s="3" t="str">
        <f>IF(VLOOKUP($C262,'All Girls &amp; Descendants - Edit'!$C$2:$AK$440,'All Girls &amp; Descendants - Edit'!AD$1,FALSE)=""," - ",(VLOOKUP($C262,'All Girls &amp; Descendants - Edit'!$C$2:$AK$440,'All Girls &amp; Descendants - Edit'!AD$1,FALSE)))</f>
        <v>107cd</v>
      </c>
      <c r="AE262" s="3" t="str">
        <f>IF(VLOOKUP($C262,'All Girls &amp; Descendants - Edit'!$C$2:$AK$440,'All Girls &amp; Descendants - Edit'!AE$1,FALSE)=""," - ",(VLOOKUP($C262,'All Girls &amp; Descendants - Edit'!$C$2:$AK$440,'All Girls &amp; Descendants - Edit'!AE$1,FALSE)))</f>
        <v>Seth Edward  ORR (1986 - )</v>
      </c>
      <c r="AF262" s="3" t="str">
        <f>IF(VLOOKUP($C262,'All Girls &amp; Descendants - Edit'!$C$2:$AK$440,'All Girls &amp; Descendants - Edit'!AF$1,FALSE)=""," - ",(VLOOKUP($C262,'All Girls &amp; Descendants - Edit'!$C$2:$AK$440,'All Girls &amp; Descendants - Edit'!AF$1,FALSE)))</f>
        <v>Seth ORR ( &amp; 107)</v>
      </c>
      <c r="AG262" s="3" t="str">
        <f>IF(VLOOKUP($C262,'All Girls &amp; Descendants - Edit'!$C$2:$AK$440,'All Girls &amp; Descendants - Edit'!AG$1,FALSE)=""," - ",(VLOOKUP($C262,'All Girls &amp; Descendants - Edit'!$C$2:$AK$440,'All Girls &amp; Descendants - Edit'!AG$1,FALSE)))</f>
        <v>Male</v>
      </c>
      <c r="AH262" s="3" t="str">
        <f>IF(VLOOKUP($C262,'All Girls &amp; Descendants - Edit'!$C$2:$AK$440,'All Girls &amp; Descendants - Edit'!AH$1,FALSE)=""," - ",(VLOOKUP($C262,'All Girls &amp; Descendants - Edit'!$C$2:$AK$440,'All Girls &amp; Descendants - Edit'!AH$1,FALSE)))</f>
        <v xml:space="preserve"> - </v>
      </c>
      <c r="AI262" s="3" t="str">
        <f>IF(VLOOKUP($C262,'All Girls &amp; Descendants - Edit'!$C$2:$AK$440,'All Girls &amp; Descendants - Edit'!AI$1,FALSE)=""," - ",(VLOOKUP($C262,'All Girls &amp; Descendants - Edit'!$C$2:$AK$440,'All Girls &amp; Descendants - Edit'!AI$1,FALSE)))</f>
        <v>Unmarried</v>
      </c>
      <c r="AJ262" s="3" t="str">
        <f>IF(VLOOKUP($C262,'All Girls &amp; Descendants - Edit'!$C$2:$AK$440,'All Girls &amp; Descendants - Edit'!AJ$1,FALSE)=""," - ",(VLOOKUP($C262,'All Girls &amp; Descendants - Edit'!$C$2:$AK$440,'All Girls &amp; Descendants - Edit'!AJ$1,FALSE)))</f>
        <v>Male. b. 26/10/1986</v>
      </c>
      <c r="AK262" s="3" t="str">
        <f>IF(VLOOKUP($C262,'All Girls &amp; Descendants - Edit'!$C$2:$AK$440,'All Girls &amp; Descendants - Edit'!AK$1,FALSE)=""," - ",(VLOOKUP($C262,'All Girls &amp; Descendants - Edit'!$C$2:$AK$440,'All Girls &amp; Descendants - Edit'!AK$1,FALSE)))</f>
        <v>b. 26/10/1986</v>
      </c>
    </row>
    <row r="263" spans="1:37" ht="19">
      <c r="A263">
        <f>VLOOKUP(B263,'Loyd List 1-190 - Edit'!$P$1:$R$219,3,FALSE)</f>
        <v>76</v>
      </c>
      <c r="B263">
        <f>'All Girls &amp; Descendants - Edit'!B264</f>
        <v>107</v>
      </c>
      <c r="C263" s="98" t="str">
        <f>'All Girls &amp; Descendants - Edit'!C264</f>
        <v>107da</v>
      </c>
      <c r="D263" s="2" t="str">
        <f>'All Girls &amp; Descendants - Edit'!D264</f>
        <v>ORR</v>
      </c>
      <c r="E263" t="str">
        <f>'All Girls &amp; Descendants - Edit'!E264</f>
        <v>Brandy</v>
      </c>
      <c r="F263" t="str">
        <f>IF('All Girls &amp; Descendants - Edit'!F264="","",'All Girls &amp; Descendants - Edit'!F264)</f>
        <v>Marie</v>
      </c>
      <c r="G263" t="str">
        <f>IF('All Girls &amp; Descendants - Edit'!G264="","",'All Girls &amp; Descendants - Edit'!G264)</f>
        <v/>
      </c>
      <c r="H263" t="str">
        <f>IF('All Girls &amp; Descendants - Edit'!H264="","",'All Girls &amp; Descendants - Edit'!H264)</f>
        <v/>
      </c>
      <c r="I263">
        <f>VLOOKUP($C263,'All Girls &amp; Descendants - Edit'!$C$2:$AK$440,'All Girls &amp; Descendants - Edit'!I$1,FALSE)</f>
        <v>1979</v>
      </c>
      <c r="J263" t="str">
        <f>VLOOKUP($C263,'All Girls &amp; Descendants - Edit'!$C$2:$AK$440,'All Girls &amp; Descendants - Edit'!J$1,FALSE)</f>
        <v/>
      </c>
      <c r="K263" s="9"/>
      <c r="L263" t="str">
        <f t="shared" si="25"/>
        <v>13/03/1979</v>
      </c>
      <c r="M263" s="3">
        <f>VLOOKUP($C263,'All Girls &amp; Descendants - Edit'!$C$2:$AK$440,'All Girls &amp; Descendants - Edit'!M$1,FALSE)</f>
        <v>28927</v>
      </c>
      <c r="N263" s="3" t="str">
        <f>IF(VLOOKUP($C263,'All Girls &amp; Descendants - Edit'!$C$2:$AK$440,'All Girls &amp; Descendants - Edit'!N$1,FALSE)=""," - ",(VLOOKUP($C263,'All Girls &amp; Descendants - Edit'!$C$2:$AK$440,'All Girls &amp; Descendants - Edit'!N$1,FALSE)))</f>
        <v xml:space="preserve"> - </v>
      </c>
      <c r="O263" s="3" t="str">
        <f>IF(VLOOKUP($C263,'All Girls &amp; Descendants - Edit'!$C$2:$AK$440,'All Girls &amp; Descendants - Edit'!O$1,FALSE)="","",(VLOOKUP($C263,'All Girls &amp; Descendants - Edit'!$C$2:$AK$440,'All Girls &amp; Descendants - Edit'!O$1,FALSE)))</f>
        <v/>
      </c>
      <c r="P263" s="3" t="str">
        <f t="shared" si="26"/>
        <v/>
      </c>
      <c r="Q263" s="178" t="str">
        <f t="shared" si="27"/>
        <v>107d</v>
      </c>
      <c r="R263" s="23"/>
      <c r="S263" t="str">
        <f>VLOOKUP($C263,'All Girls &amp; Descendants - Edit'!$C$2:$AK$440,'All Girls &amp; Descendants - Edit'!S$1,FALSE)</f>
        <v>Male</v>
      </c>
      <c r="T263" s="176">
        <f t="shared" si="31"/>
        <v>7</v>
      </c>
      <c r="U263" s="176">
        <f t="shared" si="28"/>
        <v>5</v>
      </c>
      <c r="V263" s="176">
        <f t="shared" si="29"/>
        <v>5</v>
      </c>
      <c r="W263" s="177">
        <f t="shared" si="30"/>
        <v>2</v>
      </c>
      <c r="X263" s="3" t="str">
        <f>IF(VLOOKUP($C263,'All Girls &amp; Descendants - Edit'!$C$2:$AK$440,'All Girls &amp; Descendants - Edit'!X$1,FALSE)=""," - ",(VLOOKUP($C263,'All Girls &amp; Descendants - Edit'!$C$2:$AK$440,'All Girls &amp; Descendants - Edit'!X$1,FALSE)))</f>
        <v xml:space="preserve"> - </v>
      </c>
      <c r="Y263" s="3" t="str">
        <f>IF(VLOOKUP($C263,'All Girls &amp; Descendants - Edit'!$C$2:$AK$440,'All Girls &amp; Descendants - Edit'!Y$1,FALSE)=""," - ",(VLOOKUP($C263,'All Girls &amp; Descendants - Edit'!$C$2:$AK$440,'All Girls &amp; Descendants - Edit'!Y$1,FALSE)))</f>
        <v xml:space="preserve"> - </v>
      </c>
      <c r="Z263" s="3" t="str">
        <f>IF(VLOOKUP($C263,'All Girls &amp; Descendants - Edit'!$C$2:$AK$440,'All Girls &amp; Descendants - Edit'!Z$1,FALSE)=""," - ",(VLOOKUP($C263,'All Girls &amp; Descendants - Edit'!$C$2:$AK$440,'All Girls &amp; Descendants - Edit'!Z$1,FALSE)))</f>
        <v xml:space="preserve"> - </v>
      </c>
      <c r="AA263" s="101">
        <f>IF(VLOOKUP($C263,'All Girls &amp; Descendants - Edit'!$C$2:$AK$440,'All Girls &amp; Descendants - Edit'!AA$1,FALSE)=""," - ",(VLOOKUP($C263,'All Girls &amp; Descendants - Edit'!$C$2:$AK$440,'All Girls &amp; Descendants - Edit'!AA$1,FALSE)))</f>
        <v>296</v>
      </c>
      <c r="AB263" s="101">
        <f>IF(VLOOKUP($C263,'All Girls &amp; Descendants - Edit'!$C$2:$AK$440,'All Girls &amp; Descendants - Edit'!AB$1,FALSE)=""," - ",(VLOOKUP($C263,'All Girls &amp; Descendants - Edit'!$C$2:$AK$440,'All Girls &amp; Descendants - Edit'!AB$1,FALSE)))</f>
        <v>120</v>
      </c>
      <c r="AC263" s="101">
        <f>IF(VLOOKUP($C263,'All Girls &amp; Descendants - Edit'!$C$2:$AK$440,'All Girls &amp; Descendants - Edit'!AC$1,FALSE)=""," - ",(VLOOKUP($C263,'All Girls &amp; Descendants - Edit'!$C$2:$AK$440,'All Girls &amp; Descendants - Edit'!AC$1,FALSE)))</f>
        <v>2120</v>
      </c>
      <c r="AD263" s="3" t="str">
        <f>IF(VLOOKUP($C263,'All Girls &amp; Descendants - Edit'!$C$2:$AK$440,'All Girls &amp; Descendants - Edit'!AD$1,FALSE)=""," - ",(VLOOKUP($C263,'All Girls &amp; Descendants - Edit'!$C$2:$AK$440,'All Girls &amp; Descendants - Edit'!AD$1,FALSE)))</f>
        <v>107da</v>
      </c>
      <c r="AE263" s="3" t="str">
        <f>IF(VLOOKUP($C263,'All Girls &amp; Descendants - Edit'!$C$2:$AK$440,'All Girls &amp; Descendants - Edit'!AE$1,FALSE)=""," - ",(VLOOKUP($C263,'All Girls &amp; Descendants - Edit'!$C$2:$AK$440,'All Girls &amp; Descendants - Edit'!AE$1,FALSE)))</f>
        <v>Brandy Marie  ORR (1979 - )</v>
      </c>
      <c r="AF263" s="3" t="str">
        <f>IF(VLOOKUP($C263,'All Girls &amp; Descendants - Edit'!$C$2:$AK$440,'All Girls &amp; Descendants - Edit'!AF$1,FALSE)=""," - ",(VLOOKUP($C263,'All Girls &amp; Descendants - Edit'!$C$2:$AK$440,'All Girls &amp; Descendants - Edit'!AF$1,FALSE)))</f>
        <v>Brandy ORR (7th &amp; 107)</v>
      </c>
      <c r="AG263" s="3" t="str">
        <f>IF(VLOOKUP($C263,'All Girls &amp; Descendants - Edit'!$C$2:$AK$440,'All Girls &amp; Descendants - Edit'!AG$1,FALSE)=""," - ",(VLOOKUP($C263,'All Girls &amp; Descendants - Edit'!$C$2:$AK$440,'All Girls &amp; Descendants - Edit'!AG$1,FALSE)))</f>
        <v>Male</v>
      </c>
      <c r="AH263" s="3" t="str">
        <f>IF(VLOOKUP($C263,'All Girls &amp; Descendants - Edit'!$C$2:$AK$440,'All Girls &amp; Descendants - Edit'!AH$1,FALSE)=""," - ",(VLOOKUP($C263,'All Girls &amp; Descendants - Edit'!$C$2:$AK$440,'All Girls &amp; Descendants - Edit'!AH$1,FALSE)))</f>
        <v>7th</v>
      </c>
      <c r="AI263" s="3" t="str">
        <f>IF(VLOOKUP($C263,'All Girls &amp; Descendants - Edit'!$C$2:$AK$440,'All Girls &amp; Descendants - Edit'!AI$1,FALSE)=""," - ",(VLOOKUP($C263,'All Girls &amp; Descendants - Edit'!$C$2:$AK$440,'All Girls &amp; Descendants - Edit'!AI$1,FALSE)))</f>
        <v>Unmarried</v>
      </c>
      <c r="AJ263" s="3" t="str">
        <f>IF(VLOOKUP($C263,'All Girls &amp; Descendants - Edit'!$C$2:$AK$440,'All Girls &amp; Descendants - Edit'!AJ$1,FALSE)=""," - ",(VLOOKUP($C263,'All Girls &amp; Descendants - Edit'!$C$2:$AK$440,'All Girls &amp; Descendants - Edit'!AJ$1,FALSE)))</f>
        <v>Male. b. 13/03/1979</v>
      </c>
      <c r="AK263" s="3" t="str">
        <f>IF(VLOOKUP($C263,'All Girls &amp; Descendants - Edit'!$C$2:$AK$440,'All Girls &amp; Descendants - Edit'!AK$1,FALSE)=""," - ",(VLOOKUP($C263,'All Girls &amp; Descendants - Edit'!$C$2:$AK$440,'All Girls &amp; Descendants - Edit'!AK$1,FALSE)))</f>
        <v>b. 13/03/1979</v>
      </c>
    </row>
    <row r="264" spans="1:37" ht="19">
      <c r="A264">
        <f>VLOOKUP(B264,'Loyd List 1-190 - Edit'!$P$1:$R$219,3,FALSE)</f>
        <v>76</v>
      </c>
      <c r="B264">
        <f>'All Girls &amp; Descendants - Edit'!B265</f>
        <v>107</v>
      </c>
      <c r="C264" s="98" t="str">
        <f>'All Girls &amp; Descendants - Edit'!C265</f>
        <v>107db</v>
      </c>
      <c r="D264" s="2" t="str">
        <f>'All Girls &amp; Descendants - Edit'!D265</f>
        <v>ORR</v>
      </c>
      <c r="E264" t="str">
        <f>'All Girls &amp; Descendants - Edit'!E265</f>
        <v>Timothy</v>
      </c>
      <c r="F264" t="str">
        <f>IF('All Girls &amp; Descendants - Edit'!F265="","",'All Girls &amp; Descendants - Edit'!F265)</f>
        <v>James</v>
      </c>
      <c r="G264" t="str">
        <f>IF('All Girls &amp; Descendants - Edit'!G265="","",'All Girls &amp; Descendants - Edit'!G265)</f>
        <v/>
      </c>
      <c r="H264" t="str">
        <f>IF('All Girls &amp; Descendants - Edit'!H265="","",'All Girls &amp; Descendants - Edit'!H265)</f>
        <v/>
      </c>
      <c r="I264">
        <f>VLOOKUP($C264,'All Girls &amp; Descendants - Edit'!$C$2:$AK$440,'All Girls &amp; Descendants - Edit'!I$1,FALSE)</f>
        <v>1980</v>
      </c>
      <c r="J264" t="str">
        <f>VLOOKUP($C264,'All Girls &amp; Descendants - Edit'!$C$2:$AK$440,'All Girls &amp; Descendants - Edit'!J$1,FALSE)</f>
        <v/>
      </c>
      <c r="K264" s="9"/>
      <c r="L264" t="str">
        <f t="shared" si="25"/>
        <v>26/05/1980</v>
      </c>
      <c r="M264" s="3">
        <f>VLOOKUP($C264,'All Girls &amp; Descendants - Edit'!$C$2:$AK$440,'All Girls &amp; Descendants - Edit'!M$1,FALSE)</f>
        <v>29367</v>
      </c>
      <c r="N264" s="3" t="str">
        <f>IF(VLOOKUP($C264,'All Girls &amp; Descendants - Edit'!$C$2:$AK$440,'All Girls &amp; Descendants - Edit'!N$1,FALSE)=""," - ",(VLOOKUP($C264,'All Girls &amp; Descendants - Edit'!$C$2:$AK$440,'All Girls &amp; Descendants - Edit'!N$1,FALSE)))</f>
        <v xml:space="preserve"> - </v>
      </c>
      <c r="O264" s="3" t="str">
        <f>IF(VLOOKUP($C264,'All Girls &amp; Descendants - Edit'!$C$2:$AK$440,'All Girls &amp; Descendants - Edit'!O$1,FALSE)="","",(VLOOKUP($C264,'All Girls &amp; Descendants - Edit'!$C$2:$AK$440,'All Girls &amp; Descendants - Edit'!O$1,FALSE)))</f>
        <v/>
      </c>
      <c r="P264" s="3" t="str">
        <f t="shared" si="26"/>
        <v/>
      </c>
      <c r="Q264" s="178" t="str">
        <f t="shared" si="27"/>
        <v>107d</v>
      </c>
      <c r="R264" s="23"/>
      <c r="S264" t="str">
        <f>VLOOKUP($C264,'All Girls &amp; Descendants - Edit'!$C$2:$AK$440,'All Girls &amp; Descendants - Edit'!S$1,FALSE)</f>
        <v>Female</v>
      </c>
      <c r="T264" s="176">
        <f t="shared" si="31"/>
        <v>7</v>
      </c>
      <c r="U264" s="176">
        <f t="shared" si="28"/>
        <v>5</v>
      </c>
      <c r="V264" s="176">
        <f t="shared" si="29"/>
        <v>5</v>
      </c>
      <c r="W264" s="177">
        <f t="shared" si="30"/>
        <v>2</v>
      </c>
      <c r="X264" s="3" t="str">
        <f>IF(VLOOKUP($C264,'All Girls &amp; Descendants - Edit'!$C$2:$AK$440,'All Girls &amp; Descendants - Edit'!X$1,FALSE)=""," - ",(VLOOKUP($C264,'All Girls &amp; Descendants - Edit'!$C$2:$AK$440,'All Girls &amp; Descendants - Edit'!X$1,FALSE)))</f>
        <v xml:space="preserve"> - </v>
      </c>
      <c r="Y264" s="3" t="str">
        <f>IF(VLOOKUP($C264,'All Girls &amp; Descendants - Edit'!$C$2:$AK$440,'All Girls &amp; Descendants - Edit'!Y$1,FALSE)=""," - ",(VLOOKUP($C264,'All Girls &amp; Descendants - Edit'!$C$2:$AK$440,'All Girls &amp; Descendants - Edit'!Y$1,FALSE)))</f>
        <v xml:space="preserve"> - </v>
      </c>
      <c r="Z264" s="3" t="str">
        <f>IF(VLOOKUP($C264,'All Girls &amp; Descendants - Edit'!$C$2:$AK$440,'All Girls &amp; Descendants - Edit'!Z$1,FALSE)=""," - ",(VLOOKUP($C264,'All Girls &amp; Descendants - Edit'!$C$2:$AK$440,'All Girls &amp; Descendants - Edit'!Z$1,FALSE)))</f>
        <v>Born  at US Naval Hospital, San Diego, California. USA.</v>
      </c>
      <c r="AA264" s="101">
        <f>IF(VLOOKUP($C264,'All Girls &amp; Descendants - Edit'!$C$2:$AK$440,'All Girls &amp; Descendants - Edit'!AA$1,FALSE)=""," - ",(VLOOKUP($C264,'All Girls &amp; Descendants - Edit'!$C$2:$AK$440,'All Girls &amp; Descendants - Edit'!AA$1,FALSE)))</f>
        <v>297</v>
      </c>
      <c r="AB264" s="101">
        <f>IF(VLOOKUP($C264,'All Girls &amp; Descendants - Edit'!$C$2:$AK$440,'All Girls &amp; Descendants - Edit'!AB$1,FALSE)=""," - ",(VLOOKUP($C264,'All Girls &amp; Descendants - Edit'!$C$2:$AK$440,'All Girls &amp; Descendants - Edit'!AB$1,FALSE)))</f>
        <v>121</v>
      </c>
      <c r="AC264" s="101">
        <f>IF(VLOOKUP($C264,'All Girls &amp; Descendants - Edit'!$C$2:$AK$440,'All Girls &amp; Descendants - Edit'!AC$1,FALSE)=""," - ",(VLOOKUP($C264,'All Girls &amp; Descendants - Edit'!$C$2:$AK$440,'All Girls &amp; Descendants - Edit'!AC$1,FALSE)))</f>
        <v>2121</v>
      </c>
      <c r="AD264" s="3" t="str">
        <f>IF(VLOOKUP($C264,'All Girls &amp; Descendants - Edit'!$C$2:$AK$440,'All Girls &amp; Descendants - Edit'!AD$1,FALSE)=""," - ",(VLOOKUP($C264,'All Girls &amp; Descendants - Edit'!$C$2:$AK$440,'All Girls &amp; Descendants - Edit'!AD$1,FALSE)))</f>
        <v>107db</v>
      </c>
      <c r="AE264" s="3" t="str">
        <f>IF(VLOOKUP($C264,'All Girls &amp; Descendants - Edit'!$C$2:$AK$440,'All Girls &amp; Descendants - Edit'!AE$1,FALSE)=""," - ",(VLOOKUP($C264,'All Girls &amp; Descendants - Edit'!$C$2:$AK$440,'All Girls &amp; Descendants - Edit'!AE$1,FALSE)))</f>
        <v>Timothy James  ORR (1980 - )</v>
      </c>
      <c r="AF264" s="3" t="str">
        <f>IF(VLOOKUP($C264,'All Girls &amp; Descendants - Edit'!$C$2:$AK$440,'All Girls &amp; Descendants - Edit'!AF$1,FALSE)=""," - ",(VLOOKUP($C264,'All Girls &amp; Descendants - Edit'!$C$2:$AK$440,'All Girls &amp; Descendants - Edit'!AF$1,FALSE)))</f>
        <v>Timothy ORR (7th &amp; 107)</v>
      </c>
      <c r="AG264" s="3" t="str">
        <f>IF(VLOOKUP($C264,'All Girls &amp; Descendants - Edit'!$C$2:$AK$440,'All Girls &amp; Descendants - Edit'!AG$1,FALSE)=""," - ",(VLOOKUP($C264,'All Girls &amp; Descendants - Edit'!$C$2:$AK$440,'All Girls &amp; Descendants - Edit'!AG$1,FALSE)))</f>
        <v>Female</v>
      </c>
      <c r="AH264" s="3" t="str">
        <f>IF(VLOOKUP($C264,'All Girls &amp; Descendants - Edit'!$C$2:$AK$440,'All Girls &amp; Descendants - Edit'!AH$1,FALSE)=""," - ",(VLOOKUP($C264,'All Girls &amp; Descendants - Edit'!$C$2:$AK$440,'All Girls &amp; Descendants - Edit'!AH$1,FALSE)))</f>
        <v>7th</v>
      </c>
      <c r="AI264" s="3" t="str">
        <f>IF(VLOOKUP($C264,'All Girls &amp; Descendants - Edit'!$C$2:$AK$440,'All Girls &amp; Descendants - Edit'!AI$1,FALSE)=""," - ",(VLOOKUP($C264,'All Girls &amp; Descendants - Edit'!$C$2:$AK$440,'All Girls &amp; Descendants - Edit'!AI$1,FALSE)))</f>
        <v>Unmarried</v>
      </c>
      <c r="AJ264" s="3" t="str">
        <f>IF(VLOOKUP($C264,'All Girls &amp; Descendants - Edit'!$C$2:$AK$440,'All Girls &amp; Descendants - Edit'!AJ$1,FALSE)=""," - ",(VLOOKUP($C264,'All Girls &amp; Descendants - Edit'!$C$2:$AK$440,'All Girls &amp; Descendants - Edit'!AJ$1,FALSE)))</f>
        <v>Female. b. 26/05/1980 Born  at US Naval Hospital, San Diego, California. USA.</v>
      </c>
      <c r="AK264" s="3" t="str">
        <f>IF(VLOOKUP($C264,'All Girls &amp; Descendants - Edit'!$C$2:$AK$440,'All Girls &amp; Descendants - Edit'!AK$1,FALSE)=""," - ",(VLOOKUP($C264,'All Girls &amp; Descendants - Edit'!$C$2:$AK$440,'All Girls &amp; Descendants - Edit'!AK$1,FALSE)))</f>
        <v>b. 26/05/1980</v>
      </c>
    </row>
    <row r="265" spans="1:37" ht="19">
      <c r="A265">
        <f>VLOOKUP(B265,'Loyd List 1-190 - Edit'!$P$1:$R$219,3,FALSE)</f>
        <v>55</v>
      </c>
      <c r="B265">
        <f>'All Girls &amp; Descendants - Edit'!B266</f>
        <v>108</v>
      </c>
      <c r="C265" s="98" t="str">
        <f>'All Girls &amp; Descendants - Edit'!C266</f>
        <v>108aa</v>
      </c>
      <c r="D265" s="2" t="str">
        <f>'All Girls &amp; Descendants - Edit'!D266</f>
        <v>CARTER</v>
      </c>
      <c r="E265" t="str">
        <f>'All Girls &amp; Descendants - Edit'!E266</f>
        <v>Daniel</v>
      </c>
      <c r="F265" t="str">
        <f>IF('All Girls &amp; Descendants - Edit'!F266="","",'All Girls &amp; Descendants - Edit'!F266)</f>
        <v>John</v>
      </c>
      <c r="G265" t="str">
        <f>IF('All Girls &amp; Descendants - Edit'!G266="","",'All Girls &amp; Descendants - Edit'!G266)</f>
        <v/>
      </c>
      <c r="H265" t="str">
        <f>IF('All Girls &amp; Descendants - Edit'!H266="","",'All Girls &amp; Descendants - Edit'!H266)</f>
        <v/>
      </c>
      <c r="I265">
        <f>VLOOKUP($C265,'All Girls &amp; Descendants - Edit'!$C$2:$AK$440,'All Girls &amp; Descendants - Edit'!I$1,FALSE)</f>
        <v>1976</v>
      </c>
      <c r="J265" t="str">
        <f>VLOOKUP($C265,'All Girls &amp; Descendants - Edit'!$C$2:$AK$440,'All Girls &amp; Descendants - Edit'!J$1,FALSE)</f>
        <v/>
      </c>
      <c r="K265" s="9"/>
      <c r="L265" t="str">
        <f t="shared" ref="L265:L328" si="32">IF(M265="","",TEXT(M265,"dd/mm/yyyy"))</f>
        <v>22/09/1976</v>
      </c>
      <c r="M265" s="3">
        <f>VLOOKUP($C265,'All Girls &amp; Descendants - Edit'!$C$2:$AK$440,'All Girls &amp; Descendants - Edit'!M$1,FALSE)</f>
        <v>28025</v>
      </c>
      <c r="N265" s="3" t="str">
        <f>IF(VLOOKUP($C265,'All Girls &amp; Descendants - Edit'!$C$2:$AK$440,'All Girls &amp; Descendants - Edit'!N$1,FALSE)=""," - ",(VLOOKUP($C265,'All Girls &amp; Descendants - Edit'!$C$2:$AK$440,'All Girls &amp; Descendants - Edit'!N$1,FALSE)))</f>
        <v xml:space="preserve"> - </v>
      </c>
      <c r="O265" s="3" t="str">
        <f>IF(VLOOKUP($C265,'All Girls &amp; Descendants - Edit'!$C$2:$AK$440,'All Girls &amp; Descendants - Edit'!O$1,FALSE)="","",(VLOOKUP($C265,'All Girls &amp; Descendants - Edit'!$C$2:$AK$440,'All Girls &amp; Descendants - Edit'!O$1,FALSE)))</f>
        <v/>
      </c>
      <c r="P265" s="3" t="str">
        <f t="shared" ref="P265:P328" si="33">IF(O265="","",TEXT(O265,"dd/mm/yyyy"))</f>
        <v/>
      </c>
      <c r="Q265" s="178" t="str">
        <f t="shared" ref="Q265:Q328" si="34">MID(C265,1,LEN(C265)-1)</f>
        <v>108a</v>
      </c>
      <c r="R265" s="23"/>
      <c r="S265" t="str">
        <f>VLOOKUP($C265,'All Girls &amp; Descendants - Edit'!$C$2:$AK$440,'All Girls &amp; Descendants - Edit'!S$1,FALSE)</f>
        <v>Male</v>
      </c>
      <c r="T265" s="176">
        <f t="shared" si="31"/>
        <v>7</v>
      </c>
      <c r="U265" s="176">
        <f t="shared" ref="U265:U328" si="35">LEN(C265)</f>
        <v>5</v>
      </c>
      <c r="V265" s="176">
        <f t="shared" ref="V265:V328" si="36">VLOOKUP(B265,Generation,2,FALSE)</f>
        <v>5</v>
      </c>
      <c r="W265" s="177">
        <f t="shared" ref="W265:W328" si="37">IF(LEN(C265)-IF(B265&lt;10,1,IF(AND(B265&gt;9,B265&lt;100),2,3))=1,1,IF(LEN(C265)-IF(B265&lt;10,1,IF(AND(B265&gt;9,B265&lt;100),2,3))=0,"SELF",LEN(C265)-IF(B265&lt;10,1,IF(AND(B265&gt;9,B265&lt;100),2,3))))</f>
        <v>2</v>
      </c>
      <c r="X265" s="3" t="str">
        <f>IF(VLOOKUP($C265,'All Girls &amp; Descendants - Edit'!$C$2:$AK$440,'All Girls &amp; Descendants - Edit'!X$1,FALSE)=""," - ",(VLOOKUP($C265,'All Girls &amp; Descendants - Edit'!$C$2:$AK$440,'All Girls &amp; Descendants - Edit'!X$1,FALSE)))</f>
        <v xml:space="preserve"> - </v>
      </c>
      <c r="Y265" s="3" t="str">
        <f>IF(VLOOKUP($C265,'All Girls &amp; Descendants - Edit'!$C$2:$AK$440,'All Girls &amp; Descendants - Edit'!Y$1,FALSE)=""," - ",(VLOOKUP($C265,'All Girls &amp; Descendants - Edit'!$C$2:$AK$440,'All Girls &amp; Descendants - Edit'!Y$1,FALSE)))</f>
        <v xml:space="preserve"> - </v>
      </c>
      <c r="Z265" s="3" t="str">
        <f>IF(VLOOKUP($C265,'All Girls &amp; Descendants - Edit'!$C$2:$AK$440,'All Girls &amp; Descendants - Edit'!Z$1,FALSE)=""," - ",(VLOOKUP($C265,'All Girls &amp; Descendants - Edit'!$C$2:$AK$440,'All Girls &amp; Descendants - Edit'!Z$1,FALSE)))</f>
        <v xml:space="preserve"> - </v>
      </c>
      <c r="AA265" s="101">
        <f>IF(VLOOKUP($C265,'All Girls &amp; Descendants - Edit'!$C$2:$AK$440,'All Girls &amp; Descendants - Edit'!AA$1,FALSE)=""," - ",(VLOOKUP($C265,'All Girls &amp; Descendants - Edit'!$C$2:$AK$440,'All Girls &amp; Descendants - Edit'!AA$1,FALSE)))</f>
        <v>300</v>
      </c>
      <c r="AB265" s="101">
        <f>IF(VLOOKUP($C265,'All Girls &amp; Descendants - Edit'!$C$2:$AK$440,'All Girls &amp; Descendants - Edit'!AB$1,FALSE)=""," - ",(VLOOKUP($C265,'All Girls &amp; Descendants - Edit'!$C$2:$AK$440,'All Girls &amp; Descendants - Edit'!AB$1,FALSE)))</f>
        <v>122</v>
      </c>
      <c r="AC265" s="101">
        <f>IF(VLOOKUP($C265,'All Girls &amp; Descendants - Edit'!$C$2:$AK$440,'All Girls &amp; Descendants - Edit'!AC$1,FALSE)=""," - ",(VLOOKUP($C265,'All Girls &amp; Descendants - Edit'!$C$2:$AK$440,'All Girls &amp; Descendants - Edit'!AC$1,FALSE)))</f>
        <v>2122</v>
      </c>
      <c r="AD265" s="3" t="str">
        <f>IF(VLOOKUP($C265,'All Girls &amp; Descendants - Edit'!$C$2:$AK$440,'All Girls &amp; Descendants - Edit'!AD$1,FALSE)=""," - ",(VLOOKUP($C265,'All Girls &amp; Descendants - Edit'!$C$2:$AK$440,'All Girls &amp; Descendants - Edit'!AD$1,FALSE)))</f>
        <v>108aa</v>
      </c>
      <c r="AE265" s="3" t="str">
        <f>IF(VLOOKUP($C265,'All Girls &amp; Descendants - Edit'!$C$2:$AK$440,'All Girls &amp; Descendants - Edit'!AE$1,FALSE)=""," - ",(VLOOKUP($C265,'All Girls &amp; Descendants - Edit'!$C$2:$AK$440,'All Girls &amp; Descendants - Edit'!AE$1,FALSE)))</f>
        <v>Daniel John  CARTER (1976 - )</v>
      </c>
      <c r="AF265" s="3" t="str">
        <f>IF(VLOOKUP($C265,'All Girls &amp; Descendants - Edit'!$C$2:$AK$440,'All Girls &amp; Descendants - Edit'!AF$1,FALSE)=""," - ",(VLOOKUP($C265,'All Girls &amp; Descendants - Edit'!$C$2:$AK$440,'All Girls &amp; Descendants - Edit'!AF$1,FALSE)))</f>
        <v>Daniel CARTER (7th &amp; 108)</v>
      </c>
      <c r="AG265" s="3" t="str">
        <f>IF(VLOOKUP($C265,'All Girls &amp; Descendants - Edit'!$C$2:$AK$440,'All Girls &amp; Descendants - Edit'!AG$1,FALSE)=""," - ",(VLOOKUP($C265,'All Girls &amp; Descendants - Edit'!$C$2:$AK$440,'All Girls &amp; Descendants - Edit'!AG$1,FALSE)))</f>
        <v>Male</v>
      </c>
      <c r="AH265" s="3" t="str">
        <f>IF(VLOOKUP($C265,'All Girls &amp; Descendants - Edit'!$C$2:$AK$440,'All Girls &amp; Descendants - Edit'!AH$1,FALSE)=""," - ",(VLOOKUP($C265,'All Girls &amp; Descendants - Edit'!$C$2:$AK$440,'All Girls &amp; Descendants - Edit'!AH$1,FALSE)))</f>
        <v>7th</v>
      </c>
      <c r="AI265" s="3" t="str">
        <f>IF(VLOOKUP($C265,'All Girls &amp; Descendants - Edit'!$C$2:$AK$440,'All Girls &amp; Descendants - Edit'!AI$1,FALSE)=""," - ",(VLOOKUP($C265,'All Girls &amp; Descendants - Edit'!$C$2:$AK$440,'All Girls &amp; Descendants - Edit'!AI$1,FALSE)))</f>
        <v>Unmarried</v>
      </c>
      <c r="AJ265" s="3" t="str">
        <f>IF(VLOOKUP($C265,'All Girls &amp; Descendants - Edit'!$C$2:$AK$440,'All Girls &amp; Descendants - Edit'!AJ$1,FALSE)=""," - ",(VLOOKUP($C265,'All Girls &amp; Descendants - Edit'!$C$2:$AK$440,'All Girls &amp; Descendants - Edit'!AJ$1,FALSE)))</f>
        <v>Male. b. 22/09/1976</v>
      </c>
      <c r="AK265" s="3" t="str">
        <f>IF(VLOOKUP($C265,'All Girls &amp; Descendants - Edit'!$C$2:$AK$440,'All Girls &amp; Descendants - Edit'!AK$1,FALSE)=""," - ",(VLOOKUP($C265,'All Girls &amp; Descendants - Edit'!$C$2:$AK$440,'All Girls &amp; Descendants - Edit'!AK$1,FALSE)))</f>
        <v>b. 22/09/1976</v>
      </c>
    </row>
    <row r="266" spans="1:37" ht="19">
      <c r="A266">
        <f>VLOOKUP(B266,'Loyd List 1-190 - Edit'!$P$1:$R$219,3,FALSE)</f>
        <v>55</v>
      </c>
      <c r="B266">
        <f>'All Girls &amp; Descendants - Edit'!B267</f>
        <v>108</v>
      </c>
      <c r="C266" s="98" t="str">
        <f>'All Girls &amp; Descendants - Edit'!C267</f>
        <v>108ab</v>
      </c>
      <c r="D266" s="2" t="str">
        <f>'All Girls &amp; Descendants - Edit'!D267</f>
        <v>CARTER</v>
      </c>
      <c r="E266" t="str">
        <f>'All Girls &amp; Descendants - Edit'!E267</f>
        <v>Simon</v>
      </c>
      <c r="F266" t="str">
        <f>IF('All Girls &amp; Descendants - Edit'!F267="","",'All Girls &amp; Descendants - Edit'!F267)</f>
        <v>Peter</v>
      </c>
      <c r="G266" t="str">
        <f>IF('All Girls &amp; Descendants - Edit'!G267="","",'All Girls &amp; Descendants - Edit'!G267)</f>
        <v/>
      </c>
      <c r="H266" t="str">
        <f>IF('All Girls &amp; Descendants - Edit'!H267="","",'All Girls &amp; Descendants - Edit'!H267)</f>
        <v/>
      </c>
      <c r="I266">
        <f>VLOOKUP($C266,'All Girls &amp; Descendants - Edit'!$C$2:$AK$440,'All Girls &amp; Descendants - Edit'!I$1,FALSE)</f>
        <v>1982</v>
      </c>
      <c r="J266" t="str">
        <f>VLOOKUP($C266,'All Girls &amp; Descendants - Edit'!$C$2:$AK$440,'All Girls &amp; Descendants - Edit'!J$1,FALSE)</f>
        <v/>
      </c>
      <c r="K266" s="9"/>
      <c r="L266" t="str">
        <f t="shared" si="32"/>
        <v>28/05/1982</v>
      </c>
      <c r="M266" s="3">
        <f>VLOOKUP($C266,'All Girls &amp; Descendants - Edit'!$C$2:$AK$440,'All Girls &amp; Descendants - Edit'!M$1,FALSE)</f>
        <v>30099</v>
      </c>
      <c r="N266" s="3" t="str">
        <f>IF(VLOOKUP($C266,'All Girls &amp; Descendants - Edit'!$C$2:$AK$440,'All Girls &amp; Descendants - Edit'!N$1,FALSE)=""," - ",(VLOOKUP($C266,'All Girls &amp; Descendants - Edit'!$C$2:$AK$440,'All Girls &amp; Descendants - Edit'!N$1,FALSE)))</f>
        <v xml:space="preserve"> - </v>
      </c>
      <c r="O266" s="3" t="str">
        <f>IF(VLOOKUP($C266,'All Girls &amp; Descendants - Edit'!$C$2:$AK$440,'All Girls &amp; Descendants - Edit'!O$1,FALSE)="","",(VLOOKUP($C266,'All Girls &amp; Descendants - Edit'!$C$2:$AK$440,'All Girls &amp; Descendants - Edit'!O$1,FALSE)))</f>
        <v/>
      </c>
      <c r="P266" s="3" t="str">
        <f t="shared" si="33"/>
        <v/>
      </c>
      <c r="Q266" s="178" t="str">
        <f t="shared" si="34"/>
        <v>108a</v>
      </c>
      <c r="R266" s="23"/>
      <c r="S266" t="str">
        <f>VLOOKUP($C266,'All Girls &amp; Descendants - Edit'!$C$2:$AK$440,'All Girls &amp; Descendants - Edit'!S$1,FALSE)</f>
        <v>Male</v>
      </c>
      <c r="T266" s="176">
        <f t="shared" si="31"/>
        <v>7</v>
      </c>
      <c r="U266" s="176">
        <f t="shared" si="35"/>
        <v>5</v>
      </c>
      <c r="V266" s="176">
        <f t="shared" si="36"/>
        <v>5</v>
      </c>
      <c r="W266" s="177">
        <f t="shared" si="37"/>
        <v>2</v>
      </c>
      <c r="X266" s="3" t="str">
        <f>IF(VLOOKUP($C266,'All Girls &amp; Descendants - Edit'!$C$2:$AK$440,'All Girls &amp; Descendants - Edit'!X$1,FALSE)=""," - ",(VLOOKUP($C266,'All Girls &amp; Descendants - Edit'!$C$2:$AK$440,'All Girls &amp; Descendants - Edit'!X$1,FALSE)))</f>
        <v xml:space="preserve"> - </v>
      </c>
      <c r="Y266" s="3" t="str">
        <f>IF(VLOOKUP($C266,'All Girls &amp; Descendants - Edit'!$C$2:$AK$440,'All Girls &amp; Descendants - Edit'!Y$1,FALSE)=""," - ",(VLOOKUP($C266,'All Girls &amp; Descendants - Edit'!$C$2:$AK$440,'All Girls &amp; Descendants - Edit'!Y$1,FALSE)))</f>
        <v xml:space="preserve"> - </v>
      </c>
      <c r="Z266" s="3" t="str">
        <f>IF(VLOOKUP($C266,'All Girls &amp; Descendants - Edit'!$C$2:$AK$440,'All Girls &amp; Descendants - Edit'!Z$1,FALSE)=""," - ",(VLOOKUP($C266,'All Girls &amp; Descendants - Edit'!$C$2:$AK$440,'All Girls &amp; Descendants - Edit'!Z$1,FALSE)))</f>
        <v xml:space="preserve"> - </v>
      </c>
      <c r="AA266" s="101">
        <f>IF(VLOOKUP($C266,'All Girls &amp; Descendants - Edit'!$C$2:$AK$440,'All Girls &amp; Descendants - Edit'!AA$1,FALSE)=""," - ",(VLOOKUP($C266,'All Girls &amp; Descendants - Edit'!$C$2:$AK$440,'All Girls &amp; Descendants - Edit'!AA$1,FALSE)))</f>
        <v>301</v>
      </c>
      <c r="AB266" s="101">
        <f>IF(VLOOKUP($C266,'All Girls &amp; Descendants - Edit'!$C$2:$AK$440,'All Girls &amp; Descendants - Edit'!AB$1,FALSE)=""," - ",(VLOOKUP($C266,'All Girls &amp; Descendants - Edit'!$C$2:$AK$440,'All Girls &amp; Descendants - Edit'!AB$1,FALSE)))</f>
        <v>123</v>
      </c>
      <c r="AC266" s="101">
        <f>IF(VLOOKUP($C266,'All Girls &amp; Descendants - Edit'!$C$2:$AK$440,'All Girls &amp; Descendants - Edit'!AC$1,FALSE)=""," - ",(VLOOKUP($C266,'All Girls &amp; Descendants - Edit'!$C$2:$AK$440,'All Girls &amp; Descendants - Edit'!AC$1,FALSE)))</f>
        <v>2123</v>
      </c>
      <c r="AD266" s="3" t="str">
        <f>IF(VLOOKUP($C266,'All Girls &amp; Descendants - Edit'!$C$2:$AK$440,'All Girls &amp; Descendants - Edit'!AD$1,FALSE)=""," - ",(VLOOKUP($C266,'All Girls &amp; Descendants - Edit'!$C$2:$AK$440,'All Girls &amp; Descendants - Edit'!AD$1,FALSE)))</f>
        <v>108ab</v>
      </c>
      <c r="AE266" s="3" t="str">
        <f>IF(VLOOKUP($C266,'All Girls &amp; Descendants - Edit'!$C$2:$AK$440,'All Girls &amp; Descendants - Edit'!AE$1,FALSE)=""," - ",(VLOOKUP($C266,'All Girls &amp; Descendants - Edit'!$C$2:$AK$440,'All Girls &amp; Descendants - Edit'!AE$1,FALSE)))</f>
        <v>Simon Peter  CARTER (1982 - )</v>
      </c>
      <c r="AF266" s="3" t="str">
        <f>IF(VLOOKUP($C266,'All Girls &amp; Descendants - Edit'!$C$2:$AK$440,'All Girls &amp; Descendants - Edit'!AF$1,FALSE)=""," - ",(VLOOKUP($C266,'All Girls &amp; Descendants - Edit'!$C$2:$AK$440,'All Girls &amp; Descendants - Edit'!AF$1,FALSE)))</f>
        <v>Simon CARTER (7th &amp; 108)</v>
      </c>
      <c r="AG266" s="3" t="str">
        <f>IF(VLOOKUP($C266,'All Girls &amp; Descendants - Edit'!$C$2:$AK$440,'All Girls &amp; Descendants - Edit'!AG$1,FALSE)=""," - ",(VLOOKUP($C266,'All Girls &amp; Descendants - Edit'!$C$2:$AK$440,'All Girls &amp; Descendants - Edit'!AG$1,FALSE)))</f>
        <v>Male</v>
      </c>
      <c r="AH266" s="3" t="str">
        <f>IF(VLOOKUP($C266,'All Girls &amp; Descendants - Edit'!$C$2:$AK$440,'All Girls &amp; Descendants - Edit'!AH$1,FALSE)=""," - ",(VLOOKUP($C266,'All Girls &amp; Descendants - Edit'!$C$2:$AK$440,'All Girls &amp; Descendants - Edit'!AH$1,FALSE)))</f>
        <v>7th</v>
      </c>
      <c r="AI266" s="3" t="str">
        <f>IF(VLOOKUP($C266,'All Girls &amp; Descendants - Edit'!$C$2:$AK$440,'All Girls &amp; Descendants - Edit'!AI$1,FALSE)=""," - ",(VLOOKUP($C266,'All Girls &amp; Descendants - Edit'!$C$2:$AK$440,'All Girls &amp; Descendants - Edit'!AI$1,FALSE)))</f>
        <v>Unmarried</v>
      </c>
      <c r="AJ266" s="3" t="str">
        <f>IF(VLOOKUP($C266,'All Girls &amp; Descendants - Edit'!$C$2:$AK$440,'All Girls &amp; Descendants - Edit'!AJ$1,FALSE)=""," - ",(VLOOKUP($C266,'All Girls &amp; Descendants - Edit'!$C$2:$AK$440,'All Girls &amp; Descendants - Edit'!AJ$1,FALSE)))</f>
        <v>Male. b. 28/05/1982</v>
      </c>
      <c r="AK266" s="3" t="str">
        <f>IF(VLOOKUP($C266,'All Girls &amp; Descendants - Edit'!$C$2:$AK$440,'All Girls &amp; Descendants - Edit'!AK$1,FALSE)=""," - ",(VLOOKUP($C266,'All Girls &amp; Descendants - Edit'!$C$2:$AK$440,'All Girls &amp; Descendants - Edit'!AK$1,FALSE)))</f>
        <v>b. 28/05/1982</v>
      </c>
    </row>
    <row r="267" spans="1:37" ht="19">
      <c r="A267">
        <f>VLOOKUP(B267,'Loyd List 1-190 - Edit'!$P$1:$R$219,3,FALSE)</f>
        <v>55</v>
      </c>
      <c r="B267">
        <f>'All Girls &amp; Descendants - Edit'!B268</f>
        <v>108</v>
      </c>
      <c r="C267" s="98" t="str">
        <f>'All Girls &amp; Descendants - Edit'!C268</f>
        <v>108ba</v>
      </c>
      <c r="D267" s="2" t="str">
        <f>'All Girls &amp; Descendants - Edit'!D268</f>
        <v>HOYLE</v>
      </c>
      <c r="E267" t="str">
        <f>'All Girls &amp; Descendants - Edit'!E268</f>
        <v>Matthew</v>
      </c>
      <c r="F267" t="str">
        <f>IF('All Girls &amp; Descendants - Edit'!F268="","",'All Girls &amp; Descendants - Edit'!F268)</f>
        <v>Christopher</v>
      </c>
      <c r="G267" t="str">
        <f>IF('All Girls &amp; Descendants - Edit'!G268="","",'All Girls &amp; Descendants - Edit'!G268)</f>
        <v>Richard</v>
      </c>
      <c r="H267" t="str">
        <f>IF('All Girls &amp; Descendants - Edit'!H268="","",'All Girls &amp; Descendants - Edit'!H268)</f>
        <v/>
      </c>
      <c r="I267">
        <f>VLOOKUP($C267,'All Girls &amp; Descendants - Edit'!$C$2:$AK$440,'All Girls &amp; Descendants - Edit'!I$1,FALSE)</f>
        <v>1982</v>
      </c>
      <c r="J267" t="str">
        <f>VLOOKUP($C267,'All Girls &amp; Descendants - Edit'!$C$2:$AK$440,'All Girls &amp; Descendants - Edit'!J$1,FALSE)</f>
        <v/>
      </c>
      <c r="K267" s="9"/>
      <c r="L267" t="str">
        <f t="shared" si="32"/>
        <v>31/05/1982</v>
      </c>
      <c r="M267" s="3">
        <f>VLOOKUP($C267,'All Girls &amp; Descendants - Edit'!$C$2:$AK$440,'All Girls &amp; Descendants - Edit'!M$1,FALSE)</f>
        <v>30102</v>
      </c>
      <c r="N267" s="3" t="str">
        <f>IF(VLOOKUP($C267,'All Girls &amp; Descendants - Edit'!$C$2:$AK$440,'All Girls &amp; Descendants - Edit'!N$1,FALSE)=""," - ",(VLOOKUP($C267,'All Girls &amp; Descendants - Edit'!$C$2:$AK$440,'All Girls &amp; Descendants - Edit'!N$1,FALSE)))</f>
        <v xml:space="preserve"> - </v>
      </c>
      <c r="O267" s="3" t="str">
        <f>IF(VLOOKUP($C267,'All Girls &amp; Descendants - Edit'!$C$2:$AK$440,'All Girls &amp; Descendants - Edit'!O$1,FALSE)="","",(VLOOKUP($C267,'All Girls &amp; Descendants - Edit'!$C$2:$AK$440,'All Girls &amp; Descendants - Edit'!O$1,FALSE)))</f>
        <v/>
      </c>
      <c r="P267" s="3" t="str">
        <f t="shared" si="33"/>
        <v/>
      </c>
      <c r="Q267" s="178" t="str">
        <f t="shared" si="34"/>
        <v>108b</v>
      </c>
      <c r="R267" s="23"/>
      <c r="S267" t="str">
        <f>VLOOKUP($C267,'All Girls &amp; Descendants - Edit'!$C$2:$AK$440,'All Girls &amp; Descendants - Edit'!S$1,FALSE)</f>
        <v>Male</v>
      </c>
      <c r="T267" s="176">
        <f t="shared" si="31"/>
        <v>7</v>
      </c>
      <c r="U267" s="176">
        <f t="shared" si="35"/>
        <v>5</v>
      </c>
      <c r="V267" s="176">
        <f t="shared" si="36"/>
        <v>5</v>
      </c>
      <c r="W267" s="177">
        <f t="shared" si="37"/>
        <v>2</v>
      </c>
      <c r="X267" s="3" t="str">
        <f>IF(VLOOKUP($C267,'All Girls &amp; Descendants - Edit'!$C$2:$AK$440,'All Girls &amp; Descendants - Edit'!X$1,FALSE)=""," - ",(VLOOKUP($C267,'All Girls &amp; Descendants - Edit'!$C$2:$AK$440,'All Girls &amp; Descendants - Edit'!X$1,FALSE)))</f>
        <v xml:space="preserve"> - </v>
      </c>
      <c r="Y267" s="3" t="str">
        <f>IF(VLOOKUP($C267,'All Girls &amp; Descendants - Edit'!$C$2:$AK$440,'All Girls &amp; Descendants - Edit'!Y$1,FALSE)=""," - ",(VLOOKUP($C267,'All Girls &amp; Descendants - Edit'!$C$2:$AK$440,'All Girls &amp; Descendants - Edit'!Y$1,FALSE)))</f>
        <v xml:space="preserve"> - </v>
      </c>
      <c r="Z267" s="3" t="str">
        <f>IF(VLOOKUP($C267,'All Girls &amp; Descendants - Edit'!$C$2:$AK$440,'All Girls &amp; Descendants - Edit'!Z$1,FALSE)=""," - ",(VLOOKUP($C267,'All Girls &amp; Descendants - Edit'!$C$2:$AK$440,'All Girls &amp; Descendants - Edit'!Z$1,FALSE)))</f>
        <v xml:space="preserve"> - </v>
      </c>
      <c r="AA267" s="101">
        <f>IF(VLOOKUP($C267,'All Girls &amp; Descendants - Edit'!$C$2:$AK$440,'All Girls &amp; Descendants - Edit'!AA$1,FALSE)=""," - ",(VLOOKUP($C267,'All Girls &amp; Descendants - Edit'!$C$2:$AK$440,'All Girls &amp; Descendants - Edit'!AA$1,FALSE)))</f>
        <v>303</v>
      </c>
      <c r="AB267" s="101">
        <f>IF(VLOOKUP($C267,'All Girls &amp; Descendants - Edit'!$C$2:$AK$440,'All Girls &amp; Descendants - Edit'!AB$1,FALSE)=""," - ",(VLOOKUP($C267,'All Girls &amp; Descendants - Edit'!$C$2:$AK$440,'All Girls &amp; Descendants - Edit'!AB$1,FALSE)))</f>
        <v>124</v>
      </c>
      <c r="AC267" s="101">
        <f>IF(VLOOKUP($C267,'All Girls &amp; Descendants - Edit'!$C$2:$AK$440,'All Girls &amp; Descendants - Edit'!AC$1,FALSE)=""," - ",(VLOOKUP($C267,'All Girls &amp; Descendants - Edit'!$C$2:$AK$440,'All Girls &amp; Descendants - Edit'!AC$1,FALSE)))</f>
        <v>2124</v>
      </c>
      <c r="AD267" s="3" t="str">
        <f>IF(VLOOKUP($C267,'All Girls &amp; Descendants - Edit'!$C$2:$AK$440,'All Girls &amp; Descendants - Edit'!AD$1,FALSE)=""," - ",(VLOOKUP($C267,'All Girls &amp; Descendants - Edit'!$C$2:$AK$440,'All Girls &amp; Descendants - Edit'!AD$1,FALSE)))</f>
        <v>108ba</v>
      </c>
      <c r="AE267" s="3" t="str">
        <f>IF(VLOOKUP($C267,'All Girls &amp; Descendants - Edit'!$C$2:$AK$440,'All Girls &amp; Descendants - Edit'!AE$1,FALSE)=""," - ",(VLOOKUP($C267,'All Girls &amp; Descendants - Edit'!$C$2:$AK$440,'All Girls &amp; Descendants - Edit'!AE$1,FALSE)))</f>
        <v>Matthew Christopher Richard HOYLE (1982 - )</v>
      </c>
      <c r="AF267" s="3" t="str">
        <f>IF(VLOOKUP($C267,'All Girls &amp; Descendants - Edit'!$C$2:$AK$440,'All Girls &amp; Descendants - Edit'!AF$1,FALSE)=""," - ",(VLOOKUP($C267,'All Girls &amp; Descendants - Edit'!$C$2:$AK$440,'All Girls &amp; Descendants - Edit'!AF$1,FALSE)))</f>
        <v>Matthew HOYLE (7th &amp; 108)</v>
      </c>
      <c r="AG267" s="3" t="str">
        <f>IF(VLOOKUP($C267,'All Girls &amp; Descendants - Edit'!$C$2:$AK$440,'All Girls &amp; Descendants - Edit'!AG$1,FALSE)=""," - ",(VLOOKUP($C267,'All Girls &amp; Descendants - Edit'!$C$2:$AK$440,'All Girls &amp; Descendants - Edit'!AG$1,FALSE)))</f>
        <v>Male</v>
      </c>
      <c r="AH267" s="3" t="str">
        <f>IF(VLOOKUP($C267,'All Girls &amp; Descendants - Edit'!$C$2:$AK$440,'All Girls &amp; Descendants - Edit'!AH$1,FALSE)=""," - ",(VLOOKUP($C267,'All Girls &amp; Descendants - Edit'!$C$2:$AK$440,'All Girls &amp; Descendants - Edit'!AH$1,FALSE)))</f>
        <v>7th</v>
      </c>
      <c r="AI267" s="3" t="str">
        <f>IF(VLOOKUP($C267,'All Girls &amp; Descendants - Edit'!$C$2:$AK$440,'All Girls &amp; Descendants - Edit'!AI$1,FALSE)=""," - ",(VLOOKUP($C267,'All Girls &amp; Descendants - Edit'!$C$2:$AK$440,'All Girls &amp; Descendants - Edit'!AI$1,FALSE)))</f>
        <v>Unmarried</v>
      </c>
      <c r="AJ267" s="3" t="str">
        <f>IF(VLOOKUP($C267,'All Girls &amp; Descendants - Edit'!$C$2:$AK$440,'All Girls &amp; Descendants - Edit'!AJ$1,FALSE)=""," - ",(VLOOKUP($C267,'All Girls &amp; Descendants - Edit'!$C$2:$AK$440,'All Girls &amp; Descendants - Edit'!AJ$1,FALSE)))</f>
        <v>Male. b. 31/05/1982</v>
      </c>
      <c r="AK267" s="3" t="str">
        <f>IF(VLOOKUP($C267,'All Girls &amp; Descendants - Edit'!$C$2:$AK$440,'All Girls &amp; Descendants - Edit'!AK$1,FALSE)=""," - ",(VLOOKUP($C267,'All Girls &amp; Descendants - Edit'!$C$2:$AK$440,'All Girls &amp; Descendants - Edit'!AK$1,FALSE)))</f>
        <v>b. 31/05/1982</v>
      </c>
    </row>
    <row r="268" spans="1:37" ht="19">
      <c r="A268">
        <f>VLOOKUP(B268,'Loyd List 1-190 - Edit'!$P$1:$R$219,3,FALSE)</f>
        <v>55</v>
      </c>
      <c r="B268">
        <f>'All Girls &amp; Descendants - Edit'!B269</f>
        <v>108</v>
      </c>
      <c r="C268" s="98" t="str">
        <f>'All Girls &amp; Descendants - Edit'!C269</f>
        <v>108bb</v>
      </c>
      <c r="D268" s="2" t="str">
        <f>'All Girls &amp; Descendants - Edit'!D269</f>
        <v>HOYLE</v>
      </c>
      <c r="E268" t="str">
        <f>'All Girls &amp; Descendants - Edit'!E269</f>
        <v>Darren</v>
      </c>
      <c r="F268" t="str">
        <f>IF('All Girls &amp; Descendants - Edit'!F269="","",'All Girls &amp; Descendants - Edit'!F269)</f>
        <v>Andrew</v>
      </c>
      <c r="G268" t="str">
        <f>IF('All Girls &amp; Descendants - Edit'!G269="","",'All Girls &amp; Descendants - Edit'!G269)</f>
        <v/>
      </c>
      <c r="H268" t="str">
        <f>IF('All Girls &amp; Descendants - Edit'!H269="","",'All Girls &amp; Descendants - Edit'!H269)</f>
        <v/>
      </c>
      <c r="I268">
        <f>VLOOKUP($C268,'All Girls &amp; Descendants - Edit'!$C$2:$AK$440,'All Girls &amp; Descendants - Edit'!I$1,FALSE)</f>
        <v>1985</v>
      </c>
      <c r="J268" t="str">
        <f>VLOOKUP($C268,'All Girls &amp; Descendants - Edit'!$C$2:$AK$440,'All Girls &amp; Descendants - Edit'!J$1,FALSE)</f>
        <v/>
      </c>
      <c r="K268" s="9"/>
      <c r="L268" t="str">
        <f t="shared" si="32"/>
        <v>28/08/1985</v>
      </c>
      <c r="M268" s="3">
        <f>VLOOKUP($C268,'All Girls &amp; Descendants - Edit'!$C$2:$AK$440,'All Girls &amp; Descendants - Edit'!M$1,FALSE)</f>
        <v>31287</v>
      </c>
      <c r="N268" s="3" t="str">
        <f>IF(VLOOKUP($C268,'All Girls &amp; Descendants - Edit'!$C$2:$AK$440,'All Girls &amp; Descendants - Edit'!N$1,FALSE)=""," - ",(VLOOKUP($C268,'All Girls &amp; Descendants - Edit'!$C$2:$AK$440,'All Girls &amp; Descendants - Edit'!N$1,FALSE)))</f>
        <v xml:space="preserve"> - </v>
      </c>
      <c r="O268" s="3" t="str">
        <f>IF(VLOOKUP($C268,'All Girls &amp; Descendants - Edit'!$C$2:$AK$440,'All Girls &amp; Descendants - Edit'!O$1,FALSE)="","",(VLOOKUP($C268,'All Girls &amp; Descendants - Edit'!$C$2:$AK$440,'All Girls &amp; Descendants - Edit'!O$1,FALSE)))</f>
        <v/>
      </c>
      <c r="P268" s="3" t="str">
        <f t="shared" si="33"/>
        <v/>
      </c>
      <c r="Q268" s="178" t="str">
        <f t="shared" si="34"/>
        <v>108b</v>
      </c>
      <c r="R268" s="23"/>
      <c r="S268" t="str">
        <f>VLOOKUP($C268,'All Girls &amp; Descendants - Edit'!$C$2:$AK$440,'All Girls &amp; Descendants - Edit'!S$1,FALSE)</f>
        <v>Male</v>
      </c>
      <c r="T268" s="176">
        <f t="shared" si="31"/>
        <v>7</v>
      </c>
      <c r="U268" s="176">
        <f t="shared" si="35"/>
        <v>5</v>
      </c>
      <c r="V268" s="176">
        <f t="shared" si="36"/>
        <v>5</v>
      </c>
      <c r="W268" s="177">
        <f t="shared" si="37"/>
        <v>2</v>
      </c>
      <c r="X268" s="3" t="str">
        <f>IF(VLOOKUP($C268,'All Girls &amp; Descendants - Edit'!$C$2:$AK$440,'All Girls &amp; Descendants - Edit'!X$1,FALSE)=""," - ",(VLOOKUP($C268,'All Girls &amp; Descendants - Edit'!$C$2:$AK$440,'All Girls &amp; Descendants - Edit'!X$1,FALSE)))</f>
        <v xml:space="preserve"> - </v>
      </c>
      <c r="Y268" s="3" t="str">
        <f>IF(VLOOKUP($C268,'All Girls &amp; Descendants - Edit'!$C$2:$AK$440,'All Girls &amp; Descendants - Edit'!Y$1,FALSE)=""," - ",(VLOOKUP($C268,'All Girls &amp; Descendants - Edit'!$C$2:$AK$440,'All Girls &amp; Descendants - Edit'!Y$1,FALSE)))</f>
        <v xml:space="preserve"> - </v>
      </c>
      <c r="Z268" s="3" t="str">
        <f>IF(VLOOKUP($C268,'All Girls &amp; Descendants - Edit'!$C$2:$AK$440,'All Girls &amp; Descendants - Edit'!Z$1,FALSE)=""," - ",(VLOOKUP($C268,'All Girls &amp; Descendants - Edit'!$C$2:$AK$440,'All Girls &amp; Descendants - Edit'!Z$1,FALSE)))</f>
        <v xml:space="preserve"> - </v>
      </c>
      <c r="AA268" s="101">
        <f>IF(VLOOKUP($C268,'All Girls &amp; Descendants - Edit'!$C$2:$AK$440,'All Girls &amp; Descendants - Edit'!AA$1,FALSE)=""," - ",(VLOOKUP($C268,'All Girls &amp; Descendants - Edit'!$C$2:$AK$440,'All Girls &amp; Descendants - Edit'!AA$1,FALSE)))</f>
        <v>304</v>
      </c>
      <c r="AB268" s="101">
        <f>IF(VLOOKUP($C268,'All Girls &amp; Descendants - Edit'!$C$2:$AK$440,'All Girls &amp; Descendants - Edit'!AB$1,FALSE)=""," - ",(VLOOKUP($C268,'All Girls &amp; Descendants - Edit'!$C$2:$AK$440,'All Girls &amp; Descendants - Edit'!AB$1,FALSE)))</f>
        <v>125</v>
      </c>
      <c r="AC268" s="101">
        <f>IF(VLOOKUP($C268,'All Girls &amp; Descendants - Edit'!$C$2:$AK$440,'All Girls &amp; Descendants - Edit'!AC$1,FALSE)=""," - ",(VLOOKUP($C268,'All Girls &amp; Descendants - Edit'!$C$2:$AK$440,'All Girls &amp; Descendants - Edit'!AC$1,FALSE)))</f>
        <v>2125</v>
      </c>
      <c r="AD268" s="3" t="str">
        <f>IF(VLOOKUP($C268,'All Girls &amp; Descendants - Edit'!$C$2:$AK$440,'All Girls &amp; Descendants - Edit'!AD$1,FALSE)=""," - ",(VLOOKUP($C268,'All Girls &amp; Descendants - Edit'!$C$2:$AK$440,'All Girls &amp; Descendants - Edit'!AD$1,FALSE)))</f>
        <v>108bb</v>
      </c>
      <c r="AE268" s="3" t="str">
        <f>IF(VLOOKUP($C268,'All Girls &amp; Descendants - Edit'!$C$2:$AK$440,'All Girls &amp; Descendants - Edit'!AE$1,FALSE)=""," - ",(VLOOKUP($C268,'All Girls &amp; Descendants - Edit'!$C$2:$AK$440,'All Girls &amp; Descendants - Edit'!AE$1,FALSE)))</f>
        <v>Darren Andrew  HOYLE (1985 - )</v>
      </c>
      <c r="AF268" s="3" t="str">
        <f>IF(VLOOKUP($C268,'All Girls &amp; Descendants - Edit'!$C$2:$AK$440,'All Girls &amp; Descendants - Edit'!AF$1,FALSE)=""," - ",(VLOOKUP($C268,'All Girls &amp; Descendants - Edit'!$C$2:$AK$440,'All Girls &amp; Descendants - Edit'!AF$1,FALSE)))</f>
        <v>Darren HOYLE (7th &amp; 108)</v>
      </c>
      <c r="AG268" s="3" t="str">
        <f>IF(VLOOKUP($C268,'All Girls &amp; Descendants - Edit'!$C$2:$AK$440,'All Girls &amp; Descendants - Edit'!AG$1,FALSE)=""," - ",(VLOOKUP($C268,'All Girls &amp; Descendants - Edit'!$C$2:$AK$440,'All Girls &amp; Descendants - Edit'!AG$1,FALSE)))</f>
        <v>Male</v>
      </c>
      <c r="AH268" s="3" t="str">
        <f>IF(VLOOKUP($C268,'All Girls &amp; Descendants - Edit'!$C$2:$AK$440,'All Girls &amp; Descendants - Edit'!AH$1,FALSE)=""," - ",(VLOOKUP($C268,'All Girls &amp; Descendants - Edit'!$C$2:$AK$440,'All Girls &amp; Descendants - Edit'!AH$1,FALSE)))</f>
        <v>7th</v>
      </c>
      <c r="AI268" s="3" t="str">
        <f>IF(VLOOKUP($C268,'All Girls &amp; Descendants - Edit'!$C$2:$AK$440,'All Girls &amp; Descendants - Edit'!AI$1,FALSE)=""," - ",(VLOOKUP($C268,'All Girls &amp; Descendants - Edit'!$C$2:$AK$440,'All Girls &amp; Descendants - Edit'!AI$1,FALSE)))</f>
        <v>Unmarried</v>
      </c>
      <c r="AJ268" s="3" t="str">
        <f>IF(VLOOKUP($C268,'All Girls &amp; Descendants - Edit'!$C$2:$AK$440,'All Girls &amp; Descendants - Edit'!AJ$1,FALSE)=""," - ",(VLOOKUP($C268,'All Girls &amp; Descendants - Edit'!$C$2:$AK$440,'All Girls &amp; Descendants - Edit'!AJ$1,FALSE)))</f>
        <v>Male. b. 28/08/1985</v>
      </c>
      <c r="AK268" s="3" t="str">
        <f>IF(VLOOKUP($C268,'All Girls &amp; Descendants - Edit'!$C$2:$AK$440,'All Girls &amp; Descendants - Edit'!AK$1,FALSE)=""," - ",(VLOOKUP($C268,'All Girls &amp; Descendants - Edit'!$C$2:$AK$440,'All Girls &amp; Descendants - Edit'!AK$1,FALSE)))</f>
        <v>b. 28/08/1985</v>
      </c>
    </row>
    <row r="269" spans="1:37" ht="19">
      <c r="A269">
        <f>VLOOKUP(B269,'Loyd List 1-190 - Edit'!$P$1:$R$219,3,FALSE)</f>
        <v>55</v>
      </c>
      <c r="B269">
        <f>'All Girls &amp; Descendants - Edit'!B270</f>
        <v>108</v>
      </c>
      <c r="C269" s="98" t="str">
        <f>'All Girls &amp; Descendants - Edit'!C270</f>
        <v>108ca</v>
      </c>
      <c r="D269" s="2" t="str">
        <f>'All Girls &amp; Descendants - Edit'!D270</f>
        <v>HOYLE</v>
      </c>
      <c r="E269" t="str">
        <f>'All Girls &amp; Descendants - Edit'!E270</f>
        <v>Tanya</v>
      </c>
      <c r="F269" t="str">
        <f>IF('All Girls &amp; Descendants - Edit'!F270="","",'All Girls &amp; Descendants - Edit'!F270)</f>
        <v>Louise</v>
      </c>
      <c r="G269" t="str">
        <f>IF('All Girls &amp; Descendants - Edit'!G270="","",'All Girls &amp; Descendants - Edit'!G270)</f>
        <v/>
      </c>
      <c r="H269" t="str">
        <f>IF('All Girls &amp; Descendants - Edit'!H270="","",'All Girls &amp; Descendants - Edit'!H270)</f>
        <v/>
      </c>
      <c r="I269">
        <f>VLOOKUP($C269,'All Girls &amp; Descendants - Edit'!$C$2:$AK$440,'All Girls &amp; Descendants - Edit'!I$1,FALSE)</f>
        <v>1985</v>
      </c>
      <c r="J269" t="str">
        <f>VLOOKUP($C269,'All Girls &amp; Descendants - Edit'!$C$2:$AK$440,'All Girls &amp; Descendants - Edit'!J$1,FALSE)</f>
        <v/>
      </c>
      <c r="K269" s="9"/>
      <c r="L269" t="str">
        <f t="shared" si="32"/>
        <v>14/11/1985</v>
      </c>
      <c r="M269" s="3">
        <f>VLOOKUP($C269,'All Girls &amp; Descendants - Edit'!$C$2:$AK$440,'All Girls &amp; Descendants - Edit'!M$1,FALSE)</f>
        <v>31365</v>
      </c>
      <c r="N269" s="3" t="str">
        <f>IF(VLOOKUP($C269,'All Girls &amp; Descendants - Edit'!$C$2:$AK$440,'All Girls &amp; Descendants - Edit'!N$1,FALSE)=""," - ",(VLOOKUP($C269,'All Girls &amp; Descendants - Edit'!$C$2:$AK$440,'All Girls &amp; Descendants - Edit'!N$1,FALSE)))</f>
        <v xml:space="preserve"> - </v>
      </c>
      <c r="O269" s="3" t="str">
        <f>IF(VLOOKUP($C269,'All Girls &amp; Descendants - Edit'!$C$2:$AK$440,'All Girls &amp; Descendants - Edit'!O$1,FALSE)="","",(VLOOKUP($C269,'All Girls &amp; Descendants - Edit'!$C$2:$AK$440,'All Girls &amp; Descendants - Edit'!O$1,FALSE)))</f>
        <v/>
      </c>
      <c r="P269" s="3" t="str">
        <f t="shared" si="33"/>
        <v/>
      </c>
      <c r="Q269" s="178" t="str">
        <f t="shared" si="34"/>
        <v>108c</v>
      </c>
      <c r="R269" s="23"/>
      <c r="S269" t="str">
        <f>VLOOKUP($C269,'All Girls &amp; Descendants - Edit'!$C$2:$AK$440,'All Girls &amp; Descendants - Edit'!S$1,FALSE)</f>
        <v>Female</v>
      </c>
      <c r="T269" s="176">
        <f t="shared" si="31"/>
        <v>7</v>
      </c>
      <c r="U269" s="176">
        <f t="shared" si="35"/>
        <v>5</v>
      </c>
      <c r="V269" s="176">
        <f t="shared" si="36"/>
        <v>5</v>
      </c>
      <c r="W269" s="177">
        <f t="shared" si="37"/>
        <v>2</v>
      </c>
      <c r="X269" s="3" t="str">
        <f>IF(VLOOKUP($C269,'All Girls &amp; Descendants - Edit'!$C$2:$AK$440,'All Girls &amp; Descendants - Edit'!X$1,FALSE)=""," - ",(VLOOKUP($C269,'All Girls &amp; Descendants - Edit'!$C$2:$AK$440,'All Girls &amp; Descendants - Edit'!X$1,FALSE)))</f>
        <v xml:space="preserve"> - </v>
      </c>
      <c r="Y269" s="3" t="str">
        <f>IF(VLOOKUP($C269,'All Girls &amp; Descendants - Edit'!$C$2:$AK$440,'All Girls &amp; Descendants - Edit'!Y$1,FALSE)=""," - ",(VLOOKUP($C269,'All Girls &amp; Descendants - Edit'!$C$2:$AK$440,'All Girls &amp; Descendants - Edit'!Y$1,FALSE)))</f>
        <v xml:space="preserve"> - </v>
      </c>
      <c r="Z269" s="3" t="str">
        <f>IF(VLOOKUP($C269,'All Girls &amp; Descendants - Edit'!$C$2:$AK$440,'All Girls &amp; Descendants - Edit'!Z$1,FALSE)=""," - ",(VLOOKUP($C269,'All Girls &amp; Descendants - Edit'!$C$2:$AK$440,'All Girls &amp; Descendants - Edit'!Z$1,FALSE)))</f>
        <v xml:space="preserve"> - </v>
      </c>
      <c r="AA269" s="101">
        <f>IF(VLOOKUP($C269,'All Girls &amp; Descendants - Edit'!$C$2:$AK$440,'All Girls &amp; Descendants - Edit'!AA$1,FALSE)=""," - ",(VLOOKUP($C269,'All Girls &amp; Descendants - Edit'!$C$2:$AK$440,'All Girls &amp; Descendants - Edit'!AA$1,FALSE)))</f>
        <v>306</v>
      </c>
      <c r="AB269" s="101">
        <f>IF(VLOOKUP($C269,'All Girls &amp; Descendants - Edit'!$C$2:$AK$440,'All Girls &amp; Descendants - Edit'!AB$1,FALSE)=""," - ",(VLOOKUP($C269,'All Girls &amp; Descendants - Edit'!$C$2:$AK$440,'All Girls &amp; Descendants - Edit'!AB$1,FALSE)))</f>
        <v>126</v>
      </c>
      <c r="AC269" s="101">
        <f>IF(VLOOKUP($C269,'All Girls &amp; Descendants - Edit'!$C$2:$AK$440,'All Girls &amp; Descendants - Edit'!AC$1,FALSE)=""," - ",(VLOOKUP($C269,'All Girls &amp; Descendants - Edit'!$C$2:$AK$440,'All Girls &amp; Descendants - Edit'!AC$1,FALSE)))</f>
        <v>2126</v>
      </c>
      <c r="AD269" s="3" t="str">
        <f>IF(VLOOKUP($C269,'All Girls &amp; Descendants - Edit'!$C$2:$AK$440,'All Girls &amp; Descendants - Edit'!AD$1,FALSE)=""," - ",(VLOOKUP($C269,'All Girls &amp; Descendants - Edit'!$C$2:$AK$440,'All Girls &amp; Descendants - Edit'!AD$1,FALSE)))</f>
        <v>108ca</v>
      </c>
      <c r="AE269" s="3" t="str">
        <f>IF(VLOOKUP($C269,'All Girls &amp; Descendants - Edit'!$C$2:$AK$440,'All Girls &amp; Descendants - Edit'!AE$1,FALSE)=""," - ",(VLOOKUP($C269,'All Girls &amp; Descendants - Edit'!$C$2:$AK$440,'All Girls &amp; Descendants - Edit'!AE$1,FALSE)))</f>
        <v>Tanya Louise  HOYLE (1985 - )</v>
      </c>
      <c r="AF269" s="3" t="str">
        <f>IF(VLOOKUP($C269,'All Girls &amp; Descendants - Edit'!$C$2:$AK$440,'All Girls &amp; Descendants - Edit'!AF$1,FALSE)=""," - ",(VLOOKUP($C269,'All Girls &amp; Descendants - Edit'!$C$2:$AK$440,'All Girls &amp; Descendants - Edit'!AF$1,FALSE)))</f>
        <v>Tanya HOYLE (7th &amp; 108)</v>
      </c>
      <c r="AG269" s="3" t="str">
        <f>IF(VLOOKUP($C269,'All Girls &amp; Descendants - Edit'!$C$2:$AK$440,'All Girls &amp; Descendants - Edit'!AG$1,FALSE)=""," - ",(VLOOKUP($C269,'All Girls &amp; Descendants - Edit'!$C$2:$AK$440,'All Girls &amp; Descendants - Edit'!AG$1,FALSE)))</f>
        <v>Female</v>
      </c>
      <c r="AH269" s="3" t="str">
        <f>IF(VLOOKUP($C269,'All Girls &amp; Descendants - Edit'!$C$2:$AK$440,'All Girls &amp; Descendants - Edit'!AH$1,FALSE)=""," - ",(VLOOKUP($C269,'All Girls &amp; Descendants - Edit'!$C$2:$AK$440,'All Girls &amp; Descendants - Edit'!AH$1,FALSE)))</f>
        <v>7th</v>
      </c>
      <c r="AI269" s="3" t="str">
        <f>IF(VLOOKUP($C269,'All Girls &amp; Descendants - Edit'!$C$2:$AK$440,'All Girls &amp; Descendants - Edit'!AI$1,FALSE)=""," - ",(VLOOKUP($C269,'All Girls &amp; Descendants - Edit'!$C$2:$AK$440,'All Girls &amp; Descendants - Edit'!AI$1,FALSE)))</f>
        <v>Unmarried</v>
      </c>
      <c r="AJ269" s="3" t="str">
        <f>IF(VLOOKUP($C269,'All Girls &amp; Descendants - Edit'!$C$2:$AK$440,'All Girls &amp; Descendants - Edit'!AJ$1,FALSE)=""," - ",(VLOOKUP($C269,'All Girls &amp; Descendants - Edit'!$C$2:$AK$440,'All Girls &amp; Descendants - Edit'!AJ$1,FALSE)))</f>
        <v>Female. b. 14/11/1985</v>
      </c>
      <c r="AK269" s="3" t="str">
        <f>IF(VLOOKUP($C269,'All Girls &amp; Descendants - Edit'!$C$2:$AK$440,'All Girls &amp; Descendants - Edit'!AK$1,FALSE)=""," - ",(VLOOKUP($C269,'All Girls &amp; Descendants - Edit'!$C$2:$AK$440,'All Girls &amp; Descendants - Edit'!AK$1,FALSE)))</f>
        <v>b. 14/11/1985</v>
      </c>
    </row>
    <row r="270" spans="1:37" ht="19">
      <c r="A270">
        <f>VLOOKUP(B270,'Loyd List 1-190 - Edit'!$P$1:$R$219,3,FALSE)</f>
        <v>80</v>
      </c>
      <c r="B270">
        <f>'All Girls &amp; Descendants - Edit'!B271</f>
        <v>109</v>
      </c>
      <c r="C270" s="98" t="str">
        <f>'All Girls &amp; Descendants - Edit'!C271</f>
        <v>109ba</v>
      </c>
      <c r="D270" s="2" t="str">
        <f>'All Girls &amp; Descendants - Edit'!D271</f>
        <v>WALTON</v>
      </c>
      <c r="E270" t="str">
        <f>'All Girls &amp; Descendants - Edit'!E271</f>
        <v>Toby</v>
      </c>
      <c r="F270" t="str">
        <f>IF('All Girls &amp; Descendants - Edit'!F271="","",'All Girls &amp; Descendants - Edit'!F271)</f>
        <v>Chui</v>
      </c>
      <c r="G270" t="str">
        <f>IF('All Girls &amp; Descendants - Edit'!G271="","",'All Girls &amp; Descendants - Edit'!G271)</f>
        <v xml:space="preserve">Bao </v>
      </c>
      <c r="H270" t="str">
        <f>IF('All Girls &amp; Descendants - Edit'!H271="","",'All Girls &amp; Descendants - Edit'!H271)</f>
        <v/>
      </c>
      <c r="I270">
        <f>VLOOKUP($C270,'All Girls &amp; Descendants - Edit'!$C$2:$AK$440,'All Girls &amp; Descendants - Edit'!I$1,FALSE)</f>
        <v>2008</v>
      </c>
      <c r="J270" t="str">
        <f>VLOOKUP($C270,'All Girls &amp; Descendants - Edit'!$C$2:$AK$440,'All Girls &amp; Descendants - Edit'!J$1,FALSE)</f>
        <v/>
      </c>
      <c r="K270" s="9"/>
      <c r="L270" t="str">
        <f t="shared" si="32"/>
        <v>29/03/2008</v>
      </c>
      <c r="M270" s="3">
        <f>VLOOKUP($C270,'All Girls &amp; Descendants - Edit'!$C$2:$AK$440,'All Girls &amp; Descendants - Edit'!M$1,FALSE)</f>
        <v>39536</v>
      </c>
      <c r="N270" s="3" t="str">
        <f>IF(VLOOKUP($C270,'All Girls &amp; Descendants - Edit'!$C$2:$AK$440,'All Girls &amp; Descendants - Edit'!N$1,FALSE)=""," - ",(VLOOKUP($C270,'All Girls &amp; Descendants - Edit'!$C$2:$AK$440,'All Girls &amp; Descendants - Edit'!N$1,FALSE)))</f>
        <v xml:space="preserve"> - </v>
      </c>
      <c r="O270" s="3" t="str">
        <f>IF(VLOOKUP($C270,'All Girls &amp; Descendants - Edit'!$C$2:$AK$440,'All Girls &amp; Descendants - Edit'!O$1,FALSE)="","",(VLOOKUP($C270,'All Girls &amp; Descendants - Edit'!$C$2:$AK$440,'All Girls &amp; Descendants - Edit'!O$1,FALSE)))</f>
        <v/>
      </c>
      <c r="P270" s="3" t="str">
        <f t="shared" si="33"/>
        <v/>
      </c>
      <c r="Q270" s="178" t="str">
        <f t="shared" si="34"/>
        <v>109b</v>
      </c>
      <c r="R270" s="23"/>
      <c r="S270" t="str">
        <f>VLOOKUP($C270,'All Girls &amp; Descendants - Edit'!$C$2:$AK$440,'All Girls &amp; Descendants - Edit'!S$1,FALSE)</f>
        <v>Male</v>
      </c>
      <c r="T270" s="176">
        <f t="shared" si="31"/>
        <v>7</v>
      </c>
      <c r="U270" s="176">
        <f t="shared" si="35"/>
        <v>5</v>
      </c>
      <c r="V270" s="176">
        <f t="shared" si="36"/>
        <v>5</v>
      </c>
      <c r="W270" s="177">
        <f t="shared" si="37"/>
        <v>2</v>
      </c>
      <c r="X270" s="3" t="str">
        <f>IF(VLOOKUP($C270,'All Girls &amp; Descendants - Edit'!$C$2:$AK$440,'All Girls &amp; Descendants - Edit'!X$1,FALSE)=""," - ",(VLOOKUP($C270,'All Girls &amp; Descendants - Edit'!$C$2:$AK$440,'All Girls &amp; Descendants - Edit'!X$1,FALSE)))</f>
        <v xml:space="preserve"> - </v>
      </c>
      <c r="Y270" s="3" t="str">
        <f>IF(VLOOKUP($C270,'All Girls &amp; Descendants - Edit'!$C$2:$AK$440,'All Girls &amp; Descendants - Edit'!Y$1,FALSE)=""," - ",(VLOOKUP($C270,'All Girls &amp; Descendants - Edit'!$C$2:$AK$440,'All Girls &amp; Descendants - Edit'!Y$1,FALSE)))</f>
        <v xml:space="preserve"> - </v>
      </c>
      <c r="Z270" s="3" t="str">
        <f>IF(VLOOKUP($C270,'All Girls &amp; Descendants - Edit'!$C$2:$AK$440,'All Girls &amp; Descendants - Edit'!Z$1,FALSE)=""," - ",(VLOOKUP($C270,'All Girls &amp; Descendants - Edit'!$C$2:$AK$440,'All Girls &amp; Descendants - Edit'!Z$1,FALSE)))</f>
        <v xml:space="preserve"> - </v>
      </c>
      <c r="AA270" s="101" t="str">
        <f>IF(VLOOKUP($C270,'All Girls &amp; Descendants - Edit'!$C$2:$AK$440,'All Girls &amp; Descendants - Edit'!AA$1,FALSE)=""," - ",(VLOOKUP($C270,'All Girls &amp; Descendants - Edit'!$C$2:$AK$440,'All Girls &amp; Descendants - Edit'!AA$1,FALSE)))</f>
        <v xml:space="preserve"> - </v>
      </c>
      <c r="AB270" s="101">
        <f>IF(VLOOKUP($C270,'All Girls &amp; Descendants - Edit'!$C$2:$AK$440,'All Girls &amp; Descendants - Edit'!AB$1,FALSE)=""," - ",(VLOOKUP($C270,'All Girls &amp; Descendants - Edit'!$C$2:$AK$440,'All Girls &amp; Descendants - Edit'!AB$1,FALSE)))</f>
        <v>127</v>
      </c>
      <c r="AC270" s="101">
        <f>IF(VLOOKUP($C270,'All Girls &amp; Descendants - Edit'!$C$2:$AK$440,'All Girls &amp; Descendants - Edit'!AC$1,FALSE)=""," - ",(VLOOKUP($C270,'All Girls &amp; Descendants - Edit'!$C$2:$AK$440,'All Girls &amp; Descendants - Edit'!AC$1,FALSE)))</f>
        <v>2127</v>
      </c>
      <c r="AD270" s="3" t="str">
        <f>IF(VLOOKUP($C270,'All Girls &amp; Descendants - Edit'!$C$2:$AK$440,'All Girls &amp; Descendants - Edit'!AD$1,FALSE)=""," - ",(VLOOKUP($C270,'All Girls &amp; Descendants - Edit'!$C$2:$AK$440,'All Girls &amp; Descendants - Edit'!AD$1,FALSE)))</f>
        <v>109ba</v>
      </c>
      <c r="AE270" s="3" t="str">
        <f>IF(VLOOKUP($C270,'All Girls &amp; Descendants - Edit'!$C$2:$AK$440,'All Girls &amp; Descendants - Edit'!AE$1,FALSE)=""," - ",(VLOOKUP($C270,'All Girls &amp; Descendants - Edit'!$C$2:$AK$440,'All Girls &amp; Descendants - Edit'!AE$1,FALSE)))</f>
        <v>Toby Chui Bao  WALTON (2008 - )</v>
      </c>
      <c r="AF270" s="3" t="str">
        <f>IF(VLOOKUP($C270,'All Girls &amp; Descendants - Edit'!$C$2:$AK$440,'All Girls &amp; Descendants - Edit'!AF$1,FALSE)=""," - ",(VLOOKUP($C270,'All Girls &amp; Descendants - Edit'!$C$2:$AK$440,'All Girls &amp; Descendants - Edit'!AF$1,FALSE)))</f>
        <v>Toby WALTON (7th &amp; 109)</v>
      </c>
      <c r="AG270" s="3" t="str">
        <f>IF(VLOOKUP($C270,'All Girls &amp; Descendants - Edit'!$C$2:$AK$440,'All Girls &amp; Descendants - Edit'!AG$1,FALSE)=""," - ",(VLOOKUP($C270,'All Girls &amp; Descendants - Edit'!$C$2:$AK$440,'All Girls &amp; Descendants - Edit'!AG$1,FALSE)))</f>
        <v>Male</v>
      </c>
      <c r="AH270" s="3" t="str">
        <f>IF(VLOOKUP($C270,'All Girls &amp; Descendants - Edit'!$C$2:$AK$440,'All Girls &amp; Descendants - Edit'!AH$1,FALSE)=""," - ",(VLOOKUP($C270,'All Girls &amp; Descendants - Edit'!$C$2:$AK$440,'All Girls &amp; Descendants - Edit'!AH$1,FALSE)))</f>
        <v>7th</v>
      </c>
      <c r="AI270" s="3" t="str">
        <f>IF(VLOOKUP($C270,'All Girls &amp; Descendants - Edit'!$C$2:$AK$440,'All Girls &amp; Descendants - Edit'!AI$1,FALSE)=""," - ",(VLOOKUP($C270,'All Girls &amp; Descendants - Edit'!$C$2:$AK$440,'All Girls &amp; Descendants - Edit'!AI$1,FALSE)))</f>
        <v>Unmarried</v>
      </c>
      <c r="AJ270" s="3" t="str">
        <f>IF(VLOOKUP($C270,'All Girls &amp; Descendants - Edit'!$C$2:$AK$440,'All Girls &amp; Descendants - Edit'!AJ$1,FALSE)=""," - ",(VLOOKUP($C270,'All Girls &amp; Descendants - Edit'!$C$2:$AK$440,'All Girls &amp; Descendants - Edit'!AJ$1,FALSE)))</f>
        <v>Male. b. 29/03/2008</v>
      </c>
      <c r="AK270" s="3" t="str">
        <f>IF(VLOOKUP($C270,'All Girls &amp; Descendants - Edit'!$C$2:$AK$440,'All Girls &amp; Descendants - Edit'!AK$1,FALSE)=""," - ",(VLOOKUP($C270,'All Girls &amp; Descendants - Edit'!$C$2:$AK$440,'All Girls &amp; Descendants - Edit'!AK$1,FALSE)))</f>
        <v>b. 29/03/2008</v>
      </c>
    </row>
    <row r="271" spans="1:37" ht="19">
      <c r="A271">
        <f>VLOOKUP(B271,'Loyd List 1-190 - Edit'!$P$1:$R$219,3,FALSE)</f>
        <v>80</v>
      </c>
      <c r="B271">
        <f>'All Girls &amp; Descendants - Edit'!B272</f>
        <v>109</v>
      </c>
      <c r="C271" s="98" t="str">
        <f>'All Girls &amp; Descendants - Edit'!C272</f>
        <v>109bb</v>
      </c>
      <c r="D271" s="2" t="str">
        <f>'All Girls &amp; Descendants - Edit'!D272</f>
        <v>WALTON</v>
      </c>
      <c r="E271" t="str">
        <f>'All Girls &amp; Descendants - Edit'!E272</f>
        <v>Leo</v>
      </c>
      <c r="F271" t="str">
        <f>IF('All Girls &amp; Descendants - Edit'!F272="","",'All Girls &amp; Descendants - Edit'!F272)</f>
        <v>Giap</v>
      </c>
      <c r="G271" t="str">
        <f>IF('All Girls &amp; Descendants - Edit'!G272="","",'All Girls &amp; Descendants - Edit'!G272)</f>
        <v/>
      </c>
      <c r="H271" t="str">
        <f>IF('All Girls &amp; Descendants - Edit'!H272="","",'All Girls &amp; Descendants - Edit'!H272)</f>
        <v/>
      </c>
      <c r="I271">
        <f>VLOOKUP($C271,'All Girls &amp; Descendants - Edit'!$C$2:$AK$440,'All Girls &amp; Descendants - Edit'!I$1,FALSE)</f>
        <v>2012</v>
      </c>
      <c r="J271" t="str">
        <f>VLOOKUP($C271,'All Girls &amp; Descendants - Edit'!$C$2:$AK$440,'All Girls &amp; Descendants - Edit'!J$1,FALSE)</f>
        <v/>
      </c>
      <c r="K271" s="9"/>
      <c r="L271" t="str">
        <f t="shared" si="32"/>
        <v>30/04/2012</v>
      </c>
      <c r="M271" s="3">
        <f>VLOOKUP($C271,'All Girls &amp; Descendants - Edit'!$C$2:$AK$440,'All Girls &amp; Descendants - Edit'!M$1,FALSE)</f>
        <v>41029</v>
      </c>
      <c r="N271" s="3" t="str">
        <f>IF(VLOOKUP($C271,'All Girls &amp; Descendants - Edit'!$C$2:$AK$440,'All Girls &amp; Descendants - Edit'!N$1,FALSE)=""," - ",(VLOOKUP($C271,'All Girls &amp; Descendants - Edit'!$C$2:$AK$440,'All Girls &amp; Descendants - Edit'!N$1,FALSE)))</f>
        <v xml:space="preserve"> - </v>
      </c>
      <c r="O271" s="3" t="str">
        <f>IF(VLOOKUP($C271,'All Girls &amp; Descendants - Edit'!$C$2:$AK$440,'All Girls &amp; Descendants - Edit'!O$1,FALSE)="","",(VLOOKUP($C271,'All Girls &amp; Descendants - Edit'!$C$2:$AK$440,'All Girls &amp; Descendants - Edit'!O$1,FALSE)))</f>
        <v/>
      </c>
      <c r="P271" s="3" t="str">
        <f t="shared" si="33"/>
        <v/>
      </c>
      <c r="Q271" s="178" t="str">
        <f t="shared" si="34"/>
        <v>109b</v>
      </c>
      <c r="R271" s="23"/>
      <c r="S271" t="str">
        <f>VLOOKUP($C271,'All Girls &amp; Descendants - Edit'!$C$2:$AK$440,'All Girls &amp; Descendants - Edit'!S$1,FALSE)</f>
        <v>Male</v>
      </c>
      <c r="T271" s="176">
        <f t="shared" si="31"/>
        <v>7</v>
      </c>
      <c r="U271" s="176">
        <f t="shared" si="35"/>
        <v>5</v>
      </c>
      <c r="V271" s="176">
        <f t="shared" si="36"/>
        <v>5</v>
      </c>
      <c r="W271" s="177">
        <f t="shared" si="37"/>
        <v>2</v>
      </c>
      <c r="X271" s="3" t="str">
        <f>IF(VLOOKUP($C271,'All Girls &amp; Descendants - Edit'!$C$2:$AK$440,'All Girls &amp; Descendants - Edit'!X$1,FALSE)=""," - ",(VLOOKUP($C271,'All Girls &amp; Descendants - Edit'!$C$2:$AK$440,'All Girls &amp; Descendants - Edit'!X$1,FALSE)))</f>
        <v xml:space="preserve"> - </v>
      </c>
      <c r="Y271" s="3" t="str">
        <f>IF(VLOOKUP($C271,'All Girls &amp; Descendants - Edit'!$C$2:$AK$440,'All Girls &amp; Descendants - Edit'!Y$1,FALSE)=""," - ",(VLOOKUP($C271,'All Girls &amp; Descendants - Edit'!$C$2:$AK$440,'All Girls &amp; Descendants - Edit'!Y$1,FALSE)))</f>
        <v xml:space="preserve"> - </v>
      </c>
      <c r="Z271" s="3" t="str">
        <f>IF(VLOOKUP($C271,'All Girls &amp; Descendants - Edit'!$C$2:$AK$440,'All Girls &amp; Descendants - Edit'!Z$1,FALSE)=""," - ",(VLOOKUP($C271,'All Girls &amp; Descendants - Edit'!$C$2:$AK$440,'All Girls &amp; Descendants - Edit'!Z$1,FALSE)))</f>
        <v xml:space="preserve"> - </v>
      </c>
      <c r="AA271" s="101" t="str">
        <f>IF(VLOOKUP($C271,'All Girls &amp; Descendants - Edit'!$C$2:$AK$440,'All Girls &amp; Descendants - Edit'!AA$1,FALSE)=""," - ",(VLOOKUP($C271,'All Girls &amp; Descendants - Edit'!$C$2:$AK$440,'All Girls &amp; Descendants - Edit'!AA$1,FALSE)))</f>
        <v xml:space="preserve"> - </v>
      </c>
      <c r="AB271" s="101">
        <f>IF(VLOOKUP($C271,'All Girls &amp; Descendants - Edit'!$C$2:$AK$440,'All Girls &amp; Descendants - Edit'!AB$1,FALSE)=""," - ",(VLOOKUP($C271,'All Girls &amp; Descendants - Edit'!$C$2:$AK$440,'All Girls &amp; Descendants - Edit'!AB$1,FALSE)))</f>
        <v>128</v>
      </c>
      <c r="AC271" s="101">
        <f>IF(VLOOKUP($C271,'All Girls &amp; Descendants - Edit'!$C$2:$AK$440,'All Girls &amp; Descendants - Edit'!AC$1,FALSE)=""," - ",(VLOOKUP($C271,'All Girls &amp; Descendants - Edit'!$C$2:$AK$440,'All Girls &amp; Descendants - Edit'!AC$1,FALSE)))</f>
        <v>2128</v>
      </c>
      <c r="AD271" s="3" t="str">
        <f>IF(VLOOKUP($C271,'All Girls &amp; Descendants - Edit'!$C$2:$AK$440,'All Girls &amp; Descendants - Edit'!AD$1,FALSE)=""," - ",(VLOOKUP($C271,'All Girls &amp; Descendants - Edit'!$C$2:$AK$440,'All Girls &amp; Descendants - Edit'!AD$1,FALSE)))</f>
        <v>109bb</v>
      </c>
      <c r="AE271" s="3" t="str">
        <f>IF(VLOOKUP($C271,'All Girls &amp; Descendants - Edit'!$C$2:$AK$440,'All Girls &amp; Descendants - Edit'!AE$1,FALSE)=""," - ",(VLOOKUP($C271,'All Girls &amp; Descendants - Edit'!$C$2:$AK$440,'All Girls &amp; Descendants - Edit'!AE$1,FALSE)))</f>
        <v>Leo Giap  WALTON (2012 - )</v>
      </c>
      <c r="AF271" s="3" t="str">
        <f>IF(VLOOKUP($C271,'All Girls &amp; Descendants - Edit'!$C$2:$AK$440,'All Girls &amp; Descendants - Edit'!AF$1,FALSE)=""," - ",(VLOOKUP($C271,'All Girls &amp; Descendants - Edit'!$C$2:$AK$440,'All Girls &amp; Descendants - Edit'!AF$1,FALSE)))</f>
        <v>Leo WALTON (7th &amp; 109)</v>
      </c>
      <c r="AG271" s="3" t="str">
        <f>IF(VLOOKUP($C271,'All Girls &amp; Descendants - Edit'!$C$2:$AK$440,'All Girls &amp; Descendants - Edit'!AG$1,FALSE)=""," - ",(VLOOKUP($C271,'All Girls &amp; Descendants - Edit'!$C$2:$AK$440,'All Girls &amp; Descendants - Edit'!AG$1,FALSE)))</f>
        <v>Male</v>
      </c>
      <c r="AH271" s="3" t="str">
        <f>IF(VLOOKUP($C271,'All Girls &amp; Descendants - Edit'!$C$2:$AK$440,'All Girls &amp; Descendants - Edit'!AH$1,FALSE)=""," - ",(VLOOKUP($C271,'All Girls &amp; Descendants - Edit'!$C$2:$AK$440,'All Girls &amp; Descendants - Edit'!AH$1,FALSE)))</f>
        <v>7th</v>
      </c>
      <c r="AI271" s="3" t="str">
        <f>IF(VLOOKUP($C271,'All Girls &amp; Descendants - Edit'!$C$2:$AK$440,'All Girls &amp; Descendants - Edit'!AI$1,FALSE)=""," - ",(VLOOKUP($C271,'All Girls &amp; Descendants - Edit'!$C$2:$AK$440,'All Girls &amp; Descendants - Edit'!AI$1,FALSE)))</f>
        <v>Unmarried</v>
      </c>
      <c r="AJ271" s="3" t="str">
        <f>IF(VLOOKUP($C271,'All Girls &amp; Descendants - Edit'!$C$2:$AK$440,'All Girls &amp; Descendants - Edit'!AJ$1,FALSE)=""," - ",(VLOOKUP($C271,'All Girls &amp; Descendants - Edit'!$C$2:$AK$440,'All Girls &amp; Descendants - Edit'!AJ$1,FALSE)))</f>
        <v>Male. b. 30/04/2012</v>
      </c>
      <c r="AK271" s="3" t="str">
        <f>IF(VLOOKUP($C271,'All Girls &amp; Descendants - Edit'!$C$2:$AK$440,'All Girls &amp; Descendants - Edit'!AK$1,FALSE)=""," - ",(VLOOKUP($C271,'All Girls &amp; Descendants - Edit'!$C$2:$AK$440,'All Girls &amp; Descendants - Edit'!AK$1,FALSE)))</f>
        <v>b. 30/04/2012</v>
      </c>
    </row>
    <row r="272" spans="1:37" ht="19">
      <c r="A272">
        <f>VLOOKUP(B272,'Loyd List 1-190 - Edit'!$P$1:$R$219,3,FALSE)</f>
        <v>80</v>
      </c>
      <c r="B272">
        <f>'All Girls &amp; Descendants - Edit'!B273</f>
        <v>109</v>
      </c>
      <c r="C272" s="98" t="str">
        <f>'All Girls &amp; Descendants - Edit'!C273</f>
        <v>109bc</v>
      </c>
      <c r="D272" s="2" t="str">
        <f>'All Girls &amp; Descendants - Edit'!D273</f>
        <v>WALTON</v>
      </c>
      <c r="E272" t="str">
        <f>'All Girls &amp; Descendants - Edit'!E273</f>
        <v>Benjamin</v>
      </c>
      <c r="F272" t="str">
        <f>IF('All Girls &amp; Descendants - Edit'!F273="","",'All Girls &amp; Descendants - Edit'!F273)</f>
        <v>Hai</v>
      </c>
      <c r="G272" t="str">
        <f>IF('All Girls &amp; Descendants - Edit'!G273="","",'All Girls &amp; Descendants - Edit'!G273)</f>
        <v>Nam</v>
      </c>
      <c r="H272" t="str">
        <f>IF('All Girls &amp; Descendants - Edit'!H273="","",'All Girls &amp; Descendants - Edit'!H273)</f>
        <v/>
      </c>
      <c r="I272">
        <f>VLOOKUP($C272,'All Girls &amp; Descendants - Edit'!$C$2:$AK$440,'All Girls &amp; Descendants - Edit'!I$1,FALSE)</f>
        <v>2013</v>
      </c>
      <c r="J272" t="str">
        <f>VLOOKUP($C272,'All Girls &amp; Descendants - Edit'!$C$2:$AK$440,'All Girls &amp; Descendants - Edit'!J$1,FALSE)</f>
        <v/>
      </c>
      <c r="K272" s="9"/>
      <c r="L272" t="str">
        <f t="shared" si="32"/>
        <v>17/10/2013</v>
      </c>
      <c r="M272" s="3">
        <f>VLOOKUP($C272,'All Girls &amp; Descendants - Edit'!$C$2:$AK$440,'All Girls &amp; Descendants - Edit'!M$1,FALSE)</f>
        <v>41564</v>
      </c>
      <c r="N272" s="3" t="str">
        <f>IF(VLOOKUP($C272,'All Girls &amp; Descendants - Edit'!$C$2:$AK$440,'All Girls &amp; Descendants - Edit'!N$1,FALSE)=""," - ",(VLOOKUP($C272,'All Girls &amp; Descendants - Edit'!$C$2:$AK$440,'All Girls &amp; Descendants - Edit'!N$1,FALSE)))</f>
        <v xml:space="preserve"> - </v>
      </c>
      <c r="O272" s="3" t="str">
        <f>IF(VLOOKUP($C272,'All Girls &amp; Descendants - Edit'!$C$2:$AK$440,'All Girls &amp; Descendants - Edit'!O$1,FALSE)="","",(VLOOKUP($C272,'All Girls &amp; Descendants - Edit'!$C$2:$AK$440,'All Girls &amp; Descendants - Edit'!O$1,FALSE)))</f>
        <v/>
      </c>
      <c r="P272" s="3" t="str">
        <f t="shared" si="33"/>
        <v/>
      </c>
      <c r="Q272" s="178" t="str">
        <f t="shared" si="34"/>
        <v>109b</v>
      </c>
      <c r="R272" s="23"/>
      <c r="S272" t="str">
        <f>VLOOKUP($C272,'All Girls &amp; Descendants - Edit'!$C$2:$AK$440,'All Girls &amp; Descendants - Edit'!S$1,FALSE)</f>
        <v>Male</v>
      </c>
      <c r="T272" s="176">
        <f t="shared" si="31"/>
        <v>7</v>
      </c>
      <c r="U272" s="176">
        <f t="shared" si="35"/>
        <v>5</v>
      </c>
      <c r="V272" s="176">
        <f t="shared" si="36"/>
        <v>5</v>
      </c>
      <c r="W272" s="177">
        <f t="shared" si="37"/>
        <v>2</v>
      </c>
      <c r="X272" s="3" t="str">
        <f>IF(VLOOKUP($C272,'All Girls &amp; Descendants - Edit'!$C$2:$AK$440,'All Girls &amp; Descendants - Edit'!X$1,FALSE)=""," - ",(VLOOKUP($C272,'All Girls &amp; Descendants - Edit'!$C$2:$AK$440,'All Girls &amp; Descendants - Edit'!X$1,FALSE)))</f>
        <v xml:space="preserve"> - </v>
      </c>
      <c r="Y272" s="3" t="str">
        <f>IF(VLOOKUP($C272,'All Girls &amp; Descendants - Edit'!$C$2:$AK$440,'All Girls &amp; Descendants - Edit'!Y$1,FALSE)=""," - ",(VLOOKUP($C272,'All Girls &amp; Descendants - Edit'!$C$2:$AK$440,'All Girls &amp; Descendants - Edit'!Y$1,FALSE)))</f>
        <v xml:space="preserve"> - </v>
      </c>
      <c r="Z272" s="3" t="str">
        <f>IF(VLOOKUP($C272,'All Girls &amp; Descendants - Edit'!$C$2:$AK$440,'All Girls &amp; Descendants - Edit'!Z$1,FALSE)=""," - ",(VLOOKUP($C272,'All Girls &amp; Descendants - Edit'!$C$2:$AK$440,'All Girls &amp; Descendants - Edit'!Z$1,FALSE)))</f>
        <v xml:space="preserve"> - </v>
      </c>
      <c r="AA272" s="101" t="str">
        <f>IF(VLOOKUP($C272,'All Girls &amp; Descendants - Edit'!$C$2:$AK$440,'All Girls &amp; Descendants - Edit'!AA$1,FALSE)=""," - ",(VLOOKUP($C272,'All Girls &amp; Descendants - Edit'!$C$2:$AK$440,'All Girls &amp; Descendants - Edit'!AA$1,FALSE)))</f>
        <v xml:space="preserve"> - </v>
      </c>
      <c r="AB272" s="101">
        <f>IF(VLOOKUP($C272,'All Girls &amp; Descendants - Edit'!$C$2:$AK$440,'All Girls &amp; Descendants - Edit'!AB$1,FALSE)=""," - ",(VLOOKUP($C272,'All Girls &amp; Descendants - Edit'!$C$2:$AK$440,'All Girls &amp; Descendants - Edit'!AB$1,FALSE)))</f>
        <v>129</v>
      </c>
      <c r="AC272" s="101">
        <f>IF(VLOOKUP($C272,'All Girls &amp; Descendants - Edit'!$C$2:$AK$440,'All Girls &amp; Descendants - Edit'!AC$1,FALSE)=""," - ",(VLOOKUP($C272,'All Girls &amp; Descendants - Edit'!$C$2:$AK$440,'All Girls &amp; Descendants - Edit'!AC$1,FALSE)))</f>
        <v>2129</v>
      </c>
      <c r="AD272" s="3" t="str">
        <f>IF(VLOOKUP($C272,'All Girls &amp; Descendants - Edit'!$C$2:$AK$440,'All Girls &amp; Descendants - Edit'!AD$1,FALSE)=""," - ",(VLOOKUP($C272,'All Girls &amp; Descendants - Edit'!$C$2:$AK$440,'All Girls &amp; Descendants - Edit'!AD$1,FALSE)))</f>
        <v>109bc</v>
      </c>
      <c r="AE272" s="3" t="str">
        <f>IF(VLOOKUP($C272,'All Girls &amp; Descendants - Edit'!$C$2:$AK$440,'All Girls &amp; Descendants - Edit'!AE$1,FALSE)=""," - ",(VLOOKUP($C272,'All Girls &amp; Descendants - Edit'!$C$2:$AK$440,'All Girls &amp; Descendants - Edit'!AE$1,FALSE)))</f>
        <v>Benjamin Hai Nam WALTON (2013 - )</v>
      </c>
      <c r="AF272" s="3" t="str">
        <f>IF(VLOOKUP($C272,'All Girls &amp; Descendants - Edit'!$C$2:$AK$440,'All Girls &amp; Descendants - Edit'!AF$1,FALSE)=""," - ",(VLOOKUP($C272,'All Girls &amp; Descendants - Edit'!$C$2:$AK$440,'All Girls &amp; Descendants - Edit'!AF$1,FALSE)))</f>
        <v>Benjamin WALTON (7th &amp; 109)</v>
      </c>
      <c r="AG272" s="3" t="str">
        <f>IF(VLOOKUP($C272,'All Girls &amp; Descendants - Edit'!$C$2:$AK$440,'All Girls &amp; Descendants - Edit'!AG$1,FALSE)=""," - ",(VLOOKUP($C272,'All Girls &amp; Descendants - Edit'!$C$2:$AK$440,'All Girls &amp; Descendants - Edit'!AG$1,FALSE)))</f>
        <v>Male</v>
      </c>
      <c r="AH272" s="3" t="str">
        <f>IF(VLOOKUP($C272,'All Girls &amp; Descendants - Edit'!$C$2:$AK$440,'All Girls &amp; Descendants - Edit'!AH$1,FALSE)=""," - ",(VLOOKUP($C272,'All Girls &amp; Descendants - Edit'!$C$2:$AK$440,'All Girls &amp; Descendants - Edit'!AH$1,FALSE)))</f>
        <v>7th</v>
      </c>
      <c r="AI272" s="3" t="str">
        <f>IF(VLOOKUP($C272,'All Girls &amp; Descendants - Edit'!$C$2:$AK$440,'All Girls &amp; Descendants - Edit'!AI$1,FALSE)=""," - ",(VLOOKUP($C272,'All Girls &amp; Descendants - Edit'!$C$2:$AK$440,'All Girls &amp; Descendants - Edit'!AI$1,FALSE)))</f>
        <v>Unmarried</v>
      </c>
      <c r="AJ272" s="3" t="str">
        <f>IF(VLOOKUP($C272,'All Girls &amp; Descendants - Edit'!$C$2:$AK$440,'All Girls &amp; Descendants - Edit'!AJ$1,FALSE)=""," - ",(VLOOKUP($C272,'All Girls &amp; Descendants - Edit'!$C$2:$AK$440,'All Girls &amp; Descendants - Edit'!AJ$1,FALSE)))</f>
        <v>Male. b. 17/10/2013</v>
      </c>
      <c r="AK272" s="3" t="str">
        <f>IF(VLOOKUP($C272,'All Girls &amp; Descendants - Edit'!$C$2:$AK$440,'All Girls &amp; Descendants - Edit'!AK$1,FALSE)=""," - ",(VLOOKUP($C272,'All Girls &amp; Descendants - Edit'!$C$2:$AK$440,'All Girls &amp; Descendants - Edit'!AK$1,FALSE)))</f>
        <v>b. 17/10/2013</v>
      </c>
    </row>
    <row r="273" spans="1:37" ht="19">
      <c r="A273">
        <f>VLOOKUP(B273,'Loyd List 1-190 - Edit'!$P$1:$R$219,3,FALSE)</f>
        <v>80</v>
      </c>
      <c r="B273">
        <f>'All Girls &amp; Descendants - Edit'!B274</f>
        <v>109</v>
      </c>
      <c r="C273" s="98" t="str">
        <f>'All Girls &amp; Descendants - Edit'!C274</f>
        <v>109bd</v>
      </c>
      <c r="D273" s="2" t="str">
        <f>'All Girls &amp; Descendants - Edit'!D274</f>
        <v>WALTON</v>
      </c>
      <c r="E273" t="str">
        <f>'All Girls &amp; Descendants - Edit'!E274</f>
        <v>Isabel</v>
      </c>
      <c r="F273" t="str">
        <f>IF('All Girls &amp; Descendants - Edit'!F274="","",'All Girls &amp; Descendants - Edit'!F274)</f>
        <v>Xuyen</v>
      </c>
      <c r="G273" t="str">
        <f>IF('All Girls &amp; Descendants - Edit'!G274="","",'All Girls &amp; Descendants - Edit'!G274)</f>
        <v>Mai</v>
      </c>
      <c r="H273" t="str">
        <f>IF('All Girls &amp; Descendants - Edit'!H274="","",'All Girls &amp; Descendants - Edit'!H274)</f>
        <v/>
      </c>
      <c r="I273">
        <f>VLOOKUP($C273,'All Girls &amp; Descendants - Edit'!$C$2:$AK$440,'All Girls &amp; Descendants - Edit'!I$1,FALSE)</f>
        <v>2016</v>
      </c>
      <c r="J273" t="str">
        <f>VLOOKUP($C273,'All Girls &amp; Descendants - Edit'!$C$2:$AK$440,'All Girls &amp; Descendants - Edit'!J$1,FALSE)</f>
        <v/>
      </c>
      <c r="K273" s="9"/>
      <c r="L273" t="str">
        <f t="shared" si="32"/>
        <v>25/01/2016</v>
      </c>
      <c r="M273" s="3">
        <f>VLOOKUP($C273,'All Girls &amp; Descendants - Edit'!$C$2:$AK$440,'All Girls &amp; Descendants - Edit'!M$1,FALSE)</f>
        <v>42394</v>
      </c>
      <c r="N273" s="3" t="str">
        <f>IF(VLOOKUP($C273,'All Girls &amp; Descendants - Edit'!$C$2:$AK$440,'All Girls &amp; Descendants - Edit'!N$1,FALSE)=""," - ",(VLOOKUP($C273,'All Girls &amp; Descendants - Edit'!$C$2:$AK$440,'All Girls &amp; Descendants - Edit'!N$1,FALSE)))</f>
        <v xml:space="preserve"> - </v>
      </c>
      <c r="O273" s="3" t="str">
        <f>IF(VLOOKUP($C273,'All Girls &amp; Descendants - Edit'!$C$2:$AK$440,'All Girls &amp; Descendants - Edit'!O$1,FALSE)="","",(VLOOKUP($C273,'All Girls &amp; Descendants - Edit'!$C$2:$AK$440,'All Girls &amp; Descendants - Edit'!O$1,FALSE)))</f>
        <v/>
      </c>
      <c r="P273" s="3" t="str">
        <f t="shared" si="33"/>
        <v/>
      </c>
      <c r="Q273" s="178" t="str">
        <f t="shared" si="34"/>
        <v>109b</v>
      </c>
      <c r="R273" s="23"/>
      <c r="S273" t="str">
        <f>VLOOKUP($C273,'All Girls &amp; Descendants - Edit'!$C$2:$AK$440,'All Girls &amp; Descendants - Edit'!S$1,FALSE)</f>
        <v>Female</v>
      </c>
      <c r="T273" s="176">
        <f t="shared" si="31"/>
        <v>7</v>
      </c>
      <c r="U273" s="176">
        <f t="shared" si="35"/>
        <v>5</v>
      </c>
      <c r="V273" s="176">
        <f t="shared" si="36"/>
        <v>5</v>
      </c>
      <c r="W273" s="177">
        <f t="shared" si="37"/>
        <v>2</v>
      </c>
      <c r="X273" s="3" t="str">
        <f>IF(VLOOKUP($C273,'All Girls &amp; Descendants - Edit'!$C$2:$AK$440,'All Girls &amp; Descendants - Edit'!X$1,FALSE)=""," - ",(VLOOKUP($C273,'All Girls &amp; Descendants - Edit'!$C$2:$AK$440,'All Girls &amp; Descendants - Edit'!X$1,FALSE)))</f>
        <v xml:space="preserve"> - </v>
      </c>
      <c r="Y273" s="3" t="str">
        <f>IF(VLOOKUP($C273,'All Girls &amp; Descendants - Edit'!$C$2:$AK$440,'All Girls &amp; Descendants - Edit'!Y$1,FALSE)=""," - ",(VLOOKUP($C273,'All Girls &amp; Descendants - Edit'!$C$2:$AK$440,'All Girls &amp; Descendants - Edit'!Y$1,FALSE)))</f>
        <v xml:space="preserve"> - </v>
      </c>
      <c r="Z273" s="3" t="str">
        <f>IF(VLOOKUP($C273,'All Girls &amp; Descendants - Edit'!$C$2:$AK$440,'All Girls &amp; Descendants - Edit'!Z$1,FALSE)=""," - ",(VLOOKUP($C273,'All Girls &amp; Descendants - Edit'!$C$2:$AK$440,'All Girls &amp; Descendants - Edit'!Z$1,FALSE)))</f>
        <v xml:space="preserve"> - </v>
      </c>
      <c r="AA273" s="101" t="str">
        <f>IF(VLOOKUP($C273,'All Girls &amp; Descendants - Edit'!$C$2:$AK$440,'All Girls &amp; Descendants - Edit'!AA$1,FALSE)=""," - ",(VLOOKUP($C273,'All Girls &amp; Descendants - Edit'!$C$2:$AK$440,'All Girls &amp; Descendants - Edit'!AA$1,FALSE)))</f>
        <v xml:space="preserve"> - </v>
      </c>
      <c r="AB273" s="101">
        <f>IF(VLOOKUP($C273,'All Girls &amp; Descendants - Edit'!$C$2:$AK$440,'All Girls &amp; Descendants - Edit'!AB$1,FALSE)=""," - ",(VLOOKUP($C273,'All Girls &amp; Descendants - Edit'!$C$2:$AK$440,'All Girls &amp; Descendants - Edit'!AB$1,FALSE)))</f>
        <v>130</v>
      </c>
      <c r="AC273" s="101">
        <f>IF(VLOOKUP($C273,'All Girls &amp; Descendants - Edit'!$C$2:$AK$440,'All Girls &amp; Descendants - Edit'!AC$1,FALSE)=""," - ",(VLOOKUP($C273,'All Girls &amp; Descendants - Edit'!$C$2:$AK$440,'All Girls &amp; Descendants - Edit'!AC$1,FALSE)))</f>
        <v>2130</v>
      </c>
      <c r="AD273" s="3" t="str">
        <f>IF(VLOOKUP($C273,'All Girls &amp; Descendants - Edit'!$C$2:$AK$440,'All Girls &amp; Descendants - Edit'!AD$1,FALSE)=""," - ",(VLOOKUP($C273,'All Girls &amp; Descendants - Edit'!$C$2:$AK$440,'All Girls &amp; Descendants - Edit'!AD$1,FALSE)))</f>
        <v>109bd</v>
      </c>
      <c r="AE273" s="3" t="str">
        <f>IF(VLOOKUP($C273,'All Girls &amp; Descendants - Edit'!$C$2:$AK$440,'All Girls &amp; Descendants - Edit'!AE$1,FALSE)=""," - ",(VLOOKUP($C273,'All Girls &amp; Descendants - Edit'!$C$2:$AK$440,'All Girls &amp; Descendants - Edit'!AE$1,FALSE)))</f>
        <v>Isabel Xuyen Mai WALTON (2016 - )</v>
      </c>
      <c r="AF273" s="3" t="str">
        <f>IF(VLOOKUP($C273,'All Girls &amp; Descendants - Edit'!$C$2:$AK$440,'All Girls &amp; Descendants - Edit'!AF$1,FALSE)=""," - ",(VLOOKUP($C273,'All Girls &amp; Descendants - Edit'!$C$2:$AK$440,'All Girls &amp; Descendants - Edit'!AF$1,FALSE)))</f>
        <v>Isabel WALTON (7th &amp; 109)</v>
      </c>
      <c r="AG273" s="3" t="str">
        <f>IF(VLOOKUP($C273,'All Girls &amp; Descendants - Edit'!$C$2:$AK$440,'All Girls &amp; Descendants - Edit'!AG$1,FALSE)=""," - ",(VLOOKUP($C273,'All Girls &amp; Descendants - Edit'!$C$2:$AK$440,'All Girls &amp; Descendants - Edit'!AG$1,FALSE)))</f>
        <v>Female</v>
      </c>
      <c r="AH273" s="3" t="str">
        <f>IF(VLOOKUP($C273,'All Girls &amp; Descendants - Edit'!$C$2:$AK$440,'All Girls &amp; Descendants - Edit'!AH$1,FALSE)=""," - ",(VLOOKUP($C273,'All Girls &amp; Descendants - Edit'!$C$2:$AK$440,'All Girls &amp; Descendants - Edit'!AH$1,FALSE)))</f>
        <v>7th</v>
      </c>
      <c r="AI273" s="3" t="str">
        <f>IF(VLOOKUP($C273,'All Girls &amp; Descendants - Edit'!$C$2:$AK$440,'All Girls &amp; Descendants - Edit'!AI$1,FALSE)=""," - ",(VLOOKUP($C273,'All Girls &amp; Descendants - Edit'!$C$2:$AK$440,'All Girls &amp; Descendants - Edit'!AI$1,FALSE)))</f>
        <v>Unmarried</v>
      </c>
      <c r="AJ273" s="3" t="str">
        <f>IF(VLOOKUP($C273,'All Girls &amp; Descendants - Edit'!$C$2:$AK$440,'All Girls &amp; Descendants - Edit'!AJ$1,FALSE)=""," - ",(VLOOKUP($C273,'All Girls &amp; Descendants - Edit'!$C$2:$AK$440,'All Girls &amp; Descendants - Edit'!AJ$1,FALSE)))</f>
        <v>Female. b. 25/01/2016</v>
      </c>
      <c r="AK273" s="3" t="str">
        <f>IF(VLOOKUP($C273,'All Girls &amp; Descendants - Edit'!$C$2:$AK$440,'All Girls &amp; Descendants - Edit'!AK$1,FALSE)=""," - ",(VLOOKUP($C273,'All Girls &amp; Descendants - Edit'!$C$2:$AK$440,'All Girls &amp; Descendants - Edit'!AK$1,FALSE)))</f>
        <v>b. 25/01/2016</v>
      </c>
    </row>
    <row r="274" spans="1:37" ht="19">
      <c r="A274">
        <f>VLOOKUP(B274,'Loyd List 1-190 - Edit'!$P$1:$R$219,3,FALSE)</f>
        <v>80</v>
      </c>
      <c r="B274">
        <f>'All Girls &amp; Descendants - Edit'!B275</f>
        <v>110</v>
      </c>
      <c r="C274" s="98" t="str">
        <f>'All Girls &amp; Descendants - Edit'!C275</f>
        <v>110aa</v>
      </c>
      <c r="D274" s="2" t="str">
        <f>'All Girls &amp; Descendants - Edit'!D275</f>
        <v>BOYCE</v>
      </c>
      <c r="E274" t="str">
        <f>'All Girls &amp; Descendants - Edit'!E275</f>
        <v>Christopher</v>
      </c>
      <c r="F274" t="str">
        <f>IF('All Girls &amp; Descendants - Edit'!F275="","",'All Girls &amp; Descendants - Edit'!F275)</f>
        <v>Drummond</v>
      </c>
      <c r="G274" t="str">
        <f>IF('All Girls &amp; Descendants - Edit'!G275="","",'All Girls &amp; Descendants - Edit'!G275)</f>
        <v/>
      </c>
      <c r="H274" t="str">
        <f>IF('All Girls &amp; Descendants - Edit'!H275="","",'All Girls &amp; Descendants - Edit'!H275)</f>
        <v/>
      </c>
      <c r="I274">
        <f>VLOOKUP($C274,'All Girls &amp; Descendants - Edit'!$C$2:$AK$440,'All Girls &amp; Descendants - Edit'!I$1,FALSE)</f>
        <v>1990</v>
      </c>
      <c r="J274" t="str">
        <f>VLOOKUP($C274,'All Girls &amp; Descendants - Edit'!$C$2:$AK$440,'All Girls &amp; Descendants - Edit'!J$1,FALSE)</f>
        <v/>
      </c>
      <c r="K274" s="9"/>
      <c r="L274" t="str">
        <f t="shared" si="32"/>
        <v>08/01/1990</v>
      </c>
      <c r="M274" s="3">
        <f>VLOOKUP($C274,'All Girls &amp; Descendants - Edit'!$C$2:$AK$440,'All Girls &amp; Descendants - Edit'!M$1,FALSE)</f>
        <v>32881</v>
      </c>
      <c r="N274" s="3" t="str">
        <f>IF(VLOOKUP($C274,'All Girls &amp; Descendants - Edit'!$C$2:$AK$440,'All Girls &amp; Descendants - Edit'!N$1,FALSE)=""," - ",(VLOOKUP($C274,'All Girls &amp; Descendants - Edit'!$C$2:$AK$440,'All Girls &amp; Descendants - Edit'!N$1,FALSE)))</f>
        <v xml:space="preserve"> - </v>
      </c>
      <c r="O274" s="3" t="str">
        <f>IF(VLOOKUP($C274,'All Girls &amp; Descendants - Edit'!$C$2:$AK$440,'All Girls &amp; Descendants - Edit'!O$1,FALSE)="","",(VLOOKUP($C274,'All Girls &amp; Descendants - Edit'!$C$2:$AK$440,'All Girls &amp; Descendants - Edit'!O$1,FALSE)))</f>
        <v/>
      </c>
      <c r="P274" s="3" t="str">
        <f t="shared" si="33"/>
        <v/>
      </c>
      <c r="Q274" s="178" t="str">
        <f t="shared" si="34"/>
        <v>110a</v>
      </c>
      <c r="R274" s="23"/>
      <c r="S274" t="str">
        <f>VLOOKUP($C274,'All Girls &amp; Descendants - Edit'!$C$2:$AK$440,'All Girls &amp; Descendants - Edit'!S$1,FALSE)</f>
        <v>Male</v>
      </c>
      <c r="T274" s="176">
        <f t="shared" si="31"/>
        <v>7</v>
      </c>
      <c r="U274" s="176">
        <f t="shared" si="35"/>
        <v>5</v>
      </c>
      <c r="V274" s="176">
        <f t="shared" si="36"/>
        <v>5</v>
      </c>
      <c r="W274" s="177">
        <f t="shared" si="37"/>
        <v>2</v>
      </c>
      <c r="X274" s="3" t="str">
        <f>IF(VLOOKUP($C274,'All Girls &amp; Descendants - Edit'!$C$2:$AK$440,'All Girls &amp; Descendants - Edit'!X$1,FALSE)=""," - ",(VLOOKUP($C274,'All Girls &amp; Descendants - Edit'!$C$2:$AK$440,'All Girls &amp; Descendants - Edit'!X$1,FALSE)))</f>
        <v>Laura Jane MIDDLETON (b. ,)</v>
      </c>
      <c r="Y274" s="3" t="str">
        <f>IF(VLOOKUP($C274,'All Girls &amp; Descendants - Edit'!$C$2:$AK$440,'All Girls &amp; Descendants - Edit'!Y$1,FALSE)=""," - ",(VLOOKUP($C274,'All Girls &amp; Descendants - Edit'!$C$2:$AK$440,'All Girls &amp; Descendants - Edit'!Y$1,FALSE)))</f>
        <v xml:space="preserve"> - </v>
      </c>
      <c r="Z274" s="3" t="str">
        <f>IF(VLOOKUP($C274,'All Girls &amp; Descendants - Edit'!$C$2:$AK$440,'All Girls &amp; Descendants - Edit'!Z$1,FALSE)=""," - ",(VLOOKUP($C274,'All Girls &amp; Descendants - Edit'!$C$2:$AK$440,'All Girls &amp; Descendants - Edit'!Z$1,FALSE)))</f>
        <v>Born in Brussels.</v>
      </c>
      <c r="AA274" s="101">
        <f>IF(VLOOKUP($C274,'All Girls &amp; Descendants - Edit'!$C$2:$AK$440,'All Girls &amp; Descendants - Edit'!AA$1,FALSE)=""," - ",(VLOOKUP($C274,'All Girls &amp; Descendants - Edit'!$C$2:$AK$440,'All Girls &amp; Descendants - Edit'!AA$1,FALSE)))</f>
        <v>311</v>
      </c>
      <c r="AB274" s="101">
        <f>IF(VLOOKUP($C274,'All Girls &amp; Descendants - Edit'!$C$2:$AK$440,'All Girls &amp; Descendants - Edit'!AB$1,FALSE)=""," - ",(VLOOKUP($C274,'All Girls &amp; Descendants - Edit'!$C$2:$AK$440,'All Girls &amp; Descendants - Edit'!AB$1,FALSE)))</f>
        <v>131</v>
      </c>
      <c r="AC274" s="101">
        <f>IF(VLOOKUP($C274,'All Girls &amp; Descendants - Edit'!$C$2:$AK$440,'All Girls &amp; Descendants - Edit'!AC$1,FALSE)=""," - ",(VLOOKUP($C274,'All Girls &amp; Descendants - Edit'!$C$2:$AK$440,'All Girls &amp; Descendants - Edit'!AC$1,FALSE)))</f>
        <v>2131</v>
      </c>
      <c r="AD274" s="3" t="str">
        <f>IF(VLOOKUP($C274,'All Girls &amp; Descendants - Edit'!$C$2:$AK$440,'All Girls &amp; Descendants - Edit'!AD$1,FALSE)=""," - ",(VLOOKUP($C274,'All Girls &amp; Descendants - Edit'!$C$2:$AK$440,'All Girls &amp; Descendants - Edit'!AD$1,FALSE)))</f>
        <v>110aa</v>
      </c>
      <c r="AE274" s="3" t="str">
        <f>IF(VLOOKUP($C274,'All Girls &amp; Descendants - Edit'!$C$2:$AK$440,'All Girls &amp; Descendants - Edit'!AE$1,FALSE)=""," - ",(VLOOKUP($C274,'All Girls &amp; Descendants - Edit'!$C$2:$AK$440,'All Girls &amp; Descendants - Edit'!AE$1,FALSE)))</f>
        <v>Christopher Drummond  BOYCE (1990 - )</v>
      </c>
      <c r="AF274" s="3" t="str">
        <f>IF(VLOOKUP($C274,'All Girls &amp; Descendants - Edit'!$C$2:$AK$440,'All Girls &amp; Descendants - Edit'!AF$1,FALSE)=""," - ",(VLOOKUP($C274,'All Girls &amp; Descendants - Edit'!$C$2:$AK$440,'All Girls &amp; Descendants - Edit'!AF$1,FALSE)))</f>
        <v>Christopher BOYCE (7th &amp; 110)</v>
      </c>
      <c r="AG274" s="3" t="str">
        <f>IF(VLOOKUP($C274,'All Girls &amp; Descendants - Edit'!$C$2:$AK$440,'All Girls &amp; Descendants - Edit'!AG$1,FALSE)=""," - ",(VLOOKUP($C274,'All Girls &amp; Descendants - Edit'!$C$2:$AK$440,'All Girls &amp; Descendants - Edit'!AG$1,FALSE)))</f>
        <v>Male</v>
      </c>
      <c r="AH274" s="3" t="str">
        <f>IF(VLOOKUP($C274,'All Girls &amp; Descendants - Edit'!$C$2:$AK$440,'All Girls &amp; Descendants - Edit'!AH$1,FALSE)=""," - ",(VLOOKUP($C274,'All Girls &amp; Descendants - Edit'!$C$2:$AK$440,'All Girls &amp; Descendants - Edit'!AH$1,FALSE)))</f>
        <v>7th</v>
      </c>
      <c r="AI274" s="3" t="str">
        <f>IF(VLOOKUP($C274,'All Girls &amp; Descendants - Edit'!$C$2:$AK$440,'All Girls &amp; Descendants - Edit'!AI$1,FALSE)=""," - ",(VLOOKUP($C274,'All Girls &amp; Descendants - Edit'!$C$2:$AK$440,'All Girls &amp; Descendants - Edit'!AI$1,FALSE)))</f>
        <v xml:space="preserve">Wife: Laura Jane MIDDLETON (b. ,). </v>
      </c>
      <c r="AJ274" s="3" t="str">
        <f>IF(VLOOKUP($C274,'All Girls &amp; Descendants - Edit'!$C$2:$AK$440,'All Girls &amp; Descendants - Edit'!AJ$1,FALSE)=""," - ",(VLOOKUP($C274,'All Girls &amp; Descendants - Edit'!$C$2:$AK$440,'All Girls &amp; Descendants - Edit'!AJ$1,FALSE)))</f>
        <v>Male. b. 08/01/1990 Born in Brussels.</v>
      </c>
      <c r="AK274" s="3" t="str">
        <f>IF(VLOOKUP($C274,'All Girls &amp; Descendants - Edit'!$C$2:$AK$440,'All Girls &amp; Descendants - Edit'!AK$1,FALSE)=""," - ",(VLOOKUP($C274,'All Girls &amp; Descendants - Edit'!$C$2:$AK$440,'All Girls &amp; Descendants - Edit'!AK$1,FALSE)))</f>
        <v>b. 08/01/1990</v>
      </c>
    </row>
    <row r="275" spans="1:37" ht="19">
      <c r="A275">
        <f>VLOOKUP(B275,'Loyd List 1-190 - Edit'!$P$1:$R$219,3,FALSE)</f>
        <v>80</v>
      </c>
      <c r="B275">
        <f>'All Girls &amp; Descendants - Edit'!B276</f>
        <v>110</v>
      </c>
      <c r="C275" s="98" t="str">
        <f>'All Girls &amp; Descendants - Edit'!C276</f>
        <v>110ab</v>
      </c>
      <c r="D275" s="2" t="str">
        <f>'All Girls &amp; Descendants - Edit'!D276</f>
        <v>BOYCE</v>
      </c>
      <c r="E275" t="str">
        <f>'All Girls &amp; Descendants - Edit'!E276</f>
        <v>Andrew</v>
      </c>
      <c r="F275" t="str">
        <f>IF('All Girls &amp; Descendants - Edit'!F276="","",'All Girls &amp; Descendants - Edit'!F276)</f>
        <v>Alexander</v>
      </c>
      <c r="G275" t="str">
        <f>IF('All Girls &amp; Descendants - Edit'!G276="","",'All Girls &amp; Descendants - Edit'!G276)</f>
        <v/>
      </c>
      <c r="H275" t="str">
        <f>IF('All Girls &amp; Descendants - Edit'!H276="","",'All Girls &amp; Descendants - Edit'!H276)</f>
        <v/>
      </c>
      <c r="I275">
        <f>VLOOKUP($C275,'All Girls &amp; Descendants - Edit'!$C$2:$AK$440,'All Girls &amp; Descendants - Edit'!I$1,FALSE)</f>
        <v>1991</v>
      </c>
      <c r="J275" t="str">
        <f>VLOOKUP($C275,'All Girls &amp; Descendants - Edit'!$C$2:$AK$440,'All Girls &amp; Descendants - Edit'!J$1,FALSE)</f>
        <v/>
      </c>
      <c r="K275" s="9"/>
      <c r="L275" t="str">
        <f t="shared" si="32"/>
        <v>07/08/1991</v>
      </c>
      <c r="M275" s="3">
        <f>VLOOKUP($C275,'All Girls &amp; Descendants - Edit'!$C$2:$AK$440,'All Girls &amp; Descendants - Edit'!M$1,FALSE)</f>
        <v>33457</v>
      </c>
      <c r="N275" s="3" t="str">
        <f>IF(VLOOKUP($C275,'All Girls &amp; Descendants - Edit'!$C$2:$AK$440,'All Girls &amp; Descendants - Edit'!N$1,FALSE)=""," - ",(VLOOKUP($C275,'All Girls &amp; Descendants - Edit'!$C$2:$AK$440,'All Girls &amp; Descendants - Edit'!N$1,FALSE)))</f>
        <v xml:space="preserve"> - </v>
      </c>
      <c r="O275" s="3" t="str">
        <f>IF(VLOOKUP($C275,'All Girls &amp; Descendants - Edit'!$C$2:$AK$440,'All Girls &amp; Descendants - Edit'!O$1,FALSE)="","",(VLOOKUP($C275,'All Girls &amp; Descendants - Edit'!$C$2:$AK$440,'All Girls &amp; Descendants - Edit'!O$1,FALSE)))</f>
        <v/>
      </c>
      <c r="P275" s="3" t="str">
        <f t="shared" si="33"/>
        <v/>
      </c>
      <c r="Q275" s="178" t="str">
        <f t="shared" si="34"/>
        <v>110a</v>
      </c>
      <c r="R275" s="23"/>
      <c r="S275" t="str">
        <f>VLOOKUP($C275,'All Girls &amp; Descendants - Edit'!$C$2:$AK$440,'All Girls &amp; Descendants - Edit'!S$1,FALSE)</f>
        <v>Male</v>
      </c>
      <c r="T275" s="176">
        <f t="shared" si="31"/>
        <v>7</v>
      </c>
      <c r="U275" s="176">
        <f t="shared" si="35"/>
        <v>5</v>
      </c>
      <c r="V275" s="176">
        <f t="shared" si="36"/>
        <v>5</v>
      </c>
      <c r="W275" s="177">
        <f t="shared" si="37"/>
        <v>2</v>
      </c>
      <c r="X275" s="3" t="str">
        <f>IF(VLOOKUP($C275,'All Girls &amp; Descendants - Edit'!$C$2:$AK$440,'All Girls &amp; Descendants - Edit'!X$1,FALSE)=""," - ",(VLOOKUP($C275,'All Girls &amp; Descendants - Edit'!$C$2:$AK$440,'All Girls &amp; Descendants - Edit'!X$1,FALSE)))</f>
        <v xml:space="preserve"> - </v>
      </c>
      <c r="Y275" s="3" t="str">
        <f>IF(VLOOKUP($C275,'All Girls &amp; Descendants - Edit'!$C$2:$AK$440,'All Girls &amp; Descendants - Edit'!Y$1,FALSE)=""," - ",(VLOOKUP($C275,'All Girls &amp; Descendants - Edit'!$C$2:$AK$440,'All Girls &amp; Descendants - Edit'!Y$1,FALSE)))</f>
        <v xml:space="preserve"> - </v>
      </c>
      <c r="Z275" s="3" t="str">
        <f>IF(VLOOKUP($C275,'All Girls &amp; Descendants - Edit'!$C$2:$AK$440,'All Girls &amp; Descendants - Edit'!Z$1,FALSE)=""," - ",(VLOOKUP($C275,'All Girls &amp; Descendants - Edit'!$C$2:$AK$440,'All Girls &amp; Descendants - Edit'!Z$1,FALSE)))</f>
        <v>Born in Brussels.</v>
      </c>
      <c r="AA275" s="101">
        <f>IF(VLOOKUP($C275,'All Girls &amp; Descendants - Edit'!$C$2:$AK$440,'All Girls &amp; Descendants - Edit'!AA$1,FALSE)=""," - ",(VLOOKUP($C275,'All Girls &amp; Descendants - Edit'!$C$2:$AK$440,'All Girls &amp; Descendants - Edit'!AA$1,FALSE)))</f>
        <v>312</v>
      </c>
      <c r="AB275" s="101">
        <f>IF(VLOOKUP($C275,'All Girls &amp; Descendants - Edit'!$C$2:$AK$440,'All Girls &amp; Descendants - Edit'!AB$1,FALSE)=""," - ",(VLOOKUP($C275,'All Girls &amp; Descendants - Edit'!$C$2:$AK$440,'All Girls &amp; Descendants - Edit'!AB$1,FALSE)))</f>
        <v>132</v>
      </c>
      <c r="AC275" s="101">
        <f>IF(VLOOKUP($C275,'All Girls &amp; Descendants - Edit'!$C$2:$AK$440,'All Girls &amp; Descendants - Edit'!AC$1,FALSE)=""," - ",(VLOOKUP($C275,'All Girls &amp; Descendants - Edit'!$C$2:$AK$440,'All Girls &amp; Descendants - Edit'!AC$1,FALSE)))</f>
        <v>2132</v>
      </c>
      <c r="AD275" s="3" t="str">
        <f>IF(VLOOKUP($C275,'All Girls &amp; Descendants - Edit'!$C$2:$AK$440,'All Girls &amp; Descendants - Edit'!AD$1,FALSE)=""," - ",(VLOOKUP($C275,'All Girls &amp; Descendants - Edit'!$C$2:$AK$440,'All Girls &amp; Descendants - Edit'!AD$1,FALSE)))</f>
        <v>110ab</v>
      </c>
      <c r="AE275" s="3" t="str">
        <f>IF(VLOOKUP($C275,'All Girls &amp; Descendants - Edit'!$C$2:$AK$440,'All Girls &amp; Descendants - Edit'!AE$1,FALSE)=""," - ",(VLOOKUP($C275,'All Girls &amp; Descendants - Edit'!$C$2:$AK$440,'All Girls &amp; Descendants - Edit'!AE$1,FALSE)))</f>
        <v>Andrew Alexander  BOYCE (1991 - )</v>
      </c>
      <c r="AF275" s="3" t="str">
        <f>IF(VLOOKUP($C275,'All Girls &amp; Descendants - Edit'!$C$2:$AK$440,'All Girls &amp; Descendants - Edit'!AF$1,FALSE)=""," - ",(VLOOKUP($C275,'All Girls &amp; Descendants - Edit'!$C$2:$AK$440,'All Girls &amp; Descendants - Edit'!AF$1,FALSE)))</f>
        <v>Andrew BOYCE (7th &amp; 110)</v>
      </c>
      <c r="AG275" s="3" t="str">
        <f>IF(VLOOKUP($C275,'All Girls &amp; Descendants - Edit'!$C$2:$AK$440,'All Girls &amp; Descendants - Edit'!AG$1,FALSE)=""," - ",(VLOOKUP($C275,'All Girls &amp; Descendants - Edit'!$C$2:$AK$440,'All Girls &amp; Descendants - Edit'!AG$1,FALSE)))</f>
        <v>Male</v>
      </c>
      <c r="AH275" s="3" t="str">
        <f>IF(VLOOKUP($C275,'All Girls &amp; Descendants - Edit'!$C$2:$AK$440,'All Girls &amp; Descendants - Edit'!AH$1,FALSE)=""," - ",(VLOOKUP($C275,'All Girls &amp; Descendants - Edit'!$C$2:$AK$440,'All Girls &amp; Descendants - Edit'!AH$1,FALSE)))</f>
        <v>7th</v>
      </c>
      <c r="AI275" s="3" t="str">
        <f>IF(VLOOKUP($C275,'All Girls &amp; Descendants - Edit'!$C$2:$AK$440,'All Girls &amp; Descendants - Edit'!AI$1,FALSE)=""," - ",(VLOOKUP($C275,'All Girls &amp; Descendants - Edit'!$C$2:$AK$440,'All Girls &amp; Descendants - Edit'!AI$1,FALSE)))</f>
        <v>Unmarried</v>
      </c>
      <c r="AJ275" s="3" t="str">
        <f>IF(VLOOKUP($C275,'All Girls &amp; Descendants - Edit'!$C$2:$AK$440,'All Girls &amp; Descendants - Edit'!AJ$1,FALSE)=""," - ",(VLOOKUP($C275,'All Girls &amp; Descendants - Edit'!$C$2:$AK$440,'All Girls &amp; Descendants - Edit'!AJ$1,FALSE)))</f>
        <v>Male. b. 07/08/1991 Born in Brussels.</v>
      </c>
      <c r="AK275" s="3" t="str">
        <f>IF(VLOOKUP($C275,'All Girls &amp; Descendants - Edit'!$C$2:$AK$440,'All Girls &amp; Descendants - Edit'!AK$1,FALSE)=""," - ",(VLOOKUP($C275,'All Girls &amp; Descendants - Edit'!$C$2:$AK$440,'All Girls &amp; Descendants - Edit'!AK$1,FALSE)))</f>
        <v>b. 07/08/1991</v>
      </c>
    </row>
    <row r="276" spans="1:37" ht="19">
      <c r="A276">
        <f>VLOOKUP(B276,'Loyd List 1-190 - Edit'!$P$1:$R$219,3,FALSE)</f>
        <v>80</v>
      </c>
      <c r="B276">
        <f>'All Girls &amp; Descendants - Edit'!B277</f>
        <v>110</v>
      </c>
      <c r="C276" s="98" t="str">
        <f>'All Girls &amp; Descendants - Edit'!C277</f>
        <v>110ac</v>
      </c>
      <c r="D276" s="2" t="str">
        <f>'All Girls &amp; Descendants - Edit'!D277</f>
        <v>BOYCE</v>
      </c>
      <c r="E276" t="str">
        <f>'All Girls &amp; Descendants - Edit'!E277</f>
        <v>Robin</v>
      </c>
      <c r="F276" t="str">
        <f>IF('All Girls &amp; Descendants - Edit'!F277="","",'All Girls &amp; Descendants - Edit'!F277)</f>
        <v>Oscar</v>
      </c>
      <c r="G276" t="str">
        <f>IF('All Girls &amp; Descendants - Edit'!G277="","",'All Girls &amp; Descendants - Edit'!G277)</f>
        <v/>
      </c>
      <c r="H276" t="str">
        <f>IF('All Girls &amp; Descendants - Edit'!H277="","",'All Girls &amp; Descendants - Edit'!H277)</f>
        <v/>
      </c>
      <c r="I276">
        <f>VLOOKUP($C276,'All Girls &amp; Descendants - Edit'!$C$2:$AK$440,'All Girls &amp; Descendants - Edit'!I$1,FALSE)</f>
        <v>1997</v>
      </c>
      <c r="J276">
        <f>VLOOKUP($C276,'All Girls &amp; Descendants - Edit'!$C$2:$AK$440,'All Girls &amp; Descendants - Edit'!J$1,FALSE)</f>
        <v>2019</v>
      </c>
      <c r="K276" s="9"/>
      <c r="L276" t="str">
        <f t="shared" si="32"/>
        <v>24/09/1997</v>
      </c>
      <c r="M276" s="3">
        <f>VLOOKUP($C276,'All Girls &amp; Descendants - Edit'!$C$2:$AK$440,'All Girls &amp; Descendants - Edit'!M$1,FALSE)</f>
        <v>35697</v>
      </c>
      <c r="N276" s="3" t="str">
        <f>IF(VLOOKUP($C276,'All Girls &amp; Descendants - Edit'!$C$2:$AK$440,'All Girls &amp; Descendants - Edit'!N$1,FALSE)=""," - ",(VLOOKUP($C276,'All Girls &amp; Descendants - Edit'!$C$2:$AK$440,'All Girls &amp; Descendants - Edit'!N$1,FALSE)))</f>
        <v xml:space="preserve"> - </v>
      </c>
      <c r="O276" s="3">
        <f>IF(VLOOKUP($C276,'All Girls &amp; Descendants - Edit'!$C$2:$AK$440,'All Girls &amp; Descendants - Edit'!O$1,FALSE)="","",(VLOOKUP($C276,'All Girls &amp; Descendants - Edit'!$C$2:$AK$440,'All Girls &amp; Descendants - Edit'!O$1,FALSE)))</f>
        <v>43623</v>
      </c>
      <c r="P276" s="3" t="str">
        <f t="shared" si="33"/>
        <v>07/06/2019</v>
      </c>
      <c r="Q276" s="178" t="str">
        <f t="shared" si="34"/>
        <v>110a</v>
      </c>
      <c r="R276" s="23"/>
      <c r="S276" t="str">
        <f>VLOOKUP($C276,'All Girls &amp; Descendants - Edit'!$C$2:$AK$440,'All Girls &amp; Descendants - Edit'!S$1,FALSE)</f>
        <v>Male</v>
      </c>
      <c r="T276" s="176">
        <f t="shared" si="31"/>
        <v>7</v>
      </c>
      <c r="U276" s="176">
        <f t="shared" si="35"/>
        <v>5</v>
      </c>
      <c r="V276" s="176">
        <f t="shared" si="36"/>
        <v>5</v>
      </c>
      <c r="W276" s="177">
        <f t="shared" si="37"/>
        <v>2</v>
      </c>
      <c r="X276" s="3" t="str">
        <f>IF(VLOOKUP($C276,'All Girls &amp; Descendants - Edit'!$C$2:$AK$440,'All Girls &amp; Descendants - Edit'!X$1,FALSE)=""," - ",(VLOOKUP($C276,'All Girls &amp; Descendants - Edit'!$C$2:$AK$440,'All Girls &amp; Descendants - Edit'!X$1,FALSE)))</f>
        <v xml:space="preserve"> - </v>
      </c>
      <c r="Y276" s="3" t="str">
        <f>IF(VLOOKUP($C276,'All Girls &amp; Descendants - Edit'!$C$2:$AK$440,'All Girls &amp; Descendants - Edit'!Y$1,FALSE)=""," - ",(VLOOKUP($C276,'All Girls &amp; Descendants - Edit'!$C$2:$AK$440,'All Girls &amp; Descendants - Edit'!Y$1,FALSE)))</f>
        <v xml:space="preserve"> - </v>
      </c>
      <c r="Z276" s="3" t="str">
        <f>IF(VLOOKUP($C276,'All Girls &amp; Descendants - Edit'!$C$2:$AK$440,'All Girls &amp; Descendants - Edit'!Z$1,FALSE)=""," - ",(VLOOKUP($C276,'All Girls &amp; Descendants - Edit'!$C$2:$AK$440,'All Girls &amp; Descendants - Edit'!Z$1,FALSE)))</f>
        <v>Born in Brussels.</v>
      </c>
      <c r="AA276" s="101">
        <f>IF(VLOOKUP($C276,'All Girls &amp; Descendants - Edit'!$C$2:$AK$440,'All Girls &amp; Descendants - Edit'!AA$1,FALSE)=""," - ",(VLOOKUP($C276,'All Girls &amp; Descendants - Edit'!$C$2:$AK$440,'All Girls &amp; Descendants - Edit'!AA$1,FALSE)))</f>
        <v>313</v>
      </c>
      <c r="AB276" s="101">
        <f>IF(VLOOKUP($C276,'All Girls &amp; Descendants - Edit'!$C$2:$AK$440,'All Girls &amp; Descendants - Edit'!AB$1,FALSE)=""," - ",(VLOOKUP($C276,'All Girls &amp; Descendants - Edit'!$C$2:$AK$440,'All Girls &amp; Descendants - Edit'!AB$1,FALSE)))</f>
        <v>133</v>
      </c>
      <c r="AC276" s="101">
        <f>IF(VLOOKUP($C276,'All Girls &amp; Descendants - Edit'!$C$2:$AK$440,'All Girls &amp; Descendants - Edit'!AC$1,FALSE)=""," - ",(VLOOKUP($C276,'All Girls &amp; Descendants - Edit'!$C$2:$AK$440,'All Girls &amp; Descendants - Edit'!AC$1,FALSE)))</f>
        <v>2133</v>
      </c>
      <c r="AD276" s="3" t="str">
        <f>IF(VLOOKUP($C276,'All Girls &amp; Descendants - Edit'!$C$2:$AK$440,'All Girls &amp; Descendants - Edit'!AD$1,FALSE)=""," - ",(VLOOKUP($C276,'All Girls &amp; Descendants - Edit'!$C$2:$AK$440,'All Girls &amp; Descendants - Edit'!AD$1,FALSE)))</f>
        <v>110ac</v>
      </c>
      <c r="AE276" s="3" t="str">
        <f>IF(VLOOKUP($C276,'All Girls &amp; Descendants - Edit'!$C$2:$AK$440,'All Girls &amp; Descendants - Edit'!AE$1,FALSE)=""," - ",(VLOOKUP($C276,'All Girls &amp; Descendants - Edit'!$C$2:$AK$440,'All Girls &amp; Descendants - Edit'!AE$1,FALSE)))</f>
        <v>Robin Oscar  BOYCE (1997 - 2019)</v>
      </c>
      <c r="AF276" s="3" t="str">
        <f>IF(VLOOKUP($C276,'All Girls &amp; Descendants - Edit'!$C$2:$AK$440,'All Girls &amp; Descendants - Edit'!AF$1,FALSE)=""," - ",(VLOOKUP($C276,'All Girls &amp; Descendants - Edit'!$C$2:$AK$440,'All Girls &amp; Descendants - Edit'!AF$1,FALSE)))</f>
        <v>Robin BOYCE (7th &amp; 110)</v>
      </c>
      <c r="AG276" s="3" t="str">
        <f>IF(VLOOKUP($C276,'All Girls &amp; Descendants - Edit'!$C$2:$AK$440,'All Girls &amp; Descendants - Edit'!AG$1,FALSE)=""," - ",(VLOOKUP($C276,'All Girls &amp; Descendants - Edit'!$C$2:$AK$440,'All Girls &amp; Descendants - Edit'!AG$1,FALSE)))</f>
        <v>Male</v>
      </c>
      <c r="AH276" s="3" t="str">
        <f>IF(VLOOKUP($C276,'All Girls &amp; Descendants - Edit'!$C$2:$AK$440,'All Girls &amp; Descendants - Edit'!AH$1,FALSE)=""," - ",(VLOOKUP($C276,'All Girls &amp; Descendants - Edit'!$C$2:$AK$440,'All Girls &amp; Descendants - Edit'!AH$1,FALSE)))</f>
        <v>7th</v>
      </c>
      <c r="AI276" s="3" t="str">
        <f>IF(VLOOKUP($C276,'All Girls &amp; Descendants - Edit'!$C$2:$AK$440,'All Girls &amp; Descendants - Edit'!AI$1,FALSE)=""," - ",(VLOOKUP($C276,'All Girls &amp; Descendants - Edit'!$C$2:$AK$440,'All Girls &amp; Descendants - Edit'!AI$1,FALSE)))</f>
        <v>Unmarried</v>
      </c>
      <c r="AJ276" s="3" t="str">
        <f>IF(VLOOKUP($C276,'All Girls &amp; Descendants - Edit'!$C$2:$AK$440,'All Girls &amp; Descendants - Edit'!AJ$1,FALSE)=""," - ",(VLOOKUP($C276,'All Girls &amp; Descendants - Edit'!$C$2:$AK$440,'All Girls &amp; Descendants - Edit'!AJ$1,FALSE)))</f>
        <v>Male. b. 24/09/1997, d. 07/06/2019. Born in Brussels.</v>
      </c>
      <c r="AK276" s="3" t="str">
        <f>IF(VLOOKUP($C276,'All Girls &amp; Descendants - Edit'!$C$2:$AK$440,'All Girls &amp; Descendants - Edit'!AK$1,FALSE)=""," - ",(VLOOKUP($C276,'All Girls &amp; Descendants - Edit'!$C$2:$AK$440,'All Girls &amp; Descendants - Edit'!AK$1,FALSE)))</f>
        <v>b. 24/09/1997, d. 07/06/2019.</v>
      </c>
    </row>
    <row r="277" spans="1:37" ht="19">
      <c r="A277">
        <f>VLOOKUP(B277,'Loyd List 1-190 - Edit'!$P$1:$R$219,3,FALSE)</f>
        <v>80</v>
      </c>
      <c r="B277">
        <f>'All Girls &amp; Descendants - Edit'!B278</f>
        <v>110</v>
      </c>
      <c r="C277" s="98" t="str">
        <f>'All Girls &amp; Descendants - Edit'!C278</f>
        <v>110ca</v>
      </c>
      <c r="D277" s="2" t="str">
        <f>'All Girls &amp; Descendants - Edit'!D278</f>
        <v>BOYCE</v>
      </c>
      <c r="E277" t="str">
        <f>'All Girls &amp; Descendants - Edit'!E278</f>
        <v>Hannah</v>
      </c>
      <c r="F277" t="str">
        <f>IF('All Girls &amp; Descendants - Edit'!F278="","",'All Girls &amp; Descendants - Edit'!F278)</f>
        <v>Catherine</v>
      </c>
      <c r="G277" t="str">
        <f>IF('All Girls &amp; Descendants - Edit'!G278="","",'All Girls &amp; Descendants - Edit'!G278)</f>
        <v/>
      </c>
      <c r="H277" t="str">
        <f>IF('All Girls &amp; Descendants - Edit'!H278="","",'All Girls &amp; Descendants - Edit'!H278)</f>
        <v/>
      </c>
      <c r="I277">
        <f>VLOOKUP($C277,'All Girls &amp; Descendants - Edit'!$C$2:$AK$440,'All Girls &amp; Descendants - Edit'!I$1,FALSE)</f>
        <v>2011</v>
      </c>
      <c r="J277" t="str">
        <f>VLOOKUP($C277,'All Girls &amp; Descendants - Edit'!$C$2:$AK$440,'All Girls &amp; Descendants - Edit'!J$1,FALSE)</f>
        <v/>
      </c>
      <c r="K277" s="9"/>
      <c r="L277" t="str">
        <f t="shared" si="32"/>
        <v>15/10/2011</v>
      </c>
      <c r="M277" s="3">
        <f>VLOOKUP($C277,'All Girls &amp; Descendants - Edit'!$C$2:$AK$440,'All Girls &amp; Descendants - Edit'!M$1,FALSE)</f>
        <v>40831</v>
      </c>
      <c r="N277" s="3" t="str">
        <f>IF(VLOOKUP($C277,'All Girls &amp; Descendants - Edit'!$C$2:$AK$440,'All Girls &amp; Descendants - Edit'!N$1,FALSE)=""," - ",(VLOOKUP($C277,'All Girls &amp; Descendants - Edit'!$C$2:$AK$440,'All Girls &amp; Descendants - Edit'!N$1,FALSE)))</f>
        <v xml:space="preserve"> - </v>
      </c>
      <c r="O277" s="3" t="str">
        <f>IF(VLOOKUP($C277,'All Girls &amp; Descendants - Edit'!$C$2:$AK$440,'All Girls &amp; Descendants - Edit'!O$1,FALSE)="","",(VLOOKUP($C277,'All Girls &amp; Descendants - Edit'!$C$2:$AK$440,'All Girls &amp; Descendants - Edit'!O$1,FALSE)))</f>
        <v/>
      </c>
      <c r="P277" s="3" t="str">
        <f t="shared" si="33"/>
        <v/>
      </c>
      <c r="Q277" s="178" t="str">
        <f t="shared" si="34"/>
        <v>110c</v>
      </c>
      <c r="R277" s="23"/>
      <c r="S277" t="str">
        <f>VLOOKUP($C277,'All Girls &amp; Descendants - Edit'!$C$2:$AK$440,'All Girls &amp; Descendants - Edit'!S$1,FALSE)</f>
        <v>Female</v>
      </c>
      <c r="T277" s="176">
        <f t="shared" si="31"/>
        <v>7</v>
      </c>
      <c r="U277" s="176">
        <f t="shared" si="35"/>
        <v>5</v>
      </c>
      <c r="V277" s="176">
        <f t="shared" si="36"/>
        <v>5</v>
      </c>
      <c r="W277" s="177">
        <f t="shared" si="37"/>
        <v>2</v>
      </c>
      <c r="X277" s="3" t="str">
        <f>IF(VLOOKUP($C277,'All Girls &amp; Descendants - Edit'!$C$2:$AK$440,'All Girls &amp; Descendants - Edit'!X$1,FALSE)=""," - ",(VLOOKUP($C277,'All Girls &amp; Descendants - Edit'!$C$2:$AK$440,'All Girls &amp; Descendants - Edit'!X$1,FALSE)))</f>
        <v xml:space="preserve"> - </v>
      </c>
      <c r="Y277" s="3" t="str">
        <f>IF(VLOOKUP($C277,'All Girls &amp; Descendants - Edit'!$C$2:$AK$440,'All Girls &amp; Descendants - Edit'!Y$1,FALSE)=""," - ",(VLOOKUP($C277,'All Girls &amp; Descendants - Edit'!$C$2:$AK$440,'All Girls &amp; Descendants - Edit'!Y$1,FALSE)))</f>
        <v xml:space="preserve"> - </v>
      </c>
      <c r="Z277" s="3" t="str">
        <f>IF(VLOOKUP($C277,'All Girls &amp; Descendants - Edit'!$C$2:$AK$440,'All Girls &amp; Descendants - Edit'!Z$1,FALSE)=""," - ",(VLOOKUP($C277,'All Girls &amp; Descendants - Edit'!$C$2:$AK$440,'All Girls &amp; Descendants - Edit'!Z$1,FALSE)))</f>
        <v xml:space="preserve"> - </v>
      </c>
      <c r="AA277" s="101" t="str">
        <f>IF(VLOOKUP($C277,'All Girls &amp; Descendants - Edit'!$C$2:$AK$440,'All Girls &amp; Descendants - Edit'!AA$1,FALSE)=""," - ",(VLOOKUP($C277,'All Girls &amp; Descendants - Edit'!$C$2:$AK$440,'All Girls &amp; Descendants - Edit'!AA$1,FALSE)))</f>
        <v xml:space="preserve"> - </v>
      </c>
      <c r="AB277" s="101">
        <f>IF(VLOOKUP($C277,'All Girls &amp; Descendants - Edit'!$C$2:$AK$440,'All Girls &amp; Descendants - Edit'!AB$1,FALSE)=""," - ",(VLOOKUP($C277,'All Girls &amp; Descendants - Edit'!$C$2:$AK$440,'All Girls &amp; Descendants - Edit'!AB$1,FALSE)))</f>
        <v>134</v>
      </c>
      <c r="AC277" s="101">
        <f>IF(VLOOKUP($C277,'All Girls &amp; Descendants - Edit'!$C$2:$AK$440,'All Girls &amp; Descendants - Edit'!AC$1,FALSE)=""," - ",(VLOOKUP($C277,'All Girls &amp; Descendants - Edit'!$C$2:$AK$440,'All Girls &amp; Descendants - Edit'!AC$1,FALSE)))</f>
        <v>2134</v>
      </c>
      <c r="AD277" s="3" t="str">
        <f>IF(VLOOKUP($C277,'All Girls &amp; Descendants - Edit'!$C$2:$AK$440,'All Girls &amp; Descendants - Edit'!AD$1,FALSE)=""," - ",(VLOOKUP($C277,'All Girls &amp; Descendants - Edit'!$C$2:$AK$440,'All Girls &amp; Descendants - Edit'!AD$1,FALSE)))</f>
        <v>110ca</v>
      </c>
      <c r="AE277" s="3" t="str">
        <f>IF(VLOOKUP($C277,'All Girls &amp; Descendants - Edit'!$C$2:$AK$440,'All Girls &amp; Descendants - Edit'!AE$1,FALSE)=""," - ",(VLOOKUP($C277,'All Girls &amp; Descendants - Edit'!$C$2:$AK$440,'All Girls &amp; Descendants - Edit'!AE$1,FALSE)))</f>
        <v>Hannah Catherine  BOYCE (2011 - )</v>
      </c>
      <c r="AF277" s="3" t="str">
        <f>IF(VLOOKUP($C277,'All Girls &amp; Descendants - Edit'!$C$2:$AK$440,'All Girls &amp; Descendants - Edit'!AF$1,FALSE)=""," - ",(VLOOKUP($C277,'All Girls &amp; Descendants - Edit'!$C$2:$AK$440,'All Girls &amp; Descendants - Edit'!AF$1,FALSE)))</f>
        <v>Hannah BOYCE (7th &amp; 110)</v>
      </c>
      <c r="AG277" s="3" t="str">
        <f>IF(VLOOKUP($C277,'All Girls &amp; Descendants - Edit'!$C$2:$AK$440,'All Girls &amp; Descendants - Edit'!AG$1,FALSE)=""," - ",(VLOOKUP($C277,'All Girls &amp; Descendants - Edit'!$C$2:$AK$440,'All Girls &amp; Descendants - Edit'!AG$1,FALSE)))</f>
        <v>Female</v>
      </c>
      <c r="AH277" s="3" t="str">
        <f>IF(VLOOKUP($C277,'All Girls &amp; Descendants - Edit'!$C$2:$AK$440,'All Girls &amp; Descendants - Edit'!AH$1,FALSE)=""," - ",(VLOOKUP($C277,'All Girls &amp; Descendants - Edit'!$C$2:$AK$440,'All Girls &amp; Descendants - Edit'!AH$1,FALSE)))</f>
        <v>7th</v>
      </c>
      <c r="AI277" s="3" t="str">
        <f>IF(VLOOKUP($C277,'All Girls &amp; Descendants - Edit'!$C$2:$AK$440,'All Girls &amp; Descendants - Edit'!AI$1,FALSE)=""," - ",(VLOOKUP($C277,'All Girls &amp; Descendants - Edit'!$C$2:$AK$440,'All Girls &amp; Descendants - Edit'!AI$1,FALSE)))</f>
        <v>Unmarried</v>
      </c>
      <c r="AJ277" s="3" t="str">
        <f>IF(VLOOKUP($C277,'All Girls &amp; Descendants - Edit'!$C$2:$AK$440,'All Girls &amp; Descendants - Edit'!AJ$1,FALSE)=""," - ",(VLOOKUP($C277,'All Girls &amp; Descendants - Edit'!$C$2:$AK$440,'All Girls &amp; Descendants - Edit'!AJ$1,FALSE)))</f>
        <v>Female. b. 15/10/2011</v>
      </c>
      <c r="AK277" s="3" t="str">
        <f>IF(VLOOKUP($C277,'All Girls &amp; Descendants - Edit'!$C$2:$AK$440,'All Girls &amp; Descendants - Edit'!AK$1,FALSE)=""," - ",(VLOOKUP($C277,'All Girls &amp; Descendants - Edit'!$C$2:$AK$440,'All Girls &amp; Descendants - Edit'!AK$1,FALSE)))</f>
        <v>b. 15/10/2011</v>
      </c>
    </row>
    <row r="278" spans="1:37" ht="19">
      <c r="A278">
        <f>VLOOKUP(B278,'Loyd List 1-190 - Edit'!$P$1:$R$219,3,FALSE)</f>
        <v>80</v>
      </c>
      <c r="B278">
        <f>'All Girls &amp; Descendants - Edit'!B279</f>
        <v>110</v>
      </c>
      <c r="C278" s="98" t="str">
        <f>'All Girls &amp; Descendants - Edit'!C279</f>
        <v>110da</v>
      </c>
      <c r="D278" s="2" t="str">
        <f>'All Girls &amp; Descendants - Edit'!D279</f>
        <v>BOYCE de CASTRO</v>
      </c>
      <c r="E278" t="str">
        <f>'All Girls &amp; Descendants - Edit'!E279</f>
        <v>Karina</v>
      </c>
      <c r="F278" t="str">
        <f>IF('All Girls &amp; Descendants - Edit'!F279="","",'All Girls &amp; Descendants - Edit'!F279)</f>
        <v>Boyce</v>
      </c>
      <c r="G278" t="str">
        <f>IF('All Girls &amp; Descendants - Edit'!G279="","",'All Girls &amp; Descendants - Edit'!G279)</f>
        <v/>
      </c>
      <c r="H278" t="str">
        <f>IF('All Girls &amp; Descendants - Edit'!H279="","",'All Girls &amp; Descendants - Edit'!H279)</f>
        <v/>
      </c>
      <c r="I278">
        <f>VLOOKUP($C278,'All Girls &amp; Descendants - Edit'!$C$2:$AK$440,'All Girls &amp; Descendants - Edit'!I$1,FALSE)</f>
        <v>1999</v>
      </c>
      <c r="J278" t="str">
        <f>VLOOKUP($C278,'All Girls &amp; Descendants - Edit'!$C$2:$AK$440,'All Girls &amp; Descendants - Edit'!J$1,FALSE)</f>
        <v/>
      </c>
      <c r="K278" s="9"/>
      <c r="L278" t="str">
        <f t="shared" si="32"/>
        <v>11/02/1999</v>
      </c>
      <c r="M278" s="3">
        <f>VLOOKUP($C278,'All Girls &amp; Descendants - Edit'!$C$2:$AK$440,'All Girls &amp; Descendants - Edit'!M$1,FALSE)</f>
        <v>36202</v>
      </c>
      <c r="N278" s="3" t="str">
        <f>IF(VLOOKUP($C278,'All Girls &amp; Descendants - Edit'!$C$2:$AK$440,'All Girls &amp; Descendants - Edit'!N$1,FALSE)=""," - ",(VLOOKUP($C278,'All Girls &amp; Descendants - Edit'!$C$2:$AK$440,'All Girls &amp; Descendants - Edit'!N$1,FALSE)))</f>
        <v xml:space="preserve"> - </v>
      </c>
      <c r="O278" s="3" t="str">
        <f>IF(VLOOKUP($C278,'All Girls &amp; Descendants - Edit'!$C$2:$AK$440,'All Girls &amp; Descendants - Edit'!O$1,FALSE)="","",(VLOOKUP($C278,'All Girls &amp; Descendants - Edit'!$C$2:$AK$440,'All Girls &amp; Descendants - Edit'!O$1,FALSE)))</f>
        <v/>
      </c>
      <c r="P278" s="3" t="str">
        <f t="shared" si="33"/>
        <v/>
      </c>
      <c r="Q278" s="178" t="str">
        <f t="shared" si="34"/>
        <v>110d</v>
      </c>
      <c r="R278" s="23"/>
      <c r="S278" t="str">
        <f>VLOOKUP($C278,'All Girls &amp; Descendants - Edit'!$C$2:$AK$440,'All Girls &amp; Descendants - Edit'!S$1,FALSE)</f>
        <v>Female</v>
      </c>
      <c r="T278" s="176">
        <f t="shared" si="31"/>
        <v>7</v>
      </c>
      <c r="U278" s="176">
        <f t="shared" si="35"/>
        <v>5</v>
      </c>
      <c r="V278" s="176">
        <f t="shared" si="36"/>
        <v>5</v>
      </c>
      <c r="W278" s="177">
        <f t="shared" si="37"/>
        <v>2</v>
      </c>
      <c r="X278" s="3" t="str">
        <f>IF(VLOOKUP($C278,'All Girls &amp; Descendants - Edit'!$C$2:$AK$440,'All Girls &amp; Descendants - Edit'!X$1,FALSE)=""," - ",(VLOOKUP($C278,'All Girls &amp; Descendants - Edit'!$C$2:$AK$440,'All Girls &amp; Descendants - Edit'!X$1,FALSE)))</f>
        <v xml:space="preserve"> - </v>
      </c>
      <c r="Y278" s="3" t="str">
        <f>IF(VLOOKUP($C278,'All Girls &amp; Descendants - Edit'!$C$2:$AK$440,'All Girls &amp; Descendants - Edit'!Y$1,FALSE)=""," - ",(VLOOKUP($C278,'All Girls &amp; Descendants - Edit'!$C$2:$AK$440,'All Girls &amp; Descendants - Edit'!Y$1,FALSE)))</f>
        <v xml:space="preserve"> - </v>
      </c>
      <c r="Z278" s="3" t="str">
        <f>IF(VLOOKUP($C278,'All Girls &amp; Descendants - Edit'!$C$2:$AK$440,'All Girls &amp; Descendants - Edit'!Z$1,FALSE)=""," - ",(VLOOKUP($C278,'All Girls &amp; Descendants - Edit'!$C$2:$AK$440,'All Girls &amp; Descendants - Edit'!Z$1,FALSE)))</f>
        <v>Born in Rio de Janerio</v>
      </c>
      <c r="AA278" s="101">
        <f>IF(VLOOKUP($C278,'All Girls &amp; Descendants - Edit'!$C$2:$AK$440,'All Girls &amp; Descendants - Edit'!AA$1,FALSE)=""," - ",(VLOOKUP($C278,'All Girls &amp; Descendants - Edit'!$C$2:$AK$440,'All Girls &amp; Descendants - Edit'!AA$1,FALSE)))</f>
        <v>317</v>
      </c>
      <c r="AB278" s="101">
        <f>IF(VLOOKUP($C278,'All Girls &amp; Descendants - Edit'!$C$2:$AK$440,'All Girls &amp; Descendants - Edit'!AB$1,FALSE)=""," - ",(VLOOKUP($C278,'All Girls &amp; Descendants - Edit'!$C$2:$AK$440,'All Girls &amp; Descendants - Edit'!AB$1,FALSE)))</f>
        <v>135</v>
      </c>
      <c r="AC278" s="101">
        <f>IF(VLOOKUP($C278,'All Girls &amp; Descendants - Edit'!$C$2:$AK$440,'All Girls &amp; Descendants - Edit'!AC$1,FALSE)=""," - ",(VLOOKUP($C278,'All Girls &amp; Descendants - Edit'!$C$2:$AK$440,'All Girls &amp; Descendants - Edit'!AC$1,FALSE)))</f>
        <v>2135</v>
      </c>
      <c r="AD278" s="3" t="str">
        <f>IF(VLOOKUP($C278,'All Girls &amp; Descendants - Edit'!$C$2:$AK$440,'All Girls &amp; Descendants - Edit'!AD$1,FALSE)=""," - ",(VLOOKUP($C278,'All Girls &amp; Descendants - Edit'!$C$2:$AK$440,'All Girls &amp; Descendants - Edit'!AD$1,FALSE)))</f>
        <v>110da</v>
      </c>
      <c r="AE278" s="3" t="str">
        <f>IF(VLOOKUP($C278,'All Girls &amp; Descendants - Edit'!$C$2:$AK$440,'All Girls &amp; Descendants - Edit'!AE$1,FALSE)=""," - ",(VLOOKUP($C278,'All Girls &amp; Descendants - Edit'!$C$2:$AK$440,'All Girls &amp; Descendants - Edit'!AE$1,FALSE)))</f>
        <v>Karina Boyce  BOYCE de CASTRO (1999 - )</v>
      </c>
      <c r="AF278" s="3" t="str">
        <f>IF(VLOOKUP($C278,'All Girls &amp; Descendants - Edit'!$C$2:$AK$440,'All Girls &amp; Descendants - Edit'!AF$1,FALSE)=""," - ",(VLOOKUP($C278,'All Girls &amp; Descendants - Edit'!$C$2:$AK$440,'All Girls &amp; Descendants - Edit'!AF$1,FALSE)))</f>
        <v>Karina BOYCE de CASTRO (7th &amp; 110)</v>
      </c>
      <c r="AG278" s="3" t="str">
        <f>IF(VLOOKUP($C278,'All Girls &amp; Descendants - Edit'!$C$2:$AK$440,'All Girls &amp; Descendants - Edit'!AG$1,FALSE)=""," - ",(VLOOKUP($C278,'All Girls &amp; Descendants - Edit'!$C$2:$AK$440,'All Girls &amp; Descendants - Edit'!AG$1,FALSE)))</f>
        <v>Female</v>
      </c>
      <c r="AH278" s="3" t="str">
        <f>IF(VLOOKUP($C278,'All Girls &amp; Descendants - Edit'!$C$2:$AK$440,'All Girls &amp; Descendants - Edit'!AH$1,FALSE)=""," - ",(VLOOKUP($C278,'All Girls &amp; Descendants - Edit'!$C$2:$AK$440,'All Girls &amp; Descendants - Edit'!AH$1,FALSE)))</f>
        <v>7th</v>
      </c>
      <c r="AI278" s="3" t="str">
        <f>IF(VLOOKUP($C278,'All Girls &amp; Descendants - Edit'!$C$2:$AK$440,'All Girls &amp; Descendants - Edit'!AI$1,FALSE)=""," - ",(VLOOKUP($C278,'All Girls &amp; Descendants - Edit'!$C$2:$AK$440,'All Girls &amp; Descendants - Edit'!AI$1,FALSE)))</f>
        <v>Unmarried</v>
      </c>
      <c r="AJ278" s="3" t="str">
        <f>IF(VLOOKUP($C278,'All Girls &amp; Descendants - Edit'!$C$2:$AK$440,'All Girls &amp; Descendants - Edit'!AJ$1,FALSE)=""," - ",(VLOOKUP($C278,'All Girls &amp; Descendants - Edit'!$C$2:$AK$440,'All Girls &amp; Descendants - Edit'!AJ$1,FALSE)))</f>
        <v>Female. b. 11/02/1999 Born in Rio de Janerio</v>
      </c>
      <c r="AK278" s="3" t="str">
        <f>IF(VLOOKUP($C278,'All Girls &amp; Descendants - Edit'!$C$2:$AK$440,'All Girls &amp; Descendants - Edit'!AK$1,FALSE)=""," - ",(VLOOKUP($C278,'All Girls &amp; Descendants - Edit'!$C$2:$AK$440,'All Girls &amp; Descendants - Edit'!AK$1,FALSE)))</f>
        <v>b. 11/02/1999</v>
      </c>
    </row>
    <row r="279" spans="1:37" ht="19">
      <c r="A279">
        <f>VLOOKUP(B279,'Loyd List 1-190 - Edit'!$P$1:$R$219,3,FALSE)</f>
        <v>80</v>
      </c>
      <c r="B279">
        <f>'All Girls &amp; Descendants - Edit'!B280</f>
        <v>110</v>
      </c>
      <c r="C279" s="98" t="str">
        <f>'All Girls &amp; Descendants - Edit'!C280</f>
        <v>110db</v>
      </c>
      <c r="D279" s="2" t="str">
        <f>'All Girls &amp; Descendants - Edit'!D280</f>
        <v>BOYCE de CASTRO</v>
      </c>
      <c r="E279" t="str">
        <f>'All Girls &amp; Descendants - Edit'!E280</f>
        <v>Matheus</v>
      </c>
      <c r="F279" t="str">
        <f>IF('All Girls &amp; Descendants - Edit'!F280="","",'All Girls &amp; Descendants - Edit'!F280)</f>
        <v>Drummond</v>
      </c>
      <c r="G279" t="str">
        <f>IF('All Girls &amp; Descendants - Edit'!G280="","",'All Girls &amp; Descendants - Edit'!G280)</f>
        <v/>
      </c>
      <c r="H279" t="str">
        <f>IF('All Girls &amp; Descendants - Edit'!H280="","",'All Girls &amp; Descendants - Edit'!H280)</f>
        <v/>
      </c>
      <c r="I279">
        <f>VLOOKUP($C279,'All Girls &amp; Descendants - Edit'!$C$2:$AK$440,'All Girls &amp; Descendants - Edit'!I$1,FALSE)</f>
        <v>2002</v>
      </c>
      <c r="J279">
        <f>VLOOKUP($C279,'All Girls &amp; Descendants - Edit'!$C$2:$AK$440,'All Girls &amp; Descendants - Edit'!J$1,FALSE)</f>
        <v>0</v>
      </c>
      <c r="K279" s="9"/>
      <c r="L279" t="str">
        <f t="shared" si="32"/>
        <v>18/10/2002</v>
      </c>
      <c r="M279" s="3">
        <f>VLOOKUP($C279,'All Girls &amp; Descendants - Edit'!$C$2:$AK$440,'All Girls &amp; Descendants - Edit'!M$1,FALSE)</f>
        <v>37547</v>
      </c>
      <c r="N279" s="3" t="str">
        <f>IF(VLOOKUP($C279,'All Girls &amp; Descendants - Edit'!$C$2:$AK$440,'All Girls &amp; Descendants - Edit'!N$1,FALSE)=""," - ",(VLOOKUP($C279,'All Girls &amp; Descendants - Edit'!$C$2:$AK$440,'All Girls &amp; Descendants - Edit'!N$1,FALSE)))</f>
        <v xml:space="preserve"> - </v>
      </c>
      <c r="O279" s="3" t="str">
        <f>IF(VLOOKUP($C279,'All Girls &amp; Descendants - Edit'!$C$2:$AK$440,'All Girls &amp; Descendants - Edit'!O$1,FALSE)="","",(VLOOKUP($C279,'All Girls &amp; Descendants - Edit'!$C$2:$AK$440,'All Girls &amp; Descendants - Edit'!O$1,FALSE)))</f>
        <v/>
      </c>
      <c r="P279" s="3" t="str">
        <f t="shared" si="33"/>
        <v/>
      </c>
      <c r="Q279" s="178" t="str">
        <f t="shared" si="34"/>
        <v>110d</v>
      </c>
      <c r="R279" s="23"/>
      <c r="S279" t="str">
        <f>VLOOKUP($C279,'All Girls &amp; Descendants - Edit'!$C$2:$AK$440,'All Girls &amp; Descendants - Edit'!S$1,FALSE)</f>
        <v>Male</v>
      </c>
      <c r="T279" s="176">
        <f t="shared" si="31"/>
        <v>7</v>
      </c>
      <c r="U279" s="176">
        <f t="shared" si="35"/>
        <v>5</v>
      </c>
      <c r="V279" s="176">
        <f t="shared" si="36"/>
        <v>5</v>
      </c>
      <c r="W279" s="177">
        <f t="shared" si="37"/>
        <v>2</v>
      </c>
      <c r="X279" s="3" t="str">
        <f>IF(VLOOKUP($C279,'All Girls &amp; Descendants - Edit'!$C$2:$AK$440,'All Girls &amp; Descendants - Edit'!X$1,FALSE)=""," - ",(VLOOKUP($C279,'All Girls &amp; Descendants - Edit'!$C$2:$AK$440,'All Girls &amp; Descendants - Edit'!X$1,FALSE)))</f>
        <v xml:space="preserve"> - </v>
      </c>
      <c r="Y279" s="3" t="str">
        <f>IF(VLOOKUP($C279,'All Girls &amp; Descendants - Edit'!$C$2:$AK$440,'All Girls &amp; Descendants - Edit'!Y$1,FALSE)=""," - ",(VLOOKUP($C279,'All Girls &amp; Descendants - Edit'!$C$2:$AK$440,'All Girls &amp; Descendants - Edit'!Y$1,FALSE)))</f>
        <v xml:space="preserve"> - </v>
      </c>
      <c r="Z279" s="3" t="str">
        <f>IF(VLOOKUP($C279,'All Girls &amp; Descendants - Edit'!$C$2:$AK$440,'All Girls &amp; Descendants - Edit'!Z$1,FALSE)=""," - ",(VLOOKUP($C279,'All Girls &amp; Descendants - Edit'!$C$2:$AK$440,'All Girls &amp; Descendants - Edit'!Z$1,FALSE)))</f>
        <v>Born in Rio de Janerio</v>
      </c>
      <c r="AA279" s="101" t="str">
        <f>IF(VLOOKUP($C279,'All Girls &amp; Descendants - Edit'!$C$2:$AK$440,'All Girls &amp; Descendants - Edit'!AA$1,FALSE)=""," - ",(VLOOKUP($C279,'All Girls &amp; Descendants - Edit'!$C$2:$AK$440,'All Girls &amp; Descendants - Edit'!AA$1,FALSE)))</f>
        <v xml:space="preserve"> - </v>
      </c>
      <c r="AB279" s="101">
        <f>IF(VLOOKUP($C279,'All Girls &amp; Descendants - Edit'!$C$2:$AK$440,'All Girls &amp; Descendants - Edit'!AB$1,FALSE)=""," - ",(VLOOKUP($C279,'All Girls &amp; Descendants - Edit'!$C$2:$AK$440,'All Girls &amp; Descendants - Edit'!AB$1,FALSE)))</f>
        <v>136</v>
      </c>
      <c r="AC279" s="101">
        <f>IF(VLOOKUP($C279,'All Girls &amp; Descendants - Edit'!$C$2:$AK$440,'All Girls &amp; Descendants - Edit'!AC$1,FALSE)=""," - ",(VLOOKUP($C279,'All Girls &amp; Descendants - Edit'!$C$2:$AK$440,'All Girls &amp; Descendants - Edit'!AC$1,FALSE)))</f>
        <v>2136</v>
      </c>
      <c r="AD279" s="3" t="str">
        <f>IF(VLOOKUP($C279,'All Girls &amp; Descendants - Edit'!$C$2:$AK$440,'All Girls &amp; Descendants - Edit'!AD$1,FALSE)=""," - ",(VLOOKUP($C279,'All Girls &amp; Descendants - Edit'!$C$2:$AK$440,'All Girls &amp; Descendants - Edit'!AD$1,FALSE)))</f>
        <v>110db</v>
      </c>
      <c r="AE279" s="3" t="str">
        <f>IF(VLOOKUP($C279,'All Girls &amp; Descendants - Edit'!$C$2:$AK$440,'All Girls &amp; Descendants - Edit'!AE$1,FALSE)=""," - ",(VLOOKUP($C279,'All Girls &amp; Descendants - Edit'!$C$2:$AK$440,'All Girls &amp; Descendants - Edit'!AE$1,FALSE)))</f>
        <v>Matheus Drummond  BOYCE de CASTRO (2002 - )</v>
      </c>
      <c r="AF279" s="3" t="str">
        <f>IF(VLOOKUP($C279,'All Girls &amp; Descendants - Edit'!$C$2:$AK$440,'All Girls &amp; Descendants - Edit'!AF$1,FALSE)=""," - ",(VLOOKUP($C279,'All Girls &amp; Descendants - Edit'!$C$2:$AK$440,'All Girls &amp; Descendants - Edit'!AF$1,FALSE)))</f>
        <v>Matheus BOYCE de CASTRO (7th &amp; 110)</v>
      </c>
      <c r="AG279" s="3" t="str">
        <f>IF(VLOOKUP($C279,'All Girls &amp; Descendants - Edit'!$C$2:$AK$440,'All Girls &amp; Descendants - Edit'!AG$1,FALSE)=""," - ",(VLOOKUP($C279,'All Girls &amp; Descendants - Edit'!$C$2:$AK$440,'All Girls &amp; Descendants - Edit'!AG$1,FALSE)))</f>
        <v>Male</v>
      </c>
      <c r="AH279" s="3" t="str">
        <f>IF(VLOOKUP($C279,'All Girls &amp; Descendants - Edit'!$C$2:$AK$440,'All Girls &amp; Descendants - Edit'!AH$1,FALSE)=""," - ",(VLOOKUP($C279,'All Girls &amp; Descendants - Edit'!$C$2:$AK$440,'All Girls &amp; Descendants - Edit'!AH$1,FALSE)))</f>
        <v>7th</v>
      </c>
      <c r="AI279" s="3" t="str">
        <f>IF(VLOOKUP($C279,'All Girls &amp; Descendants - Edit'!$C$2:$AK$440,'All Girls &amp; Descendants - Edit'!AI$1,FALSE)=""," - ",(VLOOKUP($C279,'All Girls &amp; Descendants - Edit'!$C$2:$AK$440,'All Girls &amp; Descendants - Edit'!AI$1,FALSE)))</f>
        <v>Unmarried</v>
      </c>
      <c r="AJ279" s="3" t="str">
        <f>IF(VLOOKUP($C279,'All Girls &amp; Descendants - Edit'!$C$2:$AK$440,'All Girls &amp; Descendants - Edit'!AJ$1,FALSE)=""," - ",(VLOOKUP($C279,'All Girls &amp; Descendants - Edit'!$C$2:$AK$440,'All Girls &amp; Descendants - Edit'!AJ$1,FALSE)))</f>
        <v>Male. b. 18/10/2002 Born in Rio de Janerio</v>
      </c>
      <c r="AK279" s="3" t="str">
        <f>IF(VLOOKUP($C279,'All Girls &amp; Descendants - Edit'!$C$2:$AK$440,'All Girls &amp; Descendants - Edit'!AK$1,FALSE)=""," - ",(VLOOKUP($C279,'All Girls &amp; Descendants - Edit'!$C$2:$AK$440,'All Girls &amp; Descendants - Edit'!AK$1,FALSE)))</f>
        <v>b. 18/10/2002</v>
      </c>
    </row>
    <row r="280" spans="1:37" ht="19">
      <c r="A280">
        <f>VLOOKUP(B280,'Loyd List 1-190 - Edit'!$P$1:$R$219,3,FALSE)</f>
        <v>78</v>
      </c>
      <c r="B280">
        <f>'All Girls &amp; Descendants - Edit'!B281</f>
        <v>115</v>
      </c>
      <c r="C280" s="98" t="str">
        <f>'All Girls &amp; Descendants - Edit'!C281</f>
        <v>115aa</v>
      </c>
      <c r="D280" s="2" t="str">
        <f>'All Girls &amp; Descendants - Edit'!D281</f>
        <v>CATOR</v>
      </c>
      <c r="E280" t="str">
        <f>'All Girls &amp; Descendants - Edit'!E281</f>
        <v>Benjamin</v>
      </c>
      <c r="F280" t="str">
        <f>IF('All Girls &amp; Descendants - Edit'!F281="","",'All Girls &amp; Descendants - Edit'!F281)</f>
        <v/>
      </c>
      <c r="G280" t="str">
        <f>IF('All Girls &amp; Descendants - Edit'!G281="","",'All Girls &amp; Descendants - Edit'!G281)</f>
        <v/>
      </c>
      <c r="H280" t="str">
        <f>IF('All Girls &amp; Descendants - Edit'!H281="","",'All Girls &amp; Descendants - Edit'!H281)</f>
        <v/>
      </c>
      <c r="I280">
        <f>VLOOKUP($C280,'All Girls &amp; Descendants - Edit'!$C$2:$AK$440,'All Girls &amp; Descendants - Edit'!I$1,FALSE)</f>
        <v>1988</v>
      </c>
      <c r="J280" t="str">
        <f>VLOOKUP($C280,'All Girls &amp; Descendants - Edit'!$C$2:$AK$440,'All Girls &amp; Descendants - Edit'!J$1,FALSE)</f>
        <v/>
      </c>
      <c r="K280" s="9"/>
      <c r="L280" t="str">
        <f t="shared" si="32"/>
        <v>17/10/1988</v>
      </c>
      <c r="M280" s="3">
        <f>VLOOKUP($C280,'All Girls &amp; Descendants - Edit'!$C$2:$AK$440,'All Girls &amp; Descendants - Edit'!M$1,FALSE)</f>
        <v>32433</v>
      </c>
      <c r="N280" s="3" t="str">
        <f>IF(VLOOKUP($C280,'All Girls &amp; Descendants - Edit'!$C$2:$AK$440,'All Girls &amp; Descendants - Edit'!N$1,FALSE)=""," - ",(VLOOKUP($C280,'All Girls &amp; Descendants - Edit'!$C$2:$AK$440,'All Girls &amp; Descendants - Edit'!N$1,FALSE)))</f>
        <v xml:space="preserve"> - </v>
      </c>
      <c r="O280" s="3" t="str">
        <f>IF(VLOOKUP($C280,'All Girls &amp; Descendants - Edit'!$C$2:$AK$440,'All Girls &amp; Descendants - Edit'!O$1,FALSE)="","",(VLOOKUP($C280,'All Girls &amp; Descendants - Edit'!$C$2:$AK$440,'All Girls &amp; Descendants - Edit'!O$1,FALSE)))</f>
        <v/>
      </c>
      <c r="P280" s="3" t="str">
        <f t="shared" si="33"/>
        <v/>
      </c>
      <c r="Q280" s="178" t="str">
        <f t="shared" si="34"/>
        <v>115a</v>
      </c>
      <c r="R280" s="23"/>
      <c r="S280" t="str">
        <f>VLOOKUP($C280,'All Girls &amp; Descendants - Edit'!$C$2:$AK$440,'All Girls &amp; Descendants - Edit'!S$1,FALSE)</f>
        <v>Male</v>
      </c>
      <c r="T280" s="176">
        <f t="shared" si="31"/>
        <v>7</v>
      </c>
      <c r="U280" s="176">
        <f t="shared" si="35"/>
        <v>5</v>
      </c>
      <c r="V280" s="176">
        <f t="shared" si="36"/>
        <v>5</v>
      </c>
      <c r="W280" s="177">
        <f t="shared" si="37"/>
        <v>2</v>
      </c>
      <c r="X280" s="3" t="str">
        <f>IF(VLOOKUP($C280,'All Girls &amp; Descendants - Edit'!$C$2:$AK$440,'All Girls &amp; Descendants - Edit'!X$1,FALSE)=""," - ",(VLOOKUP($C280,'All Girls &amp; Descendants - Edit'!$C$2:$AK$440,'All Girls &amp; Descendants - Edit'!X$1,FALSE)))</f>
        <v xml:space="preserve"> - </v>
      </c>
      <c r="Y280" s="3" t="str">
        <f>IF(VLOOKUP($C280,'All Girls &amp; Descendants - Edit'!$C$2:$AK$440,'All Girls &amp; Descendants - Edit'!Y$1,FALSE)=""," - ",(VLOOKUP($C280,'All Girls &amp; Descendants - Edit'!$C$2:$AK$440,'All Girls &amp; Descendants - Edit'!Y$1,FALSE)))</f>
        <v xml:space="preserve"> - </v>
      </c>
      <c r="Z280" s="3" t="str">
        <f>IF(VLOOKUP($C280,'All Girls &amp; Descendants - Edit'!$C$2:$AK$440,'All Girls &amp; Descendants - Edit'!Z$1,FALSE)=""," - ",(VLOOKUP($C280,'All Girls &amp; Descendants - Edit'!$C$2:$AK$440,'All Girls &amp; Descendants - Edit'!Z$1,FALSE)))</f>
        <v xml:space="preserve"> - </v>
      </c>
      <c r="AA280" s="101">
        <f>IF(VLOOKUP($C280,'All Girls &amp; Descendants - Edit'!$C$2:$AK$440,'All Girls &amp; Descendants - Edit'!AA$1,FALSE)=""," - ",(VLOOKUP($C280,'All Girls &amp; Descendants - Edit'!$C$2:$AK$440,'All Girls &amp; Descendants - Edit'!AA$1,FALSE)))</f>
        <v>323</v>
      </c>
      <c r="AB280" s="101">
        <f>IF(VLOOKUP($C280,'All Girls &amp; Descendants - Edit'!$C$2:$AK$440,'All Girls &amp; Descendants - Edit'!AB$1,FALSE)=""," - ",(VLOOKUP($C280,'All Girls &amp; Descendants - Edit'!$C$2:$AK$440,'All Girls &amp; Descendants - Edit'!AB$1,FALSE)))</f>
        <v>137</v>
      </c>
      <c r="AC280" s="101">
        <f>IF(VLOOKUP($C280,'All Girls &amp; Descendants - Edit'!$C$2:$AK$440,'All Girls &amp; Descendants - Edit'!AC$1,FALSE)=""," - ",(VLOOKUP($C280,'All Girls &amp; Descendants - Edit'!$C$2:$AK$440,'All Girls &amp; Descendants - Edit'!AC$1,FALSE)))</f>
        <v>2137</v>
      </c>
      <c r="AD280" s="3" t="str">
        <f>IF(VLOOKUP($C280,'All Girls &amp; Descendants - Edit'!$C$2:$AK$440,'All Girls &amp; Descendants - Edit'!AD$1,FALSE)=""," - ",(VLOOKUP($C280,'All Girls &amp; Descendants - Edit'!$C$2:$AK$440,'All Girls &amp; Descendants - Edit'!AD$1,FALSE)))</f>
        <v>115aa</v>
      </c>
      <c r="AE280" s="3" t="str">
        <f>IF(VLOOKUP($C280,'All Girls &amp; Descendants - Edit'!$C$2:$AK$440,'All Girls &amp; Descendants - Edit'!AE$1,FALSE)=""," - ",(VLOOKUP($C280,'All Girls &amp; Descendants - Edit'!$C$2:$AK$440,'All Girls &amp; Descendants - Edit'!AE$1,FALSE)))</f>
        <v>Benjamin   CATOR (1988 - )</v>
      </c>
      <c r="AF280" s="3" t="str">
        <f>IF(VLOOKUP($C280,'All Girls &amp; Descendants - Edit'!$C$2:$AK$440,'All Girls &amp; Descendants - Edit'!AF$1,FALSE)=""," - ",(VLOOKUP($C280,'All Girls &amp; Descendants - Edit'!$C$2:$AK$440,'All Girls &amp; Descendants - Edit'!AF$1,FALSE)))</f>
        <v>Benjamin CATOR (7th &amp; 115)</v>
      </c>
      <c r="AG280" s="3" t="str">
        <f>IF(VLOOKUP($C280,'All Girls &amp; Descendants - Edit'!$C$2:$AK$440,'All Girls &amp; Descendants - Edit'!AG$1,FALSE)=""," - ",(VLOOKUP($C280,'All Girls &amp; Descendants - Edit'!$C$2:$AK$440,'All Girls &amp; Descendants - Edit'!AG$1,FALSE)))</f>
        <v>Male</v>
      </c>
      <c r="AH280" s="3" t="str">
        <f>IF(VLOOKUP($C280,'All Girls &amp; Descendants - Edit'!$C$2:$AK$440,'All Girls &amp; Descendants - Edit'!AH$1,FALSE)=""," - ",(VLOOKUP($C280,'All Girls &amp; Descendants - Edit'!$C$2:$AK$440,'All Girls &amp; Descendants - Edit'!AH$1,FALSE)))</f>
        <v>7th</v>
      </c>
      <c r="AI280" s="3" t="str">
        <f>IF(VLOOKUP($C280,'All Girls &amp; Descendants - Edit'!$C$2:$AK$440,'All Girls &amp; Descendants - Edit'!AI$1,FALSE)=""," - ",(VLOOKUP($C280,'All Girls &amp; Descendants - Edit'!$C$2:$AK$440,'All Girls &amp; Descendants - Edit'!AI$1,FALSE)))</f>
        <v>Unmarried</v>
      </c>
      <c r="AJ280" s="3" t="str">
        <f>IF(VLOOKUP($C280,'All Girls &amp; Descendants - Edit'!$C$2:$AK$440,'All Girls &amp; Descendants - Edit'!AJ$1,FALSE)=""," - ",(VLOOKUP($C280,'All Girls &amp; Descendants - Edit'!$C$2:$AK$440,'All Girls &amp; Descendants - Edit'!AJ$1,FALSE)))</f>
        <v>Male. b. 17/10/1988</v>
      </c>
      <c r="AK280" s="3" t="str">
        <f>IF(VLOOKUP($C280,'All Girls &amp; Descendants - Edit'!$C$2:$AK$440,'All Girls &amp; Descendants - Edit'!AK$1,FALSE)=""," - ",(VLOOKUP($C280,'All Girls &amp; Descendants - Edit'!$C$2:$AK$440,'All Girls &amp; Descendants - Edit'!AK$1,FALSE)))</f>
        <v>b. 17/10/1988</v>
      </c>
    </row>
    <row r="281" spans="1:37" ht="19">
      <c r="A281">
        <f>VLOOKUP(B281,'Loyd List 1-190 - Edit'!$P$1:$R$219,3,FALSE)</f>
        <v>78</v>
      </c>
      <c r="B281">
        <f>'All Girls &amp; Descendants - Edit'!B282</f>
        <v>115</v>
      </c>
      <c r="C281" s="98" t="str">
        <f>'All Girls &amp; Descendants - Edit'!C282</f>
        <v>115ab</v>
      </c>
      <c r="D281" s="2" t="str">
        <f>'All Girls &amp; Descendants - Edit'!D282</f>
        <v>CATOR</v>
      </c>
      <c r="E281" t="str">
        <f>'All Girls &amp; Descendants - Edit'!E282</f>
        <v>Lara</v>
      </c>
      <c r="F281" t="str">
        <f>IF('All Girls &amp; Descendants - Edit'!F282="","",'All Girls &amp; Descendants - Edit'!F282)</f>
        <v/>
      </c>
      <c r="G281" t="str">
        <f>IF('All Girls &amp; Descendants - Edit'!G282="","",'All Girls &amp; Descendants - Edit'!G282)</f>
        <v/>
      </c>
      <c r="H281" t="str">
        <f>IF('All Girls &amp; Descendants - Edit'!H282="","",'All Girls &amp; Descendants - Edit'!H282)</f>
        <v/>
      </c>
      <c r="I281">
        <f>VLOOKUP($C281,'All Girls &amp; Descendants - Edit'!$C$2:$AK$440,'All Girls &amp; Descendants - Edit'!I$1,FALSE)</f>
        <v>1992</v>
      </c>
      <c r="J281" t="str">
        <f>VLOOKUP($C281,'All Girls &amp; Descendants - Edit'!$C$2:$AK$440,'All Girls &amp; Descendants - Edit'!J$1,FALSE)</f>
        <v/>
      </c>
      <c r="K281" s="9"/>
      <c r="L281" t="str">
        <f t="shared" si="32"/>
        <v>11/09/1992</v>
      </c>
      <c r="M281" s="3">
        <f>VLOOKUP($C281,'All Girls &amp; Descendants - Edit'!$C$2:$AK$440,'All Girls &amp; Descendants - Edit'!M$1,FALSE)</f>
        <v>33858</v>
      </c>
      <c r="N281" s="3" t="str">
        <f>IF(VLOOKUP($C281,'All Girls &amp; Descendants - Edit'!$C$2:$AK$440,'All Girls &amp; Descendants - Edit'!N$1,FALSE)=""," - ",(VLOOKUP($C281,'All Girls &amp; Descendants - Edit'!$C$2:$AK$440,'All Girls &amp; Descendants - Edit'!N$1,FALSE)))</f>
        <v xml:space="preserve"> - </v>
      </c>
      <c r="O281" s="3" t="str">
        <f>IF(VLOOKUP($C281,'All Girls &amp; Descendants - Edit'!$C$2:$AK$440,'All Girls &amp; Descendants - Edit'!O$1,FALSE)="","",(VLOOKUP($C281,'All Girls &amp; Descendants - Edit'!$C$2:$AK$440,'All Girls &amp; Descendants - Edit'!O$1,FALSE)))</f>
        <v/>
      </c>
      <c r="P281" s="3" t="str">
        <f t="shared" si="33"/>
        <v/>
      </c>
      <c r="Q281" s="178" t="str">
        <f t="shared" si="34"/>
        <v>115a</v>
      </c>
      <c r="R281" s="23"/>
      <c r="S281" t="str">
        <f>VLOOKUP($C281,'All Girls &amp; Descendants - Edit'!$C$2:$AK$440,'All Girls &amp; Descendants - Edit'!S$1,FALSE)</f>
        <v>Female</v>
      </c>
      <c r="T281" s="176">
        <f t="shared" si="31"/>
        <v>7</v>
      </c>
      <c r="U281" s="176">
        <f t="shared" si="35"/>
        <v>5</v>
      </c>
      <c r="V281" s="176">
        <f t="shared" si="36"/>
        <v>5</v>
      </c>
      <c r="W281" s="177">
        <f t="shared" si="37"/>
        <v>2</v>
      </c>
      <c r="X281" s="3" t="str">
        <f>IF(VLOOKUP($C281,'All Girls &amp; Descendants - Edit'!$C$2:$AK$440,'All Girls &amp; Descendants - Edit'!X$1,FALSE)=""," - ",(VLOOKUP($C281,'All Girls &amp; Descendants - Edit'!$C$2:$AK$440,'All Girls &amp; Descendants - Edit'!X$1,FALSE)))</f>
        <v xml:space="preserve"> - </v>
      </c>
      <c r="Y281" s="3" t="str">
        <f>IF(VLOOKUP($C281,'All Girls &amp; Descendants - Edit'!$C$2:$AK$440,'All Girls &amp; Descendants - Edit'!Y$1,FALSE)=""," - ",(VLOOKUP($C281,'All Girls &amp; Descendants - Edit'!$C$2:$AK$440,'All Girls &amp; Descendants - Edit'!Y$1,FALSE)))</f>
        <v xml:space="preserve"> - </v>
      </c>
      <c r="Z281" s="3" t="str">
        <f>IF(VLOOKUP($C281,'All Girls &amp; Descendants - Edit'!$C$2:$AK$440,'All Girls &amp; Descendants - Edit'!Z$1,FALSE)=""," - ",(VLOOKUP($C281,'All Girls &amp; Descendants - Edit'!$C$2:$AK$440,'All Girls &amp; Descendants - Edit'!Z$1,FALSE)))</f>
        <v xml:space="preserve"> - </v>
      </c>
      <c r="AA281" s="101">
        <f>IF(VLOOKUP($C281,'All Girls &amp; Descendants - Edit'!$C$2:$AK$440,'All Girls &amp; Descendants - Edit'!AA$1,FALSE)=""," - ",(VLOOKUP($C281,'All Girls &amp; Descendants - Edit'!$C$2:$AK$440,'All Girls &amp; Descendants - Edit'!AA$1,FALSE)))</f>
        <v>324</v>
      </c>
      <c r="AB281" s="101">
        <f>IF(VLOOKUP($C281,'All Girls &amp; Descendants - Edit'!$C$2:$AK$440,'All Girls &amp; Descendants - Edit'!AB$1,FALSE)=""," - ",(VLOOKUP($C281,'All Girls &amp; Descendants - Edit'!$C$2:$AK$440,'All Girls &amp; Descendants - Edit'!AB$1,FALSE)))</f>
        <v>138</v>
      </c>
      <c r="AC281" s="101">
        <f>IF(VLOOKUP($C281,'All Girls &amp; Descendants - Edit'!$C$2:$AK$440,'All Girls &amp; Descendants - Edit'!AC$1,FALSE)=""," - ",(VLOOKUP($C281,'All Girls &amp; Descendants - Edit'!$C$2:$AK$440,'All Girls &amp; Descendants - Edit'!AC$1,FALSE)))</f>
        <v>2138</v>
      </c>
      <c r="AD281" s="3" t="str">
        <f>IF(VLOOKUP($C281,'All Girls &amp; Descendants - Edit'!$C$2:$AK$440,'All Girls &amp; Descendants - Edit'!AD$1,FALSE)=""," - ",(VLOOKUP($C281,'All Girls &amp; Descendants - Edit'!$C$2:$AK$440,'All Girls &amp; Descendants - Edit'!AD$1,FALSE)))</f>
        <v>115ab</v>
      </c>
      <c r="AE281" s="3" t="str">
        <f>IF(VLOOKUP($C281,'All Girls &amp; Descendants - Edit'!$C$2:$AK$440,'All Girls &amp; Descendants - Edit'!AE$1,FALSE)=""," - ",(VLOOKUP($C281,'All Girls &amp; Descendants - Edit'!$C$2:$AK$440,'All Girls &amp; Descendants - Edit'!AE$1,FALSE)))</f>
        <v>Lara   CATOR (1992 - )</v>
      </c>
      <c r="AF281" s="3" t="str">
        <f>IF(VLOOKUP($C281,'All Girls &amp; Descendants - Edit'!$C$2:$AK$440,'All Girls &amp; Descendants - Edit'!AF$1,FALSE)=""," - ",(VLOOKUP($C281,'All Girls &amp; Descendants - Edit'!$C$2:$AK$440,'All Girls &amp; Descendants - Edit'!AF$1,FALSE)))</f>
        <v>Lara CATOR (7th &amp; 115)</v>
      </c>
      <c r="AG281" s="3" t="str">
        <f>IF(VLOOKUP($C281,'All Girls &amp; Descendants - Edit'!$C$2:$AK$440,'All Girls &amp; Descendants - Edit'!AG$1,FALSE)=""," - ",(VLOOKUP($C281,'All Girls &amp; Descendants - Edit'!$C$2:$AK$440,'All Girls &amp; Descendants - Edit'!AG$1,FALSE)))</f>
        <v>Female</v>
      </c>
      <c r="AH281" s="3" t="str">
        <f>IF(VLOOKUP($C281,'All Girls &amp; Descendants - Edit'!$C$2:$AK$440,'All Girls &amp; Descendants - Edit'!AH$1,FALSE)=""," - ",(VLOOKUP($C281,'All Girls &amp; Descendants - Edit'!$C$2:$AK$440,'All Girls &amp; Descendants - Edit'!AH$1,FALSE)))</f>
        <v>7th</v>
      </c>
      <c r="AI281" s="3" t="str">
        <f>IF(VLOOKUP($C281,'All Girls &amp; Descendants - Edit'!$C$2:$AK$440,'All Girls &amp; Descendants - Edit'!AI$1,FALSE)=""," - ",(VLOOKUP($C281,'All Girls &amp; Descendants - Edit'!$C$2:$AK$440,'All Girls &amp; Descendants - Edit'!AI$1,FALSE)))</f>
        <v>Unmarried</v>
      </c>
      <c r="AJ281" s="3" t="str">
        <f>IF(VLOOKUP($C281,'All Girls &amp; Descendants - Edit'!$C$2:$AK$440,'All Girls &amp; Descendants - Edit'!AJ$1,FALSE)=""," - ",(VLOOKUP($C281,'All Girls &amp; Descendants - Edit'!$C$2:$AK$440,'All Girls &amp; Descendants - Edit'!AJ$1,FALSE)))</f>
        <v>Female. b. 11/09/1992</v>
      </c>
      <c r="AK281" s="3" t="str">
        <f>IF(VLOOKUP($C281,'All Girls &amp; Descendants - Edit'!$C$2:$AK$440,'All Girls &amp; Descendants - Edit'!AK$1,FALSE)=""," - ",(VLOOKUP($C281,'All Girls &amp; Descendants - Edit'!$C$2:$AK$440,'All Girls &amp; Descendants - Edit'!AK$1,FALSE)))</f>
        <v>b. 11/09/1992</v>
      </c>
    </row>
    <row r="282" spans="1:37" ht="19">
      <c r="A282">
        <f>VLOOKUP(B282,'Loyd List 1-190 - Edit'!$P$1:$R$219,3,FALSE)</f>
        <v>78</v>
      </c>
      <c r="B282">
        <f>'All Girls &amp; Descendants - Edit'!B283</f>
        <v>115</v>
      </c>
      <c r="C282" s="98" t="str">
        <f>'All Girls &amp; Descendants - Edit'!C283</f>
        <v>115ac</v>
      </c>
      <c r="D282" s="2" t="str">
        <f>'All Girls &amp; Descendants - Edit'!D283</f>
        <v>CATOR</v>
      </c>
      <c r="E282" t="str">
        <f>'All Girls &amp; Descendants - Edit'!E283</f>
        <v>Oscar</v>
      </c>
      <c r="F282" t="str">
        <f>IF('All Girls &amp; Descendants - Edit'!F283="","",'All Girls &amp; Descendants - Edit'!F283)</f>
        <v/>
      </c>
      <c r="G282" t="str">
        <f>IF('All Girls &amp; Descendants - Edit'!G283="","",'All Girls &amp; Descendants - Edit'!G283)</f>
        <v/>
      </c>
      <c r="H282" t="str">
        <f>IF('All Girls &amp; Descendants - Edit'!H283="","",'All Girls &amp; Descendants - Edit'!H283)</f>
        <v/>
      </c>
      <c r="I282">
        <f>VLOOKUP($C282,'All Girls &amp; Descendants - Edit'!$C$2:$AK$440,'All Girls &amp; Descendants - Edit'!I$1,FALSE)</f>
        <v>1996</v>
      </c>
      <c r="J282" t="str">
        <f>VLOOKUP($C282,'All Girls &amp; Descendants - Edit'!$C$2:$AK$440,'All Girls &amp; Descendants - Edit'!J$1,FALSE)</f>
        <v/>
      </c>
      <c r="K282" s="9"/>
      <c r="L282" t="str">
        <f t="shared" si="32"/>
        <v>28/02/1996</v>
      </c>
      <c r="M282" s="3">
        <f>VLOOKUP($C282,'All Girls &amp; Descendants - Edit'!$C$2:$AK$440,'All Girls &amp; Descendants - Edit'!M$1,FALSE)</f>
        <v>35123</v>
      </c>
      <c r="N282" s="3" t="str">
        <f>IF(VLOOKUP($C282,'All Girls &amp; Descendants - Edit'!$C$2:$AK$440,'All Girls &amp; Descendants - Edit'!N$1,FALSE)=""," - ",(VLOOKUP($C282,'All Girls &amp; Descendants - Edit'!$C$2:$AK$440,'All Girls &amp; Descendants - Edit'!N$1,FALSE)))</f>
        <v xml:space="preserve"> - </v>
      </c>
      <c r="O282" s="3" t="str">
        <f>IF(VLOOKUP($C282,'All Girls &amp; Descendants - Edit'!$C$2:$AK$440,'All Girls &amp; Descendants - Edit'!O$1,FALSE)="","",(VLOOKUP($C282,'All Girls &amp; Descendants - Edit'!$C$2:$AK$440,'All Girls &amp; Descendants - Edit'!O$1,FALSE)))</f>
        <v/>
      </c>
      <c r="P282" s="3" t="str">
        <f t="shared" si="33"/>
        <v/>
      </c>
      <c r="Q282" s="178" t="str">
        <f t="shared" si="34"/>
        <v>115a</v>
      </c>
      <c r="R282" s="23"/>
      <c r="S282" t="str">
        <f>VLOOKUP($C282,'All Girls &amp; Descendants - Edit'!$C$2:$AK$440,'All Girls &amp; Descendants - Edit'!S$1,FALSE)</f>
        <v>Male</v>
      </c>
      <c r="T282" s="176">
        <f t="shared" si="31"/>
        <v>7</v>
      </c>
      <c r="U282" s="176">
        <f t="shared" si="35"/>
        <v>5</v>
      </c>
      <c r="V282" s="176">
        <f t="shared" si="36"/>
        <v>5</v>
      </c>
      <c r="W282" s="177">
        <f t="shared" si="37"/>
        <v>2</v>
      </c>
      <c r="X282" s="3" t="str">
        <f>IF(VLOOKUP($C282,'All Girls &amp; Descendants - Edit'!$C$2:$AK$440,'All Girls &amp; Descendants - Edit'!X$1,FALSE)=""," - ",(VLOOKUP($C282,'All Girls &amp; Descendants - Edit'!$C$2:$AK$440,'All Girls &amp; Descendants - Edit'!X$1,FALSE)))</f>
        <v xml:space="preserve"> - </v>
      </c>
      <c r="Y282" s="3" t="str">
        <f>IF(VLOOKUP($C282,'All Girls &amp; Descendants - Edit'!$C$2:$AK$440,'All Girls &amp; Descendants - Edit'!Y$1,FALSE)=""," - ",(VLOOKUP($C282,'All Girls &amp; Descendants - Edit'!$C$2:$AK$440,'All Girls &amp; Descendants - Edit'!Y$1,FALSE)))</f>
        <v xml:space="preserve"> - </v>
      </c>
      <c r="Z282" s="3" t="str">
        <f>IF(VLOOKUP($C282,'All Girls &amp; Descendants - Edit'!$C$2:$AK$440,'All Girls &amp; Descendants - Edit'!Z$1,FALSE)=""," - ",(VLOOKUP($C282,'All Girls &amp; Descendants - Edit'!$C$2:$AK$440,'All Girls &amp; Descendants - Edit'!Z$1,FALSE)))</f>
        <v xml:space="preserve"> - </v>
      </c>
      <c r="AA282" s="101">
        <f>IF(VLOOKUP($C282,'All Girls &amp; Descendants - Edit'!$C$2:$AK$440,'All Girls &amp; Descendants - Edit'!AA$1,FALSE)=""," - ",(VLOOKUP($C282,'All Girls &amp; Descendants - Edit'!$C$2:$AK$440,'All Girls &amp; Descendants - Edit'!AA$1,FALSE)))</f>
        <v>325</v>
      </c>
      <c r="AB282" s="101">
        <f>IF(VLOOKUP($C282,'All Girls &amp; Descendants - Edit'!$C$2:$AK$440,'All Girls &amp; Descendants - Edit'!AB$1,FALSE)=""," - ",(VLOOKUP($C282,'All Girls &amp; Descendants - Edit'!$C$2:$AK$440,'All Girls &amp; Descendants - Edit'!AB$1,FALSE)))</f>
        <v>139</v>
      </c>
      <c r="AC282" s="101">
        <f>IF(VLOOKUP($C282,'All Girls &amp; Descendants - Edit'!$C$2:$AK$440,'All Girls &amp; Descendants - Edit'!AC$1,FALSE)=""," - ",(VLOOKUP($C282,'All Girls &amp; Descendants - Edit'!$C$2:$AK$440,'All Girls &amp; Descendants - Edit'!AC$1,FALSE)))</f>
        <v>2139</v>
      </c>
      <c r="AD282" s="3" t="str">
        <f>IF(VLOOKUP($C282,'All Girls &amp; Descendants - Edit'!$C$2:$AK$440,'All Girls &amp; Descendants - Edit'!AD$1,FALSE)=""," - ",(VLOOKUP($C282,'All Girls &amp; Descendants - Edit'!$C$2:$AK$440,'All Girls &amp; Descendants - Edit'!AD$1,FALSE)))</f>
        <v>115ac</v>
      </c>
      <c r="AE282" s="3" t="str">
        <f>IF(VLOOKUP($C282,'All Girls &amp; Descendants - Edit'!$C$2:$AK$440,'All Girls &amp; Descendants - Edit'!AE$1,FALSE)=""," - ",(VLOOKUP($C282,'All Girls &amp; Descendants - Edit'!$C$2:$AK$440,'All Girls &amp; Descendants - Edit'!AE$1,FALSE)))</f>
        <v>Oscar   CATOR (1996 - )</v>
      </c>
      <c r="AF282" s="3" t="str">
        <f>IF(VLOOKUP($C282,'All Girls &amp; Descendants - Edit'!$C$2:$AK$440,'All Girls &amp; Descendants - Edit'!AF$1,FALSE)=""," - ",(VLOOKUP($C282,'All Girls &amp; Descendants - Edit'!$C$2:$AK$440,'All Girls &amp; Descendants - Edit'!AF$1,FALSE)))</f>
        <v>Oscar CATOR (7th &amp; 115)</v>
      </c>
      <c r="AG282" s="3" t="str">
        <f>IF(VLOOKUP($C282,'All Girls &amp; Descendants - Edit'!$C$2:$AK$440,'All Girls &amp; Descendants - Edit'!AG$1,FALSE)=""," - ",(VLOOKUP($C282,'All Girls &amp; Descendants - Edit'!$C$2:$AK$440,'All Girls &amp; Descendants - Edit'!AG$1,FALSE)))</f>
        <v>Male</v>
      </c>
      <c r="AH282" s="3" t="str">
        <f>IF(VLOOKUP($C282,'All Girls &amp; Descendants - Edit'!$C$2:$AK$440,'All Girls &amp; Descendants - Edit'!AH$1,FALSE)=""," - ",(VLOOKUP($C282,'All Girls &amp; Descendants - Edit'!$C$2:$AK$440,'All Girls &amp; Descendants - Edit'!AH$1,FALSE)))</f>
        <v>7th</v>
      </c>
      <c r="AI282" s="3" t="str">
        <f>IF(VLOOKUP($C282,'All Girls &amp; Descendants - Edit'!$C$2:$AK$440,'All Girls &amp; Descendants - Edit'!AI$1,FALSE)=""," - ",(VLOOKUP($C282,'All Girls &amp; Descendants - Edit'!$C$2:$AK$440,'All Girls &amp; Descendants - Edit'!AI$1,FALSE)))</f>
        <v>Unmarried</v>
      </c>
      <c r="AJ282" s="3" t="str">
        <f>IF(VLOOKUP($C282,'All Girls &amp; Descendants - Edit'!$C$2:$AK$440,'All Girls &amp; Descendants - Edit'!AJ$1,FALSE)=""," - ",(VLOOKUP($C282,'All Girls &amp; Descendants - Edit'!$C$2:$AK$440,'All Girls &amp; Descendants - Edit'!AJ$1,FALSE)))</f>
        <v>Male. b. 28/02/1996</v>
      </c>
      <c r="AK282" s="3" t="str">
        <f>IF(VLOOKUP($C282,'All Girls &amp; Descendants - Edit'!$C$2:$AK$440,'All Girls &amp; Descendants - Edit'!AK$1,FALSE)=""," - ",(VLOOKUP($C282,'All Girls &amp; Descendants - Edit'!$C$2:$AK$440,'All Girls &amp; Descendants - Edit'!AK$1,FALSE)))</f>
        <v>b. 28/02/1996</v>
      </c>
    </row>
    <row r="283" spans="1:37" ht="19">
      <c r="A283">
        <f>VLOOKUP(B283,'Loyd List 1-190 - Edit'!$P$1:$R$219,3,FALSE)</f>
        <v>78</v>
      </c>
      <c r="B283">
        <f>'All Girls &amp; Descendants - Edit'!B284</f>
        <v>115</v>
      </c>
      <c r="C283" s="98" t="str">
        <f>'All Girls &amp; Descendants - Edit'!C284</f>
        <v>115ba</v>
      </c>
      <c r="D283" s="2" t="str">
        <f>'All Girls &amp; Descendants - Edit'!D284</f>
        <v>SOAMES</v>
      </c>
      <c r="E283" t="str">
        <f>'All Girls &amp; Descendants - Edit'!E284</f>
        <v>Milo</v>
      </c>
      <c r="F283" t="str">
        <f>IF('All Girls &amp; Descendants - Edit'!F284="","",'All Girls &amp; Descendants - Edit'!F284)</f>
        <v/>
      </c>
      <c r="G283" t="str">
        <f>IF('All Girls &amp; Descendants - Edit'!G284="","",'All Girls &amp; Descendants - Edit'!G284)</f>
        <v/>
      </c>
      <c r="H283" t="str">
        <f>IF('All Girls &amp; Descendants - Edit'!H284="","",'All Girls &amp; Descendants - Edit'!H284)</f>
        <v/>
      </c>
      <c r="I283">
        <f>VLOOKUP($C283,'All Girls &amp; Descendants - Edit'!$C$2:$AK$440,'All Girls &amp; Descendants - Edit'!I$1,FALSE)</f>
        <v>1995</v>
      </c>
      <c r="J283" t="str">
        <f>VLOOKUP($C283,'All Girls &amp; Descendants - Edit'!$C$2:$AK$440,'All Girls &amp; Descendants - Edit'!J$1,FALSE)</f>
        <v/>
      </c>
      <c r="K283" s="9"/>
      <c r="L283" t="str">
        <f t="shared" si="32"/>
        <v>21/12/1995</v>
      </c>
      <c r="M283" s="3">
        <f>VLOOKUP($C283,'All Girls &amp; Descendants - Edit'!$C$2:$AK$440,'All Girls &amp; Descendants - Edit'!M$1,FALSE)</f>
        <v>35054</v>
      </c>
      <c r="N283" s="3" t="str">
        <f>IF(VLOOKUP($C283,'All Girls &amp; Descendants - Edit'!$C$2:$AK$440,'All Girls &amp; Descendants - Edit'!N$1,FALSE)=""," - ",(VLOOKUP($C283,'All Girls &amp; Descendants - Edit'!$C$2:$AK$440,'All Girls &amp; Descendants - Edit'!N$1,FALSE)))</f>
        <v xml:space="preserve"> - </v>
      </c>
      <c r="O283" s="3" t="str">
        <f>IF(VLOOKUP($C283,'All Girls &amp; Descendants - Edit'!$C$2:$AK$440,'All Girls &amp; Descendants - Edit'!O$1,FALSE)="","",(VLOOKUP($C283,'All Girls &amp; Descendants - Edit'!$C$2:$AK$440,'All Girls &amp; Descendants - Edit'!O$1,FALSE)))</f>
        <v/>
      </c>
      <c r="P283" s="3" t="str">
        <f t="shared" si="33"/>
        <v/>
      </c>
      <c r="Q283" s="178" t="str">
        <f t="shared" si="34"/>
        <v>115b</v>
      </c>
      <c r="R283" s="23"/>
      <c r="S283" t="str">
        <f>VLOOKUP($C283,'All Girls &amp; Descendants - Edit'!$C$2:$AK$440,'All Girls &amp; Descendants - Edit'!S$1,FALSE)</f>
        <v>Male</v>
      </c>
      <c r="T283" s="176">
        <f t="shared" si="31"/>
        <v>7</v>
      </c>
      <c r="U283" s="176">
        <f t="shared" si="35"/>
        <v>5</v>
      </c>
      <c r="V283" s="176">
        <f t="shared" si="36"/>
        <v>5</v>
      </c>
      <c r="W283" s="177">
        <f t="shared" si="37"/>
        <v>2</v>
      </c>
      <c r="X283" s="3" t="str">
        <f>IF(VLOOKUP($C283,'All Girls &amp; Descendants - Edit'!$C$2:$AK$440,'All Girls &amp; Descendants - Edit'!X$1,FALSE)=""," - ",(VLOOKUP($C283,'All Girls &amp; Descendants - Edit'!$C$2:$AK$440,'All Girls &amp; Descendants - Edit'!X$1,FALSE)))</f>
        <v xml:space="preserve"> - </v>
      </c>
      <c r="Y283" s="3" t="str">
        <f>IF(VLOOKUP($C283,'All Girls &amp; Descendants - Edit'!$C$2:$AK$440,'All Girls &amp; Descendants - Edit'!Y$1,FALSE)=""," - ",(VLOOKUP($C283,'All Girls &amp; Descendants - Edit'!$C$2:$AK$440,'All Girls &amp; Descendants - Edit'!Y$1,FALSE)))</f>
        <v xml:space="preserve"> - </v>
      </c>
      <c r="Z283" s="3" t="str">
        <f>IF(VLOOKUP($C283,'All Girls &amp; Descendants - Edit'!$C$2:$AK$440,'All Girls &amp; Descendants - Edit'!Z$1,FALSE)=""," - ",(VLOOKUP($C283,'All Girls &amp; Descendants - Edit'!$C$2:$AK$440,'All Girls &amp; Descendants - Edit'!Z$1,FALSE)))</f>
        <v xml:space="preserve"> - </v>
      </c>
      <c r="AA283" s="101">
        <f>IF(VLOOKUP($C283,'All Girls &amp; Descendants - Edit'!$C$2:$AK$440,'All Girls &amp; Descendants - Edit'!AA$1,FALSE)=""," - ",(VLOOKUP($C283,'All Girls &amp; Descendants - Edit'!$C$2:$AK$440,'All Girls &amp; Descendants - Edit'!AA$1,FALSE)))</f>
        <v>327</v>
      </c>
      <c r="AB283" s="101">
        <f>IF(VLOOKUP($C283,'All Girls &amp; Descendants - Edit'!$C$2:$AK$440,'All Girls &amp; Descendants - Edit'!AB$1,FALSE)=""," - ",(VLOOKUP($C283,'All Girls &amp; Descendants - Edit'!$C$2:$AK$440,'All Girls &amp; Descendants - Edit'!AB$1,FALSE)))</f>
        <v>140</v>
      </c>
      <c r="AC283" s="101">
        <f>IF(VLOOKUP($C283,'All Girls &amp; Descendants - Edit'!$C$2:$AK$440,'All Girls &amp; Descendants - Edit'!AC$1,FALSE)=""," - ",(VLOOKUP($C283,'All Girls &amp; Descendants - Edit'!$C$2:$AK$440,'All Girls &amp; Descendants - Edit'!AC$1,FALSE)))</f>
        <v>2140</v>
      </c>
      <c r="AD283" s="3" t="str">
        <f>IF(VLOOKUP($C283,'All Girls &amp; Descendants - Edit'!$C$2:$AK$440,'All Girls &amp; Descendants - Edit'!AD$1,FALSE)=""," - ",(VLOOKUP($C283,'All Girls &amp; Descendants - Edit'!$C$2:$AK$440,'All Girls &amp; Descendants - Edit'!AD$1,FALSE)))</f>
        <v>115ba</v>
      </c>
      <c r="AE283" s="3" t="str">
        <f>IF(VLOOKUP($C283,'All Girls &amp; Descendants - Edit'!$C$2:$AK$440,'All Girls &amp; Descendants - Edit'!AE$1,FALSE)=""," - ",(VLOOKUP($C283,'All Girls &amp; Descendants - Edit'!$C$2:$AK$440,'All Girls &amp; Descendants - Edit'!AE$1,FALSE)))</f>
        <v>Milo   SOAMES (1995 - )</v>
      </c>
      <c r="AF283" s="3" t="str">
        <f>IF(VLOOKUP($C283,'All Girls &amp; Descendants - Edit'!$C$2:$AK$440,'All Girls &amp; Descendants - Edit'!AF$1,FALSE)=""," - ",(VLOOKUP($C283,'All Girls &amp; Descendants - Edit'!$C$2:$AK$440,'All Girls &amp; Descendants - Edit'!AF$1,FALSE)))</f>
        <v>Milo SOAMES (7th &amp; 115)</v>
      </c>
      <c r="AG283" s="3" t="str">
        <f>IF(VLOOKUP($C283,'All Girls &amp; Descendants - Edit'!$C$2:$AK$440,'All Girls &amp; Descendants - Edit'!AG$1,FALSE)=""," - ",(VLOOKUP($C283,'All Girls &amp; Descendants - Edit'!$C$2:$AK$440,'All Girls &amp; Descendants - Edit'!AG$1,FALSE)))</f>
        <v>Male</v>
      </c>
      <c r="AH283" s="3" t="str">
        <f>IF(VLOOKUP($C283,'All Girls &amp; Descendants - Edit'!$C$2:$AK$440,'All Girls &amp; Descendants - Edit'!AH$1,FALSE)=""," - ",(VLOOKUP($C283,'All Girls &amp; Descendants - Edit'!$C$2:$AK$440,'All Girls &amp; Descendants - Edit'!AH$1,FALSE)))</f>
        <v>7th</v>
      </c>
      <c r="AI283" s="3" t="str">
        <f>IF(VLOOKUP($C283,'All Girls &amp; Descendants - Edit'!$C$2:$AK$440,'All Girls &amp; Descendants - Edit'!AI$1,FALSE)=""," - ",(VLOOKUP($C283,'All Girls &amp; Descendants - Edit'!$C$2:$AK$440,'All Girls &amp; Descendants - Edit'!AI$1,FALSE)))</f>
        <v>Unmarried</v>
      </c>
      <c r="AJ283" s="3" t="str">
        <f>IF(VLOOKUP($C283,'All Girls &amp; Descendants - Edit'!$C$2:$AK$440,'All Girls &amp; Descendants - Edit'!AJ$1,FALSE)=""," - ",(VLOOKUP($C283,'All Girls &amp; Descendants - Edit'!$C$2:$AK$440,'All Girls &amp; Descendants - Edit'!AJ$1,FALSE)))</f>
        <v>Male. b. 21/12/1995</v>
      </c>
      <c r="AK283" s="3" t="str">
        <f>IF(VLOOKUP($C283,'All Girls &amp; Descendants - Edit'!$C$2:$AK$440,'All Girls &amp; Descendants - Edit'!AK$1,FALSE)=""," - ",(VLOOKUP($C283,'All Girls &amp; Descendants - Edit'!$C$2:$AK$440,'All Girls &amp; Descendants - Edit'!AK$1,FALSE)))</f>
        <v>b. 21/12/1995</v>
      </c>
    </row>
    <row r="284" spans="1:37" ht="19">
      <c r="A284">
        <f>VLOOKUP(B284,'Loyd List 1-190 - Edit'!$P$1:$R$219,3,FALSE)</f>
        <v>78</v>
      </c>
      <c r="B284">
        <f>'All Girls &amp; Descendants - Edit'!B285</f>
        <v>115</v>
      </c>
      <c r="C284" s="98" t="str">
        <f>'All Girls &amp; Descendants - Edit'!C285</f>
        <v>115bb</v>
      </c>
      <c r="D284" s="2" t="str">
        <f>'All Girls &amp; Descendants - Edit'!D285</f>
        <v>SOAMES</v>
      </c>
      <c r="E284" t="str">
        <f>'All Girls &amp; Descendants - Edit'!E285</f>
        <v>Tommy</v>
      </c>
      <c r="F284" t="str">
        <f>IF('All Girls &amp; Descendants - Edit'!F285="","",'All Girls &amp; Descendants - Edit'!F285)</f>
        <v/>
      </c>
      <c r="G284" t="str">
        <f>IF('All Girls &amp; Descendants - Edit'!G285="","",'All Girls &amp; Descendants - Edit'!G285)</f>
        <v/>
      </c>
      <c r="H284" t="str">
        <f>IF('All Girls &amp; Descendants - Edit'!H285="","",'All Girls &amp; Descendants - Edit'!H285)</f>
        <v/>
      </c>
      <c r="I284">
        <f>VLOOKUP($C284,'All Girls &amp; Descendants - Edit'!$C$2:$AK$440,'All Girls &amp; Descendants - Edit'!I$1,FALSE)</f>
        <v>1997</v>
      </c>
      <c r="J284" t="str">
        <f>VLOOKUP($C284,'All Girls &amp; Descendants - Edit'!$C$2:$AK$440,'All Girls &amp; Descendants - Edit'!J$1,FALSE)</f>
        <v/>
      </c>
      <c r="K284" s="9"/>
      <c r="L284" t="str">
        <f t="shared" si="32"/>
        <v>21/08/1997</v>
      </c>
      <c r="M284" s="3">
        <f>VLOOKUP($C284,'All Girls &amp; Descendants - Edit'!$C$2:$AK$440,'All Girls &amp; Descendants - Edit'!M$1,FALSE)</f>
        <v>35663</v>
      </c>
      <c r="N284" s="3" t="str">
        <f>IF(VLOOKUP($C284,'All Girls &amp; Descendants - Edit'!$C$2:$AK$440,'All Girls &amp; Descendants - Edit'!N$1,FALSE)=""," - ",(VLOOKUP($C284,'All Girls &amp; Descendants - Edit'!$C$2:$AK$440,'All Girls &amp; Descendants - Edit'!N$1,FALSE)))</f>
        <v xml:space="preserve"> - </v>
      </c>
      <c r="O284" s="3" t="str">
        <f>IF(VLOOKUP($C284,'All Girls &amp; Descendants - Edit'!$C$2:$AK$440,'All Girls &amp; Descendants - Edit'!O$1,FALSE)="","",(VLOOKUP($C284,'All Girls &amp; Descendants - Edit'!$C$2:$AK$440,'All Girls &amp; Descendants - Edit'!O$1,FALSE)))</f>
        <v/>
      </c>
      <c r="P284" s="3" t="str">
        <f t="shared" si="33"/>
        <v/>
      </c>
      <c r="Q284" s="178" t="str">
        <f t="shared" si="34"/>
        <v>115b</v>
      </c>
      <c r="R284" s="23"/>
      <c r="S284" t="str">
        <f>VLOOKUP($C284,'All Girls &amp; Descendants - Edit'!$C$2:$AK$440,'All Girls &amp; Descendants - Edit'!S$1,FALSE)</f>
        <v>Male</v>
      </c>
      <c r="T284" s="176">
        <f t="shared" si="31"/>
        <v>7</v>
      </c>
      <c r="U284" s="176">
        <f t="shared" si="35"/>
        <v>5</v>
      </c>
      <c r="V284" s="176">
        <f t="shared" si="36"/>
        <v>5</v>
      </c>
      <c r="W284" s="177">
        <f t="shared" si="37"/>
        <v>2</v>
      </c>
      <c r="X284" s="3" t="str">
        <f>IF(VLOOKUP($C284,'All Girls &amp; Descendants - Edit'!$C$2:$AK$440,'All Girls &amp; Descendants - Edit'!X$1,FALSE)=""," - ",(VLOOKUP($C284,'All Girls &amp; Descendants - Edit'!$C$2:$AK$440,'All Girls &amp; Descendants - Edit'!X$1,FALSE)))</f>
        <v xml:space="preserve"> - </v>
      </c>
      <c r="Y284" s="3" t="str">
        <f>IF(VLOOKUP($C284,'All Girls &amp; Descendants - Edit'!$C$2:$AK$440,'All Girls &amp; Descendants - Edit'!Y$1,FALSE)=""," - ",(VLOOKUP($C284,'All Girls &amp; Descendants - Edit'!$C$2:$AK$440,'All Girls &amp; Descendants - Edit'!Y$1,FALSE)))</f>
        <v xml:space="preserve"> - </v>
      </c>
      <c r="Z284" s="3" t="str">
        <f>IF(VLOOKUP($C284,'All Girls &amp; Descendants - Edit'!$C$2:$AK$440,'All Girls &amp; Descendants - Edit'!Z$1,FALSE)=""," - ",(VLOOKUP($C284,'All Girls &amp; Descendants - Edit'!$C$2:$AK$440,'All Girls &amp; Descendants - Edit'!Z$1,FALSE)))</f>
        <v xml:space="preserve"> - </v>
      </c>
      <c r="AA284" s="101">
        <f>IF(VLOOKUP($C284,'All Girls &amp; Descendants - Edit'!$C$2:$AK$440,'All Girls &amp; Descendants - Edit'!AA$1,FALSE)=""," - ",(VLOOKUP($C284,'All Girls &amp; Descendants - Edit'!$C$2:$AK$440,'All Girls &amp; Descendants - Edit'!AA$1,FALSE)))</f>
        <v>328</v>
      </c>
      <c r="AB284" s="101">
        <f>IF(VLOOKUP($C284,'All Girls &amp; Descendants - Edit'!$C$2:$AK$440,'All Girls &amp; Descendants - Edit'!AB$1,FALSE)=""," - ",(VLOOKUP($C284,'All Girls &amp; Descendants - Edit'!$C$2:$AK$440,'All Girls &amp; Descendants - Edit'!AB$1,FALSE)))</f>
        <v>141</v>
      </c>
      <c r="AC284" s="101">
        <f>IF(VLOOKUP($C284,'All Girls &amp; Descendants - Edit'!$C$2:$AK$440,'All Girls &amp; Descendants - Edit'!AC$1,FALSE)=""," - ",(VLOOKUP($C284,'All Girls &amp; Descendants - Edit'!$C$2:$AK$440,'All Girls &amp; Descendants - Edit'!AC$1,FALSE)))</f>
        <v>2141</v>
      </c>
      <c r="AD284" s="3" t="str">
        <f>IF(VLOOKUP($C284,'All Girls &amp; Descendants - Edit'!$C$2:$AK$440,'All Girls &amp; Descendants - Edit'!AD$1,FALSE)=""," - ",(VLOOKUP($C284,'All Girls &amp; Descendants - Edit'!$C$2:$AK$440,'All Girls &amp; Descendants - Edit'!AD$1,FALSE)))</f>
        <v>115bb</v>
      </c>
      <c r="AE284" s="3" t="str">
        <f>IF(VLOOKUP($C284,'All Girls &amp; Descendants - Edit'!$C$2:$AK$440,'All Girls &amp; Descendants - Edit'!AE$1,FALSE)=""," - ",(VLOOKUP($C284,'All Girls &amp; Descendants - Edit'!$C$2:$AK$440,'All Girls &amp; Descendants - Edit'!AE$1,FALSE)))</f>
        <v>Tommy   SOAMES (1997 - )</v>
      </c>
      <c r="AF284" s="3" t="str">
        <f>IF(VLOOKUP($C284,'All Girls &amp; Descendants - Edit'!$C$2:$AK$440,'All Girls &amp; Descendants - Edit'!AF$1,FALSE)=""," - ",(VLOOKUP($C284,'All Girls &amp; Descendants - Edit'!$C$2:$AK$440,'All Girls &amp; Descendants - Edit'!AF$1,FALSE)))</f>
        <v>Tommy SOAMES (7th &amp; 115)</v>
      </c>
      <c r="AG284" s="3" t="str">
        <f>IF(VLOOKUP($C284,'All Girls &amp; Descendants - Edit'!$C$2:$AK$440,'All Girls &amp; Descendants - Edit'!AG$1,FALSE)=""," - ",(VLOOKUP($C284,'All Girls &amp; Descendants - Edit'!$C$2:$AK$440,'All Girls &amp; Descendants - Edit'!AG$1,FALSE)))</f>
        <v>Male</v>
      </c>
      <c r="AH284" s="3" t="str">
        <f>IF(VLOOKUP($C284,'All Girls &amp; Descendants - Edit'!$C$2:$AK$440,'All Girls &amp; Descendants - Edit'!AH$1,FALSE)=""," - ",(VLOOKUP($C284,'All Girls &amp; Descendants - Edit'!$C$2:$AK$440,'All Girls &amp; Descendants - Edit'!AH$1,FALSE)))</f>
        <v>7th</v>
      </c>
      <c r="AI284" s="3" t="str">
        <f>IF(VLOOKUP($C284,'All Girls &amp; Descendants - Edit'!$C$2:$AK$440,'All Girls &amp; Descendants - Edit'!AI$1,FALSE)=""," - ",(VLOOKUP($C284,'All Girls &amp; Descendants - Edit'!$C$2:$AK$440,'All Girls &amp; Descendants - Edit'!AI$1,FALSE)))</f>
        <v>Unmarried</v>
      </c>
      <c r="AJ284" s="3" t="str">
        <f>IF(VLOOKUP($C284,'All Girls &amp; Descendants - Edit'!$C$2:$AK$440,'All Girls &amp; Descendants - Edit'!AJ$1,FALSE)=""," - ",(VLOOKUP($C284,'All Girls &amp; Descendants - Edit'!$C$2:$AK$440,'All Girls &amp; Descendants - Edit'!AJ$1,FALSE)))</f>
        <v>Male. b. 21/08/1997</v>
      </c>
      <c r="AK284" s="3" t="str">
        <f>IF(VLOOKUP($C284,'All Girls &amp; Descendants - Edit'!$C$2:$AK$440,'All Girls &amp; Descendants - Edit'!AK$1,FALSE)=""," - ",(VLOOKUP($C284,'All Girls &amp; Descendants - Edit'!$C$2:$AK$440,'All Girls &amp; Descendants - Edit'!AK$1,FALSE)))</f>
        <v>b. 21/08/1997</v>
      </c>
    </row>
    <row r="285" spans="1:37" ht="19">
      <c r="A285">
        <f>VLOOKUP(B285,'Loyd List 1-190 - Edit'!$P$1:$R$219,3,FALSE)</f>
        <v>78</v>
      </c>
      <c r="B285">
        <f>'All Girls &amp; Descendants - Edit'!B286</f>
        <v>115</v>
      </c>
      <c r="C285" s="98" t="str">
        <f>'All Girls &amp; Descendants - Edit'!C286</f>
        <v>115bc</v>
      </c>
      <c r="D285" s="2" t="str">
        <f>'All Girls &amp; Descendants - Edit'!D286</f>
        <v>SOAMES</v>
      </c>
      <c r="E285" t="str">
        <f>'All Girls &amp; Descendants - Edit'!E286</f>
        <v>Mary</v>
      </c>
      <c r="F285" t="str">
        <f>IF('All Girls &amp; Descendants - Edit'!F286="","",'All Girls &amp; Descendants - Edit'!F286)</f>
        <v>Alicia</v>
      </c>
      <c r="G285" t="str">
        <f>IF('All Girls &amp; Descendants - Edit'!G286="","",'All Girls &amp; Descendants - Edit'!G286)</f>
        <v>Claire</v>
      </c>
      <c r="H285" t="str">
        <f>IF('All Girls &amp; Descendants - Edit'!H286="","",'All Girls &amp; Descendants - Edit'!H286)</f>
        <v/>
      </c>
      <c r="I285">
        <f>VLOOKUP($C285,'All Girls &amp; Descendants - Edit'!$C$2:$AK$440,'All Girls &amp; Descendants - Edit'!I$1,FALSE)</f>
        <v>1999</v>
      </c>
      <c r="J285" t="str">
        <f>VLOOKUP($C285,'All Girls &amp; Descendants - Edit'!$C$2:$AK$440,'All Girls &amp; Descendants - Edit'!J$1,FALSE)</f>
        <v/>
      </c>
      <c r="K285" s="9"/>
      <c r="L285" t="str">
        <f t="shared" si="32"/>
        <v>10/05/1999</v>
      </c>
      <c r="M285" s="3">
        <f>VLOOKUP($C285,'All Girls &amp; Descendants - Edit'!$C$2:$AK$440,'All Girls &amp; Descendants - Edit'!M$1,FALSE)</f>
        <v>36290</v>
      </c>
      <c r="N285" s="3" t="str">
        <f>IF(VLOOKUP($C285,'All Girls &amp; Descendants - Edit'!$C$2:$AK$440,'All Girls &amp; Descendants - Edit'!N$1,FALSE)=""," - ",(VLOOKUP($C285,'All Girls &amp; Descendants - Edit'!$C$2:$AK$440,'All Girls &amp; Descendants - Edit'!N$1,FALSE)))</f>
        <v xml:space="preserve"> - </v>
      </c>
      <c r="O285" s="3" t="str">
        <f>IF(VLOOKUP($C285,'All Girls &amp; Descendants - Edit'!$C$2:$AK$440,'All Girls &amp; Descendants - Edit'!O$1,FALSE)="","",(VLOOKUP($C285,'All Girls &amp; Descendants - Edit'!$C$2:$AK$440,'All Girls &amp; Descendants - Edit'!O$1,FALSE)))</f>
        <v/>
      </c>
      <c r="P285" s="3" t="str">
        <f t="shared" si="33"/>
        <v/>
      </c>
      <c r="Q285" s="178" t="str">
        <f t="shared" si="34"/>
        <v>115b</v>
      </c>
      <c r="R285" s="23"/>
      <c r="S285" t="str">
        <f>VLOOKUP($C285,'All Girls &amp; Descendants - Edit'!$C$2:$AK$440,'All Girls &amp; Descendants - Edit'!S$1,FALSE)</f>
        <v>Female</v>
      </c>
      <c r="T285" s="176">
        <f t="shared" si="31"/>
        <v>7</v>
      </c>
      <c r="U285" s="176">
        <f t="shared" si="35"/>
        <v>5</v>
      </c>
      <c r="V285" s="176">
        <f t="shared" si="36"/>
        <v>5</v>
      </c>
      <c r="W285" s="177">
        <f t="shared" si="37"/>
        <v>2</v>
      </c>
      <c r="X285" s="3" t="str">
        <f>IF(VLOOKUP($C285,'All Girls &amp; Descendants - Edit'!$C$2:$AK$440,'All Girls &amp; Descendants - Edit'!X$1,FALSE)=""," - ",(VLOOKUP($C285,'All Girls &amp; Descendants - Edit'!$C$2:$AK$440,'All Girls &amp; Descendants - Edit'!X$1,FALSE)))</f>
        <v xml:space="preserve"> - </v>
      </c>
      <c r="Y285" s="3" t="str">
        <f>IF(VLOOKUP($C285,'All Girls &amp; Descendants - Edit'!$C$2:$AK$440,'All Girls &amp; Descendants - Edit'!Y$1,FALSE)=""," - ",(VLOOKUP($C285,'All Girls &amp; Descendants - Edit'!$C$2:$AK$440,'All Girls &amp; Descendants - Edit'!Y$1,FALSE)))</f>
        <v xml:space="preserve"> - </v>
      </c>
      <c r="Z285" s="3" t="str">
        <f>IF(VLOOKUP($C285,'All Girls &amp; Descendants - Edit'!$C$2:$AK$440,'All Girls &amp; Descendants - Edit'!Z$1,FALSE)=""," - ",(VLOOKUP($C285,'All Girls &amp; Descendants - Edit'!$C$2:$AK$440,'All Girls &amp; Descendants - Edit'!Z$1,FALSE)))</f>
        <v xml:space="preserve"> - </v>
      </c>
      <c r="AA285" s="101">
        <f>IF(VLOOKUP($C285,'All Girls &amp; Descendants - Edit'!$C$2:$AK$440,'All Girls &amp; Descendants - Edit'!AA$1,FALSE)=""," - ",(VLOOKUP($C285,'All Girls &amp; Descendants - Edit'!$C$2:$AK$440,'All Girls &amp; Descendants - Edit'!AA$1,FALSE)))</f>
        <v>329</v>
      </c>
      <c r="AB285" s="101">
        <f>IF(VLOOKUP($C285,'All Girls &amp; Descendants - Edit'!$C$2:$AK$440,'All Girls &amp; Descendants - Edit'!AB$1,FALSE)=""," - ",(VLOOKUP($C285,'All Girls &amp; Descendants - Edit'!$C$2:$AK$440,'All Girls &amp; Descendants - Edit'!AB$1,FALSE)))</f>
        <v>142</v>
      </c>
      <c r="AC285" s="101">
        <f>IF(VLOOKUP($C285,'All Girls &amp; Descendants - Edit'!$C$2:$AK$440,'All Girls &amp; Descendants - Edit'!AC$1,FALSE)=""," - ",(VLOOKUP($C285,'All Girls &amp; Descendants - Edit'!$C$2:$AK$440,'All Girls &amp; Descendants - Edit'!AC$1,FALSE)))</f>
        <v>2142</v>
      </c>
      <c r="AD285" s="3" t="str">
        <f>IF(VLOOKUP($C285,'All Girls &amp; Descendants - Edit'!$C$2:$AK$440,'All Girls &amp; Descendants - Edit'!AD$1,FALSE)=""," - ",(VLOOKUP($C285,'All Girls &amp; Descendants - Edit'!$C$2:$AK$440,'All Girls &amp; Descendants - Edit'!AD$1,FALSE)))</f>
        <v>115bc</v>
      </c>
      <c r="AE285" s="3" t="str">
        <f>IF(VLOOKUP($C285,'All Girls &amp; Descendants - Edit'!$C$2:$AK$440,'All Girls &amp; Descendants - Edit'!AE$1,FALSE)=""," - ",(VLOOKUP($C285,'All Girls &amp; Descendants - Edit'!$C$2:$AK$440,'All Girls &amp; Descendants - Edit'!AE$1,FALSE)))</f>
        <v>Mary Alicia Claire SOAMES (1999 - )</v>
      </c>
      <c r="AF285" s="3" t="str">
        <f>IF(VLOOKUP($C285,'All Girls &amp; Descendants - Edit'!$C$2:$AK$440,'All Girls &amp; Descendants - Edit'!AF$1,FALSE)=""," - ",(VLOOKUP($C285,'All Girls &amp; Descendants - Edit'!$C$2:$AK$440,'All Girls &amp; Descendants - Edit'!AF$1,FALSE)))</f>
        <v>Mary SOAMES (7th &amp; 115)</v>
      </c>
      <c r="AG285" s="3" t="str">
        <f>IF(VLOOKUP($C285,'All Girls &amp; Descendants - Edit'!$C$2:$AK$440,'All Girls &amp; Descendants - Edit'!AG$1,FALSE)=""," - ",(VLOOKUP($C285,'All Girls &amp; Descendants - Edit'!$C$2:$AK$440,'All Girls &amp; Descendants - Edit'!AG$1,FALSE)))</f>
        <v>Female</v>
      </c>
      <c r="AH285" s="3" t="str">
        <f>IF(VLOOKUP($C285,'All Girls &amp; Descendants - Edit'!$C$2:$AK$440,'All Girls &amp; Descendants - Edit'!AH$1,FALSE)=""," - ",(VLOOKUP($C285,'All Girls &amp; Descendants - Edit'!$C$2:$AK$440,'All Girls &amp; Descendants - Edit'!AH$1,FALSE)))</f>
        <v>7th</v>
      </c>
      <c r="AI285" s="3" t="str">
        <f>IF(VLOOKUP($C285,'All Girls &amp; Descendants - Edit'!$C$2:$AK$440,'All Girls &amp; Descendants - Edit'!AI$1,FALSE)=""," - ",(VLOOKUP($C285,'All Girls &amp; Descendants - Edit'!$C$2:$AK$440,'All Girls &amp; Descendants - Edit'!AI$1,FALSE)))</f>
        <v>Unmarried</v>
      </c>
      <c r="AJ285" s="3" t="str">
        <f>IF(VLOOKUP($C285,'All Girls &amp; Descendants - Edit'!$C$2:$AK$440,'All Girls &amp; Descendants - Edit'!AJ$1,FALSE)=""," - ",(VLOOKUP($C285,'All Girls &amp; Descendants - Edit'!$C$2:$AK$440,'All Girls &amp; Descendants - Edit'!AJ$1,FALSE)))</f>
        <v>Female. b. 10/05/1999</v>
      </c>
      <c r="AK285" s="3" t="str">
        <f>IF(VLOOKUP($C285,'All Girls &amp; Descendants - Edit'!$C$2:$AK$440,'All Girls &amp; Descendants - Edit'!AK$1,FALSE)=""," - ",(VLOOKUP($C285,'All Girls &amp; Descendants - Edit'!$C$2:$AK$440,'All Girls &amp; Descendants - Edit'!AK$1,FALSE)))</f>
        <v>b. 10/05/1999</v>
      </c>
    </row>
    <row r="286" spans="1:37" ht="19">
      <c r="A286">
        <f>VLOOKUP(B286,'Loyd List 1-190 - Edit'!$P$1:$R$219,3,FALSE)</f>
        <v>89</v>
      </c>
      <c r="B286">
        <f>'All Girls &amp; Descendants - Edit'!B287</f>
        <v>123</v>
      </c>
      <c r="C286" s="98" t="str">
        <f>'All Girls &amp; Descendants - Edit'!C287</f>
        <v>123aa</v>
      </c>
      <c r="D286" s="2" t="str">
        <f>'All Girls &amp; Descendants - Edit'!D287</f>
        <v>TALBOT</v>
      </c>
      <c r="E286" t="str">
        <f>'All Girls &amp; Descendants - Edit'!E287</f>
        <v>Eva</v>
      </c>
      <c r="F286" t="str">
        <f>IF('All Girls &amp; Descendants - Edit'!F287="","",'All Girls &amp; Descendants - Edit'!F287)</f>
        <v>Charlotte</v>
      </c>
      <c r="G286" t="str">
        <f>IF('All Girls &amp; Descendants - Edit'!G287="","",'All Girls &amp; Descendants - Edit'!G287)</f>
        <v>Loyd</v>
      </c>
      <c r="H286" t="str">
        <f>IF('All Girls &amp; Descendants - Edit'!H287="","",'All Girls &amp; Descendants - Edit'!H287)</f>
        <v>Evie</v>
      </c>
      <c r="I286">
        <f>VLOOKUP($C286,'All Girls &amp; Descendants - Edit'!$C$2:$AK$440,'All Girls &amp; Descendants - Edit'!I$1,FALSE)</f>
        <v>2012</v>
      </c>
      <c r="J286" t="str">
        <f>VLOOKUP($C286,'All Girls &amp; Descendants - Edit'!$C$2:$AK$440,'All Girls &amp; Descendants - Edit'!J$1,FALSE)</f>
        <v/>
      </c>
      <c r="K286" s="9"/>
      <c r="L286" t="str">
        <f t="shared" si="32"/>
        <v>20/10/2012</v>
      </c>
      <c r="M286" s="3">
        <f>VLOOKUP($C286,'All Girls &amp; Descendants - Edit'!$C$2:$AK$440,'All Girls &amp; Descendants - Edit'!M$1,FALSE)</f>
        <v>41202</v>
      </c>
      <c r="N286" s="3" t="str">
        <f>IF(VLOOKUP($C286,'All Girls &amp; Descendants - Edit'!$C$2:$AK$440,'All Girls &amp; Descendants - Edit'!N$1,FALSE)=""," - ",(VLOOKUP($C286,'All Girls &amp; Descendants - Edit'!$C$2:$AK$440,'All Girls &amp; Descendants - Edit'!N$1,FALSE)))</f>
        <v xml:space="preserve"> - </v>
      </c>
      <c r="O286" s="3" t="str">
        <f>IF(VLOOKUP($C286,'All Girls &amp; Descendants - Edit'!$C$2:$AK$440,'All Girls &amp; Descendants - Edit'!O$1,FALSE)="","",(VLOOKUP($C286,'All Girls &amp; Descendants - Edit'!$C$2:$AK$440,'All Girls &amp; Descendants - Edit'!O$1,FALSE)))</f>
        <v/>
      </c>
      <c r="P286" s="3" t="str">
        <f t="shared" si="33"/>
        <v/>
      </c>
      <c r="Q286" s="178" t="str">
        <f t="shared" si="34"/>
        <v>123a</v>
      </c>
      <c r="R286" s="23"/>
      <c r="S286" t="str">
        <f>VLOOKUP($C286,'All Girls &amp; Descendants - Edit'!$C$2:$AK$440,'All Girls &amp; Descendants - Edit'!S$1,FALSE)</f>
        <v>Female</v>
      </c>
      <c r="T286" s="176">
        <f t="shared" si="31"/>
        <v>8</v>
      </c>
      <c r="U286" s="176">
        <f t="shared" si="35"/>
        <v>5</v>
      </c>
      <c r="V286" s="176">
        <f t="shared" si="36"/>
        <v>6</v>
      </c>
      <c r="W286" s="177">
        <f t="shared" si="37"/>
        <v>2</v>
      </c>
      <c r="X286" s="3" t="str">
        <f>IF(VLOOKUP($C286,'All Girls &amp; Descendants - Edit'!$C$2:$AK$440,'All Girls &amp; Descendants - Edit'!X$1,FALSE)=""," - ",(VLOOKUP($C286,'All Girls &amp; Descendants - Edit'!$C$2:$AK$440,'All Girls &amp; Descendants - Edit'!X$1,FALSE)))</f>
        <v xml:space="preserve"> - </v>
      </c>
      <c r="Y286" s="3" t="str">
        <f>IF(VLOOKUP($C286,'All Girls &amp; Descendants - Edit'!$C$2:$AK$440,'All Girls &amp; Descendants - Edit'!Y$1,FALSE)=""," - ",(VLOOKUP($C286,'All Girls &amp; Descendants - Edit'!$C$2:$AK$440,'All Girls &amp; Descendants - Edit'!Y$1,FALSE)))</f>
        <v xml:space="preserve"> - </v>
      </c>
      <c r="Z286" s="3" t="str">
        <f>IF(VLOOKUP($C286,'All Girls &amp; Descendants - Edit'!$C$2:$AK$440,'All Girls &amp; Descendants - Edit'!Z$1,FALSE)=""," - ",(VLOOKUP($C286,'All Girls &amp; Descendants - Edit'!$C$2:$AK$440,'All Girls &amp; Descendants - Edit'!Z$1,FALSE)))</f>
        <v>Born at Homerton Hospital, London.</v>
      </c>
      <c r="AA286" s="101" t="str">
        <f>IF(VLOOKUP($C286,'All Girls &amp; Descendants - Edit'!$C$2:$AK$440,'All Girls &amp; Descendants - Edit'!AA$1,FALSE)=""," - ",(VLOOKUP($C286,'All Girls &amp; Descendants - Edit'!$C$2:$AK$440,'All Girls &amp; Descendants - Edit'!AA$1,FALSE)))</f>
        <v xml:space="preserve"> - </v>
      </c>
      <c r="AB286" s="101">
        <f>IF(VLOOKUP($C286,'All Girls &amp; Descendants - Edit'!$C$2:$AK$440,'All Girls &amp; Descendants - Edit'!AB$1,FALSE)=""," - ",(VLOOKUP($C286,'All Girls &amp; Descendants - Edit'!$C$2:$AK$440,'All Girls &amp; Descendants - Edit'!AB$1,FALSE)))</f>
        <v>143</v>
      </c>
      <c r="AC286" s="101">
        <f>IF(VLOOKUP($C286,'All Girls &amp; Descendants - Edit'!$C$2:$AK$440,'All Girls &amp; Descendants - Edit'!AC$1,FALSE)=""," - ",(VLOOKUP($C286,'All Girls &amp; Descendants - Edit'!$C$2:$AK$440,'All Girls &amp; Descendants - Edit'!AC$1,FALSE)))</f>
        <v>2143</v>
      </c>
      <c r="AD286" s="3" t="str">
        <f>IF(VLOOKUP($C286,'All Girls &amp; Descendants - Edit'!$C$2:$AK$440,'All Girls &amp; Descendants - Edit'!AD$1,FALSE)=""," - ",(VLOOKUP($C286,'All Girls &amp; Descendants - Edit'!$C$2:$AK$440,'All Girls &amp; Descendants - Edit'!AD$1,FALSE)))</f>
        <v>123aa</v>
      </c>
      <c r="AE286" s="3" t="str">
        <f>IF(VLOOKUP($C286,'All Girls &amp; Descendants - Edit'!$C$2:$AK$440,'All Girls &amp; Descendants - Edit'!AE$1,FALSE)=""," - ",(VLOOKUP($C286,'All Girls &amp; Descendants - Edit'!$C$2:$AK$440,'All Girls &amp; Descendants - Edit'!AE$1,FALSE)))</f>
        <v>Eva Charlotte Loyd TALBOT (2012 - )</v>
      </c>
      <c r="AF286" s="3" t="str">
        <f>IF(VLOOKUP($C286,'All Girls &amp; Descendants - Edit'!$C$2:$AK$440,'All Girls &amp; Descendants - Edit'!AF$1,FALSE)=""," - ",(VLOOKUP($C286,'All Girls &amp; Descendants - Edit'!$C$2:$AK$440,'All Girls &amp; Descendants - Edit'!AF$1,FALSE)))</f>
        <v>Evie TALBOT (8th &amp; 123)</v>
      </c>
      <c r="AG286" s="3" t="str">
        <f>IF(VLOOKUP($C286,'All Girls &amp; Descendants - Edit'!$C$2:$AK$440,'All Girls &amp; Descendants - Edit'!AG$1,FALSE)=""," - ",(VLOOKUP($C286,'All Girls &amp; Descendants - Edit'!$C$2:$AK$440,'All Girls &amp; Descendants - Edit'!AG$1,FALSE)))</f>
        <v>Female</v>
      </c>
      <c r="AH286" s="3" t="str">
        <f>IF(VLOOKUP($C286,'All Girls &amp; Descendants - Edit'!$C$2:$AK$440,'All Girls &amp; Descendants - Edit'!AH$1,FALSE)=""," - ",(VLOOKUP($C286,'All Girls &amp; Descendants - Edit'!$C$2:$AK$440,'All Girls &amp; Descendants - Edit'!AH$1,FALSE)))</f>
        <v>8th</v>
      </c>
      <c r="AI286" s="3" t="str">
        <f>IF(VLOOKUP($C286,'All Girls &amp; Descendants - Edit'!$C$2:$AK$440,'All Girls &amp; Descendants - Edit'!AI$1,FALSE)=""," - ",(VLOOKUP($C286,'All Girls &amp; Descendants - Edit'!$C$2:$AK$440,'All Girls &amp; Descendants - Edit'!AI$1,FALSE)))</f>
        <v>Unmarried</v>
      </c>
      <c r="AJ286" s="3" t="str">
        <f>IF(VLOOKUP($C286,'All Girls &amp; Descendants - Edit'!$C$2:$AK$440,'All Girls &amp; Descendants - Edit'!AJ$1,FALSE)=""," - ",(VLOOKUP($C286,'All Girls &amp; Descendants - Edit'!$C$2:$AK$440,'All Girls &amp; Descendants - Edit'!AJ$1,FALSE)))</f>
        <v>Female. b. 20/10/2012 Born at Homerton Hospital, London.</v>
      </c>
      <c r="AK286" s="3" t="str">
        <f>IF(VLOOKUP($C286,'All Girls &amp; Descendants - Edit'!$C$2:$AK$440,'All Girls &amp; Descendants - Edit'!AK$1,FALSE)=""," - ",(VLOOKUP($C286,'All Girls &amp; Descendants - Edit'!$C$2:$AK$440,'All Girls &amp; Descendants - Edit'!AK$1,FALSE)))</f>
        <v>b. 20/10/2012</v>
      </c>
    </row>
    <row r="287" spans="1:37" ht="19">
      <c r="A287">
        <f>VLOOKUP(B287,'Loyd List 1-190 - Edit'!$P$1:$R$219,3,FALSE)</f>
        <v>89</v>
      </c>
      <c r="B287">
        <f>'All Girls &amp; Descendants - Edit'!B288</f>
        <v>123</v>
      </c>
      <c r="C287" s="98" t="str">
        <f>'All Girls &amp; Descendants - Edit'!C288</f>
        <v>123ab</v>
      </c>
      <c r="D287" s="2" t="str">
        <f>'All Girls &amp; Descendants - Edit'!D288</f>
        <v>TALBOT</v>
      </c>
      <c r="E287" t="str">
        <f>'All Girls &amp; Descendants - Edit'!E288</f>
        <v>Arlo</v>
      </c>
      <c r="F287" t="str">
        <f>IF('All Girls &amp; Descendants - Edit'!F288="","",'All Girls &amp; Descendants - Edit'!F288)</f>
        <v>Terrence</v>
      </c>
      <c r="G287" t="str">
        <f>IF('All Girls &amp; Descendants - Edit'!G288="","",'All Girls &amp; Descendants - Edit'!G288)</f>
        <v>Peter</v>
      </c>
      <c r="H287" t="str">
        <f>IF('All Girls &amp; Descendants - Edit'!H288="","",'All Girls &amp; Descendants - Edit'!H288)</f>
        <v/>
      </c>
      <c r="I287">
        <f>VLOOKUP($C287,'All Girls &amp; Descendants - Edit'!$C$2:$AK$440,'All Girls &amp; Descendants - Edit'!I$1,FALSE)</f>
        <v>2015</v>
      </c>
      <c r="J287" t="str">
        <f>VLOOKUP($C287,'All Girls &amp; Descendants - Edit'!$C$2:$AK$440,'All Girls &amp; Descendants - Edit'!J$1,FALSE)</f>
        <v/>
      </c>
      <c r="K287" s="9"/>
      <c r="L287" t="str">
        <f t="shared" si="32"/>
        <v>19/03/2015</v>
      </c>
      <c r="M287" s="3">
        <f>VLOOKUP($C287,'All Girls &amp; Descendants - Edit'!$C$2:$AK$440,'All Girls &amp; Descendants - Edit'!M$1,FALSE)</f>
        <v>42082</v>
      </c>
      <c r="N287" s="3" t="str">
        <f>IF(VLOOKUP($C287,'All Girls &amp; Descendants - Edit'!$C$2:$AK$440,'All Girls &amp; Descendants - Edit'!N$1,FALSE)=""," - ",(VLOOKUP($C287,'All Girls &amp; Descendants - Edit'!$C$2:$AK$440,'All Girls &amp; Descendants - Edit'!N$1,FALSE)))</f>
        <v xml:space="preserve"> - </v>
      </c>
      <c r="O287" s="3" t="str">
        <f>IF(VLOOKUP($C287,'All Girls &amp; Descendants - Edit'!$C$2:$AK$440,'All Girls &amp; Descendants - Edit'!O$1,FALSE)="","",(VLOOKUP($C287,'All Girls &amp; Descendants - Edit'!$C$2:$AK$440,'All Girls &amp; Descendants - Edit'!O$1,FALSE)))</f>
        <v/>
      </c>
      <c r="P287" s="3" t="str">
        <f t="shared" si="33"/>
        <v/>
      </c>
      <c r="Q287" s="178" t="str">
        <f t="shared" si="34"/>
        <v>123a</v>
      </c>
      <c r="R287" s="23"/>
      <c r="S287" t="str">
        <f>VLOOKUP($C287,'All Girls &amp; Descendants - Edit'!$C$2:$AK$440,'All Girls &amp; Descendants - Edit'!S$1,FALSE)</f>
        <v>Male</v>
      </c>
      <c r="T287" s="176">
        <f t="shared" si="31"/>
        <v>8</v>
      </c>
      <c r="U287" s="176">
        <f t="shared" si="35"/>
        <v>5</v>
      </c>
      <c r="V287" s="176">
        <f t="shared" si="36"/>
        <v>6</v>
      </c>
      <c r="W287" s="177">
        <f t="shared" si="37"/>
        <v>2</v>
      </c>
      <c r="X287" s="3" t="str">
        <f>IF(VLOOKUP($C287,'All Girls &amp; Descendants - Edit'!$C$2:$AK$440,'All Girls &amp; Descendants - Edit'!X$1,FALSE)=""," - ",(VLOOKUP($C287,'All Girls &amp; Descendants - Edit'!$C$2:$AK$440,'All Girls &amp; Descendants - Edit'!X$1,FALSE)))</f>
        <v xml:space="preserve"> - </v>
      </c>
      <c r="Y287" s="3" t="str">
        <f>IF(VLOOKUP($C287,'All Girls &amp; Descendants - Edit'!$C$2:$AK$440,'All Girls &amp; Descendants - Edit'!Y$1,FALSE)=""," - ",(VLOOKUP($C287,'All Girls &amp; Descendants - Edit'!$C$2:$AK$440,'All Girls &amp; Descendants - Edit'!Y$1,FALSE)))</f>
        <v xml:space="preserve"> - </v>
      </c>
      <c r="Z287" s="3" t="str">
        <f>IF(VLOOKUP($C287,'All Girls &amp; Descendants - Edit'!$C$2:$AK$440,'All Girls &amp; Descendants - Edit'!Z$1,FALSE)=""," - ",(VLOOKUP($C287,'All Girls &amp; Descendants - Edit'!$C$2:$AK$440,'All Girls &amp; Descendants - Edit'!Z$1,FALSE)))</f>
        <v>Born at Homerton Hospital, London.</v>
      </c>
      <c r="AA287" s="101" t="str">
        <f>IF(VLOOKUP($C287,'All Girls &amp; Descendants - Edit'!$C$2:$AK$440,'All Girls &amp; Descendants - Edit'!AA$1,FALSE)=""," - ",(VLOOKUP($C287,'All Girls &amp; Descendants - Edit'!$C$2:$AK$440,'All Girls &amp; Descendants - Edit'!AA$1,FALSE)))</f>
        <v xml:space="preserve"> - </v>
      </c>
      <c r="AB287" s="101">
        <f>IF(VLOOKUP($C287,'All Girls &amp; Descendants - Edit'!$C$2:$AK$440,'All Girls &amp; Descendants - Edit'!AB$1,FALSE)=""," - ",(VLOOKUP($C287,'All Girls &amp; Descendants - Edit'!$C$2:$AK$440,'All Girls &amp; Descendants - Edit'!AB$1,FALSE)))</f>
        <v>144</v>
      </c>
      <c r="AC287" s="101">
        <f>IF(VLOOKUP($C287,'All Girls &amp; Descendants - Edit'!$C$2:$AK$440,'All Girls &amp; Descendants - Edit'!AC$1,FALSE)=""," - ",(VLOOKUP($C287,'All Girls &amp; Descendants - Edit'!$C$2:$AK$440,'All Girls &amp; Descendants - Edit'!AC$1,FALSE)))</f>
        <v>2144</v>
      </c>
      <c r="AD287" s="3" t="str">
        <f>IF(VLOOKUP($C287,'All Girls &amp; Descendants - Edit'!$C$2:$AK$440,'All Girls &amp; Descendants - Edit'!AD$1,FALSE)=""," - ",(VLOOKUP($C287,'All Girls &amp; Descendants - Edit'!$C$2:$AK$440,'All Girls &amp; Descendants - Edit'!AD$1,FALSE)))</f>
        <v>123ab</v>
      </c>
      <c r="AE287" s="3" t="str">
        <f>IF(VLOOKUP($C287,'All Girls &amp; Descendants - Edit'!$C$2:$AK$440,'All Girls &amp; Descendants - Edit'!AE$1,FALSE)=""," - ",(VLOOKUP($C287,'All Girls &amp; Descendants - Edit'!$C$2:$AK$440,'All Girls &amp; Descendants - Edit'!AE$1,FALSE)))</f>
        <v>Arlo Terrence Peter TALBOT (2015 - )</v>
      </c>
      <c r="AF287" s="3" t="str">
        <f>IF(VLOOKUP($C287,'All Girls &amp; Descendants - Edit'!$C$2:$AK$440,'All Girls &amp; Descendants - Edit'!AF$1,FALSE)=""," - ",(VLOOKUP($C287,'All Girls &amp; Descendants - Edit'!$C$2:$AK$440,'All Girls &amp; Descendants - Edit'!AF$1,FALSE)))</f>
        <v>Arlo TALBOT (8th &amp; 123)</v>
      </c>
      <c r="AG287" s="3" t="str">
        <f>IF(VLOOKUP($C287,'All Girls &amp; Descendants - Edit'!$C$2:$AK$440,'All Girls &amp; Descendants - Edit'!AG$1,FALSE)=""," - ",(VLOOKUP($C287,'All Girls &amp; Descendants - Edit'!$C$2:$AK$440,'All Girls &amp; Descendants - Edit'!AG$1,FALSE)))</f>
        <v>Male</v>
      </c>
      <c r="AH287" s="3" t="str">
        <f>IF(VLOOKUP($C287,'All Girls &amp; Descendants - Edit'!$C$2:$AK$440,'All Girls &amp; Descendants - Edit'!AH$1,FALSE)=""," - ",(VLOOKUP($C287,'All Girls &amp; Descendants - Edit'!$C$2:$AK$440,'All Girls &amp; Descendants - Edit'!AH$1,FALSE)))</f>
        <v>8th</v>
      </c>
      <c r="AI287" s="3" t="str">
        <f>IF(VLOOKUP($C287,'All Girls &amp; Descendants - Edit'!$C$2:$AK$440,'All Girls &amp; Descendants - Edit'!AI$1,FALSE)=""," - ",(VLOOKUP($C287,'All Girls &amp; Descendants - Edit'!$C$2:$AK$440,'All Girls &amp; Descendants - Edit'!AI$1,FALSE)))</f>
        <v>Unmarried</v>
      </c>
      <c r="AJ287" s="3" t="str">
        <f>IF(VLOOKUP($C287,'All Girls &amp; Descendants - Edit'!$C$2:$AK$440,'All Girls &amp; Descendants - Edit'!AJ$1,FALSE)=""," - ",(VLOOKUP($C287,'All Girls &amp; Descendants - Edit'!$C$2:$AK$440,'All Girls &amp; Descendants - Edit'!AJ$1,FALSE)))</f>
        <v>Male. b. 19/03/2015 Born at Homerton Hospital, London.</v>
      </c>
      <c r="AK287" s="3" t="str">
        <f>IF(VLOOKUP($C287,'All Girls &amp; Descendants - Edit'!$C$2:$AK$440,'All Girls &amp; Descendants - Edit'!AK$1,FALSE)=""," - ",(VLOOKUP($C287,'All Girls &amp; Descendants - Edit'!$C$2:$AK$440,'All Girls &amp; Descendants - Edit'!AK$1,FALSE)))</f>
        <v>b. 19/03/2015</v>
      </c>
    </row>
    <row r="288" spans="1:37" ht="19">
      <c r="A288">
        <f>VLOOKUP(B288,'Loyd List 1-190 - Edit'!$P$1:$R$219,3,FALSE)</f>
        <v>89</v>
      </c>
      <c r="B288">
        <f>'All Girls &amp; Descendants - Edit'!B289</f>
        <v>123</v>
      </c>
      <c r="C288" s="98" t="str">
        <f>'All Girls &amp; Descendants - Edit'!C289</f>
        <v>123ba</v>
      </c>
      <c r="D288" s="2" t="str">
        <f>'All Girls &amp; Descendants - Edit'!D289</f>
        <v>CORVINO</v>
      </c>
      <c r="E288" t="str">
        <f>'All Girls &amp; Descendants - Edit'!E289</f>
        <v>Rufus</v>
      </c>
      <c r="F288" t="str">
        <f>IF('All Girls &amp; Descendants - Edit'!F289="","",'All Girls &amp; Descendants - Edit'!F289)</f>
        <v>Mali</v>
      </c>
      <c r="G288" t="str">
        <f>IF('All Girls &amp; Descendants - Edit'!G289="","",'All Girls &amp; Descendants - Edit'!G289)</f>
        <v/>
      </c>
      <c r="H288" t="str">
        <f>IF('All Girls &amp; Descendants - Edit'!H289="","",'All Girls &amp; Descendants - Edit'!H289)</f>
        <v/>
      </c>
      <c r="I288">
        <f>VLOOKUP($C288,'All Girls &amp; Descendants - Edit'!$C$2:$AK$440,'All Girls &amp; Descendants - Edit'!I$1,FALSE)</f>
        <v>2005</v>
      </c>
      <c r="J288" t="str">
        <f>VLOOKUP($C288,'All Girls &amp; Descendants - Edit'!$C$2:$AK$440,'All Girls &amp; Descendants - Edit'!J$1,FALSE)</f>
        <v/>
      </c>
      <c r="K288" s="9"/>
      <c r="L288" t="str">
        <f t="shared" si="32"/>
        <v>24/04/2005</v>
      </c>
      <c r="M288" s="3">
        <f>VLOOKUP($C288,'All Girls &amp; Descendants - Edit'!$C$2:$AK$440,'All Girls &amp; Descendants - Edit'!M$1,FALSE)</f>
        <v>38466</v>
      </c>
      <c r="N288" s="3" t="str">
        <f>IF(VLOOKUP($C288,'All Girls &amp; Descendants - Edit'!$C$2:$AK$440,'All Girls &amp; Descendants - Edit'!N$1,FALSE)=""," - ",(VLOOKUP($C288,'All Girls &amp; Descendants - Edit'!$C$2:$AK$440,'All Girls &amp; Descendants - Edit'!N$1,FALSE)))</f>
        <v xml:space="preserve"> - </v>
      </c>
      <c r="O288" s="3" t="str">
        <f>IF(VLOOKUP($C288,'All Girls &amp; Descendants - Edit'!$C$2:$AK$440,'All Girls &amp; Descendants - Edit'!O$1,FALSE)="","",(VLOOKUP($C288,'All Girls &amp; Descendants - Edit'!$C$2:$AK$440,'All Girls &amp; Descendants - Edit'!O$1,FALSE)))</f>
        <v/>
      </c>
      <c r="P288" s="3" t="str">
        <f t="shared" si="33"/>
        <v/>
      </c>
      <c r="Q288" s="178" t="str">
        <f t="shared" si="34"/>
        <v>123b</v>
      </c>
      <c r="R288" s="23"/>
      <c r="S288" t="str">
        <f>VLOOKUP($C288,'All Girls &amp; Descendants - Edit'!$C$2:$AK$440,'All Girls &amp; Descendants - Edit'!S$1,FALSE)</f>
        <v>Male</v>
      </c>
      <c r="T288" s="176">
        <f t="shared" si="31"/>
        <v>8</v>
      </c>
      <c r="U288" s="176">
        <f t="shared" si="35"/>
        <v>5</v>
      </c>
      <c r="V288" s="176">
        <f t="shared" si="36"/>
        <v>6</v>
      </c>
      <c r="W288" s="177">
        <f t="shared" si="37"/>
        <v>2</v>
      </c>
      <c r="X288" s="3" t="str">
        <f>IF(VLOOKUP($C288,'All Girls &amp; Descendants - Edit'!$C$2:$AK$440,'All Girls &amp; Descendants - Edit'!X$1,FALSE)=""," - ",(VLOOKUP($C288,'All Girls &amp; Descendants - Edit'!$C$2:$AK$440,'All Girls &amp; Descendants - Edit'!X$1,FALSE)))</f>
        <v xml:space="preserve"> - </v>
      </c>
      <c r="Y288" s="3" t="str">
        <f>IF(VLOOKUP($C288,'All Girls &amp; Descendants - Edit'!$C$2:$AK$440,'All Girls &amp; Descendants - Edit'!Y$1,FALSE)=""," - ",(VLOOKUP($C288,'All Girls &amp; Descendants - Edit'!$C$2:$AK$440,'All Girls &amp; Descendants - Edit'!Y$1,FALSE)))</f>
        <v xml:space="preserve"> - </v>
      </c>
      <c r="Z288" s="3" t="str">
        <f>IF(VLOOKUP($C288,'All Girls &amp; Descendants - Edit'!$C$2:$AK$440,'All Girls &amp; Descendants - Edit'!Z$1,FALSE)=""," - ",(VLOOKUP($C288,'All Girls &amp; Descendants - Edit'!$C$2:$AK$440,'All Girls &amp; Descendants - Edit'!Z$1,FALSE)))</f>
        <v>Born at Stratford-upon-Avon. Lives in Portugal.</v>
      </c>
      <c r="AA288" s="101" t="str">
        <f>IF(VLOOKUP($C288,'All Girls &amp; Descendants - Edit'!$C$2:$AK$440,'All Girls &amp; Descendants - Edit'!AA$1,FALSE)=""," - ",(VLOOKUP($C288,'All Girls &amp; Descendants - Edit'!$C$2:$AK$440,'All Girls &amp; Descendants - Edit'!AA$1,FALSE)))</f>
        <v xml:space="preserve"> - </v>
      </c>
      <c r="AB288" s="101">
        <f>IF(VLOOKUP($C288,'All Girls &amp; Descendants - Edit'!$C$2:$AK$440,'All Girls &amp; Descendants - Edit'!AB$1,FALSE)=""," - ",(VLOOKUP($C288,'All Girls &amp; Descendants - Edit'!$C$2:$AK$440,'All Girls &amp; Descendants - Edit'!AB$1,FALSE)))</f>
        <v>145</v>
      </c>
      <c r="AC288" s="101">
        <f>IF(VLOOKUP($C288,'All Girls &amp; Descendants - Edit'!$C$2:$AK$440,'All Girls &amp; Descendants - Edit'!AC$1,FALSE)=""," - ",(VLOOKUP($C288,'All Girls &amp; Descendants - Edit'!$C$2:$AK$440,'All Girls &amp; Descendants - Edit'!AC$1,FALSE)))</f>
        <v>2145</v>
      </c>
      <c r="AD288" s="3" t="str">
        <f>IF(VLOOKUP($C288,'All Girls &amp; Descendants - Edit'!$C$2:$AK$440,'All Girls &amp; Descendants - Edit'!AD$1,FALSE)=""," - ",(VLOOKUP($C288,'All Girls &amp; Descendants - Edit'!$C$2:$AK$440,'All Girls &amp; Descendants - Edit'!AD$1,FALSE)))</f>
        <v>123ba</v>
      </c>
      <c r="AE288" s="3" t="str">
        <f>IF(VLOOKUP($C288,'All Girls &amp; Descendants - Edit'!$C$2:$AK$440,'All Girls &amp; Descendants - Edit'!AE$1,FALSE)=""," - ",(VLOOKUP($C288,'All Girls &amp; Descendants - Edit'!$C$2:$AK$440,'All Girls &amp; Descendants - Edit'!AE$1,FALSE)))</f>
        <v>Rufus Mali  CORVINO (2005 - )</v>
      </c>
      <c r="AF288" s="3" t="str">
        <f>IF(VLOOKUP($C288,'All Girls &amp; Descendants - Edit'!$C$2:$AK$440,'All Girls &amp; Descendants - Edit'!AF$1,FALSE)=""," - ",(VLOOKUP($C288,'All Girls &amp; Descendants - Edit'!$C$2:$AK$440,'All Girls &amp; Descendants - Edit'!AF$1,FALSE)))</f>
        <v>Rufus CORVINO (8th &amp; 123)</v>
      </c>
      <c r="AG288" s="3" t="str">
        <f>IF(VLOOKUP($C288,'All Girls &amp; Descendants - Edit'!$C$2:$AK$440,'All Girls &amp; Descendants - Edit'!AG$1,FALSE)=""," - ",(VLOOKUP($C288,'All Girls &amp; Descendants - Edit'!$C$2:$AK$440,'All Girls &amp; Descendants - Edit'!AG$1,FALSE)))</f>
        <v>Male</v>
      </c>
      <c r="AH288" s="3" t="str">
        <f>IF(VLOOKUP($C288,'All Girls &amp; Descendants - Edit'!$C$2:$AK$440,'All Girls &amp; Descendants - Edit'!AH$1,FALSE)=""," - ",(VLOOKUP($C288,'All Girls &amp; Descendants - Edit'!$C$2:$AK$440,'All Girls &amp; Descendants - Edit'!AH$1,FALSE)))</f>
        <v>8th</v>
      </c>
      <c r="AI288" s="3" t="str">
        <f>IF(VLOOKUP($C288,'All Girls &amp; Descendants - Edit'!$C$2:$AK$440,'All Girls &amp; Descendants - Edit'!AI$1,FALSE)=""," - ",(VLOOKUP($C288,'All Girls &amp; Descendants - Edit'!$C$2:$AK$440,'All Girls &amp; Descendants - Edit'!AI$1,FALSE)))</f>
        <v xml:space="preserve"> - </v>
      </c>
      <c r="AJ288" s="3" t="str">
        <f>IF(VLOOKUP($C288,'All Girls &amp; Descendants - Edit'!$C$2:$AK$440,'All Girls &amp; Descendants - Edit'!AJ$1,FALSE)=""," - ",(VLOOKUP($C288,'All Girls &amp; Descendants - Edit'!$C$2:$AK$440,'All Girls &amp; Descendants - Edit'!AJ$1,FALSE)))</f>
        <v>Male. b. 24/04/2005 Born at Stratford-upon-Avon. Lives in Portugal.</v>
      </c>
      <c r="AK288" s="3" t="str">
        <f>IF(VLOOKUP($C288,'All Girls &amp; Descendants - Edit'!$C$2:$AK$440,'All Girls &amp; Descendants - Edit'!AK$1,FALSE)=""," - ",(VLOOKUP($C288,'All Girls &amp; Descendants - Edit'!$C$2:$AK$440,'All Girls &amp; Descendants - Edit'!AK$1,FALSE)))</f>
        <v>b. 24/04/2005</v>
      </c>
    </row>
    <row r="289" spans="1:37" ht="19">
      <c r="A289">
        <f>VLOOKUP(B289,'Loyd List 1-190 - Edit'!$P$1:$R$219,3,FALSE)</f>
        <v>89</v>
      </c>
      <c r="B289">
        <f>'All Girls &amp; Descendants - Edit'!B290</f>
        <v>123</v>
      </c>
      <c r="C289" s="98" t="str">
        <f>'All Girls &amp; Descendants - Edit'!C290</f>
        <v>123bb</v>
      </c>
      <c r="D289" s="2" t="str">
        <f>'All Girls &amp; Descendants - Edit'!D290</f>
        <v>BOSMAN</v>
      </c>
      <c r="E289" t="str">
        <f>'All Girls &amp; Descendants - Edit'!E290</f>
        <v>Hal</v>
      </c>
      <c r="F289" t="str">
        <f>IF('All Girls &amp; Descendants - Edit'!F290="","",'All Girls &amp; Descendants - Edit'!F290)</f>
        <v>Alfred</v>
      </c>
      <c r="G289" t="str">
        <f>IF('All Girls &amp; Descendants - Edit'!G290="","",'All Girls &amp; Descendants - Edit'!G290)</f>
        <v>Layzell</v>
      </c>
      <c r="H289" t="str">
        <f>IF('All Girls &amp; Descendants - Edit'!H290="","",'All Girls &amp; Descendants - Edit'!H290)</f>
        <v/>
      </c>
      <c r="I289">
        <f>VLOOKUP($C289,'All Girls &amp; Descendants - Edit'!$C$2:$AK$440,'All Girls &amp; Descendants - Edit'!I$1,FALSE)</f>
        <v>2017</v>
      </c>
      <c r="J289" t="str">
        <f>VLOOKUP($C289,'All Girls &amp; Descendants - Edit'!$C$2:$AK$440,'All Girls &amp; Descendants - Edit'!J$1,FALSE)</f>
        <v/>
      </c>
      <c r="K289" s="9"/>
      <c r="L289" t="str">
        <f t="shared" si="32"/>
        <v>29/01/2017</v>
      </c>
      <c r="M289" s="3">
        <f>VLOOKUP($C289,'All Girls &amp; Descendants - Edit'!$C$2:$AK$440,'All Girls &amp; Descendants - Edit'!M$1,FALSE)</f>
        <v>42764</v>
      </c>
      <c r="N289" s="3" t="str">
        <f>IF(VLOOKUP($C289,'All Girls &amp; Descendants - Edit'!$C$2:$AK$440,'All Girls &amp; Descendants - Edit'!N$1,FALSE)=""," - ",(VLOOKUP($C289,'All Girls &amp; Descendants - Edit'!$C$2:$AK$440,'All Girls &amp; Descendants - Edit'!N$1,FALSE)))</f>
        <v xml:space="preserve"> - </v>
      </c>
      <c r="O289" s="3" t="str">
        <f>IF(VLOOKUP($C289,'All Girls &amp; Descendants - Edit'!$C$2:$AK$440,'All Girls &amp; Descendants - Edit'!O$1,FALSE)="","",(VLOOKUP($C289,'All Girls &amp; Descendants - Edit'!$C$2:$AK$440,'All Girls &amp; Descendants - Edit'!O$1,FALSE)))</f>
        <v/>
      </c>
      <c r="P289" s="3" t="str">
        <f t="shared" si="33"/>
        <v/>
      </c>
      <c r="Q289" s="178" t="str">
        <f t="shared" si="34"/>
        <v>123b</v>
      </c>
      <c r="R289" s="23"/>
      <c r="S289" t="str">
        <f>VLOOKUP($C289,'All Girls &amp; Descendants - Edit'!$C$2:$AK$440,'All Girls &amp; Descendants - Edit'!S$1,FALSE)</f>
        <v>Male</v>
      </c>
      <c r="T289" s="176">
        <f t="shared" si="31"/>
        <v>8</v>
      </c>
      <c r="U289" s="176">
        <f t="shared" si="35"/>
        <v>5</v>
      </c>
      <c r="V289" s="176">
        <f t="shared" si="36"/>
        <v>6</v>
      </c>
      <c r="W289" s="177">
        <f t="shared" si="37"/>
        <v>2</v>
      </c>
      <c r="X289" s="3" t="str">
        <f>IF(VLOOKUP($C289,'All Girls &amp; Descendants - Edit'!$C$2:$AK$440,'All Girls &amp; Descendants - Edit'!X$1,FALSE)=""," - ",(VLOOKUP($C289,'All Girls &amp; Descendants - Edit'!$C$2:$AK$440,'All Girls &amp; Descendants - Edit'!X$1,FALSE)))</f>
        <v xml:space="preserve"> - </v>
      </c>
      <c r="Y289" s="3" t="str">
        <f>IF(VLOOKUP($C289,'All Girls &amp; Descendants - Edit'!$C$2:$AK$440,'All Girls &amp; Descendants - Edit'!Y$1,FALSE)=""," - ",(VLOOKUP($C289,'All Girls &amp; Descendants - Edit'!$C$2:$AK$440,'All Girls &amp; Descendants - Edit'!Y$1,FALSE)))</f>
        <v xml:space="preserve"> - </v>
      </c>
      <c r="Z289" s="3" t="str">
        <f>IF(VLOOKUP($C289,'All Girls &amp; Descendants - Edit'!$C$2:$AK$440,'All Girls &amp; Descendants - Edit'!Z$1,FALSE)=""," - ",(VLOOKUP($C289,'All Girls &amp; Descendants - Edit'!$C$2:$AK$440,'All Girls &amp; Descendants - Edit'!Z$1,FALSE)))</f>
        <v>Born at Chelsea &amp; Westminster Hospital, London.</v>
      </c>
      <c r="AA289" s="101" t="str">
        <f>IF(VLOOKUP($C289,'All Girls &amp; Descendants - Edit'!$C$2:$AK$440,'All Girls &amp; Descendants - Edit'!AA$1,FALSE)=""," - ",(VLOOKUP($C289,'All Girls &amp; Descendants - Edit'!$C$2:$AK$440,'All Girls &amp; Descendants - Edit'!AA$1,FALSE)))</f>
        <v xml:space="preserve"> - </v>
      </c>
      <c r="AB289" s="101">
        <f>IF(VLOOKUP($C289,'All Girls &amp; Descendants - Edit'!$C$2:$AK$440,'All Girls &amp; Descendants - Edit'!AB$1,FALSE)=""," - ",(VLOOKUP($C289,'All Girls &amp; Descendants - Edit'!$C$2:$AK$440,'All Girls &amp; Descendants - Edit'!AB$1,FALSE)))</f>
        <v>146</v>
      </c>
      <c r="AC289" s="101">
        <f>IF(VLOOKUP($C289,'All Girls &amp; Descendants - Edit'!$C$2:$AK$440,'All Girls &amp; Descendants - Edit'!AC$1,FALSE)=""," - ",(VLOOKUP($C289,'All Girls &amp; Descendants - Edit'!$C$2:$AK$440,'All Girls &amp; Descendants - Edit'!AC$1,FALSE)))</f>
        <v>2146</v>
      </c>
      <c r="AD289" s="3" t="str">
        <f>IF(VLOOKUP($C289,'All Girls &amp; Descendants - Edit'!$C$2:$AK$440,'All Girls &amp; Descendants - Edit'!AD$1,FALSE)=""," - ",(VLOOKUP($C289,'All Girls &amp; Descendants - Edit'!$C$2:$AK$440,'All Girls &amp; Descendants - Edit'!AD$1,FALSE)))</f>
        <v>123bb</v>
      </c>
      <c r="AE289" s="3" t="str">
        <f>IF(VLOOKUP($C289,'All Girls &amp; Descendants - Edit'!$C$2:$AK$440,'All Girls &amp; Descendants - Edit'!AE$1,FALSE)=""," - ",(VLOOKUP($C289,'All Girls &amp; Descendants - Edit'!$C$2:$AK$440,'All Girls &amp; Descendants - Edit'!AE$1,FALSE)))</f>
        <v>Hal Alfred Layzell BOSMAN (2017 - )</v>
      </c>
      <c r="AF289" s="3" t="str">
        <f>IF(VLOOKUP($C289,'All Girls &amp; Descendants - Edit'!$C$2:$AK$440,'All Girls &amp; Descendants - Edit'!AF$1,FALSE)=""," - ",(VLOOKUP($C289,'All Girls &amp; Descendants - Edit'!$C$2:$AK$440,'All Girls &amp; Descendants - Edit'!AF$1,FALSE)))</f>
        <v>Hal BOSMAN (8th &amp; 123)</v>
      </c>
      <c r="AG289" s="3" t="str">
        <f>IF(VLOOKUP($C289,'All Girls &amp; Descendants - Edit'!$C$2:$AK$440,'All Girls &amp; Descendants - Edit'!AG$1,FALSE)=""," - ",(VLOOKUP($C289,'All Girls &amp; Descendants - Edit'!$C$2:$AK$440,'All Girls &amp; Descendants - Edit'!AG$1,FALSE)))</f>
        <v>Male</v>
      </c>
      <c r="AH289" s="3" t="str">
        <f>IF(VLOOKUP($C289,'All Girls &amp; Descendants - Edit'!$C$2:$AK$440,'All Girls &amp; Descendants - Edit'!AH$1,FALSE)=""," - ",(VLOOKUP($C289,'All Girls &amp; Descendants - Edit'!$C$2:$AK$440,'All Girls &amp; Descendants - Edit'!AH$1,FALSE)))</f>
        <v>8th</v>
      </c>
      <c r="AI289" s="3" t="str">
        <f>IF(VLOOKUP($C289,'All Girls &amp; Descendants - Edit'!$C$2:$AK$440,'All Girls &amp; Descendants - Edit'!AI$1,FALSE)=""," - ",(VLOOKUP($C289,'All Girls &amp; Descendants - Edit'!$C$2:$AK$440,'All Girls &amp; Descendants - Edit'!AI$1,FALSE)))</f>
        <v xml:space="preserve"> - </v>
      </c>
      <c r="AJ289" s="3" t="str">
        <f>IF(VLOOKUP($C289,'All Girls &amp; Descendants - Edit'!$C$2:$AK$440,'All Girls &amp; Descendants - Edit'!AJ$1,FALSE)=""," - ",(VLOOKUP($C289,'All Girls &amp; Descendants - Edit'!$C$2:$AK$440,'All Girls &amp; Descendants - Edit'!AJ$1,FALSE)))</f>
        <v>Male. b. 29/01/2017 Born at Chelsea &amp; Westminster Hospital, London.</v>
      </c>
      <c r="AK289" s="3" t="str">
        <f>IF(VLOOKUP($C289,'All Girls &amp; Descendants - Edit'!$C$2:$AK$440,'All Girls &amp; Descendants - Edit'!AK$1,FALSE)=""," - ",(VLOOKUP($C289,'All Girls &amp; Descendants - Edit'!$C$2:$AK$440,'All Girls &amp; Descendants - Edit'!AK$1,FALSE)))</f>
        <v>b. 29/01/2017</v>
      </c>
    </row>
    <row r="290" spans="1:37" ht="19">
      <c r="A290">
        <f>VLOOKUP(B290,'Loyd List 1-190 - Edit'!$P$1:$R$219,3,FALSE)</f>
        <v>89</v>
      </c>
      <c r="B290">
        <f>'All Girls &amp; Descendants - Edit'!B291</f>
        <v>123</v>
      </c>
      <c r="C290" s="98" t="str">
        <f>'All Girls &amp; Descendants - Edit'!C291</f>
        <v>123bc</v>
      </c>
      <c r="D290" s="2" t="str">
        <f>'All Girls &amp; Descendants - Edit'!D291</f>
        <v>BOSMAN</v>
      </c>
      <c r="E290" t="str">
        <f>'All Girls &amp; Descendants - Edit'!E291</f>
        <v>Rocky</v>
      </c>
      <c r="F290" t="str">
        <f>IF('All Girls &amp; Descendants - Edit'!F291="","",'All Girls &amp; Descendants - Edit'!F291)</f>
        <v>Terrence</v>
      </c>
      <c r="G290" t="str">
        <f>IF('All Girls &amp; Descendants - Edit'!G291="","",'All Girls &amp; Descendants - Edit'!G291)</f>
        <v/>
      </c>
      <c r="H290" t="str">
        <f>IF('All Girls &amp; Descendants - Edit'!H291="","",'All Girls &amp; Descendants - Edit'!H291)</f>
        <v/>
      </c>
      <c r="I290">
        <f>VLOOKUP($C290,'All Girls &amp; Descendants - Edit'!$C$2:$AK$440,'All Girls &amp; Descendants - Edit'!I$1,FALSE)</f>
        <v>2020</v>
      </c>
      <c r="J290" t="str">
        <f>VLOOKUP($C290,'All Girls &amp; Descendants - Edit'!$C$2:$AK$440,'All Girls &amp; Descendants - Edit'!J$1,FALSE)</f>
        <v/>
      </c>
      <c r="K290" s="9"/>
      <c r="L290" t="str">
        <f t="shared" si="32"/>
        <v>11/04/2020</v>
      </c>
      <c r="M290" s="3">
        <f>VLOOKUP($C290,'All Girls &amp; Descendants - Edit'!$C$2:$AK$440,'All Girls &amp; Descendants - Edit'!M$1,FALSE)</f>
        <v>43932</v>
      </c>
      <c r="N290" s="3" t="str">
        <f>IF(VLOOKUP($C290,'All Girls &amp; Descendants - Edit'!$C$2:$AK$440,'All Girls &amp; Descendants - Edit'!N$1,FALSE)=""," - ",(VLOOKUP($C290,'All Girls &amp; Descendants - Edit'!$C$2:$AK$440,'All Girls &amp; Descendants - Edit'!N$1,FALSE)))</f>
        <v xml:space="preserve"> - </v>
      </c>
      <c r="O290" s="3" t="str">
        <f>IF(VLOOKUP($C290,'All Girls &amp; Descendants - Edit'!$C$2:$AK$440,'All Girls &amp; Descendants - Edit'!O$1,FALSE)="","",(VLOOKUP($C290,'All Girls &amp; Descendants - Edit'!$C$2:$AK$440,'All Girls &amp; Descendants - Edit'!O$1,FALSE)))</f>
        <v/>
      </c>
      <c r="P290" s="3" t="str">
        <f t="shared" si="33"/>
        <v/>
      </c>
      <c r="Q290" s="178" t="str">
        <f t="shared" si="34"/>
        <v>123b</v>
      </c>
      <c r="R290" s="23"/>
      <c r="S290" t="str">
        <f>VLOOKUP($C290,'All Girls &amp; Descendants - Edit'!$C$2:$AK$440,'All Girls &amp; Descendants - Edit'!S$1,FALSE)</f>
        <v>Male</v>
      </c>
      <c r="T290" s="176">
        <f t="shared" si="31"/>
        <v>8</v>
      </c>
      <c r="U290" s="176">
        <f t="shared" si="35"/>
        <v>5</v>
      </c>
      <c r="V290" s="176">
        <f t="shared" si="36"/>
        <v>6</v>
      </c>
      <c r="W290" s="177">
        <f t="shared" si="37"/>
        <v>2</v>
      </c>
      <c r="X290" s="3" t="str">
        <f>IF(VLOOKUP($C290,'All Girls &amp; Descendants - Edit'!$C$2:$AK$440,'All Girls &amp; Descendants - Edit'!X$1,FALSE)=""," - ",(VLOOKUP($C290,'All Girls &amp; Descendants - Edit'!$C$2:$AK$440,'All Girls &amp; Descendants - Edit'!X$1,FALSE)))</f>
        <v xml:space="preserve"> - </v>
      </c>
      <c r="Y290" s="3" t="str">
        <f>IF(VLOOKUP($C290,'All Girls &amp; Descendants - Edit'!$C$2:$AK$440,'All Girls &amp; Descendants - Edit'!Y$1,FALSE)=""," - ",(VLOOKUP($C290,'All Girls &amp; Descendants - Edit'!$C$2:$AK$440,'All Girls &amp; Descendants - Edit'!Y$1,FALSE)))</f>
        <v xml:space="preserve"> - </v>
      </c>
      <c r="Z290" s="3" t="str">
        <f>IF(VLOOKUP($C290,'All Girls &amp; Descendants - Edit'!$C$2:$AK$440,'All Girls &amp; Descendants - Edit'!Z$1,FALSE)=""," - ",(VLOOKUP($C290,'All Girls &amp; Descendants - Edit'!$C$2:$AK$440,'All Girls &amp; Descendants - Edit'!Z$1,FALSE)))</f>
        <v>Born at Porch Farmhouse, Godmanchester.</v>
      </c>
      <c r="AA290" s="101" t="str">
        <f>IF(VLOOKUP($C290,'All Girls &amp; Descendants - Edit'!$C$2:$AK$440,'All Girls &amp; Descendants - Edit'!AA$1,FALSE)=""," - ",(VLOOKUP($C290,'All Girls &amp; Descendants - Edit'!$C$2:$AK$440,'All Girls &amp; Descendants - Edit'!AA$1,FALSE)))</f>
        <v xml:space="preserve"> - </v>
      </c>
      <c r="AB290" s="101">
        <f>IF(VLOOKUP($C290,'All Girls &amp; Descendants - Edit'!$C$2:$AK$440,'All Girls &amp; Descendants - Edit'!AB$1,FALSE)=""," - ",(VLOOKUP($C290,'All Girls &amp; Descendants - Edit'!$C$2:$AK$440,'All Girls &amp; Descendants - Edit'!AB$1,FALSE)))</f>
        <v>147</v>
      </c>
      <c r="AC290" s="101">
        <f>IF(VLOOKUP($C290,'All Girls &amp; Descendants - Edit'!$C$2:$AK$440,'All Girls &amp; Descendants - Edit'!AC$1,FALSE)=""," - ",(VLOOKUP($C290,'All Girls &amp; Descendants - Edit'!$C$2:$AK$440,'All Girls &amp; Descendants - Edit'!AC$1,FALSE)))</f>
        <v>2147</v>
      </c>
      <c r="AD290" s="3" t="str">
        <f>IF(VLOOKUP($C290,'All Girls &amp; Descendants - Edit'!$C$2:$AK$440,'All Girls &amp; Descendants - Edit'!AD$1,FALSE)=""," - ",(VLOOKUP($C290,'All Girls &amp; Descendants - Edit'!$C$2:$AK$440,'All Girls &amp; Descendants - Edit'!AD$1,FALSE)))</f>
        <v>123bc</v>
      </c>
      <c r="AE290" s="3" t="str">
        <f>IF(VLOOKUP($C290,'All Girls &amp; Descendants - Edit'!$C$2:$AK$440,'All Girls &amp; Descendants - Edit'!AE$1,FALSE)=""," - ",(VLOOKUP($C290,'All Girls &amp; Descendants - Edit'!$C$2:$AK$440,'All Girls &amp; Descendants - Edit'!AE$1,FALSE)))</f>
        <v>Rocky Terrence  BOSMAN (2020 - )</v>
      </c>
      <c r="AF290" s="3" t="str">
        <f>IF(VLOOKUP($C290,'All Girls &amp; Descendants - Edit'!$C$2:$AK$440,'All Girls &amp; Descendants - Edit'!AF$1,FALSE)=""," - ",(VLOOKUP($C290,'All Girls &amp; Descendants - Edit'!$C$2:$AK$440,'All Girls &amp; Descendants - Edit'!AF$1,FALSE)))</f>
        <v>Rocky BOSMAN (8th &amp; 123)</v>
      </c>
      <c r="AG290" s="3" t="str">
        <f>IF(VLOOKUP($C290,'All Girls &amp; Descendants - Edit'!$C$2:$AK$440,'All Girls &amp; Descendants - Edit'!AG$1,FALSE)=""," - ",(VLOOKUP($C290,'All Girls &amp; Descendants - Edit'!$C$2:$AK$440,'All Girls &amp; Descendants - Edit'!AG$1,FALSE)))</f>
        <v>Male</v>
      </c>
      <c r="AH290" s="3" t="str">
        <f>IF(VLOOKUP($C290,'All Girls &amp; Descendants - Edit'!$C$2:$AK$440,'All Girls &amp; Descendants - Edit'!AH$1,FALSE)=""," - ",(VLOOKUP($C290,'All Girls &amp; Descendants - Edit'!$C$2:$AK$440,'All Girls &amp; Descendants - Edit'!AH$1,FALSE)))</f>
        <v>8th</v>
      </c>
      <c r="AI290" s="3" t="str">
        <f>IF(VLOOKUP($C290,'All Girls &amp; Descendants - Edit'!$C$2:$AK$440,'All Girls &amp; Descendants - Edit'!AI$1,FALSE)=""," - ",(VLOOKUP($C290,'All Girls &amp; Descendants - Edit'!$C$2:$AK$440,'All Girls &amp; Descendants - Edit'!AI$1,FALSE)))</f>
        <v xml:space="preserve"> - </v>
      </c>
      <c r="AJ290" s="3" t="str">
        <f>IF(VLOOKUP($C290,'All Girls &amp; Descendants - Edit'!$C$2:$AK$440,'All Girls &amp; Descendants - Edit'!AJ$1,FALSE)=""," - ",(VLOOKUP($C290,'All Girls &amp; Descendants - Edit'!$C$2:$AK$440,'All Girls &amp; Descendants - Edit'!AJ$1,FALSE)))</f>
        <v>Male. b. 11/04/2020 Born at Porch Farmhouse, Godmanchester.</v>
      </c>
      <c r="AK290" s="3" t="str">
        <f>IF(VLOOKUP($C290,'All Girls &amp; Descendants - Edit'!$C$2:$AK$440,'All Girls &amp; Descendants - Edit'!AK$1,FALSE)=""," - ",(VLOOKUP($C290,'All Girls &amp; Descendants - Edit'!$C$2:$AK$440,'All Girls &amp; Descendants - Edit'!AK$1,FALSE)))</f>
        <v>b. 11/04/2020</v>
      </c>
    </row>
    <row r="291" spans="1:37" ht="19">
      <c r="A291">
        <f>VLOOKUP(B291,'Loyd List 1-190 - Edit'!$P$1:$R$219,3,FALSE)</f>
        <v>100</v>
      </c>
      <c r="B291">
        <f>'All Girls &amp; Descendants - Edit'!B292</f>
        <v>143</v>
      </c>
      <c r="C291" s="98" t="str">
        <f>'All Girls &amp; Descendants - Edit'!C292</f>
        <v>143aa</v>
      </c>
      <c r="D291" s="2" t="str">
        <f>'All Girls &amp; Descendants - Edit'!D292</f>
        <v>RUSSELL-STONEHAM</v>
      </c>
      <c r="E291" t="str">
        <f>'All Girls &amp; Descendants - Edit'!E292</f>
        <v>Alice</v>
      </c>
      <c r="F291" t="str">
        <f>IF('All Girls &amp; Descendants - Edit'!F292="","",'All Girls &amp; Descendants - Edit'!F292)</f>
        <v>Isla</v>
      </c>
      <c r="G291" t="str">
        <f>IF('All Girls &amp; Descendants - Edit'!G292="","",'All Girls &amp; Descendants - Edit'!G292)</f>
        <v/>
      </c>
      <c r="H291" t="str">
        <f>IF('All Girls &amp; Descendants - Edit'!H292="","",'All Girls &amp; Descendants - Edit'!H292)</f>
        <v/>
      </c>
      <c r="I291">
        <f>VLOOKUP($C291,'All Girls &amp; Descendants - Edit'!$C$2:$AK$440,'All Girls &amp; Descendants - Edit'!I$1,FALSE)</f>
        <v>2020</v>
      </c>
      <c r="J291" t="str">
        <f>VLOOKUP($C291,'All Girls &amp; Descendants - Edit'!$C$2:$AK$440,'All Girls &amp; Descendants - Edit'!J$1,FALSE)</f>
        <v/>
      </c>
      <c r="K291" s="9"/>
      <c r="L291" t="str">
        <f t="shared" si="32"/>
        <v>21/10/2020</v>
      </c>
      <c r="M291" s="3">
        <f>VLOOKUP($C291,'All Girls &amp; Descendants - Edit'!$C$2:$AK$440,'All Girls &amp; Descendants - Edit'!M$1,FALSE)</f>
        <v>44125</v>
      </c>
      <c r="N291" s="3" t="str">
        <f>IF(VLOOKUP($C291,'All Girls &amp; Descendants - Edit'!$C$2:$AK$440,'All Girls &amp; Descendants - Edit'!N$1,FALSE)=""," - ",(VLOOKUP($C291,'All Girls &amp; Descendants - Edit'!$C$2:$AK$440,'All Girls &amp; Descendants - Edit'!N$1,FALSE)))</f>
        <v xml:space="preserve"> - </v>
      </c>
      <c r="O291" s="3" t="str">
        <f>IF(VLOOKUP($C291,'All Girls &amp; Descendants - Edit'!$C$2:$AK$440,'All Girls &amp; Descendants - Edit'!O$1,FALSE)="","",(VLOOKUP($C291,'All Girls &amp; Descendants - Edit'!$C$2:$AK$440,'All Girls &amp; Descendants - Edit'!O$1,FALSE)))</f>
        <v/>
      </c>
      <c r="P291" s="3" t="str">
        <f t="shared" si="33"/>
        <v/>
      </c>
      <c r="Q291" s="178" t="str">
        <f t="shared" si="34"/>
        <v>143a</v>
      </c>
      <c r="R291" s="23"/>
      <c r="S291" t="str">
        <f>VLOOKUP($C291,'All Girls &amp; Descendants - Edit'!$C$2:$AK$440,'All Girls &amp; Descendants - Edit'!S$1,FALSE)</f>
        <v>Female</v>
      </c>
      <c r="T291" s="176">
        <f t="shared" si="31"/>
        <v>8</v>
      </c>
      <c r="U291" s="176">
        <f t="shared" si="35"/>
        <v>5</v>
      </c>
      <c r="V291" s="176">
        <f t="shared" si="36"/>
        <v>6</v>
      </c>
      <c r="W291" s="177">
        <f t="shared" si="37"/>
        <v>2</v>
      </c>
      <c r="X291" s="3" t="str">
        <f>IF(VLOOKUP($C291,'All Girls &amp; Descendants - Edit'!$C$2:$AK$440,'All Girls &amp; Descendants - Edit'!X$1,FALSE)=""," - ",(VLOOKUP($C291,'All Girls &amp; Descendants - Edit'!$C$2:$AK$440,'All Girls &amp; Descendants - Edit'!X$1,FALSE)))</f>
        <v xml:space="preserve"> - </v>
      </c>
      <c r="Y291" s="3" t="str">
        <f>IF(VLOOKUP($C291,'All Girls &amp; Descendants - Edit'!$C$2:$AK$440,'All Girls &amp; Descendants - Edit'!Y$1,FALSE)=""," - ",(VLOOKUP($C291,'All Girls &amp; Descendants - Edit'!$C$2:$AK$440,'All Girls &amp; Descendants - Edit'!Y$1,FALSE)))</f>
        <v xml:space="preserve"> - </v>
      </c>
      <c r="Z291" s="3" t="str">
        <f>IF(VLOOKUP($C291,'All Girls &amp; Descendants - Edit'!$C$2:$AK$440,'All Girls &amp; Descendants - Edit'!Z$1,FALSE)=""," - ",(VLOOKUP($C291,'All Girls &amp; Descendants - Edit'!$C$2:$AK$440,'All Girls &amp; Descendants - Edit'!Z$1,FALSE)))</f>
        <v xml:space="preserve"> - </v>
      </c>
      <c r="AA291" s="101">
        <f>IF(VLOOKUP($C291,'All Girls &amp; Descendants - Edit'!$C$2:$AK$440,'All Girls &amp; Descendants - Edit'!AA$1,FALSE)=""," - ",(VLOOKUP($C291,'All Girls &amp; Descendants - Edit'!$C$2:$AK$440,'All Girls &amp; Descendants - Edit'!AA$1,FALSE)))</f>
        <v>350</v>
      </c>
      <c r="AB291" s="101">
        <f>IF(VLOOKUP($C291,'All Girls &amp; Descendants - Edit'!$C$2:$AK$440,'All Girls &amp; Descendants - Edit'!AB$1,FALSE)=""," - ",(VLOOKUP($C291,'All Girls &amp; Descendants - Edit'!$C$2:$AK$440,'All Girls &amp; Descendants - Edit'!AB$1,FALSE)))</f>
        <v>148</v>
      </c>
      <c r="AC291" s="101">
        <f>IF(VLOOKUP($C291,'All Girls &amp; Descendants - Edit'!$C$2:$AK$440,'All Girls &amp; Descendants - Edit'!AC$1,FALSE)=""," - ",(VLOOKUP($C291,'All Girls &amp; Descendants - Edit'!$C$2:$AK$440,'All Girls &amp; Descendants - Edit'!AC$1,FALSE)))</f>
        <v>2148</v>
      </c>
      <c r="AD291" s="3" t="str">
        <f>IF(VLOOKUP($C291,'All Girls &amp; Descendants - Edit'!$C$2:$AK$440,'All Girls &amp; Descendants - Edit'!AD$1,FALSE)=""," - ",(VLOOKUP($C291,'All Girls &amp; Descendants - Edit'!$C$2:$AK$440,'All Girls &amp; Descendants - Edit'!AD$1,FALSE)))</f>
        <v>143aa</v>
      </c>
      <c r="AE291" s="3" t="str">
        <f>IF(VLOOKUP($C291,'All Girls &amp; Descendants - Edit'!$C$2:$AK$440,'All Girls &amp; Descendants - Edit'!AE$1,FALSE)=""," - ",(VLOOKUP($C291,'All Girls &amp; Descendants - Edit'!$C$2:$AK$440,'All Girls &amp; Descendants - Edit'!AE$1,FALSE)))</f>
        <v>Alice Isla  RUSSELL-STONEHAM (2020 - )</v>
      </c>
      <c r="AF291" s="3" t="str">
        <f>IF(VLOOKUP($C291,'All Girls &amp; Descendants - Edit'!$C$2:$AK$440,'All Girls &amp; Descendants - Edit'!AF$1,FALSE)=""," - ",(VLOOKUP($C291,'All Girls &amp; Descendants - Edit'!$C$2:$AK$440,'All Girls &amp; Descendants - Edit'!AF$1,FALSE)))</f>
        <v>Alice RUSSELL-STONEHAM (8th &amp; 143)</v>
      </c>
      <c r="AG291" s="3" t="str">
        <f>IF(VLOOKUP($C291,'All Girls &amp; Descendants - Edit'!$C$2:$AK$440,'All Girls &amp; Descendants - Edit'!AG$1,FALSE)=""," - ",(VLOOKUP($C291,'All Girls &amp; Descendants - Edit'!$C$2:$AK$440,'All Girls &amp; Descendants - Edit'!AG$1,FALSE)))</f>
        <v>Female</v>
      </c>
      <c r="AH291" s="3" t="str">
        <f>IF(VLOOKUP($C291,'All Girls &amp; Descendants - Edit'!$C$2:$AK$440,'All Girls &amp; Descendants - Edit'!AH$1,FALSE)=""," - ",(VLOOKUP($C291,'All Girls &amp; Descendants - Edit'!$C$2:$AK$440,'All Girls &amp; Descendants - Edit'!AH$1,FALSE)))</f>
        <v>8th</v>
      </c>
      <c r="AI291" s="3" t="str">
        <f>IF(VLOOKUP($C291,'All Girls &amp; Descendants - Edit'!$C$2:$AK$440,'All Girls &amp; Descendants - Edit'!AI$1,FALSE)=""," - ",(VLOOKUP($C291,'All Girls &amp; Descendants - Edit'!$C$2:$AK$440,'All Girls &amp; Descendants - Edit'!AI$1,FALSE)))</f>
        <v>Unmarried</v>
      </c>
      <c r="AJ291" s="3" t="str">
        <f>IF(VLOOKUP($C291,'All Girls &amp; Descendants - Edit'!$C$2:$AK$440,'All Girls &amp; Descendants - Edit'!AJ$1,FALSE)=""," - ",(VLOOKUP($C291,'All Girls &amp; Descendants - Edit'!$C$2:$AK$440,'All Girls &amp; Descendants - Edit'!AJ$1,FALSE)))</f>
        <v>Female. b. 21/10/2020</v>
      </c>
      <c r="AK291" s="3" t="str">
        <f>IF(VLOOKUP($C291,'All Girls &amp; Descendants - Edit'!$C$2:$AK$440,'All Girls &amp; Descendants - Edit'!AK$1,FALSE)=""," - ",(VLOOKUP($C291,'All Girls &amp; Descendants - Edit'!$C$2:$AK$440,'All Girls &amp; Descendants - Edit'!AK$1,FALSE)))</f>
        <v>b. 21/10/2020</v>
      </c>
    </row>
    <row r="292" spans="1:37" ht="19">
      <c r="A292">
        <f>VLOOKUP(B292,'Loyd List 1-190 - Edit'!$P$1:$R$219,3,FALSE)</f>
        <v>1</v>
      </c>
      <c r="B292">
        <f>'All Girls &amp; Descendants - Edit'!B293</f>
        <v>2</v>
      </c>
      <c r="C292" s="98" t="str">
        <f>'All Girls &amp; Descendants - Edit'!C293</f>
        <v>2aaa</v>
      </c>
      <c r="D292" s="2" t="str">
        <f>'All Girls &amp; Descendants - Edit'!D293</f>
        <v>DAVIES</v>
      </c>
      <c r="E292" t="str">
        <f>'All Girls &amp; Descendants - Edit'!E293</f>
        <v>William</v>
      </c>
      <c r="F292" t="str">
        <f>IF('All Girls &amp; Descendants - Edit'!F293="","",'All Girls &amp; Descendants - Edit'!F293)</f>
        <v/>
      </c>
      <c r="G292" t="str">
        <f>IF('All Girls &amp; Descendants - Edit'!G293="","",'All Girls &amp; Descendants - Edit'!G293)</f>
        <v/>
      </c>
      <c r="H292" t="str">
        <f>IF('All Girls &amp; Descendants - Edit'!H293="","",'All Girls &amp; Descendants - Edit'!H293)</f>
        <v/>
      </c>
      <c r="I292" t="str">
        <f>VLOOKUP($C292,'All Girls &amp; Descendants - Edit'!$C$2:$AK$440,'All Girls &amp; Descendants - Edit'!I$1,FALSE)</f>
        <v>1860/61</v>
      </c>
      <c r="J292">
        <f>VLOOKUP($C292,'All Girls &amp; Descendants - Edit'!$C$2:$AK$440,'All Girls &amp; Descendants - Edit'!J$1,FALSE)</f>
        <v>1943</v>
      </c>
      <c r="K292" s="9"/>
      <c r="L292" t="str">
        <f t="shared" si="32"/>
        <v>1860 or 61</v>
      </c>
      <c r="M292" s="3" t="str">
        <f>VLOOKUP($C292,'All Girls &amp; Descendants - Edit'!$C$2:$AK$440,'All Girls &amp; Descendants - Edit'!M$1,FALSE)</f>
        <v>1860 or 61</v>
      </c>
      <c r="N292" s="3" t="str">
        <f>IF(VLOOKUP($C292,'All Girls &amp; Descendants - Edit'!$C$2:$AK$440,'All Girls &amp; Descendants - Edit'!N$1,FALSE)=""," - ",(VLOOKUP($C292,'All Girls &amp; Descendants - Edit'!$C$2:$AK$440,'All Girls &amp; Descendants - Edit'!N$1,FALSE)))</f>
        <v xml:space="preserve"> - </v>
      </c>
      <c r="O292" s="3">
        <f>IF(VLOOKUP($C292,'All Girls &amp; Descendants - Edit'!$C$2:$AK$440,'All Girls &amp; Descendants - Edit'!O$1,FALSE)="","",(VLOOKUP($C292,'All Girls &amp; Descendants - Edit'!$C$2:$AK$440,'All Girls &amp; Descendants - Edit'!O$1,FALSE)))</f>
        <v>15847</v>
      </c>
      <c r="P292" s="3" t="str">
        <f t="shared" si="33"/>
        <v>21/05/1943</v>
      </c>
      <c r="Q292" s="178" t="str">
        <f t="shared" si="34"/>
        <v>2aa</v>
      </c>
      <c r="R292" s="23"/>
      <c r="S292" t="str">
        <f>VLOOKUP($C292,'All Girls &amp; Descendants - Edit'!$C$2:$AK$440,'All Girls &amp; Descendants - Edit'!S$1,FALSE)</f>
        <v>Male</v>
      </c>
      <c r="T292" s="176">
        <f t="shared" si="31"/>
        <v>4</v>
      </c>
      <c r="U292" s="176">
        <f t="shared" si="35"/>
        <v>4</v>
      </c>
      <c r="V292" s="176">
        <f t="shared" si="36"/>
        <v>1</v>
      </c>
      <c r="W292" s="177">
        <f t="shared" si="37"/>
        <v>3</v>
      </c>
      <c r="X292" s="3" t="str">
        <f>IF(VLOOKUP($C292,'All Girls &amp; Descendants - Edit'!$C$2:$AK$440,'All Girls &amp; Descendants - Edit'!X$1,FALSE)=""," - ",(VLOOKUP($C292,'All Girls &amp; Descendants - Edit'!$C$2:$AK$440,'All Girls &amp; Descendants - Edit'!X$1,FALSE)))</f>
        <v>Elizabeth (b. 1859/60, d. 21/05/1940)</v>
      </c>
      <c r="Y292" s="3" t="str">
        <f>IF(VLOOKUP($C292,'All Girls &amp; Descendants - Edit'!$C$2:$AK$440,'All Girls &amp; Descendants - Edit'!Y$1,FALSE)=""," - ",(VLOOKUP($C292,'All Girls &amp; Descendants - Edit'!$C$2:$AK$440,'All Girls &amp; Descendants - Edit'!Y$1,FALSE)))</f>
        <v>Elizabeth  buried in Cilycwm cemetry</v>
      </c>
      <c r="Z292" s="3" t="str">
        <f>IF(VLOOKUP($C292,'All Girls &amp; Descendants - Edit'!$C$2:$AK$440,'All Girls &amp; Descendants - Edit'!Z$1,FALSE)=""," - ",(VLOOKUP($C292,'All Girls &amp; Descendants - Edit'!$C$2:$AK$440,'All Girls &amp; Descendants - Edit'!Z$1,FALSE)))</f>
        <v>William DAVIES (another son), tenant of Glangwenlais Farm, Cilycwm, and later of Bryngwenlais Farm, Cilycwm.</v>
      </c>
      <c r="AA292" s="101">
        <f>IF(VLOOKUP($C292,'All Girls &amp; Descendants - Edit'!$C$2:$AK$440,'All Girls &amp; Descendants - Edit'!AA$1,FALSE)=""," - ",(VLOOKUP($C292,'All Girls &amp; Descendants - Edit'!$C$2:$AK$440,'All Girls &amp; Descendants - Edit'!AA$1,FALSE)))</f>
        <v>3</v>
      </c>
      <c r="AB292" s="101">
        <f>IF(VLOOKUP($C292,'All Girls &amp; Descendants - Edit'!$C$2:$AK$440,'All Girls &amp; Descendants - Edit'!AB$1,FALSE)=""," - ",(VLOOKUP($C292,'All Girls &amp; Descendants - Edit'!$C$2:$AK$440,'All Girls &amp; Descendants - Edit'!AB$1,FALSE)))</f>
        <v>1</v>
      </c>
      <c r="AC292" s="101">
        <f>IF(VLOOKUP($C292,'All Girls &amp; Descendants - Edit'!$C$2:$AK$440,'All Girls &amp; Descendants - Edit'!AC$1,FALSE)=""," - ",(VLOOKUP($C292,'All Girls &amp; Descendants - Edit'!$C$2:$AK$440,'All Girls &amp; Descendants - Edit'!AC$1,FALSE)))</f>
        <v>3001</v>
      </c>
      <c r="AD292" s="3" t="str">
        <f>IF(VLOOKUP($C292,'All Girls &amp; Descendants - Edit'!$C$2:$AK$440,'All Girls &amp; Descendants - Edit'!AD$1,FALSE)=""," - ",(VLOOKUP($C292,'All Girls &amp; Descendants - Edit'!$C$2:$AK$440,'All Girls &amp; Descendants - Edit'!AD$1,FALSE)))</f>
        <v>2aaa</v>
      </c>
      <c r="AE292" s="3" t="str">
        <f>IF(VLOOKUP($C292,'All Girls &amp; Descendants - Edit'!$C$2:$AK$440,'All Girls &amp; Descendants - Edit'!AE$1,FALSE)=""," - ",(VLOOKUP($C292,'All Girls &amp; Descendants - Edit'!$C$2:$AK$440,'All Girls &amp; Descendants - Edit'!AE$1,FALSE)))</f>
        <v>William   DAVIES (1860/61 - 1943)</v>
      </c>
      <c r="AF292" s="3" t="str">
        <f>IF(VLOOKUP($C292,'All Girls &amp; Descendants - Edit'!$C$2:$AK$440,'All Girls &amp; Descendants - Edit'!AF$1,FALSE)=""," - ",(VLOOKUP($C292,'All Girls &amp; Descendants - Edit'!$C$2:$AK$440,'All Girls &amp; Descendants - Edit'!AF$1,FALSE)))</f>
        <v>William DAVIES (4th &amp; 2)</v>
      </c>
      <c r="AG292" s="3" t="str">
        <f>IF(VLOOKUP($C292,'All Girls &amp; Descendants - Edit'!$C$2:$AK$440,'All Girls &amp; Descendants - Edit'!AG$1,FALSE)=""," - ",(VLOOKUP($C292,'All Girls &amp; Descendants - Edit'!$C$2:$AK$440,'All Girls &amp; Descendants - Edit'!AG$1,FALSE)))</f>
        <v>Male</v>
      </c>
      <c r="AH292" s="3" t="str">
        <f>IF(VLOOKUP($C292,'All Girls &amp; Descendants - Edit'!$C$2:$AK$440,'All Girls &amp; Descendants - Edit'!AH$1,FALSE)=""," - ",(VLOOKUP($C292,'All Girls &amp; Descendants - Edit'!$C$2:$AK$440,'All Girls &amp; Descendants - Edit'!AH$1,FALSE)))</f>
        <v>4th</v>
      </c>
      <c r="AI292" s="3" t="str">
        <f>IF(VLOOKUP($C292,'All Girls &amp; Descendants - Edit'!$C$2:$AK$440,'All Girls &amp; Descendants - Edit'!AI$1,FALSE)=""," - ",(VLOOKUP($C292,'All Girls &amp; Descendants - Edit'!$C$2:$AK$440,'All Girls &amp; Descendants - Edit'!AI$1,FALSE)))</f>
        <v>Unmarried</v>
      </c>
      <c r="AJ292" s="3" t="str">
        <f>IF(VLOOKUP($C292,'All Girls &amp; Descendants - Edit'!$C$2:$AK$440,'All Girls &amp; Descendants - Edit'!AJ$1,FALSE)=""," - ",(VLOOKUP($C292,'All Girls &amp; Descendants - Edit'!$C$2:$AK$440,'All Girls &amp; Descendants - Edit'!AJ$1,FALSE)))</f>
        <v>Male. b. 1860 or 61, d. 21/05/1943. William DAVIES (another son), tenant of Glangwenlais Farm, Cilycwm, and later of Bryngwenlais Farm, Cilycwm.</v>
      </c>
      <c r="AK292" s="3" t="str">
        <f>IF(VLOOKUP($C292,'All Girls &amp; Descendants - Edit'!$C$2:$AK$440,'All Girls &amp; Descendants - Edit'!AK$1,FALSE)=""," - ",(VLOOKUP($C292,'All Girls &amp; Descendants - Edit'!$C$2:$AK$440,'All Girls &amp; Descendants - Edit'!AK$1,FALSE)))</f>
        <v>b. 1860 or 61, d. 21/05/1943.</v>
      </c>
    </row>
    <row r="293" spans="1:37" ht="19">
      <c r="A293">
        <f>VLOOKUP(B293,'Loyd List 1-190 - Edit'!$P$1:$R$219,3,FALSE)</f>
        <v>1</v>
      </c>
      <c r="B293">
        <f>'All Girls &amp; Descendants - Edit'!B294</f>
        <v>2</v>
      </c>
      <c r="C293" s="98" t="str">
        <f>'All Girls &amp; Descendants - Edit'!C294</f>
        <v>2caa</v>
      </c>
      <c r="D293" s="2" t="str">
        <f>'All Girls &amp; Descendants - Edit'!D294</f>
        <v>PROTHEROE</v>
      </c>
      <c r="E293" t="str">
        <f>'All Girls &amp; Descendants - Edit'!E294</f>
        <v>The REV Roderick</v>
      </c>
      <c r="F293" t="str">
        <f>IF('All Girls &amp; Descendants - Edit'!F294="","",'All Girls &amp; Descendants - Edit'!F294)</f>
        <v>Loyd</v>
      </c>
      <c r="G293" t="str">
        <f>IF('All Girls &amp; Descendants - Edit'!G294="","",'All Girls &amp; Descendants - Edit'!G294)</f>
        <v/>
      </c>
      <c r="H293" t="str">
        <f>IF('All Girls &amp; Descendants - Edit'!H294="","",'All Girls &amp; Descendants - Edit'!H294)</f>
        <v/>
      </c>
      <c r="I293">
        <f>VLOOKUP($C293,'All Girls &amp; Descendants - Edit'!$C$2:$AK$440,'All Girls &amp; Descendants - Edit'!I$1,FALSE)</f>
        <v>1852</v>
      </c>
      <c r="J293">
        <f>VLOOKUP($C293,'All Girls &amp; Descendants - Edit'!$C$2:$AK$440,'All Girls &amp; Descendants - Edit'!J$1,FALSE)</f>
        <v>1905</v>
      </c>
      <c r="K293" s="9"/>
      <c r="L293" t="str">
        <f t="shared" si="32"/>
        <v>25/01/1905</v>
      </c>
      <c r="M293" s="3" t="str">
        <f>VLOOKUP($C293,'All Girls &amp; Descendants - Edit'!$C$2:$AK$440,'All Girls &amp; Descendants - Edit'!M$1,FALSE)</f>
        <v>1852</v>
      </c>
      <c r="N293" s="3" t="str">
        <f>IF(VLOOKUP($C293,'All Girls &amp; Descendants - Edit'!$C$2:$AK$440,'All Girls &amp; Descendants - Edit'!N$1,FALSE)=""," - ",(VLOOKUP($C293,'All Girls &amp; Descendants - Edit'!$C$2:$AK$440,'All Girls &amp; Descendants - Edit'!N$1,FALSE)))</f>
        <v xml:space="preserve"> - </v>
      </c>
      <c r="O293" s="3" t="str">
        <f>IF(VLOOKUP($C293,'All Girls &amp; Descendants - Edit'!$C$2:$AK$440,'All Girls &amp; Descendants - Edit'!O$1,FALSE)="","",(VLOOKUP($C293,'All Girls &amp; Descendants - Edit'!$C$2:$AK$440,'All Girls &amp; Descendants - Edit'!O$1,FALSE)))</f>
        <v>1894</v>
      </c>
      <c r="P293" s="3" t="str">
        <f t="shared" si="33"/>
        <v>08/03/1905</v>
      </c>
      <c r="Q293" s="178" t="str">
        <f t="shared" si="34"/>
        <v>2ca</v>
      </c>
      <c r="R293" s="23"/>
      <c r="S293" t="str">
        <f>VLOOKUP($C293,'All Girls &amp; Descendants - Edit'!$C$2:$AK$440,'All Girls &amp; Descendants - Edit'!S$1,FALSE)</f>
        <v>Male</v>
      </c>
      <c r="T293" s="176">
        <f t="shared" si="31"/>
        <v>4</v>
      </c>
      <c r="U293" s="176">
        <f t="shared" si="35"/>
        <v>4</v>
      </c>
      <c r="V293" s="176">
        <f t="shared" si="36"/>
        <v>1</v>
      </c>
      <c r="W293" s="177">
        <f t="shared" si="37"/>
        <v>3</v>
      </c>
      <c r="X293" s="3" t="str">
        <f>IF(VLOOKUP($C293,'All Girls &amp; Descendants - Edit'!$C$2:$AK$440,'All Girls &amp; Descendants - Edit'!X$1,FALSE)=""," - ",(VLOOKUP($C293,'All Girls &amp; Descendants - Edit'!$C$2:$AK$440,'All Girls &amp; Descendants - Edit'!X$1,FALSE)))</f>
        <v xml:space="preserve"> - </v>
      </c>
      <c r="Y293" s="3" t="str">
        <f>IF(VLOOKUP($C293,'All Girls &amp; Descendants - Edit'!$C$2:$AK$440,'All Girls &amp; Descendants - Edit'!Y$1,FALSE)=""," - ",(VLOOKUP($C293,'All Girls &amp; Descendants - Edit'!$C$2:$AK$440,'All Girls &amp; Descendants - Edit'!Y$1,FALSE)))</f>
        <v xml:space="preserve"> - </v>
      </c>
      <c r="Z293" s="3" t="str">
        <f>IF(VLOOKUP($C293,'All Girls &amp; Descendants - Edit'!$C$2:$AK$440,'All Girls &amp; Descendants - Edit'!Z$1,FALSE)=""," - ",(VLOOKUP($C293,'All Girls &amp; Descendants - Edit'!$C$2:$AK$440,'All Girls &amp; Descendants - Edit'!Z$1,FALSE)))</f>
        <v>Educated Society of the Divine Passion, Lampeter (BA Theology 1875). Deacon 1875. Priest 1876. Curate of Penmorfa 1875-77. Curate of Machynlleth, Montgomeryshire 1877-89. Rector of Penstrowed 1889-94. d. 1894. The inclusion of the name ‘Loyd’ as a Christian name was probably in recognition of the money left by Thomas LOYD (1775-1853) in his will to the issue of his sister, Jane, which enabled the two brothers to be educated for the Church.</v>
      </c>
      <c r="AA293" s="101">
        <f>IF(VLOOKUP($C293,'All Girls &amp; Descendants - Edit'!$C$2:$AK$440,'All Girls &amp; Descendants - Edit'!AA$1,FALSE)=""," - ",(VLOOKUP($C293,'All Girls &amp; Descendants - Edit'!$C$2:$AK$440,'All Girls &amp; Descendants - Edit'!AA$1,FALSE)))</f>
        <v>8</v>
      </c>
      <c r="AB293" s="101">
        <f>IF(VLOOKUP($C293,'All Girls &amp; Descendants - Edit'!$C$2:$AK$440,'All Girls &amp; Descendants - Edit'!AB$1,FALSE)=""," - ",(VLOOKUP($C293,'All Girls &amp; Descendants - Edit'!$C$2:$AK$440,'All Girls &amp; Descendants - Edit'!AB$1,FALSE)))</f>
        <v>2</v>
      </c>
      <c r="AC293" s="101">
        <f>IF(VLOOKUP($C293,'All Girls &amp; Descendants - Edit'!$C$2:$AK$440,'All Girls &amp; Descendants - Edit'!AC$1,FALSE)=""," - ",(VLOOKUP($C293,'All Girls &amp; Descendants - Edit'!$C$2:$AK$440,'All Girls &amp; Descendants - Edit'!AC$1,FALSE)))</f>
        <v>3002</v>
      </c>
      <c r="AD293" s="3" t="str">
        <f>IF(VLOOKUP($C293,'All Girls &amp; Descendants - Edit'!$C$2:$AK$440,'All Girls &amp; Descendants - Edit'!AD$1,FALSE)=""," - ",(VLOOKUP($C293,'All Girls &amp; Descendants - Edit'!$C$2:$AK$440,'All Girls &amp; Descendants - Edit'!AD$1,FALSE)))</f>
        <v>2caa</v>
      </c>
      <c r="AE293" s="3" t="str">
        <f>IF(VLOOKUP($C293,'All Girls &amp; Descendants - Edit'!$C$2:$AK$440,'All Girls &amp; Descendants - Edit'!AE$1,FALSE)=""," - ",(VLOOKUP($C293,'All Girls &amp; Descendants - Edit'!$C$2:$AK$440,'All Girls &amp; Descendants - Edit'!AE$1,FALSE)))</f>
        <v>The REV Roderick Loyd  PROTHEROE (1852 - 1905)</v>
      </c>
      <c r="AF293" s="3" t="str">
        <f>IF(VLOOKUP($C293,'All Girls &amp; Descendants - Edit'!$C$2:$AK$440,'All Girls &amp; Descendants - Edit'!AF$1,FALSE)=""," - ",(VLOOKUP($C293,'All Girls &amp; Descendants - Edit'!$C$2:$AK$440,'All Girls &amp; Descendants - Edit'!AF$1,FALSE)))</f>
        <v>The REV Roderick PROTHEROE (4th &amp; 2)</v>
      </c>
      <c r="AG293" s="3" t="str">
        <f>IF(VLOOKUP($C293,'All Girls &amp; Descendants - Edit'!$C$2:$AK$440,'All Girls &amp; Descendants - Edit'!AG$1,FALSE)=""," - ",(VLOOKUP($C293,'All Girls &amp; Descendants - Edit'!$C$2:$AK$440,'All Girls &amp; Descendants - Edit'!AG$1,FALSE)))</f>
        <v>Male</v>
      </c>
      <c r="AH293" s="3" t="str">
        <f>IF(VLOOKUP($C293,'All Girls &amp; Descendants - Edit'!$C$2:$AK$440,'All Girls &amp; Descendants - Edit'!AH$1,FALSE)=""," - ",(VLOOKUP($C293,'All Girls &amp; Descendants - Edit'!$C$2:$AK$440,'All Girls &amp; Descendants - Edit'!AH$1,FALSE)))</f>
        <v>4th</v>
      </c>
      <c r="AI293" s="3" t="str">
        <f>IF(VLOOKUP($C293,'All Girls &amp; Descendants - Edit'!$C$2:$AK$440,'All Girls &amp; Descendants - Edit'!AI$1,FALSE)=""," - ",(VLOOKUP($C293,'All Girls &amp; Descendants - Edit'!$C$2:$AK$440,'All Girls &amp; Descendants - Edit'!AI$1,FALSE)))</f>
        <v>Unmarried</v>
      </c>
      <c r="AJ293" s="3" t="str">
        <f>IF(VLOOKUP($C293,'All Girls &amp; Descendants - Edit'!$C$2:$AK$440,'All Girls &amp; Descendants - Edit'!AJ$1,FALSE)=""," - ",(VLOOKUP($C293,'All Girls &amp; Descendants - Edit'!$C$2:$AK$440,'All Girls &amp; Descendants - Edit'!AJ$1,FALSE)))</f>
        <v>Male. b. 1852, d. 1894. Educated Society of the Divine Passion, Lampeter (BA Theology 1875). Deacon 1875. Priest 1876. Curate of Penmorfa 1875-77. Curate of Machynlleth, Montgomeryshire 1877-89. Rector of Penstrowed 1889-94. d. 1894. The inclusion of the name ‘Loyd’ as a Christian name was probably in recognition of the money left by Thomas LOYD (1775-1853) in his will to the issue of his sister, Jane, which enabled the two brothers to be educated for the Church.</v>
      </c>
      <c r="AK293" s="3" t="str">
        <f>IF(VLOOKUP($C293,'All Girls &amp; Descendants - Edit'!$C$2:$AK$440,'All Girls &amp; Descendants - Edit'!AK$1,FALSE)=""," - ",(VLOOKUP($C293,'All Girls &amp; Descendants - Edit'!$C$2:$AK$440,'All Girls &amp; Descendants - Edit'!AK$1,FALSE)))</f>
        <v>b. 1852, d. 1894.</v>
      </c>
    </row>
    <row r="294" spans="1:37" ht="19">
      <c r="A294">
        <f>VLOOKUP(B294,'Loyd List 1-190 - Edit'!$P$1:$R$219,3,FALSE)</f>
        <v>1</v>
      </c>
      <c r="B294">
        <f>'All Girls &amp; Descendants - Edit'!B295</f>
        <v>2</v>
      </c>
      <c r="C294" s="98" t="str">
        <f>'All Girls &amp; Descendants - Edit'!C295</f>
        <v>2cab</v>
      </c>
      <c r="D294" s="2" t="str">
        <f>'All Girls &amp; Descendants - Edit'!D295</f>
        <v>PROTHEROE</v>
      </c>
      <c r="E294" t="str">
        <f>'All Girls &amp; Descendants - Edit'!E295</f>
        <v>The REV William</v>
      </c>
      <c r="F294" t="str">
        <f>IF('All Girls &amp; Descendants - Edit'!F295="","",'All Girls &amp; Descendants - Edit'!F295)</f>
        <v>Loyd</v>
      </c>
      <c r="G294" t="str">
        <f>IF('All Girls &amp; Descendants - Edit'!G295="","",'All Girls &amp; Descendants - Edit'!G295)</f>
        <v/>
      </c>
      <c r="H294" t="str">
        <f>IF('All Girls &amp; Descendants - Edit'!H295="","",'All Girls &amp; Descendants - Edit'!H295)</f>
        <v/>
      </c>
      <c r="I294">
        <f>VLOOKUP($C294,'All Girls &amp; Descendants - Edit'!$C$2:$AK$440,'All Girls &amp; Descendants - Edit'!I$1,FALSE)</f>
        <v>1855</v>
      </c>
      <c r="J294" t="str">
        <f>VLOOKUP($C294,'All Girls &amp; Descendants - Edit'!$C$2:$AK$440,'All Girls &amp; Descendants - Edit'!J$1,FALSE)</f>
        <v>1915</v>
      </c>
      <c r="K294" s="9"/>
      <c r="L294" t="str">
        <f t="shared" si="32"/>
        <v>10/03/1855</v>
      </c>
      <c r="M294" s="3" t="str">
        <f>VLOOKUP($C294,'All Girls &amp; Descendants - Edit'!$C$2:$AK$440,'All Girls &amp; Descendants - Edit'!M$1,FALSE)</f>
        <v>10/03/1855</v>
      </c>
      <c r="N294" s="3" t="str">
        <f>IF(VLOOKUP($C294,'All Girls &amp; Descendants - Edit'!$C$2:$AK$440,'All Girls &amp; Descendants - Edit'!N$1,FALSE)=""," - ",(VLOOKUP($C294,'All Girls &amp; Descendants - Edit'!$C$2:$AK$440,'All Girls &amp; Descendants - Edit'!N$1,FALSE)))</f>
        <v>07/02/1884</v>
      </c>
      <c r="O294" s="3" t="str">
        <f>IF(VLOOKUP($C294,'All Girls &amp; Descendants - Edit'!$C$2:$AK$440,'All Girls &amp; Descendants - Edit'!O$1,FALSE)="","",(VLOOKUP($C294,'All Girls &amp; Descendants - Edit'!$C$2:$AK$440,'All Girls &amp; Descendants - Edit'!O$1,FALSE)))</f>
        <v>1915</v>
      </c>
      <c r="P294" s="3" t="str">
        <f t="shared" si="33"/>
        <v>29/03/1905</v>
      </c>
      <c r="Q294" s="178" t="str">
        <f t="shared" si="34"/>
        <v>2ca</v>
      </c>
      <c r="R294" s="23"/>
      <c r="S294" t="str">
        <f>VLOOKUP($C294,'All Girls &amp; Descendants - Edit'!$C$2:$AK$440,'All Girls &amp; Descendants - Edit'!S$1,FALSE)</f>
        <v>Male</v>
      </c>
      <c r="T294" s="176">
        <f t="shared" si="31"/>
        <v>4</v>
      </c>
      <c r="U294" s="176">
        <f t="shared" si="35"/>
        <v>4</v>
      </c>
      <c r="V294" s="176">
        <f t="shared" si="36"/>
        <v>1</v>
      </c>
      <c r="W294" s="177">
        <f t="shared" si="37"/>
        <v>3</v>
      </c>
      <c r="X294" s="3" t="str">
        <f>IF(VLOOKUP($C294,'All Girls &amp; Descendants - Edit'!$C$2:$AK$440,'All Girls &amp; Descendants - Edit'!X$1,FALSE)=""," - ",(VLOOKUP($C294,'All Girls &amp; Descendants - Edit'!$C$2:$AK$440,'All Girls &amp; Descendants - Edit'!X$1,FALSE)))</f>
        <v>Alice Laura MUSGRAVE (b. 23/12/1861, d. 1928)</v>
      </c>
      <c r="Y294" s="3" t="str">
        <f>IF(VLOOKUP($C294,'All Girls &amp; Descendants - Edit'!$C$2:$AK$440,'All Girls &amp; Descendants - Edit'!Y$1,FALSE)=""," - ",(VLOOKUP($C294,'All Girls &amp; Descendants - Edit'!$C$2:$AK$440,'All Girls &amp; Descendants - Edit'!Y$1,FALSE)))</f>
        <v>Alice daughter of Francis MUSGRAVE. Married at Mold, Flint.</v>
      </c>
      <c r="Z294" s="3" t="str">
        <f>IF(VLOOKUP($C294,'All Girls &amp; Descendants - Edit'!$C$2:$AK$440,'All Girls &amp; Descendants - Edit'!Z$1,FALSE)=""," - ",(VLOOKUP($C294,'All Girls &amp; Descendants - Edit'!$C$2:$AK$440,'All Girls &amp; Descendants - Edit'!Z$1,FALSE)))</f>
        <v>Born at Stone Street, Llandovery. Educated Society of the Divine Passion, Lampeter (Scholar and Exhibitioner, BA 1879). Deacon 1879. Priest 1881. Curate of Mold 1879-84. Vicar of Pont-Bleiddyn, Mold 1884-89. Vicar of Llanasa, Holywell 1889-1915. The inclusion of the name ‘Loyd’ as a Christian name was probably in recognition of the money left by Thomas LOYD (1775-1853) in his will to the issue of his sister, Jane, which enabled the two brothers to be educated for the Church.</v>
      </c>
      <c r="AA294" s="101">
        <f>IF(VLOOKUP($C294,'All Girls &amp; Descendants - Edit'!$C$2:$AK$440,'All Girls &amp; Descendants - Edit'!AA$1,FALSE)=""," - ",(VLOOKUP($C294,'All Girls &amp; Descendants - Edit'!$C$2:$AK$440,'All Girls &amp; Descendants - Edit'!AA$1,FALSE)))</f>
        <v>9</v>
      </c>
      <c r="AB294" s="101">
        <f>IF(VLOOKUP($C294,'All Girls &amp; Descendants - Edit'!$C$2:$AK$440,'All Girls &amp; Descendants - Edit'!AB$1,FALSE)=""," - ",(VLOOKUP($C294,'All Girls &amp; Descendants - Edit'!$C$2:$AK$440,'All Girls &amp; Descendants - Edit'!AB$1,FALSE)))</f>
        <v>3</v>
      </c>
      <c r="AC294" s="101">
        <f>IF(VLOOKUP($C294,'All Girls &amp; Descendants - Edit'!$C$2:$AK$440,'All Girls &amp; Descendants - Edit'!AC$1,FALSE)=""," - ",(VLOOKUP($C294,'All Girls &amp; Descendants - Edit'!$C$2:$AK$440,'All Girls &amp; Descendants - Edit'!AC$1,FALSE)))</f>
        <v>3003</v>
      </c>
      <c r="AD294" s="3" t="str">
        <f>IF(VLOOKUP($C294,'All Girls &amp; Descendants - Edit'!$C$2:$AK$440,'All Girls &amp; Descendants - Edit'!AD$1,FALSE)=""," - ",(VLOOKUP($C294,'All Girls &amp; Descendants - Edit'!$C$2:$AK$440,'All Girls &amp; Descendants - Edit'!AD$1,FALSE)))</f>
        <v>2cab</v>
      </c>
      <c r="AE294" s="3" t="str">
        <f>IF(VLOOKUP($C294,'All Girls &amp; Descendants - Edit'!$C$2:$AK$440,'All Girls &amp; Descendants - Edit'!AE$1,FALSE)=""," - ",(VLOOKUP($C294,'All Girls &amp; Descendants - Edit'!$C$2:$AK$440,'All Girls &amp; Descendants - Edit'!AE$1,FALSE)))</f>
        <v>The REV William Loyd  PROTHEROE (1855 - 1915)</v>
      </c>
      <c r="AF294" s="3" t="str">
        <f>IF(VLOOKUP($C294,'All Girls &amp; Descendants - Edit'!$C$2:$AK$440,'All Girls &amp; Descendants - Edit'!AF$1,FALSE)=""," - ",(VLOOKUP($C294,'All Girls &amp; Descendants - Edit'!$C$2:$AK$440,'All Girls &amp; Descendants - Edit'!AF$1,FALSE)))</f>
        <v>The REV William PROTHEROE (4th &amp; 2)</v>
      </c>
      <c r="AG294" s="3" t="str">
        <f>IF(VLOOKUP($C294,'All Girls &amp; Descendants - Edit'!$C$2:$AK$440,'All Girls &amp; Descendants - Edit'!AG$1,FALSE)=""," - ",(VLOOKUP($C294,'All Girls &amp; Descendants - Edit'!$C$2:$AK$440,'All Girls &amp; Descendants - Edit'!AG$1,FALSE)))</f>
        <v>Male</v>
      </c>
      <c r="AH294" s="3" t="str">
        <f>IF(VLOOKUP($C294,'All Girls &amp; Descendants - Edit'!$C$2:$AK$440,'All Girls &amp; Descendants - Edit'!AH$1,FALSE)=""," - ",(VLOOKUP($C294,'All Girls &amp; Descendants - Edit'!$C$2:$AK$440,'All Girls &amp; Descendants - Edit'!AH$1,FALSE)))</f>
        <v>4th</v>
      </c>
      <c r="AI294" s="3" t="str">
        <f>IF(VLOOKUP($C294,'All Girls &amp; Descendants - Edit'!$C$2:$AK$440,'All Girls &amp; Descendants - Edit'!AI$1,FALSE)=""," - ",(VLOOKUP($C294,'All Girls &amp; Descendants - Edit'!$C$2:$AK$440,'All Girls &amp; Descendants - Edit'!AI$1,FALSE)))</f>
        <v>Wife: Alice Laura MUSGRAVE (b. 23/12/1861, d. 1928). Alice daughter of Francis MUSGRAVE. Married at Mold, Flint.</v>
      </c>
      <c r="AJ294" s="3" t="str">
        <f>IF(VLOOKUP($C294,'All Girls &amp; Descendants - Edit'!$C$2:$AK$440,'All Girls &amp; Descendants - Edit'!AJ$1,FALSE)=""," - ",(VLOOKUP($C294,'All Girls &amp; Descendants - Edit'!$C$2:$AK$440,'All Girls &amp; Descendants - Edit'!AJ$1,FALSE)))</f>
        <v>Male. b. 10/03/1855, d. 1915. Born at Stone Street, Llandovery. Educated Society of the Divine Passion, Lampeter (Scholar and Exhibitioner, BA 1879). Deacon 1879. Priest 1881. Curate of Mold 1879-84. Vicar of Pont-Bleiddyn, Mold 1884-89. Vicar of Llanasa, Holywell 1889-1915. The inclusion of the name ‘Loyd’ as a Christian name was probably in recognition of the money left by Thomas LOYD (1775-1853) in his will to the issue of his sister, Jane, which enabled the two brothers to be educated for the Church.</v>
      </c>
      <c r="AK294" s="3" t="str">
        <f>IF(VLOOKUP($C294,'All Girls &amp; Descendants - Edit'!$C$2:$AK$440,'All Girls &amp; Descendants - Edit'!AK$1,FALSE)=""," - ",(VLOOKUP($C294,'All Girls &amp; Descendants - Edit'!$C$2:$AK$440,'All Girls &amp; Descendants - Edit'!AK$1,FALSE)))</f>
        <v>b. 10/03/1855, d. 1915.</v>
      </c>
    </row>
    <row r="295" spans="1:37" ht="19">
      <c r="A295">
        <f>VLOOKUP(B295,'Loyd List 1-190 - Edit'!$P$1:$R$219,3,FALSE)</f>
        <v>8</v>
      </c>
      <c r="B295">
        <f>'All Girls &amp; Descendants - Edit'!B296</f>
        <v>18</v>
      </c>
      <c r="C295" s="98" t="str">
        <f>'All Girls &amp; Descendants - Edit'!C296</f>
        <v>18bba</v>
      </c>
      <c r="D295" s="2" t="str">
        <f>'All Girls &amp; Descendants - Edit'!D296</f>
        <v>WARNER</v>
      </c>
      <c r="E295" t="str">
        <f>'All Girls &amp; Descendants - Edit'!E296</f>
        <v>Sir Edward</v>
      </c>
      <c r="F295" t="str">
        <f>IF('All Girls &amp; Descendants - Edit'!F296="","",'All Girls &amp; Descendants - Edit'!F296)</f>
        <v>Redston</v>
      </c>
      <c r="G295" t="str">
        <f>IF('All Girls &amp; Descendants - Edit'!G296="","",'All Girls &amp; Descendants - Edit'!G296)</f>
        <v/>
      </c>
      <c r="H295" t="str">
        <f>IF('All Girls &amp; Descendants - Edit'!H296="","",'All Girls &amp; Descendants - Edit'!H296)</f>
        <v/>
      </c>
      <c r="I295">
        <f>VLOOKUP($C295,'All Girls &amp; Descendants - Edit'!$C$2:$AK$440,'All Girls &amp; Descendants - Edit'!I$1,FALSE)</f>
        <v>1991</v>
      </c>
      <c r="J295">
        <f>VLOOKUP($C295,'All Girls &amp; Descendants - Edit'!$C$2:$AK$440,'All Girls &amp; Descendants - Edit'!J$1,FALSE)</f>
        <v>2002</v>
      </c>
      <c r="K295" s="9"/>
      <c r="L295" t="str">
        <f t="shared" si="32"/>
        <v>23/03/1991</v>
      </c>
      <c r="M295" s="3">
        <f>VLOOKUP($C295,'All Girls &amp; Descendants - Edit'!$C$2:$AK$440,'All Girls &amp; Descendants - Edit'!M$1,FALSE)</f>
        <v>33320</v>
      </c>
      <c r="N295" s="3">
        <f>IF(VLOOKUP($C295,'All Girls &amp; Descendants - Edit'!$C$2:$AK$440,'All Girls &amp; Descendants - Edit'!N$1,FALSE)=""," - ",(VLOOKUP($C295,'All Girls &amp; Descendants - Edit'!$C$2:$AK$440,'All Girls &amp; Descendants - Edit'!N$1,FALSE)))</f>
        <v>15845</v>
      </c>
      <c r="O295" s="3">
        <f>IF(VLOOKUP($C295,'All Girls &amp; Descendants - Edit'!$C$2:$AK$440,'All Girls &amp; Descendants - Edit'!O$1,FALSE)="","",(VLOOKUP($C295,'All Girls &amp; Descendants - Edit'!$C$2:$AK$440,'All Girls &amp; Descendants - Edit'!O$1,FALSE)))</f>
        <v>37295</v>
      </c>
      <c r="P295" s="3" t="str">
        <f t="shared" si="33"/>
        <v>08/02/2002</v>
      </c>
      <c r="Q295" s="178" t="str">
        <f t="shared" si="34"/>
        <v>18bb</v>
      </c>
      <c r="R295" s="23"/>
      <c r="S295" t="str">
        <f>VLOOKUP($C295,'All Girls &amp; Descendants - Edit'!$C$2:$AK$440,'All Girls &amp; Descendants - Edit'!S$1,FALSE)</f>
        <v>Male</v>
      </c>
      <c r="T295" s="176">
        <f t="shared" si="31"/>
        <v>5</v>
      </c>
      <c r="U295" s="176">
        <f t="shared" si="35"/>
        <v>5</v>
      </c>
      <c r="V295" s="176">
        <f t="shared" si="36"/>
        <v>2</v>
      </c>
      <c r="W295" s="177">
        <f t="shared" si="37"/>
        <v>3</v>
      </c>
      <c r="X295" s="3" t="str">
        <f>IF(VLOOKUP($C295,'All Girls &amp; Descendants - Edit'!$C$2:$AK$440,'All Girls &amp; Descendants - Edit'!X$1,FALSE)=""," - ",(VLOOKUP($C295,'All Girls &amp; Descendants - Edit'!$C$2:$AK$440,'All Girls &amp; Descendants - Edit'!X$1,FALSE)))</f>
        <v>Grizel Margaret CLERK RATTRAY (b. 09/06/1913, d. 04/11/2003)</v>
      </c>
      <c r="Y295" s="3" t="str">
        <f>IF(VLOOKUP($C295,'All Girls &amp; Descendants - Edit'!$C$2:$AK$440,'All Girls &amp; Descendants - Edit'!Y$1,FALSE)=""," - ",(VLOOKUP($C295,'All Girls &amp; Descendants - Edit'!$C$2:$AK$440,'All Girls &amp; Descendants - Edit'!Y$1,FALSE)))</f>
        <v>Married Margaret elder daughter of Colonel Paul CLERK RATTRAY of Craighall, Rattray, Perthshire at Cairo Cathedral, Grizel</v>
      </c>
      <c r="Z295" s="3" t="str">
        <f>IF(VLOOKUP($C295,'All Girls &amp; Descendants - Edit'!$C$2:$AK$440,'All Girls &amp; Descendants - Edit'!Z$1,FALSE)=""," - ",(VLOOKUP($C295,'All Girls &amp; Descendants - Edit'!$C$2:$AK$440,'All Girls &amp; Descendants - Edit'!Z$1,FALSE)))</f>
        <v xml:space="preserve">Educated Oundle and King’s College, Cambridge. Entered Foreign Office and Diplomatic Service 1935. UK Delegation to OEEC, Paris 1956-59. Minister at HM Embassy, Tokyo 1959-62. HM Ambassador, Cameroon 1963-66. UK Rep, Econ and Social Council, United Nations 1966-68. HM Ambassador, Tunisia 1968-70. OBE 1948. CMG 1955. KCMG 1965. Ashes interred St Peter &amp; St Paul, Blockley, Gloucestershire. </v>
      </c>
      <c r="AA295" s="101">
        <f>IF(VLOOKUP($C295,'All Girls &amp; Descendants - Edit'!$C$2:$AK$440,'All Girls &amp; Descendants - Edit'!AA$1,FALSE)=""," - ",(VLOOKUP($C295,'All Girls &amp; Descendants - Edit'!$C$2:$AK$440,'All Girls &amp; Descendants - Edit'!AA$1,FALSE)))</f>
        <v>27</v>
      </c>
      <c r="AB295" s="101">
        <f>IF(VLOOKUP($C295,'All Girls &amp; Descendants - Edit'!$C$2:$AK$440,'All Girls &amp; Descendants - Edit'!AB$1,FALSE)=""," - ",(VLOOKUP($C295,'All Girls &amp; Descendants - Edit'!$C$2:$AK$440,'All Girls &amp; Descendants - Edit'!AB$1,FALSE)))</f>
        <v>4</v>
      </c>
      <c r="AC295" s="101">
        <f>IF(VLOOKUP($C295,'All Girls &amp; Descendants - Edit'!$C$2:$AK$440,'All Girls &amp; Descendants - Edit'!AC$1,FALSE)=""," - ",(VLOOKUP($C295,'All Girls &amp; Descendants - Edit'!$C$2:$AK$440,'All Girls &amp; Descendants - Edit'!AC$1,FALSE)))</f>
        <v>3004</v>
      </c>
      <c r="AD295" s="3" t="str">
        <f>IF(VLOOKUP($C295,'All Girls &amp; Descendants - Edit'!$C$2:$AK$440,'All Girls &amp; Descendants - Edit'!AD$1,FALSE)=""," - ",(VLOOKUP($C295,'All Girls &amp; Descendants - Edit'!$C$2:$AK$440,'All Girls &amp; Descendants - Edit'!AD$1,FALSE)))</f>
        <v>18bba</v>
      </c>
      <c r="AE295" s="3" t="str">
        <f>IF(VLOOKUP($C295,'All Girls &amp; Descendants - Edit'!$C$2:$AK$440,'All Girls &amp; Descendants - Edit'!AE$1,FALSE)=""," - ",(VLOOKUP($C295,'All Girls &amp; Descendants - Edit'!$C$2:$AK$440,'All Girls &amp; Descendants - Edit'!AE$1,FALSE)))</f>
        <v>Sir Edward Redston  WARNER (1991 - 2002)</v>
      </c>
      <c r="AF295" s="3" t="str">
        <f>IF(VLOOKUP($C295,'All Girls &amp; Descendants - Edit'!$C$2:$AK$440,'All Girls &amp; Descendants - Edit'!AF$1,FALSE)=""," - ",(VLOOKUP($C295,'All Girls &amp; Descendants - Edit'!$C$2:$AK$440,'All Girls &amp; Descendants - Edit'!AF$1,FALSE)))</f>
        <v>Sir Edward WARNER (5th &amp; 18)</v>
      </c>
      <c r="AG295" s="3" t="str">
        <f>IF(VLOOKUP($C295,'All Girls &amp; Descendants - Edit'!$C$2:$AK$440,'All Girls &amp; Descendants - Edit'!AG$1,FALSE)=""," - ",(VLOOKUP($C295,'All Girls &amp; Descendants - Edit'!$C$2:$AK$440,'All Girls &amp; Descendants - Edit'!AG$1,FALSE)))</f>
        <v>Male</v>
      </c>
      <c r="AH295" s="3" t="str">
        <f>IF(VLOOKUP($C295,'All Girls &amp; Descendants - Edit'!$C$2:$AK$440,'All Girls &amp; Descendants - Edit'!AH$1,FALSE)=""," - ",(VLOOKUP($C295,'All Girls &amp; Descendants - Edit'!$C$2:$AK$440,'All Girls &amp; Descendants - Edit'!AH$1,FALSE)))</f>
        <v>5th</v>
      </c>
      <c r="AI295" s="3" t="str">
        <f>IF(VLOOKUP($C295,'All Girls &amp; Descendants - Edit'!$C$2:$AK$440,'All Girls &amp; Descendants - Edit'!AI$1,FALSE)=""," - ",(VLOOKUP($C295,'All Girls &amp; Descendants - Edit'!$C$2:$AK$440,'All Girls &amp; Descendants - Edit'!AI$1,FALSE)))</f>
        <v>Wife: Grizel Margaret CLERK RATTRAY (b. 09/06/1913, d. 04/11/2003). Married Margaret elder daughter of Colonel Paul CLERK RATTRAY of Craighall, Rattray, Perthshire at Cairo Cathedral, Grizel</v>
      </c>
      <c r="AJ295" s="3" t="str">
        <f>IF(VLOOKUP($C295,'All Girls &amp; Descendants - Edit'!$C$2:$AK$440,'All Girls &amp; Descendants - Edit'!AJ$1,FALSE)=""," - ",(VLOOKUP($C295,'All Girls &amp; Descendants - Edit'!$C$2:$AK$440,'All Girls &amp; Descendants - Edit'!AJ$1,FALSE)))</f>
        <v xml:space="preserve">Male. b. 23/03/1991, d. 08/02/2002. Educated Oundle and King’s College, Cambridge. Entered Foreign Office and Diplomatic Service 1935. UK Delegation to OEEC, Paris 1956-59. Minister at HM Embassy, Tokyo 1959-62. HM Ambassador, Cameroon 1963-66. UK Rep, Econ and Social Council, United Nations 1966-68. HM Ambassador, Tunisia 1968-70. OBE 1948. CMG 1955. KCMG 1965. Ashes interred St Peter &amp; St Paul, Blockley, Gloucestershire. </v>
      </c>
      <c r="AK295" s="3" t="str">
        <f>IF(VLOOKUP($C295,'All Girls &amp; Descendants - Edit'!$C$2:$AK$440,'All Girls &amp; Descendants - Edit'!AK$1,FALSE)=""," - ",(VLOOKUP($C295,'All Girls &amp; Descendants - Edit'!$C$2:$AK$440,'All Girls &amp; Descendants - Edit'!AK$1,FALSE)))</f>
        <v>b. 23/03/1991, d. 08/02/2002.</v>
      </c>
    </row>
    <row r="296" spans="1:37" ht="19">
      <c r="A296">
        <f>VLOOKUP(B296,'Loyd List 1-190 - Edit'!$P$1:$R$219,3,FALSE)</f>
        <v>8</v>
      </c>
      <c r="B296">
        <f>'All Girls &amp; Descendants - Edit'!B297</f>
        <v>18</v>
      </c>
      <c r="C296" s="98" t="str">
        <f>'All Girls &amp; Descendants - Edit'!C297</f>
        <v>18bbb</v>
      </c>
      <c r="D296" s="2" t="str">
        <f>'All Girls &amp; Descendants - Edit'!D297</f>
        <v>WARNER (later NICOL)</v>
      </c>
      <c r="E296" t="str">
        <f>'All Girls &amp; Descendants - Edit'!E297</f>
        <v>John</v>
      </c>
      <c r="F296" t="str">
        <f>IF('All Girls &amp; Descendants - Edit'!F297="","",'All Girls &amp; Descendants - Edit'!F297)</f>
        <v>Wilmot</v>
      </c>
      <c r="G296" t="str">
        <f>IF('All Girls &amp; Descendants - Edit'!G297="","",'All Girls &amp; Descendants - Edit'!G297)</f>
        <v/>
      </c>
      <c r="H296" t="str">
        <f>IF('All Girls &amp; Descendants - Edit'!H297="","",'All Girls &amp; Descendants - Edit'!H297)</f>
        <v/>
      </c>
      <c r="I296">
        <f>VLOOKUP($C296,'All Girls &amp; Descendants - Edit'!$C$2:$AK$440,'All Girls &amp; Descendants - Edit'!I$1,FALSE)</f>
        <v>1912</v>
      </c>
      <c r="J296">
        <f>VLOOKUP($C296,'All Girls &amp; Descendants - Edit'!$C$2:$AK$440,'All Girls &amp; Descendants - Edit'!J$1,FALSE)</f>
        <v>2008</v>
      </c>
      <c r="K296" s="9"/>
      <c r="L296" t="str">
        <f t="shared" si="32"/>
        <v>13/06/1912</v>
      </c>
      <c r="M296" s="3">
        <f>VLOOKUP($C296,'All Girls &amp; Descendants - Edit'!$C$2:$AK$440,'All Girls &amp; Descendants - Edit'!M$1,FALSE)</f>
        <v>4548</v>
      </c>
      <c r="N296" s="3">
        <f>IF(VLOOKUP($C296,'All Girls &amp; Descendants - Edit'!$C$2:$AK$440,'All Girls &amp; Descendants - Edit'!N$1,FALSE)=""," - ",(VLOOKUP($C296,'All Girls &amp; Descendants - Edit'!$C$2:$AK$440,'All Girls &amp; Descendants - Edit'!N$1,FALSE)))</f>
        <v>16968</v>
      </c>
      <c r="O296" s="3">
        <f>IF(VLOOKUP($C296,'All Girls &amp; Descendants - Edit'!$C$2:$AK$440,'All Girls &amp; Descendants - Edit'!O$1,FALSE)="","",(VLOOKUP($C296,'All Girls &amp; Descendants - Edit'!$C$2:$AK$440,'All Girls &amp; Descendants - Edit'!O$1,FALSE)))</f>
        <v>39720</v>
      </c>
      <c r="P296" s="3" t="str">
        <f t="shared" si="33"/>
        <v>29/09/2008</v>
      </c>
      <c r="Q296" s="178" t="str">
        <f t="shared" si="34"/>
        <v>18bb</v>
      </c>
      <c r="R296" s="23"/>
      <c r="S296" t="str">
        <f>VLOOKUP($C296,'All Girls &amp; Descendants - Edit'!$C$2:$AK$440,'All Girls &amp; Descendants - Edit'!S$1,FALSE)</f>
        <v>Male</v>
      </c>
      <c r="T296" s="176">
        <f t="shared" si="31"/>
        <v>5</v>
      </c>
      <c r="U296" s="176">
        <f t="shared" si="35"/>
        <v>5</v>
      </c>
      <c r="V296" s="176">
        <f t="shared" si="36"/>
        <v>2</v>
      </c>
      <c r="W296" s="177">
        <f t="shared" si="37"/>
        <v>3</v>
      </c>
      <c r="X296" s="3" t="str">
        <f>IF(VLOOKUP($C296,'All Girls &amp; Descendants - Edit'!$C$2:$AK$440,'All Girls &amp; Descendants - Edit'!X$1,FALSE)=""," - ",(VLOOKUP($C296,'All Girls &amp; Descendants - Edit'!$C$2:$AK$440,'All Girls &amp; Descendants - Edit'!X$1,FALSE)))</f>
        <v>Diana Neame FINN (b. 13/03/1914, d. 18/02/1991)</v>
      </c>
      <c r="Y296" s="3" t="str">
        <f>IF(VLOOKUP($C296,'All Girls &amp; Descendants - Edit'!$C$2:$AK$440,'All Girls &amp; Descendants - Edit'!Y$1,FALSE)=""," - ",(VLOOKUP($C296,'All Girls &amp; Descendants - Edit'!$C$2:$AK$440,'All Girls &amp; Descendants - Edit'!Y$1,FALSE)))</f>
        <v>Eldest daughter of Lewis FINN of Lorenden, Faversham, Kent.</v>
      </c>
      <c r="Z296" s="3" t="str">
        <f>IF(VLOOKUP($C296,'All Girls &amp; Descendants - Edit'!$C$2:$AK$440,'All Girls &amp; Descendants - Edit'!Z$1,FALSE)=""," - ",(VLOOKUP($C296,'All Girls &amp; Descendants - Edit'!$C$2:$AK$440,'All Girls &amp; Descendants - Edit'!Z$1,FALSE)))</f>
        <v>Educated Oundle and RMC Sandhurst. Changed name to NICOL on inheriting Ballogie Nov 1941. 18bbb John Nicol. Commissioned 1931, Oxfordshire and Buckinghamshire Light Infantry. Retired as Lieutenant Colonel 1946. DSO, MBE. Died  at Ballogie. Buried at Christ Church, Kincardine O’Neil.</v>
      </c>
      <c r="AA296" s="101">
        <f>IF(VLOOKUP($C296,'All Girls &amp; Descendants - Edit'!$C$2:$AK$440,'All Girls &amp; Descendants - Edit'!AA$1,FALSE)=""," - ",(VLOOKUP($C296,'All Girls &amp; Descendants - Edit'!$C$2:$AK$440,'All Girls &amp; Descendants - Edit'!AA$1,FALSE)))</f>
        <v>40</v>
      </c>
      <c r="AB296" s="101">
        <f>IF(VLOOKUP($C296,'All Girls &amp; Descendants - Edit'!$C$2:$AK$440,'All Girls &amp; Descendants - Edit'!AB$1,FALSE)=""," - ",(VLOOKUP($C296,'All Girls &amp; Descendants - Edit'!$C$2:$AK$440,'All Girls &amp; Descendants - Edit'!AB$1,FALSE)))</f>
        <v>5</v>
      </c>
      <c r="AC296" s="101">
        <f>IF(VLOOKUP($C296,'All Girls &amp; Descendants - Edit'!$C$2:$AK$440,'All Girls &amp; Descendants - Edit'!AC$1,FALSE)=""," - ",(VLOOKUP($C296,'All Girls &amp; Descendants - Edit'!$C$2:$AK$440,'All Girls &amp; Descendants - Edit'!AC$1,FALSE)))</f>
        <v>3005</v>
      </c>
      <c r="AD296" s="3" t="str">
        <f>IF(VLOOKUP($C296,'All Girls &amp; Descendants - Edit'!$C$2:$AK$440,'All Girls &amp; Descendants - Edit'!AD$1,FALSE)=""," - ",(VLOOKUP($C296,'All Girls &amp; Descendants - Edit'!$C$2:$AK$440,'All Girls &amp; Descendants - Edit'!AD$1,FALSE)))</f>
        <v>18bbb</v>
      </c>
      <c r="AE296" s="3" t="str">
        <f>IF(VLOOKUP($C296,'All Girls &amp; Descendants - Edit'!$C$2:$AK$440,'All Girls &amp; Descendants - Edit'!AE$1,FALSE)=""," - ",(VLOOKUP($C296,'All Girls &amp; Descendants - Edit'!$C$2:$AK$440,'All Girls &amp; Descendants - Edit'!AE$1,FALSE)))</f>
        <v>John Wilmot  WARNER (later NICOL) (1912 - 2008)</v>
      </c>
      <c r="AF296" s="3" t="str">
        <f>IF(VLOOKUP($C296,'All Girls &amp; Descendants - Edit'!$C$2:$AK$440,'All Girls &amp; Descendants - Edit'!AF$1,FALSE)=""," - ",(VLOOKUP($C296,'All Girls &amp; Descendants - Edit'!$C$2:$AK$440,'All Girls &amp; Descendants - Edit'!AF$1,FALSE)))</f>
        <v>John WARNER (later NICOL) (5th &amp; 18)</v>
      </c>
      <c r="AG296" s="3" t="str">
        <f>IF(VLOOKUP($C296,'All Girls &amp; Descendants - Edit'!$C$2:$AK$440,'All Girls &amp; Descendants - Edit'!AG$1,FALSE)=""," - ",(VLOOKUP($C296,'All Girls &amp; Descendants - Edit'!$C$2:$AK$440,'All Girls &amp; Descendants - Edit'!AG$1,FALSE)))</f>
        <v>Male</v>
      </c>
      <c r="AH296" s="3" t="str">
        <f>IF(VLOOKUP($C296,'All Girls &amp; Descendants - Edit'!$C$2:$AK$440,'All Girls &amp; Descendants - Edit'!AH$1,FALSE)=""," - ",(VLOOKUP($C296,'All Girls &amp; Descendants - Edit'!$C$2:$AK$440,'All Girls &amp; Descendants - Edit'!AH$1,FALSE)))</f>
        <v>5th</v>
      </c>
      <c r="AI296" s="3" t="str">
        <f>IF(VLOOKUP($C296,'All Girls &amp; Descendants - Edit'!$C$2:$AK$440,'All Girls &amp; Descendants - Edit'!AI$1,FALSE)=""," - ",(VLOOKUP($C296,'All Girls &amp; Descendants - Edit'!$C$2:$AK$440,'All Girls &amp; Descendants - Edit'!AI$1,FALSE)))</f>
        <v>Wife: Diana Neame FINN (b. 13/03/1914, d. 18/02/1991). Eldest daughter of Lewis FINN of Lorenden, Faversham, Kent.</v>
      </c>
      <c r="AJ296" s="3" t="str">
        <f>IF(VLOOKUP($C296,'All Girls &amp; Descendants - Edit'!$C$2:$AK$440,'All Girls &amp; Descendants - Edit'!AJ$1,FALSE)=""," - ",(VLOOKUP($C296,'All Girls &amp; Descendants - Edit'!$C$2:$AK$440,'All Girls &amp; Descendants - Edit'!AJ$1,FALSE)))</f>
        <v>Male. b. 13/06/1912, d. 29/09/2008. Educated Oundle and RMC Sandhurst. Changed name to NICOL on inheriting Ballogie Nov 1941. 18bbb John Nicol. Commissioned 1931, Oxfordshire and Buckinghamshire Light Infantry. Retired as Lieutenant Colonel 1946. DSO, MBE. Died  at Ballogie. Buried at Christ Church, Kincardine O’Neil.</v>
      </c>
      <c r="AK296" s="3" t="str">
        <f>IF(VLOOKUP($C296,'All Girls &amp; Descendants - Edit'!$C$2:$AK$440,'All Girls &amp; Descendants - Edit'!AK$1,FALSE)=""," - ",(VLOOKUP($C296,'All Girls &amp; Descendants - Edit'!$C$2:$AK$440,'All Girls &amp; Descendants - Edit'!AK$1,FALSE)))</f>
        <v>b. 13/06/1912, d. 29/09/2008.</v>
      </c>
    </row>
    <row r="297" spans="1:37" ht="19">
      <c r="A297">
        <f>VLOOKUP(B297,'Loyd List 1-190 - Edit'!$P$1:$R$219,3,FALSE)</f>
        <v>8</v>
      </c>
      <c r="B297">
        <f>'All Girls &amp; Descendants - Edit'!B298</f>
        <v>18</v>
      </c>
      <c r="C297" s="98" t="str">
        <f>'All Girls &amp; Descendants - Edit'!C298</f>
        <v>18bbc</v>
      </c>
      <c r="D297" s="2" t="str">
        <f>'All Girls &amp; Descendants - Edit'!D298</f>
        <v>WARNER</v>
      </c>
      <c r="E297" t="str">
        <f>'All Girls &amp; Descendants - Edit'!E298</f>
        <v>Peter</v>
      </c>
      <c r="F297" t="str">
        <f>IF('All Girls &amp; Descendants - Edit'!F298="","",'All Girls &amp; Descendants - Edit'!F298)</f>
        <v>Eric</v>
      </c>
      <c r="G297" t="str">
        <f>IF('All Girls &amp; Descendants - Edit'!G298="","",'All Girls &amp; Descendants - Edit'!G298)</f>
        <v>Henry</v>
      </c>
      <c r="H297" t="str">
        <f>IF('All Girls &amp; Descendants - Edit'!H298="","",'All Girls &amp; Descendants - Edit'!H298)</f>
        <v/>
      </c>
      <c r="I297">
        <f>VLOOKUP($C297,'All Girls &amp; Descendants - Edit'!$C$2:$AK$440,'All Girls &amp; Descendants - Edit'!I$1,FALSE)</f>
        <v>1915</v>
      </c>
      <c r="J297">
        <f>VLOOKUP($C297,'All Girls &amp; Descendants - Edit'!$C$2:$AK$440,'All Girls &amp; Descendants - Edit'!J$1,FALSE)</f>
        <v>2003</v>
      </c>
      <c r="K297" s="9"/>
      <c r="L297" t="str">
        <f t="shared" si="32"/>
        <v>30/03/1915</v>
      </c>
      <c r="M297" s="3">
        <f>VLOOKUP($C297,'All Girls &amp; Descendants - Edit'!$C$2:$AK$440,'All Girls &amp; Descendants - Edit'!M$1,FALSE)</f>
        <v>5568</v>
      </c>
      <c r="N297" s="3" t="str">
        <f>IF(VLOOKUP($C297,'All Girls &amp; Descendants - Edit'!$C$2:$AK$440,'All Girls &amp; Descendants - Edit'!N$1,FALSE)=""," - ",(VLOOKUP($C297,'All Girls &amp; Descendants - Edit'!$C$2:$AK$440,'All Girls &amp; Descendants - Edit'!N$1,FALSE)))</f>
        <v xml:space="preserve"> - </v>
      </c>
      <c r="O297" s="3">
        <f>IF(VLOOKUP($C297,'All Girls &amp; Descendants - Edit'!$C$2:$AK$440,'All Girls &amp; Descendants - Edit'!O$1,FALSE)="","",(VLOOKUP($C297,'All Girls &amp; Descendants - Edit'!$C$2:$AK$440,'All Girls &amp; Descendants - Edit'!O$1,FALSE)))</f>
        <v>37929</v>
      </c>
      <c r="P297" s="3" t="str">
        <f t="shared" si="33"/>
        <v>04/11/2003</v>
      </c>
      <c r="Q297" s="178" t="str">
        <f t="shared" si="34"/>
        <v>18bb</v>
      </c>
      <c r="R297" s="23"/>
      <c r="S297" t="str">
        <f>VLOOKUP($C297,'All Girls &amp; Descendants - Edit'!$C$2:$AK$440,'All Girls &amp; Descendants - Edit'!S$1,FALSE)</f>
        <v>Male</v>
      </c>
      <c r="T297" s="176">
        <f t="shared" si="31"/>
        <v>5</v>
      </c>
      <c r="U297" s="176">
        <f t="shared" si="35"/>
        <v>5</v>
      </c>
      <c r="V297" s="176">
        <f t="shared" si="36"/>
        <v>2</v>
      </c>
      <c r="W297" s="177">
        <f t="shared" si="37"/>
        <v>3</v>
      </c>
      <c r="X297" s="3" t="str">
        <f>IF(VLOOKUP($C297,'All Girls &amp; Descendants - Edit'!$C$2:$AK$440,'All Girls &amp; Descendants - Edit'!X$1,FALSE)=""," - ",(VLOOKUP($C297,'All Girls &amp; Descendants - Edit'!$C$2:$AK$440,'All Girls &amp; Descendants - Edit'!X$1,FALSE)))</f>
        <v xml:space="preserve"> - </v>
      </c>
      <c r="Y297" s="3" t="str">
        <f>IF(VLOOKUP($C297,'All Girls &amp; Descendants - Edit'!$C$2:$AK$440,'All Girls &amp; Descendants - Edit'!Y$1,FALSE)=""," - ",(VLOOKUP($C297,'All Girls &amp; Descendants - Edit'!$C$2:$AK$440,'All Girls &amp; Descendants - Edit'!Y$1,FALSE)))</f>
        <v xml:space="preserve"> - </v>
      </c>
      <c r="Z297" s="3" t="str">
        <f>IF(VLOOKUP($C297,'All Girls &amp; Descendants - Edit'!$C$2:$AK$440,'All Girls &amp; Descendants - Edit'!Z$1,FALSE)=""," - ",(VLOOKUP($C297,'All Girls &amp; Descendants - Edit'!$C$2:$AK$440,'All Girls &amp; Descendants - Edit'!Z$1,FALSE)))</f>
        <v>Educated Oundle and RMC Sandhurst. Lieut Colonel, Royal Fusiliers. MBE 1942. MC 1944. Died in London 2008. Ashes scattered at Ballogie.</v>
      </c>
      <c r="AA297" s="101">
        <f>IF(VLOOKUP($C297,'All Girls &amp; Descendants - Edit'!$C$2:$AK$440,'All Girls &amp; Descendants - Edit'!AA$1,FALSE)=""," - ",(VLOOKUP($C297,'All Girls &amp; Descendants - Edit'!$C$2:$AK$440,'All Girls &amp; Descendants - Edit'!AA$1,FALSE)))</f>
        <v>55</v>
      </c>
      <c r="AB297" s="101">
        <f>IF(VLOOKUP($C297,'All Girls &amp; Descendants - Edit'!$C$2:$AK$440,'All Girls &amp; Descendants - Edit'!AB$1,FALSE)=""," - ",(VLOOKUP($C297,'All Girls &amp; Descendants - Edit'!$C$2:$AK$440,'All Girls &amp; Descendants - Edit'!AB$1,FALSE)))</f>
        <v>6</v>
      </c>
      <c r="AC297" s="101">
        <f>IF(VLOOKUP($C297,'All Girls &amp; Descendants - Edit'!$C$2:$AK$440,'All Girls &amp; Descendants - Edit'!AC$1,FALSE)=""," - ",(VLOOKUP($C297,'All Girls &amp; Descendants - Edit'!$C$2:$AK$440,'All Girls &amp; Descendants - Edit'!AC$1,FALSE)))</f>
        <v>3006</v>
      </c>
      <c r="AD297" s="3" t="str">
        <f>IF(VLOOKUP($C297,'All Girls &amp; Descendants - Edit'!$C$2:$AK$440,'All Girls &amp; Descendants - Edit'!AD$1,FALSE)=""," - ",(VLOOKUP($C297,'All Girls &amp; Descendants - Edit'!$C$2:$AK$440,'All Girls &amp; Descendants - Edit'!AD$1,FALSE)))</f>
        <v>18bbc</v>
      </c>
      <c r="AE297" s="3" t="str">
        <f>IF(VLOOKUP($C297,'All Girls &amp; Descendants - Edit'!$C$2:$AK$440,'All Girls &amp; Descendants - Edit'!AE$1,FALSE)=""," - ",(VLOOKUP($C297,'All Girls &amp; Descendants - Edit'!$C$2:$AK$440,'All Girls &amp; Descendants - Edit'!AE$1,FALSE)))</f>
        <v>Peter Eric Henry WARNER (1915 - 2003)</v>
      </c>
      <c r="AF297" s="3" t="str">
        <f>IF(VLOOKUP($C297,'All Girls &amp; Descendants - Edit'!$C$2:$AK$440,'All Girls &amp; Descendants - Edit'!AF$1,FALSE)=""," - ",(VLOOKUP($C297,'All Girls &amp; Descendants - Edit'!$C$2:$AK$440,'All Girls &amp; Descendants - Edit'!AF$1,FALSE)))</f>
        <v>Peter WARNER (5th &amp; 18)</v>
      </c>
      <c r="AG297" s="3" t="str">
        <f>IF(VLOOKUP($C297,'All Girls &amp; Descendants - Edit'!$C$2:$AK$440,'All Girls &amp; Descendants - Edit'!AG$1,FALSE)=""," - ",(VLOOKUP($C297,'All Girls &amp; Descendants - Edit'!$C$2:$AK$440,'All Girls &amp; Descendants - Edit'!AG$1,FALSE)))</f>
        <v>Male</v>
      </c>
      <c r="AH297" s="3" t="str">
        <f>IF(VLOOKUP($C297,'All Girls &amp; Descendants - Edit'!$C$2:$AK$440,'All Girls &amp; Descendants - Edit'!AH$1,FALSE)=""," - ",(VLOOKUP($C297,'All Girls &amp; Descendants - Edit'!$C$2:$AK$440,'All Girls &amp; Descendants - Edit'!AH$1,FALSE)))</f>
        <v>5th</v>
      </c>
      <c r="AI297" s="3" t="str">
        <f>IF(VLOOKUP($C297,'All Girls &amp; Descendants - Edit'!$C$2:$AK$440,'All Girls &amp; Descendants - Edit'!AI$1,FALSE)=""," - ",(VLOOKUP($C297,'All Girls &amp; Descendants - Edit'!$C$2:$AK$440,'All Girls &amp; Descendants - Edit'!AI$1,FALSE)))</f>
        <v>Unmarried</v>
      </c>
      <c r="AJ297" s="3" t="str">
        <f>IF(VLOOKUP($C297,'All Girls &amp; Descendants - Edit'!$C$2:$AK$440,'All Girls &amp; Descendants - Edit'!AJ$1,FALSE)=""," - ",(VLOOKUP($C297,'All Girls &amp; Descendants - Edit'!$C$2:$AK$440,'All Girls &amp; Descendants - Edit'!AJ$1,FALSE)))</f>
        <v>Male. b. 30/03/1915, d. 04/11/2003. Educated Oundle and RMC Sandhurst. Lieut Colonel, Royal Fusiliers. MBE 1942. MC 1944. Died in London 2008. Ashes scattered at Ballogie.</v>
      </c>
      <c r="AK297" s="3" t="str">
        <f>IF(VLOOKUP($C297,'All Girls &amp; Descendants - Edit'!$C$2:$AK$440,'All Girls &amp; Descendants - Edit'!AK$1,FALSE)=""," - ",(VLOOKUP($C297,'All Girls &amp; Descendants - Edit'!$C$2:$AK$440,'All Girls &amp; Descendants - Edit'!AK$1,FALSE)))</f>
        <v>b. 30/03/1915, d. 04/11/2003.</v>
      </c>
    </row>
    <row r="298" spans="1:37" ht="19">
      <c r="A298">
        <f>VLOOKUP(B298,'Loyd List 1-190 - Edit'!$P$1:$R$219,3,FALSE)</f>
        <v>8</v>
      </c>
      <c r="B298">
        <f>'All Girls &amp; Descendants - Edit'!B299</f>
        <v>18</v>
      </c>
      <c r="C298" s="98" t="str">
        <f>'All Girls &amp; Descendants - Edit'!C299</f>
        <v>18eaa</v>
      </c>
      <c r="D298" s="2" t="str">
        <f>'All Girls &amp; Descendants - Edit'!D299</f>
        <v>DUGDALE</v>
      </c>
      <c r="E298" t="str">
        <f>'All Girls &amp; Descendants - Edit'!E299</f>
        <v>Brenda</v>
      </c>
      <c r="F298" t="str">
        <f>IF('All Girls &amp; Descendants - Edit'!F299="","",'All Girls &amp; Descendants - Edit'!F299)</f>
        <v/>
      </c>
      <c r="G298" t="str">
        <f>IF('All Girls &amp; Descendants - Edit'!G299="","",'All Girls &amp; Descendants - Edit'!G299)</f>
        <v/>
      </c>
      <c r="H298" t="str">
        <f>IF('All Girls &amp; Descendants - Edit'!H299="","",'All Girls &amp; Descendants - Edit'!H299)</f>
        <v/>
      </c>
      <c r="I298">
        <f>VLOOKUP($C298,'All Girls &amp; Descendants - Edit'!$C$2:$AK$440,'All Girls &amp; Descendants - Edit'!I$1,FALSE)</f>
        <v>1911</v>
      </c>
      <c r="J298">
        <f>VLOOKUP($C298,'All Girls &amp; Descendants - Edit'!$C$2:$AK$440,'All Girls &amp; Descendants - Edit'!J$1,FALSE)</f>
        <v>1987</v>
      </c>
      <c r="K298" s="9"/>
      <c r="L298" t="str">
        <f t="shared" si="32"/>
        <v>09/09/1911</v>
      </c>
      <c r="M298" s="3">
        <f>VLOOKUP($C298,'All Girls &amp; Descendants - Edit'!$C$2:$AK$440,'All Girls &amp; Descendants - Edit'!M$1,FALSE)</f>
        <v>4270</v>
      </c>
      <c r="N298" s="3" t="str">
        <f>IF(VLOOKUP($C298,'All Girls &amp; Descendants - Edit'!$C$2:$AK$440,'All Girls &amp; Descendants - Edit'!N$1,FALSE)=""," - ",(VLOOKUP($C298,'All Girls &amp; Descendants - Edit'!$C$2:$AK$440,'All Girls &amp; Descendants - Edit'!N$1,FALSE)))</f>
        <v xml:space="preserve"> - </v>
      </c>
      <c r="O298" s="3">
        <f>IF(VLOOKUP($C298,'All Girls &amp; Descendants - Edit'!$C$2:$AK$440,'All Girls &amp; Descendants - Edit'!O$1,FALSE)="","",(VLOOKUP($C298,'All Girls &amp; Descendants - Edit'!$C$2:$AK$440,'All Girls &amp; Descendants - Edit'!O$1,FALSE)))</f>
        <v>31997</v>
      </c>
      <c r="P298" s="3" t="str">
        <f t="shared" si="33"/>
        <v>08/08/1987</v>
      </c>
      <c r="Q298" s="178" t="str">
        <f t="shared" si="34"/>
        <v>18ea</v>
      </c>
      <c r="R298" s="23"/>
      <c r="S298" t="str">
        <f>VLOOKUP($C298,'All Girls &amp; Descendants - Edit'!$C$2:$AK$440,'All Girls &amp; Descendants - Edit'!S$1,FALSE)</f>
        <v>Female</v>
      </c>
      <c r="T298" s="176">
        <f t="shared" si="31"/>
        <v>5</v>
      </c>
      <c r="U298" s="176">
        <f t="shared" si="35"/>
        <v>5</v>
      </c>
      <c r="V298" s="176">
        <f t="shared" si="36"/>
        <v>2</v>
      </c>
      <c r="W298" s="177">
        <f t="shared" si="37"/>
        <v>3</v>
      </c>
      <c r="X298" s="3" t="str">
        <f>IF(VLOOKUP($C298,'All Girls &amp; Descendants - Edit'!$C$2:$AK$440,'All Girls &amp; Descendants - Edit'!X$1,FALSE)=""," - ",(VLOOKUP($C298,'All Girls &amp; Descendants - Edit'!$C$2:$AK$440,'All Girls &amp; Descendants - Edit'!X$1,FALSE)))</f>
        <v xml:space="preserve"> - </v>
      </c>
      <c r="Y298" s="3" t="str">
        <f>IF(VLOOKUP($C298,'All Girls &amp; Descendants - Edit'!$C$2:$AK$440,'All Girls &amp; Descendants - Edit'!Y$1,FALSE)=""," - ",(VLOOKUP($C298,'All Girls &amp; Descendants - Edit'!$C$2:$AK$440,'All Girls &amp; Descendants - Edit'!Y$1,FALSE)))</f>
        <v xml:space="preserve"> - </v>
      </c>
      <c r="Z298" s="3" t="str">
        <f>IF(VLOOKUP($C298,'All Girls &amp; Descendants - Edit'!$C$2:$AK$440,'All Girls &amp; Descendants - Edit'!Z$1,FALSE)=""," - ",(VLOOKUP($C298,'All Girls &amp; Descendants - Edit'!$C$2:$AK$440,'All Girls &amp; Descendants - Edit'!Z$1,FALSE)))</f>
        <v>Died at 93 Ebury Street, London SW1.</v>
      </c>
      <c r="AA298" s="101">
        <f>IF(VLOOKUP($C298,'All Girls &amp; Descendants - Edit'!$C$2:$AK$440,'All Girls &amp; Descendants - Edit'!AA$1,FALSE)=""," - ",(VLOOKUP($C298,'All Girls &amp; Descendants - Edit'!$C$2:$AK$440,'All Girls &amp; Descendants - Edit'!AA$1,FALSE)))</f>
        <v>62</v>
      </c>
      <c r="AB298" s="101">
        <f>IF(VLOOKUP($C298,'All Girls &amp; Descendants - Edit'!$C$2:$AK$440,'All Girls &amp; Descendants - Edit'!AB$1,FALSE)=""," - ",(VLOOKUP($C298,'All Girls &amp; Descendants - Edit'!$C$2:$AK$440,'All Girls &amp; Descendants - Edit'!AB$1,FALSE)))</f>
        <v>7</v>
      </c>
      <c r="AC298" s="101">
        <f>IF(VLOOKUP($C298,'All Girls &amp; Descendants - Edit'!$C$2:$AK$440,'All Girls &amp; Descendants - Edit'!AC$1,FALSE)=""," - ",(VLOOKUP($C298,'All Girls &amp; Descendants - Edit'!$C$2:$AK$440,'All Girls &amp; Descendants - Edit'!AC$1,FALSE)))</f>
        <v>3007</v>
      </c>
      <c r="AD298" s="3" t="str">
        <f>IF(VLOOKUP($C298,'All Girls &amp; Descendants - Edit'!$C$2:$AK$440,'All Girls &amp; Descendants - Edit'!AD$1,FALSE)=""," - ",(VLOOKUP($C298,'All Girls &amp; Descendants - Edit'!$C$2:$AK$440,'All Girls &amp; Descendants - Edit'!AD$1,FALSE)))</f>
        <v>18eaa</v>
      </c>
      <c r="AE298" s="3" t="str">
        <f>IF(VLOOKUP($C298,'All Girls &amp; Descendants - Edit'!$C$2:$AK$440,'All Girls &amp; Descendants - Edit'!AE$1,FALSE)=""," - ",(VLOOKUP($C298,'All Girls &amp; Descendants - Edit'!$C$2:$AK$440,'All Girls &amp; Descendants - Edit'!AE$1,FALSE)))</f>
        <v>Brenda   DUGDALE (1911 - 1987)</v>
      </c>
      <c r="AF298" s="3" t="str">
        <f>IF(VLOOKUP($C298,'All Girls &amp; Descendants - Edit'!$C$2:$AK$440,'All Girls &amp; Descendants - Edit'!AF$1,FALSE)=""," - ",(VLOOKUP($C298,'All Girls &amp; Descendants - Edit'!$C$2:$AK$440,'All Girls &amp; Descendants - Edit'!AF$1,FALSE)))</f>
        <v>Brenda DUGDALE (5th &amp; 18)</v>
      </c>
      <c r="AG298" s="3" t="str">
        <f>IF(VLOOKUP($C298,'All Girls &amp; Descendants - Edit'!$C$2:$AK$440,'All Girls &amp; Descendants - Edit'!AG$1,FALSE)=""," - ",(VLOOKUP($C298,'All Girls &amp; Descendants - Edit'!$C$2:$AK$440,'All Girls &amp; Descendants - Edit'!AG$1,FALSE)))</f>
        <v>Female</v>
      </c>
      <c r="AH298" s="3" t="str">
        <f>IF(VLOOKUP($C298,'All Girls &amp; Descendants - Edit'!$C$2:$AK$440,'All Girls &amp; Descendants - Edit'!AH$1,FALSE)=""," - ",(VLOOKUP($C298,'All Girls &amp; Descendants - Edit'!$C$2:$AK$440,'All Girls &amp; Descendants - Edit'!AH$1,FALSE)))</f>
        <v>5th</v>
      </c>
      <c r="AI298" s="3" t="str">
        <f>IF(VLOOKUP($C298,'All Girls &amp; Descendants - Edit'!$C$2:$AK$440,'All Girls &amp; Descendants - Edit'!AI$1,FALSE)=""," - ",(VLOOKUP($C298,'All Girls &amp; Descendants - Edit'!$C$2:$AK$440,'All Girls &amp; Descendants - Edit'!AI$1,FALSE)))</f>
        <v>Unmarried</v>
      </c>
      <c r="AJ298" s="3" t="str">
        <f>IF(VLOOKUP($C298,'All Girls &amp; Descendants - Edit'!$C$2:$AK$440,'All Girls &amp; Descendants - Edit'!AJ$1,FALSE)=""," - ",(VLOOKUP($C298,'All Girls &amp; Descendants - Edit'!$C$2:$AK$440,'All Girls &amp; Descendants - Edit'!AJ$1,FALSE)))</f>
        <v>Female. b. 09/09/1911, d. 08/08/1987. Died at 93 Ebury Street, London SW1.</v>
      </c>
      <c r="AK298" s="3" t="str">
        <f>IF(VLOOKUP($C298,'All Girls &amp; Descendants - Edit'!$C$2:$AK$440,'All Girls &amp; Descendants - Edit'!AK$1,FALSE)=""," - ",(VLOOKUP($C298,'All Girls &amp; Descendants - Edit'!$C$2:$AK$440,'All Girls &amp; Descendants - Edit'!AK$1,FALSE)))</f>
        <v>b. 09/09/1911, d. 08/08/1987.</v>
      </c>
    </row>
    <row r="299" spans="1:37" ht="19">
      <c r="A299">
        <f>VLOOKUP(B299,'Loyd List 1-190 - Edit'!$P$1:$R$219,3,FALSE)</f>
        <v>22</v>
      </c>
      <c r="B299">
        <f>'All Girls &amp; Descendants - Edit'!B300</f>
        <v>36</v>
      </c>
      <c r="C299" s="98" t="str">
        <f>'All Girls &amp; Descendants - Edit'!C300</f>
        <v>36dba</v>
      </c>
      <c r="D299" s="2" t="str">
        <f>'All Girls &amp; Descendants - Edit'!D300</f>
        <v>POWELL</v>
      </c>
      <c r="E299" t="str">
        <f>'All Girls &amp; Descendants - Edit'!E300</f>
        <v>Elizabeth</v>
      </c>
      <c r="F299" t="str">
        <f>IF('All Girls &amp; Descendants - Edit'!F300="","",'All Girls &amp; Descendants - Edit'!F300)</f>
        <v>Clare</v>
      </c>
      <c r="G299" t="str">
        <f>IF('All Girls &amp; Descendants - Edit'!G300="","",'All Girls &amp; Descendants - Edit'!G300)</f>
        <v/>
      </c>
      <c r="H299" t="str">
        <f>IF('All Girls &amp; Descendants - Edit'!H300="","",'All Girls &amp; Descendants - Edit'!H300)</f>
        <v>Toodie</v>
      </c>
      <c r="I299">
        <f>VLOOKUP($C299,'All Girls &amp; Descendants - Edit'!$C$2:$AK$440,'All Girls &amp; Descendants - Edit'!I$1,FALSE)</f>
        <v>1942</v>
      </c>
      <c r="J299" t="str">
        <f>VLOOKUP($C299,'All Girls &amp; Descendants - Edit'!$C$2:$AK$440,'All Girls &amp; Descendants - Edit'!J$1,FALSE)</f>
        <v/>
      </c>
      <c r="K299" s="9"/>
      <c r="L299" t="str">
        <f t="shared" si="32"/>
        <v>30/05/1942</v>
      </c>
      <c r="M299" s="3">
        <f>VLOOKUP($C299,'All Girls &amp; Descendants - Edit'!$C$2:$AK$440,'All Girls &amp; Descendants - Edit'!M$1,FALSE)</f>
        <v>15491</v>
      </c>
      <c r="N299" s="3">
        <f>IF(VLOOKUP($C299,'All Girls &amp; Descendants - Edit'!$C$2:$AK$440,'All Girls &amp; Descendants - Edit'!N$1,FALSE)=""," - ",(VLOOKUP($C299,'All Girls &amp; Descendants - Edit'!$C$2:$AK$440,'All Girls &amp; Descendants - Edit'!N$1,FALSE)))</f>
        <v>24016</v>
      </c>
      <c r="O299" s="3" t="str">
        <f>IF(VLOOKUP($C299,'All Girls &amp; Descendants - Edit'!$C$2:$AK$440,'All Girls &amp; Descendants - Edit'!O$1,FALSE)="","",(VLOOKUP($C299,'All Girls &amp; Descendants - Edit'!$C$2:$AK$440,'All Girls &amp; Descendants - Edit'!O$1,FALSE)))</f>
        <v/>
      </c>
      <c r="P299" s="3" t="str">
        <f t="shared" si="33"/>
        <v/>
      </c>
      <c r="Q299" s="178" t="str">
        <f t="shared" si="34"/>
        <v>36db</v>
      </c>
      <c r="R299" s="23"/>
      <c r="S299" t="str">
        <f>VLOOKUP($C299,'All Girls &amp; Descendants - Edit'!$C$2:$AK$440,'All Girls &amp; Descendants - Edit'!S$1,FALSE)</f>
        <v>Female</v>
      </c>
      <c r="T299" s="176">
        <f t="shared" si="31"/>
        <v>6</v>
      </c>
      <c r="U299" s="176">
        <f t="shared" si="35"/>
        <v>5</v>
      </c>
      <c r="V299" s="176">
        <f t="shared" si="36"/>
        <v>3</v>
      </c>
      <c r="W299" s="177">
        <f t="shared" si="37"/>
        <v>3</v>
      </c>
      <c r="X299" s="3" t="str">
        <f>IF(VLOOKUP($C299,'All Girls &amp; Descendants - Edit'!$C$2:$AK$440,'All Girls &amp; Descendants - Edit'!X$1,FALSE)=""," - ",(VLOOKUP($C299,'All Girls &amp; Descendants - Edit'!$C$2:$AK$440,'All Girls &amp; Descendants - Edit'!X$1,FALSE)))</f>
        <v>Canon Colin Thomas SCOTT-DEMPSTER (b. 22/04/1937, d.)</v>
      </c>
      <c r="Y299" s="3" t="str">
        <f>IF(VLOOKUP($C299,'All Girls &amp; Descendants - Edit'!$C$2:$AK$440,'All Girls &amp; Descendants - Edit'!Y$1,FALSE)=""," - ",(VLOOKUP($C299,'All Girls &amp; Descendants - Edit'!$C$2:$AK$440,'All Girls &amp; Descendants - Edit'!Y$1,FALSE)))</f>
        <v>Married at the Episcopal Church of St John, Princes Street, Edinburgh, Canon Colin of The Vicarage, Chieveley, Newbury, Berkshire, RG20 8UT. Deacon, Christ Church Cathedral, Oxford, Sep 1966. Priest, Christ Church Cathedral, Oxford, Sep 1967. Curate, St Peter’s, Caversham 1966-69. Chaplain, Teacher Training College of St Mark &amp; St John, Chelsea, London 1969-73. Vicar of Chieveley, Winterbourne &amp; Oare, Oxford Diocese from 1973. Rural Dean of Newbury 1977-98. Hon Canon, Christ Church Cathedral, Oxford 1990.</v>
      </c>
      <c r="Z299" s="3" t="str">
        <f>IF(VLOOKUP($C299,'All Girls &amp; Descendants - Edit'!$C$2:$AK$440,'All Girls &amp; Descendants - Edit'!Z$1,FALSE)=""," - ",(VLOOKUP($C299,'All Girls &amp; Descendants - Edit'!$C$2:$AK$440,'All Girls &amp; Descendants - Edit'!Z$1,FALSE)))</f>
        <v>Born at Collessie, Fife.</v>
      </c>
      <c r="AA299" s="101">
        <f>IF(VLOOKUP($C299,'All Girls &amp; Descendants - Edit'!$C$2:$AK$440,'All Girls &amp; Descendants - Edit'!AA$1,FALSE)=""," - ",(VLOOKUP($C299,'All Girls &amp; Descendants - Edit'!$C$2:$AK$440,'All Girls &amp; Descendants - Edit'!AA$1,FALSE)))</f>
        <v>76</v>
      </c>
      <c r="AB299" s="101">
        <f>IF(VLOOKUP($C299,'All Girls &amp; Descendants - Edit'!$C$2:$AK$440,'All Girls &amp; Descendants - Edit'!AB$1,FALSE)=""," - ",(VLOOKUP($C299,'All Girls &amp; Descendants - Edit'!$C$2:$AK$440,'All Girls &amp; Descendants - Edit'!AB$1,FALSE)))</f>
        <v>8</v>
      </c>
      <c r="AC299" s="101">
        <f>IF(VLOOKUP($C299,'All Girls &amp; Descendants - Edit'!$C$2:$AK$440,'All Girls &amp; Descendants - Edit'!AC$1,FALSE)=""," - ",(VLOOKUP($C299,'All Girls &amp; Descendants - Edit'!$C$2:$AK$440,'All Girls &amp; Descendants - Edit'!AC$1,FALSE)))</f>
        <v>3008</v>
      </c>
      <c r="AD299" s="3" t="str">
        <f>IF(VLOOKUP($C299,'All Girls &amp; Descendants - Edit'!$C$2:$AK$440,'All Girls &amp; Descendants - Edit'!AD$1,FALSE)=""," - ",(VLOOKUP($C299,'All Girls &amp; Descendants - Edit'!$C$2:$AK$440,'All Girls &amp; Descendants - Edit'!AD$1,FALSE)))</f>
        <v>36dba</v>
      </c>
      <c r="AE299" s="3" t="str">
        <f>IF(VLOOKUP($C299,'All Girls &amp; Descendants - Edit'!$C$2:$AK$440,'All Girls &amp; Descendants - Edit'!AE$1,FALSE)=""," - ",(VLOOKUP($C299,'All Girls &amp; Descendants - Edit'!$C$2:$AK$440,'All Girls &amp; Descendants - Edit'!AE$1,FALSE)))</f>
        <v>Elizabeth Clare  POWELL (1942 - )</v>
      </c>
      <c r="AF299" s="3" t="str">
        <f>IF(VLOOKUP($C299,'All Girls &amp; Descendants - Edit'!$C$2:$AK$440,'All Girls &amp; Descendants - Edit'!AF$1,FALSE)=""," - ",(VLOOKUP($C299,'All Girls &amp; Descendants - Edit'!$C$2:$AK$440,'All Girls &amp; Descendants - Edit'!AF$1,FALSE)))</f>
        <v>Toodie POWELL (6th &amp; 36)</v>
      </c>
      <c r="AG299" s="3" t="str">
        <f>IF(VLOOKUP($C299,'All Girls &amp; Descendants - Edit'!$C$2:$AK$440,'All Girls &amp; Descendants - Edit'!AG$1,FALSE)=""," - ",(VLOOKUP($C299,'All Girls &amp; Descendants - Edit'!$C$2:$AK$440,'All Girls &amp; Descendants - Edit'!AG$1,FALSE)))</f>
        <v>Female</v>
      </c>
      <c r="AH299" s="3" t="str">
        <f>IF(VLOOKUP($C299,'All Girls &amp; Descendants - Edit'!$C$2:$AK$440,'All Girls &amp; Descendants - Edit'!AH$1,FALSE)=""," - ",(VLOOKUP($C299,'All Girls &amp; Descendants - Edit'!$C$2:$AK$440,'All Girls &amp; Descendants - Edit'!AH$1,FALSE)))</f>
        <v>6th</v>
      </c>
      <c r="AI299" s="3" t="str">
        <f>IF(VLOOKUP($C299,'All Girls &amp; Descendants - Edit'!$C$2:$AK$440,'All Girls &amp; Descendants - Edit'!AI$1,FALSE)=""," - ",(VLOOKUP($C299,'All Girls &amp; Descendants - Edit'!$C$2:$AK$440,'All Girls &amp; Descendants - Edit'!AI$1,FALSE)))</f>
        <v>Husband: Canon Colin Thomas SCOTT-DEMPSTER (b. 22/04/1937, d.). Married at the Episcopal Church of St John, Princes Street, Edinburgh, Canon Colin of The Vicarage, Chieveley, Newbury, Berkshire, RG20 8UT. Deacon, Christ Church Cathedral, Oxford, Sep 1966. Priest, Christ Church Cathedral, Oxford, Sep 1967. Curate, St Peter’s, Caversham 1966-69. Chaplain, Teacher Training College of St Mark &amp; St John, Chelsea, London 1969-73. Vicar of Chieveley, Winterbourne &amp; Oare, Oxford Diocese from 1973. Rural Dean of Newbury 1977-98. Hon Canon, Christ Church Cathedral, Oxford 1990.</v>
      </c>
      <c r="AJ299" s="3" t="str">
        <f>IF(VLOOKUP($C299,'All Girls &amp; Descendants - Edit'!$C$2:$AK$440,'All Girls &amp; Descendants - Edit'!AJ$1,FALSE)=""," - ",(VLOOKUP($C299,'All Girls &amp; Descendants - Edit'!$C$2:$AK$440,'All Girls &amp; Descendants - Edit'!AJ$1,FALSE)))</f>
        <v>Female. b. 30/05/1942 Born at Collessie, Fife.</v>
      </c>
      <c r="AK299" s="3" t="str">
        <f>IF(VLOOKUP($C299,'All Girls &amp; Descendants - Edit'!$C$2:$AK$440,'All Girls &amp; Descendants - Edit'!AK$1,FALSE)=""," - ",(VLOOKUP($C299,'All Girls &amp; Descendants - Edit'!$C$2:$AK$440,'All Girls &amp; Descendants - Edit'!AK$1,FALSE)))</f>
        <v>b. 30/05/1942</v>
      </c>
    </row>
    <row r="300" spans="1:37" ht="19">
      <c r="A300">
        <f>VLOOKUP(B300,'Loyd List 1-190 - Edit'!$P$1:$R$219,3,FALSE)</f>
        <v>22</v>
      </c>
      <c r="B300">
        <f>'All Girls &amp; Descendants - Edit'!B301</f>
        <v>36</v>
      </c>
      <c r="C300" s="98" t="str">
        <f>'All Girls &amp; Descendants - Edit'!C301</f>
        <v>36dbb</v>
      </c>
      <c r="D300" s="2" t="str">
        <f>'All Girls &amp; Descendants - Edit'!D301</f>
        <v>POWELL</v>
      </c>
      <c r="E300" t="str">
        <f>'All Girls &amp; Descendants - Edit'!E301</f>
        <v>Margaret</v>
      </c>
      <c r="F300" t="str">
        <f>IF('All Girls &amp; Descendants - Edit'!F301="","",'All Girls &amp; Descendants - Edit'!F301)</f>
        <v>Ann</v>
      </c>
      <c r="G300" t="str">
        <f>IF('All Girls &amp; Descendants - Edit'!G301="","",'All Girls &amp; Descendants - Edit'!G301)</f>
        <v/>
      </c>
      <c r="H300" t="str">
        <f>IF('All Girls &amp; Descendants - Edit'!H301="","",'All Girls &amp; Descendants - Edit'!H301)</f>
        <v/>
      </c>
      <c r="I300">
        <f>VLOOKUP($C300,'All Girls &amp; Descendants - Edit'!$C$2:$AK$440,'All Girls &amp; Descendants - Edit'!I$1,FALSE)</f>
        <v>1944</v>
      </c>
      <c r="J300" t="str">
        <f>VLOOKUP($C300,'All Girls &amp; Descendants - Edit'!$C$2:$AK$440,'All Girls &amp; Descendants - Edit'!J$1,FALSE)</f>
        <v/>
      </c>
      <c r="K300" s="9"/>
      <c r="L300" t="str">
        <f t="shared" si="32"/>
        <v>09/07/1944</v>
      </c>
      <c r="M300" s="3">
        <f>VLOOKUP($C300,'All Girls &amp; Descendants - Edit'!$C$2:$AK$440,'All Girls &amp; Descendants - Edit'!M$1,FALSE)</f>
        <v>16262</v>
      </c>
      <c r="N300" s="3">
        <f>IF(VLOOKUP($C300,'All Girls &amp; Descendants - Edit'!$C$2:$AK$440,'All Girls &amp; Descendants - Edit'!N$1,FALSE)=""," - ",(VLOOKUP($C300,'All Girls &amp; Descendants - Edit'!$C$2:$AK$440,'All Girls &amp; Descendants - Edit'!N$1,FALSE)))</f>
        <v>24115</v>
      </c>
      <c r="O300" s="3" t="str">
        <f>IF(VLOOKUP($C300,'All Girls &amp; Descendants - Edit'!$C$2:$AK$440,'All Girls &amp; Descendants - Edit'!O$1,FALSE)="","",(VLOOKUP($C300,'All Girls &amp; Descendants - Edit'!$C$2:$AK$440,'All Girls &amp; Descendants - Edit'!O$1,FALSE)))</f>
        <v/>
      </c>
      <c r="P300" s="3" t="str">
        <f t="shared" si="33"/>
        <v/>
      </c>
      <c r="Q300" s="178" t="str">
        <f t="shared" si="34"/>
        <v>36db</v>
      </c>
      <c r="R300" s="23"/>
      <c r="S300" t="str">
        <f>VLOOKUP($C300,'All Girls &amp; Descendants - Edit'!$C$2:$AK$440,'All Girls &amp; Descendants - Edit'!S$1,FALSE)</f>
        <v>Female</v>
      </c>
      <c r="T300" s="176">
        <f t="shared" si="31"/>
        <v>6</v>
      </c>
      <c r="U300" s="176">
        <f t="shared" si="35"/>
        <v>5</v>
      </c>
      <c r="V300" s="176">
        <f t="shared" si="36"/>
        <v>3</v>
      </c>
      <c r="W300" s="177">
        <f t="shared" si="37"/>
        <v>3</v>
      </c>
      <c r="X300" s="3" t="str">
        <f>IF(VLOOKUP($C300,'All Girls &amp; Descendants - Edit'!$C$2:$AK$440,'All Girls &amp; Descendants - Edit'!X$1,FALSE)=""," - ",(VLOOKUP($C300,'All Girls &amp; Descendants - Edit'!$C$2:$AK$440,'All Girls &amp; Descendants - Edit'!X$1,FALSE)))</f>
        <v>Stephen James LINDSAY (b. 02/03/1940, d.?)</v>
      </c>
      <c r="Y300" s="3" t="str">
        <f>IF(VLOOKUP($C300,'All Girls &amp; Descendants - Edit'!$C$2:$AK$440,'All Girls &amp; Descendants - Edit'!Y$1,FALSE)=""," - ",(VLOOKUP($C300,'All Girls &amp; Descendants - Edit'!$C$2:$AK$440,'All Girls &amp; Descendants - Edit'!Y$1,FALSE)))</f>
        <v>Married at St Cuthbert’s, Edinburgh, to Stephen Lieut Colonel, The Black Watch. Regimental Secretary, Balhousie Castle, Perth from 1997.</v>
      </c>
      <c r="Z300" s="3" t="str">
        <f>IF(VLOOKUP($C300,'All Girls &amp; Descendants - Edit'!$C$2:$AK$440,'All Girls &amp; Descendants - Edit'!Z$1,FALSE)=""," - ",(VLOOKUP($C300,'All Girls &amp; Descendants - Edit'!$C$2:$AK$440,'All Girls &amp; Descendants - Edit'!Z$1,FALSE)))</f>
        <v>Born  at Collessie, Fife.</v>
      </c>
      <c r="AA300" s="101">
        <f>IF(VLOOKUP($C300,'All Girls &amp; Descendants - Edit'!$C$2:$AK$440,'All Girls &amp; Descendants - Edit'!AA$1,FALSE)=""," - ",(VLOOKUP($C300,'All Girls &amp; Descendants - Edit'!$C$2:$AK$440,'All Girls &amp; Descendants - Edit'!AA$1,FALSE)))</f>
        <v>81</v>
      </c>
      <c r="AB300" s="101">
        <f>IF(VLOOKUP($C300,'All Girls &amp; Descendants - Edit'!$C$2:$AK$440,'All Girls &amp; Descendants - Edit'!AB$1,FALSE)=""," - ",(VLOOKUP($C300,'All Girls &amp; Descendants - Edit'!$C$2:$AK$440,'All Girls &amp; Descendants - Edit'!AB$1,FALSE)))</f>
        <v>9</v>
      </c>
      <c r="AC300" s="101">
        <f>IF(VLOOKUP($C300,'All Girls &amp; Descendants - Edit'!$C$2:$AK$440,'All Girls &amp; Descendants - Edit'!AC$1,FALSE)=""," - ",(VLOOKUP($C300,'All Girls &amp; Descendants - Edit'!$C$2:$AK$440,'All Girls &amp; Descendants - Edit'!AC$1,FALSE)))</f>
        <v>3009</v>
      </c>
      <c r="AD300" s="3" t="str">
        <f>IF(VLOOKUP($C300,'All Girls &amp; Descendants - Edit'!$C$2:$AK$440,'All Girls &amp; Descendants - Edit'!AD$1,FALSE)=""," - ",(VLOOKUP($C300,'All Girls &amp; Descendants - Edit'!$C$2:$AK$440,'All Girls &amp; Descendants - Edit'!AD$1,FALSE)))</f>
        <v>36dbb</v>
      </c>
      <c r="AE300" s="3" t="str">
        <f>IF(VLOOKUP($C300,'All Girls &amp; Descendants - Edit'!$C$2:$AK$440,'All Girls &amp; Descendants - Edit'!AE$1,FALSE)=""," - ",(VLOOKUP($C300,'All Girls &amp; Descendants - Edit'!$C$2:$AK$440,'All Girls &amp; Descendants - Edit'!AE$1,FALSE)))</f>
        <v>Margaret Ann  POWELL (1944 - )</v>
      </c>
      <c r="AF300" s="3" t="str">
        <f>IF(VLOOKUP($C300,'All Girls &amp; Descendants - Edit'!$C$2:$AK$440,'All Girls &amp; Descendants - Edit'!AF$1,FALSE)=""," - ",(VLOOKUP($C300,'All Girls &amp; Descendants - Edit'!$C$2:$AK$440,'All Girls &amp; Descendants - Edit'!AF$1,FALSE)))</f>
        <v>Margaret POWELL (6th &amp; 36)</v>
      </c>
      <c r="AG300" s="3" t="str">
        <f>IF(VLOOKUP($C300,'All Girls &amp; Descendants - Edit'!$C$2:$AK$440,'All Girls &amp; Descendants - Edit'!AG$1,FALSE)=""," - ",(VLOOKUP($C300,'All Girls &amp; Descendants - Edit'!$C$2:$AK$440,'All Girls &amp; Descendants - Edit'!AG$1,FALSE)))</f>
        <v>Female</v>
      </c>
      <c r="AH300" s="3" t="str">
        <f>IF(VLOOKUP($C300,'All Girls &amp; Descendants - Edit'!$C$2:$AK$440,'All Girls &amp; Descendants - Edit'!AH$1,FALSE)=""," - ",(VLOOKUP($C300,'All Girls &amp; Descendants - Edit'!$C$2:$AK$440,'All Girls &amp; Descendants - Edit'!AH$1,FALSE)))</f>
        <v>6th</v>
      </c>
      <c r="AI300" s="3" t="str">
        <f>IF(VLOOKUP($C300,'All Girls &amp; Descendants - Edit'!$C$2:$AK$440,'All Girls &amp; Descendants - Edit'!AI$1,FALSE)=""," - ",(VLOOKUP($C300,'All Girls &amp; Descendants - Edit'!$C$2:$AK$440,'All Girls &amp; Descendants - Edit'!AI$1,FALSE)))</f>
        <v>Husband: Stephen James LINDSAY (b. 02/03/1940, d.?). Married at St Cuthbert’s, Edinburgh, to Stephen Lieut Colonel, The Black Watch. Regimental Secretary, Balhousie Castle, Perth from 1997.</v>
      </c>
      <c r="AJ300" s="3" t="str">
        <f>IF(VLOOKUP($C300,'All Girls &amp; Descendants - Edit'!$C$2:$AK$440,'All Girls &amp; Descendants - Edit'!AJ$1,FALSE)=""," - ",(VLOOKUP($C300,'All Girls &amp; Descendants - Edit'!$C$2:$AK$440,'All Girls &amp; Descendants - Edit'!AJ$1,FALSE)))</f>
        <v>Female. b. 09/07/1944 Born  at Collessie, Fife.</v>
      </c>
      <c r="AK300" s="3" t="str">
        <f>IF(VLOOKUP($C300,'All Girls &amp; Descendants - Edit'!$C$2:$AK$440,'All Girls &amp; Descendants - Edit'!AK$1,FALSE)=""," - ",(VLOOKUP($C300,'All Girls &amp; Descendants - Edit'!$C$2:$AK$440,'All Girls &amp; Descendants - Edit'!AK$1,FALSE)))</f>
        <v>b. 09/07/1944</v>
      </c>
    </row>
    <row r="301" spans="1:37" ht="19">
      <c r="A301">
        <f>VLOOKUP(B301,'Loyd List 1-190 - Edit'!$P$1:$R$219,3,FALSE)</f>
        <v>22</v>
      </c>
      <c r="B301">
        <f>'All Girls &amp; Descendants - Edit'!B302</f>
        <v>47</v>
      </c>
      <c r="C301" s="98" t="str">
        <f>'All Girls &amp; Descendants - Edit'!C302</f>
        <v>47aaa</v>
      </c>
      <c r="D301" s="2" t="str">
        <f>'All Girls &amp; Descendants - Edit'!D302</f>
        <v>HARDCASTLE</v>
      </c>
      <c r="E301" t="str">
        <f>'All Girls &amp; Descendants - Edit'!E302</f>
        <v>Mary</v>
      </c>
      <c r="F301" t="str">
        <f>IF('All Girls &amp; Descendants - Edit'!F302="","",'All Girls &amp; Descendants - Edit'!F302)</f>
        <v>Jean</v>
      </c>
      <c r="G301" t="str">
        <f>IF('All Girls &amp; Descendants - Edit'!G302="","",'All Girls &amp; Descendants - Edit'!G302)</f>
        <v/>
      </c>
      <c r="H301" t="str">
        <f>IF('All Girls &amp; Descendants - Edit'!H302="","",'All Girls &amp; Descendants - Edit'!H302)</f>
        <v/>
      </c>
      <c r="I301">
        <f>VLOOKUP($C301,'All Girls &amp; Descendants - Edit'!$C$2:$AK$440,'All Girls &amp; Descendants - Edit'!I$1,FALSE)</f>
        <v>1951</v>
      </c>
      <c r="J301" t="str">
        <f>VLOOKUP($C301,'All Girls &amp; Descendants - Edit'!$C$2:$AK$440,'All Girls &amp; Descendants - Edit'!J$1,FALSE)</f>
        <v/>
      </c>
      <c r="K301" s="9"/>
      <c r="L301" t="str">
        <f t="shared" si="32"/>
        <v>06/08/1951</v>
      </c>
      <c r="M301" s="3">
        <f>VLOOKUP($C301,'All Girls &amp; Descendants - Edit'!$C$2:$AK$440,'All Girls &amp; Descendants - Edit'!M$1,FALSE)</f>
        <v>18846</v>
      </c>
      <c r="N301" s="3">
        <f>IF(VLOOKUP($C301,'All Girls &amp; Descendants - Edit'!$C$2:$AK$440,'All Girls &amp; Descendants - Edit'!N$1,FALSE)=""," - ",(VLOOKUP($C301,'All Girls &amp; Descendants - Edit'!$C$2:$AK$440,'All Girls &amp; Descendants - Edit'!N$1,FALSE)))</f>
        <v>27901</v>
      </c>
      <c r="O301" s="3" t="str">
        <f>IF(VLOOKUP($C301,'All Girls &amp; Descendants - Edit'!$C$2:$AK$440,'All Girls &amp; Descendants - Edit'!O$1,FALSE)="","",(VLOOKUP($C301,'All Girls &amp; Descendants - Edit'!$C$2:$AK$440,'All Girls &amp; Descendants - Edit'!O$1,FALSE)))</f>
        <v/>
      </c>
      <c r="P301" s="3" t="str">
        <f t="shared" si="33"/>
        <v/>
      </c>
      <c r="Q301" s="178" t="str">
        <f t="shared" si="34"/>
        <v>47aa</v>
      </c>
      <c r="R301" s="23"/>
      <c r="S301" t="str">
        <f>VLOOKUP($C301,'All Girls &amp; Descendants - Edit'!$C$2:$AK$440,'All Girls &amp; Descendants - Edit'!S$1,FALSE)</f>
        <v>Female</v>
      </c>
      <c r="T301" s="176">
        <f t="shared" si="31"/>
        <v>6</v>
      </c>
      <c r="U301" s="176">
        <f t="shared" si="35"/>
        <v>5</v>
      </c>
      <c r="V301" s="176">
        <f t="shared" si="36"/>
        <v>3</v>
      </c>
      <c r="W301" s="177">
        <f t="shared" si="37"/>
        <v>3</v>
      </c>
      <c r="X301" s="3" t="str">
        <f>IF(VLOOKUP($C301,'All Girls &amp; Descendants - Edit'!$C$2:$AK$440,'All Girls &amp; Descendants - Edit'!X$1,FALSE)=""," - ",(VLOOKUP($C301,'All Girls &amp; Descendants - Edit'!$C$2:$AK$440,'All Girls &amp; Descendants - Edit'!X$1,FALSE)))</f>
        <v>Raymond Hubert HALLET (b. 11/10/1934, d. ?)</v>
      </c>
      <c r="Y301" s="3" t="str">
        <f>IF(VLOOKUP($C301,'All Girls &amp; Descendants - Edit'!$C$2:$AK$440,'All Girls &amp; Descendants - Edit'!Y$1,FALSE)=""," - ",(VLOOKUP($C301,'All Girls &amp; Descendants - Edit'!$C$2:$AK$440,'All Girls &amp; Descendants - Edit'!Y$1,FALSE)))</f>
        <v>Married at Chelsea, London, Raymond Hubert HALLETT.</v>
      </c>
      <c r="Z301" s="3" t="str">
        <f>IF(VLOOKUP($C301,'All Girls &amp; Descendants - Edit'!$C$2:$AK$440,'All Girls &amp; Descendants - Edit'!Z$1,FALSE)=""," - ",(VLOOKUP($C301,'All Girls &amp; Descendants - Edit'!$C$2:$AK$440,'All Girls &amp; Descendants - Edit'!Z$1,FALSE)))</f>
        <v>Mary HARDCASTLE of Keepers Cottage, Whiligh, Shovers Green, Wadhurst, East Sussex, TN5 7JU. Educated St. Mary’s, Wantage.</v>
      </c>
      <c r="AA301" s="101">
        <f>IF(VLOOKUP($C301,'All Girls &amp; Descendants - Edit'!$C$2:$AK$440,'All Girls &amp; Descendants - Edit'!AA$1,FALSE)=""," - ",(VLOOKUP($C301,'All Girls &amp; Descendants - Edit'!$C$2:$AK$440,'All Girls &amp; Descendants - Edit'!AA$1,FALSE)))</f>
        <v>96</v>
      </c>
      <c r="AB301" s="101">
        <f>IF(VLOOKUP($C301,'All Girls &amp; Descendants - Edit'!$C$2:$AK$440,'All Girls &amp; Descendants - Edit'!AB$1,FALSE)=""," - ",(VLOOKUP($C301,'All Girls &amp; Descendants - Edit'!$C$2:$AK$440,'All Girls &amp; Descendants - Edit'!AB$1,FALSE)))</f>
        <v>10</v>
      </c>
      <c r="AC301" s="101">
        <f>IF(VLOOKUP($C301,'All Girls &amp; Descendants - Edit'!$C$2:$AK$440,'All Girls &amp; Descendants - Edit'!AC$1,FALSE)=""," - ",(VLOOKUP($C301,'All Girls &amp; Descendants - Edit'!$C$2:$AK$440,'All Girls &amp; Descendants - Edit'!AC$1,FALSE)))</f>
        <v>3010</v>
      </c>
      <c r="AD301" s="3" t="str">
        <f>IF(VLOOKUP($C301,'All Girls &amp; Descendants - Edit'!$C$2:$AK$440,'All Girls &amp; Descendants - Edit'!AD$1,FALSE)=""," - ",(VLOOKUP($C301,'All Girls &amp; Descendants - Edit'!$C$2:$AK$440,'All Girls &amp; Descendants - Edit'!AD$1,FALSE)))</f>
        <v>47aaa</v>
      </c>
      <c r="AE301" s="3" t="str">
        <f>IF(VLOOKUP($C301,'All Girls &amp; Descendants - Edit'!$C$2:$AK$440,'All Girls &amp; Descendants - Edit'!AE$1,FALSE)=""," - ",(VLOOKUP($C301,'All Girls &amp; Descendants - Edit'!$C$2:$AK$440,'All Girls &amp; Descendants - Edit'!AE$1,FALSE)))</f>
        <v>Mary Jean  HARDCASTLE (1951 - )</v>
      </c>
      <c r="AF301" s="3" t="str">
        <f>IF(VLOOKUP($C301,'All Girls &amp; Descendants - Edit'!$C$2:$AK$440,'All Girls &amp; Descendants - Edit'!AF$1,FALSE)=""," - ",(VLOOKUP($C301,'All Girls &amp; Descendants - Edit'!$C$2:$AK$440,'All Girls &amp; Descendants - Edit'!AF$1,FALSE)))</f>
        <v>Mary HARDCASTLE (6th &amp; 47)</v>
      </c>
      <c r="AG301" s="3" t="str">
        <f>IF(VLOOKUP($C301,'All Girls &amp; Descendants - Edit'!$C$2:$AK$440,'All Girls &amp; Descendants - Edit'!AG$1,FALSE)=""," - ",(VLOOKUP($C301,'All Girls &amp; Descendants - Edit'!$C$2:$AK$440,'All Girls &amp; Descendants - Edit'!AG$1,FALSE)))</f>
        <v>Female</v>
      </c>
      <c r="AH301" s="3" t="str">
        <f>IF(VLOOKUP($C301,'All Girls &amp; Descendants - Edit'!$C$2:$AK$440,'All Girls &amp; Descendants - Edit'!AH$1,FALSE)=""," - ",(VLOOKUP($C301,'All Girls &amp; Descendants - Edit'!$C$2:$AK$440,'All Girls &amp; Descendants - Edit'!AH$1,FALSE)))</f>
        <v>6th</v>
      </c>
      <c r="AI301" s="3" t="str">
        <f>IF(VLOOKUP($C301,'All Girls &amp; Descendants - Edit'!$C$2:$AK$440,'All Girls &amp; Descendants - Edit'!AI$1,FALSE)=""," - ",(VLOOKUP($C301,'All Girls &amp; Descendants - Edit'!$C$2:$AK$440,'All Girls &amp; Descendants - Edit'!AI$1,FALSE)))</f>
        <v>Husband: Raymond Hubert HALLET (b. 11/10/1934, d. ?). Married at Chelsea, London, Raymond Hubert HALLETT.</v>
      </c>
      <c r="AJ301" s="3" t="str">
        <f>IF(VLOOKUP($C301,'All Girls &amp; Descendants - Edit'!$C$2:$AK$440,'All Girls &amp; Descendants - Edit'!AJ$1,FALSE)=""," - ",(VLOOKUP($C301,'All Girls &amp; Descendants - Edit'!$C$2:$AK$440,'All Girls &amp; Descendants - Edit'!AJ$1,FALSE)))</f>
        <v>Female. b. 06/08/1951 Mary HARDCASTLE of Keepers Cottage, Whiligh, Shovers Green, Wadhurst, East Sussex, TN5 7JU. Educated St. Mary’s, Wantage.</v>
      </c>
      <c r="AK301" s="3" t="str">
        <f>IF(VLOOKUP($C301,'All Girls &amp; Descendants - Edit'!$C$2:$AK$440,'All Girls &amp; Descendants - Edit'!AK$1,FALSE)=""," - ",(VLOOKUP($C301,'All Girls &amp; Descendants - Edit'!$C$2:$AK$440,'All Girls &amp; Descendants - Edit'!AK$1,FALSE)))</f>
        <v>b. 06/08/1951</v>
      </c>
    </row>
    <row r="302" spans="1:37" ht="19">
      <c r="A302">
        <f>VLOOKUP(B302,'Loyd List 1-190 - Edit'!$P$1:$R$219,3,FALSE)</f>
        <v>22</v>
      </c>
      <c r="B302">
        <f>'All Girls &amp; Descendants - Edit'!B303</f>
        <v>47</v>
      </c>
      <c r="C302" s="98" t="str">
        <f>'All Girls &amp; Descendants - Edit'!C303</f>
        <v>47aab</v>
      </c>
      <c r="D302" s="2" t="str">
        <f>'All Girls &amp; Descendants - Edit'!D303</f>
        <v>HARDCASTLE</v>
      </c>
      <c r="E302" t="str">
        <f>'All Girls &amp; Descendants - Edit'!E303</f>
        <v>John</v>
      </c>
      <c r="F302" t="str">
        <f>IF('All Girls &amp; Descendants - Edit'!F303="","",'All Girls &amp; Descendants - Edit'!F303)</f>
        <v>Michael</v>
      </c>
      <c r="G302" t="str">
        <f>IF('All Girls &amp; Descendants - Edit'!G303="","",'All Girls &amp; Descendants - Edit'!G303)</f>
        <v/>
      </c>
      <c r="H302" t="str">
        <f>IF('All Girls &amp; Descendants - Edit'!H303="","",'All Girls &amp; Descendants - Edit'!H303)</f>
        <v>Michael</v>
      </c>
      <c r="I302">
        <f>VLOOKUP($C302,'All Girls &amp; Descendants - Edit'!$C$2:$AK$440,'All Girls &amp; Descendants - Edit'!I$1,FALSE)</f>
        <v>1953</v>
      </c>
      <c r="J302" t="str">
        <f>VLOOKUP($C302,'All Girls &amp; Descendants - Edit'!$C$2:$AK$440,'All Girls &amp; Descendants - Edit'!J$1,FALSE)</f>
        <v/>
      </c>
      <c r="K302" s="9"/>
      <c r="L302" t="str">
        <f t="shared" si="32"/>
        <v>27/01/1953</v>
      </c>
      <c r="M302" s="3">
        <f>VLOOKUP($C302,'All Girls &amp; Descendants - Edit'!$C$2:$AK$440,'All Girls &amp; Descendants - Edit'!M$1,FALSE)</f>
        <v>19386</v>
      </c>
      <c r="N302" s="3">
        <f>IF(VLOOKUP($C302,'All Girls &amp; Descendants - Edit'!$C$2:$AK$440,'All Girls &amp; Descendants - Edit'!N$1,FALSE)=""," - ",(VLOOKUP($C302,'All Girls &amp; Descendants - Edit'!$C$2:$AK$440,'All Girls &amp; Descendants - Edit'!N$1,FALSE)))</f>
        <v>29365</v>
      </c>
      <c r="O302" s="3" t="str">
        <f>IF(VLOOKUP($C302,'All Girls &amp; Descendants - Edit'!$C$2:$AK$440,'All Girls &amp; Descendants - Edit'!O$1,FALSE)="","",(VLOOKUP($C302,'All Girls &amp; Descendants - Edit'!$C$2:$AK$440,'All Girls &amp; Descendants - Edit'!O$1,FALSE)))</f>
        <v/>
      </c>
      <c r="P302" s="3" t="str">
        <f t="shared" si="33"/>
        <v/>
      </c>
      <c r="Q302" s="178" t="str">
        <f t="shared" si="34"/>
        <v>47aa</v>
      </c>
      <c r="R302" s="23"/>
      <c r="S302" t="str">
        <f>VLOOKUP($C302,'All Girls &amp; Descendants - Edit'!$C$2:$AK$440,'All Girls &amp; Descendants - Edit'!S$1,FALSE)</f>
        <v>Male</v>
      </c>
      <c r="T302" s="176">
        <f t="shared" si="31"/>
        <v>6</v>
      </c>
      <c r="U302" s="176">
        <f t="shared" si="35"/>
        <v>5</v>
      </c>
      <c r="V302" s="176">
        <f t="shared" si="36"/>
        <v>3</v>
      </c>
      <c r="W302" s="177">
        <f t="shared" si="37"/>
        <v>3</v>
      </c>
      <c r="X302" s="3" t="str">
        <f>IF(VLOOKUP($C302,'All Girls &amp; Descendants - Edit'!$C$2:$AK$440,'All Girls &amp; Descendants - Edit'!X$1,FALSE)=""," - ",(VLOOKUP($C302,'All Girls &amp; Descendants - Edit'!$C$2:$AK$440,'All Girls &amp; Descendants - Edit'!X$1,FALSE)))</f>
        <v>Jean Elizabeth AMOS (b. 21/05/1949, d. ?)</v>
      </c>
      <c r="Y302" s="3" t="str">
        <f>IF(VLOOKUP($C302,'All Girls &amp; Descendants - Edit'!$C$2:$AK$440,'All Girls &amp; Descendants - Edit'!Y$1,FALSE)=""," - ",(VLOOKUP($C302,'All Girls &amp; Descendants - Edit'!$C$2:$AK$440,'All Girls &amp; Descendants - Edit'!Y$1,FALSE)))</f>
        <v xml:space="preserve">Married Jean at Great Bowden, Leicestershire. </v>
      </c>
      <c r="Z302" s="3" t="str">
        <f>IF(VLOOKUP($C302,'All Girls &amp; Descendants - Edit'!$C$2:$AK$440,'All Girls &amp; Descendants - Edit'!Z$1,FALSE)=""," - ",(VLOOKUP($C302,'All Girls &amp; Descendants - Edit'!$C$2:$AK$440,'All Girls &amp; Descendants - Edit'!Z$1,FALSE)))</f>
        <v>John Michael HARDCASTLE of Home Farm, Whiligh, Shovers Green, East Sussex, TN5 7JX. Educated Bradfield and Reading University (BSc Estate Management).</v>
      </c>
      <c r="AA302" s="101">
        <f>IF(VLOOKUP($C302,'All Girls &amp; Descendants - Edit'!$C$2:$AK$440,'All Girls &amp; Descendants - Edit'!AA$1,FALSE)=""," - ",(VLOOKUP($C302,'All Girls &amp; Descendants - Edit'!$C$2:$AK$440,'All Girls &amp; Descendants - Edit'!AA$1,FALSE)))</f>
        <v>99</v>
      </c>
      <c r="AB302" s="101">
        <f>IF(VLOOKUP($C302,'All Girls &amp; Descendants - Edit'!$C$2:$AK$440,'All Girls &amp; Descendants - Edit'!AB$1,FALSE)=""," - ",(VLOOKUP($C302,'All Girls &amp; Descendants - Edit'!$C$2:$AK$440,'All Girls &amp; Descendants - Edit'!AB$1,FALSE)))</f>
        <v>11</v>
      </c>
      <c r="AC302" s="101">
        <f>IF(VLOOKUP($C302,'All Girls &amp; Descendants - Edit'!$C$2:$AK$440,'All Girls &amp; Descendants - Edit'!AC$1,FALSE)=""," - ",(VLOOKUP($C302,'All Girls &amp; Descendants - Edit'!$C$2:$AK$440,'All Girls &amp; Descendants - Edit'!AC$1,FALSE)))</f>
        <v>3011</v>
      </c>
      <c r="AD302" s="3" t="str">
        <f>IF(VLOOKUP($C302,'All Girls &amp; Descendants - Edit'!$C$2:$AK$440,'All Girls &amp; Descendants - Edit'!AD$1,FALSE)=""," - ",(VLOOKUP($C302,'All Girls &amp; Descendants - Edit'!$C$2:$AK$440,'All Girls &amp; Descendants - Edit'!AD$1,FALSE)))</f>
        <v>47aab</v>
      </c>
      <c r="AE302" s="3" t="str">
        <f>IF(VLOOKUP($C302,'All Girls &amp; Descendants - Edit'!$C$2:$AK$440,'All Girls &amp; Descendants - Edit'!AE$1,FALSE)=""," - ",(VLOOKUP($C302,'All Girls &amp; Descendants - Edit'!$C$2:$AK$440,'All Girls &amp; Descendants - Edit'!AE$1,FALSE)))</f>
        <v>John Michael  HARDCASTLE (1953 - )</v>
      </c>
      <c r="AF302" s="3" t="str">
        <f>IF(VLOOKUP($C302,'All Girls &amp; Descendants - Edit'!$C$2:$AK$440,'All Girls &amp; Descendants - Edit'!AF$1,FALSE)=""," - ",(VLOOKUP($C302,'All Girls &amp; Descendants - Edit'!$C$2:$AK$440,'All Girls &amp; Descendants - Edit'!AF$1,FALSE)))</f>
        <v>Michael HARDCASTLE (6th &amp; 47)</v>
      </c>
      <c r="AG302" s="3" t="str">
        <f>IF(VLOOKUP($C302,'All Girls &amp; Descendants - Edit'!$C$2:$AK$440,'All Girls &amp; Descendants - Edit'!AG$1,FALSE)=""," - ",(VLOOKUP($C302,'All Girls &amp; Descendants - Edit'!$C$2:$AK$440,'All Girls &amp; Descendants - Edit'!AG$1,FALSE)))</f>
        <v>Male</v>
      </c>
      <c r="AH302" s="3" t="str">
        <f>IF(VLOOKUP($C302,'All Girls &amp; Descendants - Edit'!$C$2:$AK$440,'All Girls &amp; Descendants - Edit'!AH$1,FALSE)=""," - ",(VLOOKUP($C302,'All Girls &amp; Descendants - Edit'!$C$2:$AK$440,'All Girls &amp; Descendants - Edit'!AH$1,FALSE)))</f>
        <v>6th</v>
      </c>
      <c r="AI302" s="3" t="str">
        <f>IF(VLOOKUP($C302,'All Girls &amp; Descendants - Edit'!$C$2:$AK$440,'All Girls &amp; Descendants - Edit'!AI$1,FALSE)=""," - ",(VLOOKUP($C302,'All Girls &amp; Descendants - Edit'!$C$2:$AK$440,'All Girls &amp; Descendants - Edit'!AI$1,FALSE)))</f>
        <v xml:space="preserve">Wife: Jean Elizabeth AMOS (b. 21/05/1949, d. ?). Married Jean at Great Bowden, Leicestershire. </v>
      </c>
      <c r="AJ302" s="3" t="str">
        <f>IF(VLOOKUP($C302,'All Girls &amp; Descendants - Edit'!$C$2:$AK$440,'All Girls &amp; Descendants - Edit'!AJ$1,FALSE)=""," - ",(VLOOKUP($C302,'All Girls &amp; Descendants - Edit'!$C$2:$AK$440,'All Girls &amp; Descendants - Edit'!AJ$1,FALSE)))</f>
        <v>Male. b. 27/01/1953 John Michael HARDCASTLE of Home Farm, Whiligh, Shovers Green, East Sussex, TN5 7JX. Educated Bradfield and Reading University (BSc Estate Management).</v>
      </c>
      <c r="AK302" s="3" t="str">
        <f>IF(VLOOKUP($C302,'All Girls &amp; Descendants - Edit'!$C$2:$AK$440,'All Girls &amp; Descendants - Edit'!AK$1,FALSE)=""," - ",(VLOOKUP($C302,'All Girls &amp; Descendants - Edit'!$C$2:$AK$440,'All Girls &amp; Descendants - Edit'!AK$1,FALSE)))</f>
        <v>b. 27/01/1953</v>
      </c>
    </row>
    <row r="303" spans="1:37" ht="19">
      <c r="A303">
        <f>VLOOKUP(B303,'Loyd List 1-190 - Edit'!$P$1:$R$219,3,FALSE)</f>
        <v>22</v>
      </c>
      <c r="B303">
        <f>'All Girls &amp; Descendants - Edit'!B304</f>
        <v>47</v>
      </c>
      <c r="C303" s="98" t="str">
        <f>'All Girls &amp; Descendants - Edit'!C304</f>
        <v>47aac</v>
      </c>
      <c r="D303" s="2" t="str">
        <f>'All Girls &amp; Descendants - Edit'!D304</f>
        <v>HARDCASTLE</v>
      </c>
      <c r="E303" t="str">
        <f>'All Girls &amp; Descendants - Edit'!E304</f>
        <v>Anthony</v>
      </c>
      <c r="F303" t="str">
        <f>IF('All Girls &amp; Descendants - Edit'!F304="","",'All Girls &amp; Descendants - Edit'!F304)</f>
        <v>David</v>
      </c>
      <c r="G303" t="str">
        <f>IF('All Girls &amp; Descendants - Edit'!G304="","",'All Girls &amp; Descendants - Edit'!G304)</f>
        <v/>
      </c>
      <c r="H303" t="str">
        <f>IF('All Girls &amp; Descendants - Edit'!H304="","",'All Girls &amp; Descendants - Edit'!H304)</f>
        <v>David</v>
      </c>
      <c r="I303">
        <f>VLOOKUP($C303,'All Girls &amp; Descendants - Edit'!$C$2:$AK$440,'All Girls &amp; Descendants - Edit'!I$1,FALSE)</f>
        <v>1954</v>
      </c>
      <c r="J303" t="str">
        <f>VLOOKUP($C303,'All Girls &amp; Descendants - Edit'!$C$2:$AK$440,'All Girls &amp; Descendants - Edit'!J$1,FALSE)</f>
        <v/>
      </c>
      <c r="K303" s="9"/>
      <c r="L303" t="str">
        <f t="shared" si="32"/>
        <v>07/06/1954</v>
      </c>
      <c r="M303" s="3">
        <f>VLOOKUP($C303,'All Girls &amp; Descendants - Edit'!$C$2:$AK$440,'All Girls &amp; Descendants - Edit'!M$1,FALSE)</f>
        <v>19882</v>
      </c>
      <c r="N303" s="3">
        <f>IF(VLOOKUP($C303,'All Girls &amp; Descendants - Edit'!$C$2:$AK$440,'All Girls &amp; Descendants - Edit'!N$1,FALSE)=""," - ",(VLOOKUP($C303,'All Girls &amp; Descendants - Edit'!$C$2:$AK$440,'All Girls &amp; Descendants - Edit'!N$1,FALSE)))</f>
        <v>29799</v>
      </c>
      <c r="O303" s="3" t="str">
        <f>IF(VLOOKUP($C303,'All Girls &amp; Descendants - Edit'!$C$2:$AK$440,'All Girls &amp; Descendants - Edit'!O$1,FALSE)="","",(VLOOKUP($C303,'All Girls &amp; Descendants - Edit'!$C$2:$AK$440,'All Girls &amp; Descendants - Edit'!O$1,FALSE)))</f>
        <v/>
      </c>
      <c r="P303" s="3" t="str">
        <f t="shared" si="33"/>
        <v/>
      </c>
      <c r="Q303" s="178" t="str">
        <f t="shared" si="34"/>
        <v>47aa</v>
      </c>
      <c r="R303" s="23"/>
      <c r="S303" t="str">
        <f>VLOOKUP($C303,'All Girls &amp; Descendants - Edit'!$C$2:$AK$440,'All Girls &amp; Descendants - Edit'!S$1,FALSE)</f>
        <v>Male</v>
      </c>
      <c r="T303" s="176">
        <f t="shared" si="31"/>
        <v>6</v>
      </c>
      <c r="U303" s="176">
        <f t="shared" si="35"/>
        <v>5</v>
      </c>
      <c r="V303" s="176">
        <f t="shared" si="36"/>
        <v>3</v>
      </c>
      <c r="W303" s="177">
        <f t="shared" si="37"/>
        <v>3</v>
      </c>
      <c r="X303" s="3" t="str">
        <f>IF(VLOOKUP($C303,'All Girls &amp; Descendants - Edit'!$C$2:$AK$440,'All Girls &amp; Descendants - Edit'!X$1,FALSE)=""," - ",(VLOOKUP($C303,'All Girls &amp; Descendants - Edit'!$C$2:$AK$440,'All Girls &amp; Descendants - Edit'!X$1,FALSE)))</f>
        <v>Judith Anne LEWINGTON (b. 26/06/1948, d. ?)</v>
      </c>
      <c r="Y303" s="3" t="str">
        <f>IF(VLOOKUP($C303,'All Girls &amp; Descendants - Edit'!$C$2:$AK$440,'All Girls &amp; Descendants - Edit'!Y$1,FALSE)=""," - ",(VLOOKUP($C303,'All Girls &amp; Descendants - Edit'!$C$2:$AK$440,'All Girls &amp; Descendants - Edit'!Y$1,FALSE)))</f>
        <v>Divorced 1987.</v>
      </c>
      <c r="Z303" s="3" t="str">
        <f>IF(VLOOKUP($C303,'All Girls &amp; Descendants - Edit'!$C$2:$AK$440,'All Girls &amp; Descendants - Edit'!Z$1,FALSE)=""," - ",(VLOOKUP($C303,'All Girls &amp; Descendants - Edit'!$C$2:$AK$440,'All Girls &amp; Descendants - Edit'!Z$1,FALSE)))</f>
        <v>Educated Bradfield and Canterbury College of Art.</v>
      </c>
      <c r="AA303" s="101">
        <f>IF(VLOOKUP($C303,'All Girls &amp; Descendants - Edit'!$C$2:$AK$440,'All Girls &amp; Descendants - Edit'!AA$1,FALSE)=""," - ",(VLOOKUP($C303,'All Girls &amp; Descendants - Edit'!$C$2:$AK$440,'All Girls &amp; Descendants - Edit'!AA$1,FALSE)))</f>
        <v>103</v>
      </c>
      <c r="AB303" s="101">
        <f>IF(VLOOKUP($C303,'All Girls &amp; Descendants - Edit'!$C$2:$AK$440,'All Girls &amp; Descendants - Edit'!AB$1,FALSE)=""," - ",(VLOOKUP($C303,'All Girls &amp; Descendants - Edit'!$C$2:$AK$440,'All Girls &amp; Descendants - Edit'!AB$1,FALSE)))</f>
        <v>12</v>
      </c>
      <c r="AC303" s="101">
        <f>IF(VLOOKUP($C303,'All Girls &amp; Descendants - Edit'!$C$2:$AK$440,'All Girls &amp; Descendants - Edit'!AC$1,FALSE)=""," - ",(VLOOKUP($C303,'All Girls &amp; Descendants - Edit'!$C$2:$AK$440,'All Girls &amp; Descendants - Edit'!AC$1,FALSE)))</f>
        <v>3012</v>
      </c>
      <c r="AD303" s="3" t="str">
        <f>IF(VLOOKUP($C303,'All Girls &amp; Descendants - Edit'!$C$2:$AK$440,'All Girls &amp; Descendants - Edit'!AD$1,FALSE)=""," - ",(VLOOKUP($C303,'All Girls &amp; Descendants - Edit'!$C$2:$AK$440,'All Girls &amp; Descendants - Edit'!AD$1,FALSE)))</f>
        <v>47aac</v>
      </c>
      <c r="AE303" s="3" t="str">
        <f>IF(VLOOKUP($C303,'All Girls &amp; Descendants - Edit'!$C$2:$AK$440,'All Girls &amp; Descendants - Edit'!AE$1,FALSE)=""," - ",(VLOOKUP($C303,'All Girls &amp; Descendants - Edit'!$C$2:$AK$440,'All Girls &amp; Descendants - Edit'!AE$1,FALSE)))</f>
        <v>Anthony David  HARDCASTLE (1954 - )</v>
      </c>
      <c r="AF303" s="3" t="str">
        <f>IF(VLOOKUP($C303,'All Girls &amp; Descendants - Edit'!$C$2:$AK$440,'All Girls &amp; Descendants - Edit'!AF$1,FALSE)=""," - ",(VLOOKUP($C303,'All Girls &amp; Descendants - Edit'!$C$2:$AK$440,'All Girls &amp; Descendants - Edit'!AF$1,FALSE)))</f>
        <v>David HARDCASTLE (6th &amp; 47)</v>
      </c>
      <c r="AG303" s="3" t="str">
        <f>IF(VLOOKUP($C303,'All Girls &amp; Descendants - Edit'!$C$2:$AK$440,'All Girls &amp; Descendants - Edit'!AG$1,FALSE)=""," - ",(VLOOKUP($C303,'All Girls &amp; Descendants - Edit'!$C$2:$AK$440,'All Girls &amp; Descendants - Edit'!AG$1,FALSE)))</f>
        <v>Male</v>
      </c>
      <c r="AH303" s="3" t="str">
        <f>IF(VLOOKUP($C303,'All Girls &amp; Descendants - Edit'!$C$2:$AK$440,'All Girls &amp; Descendants - Edit'!AH$1,FALSE)=""," - ",(VLOOKUP($C303,'All Girls &amp; Descendants - Edit'!$C$2:$AK$440,'All Girls &amp; Descendants - Edit'!AH$1,FALSE)))</f>
        <v>6th</v>
      </c>
      <c r="AI303" s="3" t="str">
        <f>IF(VLOOKUP($C303,'All Girls &amp; Descendants - Edit'!$C$2:$AK$440,'All Girls &amp; Descendants - Edit'!AI$1,FALSE)=""," - ",(VLOOKUP($C303,'All Girls &amp; Descendants - Edit'!$C$2:$AK$440,'All Girls &amp; Descendants - Edit'!AI$1,FALSE)))</f>
        <v>Wife: Judith Anne LEWINGTON (b. 26/06/1948, d. ?). Divorced 1987.</v>
      </c>
      <c r="AJ303" s="3" t="str">
        <f>IF(VLOOKUP($C303,'All Girls &amp; Descendants - Edit'!$C$2:$AK$440,'All Girls &amp; Descendants - Edit'!AJ$1,FALSE)=""," - ",(VLOOKUP($C303,'All Girls &amp; Descendants - Edit'!$C$2:$AK$440,'All Girls &amp; Descendants - Edit'!AJ$1,FALSE)))</f>
        <v>Male. b. 07/06/1954 Educated Bradfield and Canterbury College of Art.</v>
      </c>
      <c r="AK303" s="3" t="str">
        <f>IF(VLOOKUP($C303,'All Girls &amp; Descendants - Edit'!$C$2:$AK$440,'All Girls &amp; Descendants - Edit'!AK$1,FALSE)=""," - ",(VLOOKUP($C303,'All Girls &amp; Descendants - Edit'!$C$2:$AK$440,'All Girls &amp; Descendants - Edit'!AK$1,FALSE)))</f>
        <v>b. 07/06/1954</v>
      </c>
    </row>
    <row r="304" spans="1:37" ht="19">
      <c r="A304">
        <f>VLOOKUP(B304,'Loyd List 1-190 - Edit'!$P$1:$R$219,3,FALSE)</f>
        <v>22</v>
      </c>
      <c r="B304">
        <f>'All Girls &amp; Descendants - Edit'!B305</f>
        <v>47</v>
      </c>
      <c r="C304" s="98" t="str">
        <f>'All Girls &amp; Descendants - Edit'!C305</f>
        <v>47aba</v>
      </c>
      <c r="D304" s="2" t="str">
        <f>'All Girls &amp; Descendants - Edit'!D305</f>
        <v>DREWE</v>
      </c>
      <c r="E304" t="str">
        <f>'All Girls &amp; Descendants - Edit'!E305</f>
        <v>Martin</v>
      </c>
      <c r="F304" t="str">
        <f>IF('All Girls &amp; Descendants - Edit'!F305="","",'All Girls &amp; Descendants - Edit'!F305)</f>
        <v>Christopher</v>
      </c>
      <c r="G304" t="str">
        <f>IF('All Girls &amp; Descendants - Edit'!G305="","",'All Girls &amp; Descendants - Edit'!G305)</f>
        <v/>
      </c>
      <c r="H304" t="str">
        <f>IF('All Girls &amp; Descendants - Edit'!H305="","",'All Girls &amp; Descendants - Edit'!H305)</f>
        <v/>
      </c>
      <c r="I304">
        <f>VLOOKUP($C304,'All Girls &amp; Descendants - Edit'!$C$2:$AK$440,'All Girls &amp; Descendants - Edit'!I$1,FALSE)</f>
        <v>1951</v>
      </c>
      <c r="J304" t="str">
        <f>VLOOKUP($C304,'All Girls &amp; Descendants - Edit'!$C$2:$AK$440,'All Girls &amp; Descendants - Edit'!J$1,FALSE)</f>
        <v/>
      </c>
      <c r="K304" s="9"/>
      <c r="L304" t="str">
        <f t="shared" si="32"/>
        <v>27/05/1951</v>
      </c>
      <c r="M304" s="3">
        <f>VLOOKUP($C304,'All Girls &amp; Descendants - Edit'!$C$2:$AK$440,'All Girls &amp; Descendants - Edit'!M$1,FALSE)</f>
        <v>18775</v>
      </c>
      <c r="N304" s="3">
        <f>IF(VLOOKUP($C304,'All Girls &amp; Descendants - Edit'!$C$2:$AK$440,'All Girls &amp; Descendants - Edit'!N$1,FALSE)=""," - ",(VLOOKUP($C304,'All Girls &amp; Descendants - Edit'!$C$2:$AK$440,'All Girls &amp; Descendants - Edit'!N$1,FALSE)))</f>
        <v>35096</v>
      </c>
      <c r="O304" s="3" t="str">
        <f>IF(VLOOKUP($C304,'All Girls &amp; Descendants - Edit'!$C$2:$AK$440,'All Girls &amp; Descendants - Edit'!O$1,FALSE)="","",(VLOOKUP($C304,'All Girls &amp; Descendants - Edit'!$C$2:$AK$440,'All Girls &amp; Descendants - Edit'!O$1,FALSE)))</f>
        <v/>
      </c>
      <c r="P304" s="3" t="str">
        <f t="shared" si="33"/>
        <v/>
      </c>
      <c r="Q304" s="178" t="str">
        <f t="shared" si="34"/>
        <v>47ab</v>
      </c>
      <c r="R304" s="23"/>
      <c r="S304" t="str">
        <f>VLOOKUP($C304,'All Girls &amp; Descendants - Edit'!$C$2:$AK$440,'All Girls &amp; Descendants - Edit'!S$1,FALSE)</f>
        <v>Male</v>
      </c>
      <c r="T304" s="176">
        <f t="shared" si="31"/>
        <v>6</v>
      </c>
      <c r="U304" s="176">
        <f t="shared" si="35"/>
        <v>5</v>
      </c>
      <c r="V304" s="176">
        <f t="shared" si="36"/>
        <v>3</v>
      </c>
      <c r="W304" s="177">
        <f t="shared" si="37"/>
        <v>3</v>
      </c>
      <c r="X304" s="3" t="str">
        <f>IF(VLOOKUP($C304,'All Girls &amp; Descendants - Edit'!$C$2:$AK$440,'All Girls &amp; Descendants - Edit'!X$1,FALSE)=""," - ",(VLOOKUP($C304,'All Girls &amp; Descendants - Edit'!$C$2:$AK$440,'All Girls &amp; Descendants - Edit'!X$1,FALSE)))</f>
        <v>Stella Eleanor FRANCIS (b. 05/03/1948, d. ?)</v>
      </c>
      <c r="Y304" s="3" t="str">
        <f>IF(VLOOKUP($C304,'All Girls &amp; Descendants - Edit'!$C$2:$AK$440,'All Girls &amp; Descendants - Edit'!Y$1,FALSE)=""," - ",(VLOOKUP($C304,'All Girls &amp; Descendants - Edit'!$C$2:$AK$440,'All Girls &amp; Descendants - Edit'!Y$1,FALSE)))</f>
        <v>Married at Hermanus, South Africa, Stella Eleanor, younger daughter of Charles Henry FRANCIS of Sheffield, Yorkshire.</v>
      </c>
      <c r="Z304" s="3" t="str">
        <f>IF(VLOOKUP($C304,'All Girls &amp; Descendants - Edit'!$C$2:$AK$440,'All Girls &amp; Descendants - Edit'!Z$1,FALSE)=""," - ",(VLOOKUP($C304,'All Girls &amp; Descendants - Edit'!$C$2:$AK$440,'All Girls &amp; Descendants - Edit'!Z$1,FALSE)))</f>
        <v>Born at Winchester, Hampshire. Martin Christopher DREWE of 65 Elgin Crescent, London, W11.</v>
      </c>
      <c r="AA304" s="101">
        <f>IF(VLOOKUP($C304,'All Girls &amp; Descendants - Edit'!$C$2:$AK$440,'All Girls &amp; Descendants - Edit'!AA$1,FALSE)=""," - ",(VLOOKUP($C304,'All Girls &amp; Descendants - Edit'!$C$2:$AK$440,'All Girls &amp; Descendants - Edit'!AA$1,FALSE)))</f>
        <v>105</v>
      </c>
      <c r="AB304" s="101">
        <f>IF(VLOOKUP($C304,'All Girls &amp; Descendants - Edit'!$C$2:$AK$440,'All Girls &amp; Descendants - Edit'!AB$1,FALSE)=""," - ",(VLOOKUP($C304,'All Girls &amp; Descendants - Edit'!$C$2:$AK$440,'All Girls &amp; Descendants - Edit'!AB$1,FALSE)))</f>
        <v>13</v>
      </c>
      <c r="AC304" s="101">
        <f>IF(VLOOKUP($C304,'All Girls &amp; Descendants - Edit'!$C$2:$AK$440,'All Girls &amp; Descendants - Edit'!AC$1,FALSE)=""," - ",(VLOOKUP($C304,'All Girls &amp; Descendants - Edit'!$C$2:$AK$440,'All Girls &amp; Descendants - Edit'!AC$1,FALSE)))</f>
        <v>3013</v>
      </c>
      <c r="AD304" s="3" t="str">
        <f>IF(VLOOKUP($C304,'All Girls &amp; Descendants - Edit'!$C$2:$AK$440,'All Girls &amp; Descendants - Edit'!AD$1,FALSE)=""," - ",(VLOOKUP($C304,'All Girls &amp; Descendants - Edit'!$C$2:$AK$440,'All Girls &amp; Descendants - Edit'!AD$1,FALSE)))</f>
        <v>47aba</v>
      </c>
      <c r="AE304" s="3" t="str">
        <f>IF(VLOOKUP($C304,'All Girls &amp; Descendants - Edit'!$C$2:$AK$440,'All Girls &amp; Descendants - Edit'!AE$1,FALSE)=""," - ",(VLOOKUP($C304,'All Girls &amp; Descendants - Edit'!$C$2:$AK$440,'All Girls &amp; Descendants - Edit'!AE$1,FALSE)))</f>
        <v>Martin Christopher  DREWE (1951 - )</v>
      </c>
      <c r="AF304" s="3" t="str">
        <f>IF(VLOOKUP($C304,'All Girls &amp; Descendants - Edit'!$C$2:$AK$440,'All Girls &amp; Descendants - Edit'!AF$1,FALSE)=""," - ",(VLOOKUP($C304,'All Girls &amp; Descendants - Edit'!$C$2:$AK$440,'All Girls &amp; Descendants - Edit'!AF$1,FALSE)))</f>
        <v>Martin DREWE (6th &amp; 47)</v>
      </c>
      <c r="AG304" s="3" t="str">
        <f>IF(VLOOKUP($C304,'All Girls &amp; Descendants - Edit'!$C$2:$AK$440,'All Girls &amp; Descendants - Edit'!AG$1,FALSE)=""," - ",(VLOOKUP($C304,'All Girls &amp; Descendants - Edit'!$C$2:$AK$440,'All Girls &amp; Descendants - Edit'!AG$1,FALSE)))</f>
        <v>Male</v>
      </c>
      <c r="AH304" s="3" t="str">
        <f>IF(VLOOKUP($C304,'All Girls &amp; Descendants - Edit'!$C$2:$AK$440,'All Girls &amp; Descendants - Edit'!AH$1,FALSE)=""," - ",(VLOOKUP($C304,'All Girls &amp; Descendants - Edit'!$C$2:$AK$440,'All Girls &amp; Descendants - Edit'!AH$1,FALSE)))</f>
        <v>6th</v>
      </c>
      <c r="AI304" s="3" t="str">
        <f>IF(VLOOKUP($C304,'All Girls &amp; Descendants - Edit'!$C$2:$AK$440,'All Girls &amp; Descendants - Edit'!AI$1,FALSE)=""," - ",(VLOOKUP($C304,'All Girls &amp; Descendants - Edit'!$C$2:$AK$440,'All Girls &amp; Descendants - Edit'!AI$1,FALSE)))</f>
        <v>Wife: Stella Eleanor FRANCIS (b. 05/03/1948, d. ?). Married at Hermanus, South Africa, Stella Eleanor, younger daughter of Charles Henry FRANCIS of Sheffield, Yorkshire.</v>
      </c>
      <c r="AJ304" s="3" t="str">
        <f>IF(VLOOKUP($C304,'All Girls &amp; Descendants - Edit'!$C$2:$AK$440,'All Girls &amp; Descendants - Edit'!AJ$1,FALSE)=""," - ",(VLOOKUP($C304,'All Girls &amp; Descendants - Edit'!$C$2:$AK$440,'All Girls &amp; Descendants - Edit'!AJ$1,FALSE)))</f>
        <v>Male. b. 27/05/1951 Born at Winchester, Hampshire. Martin Christopher DREWE of 65 Elgin Crescent, London, W11.</v>
      </c>
      <c r="AK304" s="3" t="str">
        <f>IF(VLOOKUP($C304,'All Girls &amp; Descendants - Edit'!$C$2:$AK$440,'All Girls &amp; Descendants - Edit'!AK$1,FALSE)=""," - ",(VLOOKUP($C304,'All Girls &amp; Descendants - Edit'!$C$2:$AK$440,'All Girls &amp; Descendants - Edit'!AK$1,FALSE)))</f>
        <v>b. 27/05/1951</v>
      </c>
    </row>
    <row r="305" spans="1:37" ht="19">
      <c r="A305">
        <f>VLOOKUP(B305,'Loyd List 1-190 - Edit'!$P$1:$R$219,3,FALSE)</f>
        <v>22</v>
      </c>
      <c r="B305">
        <f>'All Girls &amp; Descendants - Edit'!B306</f>
        <v>47</v>
      </c>
      <c r="C305" s="98" t="str">
        <f>'All Girls &amp; Descendants - Edit'!C306</f>
        <v>47abb</v>
      </c>
      <c r="D305" s="2" t="str">
        <f>'All Girls &amp; Descendants - Edit'!D306</f>
        <v>DREWE</v>
      </c>
      <c r="E305" t="str">
        <f>'All Girls &amp; Descendants - Edit'!E306</f>
        <v>Gillian</v>
      </c>
      <c r="F305" t="str">
        <f>IF('All Girls &amp; Descendants - Edit'!F306="","",'All Girls &amp; Descendants - Edit'!F306)</f>
        <v>Frances</v>
      </c>
      <c r="G305" t="str">
        <f>IF('All Girls &amp; Descendants - Edit'!G306="","",'All Girls &amp; Descendants - Edit'!G306)</f>
        <v/>
      </c>
      <c r="H305" t="str">
        <f>IF('All Girls &amp; Descendants - Edit'!H306="","",'All Girls &amp; Descendants - Edit'!H306)</f>
        <v/>
      </c>
      <c r="I305">
        <f>VLOOKUP($C305,'All Girls &amp; Descendants - Edit'!$C$2:$AK$440,'All Girls &amp; Descendants - Edit'!I$1,FALSE)</f>
        <v>1953</v>
      </c>
      <c r="J305" t="str">
        <f>VLOOKUP($C305,'All Girls &amp; Descendants - Edit'!$C$2:$AK$440,'All Girls &amp; Descendants - Edit'!J$1,FALSE)</f>
        <v/>
      </c>
      <c r="K305" s="9"/>
      <c r="L305" t="str">
        <f t="shared" si="32"/>
        <v>20/07/1953</v>
      </c>
      <c r="M305" s="3">
        <f>VLOOKUP($C305,'All Girls &amp; Descendants - Edit'!$C$2:$AK$440,'All Girls &amp; Descendants - Edit'!M$1,FALSE)</f>
        <v>19560</v>
      </c>
      <c r="N305" s="3">
        <f>IF(VLOOKUP($C305,'All Girls &amp; Descendants - Edit'!$C$2:$AK$440,'All Girls &amp; Descendants - Edit'!N$1,FALSE)=""," - ",(VLOOKUP($C305,'All Girls &amp; Descendants - Edit'!$C$2:$AK$440,'All Girls &amp; Descendants - Edit'!N$1,FALSE)))</f>
        <v>29666</v>
      </c>
      <c r="O305" s="3" t="str">
        <f>IF(VLOOKUP($C305,'All Girls &amp; Descendants - Edit'!$C$2:$AK$440,'All Girls &amp; Descendants - Edit'!O$1,FALSE)="","",(VLOOKUP($C305,'All Girls &amp; Descendants - Edit'!$C$2:$AK$440,'All Girls &amp; Descendants - Edit'!O$1,FALSE)))</f>
        <v/>
      </c>
      <c r="P305" s="3" t="str">
        <f t="shared" si="33"/>
        <v/>
      </c>
      <c r="Q305" s="178" t="str">
        <f t="shared" si="34"/>
        <v>47ab</v>
      </c>
      <c r="R305" s="23"/>
      <c r="S305" t="str">
        <f>VLOOKUP($C305,'All Girls &amp; Descendants - Edit'!$C$2:$AK$440,'All Girls &amp; Descendants - Edit'!S$1,FALSE)</f>
        <v>Female</v>
      </c>
      <c r="T305" s="176">
        <f t="shared" si="31"/>
        <v>6</v>
      </c>
      <c r="U305" s="176">
        <f t="shared" si="35"/>
        <v>5</v>
      </c>
      <c r="V305" s="176">
        <f t="shared" si="36"/>
        <v>3</v>
      </c>
      <c r="W305" s="177">
        <f t="shared" si="37"/>
        <v>3</v>
      </c>
      <c r="X305" s="3" t="str">
        <f>IF(VLOOKUP($C305,'All Girls &amp; Descendants - Edit'!$C$2:$AK$440,'All Girls &amp; Descendants - Edit'!X$1,FALSE)=""," - ",(VLOOKUP($C305,'All Girls &amp; Descendants - Edit'!$C$2:$AK$440,'All Girls &amp; Descendants - Edit'!X$1,FALSE)))</f>
        <v>Johannes Zacharis ELOFF (b. 16/03/1952, d. ?)</v>
      </c>
      <c r="Y305" s="3" t="str">
        <f>IF(VLOOKUP($C305,'All Girls &amp; Descendants - Edit'!$C$2:$AK$440,'All Girls &amp; Descendants - Edit'!Y$1,FALSE)=""," - ",(VLOOKUP($C305,'All Girls &amp; Descendants - Edit'!$C$2:$AK$440,'All Girls &amp; Descendants - Edit'!Y$1,FALSE)))</f>
        <v>Married at Full Gospel Church, Cambridge, East London, South Africa, Johannes Zacharias, son of Johannes Zacharias ELOFF of East London, South Africa.</v>
      </c>
      <c r="Z305" s="3" t="str">
        <f>IF(VLOOKUP($C305,'All Girls &amp; Descendants - Edit'!$C$2:$AK$440,'All Girls &amp; Descendants - Edit'!Z$1,FALSE)=""," - ",(VLOOKUP($C305,'All Girls &amp; Descendants - Edit'!$C$2:$AK$440,'All Girls &amp; Descendants - Edit'!Z$1,FALSE)))</f>
        <v>Born at Tonbridge, Kent.</v>
      </c>
      <c r="AA305" s="101">
        <f>IF(VLOOKUP($C305,'All Girls &amp; Descendants - Edit'!$C$2:$AK$440,'All Girls &amp; Descendants - Edit'!AA$1,FALSE)=""," - ",(VLOOKUP($C305,'All Girls &amp; Descendants - Edit'!$C$2:$AK$440,'All Girls &amp; Descendants - Edit'!AA$1,FALSE)))</f>
        <v>106</v>
      </c>
      <c r="AB305" s="101">
        <f>IF(VLOOKUP($C305,'All Girls &amp; Descendants - Edit'!$C$2:$AK$440,'All Girls &amp; Descendants - Edit'!AB$1,FALSE)=""," - ",(VLOOKUP($C305,'All Girls &amp; Descendants - Edit'!$C$2:$AK$440,'All Girls &amp; Descendants - Edit'!AB$1,FALSE)))</f>
        <v>14</v>
      </c>
      <c r="AC305" s="101">
        <f>IF(VLOOKUP($C305,'All Girls &amp; Descendants - Edit'!$C$2:$AK$440,'All Girls &amp; Descendants - Edit'!AC$1,FALSE)=""," - ",(VLOOKUP($C305,'All Girls &amp; Descendants - Edit'!$C$2:$AK$440,'All Girls &amp; Descendants - Edit'!AC$1,FALSE)))</f>
        <v>3014</v>
      </c>
      <c r="AD305" s="3" t="str">
        <f>IF(VLOOKUP($C305,'All Girls &amp; Descendants - Edit'!$C$2:$AK$440,'All Girls &amp; Descendants - Edit'!AD$1,FALSE)=""," - ",(VLOOKUP($C305,'All Girls &amp; Descendants - Edit'!$C$2:$AK$440,'All Girls &amp; Descendants - Edit'!AD$1,FALSE)))</f>
        <v>47abb</v>
      </c>
      <c r="AE305" s="3" t="str">
        <f>IF(VLOOKUP($C305,'All Girls &amp; Descendants - Edit'!$C$2:$AK$440,'All Girls &amp; Descendants - Edit'!AE$1,FALSE)=""," - ",(VLOOKUP($C305,'All Girls &amp; Descendants - Edit'!$C$2:$AK$440,'All Girls &amp; Descendants - Edit'!AE$1,FALSE)))</f>
        <v>Gillian Frances  DREWE (1953 - )</v>
      </c>
      <c r="AF305" s="3" t="str">
        <f>IF(VLOOKUP($C305,'All Girls &amp; Descendants - Edit'!$C$2:$AK$440,'All Girls &amp; Descendants - Edit'!AF$1,FALSE)=""," - ",(VLOOKUP($C305,'All Girls &amp; Descendants - Edit'!$C$2:$AK$440,'All Girls &amp; Descendants - Edit'!AF$1,FALSE)))</f>
        <v>Gillian DREWE (6th &amp; 47)</v>
      </c>
      <c r="AG305" s="3" t="str">
        <f>IF(VLOOKUP($C305,'All Girls &amp; Descendants - Edit'!$C$2:$AK$440,'All Girls &amp; Descendants - Edit'!AG$1,FALSE)=""," - ",(VLOOKUP($C305,'All Girls &amp; Descendants - Edit'!$C$2:$AK$440,'All Girls &amp; Descendants - Edit'!AG$1,FALSE)))</f>
        <v>Female</v>
      </c>
      <c r="AH305" s="3" t="str">
        <f>IF(VLOOKUP($C305,'All Girls &amp; Descendants - Edit'!$C$2:$AK$440,'All Girls &amp; Descendants - Edit'!AH$1,FALSE)=""," - ",(VLOOKUP($C305,'All Girls &amp; Descendants - Edit'!$C$2:$AK$440,'All Girls &amp; Descendants - Edit'!AH$1,FALSE)))</f>
        <v>6th</v>
      </c>
      <c r="AI305" s="3" t="str">
        <f>IF(VLOOKUP($C305,'All Girls &amp; Descendants - Edit'!$C$2:$AK$440,'All Girls &amp; Descendants - Edit'!AI$1,FALSE)=""," - ",(VLOOKUP($C305,'All Girls &amp; Descendants - Edit'!$C$2:$AK$440,'All Girls &amp; Descendants - Edit'!AI$1,FALSE)))</f>
        <v>Husband: Johannes Zacharis ELOFF (b. 16/03/1952, d. ?). Married at Full Gospel Church, Cambridge, East London, South Africa, Johannes Zacharias, son of Johannes Zacharias ELOFF of East London, South Africa.</v>
      </c>
      <c r="AJ305" s="3" t="str">
        <f>IF(VLOOKUP($C305,'All Girls &amp; Descendants - Edit'!$C$2:$AK$440,'All Girls &amp; Descendants - Edit'!AJ$1,FALSE)=""," - ",(VLOOKUP($C305,'All Girls &amp; Descendants - Edit'!$C$2:$AK$440,'All Girls &amp; Descendants - Edit'!AJ$1,FALSE)))</f>
        <v>Female. b. 20/07/1953 Born at Tonbridge, Kent.</v>
      </c>
      <c r="AK305" s="3" t="str">
        <f>IF(VLOOKUP($C305,'All Girls &amp; Descendants - Edit'!$C$2:$AK$440,'All Girls &amp; Descendants - Edit'!AK$1,FALSE)=""," - ",(VLOOKUP($C305,'All Girls &amp; Descendants - Edit'!$C$2:$AK$440,'All Girls &amp; Descendants - Edit'!AK$1,FALSE)))</f>
        <v>b. 20/07/1953</v>
      </c>
    </row>
    <row r="306" spans="1:37" ht="19">
      <c r="A306">
        <f>VLOOKUP(B306,'Loyd List 1-190 - Edit'!$P$1:$R$219,3,FALSE)</f>
        <v>22</v>
      </c>
      <c r="B306">
        <f>'All Girls &amp; Descendants - Edit'!B307</f>
        <v>47</v>
      </c>
      <c r="C306" s="98" t="str">
        <f>'All Girls &amp; Descendants - Edit'!C307</f>
        <v>47abc</v>
      </c>
      <c r="D306" s="2" t="str">
        <f>'All Girls &amp; Descendants - Edit'!D307</f>
        <v>DREWE</v>
      </c>
      <c r="E306" t="str">
        <f>'All Girls &amp; Descendants - Edit'!E307</f>
        <v>Charles</v>
      </c>
      <c r="F306" t="str">
        <f>IF('All Girls &amp; Descendants - Edit'!F307="","",'All Girls &amp; Descendants - Edit'!F307)</f>
        <v>Loyd</v>
      </c>
      <c r="G306" t="str">
        <f>IF('All Girls &amp; Descendants - Edit'!G307="","",'All Girls &amp; Descendants - Edit'!G307)</f>
        <v/>
      </c>
      <c r="H306" t="str">
        <f>IF('All Girls &amp; Descendants - Edit'!H307="","",'All Girls &amp; Descendants - Edit'!H307)</f>
        <v/>
      </c>
      <c r="I306">
        <f>VLOOKUP($C306,'All Girls &amp; Descendants - Edit'!$C$2:$AK$440,'All Girls &amp; Descendants - Edit'!I$1,FALSE)</f>
        <v>1957</v>
      </c>
      <c r="J306" t="str">
        <f>VLOOKUP($C306,'All Girls &amp; Descendants - Edit'!$C$2:$AK$440,'All Girls &amp; Descendants - Edit'!J$1,FALSE)</f>
        <v/>
      </c>
      <c r="K306" s="9"/>
      <c r="L306" t="str">
        <f t="shared" si="32"/>
        <v>24/10/1957</v>
      </c>
      <c r="M306" s="3" t="str">
        <f>VLOOKUP($C306,'All Girls &amp; Descendants - Edit'!$C$2:$AK$440,'All Girls &amp; Descendants - Edit'!M$1,FALSE)</f>
        <v>24/10/1957</v>
      </c>
      <c r="N306" s="3">
        <f>IF(VLOOKUP($C306,'All Girls &amp; Descendants - Edit'!$C$2:$AK$440,'All Girls &amp; Descendants - Edit'!N$1,FALSE)=""," - ",(VLOOKUP($C306,'All Girls &amp; Descendants - Edit'!$C$2:$AK$440,'All Girls &amp; Descendants - Edit'!N$1,FALSE)))</f>
        <v>31765</v>
      </c>
      <c r="O306" s="3" t="str">
        <f>IF(VLOOKUP($C306,'All Girls &amp; Descendants - Edit'!$C$2:$AK$440,'All Girls &amp; Descendants - Edit'!O$1,FALSE)="","",(VLOOKUP($C306,'All Girls &amp; Descendants - Edit'!$C$2:$AK$440,'All Girls &amp; Descendants - Edit'!O$1,FALSE)))</f>
        <v/>
      </c>
      <c r="P306" s="3" t="str">
        <f t="shared" si="33"/>
        <v/>
      </c>
      <c r="Q306" s="178" t="str">
        <f t="shared" si="34"/>
        <v>47ab</v>
      </c>
      <c r="R306" s="23"/>
      <c r="S306" t="str">
        <f>VLOOKUP($C306,'All Girls &amp; Descendants - Edit'!$C$2:$AK$440,'All Girls &amp; Descendants - Edit'!S$1,FALSE)</f>
        <v>Male</v>
      </c>
      <c r="T306" s="176">
        <f t="shared" si="31"/>
        <v>6</v>
      </c>
      <c r="U306" s="176">
        <f t="shared" si="35"/>
        <v>5</v>
      </c>
      <c r="V306" s="176">
        <f t="shared" si="36"/>
        <v>3</v>
      </c>
      <c r="W306" s="177">
        <f t="shared" si="37"/>
        <v>3</v>
      </c>
      <c r="X306" s="3" t="str">
        <f>IF(VLOOKUP($C306,'All Girls &amp; Descendants - Edit'!$C$2:$AK$440,'All Girls &amp; Descendants - Edit'!X$1,FALSE)=""," - ",(VLOOKUP($C306,'All Girls &amp; Descendants - Edit'!$C$2:$AK$440,'All Girls &amp; Descendants - Edit'!X$1,FALSE)))</f>
        <v>Hana MATUSKOVA (b. 18/01/1964, d. ?)</v>
      </c>
      <c r="Y306" s="3" t="str">
        <f>IF(VLOOKUP($C306,'All Girls &amp; Descendants - Edit'!$C$2:$AK$440,'All Girls &amp; Descendants - Edit'!Y$1,FALSE)=""," - ",(VLOOKUP($C306,'All Girls &amp; Descendants - Edit'!$C$2:$AK$440,'All Girls &amp; Descendants - Edit'!Y$1,FALSE)))</f>
        <v>Married at Brno, Czechoslovakia, Hana MATUSKOVA, daughter of Osvald MATUSKA of Ratiskovice, Czechoslovakia.</v>
      </c>
      <c r="Z306" s="3" t="str">
        <f>IF(VLOOKUP($C306,'All Girls &amp; Descendants - Edit'!$C$2:$AK$440,'All Girls &amp; Descendants - Edit'!Z$1,FALSE)=""," - ",(VLOOKUP($C306,'All Girls &amp; Descendants - Edit'!$C$2:$AK$440,'All Girls &amp; Descendants - Edit'!Z$1,FALSE)))</f>
        <v>Born at Salisbury, Rhodesia.</v>
      </c>
      <c r="AA306" s="101">
        <f>IF(VLOOKUP($C306,'All Girls &amp; Descendants - Edit'!$C$2:$AK$440,'All Girls &amp; Descendants - Edit'!AA$1,FALSE)=""," - ",(VLOOKUP($C306,'All Girls &amp; Descendants - Edit'!$C$2:$AK$440,'All Girls &amp; Descendants - Edit'!AA$1,FALSE)))</f>
        <v>107</v>
      </c>
      <c r="AB306" s="101">
        <f>IF(VLOOKUP($C306,'All Girls &amp; Descendants - Edit'!$C$2:$AK$440,'All Girls &amp; Descendants - Edit'!AB$1,FALSE)=""," - ",(VLOOKUP($C306,'All Girls &amp; Descendants - Edit'!$C$2:$AK$440,'All Girls &amp; Descendants - Edit'!AB$1,FALSE)))</f>
        <v>15</v>
      </c>
      <c r="AC306" s="101">
        <f>IF(VLOOKUP($C306,'All Girls &amp; Descendants - Edit'!$C$2:$AK$440,'All Girls &amp; Descendants - Edit'!AC$1,FALSE)=""," - ",(VLOOKUP($C306,'All Girls &amp; Descendants - Edit'!$C$2:$AK$440,'All Girls &amp; Descendants - Edit'!AC$1,FALSE)))</f>
        <v>3015</v>
      </c>
      <c r="AD306" s="3" t="str">
        <f>IF(VLOOKUP($C306,'All Girls &amp; Descendants - Edit'!$C$2:$AK$440,'All Girls &amp; Descendants - Edit'!AD$1,FALSE)=""," - ",(VLOOKUP($C306,'All Girls &amp; Descendants - Edit'!$C$2:$AK$440,'All Girls &amp; Descendants - Edit'!AD$1,FALSE)))</f>
        <v>47abc</v>
      </c>
      <c r="AE306" s="3" t="str">
        <f>IF(VLOOKUP($C306,'All Girls &amp; Descendants - Edit'!$C$2:$AK$440,'All Girls &amp; Descendants - Edit'!AE$1,FALSE)=""," - ",(VLOOKUP($C306,'All Girls &amp; Descendants - Edit'!$C$2:$AK$440,'All Girls &amp; Descendants - Edit'!AE$1,FALSE)))</f>
        <v>Charles Loyd  DREWE (1957 - )</v>
      </c>
      <c r="AF306" s="3" t="str">
        <f>IF(VLOOKUP($C306,'All Girls &amp; Descendants - Edit'!$C$2:$AK$440,'All Girls &amp; Descendants - Edit'!AF$1,FALSE)=""," - ",(VLOOKUP($C306,'All Girls &amp; Descendants - Edit'!$C$2:$AK$440,'All Girls &amp; Descendants - Edit'!AF$1,FALSE)))</f>
        <v>Charles DREWE (6th &amp; 47)</v>
      </c>
      <c r="AG306" s="3" t="str">
        <f>IF(VLOOKUP($C306,'All Girls &amp; Descendants - Edit'!$C$2:$AK$440,'All Girls &amp; Descendants - Edit'!AG$1,FALSE)=""," - ",(VLOOKUP($C306,'All Girls &amp; Descendants - Edit'!$C$2:$AK$440,'All Girls &amp; Descendants - Edit'!AG$1,FALSE)))</f>
        <v>Male</v>
      </c>
      <c r="AH306" s="3" t="str">
        <f>IF(VLOOKUP($C306,'All Girls &amp; Descendants - Edit'!$C$2:$AK$440,'All Girls &amp; Descendants - Edit'!AH$1,FALSE)=""," - ",(VLOOKUP($C306,'All Girls &amp; Descendants - Edit'!$C$2:$AK$440,'All Girls &amp; Descendants - Edit'!AH$1,FALSE)))</f>
        <v>6th</v>
      </c>
      <c r="AI306" s="3" t="str">
        <f>IF(VLOOKUP($C306,'All Girls &amp; Descendants - Edit'!$C$2:$AK$440,'All Girls &amp; Descendants - Edit'!AI$1,FALSE)=""," - ",(VLOOKUP($C306,'All Girls &amp; Descendants - Edit'!$C$2:$AK$440,'All Girls &amp; Descendants - Edit'!AI$1,FALSE)))</f>
        <v>Wife: Hana MATUSKOVA (b. 18/01/1964, d. ?). Married at Brno, Czechoslovakia, Hana MATUSKOVA, daughter of Osvald MATUSKA of Ratiskovice, Czechoslovakia.</v>
      </c>
      <c r="AJ306" s="3" t="str">
        <f>IF(VLOOKUP($C306,'All Girls &amp; Descendants - Edit'!$C$2:$AK$440,'All Girls &amp; Descendants - Edit'!AJ$1,FALSE)=""," - ",(VLOOKUP($C306,'All Girls &amp; Descendants - Edit'!$C$2:$AK$440,'All Girls &amp; Descendants - Edit'!AJ$1,FALSE)))</f>
        <v>Male. b. 24/10/1957 Born at Salisbury, Rhodesia.</v>
      </c>
      <c r="AK306" s="3" t="str">
        <f>IF(VLOOKUP($C306,'All Girls &amp; Descendants - Edit'!$C$2:$AK$440,'All Girls &amp; Descendants - Edit'!AK$1,FALSE)=""," - ",(VLOOKUP($C306,'All Girls &amp; Descendants - Edit'!$C$2:$AK$440,'All Girls &amp; Descendants - Edit'!AK$1,FALSE)))</f>
        <v>b. 24/10/1957</v>
      </c>
    </row>
    <row r="307" spans="1:37" ht="19">
      <c r="A307">
        <f>VLOOKUP(B307,'Loyd List 1-190 - Edit'!$P$1:$R$219,3,FALSE)</f>
        <v>41</v>
      </c>
      <c r="B307">
        <f>'All Girls &amp; Descendants - Edit'!B308</f>
        <v>63</v>
      </c>
      <c r="C307" s="98" t="str">
        <f>'All Girls &amp; Descendants - Edit'!C308</f>
        <v>63aba</v>
      </c>
      <c r="D307" s="2" t="str">
        <f>'All Girls &amp; Descendants - Edit'!D308</f>
        <v>MOORE</v>
      </c>
      <c r="E307" t="str">
        <f>'All Girls &amp; Descendants - Edit'!E308</f>
        <v>Isabel</v>
      </c>
      <c r="F307" t="str">
        <f>IF('All Girls &amp; Descendants - Edit'!F308="","",'All Girls &amp; Descendants - Edit'!F308)</f>
        <v>Eleanor</v>
      </c>
      <c r="G307" t="str">
        <f>IF('All Girls &amp; Descendants - Edit'!G308="","",'All Girls &amp; Descendants - Edit'!G308)</f>
        <v/>
      </c>
      <c r="H307" t="str">
        <f>IF('All Girls &amp; Descendants - Edit'!H308="","",'All Girls &amp; Descendants - Edit'!H308)</f>
        <v/>
      </c>
      <c r="I307">
        <f>VLOOKUP($C307,'All Girls &amp; Descendants - Edit'!$C$2:$AK$440,'All Girls &amp; Descendants - Edit'!I$1,FALSE)</f>
        <v>1989</v>
      </c>
      <c r="J307">
        <f>VLOOKUP($C307,'All Girls &amp; Descendants - Edit'!$C$2:$AK$440,'All Girls &amp; Descendants - Edit'!J$1,FALSE)</f>
        <v>2021</v>
      </c>
      <c r="K307" s="9"/>
      <c r="L307" t="str">
        <f t="shared" si="32"/>
        <v>26/04/1989</v>
      </c>
      <c r="M307" s="3">
        <f>VLOOKUP($C307,'All Girls &amp; Descendants - Edit'!$C$2:$AK$440,'All Girls &amp; Descendants - Edit'!M$1,FALSE)</f>
        <v>32624</v>
      </c>
      <c r="N307" s="3" t="str">
        <f>IF(VLOOKUP($C307,'All Girls &amp; Descendants - Edit'!$C$2:$AK$440,'All Girls &amp; Descendants - Edit'!N$1,FALSE)=""," - ",(VLOOKUP($C307,'All Girls &amp; Descendants - Edit'!$C$2:$AK$440,'All Girls &amp; Descendants - Edit'!N$1,FALSE)))</f>
        <v xml:space="preserve"> - </v>
      </c>
      <c r="O307" s="3">
        <f>IF(VLOOKUP($C307,'All Girls &amp; Descendants - Edit'!$C$2:$AK$440,'All Girls &amp; Descendants - Edit'!O$1,FALSE)="","",(VLOOKUP($C307,'All Girls &amp; Descendants - Edit'!$C$2:$AK$440,'All Girls &amp; Descendants - Edit'!O$1,FALSE)))</f>
        <v>44468</v>
      </c>
      <c r="P307" s="3" t="str">
        <f t="shared" si="33"/>
        <v>29/09/2021</v>
      </c>
      <c r="Q307" s="178" t="str">
        <f t="shared" si="34"/>
        <v>63ab</v>
      </c>
      <c r="R307" s="23"/>
      <c r="S307" t="str">
        <f>VLOOKUP($C307,'All Girls &amp; Descendants - Edit'!$C$2:$AK$440,'All Girls &amp; Descendants - Edit'!S$1,FALSE)</f>
        <v>Female</v>
      </c>
      <c r="T307" s="176">
        <f t="shared" si="31"/>
        <v>7</v>
      </c>
      <c r="U307" s="176">
        <f t="shared" si="35"/>
        <v>5</v>
      </c>
      <c r="V307" s="176">
        <f t="shared" si="36"/>
        <v>4</v>
      </c>
      <c r="W307" s="177">
        <f t="shared" si="37"/>
        <v>3</v>
      </c>
      <c r="X307" s="3" t="str">
        <f>IF(VLOOKUP($C307,'All Girls &amp; Descendants - Edit'!$C$2:$AK$440,'All Girls &amp; Descendants - Edit'!X$1,FALSE)=""," - ",(VLOOKUP($C307,'All Girls &amp; Descendants - Edit'!$C$2:$AK$440,'All Girls &amp; Descendants - Edit'!X$1,FALSE)))</f>
        <v xml:space="preserve"> - </v>
      </c>
      <c r="Y307" s="3" t="str">
        <f>IF(VLOOKUP($C307,'All Girls &amp; Descendants - Edit'!$C$2:$AK$440,'All Girls &amp; Descendants - Edit'!Y$1,FALSE)=""," - ",(VLOOKUP($C307,'All Girls &amp; Descendants - Edit'!$C$2:$AK$440,'All Girls &amp; Descendants - Edit'!Y$1,FALSE)))</f>
        <v xml:space="preserve"> - </v>
      </c>
      <c r="Z307" s="3" t="str">
        <f>IF(VLOOKUP($C307,'All Girls &amp; Descendants - Edit'!$C$2:$AK$440,'All Girls &amp; Descendants - Edit'!Z$1,FALSE)=""," - ",(VLOOKUP($C307,'All Girls &amp; Descendants - Edit'!$C$2:$AK$440,'All Girls &amp; Descendants - Edit'!Z$1,FALSE)))</f>
        <v xml:space="preserve"> - </v>
      </c>
      <c r="AA307" s="101">
        <f>IF(VLOOKUP($C307,'All Girls &amp; Descendants - Edit'!$C$2:$AK$440,'All Girls &amp; Descendants - Edit'!AA$1,FALSE)=""," - ",(VLOOKUP($C307,'All Girls &amp; Descendants - Edit'!$C$2:$AK$440,'All Girls &amp; Descendants - Edit'!AA$1,FALSE)))</f>
        <v>114</v>
      </c>
      <c r="AB307" s="101">
        <f>IF(VLOOKUP($C307,'All Girls &amp; Descendants - Edit'!$C$2:$AK$440,'All Girls &amp; Descendants - Edit'!AB$1,FALSE)=""," - ",(VLOOKUP($C307,'All Girls &amp; Descendants - Edit'!$C$2:$AK$440,'All Girls &amp; Descendants - Edit'!AB$1,FALSE)))</f>
        <v>16</v>
      </c>
      <c r="AC307" s="101">
        <f>IF(VLOOKUP($C307,'All Girls &amp; Descendants - Edit'!$C$2:$AK$440,'All Girls &amp; Descendants - Edit'!AC$1,FALSE)=""," - ",(VLOOKUP($C307,'All Girls &amp; Descendants - Edit'!$C$2:$AK$440,'All Girls &amp; Descendants - Edit'!AC$1,FALSE)))</f>
        <v>3016</v>
      </c>
      <c r="AD307" s="3" t="str">
        <f>IF(VLOOKUP($C307,'All Girls &amp; Descendants - Edit'!$C$2:$AK$440,'All Girls &amp; Descendants - Edit'!AD$1,FALSE)=""," - ",(VLOOKUP($C307,'All Girls &amp; Descendants - Edit'!$C$2:$AK$440,'All Girls &amp; Descendants - Edit'!AD$1,FALSE)))</f>
        <v>63aba</v>
      </c>
      <c r="AE307" s="3" t="str">
        <f>IF(VLOOKUP($C307,'All Girls &amp; Descendants - Edit'!$C$2:$AK$440,'All Girls &amp; Descendants - Edit'!AE$1,FALSE)=""," - ",(VLOOKUP($C307,'All Girls &amp; Descendants - Edit'!$C$2:$AK$440,'All Girls &amp; Descendants - Edit'!AE$1,FALSE)))</f>
        <v>Isabel Eleanor  MOORE (1989 - 2021)</v>
      </c>
      <c r="AF307" s="3" t="str">
        <f>IF(VLOOKUP($C307,'All Girls &amp; Descendants - Edit'!$C$2:$AK$440,'All Girls &amp; Descendants - Edit'!AF$1,FALSE)=""," - ",(VLOOKUP($C307,'All Girls &amp; Descendants - Edit'!$C$2:$AK$440,'All Girls &amp; Descendants - Edit'!AF$1,FALSE)))</f>
        <v>Isabel MOORE (7th &amp; 63)</v>
      </c>
      <c r="AG307" s="3" t="str">
        <f>IF(VLOOKUP($C307,'All Girls &amp; Descendants - Edit'!$C$2:$AK$440,'All Girls &amp; Descendants - Edit'!AG$1,FALSE)=""," - ",(VLOOKUP($C307,'All Girls &amp; Descendants - Edit'!$C$2:$AK$440,'All Girls &amp; Descendants - Edit'!AG$1,FALSE)))</f>
        <v>Female</v>
      </c>
      <c r="AH307" s="3" t="str">
        <f>IF(VLOOKUP($C307,'All Girls &amp; Descendants - Edit'!$C$2:$AK$440,'All Girls &amp; Descendants - Edit'!AH$1,FALSE)=""," - ",(VLOOKUP($C307,'All Girls &amp; Descendants - Edit'!$C$2:$AK$440,'All Girls &amp; Descendants - Edit'!AH$1,FALSE)))</f>
        <v>7th</v>
      </c>
      <c r="AI307" s="3" t="str">
        <f>IF(VLOOKUP($C307,'All Girls &amp; Descendants - Edit'!$C$2:$AK$440,'All Girls &amp; Descendants - Edit'!AI$1,FALSE)=""," - ",(VLOOKUP($C307,'All Girls &amp; Descendants - Edit'!$C$2:$AK$440,'All Girls &amp; Descendants - Edit'!AI$1,FALSE)))</f>
        <v>Unmarried</v>
      </c>
      <c r="AJ307" s="3" t="str">
        <f>IF(VLOOKUP($C307,'All Girls &amp; Descendants - Edit'!$C$2:$AK$440,'All Girls &amp; Descendants - Edit'!AJ$1,FALSE)=""," - ",(VLOOKUP($C307,'All Girls &amp; Descendants - Edit'!$C$2:$AK$440,'All Girls &amp; Descendants - Edit'!AJ$1,FALSE)))</f>
        <v>Female. b. 26/04/1989, d. 29/09/2021.</v>
      </c>
      <c r="AK307" s="3" t="str">
        <f>IF(VLOOKUP($C307,'All Girls &amp; Descendants - Edit'!$C$2:$AK$440,'All Girls &amp; Descendants - Edit'!AK$1,FALSE)=""," - ",(VLOOKUP($C307,'All Girls &amp; Descendants - Edit'!$C$2:$AK$440,'All Girls &amp; Descendants - Edit'!AK$1,FALSE)))</f>
        <v>b. 26/04/1989, d. 29/09/2021.</v>
      </c>
    </row>
    <row r="308" spans="1:37" ht="19">
      <c r="A308">
        <f>VLOOKUP(B308,'Loyd List 1-190 - Edit'!$P$1:$R$219,3,FALSE)</f>
        <v>41</v>
      </c>
      <c r="B308">
        <f>'All Girls &amp; Descendants - Edit'!B309</f>
        <v>63</v>
      </c>
      <c r="C308" s="98" t="str">
        <f>'All Girls &amp; Descendants - Edit'!C309</f>
        <v>63abb</v>
      </c>
      <c r="D308" s="2" t="str">
        <f>'All Girls &amp; Descendants - Edit'!D309</f>
        <v>MOORE</v>
      </c>
      <c r="E308" t="str">
        <f>'All Girls &amp; Descendants - Edit'!E309</f>
        <v>Alistair</v>
      </c>
      <c r="F308" t="str">
        <f>IF('All Girls &amp; Descendants - Edit'!F309="","",'All Girls &amp; Descendants - Edit'!F309)</f>
        <v>William</v>
      </c>
      <c r="G308" t="str">
        <f>IF('All Girls &amp; Descendants - Edit'!G309="","",'All Girls &amp; Descendants - Edit'!G309)</f>
        <v/>
      </c>
      <c r="H308" t="str">
        <f>IF('All Girls &amp; Descendants - Edit'!H309="","",'All Girls &amp; Descendants - Edit'!H309)</f>
        <v/>
      </c>
      <c r="I308">
        <f>VLOOKUP($C308,'All Girls &amp; Descendants - Edit'!$C$2:$AK$440,'All Girls &amp; Descendants - Edit'!I$1,FALSE)</f>
        <v>1991</v>
      </c>
      <c r="J308" t="str">
        <f>VLOOKUP($C308,'All Girls &amp; Descendants - Edit'!$C$2:$AK$440,'All Girls &amp; Descendants - Edit'!J$1,FALSE)</f>
        <v/>
      </c>
      <c r="K308" s="9"/>
      <c r="L308" t="str">
        <f t="shared" si="32"/>
        <v>21/04/1991</v>
      </c>
      <c r="M308" s="3">
        <f>VLOOKUP($C308,'All Girls &amp; Descendants - Edit'!$C$2:$AK$440,'All Girls &amp; Descendants - Edit'!M$1,FALSE)</f>
        <v>33349</v>
      </c>
      <c r="N308" s="3" t="str">
        <f>IF(VLOOKUP($C308,'All Girls &amp; Descendants - Edit'!$C$2:$AK$440,'All Girls &amp; Descendants - Edit'!N$1,FALSE)=""," - ",(VLOOKUP($C308,'All Girls &amp; Descendants - Edit'!$C$2:$AK$440,'All Girls &amp; Descendants - Edit'!N$1,FALSE)))</f>
        <v xml:space="preserve"> - </v>
      </c>
      <c r="O308" s="3" t="str">
        <f>IF(VLOOKUP($C308,'All Girls &amp; Descendants - Edit'!$C$2:$AK$440,'All Girls &amp; Descendants - Edit'!O$1,FALSE)="","",(VLOOKUP($C308,'All Girls &amp; Descendants - Edit'!$C$2:$AK$440,'All Girls &amp; Descendants - Edit'!O$1,FALSE)))</f>
        <v/>
      </c>
      <c r="P308" s="3" t="str">
        <f t="shared" si="33"/>
        <v/>
      </c>
      <c r="Q308" s="178" t="str">
        <f t="shared" si="34"/>
        <v>63ab</v>
      </c>
      <c r="R308" s="23"/>
      <c r="S308" t="str">
        <f>VLOOKUP($C308,'All Girls &amp; Descendants - Edit'!$C$2:$AK$440,'All Girls &amp; Descendants - Edit'!S$1,FALSE)</f>
        <v>Male</v>
      </c>
      <c r="T308" s="176">
        <f t="shared" si="31"/>
        <v>7</v>
      </c>
      <c r="U308" s="176">
        <f t="shared" si="35"/>
        <v>5</v>
      </c>
      <c r="V308" s="176">
        <f t="shared" si="36"/>
        <v>4</v>
      </c>
      <c r="W308" s="177">
        <f t="shared" si="37"/>
        <v>3</v>
      </c>
      <c r="X308" s="3" t="str">
        <f>IF(VLOOKUP($C308,'All Girls &amp; Descendants - Edit'!$C$2:$AK$440,'All Girls &amp; Descendants - Edit'!X$1,FALSE)=""," - ",(VLOOKUP($C308,'All Girls &amp; Descendants - Edit'!$C$2:$AK$440,'All Girls &amp; Descendants - Edit'!X$1,FALSE)))</f>
        <v xml:space="preserve"> - </v>
      </c>
      <c r="Y308" s="3" t="str">
        <f>IF(VLOOKUP($C308,'All Girls &amp; Descendants - Edit'!$C$2:$AK$440,'All Girls &amp; Descendants - Edit'!Y$1,FALSE)=""," - ",(VLOOKUP($C308,'All Girls &amp; Descendants - Edit'!$C$2:$AK$440,'All Girls &amp; Descendants - Edit'!Y$1,FALSE)))</f>
        <v xml:space="preserve"> - </v>
      </c>
      <c r="Z308" s="3" t="str">
        <f>IF(VLOOKUP($C308,'All Girls &amp; Descendants - Edit'!$C$2:$AK$440,'All Girls &amp; Descendants - Edit'!Z$1,FALSE)=""," - ",(VLOOKUP($C308,'All Girls &amp; Descendants - Edit'!$C$2:$AK$440,'All Girls &amp; Descendants - Edit'!Z$1,FALSE)))</f>
        <v xml:space="preserve"> - </v>
      </c>
      <c r="AA308" s="101">
        <f>IF(VLOOKUP($C308,'All Girls &amp; Descendants - Edit'!$C$2:$AK$440,'All Girls &amp; Descendants - Edit'!AA$1,FALSE)=""," - ",(VLOOKUP($C308,'All Girls &amp; Descendants - Edit'!$C$2:$AK$440,'All Girls &amp; Descendants - Edit'!AA$1,FALSE)))</f>
        <v>115</v>
      </c>
      <c r="AB308" s="101">
        <f>IF(VLOOKUP($C308,'All Girls &amp; Descendants - Edit'!$C$2:$AK$440,'All Girls &amp; Descendants - Edit'!AB$1,FALSE)=""," - ",(VLOOKUP($C308,'All Girls &amp; Descendants - Edit'!$C$2:$AK$440,'All Girls &amp; Descendants - Edit'!AB$1,FALSE)))</f>
        <v>17</v>
      </c>
      <c r="AC308" s="101">
        <f>IF(VLOOKUP($C308,'All Girls &amp; Descendants - Edit'!$C$2:$AK$440,'All Girls &amp; Descendants - Edit'!AC$1,FALSE)=""," - ",(VLOOKUP($C308,'All Girls &amp; Descendants - Edit'!$C$2:$AK$440,'All Girls &amp; Descendants - Edit'!AC$1,FALSE)))</f>
        <v>3017</v>
      </c>
      <c r="AD308" s="3" t="str">
        <f>IF(VLOOKUP($C308,'All Girls &amp; Descendants - Edit'!$C$2:$AK$440,'All Girls &amp; Descendants - Edit'!AD$1,FALSE)=""," - ",(VLOOKUP($C308,'All Girls &amp; Descendants - Edit'!$C$2:$AK$440,'All Girls &amp; Descendants - Edit'!AD$1,FALSE)))</f>
        <v>63abb</v>
      </c>
      <c r="AE308" s="3" t="str">
        <f>IF(VLOOKUP($C308,'All Girls &amp; Descendants - Edit'!$C$2:$AK$440,'All Girls &amp; Descendants - Edit'!AE$1,FALSE)=""," - ",(VLOOKUP($C308,'All Girls &amp; Descendants - Edit'!$C$2:$AK$440,'All Girls &amp; Descendants - Edit'!AE$1,FALSE)))</f>
        <v>Alistair William  MOORE (1991 - )</v>
      </c>
      <c r="AF308" s="3" t="str">
        <f>IF(VLOOKUP($C308,'All Girls &amp; Descendants - Edit'!$C$2:$AK$440,'All Girls &amp; Descendants - Edit'!AF$1,FALSE)=""," - ",(VLOOKUP($C308,'All Girls &amp; Descendants - Edit'!$C$2:$AK$440,'All Girls &amp; Descendants - Edit'!AF$1,FALSE)))</f>
        <v>Alistair MOORE (7th &amp; 63)</v>
      </c>
      <c r="AG308" s="3" t="str">
        <f>IF(VLOOKUP($C308,'All Girls &amp; Descendants - Edit'!$C$2:$AK$440,'All Girls &amp; Descendants - Edit'!AG$1,FALSE)=""," - ",(VLOOKUP($C308,'All Girls &amp; Descendants - Edit'!$C$2:$AK$440,'All Girls &amp; Descendants - Edit'!AG$1,FALSE)))</f>
        <v>Male</v>
      </c>
      <c r="AH308" s="3" t="str">
        <f>IF(VLOOKUP($C308,'All Girls &amp; Descendants - Edit'!$C$2:$AK$440,'All Girls &amp; Descendants - Edit'!AH$1,FALSE)=""," - ",(VLOOKUP($C308,'All Girls &amp; Descendants - Edit'!$C$2:$AK$440,'All Girls &amp; Descendants - Edit'!AH$1,FALSE)))</f>
        <v>7th</v>
      </c>
      <c r="AI308" s="3" t="str">
        <f>IF(VLOOKUP($C308,'All Girls &amp; Descendants - Edit'!$C$2:$AK$440,'All Girls &amp; Descendants - Edit'!AI$1,FALSE)=""," - ",(VLOOKUP($C308,'All Girls &amp; Descendants - Edit'!$C$2:$AK$440,'All Girls &amp; Descendants - Edit'!AI$1,FALSE)))</f>
        <v>Unmarried</v>
      </c>
      <c r="AJ308" s="3" t="str">
        <f>IF(VLOOKUP($C308,'All Girls &amp; Descendants - Edit'!$C$2:$AK$440,'All Girls &amp; Descendants - Edit'!AJ$1,FALSE)=""," - ",(VLOOKUP($C308,'All Girls &amp; Descendants - Edit'!$C$2:$AK$440,'All Girls &amp; Descendants - Edit'!AJ$1,FALSE)))</f>
        <v>Male. b. 21/04/1991</v>
      </c>
      <c r="AK308" s="3" t="str">
        <f>IF(VLOOKUP($C308,'All Girls &amp; Descendants - Edit'!$C$2:$AK$440,'All Girls &amp; Descendants - Edit'!AK$1,FALSE)=""," - ",(VLOOKUP($C308,'All Girls &amp; Descendants - Edit'!$C$2:$AK$440,'All Girls &amp; Descendants - Edit'!AK$1,FALSE)))</f>
        <v>b. 21/04/1991</v>
      </c>
    </row>
    <row r="309" spans="1:37" ht="19">
      <c r="A309">
        <f>VLOOKUP(B309,'Loyd List 1-190 - Edit'!$P$1:$R$219,3,FALSE)</f>
        <v>46</v>
      </c>
      <c r="B309">
        <f>'All Girls &amp; Descendants - Edit'!B310</f>
        <v>70</v>
      </c>
      <c r="C309" s="98" t="str">
        <f>'All Girls &amp; Descendants - Edit'!C310</f>
        <v>70aaa</v>
      </c>
      <c r="D309" s="2" t="str">
        <f>'All Girls &amp; Descendants - Edit'!D310</f>
        <v>SHEARER</v>
      </c>
      <c r="E309" t="str">
        <f>'All Girls &amp; Descendants - Edit'!E310</f>
        <v>Henry</v>
      </c>
      <c r="F309" t="str">
        <f>IF('All Girls &amp; Descendants - Edit'!F310="","",'All Girls &amp; Descendants - Edit'!F310)</f>
        <v>Charles</v>
      </c>
      <c r="G309" t="str">
        <f>IF('All Girls &amp; Descendants - Edit'!G310="","",'All Girls &amp; Descendants - Edit'!G310)</f>
        <v>Anthony</v>
      </c>
      <c r="H309" t="str">
        <f>IF('All Girls &amp; Descendants - Edit'!H310="","",'All Girls &amp; Descendants - Edit'!H310)</f>
        <v/>
      </c>
      <c r="I309">
        <f>VLOOKUP($C309,'All Girls &amp; Descendants - Edit'!$C$2:$AK$440,'All Girls &amp; Descendants - Edit'!I$1,FALSE)</f>
        <v>1981</v>
      </c>
      <c r="J309" t="str">
        <f>VLOOKUP($C309,'All Girls &amp; Descendants - Edit'!$C$2:$AK$440,'All Girls &amp; Descendants - Edit'!J$1,FALSE)</f>
        <v/>
      </c>
      <c r="K309" s="9"/>
      <c r="L309" t="str">
        <f t="shared" si="32"/>
        <v>07/11/1981</v>
      </c>
      <c r="M309" s="3">
        <f>VLOOKUP($C309,'All Girls &amp; Descendants - Edit'!$C$2:$AK$440,'All Girls &amp; Descendants - Edit'!M$1,FALSE)</f>
        <v>29897</v>
      </c>
      <c r="N309" s="3" t="str">
        <f>IF(VLOOKUP($C309,'All Girls &amp; Descendants - Edit'!$C$2:$AK$440,'All Girls &amp; Descendants - Edit'!N$1,FALSE)=""," - ",(VLOOKUP($C309,'All Girls &amp; Descendants - Edit'!$C$2:$AK$440,'All Girls &amp; Descendants - Edit'!N$1,FALSE)))</f>
        <v xml:space="preserve"> - </v>
      </c>
      <c r="O309" s="3" t="str">
        <f>IF(VLOOKUP($C309,'All Girls &amp; Descendants - Edit'!$C$2:$AK$440,'All Girls &amp; Descendants - Edit'!O$1,FALSE)="","",(VLOOKUP($C309,'All Girls &amp; Descendants - Edit'!$C$2:$AK$440,'All Girls &amp; Descendants - Edit'!O$1,FALSE)))</f>
        <v/>
      </c>
      <c r="P309" s="3" t="str">
        <f t="shared" si="33"/>
        <v/>
      </c>
      <c r="Q309" s="178" t="str">
        <f t="shared" si="34"/>
        <v>70aa</v>
      </c>
      <c r="R309" s="23"/>
      <c r="S309" t="str">
        <f>VLOOKUP($C309,'All Girls &amp; Descendants - Edit'!$C$2:$AK$440,'All Girls &amp; Descendants - Edit'!S$1,FALSE)</f>
        <v>Male</v>
      </c>
      <c r="T309" s="176">
        <f t="shared" si="31"/>
        <v>7</v>
      </c>
      <c r="U309" s="176">
        <f t="shared" si="35"/>
        <v>5</v>
      </c>
      <c r="V309" s="176">
        <f t="shared" si="36"/>
        <v>4</v>
      </c>
      <c r="W309" s="177">
        <f t="shared" si="37"/>
        <v>3</v>
      </c>
      <c r="X309" s="3" t="str">
        <f>IF(VLOOKUP($C309,'All Girls &amp; Descendants - Edit'!$C$2:$AK$440,'All Girls &amp; Descendants - Edit'!X$1,FALSE)=""," - ",(VLOOKUP($C309,'All Girls &amp; Descendants - Edit'!$C$2:$AK$440,'All Girls &amp; Descendants - Edit'!X$1,FALSE)))</f>
        <v xml:space="preserve"> - </v>
      </c>
      <c r="Y309" s="3" t="str">
        <f>IF(VLOOKUP($C309,'All Girls &amp; Descendants - Edit'!$C$2:$AK$440,'All Girls &amp; Descendants - Edit'!Y$1,FALSE)=""," - ",(VLOOKUP($C309,'All Girls &amp; Descendants - Edit'!$C$2:$AK$440,'All Girls &amp; Descendants - Edit'!Y$1,FALSE)))</f>
        <v xml:space="preserve"> - </v>
      </c>
      <c r="Z309" s="3" t="str">
        <f>IF(VLOOKUP($C309,'All Girls &amp; Descendants - Edit'!$C$2:$AK$440,'All Girls &amp; Descendants - Edit'!Z$1,FALSE)=""," - ",(VLOOKUP($C309,'All Girls &amp; Descendants - Edit'!$C$2:$AK$440,'All Girls &amp; Descendants - Edit'!Z$1,FALSE)))</f>
        <v xml:space="preserve"> - </v>
      </c>
      <c r="AA309" s="101">
        <f>IF(VLOOKUP($C309,'All Girls &amp; Descendants - Edit'!$C$2:$AK$440,'All Girls &amp; Descendants - Edit'!AA$1,FALSE)=""," - ",(VLOOKUP($C309,'All Girls &amp; Descendants - Edit'!$C$2:$AK$440,'All Girls &amp; Descendants - Edit'!AA$1,FALSE)))</f>
        <v>125</v>
      </c>
      <c r="AB309" s="101">
        <f>IF(VLOOKUP($C309,'All Girls &amp; Descendants - Edit'!$C$2:$AK$440,'All Girls &amp; Descendants - Edit'!AB$1,FALSE)=""," - ",(VLOOKUP($C309,'All Girls &amp; Descendants - Edit'!$C$2:$AK$440,'All Girls &amp; Descendants - Edit'!AB$1,FALSE)))</f>
        <v>18</v>
      </c>
      <c r="AC309" s="101">
        <f>IF(VLOOKUP($C309,'All Girls &amp; Descendants - Edit'!$C$2:$AK$440,'All Girls &amp; Descendants - Edit'!AC$1,FALSE)=""," - ",(VLOOKUP($C309,'All Girls &amp; Descendants - Edit'!$C$2:$AK$440,'All Girls &amp; Descendants - Edit'!AC$1,FALSE)))</f>
        <v>3018</v>
      </c>
      <c r="AD309" s="3" t="str">
        <f>IF(VLOOKUP($C309,'All Girls &amp; Descendants - Edit'!$C$2:$AK$440,'All Girls &amp; Descendants - Edit'!AD$1,FALSE)=""," - ",(VLOOKUP($C309,'All Girls &amp; Descendants - Edit'!$C$2:$AK$440,'All Girls &amp; Descendants - Edit'!AD$1,FALSE)))</f>
        <v>70aaa</v>
      </c>
      <c r="AE309" s="3" t="str">
        <f>IF(VLOOKUP($C309,'All Girls &amp; Descendants - Edit'!$C$2:$AK$440,'All Girls &amp; Descendants - Edit'!AE$1,FALSE)=""," - ",(VLOOKUP($C309,'All Girls &amp; Descendants - Edit'!$C$2:$AK$440,'All Girls &amp; Descendants - Edit'!AE$1,FALSE)))</f>
        <v>Henry Charles Anthony SHEARER (1981 - )</v>
      </c>
      <c r="AF309" s="3" t="str">
        <f>IF(VLOOKUP($C309,'All Girls &amp; Descendants - Edit'!$C$2:$AK$440,'All Girls &amp; Descendants - Edit'!AF$1,FALSE)=""," - ",(VLOOKUP($C309,'All Girls &amp; Descendants - Edit'!$C$2:$AK$440,'All Girls &amp; Descendants - Edit'!AF$1,FALSE)))</f>
        <v>Henry SHEARER (7th &amp; 70)</v>
      </c>
      <c r="AG309" s="3" t="str">
        <f>IF(VLOOKUP($C309,'All Girls &amp; Descendants - Edit'!$C$2:$AK$440,'All Girls &amp; Descendants - Edit'!AG$1,FALSE)=""," - ",(VLOOKUP($C309,'All Girls &amp; Descendants - Edit'!$C$2:$AK$440,'All Girls &amp; Descendants - Edit'!AG$1,FALSE)))</f>
        <v>Male</v>
      </c>
      <c r="AH309" s="3" t="str">
        <f>IF(VLOOKUP($C309,'All Girls &amp; Descendants - Edit'!$C$2:$AK$440,'All Girls &amp; Descendants - Edit'!AH$1,FALSE)=""," - ",(VLOOKUP($C309,'All Girls &amp; Descendants - Edit'!$C$2:$AK$440,'All Girls &amp; Descendants - Edit'!AH$1,FALSE)))</f>
        <v>7th</v>
      </c>
      <c r="AI309" s="3" t="str">
        <f>IF(VLOOKUP($C309,'All Girls &amp; Descendants - Edit'!$C$2:$AK$440,'All Girls &amp; Descendants - Edit'!AI$1,FALSE)=""," - ",(VLOOKUP($C309,'All Girls &amp; Descendants - Edit'!$C$2:$AK$440,'All Girls &amp; Descendants - Edit'!AI$1,FALSE)))</f>
        <v>Unmarried</v>
      </c>
      <c r="AJ309" s="3" t="str">
        <f>IF(VLOOKUP($C309,'All Girls &amp; Descendants - Edit'!$C$2:$AK$440,'All Girls &amp; Descendants - Edit'!AJ$1,FALSE)=""," - ",(VLOOKUP($C309,'All Girls &amp; Descendants - Edit'!$C$2:$AK$440,'All Girls &amp; Descendants - Edit'!AJ$1,FALSE)))</f>
        <v>Male. b. 07/11/1981</v>
      </c>
      <c r="AK309" s="3" t="str">
        <f>IF(VLOOKUP($C309,'All Girls &amp; Descendants - Edit'!$C$2:$AK$440,'All Girls &amp; Descendants - Edit'!AK$1,FALSE)=""," - ",(VLOOKUP($C309,'All Girls &amp; Descendants - Edit'!$C$2:$AK$440,'All Girls &amp; Descendants - Edit'!AK$1,FALSE)))</f>
        <v>b. 07/11/1981</v>
      </c>
    </row>
    <row r="310" spans="1:37" ht="19">
      <c r="A310">
        <f>VLOOKUP(B310,'Loyd List 1-190 - Edit'!$P$1:$R$219,3,FALSE)</f>
        <v>46</v>
      </c>
      <c r="B310">
        <f>'All Girls &amp; Descendants - Edit'!B311</f>
        <v>70</v>
      </c>
      <c r="C310" s="98" t="str">
        <f>'All Girls &amp; Descendants - Edit'!C311</f>
        <v>70aab</v>
      </c>
      <c r="D310" s="2" t="str">
        <f>'All Girls &amp; Descendants - Edit'!D311</f>
        <v>SHEARER</v>
      </c>
      <c r="E310" t="str">
        <f>'All Girls &amp; Descendants - Edit'!E311</f>
        <v>Emma</v>
      </c>
      <c r="F310" t="str">
        <f>IF('All Girls &amp; Descendants - Edit'!F311="","",'All Girls &amp; Descendants - Edit'!F311)</f>
        <v>Jane</v>
      </c>
      <c r="G310" t="str">
        <f>IF('All Girls &amp; Descendants - Edit'!G311="","",'All Girls &amp; Descendants - Edit'!G311)</f>
        <v/>
      </c>
      <c r="H310" t="str">
        <f>IF('All Girls &amp; Descendants - Edit'!H311="","",'All Girls &amp; Descendants - Edit'!H311)</f>
        <v/>
      </c>
      <c r="I310">
        <f>VLOOKUP($C310,'All Girls &amp; Descendants - Edit'!$C$2:$AK$440,'All Girls &amp; Descendants - Edit'!I$1,FALSE)</f>
        <v>1986</v>
      </c>
      <c r="J310" t="str">
        <f>VLOOKUP($C310,'All Girls &amp; Descendants - Edit'!$C$2:$AK$440,'All Girls &amp; Descendants - Edit'!J$1,FALSE)</f>
        <v/>
      </c>
      <c r="K310" s="9"/>
      <c r="L310" t="str">
        <f t="shared" si="32"/>
        <v>12/09/1986</v>
      </c>
      <c r="M310" s="3" t="str">
        <f>VLOOKUP($C310,'All Girls &amp; Descendants - Edit'!$C$2:$AK$440,'All Girls &amp; Descendants - Edit'!M$1,FALSE)</f>
        <v>12/09/1986</v>
      </c>
      <c r="N310" s="3" t="str">
        <f>IF(VLOOKUP($C310,'All Girls &amp; Descendants - Edit'!$C$2:$AK$440,'All Girls &amp; Descendants - Edit'!N$1,FALSE)=""," - ",(VLOOKUP($C310,'All Girls &amp; Descendants - Edit'!$C$2:$AK$440,'All Girls &amp; Descendants - Edit'!N$1,FALSE)))</f>
        <v xml:space="preserve"> - </v>
      </c>
      <c r="O310" s="3" t="str">
        <f>IF(VLOOKUP($C310,'All Girls &amp; Descendants - Edit'!$C$2:$AK$440,'All Girls &amp; Descendants - Edit'!O$1,FALSE)="","",(VLOOKUP($C310,'All Girls &amp; Descendants - Edit'!$C$2:$AK$440,'All Girls &amp; Descendants - Edit'!O$1,FALSE)))</f>
        <v/>
      </c>
      <c r="P310" s="3" t="str">
        <f t="shared" si="33"/>
        <v/>
      </c>
      <c r="Q310" s="178" t="str">
        <f t="shared" si="34"/>
        <v>70aa</v>
      </c>
      <c r="R310" s="23"/>
      <c r="S310" t="str">
        <f>VLOOKUP($C310,'All Girls &amp; Descendants - Edit'!$C$2:$AK$440,'All Girls &amp; Descendants - Edit'!S$1,FALSE)</f>
        <v>Female</v>
      </c>
      <c r="T310" s="176">
        <f t="shared" si="31"/>
        <v>7</v>
      </c>
      <c r="U310" s="176">
        <f t="shared" si="35"/>
        <v>5</v>
      </c>
      <c r="V310" s="176">
        <f t="shared" si="36"/>
        <v>4</v>
      </c>
      <c r="W310" s="177">
        <f t="shared" si="37"/>
        <v>3</v>
      </c>
      <c r="X310" s="3" t="str">
        <f>IF(VLOOKUP($C310,'All Girls &amp; Descendants - Edit'!$C$2:$AK$440,'All Girls &amp; Descendants - Edit'!X$1,FALSE)=""," - ",(VLOOKUP($C310,'All Girls &amp; Descendants - Edit'!$C$2:$AK$440,'All Girls &amp; Descendants - Edit'!X$1,FALSE)))</f>
        <v xml:space="preserve"> - </v>
      </c>
      <c r="Y310" s="3" t="str">
        <f>IF(VLOOKUP($C310,'All Girls &amp; Descendants - Edit'!$C$2:$AK$440,'All Girls &amp; Descendants - Edit'!Y$1,FALSE)=""," - ",(VLOOKUP($C310,'All Girls &amp; Descendants - Edit'!$C$2:$AK$440,'All Girls &amp; Descendants - Edit'!Y$1,FALSE)))</f>
        <v xml:space="preserve"> - </v>
      </c>
      <c r="Z310" s="3" t="str">
        <f>IF(VLOOKUP($C310,'All Girls &amp; Descendants - Edit'!$C$2:$AK$440,'All Girls &amp; Descendants - Edit'!Z$1,FALSE)=""," - ",(VLOOKUP($C310,'All Girls &amp; Descendants - Edit'!$C$2:$AK$440,'All Girls &amp; Descendants - Edit'!Z$1,FALSE)))</f>
        <v xml:space="preserve"> - </v>
      </c>
      <c r="AA310" s="101">
        <f>IF(VLOOKUP($C310,'All Girls &amp; Descendants - Edit'!$C$2:$AK$440,'All Girls &amp; Descendants - Edit'!AA$1,FALSE)=""," - ",(VLOOKUP($C310,'All Girls &amp; Descendants - Edit'!$C$2:$AK$440,'All Girls &amp; Descendants - Edit'!AA$1,FALSE)))</f>
        <v>126</v>
      </c>
      <c r="AB310" s="101">
        <f>IF(VLOOKUP($C310,'All Girls &amp; Descendants - Edit'!$C$2:$AK$440,'All Girls &amp; Descendants - Edit'!AB$1,FALSE)=""," - ",(VLOOKUP($C310,'All Girls &amp; Descendants - Edit'!$C$2:$AK$440,'All Girls &amp; Descendants - Edit'!AB$1,FALSE)))</f>
        <v>19</v>
      </c>
      <c r="AC310" s="101">
        <f>IF(VLOOKUP($C310,'All Girls &amp; Descendants - Edit'!$C$2:$AK$440,'All Girls &amp; Descendants - Edit'!AC$1,FALSE)=""," - ",(VLOOKUP($C310,'All Girls &amp; Descendants - Edit'!$C$2:$AK$440,'All Girls &amp; Descendants - Edit'!AC$1,FALSE)))</f>
        <v>3019</v>
      </c>
      <c r="AD310" s="3" t="str">
        <f>IF(VLOOKUP($C310,'All Girls &amp; Descendants - Edit'!$C$2:$AK$440,'All Girls &amp; Descendants - Edit'!AD$1,FALSE)=""," - ",(VLOOKUP($C310,'All Girls &amp; Descendants - Edit'!$C$2:$AK$440,'All Girls &amp; Descendants - Edit'!AD$1,FALSE)))</f>
        <v>70aab</v>
      </c>
      <c r="AE310" s="3" t="str">
        <f>IF(VLOOKUP($C310,'All Girls &amp; Descendants - Edit'!$C$2:$AK$440,'All Girls &amp; Descendants - Edit'!AE$1,FALSE)=""," - ",(VLOOKUP($C310,'All Girls &amp; Descendants - Edit'!$C$2:$AK$440,'All Girls &amp; Descendants - Edit'!AE$1,FALSE)))</f>
        <v>Emma Jane  SHEARER (1986 - )</v>
      </c>
      <c r="AF310" s="3" t="str">
        <f>IF(VLOOKUP($C310,'All Girls &amp; Descendants - Edit'!$C$2:$AK$440,'All Girls &amp; Descendants - Edit'!AF$1,FALSE)=""," - ",(VLOOKUP($C310,'All Girls &amp; Descendants - Edit'!$C$2:$AK$440,'All Girls &amp; Descendants - Edit'!AF$1,FALSE)))</f>
        <v>Emma SHEARER (7th &amp; 70)</v>
      </c>
      <c r="AG310" s="3" t="str">
        <f>IF(VLOOKUP($C310,'All Girls &amp; Descendants - Edit'!$C$2:$AK$440,'All Girls &amp; Descendants - Edit'!AG$1,FALSE)=""," - ",(VLOOKUP($C310,'All Girls &amp; Descendants - Edit'!$C$2:$AK$440,'All Girls &amp; Descendants - Edit'!AG$1,FALSE)))</f>
        <v>Female</v>
      </c>
      <c r="AH310" s="3" t="str">
        <f>IF(VLOOKUP($C310,'All Girls &amp; Descendants - Edit'!$C$2:$AK$440,'All Girls &amp; Descendants - Edit'!AH$1,FALSE)=""," - ",(VLOOKUP($C310,'All Girls &amp; Descendants - Edit'!$C$2:$AK$440,'All Girls &amp; Descendants - Edit'!AH$1,FALSE)))</f>
        <v>7th</v>
      </c>
      <c r="AI310" s="3" t="str">
        <f>IF(VLOOKUP($C310,'All Girls &amp; Descendants - Edit'!$C$2:$AK$440,'All Girls &amp; Descendants - Edit'!AI$1,FALSE)=""," - ",(VLOOKUP($C310,'All Girls &amp; Descendants - Edit'!$C$2:$AK$440,'All Girls &amp; Descendants - Edit'!AI$1,FALSE)))</f>
        <v>Unmarried</v>
      </c>
      <c r="AJ310" s="3" t="str">
        <f>IF(VLOOKUP($C310,'All Girls &amp; Descendants - Edit'!$C$2:$AK$440,'All Girls &amp; Descendants - Edit'!AJ$1,FALSE)=""," - ",(VLOOKUP($C310,'All Girls &amp; Descendants - Edit'!$C$2:$AK$440,'All Girls &amp; Descendants - Edit'!AJ$1,FALSE)))</f>
        <v>Female. b. 12/09/1986</v>
      </c>
      <c r="AK310" s="3" t="str">
        <f>IF(VLOOKUP($C310,'All Girls &amp; Descendants - Edit'!$C$2:$AK$440,'All Girls &amp; Descendants - Edit'!AK$1,FALSE)=""," - ",(VLOOKUP($C310,'All Girls &amp; Descendants - Edit'!$C$2:$AK$440,'All Girls &amp; Descendants - Edit'!AK$1,FALSE)))</f>
        <v>b. 12/09/1986</v>
      </c>
    </row>
    <row r="311" spans="1:37" ht="19">
      <c r="A311">
        <f>VLOOKUP(B311,'Loyd List 1-190 - Edit'!$P$1:$R$219,3,FALSE)</f>
        <v>46</v>
      </c>
      <c r="B311">
        <f>'All Girls &amp; Descendants - Edit'!B312</f>
        <v>70</v>
      </c>
      <c r="C311" s="98" t="str">
        <f>'All Girls &amp; Descendants - Edit'!C312</f>
        <v>70aba</v>
      </c>
      <c r="D311" s="2" t="str">
        <f>'All Girls &amp; Descendants - Edit'!D312</f>
        <v>ANDREY</v>
      </c>
      <c r="E311" t="str">
        <f>'All Girls &amp; Descendants - Edit'!E312</f>
        <v>Christopher</v>
      </c>
      <c r="F311" t="str">
        <f>IF('All Girls &amp; Descendants - Edit'!F312="","",'All Girls &amp; Descendants - Edit'!F312)</f>
        <v>John</v>
      </c>
      <c r="G311" t="str">
        <f>IF('All Girls &amp; Descendants - Edit'!G312="","",'All Girls &amp; Descendants - Edit'!G312)</f>
        <v/>
      </c>
      <c r="H311" t="str">
        <f>IF('All Girls &amp; Descendants - Edit'!H312="","",'All Girls &amp; Descendants - Edit'!H312)</f>
        <v/>
      </c>
      <c r="I311">
        <f>VLOOKUP($C311,'All Girls &amp; Descendants - Edit'!$C$2:$AK$440,'All Girls &amp; Descendants - Edit'!I$1,FALSE)</f>
        <v>1982</v>
      </c>
      <c r="J311" t="str">
        <f>VLOOKUP($C311,'All Girls &amp; Descendants - Edit'!$C$2:$AK$440,'All Girls &amp; Descendants - Edit'!J$1,FALSE)</f>
        <v/>
      </c>
      <c r="K311" s="9"/>
      <c r="L311" t="str">
        <f t="shared" si="32"/>
        <v>14/10/1982</v>
      </c>
      <c r="M311" s="3" t="str">
        <f>VLOOKUP($C311,'All Girls &amp; Descendants - Edit'!$C$2:$AK$440,'All Girls &amp; Descendants - Edit'!M$1,FALSE)</f>
        <v>14/10/1982</v>
      </c>
      <c r="N311" s="3" t="str">
        <f>IF(VLOOKUP($C311,'All Girls &amp; Descendants - Edit'!$C$2:$AK$440,'All Girls &amp; Descendants - Edit'!N$1,FALSE)=""," - ",(VLOOKUP($C311,'All Girls &amp; Descendants - Edit'!$C$2:$AK$440,'All Girls &amp; Descendants - Edit'!N$1,FALSE)))</f>
        <v xml:space="preserve"> - </v>
      </c>
      <c r="O311" s="3" t="str">
        <f>IF(VLOOKUP($C311,'All Girls &amp; Descendants - Edit'!$C$2:$AK$440,'All Girls &amp; Descendants - Edit'!O$1,FALSE)="","",(VLOOKUP($C311,'All Girls &amp; Descendants - Edit'!$C$2:$AK$440,'All Girls &amp; Descendants - Edit'!O$1,FALSE)))</f>
        <v/>
      </c>
      <c r="P311" s="3" t="str">
        <f t="shared" si="33"/>
        <v/>
      </c>
      <c r="Q311" s="178" t="str">
        <f t="shared" si="34"/>
        <v>70ab</v>
      </c>
      <c r="R311" s="23"/>
      <c r="S311" t="str">
        <f>VLOOKUP($C311,'All Girls &amp; Descendants - Edit'!$C$2:$AK$440,'All Girls &amp; Descendants - Edit'!S$1,FALSE)</f>
        <v>Male</v>
      </c>
      <c r="T311" s="176">
        <f t="shared" si="31"/>
        <v>7</v>
      </c>
      <c r="U311" s="176">
        <f t="shared" si="35"/>
        <v>5</v>
      </c>
      <c r="V311" s="176">
        <f t="shared" si="36"/>
        <v>4</v>
      </c>
      <c r="W311" s="177">
        <f t="shared" si="37"/>
        <v>3</v>
      </c>
      <c r="X311" s="3" t="str">
        <f>IF(VLOOKUP($C311,'All Girls &amp; Descendants - Edit'!$C$2:$AK$440,'All Girls &amp; Descendants - Edit'!X$1,FALSE)=""," - ",(VLOOKUP($C311,'All Girls &amp; Descendants - Edit'!$C$2:$AK$440,'All Girls &amp; Descendants - Edit'!X$1,FALSE)))</f>
        <v xml:space="preserve"> - </v>
      </c>
      <c r="Y311" s="3" t="str">
        <f>IF(VLOOKUP($C311,'All Girls &amp; Descendants - Edit'!$C$2:$AK$440,'All Girls &amp; Descendants - Edit'!Y$1,FALSE)=""," - ",(VLOOKUP($C311,'All Girls &amp; Descendants - Edit'!$C$2:$AK$440,'All Girls &amp; Descendants - Edit'!Y$1,FALSE)))</f>
        <v xml:space="preserve"> - </v>
      </c>
      <c r="Z311" s="3" t="str">
        <f>IF(VLOOKUP($C311,'All Girls &amp; Descendants - Edit'!$C$2:$AK$440,'All Girls &amp; Descendants - Edit'!Z$1,FALSE)=""," - ",(VLOOKUP($C311,'All Girls &amp; Descendants - Edit'!$C$2:$AK$440,'All Girls &amp; Descendants - Edit'!Z$1,FALSE)))</f>
        <v xml:space="preserve"> - </v>
      </c>
      <c r="AA311" s="101">
        <f>IF(VLOOKUP($C311,'All Girls &amp; Descendants - Edit'!$C$2:$AK$440,'All Girls &amp; Descendants - Edit'!AA$1,FALSE)=""," - ",(VLOOKUP($C311,'All Girls &amp; Descendants - Edit'!$C$2:$AK$440,'All Girls &amp; Descendants - Edit'!AA$1,FALSE)))</f>
        <v>128</v>
      </c>
      <c r="AB311" s="101">
        <f>IF(VLOOKUP($C311,'All Girls &amp; Descendants - Edit'!$C$2:$AK$440,'All Girls &amp; Descendants - Edit'!AB$1,FALSE)=""," - ",(VLOOKUP($C311,'All Girls &amp; Descendants - Edit'!$C$2:$AK$440,'All Girls &amp; Descendants - Edit'!AB$1,FALSE)))</f>
        <v>20</v>
      </c>
      <c r="AC311" s="101">
        <f>IF(VLOOKUP($C311,'All Girls &amp; Descendants - Edit'!$C$2:$AK$440,'All Girls &amp; Descendants - Edit'!AC$1,FALSE)=""," - ",(VLOOKUP($C311,'All Girls &amp; Descendants - Edit'!$C$2:$AK$440,'All Girls &amp; Descendants - Edit'!AC$1,FALSE)))</f>
        <v>3020</v>
      </c>
      <c r="AD311" s="3" t="str">
        <f>IF(VLOOKUP($C311,'All Girls &amp; Descendants - Edit'!$C$2:$AK$440,'All Girls &amp; Descendants - Edit'!AD$1,FALSE)=""," - ",(VLOOKUP($C311,'All Girls &amp; Descendants - Edit'!$C$2:$AK$440,'All Girls &amp; Descendants - Edit'!AD$1,FALSE)))</f>
        <v>70aba</v>
      </c>
      <c r="AE311" s="3" t="str">
        <f>IF(VLOOKUP($C311,'All Girls &amp; Descendants - Edit'!$C$2:$AK$440,'All Girls &amp; Descendants - Edit'!AE$1,FALSE)=""," - ",(VLOOKUP($C311,'All Girls &amp; Descendants - Edit'!$C$2:$AK$440,'All Girls &amp; Descendants - Edit'!AE$1,FALSE)))</f>
        <v>Christopher John  ANDREY (1982 - )</v>
      </c>
      <c r="AF311" s="3" t="str">
        <f>IF(VLOOKUP($C311,'All Girls &amp; Descendants - Edit'!$C$2:$AK$440,'All Girls &amp; Descendants - Edit'!AF$1,FALSE)=""," - ",(VLOOKUP($C311,'All Girls &amp; Descendants - Edit'!$C$2:$AK$440,'All Girls &amp; Descendants - Edit'!AF$1,FALSE)))</f>
        <v>Christopher ANDREY (7th &amp; 70)</v>
      </c>
      <c r="AG311" s="3" t="str">
        <f>IF(VLOOKUP($C311,'All Girls &amp; Descendants - Edit'!$C$2:$AK$440,'All Girls &amp; Descendants - Edit'!AG$1,FALSE)=""," - ",(VLOOKUP($C311,'All Girls &amp; Descendants - Edit'!$C$2:$AK$440,'All Girls &amp; Descendants - Edit'!AG$1,FALSE)))</f>
        <v>Male</v>
      </c>
      <c r="AH311" s="3" t="str">
        <f>IF(VLOOKUP($C311,'All Girls &amp; Descendants - Edit'!$C$2:$AK$440,'All Girls &amp; Descendants - Edit'!AH$1,FALSE)=""," - ",(VLOOKUP($C311,'All Girls &amp; Descendants - Edit'!$C$2:$AK$440,'All Girls &amp; Descendants - Edit'!AH$1,FALSE)))</f>
        <v>7th</v>
      </c>
      <c r="AI311" s="3" t="str">
        <f>IF(VLOOKUP($C311,'All Girls &amp; Descendants - Edit'!$C$2:$AK$440,'All Girls &amp; Descendants - Edit'!AI$1,FALSE)=""," - ",(VLOOKUP($C311,'All Girls &amp; Descendants - Edit'!$C$2:$AK$440,'All Girls &amp; Descendants - Edit'!AI$1,FALSE)))</f>
        <v>Unmarried</v>
      </c>
      <c r="AJ311" s="3" t="str">
        <f>IF(VLOOKUP($C311,'All Girls &amp; Descendants - Edit'!$C$2:$AK$440,'All Girls &amp; Descendants - Edit'!AJ$1,FALSE)=""," - ",(VLOOKUP($C311,'All Girls &amp; Descendants - Edit'!$C$2:$AK$440,'All Girls &amp; Descendants - Edit'!AJ$1,FALSE)))</f>
        <v>Male. b. 14/10/1982</v>
      </c>
      <c r="AK311" s="3" t="str">
        <f>IF(VLOOKUP($C311,'All Girls &amp; Descendants - Edit'!$C$2:$AK$440,'All Girls &amp; Descendants - Edit'!AK$1,FALSE)=""," - ",(VLOOKUP($C311,'All Girls &amp; Descendants - Edit'!$C$2:$AK$440,'All Girls &amp; Descendants - Edit'!AK$1,FALSE)))</f>
        <v>b. 14/10/1982</v>
      </c>
    </row>
    <row r="312" spans="1:37" ht="19">
      <c r="A312">
        <f>VLOOKUP(B312,'Loyd List 1-190 - Edit'!$P$1:$R$219,3,FALSE)</f>
        <v>46</v>
      </c>
      <c r="B312">
        <f>'All Girls &amp; Descendants - Edit'!B313</f>
        <v>70</v>
      </c>
      <c r="C312" s="98" t="str">
        <f>'All Girls &amp; Descendants - Edit'!C313</f>
        <v>70abb</v>
      </c>
      <c r="D312" s="2" t="str">
        <f>'All Girls &amp; Descendants - Edit'!D313</f>
        <v>ANDREY</v>
      </c>
      <c r="E312" t="str">
        <f>'All Girls &amp; Descendants - Edit'!E313</f>
        <v>Amanda</v>
      </c>
      <c r="F312" t="str">
        <f>IF('All Girls &amp; Descendants - Edit'!F313="","",'All Girls &amp; Descendants - Edit'!F313)</f>
        <v>Charlotte</v>
      </c>
      <c r="G312" t="str">
        <f>IF('All Girls &amp; Descendants - Edit'!G313="","",'All Girls &amp; Descendants - Edit'!G313)</f>
        <v/>
      </c>
      <c r="H312" t="str">
        <f>IF('All Girls &amp; Descendants - Edit'!H313="","",'All Girls &amp; Descendants - Edit'!H313)</f>
        <v/>
      </c>
      <c r="I312">
        <f>VLOOKUP($C312,'All Girls &amp; Descendants - Edit'!$C$2:$AK$440,'All Girls &amp; Descendants - Edit'!I$1,FALSE)</f>
        <v>1987</v>
      </c>
      <c r="J312" t="str">
        <f>VLOOKUP($C312,'All Girls &amp; Descendants - Edit'!$C$2:$AK$440,'All Girls &amp; Descendants - Edit'!J$1,FALSE)</f>
        <v/>
      </c>
      <c r="K312" s="9"/>
      <c r="L312" t="str">
        <f t="shared" si="32"/>
        <v>18/02/1987</v>
      </c>
      <c r="M312" s="3" t="str">
        <f>VLOOKUP($C312,'All Girls &amp; Descendants - Edit'!$C$2:$AK$440,'All Girls &amp; Descendants - Edit'!M$1,FALSE)</f>
        <v>18/02/1987</v>
      </c>
      <c r="N312" s="3" t="str">
        <f>IF(VLOOKUP($C312,'All Girls &amp; Descendants - Edit'!$C$2:$AK$440,'All Girls &amp; Descendants - Edit'!N$1,FALSE)=""," - ",(VLOOKUP($C312,'All Girls &amp; Descendants - Edit'!$C$2:$AK$440,'All Girls &amp; Descendants - Edit'!N$1,FALSE)))</f>
        <v xml:space="preserve"> - </v>
      </c>
      <c r="O312" s="3" t="str">
        <f>IF(VLOOKUP($C312,'All Girls &amp; Descendants - Edit'!$C$2:$AK$440,'All Girls &amp; Descendants - Edit'!O$1,FALSE)="","",(VLOOKUP($C312,'All Girls &amp; Descendants - Edit'!$C$2:$AK$440,'All Girls &amp; Descendants - Edit'!O$1,FALSE)))</f>
        <v/>
      </c>
      <c r="P312" s="3" t="str">
        <f t="shared" si="33"/>
        <v/>
      </c>
      <c r="Q312" s="178" t="str">
        <f t="shared" si="34"/>
        <v>70ab</v>
      </c>
      <c r="R312" s="23"/>
      <c r="S312" t="str">
        <f>VLOOKUP($C312,'All Girls &amp; Descendants - Edit'!$C$2:$AK$440,'All Girls &amp; Descendants - Edit'!S$1,FALSE)</f>
        <v>Female</v>
      </c>
      <c r="T312" s="176">
        <f t="shared" si="31"/>
        <v>7</v>
      </c>
      <c r="U312" s="176">
        <f t="shared" si="35"/>
        <v>5</v>
      </c>
      <c r="V312" s="176">
        <f t="shared" si="36"/>
        <v>4</v>
      </c>
      <c r="W312" s="177">
        <f t="shared" si="37"/>
        <v>3</v>
      </c>
      <c r="X312" s="3" t="str">
        <f>IF(VLOOKUP($C312,'All Girls &amp; Descendants - Edit'!$C$2:$AK$440,'All Girls &amp; Descendants - Edit'!X$1,FALSE)=""," - ",(VLOOKUP($C312,'All Girls &amp; Descendants - Edit'!$C$2:$AK$440,'All Girls &amp; Descendants - Edit'!X$1,FALSE)))</f>
        <v xml:space="preserve"> - </v>
      </c>
      <c r="Y312" s="3" t="str">
        <f>IF(VLOOKUP($C312,'All Girls &amp; Descendants - Edit'!$C$2:$AK$440,'All Girls &amp; Descendants - Edit'!Y$1,FALSE)=""," - ",(VLOOKUP($C312,'All Girls &amp; Descendants - Edit'!$C$2:$AK$440,'All Girls &amp; Descendants - Edit'!Y$1,FALSE)))</f>
        <v xml:space="preserve"> - </v>
      </c>
      <c r="Z312" s="3" t="str">
        <f>IF(VLOOKUP($C312,'All Girls &amp; Descendants - Edit'!$C$2:$AK$440,'All Girls &amp; Descendants - Edit'!Z$1,FALSE)=""," - ",(VLOOKUP($C312,'All Girls &amp; Descendants - Edit'!$C$2:$AK$440,'All Girls &amp; Descendants - Edit'!Z$1,FALSE)))</f>
        <v xml:space="preserve"> - </v>
      </c>
      <c r="AA312" s="101">
        <f>IF(VLOOKUP($C312,'All Girls &amp; Descendants - Edit'!$C$2:$AK$440,'All Girls &amp; Descendants - Edit'!AA$1,FALSE)=""," - ",(VLOOKUP($C312,'All Girls &amp; Descendants - Edit'!$C$2:$AK$440,'All Girls &amp; Descendants - Edit'!AA$1,FALSE)))</f>
        <v>129</v>
      </c>
      <c r="AB312" s="101">
        <f>IF(VLOOKUP($C312,'All Girls &amp; Descendants - Edit'!$C$2:$AK$440,'All Girls &amp; Descendants - Edit'!AB$1,FALSE)=""," - ",(VLOOKUP($C312,'All Girls &amp; Descendants - Edit'!$C$2:$AK$440,'All Girls &amp; Descendants - Edit'!AB$1,FALSE)))</f>
        <v>21</v>
      </c>
      <c r="AC312" s="101">
        <f>IF(VLOOKUP($C312,'All Girls &amp; Descendants - Edit'!$C$2:$AK$440,'All Girls &amp; Descendants - Edit'!AC$1,FALSE)=""," - ",(VLOOKUP($C312,'All Girls &amp; Descendants - Edit'!$C$2:$AK$440,'All Girls &amp; Descendants - Edit'!AC$1,FALSE)))</f>
        <v>3021</v>
      </c>
      <c r="AD312" s="3" t="str">
        <f>IF(VLOOKUP($C312,'All Girls &amp; Descendants - Edit'!$C$2:$AK$440,'All Girls &amp; Descendants - Edit'!AD$1,FALSE)=""," - ",(VLOOKUP($C312,'All Girls &amp; Descendants - Edit'!$C$2:$AK$440,'All Girls &amp; Descendants - Edit'!AD$1,FALSE)))</f>
        <v>70abb</v>
      </c>
      <c r="AE312" s="3" t="str">
        <f>IF(VLOOKUP($C312,'All Girls &amp; Descendants - Edit'!$C$2:$AK$440,'All Girls &amp; Descendants - Edit'!AE$1,FALSE)=""," - ",(VLOOKUP($C312,'All Girls &amp; Descendants - Edit'!$C$2:$AK$440,'All Girls &amp; Descendants - Edit'!AE$1,FALSE)))</f>
        <v>Amanda Charlotte  ANDREY (1987 - )</v>
      </c>
      <c r="AF312" s="3" t="str">
        <f>IF(VLOOKUP($C312,'All Girls &amp; Descendants - Edit'!$C$2:$AK$440,'All Girls &amp; Descendants - Edit'!AF$1,FALSE)=""," - ",(VLOOKUP($C312,'All Girls &amp; Descendants - Edit'!$C$2:$AK$440,'All Girls &amp; Descendants - Edit'!AF$1,FALSE)))</f>
        <v>Amanda ANDREY (7th &amp; 70)</v>
      </c>
      <c r="AG312" s="3" t="str">
        <f>IF(VLOOKUP($C312,'All Girls &amp; Descendants - Edit'!$C$2:$AK$440,'All Girls &amp; Descendants - Edit'!AG$1,FALSE)=""," - ",(VLOOKUP($C312,'All Girls &amp; Descendants - Edit'!$C$2:$AK$440,'All Girls &amp; Descendants - Edit'!AG$1,FALSE)))</f>
        <v>Female</v>
      </c>
      <c r="AH312" s="3" t="str">
        <f>IF(VLOOKUP($C312,'All Girls &amp; Descendants - Edit'!$C$2:$AK$440,'All Girls &amp; Descendants - Edit'!AH$1,FALSE)=""," - ",(VLOOKUP($C312,'All Girls &amp; Descendants - Edit'!$C$2:$AK$440,'All Girls &amp; Descendants - Edit'!AH$1,FALSE)))</f>
        <v>7th</v>
      </c>
      <c r="AI312" s="3" t="str">
        <f>IF(VLOOKUP($C312,'All Girls &amp; Descendants - Edit'!$C$2:$AK$440,'All Girls &amp; Descendants - Edit'!AI$1,FALSE)=""," - ",(VLOOKUP($C312,'All Girls &amp; Descendants - Edit'!$C$2:$AK$440,'All Girls &amp; Descendants - Edit'!AI$1,FALSE)))</f>
        <v>Unmarried</v>
      </c>
      <c r="AJ312" s="3" t="str">
        <f>IF(VLOOKUP($C312,'All Girls &amp; Descendants - Edit'!$C$2:$AK$440,'All Girls &amp; Descendants - Edit'!AJ$1,FALSE)=""," - ",(VLOOKUP($C312,'All Girls &amp; Descendants - Edit'!$C$2:$AK$440,'All Girls &amp; Descendants - Edit'!AJ$1,FALSE)))</f>
        <v>Female. b. 18/02/1987</v>
      </c>
      <c r="AK312" s="3" t="str">
        <f>IF(VLOOKUP($C312,'All Girls &amp; Descendants - Edit'!$C$2:$AK$440,'All Girls &amp; Descendants - Edit'!AK$1,FALSE)=""," - ",(VLOOKUP($C312,'All Girls &amp; Descendants - Edit'!$C$2:$AK$440,'All Girls &amp; Descendants - Edit'!AK$1,FALSE)))</f>
        <v>b. 18/02/1987</v>
      </c>
    </row>
    <row r="313" spans="1:37" ht="19">
      <c r="A313">
        <f>VLOOKUP(B313,'Loyd List 1-190 - Edit'!$P$1:$R$219,3,FALSE)</f>
        <v>46</v>
      </c>
      <c r="B313">
        <f>'All Girls &amp; Descendants - Edit'!B314</f>
        <v>70</v>
      </c>
      <c r="C313" s="98" t="str">
        <f>'All Girls &amp; Descendants - Edit'!C314</f>
        <v>70baa</v>
      </c>
      <c r="D313" s="2" t="str">
        <f>'All Girls &amp; Descendants - Edit'!D314</f>
        <v>MELITUS</v>
      </c>
      <c r="E313" t="str">
        <f>'All Girls &amp; Descendants - Edit'!E314</f>
        <v>Zoe</v>
      </c>
      <c r="F313" t="str">
        <f>IF('All Girls &amp; Descendants - Edit'!F314="","",'All Girls &amp; Descendants - Edit'!F314)</f>
        <v>Adele</v>
      </c>
      <c r="G313" t="str">
        <f>IF('All Girls &amp; Descendants - Edit'!G314="","",'All Girls &amp; Descendants - Edit'!G314)</f>
        <v/>
      </c>
      <c r="H313" t="str">
        <f>IF('All Girls &amp; Descendants - Edit'!H314="","",'All Girls &amp; Descendants - Edit'!H314)</f>
        <v/>
      </c>
      <c r="I313">
        <f>VLOOKUP($C313,'All Girls &amp; Descendants - Edit'!$C$2:$AK$440,'All Girls &amp; Descendants - Edit'!I$1,FALSE)</f>
        <v>1979</v>
      </c>
      <c r="J313" t="str">
        <f>VLOOKUP($C313,'All Girls &amp; Descendants - Edit'!$C$2:$AK$440,'All Girls &amp; Descendants - Edit'!J$1,FALSE)</f>
        <v/>
      </c>
      <c r="K313" s="9"/>
      <c r="L313" t="str">
        <f t="shared" si="32"/>
        <v>30/10/1979</v>
      </c>
      <c r="M313" s="3">
        <f>VLOOKUP($C313,'All Girls &amp; Descendants - Edit'!$C$2:$AK$440,'All Girls &amp; Descendants - Edit'!M$1,FALSE)</f>
        <v>29158</v>
      </c>
      <c r="N313" s="3" t="str">
        <f>IF(VLOOKUP($C313,'All Girls &amp; Descendants - Edit'!$C$2:$AK$440,'All Girls &amp; Descendants - Edit'!N$1,FALSE)=""," - ",(VLOOKUP($C313,'All Girls &amp; Descendants - Edit'!$C$2:$AK$440,'All Girls &amp; Descendants - Edit'!N$1,FALSE)))</f>
        <v xml:space="preserve"> - </v>
      </c>
      <c r="O313" s="3" t="str">
        <f>IF(VLOOKUP($C313,'All Girls &amp; Descendants - Edit'!$C$2:$AK$440,'All Girls &amp; Descendants - Edit'!O$1,FALSE)="","",(VLOOKUP($C313,'All Girls &amp; Descendants - Edit'!$C$2:$AK$440,'All Girls &amp; Descendants - Edit'!O$1,FALSE)))</f>
        <v/>
      </c>
      <c r="P313" s="3" t="str">
        <f t="shared" si="33"/>
        <v/>
      </c>
      <c r="Q313" s="178" t="str">
        <f t="shared" si="34"/>
        <v>70ba</v>
      </c>
      <c r="R313" s="23"/>
      <c r="S313" t="str">
        <f>VLOOKUP($C313,'All Girls &amp; Descendants - Edit'!$C$2:$AK$440,'All Girls &amp; Descendants - Edit'!S$1,FALSE)</f>
        <v>Female</v>
      </c>
      <c r="T313" s="176">
        <f t="shared" si="31"/>
        <v>7</v>
      </c>
      <c r="U313" s="176">
        <f t="shared" si="35"/>
        <v>5</v>
      </c>
      <c r="V313" s="176">
        <f t="shared" si="36"/>
        <v>4</v>
      </c>
      <c r="W313" s="177">
        <f t="shared" si="37"/>
        <v>3</v>
      </c>
      <c r="X313" s="3" t="str">
        <f>IF(VLOOKUP($C313,'All Girls &amp; Descendants - Edit'!$C$2:$AK$440,'All Girls &amp; Descendants - Edit'!X$1,FALSE)=""," - ",(VLOOKUP($C313,'All Girls &amp; Descendants - Edit'!$C$2:$AK$440,'All Girls &amp; Descendants - Edit'!X$1,FALSE)))</f>
        <v xml:space="preserve"> - </v>
      </c>
      <c r="Y313" s="3" t="str">
        <f>IF(VLOOKUP($C313,'All Girls &amp; Descendants - Edit'!$C$2:$AK$440,'All Girls &amp; Descendants - Edit'!Y$1,FALSE)=""," - ",(VLOOKUP($C313,'All Girls &amp; Descendants - Edit'!$C$2:$AK$440,'All Girls &amp; Descendants - Edit'!Y$1,FALSE)))</f>
        <v xml:space="preserve"> - </v>
      </c>
      <c r="Z313" s="3" t="str">
        <f>IF(VLOOKUP($C313,'All Girls &amp; Descendants - Edit'!$C$2:$AK$440,'All Girls &amp; Descendants - Edit'!Z$1,FALSE)=""," - ",(VLOOKUP($C313,'All Girls &amp; Descendants - Edit'!$C$2:$AK$440,'All Girls &amp; Descendants - Edit'!Z$1,FALSE)))</f>
        <v xml:space="preserve"> - </v>
      </c>
      <c r="AA313" s="101">
        <f>IF(VLOOKUP($C313,'All Girls &amp; Descendants - Edit'!$C$2:$AK$440,'All Girls &amp; Descendants - Edit'!AA$1,FALSE)=""," - ",(VLOOKUP($C313,'All Girls &amp; Descendants - Edit'!$C$2:$AK$440,'All Girls &amp; Descendants - Edit'!AA$1,FALSE)))</f>
        <v>133</v>
      </c>
      <c r="AB313" s="101">
        <f>IF(VLOOKUP($C313,'All Girls &amp; Descendants - Edit'!$C$2:$AK$440,'All Girls &amp; Descendants - Edit'!AB$1,FALSE)=""," - ",(VLOOKUP($C313,'All Girls &amp; Descendants - Edit'!$C$2:$AK$440,'All Girls &amp; Descendants - Edit'!AB$1,FALSE)))</f>
        <v>22</v>
      </c>
      <c r="AC313" s="101">
        <f>IF(VLOOKUP($C313,'All Girls &amp; Descendants - Edit'!$C$2:$AK$440,'All Girls &amp; Descendants - Edit'!AC$1,FALSE)=""," - ",(VLOOKUP($C313,'All Girls &amp; Descendants - Edit'!$C$2:$AK$440,'All Girls &amp; Descendants - Edit'!AC$1,FALSE)))</f>
        <v>3022</v>
      </c>
      <c r="AD313" s="3" t="str">
        <f>IF(VLOOKUP($C313,'All Girls &amp; Descendants - Edit'!$C$2:$AK$440,'All Girls &amp; Descendants - Edit'!AD$1,FALSE)=""," - ",(VLOOKUP($C313,'All Girls &amp; Descendants - Edit'!$C$2:$AK$440,'All Girls &amp; Descendants - Edit'!AD$1,FALSE)))</f>
        <v>70baa</v>
      </c>
      <c r="AE313" s="3" t="str">
        <f>IF(VLOOKUP($C313,'All Girls &amp; Descendants - Edit'!$C$2:$AK$440,'All Girls &amp; Descendants - Edit'!AE$1,FALSE)=""," - ",(VLOOKUP($C313,'All Girls &amp; Descendants - Edit'!$C$2:$AK$440,'All Girls &amp; Descendants - Edit'!AE$1,FALSE)))</f>
        <v>Zoe Adele  MELITUS (1979 - )</v>
      </c>
      <c r="AF313" s="3" t="str">
        <f>IF(VLOOKUP($C313,'All Girls &amp; Descendants - Edit'!$C$2:$AK$440,'All Girls &amp; Descendants - Edit'!AF$1,FALSE)=""," - ",(VLOOKUP($C313,'All Girls &amp; Descendants - Edit'!$C$2:$AK$440,'All Girls &amp; Descendants - Edit'!AF$1,FALSE)))</f>
        <v>Zoe MELITUS (7th &amp; 70)</v>
      </c>
      <c r="AG313" s="3" t="str">
        <f>IF(VLOOKUP($C313,'All Girls &amp; Descendants - Edit'!$C$2:$AK$440,'All Girls &amp; Descendants - Edit'!AG$1,FALSE)=""," - ",(VLOOKUP($C313,'All Girls &amp; Descendants - Edit'!$C$2:$AK$440,'All Girls &amp; Descendants - Edit'!AG$1,FALSE)))</f>
        <v>Female</v>
      </c>
      <c r="AH313" s="3" t="str">
        <f>IF(VLOOKUP($C313,'All Girls &amp; Descendants - Edit'!$C$2:$AK$440,'All Girls &amp; Descendants - Edit'!AH$1,FALSE)=""," - ",(VLOOKUP($C313,'All Girls &amp; Descendants - Edit'!$C$2:$AK$440,'All Girls &amp; Descendants - Edit'!AH$1,FALSE)))</f>
        <v>7th</v>
      </c>
      <c r="AI313" s="3" t="str">
        <f>IF(VLOOKUP($C313,'All Girls &amp; Descendants - Edit'!$C$2:$AK$440,'All Girls &amp; Descendants - Edit'!AI$1,FALSE)=""," - ",(VLOOKUP($C313,'All Girls &amp; Descendants - Edit'!$C$2:$AK$440,'All Girls &amp; Descendants - Edit'!AI$1,FALSE)))</f>
        <v>Unmarried</v>
      </c>
      <c r="AJ313" s="3" t="str">
        <f>IF(VLOOKUP($C313,'All Girls &amp; Descendants - Edit'!$C$2:$AK$440,'All Girls &amp; Descendants - Edit'!AJ$1,FALSE)=""," - ",(VLOOKUP($C313,'All Girls &amp; Descendants - Edit'!$C$2:$AK$440,'All Girls &amp; Descendants - Edit'!AJ$1,FALSE)))</f>
        <v>Female. b. 30/10/1979</v>
      </c>
      <c r="AK313" s="3" t="str">
        <f>IF(VLOOKUP($C313,'All Girls &amp; Descendants - Edit'!$C$2:$AK$440,'All Girls &amp; Descendants - Edit'!AK$1,FALSE)=""," - ",(VLOOKUP($C313,'All Girls &amp; Descendants - Edit'!$C$2:$AK$440,'All Girls &amp; Descendants - Edit'!AK$1,FALSE)))</f>
        <v>b. 30/10/1979</v>
      </c>
    </row>
    <row r="314" spans="1:37" ht="19">
      <c r="A314">
        <f>VLOOKUP(B314,'Loyd List 1-190 - Edit'!$P$1:$R$219,3,FALSE)</f>
        <v>46</v>
      </c>
      <c r="B314">
        <f>'All Girls &amp; Descendants - Edit'!B315</f>
        <v>70</v>
      </c>
      <c r="C314" s="98" t="str">
        <f>'All Girls &amp; Descendants - Edit'!C315</f>
        <v>70bab</v>
      </c>
      <c r="D314" s="2" t="str">
        <f>'All Girls &amp; Descendants - Edit'!D315</f>
        <v>MELITUS</v>
      </c>
      <c r="E314" t="str">
        <f>'All Girls &amp; Descendants - Edit'!E315</f>
        <v>Jonathan</v>
      </c>
      <c r="F314" t="str">
        <f>IF('All Girls &amp; Descendants - Edit'!F315="","",'All Girls &amp; Descendants - Edit'!F315)</f>
        <v>Peter</v>
      </c>
      <c r="G314" t="str">
        <f>IF('All Girls &amp; Descendants - Edit'!G315="","",'All Girls &amp; Descendants - Edit'!G315)</f>
        <v/>
      </c>
      <c r="H314" t="str">
        <f>IF('All Girls &amp; Descendants - Edit'!H315="","",'All Girls &amp; Descendants - Edit'!H315)</f>
        <v>Peter</v>
      </c>
      <c r="I314">
        <f>VLOOKUP($C314,'All Girls &amp; Descendants - Edit'!$C$2:$AK$440,'All Girls &amp; Descendants - Edit'!I$1,FALSE)</f>
        <v>1988</v>
      </c>
      <c r="J314" t="str">
        <f>VLOOKUP($C314,'All Girls &amp; Descendants - Edit'!$C$2:$AK$440,'All Girls &amp; Descendants - Edit'!J$1,FALSE)</f>
        <v/>
      </c>
      <c r="K314" s="9"/>
      <c r="L314" t="str">
        <f t="shared" si="32"/>
        <v>25/06/1988</v>
      </c>
      <c r="M314" s="3">
        <f>VLOOKUP($C314,'All Girls &amp; Descendants - Edit'!$C$2:$AK$440,'All Girls &amp; Descendants - Edit'!M$1,FALSE)</f>
        <v>32319</v>
      </c>
      <c r="N314" s="3" t="str">
        <f>IF(VLOOKUP($C314,'All Girls &amp; Descendants - Edit'!$C$2:$AK$440,'All Girls &amp; Descendants - Edit'!N$1,FALSE)=""," - ",(VLOOKUP($C314,'All Girls &amp; Descendants - Edit'!$C$2:$AK$440,'All Girls &amp; Descendants - Edit'!N$1,FALSE)))</f>
        <v xml:space="preserve"> - </v>
      </c>
      <c r="O314" s="3" t="str">
        <f>IF(VLOOKUP($C314,'All Girls &amp; Descendants - Edit'!$C$2:$AK$440,'All Girls &amp; Descendants - Edit'!O$1,FALSE)="","",(VLOOKUP($C314,'All Girls &amp; Descendants - Edit'!$C$2:$AK$440,'All Girls &amp; Descendants - Edit'!O$1,FALSE)))</f>
        <v/>
      </c>
      <c r="P314" s="3" t="str">
        <f t="shared" si="33"/>
        <v/>
      </c>
      <c r="Q314" s="178" t="str">
        <f t="shared" si="34"/>
        <v>70ba</v>
      </c>
      <c r="R314" s="23"/>
      <c r="S314" t="str">
        <f>VLOOKUP($C314,'All Girls &amp; Descendants - Edit'!$C$2:$AK$440,'All Girls &amp; Descendants - Edit'!S$1,FALSE)</f>
        <v>Male</v>
      </c>
      <c r="T314" s="176">
        <f t="shared" si="31"/>
        <v>7</v>
      </c>
      <c r="U314" s="176">
        <f t="shared" si="35"/>
        <v>5</v>
      </c>
      <c r="V314" s="176">
        <f t="shared" si="36"/>
        <v>4</v>
      </c>
      <c r="W314" s="177">
        <f t="shared" si="37"/>
        <v>3</v>
      </c>
      <c r="X314" s="3" t="str">
        <f>IF(VLOOKUP($C314,'All Girls &amp; Descendants - Edit'!$C$2:$AK$440,'All Girls &amp; Descendants - Edit'!X$1,FALSE)=""," - ",(VLOOKUP($C314,'All Girls &amp; Descendants - Edit'!$C$2:$AK$440,'All Girls &amp; Descendants - Edit'!X$1,FALSE)))</f>
        <v xml:space="preserve"> - </v>
      </c>
      <c r="Y314" s="3" t="str">
        <f>IF(VLOOKUP($C314,'All Girls &amp; Descendants - Edit'!$C$2:$AK$440,'All Girls &amp; Descendants - Edit'!Y$1,FALSE)=""," - ",(VLOOKUP($C314,'All Girls &amp; Descendants - Edit'!$C$2:$AK$440,'All Girls &amp; Descendants - Edit'!Y$1,FALSE)))</f>
        <v xml:space="preserve"> - </v>
      </c>
      <c r="Z314" s="3" t="str">
        <f>IF(VLOOKUP($C314,'All Girls &amp; Descendants - Edit'!$C$2:$AK$440,'All Girls &amp; Descendants - Edit'!Z$1,FALSE)=""," - ",(VLOOKUP($C314,'All Girls &amp; Descendants - Edit'!$C$2:$AK$440,'All Girls &amp; Descendants - Edit'!Z$1,FALSE)))</f>
        <v xml:space="preserve"> - </v>
      </c>
      <c r="AA314" s="101">
        <f>IF(VLOOKUP($C314,'All Girls &amp; Descendants - Edit'!$C$2:$AK$440,'All Girls &amp; Descendants - Edit'!AA$1,FALSE)=""," - ",(VLOOKUP($C314,'All Girls &amp; Descendants - Edit'!$C$2:$AK$440,'All Girls &amp; Descendants - Edit'!AA$1,FALSE)))</f>
        <v>134</v>
      </c>
      <c r="AB314" s="101">
        <f>IF(VLOOKUP($C314,'All Girls &amp; Descendants - Edit'!$C$2:$AK$440,'All Girls &amp; Descendants - Edit'!AB$1,FALSE)=""," - ",(VLOOKUP($C314,'All Girls &amp; Descendants - Edit'!$C$2:$AK$440,'All Girls &amp; Descendants - Edit'!AB$1,FALSE)))</f>
        <v>23</v>
      </c>
      <c r="AC314" s="101">
        <f>IF(VLOOKUP($C314,'All Girls &amp; Descendants - Edit'!$C$2:$AK$440,'All Girls &amp; Descendants - Edit'!AC$1,FALSE)=""," - ",(VLOOKUP($C314,'All Girls &amp; Descendants - Edit'!$C$2:$AK$440,'All Girls &amp; Descendants - Edit'!AC$1,FALSE)))</f>
        <v>3023</v>
      </c>
      <c r="AD314" s="3" t="str">
        <f>IF(VLOOKUP($C314,'All Girls &amp; Descendants - Edit'!$C$2:$AK$440,'All Girls &amp; Descendants - Edit'!AD$1,FALSE)=""," - ",(VLOOKUP($C314,'All Girls &amp; Descendants - Edit'!$C$2:$AK$440,'All Girls &amp; Descendants - Edit'!AD$1,FALSE)))</f>
        <v>70bab</v>
      </c>
      <c r="AE314" s="3" t="str">
        <f>IF(VLOOKUP($C314,'All Girls &amp; Descendants - Edit'!$C$2:$AK$440,'All Girls &amp; Descendants - Edit'!AE$1,FALSE)=""," - ",(VLOOKUP($C314,'All Girls &amp; Descendants - Edit'!$C$2:$AK$440,'All Girls &amp; Descendants - Edit'!AE$1,FALSE)))</f>
        <v>Jonathan Peter  MELITUS (1988 - )</v>
      </c>
      <c r="AF314" s="3" t="str">
        <f>IF(VLOOKUP($C314,'All Girls &amp; Descendants - Edit'!$C$2:$AK$440,'All Girls &amp; Descendants - Edit'!AF$1,FALSE)=""," - ",(VLOOKUP($C314,'All Girls &amp; Descendants - Edit'!$C$2:$AK$440,'All Girls &amp; Descendants - Edit'!AF$1,FALSE)))</f>
        <v>Peter MELITUS (7th &amp; 70)</v>
      </c>
      <c r="AG314" s="3" t="str">
        <f>IF(VLOOKUP($C314,'All Girls &amp; Descendants - Edit'!$C$2:$AK$440,'All Girls &amp; Descendants - Edit'!AG$1,FALSE)=""," - ",(VLOOKUP($C314,'All Girls &amp; Descendants - Edit'!$C$2:$AK$440,'All Girls &amp; Descendants - Edit'!AG$1,FALSE)))</f>
        <v>Male</v>
      </c>
      <c r="AH314" s="3" t="str">
        <f>IF(VLOOKUP($C314,'All Girls &amp; Descendants - Edit'!$C$2:$AK$440,'All Girls &amp; Descendants - Edit'!AH$1,FALSE)=""," - ",(VLOOKUP($C314,'All Girls &amp; Descendants - Edit'!$C$2:$AK$440,'All Girls &amp; Descendants - Edit'!AH$1,FALSE)))</f>
        <v>7th</v>
      </c>
      <c r="AI314" s="3" t="str">
        <f>IF(VLOOKUP($C314,'All Girls &amp; Descendants - Edit'!$C$2:$AK$440,'All Girls &amp; Descendants - Edit'!AI$1,FALSE)=""," - ",(VLOOKUP($C314,'All Girls &amp; Descendants - Edit'!$C$2:$AK$440,'All Girls &amp; Descendants - Edit'!AI$1,FALSE)))</f>
        <v>Unmarried</v>
      </c>
      <c r="AJ314" s="3" t="str">
        <f>IF(VLOOKUP($C314,'All Girls &amp; Descendants - Edit'!$C$2:$AK$440,'All Girls &amp; Descendants - Edit'!AJ$1,FALSE)=""," - ",(VLOOKUP($C314,'All Girls &amp; Descendants - Edit'!$C$2:$AK$440,'All Girls &amp; Descendants - Edit'!AJ$1,FALSE)))</f>
        <v>Male. b. 25/06/1988</v>
      </c>
      <c r="AK314" s="3" t="str">
        <f>IF(VLOOKUP($C314,'All Girls &amp; Descendants - Edit'!$C$2:$AK$440,'All Girls &amp; Descendants - Edit'!AK$1,FALSE)=""," - ",(VLOOKUP($C314,'All Girls &amp; Descendants - Edit'!$C$2:$AK$440,'All Girls &amp; Descendants - Edit'!AK$1,FALSE)))</f>
        <v>b. 25/06/1988</v>
      </c>
    </row>
    <row r="315" spans="1:37" ht="19">
      <c r="A315">
        <f>VLOOKUP(B315,'Loyd List 1-190 - Edit'!$P$1:$R$219,3,FALSE)</f>
        <v>46</v>
      </c>
      <c r="B315">
        <f>'All Girls &amp; Descendants - Edit'!B316</f>
        <v>70</v>
      </c>
      <c r="C315" s="98" t="str">
        <f>'All Girls &amp; Descendants - Edit'!C316</f>
        <v>70bba</v>
      </c>
      <c r="D315" s="2" t="str">
        <f>'All Girls &amp; Descendants - Edit'!D316</f>
        <v>CHALDECOTT</v>
      </c>
      <c r="E315" t="str">
        <f>'All Girls &amp; Descendants - Edit'!E316</f>
        <v>Sophia</v>
      </c>
      <c r="F315" t="str">
        <f>IF('All Girls &amp; Descendants - Edit'!F316="","",'All Girls &amp; Descendants - Edit'!F316)</f>
        <v>Caroline</v>
      </c>
      <c r="G315" t="str">
        <f>IF('All Girls &amp; Descendants - Edit'!G316="","",'All Girls &amp; Descendants - Edit'!G316)</f>
        <v/>
      </c>
      <c r="H315" t="str">
        <f>IF('All Girls &amp; Descendants - Edit'!H316="","",'All Girls &amp; Descendants - Edit'!H316)</f>
        <v/>
      </c>
      <c r="I315">
        <f>VLOOKUP($C315,'All Girls &amp; Descendants - Edit'!$C$2:$AK$440,'All Girls &amp; Descendants - Edit'!I$1,FALSE)</f>
        <v>1989</v>
      </c>
      <c r="J315" t="str">
        <f>VLOOKUP($C315,'All Girls &amp; Descendants - Edit'!$C$2:$AK$440,'All Girls &amp; Descendants - Edit'!J$1,FALSE)</f>
        <v/>
      </c>
      <c r="K315" s="9"/>
      <c r="L315" t="str">
        <f t="shared" si="32"/>
        <v>26/01/1989</v>
      </c>
      <c r="M315" s="3">
        <f>VLOOKUP($C315,'All Girls &amp; Descendants - Edit'!$C$2:$AK$440,'All Girls &amp; Descendants - Edit'!M$1,FALSE)</f>
        <v>32534</v>
      </c>
      <c r="N315" s="3" t="str">
        <f>IF(VLOOKUP($C315,'All Girls &amp; Descendants - Edit'!$C$2:$AK$440,'All Girls &amp; Descendants - Edit'!N$1,FALSE)=""," - ",(VLOOKUP($C315,'All Girls &amp; Descendants - Edit'!$C$2:$AK$440,'All Girls &amp; Descendants - Edit'!N$1,FALSE)))</f>
        <v xml:space="preserve"> - </v>
      </c>
      <c r="O315" s="3" t="str">
        <f>IF(VLOOKUP($C315,'All Girls &amp; Descendants - Edit'!$C$2:$AK$440,'All Girls &amp; Descendants - Edit'!O$1,FALSE)="","",(VLOOKUP($C315,'All Girls &amp; Descendants - Edit'!$C$2:$AK$440,'All Girls &amp; Descendants - Edit'!O$1,FALSE)))</f>
        <v/>
      </c>
      <c r="P315" s="3" t="str">
        <f t="shared" si="33"/>
        <v/>
      </c>
      <c r="Q315" s="178" t="str">
        <f t="shared" si="34"/>
        <v>70bb</v>
      </c>
      <c r="R315" s="23"/>
      <c r="S315" t="str">
        <f>VLOOKUP($C315,'All Girls &amp; Descendants - Edit'!$C$2:$AK$440,'All Girls &amp; Descendants - Edit'!S$1,FALSE)</f>
        <v>Female</v>
      </c>
      <c r="T315" s="176">
        <f t="shared" si="31"/>
        <v>7</v>
      </c>
      <c r="U315" s="176">
        <f t="shared" si="35"/>
        <v>5</v>
      </c>
      <c r="V315" s="176">
        <f t="shared" si="36"/>
        <v>4</v>
      </c>
      <c r="W315" s="177">
        <f t="shared" si="37"/>
        <v>3</v>
      </c>
      <c r="X315" s="3" t="str">
        <f>IF(VLOOKUP($C315,'All Girls &amp; Descendants - Edit'!$C$2:$AK$440,'All Girls &amp; Descendants - Edit'!X$1,FALSE)=""," - ",(VLOOKUP($C315,'All Girls &amp; Descendants - Edit'!$C$2:$AK$440,'All Girls &amp; Descendants - Edit'!X$1,FALSE)))</f>
        <v xml:space="preserve"> - </v>
      </c>
      <c r="Y315" s="3" t="str">
        <f>IF(VLOOKUP($C315,'All Girls &amp; Descendants - Edit'!$C$2:$AK$440,'All Girls &amp; Descendants - Edit'!Y$1,FALSE)=""," - ",(VLOOKUP($C315,'All Girls &amp; Descendants - Edit'!$C$2:$AK$440,'All Girls &amp; Descendants - Edit'!Y$1,FALSE)))</f>
        <v xml:space="preserve"> - </v>
      </c>
      <c r="Z315" s="3" t="str">
        <f>IF(VLOOKUP($C315,'All Girls &amp; Descendants - Edit'!$C$2:$AK$440,'All Girls &amp; Descendants - Edit'!Z$1,FALSE)=""," - ",(VLOOKUP($C315,'All Girls &amp; Descendants - Edit'!$C$2:$AK$440,'All Girls &amp; Descendants - Edit'!Z$1,FALSE)))</f>
        <v>Baptised 21 May 1989 at St Mary’s, Bradford Peverell, Dorchester, Dorset.</v>
      </c>
      <c r="AA315" s="101">
        <f>IF(VLOOKUP($C315,'All Girls &amp; Descendants - Edit'!$C$2:$AK$440,'All Girls &amp; Descendants - Edit'!AA$1,FALSE)=""," - ",(VLOOKUP($C315,'All Girls &amp; Descendants - Edit'!$C$2:$AK$440,'All Girls &amp; Descendants - Edit'!AA$1,FALSE)))</f>
        <v>136</v>
      </c>
      <c r="AB315" s="101">
        <f>IF(VLOOKUP($C315,'All Girls &amp; Descendants - Edit'!$C$2:$AK$440,'All Girls &amp; Descendants - Edit'!AB$1,FALSE)=""," - ",(VLOOKUP($C315,'All Girls &amp; Descendants - Edit'!$C$2:$AK$440,'All Girls &amp; Descendants - Edit'!AB$1,FALSE)))</f>
        <v>24</v>
      </c>
      <c r="AC315" s="101">
        <f>IF(VLOOKUP($C315,'All Girls &amp; Descendants - Edit'!$C$2:$AK$440,'All Girls &amp; Descendants - Edit'!AC$1,FALSE)=""," - ",(VLOOKUP($C315,'All Girls &amp; Descendants - Edit'!$C$2:$AK$440,'All Girls &amp; Descendants - Edit'!AC$1,FALSE)))</f>
        <v>3024</v>
      </c>
      <c r="AD315" s="3" t="str">
        <f>IF(VLOOKUP($C315,'All Girls &amp; Descendants - Edit'!$C$2:$AK$440,'All Girls &amp; Descendants - Edit'!AD$1,FALSE)=""," - ",(VLOOKUP($C315,'All Girls &amp; Descendants - Edit'!$C$2:$AK$440,'All Girls &amp; Descendants - Edit'!AD$1,FALSE)))</f>
        <v>70bba</v>
      </c>
      <c r="AE315" s="3" t="str">
        <f>IF(VLOOKUP($C315,'All Girls &amp; Descendants - Edit'!$C$2:$AK$440,'All Girls &amp; Descendants - Edit'!AE$1,FALSE)=""," - ",(VLOOKUP($C315,'All Girls &amp; Descendants - Edit'!$C$2:$AK$440,'All Girls &amp; Descendants - Edit'!AE$1,FALSE)))</f>
        <v>Sophia Caroline  CHALDECOTT (1989 - )</v>
      </c>
      <c r="AF315" s="3" t="str">
        <f>IF(VLOOKUP($C315,'All Girls &amp; Descendants - Edit'!$C$2:$AK$440,'All Girls &amp; Descendants - Edit'!AF$1,FALSE)=""," - ",(VLOOKUP($C315,'All Girls &amp; Descendants - Edit'!$C$2:$AK$440,'All Girls &amp; Descendants - Edit'!AF$1,FALSE)))</f>
        <v>Sophia CHALDECOTT (7th &amp; 70)</v>
      </c>
      <c r="AG315" s="3" t="str">
        <f>IF(VLOOKUP($C315,'All Girls &amp; Descendants - Edit'!$C$2:$AK$440,'All Girls &amp; Descendants - Edit'!AG$1,FALSE)=""," - ",(VLOOKUP($C315,'All Girls &amp; Descendants - Edit'!$C$2:$AK$440,'All Girls &amp; Descendants - Edit'!AG$1,FALSE)))</f>
        <v>Female</v>
      </c>
      <c r="AH315" s="3" t="str">
        <f>IF(VLOOKUP($C315,'All Girls &amp; Descendants - Edit'!$C$2:$AK$440,'All Girls &amp; Descendants - Edit'!AH$1,FALSE)=""," - ",(VLOOKUP($C315,'All Girls &amp; Descendants - Edit'!$C$2:$AK$440,'All Girls &amp; Descendants - Edit'!AH$1,FALSE)))</f>
        <v>7th</v>
      </c>
      <c r="AI315" s="3" t="str">
        <f>IF(VLOOKUP($C315,'All Girls &amp; Descendants - Edit'!$C$2:$AK$440,'All Girls &amp; Descendants - Edit'!AI$1,FALSE)=""," - ",(VLOOKUP($C315,'All Girls &amp; Descendants - Edit'!$C$2:$AK$440,'All Girls &amp; Descendants - Edit'!AI$1,FALSE)))</f>
        <v>Unmarried</v>
      </c>
      <c r="AJ315" s="3" t="str">
        <f>IF(VLOOKUP($C315,'All Girls &amp; Descendants - Edit'!$C$2:$AK$440,'All Girls &amp; Descendants - Edit'!AJ$1,FALSE)=""," - ",(VLOOKUP($C315,'All Girls &amp; Descendants - Edit'!$C$2:$AK$440,'All Girls &amp; Descendants - Edit'!AJ$1,FALSE)))</f>
        <v>Female. b. 26/01/1989 Baptised 21 May 1989 at St Mary’s, Bradford Peverell, Dorchester, Dorset.</v>
      </c>
      <c r="AK315" s="3" t="str">
        <f>IF(VLOOKUP($C315,'All Girls &amp; Descendants - Edit'!$C$2:$AK$440,'All Girls &amp; Descendants - Edit'!AK$1,FALSE)=""," - ",(VLOOKUP($C315,'All Girls &amp; Descendants - Edit'!$C$2:$AK$440,'All Girls &amp; Descendants - Edit'!AK$1,FALSE)))</f>
        <v>b. 26/01/1989</v>
      </c>
    </row>
    <row r="316" spans="1:37" ht="19">
      <c r="A316">
        <f>VLOOKUP(B316,'Loyd List 1-190 - Edit'!$P$1:$R$219,3,FALSE)</f>
        <v>46</v>
      </c>
      <c r="B316">
        <f>'All Girls &amp; Descendants - Edit'!B317</f>
        <v>70</v>
      </c>
      <c r="C316" s="98" t="str">
        <f>'All Girls &amp; Descendants - Edit'!C317</f>
        <v>70bbb</v>
      </c>
      <c r="D316" s="2" t="str">
        <f>'All Girls &amp; Descendants - Edit'!D317</f>
        <v>CHALDECOTT</v>
      </c>
      <c r="E316" t="str">
        <f>'All Girls &amp; Descendants - Edit'!E317</f>
        <v>Lucy</v>
      </c>
      <c r="F316" t="str">
        <f>IF('All Girls &amp; Descendants - Edit'!F317="","",'All Girls &amp; Descendants - Edit'!F317)</f>
        <v>Maria</v>
      </c>
      <c r="G316" t="str">
        <f>IF('All Girls &amp; Descendants - Edit'!G317="","",'All Girls &amp; Descendants - Edit'!G317)</f>
        <v/>
      </c>
      <c r="H316" t="str">
        <f>IF('All Girls &amp; Descendants - Edit'!H317="","",'All Girls &amp; Descendants - Edit'!H317)</f>
        <v/>
      </c>
      <c r="I316">
        <f>VLOOKUP($C316,'All Girls &amp; Descendants - Edit'!$C$2:$AK$440,'All Girls &amp; Descendants - Edit'!I$1,FALSE)</f>
        <v>1992</v>
      </c>
      <c r="J316" t="str">
        <f>VLOOKUP($C316,'All Girls &amp; Descendants - Edit'!$C$2:$AK$440,'All Girls &amp; Descendants - Edit'!J$1,FALSE)</f>
        <v/>
      </c>
      <c r="K316" s="9"/>
      <c r="L316" t="str">
        <f t="shared" si="32"/>
        <v>05/03/1992</v>
      </c>
      <c r="M316" s="3">
        <f>VLOOKUP($C316,'All Girls &amp; Descendants - Edit'!$C$2:$AK$440,'All Girls &amp; Descendants - Edit'!M$1,FALSE)</f>
        <v>33668</v>
      </c>
      <c r="N316" s="3" t="str">
        <f>IF(VLOOKUP($C316,'All Girls &amp; Descendants - Edit'!$C$2:$AK$440,'All Girls &amp; Descendants - Edit'!N$1,FALSE)=""," - ",(VLOOKUP($C316,'All Girls &amp; Descendants - Edit'!$C$2:$AK$440,'All Girls &amp; Descendants - Edit'!N$1,FALSE)))</f>
        <v xml:space="preserve"> - </v>
      </c>
      <c r="O316" s="3" t="str">
        <f>IF(VLOOKUP($C316,'All Girls &amp; Descendants - Edit'!$C$2:$AK$440,'All Girls &amp; Descendants - Edit'!O$1,FALSE)="","",(VLOOKUP($C316,'All Girls &amp; Descendants - Edit'!$C$2:$AK$440,'All Girls &amp; Descendants - Edit'!O$1,FALSE)))</f>
        <v/>
      </c>
      <c r="P316" s="3" t="str">
        <f t="shared" si="33"/>
        <v/>
      </c>
      <c r="Q316" s="178" t="str">
        <f t="shared" si="34"/>
        <v>70bb</v>
      </c>
      <c r="R316" s="23"/>
      <c r="S316" t="str">
        <f>VLOOKUP($C316,'All Girls &amp; Descendants - Edit'!$C$2:$AK$440,'All Girls &amp; Descendants - Edit'!S$1,FALSE)</f>
        <v>Female</v>
      </c>
      <c r="T316" s="176">
        <f t="shared" si="31"/>
        <v>7</v>
      </c>
      <c r="U316" s="176">
        <f t="shared" si="35"/>
        <v>5</v>
      </c>
      <c r="V316" s="176">
        <f t="shared" si="36"/>
        <v>4</v>
      </c>
      <c r="W316" s="177">
        <f t="shared" si="37"/>
        <v>3</v>
      </c>
      <c r="X316" s="3" t="str">
        <f>IF(VLOOKUP($C316,'All Girls &amp; Descendants - Edit'!$C$2:$AK$440,'All Girls &amp; Descendants - Edit'!X$1,FALSE)=""," - ",(VLOOKUP($C316,'All Girls &amp; Descendants - Edit'!$C$2:$AK$440,'All Girls &amp; Descendants - Edit'!X$1,FALSE)))</f>
        <v xml:space="preserve"> - </v>
      </c>
      <c r="Y316" s="3" t="str">
        <f>IF(VLOOKUP($C316,'All Girls &amp; Descendants - Edit'!$C$2:$AK$440,'All Girls &amp; Descendants - Edit'!Y$1,FALSE)=""," - ",(VLOOKUP($C316,'All Girls &amp; Descendants - Edit'!$C$2:$AK$440,'All Girls &amp; Descendants - Edit'!Y$1,FALSE)))</f>
        <v xml:space="preserve"> - </v>
      </c>
      <c r="Z316" s="3" t="str">
        <f>IF(VLOOKUP($C316,'All Girls &amp; Descendants - Edit'!$C$2:$AK$440,'All Girls &amp; Descendants - Edit'!Z$1,FALSE)=""," - ",(VLOOKUP($C316,'All Girls &amp; Descendants - Edit'!$C$2:$AK$440,'All Girls &amp; Descendants - Edit'!Z$1,FALSE)))</f>
        <v>Baptised 13 Dec 1992 at St Peter’s, Dorchester, Dorset.</v>
      </c>
      <c r="AA316" s="101">
        <f>IF(VLOOKUP($C316,'All Girls &amp; Descendants - Edit'!$C$2:$AK$440,'All Girls &amp; Descendants - Edit'!AA$1,FALSE)=""," - ",(VLOOKUP($C316,'All Girls &amp; Descendants - Edit'!$C$2:$AK$440,'All Girls &amp; Descendants - Edit'!AA$1,FALSE)))</f>
        <v>137</v>
      </c>
      <c r="AB316" s="101">
        <f>IF(VLOOKUP($C316,'All Girls &amp; Descendants - Edit'!$C$2:$AK$440,'All Girls &amp; Descendants - Edit'!AB$1,FALSE)=""," - ",(VLOOKUP($C316,'All Girls &amp; Descendants - Edit'!$C$2:$AK$440,'All Girls &amp; Descendants - Edit'!AB$1,FALSE)))</f>
        <v>25</v>
      </c>
      <c r="AC316" s="101">
        <f>IF(VLOOKUP($C316,'All Girls &amp; Descendants - Edit'!$C$2:$AK$440,'All Girls &amp; Descendants - Edit'!AC$1,FALSE)=""," - ",(VLOOKUP($C316,'All Girls &amp; Descendants - Edit'!$C$2:$AK$440,'All Girls &amp; Descendants - Edit'!AC$1,FALSE)))</f>
        <v>3025</v>
      </c>
      <c r="AD316" s="3" t="str">
        <f>IF(VLOOKUP($C316,'All Girls &amp; Descendants - Edit'!$C$2:$AK$440,'All Girls &amp; Descendants - Edit'!AD$1,FALSE)=""," - ",(VLOOKUP($C316,'All Girls &amp; Descendants - Edit'!$C$2:$AK$440,'All Girls &amp; Descendants - Edit'!AD$1,FALSE)))</f>
        <v>70bbb</v>
      </c>
      <c r="AE316" s="3" t="str">
        <f>IF(VLOOKUP($C316,'All Girls &amp; Descendants - Edit'!$C$2:$AK$440,'All Girls &amp; Descendants - Edit'!AE$1,FALSE)=""," - ",(VLOOKUP($C316,'All Girls &amp; Descendants - Edit'!$C$2:$AK$440,'All Girls &amp; Descendants - Edit'!AE$1,FALSE)))</f>
        <v>Lucy Maria  CHALDECOTT (1992 - )</v>
      </c>
      <c r="AF316" s="3" t="str">
        <f>IF(VLOOKUP($C316,'All Girls &amp; Descendants - Edit'!$C$2:$AK$440,'All Girls &amp; Descendants - Edit'!AF$1,FALSE)=""," - ",(VLOOKUP($C316,'All Girls &amp; Descendants - Edit'!$C$2:$AK$440,'All Girls &amp; Descendants - Edit'!AF$1,FALSE)))</f>
        <v>Lucy CHALDECOTT (7th &amp; 70)</v>
      </c>
      <c r="AG316" s="3" t="str">
        <f>IF(VLOOKUP($C316,'All Girls &amp; Descendants - Edit'!$C$2:$AK$440,'All Girls &amp; Descendants - Edit'!AG$1,FALSE)=""," - ",(VLOOKUP($C316,'All Girls &amp; Descendants - Edit'!$C$2:$AK$440,'All Girls &amp; Descendants - Edit'!AG$1,FALSE)))</f>
        <v>Female</v>
      </c>
      <c r="AH316" s="3" t="str">
        <f>IF(VLOOKUP($C316,'All Girls &amp; Descendants - Edit'!$C$2:$AK$440,'All Girls &amp; Descendants - Edit'!AH$1,FALSE)=""," - ",(VLOOKUP($C316,'All Girls &amp; Descendants - Edit'!$C$2:$AK$440,'All Girls &amp; Descendants - Edit'!AH$1,FALSE)))</f>
        <v>7th</v>
      </c>
      <c r="AI316" s="3" t="str">
        <f>IF(VLOOKUP($C316,'All Girls &amp; Descendants - Edit'!$C$2:$AK$440,'All Girls &amp; Descendants - Edit'!AI$1,FALSE)=""," - ",(VLOOKUP($C316,'All Girls &amp; Descendants - Edit'!$C$2:$AK$440,'All Girls &amp; Descendants - Edit'!AI$1,FALSE)))</f>
        <v>Unmarried</v>
      </c>
      <c r="AJ316" s="3" t="str">
        <f>IF(VLOOKUP($C316,'All Girls &amp; Descendants - Edit'!$C$2:$AK$440,'All Girls &amp; Descendants - Edit'!AJ$1,FALSE)=""," - ",(VLOOKUP($C316,'All Girls &amp; Descendants - Edit'!$C$2:$AK$440,'All Girls &amp; Descendants - Edit'!AJ$1,FALSE)))</f>
        <v>Female. b. 05/03/1992 Baptised 13 Dec 1992 at St Peter’s, Dorchester, Dorset.</v>
      </c>
      <c r="AK316" s="3" t="str">
        <f>IF(VLOOKUP($C316,'All Girls &amp; Descendants - Edit'!$C$2:$AK$440,'All Girls &amp; Descendants - Edit'!AK$1,FALSE)=""," - ",(VLOOKUP($C316,'All Girls &amp; Descendants - Edit'!$C$2:$AK$440,'All Girls &amp; Descendants - Edit'!AK$1,FALSE)))</f>
        <v>b. 05/03/1992</v>
      </c>
    </row>
    <row r="317" spans="1:37" ht="19">
      <c r="A317">
        <f>VLOOKUP(B317,'Loyd List 1-190 - Edit'!$P$1:$R$219,3,FALSE)</f>
        <v>46</v>
      </c>
      <c r="B317">
        <f>'All Girls &amp; Descendants - Edit'!B318</f>
        <v>70</v>
      </c>
      <c r="C317" s="98" t="str">
        <f>'All Girls &amp; Descendants - Edit'!C318</f>
        <v>70bbc</v>
      </c>
      <c r="D317" s="2" t="str">
        <f>'All Girls &amp; Descendants - Edit'!D318</f>
        <v>CHALDECOTT</v>
      </c>
      <c r="E317" t="str">
        <f>'All Girls &amp; Descendants - Edit'!E318</f>
        <v>Thomas</v>
      </c>
      <c r="F317" t="str">
        <f>IF('All Girls &amp; Descendants - Edit'!F318="","",'All Girls &amp; Descendants - Edit'!F318)</f>
        <v>Owen</v>
      </c>
      <c r="G317" t="str">
        <f>IF('All Girls &amp; Descendants - Edit'!G318="","",'All Girls &amp; Descendants - Edit'!G318)</f>
        <v/>
      </c>
      <c r="H317" t="str">
        <f>IF('All Girls &amp; Descendants - Edit'!H318="","",'All Girls &amp; Descendants - Edit'!H318)</f>
        <v/>
      </c>
      <c r="I317">
        <f>VLOOKUP($C317,'All Girls &amp; Descendants - Edit'!$C$2:$AK$440,'All Girls &amp; Descendants - Edit'!I$1,FALSE)</f>
        <v>1999</v>
      </c>
      <c r="J317" t="str">
        <f>VLOOKUP($C317,'All Girls &amp; Descendants - Edit'!$C$2:$AK$440,'All Girls &amp; Descendants - Edit'!J$1,FALSE)</f>
        <v/>
      </c>
      <c r="K317" s="9"/>
      <c r="L317" t="str">
        <f t="shared" si="32"/>
        <v>31/10/1999</v>
      </c>
      <c r="M317" s="3">
        <f>VLOOKUP($C317,'All Girls &amp; Descendants - Edit'!$C$2:$AK$440,'All Girls &amp; Descendants - Edit'!M$1,FALSE)</f>
        <v>36464</v>
      </c>
      <c r="N317" s="3" t="str">
        <f>IF(VLOOKUP($C317,'All Girls &amp; Descendants - Edit'!$C$2:$AK$440,'All Girls &amp; Descendants - Edit'!N$1,FALSE)=""," - ",(VLOOKUP($C317,'All Girls &amp; Descendants - Edit'!$C$2:$AK$440,'All Girls &amp; Descendants - Edit'!N$1,FALSE)))</f>
        <v xml:space="preserve"> - </v>
      </c>
      <c r="O317" s="3" t="str">
        <f>IF(VLOOKUP($C317,'All Girls &amp; Descendants - Edit'!$C$2:$AK$440,'All Girls &amp; Descendants - Edit'!O$1,FALSE)="","",(VLOOKUP($C317,'All Girls &amp; Descendants - Edit'!$C$2:$AK$440,'All Girls &amp; Descendants - Edit'!O$1,FALSE)))</f>
        <v/>
      </c>
      <c r="P317" s="3" t="str">
        <f t="shared" si="33"/>
        <v/>
      </c>
      <c r="Q317" s="178" t="str">
        <f t="shared" si="34"/>
        <v>70bb</v>
      </c>
      <c r="R317" s="23"/>
      <c r="S317" t="str">
        <f>VLOOKUP($C317,'All Girls &amp; Descendants - Edit'!$C$2:$AK$440,'All Girls &amp; Descendants - Edit'!S$1,FALSE)</f>
        <v>Male</v>
      </c>
      <c r="T317" s="176">
        <f t="shared" si="31"/>
        <v>7</v>
      </c>
      <c r="U317" s="176">
        <f t="shared" si="35"/>
        <v>5</v>
      </c>
      <c r="V317" s="176">
        <f t="shared" si="36"/>
        <v>4</v>
      </c>
      <c r="W317" s="177">
        <f t="shared" si="37"/>
        <v>3</v>
      </c>
      <c r="X317" s="3" t="str">
        <f>IF(VLOOKUP($C317,'All Girls &amp; Descendants - Edit'!$C$2:$AK$440,'All Girls &amp; Descendants - Edit'!X$1,FALSE)=""," - ",(VLOOKUP($C317,'All Girls &amp; Descendants - Edit'!$C$2:$AK$440,'All Girls &amp; Descendants - Edit'!X$1,FALSE)))</f>
        <v xml:space="preserve"> - </v>
      </c>
      <c r="Y317" s="3" t="str">
        <f>IF(VLOOKUP($C317,'All Girls &amp; Descendants - Edit'!$C$2:$AK$440,'All Girls &amp; Descendants - Edit'!Y$1,FALSE)=""," - ",(VLOOKUP($C317,'All Girls &amp; Descendants - Edit'!$C$2:$AK$440,'All Girls &amp; Descendants - Edit'!Y$1,FALSE)))</f>
        <v xml:space="preserve"> - </v>
      </c>
      <c r="Z317" s="3" t="str">
        <f>IF(VLOOKUP($C317,'All Girls &amp; Descendants - Edit'!$C$2:$AK$440,'All Girls &amp; Descendants - Edit'!Z$1,FALSE)=""," - ",(VLOOKUP($C317,'All Girls &amp; Descendants - Edit'!$C$2:$AK$440,'All Girls &amp; Descendants - Edit'!Z$1,FALSE)))</f>
        <v>Baptised 21 Dec 1999 at St Pater’s, Dorchester, Dorset.</v>
      </c>
      <c r="AA317" s="101">
        <f>IF(VLOOKUP($C317,'All Girls &amp; Descendants - Edit'!$C$2:$AK$440,'All Girls &amp; Descendants - Edit'!AA$1,FALSE)=""," - ",(VLOOKUP($C317,'All Girls &amp; Descendants - Edit'!$C$2:$AK$440,'All Girls &amp; Descendants - Edit'!AA$1,FALSE)))</f>
        <v>138</v>
      </c>
      <c r="AB317" s="101">
        <f>IF(VLOOKUP($C317,'All Girls &amp; Descendants - Edit'!$C$2:$AK$440,'All Girls &amp; Descendants - Edit'!AB$1,FALSE)=""," - ",(VLOOKUP($C317,'All Girls &amp; Descendants - Edit'!$C$2:$AK$440,'All Girls &amp; Descendants - Edit'!AB$1,FALSE)))</f>
        <v>26</v>
      </c>
      <c r="AC317" s="101">
        <f>IF(VLOOKUP($C317,'All Girls &amp; Descendants - Edit'!$C$2:$AK$440,'All Girls &amp; Descendants - Edit'!AC$1,FALSE)=""," - ",(VLOOKUP($C317,'All Girls &amp; Descendants - Edit'!$C$2:$AK$440,'All Girls &amp; Descendants - Edit'!AC$1,FALSE)))</f>
        <v>3026</v>
      </c>
      <c r="AD317" s="3" t="str">
        <f>IF(VLOOKUP($C317,'All Girls &amp; Descendants - Edit'!$C$2:$AK$440,'All Girls &amp; Descendants - Edit'!AD$1,FALSE)=""," - ",(VLOOKUP($C317,'All Girls &amp; Descendants - Edit'!$C$2:$AK$440,'All Girls &amp; Descendants - Edit'!AD$1,FALSE)))</f>
        <v>70bbc</v>
      </c>
      <c r="AE317" s="3" t="str">
        <f>IF(VLOOKUP($C317,'All Girls &amp; Descendants - Edit'!$C$2:$AK$440,'All Girls &amp; Descendants - Edit'!AE$1,FALSE)=""," - ",(VLOOKUP($C317,'All Girls &amp; Descendants - Edit'!$C$2:$AK$440,'All Girls &amp; Descendants - Edit'!AE$1,FALSE)))</f>
        <v>Thomas Owen  CHALDECOTT (1999 - )</v>
      </c>
      <c r="AF317" s="3" t="str">
        <f>IF(VLOOKUP($C317,'All Girls &amp; Descendants - Edit'!$C$2:$AK$440,'All Girls &amp; Descendants - Edit'!AF$1,FALSE)=""," - ",(VLOOKUP($C317,'All Girls &amp; Descendants - Edit'!$C$2:$AK$440,'All Girls &amp; Descendants - Edit'!AF$1,FALSE)))</f>
        <v>Thomas CHALDECOTT (7th &amp; 70)</v>
      </c>
      <c r="AG317" s="3" t="str">
        <f>IF(VLOOKUP($C317,'All Girls &amp; Descendants - Edit'!$C$2:$AK$440,'All Girls &amp; Descendants - Edit'!AG$1,FALSE)=""," - ",(VLOOKUP($C317,'All Girls &amp; Descendants - Edit'!$C$2:$AK$440,'All Girls &amp; Descendants - Edit'!AG$1,FALSE)))</f>
        <v>Male</v>
      </c>
      <c r="AH317" s="3" t="str">
        <f>IF(VLOOKUP($C317,'All Girls &amp; Descendants - Edit'!$C$2:$AK$440,'All Girls &amp; Descendants - Edit'!AH$1,FALSE)=""," - ",(VLOOKUP($C317,'All Girls &amp; Descendants - Edit'!$C$2:$AK$440,'All Girls &amp; Descendants - Edit'!AH$1,FALSE)))</f>
        <v>7th</v>
      </c>
      <c r="AI317" s="3" t="str">
        <f>IF(VLOOKUP($C317,'All Girls &amp; Descendants - Edit'!$C$2:$AK$440,'All Girls &amp; Descendants - Edit'!AI$1,FALSE)=""," - ",(VLOOKUP($C317,'All Girls &amp; Descendants - Edit'!$C$2:$AK$440,'All Girls &amp; Descendants - Edit'!AI$1,FALSE)))</f>
        <v>Unmarried</v>
      </c>
      <c r="AJ317" s="3" t="str">
        <f>IF(VLOOKUP($C317,'All Girls &amp; Descendants - Edit'!$C$2:$AK$440,'All Girls &amp; Descendants - Edit'!AJ$1,FALSE)=""," - ",(VLOOKUP($C317,'All Girls &amp; Descendants - Edit'!$C$2:$AK$440,'All Girls &amp; Descendants - Edit'!AJ$1,FALSE)))</f>
        <v>Male. b. 31/10/1999 Baptised 21 Dec 1999 at St Pater’s, Dorchester, Dorset.</v>
      </c>
      <c r="AK317" s="3" t="str">
        <f>IF(VLOOKUP($C317,'All Girls &amp; Descendants - Edit'!$C$2:$AK$440,'All Girls &amp; Descendants - Edit'!AK$1,FALSE)=""," - ",(VLOOKUP($C317,'All Girls &amp; Descendants - Edit'!$C$2:$AK$440,'All Girls &amp; Descendants - Edit'!AK$1,FALSE)))</f>
        <v>b. 31/10/1999</v>
      </c>
    </row>
    <row r="318" spans="1:37" ht="19">
      <c r="A318">
        <f>VLOOKUP(B318,'Loyd List 1-190 - Edit'!$P$1:$R$219,3,FALSE)</f>
        <v>46</v>
      </c>
      <c r="B318">
        <f>'All Girls &amp; Descendants - Edit'!B319</f>
        <v>70</v>
      </c>
      <c r="C318" s="98" t="str">
        <f>'All Girls &amp; Descendants - Edit'!C319</f>
        <v>70cca</v>
      </c>
      <c r="D318" s="2" t="str">
        <f>'All Girls &amp; Descendants - Edit'!D319</f>
        <v>PAGE</v>
      </c>
      <c r="E318" t="str">
        <f>'All Girls &amp; Descendants - Edit'!E319</f>
        <v>George</v>
      </c>
      <c r="F318" t="str">
        <f>IF('All Girls &amp; Descendants - Edit'!F319="","",'All Girls &amp; Descendants - Edit'!F319)</f>
        <v>Arthur</v>
      </c>
      <c r="G318" t="str">
        <f>IF('All Girls &amp; Descendants - Edit'!G319="","",'All Girls &amp; Descendants - Edit'!G319)</f>
        <v>Louis</v>
      </c>
      <c r="H318" t="str">
        <f>IF('All Girls &amp; Descendants - Edit'!H319="","",'All Girls &amp; Descendants - Edit'!H319)</f>
        <v/>
      </c>
      <c r="I318">
        <f>VLOOKUP($C318,'All Girls &amp; Descendants - Edit'!$C$2:$AK$440,'All Girls &amp; Descendants - Edit'!I$1,FALSE)</f>
        <v>1998</v>
      </c>
      <c r="J318" t="str">
        <f>VLOOKUP($C318,'All Girls &amp; Descendants - Edit'!$C$2:$AK$440,'All Girls &amp; Descendants - Edit'!J$1,FALSE)</f>
        <v/>
      </c>
      <c r="K318" s="9"/>
      <c r="L318" t="str">
        <f t="shared" si="32"/>
        <v>28/03/1998</v>
      </c>
      <c r="M318" s="3">
        <f>VLOOKUP($C318,'All Girls &amp; Descendants - Edit'!$C$2:$AK$440,'All Girls &amp; Descendants - Edit'!M$1,FALSE)</f>
        <v>35882</v>
      </c>
      <c r="N318" s="3" t="str">
        <f>IF(VLOOKUP($C318,'All Girls &amp; Descendants - Edit'!$C$2:$AK$440,'All Girls &amp; Descendants - Edit'!N$1,FALSE)=""," - ",(VLOOKUP($C318,'All Girls &amp; Descendants - Edit'!$C$2:$AK$440,'All Girls &amp; Descendants - Edit'!N$1,FALSE)))</f>
        <v xml:space="preserve"> - </v>
      </c>
      <c r="O318" s="3" t="str">
        <f>IF(VLOOKUP($C318,'All Girls &amp; Descendants - Edit'!$C$2:$AK$440,'All Girls &amp; Descendants - Edit'!O$1,FALSE)="","",(VLOOKUP($C318,'All Girls &amp; Descendants - Edit'!$C$2:$AK$440,'All Girls &amp; Descendants - Edit'!O$1,FALSE)))</f>
        <v/>
      </c>
      <c r="P318" s="3" t="str">
        <f t="shared" si="33"/>
        <v/>
      </c>
      <c r="Q318" s="178" t="str">
        <f t="shared" si="34"/>
        <v>70cc</v>
      </c>
      <c r="R318" s="23"/>
      <c r="S318" t="str">
        <f>VLOOKUP($C318,'All Girls &amp; Descendants - Edit'!$C$2:$AK$440,'All Girls &amp; Descendants - Edit'!S$1,FALSE)</f>
        <v>Male</v>
      </c>
      <c r="T318" s="176">
        <f t="shared" si="31"/>
        <v>7</v>
      </c>
      <c r="U318" s="176">
        <f t="shared" si="35"/>
        <v>5</v>
      </c>
      <c r="V318" s="176">
        <f t="shared" si="36"/>
        <v>4</v>
      </c>
      <c r="W318" s="177">
        <f t="shared" si="37"/>
        <v>3</v>
      </c>
      <c r="X318" s="3" t="str">
        <f>IF(VLOOKUP($C318,'All Girls &amp; Descendants - Edit'!$C$2:$AK$440,'All Girls &amp; Descendants - Edit'!X$1,FALSE)=""," - ",(VLOOKUP($C318,'All Girls &amp; Descendants - Edit'!$C$2:$AK$440,'All Girls &amp; Descendants - Edit'!X$1,FALSE)))</f>
        <v xml:space="preserve"> - </v>
      </c>
      <c r="Y318" s="3" t="str">
        <f>IF(VLOOKUP($C318,'All Girls &amp; Descendants - Edit'!$C$2:$AK$440,'All Girls &amp; Descendants - Edit'!Y$1,FALSE)=""," - ",(VLOOKUP($C318,'All Girls &amp; Descendants - Edit'!$C$2:$AK$440,'All Girls &amp; Descendants - Edit'!Y$1,FALSE)))</f>
        <v xml:space="preserve"> - </v>
      </c>
      <c r="Z318" s="3" t="str">
        <f>IF(VLOOKUP($C318,'All Girls &amp; Descendants - Edit'!$C$2:$AK$440,'All Girls &amp; Descendants - Edit'!Z$1,FALSE)=""," - ",(VLOOKUP($C318,'All Girls &amp; Descendants - Edit'!$C$2:$AK$440,'All Girls &amp; Descendants - Edit'!Z$1,FALSE)))</f>
        <v xml:space="preserve"> - </v>
      </c>
      <c r="AA318" s="101">
        <f>IF(VLOOKUP($C318,'All Girls &amp; Descendants - Edit'!$C$2:$AK$440,'All Girls &amp; Descendants - Edit'!AA$1,FALSE)=""," - ",(VLOOKUP($C318,'All Girls &amp; Descendants - Edit'!$C$2:$AK$440,'All Girls &amp; Descendants - Edit'!AA$1,FALSE)))</f>
        <v>143</v>
      </c>
      <c r="AB318" s="101">
        <f>IF(VLOOKUP($C318,'All Girls &amp; Descendants - Edit'!$C$2:$AK$440,'All Girls &amp; Descendants - Edit'!AB$1,FALSE)=""," - ",(VLOOKUP($C318,'All Girls &amp; Descendants - Edit'!$C$2:$AK$440,'All Girls &amp; Descendants - Edit'!AB$1,FALSE)))</f>
        <v>27</v>
      </c>
      <c r="AC318" s="101">
        <f>IF(VLOOKUP($C318,'All Girls &amp; Descendants - Edit'!$C$2:$AK$440,'All Girls &amp; Descendants - Edit'!AC$1,FALSE)=""," - ",(VLOOKUP($C318,'All Girls &amp; Descendants - Edit'!$C$2:$AK$440,'All Girls &amp; Descendants - Edit'!AC$1,FALSE)))</f>
        <v>3027</v>
      </c>
      <c r="AD318" s="3" t="str">
        <f>IF(VLOOKUP($C318,'All Girls &amp; Descendants - Edit'!$C$2:$AK$440,'All Girls &amp; Descendants - Edit'!AD$1,FALSE)=""," - ",(VLOOKUP($C318,'All Girls &amp; Descendants - Edit'!$C$2:$AK$440,'All Girls &amp; Descendants - Edit'!AD$1,FALSE)))</f>
        <v>70cca</v>
      </c>
      <c r="AE318" s="3" t="str">
        <f>IF(VLOOKUP($C318,'All Girls &amp; Descendants - Edit'!$C$2:$AK$440,'All Girls &amp; Descendants - Edit'!AE$1,FALSE)=""," - ",(VLOOKUP($C318,'All Girls &amp; Descendants - Edit'!$C$2:$AK$440,'All Girls &amp; Descendants - Edit'!AE$1,FALSE)))</f>
        <v>George Arthur Louis PAGE (1998 - )</v>
      </c>
      <c r="AF318" s="3" t="str">
        <f>IF(VLOOKUP($C318,'All Girls &amp; Descendants - Edit'!$C$2:$AK$440,'All Girls &amp; Descendants - Edit'!AF$1,FALSE)=""," - ",(VLOOKUP($C318,'All Girls &amp; Descendants - Edit'!$C$2:$AK$440,'All Girls &amp; Descendants - Edit'!AF$1,FALSE)))</f>
        <v>George PAGE (7th &amp; 70)</v>
      </c>
      <c r="AG318" s="3" t="str">
        <f>IF(VLOOKUP($C318,'All Girls &amp; Descendants - Edit'!$C$2:$AK$440,'All Girls &amp; Descendants - Edit'!AG$1,FALSE)=""," - ",(VLOOKUP($C318,'All Girls &amp; Descendants - Edit'!$C$2:$AK$440,'All Girls &amp; Descendants - Edit'!AG$1,FALSE)))</f>
        <v>Male</v>
      </c>
      <c r="AH318" s="3" t="str">
        <f>IF(VLOOKUP($C318,'All Girls &amp; Descendants - Edit'!$C$2:$AK$440,'All Girls &amp; Descendants - Edit'!AH$1,FALSE)=""," - ",(VLOOKUP($C318,'All Girls &amp; Descendants - Edit'!$C$2:$AK$440,'All Girls &amp; Descendants - Edit'!AH$1,FALSE)))</f>
        <v>7th</v>
      </c>
      <c r="AI318" s="3" t="str">
        <f>IF(VLOOKUP($C318,'All Girls &amp; Descendants - Edit'!$C$2:$AK$440,'All Girls &amp; Descendants - Edit'!AI$1,FALSE)=""," - ",(VLOOKUP($C318,'All Girls &amp; Descendants - Edit'!$C$2:$AK$440,'All Girls &amp; Descendants - Edit'!AI$1,FALSE)))</f>
        <v>Unmarried</v>
      </c>
      <c r="AJ318" s="3" t="str">
        <f>IF(VLOOKUP($C318,'All Girls &amp; Descendants - Edit'!$C$2:$AK$440,'All Girls &amp; Descendants - Edit'!AJ$1,FALSE)=""," - ",(VLOOKUP($C318,'All Girls &amp; Descendants - Edit'!$C$2:$AK$440,'All Girls &amp; Descendants - Edit'!AJ$1,FALSE)))</f>
        <v>Male. b. 28/03/1998</v>
      </c>
      <c r="AK318" s="3" t="str">
        <f>IF(VLOOKUP($C318,'All Girls &amp; Descendants - Edit'!$C$2:$AK$440,'All Girls &amp; Descendants - Edit'!AK$1,FALSE)=""," - ",(VLOOKUP($C318,'All Girls &amp; Descendants - Edit'!$C$2:$AK$440,'All Girls &amp; Descendants - Edit'!AK$1,FALSE)))</f>
        <v>b. 28/03/1998</v>
      </c>
    </row>
    <row r="319" spans="1:37" ht="19">
      <c r="A319">
        <f>VLOOKUP(B319,'Loyd List 1-190 - Edit'!$P$1:$R$219,3,FALSE)</f>
        <v>46</v>
      </c>
      <c r="B319">
        <f>'All Girls &amp; Descendants - Edit'!B320</f>
        <v>70</v>
      </c>
      <c r="C319" s="98" t="str">
        <f>'All Girls &amp; Descendants - Edit'!C320</f>
        <v>70dca</v>
      </c>
      <c r="D319" s="2" t="str">
        <f>'All Girls &amp; Descendants - Edit'!D320</f>
        <v>GOW</v>
      </c>
      <c r="E319" t="str">
        <f>'All Girls &amp; Descendants - Edit'!E320</f>
        <v>Simeon</v>
      </c>
      <c r="F319" t="str">
        <f>IF('All Girls &amp; Descendants - Edit'!F320="","",'All Girls &amp; Descendants - Edit'!F320)</f>
        <v>Nathaniel</v>
      </c>
      <c r="G319" t="str">
        <f>IF('All Girls &amp; Descendants - Edit'!G320="","",'All Girls &amp; Descendants - Edit'!G320)</f>
        <v>Benjamin</v>
      </c>
      <c r="H319" t="str">
        <f>IF('All Girls &amp; Descendants - Edit'!H320="","",'All Girls &amp; Descendants - Edit'!H320)</f>
        <v/>
      </c>
      <c r="I319">
        <f>VLOOKUP($C319,'All Girls &amp; Descendants - Edit'!$C$2:$AK$440,'All Girls &amp; Descendants - Edit'!I$1,FALSE)</f>
        <v>1990</v>
      </c>
      <c r="J319" t="str">
        <f>VLOOKUP($C319,'All Girls &amp; Descendants - Edit'!$C$2:$AK$440,'All Girls &amp; Descendants - Edit'!J$1,FALSE)</f>
        <v/>
      </c>
      <c r="K319" s="9"/>
      <c r="L319" t="str">
        <f t="shared" si="32"/>
        <v>23/10/1990</v>
      </c>
      <c r="M319" s="3">
        <f>VLOOKUP($C319,'All Girls &amp; Descendants - Edit'!$C$2:$AK$440,'All Girls &amp; Descendants - Edit'!M$1,FALSE)</f>
        <v>33169</v>
      </c>
      <c r="N319" s="3" t="str">
        <f>IF(VLOOKUP($C319,'All Girls &amp; Descendants - Edit'!$C$2:$AK$440,'All Girls &amp; Descendants - Edit'!N$1,FALSE)=""," - ",(VLOOKUP($C319,'All Girls &amp; Descendants - Edit'!$C$2:$AK$440,'All Girls &amp; Descendants - Edit'!N$1,FALSE)))</f>
        <v xml:space="preserve"> - </v>
      </c>
      <c r="O319" s="3" t="str">
        <f>IF(VLOOKUP($C319,'All Girls &amp; Descendants - Edit'!$C$2:$AK$440,'All Girls &amp; Descendants - Edit'!O$1,FALSE)="","",(VLOOKUP($C319,'All Girls &amp; Descendants - Edit'!$C$2:$AK$440,'All Girls &amp; Descendants - Edit'!O$1,FALSE)))</f>
        <v/>
      </c>
      <c r="P319" s="3" t="str">
        <f t="shared" si="33"/>
        <v/>
      </c>
      <c r="Q319" s="178" t="str">
        <f t="shared" si="34"/>
        <v>70dc</v>
      </c>
      <c r="R319" s="23"/>
      <c r="S319" t="str">
        <f>VLOOKUP($C319,'All Girls &amp; Descendants - Edit'!$C$2:$AK$440,'All Girls &amp; Descendants - Edit'!S$1,FALSE)</f>
        <v>Male</v>
      </c>
      <c r="T319" s="176">
        <f t="shared" si="31"/>
        <v>7</v>
      </c>
      <c r="U319" s="176">
        <f t="shared" si="35"/>
        <v>5</v>
      </c>
      <c r="V319" s="176">
        <f t="shared" si="36"/>
        <v>4</v>
      </c>
      <c r="W319" s="177">
        <f t="shared" si="37"/>
        <v>3</v>
      </c>
      <c r="X319" s="3" t="str">
        <f>IF(VLOOKUP($C319,'All Girls &amp; Descendants - Edit'!$C$2:$AK$440,'All Girls &amp; Descendants - Edit'!X$1,FALSE)=""," - ",(VLOOKUP($C319,'All Girls &amp; Descendants - Edit'!$C$2:$AK$440,'All Girls &amp; Descendants - Edit'!X$1,FALSE)))</f>
        <v xml:space="preserve"> - </v>
      </c>
      <c r="Y319" s="3" t="str">
        <f>IF(VLOOKUP($C319,'All Girls &amp; Descendants - Edit'!$C$2:$AK$440,'All Girls &amp; Descendants - Edit'!Y$1,FALSE)=""," - ",(VLOOKUP($C319,'All Girls &amp; Descendants - Edit'!$C$2:$AK$440,'All Girls &amp; Descendants - Edit'!Y$1,FALSE)))</f>
        <v xml:space="preserve"> - </v>
      </c>
      <c r="Z319" s="3" t="str">
        <f>IF(VLOOKUP($C319,'All Girls &amp; Descendants - Edit'!$C$2:$AK$440,'All Girls &amp; Descendants - Edit'!Z$1,FALSE)=""," - ",(VLOOKUP($C319,'All Girls &amp; Descendants - Edit'!$C$2:$AK$440,'All Girls &amp; Descendants - Edit'!Z$1,FALSE)))</f>
        <v xml:space="preserve"> - </v>
      </c>
      <c r="AA319" s="101">
        <f>IF(VLOOKUP($C319,'All Girls &amp; Descendants - Edit'!$C$2:$AK$440,'All Girls &amp; Descendants - Edit'!AA$1,FALSE)=""," - ",(VLOOKUP($C319,'All Girls &amp; Descendants - Edit'!$C$2:$AK$440,'All Girls &amp; Descendants - Edit'!AA$1,FALSE)))</f>
        <v>149</v>
      </c>
      <c r="AB319" s="101">
        <f>IF(VLOOKUP($C319,'All Girls &amp; Descendants - Edit'!$C$2:$AK$440,'All Girls &amp; Descendants - Edit'!AB$1,FALSE)=""," - ",(VLOOKUP($C319,'All Girls &amp; Descendants - Edit'!$C$2:$AK$440,'All Girls &amp; Descendants - Edit'!AB$1,FALSE)))</f>
        <v>28</v>
      </c>
      <c r="AC319" s="101">
        <f>IF(VLOOKUP($C319,'All Girls &amp; Descendants - Edit'!$C$2:$AK$440,'All Girls &amp; Descendants - Edit'!AC$1,FALSE)=""," - ",(VLOOKUP($C319,'All Girls &amp; Descendants - Edit'!$C$2:$AK$440,'All Girls &amp; Descendants - Edit'!AC$1,FALSE)))</f>
        <v>3028</v>
      </c>
      <c r="AD319" s="3" t="str">
        <f>IF(VLOOKUP($C319,'All Girls &amp; Descendants - Edit'!$C$2:$AK$440,'All Girls &amp; Descendants - Edit'!AD$1,FALSE)=""," - ",(VLOOKUP($C319,'All Girls &amp; Descendants - Edit'!$C$2:$AK$440,'All Girls &amp; Descendants - Edit'!AD$1,FALSE)))</f>
        <v>70dca</v>
      </c>
      <c r="AE319" s="3" t="str">
        <f>IF(VLOOKUP($C319,'All Girls &amp; Descendants - Edit'!$C$2:$AK$440,'All Girls &amp; Descendants - Edit'!AE$1,FALSE)=""," - ",(VLOOKUP($C319,'All Girls &amp; Descendants - Edit'!$C$2:$AK$440,'All Girls &amp; Descendants - Edit'!AE$1,FALSE)))</f>
        <v>Simeon Nathaniel Benjamin GOW (1990 - )</v>
      </c>
      <c r="AF319" s="3" t="str">
        <f>IF(VLOOKUP($C319,'All Girls &amp; Descendants - Edit'!$C$2:$AK$440,'All Girls &amp; Descendants - Edit'!AF$1,FALSE)=""," - ",(VLOOKUP($C319,'All Girls &amp; Descendants - Edit'!$C$2:$AK$440,'All Girls &amp; Descendants - Edit'!AF$1,FALSE)))</f>
        <v>Simeon GOW (7th &amp; 70)</v>
      </c>
      <c r="AG319" s="3" t="str">
        <f>IF(VLOOKUP($C319,'All Girls &amp; Descendants - Edit'!$C$2:$AK$440,'All Girls &amp; Descendants - Edit'!AG$1,FALSE)=""," - ",(VLOOKUP($C319,'All Girls &amp; Descendants - Edit'!$C$2:$AK$440,'All Girls &amp; Descendants - Edit'!AG$1,FALSE)))</f>
        <v>Male</v>
      </c>
      <c r="AH319" s="3" t="str">
        <f>IF(VLOOKUP($C319,'All Girls &amp; Descendants - Edit'!$C$2:$AK$440,'All Girls &amp; Descendants - Edit'!AH$1,FALSE)=""," - ",(VLOOKUP($C319,'All Girls &amp; Descendants - Edit'!$C$2:$AK$440,'All Girls &amp; Descendants - Edit'!AH$1,FALSE)))</f>
        <v>7th</v>
      </c>
      <c r="AI319" s="3" t="str">
        <f>IF(VLOOKUP($C319,'All Girls &amp; Descendants - Edit'!$C$2:$AK$440,'All Girls &amp; Descendants - Edit'!AI$1,FALSE)=""," - ",(VLOOKUP($C319,'All Girls &amp; Descendants - Edit'!$C$2:$AK$440,'All Girls &amp; Descendants - Edit'!AI$1,FALSE)))</f>
        <v>Unmarried</v>
      </c>
      <c r="AJ319" s="3" t="str">
        <f>IF(VLOOKUP($C319,'All Girls &amp; Descendants - Edit'!$C$2:$AK$440,'All Girls &amp; Descendants - Edit'!AJ$1,FALSE)=""," - ",(VLOOKUP($C319,'All Girls &amp; Descendants - Edit'!$C$2:$AK$440,'All Girls &amp; Descendants - Edit'!AJ$1,FALSE)))</f>
        <v>Male. b. 23/10/1990</v>
      </c>
      <c r="AK319" s="3" t="str">
        <f>IF(VLOOKUP($C319,'All Girls &amp; Descendants - Edit'!$C$2:$AK$440,'All Girls &amp; Descendants - Edit'!AK$1,FALSE)=""," - ",(VLOOKUP($C319,'All Girls &amp; Descendants - Edit'!$C$2:$AK$440,'All Girls &amp; Descendants - Edit'!AK$1,FALSE)))</f>
        <v>b. 23/10/1990</v>
      </c>
    </row>
    <row r="320" spans="1:37" ht="19">
      <c r="A320">
        <f>VLOOKUP(B320,'Loyd List 1-190 - Edit'!$P$1:$R$219,3,FALSE)</f>
        <v>46</v>
      </c>
      <c r="B320">
        <f>'All Girls &amp; Descendants - Edit'!B321</f>
        <v>70</v>
      </c>
      <c r="C320" s="98" t="str">
        <f>'All Girls &amp; Descendants - Edit'!C321</f>
        <v>70dcb</v>
      </c>
      <c r="D320" s="2" t="str">
        <f>'All Girls &amp; Descendants - Edit'!D321</f>
        <v>GOW</v>
      </c>
      <c r="E320" t="str">
        <f>'All Girls &amp; Descendants - Edit'!E321</f>
        <v>Christopher</v>
      </c>
      <c r="F320" t="str">
        <f>IF('All Girls &amp; Descendants - Edit'!F321="","",'All Girls &amp; Descendants - Edit'!F321)</f>
        <v>Gavin</v>
      </c>
      <c r="G320" t="str">
        <f>IF('All Girls &amp; Descendants - Edit'!G321="","",'All Girls &amp; Descendants - Edit'!G321)</f>
        <v>Thomas</v>
      </c>
      <c r="H320" t="str">
        <f>IF('All Girls &amp; Descendants - Edit'!H321="","",'All Girls &amp; Descendants - Edit'!H321)</f>
        <v/>
      </c>
      <c r="I320">
        <f>VLOOKUP($C320,'All Girls &amp; Descendants - Edit'!$C$2:$AK$440,'All Girls &amp; Descendants - Edit'!I$1,FALSE)</f>
        <v>1996</v>
      </c>
      <c r="J320" t="str">
        <f>VLOOKUP($C320,'All Girls &amp; Descendants - Edit'!$C$2:$AK$440,'All Girls &amp; Descendants - Edit'!J$1,FALSE)</f>
        <v/>
      </c>
      <c r="K320" s="9"/>
      <c r="L320" t="str">
        <f t="shared" si="32"/>
        <v>19/04/1996</v>
      </c>
      <c r="M320" s="3">
        <f>VLOOKUP($C320,'All Girls &amp; Descendants - Edit'!$C$2:$AK$440,'All Girls &amp; Descendants - Edit'!M$1,FALSE)</f>
        <v>35174</v>
      </c>
      <c r="N320" s="3" t="str">
        <f>IF(VLOOKUP($C320,'All Girls &amp; Descendants - Edit'!$C$2:$AK$440,'All Girls &amp; Descendants - Edit'!N$1,FALSE)=""," - ",(VLOOKUP($C320,'All Girls &amp; Descendants - Edit'!$C$2:$AK$440,'All Girls &amp; Descendants - Edit'!N$1,FALSE)))</f>
        <v xml:space="preserve"> - </v>
      </c>
      <c r="O320" s="3" t="str">
        <f>IF(VLOOKUP($C320,'All Girls &amp; Descendants - Edit'!$C$2:$AK$440,'All Girls &amp; Descendants - Edit'!O$1,FALSE)="","",(VLOOKUP($C320,'All Girls &amp; Descendants - Edit'!$C$2:$AK$440,'All Girls &amp; Descendants - Edit'!O$1,FALSE)))</f>
        <v/>
      </c>
      <c r="P320" s="3" t="str">
        <f t="shared" si="33"/>
        <v/>
      </c>
      <c r="Q320" s="178" t="str">
        <f t="shared" si="34"/>
        <v>70dc</v>
      </c>
      <c r="R320" s="23"/>
      <c r="S320" t="str">
        <f>VLOOKUP($C320,'All Girls &amp; Descendants - Edit'!$C$2:$AK$440,'All Girls &amp; Descendants - Edit'!S$1,FALSE)</f>
        <v>Male</v>
      </c>
      <c r="T320" s="176">
        <f t="shared" si="31"/>
        <v>7</v>
      </c>
      <c r="U320" s="176">
        <f t="shared" si="35"/>
        <v>5</v>
      </c>
      <c r="V320" s="176">
        <f t="shared" si="36"/>
        <v>4</v>
      </c>
      <c r="W320" s="177">
        <f t="shared" si="37"/>
        <v>3</v>
      </c>
      <c r="X320" s="3" t="str">
        <f>IF(VLOOKUP($C320,'All Girls &amp; Descendants - Edit'!$C$2:$AK$440,'All Girls &amp; Descendants - Edit'!X$1,FALSE)=""," - ",(VLOOKUP($C320,'All Girls &amp; Descendants - Edit'!$C$2:$AK$440,'All Girls &amp; Descendants - Edit'!X$1,FALSE)))</f>
        <v xml:space="preserve"> - </v>
      </c>
      <c r="Y320" s="3" t="str">
        <f>IF(VLOOKUP($C320,'All Girls &amp; Descendants - Edit'!$C$2:$AK$440,'All Girls &amp; Descendants - Edit'!Y$1,FALSE)=""," - ",(VLOOKUP($C320,'All Girls &amp; Descendants - Edit'!$C$2:$AK$440,'All Girls &amp; Descendants - Edit'!Y$1,FALSE)))</f>
        <v xml:space="preserve"> - </v>
      </c>
      <c r="Z320" s="3" t="str">
        <f>IF(VLOOKUP($C320,'All Girls &amp; Descendants - Edit'!$C$2:$AK$440,'All Girls &amp; Descendants - Edit'!Z$1,FALSE)=""," - ",(VLOOKUP($C320,'All Girls &amp; Descendants - Edit'!$C$2:$AK$440,'All Girls &amp; Descendants - Edit'!Z$1,FALSE)))</f>
        <v xml:space="preserve"> - </v>
      </c>
      <c r="AA320" s="101">
        <f>IF(VLOOKUP($C320,'All Girls &amp; Descendants - Edit'!$C$2:$AK$440,'All Girls &amp; Descendants - Edit'!AA$1,FALSE)=""," - ",(VLOOKUP($C320,'All Girls &amp; Descendants - Edit'!$C$2:$AK$440,'All Girls &amp; Descendants - Edit'!AA$1,FALSE)))</f>
        <v>150</v>
      </c>
      <c r="AB320" s="101">
        <f>IF(VLOOKUP($C320,'All Girls &amp; Descendants - Edit'!$C$2:$AK$440,'All Girls &amp; Descendants - Edit'!AB$1,FALSE)=""," - ",(VLOOKUP($C320,'All Girls &amp; Descendants - Edit'!$C$2:$AK$440,'All Girls &amp; Descendants - Edit'!AB$1,FALSE)))</f>
        <v>29</v>
      </c>
      <c r="AC320" s="101">
        <f>IF(VLOOKUP($C320,'All Girls &amp; Descendants - Edit'!$C$2:$AK$440,'All Girls &amp; Descendants - Edit'!AC$1,FALSE)=""," - ",(VLOOKUP($C320,'All Girls &amp; Descendants - Edit'!$C$2:$AK$440,'All Girls &amp; Descendants - Edit'!AC$1,FALSE)))</f>
        <v>3029</v>
      </c>
      <c r="AD320" s="3" t="str">
        <f>IF(VLOOKUP($C320,'All Girls &amp; Descendants - Edit'!$C$2:$AK$440,'All Girls &amp; Descendants - Edit'!AD$1,FALSE)=""," - ",(VLOOKUP($C320,'All Girls &amp; Descendants - Edit'!$C$2:$AK$440,'All Girls &amp; Descendants - Edit'!AD$1,FALSE)))</f>
        <v>70dcb</v>
      </c>
      <c r="AE320" s="3" t="str">
        <f>IF(VLOOKUP($C320,'All Girls &amp; Descendants - Edit'!$C$2:$AK$440,'All Girls &amp; Descendants - Edit'!AE$1,FALSE)=""," - ",(VLOOKUP($C320,'All Girls &amp; Descendants - Edit'!$C$2:$AK$440,'All Girls &amp; Descendants - Edit'!AE$1,FALSE)))</f>
        <v>Christopher Gavin Thomas GOW (1996 - )</v>
      </c>
      <c r="AF320" s="3" t="str">
        <f>IF(VLOOKUP($C320,'All Girls &amp; Descendants - Edit'!$C$2:$AK$440,'All Girls &amp; Descendants - Edit'!AF$1,FALSE)=""," - ",(VLOOKUP($C320,'All Girls &amp; Descendants - Edit'!$C$2:$AK$440,'All Girls &amp; Descendants - Edit'!AF$1,FALSE)))</f>
        <v>Christopher GOW (7th &amp; 70)</v>
      </c>
      <c r="AG320" s="3" t="str">
        <f>IF(VLOOKUP($C320,'All Girls &amp; Descendants - Edit'!$C$2:$AK$440,'All Girls &amp; Descendants - Edit'!AG$1,FALSE)=""," - ",(VLOOKUP($C320,'All Girls &amp; Descendants - Edit'!$C$2:$AK$440,'All Girls &amp; Descendants - Edit'!AG$1,FALSE)))</f>
        <v>Male</v>
      </c>
      <c r="AH320" s="3" t="str">
        <f>IF(VLOOKUP($C320,'All Girls &amp; Descendants - Edit'!$C$2:$AK$440,'All Girls &amp; Descendants - Edit'!AH$1,FALSE)=""," - ",(VLOOKUP($C320,'All Girls &amp; Descendants - Edit'!$C$2:$AK$440,'All Girls &amp; Descendants - Edit'!AH$1,FALSE)))</f>
        <v>7th</v>
      </c>
      <c r="AI320" s="3" t="str">
        <f>IF(VLOOKUP($C320,'All Girls &amp; Descendants - Edit'!$C$2:$AK$440,'All Girls &amp; Descendants - Edit'!AI$1,FALSE)=""," - ",(VLOOKUP($C320,'All Girls &amp; Descendants - Edit'!$C$2:$AK$440,'All Girls &amp; Descendants - Edit'!AI$1,FALSE)))</f>
        <v>Unmarried</v>
      </c>
      <c r="AJ320" s="3" t="str">
        <f>IF(VLOOKUP($C320,'All Girls &amp; Descendants - Edit'!$C$2:$AK$440,'All Girls &amp; Descendants - Edit'!AJ$1,FALSE)=""," - ",(VLOOKUP($C320,'All Girls &amp; Descendants - Edit'!$C$2:$AK$440,'All Girls &amp; Descendants - Edit'!AJ$1,FALSE)))</f>
        <v>Male. b. 19/04/1996</v>
      </c>
      <c r="AK320" s="3" t="str">
        <f>IF(VLOOKUP($C320,'All Girls &amp; Descendants - Edit'!$C$2:$AK$440,'All Girls &amp; Descendants - Edit'!AK$1,FALSE)=""," - ",(VLOOKUP($C320,'All Girls &amp; Descendants - Edit'!$C$2:$AK$440,'All Girls &amp; Descendants - Edit'!AK$1,FALSE)))</f>
        <v>b. 19/04/1996</v>
      </c>
    </row>
    <row r="321" spans="1:37" ht="19">
      <c r="A321">
        <f>VLOOKUP(B321,'Loyd List 1-190 - Edit'!$P$1:$R$219,3,FALSE)</f>
        <v>46</v>
      </c>
      <c r="B321">
        <f>'All Girls &amp; Descendants - Edit'!B322</f>
        <v>70</v>
      </c>
      <c r="C321" s="98" t="str">
        <f>'All Girls &amp; Descendants - Edit'!C322</f>
        <v>70dcc</v>
      </c>
      <c r="D321" s="2" t="str">
        <f>'All Girls &amp; Descendants - Edit'!D322</f>
        <v>GOW</v>
      </c>
      <c r="E321" t="str">
        <f>'All Girls &amp; Descendants - Edit'!E322</f>
        <v>Joanna</v>
      </c>
      <c r="F321" t="str">
        <f>IF('All Girls &amp; Descendants - Edit'!F322="","",'All Girls &amp; Descendants - Edit'!F322)</f>
        <v>Louise</v>
      </c>
      <c r="G321" t="str">
        <f>IF('All Girls &amp; Descendants - Edit'!G322="","",'All Girls &amp; Descendants - Edit'!G322)</f>
        <v/>
      </c>
      <c r="H321" t="str">
        <f>IF('All Girls &amp; Descendants - Edit'!H322="","",'All Girls &amp; Descendants - Edit'!H322)</f>
        <v/>
      </c>
      <c r="I321">
        <f>VLOOKUP($C321,'All Girls &amp; Descendants - Edit'!$C$2:$AK$440,'All Girls &amp; Descendants - Edit'!I$1,FALSE)</f>
        <v>1998</v>
      </c>
      <c r="J321" t="str">
        <f>VLOOKUP($C321,'All Girls &amp; Descendants - Edit'!$C$2:$AK$440,'All Girls &amp; Descendants - Edit'!J$1,FALSE)</f>
        <v/>
      </c>
      <c r="K321" s="9"/>
      <c r="L321" t="str">
        <f t="shared" si="32"/>
        <v>14/05/1998</v>
      </c>
      <c r="M321" s="3">
        <f>VLOOKUP($C321,'All Girls &amp; Descendants - Edit'!$C$2:$AK$440,'All Girls &amp; Descendants - Edit'!M$1,FALSE)</f>
        <v>35929</v>
      </c>
      <c r="N321" s="3" t="str">
        <f>IF(VLOOKUP($C321,'All Girls &amp; Descendants - Edit'!$C$2:$AK$440,'All Girls &amp; Descendants - Edit'!N$1,FALSE)=""," - ",(VLOOKUP($C321,'All Girls &amp; Descendants - Edit'!$C$2:$AK$440,'All Girls &amp; Descendants - Edit'!N$1,FALSE)))</f>
        <v xml:space="preserve"> - </v>
      </c>
      <c r="O321" s="3" t="str">
        <f>IF(VLOOKUP($C321,'All Girls &amp; Descendants - Edit'!$C$2:$AK$440,'All Girls &amp; Descendants - Edit'!O$1,FALSE)="","",(VLOOKUP($C321,'All Girls &amp; Descendants - Edit'!$C$2:$AK$440,'All Girls &amp; Descendants - Edit'!O$1,FALSE)))</f>
        <v/>
      </c>
      <c r="P321" s="3" t="str">
        <f t="shared" si="33"/>
        <v/>
      </c>
      <c r="Q321" s="178" t="str">
        <f t="shared" si="34"/>
        <v>70dc</v>
      </c>
      <c r="R321" s="23"/>
      <c r="S321" t="str">
        <f>VLOOKUP($C321,'All Girls &amp; Descendants - Edit'!$C$2:$AK$440,'All Girls &amp; Descendants - Edit'!S$1,FALSE)</f>
        <v>Female</v>
      </c>
      <c r="T321" s="176">
        <f t="shared" si="31"/>
        <v>7</v>
      </c>
      <c r="U321" s="176">
        <f t="shared" si="35"/>
        <v>5</v>
      </c>
      <c r="V321" s="176">
        <f t="shared" si="36"/>
        <v>4</v>
      </c>
      <c r="W321" s="177">
        <f t="shared" si="37"/>
        <v>3</v>
      </c>
      <c r="X321" s="3" t="str">
        <f>IF(VLOOKUP($C321,'All Girls &amp; Descendants - Edit'!$C$2:$AK$440,'All Girls &amp; Descendants - Edit'!X$1,FALSE)=""," - ",(VLOOKUP($C321,'All Girls &amp; Descendants - Edit'!$C$2:$AK$440,'All Girls &amp; Descendants - Edit'!X$1,FALSE)))</f>
        <v xml:space="preserve"> - </v>
      </c>
      <c r="Y321" s="3" t="str">
        <f>IF(VLOOKUP($C321,'All Girls &amp; Descendants - Edit'!$C$2:$AK$440,'All Girls &amp; Descendants - Edit'!Y$1,FALSE)=""," - ",(VLOOKUP($C321,'All Girls &amp; Descendants - Edit'!$C$2:$AK$440,'All Girls &amp; Descendants - Edit'!Y$1,FALSE)))</f>
        <v xml:space="preserve"> - </v>
      </c>
      <c r="Z321" s="3" t="str">
        <f>IF(VLOOKUP($C321,'All Girls &amp; Descendants - Edit'!$C$2:$AK$440,'All Girls &amp; Descendants - Edit'!Z$1,FALSE)=""," - ",(VLOOKUP($C321,'All Girls &amp; Descendants - Edit'!$C$2:$AK$440,'All Girls &amp; Descendants - Edit'!Z$1,FALSE)))</f>
        <v xml:space="preserve"> - </v>
      </c>
      <c r="AA321" s="101">
        <f>IF(VLOOKUP($C321,'All Girls &amp; Descendants - Edit'!$C$2:$AK$440,'All Girls &amp; Descendants - Edit'!AA$1,FALSE)=""," - ",(VLOOKUP($C321,'All Girls &amp; Descendants - Edit'!$C$2:$AK$440,'All Girls &amp; Descendants - Edit'!AA$1,FALSE)))</f>
        <v>151</v>
      </c>
      <c r="AB321" s="101">
        <f>IF(VLOOKUP($C321,'All Girls &amp; Descendants - Edit'!$C$2:$AK$440,'All Girls &amp; Descendants - Edit'!AB$1,FALSE)=""," - ",(VLOOKUP($C321,'All Girls &amp; Descendants - Edit'!$C$2:$AK$440,'All Girls &amp; Descendants - Edit'!AB$1,FALSE)))</f>
        <v>30</v>
      </c>
      <c r="AC321" s="101">
        <f>IF(VLOOKUP($C321,'All Girls &amp; Descendants - Edit'!$C$2:$AK$440,'All Girls &amp; Descendants - Edit'!AC$1,FALSE)=""," - ",(VLOOKUP($C321,'All Girls &amp; Descendants - Edit'!$C$2:$AK$440,'All Girls &amp; Descendants - Edit'!AC$1,FALSE)))</f>
        <v>3030</v>
      </c>
      <c r="AD321" s="3" t="str">
        <f>IF(VLOOKUP($C321,'All Girls &amp; Descendants - Edit'!$C$2:$AK$440,'All Girls &amp; Descendants - Edit'!AD$1,FALSE)=""," - ",(VLOOKUP($C321,'All Girls &amp; Descendants - Edit'!$C$2:$AK$440,'All Girls &amp; Descendants - Edit'!AD$1,FALSE)))</f>
        <v>70dcc</v>
      </c>
      <c r="AE321" s="3" t="str">
        <f>IF(VLOOKUP($C321,'All Girls &amp; Descendants - Edit'!$C$2:$AK$440,'All Girls &amp; Descendants - Edit'!AE$1,FALSE)=""," - ",(VLOOKUP($C321,'All Girls &amp; Descendants - Edit'!$C$2:$AK$440,'All Girls &amp; Descendants - Edit'!AE$1,FALSE)))</f>
        <v>Joanna Louise  GOW (1998 - )</v>
      </c>
      <c r="AF321" s="3" t="str">
        <f>IF(VLOOKUP($C321,'All Girls &amp; Descendants - Edit'!$C$2:$AK$440,'All Girls &amp; Descendants - Edit'!AF$1,FALSE)=""," - ",(VLOOKUP($C321,'All Girls &amp; Descendants - Edit'!$C$2:$AK$440,'All Girls &amp; Descendants - Edit'!AF$1,FALSE)))</f>
        <v>Joanna GOW (7th &amp; 70)</v>
      </c>
      <c r="AG321" s="3" t="str">
        <f>IF(VLOOKUP($C321,'All Girls &amp; Descendants - Edit'!$C$2:$AK$440,'All Girls &amp; Descendants - Edit'!AG$1,FALSE)=""," - ",(VLOOKUP($C321,'All Girls &amp; Descendants - Edit'!$C$2:$AK$440,'All Girls &amp; Descendants - Edit'!AG$1,FALSE)))</f>
        <v>Female</v>
      </c>
      <c r="AH321" s="3" t="str">
        <f>IF(VLOOKUP($C321,'All Girls &amp; Descendants - Edit'!$C$2:$AK$440,'All Girls &amp; Descendants - Edit'!AH$1,FALSE)=""," - ",(VLOOKUP($C321,'All Girls &amp; Descendants - Edit'!$C$2:$AK$440,'All Girls &amp; Descendants - Edit'!AH$1,FALSE)))</f>
        <v>7th</v>
      </c>
      <c r="AI321" s="3" t="str">
        <f>IF(VLOOKUP($C321,'All Girls &amp; Descendants - Edit'!$C$2:$AK$440,'All Girls &amp; Descendants - Edit'!AI$1,FALSE)=""," - ",(VLOOKUP($C321,'All Girls &amp; Descendants - Edit'!$C$2:$AK$440,'All Girls &amp; Descendants - Edit'!AI$1,FALSE)))</f>
        <v>Unmarried</v>
      </c>
      <c r="AJ321" s="3" t="str">
        <f>IF(VLOOKUP($C321,'All Girls &amp; Descendants - Edit'!$C$2:$AK$440,'All Girls &amp; Descendants - Edit'!AJ$1,FALSE)=""," - ",(VLOOKUP($C321,'All Girls &amp; Descendants - Edit'!$C$2:$AK$440,'All Girls &amp; Descendants - Edit'!AJ$1,FALSE)))</f>
        <v>Female. b. 14/05/1998</v>
      </c>
      <c r="AK321" s="3" t="str">
        <f>IF(VLOOKUP($C321,'All Girls &amp; Descendants - Edit'!$C$2:$AK$440,'All Girls &amp; Descendants - Edit'!AK$1,FALSE)=""," - ",(VLOOKUP($C321,'All Girls &amp; Descendants - Edit'!$C$2:$AK$440,'All Girls &amp; Descendants - Edit'!AK$1,FALSE)))</f>
        <v>b. 14/05/1998</v>
      </c>
    </row>
    <row r="322" spans="1:37" ht="19">
      <c r="A322">
        <f>VLOOKUP(B322,'Loyd List 1-190 - Edit'!$P$1:$R$219,3,FALSE)</f>
        <v>56</v>
      </c>
      <c r="B322">
        <f>'All Girls &amp; Descendants - Edit'!B323</f>
        <v>85</v>
      </c>
      <c r="C322" s="98" t="str">
        <f>'All Girls &amp; Descendants - Edit'!C323</f>
        <v>85aaa</v>
      </c>
      <c r="D322" s="2" t="str">
        <f>'All Girls &amp; Descendants - Edit'!D323</f>
        <v>ELLIS</v>
      </c>
      <c r="E322" t="str">
        <f>'All Girls &amp; Descendants - Edit'!E323</f>
        <v>Matilda</v>
      </c>
      <c r="F322" t="str">
        <f>IF('All Girls &amp; Descendants - Edit'!F323="","",'All Girls &amp; Descendants - Edit'!F323)</f>
        <v>Prudence</v>
      </c>
      <c r="G322" t="str">
        <f>IF('All Girls &amp; Descendants - Edit'!G323="","",'All Girls &amp; Descendants - Edit'!G323)</f>
        <v/>
      </c>
      <c r="H322" t="str">
        <f>IF('All Girls &amp; Descendants - Edit'!H323="","",'All Girls &amp; Descendants - Edit'!H323)</f>
        <v/>
      </c>
      <c r="I322">
        <f>VLOOKUP($C322,'All Girls &amp; Descendants - Edit'!$C$2:$AK$440,'All Girls &amp; Descendants - Edit'!I$1,FALSE)</f>
        <v>1995</v>
      </c>
      <c r="J322" t="str">
        <f>VLOOKUP($C322,'All Girls &amp; Descendants - Edit'!$C$2:$AK$440,'All Girls &amp; Descendants - Edit'!J$1,FALSE)</f>
        <v/>
      </c>
      <c r="K322" s="9"/>
      <c r="L322" t="str">
        <f t="shared" si="32"/>
        <v>25/07/1995</v>
      </c>
      <c r="M322" s="3">
        <f>VLOOKUP($C322,'All Girls &amp; Descendants - Edit'!$C$2:$AK$440,'All Girls &amp; Descendants - Edit'!M$1,FALSE)</f>
        <v>34905</v>
      </c>
      <c r="N322" s="3" t="str">
        <f>IF(VLOOKUP($C322,'All Girls &amp; Descendants - Edit'!$C$2:$AK$440,'All Girls &amp; Descendants - Edit'!N$1,FALSE)=""," - ",(VLOOKUP($C322,'All Girls &amp; Descendants - Edit'!$C$2:$AK$440,'All Girls &amp; Descendants - Edit'!N$1,FALSE)))</f>
        <v xml:space="preserve"> - </v>
      </c>
      <c r="O322" s="3" t="str">
        <f>IF(VLOOKUP($C322,'All Girls &amp; Descendants - Edit'!$C$2:$AK$440,'All Girls &amp; Descendants - Edit'!O$1,FALSE)="","",(VLOOKUP($C322,'All Girls &amp; Descendants - Edit'!$C$2:$AK$440,'All Girls &amp; Descendants - Edit'!O$1,FALSE)))</f>
        <v/>
      </c>
      <c r="P322" s="3" t="str">
        <f t="shared" si="33"/>
        <v/>
      </c>
      <c r="Q322" s="178" t="str">
        <f t="shared" si="34"/>
        <v>85aa</v>
      </c>
      <c r="R322" s="23"/>
      <c r="S322" t="str">
        <f>VLOOKUP($C322,'All Girls &amp; Descendants - Edit'!$C$2:$AK$440,'All Girls &amp; Descendants - Edit'!S$1,FALSE)</f>
        <v>Female</v>
      </c>
      <c r="T322" s="176">
        <f t="shared" si="31"/>
        <v>8</v>
      </c>
      <c r="U322" s="176">
        <f t="shared" si="35"/>
        <v>5</v>
      </c>
      <c r="V322" s="176">
        <f t="shared" si="36"/>
        <v>5</v>
      </c>
      <c r="W322" s="177">
        <f t="shared" si="37"/>
        <v>3</v>
      </c>
      <c r="X322" s="3" t="str">
        <f>IF(VLOOKUP($C322,'All Girls &amp; Descendants - Edit'!$C$2:$AK$440,'All Girls &amp; Descendants - Edit'!X$1,FALSE)=""," - ",(VLOOKUP($C322,'All Girls &amp; Descendants - Edit'!$C$2:$AK$440,'All Girls &amp; Descendants - Edit'!X$1,FALSE)))</f>
        <v xml:space="preserve"> - </v>
      </c>
      <c r="Y322" s="3" t="str">
        <f>IF(VLOOKUP($C322,'All Girls &amp; Descendants - Edit'!$C$2:$AK$440,'All Girls &amp; Descendants - Edit'!Y$1,FALSE)=""," - ",(VLOOKUP($C322,'All Girls &amp; Descendants - Edit'!$C$2:$AK$440,'All Girls &amp; Descendants - Edit'!Y$1,FALSE)))</f>
        <v xml:space="preserve"> - </v>
      </c>
      <c r="Z322" s="3" t="str">
        <f>IF(VLOOKUP($C322,'All Girls &amp; Descendants - Edit'!$C$2:$AK$440,'All Girls &amp; Descendants - Edit'!Z$1,FALSE)=""," - ",(VLOOKUP($C322,'All Girls &amp; Descendants - Edit'!$C$2:$AK$440,'All Girls &amp; Descendants - Edit'!Z$1,FALSE)))</f>
        <v xml:space="preserve"> - </v>
      </c>
      <c r="AA322" s="101">
        <f>IF(VLOOKUP($C322,'All Girls &amp; Descendants - Edit'!$C$2:$AK$440,'All Girls &amp; Descendants - Edit'!AA$1,FALSE)=""," - ",(VLOOKUP($C322,'All Girls &amp; Descendants - Edit'!$C$2:$AK$440,'All Girls &amp; Descendants - Edit'!AA$1,FALSE)))</f>
        <v>156</v>
      </c>
      <c r="AB322" s="101">
        <f>IF(VLOOKUP($C322,'All Girls &amp; Descendants - Edit'!$C$2:$AK$440,'All Girls &amp; Descendants - Edit'!AB$1,FALSE)=""," - ",(VLOOKUP($C322,'All Girls &amp; Descendants - Edit'!$C$2:$AK$440,'All Girls &amp; Descendants - Edit'!AB$1,FALSE)))</f>
        <v>31</v>
      </c>
      <c r="AC322" s="101">
        <f>IF(VLOOKUP($C322,'All Girls &amp; Descendants - Edit'!$C$2:$AK$440,'All Girls &amp; Descendants - Edit'!AC$1,FALSE)=""," - ",(VLOOKUP($C322,'All Girls &amp; Descendants - Edit'!$C$2:$AK$440,'All Girls &amp; Descendants - Edit'!AC$1,FALSE)))</f>
        <v>3031</v>
      </c>
      <c r="AD322" s="3" t="str">
        <f>IF(VLOOKUP($C322,'All Girls &amp; Descendants - Edit'!$C$2:$AK$440,'All Girls &amp; Descendants - Edit'!AD$1,FALSE)=""," - ",(VLOOKUP($C322,'All Girls &amp; Descendants - Edit'!$C$2:$AK$440,'All Girls &amp; Descendants - Edit'!AD$1,FALSE)))</f>
        <v>85aaa</v>
      </c>
      <c r="AE322" s="3" t="str">
        <f>IF(VLOOKUP($C322,'All Girls &amp; Descendants - Edit'!$C$2:$AK$440,'All Girls &amp; Descendants - Edit'!AE$1,FALSE)=""," - ",(VLOOKUP($C322,'All Girls &amp; Descendants - Edit'!$C$2:$AK$440,'All Girls &amp; Descendants - Edit'!AE$1,FALSE)))</f>
        <v>Matilda Prudence  ELLIS (1995 - )</v>
      </c>
      <c r="AF322" s="3" t="str">
        <f>IF(VLOOKUP($C322,'All Girls &amp; Descendants - Edit'!$C$2:$AK$440,'All Girls &amp; Descendants - Edit'!AF$1,FALSE)=""," - ",(VLOOKUP($C322,'All Girls &amp; Descendants - Edit'!$C$2:$AK$440,'All Girls &amp; Descendants - Edit'!AF$1,FALSE)))</f>
        <v>Matilda ELLIS (8th &amp; 85)</v>
      </c>
      <c r="AG322" s="3" t="str">
        <f>IF(VLOOKUP($C322,'All Girls &amp; Descendants - Edit'!$C$2:$AK$440,'All Girls &amp; Descendants - Edit'!AG$1,FALSE)=""," - ",(VLOOKUP($C322,'All Girls &amp; Descendants - Edit'!$C$2:$AK$440,'All Girls &amp; Descendants - Edit'!AG$1,FALSE)))</f>
        <v>Female</v>
      </c>
      <c r="AH322" s="3" t="str">
        <f>IF(VLOOKUP($C322,'All Girls &amp; Descendants - Edit'!$C$2:$AK$440,'All Girls &amp; Descendants - Edit'!AH$1,FALSE)=""," - ",(VLOOKUP($C322,'All Girls &amp; Descendants - Edit'!$C$2:$AK$440,'All Girls &amp; Descendants - Edit'!AH$1,FALSE)))</f>
        <v>8th</v>
      </c>
      <c r="AI322" s="3" t="str">
        <f>IF(VLOOKUP($C322,'All Girls &amp; Descendants - Edit'!$C$2:$AK$440,'All Girls &amp; Descendants - Edit'!AI$1,FALSE)=""," - ",(VLOOKUP($C322,'All Girls &amp; Descendants - Edit'!$C$2:$AK$440,'All Girls &amp; Descendants - Edit'!AI$1,FALSE)))</f>
        <v>Unmarried</v>
      </c>
      <c r="AJ322" s="3" t="str">
        <f>IF(VLOOKUP($C322,'All Girls &amp; Descendants - Edit'!$C$2:$AK$440,'All Girls &amp; Descendants - Edit'!AJ$1,FALSE)=""," - ",(VLOOKUP($C322,'All Girls &amp; Descendants - Edit'!$C$2:$AK$440,'All Girls &amp; Descendants - Edit'!AJ$1,FALSE)))</f>
        <v>Female. b. 25/07/1995</v>
      </c>
      <c r="AK322" s="3" t="str">
        <f>IF(VLOOKUP($C322,'All Girls &amp; Descendants - Edit'!$C$2:$AK$440,'All Girls &amp; Descendants - Edit'!AK$1,FALSE)=""," - ",(VLOOKUP($C322,'All Girls &amp; Descendants - Edit'!$C$2:$AK$440,'All Girls &amp; Descendants - Edit'!AK$1,FALSE)))</f>
        <v>b. 25/07/1995</v>
      </c>
    </row>
    <row r="323" spans="1:37" ht="19">
      <c r="A323">
        <f>VLOOKUP(B323,'Loyd List 1-190 - Edit'!$P$1:$R$219,3,FALSE)</f>
        <v>56</v>
      </c>
      <c r="B323">
        <f>'All Girls &amp; Descendants - Edit'!B324</f>
        <v>85</v>
      </c>
      <c r="C323" s="98" t="str">
        <f>'All Girls &amp; Descendants - Edit'!C324</f>
        <v>85aab</v>
      </c>
      <c r="D323" s="2" t="str">
        <f>'All Girls &amp; Descendants - Edit'!D324</f>
        <v>ELLIS</v>
      </c>
      <c r="E323" t="str">
        <f>'All Girls &amp; Descendants - Edit'!E324</f>
        <v>Tabitha</v>
      </c>
      <c r="F323" t="str">
        <f>IF('All Girls &amp; Descendants - Edit'!F324="","",'All Girls &amp; Descendants - Edit'!F324)</f>
        <v>Hope</v>
      </c>
      <c r="G323" t="str">
        <f>IF('All Girls &amp; Descendants - Edit'!G324="","",'All Girls &amp; Descendants - Edit'!G324)</f>
        <v/>
      </c>
      <c r="H323" t="str">
        <f>IF('All Girls &amp; Descendants - Edit'!H324="","",'All Girls &amp; Descendants - Edit'!H324)</f>
        <v/>
      </c>
      <c r="I323">
        <f>VLOOKUP($C323,'All Girls &amp; Descendants - Edit'!$C$2:$AK$440,'All Girls &amp; Descendants - Edit'!I$1,FALSE)</f>
        <v>1997</v>
      </c>
      <c r="J323" t="str">
        <f>VLOOKUP($C323,'All Girls &amp; Descendants - Edit'!$C$2:$AK$440,'All Girls &amp; Descendants - Edit'!J$1,FALSE)</f>
        <v/>
      </c>
      <c r="K323" s="9"/>
      <c r="L323" t="str">
        <f t="shared" si="32"/>
        <v>03/10/1997</v>
      </c>
      <c r="M323" s="3">
        <f>VLOOKUP($C323,'All Girls &amp; Descendants - Edit'!$C$2:$AK$440,'All Girls &amp; Descendants - Edit'!M$1,FALSE)</f>
        <v>35706</v>
      </c>
      <c r="N323" s="3" t="str">
        <f>IF(VLOOKUP($C323,'All Girls &amp; Descendants - Edit'!$C$2:$AK$440,'All Girls &amp; Descendants - Edit'!N$1,FALSE)=""," - ",(VLOOKUP($C323,'All Girls &amp; Descendants - Edit'!$C$2:$AK$440,'All Girls &amp; Descendants - Edit'!N$1,FALSE)))</f>
        <v xml:space="preserve"> - </v>
      </c>
      <c r="O323" s="3" t="str">
        <f>IF(VLOOKUP($C323,'All Girls &amp; Descendants - Edit'!$C$2:$AK$440,'All Girls &amp; Descendants - Edit'!O$1,FALSE)="","",(VLOOKUP($C323,'All Girls &amp; Descendants - Edit'!$C$2:$AK$440,'All Girls &amp; Descendants - Edit'!O$1,FALSE)))</f>
        <v/>
      </c>
      <c r="P323" s="3" t="str">
        <f t="shared" si="33"/>
        <v/>
      </c>
      <c r="Q323" s="178" t="str">
        <f t="shared" si="34"/>
        <v>85aa</v>
      </c>
      <c r="R323" s="23"/>
      <c r="S323" t="str">
        <f>VLOOKUP($C323,'All Girls &amp; Descendants - Edit'!$C$2:$AK$440,'All Girls &amp; Descendants - Edit'!S$1,FALSE)</f>
        <v>Female</v>
      </c>
      <c r="T323" s="176">
        <f t="shared" si="31"/>
        <v>8</v>
      </c>
      <c r="U323" s="176">
        <f t="shared" si="35"/>
        <v>5</v>
      </c>
      <c r="V323" s="176">
        <f t="shared" si="36"/>
        <v>5</v>
      </c>
      <c r="W323" s="177">
        <f t="shared" si="37"/>
        <v>3</v>
      </c>
      <c r="X323" s="3" t="str">
        <f>IF(VLOOKUP($C323,'All Girls &amp; Descendants - Edit'!$C$2:$AK$440,'All Girls &amp; Descendants - Edit'!X$1,FALSE)=""," - ",(VLOOKUP($C323,'All Girls &amp; Descendants - Edit'!$C$2:$AK$440,'All Girls &amp; Descendants - Edit'!X$1,FALSE)))</f>
        <v xml:space="preserve"> - </v>
      </c>
      <c r="Y323" s="3" t="str">
        <f>IF(VLOOKUP($C323,'All Girls &amp; Descendants - Edit'!$C$2:$AK$440,'All Girls &amp; Descendants - Edit'!Y$1,FALSE)=""," - ",(VLOOKUP($C323,'All Girls &amp; Descendants - Edit'!$C$2:$AK$440,'All Girls &amp; Descendants - Edit'!Y$1,FALSE)))</f>
        <v xml:space="preserve"> - </v>
      </c>
      <c r="Z323" s="3" t="str">
        <f>IF(VLOOKUP($C323,'All Girls &amp; Descendants - Edit'!$C$2:$AK$440,'All Girls &amp; Descendants - Edit'!Z$1,FALSE)=""," - ",(VLOOKUP($C323,'All Girls &amp; Descendants - Edit'!$C$2:$AK$440,'All Girls &amp; Descendants - Edit'!Z$1,FALSE)))</f>
        <v xml:space="preserve"> - </v>
      </c>
      <c r="AA323" s="101">
        <f>IF(VLOOKUP($C323,'All Girls &amp; Descendants - Edit'!$C$2:$AK$440,'All Girls &amp; Descendants - Edit'!AA$1,FALSE)=""," - ",(VLOOKUP($C323,'All Girls &amp; Descendants - Edit'!$C$2:$AK$440,'All Girls &amp; Descendants - Edit'!AA$1,FALSE)))</f>
        <v>157</v>
      </c>
      <c r="AB323" s="101">
        <f>IF(VLOOKUP($C323,'All Girls &amp; Descendants - Edit'!$C$2:$AK$440,'All Girls &amp; Descendants - Edit'!AB$1,FALSE)=""," - ",(VLOOKUP($C323,'All Girls &amp; Descendants - Edit'!$C$2:$AK$440,'All Girls &amp; Descendants - Edit'!AB$1,FALSE)))</f>
        <v>32</v>
      </c>
      <c r="AC323" s="101">
        <f>IF(VLOOKUP($C323,'All Girls &amp; Descendants - Edit'!$C$2:$AK$440,'All Girls &amp; Descendants - Edit'!AC$1,FALSE)=""," - ",(VLOOKUP($C323,'All Girls &amp; Descendants - Edit'!$C$2:$AK$440,'All Girls &amp; Descendants - Edit'!AC$1,FALSE)))</f>
        <v>3032</v>
      </c>
      <c r="AD323" s="3" t="str">
        <f>IF(VLOOKUP($C323,'All Girls &amp; Descendants - Edit'!$C$2:$AK$440,'All Girls &amp; Descendants - Edit'!AD$1,FALSE)=""," - ",(VLOOKUP($C323,'All Girls &amp; Descendants - Edit'!$C$2:$AK$440,'All Girls &amp; Descendants - Edit'!AD$1,FALSE)))</f>
        <v>85aab</v>
      </c>
      <c r="AE323" s="3" t="str">
        <f>IF(VLOOKUP($C323,'All Girls &amp; Descendants - Edit'!$C$2:$AK$440,'All Girls &amp; Descendants - Edit'!AE$1,FALSE)=""," - ",(VLOOKUP($C323,'All Girls &amp; Descendants - Edit'!$C$2:$AK$440,'All Girls &amp; Descendants - Edit'!AE$1,FALSE)))</f>
        <v>Tabitha Hope  ELLIS (1997 - )</v>
      </c>
      <c r="AF323" s="3" t="str">
        <f>IF(VLOOKUP($C323,'All Girls &amp; Descendants - Edit'!$C$2:$AK$440,'All Girls &amp; Descendants - Edit'!AF$1,FALSE)=""," - ",(VLOOKUP($C323,'All Girls &amp; Descendants - Edit'!$C$2:$AK$440,'All Girls &amp; Descendants - Edit'!AF$1,FALSE)))</f>
        <v>Tabitha ELLIS (8th &amp; 85)</v>
      </c>
      <c r="AG323" s="3" t="str">
        <f>IF(VLOOKUP($C323,'All Girls &amp; Descendants - Edit'!$C$2:$AK$440,'All Girls &amp; Descendants - Edit'!AG$1,FALSE)=""," - ",(VLOOKUP($C323,'All Girls &amp; Descendants - Edit'!$C$2:$AK$440,'All Girls &amp; Descendants - Edit'!AG$1,FALSE)))</f>
        <v>Female</v>
      </c>
      <c r="AH323" s="3" t="str">
        <f>IF(VLOOKUP($C323,'All Girls &amp; Descendants - Edit'!$C$2:$AK$440,'All Girls &amp; Descendants - Edit'!AH$1,FALSE)=""," - ",(VLOOKUP($C323,'All Girls &amp; Descendants - Edit'!$C$2:$AK$440,'All Girls &amp; Descendants - Edit'!AH$1,FALSE)))</f>
        <v>8th</v>
      </c>
      <c r="AI323" s="3" t="str">
        <f>IF(VLOOKUP($C323,'All Girls &amp; Descendants - Edit'!$C$2:$AK$440,'All Girls &amp; Descendants - Edit'!AI$1,FALSE)=""," - ",(VLOOKUP($C323,'All Girls &amp; Descendants - Edit'!$C$2:$AK$440,'All Girls &amp; Descendants - Edit'!AI$1,FALSE)))</f>
        <v>Unmarried</v>
      </c>
      <c r="AJ323" s="3" t="str">
        <f>IF(VLOOKUP($C323,'All Girls &amp; Descendants - Edit'!$C$2:$AK$440,'All Girls &amp; Descendants - Edit'!AJ$1,FALSE)=""," - ",(VLOOKUP($C323,'All Girls &amp; Descendants - Edit'!$C$2:$AK$440,'All Girls &amp; Descendants - Edit'!AJ$1,FALSE)))</f>
        <v>Female. b. 03/10/1997</v>
      </c>
      <c r="AK323" s="3" t="str">
        <f>IF(VLOOKUP($C323,'All Girls &amp; Descendants - Edit'!$C$2:$AK$440,'All Girls &amp; Descendants - Edit'!AK$1,FALSE)=""," - ",(VLOOKUP($C323,'All Girls &amp; Descendants - Edit'!$C$2:$AK$440,'All Girls &amp; Descendants - Edit'!AK$1,FALSE)))</f>
        <v>b. 03/10/1997</v>
      </c>
    </row>
    <row r="324" spans="1:37" ht="19">
      <c r="A324">
        <f>VLOOKUP(B324,'Loyd List 1-190 - Edit'!$P$1:$R$219,3,FALSE)</f>
        <v>56</v>
      </c>
      <c r="B324">
        <f>'All Girls &amp; Descendants - Edit'!B325</f>
        <v>85</v>
      </c>
      <c r="C324" s="98" t="str">
        <f>'All Girls &amp; Descendants - Edit'!C325</f>
        <v>85aba</v>
      </c>
      <c r="D324" s="2" t="str">
        <f>'All Girls &amp; Descendants - Edit'!D325</f>
        <v>LANE FOX</v>
      </c>
      <c r="E324" t="str">
        <f>'All Girls &amp; Descendants - Edit'!E325</f>
        <v>Esme</v>
      </c>
      <c r="F324" t="str">
        <f>IF('All Girls &amp; Descendants - Edit'!F325="","",'All Girls &amp; Descendants - Edit'!F325)</f>
        <v>Grace G</v>
      </c>
      <c r="G324" t="str">
        <f>IF('All Girls &amp; Descendants - Edit'!G325="","",'All Girls &amp; Descendants - Edit'!G325)</f>
        <v/>
      </c>
      <c r="H324" t="str">
        <f>IF('All Girls &amp; Descendants - Edit'!H325="","",'All Girls &amp; Descendants - Edit'!H325)</f>
        <v/>
      </c>
      <c r="I324">
        <f>VLOOKUP($C324,'All Girls &amp; Descendants - Edit'!$C$2:$AK$440,'All Girls &amp; Descendants - Edit'!I$1,FALSE)</f>
        <v>1998</v>
      </c>
      <c r="J324" t="str">
        <f>VLOOKUP($C324,'All Girls &amp; Descendants - Edit'!$C$2:$AK$440,'All Girls &amp; Descendants - Edit'!J$1,FALSE)</f>
        <v/>
      </c>
      <c r="K324" s="9"/>
      <c r="L324" t="str">
        <f t="shared" si="32"/>
        <v>24/07/1998</v>
      </c>
      <c r="M324" s="3">
        <f>VLOOKUP($C324,'All Girls &amp; Descendants - Edit'!$C$2:$AK$440,'All Girls &amp; Descendants - Edit'!M$1,FALSE)</f>
        <v>36000</v>
      </c>
      <c r="N324" s="3" t="str">
        <f>IF(VLOOKUP($C324,'All Girls &amp; Descendants - Edit'!$C$2:$AK$440,'All Girls &amp; Descendants - Edit'!N$1,FALSE)=""," - ",(VLOOKUP($C324,'All Girls &amp; Descendants - Edit'!$C$2:$AK$440,'All Girls &amp; Descendants - Edit'!N$1,FALSE)))</f>
        <v xml:space="preserve"> - </v>
      </c>
      <c r="O324" s="3" t="str">
        <f>IF(VLOOKUP($C324,'All Girls &amp; Descendants - Edit'!$C$2:$AK$440,'All Girls &amp; Descendants - Edit'!O$1,FALSE)="","",(VLOOKUP($C324,'All Girls &amp; Descendants - Edit'!$C$2:$AK$440,'All Girls &amp; Descendants - Edit'!O$1,FALSE)))</f>
        <v/>
      </c>
      <c r="P324" s="3" t="str">
        <f t="shared" si="33"/>
        <v/>
      </c>
      <c r="Q324" s="178" t="str">
        <f t="shared" si="34"/>
        <v>85ab</v>
      </c>
      <c r="R324" s="23"/>
      <c r="S324" t="str">
        <f>VLOOKUP($C324,'All Girls &amp; Descendants - Edit'!$C$2:$AK$440,'All Girls &amp; Descendants - Edit'!S$1,FALSE)</f>
        <v>Female</v>
      </c>
      <c r="T324" s="176">
        <f t="shared" ref="T324:T387" si="38">IF(B324&lt;10,V324+U324-1,IF(AND(B324&gt;=10,B324&lt;100),V324+U324-2,IF(B324&gt;=100,V324+U324-3)))</f>
        <v>8</v>
      </c>
      <c r="U324" s="176">
        <f t="shared" si="35"/>
        <v>5</v>
      </c>
      <c r="V324" s="176">
        <f t="shared" si="36"/>
        <v>5</v>
      </c>
      <c r="W324" s="177">
        <f t="shared" si="37"/>
        <v>3</v>
      </c>
      <c r="X324" s="3" t="str">
        <f>IF(VLOOKUP($C324,'All Girls &amp; Descendants - Edit'!$C$2:$AK$440,'All Girls &amp; Descendants - Edit'!X$1,FALSE)=""," - ",(VLOOKUP($C324,'All Girls &amp; Descendants - Edit'!$C$2:$AK$440,'All Girls &amp; Descendants - Edit'!X$1,FALSE)))</f>
        <v xml:space="preserve"> - </v>
      </c>
      <c r="Y324" s="3" t="str">
        <f>IF(VLOOKUP($C324,'All Girls &amp; Descendants - Edit'!$C$2:$AK$440,'All Girls &amp; Descendants - Edit'!Y$1,FALSE)=""," - ",(VLOOKUP($C324,'All Girls &amp; Descendants - Edit'!$C$2:$AK$440,'All Girls &amp; Descendants - Edit'!Y$1,FALSE)))</f>
        <v xml:space="preserve"> - </v>
      </c>
      <c r="Z324" s="3" t="str">
        <f>IF(VLOOKUP($C324,'All Girls &amp; Descendants - Edit'!$C$2:$AK$440,'All Girls &amp; Descendants - Edit'!Z$1,FALSE)=""," - ",(VLOOKUP($C324,'All Girls &amp; Descendants - Edit'!$C$2:$AK$440,'All Girls &amp; Descendants - Edit'!Z$1,FALSE)))</f>
        <v xml:space="preserve"> - </v>
      </c>
      <c r="AA324" s="101">
        <f>IF(VLOOKUP($C324,'All Girls &amp; Descendants - Edit'!$C$2:$AK$440,'All Girls &amp; Descendants - Edit'!AA$1,FALSE)=""," - ",(VLOOKUP($C324,'All Girls &amp; Descendants - Edit'!$C$2:$AK$440,'All Girls &amp; Descendants - Edit'!AA$1,FALSE)))</f>
        <v>159</v>
      </c>
      <c r="AB324" s="101">
        <f>IF(VLOOKUP($C324,'All Girls &amp; Descendants - Edit'!$C$2:$AK$440,'All Girls &amp; Descendants - Edit'!AB$1,FALSE)=""," - ",(VLOOKUP($C324,'All Girls &amp; Descendants - Edit'!$C$2:$AK$440,'All Girls &amp; Descendants - Edit'!AB$1,FALSE)))</f>
        <v>33</v>
      </c>
      <c r="AC324" s="101">
        <f>IF(VLOOKUP($C324,'All Girls &amp; Descendants - Edit'!$C$2:$AK$440,'All Girls &amp; Descendants - Edit'!AC$1,FALSE)=""," - ",(VLOOKUP($C324,'All Girls &amp; Descendants - Edit'!$C$2:$AK$440,'All Girls &amp; Descendants - Edit'!AC$1,FALSE)))</f>
        <v>3033</v>
      </c>
      <c r="AD324" s="3" t="str">
        <f>IF(VLOOKUP($C324,'All Girls &amp; Descendants - Edit'!$C$2:$AK$440,'All Girls &amp; Descendants - Edit'!AD$1,FALSE)=""," - ",(VLOOKUP($C324,'All Girls &amp; Descendants - Edit'!$C$2:$AK$440,'All Girls &amp; Descendants - Edit'!AD$1,FALSE)))</f>
        <v>85aba</v>
      </c>
      <c r="AE324" s="3" t="str">
        <f>IF(VLOOKUP($C324,'All Girls &amp; Descendants - Edit'!$C$2:$AK$440,'All Girls &amp; Descendants - Edit'!AE$1,FALSE)=""," - ",(VLOOKUP($C324,'All Girls &amp; Descendants - Edit'!$C$2:$AK$440,'All Girls &amp; Descendants - Edit'!AE$1,FALSE)))</f>
        <v>Esme Grace G  LANE FOX (1998 - )</v>
      </c>
      <c r="AF324" s="3" t="str">
        <f>IF(VLOOKUP($C324,'All Girls &amp; Descendants - Edit'!$C$2:$AK$440,'All Girls &amp; Descendants - Edit'!AF$1,FALSE)=""," - ",(VLOOKUP($C324,'All Girls &amp; Descendants - Edit'!$C$2:$AK$440,'All Girls &amp; Descendants - Edit'!AF$1,FALSE)))</f>
        <v>Esme LANE FOX (8th &amp; 85)</v>
      </c>
      <c r="AG324" s="3" t="str">
        <f>IF(VLOOKUP($C324,'All Girls &amp; Descendants - Edit'!$C$2:$AK$440,'All Girls &amp; Descendants - Edit'!AG$1,FALSE)=""," - ",(VLOOKUP($C324,'All Girls &amp; Descendants - Edit'!$C$2:$AK$440,'All Girls &amp; Descendants - Edit'!AG$1,FALSE)))</f>
        <v>Female</v>
      </c>
      <c r="AH324" s="3" t="str">
        <f>IF(VLOOKUP($C324,'All Girls &amp; Descendants - Edit'!$C$2:$AK$440,'All Girls &amp; Descendants - Edit'!AH$1,FALSE)=""," - ",(VLOOKUP($C324,'All Girls &amp; Descendants - Edit'!$C$2:$AK$440,'All Girls &amp; Descendants - Edit'!AH$1,FALSE)))</f>
        <v>8th</v>
      </c>
      <c r="AI324" s="3" t="str">
        <f>IF(VLOOKUP($C324,'All Girls &amp; Descendants - Edit'!$C$2:$AK$440,'All Girls &amp; Descendants - Edit'!AI$1,FALSE)=""," - ",(VLOOKUP($C324,'All Girls &amp; Descendants - Edit'!$C$2:$AK$440,'All Girls &amp; Descendants - Edit'!AI$1,FALSE)))</f>
        <v>Unmarried</v>
      </c>
      <c r="AJ324" s="3" t="str">
        <f>IF(VLOOKUP($C324,'All Girls &amp; Descendants - Edit'!$C$2:$AK$440,'All Girls &amp; Descendants - Edit'!AJ$1,FALSE)=""," - ",(VLOOKUP($C324,'All Girls &amp; Descendants - Edit'!$C$2:$AK$440,'All Girls &amp; Descendants - Edit'!AJ$1,FALSE)))</f>
        <v>Female. b. 24/07/1998</v>
      </c>
      <c r="AK324" s="3" t="str">
        <f>IF(VLOOKUP($C324,'All Girls &amp; Descendants - Edit'!$C$2:$AK$440,'All Girls &amp; Descendants - Edit'!AK$1,FALSE)=""," - ",(VLOOKUP($C324,'All Girls &amp; Descendants - Edit'!$C$2:$AK$440,'All Girls &amp; Descendants - Edit'!AK$1,FALSE)))</f>
        <v>b. 24/07/1998</v>
      </c>
    </row>
    <row r="325" spans="1:37" ht="19">
      <c r="A325">
        <f>VLOOKUP(B325,'Loyd List 1-190 - Edit'!$P$1:$R$219,3,FALSE)</f>
        <v>56</v>
      </c>
      <c r="B325">
        <f>'All Girls &amp; Descendants - Edit'!B326</f>
        <v>85</v>
      </c>
      <c r="C325" s="98" t="str">
        <f>'All Girls &amp; Descendants - Edit'!C326</f>
        <v>85abb</v>
      </c>
      <c r="D325" s="2" t="str">
        <f>'All Girls &amp; Descendants - Edit'!D326</f>
        <v>LANE FOX</v>
      </c>
      <c r="E325" t="str">
        <f>'All Girls &amp; Descendants - Edit'!E326</f>
        <v>Georgia</v>
      </c>
      <c r="F325" t="str">
        <f>IF('All Girls &amp; Descendants - Edit'!F326="","",'All Girls &amp; Descendants - Edit'!F326)</f>
        <v>Rose</v>
      </c>
      <c r="G325" t="str">
        <f>IF('All Girls &amp; Descendants - Edit'!G326="","",'All Girls &amp; Descendants - Edit'!G326)</f>
        <v/>
      </c>
      <c r="H325" t="str">
        <f>IF('All Girls &amp; Descendants - Edit'!H326="","",'All Girls &amp; Descendants - Edit'!H326)</f>
        <v/>
      </c>
      <c r="I325">
        <f>VLOOKUP($C325,'All Girls &amp; Descendants - Edit'!$C$2:$AK$440,'All Girls &amp; Descendants - Edit'!I$1,FALSE)</f>
        <v>2000</v>
      </c>
      <c r="J325" t="str">
        <f>VLOOKUP($C325,'All Girls &amp; Descendants - Edit'!$C$2:$AK$440,'All Girls &amp; Descendants - Edit'!J$1,FALSE)</f>
        <v/>
      </c>
      <c r="K325" s="9"/>
      <c r="L325" t="str">
        <f t="shared" si="32"/>
        <v>23/06/2000</v>
      </c>
      <c r="M325" s="3">
        <f>VLOOKUP($C325,'All Girls &amp; Descendants - Edit'!$C$2:$AK$440,'All Girls &amp; Descendants - Edit'!M$1,FALSE)</f>
        <v>36700</v>
      </c>
      <c r="N325" s="3" t="str">
        <f>IF(VLOOKUP($C325,'All Girls &amp; Descendants - Edit'!$C$2:$AK$440,'All Girls &amp; Descendants - Edit'!N$1,FALSE)=""," - ",(VLOOKUP($C325,'All Girls &amp; Descendants - Edit'!$C$2:$AK$440,'All Girls &amp; Descendants - Edit'!N$1,FALSE)))</f>
        <v xml:space="preserve"> - </v>
      </c>
      <c r="O325" s="3" t="str">
        <f>IF(VLOOKUP($C325,'All Girls &amp; Descendants - Edit'!$C$2:$AK$440,'All Girls &amp; Descendants - Edit'!O$1,FALSE)="","",(VLOOKUP($C325,'All Girls &amp; Descendants - Edit'!$C$2:$AK$440,'All Girls &amp; Descendants - Edit'!O$1,FALSE)))</f>
        <v/>
      </c>
      <c r="P325" s="3" t="str">
        <f t="shared" si="33"/>
        <v/>
      </c>
      <c r="Q325" s="178" t="str">
        <f t="shared" si="34"/>
        <v>85ab</v>
      </c>
      <c r="R325" s="23"/>
      <c r="S325" t="str">
        <f>VLOOKUP($C325,'All Girls &amp; Descendants - Edit'!$C$2:$AK$440,'All Girls &amp; Descendants - Edit'!S$1,FALSE)</f>
        <v>Female</v>
      </c>
      <c r="T325" s="176">
        <f t="shared" si="38"/>
        <v>8</v>
      </c>
      <c r="U325" s="176">
        <f t="shared" si="35"/>
        <v>5</v>
      </c>
      <c r="V325" s="176">
        <f t="shared" si="36"/>
        <v>5</v>
      </c>
      <c r="W325" s="177">
        <f t="shared" si="37"/>
        <v>3</v>
      </c>
      <c r="X325" s="3" t="str">
        <f>IF(VLOOKUP($C325,'All Girls &amp; Descendants - Edit'!$C$2:$AK$440,'All Girls &amp; Descendants - Edit'!X$1,FALSE)=""," - ",(VLOOKUP($C325,'All Girls &amp; Descendants - Edit'!$C$2:$AK$440,'All Girls &amp; Descendants - Edit'!X$1,FALSE)))</f>
        <v xml:space="preserve"> - </v>
      </c>
      <c r="Y325" s="3" t="str">
        <f>IF(VLOOKUP($C325,'All Girls &amp; Descendants - Edit'!$C$2:$AK$440,'All Girls &amp; Descendants - Edit'!Y$1,FALSE)=""," - ",(VLOOKUP($C325,'All Girls &amp; Descendants - Edit'!$C$2:$AK$440,'All Girls &amp; Descendants - Edit'!Y$1,FALSE)))</f>
        <v xml:space="preserve"> - </v>
      </c>
      <c r="Z325" s="3" t="str">
        <f>IF(VLOOKUP($C325,'All Girls &amp; Descendants - Edit'!$C$2:$AK$440,'All Girls &amp; Descendants - Edit'!Z$1,FALSE)=""," - ",(VLOOKUP($C325,'All Girls &amp; Descendants - Edit'!$C$2:$AK$440,'All Girls &amp; Descendants - Edit'!Z$1,FALSE)))</f>
        <v xml:space="preserve"> - </v>
      </c>
      <c r="AA325" s="101">
        <f>IF(VLOOKUP($C325,'All Girls &amp; Descendants - Edit'!$C$2:$AK$440,'All Girls &amp; Descendants - Edit'!AA$1,FALSE)=""," - ",(VLOOKUP($C325,'All Girls &amp; Descendants - Edit'!$C$2:$AK$440,'All Girls &amp; Descendants - Edit'!AA$1,FALSE)))</f>
        <v>160</v>
      </c>
      <c r="AB325" s="101">
        <f>IF(VLOOKUP($C325,'All Girls &amp; Descendants - Edit'!$C$2:$AK$440,'All Girls &amp; Descendants - Edit'!AB$1,FALSE)=""," - ",(VLOOKUP($C325,'All Girls &amp; Descendants - Edit'!$C$2:$AK$440,'All Girls &amp; Descendants - Edit'!AB$1,FALSE)))</f>
        <v>34</v>
      </c>
      <c r="AC325" s="101">
        <f>IF(VLOOKUP($C325,'All Girls &amp; Descendants - Edit'!$C$2:$AK$440,'All Girls &amp; Descendants - Edit'!AC$1,FALSE)=""," - ",(VLOOKUP($C325,'All Girls &amp; Descendants - Edit'!$C$2:$AK$440,'All Girls &amp; Descendants - Edit'!AC$1,FALSE)))</f>
        <v>3034</v>
      </c>
      <c r="AD325" s="3" t="str">
        <f>IF(VLOOKUP($C325,'All Girls &amp; Descendants - Edit'!$C$2:$AK$440,'All Girls &amp; Descendants - Edit'!AD$1,FALSE)=""," - ",(VLOOKUP($C325,'All Girls &amp; Descendants - Edit'!$C$2:$AK$440,'All Girls &amp; Descendants - Edit'!AD$1,FALSE)))</f>
        <v>85abb</v>
      </c>
      <c r="AE325" s="3" t="str">
        <f>IF(VLOOKUP($C325,'All Girls &amp; Descendants - Edit'!$C$2:$AK$440,'All Girls &amp; Descendants - Edit'!AE$1,FALSE)=""," - ",(VLOOKUP($C325,'All Girls &amp; Descendants - Edit'!$C$2:$AK$440,'All Girls &amp; Descendants - Edit'!AE$1,FALSE)))</f>
        <v>Georgia Rose  LANE FOX (2000 - )</v>
      </c>
      <c r="AF325" s="3" t="str">
        <f>IF(VLOOKUP($C325,'All Girls &amp; Descendants - Edit'!$C$2:$AK$440,'All Girls &amp; Descendants - Edit'!AF$1,FALSE)=""," - ",(VLOOKUP($C325,'All Girls &amp; Descendants - Edit'!$C$2:$AK$440,'All Girls &amp; Descendants - Edit'!AF$1,FALSE)))</f>
        <v>Georgia LANE FOX (8th &amp; 85)</v>
      </c>
      <c r="AG325" s="3" t="str">
        <f>IF(VLOOKUP($C325,'All Girls &amp; Descendants - Edit'!$C$2:$AK$440,'All Girls &amp; Descendants - Edit'!AG$1,FALSE)=""," - ",(VLOOKUP($C325,'All Girls &amp; Descendants - Edit'!$C$2:$AK$440,'All Girls &amp; Descendants - Edit'!AG$1,FALSE)))</f>
        <v>Female</v>
      </c>
      <c r="AH325" s="3" t="str">
        <f>IF(VLOOKUP($C325,'All Girls &amp; Descendants - Edit'!$C$2:$AK$440,'All Girls &amp; Descendants - Edit'!AH$1,FALSE)=""," - ",(VLOOKUP($C325,'All Girls &amp; Descendants - Edit'!$C$2:$AK$440,'All Girls &amp; Descendants - Edit'!AH$1,FALSE)))</f>
        <v>8th</v>
      </c>
      <c r="AI325" s="3" t="str">
        <f>IF(VLOOKUP($C325,'All Girls &amp; Descendants - Edit'!$C$2:$AK$440,'All Girls &amp; Descendants - Edit'!AI$1,FALSE)=""," - ",(VLOOKUP($C325,'All Girls &amp; Descendants - Edit'!$C$2:$AK$440,'All Girls &amp; Descendants - Edit'!AI$1,FALSE)))</f>
        <v>Unmarried</v>
      </c>
      <c r="AJ325" s="3" t="str">
        <f>IF(VLOOKUP($C325,'All Girls &amp; Descendants - Edit'!$C$2:$AK$440,'All Girls &amp; Descendants - Edit'!AJ$1,FALSE)=""," - ",(VLOOKUP($C325,'All Girls &amp; Descendants - Edit'!$C$2:$AK$440,'All Girls &amp; Descendants - Edit'!AJ$1,FALSE)))</f>
        <v>Female. b. 23/06/2000</v>
      </c>
      <c r="AK325" s="3" t="str">
        <f>IF(VLOOKUP($C325,'All Girls &amp; Descendants - Edit'!$C$2:$AK$440,'All Girls &amp; Descendants - Edit'!AK$1,FALSE)=""," - ",(VLOOKUP($C325,'All Girls &amp; Descendants - Edit'!$C$2:$AK$440,'All Girls &amp; Descendants - Edit'!AK$1,FALSE)))</f>
        <v>b. 23/06/2000</v>
      </c>
    </row>
    <row r="326" spans="1:37" ht="19">
      <c r="A326">
        <f>VLOOKUP(B326,'Loyd List 1-190 - Edit'!$P$1:$R$219,3,FALSE)</f>
        <v>56</v>
      </c>
      <c r="B326">
        <f>'All Girls &amp; Descendants - Edit'!B327</f>
        <v>85</v>
      </c>
      <c r="C326" s="98" t="str">
        <f>'All Girls &amp; Descendants - Edit'!C327</f>
        <v>85bca</v>
      </c>
      <c r="D326" s="2" t="str">
        <f>'All Girls &amp; Descendants - Edit'!D327</f>
        <v>GASZTOWTT</v>
      </c>
      <c r="E326" t="str">
        <f>'All Girls &amp; Descendants - Edit'!E327</f>
        <v>Lily</v>
      </c>
      <c r="F326" t="str">
        <f>IF('All Girls &amp; Descendants - Edit'!F327="","",'All Girls &amp; Descendants - Edit'!F327)</f>
        <v>Joanna</v>
      </c>
      <c r="G326" t="str">
        <f>IF('All Girls &amp; Descendants - Edit'!G327="","",'All Girls &amp; Descendants - Edit'!G327)</f>
        <v/>
      </c>
      <c r="H326" t="str">
        <f>IF('All Girls &amp; Descendants - Edit'!H327="","",'All Girls &amp; Descendants - Edit'!H327)</f>
        <v/>
      </c>
      <c r="I326">
        <f>VLOOKUP($C326,'All Girls &amp; Descendants - Edit'!$C$2:$AK$440,'All Girls &amp; Descendants - Edit'!I$1,FALSE)</f>
        <v>1997</v>
      </c>
      <c r="J326" t="str">
        <f>VLOOKUP($C326,'All Girls &amp; Descendants - Edit'!$C$2:$AK$440,'All Girls &amp; Descendants - Edit'!J$1,FALSE)</f>
        <v/>
      </c>
      <c r="K326" s="9"/>
      <c r="L326" t="str">
        <f t="shared" si="32"/>
        <v>01/07/1997</v>
      </c>
      <c r="M326" s="3">
        <f>VLOOKUP($C326,'All Girls &amp; Descendants - Edit'!$C$2:$AK$440,'All Girls &amp; Descendants - Edit'!M$1,FALSE)</f>
        <v>35612</v>
      </c>
      <c r="N326" s="3" t="str">
        <f>IF(VLOOKUP($C326,'All Girls &amp; Descendants - Edit'!$C$2:$AK$440,'All Girls &amp; Descendants - Edit'!N$1,FALSE)=""," - ",(VLOOKUP($C326,'All Girls &amp; Descendants - Edit'!$C$2:$AK$440,'All Girls &amp; Descendants - Edit'!N$1,FALSE)))</f>
        <v xml:space="preserve"> - </v>
      </c>
      <c r="O326" s="3" t="str">
        <f>IF(VLOOKUP($C326,'All Girls &amp; Descendants - Edit'!$C$2:$AK$440,'All Girls &amp; Descendants - Edit'!O$1,FALSE)="","",(VLOOKUP($C326,'All Girls &amp; Descendants - Edit'!$C$2:$AK$440,'All Girls &amp; Descendants - Edit'!O$1,FALSE)))</f>
        <v/>
      </c>
      <c r="P326" s="3" t="str">
        <f t="shared" si="33"/>
        <v/>
      </c>
      <c r="Q326" s="178" t="str">
        <f t="shared" si="34"/>
        <v>85bc</v>
      </c>
      <c r="R326" s="23"/>
      <c r="S326" t="str">
        <f>VLOOKUP($C326,'All Girls &amp; Descendants - Edit'!$C$2:$AK$440,'All Girls &amp; Descendants - Edit'!S$1,FALSE)</f>
        <v>Female</v>
      </c>
      <c r="T326" s="176">
        <f t="shared" si="38"/>
        <v>8</v>
      </c>
      <c r="U326" s="176">
        <f t="shared" si="35"/>
        <v>5</v>
      </c>
      <c r="V326" s="176">
        <f t="shared" si="36"/>
        <v>5</v>
      </c>
      <c r="W326" s="177">
        <f t="shared" si="37"/>
        <v>3</v>
      </c>
      <c r="X326" s="3" t="str">
        <f>IF(VLOOKUP($C326,'All Girls &amp; Descendants - Edit'!$C$2:$AK$440,'All Girls &amp; Descendants - Edit'!X$1,FALSE)=""," - ",(VLOOKUP($C326,'All Girls &amp; Descendants - Edit'!$C$2:$AK$440,'All Girls &amp; Descendants - Edit'!X$1,FALSE)))</f>
        <v xml:space="preserve"> - </v>
      </c>
      <c r="Y326" s="3" t="str">
        <f>IF(VLOOKUP($C326,'All Girls &amp; Descendants - Edit'!$C$2:$AK$440,'All Girls &amp; Descendants - Edit'!Y$1,FALSE)=""," - ",(VLOOKUP($C326,'All Girls &amp; Descendants - Edit'!$C$2:$AK$440,'All Girls &amp; Descendants - Edit'!Y$1,FALSE)))</f>
        <v xml:space="preserve"> - </v>
      </c>
      <c r="Z326" s="3" t="str">
        <f>IF(VLOOKUP($C326,'All Girls &amp; Descendants - Edit'!$C$2:$AK$440,'All Girls &amp; Descendants - Edit'!Z$1,FALSE)=""," - ",(VLOOKUP($C326,'All Girls &amp; Descendants - Edit'!$C$2:$AK$440,'All Girls &amp; Descendants - Edit'!Z$1,FALSE)))</f>
        <v xml:space="preserve"> - </v>
      </c>
      <c r="AA326" s="101">
        <f>IF(VLOOKUP($C326,'All Girls &amp; Descendants - Edit'!$C$2:$AK$440,'All Girls &amp; Descendants - Edit'!AA$1,FALSE)=""," - ",(VLOOKUP($C326,'All Girls &amp; Descendants - Edit'!$C$2:$AK$440,'All Girls &amp; Descendants - Edit'!AA$1,FALSE)))</f>
        <v>166</v>
      </c>
      <c r="AB326" s="101">
        <f>IF(VLOOKUP($C326,'All Girls &amp; Descendants - Edit'!$C$2:$AK$440,'All Girls &amp; Descendants - Edit'!AB$1,FALSE)=""," - ",(VLOOKUP($C326,'All Girls &amp; Descendants - Edit'!$C$2:$AK$440,'All Girls &amp; Descendants - Edit'!AB$1,FALSE)))</f>
        <v>35</v>
      </c>
      <c r="AC326" s="101">
        <f>IF(VLOOKUP($C326,'All Girls &amp; Descendants - Edit'!$C$2:$AK$440,'All Girls &amp; Descendants - Edit'!AC$1,FALSE)=""," - ",(VLOOKUP($C326,'All Girls &amp; Descendants - Edit'!$C$2:$AK$440,'All Girls &amp; Descendants - Edit'!AC$1,FALSE)))</f>
        <v>3035</v>
      </c>
      <c r="AD326" s="3" t="str">
        <f>IF(VLOOKUP($C326,'All Girls &amp; Descendants - Edit'!$C$2:$AK$440,'All Girls &amp; Descendants - Edit'!AD$1,FALSE)=""," - ",(VLOOKUP($C326,'All Girls &amp; Descendants - Edit'!$C$2:$AK$440,'All Girls &amp; Descendants - Edit'!AD$1,FALSE)))</f>
        <v>85bca</v>
      </c>
      <c r="AE326" s="3" t="str">
        <f>IF(VLOOKUP($C326,'All Girls &amp; Descendants - Edit'!$C$2:$AK$440,'All Girls &amp; Descendants - Edit'!AE$1,FALSE)=""," - ",(VLOOKUP($C326,'All Girls &amp; Descendants - Edit'!$C$2:$AK$440,'All Girls &amp; Descendants - Edit'!AE$1,FALSE)))</f>
        <v>Lily Joanna  GASZTOWTT (1997 - )</v>
      </c>
      <c r="AF326" s="3" t="str">
        <f>IF(VLOOKUP($C326,'All Girls &amp; Descendants - Edit'!$C$2:$AK$440,'All Girls &amp; Descendants - Edit'!AF$1,FALSE)=""," - ",(VLOOKUP($C326,'All Girls &amp; Descendants - Edit'!$C$2:$AK$440,'All Girls &amp; Descendants - Edit'!AF$1,FALSE)))</f>
        <v>Lily GASZTOWTT (8th &amp; 85)</v>
      </c>
      <c r="AG326" s="3" t="str">
        <f>IF(VLOOKUP($C326,'All Girls &amp; Descendants - Edit'!$C$2:$AK$440,'All Girls &amp; Descendants - Edit'!AG$1,FALSE)=""," - ",(VLOOKUP($C326,'All Girls &amp; Descendants - Edit'!$C$2:$AK$440,'All Girls &amp; Descendants - Edit'!AG$1,FALSE)))</f>
        <v>Female</v>
      </c>
      <c r="AH326" s="3" t="str">
        <f>IF(VLOOKUP($C326,'All Girls &amp; Descendants - Edit'!$C$2:$AK$440,'All Girls &amp; Descendants - Edit'!AH$1,FALSE)=""," - ",(VLOOKUP($C326,'All Girls &amp; Descendants - Edit'!$C$2:$AK$440,'All Girls &amp; Descendants - Edit'!AH$1,FALSE)))</f>
        <v>8th</v>
      </c>
      <c r="AI326" s="3" t="str">
        <f>IF(VLOOKUP($C326,'All Girls &amp; Descendants - Edit'!$C$2:$AK$440,'All Girls &amp; Descendants - Edit'!AI$1,FALSE)=""," - ",(VLOOKUP($C326,'All Girls &amp; Descendants - Edit'!$C$2:$AK$440,'All Girls &amp; Descendants - Edit'!AI$1,FALSE)))</f>
        <v>Unmarried</v>
      </c>
      <c r="AJ326" s="3" t="str">
        <f>IF(VLOOKUP($C326,'All Girls &amp; Descendants - Edit'!$C$2:$AK$440,'All Girls &amp; Descendants - Edit'!AJ$1,FALSE)=""," - ",(VLOOKUP($C326,'All Girls &amp; Descendants - Edit'!$C$2:$AK$440,'All Girls &amp; Descendants - Edit'!AJ$1,FALSE)))</f>
        <v>Female. b. 01/07/1997</v>
      </c>
      <c r="AK326" s="3" t="str">
        <f>IF(VLOOKUP($C326,'All Girls &amp; Descendants - Edit'!$C$2:$AK$440,'All Girls &amp; Descendants - Edit'!AK$1,FALSE)=""," - ",(VLOOKUP($C326,'All Girls &amp; Descendants - Edit'!$C$2:$AK$440,'All Girls &amp; Descendants - Edit'!AK$1,FALSE)))</f>
        <v>b. 01/07/1997</v>
      </c>
    </row>
    <row r="327" spans="1:37" ht="19">
      <c r="A327">
        <f>VLOOKUP(B327,'Loyd List 1-190 - Edit'!$P$1:$R$219,3,FALSE)</f>
        <v>66</v>
      </c>
      <c r="B327">
        <f>'All Girls &amp; Descendants - Edit'!B328</f>
        <v>88</v>
      </c>
      <c r="C327" s="98" t="str">
        <f>'All Girls &amp; Descendants - Edit'!C328</f>
        <v>88aaa</v>
      </c>
      <c r="D327" s="2" t="str">
        <f>'All Girls &amp; Descendants - Edit'!D328</f>
        <v>HOLMAN-BAIRD</v>
      </c>
      <c r="E327" t="str">
        <f>'All Girls &amp; Descendants - Edit'!E328</f>
        <v>Louise</v>
      </c>
      <c r="F327" t="str">
        <f>IF('All Girls &amp; Descendants - Edit'!F328="","",'All Girls &amp; Descendants - Edit'!F328)</f>
        <v>Saragh</v>
      </c>
      <c r="G327" t="str">
        <f>IF('All Girls &amp; Descendants - Edit'!G328="","",'All Girls &amp; Descendants - Edit'!G328)</f>
        <v/>
      </c>
      <c r="H327" t="str">
        <f>IF('All Girls &amp; Descendants - Edit'!H328="","",'All Girls &amp; Descendants - Edit'!H328)</f>
        <v/>
      </c>
      <c r="I327">
        <f>VLOOKUP($C327,'All Girls &amp; Descendants - Edit'!$C$2:$AK$440,'All Girls &amp; Descendants - Edit'!I$1,FALSE)</f>
        <v>1986</v>
      </c>
      <c r="J327" t="str">
        <f>VLOOKUP($C327,'All Girls &amp; Descendants - Edit'!$C$2:$AK$440,'All Girls &amp; Descendants - Edit'!J$1,FALSE)</f>
        <v/>
      </c>
      <c r="K327" s="9"/>
      <c r="L327" t="str">
        <f t="shared" si="32"/>
        <v>31/12/1986</v>
      </c>
      <c r="M327" s="3" t="str">
        <f>VLOOKUP($C327,'All Girls &amp; Descendants - Edit'!$C$2:$AK$440,'All Girls &amp; Descendants - Edit'!M$1,FALSE)</f>
        <v>31/12/1986</v>
      </c>
      <c r="N327" s="3" t="str">
        <f>IF(VLOOKUP($C327,'All Girls &amp; Descendants - Edit'!$C$2:$AK$440,'All Girls &amp; Descendants - Edit'!N$1,FALSE)=""," - ",(VLOOKUP($C327,'All Girls &amp; Descendants - Edit'!$C$2:$AK$440,'All Girls &amp; Descendants - Edit'!N$1,FALSE)))</f>
        <v xml:space="preserve"> - </v>
      </c>
      <c r="O327" s="3" t="str">
        <f>IF(VLOOKUP($C327,'All Girls &amp; Descendants - Edit'!$C$2:$AK$440,'All Girls &amp; Descendants - Edit'!O$1,FALSE)="","",(VLOOKUP($C327,'All Girls &amp; Descendants - Edit'!$C$2:$AK$440,'All Girls &amp; Descendants - Edit'!O$1,FALSE)))</f>
        <v/>
      </c>
      <c r="P327" s="3" t="str">
        <f t="shared" si="33"/>
        <v/>
      </c>
      <c r="Q327" s="178" t="str">
        <f t="shared" si="34"/>
        <v>88aa</v>
      </c>
      <c r="R327" s="23"/>
      <c r="S327" t="str">
        <f>VLOOKUP($C327,'All Girls &amp; Descendants - Edit'!$C$2:$AK$440,'All Girls &amp; Descendants - Edit'!S$1,FALSE)</f>
        <v>Female</v>
      </c>
      <c r="T327" s="176">
        <f t="shared" si="38"/>
        <v>8</v>
      </c>
      <c r="U327" s="176">
        <f t="shared" si="35"/>
        <v>5</v>
      </c>
      <c r="V327" s="176">
        <f t="shared" si="36"/>
        <v>5</v>
      </c>
      <c r="W327" s="177">
        <f t="shared" si="37"/>
        <v>3</v>
      </c>
      <c r="X327" s="3" t="str">
        <f>IF(VLOOKUP($C327,'All Girls &amp; Descendants - Edit'!$C$2:$AK$440,'All Girls &amp; Descendants - Edit'!X$1,FALSE)=""," - ",(VLOOKUP($C327,'All Girls &amp; Descendants - Edit'!$C$2:$AK$440,'All Girls &amp; Descendants - Edit'!X$1,FALSE)))</f>
        <v>Christopher MURRAY</v>
      </c>
      <c r="Y327" s="3" t="str">
        <f>IF(VLOOKUP($C327,'All Girls &amp; Descendants - Edit'!$C$2:$AK$440,'All Girls &amp; Descendants - Edit'!Y$1,FALSE)=""," - ",(VLOOKUP($C327,'All Girls &amp; Descendants - Edit'!$C$2:$AK$440,'All Girls &amp; Descendants - Edit'!Y$1,FALSE)))</f>
        <v>Married Christopher at Nanyki, Kenya.</v>
      </c>
      <c r="Z327" s="3" t="str">
        <f>IF(VLOOKUP($C327,'All Girls &amp; Descendants - Edit'!$C$2:$AK$440,'All Girls &amp; Descendants - Edit'!Z$1,FALSE)=""," - ",(VLOOKUP($C327,'All Girls &amp; Descendants - Edit'!$C$2:$AK$440,'All Girls &amp; Descendants - Edit'!Z$1,FALSE)))</f>
        <v>Born in Aberdeen, baptised  at Banchory.</v>
      </c>
      <c r="AA327" s="101">
        <f>IF(VLOOKUP($C327,'All Girls &amp; Descendants - Edit'!$C$2:$AK$440,'All Girls &amp; Descendants - Edit'!AA$1,FALSE)=""," - ",(VLOOKUP($C327,'All Girls &amp; Descendants - Edit'!$C$2:$AK$440,'All Girls &amp; Descendants - Edit'!AA$1,FALSE)))</f>
        <v>176</v>
      </c>
      <c r="AB327" s="101">
        <f>IF(VLOOKUP($C327,'All Girls &amp; Descendants - Edit'!$C$2:$AK$440,'All Girls &amp; Descendants - Edit'!AB$1,FALSE)=""," - ",(VLOOKUP($C327,'All Girls &amp; Descendants - Edit'!$C$2:$AK$440,'All Girls &amp; Descendants - Edit'!AB$1,FALSE)))</f>
        <v>36</v>
      </c>
      <c r="AC327" s="101">
        <f>IF(VLOOKUP($C327,'All Girls &amp; Descendants - Edit'!$C$2:$AK$440,'All Girls &amp; Descendants - Edit'!AC$1,FALSE)=""," - ",(VLOOKUP($C327,'All Girls &amp; Descendants - Edit'!$C$2:$AK$440,'All Girls &amp; Descendants - Edit'!AC$1,FALSE)))</f>
        <v>3036</v>
      </c>
      <c r="AD327" s="3" t="str">
        <f>IF(VLOOKUP($C327,'All Girls &amp; Descendants - Edit'!$C$2:$AK$440,'All Girls &amp; Descendants - Edit'!AD$1,FALSE)=""," - ",(VLOOKUP($C327,'All Girls &amp; Descendants - Edit'!$C$2:$AK$440,'All Girls &amp; Descendants - Edit'!AD$1,FALSE)))</f>
        <v>88aaa</v>
      </c>
      <c r="AE327" s="3" t="str">
        <f>IF(VLOOKUP($C327,'All Girls &amp; Descendants - Edit'!$C$2:$AK$440,'All Girls &amp; Descendants - Edit'!AE$1,FALSE)=""," - ",(VLOOKUP($C327,'All Girls &amp; Descendants - Edit'!$C$2:$AK$440,'All Girls &amp; Descendants - Edit'!AE$1,FALSE)))</f>
        <v>Louise Saragh  HOLMAN-BAIRD (1986 - )</v>
      </c>
      <c r="AF327" s="3" t="str">
        <f>IF(VLOOKUP($C327,'All Girls &amp; Descendants - Edit'!$C$2:$AK$440,'All Girls &amp; Descendants - Edit'!AF$1,FALSE)=""," - ",(VLOOKUP($C327,'All Girls &amp; Descendants - Edit'!$C$2:$AK$440,'All Girls &amp; Descendants - Edit'!AF$1,FALSE)))</f>
        <v>Louise HOLMAN-BAIRD (8th &amp; 88)</v>
      </c>
      <c r="AG327" s="3" t="str">
        <f>IF(VLOOKUP($C327,'All Girls &amp; Descendants - Edit'!$C$2:$AK$440,'All Girls &amp; Descendants - Edit'!AG$1,FALSE)=""," - ",(VLOOKUP($C327,'All Girls &amp; Descendants - Edit'!$C$2:$AK$440,'All Girls &amp; Descendants - Edit'!AG$1,FALSE)))</f>
        <v>Female</v>
      </c>
      <c r="AH327" s="3" t="str">
        <f>IF(VLOOKUP($C327,'All Girls &amp; Descendants - Edit'!$C$2:$AK$440,'All Girls &amp; Descendants - Edit'!AH$1,FALSE)=""," - ",(VLOOKUP($C327,'All Girls &amp; Descendants - Edit'!$C$2:$AK$440,'All Girls &amp; Descendants - Edit'!AH$1,FALSE)))</f>
        <v>8th</v>
      </c>
      <c r="AI327" s="3" t="str">
        <f>IF(VLOOKUP($C327,'All Girls &amp; Descendants - Edit'!$C$2:$AK$440,'All Girls &amp; Descendants - Edit'!AI$1,FALSE)=""," - ",(VLOOKUP($C327,'All Girls &amp; Descendants - Edit'!$C$2:$AK$440,'All Girls &amp; Descendants - Edit'!AI$1,FALSE)))</f>
        <v>Husband: Christopher MURRAY. Married Christopher at Nanyki, Kenya.</v>
      </c>
      <c r="AJ327" s="3" t="str">
        <f>IF(VLOOKUP($C327,'All Girls &amp; Descendants - Edit'!$C$2:$AK$440,'All Girls &amp; Descendants - Edit'!AJ$1,FALSE)=""," - ",(VLOOKUP($C327,'All Girls &amp; Descendants - Edit'!$C$2:$AK$440,'All Girls &amp; Descendants - Edit'!AJ$1,FALSE)))</f>
        <v>Female. b. 31/12/1986 Born in Aberdeen, baptised  at Banchory.</v>
      </c>
      <c r="AK327" s="3" t="str">
        <f>IF(VLOOKUP($C327,'All Girls &amp; Descendants - Edit'!$C$2:$AK$440,'All Girls &amp; Descendants - Edit'!AK$1,FALSE)=""," - ",(VLOOKUP($C327,'All Girls &amp; Descendants - Edit'!$C$2:$AK$440,'All Girls &amp; Descendants - Edit'!AK$1,FALSE)))</f>
        <v>b. 31/12/1986</v>
      </c>
    </row>
    <row r="328" spans="1:37" ht="19">
      <c r="A328">
        <f>VLOOKUP(B328,'Loyd List 1-190 - Edit'!$P$1:$R$219,3,FALSE)</f>
        <v>66</v>
      </c>
      <c r="B328">
        <f>'All Girls &amp; Descendants - Edit'!B329</f>
        <v>88</v>
      </c>
      <c r="C328" s="98" t="str">
        <f>'All Girls &amp; Descendants - Edit'!C329</f>
        <v>88aab</v>
      </c>
      <c r="D328" s="2" t="str">
        <f>'All Girls &amp; Descendants - Edit'!D329</f>
        <v>HOLMAN-BAIRD</v>
      </c>
      <c r="E328" t="str">
        <f>'All Girls &amp; Descendants - Edit'!E329</f>
        <v>Angus</v>
      </c>
      <c r="F328" t="str">
        <f>IF('All Girls &amp; Descendants - Edit'!F329="","",'All Girls &amp; Descendants - Edit'!F329)</f>
        <v>John</v>
      </c>
      <c r="G328" t="str">
        <f>IF('All Girls &amp; Descendants - Edit'!G329="","",'All Girls &amp; Descendants - Edit'!G329)</f>
        <v/>
      </c>
      <c r="H328" t="str">
        <f>IF('All Girls &amp; Descendants - Edit'!H329="","",'All Girls &amp; Descendants - Edit'!H329)</f>
        <v/>
      </c>
      <c r="I328">
        <f>VLOOKUP($C328,'All Girls &amp; Descendants - Edit'!$C$2:$AK$440,'All Girls &amp; Descendants - Edit'!I$1,FALSE)</f>
        <v>1997</v>
      </c>
      <c r="J328" t="str">
        <f>VLOOKUP($C328,'All Girls &amp; Descendants - Edit'!$C$2:$AK$440,'All Girls &amp; Descendants - Edit'!J$1,FALSE)</f>
        <v/>
      </c>
      <c r="K328" s="9"/>
      <c r="L328" t="str">
        <f t="shared" si="32"/>
        <v>14/01/1997</v>
      </c>
      <c r="M328" s="3">
        <f>VLOOKUP($C328,'All Girls &amp; Descendants - Edit'!$C$2:$AK$440,'All Girls &amp; Descendants - Edit'!M$1,FALSE)</f>
        <v>35444</v>
      </c>
      <c r="N328" s="3" t="str">
        <f>IF(VLOOKUP($C328,'All Girls &amp; Descendants - Edit'!$C$2:$AK$440,'All Girls &amp; Descendants - Edit'!N$1,FALSE)=""," - ",(VLOOKUP($C328,'All Girls &amp; Descendants - Edit'!$C$2:$AK$440,'All Girls &amp; Descendants - Edit'!N$1,FALSE)))</f>
        <v xml:space="preserve"> - </v>
      </c>
      <c r="O328" s="3" t="str">
        <f>IF(VLOOKUP($C328,'All Girls &amp; Descendants - Edit'!$C$2:$AK$440,'All Girls &amp; Descendants - Edit'!O$1,FALSE)="","",(VLOOKUP($C328,'All Girls &amp; Descendants - Edit'!$C$2:$AK$440,'All Girls &amp; Descendants - Edit'!O$1,FALSE)))</f>
        <v/>
      </c>
      <c r="P328" s="3" t="str">
        <f t="shared" si="33"/>
        <v/>
      </c>
      <c r="Q328" s="178" t="str">
        <f t="shared" si="34"/>
        <v>88aa</v>
      </c>
      <c r="R328" s="23"/>
      <c r="S328" t="str">
        <f>VLOOKUP($C328,'All Girls &amp; Descendants - Edit'!$C$2:$AK$440,'All Girls &amp; Descendants - Edit'!S$1,FALSE)</f>
        <v>Male</v>
      </c>
      <c r="T328" s="176">
        <f t="shared" si="38"/>
        <v>8</v>
      </c>
      <c r="U328" s="176">
        <f t="shared" si="35"/>
        <v>5</v>
      </c>
      <c r="V328" s="176">
        <f t="shared" si="36"/>
        <v>5</v>
      </c>
      <c r="W328" s="177">
        <f t="shared" si="37"/>
        <v>3</v>
      </c>
      <c r="X328" s="3" t="str">
        <f>IF(VLOOKUP($C328,'All Girls &amp; Descendants - Edit'!$C$2:$AK$440,'All Girls &amp; Descendants - Edit'!X$1,FALSE)=""," - ",(VLOOKUP($C328,'All Girls &amp; Descendants - Edit'!$C$2:$AK$440,'All Girls &amp; Descendants - Edit'!X$1,FALSE)))</f>
        <v xml:space="preserve"> - </v>
      </c>
      <c r="Y328" s="3" t="str">
        <f>IF(VLOOKUP($C328,'All Girls &amp; Descendants - Edit'!$C$2:$AK$440,'All Girls &amp; Descendants - Edit'!Y$1,FALSE)=""," - ",(VLOOKUP($C328,'All Girls &amp; Descendants - Edit'!$C$2:$AK$440,'All Girls &amp; Descendants - Edit'!Y$1,FALSE)))</f>
        <v xml:space="preserve"> - </v>
      </c>
      <c r="Z328" s="3" t="str">
        <f>IF(VLOOKUP($C328,'All Girls &amp; Descendants - Edit'!$C$2:$AK$440,'All Girls &amp; Descendants - Edit'!Z$1,FALSE)=""," - ",(VLOOKUP($C328,'All Girls &amp; Descendants - Edit'!$C$2:$AK$440,'All Girls &amp; Descendants - Edit'!Z$1,FALSE)))</f>
        <v>Baptised at Banchory.</v>
      </c>
      <c r="AA328" s="101">
        <f>IF(VLOOKUP($C328,'All Girls &amp; Descendants - Edit'!$C$2:$AK$440,'All Girls &amp; Descendants - Edit'!AA$1,FALSE)=""," - ",(VLOOKUP($C328,'All Girls &amp; Descendants - Edit'!$C$2:$AK$440,'All Girls &amp; Descendants - Edit'!AA$1,FALSE)))</f>
        <v>177</v>
      </c>
      <c r="AB328" s="101">
        <f>IF(VLOOKUP($C328,'All Girls &amp; Descendants - Edit'!$C$2:$AK$440,'All Girls &amp; Descendants - Edit'!AB$1,FALSE)=""," - ",(VLOOKUP($C328,'All Girls &amp; Descendants - Edit'!$C$2:$AK$440,'All Girls &amp; Descendants - Edit'!AB$1,FALSE)))</f>
        <v>37</v>
      </c>
      <c r="AC328" s="101">
        <f>IF(VLOOKUP($C328,'All Girls &amp; Descendants - Edit'!$C$2:$AK$440,'All Girls &amp; Descendants - Edit'!AC$1,FALSE)=""," - ",(VLOOKUP($C328,'All Girls &amp; Descendants - Edit'!$C$2:$AK$440,'All Girls &amp; Descendants - Edit'!AC$1,FALSE)))</f>
        <v>3037</v>
      </c>
      <c r="AD328" s="3" t="str">
        <f>IF(VLOOKUP($C328,'All Girls &amp; Descendants - Edit'!$C$2:$AK$440,'All Girls &amp; Descendants - Edit'!AD$1,FALSE)=""," - ",(VLOOKUP($C328,'All Girls &amp; Descendants - Edit'!$C$2:$AK$440,'All Girls &amp; Descendants - Edit'!AD$1,FALSE)))</f>
        <v>88aab</v>
      </c>
      <c r="AE328" s="3" t="str">
        <f>IF(VLOOKUP($C328,'All Girls &amp; Descendants - Edit'!$C$2:$AK$440,'All Girls &amp; Descendants - Edit'!AE$1,FALSE)=""," - ",(VLOOKUP($C328,'All Girls &amp; Descendants - Edit'!$C$2:$AK$440,'All Girls &amp; Descendants - Edit'!AE$1,FALSE)))</f>
        <v>Angus John  HOLMAN-BAIRD (1997 - )</v>
      </c>
      <c r="AF328" s="3" t="str">
        <f>IF(VLOOKUP($C328,'All Girls &amp; Descendants - Edit'!$C$2:$AK$440,'All Girls &amp; Descendants - Edit'!AF$1,FALSE)=""," - ",(VLOOKUP($C328,'All Girls &amp; Descendants - Edit'!$C$2:$AK$440,'All Girls &amp; Descendants - Edit'!AF$1,FALSE)))</f>
        <v>Angus HOLMAN-BAIRD (8th &amp; 88)</v>
      </c>
      <c r="AG328" s="3" t="str">
        <f>IF(VLOOKUP($C328,'All Girls &amp; Descendants - Edit'!$C$2:$AK$440,'All Girls &amp; Descendants - Edit'!AG$1,FALSE)=""," - ",(VLOOKUP($C328,'All Girls &amp; Descendants - Edit'!$C$2:$AK$440,'All Girls &amp; Descendants - Edit'!AG$1,FALSE)))</f>
        <v>Male</v>
      </c>
      <c r="AH328" s="3" t="str">
        <f>IF(VLOOKUP($C328,'All Girls &amp; Descendants - Edit'!$C$2:$AK$440,'All Girls &amp; Descendants - Edit'!AH$1,FALSE)=""," - ",(VLOOKUP($C328,'All Girls &amp; Descendants - Edit'!$C$2:$AK$440,'All Girls &amp; Descendants - Edit'!AH$1,FALSE)))</f>
        <v>8th</v>
      </c>
      <c r="AI328" s="3" t="str">
        <f>IF(VLOOKUP($C328,'All Girls &amp; Descendants - Edit'!$C$2:$AK$440,'All Girls &amp; Descendants - Edit'!AI$1,FALSE)=""," - ",(VLOOKUP($C328,'All Girls &amp; Descendants - Edit'!$C$2:$AK$440,'All Girls &amp; Descendants - Edit'!AI$1,FALSE)))</f>
        <v>Unmarried</v>
      </c>
      <c r="AJ328" s="3" t="str">
        <f>IF(VLOOKUP($C328,'All Girls &amp; Descendants - Edit'!$C$2:$AK$440,'All Girls &amp; Descendants - Edit'!AJ$1,FALSE)=""," - ",(VLOOKUP($C328,'All Girls &amp; Descendants - Edit'!$C$2:$AK$440,'All Girls &amp; Descendants - Edit'!AJ$1,FALSE)))</f>
        <v>Male. b. 14/01/1997 Baptised at Banchory.</v>
      </c>
      <c r="AK328" s="3" t="str">
        <f>IF(VLOOKUP($C328,'All Girls &amp; Descendants - Edit'!$C$2:$AK$440,'All Girls &amp; Descendants - Edit'!AK$1,FALSE)=""," - ",(VLOOKUP($C328,'All Girls &amp; Descendants - Edit'!$C$2:$AK$440,'All Girls &amp; Descendants - Edit'!AK$1,FALSE)))</f>
        <v>b. 14/01/1997</v>
      </c>
    </row>
    <row r="329" spans="1:37" ht="19">
      <c r="A329">
        <f>VLOOKUP(B329,'Loyd List 1-190 - Edit'!$P$1:$R$219,3,FALSE)</f>
        <v>66</v>
      </c>
      <c r="B329">
        <f>'All Girls &amp; Descendants - Edit'!B330</f>
        <v>88</v>
      </c>
      <c r="C329" s="98" t="str">
        <f>'All Girls &amp; Descendants - Edit'!C330</f>
        <v>88aac</v>
      </c>
      <c r="D329" s="2" t="str">
        <f>'All Girls &amp; Descendants - Edit'!D330</f>
        <v>HOLMAN-BAIRD</v>
      </c>
      <c r="E329" t="str">
        <f>'All Girls &amp; Descendants - Edit'!E330</f>
        <v>Amelia</v>
      </c>
      <c r="F329" t="str">
        <f>IF('All Girls &amp; Descendants - Edit'!F330="","",'All Girls &amp; Descendants - Edit'!F330)</f>
        <v>Jo</v>
      </c>
      <c r="G329" t="str">
        <f>IF('All Girls &amp; Descendants - Edit'!G330="","",'All Girls &amp; Descendants - Edit'!G330)</f>
        <v/>
      </c>
      <c r="H329" t="str">
        <f>IF('All Girls &amp; Descendants - Edit'!H330="","",'All Girls &amp; Descendants - Edit'!H330)</f>
        <v/>
      </c>
      <c r="I329">
        <f>VLOOKUP($C329,'All Girls &amp; Descendants - Edit'!$C$2:$AK$440,'All Girls &amp; Descendants - Edit'!I$1,FALSE)</f>
        <v>1998</v>
      </c>
      <c r="J329" t="str">
        <f>VLOOKUP($C329,'All Girls &amp; Descendants - Edit'!$C$2:$AK$440,'All Girls &amp; Descendants - Edit'!J$1,FALSE)</f>
        <v/>
      </c>
      <c r="K329" s="9"/>
      <c r="L329" t="str">
        <f t="shared" ref="L329:L394" si="39">IF(M329="","",TEXT(M329,"dd/mm/yyyy"))</f>
        <v>29/12/1998</v>
      </c>
      <c r="M329" s="3">
        <f>VLOOKUP($C329,'All Girls &amp; Descendants - Edit'!$C$2:$AK$440,'All Girls &amp; Descendants - Edit'!M$1,FALSE)</f>
        <v>36158</v>
      </c>
      <c r="N329" s="3" t="str">
        <f>IF(VLOOKUP($C329,'All Girls &amp; Descendants - Edit'!$C$2:$AK$440,'All Girls &amp; Descendants - Edit'!N$1,FALSE)=""," - ",(VLOOKUP($C329,'All Girls &amp; Descendants - Edit'!$C$2:$AK$440,'All Girls &amp; Descendants - Edit'!N$1,FALSE)))</f>
        <v xml:space="preserve"> - </v>
      </c>
      <c r="O329" s="3" t="str">
        <f>IF(VLOOKUP($C329,'All Girls &amp; Descendants - Edit'!$C$2:$AK$440,'All Girls &amp; Descendants - Edit'!O$1,FALSE)="","",(VLOOKUP($C329,'All Girls &amp; Descendants - Edit'!$C$2:$AK$440,'All Girls &amp; Descendants - Edit'!O$1,FALSE)))</f>
        <v/>
      </c>
      <c r="P329" s="3" t="str">
        <f t="shared" ref="P329:P394" si="40">IF(O329="","",TEXT(O329,"dd/mm/yyyy"))</f>
        <v/>
      </c>
      <c r="Q329" s="178" t="str">
        <f t="shared" ref="Q329:Q394" si="41">MID(C329,1,LEN(C329)-1)</f>
        <v>88aa</v>
      </c>
      <c r="R329" s="23"/>
      <c r="S329" t="str">
        <f>VLOOKUP($C329,'All Girls &amp; Descendants - Edit'!$C$2:$AK$440,'All Girls &amp; Descendants - Edit'!S$1,FALSE)</f>
        <v>Female</v>
      </c>
      <c r="T329" s="176">
        <f t="shared" si="38"/>
        <v>8</v>
      </c>
      <c r="U329" s="176">
        <f t="shared" ref="U329:U394" si="42">LEN(C329)</f>
        <v>5</v>
      </c>
      <c r="V329" s="176">
        <f t="shared" ref="V329:V394" si="43">VLOOKUP(B329,Generation,2,FALSE)</f>
        <v>5</v>
      </c>
      <c r="W329" s="177">
        <f t="shared" ref="W329:W394" si="44">IF(LEN(C329)-IF(B329&lt;10,1,IF(AND(B329&gt;9,B329&lt;100),2,3))=1,1,IF(LEN(C329)-IF(B329&lt;10,1,IF(AND(B329&gt;9,B329&lt;100),2,3))=0,"SELF",LEN(C329)-IF(B329&lt;10,1,IF(AND(B329&gt;9,B329&lt;100),2,3))))</f>
        <v>3</v>
      </c>
      <c r="X329" s="3" t="str">
        <f>IF(VLOOKUP($C329,'All Girls &amp; Descendants - Edit'!$C$2:$AK$440,'All Girls &amp; Descendants - Edit'!X$1,FALSE)=""," - ",(VLOOKUP($C329,'All Girls &amp; Descendants - Edit'!$C$2:$AK$440,'All Girls &amp; Descendants - Edit'!X$1,FALSE)))</f>
        <v xml:space="preserve"> - </v>
      </c>
      <c r="Y329" s="3" t="str">
        <f>IF(VLOOKUP($C329,'All Girls &amp; Descendants - Edit'!$C$2:$AK$440,'All Girls &amp; Descendants - Edit'!Y$1,FALSE)=""," - ",(VLOOKUP($C329,'All Girls &amp; Descendants - Edit'!$C$2:$AK$440,'All Girls &amp; Descendants - Edit'!Y$1,FALSE)))</f>
        <v xml:space="preserve"> - </v>
      </c>
      <c r="Z329" s="3" t="str">
        <f>IF(VLOOKUP($C329,'All Girls &amp; Descendants - Edit'!$C$2:$AK$440,'All Girls &amp; Descendants - Edit'!Z$1,FALSE)=""," - ",(VLOOKUP($C329,'All Girls &amp; Descendants - Edit'!$C$2:$AK$440,'All Girls &amp; Descendants - Edit'!Z$1,FALSE)))</f>
        <v>Baptised at Banchory.</v>
      </c>
      <c r="AA329" s="101">
        <f>IF(VLOOKUP($C329,'All Girls &amp; Descendants - Edit'!$C$2:$AK$440,'All Girls &amp; Descendants - Edit'!AA$1,FALSE)=""," - ",(VLOOKUP($C329,'All Girls &amp; Descendants - Edit'!$C$2:$AK$440,'All Girls &amp; Descendants - Edit'!AA$1,FALSE)))</f>
        <v>178</v>
      </c>
      <c r="AB329" s="101">
        <f>IF(VLOOKUP($C329,'All Girls &amp; Descendants - Edit'!$C$2:$AK$440,'All Girls &amp; Descendants - Edit'!AB$1,FALSE)=""," - ",(VLOOKUP($C329,'All Girls &amp; Descendants - Edit'!$C$2:$AK$440,'All Girls &amp; Descendants - Edit'!AB$1,FALSE)))</f>
        <v>38</v>
      </c>
      <c r="AC329" s="101">
        <f>IF(VLOOKUP($C329,'All Girls &amp; Descendants - Edit'!$C$2:$AK$440,'All Girls &amp; Descendants - Edit'!AC$1,FALSE)=""," - ",(VLOOKUP($C329,'All Girls &amp; Descendants - Edit'!$C$2:$AK$440,'All Girls &amp; Descendants - Edit'!AC$1,FALSE)))</f>
        <v>3038</v>
      </c>
      <c r="AD329" s="3" t="str">
        <f>IF(VLOOKUP($C329,'All Girls &amp; Descendants - Edit'!$C$2:$AK$440,'All Girls &amp; Descendants - Edit'!AD$1,FALSE)=""," - ",(VLOOKUP($C329,'All Girls &amp; Descendants - Edit'!$C$2:$AK$440,'All Girls &amp; Descendants - Edit'!AD$1,FALSE)))</f>
        <v>88aac</v>
      </c>
      <c r="AE329" s="3" t="str">
        <f>IF(VLOOKUP($C329,'All Girls &amp; Descendants - Edit'!$C$2:$AK$440,'All Girls &amp; Descendants - Edit'!AE$1,FALSE)=""," - ",(VLOOKUP($C329,'All Girls &amp; Descendants - Edit'!$C$2:$AK$440,'All Girls &amp; Descendants - Edit'!AE$1,FALSE)))</f>
        <v>Amelia Jo  HOLMAN-BAIRD (1998 - )</v>
      </c>
      <c r="AF329" s="3" t="str">
        <f>IF(VLOOKUP($C329,'All Girls &amp; Descendants - Edit'!$C$2:$AK$440,'All Girls &amp; Descendants - Edit'!AF$1,FALSE)=""," - ",(VLOOKUP($C329,'All Girls &amp; Descendants - Edit'!$C$2:$AK$440,'All Girls &amp; Descendants - Edit'!AF$1,FALSE)))</f>
        <v>Amelia HOLMAN-BAIRD (8th &amp; 88)</v>
      </c>
      <c r="AG329" s="3" t="str">
        <f>IF(VLOOKUP($C329,'All Girls &amp; Descendants - Edit'!$C$2:$AK$440,'All Girls &amp; Descendants - Edit'!AG$1,FALSE)=""," - ",(VLOOKUP($C329,'All Girls &amp; Descendants - Edit'!$C$2:$AK$440,'All Girls &amp; Descendants - Edit'!AG$1,FALSE)))</f>
        <v>Female</v>
      </c>
      <c r="AH329" s="3" t="str">
        <f>IF(VLOOKUP($C329,'All Girls &amp; Descendants - Edit'!$C$2:$AK$440,'All Girls &amp; Descendants - Edit'!AH$1,FALSE)=""," - ",(VLOOKUP($C329,'All Girls &amp; Descendants - Edit'!$C$2:$AK$440,'All Girls &amp; Descendants - Edit'!AH$1,FALSE)))</f>
        <v>8th</v>
      </c>
      <c r="AI329" s="3" t="str">
        <f>IF(VLOOKUP($C329,'All Girls &amp; Descendants - Edit'!$C$2:$AK$440,'All Girls &amp; Descendants - Edit'!AI$1,FALSE)=""," - ",(VLOOKUP($C329,'All Girls &amp; Descendants - Edit'!$C$2:$AK$440,'All Girls &amp; Descendants - Edit'!AI$1,FALSE)))</f>
        <v>Unmarried</v>
      </c>
      <c r="AJ329" s="3" t="str">
        <f>IF(VLOOKUP($C329,'All Girls &amp; Descendants - Edit'!$C$2:$AK$440,'All Girls &amp; Descendants - Edit'!AJ$1,FALSE)=""," - ",(VLOOKUP($C329,'All Girls &amp; Descendants - Edit'!$C$2:$AK$440,'All Girls &amp; Descendants - Edit'!AJ$1,FALSE)))</f>
        <v>Female. b. 29/12/1998 Baptised at Banchory.</v>
      </c>
      <c r="AK329" s="3" t="str">
        <f>IF(VLOOKUP($C329,'All Girls &amp; Descendants - Edit'!$C$2:$AK$440,'All Girls &amp; Descendants - Edit'!AK$1,FALSE)=""," - ",(VLOOKUP($C329,'All Girls &amp; Descendants - Edit'!$C$2:$AK$440,'All Girls &amp; Descendants - Edit'!AK$1,FALSE)))</f>
        <v>b. 29/12/1998</v>
      </c>
    </row>
    <row r="330" spans="1:37" ht="19">
      <c r="A330">
        <f>VLOOKUP(B330,'Loyd List 1-190 - Edit'!$P$1:$R$219,3,FALSE)</f>
        <v>66</v>
      </c>
      <c r="B330">
        <f>'All Girls &amp; Descendants - Edit'!B331</f>
        <v>88</v>
      </c>
      <c r="C330" s="98" t="str">
        <f>'All Girls &amp; Descendants - Edit'!C331</f>
        <v>88aca</v>
      </c>
      <c r="D330" s="2" t="str">
        <f>'All Girls &amp; Descendants - Edit'!D331</f>
        <v>STIRRUP</v>
      </c>
      <c r="E330" t="str">
        <f>'All Girls &amp; Descendants - Edit'!E331</f>
        <v>William</v>
      </c>
      <c r="F330" t="str">
        <f>IF('All Girls &amp; Descendants - Edit'!F331="","",'All Girls &amp; Descendants - Edit'!F331)</f>
        <v>John</v>
      </c>
      <c r="G330" t="str">
        <f>IF('All Girls &amp; Descendants - Edit'!G331="","",'All Girls &amp; Descendants - Edit'!G331)</f>
        <v/>
      </c>
      <c r="H330" t="str">
        <f>IF('All Girls &amp; Descendants - Edit'!H331="","",'All Girls &amp; Descendants - Edit'!H331)</f>
        <v/>
      </c>
      <c r="I330">
        <f>VLOOKUP($C330,'All Girls &amp; Descendants - Edit'!$C$2:$AK$440,'All Girls &amp; Descendants - Edit'!I$1,FALSE)</f>
        <v>1992</v>
      </c>
      <c r="J330" t="str">
        <f>VLOOKUP($C330,'All Girls &amp; Descendants - Edit'!$C$2:$AK$440,'All Girls &amp; Descendants - Edit'!J$1,FALSE)</f>
        <v/>
      </c>
      <c r="K330" s="9"/>
      <c r="L330" t="str">
        <f t="shared" si="39"/>
        <v>10/09/1992</v>
      </c>
      <c r="M330" s="3">
        <f>VLOOKUP($C330,'All Girls &amp; Descendants - Edit'!$C$2:$AK$440,'All Girls &amp; Descendants - Edit'!M$1,FALSE)</f>
        <v>33857</v>
      </c>
      <c r="N330" s="3" t="str">
        <f>IF(VLOOKUP($C330,'All Girls &amp; Descendants - Edit'!$C$2:$AK$440,'All Girls &amp; Descendants - Edit'!N$1,FALSE)=""," - ",(VLOOKUP($C330,'All Girls &amp; Descendants - Edit'!$C$2:$AK$440,'All Girls &amp; Descendants - Edit'!N$1,FALSE)))</f>
        <v xml:space="preserve"> - </v>
      </c>
      <c r="O330" s="3" t="str">
        <f>IF(VLOOKUP($C330,'All Girls &amp; Descendants - Edit'!$C$2:$AK$440,'All Girls &amp; Descendants - Edit'!O$1,FALSE)="","",(VLOOKUP($C330,'All Girls &amp; Descendants - Edit'!$C$2:$AK$440,'All Girls &amp; Descendants - Edit'!O$1,FALSE)))</f>
        <v/>
      </c>
      <c r="P330" s="3" t="str">
        <f t="shared" si="40"/>
        <v/>
      </c>
      <c r="Q330" s="178" t="str">
        <f t="shared" si="41"/>
        <v>88ac</v>
      </c>
      <c r="R330" s="23"/>
      <c r="S330" t="str">
        <f>VLOOKUP($C330,'All Girls &amp; Descendants - Edit'!$C$2:$AK$440,'All Girls &amp; Descendants - Edit'!S$1,FALSE)</f>
        <v>Male</v>
      </c>
      <c r="T330" s="176">
        <f t="shared" si="38"/>
        <v>8</v>
      </c>
      <c r="U330" s="176">
        <f t="shared" si="42"/>
        <v>5</v>
      </c>
      <c r="V330" s="176">
        <f t="shared" si="43"/>
        <v>5</v>
      </c>
      <c r="W330" s="177">
        <f t="shared" si="44"/>
        <v>3</v>
      </c>
      <c r="X330" s="3" t="str">
        <f>IF(VLOOKUP($C330,'All Girls &amp; Descendants - Edit'!$C$2:$AK$440,'All Girls &amp; Descendants - Edit'!X$1,FALSE)=""," - ",(VLOOKUP($C330,'All Girls &amp; Descendants - Edit'!$C$2:$AK$440,'All Girls &amp; Descendants - Edit'!X$1,FALSE)))</f>
        <v xml:space="preserve"> - </v>
      </c>
      <c r="Y330" s="3" t="str">
        <f>IF(VLOOKUP($C330,'All Girls &amp; Descendants - Edit'!$C$2:$AK$440,'All Girls &amp; Descendants - Edit'!Y$1,FALSE)=""," - ",(VLOOKUP($C330,'All Girls &amp; Descendants - Edit'!$C$2:$AK$440,'All Girls &amp; Descendants - Edit'!Y$1,FALSE)))</f>
        <v xml:space="preserve"> - </v>
      </c>
      <c r="Z330" s="3" t="str">
        <f>IF(VLOOKUP($C330,'All Girls &amp; Descendants - Edit'!$C$2:$AK$440,'All Girls &amp; Descendants - Edit'!Z$1,FALSE)=""," - ",(VLOOKUP($C330,'All Girls &amp; Descendants - Edit'!$C$2:$AK$440,'All Girls &amp; Descendants - Edit'!Z$1,FALSE)))</f>
        <v>Baptised at St Luke’s, Sydney Street, London SW3.</v>
      </c>
      <c r="AA330" s="101">
        <f>IF(VLOOKUP($C330,'All Girls &amp; Descendants - Edit'!$C$2:$AK$440,'All Girls &amp; Descendants - Edit'!AA$1,FALSE)=""," - ",(VLOOKUP($C330,'All Girls &amp; Descendants - Edit'!$C$2:$AK$440,'All Girls &amp; Descendants - Edit'!AA$1,FALSE)))</f>
        <v>181</v>
      </c>
      <c r="AB330" s="101">
        <f>IF(VLOOKUP($C330,'All Girls &amp; Descendants - Edit'!$C$2:$AK$440,'All Girls &amp; Descendants - Edit'!AB$1,FALSE)=""," - ",(VLOOKUP($C330,'All Girls &amp; Descendants - Edit'!$C$2:$AK$440,'All Girls &amp; Descendants - Edit'!AB$1,FALSE)))</f>
        <v>39</v>
      </c>
      <c r="AC330" s="101">
        <f>IF(VLOOKUP($C330,'All Girls &amp; Descendants - Edit'!$C$2:$AK$440,'All Girls &amp; Descendants - Edit'!AC$1,FALSE)=""," - ",(VLOOKUP($C330,'All Girls &amp; Descendants - Edit'!$C$2:$AK$440,'All Girls &amp; Descendants - Edit'!AC$1,FALSE)))</f>
        <v>3039</v>
      </c>
      <c r="AD330" s="3" t="str">
        <f>IF(VLOOKUP($C330,'All Girls &amp; Descendants - Edit'!$C$2:$AK$440,'All Girls &amp; Descendants - Edit'!AD$1,FALSE)=""," - ",(VLOOKUP($C330,'All Girls &amp; Descendants - Edit'!$C$2:$AK$440,'All Girls &amp; Descendants - Edit'!AD$1,FALSE)))</f>
        <v>88aca</v>
      </c>
      <c r="AE330" s="3" t="str">
        <f>IF(VLOOKUP($C330,'All Girls &amp; Descendants - Edit'!$C$2:$AK$440,'All Girls &amp; Descendants - Edit'!AE$1,FALSE)=""," - ",(VLOOKUP($C330,'All Girls &amp; Descendants - Edit'!$C$2:$AK$440,'All Girls &amp; Descendants - Edit'!AE$1,FALSE)))</f>
        <v>William John  STIRRUP (1992 - )</v>
      </c>
      <c r="AF330" s="3" t="str">
        <f>IF(VLOOKUP($C330,'All Girls &amp; Descendants - Edit'!$C$2:$AK$440,'All Girls &amp; Descendants - Edit'!AF$1,FALSE)=""," - ",(VLOOKUP($C330,'All Girls &amp; Descendants - Edit'!$C$2:$AK$440,'All Girls &amp; Descendants - Edit'!AF$1,FALSE)))</f>
        <v>William STIRRUP (8th &amp; 88)</v>
      </c>
      <c r="AG330" s="3" t="str">
        <f>IF(VLOOKUP($C330,'All Girls &amp; Descendants - Edit'!$C$2:$AK$440,'All Girls &amp; Descendants - Edit'!AG$1,FALSE)=""," - ",(VLOOKUP($C330,'All Girls &amp; Descendants - Edit'!$C$2:$AK$440,'All Girls &amp; Descendants - Edit'!AG$1,FALSE)))</f>
        <v>Male</v>
      </c>
      <c r="AH330" s="3" t="str">
        <f>IF(VLOOKUP($C330,'All Girls &amp; Descendants - Edit'!$C$2:$AK$440,'All Girls &amp; Descendants - Edit'!AH$1,FALSE)=""," - ",(VLOOKUP($C330,'All Girls &amp; Descendants - Edit'!$C$2:$AK$440,'All Girls &amp; Descendants - Edit'!AH$1,FALSE)))</f>
        <v>8th</v>
      </c>
      <c r="AI330" s="3" t="str">
        <f>IF(VLOOKUP($C330,'All Girls &amp; Descendants - Edit'!$C$2:$AK$440,'All Girls &amp; Descendants - Edit'!AI$1,FALSE)=""," - ",(VLOOKUP($C330,'All Girls &amp; Descendants - Edit'!$C$2:$AK$440,'All Girls &amp; Descendants - Edit'!AI$1,FALSE)))</f>
        <v>Unmarried</v>
      </c>
      <c r="AJ330" s="3" t="str">
        <f>IF(VLOOKUP($C330,'All Girls &amp; Descendants - Edit'!$C$2:$AK$440,'All Girls &amp; Descendants - Edit'!AJ$1,FALSE)=""," - ",(VLOOKUP($C330,'All Girls &amp; Descendants - Edit'!$C$2:$AK$440,'All Girls &amp; Descendants - Edit'!AJ$1,FALSE)))</f>
        <v>Male. b. 10/09/1992 Baptised at St Luke’s, Sydney Street, London SW3.</v>
      </c>
      <c r="AK330" s="3" t="str">
        <f>IF(VLOOKUP($C330,'All Girls &amp; Descendants - Edit'!$C$2:$AK$440,'All Girls &amp; Descendants - Edit'!AK$1,FALSE)=""," - ",(VLOOKUP($C330,'All Girls &amp; Descendants - Edit'!$C$2:$AK$440,'All Girls &amp; Descendants - Edit'!AK$1,FALSE)))</f>
        <v>b. 10/09/1992</v>
      </c>
    </row>
    <row r="331" spans="1:37" ht="19">
      <c r="A331">
        <f>VLOOKUP(B331,'Loyd List 1-190 - Edit'!$P$1:$R$219,3,FALSE)</f>
        <v>66</v>
      </c>
      <c r="B331">
        <f>'All Girls &amp; Descendants - Edit'!B332</f>
        <v>88</v>
      </c>
      <c r="C331" s="98" t="str">
        <f>'All Girls &amp; Descendants - Edit'!C332</f>
        <v>88acb</v>
      </c>
      <c r="D331" s="2" t="str">
        <f>'All Girls &amp; Descendants - Edit'!D332</f>
        <v>STIRRUP</v>
      </c>
      <c r="E331" t="str">
        <f>'All Girls &amp; Descendants - Edit'!E332</f>
        <v>Timothy</v>
      </c>
      <c r="F331" t="str">
        <f>IF('All Girls &amp; Descendants - Edit'!F332="","",'All Girls &amp; Descendants - Edit'!F332)</f>
        <v>Charles</v>
      </c>
      <c r="G331" t="str">
        <f>IF('All Girls &amp; Descendants - Edit'!G332="","",'All Girls &amp; Descendants - Edit'!G332)</f>
        <v/>
      </c>
      <c r="H331" t="str">
        <f>IF('All Girls &amp; Descendants - Edit'!H332="","",'All Girls &amp; Descendants - Edit'!H332)</f>
        <v/>
      </c>
      <c r="I331">
        <f>VLOOKUP($C331,'All Girls &amp; Descendants - Edit'!$C$2:$AK$440,'All Girls &amp; Descendants - Edit'!I$1,FALSE)</f>
        <v>1994</v>
      </c>
      <c r="J331" t="str">
        <f>VLOOKUP($C331,'All Girls &amp; Descendants - Edit'!$C$2:$AK$440,'All Girls &amp; Descendants - Edit'!J$1,FALSE)</f>
        <v/>
      </c>
      <c r="K331" s="9"/>
      <c r="L331" t="str">
        <f t="shared" si="39"/>
        <v>06/06/1994</v>
      </c>
      <c r="M331" s="3">
        <f>VLOOKUP($C331,'All Girls &amp; Descendants - Edit'!$C$2:$AK$440,'All Girls &amp; Descendants - Edit'!M$1,FALSE)</f>
        <v>34491</v>
      </c>
      <c r="N331" s="3" t="str">
        <f>IF(VLOOKUP($C331,'All Girls &amp; Descendants - Edit'!$C$2:$AK$440,'All Girls &amp; Descendants - Edit'!N$1,FALSE)=""," - ",(VLOOKUP($C331,'All Girls &amp; Descendants - Edit'!$C$2:$AK$440,'All Girls &amp; Descendants - Edit'!N$1,FALSE)))</f>
        <v xml:space="preserve"> - </v>
      </c>
      <c r="O331" s="3" t="str">
        <f>IF(VLOOKUP($C331,'All Girls &amp; Descendants - Edit'!$C$2:$AK$440,'All Girls &amp; Descendants - Edit'!O$1,FALSE)="","",(VLOOKUP($C331,'All Girls &amp; Descendants - Edit'!$C$2:$AK$440,'All Girls &amp; Descendants - Edit'!O$1,FALSE)))</f>
        <v/>
      </c>
      <c r="P331" s="3" t="str">
        <f t="shared" si="40"/>
        <v/>
      </c>
      <c r="Q331" s="178" t="str">
        <f t="shared" si="41"/>
        <v>88ac</v>
      </c>
      <c r="R331" s="23"/>
      <c r="S331" t="str">
        <f>VLOOKUP($C331,'All Girls &amp; Descendants - Edit'!$C$2:$AK$440,'All Girls &amp; Descendants - Edit'!S$1,FALSE)</f>
        <v>Male</v>
      </c>
      <c r="T331" s="176">
        <f t="shared" si="38"/>
        <v>8</v>
      </c>
      <c r="U331" s="176">
        <f t="shared" si="42"/>
        <v>5</v>
      </c>
      <c r="V331" s="176">
        <f t="shared" si="43"/>
        <v>5</v>
      </c>
      <c r="W331" s="177">
        <f t="shared" si="44"/>
        <v>3</v>
      </c>
      <c r="X331" s="3" t="str">
        <f>IF(VLOOKUP($C331,'All Girls &amp; Descendants - Edit'!$C$2:$AK$440,'All Girls &amp; Descendants - Edit'!X$1,FALSE)=""," - ",(VLOOKUP($C331,'All Girls &amp; Descendants - Edit'!$C$2:$AK$440,'All Girls &amp; Descendants - Edit'!X$1,FALSE)))</f>
        <v xml:space="preserve"> - </v>
      </c>
      <c r="Y331" s="3" t="str">
        <f>IF(VLOOKUP($C331,'All Girls &amp; Descendants - Edit'!$C$2:$AK$440,'All Girls &amp; Descendants - Edit'!Y$1,FALSE)=""," - ",(VLOOKUP($C331,'All Girls &amp; Descendants - Edit'!$C$2:$AK$440,'All Girls &amp; Descendants - Edit'!Y$1,FALSE)))</f>
        <v xml:space="preserve"> - </v>
      </c>
      <c r="Z331" s="3" t="str">
        <f>IF(VLOOKUP($C331,'All Girls &amp; Descendants - Edit'!$C$2:$AK$440,'All Girls &amp; Descendants - Edit'!Z$1,FALSE)=""," - ",(VLOOKUP($C331,'All Girls &amp; Descendants - Edit'!$C$2:$AK$440,'All Girls &amp; Descendants - Edit'!Z$1,FALSE)))</f>
        <v>Baptised at St Luke’s, Sydney Street, London SW3.</v>
      </c>
      <c r="AA331" s="101">
        <f>IF(VLOOKUP($C331,'All Girls &amp; Descendants - Edit'!$C$2:$AK$440,'All Girls &amp; Descendants - Edit'!AA$1,FALSE)=""," - ",(VLOOKUP($C331,'All Girls &amp; Descendants - Edit'!$C$2:$AK$440,'All Girls &amp; Descendants - Edit'!AA$1,FALSE)))</f>
        <v>182</v>
      </c>
      <c r="AB331" s="101">
        <f>IF(VLOOKUP($C331,'All Girls &amp; Descendants - Edit'!$C$2:$AK$440,'All Girls &amp; Descendants - Edit'!AB$1,FALSE)=""," - ",(VLOOKUP($C331,'All Girls &amp; Descendants - Edit'!$C$2:$AK$440,'All Girls &amp; Descendants - Edit'!AB$1,FALSE)))</f>
        <v>40</v>
      </c>
      <c r="AC331" s="101">
        <f>IF(VLOOKUP($C331,'All Girls &amp; Descendants - Edit'!$C$2:$AK$440,'All Girls &amp; Descendants - Edit'!AC$1,FALSE)=""," - ",(VLOOKUP($C331,'All Girls &amp; Descendants - Edit'!$C$2:$AK$440,'All Girls &amp; Descendants - Edit'!AC$1,FALSE)))</f>
        <v>3040</v>
      </c>
      <c r="AD331" s="3" t="str">
        <f>IF(VLOOKUP($C331,'All Girls &amp; Descendants - Edit'!$C$2:$AK$440,'All Girls &amp; Descendants - Edit'!AD$1,FALSE)=""," - ",(VLOOKUP($C331,'All Girls &amp; Descendants - Edit'!$C$2:$AK$440,'All Girls &amp; Descendants - Edit'!AD$1,FALSE)))</f>
        <v>88acb</v>
      </c>
      <c r="AE331" s="3" t="str">
        <f>IF(VLOOKUP($C331,'All Girls &amp; Descendants - Edit'!$C$2:$AK$440,'All Girls &amp; Descendants - Edit'!AE$1,FALSE)=""," - ",(VLOOKUP($C331,'All Girls &amp; Descendants - Edit'!$C$2:$AK$440,'All Girls &amp; Descendants - Edit'!AE$1,FALSE)))</f>
        <v>Timothy Charles  STIRRUP (1994 - )</v>
      </c>
      <c r="AF331" s="3" t="str">
        <f>IF(VLOOKUP($C331,'All Girls &amp; Descendants - Edit'!$C$2:$AK$440,'All Girls &amp; Descendants - Edit'!AF$1,FALSE)=""," - ",(VLOOKUP($C331,'All Girls &amp; Descendants - Edit'!$C$2:$AK$440,'All Girls &amp; Descendants - Edit'!AF$1,FALSE)))</f>
        <v>Timothy STIRRUP (8th &amp; 88)</v>
      </c>
      <c r="AG331" s="3" t="str">
        <f>IF(VLOOKUP($C331,'All Girls &amp; Descendants - Edit'!$C$2:$AK$440,'All Girls &amp; Descendants - Edit'!AG$1,FALSE)=""," - ",(VLOOKUP($C331,'All Girls &amp; Descendants - Edit'!$C$2:$AK$440,'All Girls &amp; Descendants - Edit'!AG$1,FALSE)))</f>
        <v>Male</v>
      </c>
      <c r="AH331" s="3" t="str">
        <f>IF(VLOOKUP($C331,'All Girls &amp; Descendants - Edit'!$C$2:$AK$440,'All Girls &amp; Descendants - Edit'!AH$1,FALSE)=""," - ",(VLOOKUP($C331,'All Girls &amp; Descendants - Edit'!$C$2:$AK$440,'All Girls &amp; Descendants - Edit'!AH$1,FALSE)))</f>
        <v>8th</v>
      </c>
      <c r="AI331" s="3" t="str">
        <f>IF(VLOOKUP($C331,'All Girls &amp; Descendants - Edit'!$C$2:$AK$440,'All Girls &amp; Descendants - Edit'!AI$1,FALSE)=""," - ",(VLOOKUP($C331,'All Girls &amp; Descendants - Edit'!$C$2:$AK$440,'All Girls &amp; Descendants - Edit'!AI$1,FALSE)))</f>
        <v>Unmarried</v>
      </c>
      <c r="AJ331" s="3" t="str">
        <f>IF(VLOOKUP($C331,'All Girls &amp; Descendants - Edit'!$C$2:$AK$440,'All Girls &amp; Descendants - Edit'!AJ$1,FALSE)=""," - ",(VLOOKUP($C331,'All Girls &amp; Descendants - Edit'!$C$2:$AK$440,'All Girls &amp; Descendants - Edit'!AJ$1,FALSE)))</f>
        <v>Male. b. 06/06/1994 Baptised at St Luke’s, Sydney Street, London SW3.</v>
      </c>
      <c r="AK331" s="3" t="str">
        <f>IF(VLOOKUP($C331,'All Girls &amp; Descendants - Edit'!$C$2:$AK$440,'All Girls &amp; Descendants - Edit'!AK$1,FALSE)=""," - ",(VLOOKUP($C331,'All Girls &amp; Descendants - Edit'!$C$2:$AK$440,'All Girls &amp; Descendants - Edit'!AK$1,FALSE)))</f>
        <v>b. 06/06/1994</v>
      </c>
    </row>
    <row r="332" spans="1:37" ht="19">
      <c r="A332">
        <f>VLOOKUP(B332,'Loyd List 1-190 - Edit'!$P$1:$R$219,3,FALSE)</f>
        <v>66</v>
      </c>
      <c r="B332">
        <f>'All Girls &amp; Descendants - Edit'!B333</f>
        <v>88</v>
      </c>
      <c r="C332" s="98" t="str">
        <f>'All Girls &amp; Descendants - Edit'!C333</f>
        <v>88acc</v>
      </c>
      <c r="D332" s="2" t="str">
        <f>'All Girls &amp; Descendants - Edit'!D333</f>
        <v>STIRRUP</v>
      </c>
      <c r="E332" t="str">
        <f>'All Girls &amp; Descendants - Edit'!E333</f>
        <v>Isabelle</v>
      </c>
      <c r="F332" t="str">
        <f>IF('All Girls &amp; Descendants - Edit'!F333="","",'All Girls &amp; Descendants - Edit'!F333)</f>
        <v>Diana</v>
      </c>
      <c r="G332" t="str">
        <f>IF('All Girls &amp; Descendants - Edit'!G333="","",'All Girls &amp; Descendants - Edit'!G333)</f>
        <v/>
      </c>
      <c r="H332" t="str">
        <f>IF('All Girls &amp; Descendants - Edit'!H333="","",'All Girls &amp; Descendants - Edit'!H333)</f>
        <v/>
      </c>
      <c r="I332">
        <f>VLOOKUP($C332,'All Girls &amp; Descendants - Edit'!$C$2:$AK$440,'All Girls &amp; Descendants - Edit'!I$1,FALSE)</f>
        <v>1997</v>
      </c>
      <c r="J332" t="str">
        <f>VLOOKUP($C332,'All Girls &amp; Descendants - Edit'!$C$2:$AK$440,'All Girls &amp; Descendants - Edit'!J$1,FALSE)</f>
        <v/>
      </c>
      <c r="K332" s="9"/>
      <c r="L332" t="str">
        <f t="shared" si="39"/>
        <v>14/04/1997</v>
      </c>
      <c r="M332" s="3">
        <f>VLOOKUP($C332,'All Girls &amp; Descendants - Edit'!$C$2:$AK$440,'All Girls &amp; Descendants - Edit'!M$1,FALSE)</f>
        <v>35534</v>
      </c>
      <c r="N332" s="3" t="str">
        <f>IF(VLOOKUP($C332,'All Girls &amp; Descendants - Edit'!$C$2:$AK$440,'All Girls &amp; Descendants - Edit'!N$1,FALSE)=""," - ",(VLOOKUP($C332,'All Girls &amp; Descendants - Edit'!$C$2:$AK$440,'All Girls &amp; Descendants - Edit'!N$1,FALSE)))</f>
        <v xml:space="preserve"> - </v>
      </c>
      <c r="O332" s="3" t="str">
        <f>IF(VLOOKUP($C332,'All Girls &amp; Descendants - Edit'!$C$2:$AK$440,'All Girls &amp; Descendants - Edit'!O$1,FALSE)="","",(VLOOKUP($C332,'All Girls &amp; Descendants - Edit'!$C$2:$AK$440,'All Girls &amp; Descendants - Edit'!O$1,FALSE)))</f>
        <v/>
      </c>
      <c r="P332" s="3" t="str">
        <f t="shared" si="40"/>
        <v/>
      </c>
      <c r="Q332" s="178" t="str">
        <f t="shared" si="41"/>
        <v>88ac</v>
      </c>
      <c r="R332" s="23"/>
      <c r="S332" t="str">
        <f>VLOOKUP($C332,'All Girls &amp; Descendants - Edit'!$C$2:$AK$440,'All Girls &amp; Descendants - Edit'!S$1,FALSE)</f>
        <v>Female</v>
      </c>
      <c r="T332" s="176">
        <f t="shared" si="38"/>
        <v>8</v>
      </c>
      <c r="U332" s="176">
        <f t="shared" si="42"/>
        <v>5</v>
      </c>
      <c r="V332" s="176">
        <f t="shared" si="43"/>
        <v>5</v>
      </c>
      <c r="W332" s="177">
        <f t="shared" si="44"/>
        <v>3</v>
      </c>
      <c r="X332" s="3" t="str">
        <f>IF(VLOOKUP($C332,'All Girls &amp; Descendants - Edit'!$C$2:$AK$440,'All Girls &amp; Descendants - Edit'!X$1,FALSE)=""," - ",(VLOOKUP($C332,'All Girls &amp; Descendants - Edit'!$C$2:$AK$440,'All Girls &amp; Descendants - Edit'!X$1,FALSE)))</f>
        <v xml:space="preserve"> - </v>
      </c>
      <c r="Y332" s="3" t="str">
        <f>IF(VLOOKUP($C332,'All Girls &amp; Descendants - Edit'!$C$2:$AK$440,'All Girls &amp; Descendants - Edit'!Y$1,FALSE)=""," - ",(VLOOKUP($C332,'All Girls &amp; Descendants - Edit'!$C$2:$AK$440,'All Girls &amp; Descendants - Edit'!Y$1,FALSE)))</f>
        <v xml:space="preserve"> - </v>
      </c>
      <c r="Z332" s="3" t="str">
        <f>IF(VLOOKUP($C332,'All Girls &amp; Descendants - Edit'!$C$2:$AK$440,'All Girls &amp; Descendants - Edit'!Z$1,FALSE)=""," - ",(VLOOKUP($C332,'All Girls &amp; Descendants - Edit'!$C$2:$AK$440,'All Girls &amp; Descendants - Edit'!Z$1,FALSE)))</f>
        <v>Baptised at St Luke’s, Sydney Street, London SW3.</v>
      </c>
      <c r="AA332" s="101">
        <f>IF(VLOOKUP($C332,'All Girls &amp; Descendants - Edit'!$C$2:$AK$440,'All Girls &amp; Descendants - Edit'!AA$1,FALSE)=""," - ",(VLOOKUP($C332,'All Girls &amp; Descendants - Edit'!$C$2:$AK$440,'All Girls &amp; Descendants - Edit'!AA$1,FALSE)))</f>
        <v>183</v>
      </c>
      <c r="AB332" s="101">
        <f>IF(VLOOKUP($C332,'All Girls &amp; Descendants - Edit'!$C$2:$AK$440,'All Girls &amp; Descendants - Edit'!AB$1,FALSE)=""," - ",(VLOOKUP($C332,'All Girls &amp; Descendants - Edit'!$C$2:$AK$440,'All Girls &amp; Descendants - Edit'!AB$1,FALSE)))</f>
        <v>41</v>
      </c>
      <c r="AC332" s="101">
        <f>IF(VLOOKUP($C332,'All Girls &amp; Descendants - Edit'!$C$2:$AK$440,'All Girls &amp; Descendants - Edit'!AC$1,FALSE)=""," - ",(VLOOKUP($C332,'All Girls &amp; Descendants - Edit'!$C$2:$AK$440,'All Girls &amp; Descendants - Edit'!AC$1,FALSE)))</f>
        <v>3041</v>
      </c>
      <c r="AD332" s="3" t="str">
        <f>IF(VLOOKUP($C332,'All Girls &amp; Descendants - Edit'!$C$2:$AK$440,'All Girls &amp; Descendants - Edit'!AD$1,FALSE)=""," - ",(VLOOKUP($C332,'All Girls &amp; Descendants - Edit'!$C$2:$AK$440,'All Girls &amp; Descendants - Edit'!AD$1,FALSE)))</f>
        <v>88acc</v>
      </c>
      <c r="AE332" s="3" t="str">
        <f>IF(VLOOKUP($C332,'All Girls &amp; Descendants - Edit'!$C$2:$AK$440,'All Girls &amp; Descendants - Edit'!AE$1,FALSE)=""," - ",(VLOOKUP($C332,'All Girls &amp; Descendants - Edit'!$C$2:$AK$440,'All Girls &amp; Descendants - Edit'!AE$1,FALSE)))</f>
        <v>Isabelle Diana  STIRRUP (1997 - )</v>
      </c>
      <c r="AF332" s="3" t="str">
        <f>IF(VLOOKUP($C332,'All Girls &amp; Descendants - Edit'!$C$2:$AK$440,'All Girls &amp; Descendants - Edit'!AF$1,FALSE)=""," - ",(VLOOKUP($C332,'All Girls &amp; Descendants - Edit'!$C$2:$AK$440,'All Girls &amp; Descendants - Edit'!AF$1,FALSE)))</f>
        <v>Isabelle STIRRUP (8th &amp; 88)</v>
      </c>
      <c r="AG332" s="3" t="str">
        <f>IF(VLOOKUP($C332,'All Girls &amp; Descendants - Edit'!$C$2:$AK$440,'All Girls &amp; Descendants - Edit'!AG$1,FALSE)=""," - ",(VLOOKUP($C332,'All Girls &amp; Descendants - Edit'!$C$2:$AK$440,'All Girls &amp; Descendants - Edit'!AG$1,FALSE)))</f>
        <v>Female</v>
      </c>
      <c r="AH332" s="3" t="str">
        <f>IF(VLOOKUP($C332,'All Girls &amp; Descendants - Edit'!$C$2:$AK$440,'All Girls &amp; Descendants - Edit'!AH$1,FALSE)=""," - ",(VLOOKUP($C332,'All Girls &amp; Descendants - Edit'!$C$2:$AK$440,'All Girls &amp; Descendants - Edit'!AH$1,FALSE)))</f>
        <v>8th</v>
      </c>
      <c r="AI332" s="3" t="str">
        <f>IF(VLOOKUP($C332,'All Girls &amp; Descendants - Edit'!$C$2:$AK$440,'All Girls &amp; Descendants - Edit'!AI$1,FALSE)=""," - ",(VLOOKUP($C332,'All Girls &amp; Descendants - Edit'!$C$2:$AK$440,'All Girls &amp; Descendants - Edit'!AI$1,FALSE)))</f>
        <v>Unmarried</v>
      </c>
      <c r="AJ332" s="3" t="str">
        <f>IF(VLOOKUP($C332,'All Girls &amp; Descendants - Edit'!$C$2:$AK$440,'All Girls &amp; Descendants - Edit'!AJ$1,FALSE)=""," - ",(VLOOKUP($C332,'All Girls &amp; Descendants - Edit'!$C$2:$AK$440,'All Girls &amp; Descendants - Edit'!AJ$1,FALSE)))</f>
        <v>Female. b. 14/04/1997 Baptised at St Luke’s, Sydney Street, London SW3.</v>
      </c>
      <c r="AK332" s="3" t="str">
        <f>IF(VLOOKUP($C332,'All Girls &amp; Descendants - Edit'!$C$2:$AK$440,'All Girls &amp; Descendants - Edit'!AK$1,FALSE)=""," - ",(VLOOKUP($C332,'All Girls &amp; Descendants - Edit'!$C$2:$AK$440,'All Girls &amp; Descendants - Edit'!AK$1,FALSE)))</f>
        <v>b. 14/04/1997</v>
      </c>
    </row>
    <row r="333" spans="1:37" ht="19">
      <c r="A333">
        <f>VLOOKUP(B333,'Loyd List 1-190 - Edit'!$P$1:$R$219,3,FALSE)</f>
        <v>66</v>
      </c>
      <c r="B333">
        <f>'All Girls &amp; Descendants - Edit'!B334</f>
        <v>88</v>
      </c>
      <c r="C333" s="98" t="str">
        <f>'All Girls &amp; Descendants - Edit'!C334</f>
        <v>88ada</v>
      </c>
      <c r="D333" s="2" t="str">
        <f>'All Girls &amp; Descendants - Edit'!D334</f>
        <v>COLE</v>
      </c>
      <c r="E333" t="str">
        <f>'All Girls &amp; Descendants - Edit'!E334</f>
        <v>Sophie</v>
      </c>
      <c r="F333" t="str">
        <f>IF('All Girls &amp; Descendants - Edit'!F334="","",'All Girls &amp; Descendants - Edit'!F334)</f>
        <v>Charlotte</v>
      </c>
      <c r="G333" t="str">
        <f>IF('All Girls &amp; Descendants - Edit'!G334="","",'All Girls &amp; Descendants - Edit'!G334)</f>
        <v/>
      </c>
      <c r="H333" t="str">
        <f>IF('All Girls &amp; Descendants - Edit'!H334="","",'All Girls &amp; Descendants - Edit'!H334)</f>
        <v/>
      </c>
      <c r="I333">
        <f>VLOOKUP($C333,'All Girls &amp; Descendants - Edit'!$C$2:$AK$440,'All Girls &amp; Descendants - Edit'!I$1,FALSE)</f>
        <v>1992</v>
      </c>
      <c r="J333" t="str">
        <f>VLOOKUP($C333,'All Girls &amp; Descendants - Edit'!$C$2:$AK$440,'All Girls &amp; Descendants - Edit'!J$1,FALSE)</f>
        <v/>
      </c>
      <c r="K333" s="9"/>
      <c r="L333" t="str">
        <f t="shared" si="39"/>
        <v>04/08/1992</v>
      </c>
      <c r="M333" s="3">
        <f>VLOOKUP($C333,'All Girls &amp; Descendants - Edit'!$C$2:$AK$440,'All Girls &amp; Descendants - Edit'!M$1,FALSE)</f>
        <v>33820</v>
      </c>
      <c r="N333" s="3" t="str">
        <f>IF(VLOOKUP($C333,'All Girls &amp; Descendants - Edit'!$C$2:$AK$440,'All Girls &amp; Descendants - Edit'!N$1,FALSE)=""," - ",(VLOOKUP($C333,'All Girls &amp; Descendants - Edit'!$C$2:$AK$440,'All Girls &amp; Descendants - Edit'!N$1,FALSE)))</f>
        <v xml:space="preserve"> - </v>
      </c>
      <c r="O333" s="3" t="str">
        <f>IF(VLOOKUP($C333,'All Girls &amp; Descendants - Edit'!$C$2:$AK$440,'All Girls &amp; Descendants - Edit'!O$1,FALSE)="","",(VLOOKUP($C333,'All Girls &amp; Descendants - Edit'!$C$2:$AK$440,'All Girls &amp; Descendants - Edit'!O$1,FALSE)))</f>
        <v/>
      </c>
      <c r="P333" s="3" t="str">
        <f t="shared" si="40"/>
        <v/>
      </c>
      <c r="Q333" s="178" t="str">
        <f t="shared" si="41"/>
        <v>88ad</v>
      </c>
      <c r="R333" s="23"/>
      <c r="S333" t="str">
        <f>VLOOKUP($C333,'All Girls &amp; Descendants - Edit'!$C$2:$AK$440,'All Girls &amp; Descendants - Edit'!S$1,FALSE)</f>
        <v>Male</v>
      </c>
      <c r="T333" s="176">
        <f t="shared" si="38"/>
        <v>8</v>
      </c>
      <c r="U333" s="176">
        <f t="shared" si="42"/>
        <v>5</v>
      </c>
      <c r="V333" s="176">
        <f t="shared" si="43"/>
        <v>5</v>
      </c>
      <c r="W333" s="177">
        <f t="shared" si="44"/>
        <v>3</v>
      </c>
      <c r="X333" s="3" t="str">
        <f>IF(VLOOKUP($C333,'All Girls &amp; Descendants - Edit'!$C$2:$AK$440,'All Girls &amp; Descendants - Edit'!X$1,FALSE)=""," - ",(VLOOKUP($C333,'All Girls &amp; Descendants - Edit'!$C$2:$AK$440,'All Girls &amp; Descendants - Edit'!X$1,FALSE)))</f>
        <v xml:space="preserve"> - </v>
      </c>
      <c r="Y333" s="3" t="str">
        <f>IF(VLOOKUP($C333,'All Girls &amp; Descendants - Edit'!$C$2:$AK$440,'All Girls &amp; Descendants - Edit'!Y$1,FALSE)=""," - ",(VLOOKUP($C333,'All Girls &amp; Descendants - Edit'!$C$2:$AK$440,'All Girls &amp; Descendants - Edit'!Y$1,FALSE)))</f>
        <v xml:space="preserve"> - </v>
      </c>
      <c r="Z333" s="3" t="str">
        <f>IF(VLOOKUP($C333,'All Girls &amp; Descendants - Edit'!$C$2:$AK$440,'All Girls &amp; Descendants - Edit'!Z$1,FALSE)=""," - ",(VLOOKUP($C333,'All Girls &amp; Descendants - Edit'!$C$2:$AK$440,'All Girls &amp; Descendants - Edit'!Z$1,FALSE)))</f>
        <v>Baptised May 1993 in Edinburgh.</v>
      </c>
      <c r="AA333" s="101">
        <f>IF(VLOOKUP($C333,'All Girls &amp; Descendants - Edit'!$C$2:$AK$440,'All Girls &amp; Descendants - Edit'!AA$1,FALSE)=""," - ",(VLOOKUP($C333,'All Girls &amp; Descendants - Edit'!$C$2:$AK$440,'All Girls &amp; Descendants - Edit'!AA$1,FALSE)))</f>
        <v>185</v>
      </c>
      <c r="AB333" s="101">
        <f>IF(VLOOKUP($C333,'All Girls &amp; Descendants - Edit'!$C$2:$AK$440,'All Girls &amp; Descendants - Edit'!AB$1,FALSE)=""," - ",(VLOOKUP($C333,'All Girls &amp; Descendants - Edit'!$C$2:$AK$440,'All Girls &amp; Descendants - Edit'!AB$1,FALSE)))</f>
        <v>42</v>
      </c>
      <c r="AC333" s="101">
        <f>IF(VLOOKUP($C333,'All Girls &amp; Descendants - Edit'!$C$2:$AK$440,'All Girls &amp; Descendants - Edit'!AC$1,FALSE)=""," - ",(VLOOKUP($C333,'All Girls &amp; Descendants - Edit'!$C$2:$AK$440,'All Girls &amp; Descendants - Edit'!AC$1,FALSE)))</f>
        <v>3042</v>
      </c>
      <c r="AD333" s="3" t="str">
        <f>IF(VLOOKUP($C333,'All Girls &amp; Descendants - Edit'!$C$2:$AK$440,'All Girls &amp; Descendants - Edit'!AD$1,FALSE)=""," - ",(VLOOKUP($C333,'All Girls &amp; Descendants - Edit'!$C$2:$AK$440,'All Girls &amp; Descendants - Edit'!AD$1,FALSE)))</f>
        <v>88ada</v>
      </c>
      <c r="AE333" s="3" t="str">
        <f>IF(VLOOKUP($C333,'All Girls &amp; Descendants - Edit'!$C$2:$AK$440,'All Girls &amp; Descendants - Edit'!AE$1,FALSE)=""," - ",(VLOOKUP($C333,'All Girls &amp; Descendants - Edit'!$C$2:$AK$440,'All Girls &amp; Descendants - Edit'!AE$1,FALSE)))</f>
        <v>Sophie Charlotte  COLE (1992 - )</v>
      </c>
      <c r="AF333" s="3" t="str">
        <f>IF(VLOOKUP($C333,'All Girls &amp; Descendants - Edit'!$C$2:$AK$440,'All Girls &amp; Descendants - Edit'!AF$1,FALSE)=""," - ",(VLOOKUP($C333,'All Girls &amp; Descendants - Edit'!$C$2:$AK$440,'All Girls &amp; Descendants - Edit'!AF$1,FALSE)))</f>
        <v>Sophie COLE (8th &amp; 88)</v>
      </c>
      <c r="AG333" s="3" t="str">
        <f>IF(VLOOKUP($C333,'All Girls &amp; Descendants - Edit'!$C$2:$AK$440,'All Girls &amp; Descendants - Edit'!AG$1,FALSE)=""," - ",(VLOOKUP($C333,'All Girls &amp; Descendants - Edit'!$C$2:$AK$440,'All Girls &amp; Descendants - Edit'!AG$1,FALSE)))</f>
        <v>Male</v>
      </c>
      <c r="AH333" s="3" t="str">
        <f>IF(VLOOKUP($C333,'All Girls &amp; Descendants - Edit'!$C$2:$AK$440,'All Girls &amp; Descendants - Edit'!AH$1,FALSE)=""," - ",(VLOOKUP($C333,'All Girls &amp; Descendants - Edit'!$C$2:$AK$440,'All Girls &amp; Descendants - Edit'!AH$1,FALSE)))</f>
        <v>8th</v>
      </c>
      <c r="AI333" s="3" t="str">
        <f>IF(VLOOKUP($C333,'All Girls &amp; Descendants - Edit'!$C$2:$AK$440,'All Girls &amp; Descendants - Edit'!AI$1,FALSE)=""," - ",(VLOOKUP($C333,'All Girls &amp; Descendants - Edit'!$C$2:$AK$440,'All Girls &amp; Descendants - Edit'!AI$1,FALSE)))</f>
        <v>Unmarried</v>
      </c>
      <c r="AJ333" s="3" t="str">
        <f>IF(VLOOKUP($C333,'All Girls &amp; Descendants - Edit'!$C$2:$AK$440,'All Girls &amp; Descendants - Edit'!AJ$1,FALSE)=""," - ",(VLOOKUP($C333,'All Girls &amp; Descendants - Edit'!$C$2:$AK$440,'All Girls &amp; Descendants - Edit'!AJ$1,FALSE)))</f>
        <v>Male. b. 04/08/1992 Baptised May 1993 in Edinburgh.</v>
      </c>
      <c r="AK333" s="3" t="str">
        <f>IF(VLOOKUP($C333,'All Girls &amp; Descendants - Edit'!$C$2:$AK$440,'All Girls &amp; Descendants - Edit'!AK$1,FALSE)=""," - ",(VLOOKUP($C333,'All Girls &amp; Descendants - Edit'!$C$2:$AK$440,'All Girls &amp; Descendants - Edit'!AK$1,FALSE)))</f>
        <v>b. 04/08/1992</v>
      </c>
    </row>
    <row r="334" spans="1:37" ht="19">
      <c r="A334">
        <f>VLOOKUP(B334,'Loyd List 1-190 - Edit'!$P$1:$R$219,3,FALSE)</f>
        <v>66</v>
      </c>
      <c r="B334">
        <f>'All Girls &amp; Descendants - Edit'!B335</f>
        <v>88</v>
      </c>
      <c r="C334" s="98" t="str">
        <f>'All Girls &amp; Descendants - Edit'!C335</f>
        <v>88adb</v>
      </c>
      <c r="D334" s="2" t="str">
        <f>'All Girls &amp; Descendants - Edit'!D335</f>
        <v>COLE</v>
      </c>
      <c r="E334" t="str">
        <f>'All Girls &amp; Descendants - Edit'!E335</f>
        <v>Patrick</v>
      </c>
      <c r="F334" t="str">
        <f>IF('All Girls &amp; Descendants - Edit'!F335="","",'All Girls &amp; Descendants - Edit'!F335)</f>
        <v>James</v>
      </c>
      <c r="G334" t="str">
        <f>IF('All Girls &amp; Descendants - Edit'!G335="","",'All Girls &amp; Descendants - Edit'!G335)</f>
        <v/>
      </c>
      <c r="H334" t="str">
        <f>IF('All Girls &amp; Descendants - Edit'!H335="","",'All Girls &amp; Descendants - Edit'!H335)</f>
        <v/>
      </c>
      <c r="I334">
        <f>VLOOKUP($C334,'All Girls &amp; Descendants - Edit'!$C$2:$AK$440,'All Girls &amp; Descendants - Edit'!I$1,FALSE)</f>
        <v>1994</v>
      </c>
      <c r="J334" t="str">
        <f>VLOOKUP($C334,'All Girls &amp; Descendants - Edit'!$C$2:$AK$440,'All Girls &amp; Descendants - Edit'!J$1,FALSE)</f>
        <v/>
      </c>
      <c r="K334" s="9"/>
      <c r="L334" t="str">
        <f t="shared" si="39"/>
        <v>15/03/1994</v>
      </c>
      <c r="M334" s="3">
        <f>VLOOKUP($C334,'All Girls &amp; Descendants - Edit'!$C$2:$AK$440,'All Girls &amp; Descendants - Edit'!M$1,FALSE)</f>
        <v>34408</v>
      </c>
      <c r="N334" s="3" t="str">
        <f>IF(VLOOKUP($C334,'All Girls &amp; Descendants - Edit'!$C$2:$AK$440,'All Girls &amp; Descendants - Edit'!N$1,FALSE)=""," - ",(VLOOKUP($C334,'All Girls &amp; Descendants - Edit'!$C$2:$AK$440,'All Girls &amp; Descendants - Edit'!N$1,FALSE)))</f>
        <v xml:space="preserve"> - </v>
      </c>
      <c r="O334" s="3" t="str">
        <f>IF(VLOOKUP($C334,'All Girls &amp; Descendants - Edit'!$C$2:$AK$440,'All Girls &amp; Descendants - Edit'!O$1,FALSE)="","",(VLOOKUP($C334,'All Girls &amp; Descendants - Edit'!$C$2:$AK$440,'All Girls &amp; Descendants - Edit'!O$1,FALSE)))</f>
        <v/>
      </c>
      <c r="P334" s="3" t="str">
        <f t="shared" si="40"/>
        <v/>
      </c>
      <c r="Q334" s="178" t="str">
        <f t="shared" si="41"/>
        <v>88ad</v>
      </c>
      <c r="R334" s="23"/>
      <c r="S334" t="str">
        <f>VLOOKUP($C334,'All Girls &amp; Descendants - Edit'!$C$2:$AK$440,'All Girls &amp; Descendants - Edit'!S$1,FALSE)</f>
        <v>Female</v>
      </c>
      <c r="T334" s="176">
        <f t="shared" si="38"/>
        <v>8</v>
      </c>
      <c r="U334" s="176">
        <f t="shared" si="42"/>
        <v>5</v>
      </c>
      <c r="V334" s="176">
        <f t="shared" si="43"/>
        <v>5</v>
      </c>
      <c r="W334" s="177">
        <f t="shared" si="44"/>
        <v>3</v>
      </c>
      <c r="X334" s="3" t="str">
        <f>IF(VLOOKUP($C334,'All Girls &amp; Descendants - Edit'!$C$2:$AK$440,'All Girls &amp; Descendants - Edit'!X$1,FALSE)=""," - ",(VLOOKUP($C334,'All Girls &amp; Descendants - Edit'!$C$2:$AK$440,'All Girls &amp; Descendants - Edit'!X$1,FALSE)))</f>
        <v xml:space="preserve"> - </v>
      </c>
      <c r="Y334" s="3" t="str">
        <f>IF(VLOOKUP($C334,'All Girls &amp; Descendants - Edit'!$C$2:$AK$440,'All Girls &amp; Descendants - Edit'!Y$1,FALSE)=""," - ",(VLOOKUP($C334,'All Girls &amp; Descendants - Edit'!$C$2:$AK$440,'All Girls &amp; Descendants - Edit'!Y$1,FALSE)))</f>
        <v xml:space="preserve"> - </v>
      </c>
      <c r="Z334" s="3" t="str">
        <f>IF(VLOOKUP($C334,'All Girls &amp; Descendants - Edit'!$C$2:$AK$440,'All Girls &amp; Descendants - Edit'!Z$1,FALSE)=""," - ",(VLOOKUP($C334,'All Girls &amp; Descendants - Edit'!$C$2:$AK$440,'All Girls &amp; Descendants - Edit'!Z$1,FALSE)))</f>
        <v>Baptised Jan 1995 in Edinburgh.</v>
      </c>
      <c r="AA334" s="101">
        <f>IF(VLOOKUP($C334,'All Girls &amp; Descendants - Edit'!$C$2:$AK$440,'All Girls &amp; Descendants - Edit'!AA$1,FALSE)=""," - ",(VLOOKUP($C334,'All Girls &amp; Descendants - Edit'!$C$2:$AK$440,'All Girls &amp; Descendants - Edit'!AA$1,FALSE)))</f>
        <v>186</v>
      </c>
      <c r="AB334" s="101">
        <f>IF(VLOOKUP($C334,'All Girls &amp; Descendants - Edit'!$C$2:$AK$440,'All Girls &amp; Descendants - Edit'!AB$1,FALSE)=""," - ",(VLOOKUP($C334,'All Girls &amp; Descendants - Edit'!$C$2:$AK$440,'All Girls &amp; Descendants - Edit'!AB$1,FALSE)))</f>
        <v>43</v>
      </c>
      <c r="AC334" s="101">
        <f>IF(VLOOKUP($C334,'All Girls &amp; Descendants - Edit'!$C$2:$AK$440,'All Girls &amp; Descendants - Edit'!AC$1,FALSE)=""," - ",(VLOOKUP($C334,'All Girls &amp; Descendants - Edit'!$C$2:$AK$440,'All Girls &amp; Descendants - Edit'!AC$1,FALSE)))</f>
        <v>3043</v>
      </c>
      <c r="AD334" s="3" t="str">
        <f>IF(VLOOKUP($C334,'All Girls &amp; Descendants - Edit'!$C$2:$AK$440,'All Girls &amp; Descendants - Edit'!AD$1,FALSE)=""," - ",(VLOOKUP($C334,'All Girls &amp; Descendants - Edit'!$C$2:$AK$440,'All Girls &amp; Descendants - Edit'!AD$1,FALSE)))</f>
        <v>88adb</v>
      </c>
      <c r="AE334" s="3" t="str">
        <f>IF(VLOOKUP($C334,'All Girls &amp; Descendants - Edit'!$C$2:$AK$440,'All Girls &amp; Descendants - Edit'!AE$1,FALSE)=""," - ",(VLOOKUP($C334,'All Girls &amp; Descendants - Edit'!$C$2:$AK$440,'All Girls &amp; Descendants - Edit'!AE$1,FALSE)))</f>
        <v>Patrick James  COLE (1994 - )</v>
      </c>
      <c r="AF334" s="3" t="str">
        <f>IF(VLOOKUP($C334,'All Girls &amp; Descendants - Edit'!$C$2:$AK$440,'All Girls &amp; Descendants - Edit'!AF$1,FALSE)=""," - ",(VLOOKUP($C334,'All Girls &amp; Descendants - Edit'!$C$2:$AK$440,'All Girls &amp; Descendants - Edit'!AF$1,FALSE)))</f>
        <v>Patrick COLE (8th &amp; 88)</v>
      </c>
      <c r="AG334" s="3" t="str">
        <f>IF(VLOOKUP($C334,'All Girls &amp; Descendants - Edit'!$C$2:$AK$440,'All Girls &amp; Descendants - Edit'!AG$1,FALSE)=""," - ",(VLOOKUP($C334,'All Girls &amp; Descendants - Edit'!$C$2:$AK$440,'All Girls &amp; Descendants - Edit'!AG$1,FALSE)))</f>
        <v>Female</v>
      </c>
      <c r="AH334" s="3" t="str">
        <f>IF(VLOOKUP($C334,'All Girls &amp; Descendants - Edit'!$C$2:$AK$440,'All Girls &amp; Descendants - Edit'!AH$1,FALSE)=""," - ",(VLOOKUP($C334,'All Girls &amp; Descendants - Edit'!$C$2:$AK$440,'All Girls &amp; Descendants - Edit'!AH$1,FALSE)))</f>
        <v>8th</v>
      </c>
      <c r="AI334" s="3" t="str">
        <f>IF(VLOOKUP($C334,'All Girls &amp; Descendants - Edit'!$C$2:$AK$440,'All Girls &amp; Descendants - Edit'!AI$1,FALSE)=""," - ",(VLOOKUP($C334,'All Girls &amp; Descendants - Edit'!$C$2:$AK$440,'All Girls &amp; Descendants - Edit'!AI$1,FALSE)))</f>
        <v>Unmarried</v>
      </c>
      <c r="AJ334" s="3" t="str">
        <f>IF(VLOOKUP($C334,'All Girls &amp; Descendants - Edit'!$C$2:$AK$440,'All Girls &amp; Descendants - Edit'!AJ$1,FALSE)=""," - ",(VLOOKUP($C334,'All Girls &amp; Descendants - Edit'!$C$2:$AK$440,'All Girls &amp; Descendants - Edit'!AJ$1,FALSE)))</f>
        <v>Female. b. 15/03/1994 Baptised Jan 1995 in Edinburgh.</v>
      </c>
      <c r="AK334" s="3" t="str">
        <f>IF(VLOOKUP($C334,'All Girls &amp; Descendants - Edit'!$C$2:$AK$440,'All Girls &amp; Descendants - Edit'!AK$1,FALSE)=""," - ",(VLOOKUP($C334,'All Girls &amp; Descendants - Edit'!$C$2:$AK$440,'All Girls &amp; Descendants - Edit'!AK$1,FALSE)))</f>
        <v>b. 15/03/1994</v>
      </c>
    </row>
    <row r="335" spans="1:37" ht="19">
      <c r="A335">
        <f>VLOOKUP(B335,'Loyd List 1-190 - Edit'!$P$1:$R$219,3,FALSE)</f>
        <v>54</v>
      </c>
      <c r="B335">
        <f>'All Girls &amp; Descendants - Edit'!B336</f>
        <v>92</v>
      </c>
      <c r="C335" s="98" t="str">
        <f>'All Girls &amp; Descendants - Edit'!C336</f>
        <v>92aaa</v>
      </c>
      <c r="D335" s="2" t="str">
        <f>'All Girls &amp; Descendants - Edit'!D336</f>
        <v>TATTON-BROWN</v>
      </c>
      <c r="E335" t="str">
        <f>'All Girls &amp; Descendants - Edit'!E336</f>
        <v>Jake</v>
      </c>
      <c r="F335" t="str">
        <f>IF('All Girls &amp; Descendants - Edit'!F336="","",'All Girls &amp; Descendants - Edit'!F336)</f>
        <v>Michael</v>
      </c>
      <c r="G335" t="str">
        <f>IF('All Girls &amp; Descendants - Edit'!G336="","",'All Girls &amp; Descendants - Edit'!G336)</f>
        <v/>
      </c>
      <c r="H335" t="str">
        <f>IF('All Girls &amp; Descendants - Edit'!H336="","",'All Girls &amp; Descendants - Edit'!H336)</f>
        <v/>
      </c>
      <c r="I335">
        <f>VLOOKUP($C335,'All Girls &amp; Descendants - Edit'!$C$2:$AK$440,'All Girls &amp; Descendants - Edit'!I$1,FALSE)</f>
        <v>2016</v>
      </c>
      <c r="J335" t="str">
        <f>VLOOKUP($C335,'All Girls &amp; Descendants - Edit'!$C$2:$AK$440,'All Girls &amp; Descendants - Edit'!J$1,FALSE)</f>
        <v/>
      </c>
      <c r="K335" s="9"/>
      <c r="L335" t="str">
        <f t="shared" si="39"/>
        <v>02/07/2016</v>
      </c>
      <c r="M335" s="3">
        <f>VLOOKUP($C335,'All Girls &amp; Descendants - Edit'!$C$2:$AK$440,'All Girls &amp; Descendants - Edit'!M$1,FALSE)</f>
        <v>42553</v>
      </c>
      <c r="N335" s="3" t="str">
        <f>IF(VLOOKUP($C335,'All Girls &amp; Descendants - Edit'!$C$2:$AK$440,'All Girls &amp; Descendants - Edit'!N$1,FALSE)=""," - ",(VLOOKUP($C335,'All Girls &amp; Descendants - Edit'!$C$2:$AK$440,'All Girls &amp; Descendants - Edit'!N$1,FALSE)))</f>
        <v xml:space="preserve"> - </v>
      </c>
      <c r="O335" s="3" t="str">
        <f>IF(VLOOKUP($C335,'All Girls &amp; Descendants - Edit'!$C$2:$AK$440,'All Girls &amp; Descendants - Edit'!O$1,FALSE)="","",(VLOOKUP($C335,'All Girls &amp; Descendants - Edit'!$C$2:$AK$440,'All Girls &amp; Descendants - Edit'!O$1,FALSE)))</f>
        <v/>
      </c>
      <c r="P335" s="3" t="str">
        <f t="shared" si="40"/>
        <v/>
      </c>
      <c r="Q335" s="178" t="str">
        <f t="shared" si="41"/>
        <v>92aa</v>
      </c>
      <c r="R335" s="23"/>
      <c r="S335" t="str">
        <f>VLOOKUP($C335,'All Girls &amp; Descendants - Edit'!$C$2:$AK$440,'All Girls &amp; Descendants - Edit'!S$1,FALSE)</f>
        <v>Male</v>
      </c>
      <c r="T335" s="176">
        <f t="shared" si="38"/>
        <v>8</v>
      </c>
      <c r="U335" s="176">
        <f t="shared" si="42"/>
        <v>5</v>
      </c>
      <c r="V335" s="176">
        <f t="shared" si="43"/>
        <v>5</v>
      </c>
      <c r="W335" s="177">
        <f t="shared" si="44"/>
        <v>3</v>
      </c>
      <c r="X335" s="3" t="str">
        <f>IF(VLOOKUP($C335,'All Girls &amp; Descendants - Edit'!$C$2:$AK$440,'All Girls &amp; Descendants - Edit'!X$1,FALSE)=""," - ",(VLOOKUP($C335,'All Girls &amp; Descendants - Edit'!$C$2:$AK$440,'All Girls &amp; Descendants - Edit'!X$1,FALSE)))</f>
        <v xml:space="preserve"> - </v>
      </c>
      <c r="Y335" s="3" t="str">
        <f>IF(VLOOKUP($C335,'All Girls &amp; Descendants - Edit'!$C$2:$AK$440,'All Girls &amp; Descendants - Edit'!Y$1,FALSE)=""," - ",(VLOOKUP($C335,'All Girls &amp; Descendants - Edit'!$C$2:$AK$440,'All Girls &amp; Descendants - Edit'!Y$1,FALSE)))</f>
        <v xml:space="preserve"> - </v>
      </c>
      <c r="Z335" s="3" t="str">
        <f>IF(VLOOKUP($C335,'All Girls &amp; Descendants - Edit'!$C$2:$AK$440,'All Girls &amp; Descendants - Edit'!Z$1,FALSE)=""," - ",(VLOOKUP($C335,'All Girls &amp; Descendants - Edit'!$C$2:$AK$440,'All Girls &amp; Descendants - Edit'!Z$1,FALSE)))</f>
        <v xml:space="preserve"> - </v>
      </c>
      <c r="AA335" s="101" t="str">
        <f>IF(VLOOKUP($C335,'All Girls &amp; Descendants - Edit'!$C$2:$AK$440,'All Girls &amp; Descendants - Edit'!AA$1,FALSE)=""," - ",(VLOOKUP($C335,'All Girls &amp; Descendants - Edit'!$C$2:$AK$440,'All Girls &amp; Descendants - Edit'!AA$1,FALSE)))</f>
        <v xml:space="preserve"> - </v>
      </c>
      <c r="AB335" s="101">
        <f>IF(VLOOKUP($C335,'All Girls &amp; Descendants - Edit'!$C$2:$AK$440,'All Girls &amp; Descendants - Edit'!AB$1,FALSE)=""," - ",(VLOOKUP($C335,'All Girls &amp; Descendants - Edit'!$C$2:$AK$440,'All Girls &amp; Descendants - Edit'!AB$1,FALSE)))</f>
        <v>44</v>
      </c>
      <c r="AC335" s="101">
        <f>IF(VLOOKUP($C335,'All Girls &amp; Descendants - Edit'!$C$2:$AK$440,'All Girls &amp; Descendants - Edit'!AC$1,FALSE)=""," - ",(VLOOKUP($C335,'All Girls &amp; Descendants - Edit'!$C$2:$AK$440,'All Girls &amp; Descendants - Edit'!AC$1,FALSE)))</f>
        <v>3044</v>
      </c>
      <c r="AD335" s="3" t="str">
        <f>IF(VLOOKUP($C335,'All Girls &amp; Descendants - Edit'!$C$2:$AK$440,'All Girls &amp; Descendants - Edit'!AD$1,FALSE)=""," - ",(VLOOKUP($C335,'All Girls &amp; Descendants - Edit'!$C$2:$AK$440,'All Girls &amp; Descendants - Edit'!AD$1,FALSE)))</f>
        <v>92aaa</v>
      </c>
      <c r="AE335" s="3" t="str">
        <f>IF(VLOOKUP($C335,'All Girls &amp; Descendants - Edit'!$C$2:$AK$440,'All Girls &amp; Descendants - Edit'!AE$1,FALSE)=""," - ",(VLOOKUP($C335,'All Girls &amp; Descendants - Edit'!$C$2:$AK$440,'All Girls &amp; Descendants - Edit'!AE$1,FALSE)))</f>
        <v>Jake Michael  TATTON-BROWN (2016 - )</v>
      </c>
      <c r="AF335" s="3" t="str">
        <f>IF(VLOOKUP($C335,'All Girls &amp; Descendants - Edit'!$C$2:$AK$440,'All Girls &amp; Descendants - Edit'!AF$1,FALSE)=""," - ",(VLOOKUP($C335,'All Girls &amp; Descendants - Edit'!$C$2:$AK$440,'All Girls &amp; Descendants - Edit'!AF$1,FALSE)))</f>
        <v>Jake TATTON-BROWN (8th &amp; 92)</v>
      </c>
      <c r="AG335" s="3" t="str">
        <f>IF(VLOOKUP($C335,'All Girls &amp; Descendants - Edit'!$C$2:$AK$440,'All Girls &amp; Descendants - Edit'!AG$1,FALSE)=""," - ",(VLOOKUP($C335,'All Girls &amp; Descendants - Edit'!$C$2:$AK$440,'All Girls &amp; Descendants - Edit'!AG$1,FALSE)))</f>
        <v>Male</v>
      </c>
      <c r="AH335" s="3" t="str">
        <f>IF(VLOOKUP($C335,'All Girls &amp; Descendants - Edit'!$C$2:$AK$440,'All Girls &amp; Descendants - Edit'!AH$1,FALSE)=""," - ",(VLOOKUP($C335,'All Girls &amp; Descendants - Edit'!$C$2:$AK$440,'All Girls &amp; Descendants - Edit'!AH$1,FALSE)))</f>
        <v>8th</v>
      </c>
      <c r="AI335" s="3" t="str">
        <f>IF(VLOOKUP($C335,'All Girls &amp; Descendants - Edit'!$C$2:$AK$440,'All Girls &amp; Descendants - Edit'!AI$1,FALSE)=""," - ",(VLOOKUP($C335,'All Girls &amp; Descendants - Edit'!$C$2:$AK$440,'All Girls &amp; Descendants - Edit'!AI$1,FALSE)))</f>
        <v>Unmarried</v>
      </c>
      <c r="AJ335" s="3" t="str">
        <f>IF(VLOOKUP($C335,'All Girls &amp; Descendants - Edit'!$C$2:$AK$440,'All Girls &amp; Descendants - Edit'!AJ$1,FALSE)=""," - ",(VLOOKUP($C335,'All Girls &amp; Descendants - Edit'!$C$2:$AK$440,'All Girls &amp; Descendants - Edit'!AJ$1,FALSE)))</f>
        <v>Male. b. 02/07/2016</v>
      </c>
      <c r="AK335" s="3" t="str">
        <f>IF(VLOOKUP($C335,'All Girls &amp; Descendants - Edit'!$C$2:$AK$440,'All Girls &amp; Descendants - Edit'!AK$1,FALSE)=""," - ",(VLOOKUP($C335,'All Girls &amp; Descendants - Edit'!$C$2:$AK$440,'All Girls &amp; Descendants - Edit'!AK$1,FALSE)))</f>
        <v>b. 02/07/2016</v>
      </c>
    </row>
    <row r="336" spans="1:37" ht="19">
      <c r="A336">
        <f>VLOOKUP(B336,'Loyd List 1-190 - Edit'!$P$1:$R$219,3,FALSE)</f>
        <v>54</v>
      </c>
      <c r="B336">
        <f>'All Girls &amp; Descendants - Edit'!B337</f>
        <v>92</v>
      </c>
      <c r="C336" s="98" t="str">
        <f>'All Girls &amp; Descendants - Edit'!C337</f>
        <v>92aab</v>
      </c>
      <c r="D336" s="2" t="str">
        <f>'All Girls &amp; Descendants - Edit'!D337</f>
        <v>TATTON-BROWN</v>
      </c>
      <c r="E336" t="str">
        <f>'All Girls &amp; Descendants - Edit'!E337</f>
        <v>Zachery</v>
      </c>
      <c r="F336" t="str">
        <f>IF('All Girls &amp; Descendants - Edit'!F337="","",'All Girls &amp; Descendants - Edit'!F337)</f>
        <v>Finn</v>
      </c>
      <c r="G336" t="str">
        <f>IF('All Girls &amp; Descendants - Edit'!G337="","",'All Girls &amp; Descendants - Edit'!G337)</f>
        <v/>
      </c>
      <c r="H336" t="str">
        <f>IF('All Girls &amp; Descendants - Edit'!H337="","",'All Girls &amp; Descendants - Edit'!H337)</f>
        <v/>
      </c>
      <c r="I336">
        <f>VLOOKUP($C336,'All Girls &amp; Descendants - Edit'!$C$2:$AK$440,'All Girls &amp; Descendants - Edit'!I$1,FALSE)</f>
        <v>2016</v>
      </c>
      <c r="J336" t="str">
        <f>VLOOKUP($C336,'All Girls &amp; Descendants - Edit'!$C$2:$AK$440,'All Girls &amp; Descendants - Edit'!J$1,FALSE)</f>
        <v/>
      </c>
      <c r="K336" s="9"/>
      <c r="L336" t="str">
        <f t="shared" si="39"/>
        <v>08/07/2016</v>
      </c>
      <c r="M336" s="3">
        <f>VLOOKUP($C336,'All Girls &amp; Descendants - Edit'!$C$2:$AK$440,'All Girls &amp; Descendants - Edit'!M$1,FALSE)</f>
        <v>42559</v>
      </c>
      <c r="N336" s="3" t="str">
        <f>IF(VLOOKUP($C336,'All Girls &amp; Descendants - Edit'!$C$2:$AK$440,'All Girls &amp; Descendants - Edit'!N$1,FALSE)=""," - ",(VLOOKUP($C336,'All Girls &amp; Descendants - Edit'!$C$2:$AK$440,'All Girls &amp; Descendants - Edit'!N$1,FALSE)))</f>
        <v xml:space="preserve"> - </v>
      </c>
      <c r="O336" s="3" t="str">
        <f>IF(VLOOKUP($C336,'All Girls &amp; Descendants - Edit'!$C$2:$AK$440,'All Girls &amp; Descendants - Edit'!O$1,FALSE)="","",(VLOOKUP($C336,'All Girls &amp; Descendants - Edit'!$C$2:$AK$440,'All Girls &amp; Descendants - Edit'!O$1,FALSE)))</f>
        <v/>
      </c>
      <c r="P336" s="3" t="str">
        <f t="shared" si="40"/>
        <v/>
      </c>
      <c r="Q336" s="178" t="str">
        <f t="shared" si="41"/>
        <v>92aa</v>
      </c>
      <c r="R336" s="23"/>
      <c r="S336" t="str">
        <f>VLOOKUP($C336,'All Girls &amp; Descendants - Edit'!$C$2:$AK$440,'All Girls &amp; Descendants - Edit'!S$1,FALSE)</f>
        <v>Male</v>
      </c>
      <c r="T336" s="176">
        <f t="shared" si="38"/>
        <v>8</v>
      </c>
      <c r="U336" s="176">
        <f t="shared" si="42"/>
        <v>5</v>
      </c>
      <c r="V336" s="176">
        <f t="shared" si="43"/>
        <v>5</v>
      </c>
      <c r="W336" s="177">
        <f t="shared" si="44"/>
        <v>3</v>
      </c>
      <c r="X336" s="3" t="str">
        <f>IF(VLOOKUP($C336,'All Girls &amp; Descendants - Edit'!$C$2:$AK$440,'All Girls &amp; Descendants - Edit'!X$1,FALSE)=""," - ",(VLOOKUP($C336,'All Girls &amp; Descendants - Edit'!$C$2:$AK$440,'All Girls &amp; Descendants - Edit'!X$1,FALSE)))</f>
        <v xml:space="preserve"> - </v>
      </c>
      <c r="Y336" s="3" t="str">
        <f>IF(VLOOKUP($C336,'All Girls &amp; Descendants - Edit'!$C$2:$AK$440,'All Girls &amp; Descendants - Edit'!Y$1,FALSE)=""," - ",(VLOOKUP($C336,'All Girls &amp; Descendants - Edit'!$C$2:$AK$440,'All Girls &amp; Descendants - Edit'!Y$1,FALSE)))</f>
        <v xml:space="preserve"> - </v>
      </c>
      <c r="Z336" s="3" t="str">
        <f>IF(VLOOKUP($C336,'All Girls &amp; Descendants - Edit'!$C$2:$AK$440,'All Girls &amp; Descendants - Edit'!Z$1,FALSE)=""," - ",(VLOOKUP($C336,'All Girls &amp; Descendants - Edit'!$C$2:$AK$440,'All Girls &amp; Descendants - Edit'!Z$1,FALSE)))</f>
        <v xml:space="preserve"> - </v>
      </c>
      <c r="AA336" s="101" t="str">
        <f>IF(VLOOKUP($C336,'All Girls &amp; Descendants - Edit'!$C$2:$AK$440,'All Girls &amp; Descendants - Edit'!AA$1,FALSE)=""," - ",(VLOOKUP($C336,'All Girls &amp; Descendants - Edit'!$C$2:$AK$440,'All Girls &amp; Descendants - Edit'!AA$1,FALSE)))</f>
        <v xml:space="preserve"> - </v>
      </c>
      <c r="AB336" s="101">
        <f>IF(VLOOKUP($C336,'All Girls &amp; Descendants - Edit'!$C$2:$AK$440,'All Girls &amp; Descendants - Edit'!AB$1,FALSE)=""," - ",(VLOOKUP($C336,'All Girls &amp; Descendants - Edit'!$C$2:$AK$440,'All Girls &amp; Descendants - Edit'!AB$1,FALSE)))</f>
        <v>45</v>
      </c>
      <c r="AC336" s="101">
        <f>IF(VLOOKUP($C336,'All Girls &amp; Descendants - Edit'!$C$2:$AK$440,'All Girls &amp; Descendants - Edit'!AC$1,FALSE)=""," - ",(VLOOKUP($C336,'All Girls &amp; Descendants - Edit'!$C$2:$AK$440,'All Girls &amp; Descendants - Edit'!AC$1,FALSE)))</f>
        <v>3045</v>
      </c>
      <c r="AD336" s="3" t="str">
        <f>IF(VLOOKUP($C336,'All Girls &amp; Descendants - Edit'!$C$2:$AK$440,'All Girls &amp; Descendants - Edit'!AD$1,FALSE)=""," - ",(VLOOKUP($C336,'All Girls &amp; Descendants - Edit'!$C$2:$AK$440,'All Girls &amp; Descendants - Edit'!AD$1,FALSE)))</f>
        <v>92aab</v>
      </c>
      <c r="AE336" s="3" t="str">
        <f>IF(VLOOKUP($C336,'All Girls &amp; Descendants - Edit'!$C$2:$AK$440,'All Girls &amp; Descendants - Edit'!AE$1,FALSE)=""," - ",(VLOOKUP($C336,'All Girls &amp; Descendants - Edit'!$C$2:$AK$440,'All Girls &amp; Descendants - Edit'!AE$1,FALSE)))</f>
        <v>Zachery Finn  TATTON-BROWN (2016 - )</v>
      </c>
      <c r="AF336" s="3" t="str">
        <f>IF(VLOOKUP($C336,'All Girls &amp; Descendants - Edit'!$C$2:$AK$440,'All Girls &amp; Descendants - Edit'!AF$1,FALSE)=""," - ",(VLOOKUP($C336,'All Girls &amp; Descendants - Edit'!$C$2:$AK$440,'All Girls &amp; Descendants - Edit'!AF$1,FALSE)))</f>
        <v>Zachery TATTON-BROWN (8th &amp; 92)</v>
      </c>
      <c r="AG336" s="3" t="str">
        <f>IF(VLOOKUP($C336,'All Girls &amp; Descendants - Edit'!$C$2:$AK$440,'All Girls &amp; Descendants - Edit'!AG$1,FALSE)=""," - ",(VLOOKUP($C336,'All Girls &amp; Descendants - Edit'!$C$2:$AK$440,'All Girls &amp; Descendants - Edit'!AG$1,FALSE)))</f>
        <v>Male</v>
      </c>
      <c r="AH336" s="3" t="str">
        <f>IF(VLOOKUP($C336,'All Girls &amp; Descendants - Edit'!$C$2:$AK$440,'All Girls &amp; Descendants - Edit'!AH$1,FALSE)=""," - ",(VLOOKUP($C336,'All Girls &amp; Descendants - Edit'!$C$2:$AK$440,'All Girls &amp; Descendants - Edit'!AH$1,FALSE)))</f>
        <v>8th</v>
      </c>
      <c r="AI336" s="3" t="str">
        <f>IF(VLOOKUP($C336,'All Girls &amp; Descendants - Edit'!$C$2:$AK$440,'All Girls &amp; Descendants - Edit'!AI$1,FALSE)=""," - ",(VLOOKUP($C336,'All Girls &amp; Descendants - Edit'!$C$2:$AK$440,'All Girls &amp; Descendants - Edit'!AI$1,FALSE)))</f>
        <v>Unmarried</v>
      </c>
      <c r="AJ336" s="3" t="str">
        <f>IF(VLOOKUP($C336,'All Girls &amp; Descendants - Edit'!$C$2:$AK$440,'All Girls &amp; Descendants - Edit'!AJ$1,FALSE)=""," - ",(VLOOKUP($C336,'All Girls &amp; Descendants - Edit'!$C$2:$AK$440,'All Girls &amp; Descendants - Edit'!AJ$1,FALSE)))</f>
        <v>Male. b. 08/07/2016</v>
      </c>
      <c r="AK336" s="3" t="str">
        <f>IF(VLOOKUP($C336,'All Girls &amp; Descendants - Edit'!$C$2:$AK$440,'All Girls &amp; Descendants - Edit'!AK$1,FALSE)=""," - ",(VLOOKUP($C336,'All Girls &amp; Descendants - Edit'!$C$2:$AK$440,'All Girls &amp; Descendants - Edit'!AK$1,FALSE)))</f>
        <v>b. 08/07/2016</v>
      </c>
    </row>
    <row r="337" spans="1:37" ht="19">
      <c r="A337">
        <f>VLOOKUP(B337,'Loyd List 1-190 - Edit'!$P$1:$R$219,3,FALSE)</f>
        <v>54</v>
      </c>
      <c r="B337">
        <f>'All Girls &amp; Descendants - Edit'!B338</f>
        <v>92</v>
      </c>
      <c r="C337" s="98" t="str">
        <f>'All Girls &amp; Descendants - Edit'!C338</f>
        <v>92aca</v>
      </c>
      <c r="D337" s="2" t="str">
        <f>'All Girls &amp; Descendants - Edit'!D338</f>
        <v>BATTEY</v>
      </c>
      <c r="E337" t="str">
        <f>'All Girls &amp; Descendants - Edit'!E338</f>
        <v>Maia</v>
      </c>
      <c r="F337" t="str">
        <f>IF('All Girls &amp; Descendants - Edit'!F338="","",'All Girls &amp; Descendants - Edit'!F338)</f>
        <v>Veronica</v>
      </c>
      <c r="G337" t="str">
        <f>IF('All Girls &amp; Descendants - Edit'!G338="","",'All Girls &amp; Descendants - Edit'!G338)</f>
        <v>Kaur</v>
      </c>
      <c r="H337" t="str">
        <f>IF('All Girls &amp; Descendants - Edit'!H338="","",'All Girls &amp; Descendants - Edit'!H338)</f>
        <v/>
      </c>
      <c r="I337">
        <f>VLOOKUP($C337,'All Girls &amp; Descendants - Edit'!$C$2:$AK$440,'All Girls &amp; Descendants - Edit'!I$1,FALSE)</f>
        <v>2014</v>
      </c>
      <c r="J337" t="str">
        <f>VLOOKUP($C337,'All Girls &amp; Descendants - Edit'!$C$2:$AK$440,'All Girls &amp; Descendants - Edit'!J$1,FALSE)</f>
        <v/>
      </c>
      <c r="K337" s="9"/>
      <c r="L337" t="str">
        <f t="shared" si="39"/>
        <v>10/12/2014</v>
      </c>
      <c r="M337" s="3">
        <f>VLOOKUP($C337,'All Girls &amp; Descendants - Edit'!$C$2:$AK$440,'All Girls &amp; Descendants - Edit'!M$1,FALSE)</f>
        <v>41983</v>
      </c>
      <c r="N337" s="3" t="str">
        <f>IF(VLOOKUP($C337,'All Girls &amp; Descendants - Edit'!$C$2:$AK$440,'All Girls &amp; Descendants - Edit'!N$1,FALSE)=""," - ",(VLOOKUP($C337,'All Girls &amp; Descendants - Edit'!$C$2:$AK$440,'All Girls &amp; Descendants - Edit'!N$1,FALSE)))</f>
        <v xml:space="preserve"> - </v>
      </c>
      <c r="O337" s="3" t="str">
        <f>IF(VLOOKUP($C337,'All Girls &amp; Descendants - Edit'!$C$2:$AK$440,'All Girls &amp; Descendants - Edit'!O$1,FALSE)="","",(VLOOKUP($C337,'All Girls &amp; Descendants - Edit'!$C$2:$AK$440,'All Girls &amp; Descendants - Edit'!O$1,FALSE)))</f>
        <v/>
      </c>
      <c r="P337" s="3" t="str">
        <f t="shared" si="40"/>
        <v/>
      </c>
      <c r="Q337" s="178" t="str">
        <f t="shared" si="41"/>
        <v>92ac</v>
      </c>
      <c r="R337" s="23"/>
      <c r="S337" t="str">
        <f>VLOOKUP($C337,'All Girls &amp; Descendants - Edit'!$C$2:$AK$440,'All Girls &amp; Descendants - Edit'!S$1,FALSE)</f>
        <v>Female</v>
      </c>
      <c r="T337" s="176">
        <f t="shared" si="38"/>
        <v>8</v>
      </c>
      <c r="U337" s="176">
        <f t="shared" si="42"/>
        <v>5</v>
      </c>
      <c r="V337" s="176">
        <f t="shared" si="43"/>
        <v>5</v>
      </c>
      <c r="W337" s="177">
        <f t="shared" si="44"/>
        <v>3</v>
      </c>
      <c r="X337" s="3" t="str">
        <f>IF(VLOOKUP($C337,'All Girls &amp; Descendants - Edit'!$C$2:$AK$440,'All Girls &amp; Descendants - Edit'!X$1,FALSE)=""," - ",(VLOOKUP($C337,'All Girls &amp; Descendants - Edit'!$C$2:$AK$440,'All Girls &amp; Descendants - Edit'!X$1,FALSE)))</f>
        <v xml:space="preserve"> - </v>
      </c>
      <c r="Y337" s="3" t="str">
        <f>IF(VLOOKUP($C337,'All Girls &amp; Descendants - Edit'!$C$2:$AK$440,'All Girls &amp; Descendants - Edit'!Y$1,FALSE)=""," - ",(VLOOKUP($C337,'All Girls &amp; Descendants - Edit'!$C$2:$AK$440,'All Girls &amp; Descendants - Edit'!Y$1,FALSE)))</f>
        <v xml:space="preserve"> - </v>
      </c>
      <c r="Z337" s="3" t="str">
        <f>IF(VLOOKUP($C337,'All Girls &amp; Descendants - Edit'!$C$2:$AK$440,'All Girls &amp; Descendants - Edit'!Z$1,FALSE)=""," - ",(VLOOKUP($C337,'All Girls &amp; Descendants - Edit'!$C$2:$AK$440,'All Girls &amp; Descendants - Edit'!Z$1,FALSE)))</f>
        <v xml:space="preserve"> - </v>
      </c>
      <c r="AA337" s="101" t="str">
        <f>IF(VLOOKUP($C337,'All Girls &amp; Descendants - Edit'!$C$2:$AK$440,'All Girls &amp; Descendants - Edit'!AA$1,FALSE)=""," - ",(VLOOKUP($C337,'All Girls &amp; Descendants - Edit'!$C$2:$AK$440,'All Girls &amp; Descendants - Edit'!AA$1,FALSE)))</f>
        <v xml:space="preserve"> - </v>
      </c>
      <c r="AB337" s="101">
        <f>IF(VLOOKUP($C337,'All Girls &amp; Descendants - Edit'!$C$2:$AK$440,'All Girls &amp; Descendants - Edit'!AB$1,FALSE)=""," - ",(VLOOKUP($C337,'All Girls &amp; Descendants - Edit'!$C$2:$AK$440,'All Girls &amp; Descendants - Edit'!AB$1,FALSE)))</f>
        <v>46</v>
      </c>
      <c r="AC337" s="101">
        <f>IF(VLOOKUP($C337,'All Girls &amp; Descendants - Edit'!$C$2:$AK$440,'All Girls &amp; Descendants - Edit'!AC$1,FALSE)=""," - ",(VLOOKUP($C337,'All Girls &amp; Descendants - Edit'!$C$2:$AK$440,'All Girls &amp; Descendants - Edit'!AC$1,FALSE)))</f>
        <v>3046</v>
      </c>
      <c r="AD337" s="3" t="str">
        <f>IF(VLOOKUP($C337,'All Girls &amp; Descendants - Edit'!$C$2:$AK$440,'All Girls &amp; Descendants - Edit'!AD$1,FALSE)=""," - ",(VLOOKUP($C337,'All Girls &amp; Descendants - Edit'!$C$2:$AK$440,'All Girls &amp; Descendants - Edit'!AD$1,FALSE)))</f>
        <v>92aca</v>
      </c>
      <c r="AE337" s="3" t="str">
        <f>IF(VLOOKUP($C337,'All Girls &amp; Descendants - Edit'!$C$2:$AK$440,'All Girls &amp; Descendants - Edit'!AE$1,FALSE)=""," - ",(VLOOKUP($C337,'All Girls &amp; Descendants - Edit'!$C$2:$AK$440,'All Girls &amp; Descendants - Edit'!AE$1,FALSE)))</f>
        <v>Maia Veronica Kaur BATTEY (2014 - )</v>
      </c>
      <c r="AF337" s="3" t="str">
        <f>IF(VLOOKUP($C337,'All Girls &amp; Descendants - Edit'!$C$2:$AK$440,'All Girls &amp; Descendants - Edit'!AF$1,FALSE)=""," - ",(VLOOKUP($C337,'All Girls &amp; Descendants - Edit'!$C$2:$AK$440,'All Girls &amp; Descendants - Edit'!AF$1,FALSE)))</f>
        <v>Maia BATTEY (8th &amp; 92)</v>
      </c>
      <c r="AG337" s="3" t="str">
        <f>IF(VLOOKUP($C337,'All Girls &amp; Descendants - Edit'!$C$2:$AK$440,'All Girls &amp; Descendants - Edit'!AG$1,FALSE)=""," - ",(VLOOKUP($C337,'All Girls &amp; Descendants - Edit'!$C$2:$AK$440,'All Girls &amp; Descendants - Edit'!AG$1,FALSE)))</f>
        <v>Female</v>
      </c>
      <c r="AH337" s="3" t="str">
        <f>IF(VLOOKUP($C337,'All Girls &amp; Descendants - Edit'!$C$2:$AK$440,'All Girls &amp; Descendants - Edit'!AH$1,FALSE)=""," - ",(VLOOKUP($C337,'All Girls &amp; Descendants - Edit'!$C$2:$AK$440,'All Girls &amp; Descendants - Edit'!AH$1,FALSE)))</f>
        <v>8th</v>
      </c>
      <c r="AI337" s="3" t="str">
        <f>IF(VLOOKUP($C337,'All Girls &amp; Descendants - Edit'!$C$2:$AK$440,'All Girls &amp; Descendants - Edit'!AI$1,FALSE)=""," - ",(VLOOKUP($C337,'All Girls &amp; Descendants - Edit'!$C$2:$AK$440,'All Girls &amp; Descendants - Edit'!AI$1,FALSE)))</f>
        <v>Unmarried</v>
      </c>
      <c r="AJ337" s="3" t="str">
        <f>IF(VLOOKUP($C337,'All Girls &amp; Descendants - Edit'!$C$2:$AK$440,'All Girls &amp; Descendants - Edit'!AJ$1,FALSE)=""," - ",(VLOOKUP($C337,'All Girls &amp; Descendants - Edit'!$C$2:$AK$440,'All Girls &amp; Descendants - Edit'!AJ$1,FALSE)))</f>
        <v>Female. b. 10/12/2014</v>
      </c>
      <c r="AK337" s="3" t="str">
        <f>IF(VLOOKUP($C337,'All Girls &amp; Descendants - Edit'!$C$2:$AK$440,'All Girls &amp; Descendants - Edit'!AK$1,FALSE)=""," - ",(VLOOKUP($C337,'All Girls &amp; Descendants - Edit'!$C$2:$AK$440,'All Girls &amp; Descendants - Edit'!AK$1,FALSE)))</f>
        <v>b. 10/12/2014</v>
      </c>
    </row>
    <row r="338" spans="1:37" ht="19">
      <c r="A338">
        <f>VLOOKUP(B338,'Loyd List 1-190 - Edit'!$P$1:$R$219,3,FALSE)</f>
        <v>54</v>
      </c>
      <c r="B338">
        <f>'All Girls &amp; Descendants - Edit'!B339</f>
        <v>92</v>
      </c>
      <c r="C338" s="98" t="str">
        <f>'All Girls &amp; Descendants - Edit'!C339</f>
        <v>92acb</v>
      </c>
      <c r="D338" s="2" t="str">
        <f>'All Girls &amp; Descendants - Edit'!D339</f>
        <v>BATTEY</v>
      </c>
      <c r="E338" t="str">
        <f>'All Girls &amp; Descendants - Edit'!E339</f>
        <v>Cara</v>
      </c>
      <c r="F338" t="str">
        <f>IF('All Girls &amp; Descendants - Edit'!F339="","",'All Girls &amp; Descendants - Edit'!F339)</f>
        <v>Ann</v>
      </c>
      <c r="G338" t="str">
        <f>IF('All Girls &amp; Descendants - Edit'!G339="","",'All Girls &amp; Descendants - Edit'!G339)</f>
        <v>Rose</v>
      </c>
      <c r="H338" t="str">
        <f>IF('All Girls &amp; Descendants - Edit'!H339="","",'All Girls &amp; Descendants - Edit'!H339)</f>
        <v/>
      </c>
      <c r="I338">
        <f>VLOOKUP($C338,'All Girls &amp; Descendants - Edit'!$C$2:$AK$440,'All Girls &amp; Descendants - Edit'!I$1,FALSE)</f>
        <v>2017</v>
      </c>
      <c r="J338" t="str">
        <f>VLOOKUP($C338,'All Girls &amp; Descendants - Edit'!$C$2:$AK$440,'All Girls &amp; Descendants - Edit'!J$1,FALSE)</f>
        <v/>
      </c>
      <c r="K338" s="9"/>
      <c r="L338" t="str">
        <f t="shared" si="39"/>
        <v>21/02/2017</v>
      </c>
      <c r="M338" s="3">
        <f>VLOOKUP($C338,'All Girls &amp; Descendants - Edit'!$C$2:$AK$440,'All Girls &amp; Descendants - Edit'!M$1,FALSE)</f>
        <v>42787</v>
      </c>
      <c r="N338" s="3" t="str">
        <f>IF(VLOOKUP($C338,'All Girls &amp; Descendants - Edit'!$C$2:$AK$440,'All Girls &amp; Descendants - Edit'!N$1,FALSE)=""," - ",(VLOOKUP($C338,'All Girls &amp; Descendants - Edit'!$C$2:$AK$440,'All Girls &amp; Descendants - Edit'!N$1,FALSE)))</f>
        <v xml:space="preserve"> - </v>
      </c>
      <c r="O338" s="3" t="str">
        <f>IF(VLOOKUP($C338,'All Girls &amp; Descendants - Edit'!$C$2:$AK$440,'All Girls &amp; Descendants - Edit'!O$1,FALSE)="","",(VLOOKUP($C338,'All Girls &amp; Descendants - Edit'!$C$2:$AK$440,'All Girls &amp; Descendants - Edit'!O$1,FALSE)))</f>
        <v/>
      </c>
      <c r="P338" s="3" t="str">
        <f t="shared" si="40"/>
        <v/>
      </c>
      <c r="Q338" s="178" t="str">
        <f t="shared" si="41"/>
        <v>92ac</v>
      </c>
      <c r="R338" s="23"/>
      <c r="S338" t="str">
        <f>VLOOKUP($C338,'All Girls &amp; Descendants - Edit'!$C$2:$AK$440,'All Girls &amp; Descendants - Edit'!S$1,FALSE)</f>
        <v>Female</v>
      </c>
      <c r="T338" s="176">
        <f t="shared" si="38"/>
        <v>8</v>
      </c>
      <c r="U338" s="176">
        <f t="shared" si="42"/>
        <v>5</v>
      </c>
      <c r="V338" s="176">
        <f t="shared" si="43"/>
        <v>5</v>
      </c>
      <c r="W338" s="177">
        <f t="shared" si="44"/>
        <v>3</v>
      </c>
      <c r="X338" s="3" t="str">
        <f>IF(VLOOKUP($C338,'All Girls &amp; Descendants - Edit'!$C$2:$AK$440,'All Girls &amp; Descendants - Edit'!X$1,FALSE)=""," - ",(VLOOKUP($C338,'All Girls &amp; Descendants - Edit'!$C$2:$AK$440,'All Girls &amp; Descendants - Edit'!X$1,FALSE)))</f>
        <v xml:space="preserve"> - </v>
      </c>
      <c r="Y338" s="3" t="str">
        <f>IF(VLOOKUP($C338,'All Girls &amp; Descendants - Edit'!$C$2:$AK$440,'All Girls &amp; Descendants - Edit'!Y$1,FALSE)=""," - ",(VLOOKUP($C338,'All Girls &amp; Descendants - Edit'!$C$2:$AK$440,'All Girls &amp; Descendants - Edit'!Y$1,FALSE)))</f>
        <v xml:space="preserve"> - </v>
      </c>
      <c r="Z338" s="3" t="str">
        <f>IF(VLOOKUP($C338,'All Girls &amp; Descendants - Edit'!$C$2:$AK$440,'All Girls &amp; Descendants - Edit'!Z$1,FALSE)=""," - ",(VLOOKUP($C338,'All Girls &amp; Descendants - Edit'!$C$2:$AK$440,'All Girls &amp; Descendants - Edit'!Z$1,FALSE)))</f>
        <v xml:space="preserve"> - </v>
      </c>
      <c r="AA338" s="101" t="str">
        <f>IF(VLOOKUP($C338,'All Girls &amp; Descendants - Edit'!$C$2:$AK$440,'All Girls &amp; Descendants - Edit'!AA$1,FALSE)=""," - ",(VLOOKUP($C338,'All Girls &amp; Descendants - Edit'!$C$2:$AK$440,'All Girls &amp; Descendants - Edit'!AA$1,FALSE)))</f>
        <v xml:space="preserve"> - </v>
      </c>
      <c r="AB338" s="101">
        <f>IF(VLOOKUP($C338,'All Girls &amp; Descendants - Edit'!$C$2:$AK$440,'All Girls &amp; Descendants - Edit'!AB$1,FALSE)=""," - ",(VLOOKUP($C338,'All Girls &amp; Descendants - Edit'!$C$2:$AK$440,'All Girls &amp; Descendants - Edit'!AB$1,FALSE)))</f>
        <v>47</v>
      </c>
      <c r="AC338" s="101">
        <f>IF(VLOOKUP($C338,'All Girls &amp; Descendants - Edit'!$C$2:$AK$440,'All Girls &amp; Descendants - Edit'!AC$1,FALSE)=""," - ",(VLOOKUP($C338,'All Girls &amp; Descendants - Edit'!$C$2:$AK$440,'All Girls &amp; Descendants - Edit'!AC$1,FALSE)))</f>
        <v>3047</v>
      </c>
      <c r="AD338" s="3" t="str">
        <f>IF(VLOOKUP($C338,'All Girls &amp; Descendants - Edit'!$C$2:$AK$440,'All Girls &amp; Descendants - Edit'!AD$1,FALSE)=""," - ",(VLOOKUP($C338,'All Girls &amp; Descendants - Edit'!$C$2:$AK$440,'All Girls &amp; Descendants - Edit'!AD$1,FALSE)))</f>
        <v>92acb</v>
      </c>
      <c r="AE338" s="3" t="str">
        <f>IF(VLOOKUP($C338,'All Girls &amp; Descendants - Edit'!$C$2:$AK$440,'All Girls &amp; Descendants - Edit'!AE$1,FALSE)=""," - ",(VLOOKUP($C338,'All Girls &amp; Descendants - Edit'!$C$2:$AK$440,'All Girls &amp; Descendants - Edit'!AE$1,FALSE)))</f>
        <v>Cara Ann Rose BATTEY (2017 - )</v>
      </c>
      <c r="AF338" s="3" t="str">
        <f>IF(VLOOKUP($C338,'All Girls &amp; Descendants - Edit'!$C$2:$AK$440,'All Girls &amp; Descendants - Edit'!AF$1,FALSE)=""," - ",(VLOOKUP($C338,'All Girls &amp; Descendants - Edit'!$C$2:$AK$440,'All Girls &amp; Descendants - Edit'!AF$1,FALSE)))</f>
        <v>Cara BATTEY (8th &amp; 92)</v>
      </c>
      <c r="AG338" s="3" t="str">
        <f>IF(VLOOKUP($C338,'All Girls &amp; Descendants - Edit'!$C$2:$AK$440,'All Girls &amp; Descendants - Edit'!AG$1,FALSE)=""," - ",(VLOOKUP($C338,'All Girls &amp; Descendants - Edit'!$C$2:$AK$440,'All Girls &amp; Descendants - Edit'!AG$1,FALSE)))</f>
        <v>Female</v>
      </c>
      <c r="AH338" s="3" t="str">
        <f>IF(VLOOKUP($C338,'All Girls &amp; Descendants - Edit'!$C$2:$AK$440,'All Girls &amp; Descendants - Edit'!AH$1,FALSE)=""," - ",(VLOOKUP($C338,'All Girls &amp; Descendants - Edit'!$C$2:$AK$440,'All Girls &amp; Descendants - Edit'!AH$1,FALSE)))</f>
        <v>8th</v>
      </c>
      <c r="AI338" s="3" t="str">
        <f>IF(VLOOKUP($C338,'All Girls &amp; Descendants - Edit'!$C$2:$AK$440,'All Girls &amp; Descendants - Edit'!AI$1,FALSE)=""," - ",(VLOOKUP($C338,'All Girls &amp; Descendants - Edit'!$C$2:$AK$440,'All Girls &amp; Descendants - Edit'!AI$1,FALSE)))</f>
        <v>Unmarried</v>
      </c>
      <c r="AJ338" s="3" t="str">
        <f>IF(VLOOKUP($C338,'All Girls &amp; Descendants - Edit'!$C$2:$AK$440,'All Girls &amp; Descendants - Edit'!AJ$1,FALSE)=""," - ",(VLOOKUP($C338,'All Girls &amp; Descendants - Edit'!$C$2:$AK$440,'All Girls &amp; Descendants - Edit'!AJ$1,FALSE)))</f>
        <v>Female. b. 21/02/2017</v>
      </c>
      <c r="AK338" s="3" t="str">
        <f>IF(VLOOKUP($C338,'All Girls &amp; Descendants - Edit'!$C$2:$AK$440,'All Girls &amp; Descendants - Edit'!AK$1,FALSE)=""," - ",(VLOOKUP($C338,'All Girls &amp; Descendants - Edit'!$C$2:$AK$440,'All Girls &amp; Descendants - Edit'!AK$1,FALSE)))</f>
        <v>b. 21/02/2017</v>
      </c>
    </row>
    <row r="339" spans="1:37" ht="19">
      <c r="A339">
        <f>VLOOKUP(B339,'Loyd List 1-190 - Edit'!$P$1:$R$219,3,FALSE)</f>
        <v>54</v>
      </c>
      <c r="B339">
        <f>'All Girls &amp; Descendants - Edit'!B340</f>
        <v>92</v>
      </c>
      <c r="C339" s="98" t="str">
        <f>'All Girls &amp; Descendants - Edit'!C340</f>
        <v>92baa</v>
      </c>
      <c r="D339" s="2" t="str">
        <f>'All Girls &amp; Descendants - Edit'!D340</f>
        <v>ANDERSEN</v>
      </c>
      <c r="E339" t="str">
        <f>'All Girls &amp; Descendants - Edit'!E340</f>
        <v>Octavia</v>
      </c>
      <c r="F339" t="str">
        <f>IF('All Girls &amp; Descendants - Edit'!F340="","",'All Girls &amp; Descendants - Edit'!F340)</f>
        <v>Kenya</v>
      </c>
      <c r="G339" t="str">
        <f>IF('All Girls &amp; Descendants - Edit'!G340="","",'All Girls &amp; Descendants - Edit'!G340)</f>
        <v/>
      </c>
      <c r="H339" t="str">
        <f>IF('All Girls &amp; Descendants - Edit'!H340="","",'All Girls &amp; Descendants - Edit'!H340)</f>
        <v/>
      </c>
      <c r="I339">
        <f>VLOOKUP($C339,'All Girls &amp; Descendants - Edit'!$C$2:$AK$440,'All Girls &amp; Descendants - Edit'!I$1,FALSE)</f>
        <v>1999</v>
      </c>
      <c r="J339" t="str">
        <f>VLOOKUP($C339,'All Girls &amp; Descendants - Edit'!$C$2:$AK$440,'All Girls &amp; Descendants - Edit'!J$1,FALSE)</f>
        <v/>
      </c>
      <c r="K339" s="9"/>
      <c r="L339" t="str">
        <f t="shared" si="39"/>
        <v>11/03/1999</v>
      </c>
      <c r="M339" s="3">
        <f>VLOOKUP($C339,'All Girls &amp; Descendants - Edit'!$C$2:$AK$440,'All Girls &amp; Descendants - Edit'!M$1,FALSE)</f>
        <v>36230</v>
      </c>
      <c r="N339" s="3" t="str">
        <f>IF(VLOOKUP($C339,'All Girls &amp; Descendants - Edit'!$C$2:$AK$440,'All Girls &amp; Descendants - Edit'!N$1,FALSE)=""," - ",(VLOOKUP($C339,'All Girls &amp; Descendants - Edit'!$C$2:$AK$440,'All Girls &amp; Descendants - Edit'!N$1,FALSE)))</f>
        <v xml:space="preserve"> - </v>
      </c>
      <c r="O339" s="3" t="str">
        <f>IF(VLOOKUP($C339,'All Girls &amp; Descendants - Edit'!$C$2:$AK$440,'All Girls &amp; Descendants - Edit'!O$1,FALSE)="","",(VLOOKUP($C339,'All Girls &amp; Descendants - Edit'!$C$2:$AK$440,'All Girls &amp; Descendants - Edit'!O$1,FALSE)))</f>
        <v/>
      </c>
      <c r="P339" s="3" t="str">
        <f t="shared" si="40"/>
        <v/>
      </c>
      <c r="Q339" s="178" t="str">
        <f t="shared" si="41"/>
        <v>92ba</v>
      </c>
      <c r="R339" s="23"/>
      <c r="S339" t="str">
        <f>VLOOKUP($C339,'All Girls &amp; Descendants - Edit'!$C$2:$AK$440,'All Girls &amp; Descendants - Edit'!S$1,FALSE)</f>
        <v>Female</v>
      </c>
      <c r="T339" s="176">
        <f t="shared" si="38"/>
        <v>8</v>
      </c>
      <c r="U339" s="176">
        <f t="shared" si="42"/>
        <v>5</v>
      </c>
      <c r="V339" s="176">
        <f t="shared" si="43"/>
        <v>5</v>
      </c>
      <c r="W339" s="177">
        <f t="shared" si="44"/>
        <v>3</v>
      </c>
      <c r="X339" s="3" t="str">
        <f>IF(VLOOKUP($C339,'All Girls &amp; Descendants - Edit'!$C$2:$AK$440,'All Girls &amp; Descendants - Edit'!X$1,FALSE)=""," - ",(VLOOKUP($C339,'All Girls &amp; Descendants - Edit'!$C$2:$AK$440,'All Girls &amp; Descendants - Edit'!X$1,FALSE)))</f>
        <v xml:space="preserve"> - </v>
      </c>
      <c r="Y339" s="3" t="str">
        <f>IF(VLOOKUP($C339,'All Girls &amp; Descendants - Edit'!$C$2:$AK$440,'All Girls &amp; Descendants - Edit'!Y$1,FALSE)=""," - ",(VLOOKUP($C339,'All Girls &amp; Descendants - Edit'!$C$2:$AK$440,'All Girls &amp; Descendants - Edit'!Y$1,FALSE)))</f>
        <v xml:space="preserve"> - </v>
      </c>
      <c r="Z339" s="3" t="str">
        <f>IF(VLOOKUP($C339,'All Girls &amp; Descendants - Edit'!$C$2:$AK$440,'All Girls &amp; Descendants - Edit'!Z$1,FALSE)=""," - ",(VLOOKUP($C339,'All Girls &amp; Descendants - Edit'!$C$2:$AK$440,'All Girls &amp; Descendants - Edit'!Z$1,FALSE)))</f>
        <v xml:space="preserve"> - </v>
      </c>
      <c r="AA339" s="101">
        <f>IF(VLOOKUP($C339,'All Girls &amp; Descendants - Edit'!$C$2:$AK$440,'All Girls &amp; Descendants - Edit'!AA$1,FALSE)=""," - ",(VLOOKUP($C339,'All Girls &amp; Descendants - Edit'!$C$2:$AK$440,'All Girls &amp; Descendants - Edit'!AA$1,FALSE)))</f>
        <v>208</v>
      </c>
      <c r="AB339" s="101">
        <f>IF(VLOOKUP($C339,'All Girls &amp; Descendants - Edit'!$C$2:$AK$440,'All Girls &amp; Descendants - Edit'!AB$1,FALSE)=""," - ",(VLOOKUP($C339,'All Girls &amp; Descendants - Edit'!$C$2:$AK$440,'All Girls &amp; Descendants - Edit'!AB$1,FALSE)))</f>
        <v>48</v>
      </c>
      <c r="AC339" s="101">
        <f>IF(VLOOKUP($C339,'All Girls &amp; Descendants - Edit'!$C$2:$AK$440,'All Girls &amp; Descendants - Edit'!AC$1,FALSE)=""," - ",(VLOOKUP($C339,'All Girls &amp; Descendants - Edit'!$C$2:$AK$440,'All Girls &amp; Descendants - Edit'!AC$1,FALSE)))</f>
        <v>3048</v>
      </c>
      <c r="AD339" s="3" t="str">
        <f>IF(VLOOKUP($C339,'All Girls &amp; Descendants - Edit'!$C$2:$AK$440,'All Girls &amp; Descendants - Edit'!AD$1,FALSE)=""," - ",(VLOOKUP($C339,'All Girls &amp; Descendants - Edit'!$C$2:$AK$440,'All Girls &amp; Descendants - Edit'!AD$1,FALSE)))</f>
        <v>92baa</v>
      </c>
      <c r="AE339" s="3" t="str">
        <f>IF(VLOOKUP($C339,'All Girls &amp; Descendants - Edit'!$C$2:$AK$440,'All Girls &amp; Descendants - Edit'!AE$1,FALSE)=""," - ",(VLOOKUP($C339,'All Girls &amp; Descendants - Edit'!$C$2:$AK$440,'All Girls &amp; Descendants - Edit'!AE$1,FALSE)))</f>
        <v>Octavia Kenya  ANDERSEN (1999 - )</v>
      </c>
      <c r="AF339" s="3" t="str">
        <f>IF(VLOOKUP($C339,'All Girls &amp; Descendants - Edit'!$C$2:$AK$440,'All Girls &amp; Descendants - Edit'!AF$1,FALSE)=""," - ",(VLOOKUP($C339,'All Girls &amp; Descendants - Edit'!$C$2:$AK$440,'All Girls &amp; Descendants - Edit'!AF$1,FALSE)))</f>
        <v>Octavia ANDERSEN (8th &amp; 92)</v>
      </c>
      <c r="AG339" s="3" t="str">
        <f>IF(VLOOKUP($C339,'All Girls &amp; Descendants - Edit'!$C$2:$AK$440,'All Girls &amp; Descendants - Edit'!AG$1,FALSE)=""," - ",(VLOOKUP($C339,'All Girls &amp; Descendants - Edit'!$C$2:$AK$440,'All Girls &amp; Descendants - Edit'!AG$1,FALSE)))</f>
        <v>Female</v>
      </c>
      <c r="AH339" s="3" t="str">
        <f>IF(VLOOKUP($C339,'All Girls &amp; Descendants - Edit'!$C$2:$AK$440,'All Girls &amp; Descendants - Edit'!AH$1,FALSE)=""," - ",(VLOOKUP($C339,'All Girls &amp; Descendants - Edit'!$C$2:$AK$440,'All Girls &amp; Descendants - Edit'!AH$1,FALSE)))</f>
        <v>8th</v>
      </c>
      <c r="AI339" s="3" t="str">
        <f>IF(VLOOKUP($C339,'All Girls &amp; Descendants - Edit'!$C$2:$AK$440,'All Girls &amp; Descendants - Edit'!AI$1,FALSE)=""," - ",(VLOOKUP($C339,'All Girls &amp; Descendants - Edit'!$C$2:$AK$440,'All Girls &amp; Descendants - Edit'!AI$1,FALSE)))</f>
        <v>Unmarried</v>
      </c>
      <c r="AJ339" s="3" t="str">
        <f>IF(VLOOKUP($C339,'All Girls &amp; Descendants - Edit'!$C$2:$AK$440,'All Girls &amp; Descendants - Edit'!AJ$1,FALSE)=""," - ",(VLOOKUP($C339,'All Girls &amp; Descendants - Edit'!$C$2:$AK$440,'All Girls &amp; Descendants - Edit'!AJ$1,FALSE)))</f>
        <v>Female. b. 11/03/1999</v>
      </c>
      <c r="AK339" s="3" t="str">
        <f>IF(VLOOKUP($C339,'All Girls &amp; Descendants - Edit'!$C$2:$AK$440,'All Girls &amp; Descendants - Edit'!AK$1,FALSE)=""," - ",(VLOOKUP($C339,'All Girls &amp; Descendants - Edit'!$C$2:$AK$440,'All Girls &amp; Descendants - Edit'!AK$1,FALSE)))</f>
        <v>b. 11/03/1999</v>
      </c>
    </row>
    <row r="340" spans="1:37" ht="19">
      <c r="A340">
        <f>VLOOKUP(B340,'Loyd List 1-190 - Edit'!$P$1:$R$219,3,FALSE)</f>
        <v>54</v>
      </c>
      <c r="B340">
        <f>'All Girls &amp; Descendants - Edit'!B341</f>
        <v>92</v>
      </c>
      <c r="C340" s="98" t="str">
        <f>'All Girls &amp; Descendants - Edit'!C341</f>
        <v>92bab</v>
      </c>
      <c r="D340" s="2" t="str">
        <f>'All Girls &amp; Descendants - Edit'!D341</f>
        <v>ANDERSEN</v>
      </c>
      <c r="E340" t="str">
        <f>'All Girls &amp; Descendants - Edit'!E341</f>
        <v>Augustus</v>
      </c>
      <c r="F340" t="str">
        <f>IF('All Girls &amp; Descendants - Edit'!F341="","",'All Girls &amp; Descendants - Edit'!F341)</f>
        <v>Eden</v>
      </c>
      <c r="G340" t="str">
        <f>IF('All Girls &amp; Descendants - Edit'!G341="","",'All Girls &amp; Descendants - Edit'!G341)</f>
        <v/>
      </c>
      <c r="H340" t="str">
        <f>IF('All Girls &amp; Descendants - Edit'!H341="","",'All Girls &amp; Descendants - Edit'!H341)</f>
        <v/>
      </c>
      <c r="I340">
        <f>VLOOKUP($C340,'All Girls &amp; Descendants - Edit'!$C$2:$AK$440,'All Girls &amp; Descendants - Edit'!I$1,FALSE)</f>
        <v>2003</v>
      </c>
      <c r="J340" t="str">
        <f>VLOOKUP($C340,'All Girls &amp; Descendants - Edit'!$C$2:$AK$440,'All Girls &amp; Descendants - Edit'!J$1,FALSE)</f>
        <v/>
      </c>
      <c r="K340" s="9"/>
      <c r="L340" t="str">
        <f t="shared" si="39"/>
        <v>22/06/2003</v>
      </c>
      <c r="M340" s="3">
        <f>VLOOKUP($C340,'All Girls &amp; Descendants - Edit'!$C$2:$AK$440,'All Girls &amp; Descendants - Edit'!M$1,FALSE)</f>
        <v>37794</v>
      </c>
      <c r="N340" s="3" t="str">
        <f>IF(VLOOKUP($C340,'All Girls &amp; Descendants - Edit'!$C$2:$AK$440,'All Girls &amp; Descendants - Edit'!N$1,FALSE)=""," - ",(VLOOKUP($C340,'All Girls &amp; Descendants - Edit'!$C$2:$AK$440,'All Girls &amp; Descendants - Edit'!N$1,FALSE)))</f>
        <v xml:space="preserve"> - </v>
      </c>
      <c r="O340" s="3" t="str">
        <f>IF(VLOOKUP($C340,'All Girls &amp; Descendants - Edit'!$C$2:$AK$440,'All Girls &amp; Descendants - Edit'!O$1,FALSE)="","",(VLOOKUP($C340,'All Girls &amp; Descendants - Edit'!$C$2:$AK$440,'All Girls &amp; Descendants - Edit'!O$1,FALSE)))</f>
        <v/>
      </c>
      <c r="P340" s="3" t="str">
        <f t="shared" si="40"/>
        <v/>
      </c>
      <c r="Q340" s="178" t="str">
        <f t="shared" si="41"/>
        <v>92ba</v>
      </c>
      <c r="R340" s="23"/>
      <c r="S340" t="str">
        <f>VLOOKUP($C340,'All Girls &amp; Descendants - Edit'!$C$2:$AK$440,'All Girls &amp; Descendants - Edit'!S$1,FALSE)</f>
        <v>Male</v>
      </c>
      <c r="T340" s="176">
        <f t="shared" si="38"/>
        <v>8</v>
      </c>
      <c r="U340" s="176">
        <f t="shared" si="42"/>
        <v>5</v>
      </c>
      <c r="V340" s="176">
        <f t="shared" si="43"/>
        <v>5</v>
      </c>
      <c r="W340" s="177">
        <f t="shared" si="44"/>
        <v>3</v>
      </c>
      <c r="X340" s="3" t="str">
        <f>IF(VLOOKUP($C340,'All Girls &amp; Descendants - Edit'!$C$2:$AK$440,'All Girls &amp; Descendants - Edit'!X$1,FALSE)=""," - ",(VLOOKUP($C340,'All Girls &amp; Descendants - Edit'!$C$2:$AK$440,'All Girls &amp; Descendants - Edit'!X$1,FALSE)))</f>
        <v xml:space="preserve"> - </v>
      </c>
      <c r="Y340" s="3" t="str">
        <f>IF(VLOOKUP($C340,'All Girls &amp; Descendants - Edit'!$C$2:$AK$440,'All Girls &amp; Descendants - Edit'!Y$1,FALSE)=""," - ",(VLOOKUP($C340,'All Girls &amp; Descendants - Edit'!$C$2:$AK$440,'All Girls &amp; Descendants - Edit'!Y$1,FALSE)))</f>
        <v xml:space="preserve"> - </v>
      </c>
      <c r="Z340" s="3" t="str">
        <f>IF(VLOOKUP($C340,'All Girls &amp; Descendants - Edit'!$C$2:$AK$440,'All Girls &amp; Descendants - Edit'!Z$1,FALSE)=""," - ",(VLOOKUP($C340,'All Girls &amp; Descendants - Edit'!$C$2:$AK$440,'All Girls &amp; Descendants - Edit'!Z$1,FALSE)))</f>
        <v xml:space="preserve"> - </v>
      </c>
      <c r="AA340" s="101" t="str">
        <f>IF(VLOOKUP($C340,'All Girls &amp; Descendants - Edit'!$C$2:$AK$440,'All Girls &amp; Descendants - Edit'!AA$1,FALSE)=""," - ",(VLOOKUP($C340,'All Girls &amp; Descendants - Edit'!$C$2:$AK$440,'All Girls &amp; Descendants - Edit'!AA$1,FALSE)))</f>
        <v xml:space="preserve"> - </v>
      </c>
      <c r="AB340" s="101">
        <f>IF(VLOOKUP($C340,'All Girls &amp; Descendants - Edit'!$C$2:$AK$440,'All Girls &amp; Descendants - Edit'!AB$1,FALSE)=""," - ",(VLOOKUP($C340,'All Girls &amp; Descendants - Edit'!$C$2:$AK$440,'All Girls &amp; Descendants - Edit'!AB$1,FALSE)))</f>
        <v>49</v>
      </c>
      <c r="AC340" s="101">
        <f>IF(VLOOKUP($C340,'All Girls &amp; Descendants - Edit'!$C$2:$AK$440,'All Girls &amp; Descendants - Edit'!AC$1,FALSE)=""," - ",(VLOOKUP($C340,'All Girls &amp; Descendants - Edit'!$C$2:$AK$440,'All Girls &amp; Descendants - Edit'!AC$1,FALSE)))</f>
        <v>3049</v>
      </c>
      <c r="AD340" s="3" t="str">
        <f>IF(VLOOKUP($C340,'All Girls &amp; Descendants - Edit'!$C$2:$AK$440,'All Girls &amp; Descendants - Edit'!AD$1,FALSE)=""," - ",(VLOOKUP($C340,'All Girls &amp; Descendants - Edit'!$C$2:$AK$440,'All Girls &amp; Descendants - Edit'!AD$1,FALSE)))</f>
        <v>92bab</v>
      </c>
      <c r="AE340" s="3" t="str">
        <f>IF(VLOOKUP($C340,'All Girls &amp; Descendants - Edit'!$C$2:$AK$440,'All Girls &amp; Descendants - Edit'!AE$1,FALSE)=""," - ",(VLOOKUP($C340,'All Girls &amp; Descendants - Edit'!$C$2:$AK$440,'All Girls &amp; Descendants - Edit'!AE$1,FALSE)))</f>
        <v>Augustus Eden  ANDERSEN (2003 - )</v>
      </c>
      <c r="AF340" s="3" t="str">
        <f>IF(VLOOKUP($C340,'All Girls &amp; Descendants - Edit'!$C$2:$AK$440,'All Girls &amp; Descendants - Edit'!AF$1,FALSE)=""," - ",(VLOOKUP($C340,'All Girls &amp; Descendants - Edit'!$C$2:$AK$440,'All Girls &amp; Descendants - Edit'!AF$1,FALSE)))</f>
        <v>Augustus ANDERSEN (8th &amp; 92)</v>
      </c>
      <c r="AG340" s="3" t="str">
        <f>IF(VLOOKUP($C340,'All Girls &amp; Descendants - Edit'!$C$2:$AK$440,'All Girls &amp; Descendants - Edit'!AG$1,FALSE)=""," - ",(VLOOKUP($C340,'All Girls &amp; Descendants - Edit'!$C$2:$AK$440,'All Girls &amp; Descendants - Edit'!AG$1,FALSE)))</f>
        <v>Male</v>
      </c>
      <c r="AH340" s="3" t="str">
        <f>IF(VLOOKUP($C340,'All Girls &amp; Descendants - Edit'!$C$2:$AK$440,'All Girls &amp; Descendants - Edit'!AH$1,FALSE)=""," - ",(VLOOKUP($C340,'All Girls &amp; Descendants - Edit'!$C$2:$AK$440,'All Girls &amp; Descendants - Edit'!AH$1,FALSE)))</f>
        <v>8th</v>
      </c>
      <c r="AI340" s="3" t="str">
        <f>IF(VLOOKUP($C340,'All Girls &amp; Descendants - Edit'!$C$2:$AK$440,'All Girls &amp; Descendants - Edit'!AI$1,FALSE)=""," - ",(VLOOKUP($C340,'All Girls &amp; Descendants - Edit'!$C$2:$AK$440,'All Girls &amp; Descendants - Edit'!AI$1,FALSE)))</f>
        <v>Unmarried</v>
      </c>
      <c r="AJ340" s="3" t="str">
        <f>IF(VLOOKUP($C340,'All Girls &amp; Descendants - Edit'!$C$2:$AK$440,'All Girls &amp; Descendants - Edit'!AJ$1,FALSE)=""," - ",(VLOOKUP($C340,'All Girls &amp; Descendants - Edit'!$C$2:$AK$440,'All Girls &amp; Descendants - Edit'!AJ$1,FALSE)))</f>
        <v>Male. b. 22/06/2003</v>
      </c>
      <c r="AK340" s="3" t="str">
        <f>IF(VLOOKUP($C340,'All Girls &amp; Descendants - Edit'!$C$2:$AK$440,'All Girls &amp; Descendants - Edit'!AK$1,FALSE)=""," - ",(VLOOKUP($C340,'All Girls &amp; Descendants - Edit'!$C$2:$AK$440,'All Girls &amp; Descendants - Edit'!AK$1,FALSE)))</f>
        <v>b. 22/06/2003</v>
      </c>
    </row>
    <row r="341" spans="1:37" ht="19">
      <c r="A341">
        <f>VLOOKUP(B341,'Loyd List 1-190 - Edit'!$P$1:$R$219,3,FALSE)</f>
        <v>54</v>
      </c>
      <c r="B341">
        <f>'All Girls &amp; Descendants - Edit'!B342</f>
        <v>92</v>
      </c>
      <c r="C341" s="98" t="str">
        <f>'All Girls &amp; Descendants - Edit'!C342</f>
        <v>92bba</v>
      </c>
      <c r="D341" s="2" t="str">
        <f>'All Girls &amp; Descendants - Edit'!D342</f>
        <v>TATTON-BROWN</v>
      </c>
      <c r="E341" t="str">
        <f>'All Girls &amp; Descendants - Edit'!E342</f>
        <v>Felix</v>
      </c>
      <c r="F341" t="str">
        <f>IF('All Girls &amp; Descendants - Edit'!F342="","",'All Girls &amp; Descendants - Edit'!F342)</f>
        <v>Edgar</v>
      </c>
      <c r="G341" t="str">
        <f>IF('All Girls &amp; Descendants - Edit'!G342="","",'All Girls &amp; Descendants - Edit'!G342)</f>
        <v>Oliver</v>
      </c>
      <c r="H341" t="str">
        <f>IF('All Girls &amp; Descendants - Edit'!H342="","",'All Girls &amp; Descendants - Edit'!H342)</f>
        <v/>
      </c>
      <c r="I341">
        <f>VLOOKUP($C341,'All Girls &amp; Descendants - Edit'!$C$2:$AK$440,'All Girls &amp; Descendants - Edit'!I$1,FALSE)</f>
        <v>2004</v>
      </c>
      <c r="J341" t="str">
        <f>VLOOKUP($C341,'All Girls &amp; Descendants - Edit'!$C$2:$AK$440,'All Girls &amp; Descendants - Edit'!J$1,FALSE)</f>
        <v/>
      </c>
      <c r="K341" s="9"/>
      <c r="L341" t="str">
        <f t="shared" si="39"/>
        <v>07/10/2004</v>
      </c>
      <c r="M341" s="3">
        <f>VLOOKUP($C341,'All Girls &amp; Descendants - Edit'!$C$2:$AK$440,'All Girls &amp; Descendants - Edit'!M$1,FALSE)</f>
        <v>38267</v>
      </c>
      <c r="N341" s="3" t="str">
        <f>IF(VLOOKUP($C341,'All Girls &amp; Descendants - Edit'!$C$2:$AK$440,'All Girls &amp; Descendants - Edit'!N$1,FALSE)=""," - ",(VLOOKUP($C341,'All Girls &amp; Descendants - Edit'!$C$2:$AK$440,'All Girls &amp; Descendants - Edit'!N$1,FALSE)))</f>
        <v xml:space="preserve"> - </v>
      </c>
      <c r="O341" s="3" t="str">
        <f>IF(VLOOKUP($C341,'All Girls &amp; Descendants - Edit'!$C$2:$AK$440,'All Girls &amp; Descendants - Edit'!O$1,FALSE)="","",(VLOOKUP($C341,'All Girls &amp; Descendants - Edit'!$C$2:$AK$440,'All Girls &amp; Descendants - Edit'!O$1,FALSE)))</f>
        <v/>
      </c>
      <c r="P341" s="3" t="str">
        <f t="shared" si="40"/>
        <v/>
      </c>
      <c r="Q341" s="178" t="str">
        <f t="shared" si="41"/>
        <v>92bb</v>
      </c>
      <c r="R341" s="23"/>
      <c r="S341" t="str">
        <f>VLOOKUP($C341,'All Girls &amp; Descendants - Edit'!$C$2:$AK$440,'All Girls &amp; Descendants - Edit'!S$1,FALSE)</f>
        <v>Male</v>
      </c>
      <c r="T341" s="176">
        <f t="shared" si="38"/>
        <v>8</v>
      </c>
      <c r="U341" s="176">
        <f t="shared" si="42"/>
        <v>5</v>
      </c>
      <c r="V341" s="176">
        <f t="shared" si="43"/>
        <v>5</v>
      </c>
      <c r="W341" s="177">
        <f t="shared" si="44"/>
        <v>3</v>
      </c>
      <c r="X341" s="3" t="str">
        <f>IF(VLOOKUP($C341,'All Girls &amp; Descendants - Edit'!$C$2:$AK$440,'All Girls &amp; Descendants - Edit'!X$1,FALSE)=""," - ",(VLOOKUP($C341,'All Girls &amp; Descendants - Edit'!$C$2:$AK$440,'All Girls &amp; Descendants - Edit'!X$1,FALSE)))</f>
        <v xml:space="preserve"> - </v>
      </c>
      <c r="Y341" s="3" t="str">
        <f>IF(VLOOKUP($C341,'All Girls &amp; Descendants - Edit'!$C$2:$AK$440,'All Girls &amp; Descendants - Edit'!Y$1,FALSE)=""," - ",(VLOOKUP($C341,'All Girls &amp; Descendants - Edit'!$C$2:$AK$440,'All Girls &amp; Descendants - Edit'!Y$1,FALSE)))</f>
        <v xml:space="preserve"> - </v>
      </c>
      <c r="Z341" s="3" t="str">
        <f>IF(VLOOKUP($C341,'All Girls &amp; Descendants - Edit'!$C$2:$AK$440,'All Girls &amp; Descendants - Edit'!Z$1,FALSE)=""," - ",(VLOOKUP($C341,'All Girls &amp; Descendants - Edit'!$C$2:$AK$440,'All Girls &amp; Descendants - Edit'!Z$1,FALSE)))</f>
        <v xml:space="preserve"> - </v>
      </c>
      <c r="AA341" s="101" t="str">
        <f>IF(VLOOKUP($C341,'All Girls &amp; Descendants - Edit'!$C$2:$AK$440,'All Girls &amp; Descendants - Edit'!AA$1,FALSE)=""," - ",(VLOOKUP($C341,'All Girls &amp; Descendants - Edit'!$C$2:$AK$440,'All Girls &amp; Descendants - Edit'!AA$1,FALSE)))</f>
        <v xml:space="preserve"> - </v>
      </c>
      <c r="AB341" s="101">
        <f>IF(VLOOKUP($C341,'All Girls &amp; Descendants - Edit'!$C$2:$AK$440,'All Girls &amp; Descendants - Edit'!AB$1,FALSE)=""," - ",(VLOOKUP($C341,'All Girls &amp; Descendants - Edit'!$C$2:$AK$440,'All Girls &amp; Descendants - Edit'!AB$1,FALSE)))</f>
        <v>50</v>
      </c>
      <c r="AC341" s="101">
        <f>IF(VLOOKUP($C341,'All Girls &amp; Descendants - Edit'!$C$2:$AK$440,'All Girls &amp; Descendants - Edit'!AC$1,FALSE)=""," - ",(VLOOKUP($C341,'All Girls &amp; Descendants - Edit'!$C$2:$AK$440,'All Girls &amp; Descendants - Edit'!AC$1,FALSE)))</f>
        <v>3050</v>
      </c>
      <c r="AD341" s="3" t="str">
        <f>IF(VLOOKUP($C341,'All Girls &amp; Descendants - Edit'!$C$2:$AK$440,'All Girls &amp; Descendants - Edit'!AD$1,FALSE)=""," - ",(VLOOKUP($C341,'All Girls &amp; Descendants - Edit'!$C$2:$AK$440,'All Girls &amp; Descendants - Edit'!AD$1,FALSE)))</f>
        <v>92bba</v>
      </c>
      <c r="AE341" s="3" t="str">
        <f>IF(VLOOKUP($C341,'All Girls &amp; Descendants - Edit'!$C$2:$AK$440,'All Girls &amp; Descendants - Edit'!AE$1,FALSE)=""," - ",(VLOOKUP($C341,'All Girls &amp; Descendants - Edit'!$C$2:$AK$440,'All Girls &amp; Descendants - Edit'!AE$1,FALSE)))</f>
        <v>Felix Edgar Oliver TATTON-BROWN (2004 - )</v>
      </c>
      <c r="AF341" s="3" t="str">
        <f>IF(VLOOKUP($C341,'All Girls &amp; Descendants - Edit'!$C$2:$AK$440,'All Girls &amp; Descendants - Edit'!AF$1,FALSE)=""," - ",(VLOOKUP($C341,'All Girls &amp; Descendants - Edit'!$C$2:$AK$440,'All Girls &amp; Descendants - Edit'!AF$1,FALSE)))</f>
        <v>Felix TATTON-BROWN (8th &amp; 92)</v>
      </c>
      <c r="AG341" s="3" t="str">
        <f>IF(VLOOKUP($C341,'All Girls &amp; Descendants - Edit'!$C$2:$AK$440,'All Girls &amp; Descendants - Edit'!AG$1,FALSE)=""," - ",(VLOOKUP($C341,'All Girls &amp; Descendants - Edit'!$C$2:$AK$440,'All Girls &amp; Descendants - Edit'!AG$1,FALSE)))</f>
        <v>Male</v>
      </c>
      <c r="AH341" s="3" t="str">
        <f>IF(VLOOKUP($C341,'All Girls &amp; Descendants - Edit'!$C$2:$AK$440,'All Girls &amp; Descendants - Edit'!AH$1,FALSE)=""," - ",(VLOOKUP($C341,'All Girls &amp; Descendants - Edit'!$C$2:$AK$440,'All Girls &amp; Descendants - Edit'!AH$1,FALSE)))</f>
        <v>8th</v>
      </c>
      <c r="AI341" s="3" t="str">
        <f>IF(VLOOKUP($C341,'All Girls &amp; Descendants - Edit'!$C$2:$AK$440,'All Girls &amp; Descendants - Edit'!AI$1,FALSE)=""," - ",(VLOOKUP($C341,'All Girls &amp; Descendants - Edit'!$C$2:$AK$440,'All Girls &amp; Descendants - Edit'!AI$1,FALSE)))</f>
        <v>Unmarried</v>
      </c>
      <c r="AJ341" s="3" t="str">
        <f>IF(VLOOKUP($C341,'All Girls &amp; Descendants - Edit'!$C$2:$AK$440,'All Girls &amp; Descendants - Edit'!AJ$1,FALSE)=""," - ",(VLOOKUP($C341,'All Girls &amp; Descendants - Edit'!$C$2:$AK$440,'All Girls &amp; Descendants - Edit'!AJ$1,FALSE)))</f>
        <v>Male. b. 07/10/2004</v>
      </c>
      <c r="AK341" s="3" t="str">
        <f>IF(VLOOKUP($C341,'All Girls &amp; Descendants - Edit'!$C$2:$AK$440,'All Girls &amp; Descendants - Edit'!AK$1,FALSE)=""," - ",(VLOOKUP($C341,'All Girls &amp; Descendants - Edit'!$C$2:$AK$440,'All Girls &amp; Descendants - Edit'!AK$1,FALSE)))</f>
        <v>b. 07/10/2004</v>
      </c>
    </row>
    <row r="342" spans="1:37" ht="19">
      <c r="A342">
        <f>VLOOKUP(B342,'Loyd List 1-190 - Edit'!$P$1:$R$219,3,FALSE)</f>
        <v>54</v>
      </c>
      <c r="B342">
        <f>'All Girls &amp; Descendants - Edit'!B343</f>
        <v>92</v>
      </c>
      <c r="C342" s="98" t="str">
        <f>'All Girls &amp; Descendants - Edit'!C343</f>
        <v>92bbb</v>
      </c>
      <c r="D342" s="2" t="str">
        <f>'All Girls &amp; Descendants - Edit'!D343</f>
        <v>TATTON-BROWN</v>
      </c>
      <c r="E342" t="str">
        <f>'All Girls &amp; Descendants - Edit'!E343</f>
        <v>Marius</v>
      </c>
      <c r="F342" t="str">
        <f>IF('All Girls &amp; Descendants - Edit'!F343="","",'All Girls &amp; Descendants - Edit'!F343)</f>
        <v>Cesar</v>
      </c>
      <c r="G342" t="str">
        <f>IF('All Girls &amp; Descendants - Edit'!G343="","",'All Girls &amp; Descendants - Edit'!G343)</f>
        <v>Fabien</v>
      </c>
      <c r="H342" t="str">
        <f>IF('All Girls &amp; Descendants - Edit'!H343="","",'All Girls &amp; Descendants - Edit'!H343)</f>
        <v/>
      </c>
      <c r="I342">
        <f>VLOOKUP($C342,'All Girls &amp; Descendants - Edit'!$C$2:$AK$440,'All Girls &amp; Descendants - Edit'!I$1,FALSE)</f>
        <v>2004</v>
      </c>
      <c r="J342" t="str">
        <f>VLOOKUP($C342,'All Girls &amp; Descendants - Edit'!$C$2:$AK$440,'All Girls &amp; Descendants - Edit'!J$1,FALSE)</f>
        <v/>
      </c>
      <c r="K342" s="9"/>
      <c r="L342" t="str">
        <f t="shared" si="39"/>
        <v>07/10/2004</v>
      </c>
      <c r="M342" s="3">
        <f>VLOOKUP($C342,'All Girls &amp; Descendants - Edit'!$C$2:$AK$440,'All Girls &amp; Descendants - Edit'!M$1,FALSE)</f>
        <v>38267</v>
      </c>
      <c r="N342" s="3" t="str">
        <f>IF(VLOOKUP($C342,'All Girls &amp; Descendants - Edit'!$C$2:$AK$440,'All Girls &amp; Descendants - Edit'!N$1,FALSE)=""," - ",(VLOOKUP($C342,'All Girls &amp; Descendants - Edit'!$C$2:$AK$440,'All Girls &amp; Descendants - Edit'!N$1,FALSE)))</f>
        <v xml:space="preserve"> - </v>
      </c>
      <c r="O342" s="3" t="str">
        <f>IF(VLOOKUP($C342,'All Girls &amp; Descendants - Edit'!$C$2:$AK$440,'All Girls &amp; Descendants - Edit'!O$1,FALSE)="","",(VLOOKUP($C342,'All Girls &amp; Descendants - Edit'!$C$2:$AK$440,'All Girls &amp; Descendants - Edit'!O$1,FALSE)))</f>
        <v/>
      </c>
      <c r="P342" s="3" t="str">
        <f t="shared" si="40"/>
        <v/>
      </c>
      <c r="Q342" s="178" t="str">
        <f t="shared" si="41"/>
        <v>92bb</v>
      </c>
      <c r="R342" s="23"/>
      <c r="S342" t="str">
        <f>VLOOKUP($C342,'All Girls &amp; Descendants - Edit'!$C$2:$AK$440,'All Girls &amp; Descendants - Edit'!S$1,FALSE)</f>
        <v>Male</v>
      </c>
      <c r="T342" s="176">
        <f t="shared" si="38"/>
        <v>8</v>
      </c>
      <c r="U342" s="176">
        <f t="shared" si="42"/>
        <v>5</v>
      </c>
      <c r="V342" s="176">
        <f t="shared" si="43"/>
        <v>5</v>
      </c>
      <c r="W342" s="177">
        <f t="shared" si="44"/>
        <v>3</v>
      </c>
      <c r="X342" s="3" t="str">
        <f>IF(VLOOKUP($C342,'All Girls &amp; Descendants - Edit'!$C$2:$AK$440,'All Girls &amp; Descendants - Edit'!X$1,FALSE)=""," - ",(VLOOKUP($C342,'All Girls &amp; Descendants - Edit'!$C$2:$AK$440,'All Girls &amp; Descendants - Edit'!X$1,FALSE)))</f>
        <v xml:space="preserve"> - </v>
      </c>
      <c r="Y342" s="3" t="str">
        <f>IF(VLOOKUP($C342,'All Girls &amp; Descendants - Edit'!$C$2:$AK$440,'All Girls &amp; Descendants - Edit'!Y$1,FALSE)=""," - ",(VLOOKUP($C342,'All Girls &amp; Descendants - Edit'!$C$2:$AK$440,'All Girls &amp; Descendants - Edit'!Y$1,FALSE)))</f>
        <v xml:space="preserve"> - </v>
      </c>
      <c r="Z342" s="3" t="str">
        <f>IF(VLOOKUP($C342,'All Girls &amp; Descendants - Edit'!$C$2:$AK$440,'All Girls &amp; Descendants - Edit'!Z$1,FALSE)=""," - ",(VLOOKUP($C342,'All Girls &amp; Descendants - Edit'!$C$2:$AK$440,'All Girls &amp; Descendants - Edit'!Z$1,FALSE)))</f>
        <v xml:space="preserve"> - </v>
      </c>
      <c r="AA342" s="101" t="str">
        <f>IF(VLOOKUP($C342,'All Girls &amp; Descendants - Edit'!$C$2:$AK$440,'All Girls &amp; Descendants - Edit'!AA$1,FALSE)=""," - ",(VLOOKUP($C342,'All Girls &amp; Descendants - Edit'!$C$2:$AK$440,'All Girls &amp; Descendants - Edit'!AA$1,FALSE)))</f>
        <v xml:space="preserve"> - </v>
      </c>
      <c r="AB342" s="101">
        <f>IF(VLOOKUP($C342,'All Girls &amp; Descendants - Edit'!$C$2:$AK$440,'All Girls &amp; Descendants - Edit'!AB$1,FALSE)=""," - ",(VLOOKUP($C342,'All Girls &amp; Descendants - Edit'!$C$2:$AK$440,'All Girls &amp; Descendants - Edit'!AB$1,FALSE)))</f>
        <v>51</v>
      </c>
      <c r="AC342" s="101">
        <f>IF(VLOOKUP($C342,'All Girls &amp; Descendants - Edit'!$C$2:$AK$440,'All Girls &amp; Descendants - Edit'!AC$1,FALSE)=""," - ",(VLOOKUP($C342,'All Girls &amp; Descendants - Edit'!$C$2:$AK$440,'All Girls &amp; Descendants - Edit'!AC$1,FALSE)))</f>
        <v>3051</v>
      </c>
      <c r="AD342" s="3" t="str">
        <f>IF(VLOOKUP($C342,'All Girls &amp; Descendants - Edit'!$C$2:$AK$440,'All Girls &amp; Descendants - Edit'!AD$1,FALSE)=""," - ",(VLOOKUP($C342,'All Girls &amp; Descendants - Edit'!$C$2:$AK$440,'All Girls &amp; Descendants - Edit'!AD$1,FALSE)))</f>
        <v>92bbb</v>
      </c>
      <c r="AE342" s="3" t="str">
        <f>IF(VLOOKUP($C342,'All Girls &amp; Descendants - Edit'!$C$2:$AK$440,'All Girls &amp; Descendants - Edit'!AE$1,FALSE)=""," - ",(VLOOKUP($C342,'All Girls &amp; Descendants - Edit'!$C$2:$AK$440,'All Girls &amp; Descendants - Edit'!AE$1,FALSE)))</f>
        <v>Marius Cesar Fabien TATTON-BROWN (2004 - )</v>
      </c>
      <c r="AF342" s="3" t="str">
        <f>IF(VLOOKUP($C342,'All Girls &amp; Descendants - Edit'!$C$2:$AK$440,'All Girls &amp; Descendants - Edit'!AF$1,FALSE)=""," - ",(VLOOKUP($C342,'All Girls &amp; Descendants - Edit'!$C$2:$AK$440,'All Girls &amp; Descendants - Edit'!AF$1,FALSE)))</f>
        <v>Marius TATTON-BROWN (8th &amp; 92)</v>
      </c>
      <c r="AG342" s="3" t="str">
        <f>IF(VLOOKUP($C342,'All Girls &amp; Descendants - Edit'!$C$2:$AK$440,'All Girls &amp; Descendants - Edit'!AG$1,FALSE)=""," - ",(VLOOKUP($C342,'All Girls &amp; Descendants - Edit'!$C$2:$AK$440,'All Girls &amp; Descendants - Edit'!AG$1,FALSE)))</f>
        <v>Male</v>
      </c>
      <c r="AH342" s="3" t="str">
        <f>IF(VLOOKUP($C342,'All Girls &amp; Descendants - Edit'!$C$2:$AK$440,'All Girls &amp; Descendants - Edit'!AH$1,FALSE)=""," - ",(VLOOKUP($C342,'All Girls &amp; Descendants - Edit'!$C$2:$AK$440,'All Girls &amp; Descendants - Edit'!AH$1,FALSE)))</f>
        <v>8th</v>
      </c>
      <c r="AI342" s="3" t="str">
        <f>IF(VLOOKUP($C342,'All Girls &amp; Descendants - Edit'!$C$2:$AK$440,'All Girls &amp; Descendants - Edit'!AI$1,FALSE)=""," - ",(VLOOKUP($C342,'All Girls &amp; Descendants - Edit'!$C$2:$AK$440,'All Girls &amp; Descendants - Edit'!AI$1,FALSE)))</f>
        <v>Unmarried</v>
      </c>
      <c r="AJ342" s="3" t="str">
        <f>IF(VLOOKUP($C342,'All Girls &amp; Descendants - Edit'!$C$2:$AK$440,'All Girls &amp; Descendants - Edit'!AJ$1,FALSE)=""," - ",(VLOOKUP($C342,'All Girls &amp; Descendants - Edit'!$C$2:$AK$440,'All Girls &amp; Descendants - Edit'!AJ$1,FALSE)))</f>
        <v>Male. b. 07/10/2004</v>
      </c>
      <c r="AK342" s="3" t="str">
        <f>IF(VLOOKUP($C342,'All Girls &amp; Descendants - Edit'!$C$2:$AK$440,'All Girls &amp; Descendants - Edit'!AK$1,FALSE)=""," - ",(VLOOKUP($C342,'All Girls &amp; Descendants - Edit'!$C$2:$AK$440,'All Girls &amp; Descendants - Edit'!AK$1,FALSE)))</f>
        <v>b. 07/10/2004</v>
      </c>
    </row>
    <row r="343" spans="1:37" ht="19">
      <c r="A343">
        <f>VLOOKUP(B343,'Loyd List 1-190 - Edit'!$P$1:$R$219,3,FALSE)</f>
        <v>54</v>
      </c>
      <c r="B343">
        <f>'All Girls &amp; Descendants - Edit'!B344</f>
        <v>92</v>
      </c>
      <c r="C343" s="98" t="str">
        <f>'All Girls &amp; Descendants - Edit'!C344</f>
        <v>92bbc</v>
      </c>
      <c r="D343" s="2" t="str">
        <f>'All Girls &amp; Descendants - Edit'!D344</f>
        <v>TATTON-BROWN</v>
      </c>
      <c r="E343" t="str">
        <f>'All Girls &amp; Descendants - Edit'!E344</f>
        <v>Poppy</v>
      </c>
      <c r="F343" t="str">
        <f>IF('All Girls &amp; Descendants - Edit'!F344="","",'All Girls &amp; Descendants - Edit'!F344)</f>
        <v>May</v>
      </c>
      <c r="G343" t="str">
        <f>IF('All Girls &amp; Descendants - Edit'!G344="","",'All Girls &amp; Descendants - Edit'!G344)</f>
        <v/>
      </c>
      <c r="H343" t="str">
        <f>IF('All Girls &amp; Descendants - Edit'!H344="","",'All Girls &amp; Descendants - Edit'!H344)</f>
        <v/>
      </c>
      <c r="I343">
        <f>VLOOKUP($C343,'All Girls &amp; Descendants - Edit'!$C$2:$AK$440,'All Girls &amp; Descendants - Edit'!I$1,FALSE)</f>
        <v>2008</v>
      </c>
      <c r="J343" t="str">
        <f>VLOOKUP($C343,'All Girls &amp; Descendants - Edit'!$C$2:$AK$440,'All Girls &amp; Descendants - Edit'!J$1,FALSE)</f>
        <v/>
      </c>
      <c r="K343" s="9"/>
      <c r="L343" t="str">
        <f t="shared" si="39"/>
        <v>12/09/2008</v>
      </c>
      <c r="M343" s="3">
        <f>VLOOKUP($C343,'All Girls &amp; Descendants - Edit'!$C$2:$AK$440,'All Girls &amp; Descendants - Edit'!M$1,FALSE)</f>
        <v>39703</v>
      </c>
      <c r="N343" s="3" t="str">
        <f>IF(VLOOKUP($C343,'All Girls &amp; Descendants - Edit'!$C$2:$AK$440,'All Girls &amp; Descendants - Edit'!N$1,FALSE)=""," - ",(VLOOKUP($C343,'All Girls &amp; Descendants - Edit'!$C$2:$AK$440,'All Girls &amp; Descendants - Edit'!N$1,FALSE)))</f>
        <v xml:space="preserve"> - </v>
      </c>
      <c r="O343" s="3" t="str">
        <f>IF(VLOOKUP($C343,'All Girls &amp; Descendants - Edit'!$C$2:$AK$440,'All Girls &amp; Descendants - Edit'!O$1,FALSE)="","",(VLOOKUP($C343,'All Girls &amp; Descendants - Edit'!$C$2:$AK$440,'All Girls &amp; Descendants - Edit'!O$1,FALSE)))</f>
        <v/>
      </c>
      <c r="P343" s="3" t="str">
        <f t="shared" si="40"/>
        <v/>
      </c>
      <c r="Q343" s="178" t="str">
        <f t="shared" si="41"/>
        <v>92bb</v>
      </c>
      <c r="R343" s="23"/>
      <c r="S343" t="str">
        <f>VLOOKUP($C343,'All Girls &amp; Descendants - Edit'!$C$2:$AK$440,'All Girls &amp; Descendants - Edit'!S$1,FALSE)</f>
        <v>Female</v>
      </c>
      <c r="T343" s="176">
        <f t="shared" si="38"/>
        <v>8</v>
      </c>
      <c r="U343" s="176">
        <f t="shared" si="42"/>
        <v>5</v>
      </c>
      <c r="V343" s="176">
        <f t="shared" si="43"/>
        <v>5</v>
      </c>
      <c r="W343" s="177">
        <f t="shared" si="44"/>
        <v>3</v>
      </c>
      <c r="X343" s="3" t="str">
        <f>IF(VLOOKUP($C343,'All Girls &amp; Descendants - Edit'!$C$2:$AK$440,'All Girls &amp; Descendants - Edit'!X$1,FALSE)=""," - ",(VLOOKUP($C343,'All Girls &amp; Descendants - Edit'!$C$2:$AK$440,'All Girls &amp; Descendants - Edit'!X$1,FALSE)))</f>
        <v xml:space="preserve"> - </v>
      </c>
      <c r="Y343" s="3" t="str">
        <f>IF(VLOOKUP($C343,'All Girls &amp; Descendants - Edit'!$C$2:$AK$440,'All Girls &amp; Descendants - Edit'!Y$1,FALSE)=""," - ",(VLOOKUP($C343,'All Girls &amp; Descendants - Edit'!$C$2:$AK$440,'All Girls &amp; Descendants - Edit'!Y$1,FALSE)))</f>
        <v xml:space="preserve"> - </v>
      </c>
      <c r="Z343" s="3" t="str">
        <f>IF(VLOOKUP($C343,'All Girls &amp; Descendants - Edit'!$C$2:$AK$440,'All Girls &amp; Descendants - Edit'!Z$1,FALSE)=""," - ",(VLOOKUP($C343,'All Girls &amp; Descendants - Edit'!$C$2:$AK$440,'All Girls &amp; Descendants - Edit'!Z$1,FALSE)))</f>
        <v xml:space="preserve"> - </v>
      </c>
      <c r="AA343" s="101" t="str">
        <f>IF(VLOOKUP($C343,'All Girls &amp; Descendants - Edit'!$C$2:$AK$440,'All Girls &amp; Descendants - Edit'!AA$1,FALSE)=""," - ",(VLOOKUP($C343,'All Girls &amp; Descendants - Edit'!$C$2:$AK$440,'All Girls &amp; Descendants - Edit'!AA$1,FALSE)))</f>
        <v xml:space="preserve"> - </v>
      </c>
      <c r="AB343" s="101">
        <f>IF(VLOOKUP($C343,'All Girls &amp; Descendants - Edit'!$C$2:$AK$440,'All Girls &amp; Descendants - Edit'!AB$1,FALSE)=""," - ",(VLOOKUP($C343,'All Girls &amp; Descendants - Edit'!$C$2:$AK$440,'All Girls &amp; Descendants - Edit'!AB$1,FALSE)))</f>
        <v>52</v>
      </c>
      <c r="AC343" s="101">
        <f>IF(VLOOKUP($C343,'All Girls &amp; Descendants - Edit'!$C$2:$AK$440,'All Girls &amp; Descendants - Edit'!AC$1,FALSE)=""," - ",(VLOOKUP($C343,'All Girls &amp; Descendants - Edit'!$C$2:$AK$440,'All Girls &amp; Descendants - Edit'!AC$1,FALSE)))</f>
        <v>3052</v>
      </c>
      <c r="AD343" s="3" t="str">
        <f>IF(VLOOKUP($C343,'All Girls &amp; Descendants - Edit'!$C$2:$AK$440,'All Girls &amp; Descendants - Edit'!AD$1,FALSE)=""," - ",(VLOOKUP($C343,'All Girls &amp; Descendants - Edit'!$C$2:$AK$440,'All Girls &amp; Descendants - Edit'!AD$1,FALSE)))</f>
        <v>92bbc</v>
      </c>
      <c r="AE343" s="3" t="str">
        <f>IF(VLOOKUP($C343,'All Girls &amp; Descendants - Edit'!$C$2:$AK$440,'All Girls &amp; Descendants - Edit'!AE$1,FALSE)=""," - ",(VLOOKUP($C343,'All Girls &amp; Descendants - Edit'!$C$2:$AK$440,'All Girls &amp; Descendants - Edit'!AE$1,FALSE)))</f>
        <v>Poppy May  TATTON-BROWN (2008 - )</v>
      </c>
      <c r="AF343" s="3" t="str">
        <f>IF(VLOOKUP($C343,'All Girls &amp; Descendants - Edit'!$C$2:$AK$440,'All Girls &amp; Descendants - Edit'!AF$1,FALSE)=""," - ",(VLOOKUP($C343,'All Girls &amp; Descendants - Edit'!$C$2:$AK$440,'All Girls &amp; Descendants - Edit'!AF$1,FALSE)))</f>
        <v>Poppy TATTON-BROWN (8th &amp; 92)</v>
      </c>
      <c r="AG343" s="3" t="str">
        <f>IF(VLOOKUP($C343,'All Girls &amp; Descendants - Edit'!$C$2:$AK$440,'All Girls &amp; Descendants - Edit'!AG$1,FALSE)=""," - ",(VLOOKUP($C343,'All Girls &amp; Descendants - Edit'!$C$2:$AK$440,'All Girls &amp; Descendants - Edit'!AG$1,FALSE)))</f>
        <v>Female</v>
      </c>
      <c r="AH343" s="3" t="str">
        <f>IF(VLOOKUP($C343,'All Girls &amp; Descendants - Edit'!$C$2:$AK$440,'All Girls &amp; Descendants - Edit'!AH$1,FALSE)=""," - ",(VLOOKUP($C343,'All Girls &amp; Descendants - Edit'!$C$2:$AK$440,'All Girls &amp; Descendants - Edit'!AH$1,FALSE)))</f>
        <v>8th</v>
      </c>
      <c r="AI343" s="3" t="str">
        <f>IF(VLOOKUP($C343,'All Girls &amp; Descendants - Edit'!$C$2:$AK$440,'All Girls &amp; Descendants - Edit'!AI$1,FALSE)=""," - ",(VLOOKUP($C343,'All Girls &amp; Descendants - Edit'!$C$2:$AK$440,'All Girls &amp; Descendants - Edit'!AI$1,FALSE)))</f>
        <v>Unmarried</v>
      </c>
      <c r="AJ343" s="3" t="str">
        <f>IF(VLOOKUP($C343,'All Girls &amp; Descendants - Edit'!$C$2:$AK$440,'All Girls &amp; Descendants - Edit'!AJ$1,FALSE)=""," - ",(VLOOKUP($C343,'All Girls &amp; Descendants - Edit'!$C$2:$AK$440,'All Girls &amp; Descendants - Edit'!AJ$1,FALSE)))</f>
        <v>Female. b. 12/09/2008</v>
      </c>
      <c r="AK343" s="3" t="str">
        <f>IF(VLOOKUP($C343,'All Girls &amp; Descendants - Edit'!$C$2:$AK$440,'All Girls &amp; Descendants - Edit'!AK$1,FALSE)=""," - ",(VLOOKUP($C343,'All Girls &amp; Descendants - Edit'!$C$2:$AK$440,'All Girls &amp; Descendants - Edit'!AK$1,FALSE)))</f>
        <v>b. 12/09/2008</v>
      </c>
    </row>
    <row r="344" spans="1:37" ht="19">
      <c r="A344">
        <f>VLOOKUP(B344,'Loyd List 1-190 - Edit'!$P$1:$R$219,3,FALSE)</f>
        <v>54</v>
      </c>
      <c r="B344">
        <f>'All Girls &amp; Descendants - Edit'!B345</f>
        <v>92</v>
      </c>
      <c r="C344" s="98" t="str">
        <f>'All Girls &amp; Descendants - Edit'!C345</f>
        <v>92bca</v>
      </c>
      <c r="D344" s="2" t="str">
        <f>'All Girls &amp; Descendants - Edit'!D345</f>
        <v>BOURNE</v>
      </c>
      <c r="E344" t="str">
        <f>'All Girls &amp; Descendants - Edit'!E345</f>
        <v>Rose</v>
      </c>
      <c r="F344" t="str">
        <f>IF('All Girls &amp; Descendants - Edit'!F345="","",'All Girls &amp; Descendants - Edit'!F345)</f>
        <v>Henrietta</v>
      </c>
      <c r="G344" t="str">
        <f>IF('All Girls &amp; Descendants - Edit'!G345="","",'All Girls &amp; Descendants - Edit'!G345)</f>
        <v/>
      </c>
      <c r="H344" t="str">
        <f>IF('All Girls &amp; Descendants - Edit'!H345="","",'All Girls &amp; Descendants - Edit'!H345)</f>
        <v/>
      </c>
      <c r="I344">
        <f>VLOOKUP($C344,'All Girls &amp; Descendants - Edit'!$C$2:$AK$440,'All Girls &amp; Descendants - Edit'!I$1,FALSE)</f>
        <v>2014</v>
      </c>
      <c r="J344" t="str">
        <f>VLOOKUP($C344,'All Girls &amp; Descendants - Edit'!$C$2:$AK$440,'All Girls &amp; Descendants - Edit'!J$1,FALSE)</f>
        <v/>
      </c>
      <c r="K344" s="9"/>
      <c r="L344" t="str">
        <f t="shared" si="39"/>
        <v>18/04/2014</v>
      </c>
      <c r="M344" s="3">
        <f>VLOOKUP($C344,'All Girls &amp; Descendants - Edit'!$C$2:$AK$440,'All Girls &amp; Descendants - Edit'!M$1,FALSE)</f>
        <v>41747</v>
      </c>
      <c r="N344" s="3" t="str">
        <f>IF(VLOOKUP($C344,'All Girls &amp; Descendants - Edit'!$C$2:$AK$440,'All Girls &amp; Descendants - Edit'!N$1,FALSE)=""," - ",(VLOOKUP($C344,'All Girls &amp; Descendants - Edit'!$C$2:$AK$440,'All Girls &amp; Descendants - Edit'!N$1,FALSE)))</f>
        <v xml:space="preserve"> - </v>
      </c>
      <c r="O344" s="3" t="str">
        <f>IF(VLOOKUP($C344,'All Girls &amp; Descendants - Edit'!$C$2:$AK$440,'All Girls &amp; Descendants - Edit'!O$1,FALSE)="","",(VLOOKUP($C344,'All Girls &amp; Descendants - Edit'!$C$2:$AK$440,'All Girls &amp; Descendants - Edit'!O$1,FALSE)))</f>
        <v/>
      </c>
      <c r="P344" s="3" t="str">
        <f t="shared" si="40"/>
        <v/>
      </c>
      <c r="Q344" s="178" t="str">
        <f t="shared" si="41"/>
        <v>92bc</v>
      </c>
      <c r="R344" s="23"/>
      <c r="S344" t="str">
        <f>VLOOKUP($C344,'All Girls &amp; Descendants - Edit'!$C$2:$AK$440,'All Girls &amp; Descendants - Edit'!S$1,FALSE)</f>
        <v>Female</v>
      </c>
      <c r="T344" s="176">
        <f t="shared" si="38"/>
        <v>8</v>
      </c>
      <c r="U344" s="176">
        <f t="shared" si="42"/>
        <v>5</v>
      </c>
      <c r="V344" s="176">
        <f t="shared" si="43"/>
        <v>5</v>
      </c>
      <c r="W344" s="177">
        <f t="shared" si="44"/>
        <v>3</v>
      </c>
      <c r="X344" s="3" t="str">
        <f>IF(VLOOKUP($C344,'All Girls &amp; Descendants - Edit'!$C$2:$AK$440,'All Girls &amp; Descendants - Edit'!X$1,FALSE)=""," - ",(VLOOKUP($C344,'All Girls &amp; Descendants - Edit'!$C$2:$AK$440,'All Girls &amp; Descendants - Edit'!X$1,FALSE)))</f>
        <v xml:space="preserve"> - </v>
      </c>
      <c r="Y344" s="3" t="str">
        <f>IF(VLOOKUP($C344,'All Girls &amp; Descendants - Edit'!$C$2:$AK$440,'All Girls &amp; Descendants - Edit'!Y$1,FALSE)=""," - ",(VLOOKUP($C344,'All Girls &amp; Descendants - Edit'!$C$2:$AK$440,'All Girls &amp; Descendants - Edit'!Y$1,FALSE)))</f>
        <v xml:space="preserve"> - </v>
      </c>
      <c r="Z344" s="3" t="str">
        <f>IF(VLOOKUP($C344,'All Girls &amp; Descendants - Edit'!$C$2:$AK$440,'All Girls &amp; Descendants - Edit'!Z$1,FALSE)=""," - ",(VLOOKUP($C344,'All Girls &amp; Descendants - Edit'!$C$2:$AK$440,'All Girls &amp; Descendants - Edit'!Z$1,FALSE)))</f>
        <v xml:space="preserve"> - </v>
      </c>
      <c r="AA344" s="101" t="str">
        <f>IF(VLOOKUP($C344,'All Girls &amp; Descendants - Edit'!$C$2:$AK$440,'All Girls &amp; Descendants - Edit'!AA$1,FALSE)=""," - ",(VLOOKUP($C344,'All Girls &amp; Descendants - Edit'!$C$2:$AK$440,'All Girls &amp; Descendants - Edit'!AA$1,FALSE)))</f>
        <v xml:space="preserve"> - </v>
      </c>
      <c r="AB344" s="101">
        <f>IF(VLOOKUP($C344,'All Girls &amp; Descendants - Edit'!$C$2:$AK$440,'All Girls &amp; Descendants - Edit'!AB$1,FALSE)=""," - ",(VLOOKUP($C344,'All Girls &amp; Descendants - Edit'!$C$2:$AK$440,'All Girls &amp; Descendants - Edit'!AB$1,FALSE)))</f>
        <v>53</v>
      </c>
      <c r="AC344" s="101">
        <f>IF(VLOOKUP($C344,'All Girls &amp; Descendants - Edit'!$C$2:$AK$440,'All Girls &amp; Descendants - Edit'!AC$1,FALSE)=""," - ",(VLOOKUP($C344,'All Girls &amp; Descendants - Edit'!$C$2:$AK$440,'All Girls &amp; Descendants - Edit'!AC$1,FALSE)))</f>
        <v>3053</v>
      </c>
      <c r="AD344" s="3" t="str">
        <f>IF(VLOOKUP($C344,'All Girls &amp; Descendants - Edit'!$C$2:$AK$440,'All Girls &amp; Descendants - Edit'!AD$1,FALSE)=""," - ",(VLOOKUP($C344,'All Girls &amp; Descendants - Edit'!$C$2:$AK$440,'All Girls &amp; Descendants - Edit'!AD$1,FALSE)))</f>
        <v>92bca</v>
      </c>
      <c r="AE344" s="3" t="str">
        <f>IF(VLOOKUP($C344,'All Girls &amp; Descendants - Edit'!$C$2:$AK$440,'All Girls &amp; Descendants - Edit'!AE$1,FALSE)=""," - ",(VLOOKUP($C344,'All Girls &amp; Descendants - Edit'!$C$2:$AK$440,'All Girls &amp; Descendants - Edit'!AE$1,FALSE)))</f>
        <v>Rose Henrietta  BOURNE (2014 - )</v>
      </c>
      <c r="AF344" s="3" t="str">
        <f>IF(VLOOKUP($C344,'All Girls &amp; Descendants - Edit'!$C$2:$AK$440,'All Girls &amp; Descendants - Edit'!AF$1,FALSE)=""," - ",(VLOOKUP($C344,'All Girls &amp; Descendants - Edit'!$C$2:$AK$440,'All Girls &amp; Descendants - Edit'!AF$1,FALSE)))</f>
        <v>Rose BOURNE (8th &amp; 92)</v>
      </c>
      <c r="AG344" s="3" t="str">
        <f>IF(VLOOKUP($C344,'All Girls &amp; Descendants - Edit'!$C$2:$AK$440,'All Girls &amp; Descendants - Edit'!AG$1,FALSE)=""," - ",(VLOOKUP($C344,'All Girls &amp; Descendants - Edit'!$C$2:$AK$440,'All Girls &amp; Descendants - Edit'!AG$1,FALSE)))</f>
        <v>Female</v>
      </c>
      <c r="AH344" s="3" t="str">
        <f>IF(VLOOKUP($C344,'All Girls &amp; Descendants - Edit'!$C$2:$AK$440,'All Girls &amp; Descendants - Edit'!AH$1,FALSE)=""," - ",(VLOOKUP($C344,'All Girls &amp; Descendants - Edit'!$C$2:$AK$440,'All Girls &amp; Descendants - Edit'!AH$1,FALSE)))</f>
        <v>8th</v>
      </c>
      <c r="AI344" s="3" t="str">
        <f>IF(VLOOKUP($C344,'All Girls &amp; Descendants - Edit'!$C$2:$AK$440,'All Girls &amp; Descendants - Edit'!AI$1,FALSE)=""," - ",(VLOOKUP($C344,'All Girls &amp; Descendants - Edit'!$C$2:$AK$440,'All Girls &amp; Descendants - Edit'!AI$1,FALSE)))</f>
        <v>Unmarried</v>
      </c>
      <c r="AJ344" s="3" t="str">
        <f>IF(VLOOKUP($C344,'All Girls &amp; Descendants - Edit'!$C$2:$AK$440,'All Girls &amp; Descendants - Edit'!AJ$1,FALSE)=""," - ",(VLOOKUP($C344,'All Girls &amp; Descendants - Edit'!$C$2:$AK$440,'All Girls &amp; Descendants - Edit'!AJ$1,FALSE)))</f>
        <v>Female. b. 18/04/2014</v>
      </c>
      <c r="AK344" s="3" t="str">
        <f>IF(VLOOKUP($C344,'All Girls &amp; Descendants - Edit'!$C$2:$AK$440,'All Girls &amp; Descendants - Edit'!AK$1,FALSE)=""," - ",(VLOOKUP($C344,'All Girls &amp; Descendants - Edit'!$C$2:$AK$440,'All Girls &amp; Descendants - Edit'!AK$1,FALSE)))</f>
        <v>b. 18/04/2014</v>
      </c>
    </row>
    <row r="345" spans="1:37" ht="19">
      <c r="A345">
        <f>VLOOKUP(B345,'Loyd List 1-190 - Edit'!$P$1:$R$219,3,FALSE)</f>
        <v>54</v>
      </c>
      <c r="B345">
        <f>'All Girls &amp; Descendants - Edit'!B346</f>
        <v>92</v>
      </c>
      <c r="C345" s="98" t="str">
        <f>'All Girls &amp; Descendants - Edit'!C346</f>
        <v>92bcb</v>
      </c>
      <c r="D345" s="2" t="str">
        <f>'All Girls &amp; Descendants - Edit'!D346</f>
        <v>BOURNE</v>
      </c>
      <c r="E345" t="str">
        <f>'All Girls &amp; Descendants - Edit'!E346</f>
        <v>Basil</v>
      </c>
      <c r="F345" t="str">
        <f>IF('All Girls &amp; Descendants - Edit'!F346="","",'All Girls &amp; Descendants - Edit'!F346)</f>
        <v>Louis</v>
      </c>
      <c r="G345" t="str">
        <f>IF('All Girls &amp; Descendants - Edit'!G346="","",'All Girls &amp; Descendants - Edit'!G346)</f>
        <v/>
      </c>
      <c r="H345" t="str">
        <f>IF('All Girls &amp; Descendants - Edit'!H346="","",'All Girls &amp; Descendants - Edit'!H346)</f>
        <v/>
      </c>
      <c r="I345">
        <f>VLOOKUP($C345,'All Girls &amp; Descendants - Edit'!$C$2:$AK$440,'All Girls &amp; Descendants - Edit'!I$1,FALSE)</f>
        <v>2016</v>
      </c>
      <c r="J345" t="str">
        <f>VLOOKUP($C345,'All Girls &amp; Descendants - Edit'!$C$2:$AK$440,'All Girls &amp; Descendants - Edit'!J$1,FALSE)</f>
        <v/>
      </c>
      <c r="K345" s="9"/>
      <c r="L345" t="str">
        <f t="shared" si="39"/>
        <v>30/01/2016</v>
      </c>
      <c r="M345" s="3">
        <f>VLOOKUP($C345,'All Girls &amp; Descendants - Edit'!$C$2:$AK$440,'All Girls &amp; Descendants - Edit'!M$1,FALSE)</f>
        <v>42399</v>
      </c>
      <c r="N345" s="3" t="str">
        <f>IF(VLOOKUP($C345,'All Girls &amp; Descendants - Edit'!$C$2:$AK$440,'All Girls &amp; Descendants - Edit'!N$1,FALSE)=""," - ",(VLOOKUP($C345,'All Girls &amp; Descendants - Edit'!$C$2:$AK$440,'All Girls &amp; Descendants - Edit'!N$1,FALSE)))</f>
        <v xml:space="preserve"> - </v>
      </c>
      <c r="O345" s="3" t="str">
        <f>IF(VLOOKUP($C345,'All Girls &amp; Descendants - Edit'!$C$2:$AK$440,'All Girls &amp; Descendants - Edit'!O$1,FALSE)="","",(VLOOKUP($C345,'All Girls &amp; Descendants - Edit'!$C$2:$AK$440,'All Girls &amp; Descendants - Edit'!O$1,FALSE)))</f>
        <v/>
      </c>
      <c r="P345" s="3" t="str">
        <f t="shared" si="40"/>
        <v/>
      </c>
      <c r="Q345" s="178" t="str">
        <f t="shared" si="41"/>
        <v>92bc</v>
      </c>
      <c r="R345" s="23"/>
      <c r="S345" t="str">
        <f>VLOOKUP($C345,'All Girls &amp; Descendants - Edit'!$C$2:$AK$440,'All Girls &amp; Descendants - Edit'!S$1,FALSE)</f>
        <v>Male</v>
      </c>
      <c r="T345" s="176">
        <f t="shared" si="38"/>
        <v>8</v>
      </c>
      <c r="U345" s="176">
        <f t="shared" si="42"/>
        <v>5</v>
      </c>
      <c r="V345" s="176">
        <f t="shared" si="43"/>
        <v>5</v>
      </c>
      <c r="W345" s="177">
        <f t="shared" si="44"/>
        <v>3</v>
      </c>
      <c r="X345" s="3" t="str">
        <f>IF(VLOOKUP($C345,'All Girls &amp; Descendants - Edit'!$C$2:$AK$440,'All Girls &amp; Descendants - Edit'!X$1,FALSE)=""," - ",(VLOOKUP($C345,'All Girls &amp; Descendants - Edit'!$C$2:$AK$440,'All Girls &amp; Descendants - Edit'!X$1,FALSE)))</f>
        <v xml:space="preserve"> - </v>
      </c>
      <c r="Y345" s="3" t="str">
        <f>IF(VLOOKUP($C345,'All Girls &amp; Descendants - Edit'!$C$2:$AK$440,'All Girls &amp; Descendants - Edit'!Y$1,FALSE)=""," - ",(VLOOKUP($C345,'All Girls &amp; Descendants - Edit'!$C$2:$AK$440,'All Girls &amp; Descendants - Edit'!Y$1,FALSE)))</f>
        <v xml:space="preserve"> - </v>
      </c>
      <c r="Z345" s="3" t="str">
        <f>IF(VLOOKUP($C345,'All Girls &amp; Descendants - Edit'!$C$2:$AK$440,'All Girls &amp; Descendants - Edit'!Z$1,FALSE)=""," - ",(VLOOKUP($C345,'All Girls &amp; Descendants - Edit'!$C$2:$AK$440,'All Girls &amp; Descendants - Edit'!Z$1,FALSE)))</f>
        <v xml:space="preserve"> - </v>
      </c>
      <c r="AA345" s="101" t="str">
        <f>IF(VLOOKUP($C345,'All Girls &amp; Descendants - Edit'!$C$2:$AK$440,'All Girls &amp; Descendants - Edit'!AA$1,FALSE)=""," - ",(VLOOKUP($C345,'All Girls &amp; Descendants - Edit'!$C$2:$AK$440,'All Girls &amp; Descendants - Edit'!AA$1,FALSE)))</f>
        <v xml:space="preserve"> - </v>
      </c>
      <c r="AB345" s="101">
        <f>IF(VLOOKUP($C345,'All Girls &amp; Descendants - Edit'!$C$2:$AK$440,'All Girls &amp; Descendants - Edit'!AB$1,FALSE)=""," - ",(VLOOKUP($C345,'All Girls &amp; Descendants - Edit'!$C$2:$AK$440,'All Girls &amp; Descendants - Edit'!AB$1,FALSE)))</f>
        <v>54</v>
      </c>
      <c r="AC345" s="101">
        <f>IF(VLOOKUP($C345,'All Girls &amp; Descendants - Edit'!$C$2:$AK$440,'All Girls &amp; Descendants - Edit'!AC$1,FALSE)=""," - ",(VLOOKUP($C345,'All Girls &amp; Descendants - Edit'!$C$2:$AK$440,'All Girls &amp; Descendants - Edit'!AC$1,FALSE)))</f>
        <v>3054</v>
      </c>
      <c r="AD345" s="3" t="str">
        <f>IF(VLOOKUP($C345,'All Girls &amp; Descendants - Edit'!$C$2:$AK$440,'All Girls &amp; Descendants - Edit'!AD$1,FALSE)=""," - ",(VLOOKUP($C345,'All Girls &amp; Descendants - Edit'!$C$2:$AK$440,'All Girls &amp; Descendants - Edit'!AD$1,FALSE)))</f>
        <v>92bcb</v>
      </c>
      <c r="AE345" s="3" t="str">
        <f>IF(VLOOKUP($C345,'All Girls &amp; Descendants - Edit'!$C$2:$AK$440,'All Girls &amp; Descendants - Edit'!AE$1,FALSE)=""," - ",(VLOOKUP($C345,'All Girls &amp; Descendants - Edit'!$C$2:$AK$440,'All Girls &amp; Descendants - Edit'!AE$1,FALSE)))</f>
        <v>Basil Louis  BOURNE (2016 - )</v>
      </c>
      <c r="AF345" s="3" t="str">
        <f>IF(VLOOKUP($C345,'All Girls &amp; Descendants - Edit'!$C$2:$AK$440,'All Girls &amp; Descendants - Edit'!AF$1,FALSE)=""," - ",(VLOOKUP($C345,'All Girls &amp; Descendants - Edit'!$C$2:$AK$440,'All Girls &amp; Descendants - Edit'!AF$1,FALSE)))</f>
        <v>Basil BOURNE (8th &amp; 92)</v>
      </c>
      <c r="AG345" s="3" t="str">
        <f>IF(VLOOKUP($C345,'All Girls &amp; Descendants - Edit'!$C$2:$AK$440,'All Girls &amp; Descendants - Edit'!AG$1,FALSE)=""," - ",(VLOOKUP($C345,'All Girls &amp; Descendants - Edit'!$C$2:$AK$440,'All Girls &amp; Descendants - Edit'!AG$1,FALSE)))</f>
        <v>Male</v>
      </c>
      <c r="AH345" s="3" t="str">
        <f>IF(VLOOKUP($C345,'All Girls &amp; Descendants - Edit'!$C$2:$AK$440,'All Girls &amp; Descendants - Edit'!AH$1,FALSE)=""," - ",(VLOOKUP($C345,'All Girls &amp; Descendants - Edit'!$C$2:$AK$440,'All Girls &amp; Descendants - Edit'!AH$1,FALSE)))</f>
        <v>8th</v>
      </c>
      <c r="AI345" s="3" t="str">
        <f>IF(VLOOKUP($C345,'All Girls &amp; Descendants - Edit'!$C$2:$AK$440,'All Girls &amp; Descendants - Edit'!AI$1,FALSE)=""," - ",(VLOOKUP($C345,'All Girls &amp; Descendants - Edit'!$C$2:$AK$440,'All Girls &amp; Descendants - Edit'!AI$1,FALSE)))</f>
        <v>Unmarried</v>
      </c>
      <c r="AJ345" s="3" t="str">
        <f>IF(VLOOKUP($C345,'All Girls &amp; Descendants - Edit'!$C$2:$AK$440,'All Girls &amp; Descendants - Edit'!AJ$1,FALSE)=""," - ",(VLOOKUP($C345,'All Girls &amp; Descendants - Edit'!$C$2:$AK$440,'All Girls &amp; Descendants - Edit'!AJ$1,FALSE)))</f>
        <v>Male. b. 30/01/2016</v>
      </c>
      <c r="AK345" s="3" t="str">
        <f>IF(VLOOKUP($C345,'All Girls &amp; Descendants - Edit'!$C$2:$AK$440,'All Girls &amp; Descendants - Edit'!AK$1,FALSE)=""," - ",(VLOOKUP($C345,'All Girls &amp; Descendants - Edit'!$C$2:$AK$440,'All Girls &amp; Descendants - Edit'!AK$1,FALSE)))</f>
        <v>b. 30/01/2016</v>
      </c>
    </row>
    <row r="346" spans="1:37" ht="19">
      <c r="A346">
        <f>VLOOKUP(B346,'Loyd List 1-190 - Edit'!$P$1:$R$219,3,FALSE)</f>
        <v>54</v>
      </c>
      <c r="B346">
        <f>'All Girls &amp; Descendants - Edit'!B347</f>
        <v>92</v>
      </c>
      <c r="C346" s="98" t="str">
        <f>'All Girls &amp; Descendants - Edit'!C347</f>
        <v>92bcc</v>
      </c>
      <c r="D346" s="2" t="str">
        <f>'All Girls &amp; Descendants - Edit'!D347</f>
        <v>BOURNE</v>
      </c>
      <c r="E346" t="str">
        <f>'All Girls &amp; Descendants - Edit'!E347</f>
        <v>Montague</v>
      </c>
      <c r="F346" t="str">
        <f>IF('All Girls &amp; Descendants - Edit'!F347="","",'All Girls &amp; Descendants - Edit'!F347)</f>
        <v>Alfred</v>
      </c>
      <c r="G346" t="str">
        <f>IF('All Girls &amp; Descendants - Edit'!G347="","",'All Girls &amp; Descendants - Edit'!G347)</f>
        <v/>
      </c>
      <c r="H346" t="str">
        <f>IF('All Girls &amp; Descendants - Edit'!H347="","",'All Girls &amp; Descendants - Edit'!H347)</f>
        <v/>
      </c>
      <c r="I346">
        <f>VLOOKUP($C346,'All Girls &amp; Descendants - Edit'!$C$2:$AK$440,'All Girls &amp; Descendants - Edit'!I$1,FALSE)</f>
        <v>2020</v>
      </c>
      <c r="J346" t="str">
        <f>VLOOKUP($C346,'All Girls &amp; Descendants - Edit'!$C$2:$AK$440,'All Girls &amp; Descendants - Edit'!J$1,FALSE)</f>
        <v/>
      </c>
      <c r="K346" s="9"/>
      <c r="L346" t="str">
        <f t="shared" si="39"/>
        <v>23/11/2020</v>
      </c>
      <c r="M346" s="3">
        <f>VLOOKUP($C346,'All Girls &amp; Descendants - Edit'!$C$2:$AK$440,'All Girls &amp; Descendants - Edit'!M$1,FALSE)</f>
        <v>44158</v>
      </c>
      <c r="N346" s="3" t="str">
        <f>IF(VLOOKUP($C346,'All Girls &amp; Descendants - Edit'!$C$2:$AK$440,'All Girls &amp; Descendants - Edit'!N$1,FALSE)=""," - ",(VLOOKUP($C346,'All Girls &amp; Descendants - Edit'!$C$2:$AK$440,'All Girls &amp; Descendants - Edit'!N$1,FALSE)))</f>
        <v xml:space="preserve"> - </v>
      </c>
      <c r="O346" s="3" t="str">
        <f>IF(VLOOKUP($C346,'All Girls &amp; Descendants - Edit'!$C$2:$AK$440,'All Girls &amp; Descendants - Edit'!O$1,FALSE)="","",(VLOOKUP($C346,'All Girls &amp; Descendants - Edit'!$C$2:$AK$440,'All Girls &amp; Descendants - Edit'!O$1,FALSE)))</f>
        <v/>
      </c>
      <c r="P346" s="3" t="str">
        <f t="shared" si="40"/>
        <v/>
      </c>
      <c r="Q346" s="178" t="str">
        <f t="shared" si="41"/>
        <v>92bc</v>
      </c>
      <c r="R346" s="23"/>
      <c r="S346" t="str">
        <f>VLOOKUP($C346,'All Girls &amp; Descendants - Edit'!$C$2:$AK$440,'All Girls &amp; Descendants - Edit'!S$1,FALSE)</f>
        <v>Male</v>
      </c>
      <c r="T346" s="176">
        <f t="shared" si="38"/>
        <v>8</v>
      </c>
      <c r="U346" s="176">
        <f t="shared" si="42"/>
        <v>5</v>
      </c>
      <c r="V346" s="176">
        <f t="shared" si="43"/>
        <v>5</v>
      </c>
      <c r="W346" s="177">
        <f t="shared" si="44"/>
        <v>3</v>
      </c>
      <c r="X346" s="3" t="str">
        <f>IF(VLOOKUP($C346,'All Girls &amp; Descendants - Edit'!$C$2:$AK$440,'All Girls &amp; Descendants - Edit'!X$1,FALSE)=""," - ",(VLOOKUP($C346,'All Girls &amp; Descendants - Edit'!$C$2:$AK$440,'All Girls &amp; Descendants - Edit'!X$1,FALSE)))</f>
        <v xml:space="preserve"> - </v>
      </c>
      <c r="Y346" s="3" t="str">
        <f>IF(VLOOKUP($C346,'All Girls &amp; Descendants - Edit'!$C$2:$AK$440,'All Girls &amp; Descendants - Edit'!Y$1,FALSE)=""," - ",(VLOOKUP($C346,'All Girls &amp; Descendants - Edit'!$C$2:$AK$440,'All Girls &amp; Descendants - Edit'!Y$1,FALSE)))</f>
        <v xml:space="preserve"> - </v>
      </c>
      <c r="Z346" s="3" t="str">
        <f>IF(VLOOKUP($C346,'All Girls &amp; Descendants - Edit'!$C$2:$AK$440,'All Girls &amp; Descendants - Edit'!Z$1,FALSE)=""," - ",(VLOOKUP($C346,'All Girls &amp; Descendants - Edit'!$C$2:$AK$440,'All Girls &amp; Descendants - Edit'!Z$1,FALSE)))</f>
        <v xml:space="preserve"> - </v>
      </c>
      <c r="AA346" s="101" t="str">
        <f>IF(VLOOKUP($C346,'All Girls &amp; Descendants - Edit'!$C$2:$AK$440,'All Girls &amp; Descendants - Edit'!AA$1,FALSE)=""," - ",(VLOOKUP($C346,'All Girls &amp; Descendants - Edit'!$C$2:$AK$440,'All Girls &amp; Descendants - Edit'!AA$1,FALSE)))</f>
        <v xml:space="preserve"> - </v>
      </c>
      <c r="AB346" s="101">
        <f>IF(VLOOKUP($C346,'All Girls &amp; Descendants - Edit'!$C$2:$AK$440,'All Girls &amp; Descendants - Edit'!AB$1,FALSE)=""," - ",(VLOOKUP($C346,'All Girls &amp; Descendants - Edit'!$C$2:$AK$440,'All Girls &amp; Descendants - Edit'!AB$1,FALSE)))</f>
        <v>55</v>
      </c>
      <c r="AC346" s="101">
        <f>IF(VLOOKUP($C346,'All Girls &amp; Descendants - Edit'!$C$2:$AK$440,'All Girls &amp; Descendants - Edit'!AC$1,FALSE)=""," - ",(VLOOKUP($C346,'All Girls &amp; Descendants - Edit'!$C$2:$AK$440,'All Girls &amp; Descendants - Edit'!AC$1,FALSE)))</f>
        <v>3055</v>
      </c>
      <c r="AD346" s="3" t="str">
        <f>IF(VLOOKUP($C346,'All Girls &amp; Descendants - Edit'!$C$2:$AK$440,'All Girls &amp; Descendants - Edit'!AD$1,FALSE)=""," - ",(VLOOKUP($C346,'All Girls &amp; Descendants - Edit'!$C$2:$AK$440,'All Girls &amp; Descendants - Edit'!AD$1,FALSE)))</f>
        <v>92bcc</v>
      </c>
      <c r="AE346" s="3" t="str">
        <f>IF(VLOOKUP($C346,'All Girls &amp; Descendants - Edit'!$C$2:$AK$440,'All Girls &amp; Descendants - Edit'!AE$1,FALSE)=""," - ",(VLOOKUP($C346,'All Girls &amp; Descendants - Edit'!$C$2:$AK$440,'All Girls &amp; Descendants - Edit'!AE$1,FALSE)))</f>
        <v>Montague Alfred  BOURNE (2020 - )</v>
      </c>
      <c r="AF346" s="3" t="str">
        <f>IF(VLOOKUP($C346,'All Girls &amp; Descendants - Edit'!$C$2:$AK$440,'All Girls &amp; Descendants - Edit'!AF$1,FALSE)=""," - ",(VLOOKUP($C346,'All Girls &amp; Descendants - Edit'!$C$2:$AK$440,'All Girls &amp; Descendants - Edit'!AF$1,FALSE)))</f>
        <v>Montague BOURNE (8th &amp; 92)</v>
      </c>
      <c r="AG346" s="3" t="str">
        <f>IF(VLOOKUP($C346,'All Girls &amp; Descendants - Edit'!$C$2:$AK$440,'All Girls &amp; Descendants - Edit'!AG$1,FALSE)=""," - ",(VLOOKUP($C346,'All Girls &amp; Descendants - Edit'!$C$2:$AK$440,'All Girls &amp; Descendants - Edit'!AG$1,FALSE)))</f>
        <v>Male</v>
      </c>
      <c r="AH346" s="3" t="str">
        <f>IF(VLOOKUP($C346,'All Girls &amp; Descendants - Edit'!$C$2:$AK$440,'All Girls &amp; Descendants - Edit'!AH$1,FALSE)=""," - ",(VLOOKUP($C346,'All Girls &amp; Descendants - Edit'!$C$2:$AK$440,'All Girls &amp; Descendants - Edit'!AH$1,FALSE)))</f>
        <v>8th</v>
      </c>
      <c r="AI346" s="3" t="str">
        <f>IF(VLOOKUP($C346,'All Girls &amp; Descendants - Edit'!$C$2:$AK$440,'All Girls &amp; Descendants - Edit'!AI$1,FALSE)=""," - ",(VLOOKUP($C346,'All Girls &amp; Descendants - Edit'!$C$2:$AK$440,'All Girls &amp; Descendants - Edit'!AI$1,FALSE)))</f>
        <v>Unmarried</v>
      </c>
      <c r="AJ346" s="3" t="str">
        <f>IF(VLOOKUP($C346,'All Girls &amp; Descendants - Edit'!$C$2:$AK$440,'All Girls &amp; Descendants - Edit'!AJ$1,FALSE)=""," - ",(VLOOKUP($C346,'All Girls &amp; Descendants - Edit'!$C$2:$AK$440,'All Girls &amp; Descendants - Edit'!AJ$1,FALSE)))</f>
        <v>Male. b. 23/11/2020</v>
      </c>
      <c r="AK346" s="3" t="str">
        <f>IF(VLOOKUP($C346,'All Girls &amp; Descendants - Edit'!$C$2:$AK$440,'All Girls &amp; Descendants - Edit'!AK$1,FALSE)=""," - ",(VLOOKUP($C346,'All Girls &amp; Descendants - Edit'!$C$2:$AK$440,'All Girls &amp; Descendants - Edit'!AK$1,FALSE)))</f>
        <v>b. 23/11/2020</v>
      </c>
    </row>
    <row r="347" spans="1:37" ht="19">
      <c r="A347">
        <f>VLOOKUP(B347,'Loyd List 1-190 - Edit'!$P$1:$R$219,3,FALSE)</f>
        <v>54</v>
      </c>
      <c r="B347">
        <f>'All Girls &amp; Descendants - Edit'!B348</f>
        <v>92</v>
      </c>
      <c r="C347" s="98" t="str">
        <f>'All Girls &amp; Descendants - Edit'!C348</f>
        <v>92bda</v>
      </c>
      <c r="D347" s="2" t="str">
        <f>'All Girls &amp; Descendants - Edit'!D348</f>
        <v>TATTON-BROWN</v>
      </c>
      <c r="E347" t="str">
        <f>'All Girls &amp; Descendants - Edit'!E348</f>
        <v>Alice</v>
      </c>
      <c r="F347" t="str">
        <f>IF('All Girls &amp; Descendants - Edit'!F348="","",'All Girls &amp; Descendants - Edit'!F348)</f>
        <v>Clementine</v>
      </c>
      <c r="G347" t="str">
        <f>IF('All Girls &amp; Descendants - Edit'!G348="","",'All Girls &amp; Descendants - Edit'!G348)</f>
        <v>Mary</v>
      </c>
      <c r="H347" t="str">
        <f>IF('All Girls &amp; Descendants - Edit'!H348="","",'All Girls &amp; Descendants - Edit'!H348)</f>
        <v/>
      </c>
      <c r="I347">
        <f>VLOOKUP($C347,'All Girls &amp; Descendants - Edit'!$C$2:$AK$440,'All Girls &amp; Descendants - Edit'!I$1,FALSE)</f>
        <v>2013</v>
      </c>
      <c r="J347" t="str">
        <f>VLOOKUP($C347,'All Girls &amp; Descendants - Edit'!$C$2:$AK$440,'All Girls &amp; Descendants - Edit'!J$1,FALSE)</f>
        <v/>
      </c>
      <c r="K347" s="9"/>
      <c r="L347" t="str">
        <f t="shared" si="39"/>
        <v>20/10/2013</v>
      </c>
      <c r="M347" s="3">
        <f>VLOOKUP($C347,'All Girls &amp; Descendants - Edit'!$C$2:$AK$440,'All Girls &amp; Descendants - Edit'!M$1,FALSE)</f>
        <v>41567</v>
      </c>
      <c r="N347" s="3" t="str">
        <f>IF(VLOOKUP($C347,'All Girls &amp; Descendants - Edit'!$C$2:$AK$440,'All Girls &amp; Descendants - Edit'!N$1,FALSE)=""," - ",(VLOOKUP($C347,'All Girls &amp; Descendants - Edit'!$C$2:$AK$440,'All Girls &amp; Descendants - Edit'!N$1,FALSE)))</f>
        <v xml:space="preserve"> - </v>
      </c>
      <c r="O347" s="3" t="str">
        <f>IF(VLOOKUP($C347,'All Girls &amp; Descendants - Edit'!$C$2:$AK$440,'All Girls &amp; Descendants - Edit'!O$1,FALSE)="","",(VLOOKUP($C347,'All Girls &amp; Descendants - Edit'!$C$2:$AK$440,'All Girls &amp; Descendants - Edit'!O$1,FALSE)))</f>
        <v/>
      </c>
      <c r="P347" s="3" t="str">
        <f t="shared" si="40"/>
        <v/>
      </c>
      <c r="Q347" s="178" t="str">
        <f t="shared" si="41"/>
        <v>92bd</v>
      </c>
      <c r="R347" s="23"/>
      <c r="S347" t="str">
        <f>VLOOKUP($C347,'All Girls &amp; Descendants - Edit'!$C$2:$AK$440,'All Girls &amp; Descendants - Edit'!S$1,FALSE)</f>
        <v>Female</v>
      </c>
      <c r="T347" s="176">
        <f t="shared" si="38"/>
        <v>8</v>
      </c>
      <c r="U347" s="176">
        <f t="shared" si="42"/>
        <v>5</v>
      </c>
      <c r="V347" s="176">
        <f t="shared" si="43"/>
        <v>5</v>
      </c>
      <c r="W347" s="177">
        <f t="shared" si="44"/>
        <v>3</v>
      </c>
      <c r="X347" s="3" t="str">
        <f>IF(VLOOKUP($C347,'All Girls &amp; Descendants - Edit'!$C$2:$AK$440,'All Girls &amp; Descendants - Edit'!X$1,FALSE)=""," - ",(VLOOKUP($C347,'All Girls &amp; Descendants - Edit'!$C$2:$AK$440,'All Girls &amp; Descendants - Edit'!X$1,FALSE)))</f>
        <v xml:space="preserve"> - </v>
      </c>
      <c r="Y347" s="3" t="str">
        <f>IF(VLOOKUP($C347,'All Girls &amp; Descendants - Edit'!$C$2:$AK$440,'All Girls &amp; Descendants - Edit'!Y$1,FALSE)=""," - ",(VLOOKUP($C347,'All Girls &amp; Descendants - Edit'!$C$2:$AK$440,'All Girls &amp; Descendants - Edit'!Y$1,FALSE)))</f>
        <v xml:space="preserve"> - </v>
      </c>
      <c r="Z347" s="3" t="str">
        <f>IF(VLOOKUP($C347,'All Girls &amp; Descendants - Edit'!$C$2:$AK$440,'All Girls &amp; Descendants - Edit'!Z$1,FALSE)=""," - ",(VLOOKUP($C347,'All Girls &amp; Descendants - Edit'!$C$2:$AK$440,'All Girls &amp; Descendants - Edit'!Z$1,FALSE)))</f>
        <v xml:space="preserve"> - </v>
      </c>
      <c r="AA347" s="101" t="str">
        <f>IF(VLOOKUP($C347,'All Girls &amp; Descendants - Edit'!$C$2:$AK$440,'All Girls &amp; Descendants - Edit'!AA$1,FALSE)=""," - ",(VLOOKUP($C347,'All Girls &amp; Descendants - Edit'!$C$2:$AK$440,'All Girls &amp; Descendants - Edit'!AA$1,FALSE)))</f>
        <v xml:space="preserve"> - </v>
      </c>
      <c r="AB347" s="101">
        <f>IF(VLOOKUP($C347,'All Girls &amp; Descendants - Edit'!$C$2:$AK$440,'All Girls &amp; Descendants - Edit'!AB$1,FALSE)=""," - ",(VLOOKUP($C347,'All Girls &amp; Descendants - Edit'!$C$2:$AK$440,'All Girls &amp; Descendants - Edit'!AB$1,FALSE)))</f>
        <v>56</v>
      </c>
      <c r="AC347" s="101">
        <f>IF(VLOOKUP($C347,'All Girls &amp; Descendants - Edit'!$C$2:$AK$440,'All Girls &amp; Descendants - Edit'!AC$1,FALSE)=""," - ",(VLOOKUP($C347,'All Girls &amp; Descendants - Edit'!$C$2:$AK$440,'All Girls &amp; Descendants - Edit'!AC$1,FALSE)))</f>
        <v>3056</v>
      </c>
      <c r="AD347" s="3" t="str">
        <f>IF(VLOOKUP($C347,'All Girls &amp; Descendants - Edit'!$C$2:$AK$440,'All Girls &amp; Descendants - Edit'!AD$1,FALSE)=""," - ",(VLOOKUP($C347,'All Girls &amp; Descendants - Edit'!$C$2:$AK$440,'All Girls &amp; Descendants - Edit'!AD$1,FALSE)))</f>
        <v>92bda</v>
      </c>
      <c r="AE347" s="3" t="str">
        <f>IF(VLOOKUP($C347,'All Girls &amp; Descendants - Edit'!$C$2:$AK$440,'All Girls &amp; Descendants - Edit'!AE$1,FALSE)=""," - ",(VLOOKUP($C347,'All Girls &amp; Descendants - Edit'!$C$2:$AK$440,'All Girls &amp; Descendants - Edit'!AE$1,FALSE)))</f>
        <v>Alice Clementine Mary TATTON-BROWN (2013 - )</v>
      </c>
      <c r="AF347" s="3" t="str">
        <f>IF(VLOOKUP($C347,'All Girls &amp; Descendants - Edit'!$C$2:$AK$440,'All Girls &amp; Descendants - Edit'!AF$1,FALSE)=""," - ",(VLOOKUP($C347,'All Girls &amp; Descendants - Edit'!$C$2:$AK$440,'All Girls &amp; Descendants - Edit'!AF$1,FALSE)))</f>
        <v>Alice TATTON-BROWN (8th &amp; 92)</v>
      </c>
      <c r="AG347" s="3" t="str">
        <f>IF(VLOOKUP($C347,'All Girls &amp; Descendants - Edit'!$C$2:$AK$440,'All Girls &amp; Descendants - Edit'!AG$1,FALSE)=""," - ",(VLOOKUP($C347,'All Girls &amp; Descendants - Edit'!$C$2:$AK$440,'All Girls &amp; Descendants - Edit'!AG$1,FALSE)))</f>
        <v>Female</v>
      </c>
      <c r="AH347" s="3" t="str">
        <f>IF(VLOOKUP($C347,'All Girls &amp; Descendants - Edit'!$C$2:$AK$440,'All Girls &amp; Descendants - Edit'!AH$1,FALSE)=""," - ",(VLOOKUP($C347,'All Girls &amp; Descendants - Edit'!$C$2:$AK$440,'All Girls &amp; Descendants - Edit'!AH$1,FALSE)))</f>
        <v>8th</v>
      </c>
      <c r="AI347" s="3" t="str">
        <f>IF(VLOOKUP($C347,'All Girls &amp; Descendants - Edit'!$C$2:$AK$440,'All Girls &amp; Descendants - Edit'!AI$1,FALSE)=""," - ",(VLOOKUP($C347,'All Girls &amp; Descendants - Edit'!$C$2:$AK$440,'All Girls &amp; Descendants - Edit'!AI$1,FALSE)))</f>
        <v>Unmarried</v>
      </c>
      <c r="AJ347" s="3" t="str">
        <f>IF(VLOOKUP($C347,'All Girls &amp; Descendants - Edit'!$C$2:$AK$440,'All Girls &amp; Descendants - Edit'!AJ$1,FALSE)=""," - ",(VLOOKUP($C347,'All Girls &amp; Descendants - Edit'!$C$2:$AK$440,'All Girls &amp; Descendants - Edit'!AJ$1,FALSE)))</f>
        <v>Female. b. 20/10/2013</v>
      </c>
      <c r="AK347" s="3" t="str">
        <f>IF(VLOOKUP($C347,'All Girls &amp; Descendants - Edit'!$C$2:$AK$440,'All Girls &amp; Descendants - Edit'!AK$1,FALSE)=""," - ",(VLOOKUP($C347,'All Girls &amp; Descendants - Edit'!$C$2:$AK$440,'All Girls &amp; Descendants - Edit'!AK$1,FALSE)))</f>
        <v>b. 20/10/2013</v>
      </c>
    </row>
    <row r="348" spans="1:37" ht="19">
      <c r="A348">
        <f>VLOOKUP(B348,'Loyd List 1-190 - Edit'!$P$1:$R$219,3,FALSE)</f>
        <v>54</v>
      </c>
      <c r="B348">
        <f>'All Girls &amp; Descendants - Edit'!B349</f>
        <v>92</v>
      </c>
      <c r="C348" s="98" t="str">
        <f>'All Girls &amp; Descendants - Edit'!C349</f>
        <v>92bdb</v>
      </c>
      <c r="D348" s="2" t="str">
        <f>'All Girls &amp; Descendants - Edit'!D349</f>
        <v>TATTON-BROWN</v>
      </c>
      <c r="E348" t="str">
        <f>'All Girls &amp; Descendants - Edit'!E349</f>
        <v>Théodore</v>
      </c>
      <c r="F348" t="str">
        <f>IF('All Girls &amp; Descendants - Edit'!F349="","",'All Girls &amp; Descendants - Edit'!F349)</f>
        <v>Eden</v>
      </c>
      <c r="G348" t="str">
        <f>IF('All Girls &amp; Descendants - Edit'!G349="","",'All Girls &amp; Descendants - Edit'!G349)</f>
        <v>Louis</v>
      </c>
      <c r="H348" t="str">
        <f>IF('All Girls &amp; Descendants - Edit'!H349="","",'All Girls &amp; Descendants - Edit'!H349)</f>
        <v/>
      </c>
      <c r="I348">
        <f>VLOOKUP($C348,'All Girls &amp; Descendants - Edit'!$C$2:$AK$440,'All Girls &amp; Descendants - Edit'!I$1,FALSE)</f>
        <v>2018</v>
      </c>
      <c r="J348" t="str">
        <f>VLOOKUP($C348,'All Girls &amp; Descendants - Edit'!$C$2:$AK$440,'All Girls &amp; Descendants - Edit'!J$1,FALSE)</f>
        <v/>
      </c>
      <c r="K348" s="9"/>
      <c r="L348" t="str">
        <f t="shared" si="39"/>
        <v>09/06/2018</v>
      </c>
      <c r="M348" s="3">
        <f>VLOOKUP($C348,'All Girls &amp; Descendants - Edit'!$C$2:$AK$440,'All Girls &amp; Descendants - Edit'!M$1,FALSE)</f>
        <v>43260</v>
      </c>
      <c r="N348" s="3" t="str">
        <f>IF(VLOOKUP($C348,'All Girls &amp; Descendants - Edit'!$C$2:$AK$440,'All Girls &amp; Descendants - Edit'!N$1,FALSE)=""," - ",(VLOOKUP($C348,'All Girls &amp; Descendants - Edit'!$C$2:$AK$440,'All Girls &amp; Descendants - Edit'!N$1,FALSE)))</f>
        <v xml:space="preserve"> - </v>
      </c>
      <c r="O348" s="3" t="str">
        <f>IF(VLOOKUP($C348,'All Girls &amp; Descendants - Edit'!$C$2:$AK$440,'All Girls &amp; Descendants - Edit'!O$1,FALSE)="","",(VLOOKUP($C348,'All Girls &amp; Descendants - Edit'!$C$2:$AK$440,'All Girls &amp; Descendants - Edit'!O$1,FALSE)))</f>
        <v/>
      </c>
      <c r="P348" s="3" t="str">
        <f t="shared" si="40"/>
        <v/>
      </c>
      <c r="Q348" s="178" t="str">
        <f t="shared" si="41"/>
        <v>92bd</v>
      </c>
      <c r="R348" s="23"/>
      <c r="S348" t="str">
        <f>VLOOKUP($C348,'All Girls &amp; Descendants - Edit'!$C$2:$AK$440,'All Girls &amp; Descendants - Edit'!S$1,FALSE)</f>
        <v>Male</v>
      </c>
      <c r="T348" s="176">
        <f t="shared" si="38"/>
        <v>8</v>
      </c>
      <c r="U348" s="176">
        <f t="shared" si="42"/>
        <v>5</v>
      </c>
      <c r="V348" s="176">
        <f t="shared" si="43"/>
        <v>5</v>
      </c>
      <c r="W348" s="177">
        <f t="shared" si="44"/>
        <v>3</v>
      </c>
      <c r="X348" s="3" t="str">
        <f>IF(VLOOKUP($C348,'All Girls &amp; Descendants - Edit'!$C$2:$AK$440,'All Girls &amp; Descendants - Edit'!X$1,FALSE)=""," - ",(VLOOKUP($C348,'All Girls &amp; Descendants - Edit'!$C$2:$AK$440,'All Girls &amp; Descendants - Edit'!X$1,FALSE)))</f>
        <v xml:space="preserve"> - </v>
      </c>
      <c r="Y348" s="3" t="str">
        <f>IF(VLOOKUP($C348,'All Girls &amp; Descendants - Edit'!$C$2:$AK$440,'All Girls &amp; Descendants - Edit'!Y$1,FALSE)=""," - ",(VLOOKUP($C348,'All Girls &amp; Descendants - Edit'!$C$2:$AK$440,'All Girls &amp; Descendants - Edit'!Y$1,FALSE)))</f>
        <v xml:space="preserve"> - </v>
      </c>
      <c r="Z348" s="3" t="str">
        <f>IF(VLOOKUP($C348,'All Girls &amp; Descendants - Edit'!$C$2:$AK$440,'All Girls &amp; Descendants - Edit'!Z$1,FALSE)=""," - ",(VLOOKUP($C348,'All Girls &amp; Descendants - Edit'!$C$2:$AK$440,'All Girls &amp; Descendants - Edit'!Z$1,FALSE)))</f>
        <v xml:space="preserve"> - </v>
      </c>
      <c r="AA348" s="101" t="str">
        <f>IF(VLOOKUP($C348,'All Girls &amp; Descendants - Edit'!$C$2:$AK$440,'All Girls &amp; Descendants - Edit'!AA$1,FALSE)=""," - ",(VLOOKUP($C348,'All Girls &amp; Descendants - Edit'!$C$2:$AK$440,'All Girls &amp; Descendants - Edit'!AA$1,FALSE)))</f>
        <v xml:space="preserve"> - </v>
      </c>
      <c r="AB348" s="101">
        <f>IF(VLOOKUP($C348,'All Girls &amp; Descendants - Edit'!$C$2:$AK$440,'All Girls &amp; Descendants - Edit'!AB$1,FALSE)=""," - ",(VLOOKUP($C348,'All Girls &amp; Descendants - Edit'!$C$2:$AK$440,'All Girls &amp; Descendants - Edit'!AB$1,FALSE)))</f>
        <v>57</v>
      </c>
      <c r="AC348" s="101">
        <f>IF(VLOOKUP($C348,'All Girls &amp; Descendants - Edit'!$C$2:$AK$440,'All Girls &amp; Descendants - Edit'!AC$1,FALSE)=""," - ",(VLOOKUP($C348,'All Girls &amp; Descendants - Edit'!$C$2:$AK$440,'All Girls &amp; Descendants - Edit'!AC$1,FALSE)))</f>
        <v>3057</v>
      </c>
      <c r="AD348" s="3" t="str">
        <f>IF(VLOOKUP($C348,'All Girls &amp; Descendants - Edit'!$C$2:$AK$440,'All Girls &amp; Descendants - Edit'!AD$1,FALSE)=""," - ",(VLOOKUP($C348,'All Girls &amp; Descendants - Edit'!$C$2:$AK$440,'All Girls &amp; Descendants - Edit'!AD$1,FALSE)))</f>
        <v>92bdb</v>
      </c>
      <c r="AE348" s="3" t="str">
        <f>IF(VLOOKUP($C348,'All Girls &amp; Descendants - Edit'!$C$2:$AK$440,'All Girls &amp; Descendants - Edit'!AE$1,FALSE)=""," - ",(VLOOKUP($C348,'All Girls &amp; Descendants - Edit'!$C$2:$AK$440,'All Girls &amp; Descendants - Edit'!AE$1,FALSE)))</f>
        <v>Théodore Eden Louis TATTON-BROWN (2018 - )</v>
      </c>
      <c r="AF348" s="3" t="str">
        <f>IF(VLOOKUP($C348,'All Girls &amp; Descendants - Edit'!$C$2:$AK$440,'All Girls &amp; Descendants - Edit'!AF$1,FALSE)=""," - ",(VLOOKUP($C348,'All Girls &amp; Descendants - Edit'!$C$2:$AK$440,'All Girls &amp; Descendants - Edit'!AF$1,FALSE)))</f>
        <v>Théodore TATTON-BROWN (8th &amp; 92)</v>
      </c>
      <c r="AG348" s="3" t="str">
        <f>IF(VLOOKUP($C348,'All Girls &amp; Descendants - Edit'!$C$2:$AK$440,'All Girls &amp; Descendants - Edit'!AG$1,FALSE)=""," - ",(VLOOKUP($C348,'All Girls &amp; Descendants - Edit'!$C$2:$AK$440,'All Girls &amp; Descendants - Edit'!AG$1,FALSE)))</f>
        <v>Male</v>
      </c>
      <c r="AH348" s="3" t="str">
        <f>IF(VLOOKUP($C348,'All Girls &amp; Descendants - Edit'!$C$2:$AK$440,'All Girls &amp; Descendants - Edit'!AH$1,FALSE)=""," - ",(VLOOKUP($C348,'All Girls &amp; Descendants - Edit'!$C$2:$AK$440,'All Girls &amp; Descendants - Edit'!AH$1,FALSE)))</f>
        <v>8th</v>
      </c>
      <c r="AI348" s="3" t="str">
        <f>IF(VLOOKUP($C348,'All Girls &amp; Descendants - Edit'!$C$2:$AK$440,'All Girls &amp; Descendants - Edit'!AI$1,FALSE)=""," - ",(VLOOKUP($C348,'All Girls &amp; Descendants - Edit'!$C$2:$AK$440,'All Girls &amp; Descendants - Edit'!AI$1,FALSE)))</f>
        <v>Unmarried</v>
      </c>
      <c r="AJ348" s="3" t="str">
        <f>IF(VLOOKUP($C348,'All Girls &amp; Descendants - Edit'!$C$2:$AK$440,'All Girls &amp; Descendants - Edit'!AJ$1,FALSE)=""," - ",(VLOOKUP($C348,'All Girls &amp; Descendants - Edit'!$C$2:$AK$440,'All Girls &amp; Descendants - Edit'!AJ$1,FALSE)))</f>
        <v>Male. b. 09/06/2018</v>
      </c>
      <c r="AK348" s="3" t="str">
        <f>IF(VLOOKUP($C348,'All Girls &amp; Descendants - Edit'!$C$2:$AK$440,'All Girls &amp; Descendants - Edit'!AK$1,FALSE)=""," - ",(VLOOKUP($C348,'All Girls &amp; Descendants - Edit'!$C$2:$AK$440,'All Girls &amp; Descendants - Edit'!AK$1,FALSE)))</f>
        <v>b. 09/06/2018</v>
      </c>
    </row>
    <row r="349" spans="1:37" ht="19">
      <c r="A349">
        <f>VLOOKUP(B349,'Loyd List 1-190 - Edit'!$P$1:$R$219,3,FALSE)</f>
        <v>54</v>
      </c>
      <c r="B349">
        <f>'All Girls &amp; Descendants - Edit'!B350</f>
        <v>92</v>
      </c>
      <c r="C349" s="98" t="str">
        <f>'All Girls &amp; Descendants - Edit'!C350</f>
        <v>92bdc</v>
      </c>
      <c r="D349" s="2" t="str">
        <f>'All Girls &amp; Descendants - Edit'!D350</f>
        <v>TATTON-BROWN</v>
      </c>
      <c r="E349" t="str">
        <f>'All Girls &amp; Descendants - Edit'!E350</f>
        <v>Oscar</v>
      </c>
      <c r="F349" t="str">
        <f>IF('All Girls &amp; Descendants - Edit'!F350="","",'All Girls &amp; Descendants - Edit'!F350)</f>
        <v>Arthur</v>
      </c>
      <c r="G349" t="str">
        <f>IF('All Girls &amp; Descendants - Edit'!G350="","",'All Girls &amp; Descendants - Edit'!G350)</f>
        <v>Alexandre</v>
      </c>
      <c r="H349" t="str">
        <f>IF('All Girls &amp; Descendants - Edit'!H350="","",'All Girls &amp; Descendants - Edit'!H350)</f>
        <v/>
      </c>
      <c r="I349">
        <f>VLOOKUP($C349,'All Girls &amp; Descendants - Edit'!$C$2:$AK$440,'All Girls &amp; Descendants - Edit'!I$1,FALSE)</f>
        <v>2021</v>
      </c>
      <c r="J349" t="str">
        <f>VLOOKUP($C349,'All Girls &amp; Descendants - Edit'!$C$2:$AK$440,'All Girls &amp; Descendants - Edit'!J$1,FALSE)</f>
        <v/>
      </c>
      <c r="K349" s="9"/>
      <c r="L349" t="str">
        <f t="shared" si="39"/>
        <v>12/02/2021</v>
      </c>
      <c r="M349" s="3">
        <f>VLOOKUP($C349,'All Girls &amp; Descendants - Edit'!$C$2:$AK$440,'All Girls &amp; Descendants - Edit'!M$1,FALSE)</f>
        <v>44239</v>
      </c>
      <c r="N349" s="3" t="str">
        <f>IF(VLOOKUP($C349,'All Girls &amp; Descendants - Edit'!$C$2:$AK$440,'All Girls &amp; Descendants - Edit'!N$1,FALSE)=""," - ",(VLOOKUP($C349,'All Girls &amp; Descendants - Edit'!$C$2:$AK$440,'All Girls &amp; Descendants - Edit'!N$1,FALSE)))</f>
        <v xml:space="preserve"> - </v>
      </c>
      <c r="O349" s="3" t="str">
        <f>IF(VLOOKUP($C349,'All Girls &amp; Descendants - Edit'!$C$2:$AK$440,'All Girls &amp; Descendants - Edit'!O$1,FALSE)="","",(VLOOKUP($C349,'All Girls &amp; Descendants - Edit'!$C$2:$AK$440,'All Girls &amp; Descendants - Edit'!O$1,FALSE)))</f>
        <v/>
      </c>
      <c r="P349" s="3" t="str">
        <f t="shared" si="40"/>
        <v/>
      </c>
      <c r="Q349" s="178" t="str">
        <f t="shared" si="41"/>
        <v>92bd</v>
      </c>
      <c r="R349" s="23"/>
      <c r="S349" t="str">
        <f>VLOOKUP($C349,'All Girls &amp; Descendants - Edit'!$C$2:$AK$440,'All Girls &amp; Descendants - Edit'!S$1,FALSE)</f>
        <v>Male</v>
      </c>
      <c r="T349" s="176">
        <f t="shared" si="38"/>
        <v>8</v>
      </c>
      <c r="U349" s="176">
        <f t="shared" si="42"/>
        <v>5</v>
      </c>
      <c r="V349" s="176">
        <f t="shared" si="43"/>
        <v>5</v>
      </c>
      <c r="W349" s="177">
        <f t="shared" si="44"/>
        <v>3</v>
      </c>
      <c r="X349" s="3" t="str">
        <f>IF(VLOOKUP($C349,'All Girls &amp; Descendants - Edit'!$C$2:$AK$440,'All Girls &amp; Descendants - Edit'!X$1,FALSE)=""," - ",(VLOOKUP($C349,'All Girls &amp; Descendants - Edit'!$C$2:$AK$440,'All Girls &amp; Descendants - Edit'!X$1,FALSE)))</f>
        <v xml:space="preserve"> - </v>
      </c>
      <c r="Y349" s="3" t="str">
        <f>IF(VLOOKUP($C349,'All Girls &amp; Descendants - Edit'!$C$2:$AK$440,'All Girls &amp; Descendants - Edit'!Y$1,FALSE)=""," - ",(VLOOKUP($C349,'All Girls &amp; Descendants - Edit'!$C$2:$AK$440,'All Girls &amp; Descendants - Edit'!Y$1,FALSE)))</f>
        <v xml:space="preserve"> - </v>
      </c>
      <c r="Z349" s="3" t="str">
        <f>IF(VLOOKUP($C349,'All Girls &amp; Descendants - Edit'!$C$2:$AK$440,'All Girls &amp; Descendants - Edit'!Z$1,FALSE)=""," - ",(VLOOKUP($C349,'All Girls &amp; Descendants - Edit'!$C$2:$AK$440,'All Girls &amp; Descendants - Edit'!Z$1,FALSE)))</f>
        <v xml:space="preserve"> - </v>
      </c>
      <c r="AA349" s="101" t="str">
        <f>IF(VLOOKUP($C349,'All Girls &amp; Descendants - Edit'!$C$2:$AK$440,'All Girls &amp; Descendants - Edit'!AA$1,FALSE)=""," - ",(VLOOKUP($C349,'All Girls &amp; Descendants - Edit'!$C$2:$AK$440,'All Girls &amp; Descendants - Edit'!AA$1,FALSE)))</f>
        <v xml:space="preserve"> - </v>
      </c>
      <c r="AB349" s="101">
        <f>IF(VLOOKUP($C349,'All Girls &amp; Descendants - Edit'!$C$2:$AK$440,'All Girls &amp; Descendants - Edit'!AB$1,FALSE)=""," - ",(VLOOKUP($C349,'All Girls &amp; Descendants - Edit'!$C$2:$AK$440,'All Girls &amp; Descendants - Edit'!AB$1,FALSE)))</f>
        <v>58</v>
      </c>
      <c r="AC349" s="101">
        <f>IF(VLOOKUP($C349,'All Girls &amp; Descendants - Edit'!$C$2:$AK$440,'All Girls &amp; Descendants - Edit'!AC$1,FALSE)=""," - ",(VLOOKUP($C349,'All Girls &amp; Descendants - Edit'!$C$2:$AK$440,'All Girls &amp; Descendants - Edit'!AC$1,FALSE)))</f>
        <v>3058</v>
      </c>
      <c r="AD349" s="3" t="str">
        <f>IF(VLOOKUP($C349,'All Girls &amp; Descendants - Edit'!$C$2:$AK$440,'All Girls &amp; Descendants - Edit'!AD$1,FALSE)=""," - ",(VLOOKUP($C349,'All Girls &amp; Descendants - Edit'!$C$2:$AK$440,'All Girls &amp; Descendants - Edit'!AD$1,FALSE)))</f>
        <v>92bdc</v>
      </c>
      <c r="AE349" s="3" t="str">
        <f>IF(VLOOKUP($C349,'All Girls &amp; Descendants - Edit'!$C$2:$AK$440,'All Girls &amp; Descendants - Edit'!AE$1,FALSE)=""," - ",(VLOOKUP($C349,'All Girls &amp; Descendants - Edit'!$C$2:$AK$440,'All Girls &amp; Descendants - Edit'!AE$1,FALSE)))</f>
        <v>Oscar Arthur Alexandre TATTON-BROWN (2021 - )</v>
      </c>
      <c r="AF349" s="3" t="str">
        <f>IF(VLOOKUP($C349,'All Girls &amp; Descendants - Edit'!$C$2:$AK$440,'All Girls &amp; Descendants - Edit'!AF$1,FALSE)=""," - ",(VLOOKUP($C349,'All Girls &amp; Descendants - Edit'!$C$2:$AK$440,'All Girls &amp; Descendants - Edit'!AF$1,FALSE)))</f>
        <v>Oscar TATTON-BROWN (8th &amp; 92)</v>
      </c>
      <c r="AG349" s="3" t="str">
        <f>IF(VLOOKUP($C349,'All Girls &amp; Descendants - Edit'!$C$2:$AK$440,'All Girls &amp; Descendants - Edit'!AG$1,FALSE)=""," - ",(VLOOKUP($C349,'All Girls &amp; Descendants - Edit'!$C$2:$AK$440,'All Girls &amp; Descendants - Edit'!AG$1,FALSE)))</f>
        <v>Male</v>
      </c>
      <c r="AH349" s="3" t="str">
        <f>IF(VLOOKUP($C349,'All Girls &amp; Descendants - Edit'!$C$2:$AK$440,'All Girls &amp; Descendants - Edit'!AH$1,FALSE)=""," - ",(VLOOKUP($C349,'All Girls &amp; Descendants - Edit'!$C$2:$AK$440,'All Girls &amp; Descendants - Edit'!AH$1,FALSE)))</f>
        <v>8th</v>
      </c>
      <c r="AI349" s="3" t="str">
        <f>IF(VLOOKUP($C349,'All Girls &amp; Descendants - Edit'!$C$2:$AK$440,'All Girls &amp; Descendants - Edit'!AI$1,FALSE)=""," - ",(VLOOKUP($C349,'All Girls &amp; Descendants - Edit'!$C$2:$AK$440,'All Girls &amp; Descendants - Edit'!AI$1,FALSE)))</f>
        <v>Unmarried</v>
      </c>
      <c r="AJ349" s="3" t="str">
        <f>IF(VLOOKUP($C349,'All Girls &amp; Descendants - Edit'!$C$2:$AK$440,'All Girls &amp; Descendants - Edit'!AJ$1,FALSE)=""," - ",(VLOOKUP($C349,'All Girls &amp; Descendants - Edit'!$C$2:$AK$440,'All Girls &amp; Descendants - Edit'!AJ$1,FALSE)))</f>
        <v>Male. b. 12/02/2021</v>
      </c>
      <c r="AK349" s="3" t="str">
        <f>IF(VLOOKUP($C349,'All Girls &amp; Descendants - Edit'!$C$2:$AK$440,'All Girls &amp; Descendants - Edit'!AK$1,FALSE)=""," - ",(VLOOKUP($C349,'All Girls &amp; Descendants - Edit'!$C$2:$AK$440,'All Girls &amp; Descendants - Edit'!AK$1,FALSE)))</f>
        <v>b. 12/02/2021</v>
      </c>
    </row>
    <row r="350" spans="1:37" ht="19">
      <c r="A350">
        <f>VLOOKUP(B350,'Loyd List 1-190 - Edit'!$P$1:$R$219,3,FALSE)</f>
        <v>56</v>
      </c>
      <c r="B350">
        <f>'All Girls &amp; Descendants - Edit'!B351</f>
        <v>95</v>
      </c>
      <c r="C350" s="98" t="str">
        <f>'All Girls &amp; Descendants - Edit'!C351</f>
        <v>95baa</v>
      </c>
      <c r="D350" s="2" t="str">
        <f>'All Girls &amp; Descendants - Edit'!D351</f>
        <v>VESTEY</v>
      </c>
      <c r="E350" t="str">
        <f>'All Girls &amp; Descendants - Edit'!E351</f>
        <v>Ella</v>
      </c>
      <c r="F350" t="str">
        <f>IF('All Girls &amp; Descendants - Edit'!F351="","",'All Girls &amp; Descendants - Edit'!F351)</f>
        <v>Victoria</v>
      </c>
      <c r="G350" t="str">
        <f>IF('All Girls &amp; Descendants - Edit'!G351="","",'All Girls &amp; Descendants - Edit'!G351)</f>
        <v/>
      </c>
      <c r="H350" t="str">
        <f>IF('All Girls &amp; Descendants - Edit'!H351="","",'All Girls &amp; Descendants - Edit'!H351)</f>
        <v/>
      </c>
      <c r="I350">
        <f>VLOOKUP($C350,'All Girls &amp; Descendants - Edit'!$C$2:$AK$440,'All Girls &amp; Descendants - Edit'!I$1,FALSE)</f>
        <v>2015</v>
      </c>
      <c r="J350" t="str">
        <f>VLOOKUP($C350,'All Girls &amp; Descendants - Edit'!$C$2:$AK$440,'All Girls &amp; Descendants - Edit'!J$1,FALSE)</f>
        <v/>
      </c>
      <c r="K350" s="9"/>
      <c r="L350" t="str">
        <f t="shared" si="39"/>
        <v>13/07/2015</v>
      </c>
      <c r="M350" s="3">
        <f>VLOOKUP($C350,'All Girls &amp; Descendants - Edit'!$C$2:$AK$440,'All Girls &amp; Descendants - Edit'!M$1,FALSE)</f>
        <v>42198</v>
      </c>
      <c r="N350" s="3" t="str">
        <f>IF(VLOOKUP($C350,'All Girls &amp; Descendants - Edit'!$C$2:$AK$440,'All Girls &amp; Descendants - Edit'!N$1,FALSE)=""," - ",(VLOOKUP($C350,'All Girls &amp; Descendants - Edit'!$C$2:$AK$440,'All Girls &amp; Descendants - Edit'!N$1,FALSE)))</f>
        <v xml:space="preserve"> - </v>
      </c>
      <c r="O350" s="3" t="str">
        <f>IF(VLOOKUP($C350,'All Girls &amp; Descendants - Edit'!$C$2:$AK$440,'All Girls &amp; Descendants - Edit'!O$1,FALSE)="","",(VLOOKUP($C350,'All Girls &amp; Descendants - Edit'!$C$2:$AK$440,'All Girls &amp; Descendants - Edit'!O$1,FALSE)))</f>
        <v/>
      </c>
      <c r="P350" s="3" t="str">
        <f t="shared" si="40"/>
        <v/>
      </c>
      <c r="Q350" s="178" t="str">
        <f t="shared" si="41"/>
        <v>95ba</v>
      </c>
      <c r="R350" s="23"/>
      <c r="S350" t="str">
        <f>VLOOKUP($C350,'All Girls &amp; Descendants - Edit'!$C$2:$AK$440,'All Girls &amp; Descendants - Edit'!S$1,FALSE)</f>
        <v>Female</v>
      </c>
      <c r="T350" s="176">
        <f t="shared" si="38"/>
        <v>8</v>
      </c>
      <c r="U350" s="176">
        <f t="shared" si="42"/>
        <v>5</v>
      </c>
      <c r="V350" s="176">
        <f t="shared" si="43"/>
        <v>5</v>
      </c>
      <c r="W350" s="177">
        <f t="shared" si="44"/>
        <v>3</v>
      </c>
      <c r="X350" s="3" t="str">
        <f>IF(VLOOKUP($C350,'All Girls &amp; Descendants - Edit'!$C$2:$AK$440,'All Girls &amp; Descendants - Edit'!X$1,FALSE)=""," - ",(VLOOKUP($C350,'All Girls &amp; Descendants - Edit'!$C$2:$AK$440,'All Girls &amp; Descendants - Edit'!X$1,FALSE)))</f>
        <v xml:space="preserve"> - </v>
      </c>
      <c r="Y350" s="3" t="str">
        <f>IF(VLOOKUP($C350,'All Girls &amp; Descendants - Edit'!$C$2:$AK$440,'All Girls &amp; Descendants - Edit'!Y$1,FALSE)=""," - ",(VLOOKUP($C350,'All Girls &amp; Descendants - Edit'!$C$2:$AK$440,'All Girls &amp; Descendants - Edit'!Y$1,FALSE)))</f>
        <v xml:space="preserve"> - </v>
      </c>
      <c r="Z350" s="3" t="str">
        <f>IF(VLOOKUP($C350,'All Girls &amp; Descendants - Edit'!$C$2:$AK$440,'All Girls &amp; Descendants - Edit'!Z$1,FALSE)=""," - ",(VLOOKUP($C350,'All Girls &amp; Descendants - Edit'!$C$2:$AK$440,'All Girls &amp; Descendants - Edit'!Z$1,FALSE)))</f>
        <v xml:space="preserve"> - </v>
      </c>
      <c r="AA350" s="101" t="str">
        <f>IF(VLOOKUP($C350,'All Girls &amp; Descendants - Edit'!$C$2:$AK$440,'All Girls &amp; Descendants - Edit'!AA$1,FALSE)=""," - ",(VLOOKUP($C350,'All Girls &amp; Descendants - Edit'!$C$2:$AK$440,'All Girls &amp; Descendants - Edit'!AA$1,FALSE)))</f>
        <v xml:space="preserve"> - </v>
      </c>
      <c r="AB350" s="101">
        <f>IF(VLOOKUP($C350,'All Girls &amp; Descendants - Edit'!$C$2:$AK$440,'All Girls &amp; Descendants - Edit'!AB$1,FALSE)=""," - ",(VLOOKUP($C350,'All Girls &amp; Descendants - Edit'!$C$2:$AK$440,'All Girls &amp; Descendants - Edit'!AB$1,FALSE)))</f>
        <v>59</v>
      </c>
      <c r="AC350" s="101">
        <f>IF(VLOOKUP($C350,'All Girls &amp; Descendants - Edit'!$C$2:$AK$440,'All Girls &amp; Descendants - Edit'!AC$1,FALSE)=""," - ",(VLOOKUP($C350,'All Girls &amp; Descendants - Edit'!$C$2:$AK$440,'All Girls &amp; Descendants - Edit'!AC$1,FALSE)))</f>
        <v>3059</v>
      </c>
      <c r="AD350" s="3" t="str">
        <f>IF(VLOOKUP($C350,'All Girls &amp; Descendants - Edit'!$C$2:$AK$440,'All Girls &amp; Descendants - Edit'!AD$1,FALSE)=""," - ",(VLOOKUP($C350,'All Girls &amp; Descendants - Edit'!$C$2:$AK$440,'All Girls &amp; Descendants - Edit'!AD$1,FALSE)))</f>
        <v>95baa</v>
      </c>
      <c r="AE350" s="3" t="str">
        <f>IF(VLOOKUP($C350,'All Girls &amp; Descendants - Edit'!$C$2:$AK$440,'All Girls &amp; Descendants - Edit'!AE$1,FALSE)=""," - ",(VLOOKUP($C350,'All Girls &amp; Descendants - Edit'!$C$2:$AK$440,'All Girls &amp; Descendants - Edit'!AE$1,FALSE)))</f>
        <v>Ella Victoria  VESTEY (2015 - )</v>
      </c>
      <c r="AF350" s="3" t="str">
        <f>IF(VLOOKUP($C350,'All Girls &amp; Descendants - Edit'!$C$2:$AK$440,'All Girls &amp; Descendants - Edit'!AF$1,FALSE)=""," - ",(VLOOKUP($C350,'All Girls &amp; Descendants - Edit'!$C$2:$AK$440,'All Girls &amp; Descendants - Edit'!AF$1,FALSE)))</f>
        <v>Ella VESTEY (8th &amp; 95)</v>
      </c>
      <c r="AG350" s="3" t="str">
        <f>IF(VLOOKUP($C350,'All Girls &amp; Descendants - Edit'!$C$2:$AK$440,'All Girls &amp; Descendants - Edit'!AG$1,FALSE)=""," - ",(VLOOKUP($C350,'All Girls &amp; Descendants - Edit'!$C$2:$AK$440,'All Girls &amp; Descendants - Edit'!AG$1,FALSE)))</f>
        <v>Female</v>
      </c>
      <c r="AH350" s="3" t="str">
        <f>IF(VLOOKUP($C350,'All Girls &amp; Descendants - Edit'!$C$2:$AK$440,'All Girls &amp; Descendants - Edit'!AH$1,FALSE)=""," - ",(VLOOKUP($C350,'All Girls &amp; Descendants - Edit'!$C$2:$AK$440,'All Girls &amp; Descendants - Edit'!AH$1,FALSE)))</f>
        <v>8th</v>
      </c>
      <c r="AI350" s="3" t="str">
        <f>IF(VLOOKUP($C350,'All Girls &amp; Descendants - Edit'!$C$2:$AK$440,'All Girls &amp; Descendants - Edit'!AI$1,FALSE)=""," - ",(VLOOKUP($C350,'All Girls &amp; Descendants - Edit'!$C$2:$AK$440,'All Girls &amp; Descendants - Edit'!AI$1,FALSE)))</f>
        <v>Unmarried</v>
      </c>
      <c r="AJ350" s="3" t="str">
        <f>IF(VLOOKUP($C350,'All Girls &amp; Descendants - Edit'!$C$2:$AK$440,'All Girls &amp; Descendants - Edit'!AJ$1,FALSE)=""," - ",(VLOOKUP($C350,'All Girls &amp; Descendants - Edit'!$C$2:$AK$440,'All Girls &amp; Descendants - Edit'!AJ$1,FALSE)))</f>
        <v>Female. b. 13/07/2015</v>
      </c>
      <c r="AK350" s="3" t="str">
        <f>IF(VLOOKUP($C350,'All Girls &amp; Descendants - Edit'!$C$2:$AK$440,'All Girls &amp; Descendants - Edit'!AK$1,FALSE)=""," - ",(VLOOKUP($C350,'All Girls &amp; Descendants - Edit'!$C$2:$AK$440,'All Girls &amp; Descendants - Edit'!AK$1,FALSE)))</f>
        <v>b. 13/07/2015</v>
      </c>
    </row>
    <row r="351" spans="1:37" ht="19">
      <c r="A351">
        <f>VLOOKUP(B351,'Loyd List 1-190 - Edit'!$P$1:$R$219,3,FALSE)</f>
        <v>56</v>
      </c>
      <c r="B351">
        <f>'All Girls &amp; Descendants - Edit'!B352</f>
        <v>95</v>
      </c>
      <c r="C351" s="98" t="str">
        <f>'All Girls &amp; Descendants - Edit'!C352</f>
        <v>95bab</v>
      </c>
      <c r="D351" s="2" t="str">
        <f>'All Girls &amp; Descendants - Edit'!D352</f>
        <v>VESTEY</v>
      </c>
      <c r="E351" t="str">
        <f>'All Girls &amp; Descendants - Edit'!E352</f>
        <v>Samuel</v>
      </c>
      <c r="F351" t="str">
        <f>IF('All Girls &amp; Descendants - Edit'!F352="","",'All Girls &amp; Descendants - Edit'!F352)</f>
        <v>Oscar</v>
      </c>
      <c r="G351" t="str">
        <f>IF('All Girls &amp; Descendants - Edit'!G352="","",'All Girls &amp; Descendants - Edit'!G352)</f>
        <v>Mark</v>
      </c>
      <c r="H351" t="str">
        <f>IF('All Girls &amp; Descendants - Edit'!H352="","",'All Girls &amp; Descendants - Edit'!H352)</f>
        <v/>
      </c>
      <c r="I351">
        <f>VLOOKUP($C351,'All Girls &amp; Descendants - Edit'!$C$2:$AK$440,'All Girls &amp; Descendants - Edit'!I$1,FALSE)</f>
        <v>2018</v>
      </c>
      <c r="J351" t="str">
        <f>VLOOKUP($C351,'All Girls &amp; Descendants - Edit'!$C$2:$AK$440,'All Girls &amp; Descendants - Edit'!J$1,FALSE)</f>
        <v/>
      </c>
      <c r="K351" s="9"/>
      <c r="L351" t="str">
        <f t="shared" si="39"/>
        <v>07/11/2018</v>
      </c>
      <c r="M351" s="3">
        <f>VLOOKUP($C351,'All Girls &amp; Descendants - Edit'!$C$2:$AK$440,'All Girls &amp; Descendants - Edit'!M$1,FALSE)</f>
        <v>43411</v>
      </c>
      <c r="N351" s="3" t="str">
        <f>IF(VLOOKUP($C351,'All Girls &amp; Descendants - Edit'!$C$2:$AK$440,'All Girls &amp; Descendants - Edit'!N$1,FALSE)=""," - ",(VLOOKUP($C351,'All Girls &amp; Descendants - Edit'!$C$2:$AK$440,'All Girls &amp; Descendants - Edit'!N$1,FALSE)))</f>
        <v xml:space="preserve"> - </v>
      </c>
      <c r="O351" s="3" t="str">
        <f>IF(VLOOKUP($C351,'All Girls &amp; Descendants - Edit'!$C$2:$AK$440,'All Girls &amp; Descendants - Edit'!O$1,FALSE)="","",(VLOOKUP($C351,'All Girls &amp; Descendants - Edit'!$C$2:$AK$440,'All Girls &amp; Descendants - Edit'!O$1,FALSE)))</f>
        <v/>
      </c>
      <c r="P351" s="3" t="str">
        <f t="shared" si="40"/>
        <v/>
      </c>
      <c r="Q351" s="178" t="str">
        <f t="shared" si="41"/>
        <v>95ba</v>
      </c>
      <c r="R351" s="23"/>
      <c r="S351" t="str">
        <f>VLOOKUP($C351,'All Girls &amp; Descendants - Edit'!$C$2:$AK$440,'All Girls &amp; Descendants - Edit'!S$1,FALSE)</f>
        <v>Male</v>
      </c>
      <c r="T351" s="176">
        <f t="shared" si="38"/>
        <v>8</v>
      </c>
      <c r="U351" s="176">
        <f t="shared" si="42"/>
        <v>5</v>
      </c>
      <c r="V351" s="176">
        <f t="shared" si="43"/>
        <v>5</v>
      </c>
      <c r="W351" s="177">
        <f t="shared" si="44"/>
        <v>3</v>
      </c>
      <c r="X351" s="3" t="str">
        <f>IF(VLOOKUP($C351,'All Girls &amp; Descendants - Edit'!$C$2:$AK$440,'All Girls &amp; Descendants - Edit'!X$1,FALSE)=""," - ",(VLOOKUP($C351,'All Girls &amp; Descendants - Edit'!$C$2:$AK$440,'All Girls &amp; Descendants - Edit'!X$1,FALSE)))</f>
        <v xml:space="preserve"> - </v>
      </c>
      <c r="Y351" s="3" t="str">
        <f>IF(VLOOKUP($C351,'All Girls &amp; Descendants - Edit'!$C$2:$AK$440,'All Girls &amp; Descendants - Edit'!Y$1,FALSE)=""," - ",(VLOOKUP($C351,'All Girls &amp; Descendants - Edit'!$C$2:$AK$440,'All Girls &amp; Descendants - Edit'!Y$1,FALSE)))</f>
        <v xml:space="preserve"> - </v>
      </c>
      <c r="Z351" s="3" t="str">
        <f>IF(VLOOKUP($C351,'All Girls &amp; Descendants - Edit'!$C$2:$AK$440,'All Girls &amp; Descendants - Edit'!Z$1,FALSE)=""," - ",(VLOOKUP($C351,'All Girls &amp; Descendants - Edit'!$C$2:$AK$440,'All Girls &amp; Descendants - Edit'!Z$1,FALSE)))</f>
        <v xml:space="preserve"> - </v>
      </c>
      <c r="AA351" s="101" t="str">
        <f>IF(VLOOKUP($C351,'All Girls &amp; Descendants - Edit'!$C$2:$AK$440,'All Girls &amp; Descendants - Edit'!AA$1,FALSE)=""," - ",(VLOOKUP($C351,'All Girls &amp; Descendants - Edit'!$C$2:$AK$440,'All Girls &amp; Descendants - Edit'!AA$1,FALSE)))</f>
        <v xml:space="preserve"> - </v>
      </c>
      <c r="AB351" s="101">
        <f>IF(VLOOKUP($C351,'All Girls &amp; Descendants - Edit'!$C$2:$AK$440,'All Girls &amp; Descendants - Edit'!AB$1,FALSE)=""," - ",(VLOOKUP($C351,'All Girls &amp; Descendants - Edit'!$C$2:$AK$440,'All Girls &amp; Descendants - Edit'!AB$1,FALSE)))</f>
        <v>60</v>
      </c>
      <c r="AC351" s="101">
        <f>IF(VLOOKUP($C351,'All Girls &amp; Descendants - Edit'!$C$2:$AK$440,'All Girls &amp; Descendants - Edit'!AC$1,FALSE)=""," - ",(VLOOKUP($C351,'All Girls &amp; Descendants - Edit'!$C$2:$AK$440,'All Girls &amp; Descendants - Edit'!AC$1,FALSE)))</f>
        <v>3060</v>
      </c>
      <c r="AD351" s="3" t="str">
        <f>IF(VLOOKUP($C351,'All Girls &amp; Descendants - Edit'!$C$2:$AK$440,'All Girls &amp; Descendants - Edit'!AD$1,FALSE)=""," - ",(VLOOKUP($C351,'All Girls &amp; Descendants - Edit'!$C$2:$AK$440,'All Girls &amp; Descendants - Edit'!AD$1,FALSE)))</f>
        <v>95bab</v>
      </c>
      <c r="AE351" s="3" t="str">
        <f>IF(VLOOKUP($C351,'All Girls &amp; Descendants - Edit'!$C$2:$AK$440,'All Girls &amp; Descendants - Edit'!AE$1,FALSE)=""," - ",(VLOOKUP($C351,'All Girls &amp; Descendants - Edit'!$C$2:$AK$440,'All Girls &amp; Descendants - Edit'!AE$1,FALSE)))</f>
        <v>Samuel Oscar Mark VESTEY (2018 - )</v>
      </c>
      <c r="AF351" s="3" t="str">
        <f>IF(VLOOKUP($C351,'All Girls &amp; Descendants - Edit'!$C$2:$AK$440,'All Girls &amp; Descendants - Edit'!AF$1,FALSE)=""," - ",(VLOOKUP($C351,'All Girls &amp; Descendants - Edit'!$C$2:$AK$440,'All Girls &amp; Descendants - Edit'!AF$1,FALSE)))</f>
        <v>Samuel VESTEY (8th &amp; 95)</v>
      </c>
      <c r="AG351" s="3" t="str">
        <f>IF(VLOOKUP($C351,'All Girls &amp; Descendants - Edit'!$C$2:$AK$440,'All Girls &amp; Descendants - Edit'!AG$1,FALSE)=""," - ",(VLOOKUP($C351,'All Girls &amp; Descendants - Edit'!$C$2:$AK$440,'All Girls &amp; Descendants - Edit'!AG$1,FALSE)))</f>
        <v>Male</v>
      </c>
      <c r="AH351" s="3" t="str">
        <f>IF(VLOOKUP($C351,'All Girls &amp; Descendants - Edit'!$C$2:$AK$440,'All Girls &amp; Descendants - Edit'!AH$1,FALSE)=""," - ",(VLOOKUP($C351,'All Girls &amp; Descendants - Edit'!$C$2:$AK$440,'All Girls &amp; Descendants - Edit'!AH$1,FALSE)))</f>
        <v>8th</v>
      </c>
      <c r="AI351" s="3" t="str">
        <f>IF(VLOOKUP($C351,'All Girls &amp; Descendants - Edit'!$C$2:$AK$440,'All Girls &amp; Descendants - Edit'!AI$1,FALSE)=""," - ",(VLOOKUP($C351,'All Girls &amp; Descendants - Edit'!$C$2:$AK$440,'All Girls &amp; Descendants - Edit'!AI$1,FALSE)))</f>
        <v>Unmarried</v>
      </c>
      <c r="AJ351" s="3" t="str">
        <f>IF(VLOOKUP($C351,'All Girls &amp; Descendants - Edit'!$C$2:$AK$440,'All Girls &amp; Descendants - Edit'!AJ$1,FALSE)=""," - ",(VLOOKUP($C351,'All Girls &amp; Descendants - Edit'!$C$2:$AK$440,'All Girls &amp; Descendants - Edit'!AJ$1,FALSE)))</f>
        <v>Male. b. 07/11/2018</v>
      </c>
      <c r="AK351" s="3" t="str">
        <f>IF(VLOOKUP($C351,'All Girls &amp; Descendants - Edit'!$C$2:$AK$440,'All Girls &amp; Descendants - Edit'!AK$1,FALSE)=""," - ",(VLOOKUP($C351,'All Girls &amp; Descendants - Edit'!$C$2:$AK$440,'All Girls &amp; Descendants - Edit'!AK$1,FALSE)))</f>
        <v>b. 07/11/2018</v>
      </c>
    </row>
    <row r="352" spans="1:37" ht="19">
      <c r="A352">
        <f>VLOOKUP(B352,'Loyd List 1-190 - Edit'!$P$1:$R$219,3,FALSE)</f>
        <v>56</v>
      </c>
      <c r="B352">
        <f>'All Girls &amp; Descendants - Edit'!B353</f>
        <v>95</v>
      </c>
      <c r="C352" s="98" t="str">
        <f>'All Girls &amp; Descendants - Edit'!C353</f>
        <v>95bba</v>
      </c>
      <c r="D352" s="2" t="str">
        <f>'All Girls &amp; Descendants - Edit'!D353</f>
        <v>VESTEY</v>
      </c>
      <c r="E352" t="str">
        <f>'All Girls &amp; Descendants - Edit'!E353</f>
        <v>Frank</v>
      </c>
      <c r="F352" t="str">
        <f>IF('All Girls &amp; Descendants - Edit'!F353="","",'All Girls &amp; Descendants - Edit'!F353)</f>
        <v>William</v>
      </c>
      <c r="G352" t="str">
        <f>IF('All Girls &amp; Descendants - Edit'!G353="","",'All Girls &amp; Descendants - Edit'!G353)</f>
        <v/>
      </c>
      <c r="H352" t="str">
        <f>IF('All Girls &amp; Descendants - Edit'!H353="","",'All Girls &amp; Descendants - Edit'!H353)</f>
        <v/>
      </c>
      <c r="I352">
        <f>VLOOKUP($C352,'All Girls &amp; Descendants - Edit'!$C$2:$AK$440,'All Girls &amp; Descendants - Edit'!I$1,FALSE)</f>
        <v>2016</v>
      </c>
      <c r="J352" t="str">
        <f>VLOOKUP($C352,'All Girls &amp; Descendants - Edit'!$C$2:$AK$440,'All Girls &amp; Descendants - Edit'!J$1,FALSE)</f>
        <v/>
      </c>
      <c r="K352" s="9"/>
      <c r="L352" t="str">
        <f t="shared" si="39"/>
        <v>25/07/2016</v>
      </c>
      <c r="M352" s="3">
        <f>VLOOKUP($C352,'All Girls &amp; Descendants - Edit'!$C$2:$AK$440,'All Girls &amp; Descendants - Edit'!M$1,FALSE)</f>
        <v>42576</v>
      </c>
      <c r="N352" s="3" t="str">
        <f>IF(VLOOKUP($C352,'All Girls &amp; Descendants - Edit'!$C$2:$AK$440,'All Girls &amp; Descendants - Edit'!N$1,FALSE)=""," - ",(VLOOKUP($C352,'All Girls &amp; Descendants - Edit'!$C$2:$AK$440,'All Girls &amp; Descendants - Edit'!N$1,FALSE)))</f>
        <v xml:space="preserve"> - </v>
      </c>
      <c r="O352" s="3" t="str">
        <f>IF(VLOOKUP($C352,'All Girls &amp; Descendants - Edit'!$C$2:$AK$440,'All Girls &amp; Descendants - Edit'!O$1,FALSE)="","",(VLOOKUP($C352,'All Girls &amp; Descendants - Edit'!$C$2:$AK$440,'All Girls &amp; Descendants - Edit'!O$1,FALSE)))</f>
        <v/>
      </c>
      <c r="P352" s="3" t="str">
        <f t="shared" si="40"/>
        <v/>
      </c>
      <c r="Q352" s="178" t="str">
        <f t="shared" si="41"/>
        <v>95bb</v>
      </c>
      <c r="R352" s="23"/>
      <c r="S352" t="str">
        <f>VLOOKUP($C352,'All Girls &amp; Descendants - Edit'!$C$2:$AK$440,'All Girls &amp; Descendants - Edit'!S$1,FALSE)</f>
        <v>Male</v>
      </c>
      <c r="T352" s="176">
        <f t="shared" si="38"/>
        <v>8</v>
      </c>
      <c r="U352" s="176">
        <f t="shared" si="42"/>
        <v>5</v>
      </c>
      <c r="V352" s="176">
        <f t="shared" si="43"/>
        <v>5</v>
      </c>
      <c r="W352" s="177">
        <f t="shared" si="44"/>
        <v>3</v>
      </c>
      <c r="X352" s="3" t="str">
        <f>IF(VLOOKUP($C352,'All Girls &amp; Descendants - Edit'!$C$2:$AK$440,'All Girls &amp; Descendants - Edit'!X$1,FALSE)=""," - ",(VLOOKUP($C352,'All Girls &amp; Descendants - Edit'!$C$2:$AK$440,'All Girls &amp; Descendants - Edit'!X$1,FALSE)))</f>
        <v xml:space="preserve"> - </v>
      </c>
      <c r="Y352" s="3" t="str">
        <f>IF(VLOOKUP($C352,'All Girls &amp; Descendants - Edit'!$C$2:$AK$440,'All Girls &amp; Descendants - Edit'!Y$1,FALSE)=""," - ",(VLOOKUP($C352,'All Girls &amp; Descendants - Edit'!$C$2:$AK$440,'All Girls &amp; Descendants - Edit'!Y$1,FALSE)))</f>
        <v xml:space="preserve"> - </v>
      </c>
      <c r="Z352" s="3" t="str">
        <f>IF(VLOOKUP($C352,'All Girls &amp; Descendants - Edit'!$C$2:$AK$440,'All Girls &amp; Descendants - Edit'!Z$1,FALSE)=""," - ",(VLOOKUP($C352,'All Girls &amp; Descendants - Edit'!$C$2:$AK$440,'All Girls &amp; Descendants - Edit'!Z$1,FALSE)))</f>
        <v xml:space="preserve"> - </v>
      </c>
      <c r="AA352" s="101" t="str">
        <f>IF(VLOOKUP($C352,'All Girls &amp; Descendants - Edit'!$C$2:$AK$440,'All Girls &amp; Descendants - Edit'!AA$1,FALSE)=""," - ",(VLOOKUP($C352,'All Girls &amp; Descendants - Edit'!$C$2:$AK$440,'All Girls &amp; Descendants - Edit'!AA$1,FALSE)))</f>
        <v xml:space="preserve"> - </v>
      </c>
      <c r="AB352" s="101">
        <f>IF(VLOOKUP($C352,'All Girls &amp; Descendants - Edit'!$C$2:$AK$440,'All Girls &amp; Descendants - Edit'!AB$1,FALSE)=""," - ",(VLOOKUP($C352,'All Girls &amp; Descendants - Edit'!$C$2:$AK$440,'All Girls &amp; Descendants - Edit'!AB$1,FALSE)))</f>
        <v>61</v>
      </c>
      <c r="AC352" s="101">
        <f>IF(VLOOKUP($C352,'All Girls &amp; Descendants - Edit'!$C$2:$AK$440,'All Girls &amp; Descendants - Edit'!AC$1,FALSE)=""," - ",(VLOOKUP($C352,'All Girls &amp; Descendants - Edit'!$C$2:$AK$440,'All Girls &amp; Descendants - Edit'!AC$1,FALSE)))</f>
        <v>3061</v>
      </c>
      <c r="AD352" s="3" t="str">
        <f>IF(VLOOKUP($C352,'All Girls &amp; Descendants - Edit'!$C$2:$AK$440,'All Girls &amp; Descendants - Edit'!AD$1,FALSE)=""," - ",(VLOOKUP($C352,'All Girls &amp; Descendants - Edit'!$C$2:$AK$440,'All Girls &amp; Descendants - Edit'!AD$1,FALSE)))</f>
        <v>95bba</v>
      </c>
      <c r="AE352" s="3" t="str">
        <f>IF(VLOOKUP($C352,'All Girls &amp; Descendants - Edit'!$C$2:$AK$440,'All Girls &amp; Descendants - Edit'!AE$1,FALSE)=""," - ",(VLOOKUP($C352,'All Girls &amp; Descendants - Edit'!$C$2:$AK$440,'All Girls &amp; Descendants - Edit'!AE$1,FALSE)))</f>
        <v>Frank William  VESTEY (2016 - )</v>
      </c>
      <c r="AF352" s="3" t="str">
        <f>IF(VLOOKUP($C352,'All Girls &amp; Descendants - Edit'!$C$2:$AK$440,'All Girls &amp; Descendants - Edit'!AF$1,FALSE)=""," - ",(VLOOKUP($C352,'All Girls &amp; Descendants - Edit'!$C$2:$AK$440,'All Girls &amp; Descendants - Edit'!AF$1,FALSE)))</f>
        <v>Frank VESTEY (8th &amp; 95)</v>
      </c>
      <c r="AG352" s="3" t="str">
        <f>IF(VLOOKUP($C352,'All Girls &amp; Descendants - Edit'!$C$2:$AK$440,'All Girls &amp; Descendants - Edit'!AG$1,FALSE)=""," - ",(VLOOKUP($C352,'All Girls &amp; Descendants - Edit'!$C$2:$AK$440,'All Girls &amp; Descendants - Edit'!AG$1,FALSE)))</f>
        <v>Male</v>
      </c>
      <c r="AH352" s="3" t="str">
        <f>IF(VLOOKUP($C352,'All Girls &amp; Descendants - Edit'!$C$2:$AK$440,'All Girls &amp; Descendants - Edit'!AH$1,FALSE)=""," - ",(VLOOKUP($C352,'All Girls &amp; Descendants - Edit'!$C$2:$AK$440,'All Girls &amp; Descendants - Edit'!AH$1,FALSE)))</f>
        <v>8th</v>
      </c>
      <c r="AI352" s="3" t="str">
        <f>IF(VLOOKUP($C352,'All Girls &amp; Descendants - Edit'!$C$2:$AK$440,'All Girls &amp; Descendants - Edit'!AI$1,FALSE)=""," - ",(VLOOKUP($C352,'All Girls &amp; Descendants - Edit'!$C$2:$AK$440,'All Girls &amp; Descendants - Edit'!AI$1,FALSE)))</f>
        <v>Unmarried</v>
      </c>
      <c r="AJ352" s="3" t="str">
        <f>IF(VLOOKUP($C352,'All Girls &amp; Descendants - Edit'!$C$2:$AK$440,'All Girls &amp; Descendants - Edit'!AJ$1,FALSE)=""," - ",(VLOOKUP($C352,'All Girls &amp; Descendants - Edit'!$C$2:$AK$440,'All Girls &amp; Descendants - Edit'!AJ$1,FALSE)))</f>
        <v>Male. b. 25/07/2016</v>
      </c>
      <c r="AK352" s="3" t="str">
        <f>IF(VLOOKUP($C352,'All Girls &amp; Descendants - Edit'!$C$2:$AK$440,'All Girls &amp; Descendants - Edit'!AK$1,FALSE)=""," - ",(VLOOKUP($C352,'All Girls &amp; Descendants - Edit'!$C$2:$AK$440,'All Girls &amp; Descendants - Edit'!AK$1,FALSE)))</f>
        <v>b. 25/07/2016</v>
      </c>
    </row>
    <row r="353" spans="1:37" ht="19">
      <c r="A353">
        <f>VLOOKUP(B353,'Loyd List 1-190 - Edit'!$P$1:$R$219,3,FALSE)</f>
        <v>56</v>
      </c>
      <c r="B353">
        <f>'All Girls &amp; Descendants - Edit'!B354</f>
        <v>95</v>
      </c>
      <c r="C353" s="98" t="str">
        <f>'All Girls &amp; Descendants - Edit'!C354</f>
        <v>95bbb</v>
      </c>
      <c r="D353" s="2" t="str">
        <f>'All Girls &amp; Descendants - Edit'!D354</f>
        <v>VESTEY</v>
      </c>
      <c r="E353" t="str">
        <f>'All Girls &amp; Descendants - Edit'!E354</f>
        <v>Cosima </v>
      </c>
      <c r="F353" t="str">
        <f>IF('All Girls &amp; Descendants - Edit'!F354="","",'All Girls &amp; Descendants - Edit'!F354)</f>
        <v>Dora</v>
      </c>
      <c r="G353" t="str">
        <f>IF('All Girls &amp; Descendants - Edit'!G354="","",'All Girls &amp; Descendants - Edit'!G354)</f>
        <v/>
      </c>
      <c r="H353" t="str">
        <f>IF('All Girls &amp; Descendants - Edit'!H354="","",'All Girls &amp; Descendants - Edit'!H354)</f>
        <v/>
      </c>
      <c r="I353">
        <f>VLOOKUP($C353,'All Girls &amp; Descendants - Edit'!$C$2:$AK$440,'All Girls &amp; Descendants - Edit'!I$1,FALSE)</f>
        <v>2018</v>
      </c>
      <c r="J353" t="str">
        <f>VLOOKUP($C353,'All Girls &amp; Descendants - Edit'!$C$2:$AK$440,'All Girls &amp; Descendants - Edit'!J$1,FALSE)</f>
        <v/>
      </c>
      <c r="K353" s="9"/>
      <c r="L353" t="str">
        <f t="shared" si="39"/>
        <v>30/11/2018</v>
      </c>
      <c r="M353" s="3">
        <f>VLOOKUP($C353,'All Girls &amp; Descendants - Edit'!$C$2:$AK$440,'All Girls &amp; Descendants - Edit'!M$1,FALSE)</f>
        <v>43434</v>
      </c>
      <c r="N353" s="3" t="str">
        <f>IF(VLOOKUP($C353,'All Girls &amp; Descendants - Edit'!$C$2:$AK$440,'All Girls &amp; Descendants - Edit'!N$1,FALSE)=""," - ",(VLOOKUP($C353,'All Girls &amp; Descendants - Edit'!$C$2:$AK$440,'All Girls &amp; Descendants - Edit'!N$1,FALSE)))</f>
        <v xml:space="preserve"> - </v>
      </c>
      <c r="O353" s="3" t="str">
        <f>IF(VLOOKUP($C353,'All Girls &amp; Descendants - Edit'!$C$2:$AK$440,'All Girls &amp; Descendants - Edit'!O$1,FALSE)="","",(VLOOKUP($C353,'All Girls &amp; Descendants - Edit'!$C$2:$AK$440,'All Girls &amp; Descendants - Edit'!O$1,FALSE)))</f>
        <v/>
      </c>
      <c r="P353" s="3" t="str">
        <f t="shared" si="40"/>
        <v/>
      </c>
      <c r="Q353" s="178" t="str">
        <f t="shared" si="41"/>
        <v>95bb</v>
      </c>
      <c r="R353" s="23"/>
      <c r="S353" t="str">
        <f>VLOOKUP($C353,'All Girls &amp; Descendants - Edit'!$C$2:$AK$440,'All Girls &amp; Descendants - Edit'!S$1,FALSE)</f>
        <v>Female</v>
      </c>
      <c r="T353" s="176">
        <f t="shared" si="38"/>
        <v>8</v>
      </c>
      <c r="U353" s="176">
        <f t="shared" si="42"/>
        <v>5</v>
      </c>
      <c r="V353" s="176">
        <f t="shared" si="43"/>
        <v>5</v>
      </c>
      <c r="W353" s="177">
        <f t="shared" si="44"/>
        <v>3</v>
      </c>
      <c r="X353" s="3" t="str">
        <f>IF(VLOOKUP($C353,'All Girls &amp; Descendants - Edit'!$C$2:$AK$440,'All Girls &amp; Descendants - Edit'!X$1,FALSE)=""," - ",(VLOOKUP($C353,'All Girls &amp; Descendants - Edit'!$C$2:$AK$440,'All Girls &amp; Descendants - Edit'!X$1,FALSE)))</f>
        <v xml:space="preserve"> - </v>
      </c>
      <c r="Y353" s="3" t="str">
        <f>IF(VLOOKUP($C353,'All Girls &amp; Descendants - Edit'!$C$2:$AK$440,'All Girls &amp; Descendants - Edit'!Y$1,FALSE)=""," - ",(VLOOKUP($C353,'All Girls &amp; Descendants - Edit'!$C$2:$AK$440,'All Girls &amp; Descendants - Edit'!Y$1,FALSE)))</f>
        <v xml:space="preserve"> - </v>
      </c>
      <c r="Z353" s="3" t="str">
        <f>IF(VLOOKUP($C353,'All Girls &amp; Descendants - Edit'!$C$2:$AK$440,'All Girls &amp; Descendants - Edit'!Z$1,FALSE)=""," - ",(VLOOKUP($C353,'All Girls &amp; Descendants - Edit'!$C$2:$AK$440,'All Girls &amp; Descendants - Edit'!Z$1,FALSE)))</f>
        <v xml:space="preserve"> - </v>
      </c>
      <c r="AA353" s="101" t="str">
        <f>IF(VLOOKUP($C353,'All Girls &amp; Descendants - Edit'!$C$2:$AK$440,'All Girls &amp; Descendants - Edit'!AA$1,FALSE)=""," - ",(VLOOKUP($C353,'All Girls &amp; Descendants - Edit'!$C$2:$AK$440,'All Girls &amp; Descendants - Edit'!AA$1,FALSE)))</f>
        <v xml:space="preserve"> - </v>
      </c>
      <c r="AB353" s="101">
        <f>IF(VLOOKUP($C353,'All Girls &amp; Descendants - Edit'!$C$2:$AK$440,'All Girls &amp; Descendants - Edit'!AB$1,FALSE)=""," - ",(VLOOKUP($C353,'All Girls &amp; Descendants - Edit'!$C$2:$AK$440,'All Girls &amp; Descendants - Edit'!AB$1,FALSE)))</f>
        <v>62</v>
      </c>
      <c r="AC353" s="101">
        <f>IF(VLOOKUP($C353,'All Girls &amp; Descendants - Edit'!$C$2:$AK$440,'All Girls &amp; Descendants - Edit'!AC$1,FALSE)=""," - ",(VLOOKUP($C353,'All Girls &amp; Descendants - Edit'!$C$2:$AK$440,'All Girls &amp; Descendants - Edit'!AC$1,FALSE)))</f>
        <v>3062</v>
      </c>
      <c r="AD353" s="3" t="str">
        <f>IF(VLOOKUP($C353,'All Girls &amp; Descendants - Edit'!$C$2:$AK$440,'All Girls &amp; Descendants - Edit'!AD$1,FALSE)=""," - ",(VLOOKUP($C353,'All Girls &amp; Descendants - Edit'!$C$2:$AK$440,'All Girls &amp; Descendants - Edit'!AD$1,FALSE)))</f>
        <v>95bbb</v>
      </c>
      <c r="AE353" s="3" t="str">
        <f>IF(VLOOKUP($C353,'All Girls &amp; Descendants - Edit'!$C$2:$AK$440,'All Girls &amp; Descendants - Edit'!AE$1,FALSE)=""," - ",(VLOOKUP($C353,'All Girls &amp; Descendants - Edit'!$C$2:$AK$440,'All Girls &amp; Descendants - Edit'!AE$1,FALSE)))</f>
        <v>Cosima  Dora  VESTEY (2018 - )</v>
      </c>
      <c r="AF353" s="3" t="str">
        <f>IF(VLOOKUP($C353,'All Girls &amp; Descendants - Edit'!$C$2:$AK$440,'All Girls &amp; Descendants - Edit'!AF$1,FALSE)=""," - ",(VLOOKUP($C353,'All Girls &amp; Descendants - Edit'!$C$2:$AK$440,'All Girls &amp; Descendants - Edit'!AF$1,FALSE)))</f>
        <v>Cosima  VESTEY (8th &amp; 95)</v>
      </c>
      <c r="AG353" s="3" t="str">
        <f>IF(VLOOKUP($C353,'All Girls &amp; Descendants - Edit'!$C$2:$AK$440,'All Girls &amp; Descendants - Edit'!AG$1,FALSE)=""," - ",(VLOOKUP($C353,'All Girls &amp; Descendants - Edit'!$C$2:$AK$440,'All Girls &amp; Descendants - Edit'!AG$1,FALSE)))</f>
        <v>Female</v>
      </c>
      <c r="AH353" s="3" t="str">
        <f>IF(VLOOKUP($C353,'All Girls &amp; Descendants - Edit'!$C$2:$AK$440,'All Girls &amp; Descendants - Edit'!AH$1,FALSE)=""," - ",(VLOOKUP($C353,'All Girls &amp; Descendants - Edit'!$C$2:$AK$440,'All Girls &amp; Descendants - Edit'!AH$1,FALSE)))</f>
        <v>8th</v>
      </c>
      <c r="AI353" s="3" t="str">
        <f>IF(VLOOKUP($C353,'All Girls &amp; Descendants - Edit'!$C$2:$AK$440,'All Girls &amp; Descendants - Edit'!AI$1,FALSE)=""," - ",(VLOOKUP($C353,'All Girls &amp; Descendants - Edit'!$C$2:$AK$440,'All Girls &amp; Descendants - Edit'!AI$1,FALSE)))</f>
        <v>Unmarried</v>
      </c>
      <c r="AJ353" s="3" t="str">
        <f>IF(VLOOKUP($C353,'All Girls &amp; Descendants - Edit'!$C$2:$AK$440,'All Girls &amp; Descendants - Edit'!AJ$1,FALSE)=""," - ",(VLOOKUP($C353,'All Girls &amp; Descendants - Edit'!$C$2:$AK$440,'All Girls &amp; Descendants - Edit'!AJ$1,FALSE)))</f>
        <v>Female. b. 30/11/2018</v>
      </c>
      <c r="AK353" s="3" t="str">
        <f>IF(VLOOKUP($C353,'All Girls &amp; Descendants - Edit'!$C$2:$AK$440,'All Girls &amp; Descendants - Edit'!AK$1,FALSE)=""," - ",(VLOOKUP($C353,'All Girls &amp; Descendants - Edit'!$C$2:$AK$440,'All Girls &amp; Descendants - Edit'!AK$1,FALSE)))</f>
        <v>b. 30/11/2018</v>
      </c>
    </row>
    <row r="354" spans="1:37" ht="19">
      <c r="A354">
        <f>VLOOKUP(B354,'Loyd List 1-190 - Edit'!$P$1:$R$219,3,FALSE)</f>
        <v>56</v>
      </c>
      <c r="B354">
        <f>'All Girls &amp; Descendants - Edit'!B355</f>
        <v>95</v>
      </c>
      <c r="C354" s="98" t="str">
        <f>'All Girls &amp; Descendants - Edit'!C355</f>
        <v>95bbc</v>
      </c>
      <c r="D354" s="2" t="str">
        <f>'All Girls &amp; Descendants - Edit'!D355</f>
        <v>VESTEY</v>
      </c>
      <c r="E354" t="str">
        <f>'All Girls &amp; Descendants - Edit'!E355</f>
        <v>Daisy</v>
      </c>
      <c r="F354" t="str">
        <f>IF('All Girls &amp; Descendants - Edit'!F355="","",'All Girls &amp; Descendants - Edit'!F355)</f>
        <v>Celia</v>
      </c>
      <c r="G354" t="str">
        <f>IF('All Girls &amp; Descendants - Edit'!G355="","",'All Girls &amp; Descendants - Edit'!G355)</f>
        <v/>
      </c>
      <c r="H354" t="str">
        <f>IF('All Girls &amp; Descendants - Edit'!H355="","",'All Girls &amp; Descendants - Edit'!H355)</f>
        <v/>
      </c>
      <c r="I354">
        <f>VLOOKUP($C354,'All Girls &amp; Descendants - Edit'!$C$2:$AK$440,'All Girls &amp; Descendants - Edit'!I$1,FALSE)</f>
        <v>2021</v>
      </c>
      <c r="J354" t="str">
        <f>VLOOKUP($C354,'All Girls &amp; Descendants - Edit'!$C$2:$AK$440,'All Girls &amp; Descendants - Edit'!J$1,FALSE)</f>
        <v/>
      </c>
      <c r="K354" s="9"/>
      <c r="L354" t="str">
        <f t="shared" si="39"/>
        <v>12/01/2021</v>
      </c>
      <c r="M354" s="3">
        <f>VLOOKUP($C354,'All Girls &amp; Descendants - Edit'!$C$2:$AK$440,'All Girls &amp; Descendants - Edit'!M$1,FALSE)</f>
        <v>44208</v>
      </c>
      <c r="N354" s="3" t="str">
        <f>IF(VLOOKUP($C354,'All Girls &amp; Descendants - Edit'!$C$2:$AK$440,'All Girls &amp; Descendants - Edit'!N$1,FALSE)=""," - ",(VLOOKUP($C354,'All Girls &amp; Descendants - Edit'!$C$2:$AK$440,'All Girls &amp; Descendants - Edit'!N$1,FALSE)))</f>
        <v xml:space="preserve"> - </v>
      </c>
      <c r="O354" s="3" t="str">
        <f>IF(VLOOKUP($C354,'All Girls &amp; Descendants - Edit'!$C$2:$AK$440,'All Girls &amp; Descendants - Edit'!O$1,FALSE)="","",(VLOOKUP($C354,'All Girls &amp; Descendants - Edit'!$C$2:$AK$440,'All Girls &amp; Descendants - Edit'!O$1,FALSE)))</f>
        <v/>
      </c>
      <c r="P354" s="3" t="str">
        <f t="shared" si="40"/>
        <v/>
      </c>
      <c r="Q354" s="178" t="str">
        <f t="shared" si="41"/>
        <v>95bb</v>
      </c>
      <c r="R354" s="23"/>
      <c r="S354" t="str">
        <f>VLOOKUP($C354,'All Girls &amp; Descendants - Edit'!$C$2:$AK$440,'All Girls &amp; Descendants - Edit'!S$1,FALSE)</f>
        <v>Male</v>
      </c>
      <c r="T354" s="176">
        <f t="shared" si="38"/>
        <v>8</v>
      </c>
      <c r="U354" s="176">
        <f t="shared" si="42"/>
        <v>5</v>
      </c>
      <c r="V354" s="176">
        <f t="shared" si="43"/>
        <v>5</v>
      </c>
      <c r="W354" s="177">
        <f t="shared" si="44"/>
        <v>3</v>
      </c>
      <c r="X354" s="3" t="str">
        <f>IF(VLOOKUP($C354,'All Girls &amp; Descendants - Edit'!$C$2:$AK$440,'All Girls &amp; Descendants - Edit'!X$1,FALSE)=""," - ",(VLOOKUP($C354,'All Girls &amp; Descendants - Edit'!$C$2:$AK$440,'All Girls &amp; Descendants - Edit'!X$1,FALSE)))</f>
        <v xml:space="preserve"> - </v>
      </c>
      <c r="Y354" s="3" t="str">
        <f>IF(VLOOKUP($C354,'All Girls &amp; Descendants - Edit'!$C$2:$AK$440,'All Girls &amp; Descendants - Edit'!Y$1,FALSE)=""," - ",(VLOOKUP($C354,'All Girls &amp; Descendants - Edit'!$C$2:$AK$440,'All Girls &amp; Descendants - Edit'!Y$1,FALSE)))</f>
        <v xml:space="preserve"> - </v>
      </c>
      <c r="Z354" s="3" t="str">
        <f>IF(VLOOKUP($C354,'All Girls &amp; Descendants - Edit'!$C$2:$AK$440,'All Girls &amp; Descendants - Edit'!Z$1,FALSE)=""," - ",(VLOOKUP($C354,'All Girls &amp; Descendants - Edit'!$C$2:$AK$440,'All Girls &amp; Descendants - Edit'!Z$1,FALSE)))</f>
        <v xml:space="preserve"> - </v>
      </c>
      <c r="AA354" s="101" t="str">
        <f>IF(VLOOKUP($C354,'All Girls &amp; Descendants - Edit'!$C$2:$AK$440,'All Girls &amp; Descendants - Edit'!AA$1,FALSE)=""," - ",(VLOOKUP($C354,'All Girls &amp; Descendants - Edit'!$C$2:$AK$440,'All Girls &amp; Descendants - Edit'!AA$1,FALSE)))</f>
        <v xml:space="preserve"> - </v>
      </c>
      <c r="AB354" s="101">
        <f>IF(VLOOKUP($C354,'All Girls &amp; Descendants - Edit'!$C$2:$AK$440,'All Girls &amp; Descendants - Edit'!AB$1,FALSE)=""," - ",(VLOOKUP($C354,'All Girls &amp; Descendants - Edit'!$C$2:$AK$440,'All Girls &amp; Descendants - Edit'!AB$1,FALSE)))</f>
        <v>63</v>
      </c>
      <c r="AC354" s="101">
        <f>IF(VLOOKUP($C354,'All Girls &amp; Descendants - Edit'!$C$2:$AK$440,'All Girls &amp; Descendants - Edit'!AC$1,FALSE)=""," - ",(VLOOKUP($C354,'All Girls &amp; Descendants - Edit'!$C$2:$AK$440,'All Girls &amp; Descendants - Edit'!AC$1,FALSE)))</f>
        <v>3063</v>
      </c>
      <c r="AD354" s="3" t="str">
        <f>IF(VLOOKUP($C354,'All Girls &amp; Descendants - Edit'!$C$2:$AK$440,'All Girls &amp; Descendants - Edit'!AD$1,FALSE)=""," - ",(VLOOKUP($C354,'All Girls &amp; Descendants - Edit'!$C$2:$AK$440,'All Girls &amp; Descendants - Edit'!AD$1,FALSE)))</f>
        <v>95bbc</v>
      </c>
      <c r="AE354" s="3" t="str">
        <f>IF(VLOOKUP($C354,'All Girls &amp; Descendants - Edit'!$C$2:$AK$440,'All Girls &amp; Descendants - Edit'!AE$1,FALSE)=""," - ",(VLOOKUP($C354,'All Girls &amp; Descendants - Edit'!$C$2:$AK$440,'All Girls &amp; Descendants - Edit'!AE$1,FALSE)))</f>
        <v>Daisy Celia  VESTEY (2021 - )</v>
      </c>
      <c r="AF354" s="3" t="str">
        <f>IF(VLOOKUP($C354,'All Girls &amp; Descendants - Edit'!$C$2:$AK$440,'All Girls &amp; Descendants - Edit'!AF$1,FALSE)=""," - ",(VLOOKUP($C354,'All Girls &amp; Descendants - Edit'!$C$2:$AK$440,'All Girls &amp; Descendants - Edit'!AF$1,FALSE)))</f>
        <v>Daisy VESTEY (8th &amp; 95)</v>
      </c>
      <c r="AG354" s="3" t="str">
        <f>IF(VLOOKUP($C354,'All Girls &amp; Descendants - Edit'!$C$2:$AK$440,'All Girls &amp; Descendants - Edit'!AG$1,FALSE)=""," - ",(VLOOKUP($C354,'All Girls &amp; Descendants - Edit'!$C$2:$AK$440,'All Girls &amp; Descendants - Edit'!AG$1,FALSE)))</f>
        <v>Male</v>
      </c>
      <c r="AH354" s="3" t="str">
        <f>IF(VLOOKUP($C354,'All Girls &amp; Descendants - Edit'!$C$2:$AK$440,'All Girls &amp; Descendants - Edit'!AH$1,FALSE)=""," - ",(VLOOKUP($C354,'All Girls &amp; Descendants - Edit'!$C$2:$AK$440,'All Girls &amp; Descendants - Edit'!AH$1,FALSE)))</f>
        <v>8th</v>
      </c>
      <c r="AI354" s="3" t="str">
        <f>IF(VLOOKUP($C354,'All Girls &amp; Descendants - Edit'!$C$2:$AK$440,'All Girls &amp; Descendants - Edit'!AI$1,FALSE)=""," - ",(VLOOKUP($C354,'All Girls &amp; Descendants - Edit'!$C$2:$AK$440,'All Girls &amp; Descendants - Edit'!AI$1,FALSE)))</f>
        <v>Unmarried</v>
      </c>
      <c r="AJ354" s="3" t="str">
        <f>IF(VLOOKUP($C354,'All Girls &amp; Descendants - Edit'!$C$2:$AK$440,'All Girls &amp; Descendants - Edit'!AJ$1,FALSE)=""," - ",(VLOOKUP($C354,'All Girls &amp; Descendants - Edit'!$C$2:$AK$440,'All Girls &amp; Descendants - Edit'!AJ$1,FALSE)))</f>
        <v>Male. b. 12/01/2021</v>
      </c>
      <c r="AK354" s="3" t="str">
        <f>IF(VLOOKUP($C354,'All Girls &amp; Descendants - Edit'!$C$2:$AK$440,'All Girls &amp; Descendants - Edit'!AK$1,FALSE)=""," - ",(VLOOKUP($C354,'All Girls &amp; Descendants - Edit'!$C$2:$AK$440,'All Girls &amp; Descendants - Edit'!AK$1,FALSE)))</f>
        <v>b. 12/01/2021</v>
      </c>
    </row>
    <row r="355" spans="1:37" ht="19">
      <c r="A355">
        <f>VLOOKUP(B355,'Loyd List 1-190 - Edit'!$P$1:$R$219,3,FALSE)</f>
        <v>56</v>
      </c>
      <c r="B355">
        <f>'All Girls &amp; Descendants - Edit'!B356</f>
        <v>95</v>
      </c>
      <c r="C355" s="98" t="str">
        <f>'All Girls &amp; Descendants - Edit'!C356</f>
        <v>95bca</v>
      </c>
      <c r="D355" s="2" t="str">
        <f>'All Girls &amp; Descendants - Edit'!D356</f>
        <v>VESTEY</v>
      </c>
      <c r="E355" t="str">
        <f>'All Girls &amp; Descendants - Edit'!E356</f>
        <v>Lyra</v>
      </c>
      <c r="F355" t="str">
        <f>IF('All Girls &amp; Descendants - Edit'!F356="","",'All Girls &amp; Descendants - Edit'!F356)</f>
        <v>Celia</v>
      </c>
      <c r="G355" t="str">
        <f>IF('All Girls &amp; Descendants - Edit'!G356="","",'All Girls &amp; Descendants - Edit'!G356)</f>
        <v/>
      </c>
      <c r="H355" t="str">
        <f>IF('All Girls &amp; Descendants - Edit'!H356="","",'All Girls &amp; Descendants - Edit'!H356)</f>
        <v/>
      </c>
      <c r="I355">
        <f>VLOOKUP($C355,'All Girls &amp; Descendants - Edit'!$C$2:$AK$440,'All Girls &amp; Descendants - Edit'!I$1,FALSE)</f>
        <v>2021</v>
      </c>
      <c r="J355" t="str">
        <f>VLOOKUP($C355,'All Girls &amp; Descendants - Edit'!$C$2:$AK$440,'All Girls &amp; Descendants - Edit'!J$1,FALSE)</f>
        <v/>
      </c>
      <c r="K355" s="9"/>
      <c r="L355" t="str">
        <f t="shared" si="39"/>
        <v>18/11/2021</v>
      </c>
      <c r="M355" s="3">
        <f>VLOOKUP($C355,'All Girls &amp; Descendants - Edit'!$C$2:$AK$440,'All Girls &amp; Descendants - Edit'!M$1,FALSE)</f>
        <v>44518</v>
      </c>
      <c r="N355" s="3" t="str">
        <f>IF(VLOOKUP($C355,'All Girls &amp; Descendants - Edit'!$C$2:$AK$440,'All Girls &amp; Descendants - Edit'!N$1,FALSE)=""," - ",(VLOOKUP($C355,'All Girls &amp; Descendants - Edit'!$C$2:$AK$440,'All Girls &amp; Descendants - Edit'!N$1,FALSE)))</f>
        <v xml:space="preserve"> - </v>
      </c>
      <c r="O355" s="3" t="str">
        <f>IF(VLOOKUP($C355,'All Girls &amp; Descendants - Edit'!$C$2:$AK$440,'All Girls &amp; Descendants - Edit'!O$1,FALSE)="","",(VLOOKUP($C355,'All Girls &amp; Descendants - Edit'!$C$2:$AK$440,'All Girls &amp; Descendants - Edit'!O$1,FALSE)))</f>
        <v/>
      </c>
      <c r="P355" s="3" t="str">
        <f t="shared" si="40"/>
        <v/>
      </c>
      <c r="Q355" s="178" t="str">
        <f t="shared" si="41"/>
        <v>95bc</v>
      </c>
      <c r="R355" s="23"/>
      <c r="S355" t="str">
        <f>VLOOKUP($C355,'All Girls &amp; Descendants - Edit'!$C$2:$AK$440,'All Girls &amp; Descendants - Edit'!S$1,FALSE)</f>
        <v>Female</v>
      </c>
      <c r="T355" s="176">
        <f t="shared" si="38"/>
        <v>8</v>
      </c>
      <c r="U355" s="176">
        <f t="shared" si="42"/>
        <v>5</v>
      </c>
      <c r="V355" s="176">
        <f t="shared" si="43"/>
        <v>5</v>
      </c>
      <c r="W355" s="177">
        <f t="shared" si="44"/>
        <v>3</v>
      </c>
      <c r="X355" s="3" t="str">
        <f>IF(VLOOKUP($C355,'All Girls &amp; Descendants - Edit'!$C$2:$AK$440,'All Girls &amp; Descendants - Edit'!X$1,FALSE)=""," - ",(VLOOKUP($C355,'All Girls &amp; Descendants - Edit'!$C$2:$AK$440,'All Girls &amp; Descendants - Edit'!X$1,FALSE)))</f>
        <v xml:space="preserve"> - </v>
      </c>
      <c r="Y355" s="3" t="str">
        <f>IF(VLOOKUP($C355,'All Girls &amp; Descendants - Edit'!$C$2:$AK$440,'All Girls &amp; Descendants - Edit'!Y$1,FALSE)=""," - ",(VLOOKUP($C355,'All Girls &amp; Descendants - Edit'!$C$2:$AK$440,'All Girls &amp; Descendants - Edit'!Y$1,FALSE)))</f>
        <v xml:space="preserve"> - </v>
      </c>
      <c r="Z355" s="3" t="str">
        <f>IF(VLOOKUP($C355,'All Girls &amp; Descendants - Edit'!$C$2:$AK$440,'All Girls &amp; Descendants - Edit'!Z$1,FALSE)=""," - ",(VLOOKUP($C355,'All Girls &amp; Descendants - Edit'!$C$2:$AK$440,'All Girls &amp; Descendants - Edit'!Z$1,FALSE)))</f>
        <v xml:space="preserve"> - </v>
      </c>
      <c r="AA355" s="101" t="str">
        <f>IF(VLOOKUP($C355,'All Girls &amp; Descendants - Edit'!$C$2:$AK$440,'All Girls &amp; Descendants - Edit'!AA$1,FALSE)=""," - ",(VLOOKUP($C355,'All Girls &amp; Descendants - Edit'!$C$2:$AK$440,'All Girls &amp; Descendants - Edit'!AA$1,FALSE)))</f>
        <v xml:space="preserve"> - </v>
      </c>
      <c r="AB355" s="101">
        <f>IF(VLOOKUP($C355,'All Girls &amp; Descendants - Edit'!$C$2:$AK$440,'All Girls &amp; Descendants - Edit'!AB$1,FALSE)=""," - ",(VLOOKUP($C355,'All Girls &amp; Descendants - Edit'!$C$2:$AK$440,'All Girls &amp; Descendants - Edit'!AB$1,FALSE)))</f>
        <v>64</v>
      </c>
      <c r="AC355" s="101">
        <f>IF(VLOOKUP($C355,'All Girls &amp; Descendants - Edit'!$C$2:$AK$440,'All Girls &amp; Descendants - Edit'!AC$1,FALSE)=""," - ",(VLOOKUP($C355,'All Girls &amp; Descendants - Edit'!$C$2:$AK$440,'All Girls &amp; Descendants - Edit'!AC$1,FALSE)))</f>
        <v>3064</v>
      </c>
      <c r="AD355" s="3" t="str">
        <f>IF(VLOOKUP($C355,'All Girls &amp; Descendants - Edit'!$C$2:$AK$440,'All Girls &amp; Descendants - Edit'!AD$1,FALSE)=""," - ",(VLOOKUP($C355,'All Girls &amp; Descendants - Edit'!$C$2:$AK$440,'All Girls &amp; Descendants - Edit'!AD$1,FALSE)))</f>
        <v>95bca</v>
      </c>
      <c r="AE355" s="3" t="str">
        <f>IF(VLOOKUP($C355,'All Girls &amp; Descendants - Edit'!$C$2:$AK$440,'All Girls &amp; Descendants - Edit'!AE$1,FALSE)=""," - ",(VLOOKUP($C355,'All Girls &amp; Descendants - Edit'!$C$2:$AK$440,'All Girls &amp; Descendants - Edit'!AE$1,FALSE)))</f>
        <v>Lyra Celia  VESTEY (2021 - )</v>
      </c>
      <c r="AF355" s="3" t="str">
        <f>IF(VLOOKUP($C355,'All Girls &amp; Descendants - Edit'!$C$2:$AK$440,'All Girls &amp; Descendants - Edit'!AF$1,FALSE)=""," - ",(VLOOKUP($C355,'All Girls &amp; Descendants - Edit'!$C$2:$AK$440,'All Girls &amp; Descendants - Edit'!AF$1,FALSE)))</f>
        <v>Lyra VESTEY (8th &amp; 95)</v>
      </c>
      <c r="AG355" s="3" t="str">
        <f>IF(VLOOKUP($C355,'All Girls &amp; Descendants - Edit'!$C$2:$AK$440,'All Girls &amp; Descendants - Edit'!AG$1,FALSE)=""," - ",(VLOOKUP($C355,'All Girls &amp; Descendants - Edit'!$C$2:$AK$440,'All Girls &amp; Descendants - Edit'!AG$1,FALSE)))</f>
        <v>Female</v>
      </c>
      <c r="AH355" s="3" t="str">
        <f>IF(VLOOKUP($C355,'All Girls &amp; Descendants - Edit'!$C$2:$AK$440,'All Girls &amp; Descendants - Edit'!AH$1,FALSE)=""," - ",(VLOOKUP($C355,'All Girls &amp; Descendants - Edit'!$C$2:$AK$440,'All Girls &amp; Descendants - Edit'!AH$1,FALSE)))</f>
        <v>8th</v>
      </c>
      <c r="AI355" s="3" t="str">
        <f>IF(VLOOKUP($C355,'All Girls &amp; Descendants - Edit'!$C$2:$AK$440,'All Girls &amp; Descendants - Edit'!AI$1,FALSE)=""," - ",(VLOOKUP($C355,'All Girls &amp; Descendants - Edit'!$C$2:$AK$440,'All Girls &amp; Descendants - Edit'!AI$1,FALSE)))</f>
        <v>Unmarried</v>
      </c>
      <c r="AJ355" s="3" t="str">
        <f>IF(VLOOKUP($C355,'All Girls &amp; Descendants - Edit'!$C$2:$AK$440,'All Girls &amp; Descendants - Edit'!AJ$1,FALSE)=""," - ",(VLOOKUP($C355,'All Girls &amp; Descendants - Edit'!$C$2:$AK$440,'All Girls &amp; Descendants - Edit'!AJ$1,FALSE)))</f>
        <v>Female. b. 18/11/2021</v>
      </c>
      <c r="AK355" s="3" t="str">
        <f>IF(VLOOKUP($C355,'All Girls &amp; Descendants - Edit'!$C$2:$AK$440,'All Girls &amp; Descendants - Edit'!AK$1,FALSE)=""," - ",(VLOOKUP($C355,'All Girls &amp; Descendants - Edit'!$C$2:$AK$440,'All Girls &amp; Descendants - Edit'!AK$1,FALSE)))</f>
        <v>b. 18/11/2021</v>
      </c>
    </row>
    <row r="356" spans="1:37" ht="19">
      <c r="A356">
        <f>VLOOKUP(B356,'Loyd List 1-190 - Edit'!$P$1:$R$219,3,FALSE)</f>
        <v>77</v>
      </c>
      <c r="B356">
        <f>'All Girls &amp; Descendants - Edit'!B357</f>
        <v>106</v>
      </c>
      <c r="C356" s="98" t="str">
        <f>'All Girls &amp; Descendants - Edit'!C357</f>
        <v>106aaa</v>
      </c>
      <c r="D356" s="2" t="str">
        <f>'All Girls &amp; Descendants - Edit'!D357</f>
        <v>HOLLAND</v>
      </c>
      <c r="E356" t="str">
        <f>'All Girls &amp; Descendants - Edit'!E357</f>
        <v>Frederick</v>
      </c>
      <c r="F356" t="str">
        <f>IF('All Girls &amp; Descendants - Edit'!F357="","",'All Girls &amp; Descendants - Edit'!F357)</f>
        <v>John</v>
      </c>
      <c r="G356" t="str">
        <f>IF('All Girls &amp; Descendants - Edit'!G357="","",'All Girls &amp; Descendants - Edit'!G357)</f>
        <v>Wilfred</v>
      </c>
      <c r="H356" t="str">
        <f>IF('All Girls &amp; Descendants - Edit'!H357="","",'All Girls &amp; Descendants - Edit'!H357)</f>
        <v/>
      </c>
      <c r="I356">
        <f>VLOOKUP($C356,'All Girls &amp; Descendants - Edit'!$C$2:$AK$440,'All Girls &amp; Descendants - Edit'!I$1,FALSE)</f>
        <v>2019</v>
      </c>
      <c r="J356" t="str">
        <f>VLOOKUP($C356,'All Girls &amp; Descendants - Edit'!$C$2:$AK$440,'All Girls &amp; Descendants - Edit'!J$1,FALSE)</f>
        <v/>
      </c>
      <c r="K356" s="9"/>
      <c r="L356" t="str">
        <f t="shared" si="39"/>
        <v>04/08/2019</v>
      </c>
      <c r="M356" s="3">
        <f>VLOOKUP($C356,'All Girls &amp; Descendants - Edit'!$C$2:$AK$440,'All Girls &amp; Descendants - Edit'!M$1,FALSE)</f>
        <v>43681</v>
      </c>
      <c r="N356" s="3" t="str">
        <f>IF(VLOOKUP($C356,'All Girls &amp; Descendants - Edit'!$C$2:$AK$440,'All Girls &amp; Descendants - Edit'!N$1,FALSE)=""," - ",(VLOOKUP($C356,'All Girls &amp; Descendants - Edit'!$C$2:$AK$440,'All Girls &amp; Descendants - Edit'!N$1,FALSE)))</f>
        <v xml:space="preserve"> - </v>
      </c>
      <c r="O356" s="3" t="str">
        <f>IF(VLOOKUP($C356,'All Girls &amp; Descendants - Edit'!$C$2:$AK$440,'All Girls &amp; Descendants - Edit'!O$1,FALSE)="","",(VLOOKUP($C356,'All Girls &amp; Descendants - Edit'!$C$2:$AK$440,'All Girls &amp; Descendants - Edit'!O$1,FALSE)))</f>
        <v/>
      </c>
      <c r="P356" s="3" t="str">
        <f t="shared" si="40"/>
        <v/>
      </c>
      <c r="Q356" s="178" t="str">
        <f t="shared" si="41"/>
        <v>106aa</v>
      </c>
      <c r="R356" s="23"/>
      <c r="S356" t="str">
        <f>VLOOKUP($C356,'All Girls &amp; Descendants - Edit'!$C$2:$AK$440,'All Girls &amp; Descendants - Edit'!S$1,FALSE)</f>
        <v>Male</v>
      </c>
      <c r="T356" s="176">
        <f t="shared" si="38"/>
        <v>8</v>
      </c>
      <c r="U356" s="176">
        <f t="shared" si="42"/>
        <v>6</v>
      </c>
      <c r="V356" s="176">
        <f t="shared" si="43"/>
        <v>5</v>
      </c>
      <c r="W356" s="177">
        <f t="shared" si="44"/>
        <v>3</v>
      </c>
      <c r="X356" s="3" t="str">
        <f>IF(VLOOKUP($C356,'All Girls &amp; Descendants - Edit'!$C$2:$AK$440,'All Girls &amp; Descendants - Edit'!X$1,FALSE)=""," - ",(VLOOKUP($C356,'All Girls &amp; Descendants - Edit'!$C$2:$AK$440,'All Girls &amp; Descendants - Edit'!X$1,FALSE)))</f>
        <v xml:space="preserve"> - </v>
      </c>
      <c r="Y356" s="3" t="str">
        <f>IF(VLOOKUP($C356,'All Girls &amp; Descendants - Edit'!$C$2:$AK$440,'All Girls &amp; Descendants - Edit'!Y$1,FALSE)=""," - ",(VLOOKUP($C356,'All Girls &amp; Descendants - Edit'!$C$2:$AK$440,'All Girls &amp; Descendants - Edit'!Y$1,FALSE)))</f>
        <v xml:space="preserve"> - </v>
      </c>
      <c r="Z356" s="3" t="str">
        <f>IF(VLOOKUP($C356,'All Girls &amp; Descendants - Edit'!$C$2:$AK$440,'All Girls &amp; Descendants - Edit'!Z$1,FALSE)=""," - ",(VLOOKUP($C356,'All Girls &amp; Descendants - Edit'!$C$2:$AK$440,'All Girls &amp; Descendants - Edit'!Z$1,FALSE)))</f>
        <v xml:space="preserve"> - </v>
      </c>
      <c r="AA356" s="101" t="str">
        <f>IF(VLOOKUP($C356,'All Girls &amp; Descendants - Edit'!$C$2:$AK$440,'All Girls &amp; Descendants - Edit'!AA$1,FALSE)=""," - ",(VLOOKUP($C356,'All Girls &amp; Descendants - Edit'!$C$2:$AK$440,'All Girls &amp; Descendants - Edit'!AA$1,FALSE)))</f>
        <v xml:space="preserve"> - </v>
      </c>
      <c r="AB356" s="101">
        <f>IF(VLOOKUP($C356,'All Girls &amp; Descendants - Edit'!$C$2:$AK$440,'All Girls &amp; Descendants - Edit'!AB$1,FALSE)=""," - ",(VLOOKUP($C356,'All Girls &amp; Descendants - Edit'!$C$2:$AK$440,'All Girls &amp; Descendants - Edit'!AB$1,FALSE)))</f>
        <v>65</v>
      </c>
      <c r="AC356" s="101">
        <f>IF(VLOOKUP($C356,'All Girls &amp; Descendants - Edit'!$C$2:$AK$440,'All Girls &amp; Descendants - Edit'!AC$1,FALSE)=""," - ",(VLOOKUP($C356,'All Girls &amp; Descendants - Edit'!$C$2:$AK$440,'All Girls &amp; Descendants - Edit'!AC$1,FALSE)))</f>
        <v>3065</v>
      </c>
      <c r="AD356" s="3" t="str">
        <f>IF(VLOOKUP($C356,'All Girls &amp; Descendants - Edit'!$C$2:$AK$440,'All Girls &amp; Descendants - Edit'!AD$1,FALSE)=""," - ",(VLOOKUP($C356,'All Girls &amp; Descendants - Edit'!$C$2:$AK$440,'All Girls &amp; Descendants - Edit'!AD$1,FALSE)))</f>
        <v>106aaa</v>
      </c>
      <c r="AE356" s="3" t="str">
        <f>IF(VLOOKUP($C356,'All Girls &amp; Descendants - Edit'!$C$2:$AK$440,'All Girls &amp; Descendants - Edit'!AE$1,FALSE)=""," - ",(VLOOKUP($C356,'All Girls &amp; Descendants - Edit'!$C$2:$AK$440,'All Girls &amp; Descendants - Edit'!AE$1,FALSE)))</f>
        <v>Frederick John Wilfred HOLLAND (2019 - )</v>
      </c>
      <c r="AF356" s="3" t="str">
        <f>IF(VLOOKUP($C356,'All Girls &amp; Descendants - Edit'!$C$2:$AK$440,'All Girls &amp; Descendants - Edit'!AF$1,FALSE)=""," - ",(VLOOKUP($C356,'All Girls &amp; Descendants - Edit'!$C$2:$AK$440,'All Girls &amp; Descendants - Edit'!AF$1,FALSE)))</f>
        <v>Frederick HOLLAND (8th &amp; 106)</v>
      </c>
      <c r="AG356" s="3" t="str">
        <f>IF(VLOOKUP($C356,'All Girls &amp; Descendants - Edit'!$C$2:$AK$440,'All Girls &amp; Descendants - Edit'!AG$1,FALSE)=""," - ",(VLOOKUP($C356,'All Girls &amp; Descendants - Edit'!$C$2:$AK$440,'All Girls &amp; Descendants - Edit'!AG$1,FALSE)))</f>
        <v>Male</v>
      </c>
      <c r="AH356" s="3" t="str">
        <f>IF(VLOOKUP($C356,'All Girls &amp; Descendants - Edit'!$C$2:$AK$440,'All Girls &amp; Descendants - Edit'!AH$1,FALSE)=""," - ",(VLOOKUP($C356,'All Girls &amp; Descendants - Edit'!$C$2:$AK$440,'All Girls &amp; Descendants - Edit'!AH$1,FALSE)))</f>
        <v>8th</v>
      </c>
      <c r="AI356" s="3" t="str">
        <f>IF(VLOOKUP($C356,'All Girls &amp; Descendants - Edit'!$C$2:$AK$440,'All Girls &amp; Descendants - Edit'!AI$1,FALSE)=""," - ",(VLOOKUP($C356,'All Girls &amp; Descendants - Edit'!$C$2:$AK$440,'All Girls &amp; Descendants - Edit'!AI$1,FALSE)))</f>
        <v>Unmarried</v>
      </c>
      <c r="AJ356" s="3" t="str">
        <f>IF(VLOOKUP($C356,'All Girls &amp; Descendants - Edit'!$C$2:$AK$440,'All Girls &amp; Descendants - Edit'!AJ$1,FALSE)=""," - ",(VLOOKUP($C356,'All Girls &amp; Descendants - Edit'!$C$2:$AK$440,'All Girls &amp; Descendants - Edit'!AJ$1,FALSE)))</f>
        <v>Male. b. 04/08/2019</v>
      </c>
      <c r="AK356" s="3" t="str">
        <f>IF(VLOOKUP($C356,'All Girls &amp; Descendants - Edit'!$C$2:$AK$440,'All Girls &amp; Descendants - Edit'!AK$1,FALSE)=""," - ",(VLOOKUP($C356,'All Girls &amp; Descendants - Edit'!$C$2:$AK$440,'All Girls &amp; Descendants - Edit'!AK$1,FALSE)))</f>
        <v>b. 04/08/2019</v>
      </c>
    </row>
    <row r="357" spans="1:37" ht="19">
      <c r="A357">
        <f>VLOOKUP(B357,'Loyd List 1-190 - Edit'!$P$1:$R$219,3,FALSE)</f>
        <v>77</v>
      </c>
      <c r="B357">
        <f>'All Girls &amp; Descendants - Edit'!B358</f>
        <v>106</v>
      </c>
      <c r="C357" s="98" t="str">
        <f>'All Girls &amp; Descendants - Edit'!C358</f>
        <v>106aab</v>
      </c>
      <c r="D357" s="2" t="str">
        <f>'All Girls &amp; Descendants - Edit'!D358</f>
        <v>HOLLAND</v>
      </c>
      <c r="E357" t="str">
        <f>'All Girls &amp; Descendants - Edit'!E358</f>
        <v>Zander</v>
      </c>
      <c r="F357" t="str">
        <f>IF('All Girls &amp; Descendants - Edit'!F358="","",'All Girls &amp; Descendants - Edit'!F358)</f>
        <v>Edward</v>
      </c>
      <c r="G357" t="str">
        <f>IF('All Girls &amp; Descendants - Edit'!G358="","",'All Girls &amp; Descendants - Edit'!G358)</f>
        <v>William</v>
      </c>
      <c r="H357" t="str">
        <f>IF('All Girls &amp; Descendants - Edit'!H358="","",'All Girls &amp; Descendants - Edit'!H358)</f>
        <v/>
      </c>
      <c r="I357">
        <f>VLOOKUP($C357,'All Girls &amp; Descendants - Edit'!$C$2:$AK$440,'All Girls &amp; Descendants - Edit'!I$1,FALSE)</f>
        <v>2022</v>
      </c>
      <c r="J357">
        <f>VLOOKUP($C357,'All Girls &amp; Descendants - Edit'!$C$2:$AK$440,'All Girls &amp; Descendants - Edit'!J$1,FALSE)</f>
        <v>2022</v>
      </c>
      <c r="K357" s="9"/>
      <c r="L357" t="str">
        <f>IF(M357="","",TEXT(M357,"dd/mm/yyyy"))</f>
        <v>15/05/2022</v>
      </c>
      <c r="M357" s="3">
        <f>VLOOKUP($C357,'All Girls &amp; Descendants - Edit'!$C$2:$AK$440,'All Girls &amp; Descendants - Edit'!M$1,FALSE)</f>
        <v>44696</v>
      </c>
      <c r="N357" s="3" t="str">
        <f>IF(VLOOKUP($C357,'All Girls &amp; Descendants - Edit'!$C$2:$AK$440,'All Girls &amp; Descendants - Edit'!N$1,FALSE)=""," - ",(VLOOKUP($C357,'All Girls &amp; Descendants - Edit'!$C$2:$AK$440,'All Girls &amp; Descendants - Edit'!N$1,FALSE)))</f>
        <v xml:space="preserve"> - </v>
      </c>
      <c r="O357" s="3">
        <f>IF(VLOOKUP($C357,'All Girls &amp; Descendants - Edit'!$C$2:$AK$440,'All Girls &amp; Descendants - Edit'!O$1,FALSE)="","",(VLOOKUP($C357,'All Girls &amp; Descendants - Edit'!$C$2:$AK$440,'All Girls &amp; Descendants - Edit'!O$1,FALSE)))</f>
        <v>44696</v>
      </c>
      <c r="P357" s="3" t="str">
        <f>IF(O357="","",TEXT(O357,"dd/mm/yyyy"))</f>
        <v>15/05/2022</v>
      </c>
      <c r="Q357" s="178" t="str">
        <f>MID(C357,1,LEN(C357)-1)</f>
        <v>106aa</v>
      </c>
      <c r="R357" s="23"/>
      <c r="S357" t="str">
        <f>VLOOKUP($C357,'All Girls &amp; Descendants - Edit'!$C$2:$AK$440,'All Girls &amp; Descendants - Edit'!S$1,FALSE)</f>
        <v>Male</v>
      </c>
      <c r="T357" s="176">
        <f t="shared" si="38"/>
        <v>8</v>
      </c>
      <c r="U357" s="176">
        <f>LEN(C357)</f>
        <v>6</v>
      </c>
      <c r="V357" s="176">
        <f>VLOOKUP(B357,Generation,2,FALSE)</f>
        <v>5</v>
      </c>
      <c r="W357" s="177">
        <f>IF(LEN(C357)-IF(B357&lt;10,1,IF(AND(B357&gt;9,B357&lt;100),2,3))=1,1,IF(LEN(C357)-IF(B357&lt;10,1,IF(AND(B357&gt;9,B357&lt;100),2,3))=0,"SELF",LEN(C357)-IF(B357&lt;10,1,IF(AND(B357&gt;9,B357&lt;100),2,3))))</f>
        <v>3</v>
      </c>
      <c r="X357" s="3" t="str">
        <f>IF(VLOOKUP($C357,'All Girls &amp; Descendants - Edit'!$C$2:$AK$440,'All Girls &amp; Descendants - Edit'!X$1,FALSE)=""," - ",(VLOOKUP($C357,'All Girls &amp; Descendants - Edit'!$C$2:$AK$440,'All Girls &amp; Descendants - Edit'!X$1,FALSE)))</f>
        <v xml:space="preserve"> - </v>
      </c>
      <c r="Y357" s="3" t="str">
        <f>IF(VLOOKUP($C357,'All Girls &amp; Descendants - Edit'!$C$2:$AK$440,'All Girls &amp; Descendants - Edit'!Y$1,FALSE)=""," - ",(VLOOKUP($C357,'All Girls &amp; Descendants - Edit'!$C$2:$AK$440,'All Girls &amp; Descendants - Edit'!Y$1,FALSE)))</f>
        <v xml:space="preserve"> - </v>
      </c>
      <c r="Z357" s="3" t="str">
        <f>IF(VLOOKUP($C357,'All Girls &amp; Descendants - Edit'!$C$2:$AK$440,'All Girls &amp; Descendants - Edit'!Z$1,FALSE)=""," - ",(VLOOKUP($C357,'All Girls &amp; Descendants - Edit'!$C$2:$AK$440,'All Girls &amp; Descendants - Edit'!Z$1,FALSE)))</f>
        <v xml:space="preserve"> - </v>
      </c>
      <c r="AA357" s="101" t="str">
        <f>IF(VLOOKUP($C357,'All Girls &amp; Descendants - Edit'!$C$2:$AK$440,'All Girls &amp; Descendants - Edit'!AA$1,FALSE)=""," - ",(VLOOKUP($C357,'All Girls &amp; Descendants - Edit'!$C$2:$AK$440,'All Girls &amp; Descendants - Edit'!AA$1,FALSE)))</f>
        <v xml:space="preserve"> - </v>
      </c>
      <c r="AB357" s="101">
        <f>IF(VLOOKUP($C357,'All Girls &amp; Descendants - Edit'!$C$2:$AK$440,'All Girls &amp; Descendants - Edit'!AB$1,FALSE)=""," - ",(VLOOKUP($C357,'All Girls &amp; Descendants - Edit'!$C$2:$AK$440,'All Girls &amp; Descendants - Edit'!AB$1,FALSE)))</f>
        <v>66</v>
      </c>
      <c r="AC357" s="101">
        <f>IF(VLOOKUP($C357,'All Girls &amp; Descendants - Edit'!$C$2:$AK$440,'All Girls &amp; Descendants - Edit'!AC$1,FALSE)=""," - ",(VLOOKUP($C357,'All Girls &amp; Descendants - Edit'!$C$2:$AK$440,'All Girls &amp; Descendants - Edit'!AC$1,FALSE)))</f>
        <v>3066</v>
      </c>
      <c r="AD357" s="3" t="str">
        <f>IF(VLOOKUP($C357,'All Girls &amp; Descendants - Edit'!$C$2:$AK$440,'All Girls &amp; Descendants - Edit'!AD$1,FALSE)=""," - ",(VLOOKUP($C357,'All Girls &amp; Descendants - Edit'!$C$2:$AK$440,'All Girls &amp; Descendants - Edit'!AD$1,FALSE)))</f>
        <v>106aab</v>
      </c>
      <c r="AE357" s="3" t="str">
        <f>IF(VLOOKUP($C357,'All Girls &amp; Descendants - Edit'!$C$2:$AK$440,'All Girls &amp; Descendants - Edit'!AE$1,FALSE)=""," - ",(VLOOKUP($C357,'All Girls &amp; Descendants - Edit'!$C$2:$AK$440,'All Girls &amp; Descendants - Edit'!AE$1,FALSE)))</f>
        <v>Zander Edward William HOLLAND (2022 - 2022)</v>
      </c>
      <c r="AF357" s="3" t="str">
        <f>IF(VLOOKUP($C357,'All Girls &amp; Descendants - Edit'!$C$2:$AK$440,'All Girls &amp; Descendants - Edit'!AF$1,FALSE)=""," - ",(VLOOKUP($C357,'All Girls &amp; Descendants - Edit'!$C$2:$AK$440,'All Girls &amp; Descendants - Edit'!AF$1,FALSE)))</f>
        <v>Zander HOLLAND (8th &amp; 106)</v>
      </c>
      <c r="AG357" s="3" t="str">
        <f>IF(VLOOKUP($C357,'All Girls &amp; Descendants - Edit'!$C$2:$AK$440,'All Girls &amp; Descendants - Edit'!AG$1,FALSE)=""," - ",(VLOOKUP($C357,'All Girls &amp; Descendants - Edit'!$C$2:$AK$440,'All Girls &amp; Descendants - Edit'!AG$1,FALSE)))</f>
        <v>Male</v>
      </c>
      <c r="AH357" s="3" t="str">
        <f>IF(VLOOKUP($C357,'All Girls &amp; Descendants - Edit'!$C$2:$AK$440,'All Girls &amp; Descendants - Edit'!AH$1,FALSE)=""," - ",(VLOOKUP($C357,'All Girls &amp; Descendants - Edit'!$C$2:$AK$440,'All Girls &amp; Descendants - Edit'!AH$1,FALSE)))</f>
        <v>8th</v>
      </c>
      <c r="AI357" s="3" t="str">
        <f>IF(VLOOKUP($C357,'All Girls &amp; Descendants - Edit'!$C$2:$AK$440,'All Girls &amp; Descendants - Edit'!AI$1,FALSE)=""," - ",(VLOOKUP($C357,'All Girls &amp; Descendants - Edit'!$C$2:$AK$440,'All Girls &amp; Descendants - Edit'!AI$1,FALSE)))</f>
        <v>Stillborn</v>
      </c>
      <c r="AJ357" s="3" t="str">
        <f>IF(VLOOKUP($C357,'All Girls &amp; Descendants - Edit'!$C$2:$AK$440,'All Girls &amp; Descendants - Edit'!AJ$1,FALSE)=""," - ",(VLOOKUP($C357,'All Girls &amp; Descendants - Edit'!$C$2:$AK$440,'All Girls &amp; Descendants - Edit'!AJ$1,FALSE)))</f>
        <v>Male. b. 15/05/2022, d. 15/05/2022.</v>
      </c>
      <c r="AK357" s="3" t="str">
        <f>IF(VLOOKUP($C357,'All Girls &amp; Descendants - Edit'!$C$2:$AK$440,'All Girls &amp; Descendants - Edit'!AK$1,FALSE)=""," - ",(VLOOKUP($C357,'All Girls &amp; Descendants - Edit'!$C$2:$AK$440,'All Girls &amp; Descendants - Edit'!AK$1,FALSE)))</f>
        <v>b. 15/05/2022, d. 15/05/2022.</v>
      </c>
    </row>
    <row r="358" spans="1:37" ht="19">
      <c r="A358">
        <f>VLOOKUP(B358,'Loyd List 1-190 - Edit'!$P$1:$R$219,3,FALSE)</f>
        <v>77</v>
      </c>
      <c r="B358">
        <f>'All Girls &amp; Descendants - Edit'!B359</f>
        <v>106</v>
      </c>
      <c r="C358" s="98" t="str">
        <f>'All Girls &amp; Descendants - Edit'!C359</f>
        <v>106aba</v>
      </c>
      <c r="D358" s="2" t="str">
        <f>'All Girls &amp; Descendants - Edit'!D359</f>
        <v>TELFORD</v>
      </c>
      <c r="E358" t="str">
        <f>'All Girls &amp; Descendants - Edit'!E359</f>
        <v>Rupert</v>
      </c>
      <c r="F358" t="str">
        <f>IF('All Girls &amp; Descendants - Edit'!F359="","",'All Girls &amp; Descendants - Edit'!F359)</f>
        <v>Leo</v>
      </c>
      <c r="G358" t="str">
        <f>IF('All Girls &amp; Descendants - Edit'!G359="","",'All Girls &amp; Descendants - Edit'!G359)</f>
        <v>James</v>
      </c>
      <c r="H358" t="str">
        <f>IF('All Girls &amp; Descendants - Edit'!H359="","",'All Girls &amp; Descendants - Edit'!H359)</f>
        <v/>
      </c>
      <c r="I358">
        <f>VLOOKUP($C358,'All Girls &amp; Descendants - Edit'!$C$2:$AK$440,'All Girls &amp; Descendants - Edit'!I$1,FALSE)</f>
        <v>2022</v>
      </c>
      <c r="J358">
        <f>VLOOKUP($C358,'All Girls &amp; Descendants - Edit'!$C$2:$AK$440,'All Girls &amp; Descendants - Edit'!J$1,FALSE)</f>
        <v>0</v>
      </c>
      <c r="K358" s="9"/>
      <c r="L358" t="str">
        <f>IF(M358="","",TEXT(M358,"dd/mm/yyyy"))</f>
        <v>16/05/2022</v>
      </c>
      <c r="M358" s="3">
        <f>VLOOKUP($C358,'All Girls &amp; Descendants - Edit'!$C$2:$AK$440,'All Girls &amp; Descendants - Edit'!M$1,FALSE)</f>
        <v>44697</v>
      </c>
      <c r="N358" s="3" t="str">
        <f>IF(VLOOKUP($C358,'All Girls &amp; Descendants - Edit'!$C$2:$AK$440,'All Girls &amp; Descendants - Edit'!N$1,FALSE)=""," - ",(VLOOKUP($C358,'All Girls &amp; Descendants - Edit'!$C$2:$AK$440,'All Girls &amp; Descendants - Edit'!N$1,FALSE)))</f>
        <v xml:space="preserve"> - </v>
      </c>
      <c r="O358" s="3" t="str">
        <f>IF(VLOOKUP($C358,'All Girls &amp; Descendants - Edit'!$C$2:$AK$440,'All Girls &amp; Descendants - Edit'!O$1,FALSE)="","",(VLOOKUP($C358,'All Girls &amp; Descendants - Edit'!$C$2:$AK$440,'All Girls &amp; Descendants - Edit'!O$1,FALSE)))</f>
        <v/>
      </c>
      <c r="P358" s="3" t="str">
        <f>IF(O358="","",TEXT(O358,"dd/mm/yyyy"))</f>
        <v/>
      </c>
      <c r="Q358" s="178" t="str">
        <f>MID(C358,1,LEN(C358)-1)</f>
        <v>106ab</v>
      </c>
      <c r="R358" s="23"/>
      <c r="S358" t="str">
        <f>VLOOKUP($C358,'All Girls &amp; Descendants - Edit'!$C$2:$AK$440,'All Girls &amp; Descendants - Edit'!S$1,FALSE)</f>
        <v>Male</v>
      </c>
      <c r="T358" s="176">
        <f t="shared" si="38"/>
        <v>8</v>
      </c>
      <c r="U358" s="176">
        <f>LEN(C358)</f>
        <v>6</v>
      </c>
      <c r="V358" s="176">
        <f>VLOOKUP(B358,Generation,2,FALSE)</f>
        <v>5</v>
      </c>
      <c r="W358" s="177">
        <f>IF(LEN(C358)-IF(B358&lt;10,1,IF(AND(B358&gt;9,B358&lt;100),2,3))=1,1,IF(LEN(C358)-IF(B358&lt;10,1,IF(AND(B358&gt;9,B358&lt;100),2,3))=0,"SELF",LEN(C358)-IF(B358&lt;10,1,IF(AND(B358&gt;9,B358&lt;100),2,3))))</f>
        <v>3</v>
      </c>
      <c r="X358" s="3" t="str">
        <f>IF(VLOOKUP($C358,'All Girls &amp; Descendants - Edit'!$C$2:$AK$440,'All Girls &amp; Descendants - Edit'!X$1,FALSE)=""," - ",(VLOOKUP($C358,'All Girls &amp; Descendants - Edit'!$C$2:$AK$440,'All Girls &amp; Descendants - Edit'!X$1,FALSE)))</f>
        <v xml:space="preserve"> - </v>
      </c>
      <c r="Y358" s="3" t="str">
        <f>IF(VLOOKUP($C358,'All Girls &amp; Descendants - Edit'!$C$2:$AK$440,'All Girls &amp; Descendants - Edit'!Y$1,FALSE)=""," - ",(VLOOKUP($C358,'All Girls &amp; Descendants - Edit'!$C$2:$AK$440,'All Girls &amp; Descendants - Edit'!Y$1,FALSE)))</f>
        <v xml:space="preserve"> - </v>
      </c>
      <c r="Z358" s="3" t="str">
        <f>IF(VLOOKUP($C358,'All Girls &amp; Descendants - Edit'!$C$2:$AK$440,'All Girls &amp; Descendants - Edit'!Z$1,FALSE)=""," - ",(VLOOKUP($C358,'All Girls &amp; Descendants - Edit'!$C$2:$AK$440,'All Girls &amp; Descendants - Edit'!Z$1,FALSE)))</f>
        <v xml:space="preserve"> - </v>
      </c>
      <c r="AA358" s="101" t="str">
        <f>IF(VLOOKUP($C358,'All Girls &amp; Descendants - Edit'!$C$2:$AK$440,'All Girls &amp; Descendants - Edit'!AA$1,FALSE)=""," - ",(VLOOKUP($C358,'All Girls &amp; Descendants - Edit'!$C$2:$AK$440,'All Girls &amp; Descendants - Edit'!AA$1,FALSE)))</f>
        <v xml:space="preserve"> - </v>
      </c>
      <c r="AB358" s="101">
        <f>IF(VLOOKUP($C358,'All Girls &amp; Descendants - Edit'!$C$2:$AK$440,'All Girls &amp; Descendants - Edit'!AB$1,FALSE)=""," - ",(VLOOKUP($C358,'All Girls &amp; Descendants - Edit'!$C$2:$AK$440,'All Girls &amp; Descendants - Edit'!AB$1,FALSE)))</f>
        <v>67</v>
      </c>
      <c r="AC358" s="101">
        <f>IF(VLOOKUP($C358,'All Girls &amp; Descendants - Edit'!$C$2:$AK$440,'All Girls &amp; Descendants - Edit'!AC$1,FALSE)=""," - ",(VLOOKUP($C358,'All Girls &amp; Descendants - Edit'!$C$2:$AK$440,'All Girls &amp; Descendants - Edit'!AC$1,FALSE)))</f>
        <v>3067</v>
      </c>
      <c r="AD358" s="3" t="str">
        <f>IF(VLOOKUP($C358,'All Girls &amp; Descendants - Edit'!$C$2:$AK$440,'All Girls &amp; Descendants - Edit'!AD$1,FALSE)=""," - ",(VLOOKUP($C358,'All Girls &amp; Descendants - Edit'!$C$2:$AK$440,'All Girls &amp; Descendants - Edit'!AD$1,FALSE)))</f>
        <v>106aba</v>
      </c>
      <c r="AE358" s="3" t="str">
        <f>IF(VLOOKUP($C358,'All Girls &amp; Descendants - Edit'!$C$2:$AK$440,'All Girls &amp; Descendants - Edit'!AE$1,FALSE)=""," - ",(VLOOKUP($C358,'All Girls &amp; Descendants - Edit'!$C$2:$AK$440,'All Girls &amp; Descendants - Edit'!AE$1,FALSE)))</f>
        <v>Rupert Leo James TELFORD (2022 - )</v>
      </c>
      <c r="AF358" s="3" t="str">
        <f>IF(VLOOKUP($C358,'All Girls &amp; Descendants - Edit'!$C$2:$AK$440,'All Girls &amp; Descendants - Edit'!AF$1,FALSE)=""," - ",(VLOOKUP($C358,'All Girls &amp; Descendants - Edit'!$C$2:$AK$440,'All Girls &amp; Descendants - Edit'!AF$1,FALSE)))</f>
        <v>Rupert TELFORD (8th &amp; 106)</v>
      </c>
      <c r="AG358" s="3" t="str">
        <f>IF(VLOOKUP($C358,'All Girls &amp; Descendants - Edit'!$C$2:$AK$440,'All Girls &amp; Descendants - Edit'!AG$1,FALSE)=""," - ",(VLOOKUP($C358,'All Girls &amp; Descendants - Edit'!$C$2:$AK$440,'All Girls &amp; Descendants - Edit'!AG$1,FALSE)))</f>
        <v>Male</v>
      </c>
      <c r="AH358" s="3" t="str">
        <f>IF(VLOOKUP($C358,'All Girls &amp; Descendants - Edit'!$C$2:$AK$440,'All Girls &amp; Descendants - Edit'!AH$1,FALSE)=""," - ",(VLOOKUP($C358,'All Girls &amp; Descendants - Edit'!$C$2:$AK$440,'All Girls &amp; Descendants - Edit'!AH$1,FALSE)))</f>
        <v>8th</v>
      </c>
      <c r="AI358" s="3" t="str">
        <f>IF(VLOOKUP($C358,'All Girls &amp; Descendants - Edit'!$C$2:$AK$440,'All Girls &amp; Descendants - Edit'!AI$1,FALSE)=""," - ",(VLOOKUP($C358,'All Girls &amp; Descendants - Edit'!$C$2:$AK$440,'All Girls &amp; Descendants - Edit'!AI$1,FALSE)))</f>
        <v>Unmarried</v>
      </c>
      <c r="AJ358" s="3" t="str">
        <f>IF(VLOOKUP($C358,'All Girls &amp; Descendants - Edit'!$C$2:$AK$440,'All Girls &amp; Descendants - Edit'!AJ$1,FALSE)=""," - ",(VLOOKUP($C358,'All Girls &amp; Descendants - Edit'!$C$2:$AK$440,'All Girls &amp; Descendants - Edit'!AJ$1,FALSE)))</f>
        <v>Male. b. 16/05/2022</v>
      </c>
      <c r="AK358" s="3" t="str">
        <f>IF(VLOOKUP($C358,'All Girls &amp; Descendants - Edit'!$C$2:$AK$440,'All Girls &amp; Descendants - Edit'!AK$1,FALSE)=""," - ",(VLOOKUP($C358,'All Girls &amp; Descendants - Edit'!$C$2:$AK$440,'All Girls &amp; Descendants - Edit'!AK$1,FALSE)))</f>
        <v>b. 16/05/2022</v>
      </c>
    </row>
    <row r="359" spans="1:37" ht="19">
      <c r="A359">
        <f>VLOOKUP(B359,'Loyd List 1-190 - Edit'!$P$1:$R$219,3,FALSE)</f>
        <v>80</v>
      </c>
      <c r="B359">
        <f>'All Girls &amp; Descendants - Edit'!B360</f>
        <v>110</v>
      </c>
      <c r="C359" s="98" t="str">
        <f>'All Girls &amp; Descendants - Edit'!C360</f>
        <v>110aaa</v>
      </c>
      <c r="D359" s="2" t="str">
        <f>'All Girls &amp; Descendants - Edit'!D360</f>
        <v>BOYCE</v>
      </c>
      <c r="E359" t="str">
        <f>'All Girls &amp; Descendants - Edit'!E360</f>
        <v>Rowan</v>
      </c>
      <c r="F359" t="str">
        <f>IF('All Girls &amp; Descendants - Edit'!F360="","",'All Girls &amp; Descendants - Edit'!F360)</f>
        <v>Emily</v>
      </c>
      <c r="G359" t="str">
        <f>IF('All Girls &amp; Descendants - Edit'!G360="","",'All Girls &amp; Descendants - Edit'!G360)</f>
        <v/>
      </c>
      <c r="H359" t="str">
        <f>IF('All Girls &amp; Descendants - Edit'!H360="","",'All Girls &amp; Descendants - Edit'!H360)</f>
        <v/>
      </c>
      <c r="I359">
        <f>VLOOKUP($C359,'All Girls &amp; Descendants - Edit'!$C$2:$AK$440,'All Girls &amp; Descendants - Edit'!I$1,FALSE)</f>
        <v>2021</v>
      </c>
      <c r="J359" t="str">
        <f>VLOOKUP($C359,'All Girls &amp; Descendants - Edit'!$C$2:$AK$440,'All Girls &amp; Descendants - Edit'!J$1,FALSE)</f>
        <v/>
      </c>
      <c r="K359" s="9"/>
      <c r="L359" t="str">
        <f t="shared" si="39"/>
        <v>20/03/2021</v>
      </c>
      <c r="M359" s="3">
        <f>VLOOKUP($C359,'All Girls &amp; Descendants - Edit'!$C$2:$AK$440,'All Girls &amp; Descendants - Edit'!M$1,FALSE)</f>
        <v>44275</v>
      </c>
      <c r="N359" s="3" t="str">
        <f>IF(VLOOKUP($C359,'All Girls &amp; Descendants - Edit'!$C$2:$AK$440,'All Girls &amp; Descendants - Edit'!N$1,FALSE)=""," - ",(VLOOKUP($C359,'All Girls &amp; Descendants - Edit'!$C$2:$AK$440,'All Girls &amp; Descendants - Edit'!N$1,FALSE)))</f>
        <v xml:space="preserve"> - </v>
      </c>
      <c r="O359" s="3" t="str">
        <f>IF(VLOOKUP($C359,'All Girls &amp; Descendants - Edit'!$C$2:$AK$440,'All Girls &amp; Descendants - Edit'!O$1,FALSE)="","",(VLOOKUP($C359,'All Girls &amp; Descendants - Edit'!$C$2:$AK$440,'All Girls &amp; Descendants - Edit'!O$1,FALSE)))</f>
        <v/>
      </c>
      <c r="P359" s="3" t="str">
        <f t="shared" si="40"/>
        <v/>
      </c>
      <c r="Q359" s="178" t="str">
        <f t="shared" si="41"/>
        <v>110aa</v>
      </c>
      <c r="R359" s="23"/>
      <c r="S359" t="str">
        <f>VLOOKUP($C359,'All Girls &amp; Descendants - Edit'!$C$2:$AK$440,'All Girls &amp; Descendants - Edit'!S$1,FALSE)</f>
        <v>Female</v>
      </c>
      <c r="T359" s="176">
        <f t="shared" si="38"/>
        <v>8</v>
      </c>
      <c r="U359" s="176">
        <f t="shared" si="42"/>
        <v>6</v>
      </c>
      <c r="V359" s="176">
        <f t="shared" si="43"/>
        <v>5</v>
      </c>
      <c r="W359" s="177">
        <f t="shared" si="44"/>
        <v>3</v>
      </c>
      <c r="X359" s="3" t="str">
        <f>IF(VLOOKUP($C359,'All Girls &amp; Descendants - Edit'!$C$2:$AK$440,'All Girls &amp; Descendants - Edit'!X$1,FALSE)=""," - ",(VLOOKUP($C359,'All Girls &amp; Descendants - Edit'!$C$2:$AK$440,'All Girls &amp; Descendants - Edit'!X$1,FALSE)))</f>
        <v xml:space="preserve"> - </v>
      </c>
      <c r="Y359" s="3" t="str">
        <f>IF(VLOOKUP($C359,'All Girls &amp; Descendants - Edit'!$C$2:$AK$440,'All Girls &amp; Descendants - Edit'!Y$1,FALSE)=""," - ",(VLOOKUP($C359,'All Girls &amp; Descendants - Edit'!$C$2:$AK$440,'All Girls &amp; Descendants - Edit'!Y$1,FALSE)))</f>
        <v xml:space="preserve"> - </v>
      </c>
      <c r="Z359" s="3" t="str">
        <f>IF(VLOOKUP($C359,'All Girls &amp; Descendants - Edit'!$C$2:$AK$440,'All Girls &amp; Descendants - Edit'!Z$1,FALSE)=""," - ",(VLOOKUP($C359,'All Girls &amp; Descendants - Edit'!$C$2:$AK$440,'All Girls &amp; Descendants - Edit'!Z$1,FALSE)))</f>
        <v xml:space="preserve"> - </v>
      </c>
      <c r="AA359" s="101" t="str">
        <f>IF(VLOOKUP($C359,'All Girls &amp; Descendants - Edit'!$C$2:$AK$440,'All Girls &amp; Descendants - Edit'!AA$1,FALSE)=""," - ",(VLOOKUP($C359,'All Girls &amp; Descendants - Edit'!$C$2:$AK$440,'All Girls &amp; Descendants - Edit'!AA$1,FALSE)))</f>
        <v xml:space="preserve"> - </v>
      </c>
      <c r="AB359" s="101">
        <f>IF(VLOOKUP($C359,'All Girls &amp; Descendants - Edit'!$C$2:$AK$440,'All Girls &amp; Descendants - Edit'!AB$1,FALSE)=""," - ",(VLOOKUP($C359,'All Girls &amp; Descendants - Edit'!$C$2:$AK$440,'All Girls &amp; Descendants - Edit'!AB$1,FALSE)))</f>
        <v>68</v>
      </c>
      <c r="AC359" s="101">
        <f>IF(VLOOKUP($C359,'All Girls &amp; Descendants - Edit'!$C$2:$AK$440,'All Girls &amp; Descendants - Edit'!AC$1,FALSE)=""," - ",(VLOOKUP($C359,'All Girls &amp; Descendants - Edit'!$C$2:$AK$440,'All Girls &amp; Descendants - Edit'!AC$1,FALSE)))</f>
        <v>3068</v>
      </c>
      <c r="AD359" s="3" t="str">
        <f>IF(VLOOKUP($C359,'All Girls &amp; Descendants - Edit'!$C$2:$AK$440,'All Girls &amp; Descendants - Edit'!AD$1,FALSE)=""," - ",(VLOOKUP($C359,'All Girls &amp; Descendants - Edit'!$C$2:$AK$440,'All Girls &amp; Descendants - Edit'!AD$1,FALSE)))</f>
        <v>110aaa</v>
      </c>
      <c r="AE359" s="3" t="str">
        <f>IF(VLOOKUP($C359,'All Girls &amp; Descendants - Edit'!$C$2:$AK$440,'All Girls &amp; Descendants - Edit'!AE$1,FALSE)=""," - ",(VLOOKUP($C359,'All Girls &amp; Descendants - Edit'!$C$2:$AK$440,'All Girls &amp; Descendants - Edit'!AE$1,FALSE)))</f>
        <v>Rowan Emily  BOYCE (2021 - )</v>
      </c>
      <c r="AF359" s="3" t="str">
        <f>IF(VLOOKUP($C359,'All Girls &amp; Descendants - Edit'!$C$2:$AK$440,'All Girls &amp; Descendants - Edit'!AF$1,FALSE)=""," - ",(VLOOKUP($C359,'All Girls &amp; Descendants - Edit'!$C$2:$AK$440,'All Girls &amp; Descendants - Edit'!AF$1,FALSE)))</f>
        <v>Rowan BOYCE (8th &amp; 110)</v>
      </c>
      <c r="AG359" s="3" t="str">
        <f>IF(VLOOKUP($C359,'All Girls &amp; Descendants - Edit'!$C$2:$AK$440,'All Girls &amp; Descendants - Edit'!AG$1,FALSE)=""," - ",(VLOOKUP($C359,'All Girls &amp; Descendants - Edit'!$C$2:$AK$440,'All Girls &amp; Descendants - Edit'!AG$1,FALSE)))</f>
        <v>Female</v>
      </c>
      <c r="AH359" s="3" t="str">
        <f>IF(VLOOKUP($C359,'All Girls &amp; Descendants - Edit'!$C$2:$AK$440,'All Girls &amp; Descendants - Edit'!AH$1,FALSE)=""," - ",(VLOOKUP($C359,'All Girls &amp; Descendants - Edit'!$C$2:$AK$440,'All Girls &amp; Descendants - Edit'!AH$1,FALSE)))</f>
        <v>8th</v>
      </c>
      <c r="AI359" s="3" t="str">
        <f>IF(VLOOKUP($C359,'All Girls &amp; Descendants - Edit'!$C$2:$AK$440,'All Girls &amp; Descendants - Edit'!AI$1,FALSE)=""," - ",(VLOOKUP($C359,'All Girls &amp; Descendants - Edit'!$C$2:$AK$440,'All Girls &amp; Descendants - Edit'!AI$1,FALSE)))</f>
        <v>Unmarried</v>
      </c>
      <c r="AJ359" s="3" t="str">
        <f>IF(VLOOKUP($C359,'All Girls &amp; Descendants - Edit'!$C$2:$AK$440,'All Girls &amp; Descendants - Edit'!AJ$1,FALSE)=""," - ",(VLOOKUP($C359,'All Girls &amp; Descendants - Edit'!$C$2:$AK$440,'All Girls &amp; Descendants - Edit'!AJ$1,FALSE)))</f>
        <v>Female. b. 20/03/2021</v>
      </c>
      <c r="AK359" s="3" t="str">
        <f>IF(VLOOKUP($C359,'All Girls &amp; Descendants - Edit'!$C$2:$AK$440,'All Girls &amp; Descendants - Edit'!AK$1,FALSE)=""," - ",(VLOOKUP($C359,'All Girls &amp; Descendants - Edit'!$C$2:$AK$440,'All Girls &amp; Descendants - Edit'!AK$1,FALSE)))</f>
        <v>b. 20/03/2021</v>
      </c>
    </row>
    <row r="360" spans="1:37" ht="19">
      <c r="A360">
        <f>VLOOKUP(B360,'Loyd List 1-190 - Edit'!$P$1:$R$219,3,FALSE)</f>
        <v>1</v>
      </c>
      <c r="B360">
        <f>'All Girls &amp; Descendants - Edit'!B361</f>
        <v>2</v>
      </c>
      <c r="C360" s="98" t="str">
        <f>'All Girls &amp; Descendants - Edit'!C361</f>
        <v>2aaaa</v>
      </c>
      <c r="D360" s="2" t="str">
        <f>'All Girls &amp; Descendants - Edit'!D361</f>
        <v>DAVIES</v>
      </c>
      <c r="E360" t="str">
        <f>'All Girls &amp; Descendants - Edit'!E361</f>
        <v>Margaret</v>
      </c>
      <c r="F360" t="str">
        <f>IF('All Girls &amp; Descendants - Edit'!F361="","",'All Girls &amp; Descendants - Edit'!F361)</f>
        <v>Elizabeth</v>
      </c>
      <c r="G360" t="str">
        <f>IF('All Girls &amp; Descendants - Edit'!G361="","",'All Girls &amp; Descendants - Edit'!G361)</f>
        <v/>
      </c>
      <c r="H360" t="str">
        <f>IF('All Girls &amp; Descendants - Edit'!H361="","",'All Girls &amp; Descendants - Edit'!H361)</f>
        <v/>
      </c>
      <c r="I360">
        <f>VLOOKUP($C360,'All Girls &amp; Descendants - Edit'!$C$2:$AK$440,'All Girls &amp; Descendants - Edit'!I$1,FALSE)</f>
        <v>1897</v>
      </c>
      <c r="J360">
        <f>VLOOKUP($C360,'All Girls &amp; Descendants - Edit'!$C$2:$AK$440,'All Girls &amp; Descendants - Edit'!J$1,FALSE)</f>
        <v>1982</v>
      </c>
      <c r="K360" s="9"/>
      <c r="L360" t="str">
        <f t="shared" si="39"/>
        <v>05/09/1897</v>
      </c>
      <c r="M360" s="3" t="str">
        <f>VLOOKUP($C360,'All Girls &amp; Descendants - Edit'!$C$2:$AK$440,'All Girls &amp; Descendants - Edit'!M$1,FALSE)</f>
        <v>05/09/1897</v>
      </c>
      <c r="N360" s="3" t="str">
        <f>IF(VLOOKUP($C360,'All Girls &amp; Descendants - Edit'!$C$2:$AK$440,'All Girls &amp; Descendants - Edit'!N$1,FALSE)=""," - ",(VLOOKUP($C360,'All Girls &amp; Descendants - Edit'!$C$2:$AK$440,'All Girls &amp; Descendants - Edit'!N$1,FALSE)))</f>
        <v xml:space="preserve"> - </v>
      </c>
      <c r="O360" s="3">
        <f>IF(VLOOKUP($C360,'All Girls &amp; Descendants - Edit'!$C$2:$AK$440,'All Girls &amp; Descendants - Edit'!O$1,FALSE)="","",(VLOOKUP($C360,'All Girls &amp; Descendants - Edit'!$C$2:$AK$440,'All Girls &amp; Descendants - Edit'!O$1,FALSE)))</f>
        <v>30297</v>
      </c>
      <c r="P360" s="3" t="str">
        <f t="shared" si="40"/>
        <v>12/12/1982</v>
      </c>
      <c r="Q360" s="178" t="str">
        <f t="shared" si="41"/>
        <v>2aaa</v>
      </c>
      <c r="R360" s="23"/>
      <c r="S360" t="str">
        <f>VLOOKUP($C360,'All Girls &amp; Descendants - Edit'!$C$2:$AK$440,'All Girls &amp; Descendants - Edit'!S$1,FALSE)</f>
        <v>Female</v>
      </c>
      <c r="T360" s="176">
        <f t="shared" si="38"/>
        <v>5</v>
      </c>
      <c r="U360" s="176">
        <f t="shared" si="42"/>
        <v>5</v>
      </c>
      <c r="V360" s="176">
        <f t="shared" si="43"/>
        <v>1</v>
      </c>
      <c r="W360" s="177">
        <f t="shared" si="44"/>
        <v>4</v>
      </c>
      <c r="X360" s="3" t="str">
        <f>IF(VLOOKUP($C360,'All Girls &amp; Descendants - Edit'!$C$2:$AK$440,'All Girls &amp; Descendants - Edit'!X$1,FALSE)=""," - ",(VLOOKUP($C360,'All Girls &amp; Descendants - Edit'!$C$2:$AK$440,'All Girls &amp; Descendants - Edit'!X$1,FALSE)))</f>
        <v xml:space="preserve"> - </v>
      </c>
      <c r="Y360" s="3" t="str">
        <f>IF(VLOOKUP($C360,'All Girls &amp; Descendants - Edit'!$C$2:$AK$440,'All Girls &amp; Descendants - Edit'!Y$1,FALSE)=""," - ",(VLOOKUP($C360,'All Girls &amp; Descendants - Edit'!$C$2:$AK$440,'All Girls &amp; Descendants - Edit'!Y$1,FALSE)))</f>
        <v xml:space="preserve"> - </v>
      </c>
      <c r="Z360" s="3" t="str">
        <f>IF(VLOOKUP($C360,'All Girls &amp; Descendants - Edit'!$C$2:$AK$440,'All Girls &amp; Descendants - Edit'!Z$1,FALSE)=""," - ",(VLOOKUP($C360,'All Girls &amp; Descendants - Edit'!$C$2:$AK$440,'All Girls &amp; Descendants - Edit'!Z$1,FALSE)))</f>
        <v>Margaret of Bryngwenlais Cottage, Cilycwm. Died 1982  at Llandovery Hospital buried in Cilycwm cemetery in her parents’ grave. Tombstone in Welsh.</v>
      </c>
      <c r="AA360" s="101">
        <f>IF(VLOOKUP($C360,'All Girls &amp; Descendants - Edit'!$C$2:$AK$440,'All Girls &amp; Descendants - Edit'!AA$1,FALSE)=""," - ",(VLOOKUP($C360,'All Girls &amp; Descendants - Edit'!$C$2:$AK$440,'All Girls &amp; Descendants - Edit'!AA$1,FALSE)))</f>
        <v>4</v>
      </c>
      <c r="AB360" s="101">
        <f>IF(VLOOKUP($C360,'All Girls &amp; Descendants - Edit'!$C$2:$AK$440,'All Girls &amp; Descendants - Edit'!AB$1,FALSE)=""," - ",(VLOOKUP($C360,'All Girls &amp; Descendants - Edit'!$C$2:$AK$440,'All Girls &amp; Descendants - Edit'!AB$1,FALSE)))</f>
        <v>1</v>
      </c>
      <c r="AC360" s="101">
        <f>IF(VLOOKUP($C360,'All Girls &amp; Descendants - Edit'!$C$2:$AK$440,'All Girls &amp; Descendants - Edit'!AC$1,FALSE)=""," - ",(VLOOKUP($C360,'All Girls &amp; Descendants - Edit'!$C$2:$AK$440,'All Girls &amp; Descendants - Edit'!AC$1,FALSE)))</f>
        <v>4001</v>
      </c>
      <c r="AD360" s="3" t="str">
        <f>IF(VLOOKUP($C360,'All Girls &amp; Descendants - Edit'!$C$2:$AK$440,'All Girls &amp; Descendants - Edit'!AD$1,FALSE)=""," - ",(VLOOKUP($C360,'All Girls &amp; Descendants - Edit'!$C$2:$AK$440,'All Girls &amp; Descendants - Edit'!AD$1,FALSE)))</f>
        <v>2aaaa</v>
      </c>
      <c r="AE360" s="3" t="str">
        <f>IF(VLOOKUP($C360,'All Girls &amp; Descendants - Edit'!$C$2:$AK$440,'All Girls &amp; Descendants - Edit'!AE$1,FALSE)=""," - ",(VLOOKUP($C360,'All Girls &amp; Descendants - Edit'!$C$2:$AK$440,'All Girls &amp; Descendants - Edit'!AE$1,FALSE)))</f>
        <v>Margaret Elizabeth  DAVIES (1897 - 1982)</v>
      </c>
      <c r="AF360" s="3" t="str">
        <f>IF(VLOOKUP($C360,'All Girls &amp; Descendants - Edit'!$C$2:$AK$440,'All Girls &amp; Descendants - Edit'!AF$1,FALSE)=""," - ",(VLOOKUP($C360,'All Girls &amp; Descendants - Edit'!$C$2:$AK$440,'All Girls &amp; Descendants - Edit'!AF$1,FALSE)))</f>
        <v>Margaret DAVIES (5th &amp; 2)</v>
      </c>
      <c r="AG360" s="3" t="str">
        <f>IF(VLOOKUP($C360,'All Girls &amp; Descendants - Edit'!$C$2:$AK$440,'All Girls &amp; Descendants - Edit'!AG$1,FALSE)=""," - ",(VLOOKUP($C360,'All Girls &amp; Descendants - Edit'!$C$2:$AK$440,'All Girls &amp; Descendants - Edit'!AG$1,FALSE)))</f>
        <v>Female</v>
      </c>
      <c r="AH360" s="3" t="str">
        <f>IF(VLOOKUP($C360,'All Girls &amp; Descendants - Edit'!$C$2:$AK$440,'All Girls &amp; Descendants - Edit'!AH$1,FALSE)=""," - ",(VLOOKUP($C360,'All Girls &amp; Descendants - Edit'!$C$2:$AK$440,'All Girls &amp; Descendants - Edit'!AH$1,FALSE)))</f>
        <v>5th</v>
      </c>
      <c r="AI360" s="3" t="str">
        <f>IF(VLOOKUP($C360,'All Girls &amp; Descendants - Edit'!$C$2:$AK$440,'All Girls &amp; Descendants - Edit'!AI$1,FALSE)=""," - ",(VLOOKUP($C360,'All Girls &amp; Descendants - Edit'!$C$2:$AK$440,'All Girls &amp; Descendants - Edit'!AI$1,FALSE)))</f>
        <v>Unmarried</v>
      </c>
      <c r="AJ360" s="3" t="str">
        <f>IF(VLOOKUP($C360,'All Girls &amp; Descendants - Edit'!$C$2:$AK$440,'All Girls &amp; Descendants - Edit'!AJ$1,FALSE)=""," - ",(VLOOKUP($C360,'All Girls &amp; Descendants - Edit'!$C$2:$AK$440,'All Girls &amp; Descendants - Edit'!AJ$1,FALSE)))</f>
        <v>Female. b. 05/09/1897, d. 12/12/1982. Margaret of Bryngwenlais Cottage, Cilycwm. Died 1982  at Llandovery Hospital buried in Cilycwm cemetery in her parents’ grave. Tombstone in Welsh.</v>
      </c>
      <c r="AK360" s="3" t="str">
        <f>IF(VLOOKUP($C360,'All Girls &amp; Descendants - Edit'!$C$2:$AK$440,'All Girls &amp; Descendants - Edit'!AK$1,FALSE)=""," - ",(VLOOKUP($C360,'All Girls &amp; Descendants - Edit'!$C$2:$AK$440,'All Girls &amp; Descendants - Edit'!AK$1,FALSE)))</f>
        <v>b. 05/09/1897, d. 12/12/1982.</v>
      </c>
    </row>
    <row r="361" spans="1:37" ht="19">
      <c r="A361">
        <f>VLOOKUP(B361,'Loyd List 1-190 - Edit'!$P$1:$R$219,3,FALSE)</f>
        <v>1</v>
      </c>
      <c r="B361">
        <f>'All Girls &amp; Descendants - Edit'!B362</f>
        <v>2</v>
      </c>
      <c r="C361" s="98" t="str">
        <f>'All Girls &amp; Descendants - Edit'!C362</f>
        <v>2caba</v>
      </c>
      <c r="D361" s="2" t="str">
        <f>'All Girls &amp; Descendants - Edit'!D362</f>
        <v>PROTHEROE</v>
      </c>
      <c r="E361" t="str">
        <f>'All Girls &amp; Descendants - Edit'!E362</f>
        <v>Canon William</v>
      </c>
      <c r="F361" t="str">
        <f>IF('All Girls &amp; Descendants - Edit'!F362="","",'All Girls &amp; Descendants - Edit'!F362)</f>
        <v>Loyd</v>
      </c>
      <c r="G361" t="str">
        <f>IF('All Girls &amp; Descendants - Edit'!G362="","",'All Girls &amp; Descendants - Edit'!G362)</f>
        <v>Musgrave</v>
      </c>
      <c r="H361" t="str">
        <f>IF('All Girls &amp; Descendants - Edit'!H362="","",'All Girls &amp; Descendants - Edit'!H362)</f>
        <v/>
      </c>
      <c r="I361">
        <f>VLOOKUP($C361,'All Girls &amp; Descendants - Edit'!$C$2:$AK$440,'All Girls &amp; Descendants - Edit'!I$1,FALSE)</f>
        <v>1885</v>
      </c>
      <c r="J361">
        <f>VLOOKUP($C361,'All Girls &amp; Descendants - Edit'!$C$2:$AK$440,'All Girls &amp; Descendants - Edit'!J$1,FALSE)</f>
        <v>1962</v>
      </c>
      <c r="K361" s="9"/>
      <c r="L361" t="str">
        <f t="shared" si="39"/>
        <v>27/02/1905</v>
      </c>
      <c r="M361" s="3" t="str">
        <f>VLOOKUP($C361,'All Girls &amp; Descendants - Edit'!$C$2:$AK$440,'All Girls &amp; Descendants - Edit'!M$1,FALSE)</f>
        <v>1885</v>
      </c>
      <c r="N361" s="3">
        <f>IF(VLOOKUP($C361,'All Girls &amp; Descendants - Edit'!$C$2:$AK$440,'All Girls &amp; Descendants - Edit'!N$1,FALSE)=""," - ",(VLOOKUP($C361,'All Girls &amp; Descendants - Edit'!$C$2:$AK$440,'All Girls &amp; Descendants - Edit'!N$1,FALSE)))</f>
        <v>7507</v>
      </c>
      <c r="O361" s="3">
        <f>IF(VLOOKUP($C361,'All Girls &amp; Descendants - Edit'!$C$2:$AK$440,'All Girls &amp; Descendants - Edit'!O$1,FALSE)="","",(VLOOKUP($C361,'All Girls &amp; Descendants - Edit'!$C$2:$AK$440,'All Girls &amp; Descendants - Edit'!O$1,FALSE)))</f>
        <v>22919</v>
      </c>
      <c r="P361" s="3" t="str">
        <f t="shared" si="40"/>
        <v>30/09/1962</v>
      </c>
      <c r="Q361" s="178" t="str">
        <f t="shared" si="41"/>
        <v>2cab</v>
      </c>
      <c r="R361" s="23"/>
      <c r="S361" t="str">
        <f>VLOOKUP($C361,'All Girls &amp; Descendants - Edit'!$C$2:$AK$440,'All Girls &amp; Descendants - Edit'!S$1,FALSE)</f>
        <v>Male</v>
      </c>
      <c r="T361" s="176">
        <f t="shared" si="38"/>
        <v>5</v>
      </c>
      <c r="U361" s="176">
        <f t="shared" si="42"/>
        <v>5</v>
      </c>
      <c r="V361" s="176">
        <f t="shared" si="43"/>
        <v>1</v>
      </c>
      <c r="W361" s="177">
        <f t="shared" si="44"/>
        <v>4</v>
      </c>
      <c r="X361" s="3" t="str">
        <f>IF(VLOOKUP($C361,'All Girls &amp; Descendants - Edit'!$C$2:$AK$440,'All Girls &amp; Descendants - Edit'!X$1,FALSE)=""," - ",(VLOOKUP($C361,'All Girls &amp; Descendants - Edit'!$C$2:$AK$440,'All Girls &amp; Descendants - Edit'!X$1,FALSE)))</f>
        <v>Ida Wozencroft MORGAN (b. 1894, d. 1976)</v>
      </c>
      <c r="Y361" s="3" t="str">
        <f>IF(VLOOKUP($C361,'All Girls &amp; Descendants - Edit'!$C$2:$AK$440,'All Girls &amp; Descendants - Edit'!Y$1,FALSE)=""," - ",(VLOOKUP($C361,'All Girls &amp; Descendants - Edit'!$C$2:$AK$440,'All Girls &amp; Descendants - Edit'!Y$1,FALSE)))</f>
        <v>m. 20 Jul 1920 at The Parish Church, Colwyn Bay, Ida Wozencroft , daughter of William Hugh Wozencroft MORGAN of The Woodlands, Colwyn Bay.</v>
      </c>
      <c r="Z361" s="3" t="str">
        <f>IF(VLOOKUP($C361,'All Girls &amp; Descendants - Edit'!$C$2:$AK$440,'All Girls &amp; Descendants - Edit'!Z$1,FALSE)=""," - ",(VLOOKUP($C361,'All Girls &amp; Descendants - Edit'!$C$2:$AK$440,'All Girls &amp; Descendants - Edit'!Z$1,FALSE)))</f>
        <v>Educated Keble College, Oxford (BA 1907, MA 1911). Bishop’s Hostel, Liverpool 1907. Deacon 1908. Priest 1909. Curate of Garston, Lancashire 1908-11. Curate of St Anne’s, Aigburth 1911-12. Temporary Chaplain to the Forces 1916-19. MC and Croix de Guerre with star 1919. Vicar of St John’s, Bootle 1920-25. All Saints’, Newton-le-Willows 1925-28. St Peter’s, Warrington 1928-35. Rector of Halewood 1936-38. Vicar of Daresbury, Cheshire 1938-56. Rural Dean of Great Budworth 1947-55. Canon of Chester 1953-55. (Left £500 in the will of his godmother Mary Louisa LOYD (1848-1930). Died at Uplyme.</v>
      </c>
      <c r="AA361" s="101">
        <f>IF(VLOOKUP($C361,'All Girls &amp; Descendants - Edit'!$C$2:$AK$440,'All Girls &amp; Descendants - Edit'!AA$1,FALSE)=""," - ",(VLOOKUP($C361,'All Girls &amp; Descendants - Edit'!$C$2:$AK$440,'All Girls &amp; Descendants - Edit'!AA$1,FALSE)))</f>
        <v>10</v>
      </c>
      <c r="AB361" s="101">
        <f>IF(VLOOKUP($C361,'All Girls &amp; Descendants - Edit'!$C$2:$AK$440,'All Girls &amp; Descendants - Edit'!AB$1,FALSE)=""," - ",(VLOOKUP($C361,'All Girls &amp; Descendants - Edit'!$C$2:$AK$440,'All Girls &amp; Descendants - Edit'!AB$1,FALSE)))</f>
        <v>2</v>
      </c>
      <c r="AC361" s="101">
        <f>IF(VLOOKUP($C361,'All Girls &amp; Descendants - Edit'!$C$2:$AK$440,'All Girls &amp; Descendants - Edit'!AC$1,FALSE)=""," - ",(VLOOKUP($C361,'All Girls &amp; Descendants - Edit'!$C$2:$AK$440,'All Girls &amp; Descendants - Edit'!AC$1,FALSE)))</f>
        <v>4002</v>
      </c>
      <c r="AD361" s="3" t="str">
        <f>IF(VLOOKUP($C361,'All Girls &amp; Descendants - Edit'!$C$2:$AK$440,'All Girls &amp; Descendants - Edit'!AD$1,FALSE)=""," - ",(VLOOKUP($C361,'All Girls &amp; Descendants - Edit'!$C$2:$AK$440,'All Girls &amp; Descendants - Edit'!AD$1,FALSE)))</f>
        <v>2caba</v>
      </c>
      <c r="AE361" s="3" t="str">
        <f>IF(VLOOKUP($C361,'All Girls &amp; Descendants - Edit'!$C$2:$AK$440,'All Girls &amp; Descendants - Edit'!AE$1,FALSE)=""," - ",(VLOOKUP($C361,'All Girls &amp; Descendants - Edit'!$C$2:$AK$440,'All Girls &amp; Descendants - Edit'!AE$1,FALSE)))</f>
        <v>Canon William Loyd Musgrave PROTHEROE (1885 - 1962)</v>
      </c>
      <c r="AF361" s="3" t="str">
        <f>IF(VLOOKUP($C361,'All Girls &amp; Descendants - Edit'!$C$2:$AK$440,'All Girls &amp; Descendants - Edit'!AF$1,FALSE)=""," - ",(VLOOKUP($C361,'All Girls &amp; Descendants - Edit'!$C$2:$AK$440,'All Girls &amp; Descendants - Edit'!AF$1,FALSE)))</f>
        <v>Canon William PROTHEROE (5th &amp; 2)</v>
      </c>
      <c r="AG361" s="3" t="str">
        <f>IF(VLOOKUP($C361,'All Girls &amp; Descendants - Edit'!$C$2:$AK$440,'All Girls &amp; Descendants - Edit'!AG$1,FALSE)=""," - ",(VLOOKUP($C361,'All Girls &amp; Descendants - Edit'!$C$2:$AK$440,'All Girls &amp; Descendants - Edit'!AG$1,FALSE)))</f>
        <v>Male</v>
      </c>
      <c r="AH361" s="3" t="str">
        <f>IF(VLOOKUP($C361,'All Girls &amp; Descendants - Edit'!$C$2:$AK$440,'All Girls &amp; Descendants - Edit'!AH$1,FALSE)=""," - ",(VLOOKUP($C361,'All Girls &amp; Descendants - Edit'!$C$2:$AK$440,'All Girls &amp; Descendants - Edit'!AH$1,FALSE)))</f>
        <v>5th</v>
      </c>
      <c r="AI361" s="3" t="str">
        <f>IF(VLOOKUP($C361,'All Girls &amp; Descendants - Edit'!$C$2:$AK$440,'All Girls &amp; Descendants - Edit'!AI$1,FALSE)=""," - ",(VLOOKUP($C361,'All Girls &amp; Descendants - Edit'!$C$2:$AK$440,'All Girls &amp; Descendants - Edit'!AI$1,FALSE)))</f>
        <v>Wife: Ida Wozencroft MORGAN (b. 1894, d. 1976). m. 20 Jul 1920 at The Parish Church, Colwyn Bay, Ida Wozencroft , daughter of William Hugh Wozencroft MORGAN of The Woodlands, Colwyn Bay.</v>
      </c>
      <c r="AJ361" s="3" t="str">
        <f>IF(VLOOKUP($C361,'All Girls &amp; Descendants - Edit'!$C$2:$AK$440,'All Girls &amp; Descendants - Edit'!AJ$1,FALSE)=""," - ",(VLOOKUP($C361,'All Girls &amp; Descendants - Edit'!$C$2:$AK$440,'All Girls &amp; Descendants - Edit'!AJ$1,FALSE)))</f>
        <v>Male. b. 1885, d. 30/09/1962. Educated Keble College, Oxford (BA 1907, MA 1911). Bishop’s Hostel, Liverpool 1907. Deacon 1908. Priest 1909. Curate of Garston, Lancashire 1908-11. Curate of St Anne’s, Aigburth 1911-12. Temporary Chaplain to the Forces 1916-19. MC and Croix de Guerre with star 1919. Vicar of St John’s, Bootle 1920-25. All Saints’, Newton-le-Willows 1925-28. St Peter’s, Warrington 1928-35. Rector of Halewood 1936-38. Vicar of Daresbury, Cheshire 1938-56. Rural Dean of Great Budworth 1947-55. Canon of Chester 1953-55. (Left £500 in the will of his godmother Mary Louisa LOYD (1848-1930). Died at Uplyme.</v>
      </c>
      <c r="AK361" s="3" t="str">
        <f>IF(VLOOKUP($C361,'All Girls &amp; Descendants - Edit'!$C$2:$AK$440,'All Girls &amp; Descendants - Edit'!AK$1,FALSE)=""," - ",(VLOOKUP($C361,'All Girls &amp; Descendants - Edit'!$C$2:$AK$440,'All Girls &amp; Descendants - Edit'!AK$1,FALSE)))</f>
        <v>b. 1885, d. 30/09/1962.</v>
      </c>
    </row>
    <row r="362" spans="1:37" ht="19">
      <c r="A362">
        <f>VLOOKUP(B362,'Loyd List 1-190 - Edit'!$P$1:$R$219,3,FALSE)</f>
        <v>1</v>
      </c>
      <c r="B362">
        <f>'All Girls &amp; Descendants - Edit'!B363</f>
        <v>2</v>
      </c>
      <c r="C362" s="98" t="str">
        <f>'All Girls &amp; Descendants - Edit'!C363</f>
        <v>2cabb</v>
      </c>
      <c r="D362" s="2" t="str">
        <f>'All Girls &amp; Descendants - Edit'!D363</f>
        <v>PROTHEROE</v>
      </c>
      <c r="E362" t="str">
        <f>'All Girls &amp; Descendants - Edit'!E363</f>
        <v>Alice</v>
      </c>
      <c r="F362" t="str">
        <f>IF('All Girls &amp; Descendants - Edit'!F363="","",'All Girls &amp; Descendants - Edit'!F363)</f>
        <v>Muriel</v>
      </c>
      <c r="G362" t="str">
        <f>IF('All Girls &amp; Descendants - Edit'!G363="","",'All Girls &amp; Descendants - Edit'!G363)</f>
        <v>Loyd</v>
      </c>
      <c r="H362" t="str">
        <f>IF('All Girls &amp; Descendants - Edit'!H363="","",'All Girls &amp; Descendants - Edit'!H363)</f>
        <v/>
      </c>
      <c r="I362">
        <f>VLOOKUP($C362,'All Girls &amp; Descendants - Edit'!$C$2:$AK$440,'All Girls &amp; Descendants - Edit'!I$1,FALSE)</f>
        <v>1886</v>
      </c>
      <c r="J362" t="str">
        <f>VLOOKUP($C362,'All Girls &amp; Descendants - Edit'!$C$2:$AK$440,'All Girls &amp; Descendants - Edit'!J$1,FALSE)</f>
        <v/>
      </c>
      <c r="K362" s="9"/>
      <c r="L362" t="str">
        <f t="shared" si="39"/>
        <v>28/02/1905</v>
      </c>
      <c r="M362" s="3" t="str">
        <f>VLOOKUP($C362,'All Girls &amp; Descendants - Edit'!$C$2:$AK$440,'All Girls &amp; Descendants - Edit'!M$1,FALSE)</f>
        <v>1886</v>
      </c>
      <c r="N362" s="3" t="str">
        <f>IF(VLOOKUP($C362,'All Girls &amp; Descendants - Edit'!$C$2:$AK$440,'All Girls &amp; Descendants - Edit'!N$1,FALSE)=""," - ",(VLOOKUP($C362,'All Girls &amp; Descendants - Edit'!$C$2:$AK$440,'All Girls &amp; Descendants - Edit'!N$1,FALSE)))</f>
        <v>1920</v>
      </c>
      <c r="O362" s="3" t="str">
        <f>IF(VLOOKUP($C362,'All Girls &amp; Descendants - Edit'!$C$2:$AK$440,'All Girls &amp; Descendants - Edit'!O$1,FALSE)="","",(VLOOKUP($C362,'All Girls &amp; Descendants - Edit'!$C$2:$AK$440,'All Girls &amp; Descendants - Edit'!O$1,FALSE)))</f>
        <v/>
      </c>
      <c r="P362" s="3" t="str">
        <f t="shared" si="40"/>
        <v/>
      </c>
      <c r="Q362" s="178" t="str">
        <f t="shared" si="41"/>
        <v>2cab</v>
      </c>
      <c r="R362" s="23"/>
      <c r="S362" t="str">
        <f>VLOOKUP($C362,'All Girls &amp; Descendants - Edit'!$C$2:$AK$440,'All Girls &amp; Descendants - Edit'!S$1,FALSE)</f>
        <v>Female</v>
      </c>
      <c r="T362" s="176">
        <f t="shared" si="38"/>
        <v>5</v>
      </c>
      <c r="U362" s="176">
        <f t="shared" si="42"/>
        <v>5</v>
      </c>
      <c r="V362" s="176">
        <f t="shared" si="43"/>
        <v>1</v>
      </c>
      <c r="W362" s="177">
        <f t="shared" si="44"/>
        <v>4</v>
      </c>
      <c r="X362" s="3" t="str">
        <f>IF(VLOOKUP($C362,'All Girls &amp; Descendants - Edit'!$C$2:$AK$440,'All Girls &amp; Descendants - Edit'!X$1,FALSE)=""," - ",(VLOOKUP($C362,'All Girls &amp; Descendants - Edit'!$C$2:$AK$440,'All Girls &amp; Descendants - Edit'!X$1,FALSE)))</f>
        <v>Edgar Stephen APPS</v>
      </c>
      <c r="Y362" s="3" t="str">
        <f>IF(VLOOKUP($C362,'All Girls &amp; Descendants - Edit'!$C$2:$AK$440,'All Girls &amp; Descendants - Edit'!Y$1,FALSE)=""," - ",(VLOOKUP($C362,'All Girls &amp; Descendants - Edit'!$C$2:$AK$440,'All Girls &amp; Descendants - Edit'!Y$1,FALSE)))</f>
        <v>Edgar APPS, Lieut Commander, Royal Navy.</v>
      </c>
      <c r="Z362" s="3" t="str">
        <f>IF(VLOOKUP($C362,'All Girls &amp; Descendants - Edit'!$C$2:$AK$440,'All Girls &amp; Descendants - Edit'!Z$1,FALSE)=""," - ",(VLOOKUP($C362,'All Girls &amp; Descendants - Edit'!$C$2:$AK$440,'All Girls &amp; Descendants - Edit'!Z$1,FALSE)))</f>
        <v xml:space="preserve"> - </v>
      </c>
      <c r="AA362" s="101">
        <f>IF(VLOOKUP($C362,'All Girls &amp; Descendants - Edit'!$C$2:$AK$440,'All Girls &amp; Descendants - Edit'!AA$1,FALSE)=""," - ",(VLOOKUP($C362,'All Girls &amp; Descendants - Edit'!$C$2:$AK$440,'All Girls &amp; Descendants - Edit'!AA$1,FALSE)))</f>
        <v>13</v>
      </c>
      <c r="AB362" s="101">
        <f>IF(VLOOKUP($C362,'All Girls &amp; Descendants - Edit'!$C$2:$AK$440,'All Girls &amp; Descendants - Edit'!AB$1,FALSE)=""," - ",(VLOOKUP($C362,'All Girls &amp; Descendants - Edit'!$C$2:$AK$440,'All Girls &amp; Descendants - Edit'!AB$1,FALSE)))</f>
        <v>3</v>
      </c>
      <c r="AC362" s="101">
        <f>IF(VLOOKUP($C362,'All Girls &amp; Descendants - Edit'!$C$2:$AK$440,'All Girls &amp; Descendants - Edit'!AC$1,FALSE)=""," - ",(VLOOKUP($C362,'All Girls &amp; Descendants - Edit'!$C$2:$AK$440,'All Girls &amp; Descendants - Edit'!AC$1,FALSE)))</f>
        <v>4003</v>
      </c>
      <c r="AD362" s="3" t="str">
        <f>IF(VLOOKUP($C362,'All Girls &amp; Descendants - Edit'!$C$2:$AK$440,'All Girls &amp; Descendants - Edit'!AD$1,FALSE)=""," - ",(VLOOKUP($C362,'All Girls &amp; Descendants - Edit'!$C$2:$AK$440,'All Girls &amp; Descendants - Edit'!AD$1,FALSE)))</f>
        <v>2cabb</v>
      </c>
      <c r="AE362" s="3" t="str">
        <f>IF(VLOOKUP($C362,'All Girls &amp; Descendants - Edit'!$C$2:$AK$440,'All Girls &amp; Descendants - Edit'!AE$1,FALSE)=""," - ",(VLOOKUP($C362,'All Girls &amp; Descendants - Edit'!$C$2:$AK$440,'All Girls &amp; Descendants - Edit'!AE$1,FALSE)))</f>
        <v>Alice Muriel Loyd PROTHEROE (1886 - )</v>
      </c>
      <c r="AF362" s="3" t="str">
        <f>IF(VLOOKUP($C362,'All Girls &amp; Descendants - Edit'!$C$2:$AK$440,'All Girls &amp; Descendants - Edit'!AF$1,FALSE)=""," - ",(VLOOKUP($C362,'All Girls &amp; Descendants - Edit'!$C$2:$AK$440,'All Girls &amp; Descendants - Edit'!AF$1,FALSE)))</f>
        <v>Alice PROTHEROE (5th &amp; 2)</v>
      </c>
      <c r="AG362" s="3" t="str">
        <f>IF(VLOOKUP($C362,'All Girls &amp; Descendants - Edit'!$C$2:$AK$440,'All Girls &amp; Descendants - Edit'!AG$1,FALSE)=""," - ",(VLOOKUP($C362,'All Girls &amp; Descendants - Edit'!$C$2:$AK$440,'All Girls &amp; Descendants - Edit'!AG$1,FALSE)))</f>
        <v>Female</v>
      </c>
      <c r="AH362" s="3" t="str">
        <f>IF(VLOOKUP($C362,'All Girls &amp; Descendants - Edit'!$C$2:$AK$440,'All Girls &amp; Descendants - Edit'!AH$1,FALSE)=""," - ",(VLOOKUP($C362,'All Girls &amp; Descendants - Edit'!$C$2:$AK$440,'All Girls &amp; Descendants - Edit'!AH$1,FALSE)))</f>
        <v>5th</v>
      </c>
      <c r="AI362" s="3" t="str">
        <f>IF(VLOOKUP($C362,'All Girls &amp; Descendants - Edit'!$C$2:$AK$440,'All Girls &amp; Descendants - Edit'!AI$1,FALSE)=""," - ",(VLOOKUP($C362,'All Girls &amp; Descendants - Edit'!$C$2:$AK$440,'All Girls &amp; Descendants - Edit'!AI$1,FALSE)))</f>
        <v>Husband: Edgar Stephen APPS. Edgar APPS, Lieut Commander, Royal Navy.</v>
      </c>
      <c r="AJ362" s="3" t="str">
        <f>IF(VLOOKUP($C362,'All Girls &amp; Descendants - Edit'!$C$2:$AK$440,'All Girls &amp; Descendants - Edit'!AJ$1,FALSE)=""," - ",(VLOOKUP($C362,'All Girls &amp; Descendants - Edit'!$C$2:$AK$440,'All Girls &amp; Descendants - Edit'!AJ$1,FALSE)))</f>
        <v>Female. b. 1886</v>
      </c>
      <c r="AK362" s="3" t="str">
        <f>IF(VLOOKUP($C362,'All Girls &amp; Descendants - Edit'!$C$2:$AK$440,'All Girls &amp; Descendants - Edit'!AK$1,FALSE)=""," - ",(VLOOKUP($C362,'All Girls &amp; Descendants - Edit'!$C$2:$AK$440,'All Girls &amp; Descendants - Edit'!AK$1,FALSE)))</f>
        <v>b. 1886</v>
      </c>
    </row>
    <row r="363" spans="1:37" ht="19">
      <c r="A363">
        <f>VLOOKUP(B363,'Loyd List 1-190 - Edit'!$P$1:$R$219,3,FALSE)</f>
        <v>1</v>
      </c>
      <c r="B363">
        <f>'All Girls &amp; Descendants - Edit'!B364</f>
        <v>2</v>
      </c>
      <c r="C363" s="98" t="str">
        <f>'All Girls &amp; Descendants - Edit'!C364</f>
        <v>2cabc</v>
      </c>
      <c r="D363" s="2" t="str">
        <f>'All Girls &amp; Descendants - Edit'!D364</f>
        <v>PROTHEROE</v>
      </c>
      <c r="E363" t="str">
        <f>'All Girls &amp; Descendants - Edit'!E364</f>
        <v>Edward</v>
      </c>
      <c r="F363" t="str">
        <f>IF('All Girls &amp; Descendants - Edit'!F364="","",'All Girls &amp; Descendants - Edit'!F364)</f>
        <v>Loyd</v>
      </c>
      <c r="G363" t="str">
        <f>IF('All Girls &amp; Descendants - Edit'!G364="","",'All Girls &amp; Descendants - Edit'!G364)</f>
        <v>Musgrave</v>
      </c>
      <c r="H363" t="str">
        <f>IF('All Girls &amp; Descendants - Edit'!H364="","",'All Girls &amp; Descendants - Edit'!H364)</f>
        <v/>
      </c>
      <c r="I363">
        <f>VLOOKUP($C363,'All Girls &amp; Descendants - Edit'!$C$2:$AK$440,'All Girls &amp; Descendants - Edit'!I$1,FALSE)</f>
        <v>1888</v>
      </c>
      <c r="J363">
        <f>VLOOKUP($C363,'All Girls &amp; Descendants - Edit'!$C$2:$AK$440,'All Girls &amp; Descendants - Edit'!J$1,FALSE)</f>
        <v>1905</v>
      </c>
      <c r="K363" s="9"/>
      <c r="L363" t="str">
        <f t="shared" si="39"/>
        <v>02/03/1905</v>
      </c>
      <c r="M363" s="3" t="str">
        <f>VLOOKUP($C363,'All Girls &amp; Descendants - Edit'!$C$2:$AK$440,'All Girls &amp; Descendants - Edit'!M$1,FALSE)</f>
        <v>1888</v>
      </c>
      <c r="N363" s="3" t="str">
        <f>IF(VLOOKUP($C363,'All Girls &amp; Descendants - Edit'!$C$2:$AK$440,'All Girls &amp; Descendants - Edit'!N$1,FALSE)=""," - ",(VLOOKUP($C363,'All Girls &amp; Descendants - Edit'!$C$2:$AK$440,'All Girls &amp; Descendants - Edit'!N$1,FALSE)))</f>
        <v>1932</v>
      </c>
      <c r="O363" s="3" t="str">
        <f>IF(VLOOKUP($C363,'All Girls &amp; Descendants - Edit'!$C$2:$AK$440,'All Girls &amp; Descendants - Edit'!O$1,FALSE)="","",(VLOOKUP($C363,'All Girls &amp; Descendants - Edit'!$C$2:$AK$440,'All Girls &amp; Descendants - Edit'!O$1,FALSE)))</f>
        <v>1970</v>
      </c>
      <c r="P363" s="3" t="str">
        <f t="shared" si="40"/>
        <v>23/05/1905</v>
      </c>
      <c r="Q363" s="178" t="str">
        <f t="shared" si="41"/>
        <v>2cab</v>
      </c>
      <c r="R363" s="23"/>
      <c r="S363" t="str">
        <f>VLOOKUP($C363,'All Girls &amp; Descendants - Edit'!$C$2:$AK$440,'All Girls &amp; Descendants - Edit'!S$1,FALSE)</f>
        <v>Male</v>
      </c>
      <c r="T363" s="176">
        <f t="shared" si="38"/>
        <v>5</v>
      </c>
      <c r="U363" s="176">
        <f t="shared" si="42"/>
        <v>5</v>
      </c>
      <c r="V363" s="176">
        <f t="shared" si="43"/>
        <v>1</v>
      </c>
      <c r="W363" s="177">
        <f t="shared" si="44"/>
        <v>4</v>
      </c>
      <c r="X363" s="3" t="str">
        <f>IF(VLOOKUP($C363,'All Girls &amp; Descendants - Edit'!$C$2:$AK$440,'All Girls &amp; Descendants - Edit'!X$1,FALSE)=""," - ",(VLOOKUP($C363,'All Girls &amp; Descendants - Edit'!$C$2:$AK$440,'All Girls &amp; Descendants - Edit'!X$1,FALSE)))</f>
        <v>Nancy D WALTER (b.1902, d. 1985)</v>
      </c>
      <c r="Y363" s="3" t="str">
        <f>IF(VLOOKUP($C363,'All Girls &amp; Descendants - Edit'!$C$2:$AK$440,'All Girls &amp; Descendants - Edit'!Y$1,FALSE)=""," - ",(VLOOKUP($C363,'All Girls &amp; Descendants - Edit'!$C$2:$AK$440,'All Girls &amp; Descendants - Edit'!Y$1,FALSE)))</f>
        <v>Married at Uckfield</v>
      </c>
      <c r="Z363" s="3" t="str">
        <f>IF(VLOOKUP($C363,'All Girls &amp; Descendants - Edit'!$C$2:$AK$440,'All Girls &amp; Descendants - Edit'!Z$1,FALSE)=""," - ",(VLOOKUP($C363,'All Girls &amp; Descendants - Edit'!$C$2:$AK$440,'All Girls &amp; Descendants - Edit'!Z$1,FALSE)))</f>
        <v xml:space="preserve"> - </v>
      </c>
      <c r="AA363" s="101">
        <f>IF(VLOOKUP($C363,'All Girls &amp; Descendants - Edit'!$C$2:$AK$440,'All Girls &amp; Descendants - Edit'!AA$1,FALSE)=""," - ",(VLOOKUP($C363,'All Girls &amp; Descendants - Edit'!$C$2:$AK$440,'All Girls &amp; Descendants - Edit'!AA$1,FALSE)))</f>
        <v>15</v>
      </c>
      <c r="AB363" s="101">
        <f>IF(VLOOKUP($C363,'All Girls &amp; Descendants - Edit'!$C$2:$AK$440,'All Girls &amp; Descendants - Edit'!AB$1,FALSE)=""," - ",(VLOOKUP($C363,'All Girls &amp; Descendants - Edit'!$C$2:$AK$440,'All Girls &amp; Descendants - Edit'!AB$1,FALSE)))</f>
        <v>4</v>
      </c>
      <c r="AC363" s="101">
        <f>IF(VLOOKUP($C363,'All Girls &amp; Descendants - Edit'!$C$2:$AK$440,'All Girls &amp; Descendants - Edit'!AC$1,FALSE)=""," - ",(VLOOKUP($C363,'All Girls &amp; Descendants - Edit'!$C$2:$AK$440,'All Girls &amp; Descendants - Edit'!AC$1,FALSE)))</f>
        <v>4004</v>
      </c>
      <c r="AD363" s="3" t="str">
        <f>IF(VLOOKUP($C363,'All Girls &amp; Descendants - Edit'!$C$2:$AK$440,'All Girls &amp; Descendants - Edit'!AD$1,FALSE)=""," - ",(VLOOKUP($C363,'All Girls &amp; Descendants - Edit'!$C$2:$AK$440,'All Girls &amp; Descendants - Edit'!AD$1,FALSE)))</f>
        <v>2cabc</v>
      </c>
      <c r="AE363" s="3" t="str">
        <f>IF(VLOOKUP($C363,'All Girls &amp; Descendants - Edit'!$C$2:$AK$440,'All Girls &amp; Descendants - Edit'!AE$1,FALSE)=""," - ",(VLOOKUP($C363,'All Girls &amp; Descendants - Edit'!$C$2:$AK$440,'All Girls &amp; Descendants - Edit'!AE$1,FALSE)))</f>
        <v>Edward Loyd Musgrave PROTHEROE (1888 - 1905)</v>
      </c>
      <c r="AF363" s="3" t="str">
        <f>IF(VLOOKUP($C363,'All Girls &amp; Descendants - Edit'!$C$2:$AK$440,'All Girls &amp; Descendants - Edit'!AF$1,FALSE)=""," - ",(VLOOKUP($C363,'All Girls &amp; Descendants - Edit'!$C$2:$AK$440,'All Girls &amp; Descendants - Edit'!AF$1,FALSE)))</f>
        <v>Edward PROTHEROE (5th &amp; 2)</v>
      </c>
      <c r="AG363" s="3" t="str">
        <f>IF(VLOOKUP($C363,'All Girls &amp; Descendants - Edit'!$C$2:$AK$440,'All Girls &amp; Descendants - Edit'!AG$1,FALSE)=""," - ",(VLOOKUP($C363,'All Girls &amp; Descendants - Edit'!$C$2:$AK$440,'All Girls &amp; Descendants - Edit'!AG$1,FALSE)))</f>
        <v>Male</v>
      </c>
      <c r="AH363" s="3" t="str">
        <f>IF(VLOOKUP($C363,'All Girls &amp; Descendants - Edit'!$C$2:$AK$440,'All Girls &amp; Descendants - Edit'!AH$1,FALSE)=""," - ",(VLOOKUP($C363,'All Girls &amp; Descendants - Edit'!$C$2:$AK$440,'All Girls &amp; Descendants - Edit'!AH$1,FALSE)))</f>
        <v>5th</v>
      </c>
      <c r="AI363" s="3" t="str">
        <f>IF(VLOOKUP($C363,'All Girls &amp; Descendants - Edit'!$C$2:$AK$440,'All Girls &amp; Descendants - Edit'!AI$1,FALSE)=""," - ",(VLOOKUP($C363,'All Girls &amp; Descendants - Edit'!$C$2:$AK$440,'All Girls &amp; Descendants - Edit'!AI$1,FALSE)))</f>
        <v>Wife: Nancy D WALTER (b.1902, d. 1985). Married at Uckfield</v>
      </c>
      <c r="AJ363" s="3" t="str">
        <f>IF(VLOOKUP($C363,'All Girls &amp; Descendants - Edit'!$C$2:$AK$440,'All Girls &amp; Descendants - Edit'!AJ$1,FALSE)=""," - ",(VLOOKUP($C363,'All Girls &amp; Descendants - Edit'!$C$2:$AK$440,'All Girls &amp; Descendants - Edit'!AJ$1,FALSE)))</f>
        <v>Male. b. 1888, d. 1970.</v>
      </c>
      <c r="AK363" s="3" t="str">
        <f>IF(VLOOKUP($C363,'All Girls &amp; Descendants - Edit'!$C$2:$AK$440,'All Girls &amp; Descendants - Edit'!AK$1,FALSE)=""," - ",(VLOOKUP($C363,'All Girls &amp; Descendants - Edit'!$C$2:$AK$440,'All Girls &amp; Descendants - Edit'!AK$1,FALSE)))</f>
        <v>b. 1888, d. 1970.</v>
      </c>
    </row>
    <row r="364" spans="1:37" ht="19">
      <c r="A364">
        <f>VLOOKUP(B364,'Loyd List 1-190 - Edit'!$P$1:$R$219,3,FALSE)</f>
        <v>1</v>
      </c>
      <c r="B364">
        <f>'All Girls &amp; Descendants - Edit'!B365</f>
        <v>2</v>
      </c>
      <c r="C364" s="98" t="str">
        <f>'All Girls &amp; Descendants - Edit'!C365</f>
        <v>2cabd</v>
      </c>
      <c r="D364" s="2" t="str">
        <f>'All Girls &amp; Descendants - Edit'!D365</f>
        <v>PROTHEROE</v>
      </c>
      <c r="E364" t="str">
        <f>'All Girls &amp; Descendants - Edit'!E365</f>
        <v>Roderick</v>
      </c>
      <c r="F364" t="str">
        <f>IF('All Girls &amp; Descendants - Edit'!F365="","",'All Girls &amp; Descendants - Edit'!F365)</f>
        <v>Norman</v>
      </c>
      <c r="G364" t="str">
        <f>IF('All Girls &amp; Descendants - Edit'!G365="","",'All Girls &amp; Descendants - Edit'!G365)</f>
        <v>Loyd</v>
      </c>
      <c r="H364" t="str">
        <f>IF('All Girls &amp; Descendants - Edit'!H365="","",'All Girls &amp; Descendants - Edit'!H365)</f>
        <v/>
      </c>
      <c r="I364">
        <f>VLOOKUP($C364,'All Girls &amp; Descendants - Edit'!$C$2:$AK$440,'All Girls &amp; Descendants - Edit'!I$1,FALSE)</f>
        <v>1890</v>
      </c>
      <c r="J364">
        <f>VLOOKUP($C364,'All Girls &amp; Descendants - Edit'!$C$2:$AK$440,'All Girls &amp; Descendants - Edit'!J$1,FALSE)</f>
        <v>1905</v>
      </c>
      <c r="K364" s="9"/>
      <c r="L364" t="str">
        <f t="shared" si="39"/>
        <v>04/03/1905</v>
      </c>
      <c r="M364" s="3" t="str">
        <f>VLOOKUP($C364,'All Girls &amp; Descendants - Edit'!$C$2:$AK$440,'All Girls &amp; Descendants - Edit'!M$1,FALSE)</f>
        <v>1890</v>
      </c>
      <c r="N364" s="3" t="str">
        <f>IF(VLOOKUP($C364,'All Girls &amp; Descendants - Edit'!$C$2:$AK$440,'All Girls &amp; Descendants - Edit'!N$1,FALSE)=""," - ",(VLOOKUP($C364,'All Girls &amp; Descendants - Edit'!$C$2:$AK$440,'All Girls &amp; Descendants - Edit'!N$1,FALSE)))</f>
        <v xml:space="preserve"> - </v>
      </c>
      <c r="O364" s="3" t="str">
        <f>IF(VLOOKUP($C364,'All Girls &amp; Descendants - Edit'!$C$2:$AK$440,'All Girls &amp; Descendants - Edit'!O$1,FALSE)="","",(VLOOKUP($C364,'All Girls &amp; Descendants - Edit'!$C$2:$AK$440,'All Girls &amp; Descendants - Edit'!O$1,FALSE)))</f>
        <v>1948</v>
      </c>
      <c r="P364" s="3" t="str">
        <f t="shared" si="40"/>
        <v>01/05/1905</v>
      </c>
      <c r="Q364" s="178" t="str">
        <f t="shared" si="41"/>
        <v>2cab</v>
      </c>
      <c r="R364" s="23"/>
      <c r="S364" t="str">
        <f>VLOOKUP($C364,'All Girls &amp; Descendants - Edit'!$C$2:$AK$440,'All Girls &amp; Descendants - Edit'!S$1,FALSE)</f>
        <v>Male</v>
      </c>
      <c r="T364" s="176">
        <f t="shared" si="38"/>
        <v>5</v>
      </c>
      <c r="U364" s="176">
        <f t="shared" si="42"/>
        <v>5</v>
      </c>
      <c r="V364" s="176">
        <f t="shared" si="43"/>
        <v>1</v>
      </c>
      <c r="W364" s="177">
        <f t="shared" si="44"/>
        <v>4</v>
      </c>
      <c r="X364" s="3" t="str">
        <f>IF(VLOOKUP($C364,'All Girls &amp; Descendants - Edit'!$C$2:$AK$440,'All Girls &amp; Descendants - Edit'!X$1,FALSE)=""," - ",(VLOOKUP($C364,'All Girls &amp; Descendants - Edit'!$C$2:$AK$440,'All Girls &amp; Descendants - Edit'!X$1,FALSE)))</f>
        <v>Alice J CHAMBEL (b. ?, d. 1975)</v>
      </c>
      <c r="Y364" s="3" t="str">
        <f>IF(VLOOKUP($C364,'All Girls &amp; Descendants - Edit'!$C$2:$AK$440,'All Girls &amp; Descendants - Edit'!Y$1,FALSE)=""," - ",(VLOOKUP($C364,'All Girls &amp; Descendants - Edit'!$C$2:$AK$440,'All Girls &amp; Descendants - Edit'!Y$1,FALSE)))</f>
        <v>Married at Paddington</v>
      </c>
      <c r="Z364" s="3" t="str">
        <f>IF(VLOOKUP($C364,'All Girls &amp; Descendants - Edit'!$C$2:$AK$440,'All Girls &amp; Descendants - Edit'!Z$1,FALSE)=""," - ",(VLOOKUP($C364,'All Girls &amp; Descendants - Edit'!$C$2:$AK$440,'All Girls &amp; Descendants - Edit'!Z$1,FALSE)))</f>
        <v xml:space="preserve"> - </v>
      </c>
      <c r="AA364" s="101">
        <f>IF(VLOOKUP($C364,'All Girls &amp; Descendants - Edit'!$C$2:$AK$440,'All Girls &amp; Descendants - Edit'!AA$1,FALSE)=""," - ",(VLOOKUP($C364,'All Girls &amp; Descendants - Edit'!$C$2:$AK$440,'All Girls &amp; Descendants - Edit'!AA$1,FALSE)))</f>
        <v>16</v>
      </c>
      <c r="AB364" s="101">
        <f>IF(VLOOKUP($C364,'All Girls &amp; Descendants - Edit'!$C$2:$AK$440,'All Girls &amp; Descendants - Edit'!AB$1,FALSE)=""," - ",(VLOOKUP($C364,'All Girls &amp; Descendants - Edit'!$C$2:$AK$440,'All Girls &amp; Descendants - Edit'!AB$1,FALSE)))</f>
        <v>5</v>
      </c>
      <c r="AC364" s="101">
        <f>IF(VLOOKUP($C364,'All Girls &amp; Descendants - Edit'!$C$2:$AK$440,'All Girls &amp; Descendants - Edit'!AC$1,FALSE)=""," - ",(VLOOKUP($C364,'All Girls &amp; Descendants - Edit'!$C$2:$AK$440,'All Girls &amp; Descendants - Edit'!AC$1,FALSE)))</f>
        <v>4005</v>
      </c>
      <c r="AD364" s="3" t="str">
        <f>IF(VLOOKUP($C364,'All Girls &amp; Descendants - Edit'!$C$2:$AK$440,'All Girls &amp; Descendants - Edit'!AD$1,FALSE)=""," - ",(VLOOKUP($C364,'All Girls &amp; Descendants - Edit'!$C$2:$AK$440,'All Girls &amp; Descendants - Edit'!AD$1,FALSE)))</f>
        <v>2cabd</v>
      </c>
      <c r="AE364" s="3" t="str">
        <f>IF(VLOOKUP($C364,'All Girls &amp; Descendants - Edit'!$C$2:$AK$440,'All Girls &amp; Descendants - Edit'!AE$1,FALSE)=""," - ",(VLOOKUP($C364,'All Girls &amp; Descendants - Edit'!$C$2:$AK$440,'All Girls &amp; Descendants - Edit'!AE$1,FALSE)))</f>
        <v>Roderick Norman Loyd PROTHEROE (1890 - 1905)</v>
      </c>
      <c r="AF364" s="3" t="str">
        <f>IF(VLOOKUP($C364,'All Girls &amp; Descendants - Edit'!$C$2:$AK$440,'All Girls &amp; Descendants - Edit'!AF$1,FALSE)=""," - ",(VLOOKUP($C364,'All Girls &amp; Descendants - Edit'!$C$2:$AK$440,'All Girls &amp; Descendants - Edit'!AF$1,FALSE)))</f>
        <v>Roderick PROTHEROE (5th &amp; 2)</v>
      </c>
      <c r="AG364" s="3" t="str">
        <f>IF(VLOOKUP($C364,'All Girls &amp; Descendants - Edit'!$C$2:$AK$440,'All Girls &amp; Descendants - Edit'!AG$1,FALSE)=""," - ",(VLOOKUP($C364,'All Girls &amp; Descendants - Edit'!$C$2:$AK$440,'All Girls &amp; Descendants - Edit'!AG$1,FALSE)))</f>
        <v>Male</v>
      </c>
      <c r="AH364" s="3" t="str">
        <f>IF(VLOOKUP($C364,'All Girls &amp; Descendants - Edit'!$C$2:$AK$440,'All Girls &amp; Descendants - Edit'!AH$1,FALSE)=""," - ",(VLOOKUP($C364,'All Girls &amp; Descendants - Edit'!$C$2:$AK$440,'All Girls &amp; Descendants - Edit'!AH$1,FALSE)))</f>
        <v>5th</v>
      </c>
      <c r="AI364" s="3" t="str">
        <f>IF(VLOOKUP($C364,'All Girls &amp; Descendants - Edit'!$C$2:$AK$440,'All Girls &amp; Descendants - Edit'!AI$1,FALSE)=""," - ",(VLOOKUP($C364,'All Girls &amp; Descendants - Edit'!$C$2:$AK$440,'All Girls &amp; Descendants - Edit'!AI$1,FALSE)))</f>
        <v>Wife: Alice J CHAMBEL (b. ?, d. 1975). Married at Paddington</v>
      </c>
      <c r="AJ364" s="3" t="str">
        <f>IF(VLOOKUP($C364,'All Girls &amp; Descendants - Edit'!$C$2:$AK$440,'All Girls &amp; Descendants - Edit'!AJ$1,FALSE)=""," - ",(VLOOKUP($C364,'All Girls &amp; Descendants - Edit'!$C$2:$AK$440,'All Girls &amp; Descendants - Edit'!AJ$1,FALSE)))</f>
        <v>Male. b. 1890, d. 1948.</v>
      </c>
      <c r="AK364" s="3" t="str">
        <f>IF(VLOOKUP($C364,'All Girls &amp; Descendants - Edit'!$C$2:$AK$440,'All Girls &amp; Descendants - Edit'!AK$1,FALSE)=""," - ",(VLOOKUP($C364,'All Girls &amp; Descendants - Edit'!$C$2:$AK$440,'All Girls &amp; Descendants - Edit'!AK$1,FALSE)))</f>
        <v>b. 1890, d. 1948.</v>
      </c>
    </row>
    <row r="365" spans="1:37" ht="19">
      <c r="A365">
        <f>VLOOKUP(B365,'Loyd List 1-190 - Edit'!$P$1:$R$219,3,FALSE)</f>
        <v>1</v>
      </c>
      <c r="B365">
        <f>'All Girls &amp; Descendants - Edit'!B366</f>
        <v>2</v>
      </c>
      <c r="C365" s="98" t="str">
        <f>'All Girls &amp; Descendants - Edit'!C366</f>
        <v>2cabe</v>
      </c>
      <c r="D365" s="2" t="str">
        <f>'All Girls &amp; Descendants - Edit'!D366</f>
        <v>PROTHEROE</v>
      </c>
      <c r="E365" t="str">
        <f>'All Girls &amp; Descendants - Edit'!E366</f>
        <v>Norah</v>
      </c>
      <c r="F365" t="str">
        <f>IF('All Girls &amp; Descendants - Edit'!F366="","",'All Girls &amp; Descendants - Edit'!F366)</f>
        <v>Evelyn</v>
      </c>
      <c r="G365" t="str">
        <f>IF('All Girls &amp; Descendants - Edit'!G366="","",'All Girls &amp; Descendants - Edit'!G366)</f>
        <v>Loyd</v>
      </c>
      <c r="H365" t="str">
        <f>IF('All Girls &amp; Descendants - Edit'!H366="","",'All Girls &amp; Descendants - Edit'!H366)</f>
        <v/>
      </c>
      <c r="I365">
        <f>VLOOKUP($C365,'All Girls &amp; Descendants - Edit'!$C$2:$AK$440,'All Girls &amp; Descendants - Edit'!I$1,FALSE)</f>
        <v>1899</v>
      </c>
      <c r="J365">
        <f>VLOOKUP($C365,'All Girls &amp; Descendants - Edit'!$C$2:$AK$440,'All Girls &amp; Descendants - Edit'!J$1,FALSE)</f>
        <v>1905</v>
      </c>
      <c r="K365" s="9"/>
      <c r="L365" t="str">
        <f t="shared" si="39"/>
        <v>13/03/1905</v>
      </c>
      <c r="M365" s="3" t="str">
        <f>VLOOKUP($C365,'All Girls &amp; Descendants - Edit'!$C$2:$AK$440,'All Girls &amp; Descendants - Edit'!M$1,FALSE)</f>
        <v>1899</v>
      </c>
      <c r="N365" s="3" t="str">
        <f>IF(VLOOKUP($C365,'All Girls &amp; Descendants - Edit'!$C$2:$AK$440,'All Girls &amp; Descendants - Edit'!N$1,FALSE)=""," - ",(VLOOKUP($C365,'All Girls &amp; Descendants - Edit'!$C$2:$AK$440,'All Girls &amp; Descendants - Edit'!N$1,FALSE)))</f>
        <v>Unmarried</v>
      </c>
      <c r="O365" s="3" t="str">
        <f>IF(VLOOKUP($C365,'All Girls &amp; Descendants - Edit'!$C$2:$AK$440,'All Girls &amp; Descendants - Edit'!O$1,FALSE)="","",(VLOOKUP($C365,'All Girls &amp; Descendants - Edit'!$C$2:$AK$440,'All Girls &amp; Descendants - Edit'!O$1,FALSE)))</f>
        <v>1945</v>
      </c>
      <c r="P365" s="3" t="str">
        <f t="shared" si="40"/>
        <v>28/04/1905</v>
      </c>
      <c r="Q365" s="178" t="str">
        <f t="shared" si="41"/>
        <v>2cab</v>
      </c>
      <c r="R365" s="23"/>
      <c r="S365" t="str">
        <f>VLOOKUP($C365,'All Girls &amp; Descendants - Edit'!$C$2:$AK$440,'All Girls &amp; Descendants - Edit'!S$1,FALSE)</f>
        <v>Female</v>
      </c>
      <c r="T365" s="176">
        <f t="shared" si="38"/>
        <v>5</v>
      </c>
      <c r="U365" s="176">
        <f t="shared" si="42"/>
        <v>5</v>
      </c>
      <c r="V365" s="176">
        <f t="shared" si="43"/>
        <v>1</v>
      </c>
      <c r="W365" s="177">
        <f t="shared" si="44"/>
        <v>4</v>
      </c>
      <c r="X365" s="3" t="str">
        <f>IF(VLOOKUP($C365,'All Girls &amp; Descendants - Edit'!$C$2:$AK$440,'All Girls &amp; Descendants - Edit'!X$1,FALSE)=""," - ",(VLOOKUP($C365,'All Girls &amp; Descendants - Edit'!$C$2:$AK$440,'All Girls &amp; Descendants - Edit'!X$1,FALSE)))</f>
        <v xml:space="preserve"> - </v>
      </c>
      <c r="Y365" s="3" t="str">
        <f>IF(VLOOKUP($C365,'All Girls &amp; Descendants - Edit'!$C$2:$AK$440,'All Girls &amp; Descendants - Edit'!Y$1,FALSE)=""," - ",(VLOOKUP($C365,'All Girls &amp; Descendants - Edit'!$C$2:$AK$440,'All Girls &amp; Descendants - Edit'!Y$1,FALSE)))</f>
        <v xml:space="preserve"> - </v>
      </c>
      <c r="Z365" s="3" t="str">
        <f>IF(VLOOKUP($C365,'All Girls &amp; Descendants - Edit'!$C$2:$AK$440,'All Girls &amp; Descendants - Edit'!Z$1,FALSE)=""," - ",(VLOOKUP($C365,'All Girls &amp; Descendants - Edit'!$C$2:$AK$440,'All Girls &amp; Descendants - Edit'!Z$1,FALSE)))</f>
        <v xml:space="preserve"> - </v>
      </c>
      <c r="AA365" s="101">
        <f>IF(VLOOKUP($C365,'All Girls &amp; Descendants - Edit'!$C$2:$AK$440,'All Girls &amp; Descendants - Edit'!AA$1,FALSE)=""," - ",(VLOOKUP($C365,'All Girls &amp; Descendants - Edit'!$C$2:$AK$440,'All Girls &amp; Descendants - Edit'!AA$1,FALSE)))</f>
        <v>17</v>
      </c>
      <c r="AB365" s="101">
        <f>IF(VLOOKUP($C365,'All Girls &amp; Descendants - Edit'!$C$2:$AK$440,'All Girls &amp; Descendants - Edit'!AB$1,FALSE)=""," - ",(VLOOKUP($C365,'All Girls &amp; Descendants - Edit'!$C$2:$AK$440,'All Girls &amp; Descendants - Edit'!AB$1,FALSE)))</f>
        <v>6</v>
      </c>
      <c r="AC365" s="101">
        <f>IF(VLOOKUP($C365,'All Girls &amp; Descendants - Edit'!$C$2:$AK$440,'All Girls &amp; Descendants - Edit'!AC$1,FALSE)=""," - ",(VLOOKUP($C365,'All Girls &amp; Descendants - Edit'!$C$2:$AK$440,'All Girls &amp; Descendants - Edit'!AC$1,FALSE)))</f>
        <v>4006</v>
      </c>
      <c r="AD365" s="3" t="str">
        <f>IF(VLOOKUP($C365,'All Girls &amp; Descendants - Edit'!$C$2:$AK$440,'All Girls &amp; Descendants - Edit'!AD$1,FALSE)=""," - ",(VLOOKUP($C365,'All Girls &amp; Descendants - Edit'!$C$2:$AK$440,'All Girls &amp; Descendants - Edit'!AD$1,FALSE)))</f>
        <v>2cabe</v>
      </c>
      <c r="AE365" s="3" t="str">
        <f>IF(VLOOKUP($C365,'All Girls &amp; Descendants - Edit'!$C$2:$AK$440,'All Girls &amp; Descendants - Edit'!AE$1,FALSE)=""," - ",(VLOOKUP($C365,'All Girls &amp; Descendants - Edit'!$C$2:$AK$440,'All Girls &amp; Descendants - Edit'!AE$1,FALSE)))</f>
        <v>Norah Evelyn Loyd PROTHEROE (1899 - 1905)</v>
      </c>
      <c r="AF365" s="3" t="str">
        <f>IF(VLOOKUP($C365,'All Girls &amp; Descendants - Edit'!$C$2:$AK$440,'All Girls &amp; Descendants - Edit'!AF$1,FALSE)=""," - ",(VLOOKUP($C365,'All Girls &amp; Descendants - Edit'!$C$2:$AK$440,'All Girls &amp; Descendants - Edit'!AF$1,FALSE)))</f>
        <v>Norah PROTHEROE (5th &amp; 2)</v>
      </c>
      <c r="AG365" s="3" t="str">
        <f>IF(VLOOKUP($C365,'All Girls &amp; Descendants - Edit'!$C$2:$AK$440,'All Girls &amp; Descendants - Edit'!AG$1,FALSE)=""," - ",(VLOOKUP($C365,'All Girls &amp; Descendants - Edit'!$C$2:$AK$440,'All Girls &amp; Descendants - Edit'!AG$1,FALSE)))</f>
        <v>Female</v>
      </c>
      <c r="AH365" s="3" t="str">
        <f>IF(VLOOKUP($C365,'All Girls &amp; Descendants - Edit'!$C$2:$AK$440,'All Girls &amp; Descendants - Edit'!AH$1,FALSE)=""," - ",(VLOOKUP($C365,'All Girls &amp; Descendants - Edit'!$C$2:$AK$440,'All Girls &amp; Descendants - Edit'!AH$1,FALSE)))</f>
        <v>5th</v>
      </c>
      <c r="AI365" s="3" t="str">
        <f>IF(VLOOKUP($C365,'All Girls &amp; Descendants - Edit'!$C$2:$AK$440,'All Girls &amp; Descendants - Edit'!AI$1,FALSE)=""," - ",(VLOOKUP($C365,'All Girls &amp; Descendants - Edit'!$C$2:$AK$440,'All Girls &amp; Descendants - Edit'!AI$1,FALSE)))</f>
        <v>Unmarried</v>
      </c>
      <c r="AJ365" s="3" t="str">
        <f>IF(VLOOKUP($C365,'All Girls &amp; Descendants - Edit'!$C$2:$AK$440,'All Girls &amp; Descendants - Edit'!AJ$1,FALSE)=""," - ",(VLOOKUP($C365,'All Girls &amp; Descendants - Edit'!$C$2:$AK$440,'All Girls &amp; Descendants - Edit'!AJ$1,FALSE)))</f>
        <v>Female. b. 1899, d. 1945.</v>
      </c>
      <c r="AK365" s="3" t="str">
        <f>IF(VLOOKUP($C365,'All Girls &amp; Descendants - Edit'!$C$2:$AK$440,'All Girls &amp; Descendants - Edit'!AK$1,FALSE)=""," - ",(VLOOKUP($C365,'All Girls &amp; Descendants - Edit'!$C$2:$AK$440,'All Girls &amp; Descendants - Edit'!AK$1,FALSE)))</f>
        <v>b. 1899, d. 1945.</v>
      </c>
    </row>
    <row r="366" spans="1:37" ht="19">
      <c r="A366">
        <f>VLOOKUP(B366,'Loyd List 1-190 - Edit'!$P$1:$R$219,3,FALSE)</f>
        <v>8</v>
      </c>
      <c r="B366">
        <f>'All Girls &amp; Descendants - Edit'!B367</f>
        <v>18</v>
      </c>
      <c r="C366" s="98" t="str">
        <f>'All Girls &amp; Descendants - Edit'!C367</f>
        <v>18bbaa</v>
      </c>
      <c r="D366" s="2" t="str">
        <f>'All Girls &amp; Descendants - Edit'!D367</f>
        <v>WARNER (later RAMSAY)</v>
      </c>
      <c r="E366" t="str">
        <f>'All Girls &amp; Descendants - Edit'!E367</f>
        <v>Robert</v>
      </c>
      <c r="F366" t="str">
        <f>IF('All Girls &amp; Descendants - Edit'!F367="","",'All Girls &amp; Descendants - Edit'!F367)</f>
        <v>Paul</v>
      </c>
      <c r="G366" t="str">
        <f>IF('All Girls &amp; Descendants - Edit'!G367="","",'All Girls &amp; Descendants - Edit'!G367)</f>
        <v>Redston</v>
      </c>
      <c r="H366" t="str">
        <f>IF('All Girls &amp; Descendants - Edit'!H367="","",'All Girls &amp; Descendants - Edit'!H367)</f>
        <v/>
      </c>
      <c r="I366">
        <f>VLOOKUP($C366,'All Girls &amp; Descendants - Edit'!$C$2:$AK$440,'All Girls &amp; Descendants - Edit'!I$1,FALSE)</f>
        <v>1945</v>
      </c>
      <c r="J366" t="str">
        <f>VLOOKUP($C366,'All Girls &amp; Descendants - Edit'!$C$2:$AK$440,'All Girls &amp; Descendants - Edit'!J$1,FALSE)</f>
        <v/>
      </c>
      <c r="K366" s="9"/>
      <c r="L366" t="str">
        <f t="shared" si="39"/>
        <v>30/10/1945</v>
      </c>
      <c r="M366" s="3">
        <f>VLOOKUP($C366,'All Girls &amp; Descendants - Edit'!$C$2:$AK$440,'All Girls &amp; Descendants - Edit'!M$1,FALSE)</f>
        <v>16740</v>
      </c>
      <c r="N366" s="3">
        <f>IF(VLOOKUP($C366,'All Girls &amp; Descendants - Edit'!$C$2:$AK$440,'All Girls &amp; Descendants - Edit'!N$1,FALSE)=""," - ",(VLOOKUP($C366,'All Girls &amp; Descendants - Edit'!$C$2:$AK$440,'All Girls &amp; Descendants - Edit'!N$1,FALSE)))</f>
        <v>28938</v>
      </c>
      <c r="O366" s="3" t="str">
        <f>IF(VLOOKUP($C366,'All Girls &amp; Descendants - Edit'!$C$2:$AK$440,'All Girls &amp; Descendants - Edit'!O$1,FALSE)="","",(VLOOKUP($C366,'All Girls &amp; Descendants - Edit'!$C$2:$AK$440,'All Girls &amp; Descendants - Edit'!O$1,FALSE)))</f>
        <v/>
      </c>
      <c r="P366" s="3" t="str">
        <f t="shared" si="40"/>
        <v/>
      </c>
      <c r="Q366" s="178" t="str">
        <f t="shared" si="41"/>
        <v>18bba</v>
      </c>
      <c r="R366" s="23"/>
      <c r="S366" t="str">
        <f>VLOOKUP($C366,'All Girls &amp; Descendants - Edit'!$C$2:$AK$440,'All Girls &amp; Descendants - Edit'!S$1,FALSE)</f>
        <v>Male</v>
      </c>
      <c r="T366" s="176">
        <f t="shared" si="38"/>
        <v>6</v>
      </c>
      <c r="U366" s="176">
        <f t="shared" si="42"/>
        <v>6</v>
      </c>
      <c r="V366" s="176">
        <f t="shared" si="43"/>
        <v>2</v>
      </c>
      <c r="W366" s="177">
        <f t="shared" si="44"/>
        <v>4</v>
      </c>
      <c r="X366" s="3" t="str">
        <f>IF(VLOOKUP($C366,'All Girls &amp; Descendants - Edit'!$C$2:$AK$440,'All Girls &amp; Descendants - Edit'!X$1,FALSE)=""," - ",(VLOOKUP($C366,'All Girls &amp; Descendants - Edit'!$C$2:$AK$440,'All Girls &amp; Descendants - Edit'!X$1,FALSE)))</f>
        <v>Helen Louise GIBBON (b. 20/12/1952, )</v>
      </c>
      <c r="Y366" s="3" t="str">
        <f>IF(VLOOKUP($C366,'All Girls &amp; Descendants - Edit'!$C$2:$AK$440,'All Girls &amp; Descendants - Edit'!Y$1,FALSE)=""," - ",(VLOOKUP($C366,'All Girls &amp; Descendants - Edit'!$C$2:$AK$440,'All Girls &amp; Descendants - Edit'!Y$1,FALSE)))</f>
        <v>Married at St Peter’s, Lutton Place, Edinburgh, Helen daughter of Colonel GIBBON of West Mayfield, Edinburgh.</v>
      </c>
      <c r="Z366" s="3" t="str">
        <f>IF(VLOOKUP($C366,'All Girls &amp; Descendants - Edit'!$C$2:$AK$440,'All Girls &amp; Descendants - Edit'!Z$1,FALSE)=""," - ",(VLOOKUP($C366,'All Girls &amp; Descendants - Edit'!$C$2:$AK$440,'All Girls &amp; Descendants - Edit'!Z$1,FALSE)))</f>
        <v>Educated Eton, Edinburgh University (MA) and University College, London (MSc). Changed name to RAMSAY on inheriting Bamff, Alyth, Perthshire. Environmentalist, Landowner and Writer. Council of National Trust for Scotland.</v>
      </c>
      <c r="AA366" s="101">
        <f>IF(VLOOKUP($C366,'All Girls &amp; Descendants - Edit'!$C$2:$AK$440,'All Girls &amp; Descendants - Edit'!AA$1,FALSE)=""," - ",(VLOOKUP($C366,'All Girls &amp; Descendants - Edit'!$C$2:$AK$440,'All Girls &amp; Descendants - Edit'!AA$1,FALSE)))</f>
        <v>28</v>
      </c>
      <c r="AB366" s="101">
        <f>IF(VLOOKUP($C366,'All Girls &amp; Descendants - Edit'!$C$2:$AK$440,'All Girls &amp; Descendants - Edit'!AB$1,FALSE)=""," - ",(VLOOKUP($C366,'All Girls &amp; Descendants - Edit'!$C$2:$AK$440,'All Girls &amp; Descendants - Edit'!AB$1,FALSE)))</f>
        <v>7</v>
      </c>
      <c r="AC366" s="101">
        <f>IF(VLOOKUP($C366,'All Girls &amp; Descendants - Edit'!$C$2:$AK$440,'All Girls &amp; Descendants - Edit'!AC$1,FALSE)=""," - ",(VLOOKUP($C366,'All Girls &amp; Descendants - Edit'!$C$2:$AK$440,'All Girls &amp; Descendants - Edit'!AC$1,FALSE)))</f>
        <v>4007</v>
      </c>
      <c r="AD366" s="3" t="str">
        <f>IF(VLOOKUP($C366,'All Girls &amp; Descendants - Edit'!$C$2:$AK$440,'All Girls &amp; Descendants - Edit'!AD$1,FALSE)=""," - ",(VLOOKUP($C366,'All Girls &amp; Descendants - Edit'!$C$2:$AK$440,'All Girls &amp; Descendants - Edit'!AD$1,FALSE)))</f>
        <v>18bbaa</v>
      </c>
      <c r="AE366" s="3" t="str">
        <f>IF(VLOOKUP($C366,'All Girls &amp; Descendants - Edit'!$C$2:$AK$440,'All Girls &amp; Descendants - Edit'!AE$1,FALSE)=""," - ",(VLOOKUP($C366,'All Girls &amp; Descendants - Edit'!$C$2:$AK$440,'All Girls &amp; Descendants - Edit'!AE$1,FALSE)))</f>
        <v>Robert Paul Redston WARNER (later RAMSAY) (1945 - )</v>
      </c>
      <c r="AF366" s="3" t="str">
        <f>IF(VLOOKUP($C366,'All Girls &amp; Descendants - Edit'!$C$2:$AK$440,'All Girls &amp; Descendants - Edit'!AF$1,FALSE)=""," - ",(VLOOKUP($C366,'All Girls &amp; Descendants - Edit'!$C$2:$AK$440,'All Girls &amp; Descendants - Edit'!AF$1,FALSE)))</f>
        <v>Robert WARNER (later RAMSAY) (6th &amp; 18)</v>
      </c>
      <c r="AG366" s="3" t="str">
        <f>IF(VLOOKUP($C366,'All Girls &amp; Descendants - Edit'!$C$2:$AK$440,'All Girls &amp; Descendants - Edit'!AG$1,FALSE)=""," - ",(VLOOKUP($C366,'All Girls &amp; Descendants - Edit'!$C$2:$AK$440,'All Girls &amp; Descendants - Edit'!AG$1,FALSE)))</f>
        <v>Male</v>
      </c>
      <c r="AH366" s="3" t="str">
        <f>IF(VLOOKUP($C366,'All Girls &amp; Descendants - Edit'!$C$2:$AK$440,'All Girls &amp; Descendants - Edit'!AH$1,FALSE)=""," - ",(VLOOKUP($C366,'All Girls &amp; Descendants - Edit'!$C$2:$AK$440,'All Girls &amp; Descendants - Edit'!AH$1,FALSE)))</f>
        <v>6th</v>
      </c>
      <c r="AI366" s="3" t="str">
        <f>IF(VLOOKUP($C366,'All Girls &amp; Descendants - Edit'!$C$2:$AK$440,'All Girls &amp; Descendants - Edit'!AI$1,FALSE)=""," - ",(VLOOKUP($C366,'All Girls &amp; Descendants - Edit'!$C$2:$AK$440,'All Girls &amp; Descendants - Edit'!AI$1,FALSE)))</f>
        <v>Wife: Helen Louise GIBBON (b. 20/12/1952, ). Married at St Peter’s, Lutton Place, Edinburgh, Helen daughter of Colonel GIBBON of West Mayfield, Edinburgh.</v>
      </c>
      <c r="AJ366" s="3" t="str">
        <f>IF(VLOOKUP($C366,'All Girls &amp; Descendants - Edit'!$C$2:$AK$440,'All Girls &amp; Descendants - Edit'!AJ$1,FALSE)=""," - ",(VLOOKUP($C366,'All Girls &amp; Descendants - Edit'!$C$2:$AK$440,'All Girls &amp; Descendants - Edit'!AJ$1,FALSE)))</f>
        <v>Male. b. 30/10/1945 Educated Eton, Edinburgh University (MA) and University College, London (MSc). Changed name to RAMSAY on inheriting Bamff, Alyth, Perthshire. Environmentalist, Landowner and Writer. Council of National Trust for Scotland.</v>
      </c>
      <c r="AK366" s="3" t="str">
        <f>IF(VLOOKUP($C366,'All Girls &amp; Descendants - Edit'!$C$2:$AK$440,'All Girls &amp; Descendants - Edit'!AK$1,FALSE)=""," - ",(VLOOKUP($C366,'All Girls &amp; Descendants - Edit'!$C$2:$AK$440,'All Girls &amp; Descendants - Edit'!AK$1,FALSE)))</f>
        <v>b. 30/10/1945</v>
      </c>
    </row>
    <row r="367" spans="1:37" ht="19">
      <c r="A367">
        <f>VLOOKUP(B367,'Loyd List 1-190 - Edit'!$P$1:$R$219,3,FALSE)</f>
        <v>8</v>
      </c>
      <c r="B367">
        <f>'All Girls &amp; Descendants - Edit'!B368</f>
        <v>18</v>
      </c>
      <c r="C367" s="98" t="str">
        <f>'All Girls &amp; Descendants - Edit'!C368</f>
        <v>18bbab</v>
      </c>
      <c r="D367" s="2" t="str">
        <f>'All Girls &amp; Descendants - Edit'!D368</f>
        <v>WARNER</v>
      </c>
      <c r="E367" t="str">
        <f>'All Girls &amp; Descendants - Edit'!E368</f>
        <v>Elizabeth</v>
      </c>
      <c r="F367" t="str">
        <f>IF('All Girls &amp; Descendants - Edit'!F368="","",'All Girls &amp; Descendants - Edit'!F368)</f>
        <v>Margery</v>
      </c>
      <c r="G367" t="str">
        <f>IF('All Girls &amp; Descendants - Edit'!G368="","",'All Girls &amp; Descendants - Edit'!G368)</f>
        <v/>
      </c>
      <c r="H367" t="str">
        <f>IF('All Girls &amp; Descendants - Edit'!H368="","",'All Girls &amp; Descendants - Edit'!H368)</f>
        <v/>
      </c>
      <c r="I367">
        <f>VLOOKUP($C367,'All Girls &amp; Descendants - Edit'!$C$2:$AK$440,'All Girls &amp; Descendants - Edit'!I$1,FALSE)</f>
        <v>1947</v>
      </c>
      <c r="J367" t="str">
        <f>VLOOKUP($C367,'All Girls &amp; Descendants - Edit'!$C$2:$AK$440,'All Girls &amp; Descendants - Edit'!J$1,FALSE)</f>
        <v/>
      </c>
      <c r="K367" s="9"/>
      <c r="L367" t="str">
        <f t="shared" si="39"/>
        <v>14/12/1947</v>
      </c>
      <c r="M367" s="3">
        <f>VLOOKUP($C367,'All Girls &amp; Descendants - Edit'!$C$2:$AK$440,'All Girls &amp; Descendants - Edit'!M$1,FALSE)</f>
        <v>17515</v>
      </c>
      <c r="N367" s="3">
        <f>IF(VLOOKUP($C367,'All Girls &amp; Descendants - Edit'!$C$2:$AK$440,'All Girls &amp; Descendants - Edit'!N$1,FALSE)=""," - ",(VLOOKUP($C367,'All Girls &amp; Descendants - Edit'!$C$2:$AK$440,'All Girls &amp; Descendants - Edit'!N$1,FALSE)))</f>
        <v>27013</v>
      </c>
      <c r="O367" s="3" t="str">
        <f>IF(VLOOKUP($C367,'All Girls &amp; Descendants - Edit'!$C$2:$AK$440,'All Girls &amp; Descendants - Edit'!O$1,FALSE)="","",(VLOOKUP($C367,'All Girls &amp; Descendants - Edit'!$C$2:$AK$440,'All Girls &amp; Descendants - Edit'!O$1,FALSE)))</f>
        <v/>
      </c>
      <c r="P367" s="3" t="str">
        <f t="shared" si="40"/>
        <v/>
      </c>
      <c r="Q367" s="178" t="str">
        <f t="shared" si="41"/>
        <v>18bba</v>
      </c>
      <c r="R367" s="23"/>
      <c r="S367" t="str">
        <f>VLOOKUP($C367,'All Girls &amp; Descendants - Edit'!$C$2:$AK$440,'All Girls &amp; Descendants - Edit'!S$1,FALSE)</f>
        <v>Female</v>
      </c>
      <c r="T367" s="176">
        <f t="shared" si="38"/>
        <v>6</v>
      </c>
      <c r="U367" s="176">
        <f t="shared" si="42"/>
        <v>6</v>
      </c>
      <c r="V367" s="176">
        <f t="shared" si="43"/>
        <v>2</v>
      </c>
      <c r="W367" s="177">
        <f t="shared" si="44"/>
        <v>4</v>
      </c>
      <c r="X367" s="3" t="str">
        <f>IF(VLOOKUP($C367,'All Girls &amp; Descendants - Edit'!$C$2:$AK$440,'All Girls &amp; Descendants - Edit'!X$1,FALSE)=""," - ",(VLOOKUP($C367,'All Girls &amp; Descendants - Edit'!$C$2:$AK$440,'All Girls &amp; Descendants - Edit'!X$1,FALSE)))</f>
        <v>William BERRY (b. 26/09/1939, )</v>
      </c>
      <c r="Y367" s="3" t="str">
        <f>IF(VLOOKUP($C367,'All Girls &amp; Descendants - Edit'!$C$2:$AK$440,'All Girls &amp; Descendants - Edit'!Y$1,FALSE)=""," - ",(VLOOKUP($C367,'All Girls &amp; Descendants - Edit'!$C$2:$AK$440,'All Girls &amp; Descendants - Edit'!Y$1,FALSE)))</f>
        <v>Married at St Giles’ Cathedral, Edinburgh, William elder son of Dr John BERRY CBE &amp; the Hon. Bride (née Fremantle) Berry of Tayfield, Newport-on-Tay, Fife.</v>
      </c>
      <c r="Z367" s="3" t="str">
        <f>IF(VLOOKUP($C367,'All Girls &amp; Descendants - Edit'!$C$2:$AK$440,'All Girls &amp; Descendants - Edit'!Z$1,FALSE)=""," - ",(VLOOKUP($C367,'All Girls &amp; Descendants - Edit'!$C$2:$AK$440,'All Girls &amp; Descendants - Edit'!Z$1,FALSE)))</f>
        <v>Twin with her brother Nigel. Educated Godolphin, Salisbury and Edinburgh and Aberdeen Universities.</v>
      </c>
      <c r="AA367" s="101">
        <f>IF(VLOOKUP($C367,'All Girls &amp; Descendants - Edit'!$C$2:$AK$440,'All Girls &amp; Descendants - Edit'!AA$1,FALSE)=""," - ",(VLOOKUP($C367,'All Girls &amp; Descendants - Edit'!$C$2:$AK$440,'All Girls &amp; Descendants - Edit'!AA$1,FALSE)))</f>
        <v>33</v>
      </c>
      <c r="AB367" s="101">
        <f>IF(VLOOKUP($C367,'All Girls &amp; Descendants - Edit'!$C$2:$AK$440,'All Girls &amp; Descendants - Edit'!AB$1,FALSE)=""," - ",(VLOOKUP($C367,'All Girls &amp; Descendants - Edit'!$C$2:$AK$440,'All Girls &amp; Descendants - Edit'!AB$1,FALSE)))</f>
        <v>8</v>
      </c>
      <c r="AC367" s="101">
        <f>IF(VLOOKUP($C367,'All Girls &amp; Descendants - Edit'!$C$2:$AK$440,'All Girls &amp; Descendants - Edit'!AC$1,FALSE)=""," - ",(VLOOKUP($C367,'All Girls &amp; Descendants - Edit'!$C$2:$AK$440,'All Girls &amp; Descendants - Edit'!AC$1,FALSE)))</f>
        <v>4008</v>
      </c>
      <c r="AD367" s="3" t="str">
        <f>IF(VLOOKUP($C367,'All Girls &amp; Descendants - Edit'!$C$2:$AK$440,'All Girls &amp; Descendants - Edit'!AD$1,FALSE)=""," - ",(VLOOKUP($C367,'All Girls &amp; Descendants - Edit'!$C$2:$AK$440,'All Girls &amp; Descendants - Edit'!AD$1,FALSE)))</f>
        <v>18bbab</v>
      </c>
      <c r="AE367" s="3" t="str">
        <f>IF(VLOOKUP($C367,'All Girls &amp; Descendants - Edit'!$C$2:$AK$440,'All Girls &amp; Descendants - Edit'!AE$1,FALSE)=""," - ",(VLOOKUP($C367,'All Girls &amp; Descendants - Edit'!$C$2:$AK$440,'All Girls &amp; Descendants - Edit'!AE$1,FALSE)))</f>
        <v>Elizabeth Margery  WARNER (1947 - )</v>
      </c>
      <c r="AF367" s="3" t="str">
        <f>IF(VLOOKUP($C367,'All Girls &amp; Descendants - Edit'!$C$2:$AK$440,'All Girls &amp; Descendants - Edit'!AF$1,FALSE)=""," - ",(VLOOKUP($C367,'All Girls &amp; Descendants - Edit'!$C$2:$AK$440,'All Girls &amp; Descendants - Edit'!AF$1,FALSE)))</f>
        <v>Elizabeth WARNER (6th &amp; 18)</v>
      </c>
      <c r="AG367" s="3" t="str">
        <f>IF(VLOOKUP($C367,'All Girls &amp; Descendants - Edit'!$C$2:$AK$440,'All Girls &amp; Descendants - Edit'!AG$1,FALSE)=""," - ",(VLOOKUP($C367,'All Girls &amp; Descendants - Edit'!$C$2:$AK$440,'All Girls &amp; Descendants - Edit'!AG$1,FALSE)))</f>
        <v>Female</v>
      </c>
      <c r="AH367" s="3" t="str">
        <f>IF(VLOOKUP($C367,'All Girls &amp; Descendants - Edit'!$C$2:$AK$440,'All Girls &amp; Descendants - Edit'!AH$1,FALSE)=""," - ",(VLOOKUP($C367,'All Girls &amp; Descendants - Edit'!$C$2:$AK$440,'All Girls &amp; Descendants - Edit'!AH$1,FALSE)))</f>
        <v>6th</v>
      </c>
      <c r="AI367" s="3" t="str">
        <f>IF(VLOOKUP($C367,'All Girls &amp; Descendants - Edit'!$C$2:$AK$440,'All Girls &amp; Descendants - Edit'!AI$1,FALSE)=""," - ",(VLOOKUP($C367,'All Girls &amp; Descendants - Edit'!$C$2:$AK$440,'All Girls &amp; Descendants - Edit'!AI$1,FALSE)))</f>
        <v>Husband: William BERRY (b. 26/09/1939, ). Married at St Giles’ Cathedral, Edinburgh, William elder son of Dr John BERRY CBE &amp; the Hon. Bride (née Fremantle) Berry of Tayfield, Newport-on-Tay, Fife.</v>
      </c>
      <c r="AJ367" s="3" t="str">
        <f>IF(VLOOKUP($C367,'All Girls &amp; Descendants - Edit'!$C$2:$AK$440,'All Girls &amp; Descendants - Edit'!AJ$1,FALSE)=""," - ",(VLOOKUP($C367,'All Girls &amp; Descendants - Edit'!$C$2:$AK$440,'All Girls &amp; Descendants - Edit'!AJ$1,FALSE)))</f>
        <v>Female. b. 14/12/1947 Twin with her brother Nigel. Educated Godolphin, Salisbury and Edinburgh and Aberdeen Universities.</v>
      </c>
      <c r="AK367" s="3" t="str">
        <f>IF(VLOOKUP($C367,'All Girls &amp; Descendants - Edit'!$C$2:$AK$440,'All Girls &amp; Descendants - Edit'!AK$1,FALSE)=""," - ",(VLOOKUP($C367,'All Girls &amp; Descendants - Edit'!$C$2:$AK$440,'All Girls &amp; Descendants - Edit'!AK$1,FALSE)))</f>
        <v>b. 14/12/1947</v>
      </c>
    </row>
    <row r="368" spans="1:37" ht="19">
      <c r="A368">
        <f>VLOOKUP(B368,'Loyd List 1-190 - Edit'!$P$1:$R$219,3,FALSE)</f>
        <v>8</v>
      </c>
      <c r="B368">
        <f>'All Girls &amp; Descendants - Edit'!B369</f>
        <v>18</v>
      </c>
      <c r="C368" s="98" t="str">
        <f>'All Girls &amp; Descendants - Edit'!C369</f>
        <v>18bbac</v>
      </c>
      <c r="D368" s="2" t="str">
        <f>'All Girls &amp; Descendants - Edit'!D369</f>
        <v>WARNER</v>
      </c>
      <c r="E368" t="str">
        <f>'All Girls &amp; Descendants - Edit'!E369</f>
        <v>Nigel</v>
      </c>
      <c r="F368" t="str">
        <f>IF('All Girls &amp; Descendants - Edit'!F369="","",'All Girls &amp; Descendants - Edit'!F369)</f>
        <v>George</v>
      </c>
      <c r="G368" t="str">
        <f>IF('All Girls &amp; Descendants - Edit'!G369="","",'All Girls &amp; Descendants - Edit'!G369)</f>
        <v/>
      </c>
      <c r="H368" t="str">
        <f>IF('All Girls &amp; Descendants - Edit'!H369="","",'All Girls &amp; Descendants - Edit'!H369)</f>
        <v/>
      </c>
      <c r="I368">
        <f>VLOOKUP($C368,'All Girls &amp; Descendants - Edit'!$C$2:$AK$440,'All Girls &amp; Descendants - Edit'!I$1,FALSE)</f>
        <v>1947</v>
      </c>
      <c r="J368" t="str">
        <f>VLOOKUP($C368,'All Girls &amp; Descendants - Edit'!$C$2:$AK$440,'All Girls &amp; Descendants - Edit'!J$1,FALSE)</f>
        <v/>
      </c>
      <c r="K368" s="9"/>
      <c r="L368" t="str">
        <f t="shared" si="39"/>
        <v>14/12/1947</v>
      </c>
      <c r="M368" s="3">
        <f>VLOOKUP($C368,'All Girls &amp; Descendants - Edit'!$C$2:$AK$440,'All Girls &amp; Descendants - Edit'!M$1,FALSE)</f>
        <v>17515</v>
      </c>
      <c r="N368" s="3" t="str">
        <f>IF(VLOOKUP($C368,'All Girls &amp; Descendants - Edit'!$C$2:$AK$440,'All Girls &amp; Descendants - Edit'!N$1,FALSE)=""," - ",(VLOOKUP($C368,'All Girls &amp; Descendants - Edit'!$C$2:$AK$440,'All Girls &amp; Descendants - Edit'!N$1,FALSE)))</f>
        <v xml:space="preserve"> - </v>
      </c>
      <c r="O368" s="3" t="str">
        <f>IF(VLOOKUP($C368,'All Girls &amp; Descendants - Edit'!$C$2:$AK$440,'All Girls &amp; Descendants - Edit'!O$1,FALSE)="","",(VLOOKUP($C368,'All Girls &amp; Descendants - Edit'!$C$2:$AK$440,'All Girls &amp; Descendants - Edit'!O$1,FALSE)))</f>
        <v/>
      </c>
      <c r="P368" s="3" t="str">
        <f t="shared" si="40"/>
        <v/>
      </c>
      <c r="Q368" s="178" t="str">
        <f t="shared" si="41"/>
        <v>18bba</v>
      </c>
      <c r="R368" s="23"/>
      <c r="S368" t="str">
        <f>VLOOKUP($C368,'All Girls &amp; Descendants - Edit'!$C$2:$AK$440,'All Girls &amp; Descendants - Edit'!S$1,FALSE)</f>
        <v>Male</v>
      </c>
      <c r="T368" s="176">
        <f t="shared" si="38"/>
        <v>6</v>
      </c>
      <c r="U368" s="176">
        <f t="shared" si="42"/>
        <v>6</v>
      </c>
      <c r="V368" s="176">
        <f t="shared" si="43"/>
        <v>2</v>
      </c>
      <c r="W368" s="177">
        <f t="shared" si="44"/>
        <v>4</v>
      </c>
      <c r="X368" s="3" t="str">
        <f>IF(VLOOKUP($C368,'All Girls &amp; Descendants - Edit'!$C$2:$AK$440,'All Girls &amp; Descendants - Edit'!X$1,FALSE)=""," - ",(VLOOKUP($C368,'All Girls &amp; Descendants - Edit'!$C$2:$AK$440,'All Girls &amp; Descendants - Edit'!X$1,FALSE)))</f>
        <v>Civil partner  -  Kuei Lin HSU (Male, b 26/07/1965, )</v>
      </c>
      <c r="Y368" s="3" t="str">
        <f>IF(VLOOKUP($C368,'All Girls &amp; Descendants - Edit'!$C$2:$AK$440,'All Girls &amp; Descendants - Edit'!Y$1,FALSE)=""," - ",(VLOOKUP($C368,'All Girls &amp; Descendants - Edit'!$C$2:$AK$440,'All Girls &amp; Descendants - Edit'!Y$1,FALSE)))</f>
        <v xml:space="preserve"> - </v>
      </c>
      <c r="Z368" s="3" t="str">
        <f>IF(VLOOKUP($C368,'All Girls &amp; Descendants - Edit'!$C$2:$AK$440,'All Girls &amp; Descendants - Edit'!Z$1,FALSE)=""," - ",(VLOOKUP($C368,'All Girls &amp; Descendants - Edit'!$C$2:$AK$440,'All Girls &amp; Descendants - Edit'!Z$1,FALSE)))</f>
        <v>Twin with his sister Elizabeth. Educated Rugby and Clare College, Cambridge. Chartered Accountant. Peat, Marwick &amp; Mitchell. Shell UK. Retired 1997. Awarded MBE in 2015 for services to the Internationals Lesbian and Gay Rights' movement.</v>
      </c>
      <c r="AA368" s="101">
        <f>IF(VLOOKUP($C368,'All Girls &amp; Descendants - Edit'!$C$2:$AK$440,'All Girls &amp; Descendants - Edit'!AA$1,FALSE)=""," - ",(VLOOKUP($C368,'All Girls &amp; Descendants - Edit'!$C$2:$AK$440,'All Girls &amp; Descendants - Edit'!AA$1,FALSE)))</f>
        <v>36</v>
      </c>
      <c r="AB368" s="101">
        <f>IF(VLOOKUP($C368,'All Girls &amp; Descendants - Edit'!$C$2:$AK$440,'All Girls &amp; Descendants - Edit'!AB$1,FALSE)=""," - ",(VLOOKUP($C368,'All Girls &amp; Descendants - Edit'!$C$2:$AK$440,'All Girls &amp; Descendants - Edit'!AB$1,FALSE)))</f>
        <v>9</v>
      </c>
      <c r="AC368" s="101">
        <f>IF(VLOOKUP($C368,'All Girls &amp; Descendants - Edit'!$C$2:$AK$440,'All Girls &amp; Descendants - Edit'!AC$1,FALSE)=""," - ",(VLOOKUP($C368,'All Girls &amp; Descendants - Edit'!$C$2:$AK$440,'All Girls &amp; Descendants - Edit'!AC$1,FALSE)))</f>
        <v>4009</v>
      </c>
      <c r="AD368" s="3" t="str">
        <f>IF(VLOOKUP($C368,'All Girls &amp; Descendants - Edit'!$C$2:$AK$440,'All Girls &amp; Descendants - Edit'!AD$1,FALSE)=""," - ",(VLOOKUP($C368,'All Girls &amp; Descendants - Edit'!$C$2:$AK$440,'All Girls &amp; Descendants - Edit'!AD$1,FALSE)))</f>
        <v>18bbac</v>
      </c>
      <c r="AE368" s="3" t="str">
        <f>IF(VLOOKUP($C368,'All Girls &amp; Descendants - Edit'!$C$2:$AK$440,'All Girls &amp; Descendants - Edit'!AE$1,FALSE)=""," - ",(VLOOKUP($C368,'All Girls &amp; Descendants - Edit'!$C$2:$AK$440,'All Girls &amp; Descendants - Edit'!AE$1,FALSE)))</f>
        <v>Nigel George  WARNER (1947 - )</v>
      </c>
      <c r="AF368" s="3" t="str">
        <f>IF(VLOOKUP($C368,'All Girls &amp; Descendants - Edit'!$C$2:$AK$440,'All Girls &amp; Descendants - Edit'!AF$1,FALSE)=""," - ",(VLOOKUP($C368,'All Girls &amp; Descendants - Edit'!$C$2:$AK$440,'All Girls &amp; Descendants - Edit'!AF$1,FALSE)))</f>
        <v>Nigel WARNER (6th &amp; 18)</v>
      </c>
      <c r="AG368" s="3" t="str">
        <f>IF(VLOOKUP($C368,'All Girls &amp; Descendants - Edit'!$C$2:$AK$440,'All Girls &amp; Descendants - Edit'!AG$1,FALSE)=""," - ",(VLOOKUP($C368,'All Girls &amp; Descendants - Edit'!$C$2:$AK$440,'All Girls &amp; Descendants - Edit'!AG$1,FALSE)))</f>
        <v>Male</v>
      </c>
      <c r="AH368" s="3" t="str">
        <f>IF(VLOOKUP($C368,'All Girls &amp; Descendants - Edit'!$C$2:$AK$440,'All Girls &amp; Descendants - Edit'!AH$1,FALSE)=""," - ",(VLOOKUP($C368,'All Girls &amp; Descendants - Edit'!$C$2:$AK$440,'All Girls &amp; Descendants - Edit'!AH$1,FALSE)))</f>
        <v>6th</v>
      </c>
      <c r="AI368" s="3" t="str">
        <f>IF(VLOOKUP($C368,'All Girls &amp; Descendants - Edit'!$C$2:$AK$440,'All Girls &amp; Descendants - Edit'!AI$1,FALSE)=""," - ",(VLOOKUP($C368,'All Girls &amp; Descendants - Edit'!$C$2:$AK$440,'All Girls &amp; Descendants - Edit'!AI$1,FALSE)))</f>
        <v xml:space="preserve">Wife: Civil partner  -  Kuei Lin HSU (Male, b 26/07/1965, ). </v>
      </c>
      <c r="AJ368" s="3" t="str">
        <f>IF(VLOOKUP($C368,'All Girls &amp; Descendants - Edit'!$C$2:$AK$440,'All Girls &amp; Descendants - Edit'!AJ$1,FALSE)=""," - ",(VLOOKUP($C368,'All Girls &amp; Descendants - Edit'!$C$2:$AK$440,'All Girls &amp; Descendants - Edit'!AJ$1,FALSE)))</f>
        <v>Male. b. 14/12/1947 Twin with his sister Elizabeth. Educated Rugby and Clare College, Cambridge. Chartered Accountant. Peat, Marwick &amp; Mitchell. Shell UK. Retired 1997. Awarded MBE in 2015 for services to the Internationals Lesbian and Gay Rights' movement.</v>
      </c>
      <c r="AK368" s="3" t="str">
        <f>IF(VLOOKUP($C368,'All Girls &amp; Descendants - Edit'!$C$2:$AK$440,'All Girls &amp; Descendants - Edit'!AK$1,FALSE)=""," - ",(VLOOKUP($C368,'All Girls &amp; Descendants - Edit'!$C$2:$AK$440,'All Girls &amp; Descendants - Edit'!AK$1,FALSE)))</f>
        <v>b. 14/12/1947</v>
      </c>
    </row>
    <row r="369" spans="1:37" ht="19">
      <c r="A369">
        <f>VLOOKUP(B369,'Loyd List 1-190 - Edit'!$P$1:$R$219,3,FALSE)</f>
        <v>8</v>
      </c>
      <c r="B369">
        <f>'All Girls &amp; Descendants - Edit'!B370</f>
        <v>18</v>
      </c>
      <c r="C369" s="98" t="str">
        <f>'All Girls &amp; Descendants - Edit'!C370</f>
        <v>18bbad</v>
      </c>
      <c r="D369" s="2" t="str">
        <f>'All Girls &amp; Descendants - Edit'!D370</f>
        <v>WARNER</v>
      </c>
      <c r="E369" t="str">
        <f>'All Girls &amp; Descendants - Edit'!E370</f>
        <v>Alan</v>
      </c>
      <c r="F369" t="str">
        <f>IF('All Girls &amp; Descendants - Edit'!F370="","",'All Girls &amp; Descendants - Edit'!F370)</f>
        <v>Tristram</v>
      </c>
      <c r="G369" t="str">
        <f>IF('All Girls &amp; Descendants - Edit'!G370="","",'All Girls &amp; Descendants - Edit'!G370)</f>
        <v>Nicholas</v>
      </c>
      <c r="H369" t="str">
        <f>IF('All Girls &amp; Descendants - Edit'!H370="","",'All Girls &amp; Descendants - Edit'!H370)</f>
        <v/>
      </c>
      <c r="I369">
        <f>VLOOKUP($C369,'All Girls &amp; Descendants - Edit'!$C$2:$AK$440,'All Girls &amp; Descendants - Edit'!I$1,FALSE)</f>
        <v>1949</v>
      </c>
      <c r="J369" t="str">
        <f>VLOOKUP($C369,'All Girls &amp; Descendants - Edit'!$C$2:$AK$440,'All Girls &amp; Descendants - Edit'!J$1,FALSE)</f>
        <v/>
      </c>
      <c r="K369" s="9"/>
      <c r="L369" t="str">
        <f t="shared" si="39"/>
        <v>18/10/1949</v>
      </c>
      <c r="M369" s="3">
        <f>VLOOKUP($C369,'All Girls &amp; Descendants - Edit'!$C$2:$AK$440,'All Girls &amp; Descendants - Edit'!M$1,FALSE)</f>
        <v>18189</v>
      </c>
      <c r="N369" s="3">
        <f>IF(VLOOKUP($C369,'All Girls &amp; Descendants - Edit'!$C$2:$AK$440,'All Girls &amp; Descendants - Edit'!N$1,FALSE)=""," - ",(VLOOKUP($C369,'All Girls &amp; Descendants - Edit'!$C$2:$AK$440,'All Girls &amp; Descendants - Edit'!N$1,FALSE)))</f>
        <v>30688</v>
      </c>
      <c r="O369" s="3" t="str">
        <f>IF(VLOOKUP($C369,'All Girls &amp; Descendants - Edit'!$C$2:$AK$440,'All Girls &amp; Descendants - Edit'!O$1,FALSE)="","",(VLOOKUP($C369,'All Girls &amp; Descendants - Edit'!$C$2:$AK$440,'All Girls &amp; Descendants - Edit'!O$1,FALSE)))</f>
        <v/>
      </c>
      <c r="P369" s="3" t="str">
        <f t="shared" si="40"/>
        <v/>
      </c>
      <c r="Q369" s="178" t="str">
        <f t="shared" si="41"/>
        <v>18bba</v>
      </c>
      <c r="R369" s="23"/>
      <c r="S369" t="str">
        <f>VLOOKUP($C369,'All Girls &amp; Descendants - Edit'!$C$2:$AK$440,'All Girls &amp; Descendants - Edit'!S$1,FALSE)</f>
        <v>Male</v>
      </c>
      <c r="T369" s="176">
        <f t="shared" si="38"/>
        <v>6</v>
      </c>
      <c r="U369" s="176">
        <f t="shared" si="42"/>
        <v>6</v>
      </c>
      <c r="V369" s="176">
        <f t="shared" si="43"/>
        <v>2</v>
      </c>
      <c r="W369" s="177">
        <f t="shared" si="44"/>
        <v>4</v>
      </c>
      <c r="X369" s="3" t="str">
        <f>IF(VLOOKUP($C369,'All Girls &amp; Descendants - Edit'!$C$2:$AK$440,'All Girls &amp; Descendants - Edit'!X$1,FALSE)=""," - ",(VLOOKUP($C369,'All Girls &amp; Descendants - Edit'!$C$2:$AK$440,'All Girls &amp; Descendants - Edit'!X$1,FALSE)))</f>
        <v>Susan Voase ADDERLEY (b. 05/08/1949, )</v>
      </c>
      <c r="Y369" s="3" t="str">
        <f>IF(VLOOKUP($C369,'All Girls &amp; Descendants - Edit'!$C$2:$AK$440,'All Girls &amp; Descendants - Edit'!Y$1,FALSE)=""," - ",(VLOOKUP($C369,'All Girls &amp; Descendants - Edit'!$C$2:$AK$440,'All Girls &amp; Descendants - Edit'!Y$1,FALSE)))</f>
        <v>Married Susan, at St Peter &amp; St Paul’s, Pickering, North Yorskhire, eldest daughter of RB ADDERLEY MBE of Pickering North Yorkshire</v>
      </c>
      <c r="Z369" s="3" t="str">
        <f>IF(VLOOKUP($C369,'All Girls &amp; Descendants - Edit'!$C$2:$AK$440,'All Girls &amp; Descendants - Edit'!Z$1,FALSE)=""," - ",(VLOOKUP($C369,'All Girls &amp; Descendants - Edit'!$C$2:$AK$440,'All Girls &amp; Descendants - Edit'!Z$1,FALSE)))</f>
        <v xml:space="preserve">Alan lives in Perthshire. Educated Rugby and St Andrews. Chartered Accountant, Touche Ross. Director Douglas Deakin Young 1980-2005, Director Duncan Lawrie Asset Management 2005-2017. </v>
      </c>
      <c r="AA369" s="101">
        <f>IF(VLOOKUP($C369,'All Girls &amp; Descendants - Edit'!$C$2:$AK$440,'All Girls &amp; Descendants - Edit'!AA$1,FALSE)=""," - ",(VLOOKUP($C369,'All Girls &amp; Descendants - Edit'!$C$2:$AK$440,'All Girls &amp; Descendants - Edit'!AA$1,FALSE)))</f>
        <v>37</v>
      </c>
      <c r="AB369" s="101">
        <f>IF(VLOOKUP($C369,'All Girls &amp; Descendants - Edit'!$C$2:$AK$440,'All Girls &amp; Descendants - Edit'!AB$1,FALSE)=""," - ",(VLOOKUP($C369,'All Girls &amp; Descendants - Edit'!$C$2:$AK$440,'All Girls &amp; Descendants - Edit'!AB$1,FALSE)))</f>
        <v>10</v>
      </c>
      <c r="AC369" s="101">
        <f>IF(VLOOKUP($C369,'All Girls &amp; Descendants - Edit'!$C$2:$AK$440,'All Girls &amp; Descendants - Edit'!AC$1,FALSE)=""," - ",(VLOOKUP($C369,'All Girls &amp; Descendants - Edit'!$C$2:$AK$440,'All Girls &amp; Descendants - Edit'!AC$1,FALSE)))</f>
        <v>4010</v>
      </c>
      <c r="AD369" s="3" t="str">
        <f>IF(VLOOKUP($C369,'All Girls &amp; Descendants - Edit'!$C$2:$AK$440,'All Girls &amp; Descendants - Edit'!AD$1,FALSE)=""," - ",(VLOOKUP($C369,'All Girls &amp; Descendants - Edit'!$C$2:$AK$440,'All Girls &amp; Descendants - Edit'!AD$1,FALSE)))</f>
        <v>18bbad</v>
      </c>
      <c r="AE369" s="3" t="str">
        <f>IF(VLOOKUP($C369,'All Girls &amp; Descendants - Edit'!$C$2:$AK$440,'All Girls &amp; Descendants - Edit'!AE$1,FALSE)=""," - ",(VLOOKUP($C369,'All Girls &amp; Descendants - Edit'!$C$2:$AK$440,'All Girls &amp; Descendants - Edit'!AE$1,FALSE)))</f>
        <v>Alan Tristram Nicholas WARNER (1949 - )</v>
      </c>
      <c r="AF369" s="3" t="str">
        <f>IF(VLOOKUP($C369,'All Girls &amp; Descendants - Edit'!$C$2:$AK$440,'All Girls &amp; Descendants - Edit'!AF$1,FALSE)=""," - ",(VLOOKUP($C369,'All Girls &amp; Descendants - Edit'!$C$2:$AK$440,'All Girls &amp; Descendants - Edit'!AF$1,FALSE)))</f>
        <v>Alan WARNER (6th &amp; 18)</v>
      </c>
      <c r="AG369" s="3" t="str">
        <f>IF(VLOOKUP($C369,'All Girls &amp; Descendants - Edit'!$C$2:$AK$440,'All Girls &amp; Descendants - Edit'!AG$1,FALSE)=""," - ",(VLOOKUP($C369,'All Girls &amp; Descendants - Edit'!$C$2:$AK$440,'All Girls &amp; Descendants - Edit'!AG$1,FALSE)))</f>
        <v>Male</v>
      </c>
      <c r="AH369" s="3" t="str">
        <f>IF(VLOOKUP($C369,'All Girls &amp; Descendants - Edit'!$C$2:$AK$440,'All Girls &amp; Descendants - Edit'!AH$1,FALSE)=""," - ",(VLOOKUP($C369,'All Girls &amp; Descendants - Edit'!$C$2:$AK$440,'All Girls &amp; Descendants - Edit'!AH$1,FALSE)))</f>
        <v>6th</v>
      </c>
      <c r="AI369" s="3" t="str">
        <f>IF(VLOOKUP($C369,'All Girls &amp; Descendants - Edit'!$C$2:$AK$440,'All Girls &amp; Descendants - Edit'!AI$1,FALSE)=""," - ",(VLOOKUP($C369,'All Girls &amp; Descendants - Edit'!$C$2:$AK$440,'All Girls &amp; Descendants - Edit'!AI$1,FALSE)))</f>
        <v>Wife: Susan Voase ADDERLEY (b. 05/08/1949, ). Married Susan, at St Peter &amp; St Paul’s, Pickering, North Yorskhire, eldest daughter of RB ADDERLEY MBE of Pickering North Yorkshire</v>
      </c>
      <c r="AJ369" s="3" t="str">
        <f>IF(VLOOKUP($C369,'All Girls &amp; Descendants - Edit'!$C$2:$AK$440,'All Girls &amp; Descendants - Edit'!AJ$1,FALSE)=""," - ",(VLOOKUP($C369,'All Girls &amp; Descendants - Edit'!$C$2:$AK$440,'All Girls &amp; Descendants - Edit'!AJ$1,FALSE)))</f>
        <v xml:space="preserve">Male. b. 18/10/1949 Alan lives in Perthshire. Educated Rugby and St Andrews. Chartered Accountant, Touche Ross. Director Douglas Deakin Young 1980-2005, Director Duncan Lawrie Asset Management 2005-2017. </v>
      </c>
      <c r="AK369" s="3" t="str">
        <f>IF(VLOOKUP($C369,'All Girls &amp; Descendants - Edit'!$C$2:$AK$440,'All Girls &amp; Descendants - Edit'!AK$1,FALSE)=""," - ",(VLOOKUP($C369,'All Girls &amp; Descendants - Edit'!$C$2:$AK$440,'All Girls &amp; Descendants - Edit'!AK$1,FALSE)))</f>
        <v>b. 18/10/1949</v>
      </c>
    </row>
    <row r="370" spans="1:37" ht="19">
      <c r="A370">
        <f>VLOOKUP(B370,'Loyd List 1-190 - Edit'!$P$1:$R$219,3,FALSE)</f>
        <v>8</v>
      </c>
      <c r="B370">
        <f>'All Girls &amp; Descendants - Edit'!B371</f>
        <v>18</v>
      </c>
      <c r="C370" s="98" t="str">
        <f>'All Girls &amp; Descendants - Edit'!C371</f>
        <v>18bbba</v>
      </c>
      <c r="D370" s="2" t="str">
        <f>'All Girls &amp; Descendants - Edit'!D371</f>
        <v>NICOL</v>
      </c>
      <c r="E370" t="str">
        <f>'All Girls &amp; Descendants - Edit'!E371</f>
        <v>Randall</v>
      </c>
      <c r="F370" t="str">
        <f>IF('All Girls &amp; Descendants - Edit'!F371="","",'All Girls &amp; Descendants - Edit'!F371)</f>
        <v>Lewis</v>
      </c>
      <c r="G370" t="str">
        <f>IF('All Girls &amp; Descendants - Edit'!G371="","",'All Girls &amp; Descendants - Edit'!G371)</f>
        <v/>
      </c>
      <c r="H370" t="str">
        <f>IF('All Girls &amp; Descendants - Edit'!H371="","",'All Girls &amp; Descendants - Edit'!H371)</f>
        <v/>
      </c>
      <c r="I370">
        <f>VLOOKUP($C370,'All Girls &amp; Descendants - Edit'!$C$2:$AK$440,'All Girls &amp; Descendants - Edit'!I$1,FALSE)</f>
        <v>1947</v>
      </c>
      <c r="J370" t="str">
        <f>VLOOKUP($C370,'All Girls &amp; Descendants - Edit'!$C$2:$AK$440,'All Girls &amp; Descendants - Edit'!J$1,FALSE)</f>
        <v/>
      </c>
      <c r="K370" s="9"/>
      <c r="L370" t="str">
        <f t="shared" si="39"/>
        <v>22/05/1947</v>
      </c>
      <c r="M370" s="3">
        <f>VLOOKUP($C370,'All Girls &amp; Descendants - Edit'!$C$2:$AK$440,'All Girls &amp; Descendants - Edit'!M$1,FALSE)</f>
        <v>17309</v>
      </c>
      <c r="N370" s="3" t="str">
        <f>IF(VLOOKUP($C370,'All Girls &amp; Descendants - Edit'!$C$2:$AK$440,'All Girls &amp; Descendants - Edit'!N$1,FALSE)=""," - ",(VLOOKUP($C370,'All Girls &amp; Descendants - Edit'!$C$2:$AK$440,'All Girls &amp; Descendants - Edit'!N$1,FALSE)))</f>
        <v xml:space="preserve"> - </v>
      </c>
      <c r="O370" s="3" t="str">
        <f>IF(VLOOKUP($C370,'All Girls &amp; Descendants - Edit'!$C$2:$AK$440,'All Girls &amp; Descendants - Edit'!O$1,FALSE)="","",(VLOOKUP($C370,'All Girls &amp; Descendants - Edit'!$C$2:$AK$440,'All Girls &amp; Descendants - Edit'!O$1,FALSE)))</f>
        <v/>
      </c>
      <c r="P370" s="3" t="str">
        <f t="shared" si="40"/>
        <v/>
      </c>
      <c r="Q370" s="178" t="str">
        <f t="shared" si="41"/>
        <v>18bbb</v>
      </c>
      <c r="R370" s="23"/>
      <c r="S370" t="str">
        <f>VLOOKUP($C370,'All Girls &amp; Descendants - Edit'!$C$2:$AK$440,'All Girls &amp; Descendants - Edit'!S$1,FALSE)</f>
        <v>Male</v>
      </c>
      <c r="T370" s="176">
        <f t="shared" si="38"/>
        <v>6</v>
      </c>
      <c r="U370" s="176">
        <f t="shared" si="42"/>
        <v>6</v>
      </c>
      <c r="V370" s="176">
        <f t="shared" si="43"/>
        <v>2</v>
      </c>
      <c r="W370" s="177">
        <f t="shared" si="44"/>
        <v>4</v>
      </c>
      <c r="X370" s="3" t="str">
        <f>IF(VLOOKUP($C370,'All Girls &amp; Descendants - Edit'!$C$2:$AK$440,'All Girls &amp; Descendants - Edit'!X$1,FALSE)=""," - ",(VLOOKUP($C370,'All Girls &amp; Descendants - Edit'!$C$2:$AK$440,'All Girls &amp; Descendants - Edit'!X$1,FALSE)))</f>
        <v>(1) Wendy Grace Isabel WHITESIDE (b. 25/11/1957, d 02/04/1987). (2) 26/08/1993 Felicity WARLOW-HARRY (b. 06/05/1950, )</v>
      </c>
      <c r="Y370" s="3" t="str">
        <f>IF(VLOOKUP($C370,'All Girls &amp; Descendants - Edit'!$C$2:$AK$440,'All Girls &amp; Descendants - Edit'!Y$1,FALSE)=""," - ",(VLOOKUP($C370,'All Girls &amp; Descendants - Edit'!$C$2:$AK$440,'All Girls &amp; Descendants - Edit'!Y$1,FALSE)))</f>
        <v xml:space="preserve"> - </v>
      </c>
      <c r="Z370" s="3" t="str">
        <f>IF(VLOOKUP($C370,'All Girls &amp; Descendants - Edit'!$C$2:$AK$440,'All Girls &amp; Descendants - Edit'!Z$1,FALSE)=""," - ",(VLOOKUP($C370,'All Girls &amp; Descendants - Edit'!$C$2:$AK$440,'All Girls &amp; Descendants - Edit'!Z$1,FALSE)))</f>
        <v>Educated Rugby, Magdalene College, Cambridge, and Edinburgh University. Commissioned 1966, Scots Guards. Retired as Major 1979. Solicitor. Author of Till The Trumpet Sounds Again – The Scots Guards 1914-1919 in their Own words [2016] and Miles Barne’s Diary – A Suffolk Countryman at War [2017].</v>
      </c>
      <c r="AA370" s="101">
        <f>IF(VLOOKUP($C370,'All Girls &amp; Descendants - Edit'!$C$2:$AK$440,'All Girls &amp; Descendants - Edit'!AA$1,FALSE)=""," - ",(VLOOKUP($C370,'All Girls &amp; Descendants - Edit'!$C$2:$AK$440,'All Girls &amp; Descendants - Edit'!AA$1,FALSE)))</f>
        <v>41</v>
      </c>
      <c r="AB370" s="101">
        <f>IF(VLOOKUP($C370,'All Girls &amp; Descendants - Edit'!$C$2:$AK$440,'All Girls &amp; Descendants - Edit'!AB$1,FALSE)=""," - ",(VLOOKUP($C370,'All Girls &amp; Descendants - Edit'!$C$2:$AK$440,'All Girls &amp; Descendants - Edit'!AB$1,FALSE)))</f>
        <v>11</v>
      </c>
      <c r="AC370" s="101">
        <f>IF(VLOOKUP($C370,'All Girls &amp; Descendants - Edit'!$C$2:$AK$440,'All Girls &amp; Descendants - Edit'!AC$1,FALSE)=""," - ",(VLOOKUP($C370,'All Girls &amp; Descendants - Edit'!$C$2:$AK$440,'All Girls &amp; Descendants - Edit'!AC$1,FALSE)))</f>
        <v>4011</v>
      </c>
      <c r="AD370" s="3" t="str">
        <f>IF(VLOOKUP($C370,'All Girls &amp; Descendants - Edit'!$C$2:$AK$440,'All Girls &amp; Descendants - Edit'!AD$1,FALSE)=""," - ",(VLOOKUP($C370,'All Girls &amp; Descendants - Edit'!$C$2:$AK$440,'All Girls &amp; Descendants - Edit'!AD$1,FALSE)))</f>
        <v>18bbba</v>
      </c>
      <c r="AE370" s="3" t="str">
        <f>IF(VLOOKUP($C370,'All Girls &amp; Descendants - Edit'!$C$2:$AK$440,'All Girls &amp; Descendants - Edit'!AE$1,FALSE)=""," - ",(VLOOKUP($C370,'All Girls &amp; Descendants - Edit'!$C$2:$AK$440,'All Girls &amp; Descendants - Edit'!AE$1,FALSE)))</f>
        <v>Randall Lewis  NICOL (1947 - )</v>
      </c>
      <c r="AF370" s="3" t="str">
        <f>IF(VLOOKUP($C370,'All Girls &amp; Descendants - Edit'!$C$2:$AK$440,'All Girls &amp; Descendants - Edit'!AF$1,FALSE)=""," - ",(VLOOKUP($C370,'All Girls &amp; Descendants - Edit'!$C$2:$AK$440,'All Girls &amp; Descendants - Edit'!AF$1,FALSE)))</f>
        <v>Randall NICOL (6th &amp; 18)</v>
      </c>
      <c r="AG370" s="3" t="str">
        <f>IF(VLOOKUP($C370,'All Girls &amp; Descendants - Edit'!$C$2:$AK$440,'All Girls &amp; Descendants - Edit'!AG$1,FALSE)=""," - ",(VLOOKUP($C370,'All Girls &amp; Descendants - Edit'!$C$2:$AK$440,'All Girls &amp; Descendants - Edit'!AG$1,FALSE)))</f>
        <v>Male</v>
      </c>
      <c r="AH370" s="3" t="str">
        <f>IF(VLOOKUP($C370,'All Girls &amp; Descendants - Edit'!$C$2:$AK$440,'All Girls &amp; Descendants - Edit'!AH$1,FALSE)=""," - ",(VLOOKUP($C370,'All Girls &amp; Descendants - Edit'!$C$2:$AK$440,'All Girls &amp; Descendants - Edit'!AH$1,FALSE)))</f>
        <v>6th</v>
      </c>
      <c r="AI370" s="3" t="str">
        <f>IF(VLOOKUP($C370,'All Girls &amp; Descendants - Edit'!$C$2:$AK$440,'All Girls &amp; Descendants - Edit'!AI$1,FALSE)=""," - ",(VLOOKUP($C370,'All Girls &amp; Descendants - Edit'!$C$2:$AK$440,'All Girls &amp; Descendants - Edit'!AI$1,FALSE)))</f>
        <v xml:space="preserve">Wife: (1) Wendy Grace Isabel WHITESIDE (b. 25/11/1957, d 02/04/1987). (2) 26/08/1993 Felicity WARLOW-HARRY (b. 06/05/1950, ). </v>
      </c>
      <c r="AJ370" s="3" t="str">
        <f>IF(VLOOKUP($C370,'All Girls &amp; Descendants - Edit'!$C$2:$AK$440,'All Girls &amp; Descendants - Edit'!AJ$1,FALSE)=""," - ",(VLOOKUP($C370,'All Girls &amp; Descendants - Edit'!$C$2:$AK$440,'All Girls &amp; Descendants - Edit'!AJ$1,FALSE)))</f>
        <v>Male. b. 22/05/1947 Educated Rugby, Magdalene College, Cambridge, and Edinburgh University. Commissioned 1966, Scots Guards. Retired as Major 1979. Solicitor. Author of Till The Trumpet Sounds Again – The Scots Guards 1914-1919 in their Own words [2016] and Miles Barne’s Diary – A Suffolk Countryman at War [2017].</v>
      </c>
      <c r="AK370" s="3" t="str">
        <f>IF(VLOOKUP($C370,'All Girls &amp; Descendants - Edit'!$C$2:$AK$440,'All Girls &amp; Descendants - Edit'!AK$1,FALSE)=""," - ",(VLOOKUP($C370,'All Girls &amp; Descendants - Edit'!$C$2:$AK$440,'All Girls &amp; Descendants - Edit'!AK$1,FALSE)))</f>
        <v>b. 22/05/1947</v>
      </c>
    </row>
    <row r="371" spans="1:37" ht="19">
      <c r="A371">
        <f>VLOOKUP(B371,'Loyd List 1-190 - Edit'!$P$1:$R$219,3,FALSE)</f>
        <v>8</v>
      </c>
      <c r="B371">
        <f>'All Girls &amp; Descendants - Edit'!B372</f>
        <v>18</v>
      </c>
      <c r="C371" s="98" t="str">
        <f>'All Girls &amp; Descendants - Edit'!C372</f>
        <v>18bbbb</v>
      </c>
      <c r="D371" s="2" t="str">
        <f>'All Girls &amp; Descendants - Edit'!D372</f>
        <v>NICOL</v>
      </c>
      <c r="E371" t="str">
        <f>'All Girls &amp; Descendants - Edit'!E372</f>
        <v>Andrew</v>
      </c>
      <c r="F371" t="str">
        <f>IF('All Girls &amp; Descendants - Edit'!F372="","",'All Girls &amp; Descendants - Edit'!F372)</f>
        <v>Harry</v>
      </c>
      <c r="G371" t="str">
        <f>IF('All Girls &amp; Descendants - Edit'!G372="","",'All Girls &amp; Descendants - Edit'!G372)</f>
        <v/>
      </c>
      <c r="H371" t="str">
        <f>IF('All Girls &amp; Descendants - Edit'!H372="","",'All Girls &amp; Descendants - Edit'!H372)</f>
        <v/>
      </c>
      <c r="I371">
        <f>VLOOKUP($C371,'All Girls &amp; Descendants - Edit'!$C$2:$AK$440,'All Girls &amp; Descendants - Edit'!I$1,FALSE)</f>
        <v>1949</v>
      </c>
      <c r="J371" t="str">
        <f>VLOOKUP($C371,'All Girls &amp; Descendants - Edit'!$C$2:$AK$440,'All Girls &amp; Descendants - Edit'!J$1,FALSE)</f>
        <v/>
      </c>
      <c r="K371" s="9"/>
      <c r="L371" t="str">
        <f t="shared" si="39"/>
        <v>31/07/1949</v>
      </c>
      <c r="M371" s="3">
        <f>VLOOKUP($C371,'All Girls &amp; Descendants - Edit'!$C$2:$AK$440,'All Girls &amp; Descendants - Edit'!M$1,FALSE)</f>
        <v>18110</v>
      </c>
      <c r="N371" s="3">
        <f>IF(VLOOKUP($C371,'All Girls &amp; Descendants - Edit'!$C$2:$AK$440,'All Girls &amp; Descendants - Edit'!N$1,FALSE)=""," - ",(VLOOKUP($C371,'All Girls &amp; Descendants - Edit'!$C$2:$AK$440,'All Girls &amp; Descendants - Edit'!N$1,FALSE)))</f>
        <v>28756</v>
      </c>
      <c r="O371" s="3" t="str">
        <f>IF(VLOOKUP($C371,'All Girls &amp; Descendants - Edit'!$C$2:$AK$440,'All Girls &amp; Descendants - Edit'!O$1,FALSE)="","",(VLOOKUP($C371,'All Girls &amp; Descendants - Edit'!$C$2:$AK$440,'All Girls &amp; Descendants - Edit'!O$1,FALSE)))</f>
        <v/>
      </c>
      <c r="P371" s="3" t="str">
        <f t="shared" si="40"/>
        <v/>
      </c>
      <c r="Q371" s="178" t="str">
        <f t="shared" si="41"/>
        <v>18bbb</v>
      </c>
      <c r="R371" s="23"/>
      <c r="S371" t="str">
        <f>VLOOKUP($C371,'All Girls &amp; Descendants - Edit'!$C$2:$AK$440,'All Girls &amp; Descendants - Edit'!S$1,FALSE)</f>
        <v>Male</v>
      </c>
      <c r="T371" s="176">
        <f t="shared" si="38"/>
        <v>6</v>
      </c>
      <c r="U371" s="176">
        <f t="shared" si="42"/>
        <v>6</v>
      </c>
      <c r="V371" s="176">
        <f t="shared" si="43"/>
        <v>2</v>
      </c>
      <c r="W371" s="177">
        <f t="shared" si="44"/>
        <v>4</v>
      </c>
      <c r="X371" s="3" t="str">
        <f>IF(VLOOKUP($C371,'All Girls &amp; Descendants - Edit'!$C$2:$AK$440,'All Girls &amp; Descendants - Edit'!X$1,FALSE)=""," - ",(VLOOKUP($C371,'All Girls &amp; Descendants - Edit'!$C$2:$AK$440,'All Girls &amp; Descendants - Edit'!X$1,FALSE)))</f>
        <v>Julie Helena EICHHORN (b. 07/02/1954, )</v>
      </c>
      <c r="Y371" s="3" t="str">
        <f>IF(VLOOKUP($C371,'All Girls &amp; Descendants - Edit'!$C$2:$AK$440,'All Girls &amp; Descendants - Edit'!Y$1,FALSE)=""," - ",(VLOOKUP($C371,'All Girls &amp; Descendants - Edit'!$C$2:$AK$440,'All Girls &amp; Descendants - Edit'!Y$1,FALSE)))</f>
        <v xml:space="preserve"> - </v>
      </c>
      <c r="Z371" s="3" t="str">
        <f>IF(VLOOKUP($C371,'All Girls &amp; Descendants - Edit'!$C$2:$AK$440,'All Girls &amp; Descendants - Edit'!Z$1,FALSE)=""," - ",(VLOOKUP($C371,'All Girls &amp; Descendants - Edit'!$C$2:$AK$440,'All Girls &amp; Descendants - Edit'!Z$1,FALSE)))</f>
        <v>Educated Rugby and Aberdeen University.</v>
      </c>
      <c r="AA371" s="101">
        <f>IF(VLOOKUP($C371,'All Girls &amp; Descendants - Edit'!$C$2:$AK$440,'All Girls &amp; Descendants - Edit'!AA$1,FALSE)=""," - ",(VLOOKUP($C371,'All Girls &amp; Descendants - Edit'!$C$2:$AK$440,'All Girls &amp; Descendants - Edit'!AA$1,FALSE)))</f>
        <v>42</v>
      </c>
      <c r="AB371" s="101">
        <f>IF(VLOOKUP($C371,'All Girls &amp; Descendants - Edit'!$C$2:$AK$440,'All Girls &amp; Descendants - Edit'!AB$1,FALSE)=""," - ",(VLOOKUP($C371,'All Girls &amp; Descendants - Edit'!$C$2:$AK$440,'All Girls &amp; Descendants - Edit'!AB$1,FALSE)))</f>
        <v>12</v>
      </c>
      <c r="AC371" s="101">
        <f>IF(VLOOKUP($C371,'All Girls &amp; Descendants - Edit'!$C$2:$AK$440,'All Girls &amp; Descendants - Edit'!AC$1,FALSE)=""," - ",(VLOOKUP($C371,'All Girls &amp; Descendants - Edit'!$C$2:$AK$440,'All Girls &amp; Descendants - Edit'!AC$1,FALSE)))</f>
        <v>4012</v>
      </c>
      <c r="AD371" s="3" t="str">
        <f>IF(VLOOKUP($C371,'All Girls &amp; Descendants - Edit'!$C$2:$AK$440,'All Girls &amp; Descendants - Edit'!AD$1,FALSE)=""," - ",(VLOOKUP($C371,'All Girls &amp; Descendants - Edit'!$C$2:$AK$440,'All Girls &amp; Descendants - Edit'!AD$1,FALSE)))</f>
        <v>18bbbb</v>
      </c>
      <c r="AE371" s="3" t="str">
        <f>IF(VLOOKUP($C371,'All Girls &amp; Descendants - Edit'!$C$2:$AK$440,'All Girls &amp; Descendants - Edit'!AE$1,FALSE)=""," - ",(VLOOKUP($C371,'All Girls &amp; Descendants - Edit'!$C$2:$AK$440,'All Girls &amp; Descendants - Edit'!AE$1,FALSE)))</f>
        <v>Andrew Harry  NICOL (1949 - )</v>
      </c>
      <c r="AF371" s="3" t="str">
        <f>IF(VLOOKUP($C371,'All Girls &amp; Descendants - Edit'!$C$2:$AK$440,'All Girls &amp; Descendants - Edit'!AF$1,FALSE)=""," - ",(VLOOKUP($C371,'All Girls &amp; Descendants - Edit'!$C$2:$AK$440,'All Girls &amp; Descendants - Edit'!AF$1,FALSE)))</f>
        <v>Andrew NICOL (6th &amp; 18)</v>
      </c>
      <c r="AG371" s="3" t="str">
        <f>IF(VLOOKUP($C371,'All Girls &amp; Descendants - Edit'!$C$2:$AK$440,'All Girls &amp; Descendants - Edit'!AG$1,FALSE)=""," - ",(VLOOKUP($C371,'All Girls &amp; Descendants - Edit'!$C$2:$AK$440,'All Girls &amp; Descendants - Edit'!AG$1,FALSE)))</f>
        <v>Male</v>
      </c>
      <c r="AH371" s="3" t="str">
        <f>IF(VLOOKUP($C371,'All Girls &amp; Descendants - Edit'!$C$2:$AK$440,'All Girls &amp; Descendants - Edit'!AH$1,FALSE)=""," - ",(VLOOKUP($C371,'All Girls &amp; Descendants - Edit'!$C$2:$AK$440,'All Girls &amp; Descendants - Edit'!AH$1,FALSE)))</f>
        <v>6th</v>
      </c>
      <c r="AI371" s="3" t="str">
        <f>IF(VLOOKUP($C371,'All Girls &amp; Descendants - Edit'!$C$2:$AK$440,'All Girls &amp; Descendants - Edit'!AI$1,FALSE)=""," - ",(VLOOKUP($C371,'All Girls &amp; Descendants - Edit'!$C$2:$AK$440,'All Girls &amp; Descendants - Edit'!AI$1,FALSE)))</f>
        <v xml:space="preserve">Wife: Julie Helena EICHHORN (b. 07/02/1954, ). </v>
      </c>
      <c r="AJ371" s="3" t="str">
        <f>IF(VLOOKUP($C371,'All Girls &amp; Descendants - Edit'!$C$2:$AK$440,'All Girls &amp; Descendants - Edit'!AJ$1,FALSE)=""," - ",(VLOOKUP($C371,'All Girls &amp; Descendants - Edit'!$C$2:$AK$440,'All Girls &amp; Descendants - Edit'!AJ$1,FALSE)))</f>
        <v>Male. b. 31/07/1949 Educated Rugby and Aberdeen University.</v>
      </c>
      <c r="AK371" s="3" t="str">
        <f>IF(VLOOKUP($C371,'All Girls &amp; Descendants - Edit'!$C$2:$AK$440,'All Girls &amp; Descendants - Edit'!AK$1,FALSE)=""," - ",(VLOOKUP($C371,'All Girls &amp; Descendants - Edit'!$C$2:$AK$440,'All Girls &amp; Descendants - Edit'!AK$1,FALSE)))</f>
        <v>b. 31/07/1949</v>
      </c>
    </row>
    <row r="372" spans="1:37" ht="19">
      <c r="A372">
        <f>VLOOKUP(B372,'Loyd List 1-190 - Edit'!$P$1:$R$219,3,FALSE)</f>
        <v>8</v>
      </c>
      <c r="B372">
        <f>'All Girls &amp; Descendants - Edit'!B373</f>
        <v>18</v>
      </c>
      <c r="C372" s="98" t="str">
        <f>'All Girls &amp; Descendants - Edit'!C373</f>
        <v>18bbbc</v>
      </c>
      <c r="D372" s="2" t="str">
        <f>'All Girls &amp; Descendants - Edit'!D373</f>
        <v>NICOL</v>
      </c>
      <c r="E372" t="str">
        <f>'All Girls &amp; Descendants - Edit'!E373</f>
        <v>Malcolm</v>
      </c>
      <c r="F372" t="str">
        <f>IF('All Girls &amp; Descendants - Edit'!F373="","",'All Girls &amp; Descendants - Edit'!F373)</f>
        <v>James</v>
      </c>
      <c r="G372" t="str">
        <f>IF('All Girls &amp; Descendants - Edit'!G373="","",'All Girls &amp; Descendants - Edit'!G373)</f>
        <v/>
      </c>
      <c r="H372" t="str">
        <f>IF('All Girls &amp; Descendants - Edit'!H373="","",'All Girls &amp; Descendants - Edit'!H373)</f>
        <v/>
      </c>
      <c r="I372">
        <f>VLOOKUP($C372,'All Girls &amp; Descendants - Edit'!$C$2:$AK$440,'All Girls &amp; Descendants - Edit'!I$1,FALSE)</f>
        <v>1953</v>
      </c>
      <c r="J372" t="str">
        <f>VLOOKUP($C372,'All Girls &amp; Descendants - Edit'!$C$2:$AK$440,'All Girls &amp; Descendants - Edit'!J$1,FALSE)</f>
        <v/>
      </c>
      <c r="K372" s="9"/>
      <c r="L372" t="str">
        <f t="shared" si="39"/>
        <v>02/04/1953</v>
      </c>
      <c r="M372" s="3">
        <f>VLOOKUP($C372,'All Girls &amp; Descendants - Edit'!$C$2:$AK$440,'All Girls &amp; Descendants - Edit'!M$1,FALSE)</f>
        <v>19451</v>
      </c>
      <c r="N372" s="3">
        <f>IF(VLOOKUP($C372,'All Girls &amp; Descendants - Edit'!$C$2:$AK$440,'All Girls &amp; Descendants - Edit'!N$1,FALSE)=""," - ",(VLOOKUP($C372,'All Girls &amp; Descendants - Edit'!$C$2:$AK$440,'All Girls &amp; Descendants - Edit'!N$1,FALSE)))</f>
        <v>31017</v>
      </c>
      <c r="O372" s="3" t="str">
        <f>IF(VLOOKUP($C372,'All Girls &amp; Descendants - Edit'!$C$2:$AK$440,'All Girls &amp; Descendants - Edit'!O$1,FALSE)="","",(VLOOKUP($C372,'All Girls &amp; Descendants - Edit'!$C$2:$AK$440,'All Girls &amp; Descendants - Edit'!O$1,FALSE)))</f>
        <v/>
      </c>
      <c r="P372" s="3" t="str">
        <f t="shared" si="40"/>
        <v/>
      </c>
      <c r="Q372" s="178" t="str">
        <f t="shared" si="41"/>
        <v>18bbb</v>
      </c>
      <c r="R372" s="23"/>
      <c r="S372" t="str">
        <f>VLOOKUP($C372,'All Girls &amp; Descendants - Edit'!$C$2:$AK$440,'All Girls &amp; Descendants - Edit'!S$1,FALSE)</f>
        <v>Male</v>
      </c>
      <c r="T372" s="176">
        <f t="shared" si="38"/>
        <v>6</v>
      </c>
      <c r="U372" s="176">
        <f t="shared" si="42"/>
        <v>6</v>
      </c>
      <c r="V372" s="176">
        <f t="shared" si="43"/>
        <v>2</v>
      </c>
      <c r="W372" s="177">
        <f t="shared" si="44"/>
        <v>4</v>
      </c>
      <c r="X372" s="3" t="str">
        <f>IF(VLOOKUP($C372,'All Girls &amp; Descendants - Edit'!$C$2:$AK$440,'All Girls &amp; Descendants - Edit'!X$1,FALSE)=""," - ",(VLOOKUP($C372,'All Girls &amp; Descendants - Edit'!$C$2:$AK$440,'All Girls &amp; Descendants - Edit'!X$1,FALSE)))</f>
        <v>Christina Barbara PETRY (b. 04/05/1954, )</v>
      </c>
      <c r="Y372" s="3" t="str">
        <f>IF(VLOOKUP($C372,'All Girls &amp; Descendants - Edit'!$C$2:$AK$440,'All Girls &amp; Descendants - Edit'!Y$1,FALSE)=""," - ",(VLOOKUP($C372,'All Girls &amp; Descendants - Edit'!$C$2:$AK$440,'All Girls &amp; Descendants - Edit'!Y$1,FALSE)))</f>
        <v>Eldest daughter of John PETRY.</v>
      </c>
      <c r="Z372" s="3" t="str">
        <f>IF(VLOOKUP($C372,'All Girls &amp; Descendants - Edit'!$C$2:$AK$440,'All Girls &amp; Descendants - Edit'!Z$1,FALSE)=""," - ",(VLOOKUP($C372,'All Girls &amp; Descendants - Edit'!$C$2:$AK$440,'All Girls &amp; Descendants - Edit'!Z$1,FALSE)))</f>
        <v>Malcolm lives in Ballogie, Aboyne, Aberdeenshire. Educated Rugby &amp; Durham University. Estate Manager, Ballogie Estate.</v>
      </c>
      <c r="AA372" s="101">
        <f>IF(VLOOKUP($C372,'All Girls &amp; Descendants - Edit'!$C$2:$AK$440,'All Girls &amp; Descendants - Edit'!AA$1,FALSE)=""," - ",(VLOOKUP($C372,'All Girls &amp; Descendants - Edit'!$C$2:$AK$440,'All Girls &amp; Descendants - Edit'!AA$1,FALSE)))</f>
        <v>47</v>
      </c>
      <c r="AB372" s="101">
        <f>IF(VLOOKUP($C372,'All Girls &amp; Descendants - Edit'!$C$2:$AK$440,'All Girls &amp; Descendants - Edit'!AB$1,FALSE)=""," - ",(VLOOKUP($C372,'All Girls &amp; Descendants - Edit'!$C$2:$AK$440,'All Girls &amp; Descendants - Edit'!AB$1,FALSE)))</f>
        <v>13</v>
      </c>
      <c r="AC372" s="101">
        <f>IF(VLOOKUP($C372,'All Girls &amp; Descendants - Edit'!$C$2:$AK$440,'All Girls &amp; Descendants - Edit'!AC$1,FALSE)=""," - ",(VLOOKUP($C372,'All Girls &amp; Descendants - Edit'!$C$2:$AK$440,'All Girls &amp; Descendants - Edit'!AC$1,FALSE)))</f>
        <v>4013</v>
      </c>
      <c r="AD372" s="3" t="str">
        <f>IF(VLOOKUP($C372,'All Girls &amp; Descendants - Edit'!$C$2:$AK$440,'All Girls &amp; Descendants - Edit'!AD$1,FALSE)=""," - ",(VLOOKUP($C372,'All Girls &amp; Descendants - Edit'!$C$2:$AK$440,'All Girls &amp; Descendants - Edit'!AD$1,FALSE)))</f>
        <v>18bbbc</v>
      </c>
      <c r="AE372" s="3" t="str">
        <f>IF(VLOOKUP($C372,'All Girls &amp; Descendants - Edit'!$C$2:$AK$440,'All Girls &amp; Descendants - Edit'!AE$1,FALSE)=""," - ",(VLOOKUP($C372,'All Girls &amp; Descendants - Edit'!$C$2:$AK$440,'All Girls &amp; Descendants - Edit'!AE$1,FALSE)))</f>
        <v>Malcolm James  NICOL (1953 - )</v>
      </c>
      <c r="AF372" s="3" t="str">
        <f>IF(VLOOKUP($C372,'All Girls &amp; Descendants - Edit'!$C$2:$AK$440,'All Girls &amp; Descendants - Edit'!AF$1,FALSE)=""," - ",(VLOOKUP($C372,'All Girls &amp; Descendants - Edit'!$C$2:$AK$440,'All Girls &amp; Descendants - Edit'!AF$1,FALSE)))</f>
        <v>Malcolm NICOL (6th &amp; 18)</v>
      </c>
      <c r="AG372" s="3" t="str">
        <f>IF(VLOOKUP($C372,'All Girls &amp; Descendants - Edit'!$C$2:$AK$440,'All Girls &amp; Descendants - Edit'!AG$1,FALSE)=""," - ",(VLOOKUP($C372,'All Girls &amp; Descendants - Edit'!$C$2:$AK$440,'All Girls &amp; Descendants - Edit'!AG$1,FALSE)))</f>
        <v>Male</v>
      </c>
      <c r="AH372" s="3" t="str">
        <f>IF(VLOOKUP($C372,'All Girls &amp; Descendants - Edit'!$C$2:$AK$440,'All Girls &amp; Descendants - Edit'!AH$1,FALSE)=""," - ",(VLOOKUP($C372,'All Girls &amp; Descendants - Edit'!$C$2:$AK$440,'All Girls &amp; Descendants - Edit'!AH$1,FALSE)))</f>
        <v>6th</v>
      </c>
      <c r="AI372" s="3" t="str">
        <f>IF(VLOOKUP($C372,'All Girls &amp; Descendants - Edit'!$C$2:$AK$440,'All Girls &amp; Descendants - Edit'!AI$1,FALSE)=""," - ",(VLOOKUP($C372,'All Girls &amp; Descendants - Edit'!$C$2:$AK$440,'All Girls &amp; Descendants - Edit'!AI$1,FALSE)))</f>
        <v>Wife: Christina Barbara PETRY (b. 04/05/1954, ). Eldest daughter of John PETRY.</v>
      </c>
      <c r="AJ372" s="3" t="str">
        <f>IF(VLOOKUP($C372,'All Girls &amp; Descendants - Edit'!$C$2:$AK$440,'All Girls &amp; Descendants - Edit'!AJ$1,FALSE)=""," - ",(VLOOKUP($C372,'All Girls &amp; Descendants - Edit'!$C$2:$AK$440,'All Girls &amp; Descendants - Edit'!AJ$1,FALSE)))</f>
        <v>Male. b. 02/04/1953 Malcolm lives in Ballogie, Aboyne, Aberdeenshire. Educated Rugby &amp; Durham University. Estate Manager, Ballogie Estate.</v>
      </c>
      <c r="AK372" s="3" t="str">
        <f>IF(VLOOKUP($C372,'All Girls &amp; Descendants - Edit'!$C$2:$AK$440,'All Girls &amp; Descendants - Edit'!AK$1,FALSE)=""," - ",(VLOOKUP($C372,'All Girls &amp; Descendants - Edit'!$C$2:$AK$440,'All Girls &amp; Descendants - Edit'!AK$1,FALSE)))</f>
        <v>b. 02/04/1953</v>
      </c>
    </row>
    <row r="373" spans="1:37" ht="19">
      <c r="A373">
        <f>VLOOKUP(B373,'Loyd List 1-190 - Edit'!$P$1:$R$219,3,FALSE)</f>
        <v>22</v>
      </c>
      <c r="B373">
        <f>'All Girls &amp; Descendants - Edit'!B374</f>
        <v>36</v>
      </c>
      <c r="C373" s="98" t="str">
        <f>'All Girls &amp; Descendants - Edit'!C374</f>
        <v>36dbaa</v>
      </c>
      <c r="D373" s="2" t="str">
        <f>'All Girls &amp; Descendants - Edit'!D374</f>
        <v>SCOTT-DEMPSTER</v>
      </c>
      <c r="E373" t="str">
        <f>'All Girls &amp; Descendants - Edit'!E374</f>
        <v>Robert</v>
      </c>
      <c r="F373" t="str">
        <f>IF('All Girls &amp; Descendants - Edit'!F374="","",'All Girls &amp; Descendants - Edit'!F374)</f>
        <v>Andrew</v>
      </c>
      <c r="G373" t="str">
        <f>IF('All Girls &amp; Descendants - Edit'!G374="","",'All Girls &amp; Descendants - Edit'!G374)</f>
        <v/>
      </c>
      <c r="H373" t="str">
        <f>IF('All Girls &amp; Descendants - Edit'!H374="","",'All Girls &amp; Descendants - Edit'!H374)</f>
        <v/>
      </c>
      <c r="I373">
        <f>VLOOKUP($C373,'All Girls &amp; Descendants - Edit'!$C$2:$AK$440,'All Girls &amp; Descendants - Edit'!I$1,FALSE)</f>
        <v>1967</v>
      </c>
      <c r="J373" t="str">
        <f>VLOOKUP($C373,'All Girls &amp; Descendants - Edit'!$C$2:$AK$440,'All Girls &amp; Descendants - Edit'!J$1,FALSE)</f>
        <v/>
      </c>
      <c r="K373" s="9"/>
      <c r="L373" t="str">
        <f t="shared" si="39"/>
        <v>30/04/1967</v>
      </c>
      <c r="M373" s="3">
        <f>VLOOKUP($C373,'All Girls &amp; Descendants - Edit'!$C$2:$AK$440,'All Girls &amp; Descendants - Edit'!M$1,FALSE)</f>
        <v>24592</v>
      </c>
      <c r="N373" s="3">
        <f>IF(VLOOKUP($C373,'All Girls &amp; Descendants - Edit'!$C$2:$AK$440,'All Girls &amp; Descendants - Edit'!N$1,FALSE)=""," - ",(VLOOKUP($C373,'All Girls &amp; Descendants - Edit'!$C$2:$AK$440,'All Girls &amp; Descendants - Edit'!N$1,FALSE)))</f>
        <v>34776</v>
      </c>
      <c r="O373" s="3" t="str">
        <f>IF(VLOOKUP($C373,'All Girls &amp; Descendants - Edit'!$C$2:$AK$440,'All Girls &amp; Descendants - Edit'!O$1,FALSE)="","",(VLOOKUP($C373,'All Girls &amp; Descendants - Edit'!$C$2:$AK$440,'All Girls &amp; Descendants - Edit'!O$1,FALSE)))</f>
        <v/>
      </c>
      <c r="P373" s="3" t="str">
        <f t="shared" si="40"/>
        <v/>
      </c>
      <c r="Q373" s="178" t="str">
        <f t="shared" si="41"/>
        <v>36dba</v>
      </c>
      <c r="R373" s="23"/>
      <c r="S373" t="str">
        <f>VLOOKUP($C373,'All Girls &amp; Descendants - Edit'!$C$2:$AK$440,'All Girls &amp; Descendants - Edit'!S$1,FALSE)</f>
        <v>Male</v>
      </c>
      <c r="T373" s="176">
        <f t="shared" si="38"/>
        <v>7</v>
      </c>
      <c r="U373" s="176">
        <f t="shared" si="42"/>
        <v>6</v>
      </c>
      <c r="V373" s="176">
        <f t="shared" si="43"/>
        <v>3</v>
      </c>
      <c r="W373" s="177">
        <f t="shared" si="44"/>
        <v>4</v>
      </c>
      <c r="X373" s="3" t="str">
        <f>IF(VLOOKUP($C373,'All Girls &amp; Descendants - Edit'!$C$2:$AK$440,'All Girls &amp; Descendants - Edit'!X$1,FALSE)=""," - ",(VLOOKUP($C373,'All Girls &amp; Descendants - Edit'!$C$2:$AK$440,'All Girls &amp; Descendants - Edit'!X$1,FALSE)))</f>
        <v>Camilla Helen LOCKHART SMITH (b. 06/10/1969, d. )</v>
      </c>
      <c r="Y373" s="3" t="str">
        <f>IF(VLOOKUP($C373,'All Girls &amp; Descendants - Edit'!$C$2:$AK$440,'All Girls &amp; Descendants - Edit'!Y$1,FALSE)=""," - ",(VLOOKUP($C373,'All Girls &amp; Descendants - Edit'!$C$2:$AK$440,'All Girls &amp; Descendants - Edit'!Y$1,FALSE)))</f>
        <v>Married at Southwell Minster. Camilla daughter of Peter LOCKHART SMITH.</v>
      </c>
      <c r="Z373" s="3" t="str">
        <f>IF(VLOOKUP($C373,'All Girls &amp; Descendants - Edit'!$C$2:$AK$440,'All Girls &amp; Descendants - Edit'!Z$1,FALSE)=""," - ",(VLOOKUP($C373,'All Girls &amp; Descendants - Edit'!$C$2:$AK$440,'All Girls &amp; Descendants - Edit'!Z$1,FALSE)))</f>
        <v>Born in Reading.</v>
      </c>
      <c r="AA373" s="101">
        <f>IF(VLOOKUP($C373,'All Girls &amp; Descendants - Edit'!$C$2:$AK$440,'All Girls &amp; Descendants - Edit'!AA$1,FALSE)=""," - ",(VLOOKUP($C373,'All Girls &amp; Descendants - Edit'!$C$2:$AK$440,'All Girls &amp; Descendants - Edit'!AA$1,FALSE)))</f>
        <v>77</v>
      </c>
      <c r="AB373" s="101">
        <f>IF(VLOOKUP($C373,'All Girls &amp; Descendants - Edit'!$C$2:$AK$440,'All Girls &amp; Descendants - Edit'!AB$1,FALSE)=""," - ",(VLOOKUP($C373,'All Girls &amp; Descendants - Edit'!$C$2:$AK$440,'All Girls &amp; Descendants - Edit'!AB$1,FALSE)))</f>
        <v>14</v>
      </c>
      <c r="AC373" s="101">
        <f>IF(VLOOKUP($C373,'All Girls &amp; Descendants - Edit'!$C$2:$AK$440,'All Girls &amp; Descendants - Edit'!AC$1,FALSE)=""," - ",(VLOOKUP($C373,'All Girls &amp; Descendants - Edit'!$C$2:$AK$440,'All Girls &amp; Descendants - Edit'!AC$1,FALSE)))</f>
        <v>4014</v>
      </c>
      <c r="AD373" s="3" t="str">
        <f>IF(VLOOKUP($C373,'All Girls &amp; Descendants - Edit'!$C$2:$AK$440,'All Girls &amp; Descendants - Edit'!AD$1,FALSE)=""," - ",(VLOOKUP($C373,'All Girls &amp; Descendants - Edit'!$C$2:$AK$440,'All Girls &amp; Descendants - Edit'!AD$1,FALSE)))</f>
        <v>36dbaa</v>
      </c>
      <c r="AE373" s="3" t="str">
        <f>IF(VLOOKUP($C373,'All Girls &amp; Descendants - Edit'!$C$2:$AK$440,'All Girls &amp; Descendants - Edit'!AE$1,FALSE)=""," - ",(VLOOKUP($C373,'All Girls &amp; Descendants - Edit'!$C$2:$AK$440,'All Girls &amp; Descendants - Edit'!AE$1,FALSE)))</f>
        <v>Robert Andrew  SCOTT-DEMPSTER (1967 - )</v>
      </c>
      <c r="AF373" s="3" t="str">
        <f>IF(VLOOKUP($C373,'All Girls &amp; Descendants - Edit'!$C$2:$AK$440,'All Girls &amp; Descendants - Edit'!AF$1,FALSE)=""," - ",(VLOOKUP($C373,'All Girls &amp; Descendants - Edit'!$C$2:$AK$440,'All Girls &amp; Descendants - Edit'!AF$1,FALSE)))</f>
        <v>Robert SCOTT-DEMPSTER (7th &amp; 36)</v>
      </c>
      <c r="AG373" s="3" t="str">
        <f>IF(VLOOKUP($C373,'All Girls &amp; Descendants - Edit'!$C$2:$AK$440,'All Girls &amp; Descendants - Edit'!AG$1,FALSE)=""," - ",(VLOOKUP($C373,'All Girls &amp; Descendants - Edit'!$C$2:$AK$440,'All Girls &amp; Descendants - Edit'!AG$1,FALSE)))</f>
        <v>Male</v>
      </c>
      <c r="AH373" s="3" t="str">
        <f>IF(VLOOKUP($C373,'All Girls &amp; Descendants - Edit'!$C$2:$AK$440,'All Girls &amp; Descendants - Edit'!AH$1,FALSE)=""," - ",(VLOOKUP($C373,'All Girls &amp; Descendants - Edit'!$C$2:$AK$440,'All Girls &amp; Descendants - Edit'!AH$1,FALSE)))</f>
        <v>7th</v>
      </c>
      <c r="AI373" s="3" t="str">
        <f>IF(VLOOKUP($C373,'All Girls &amp; Descendants - Edit'!$C$2:$AK$440,'All Girls &amp; Descendants - Edit'!AI$1,FALSE)=""," - ",(VLOOKUP($C373,'All Girls &amp; Descendants - Edit'!$C$2:$AK$440,'All Girls &amp; Descendants - Edit'!AI$1,FALSE)))</f>
        <v>Wife: Camilla Helen LOCKHART SMITH (b. 06/10/1969, d. ). Married at Southwell Minster. Camilla daughter of Peter LOCKHART SMITH.</v>
      </c>
      <c r="AJ373" s="3" t="str">
        <f>IF(VLOOKUP($C373,'All Girls &amp; Descendants - Edit'!$C$2:$AK$440,'All Girls &amp; Descendants - Edit'!AJ$1,FALSE)=""," - ",(VLOOKUP($C373,'All Girls &amp; Descendants - Edit'!$C$2:$AK$440,'All Girls &amp; Descendants - Edit'!AJ$1,FALSE)))</f>
        <v>Male. b. 30/04/1967 Born in Reading.</v>
      </c>
      <c r="AK373" s="3" t="str">
        <f>IF(VLOOKUP($C373,'All Girls &amp; Descendants - Edit'!$C$2:$AK$440,'All Girls &amp; Descendants - Edit'!AK$1,FALSE)=""," - ",(VLOOKUP($C373,'All Girls &amp; Descendants - Edit'!$C$2:$AK$440,'All Girls &amp; Descendants - Edit'!AK$1,FALSE)))</f>
        <v>b. 30/04/1967</v>
      </c>
    </row>
    <row r="374" spans="1:37" ht="19">
      <c r="A374">
        <f>VLOOKUP(B374,'Loyd List 1-190 - Edit'!$P$1:$R$219,3,FALSE)</f>
        <v>22</v>
      </c>
      <c r="B374">
        <f>'All Girls &amp; Descendants - Edit'!B375</f>
        <v>36</v>
      </c>
      <c r="C374" s="98" t="str">
        <f>'All Girls &amp; Descendants - Edit'!C375</f>
        <v>36dbab</v>
      </c>
      <c r="D374" s="2" t="str">
        <f>'All Girls &amp; Descendants - Edit'!D375</f>
        <v>SCOTT-DEMPSTER</v>
      </c>
      <c r="E374" t="str">
        <f>'All Girls &amp; Descendants - Edit'!E375</f>
        <v>Clare</v>
      </c>
      <c r="F374" t="str">
        <f>IF('All Girls &amp; Descendants - Edit'!F375="","",'All Girls &amp; Descendants - Edit'!F375)</f>
        <v>Ann</v>
      </c>
      <c r="G374" t="str">
        <f>IF('All Girls &amp; Descendants - Edit'!G375="","",'All Girls &amp; Descendants - Edit'!G375)</f>
        <v/>
      </c>
      <c r="H374" t="str">
        <f>IF('All Girls &amp; Descendants - Edit'!H375="","",'All Girls &amp; Descendants - Edit'!H375)</f>
        <v/>
      </c>
      <c r="I374">
        <f>VLOOKUP($C374,'All Girls &amp; Descendants - Edit'!$C$2:$AK$440,'All Girls &amp; Descendants - Edit'!I$1,FALSE)</f>
        <v>1969</v>
      </c>
      <c r="J374" t="str">
        <f>VLOOKUP($C374,'All Girls &amp; Descendants - Edit'!$C$2:$AK$440,'All Girls &amp; Descendants - Edit'!J$1,FALSE)</f>
        <v/>
      </c>
      <c r="K374" s="9"/>
      <c r="L374" t="str">
        <f t="shared" si="39"/>
        <v>07/06/1969</v>
      </c>
      <c r="M374" s="3">
        <f>VLOOKUP($C374,'All Girls &amp; Descendants - Edit'!$C$2:$AK$440,'All Girls &amp; Descendants - Edit'!M$1,FALSE)</f>
        <v>25361</v>
      </c>
      <c r="N374" s="3" t="str">
        <f>IF(VLOOKUP($C374,'All Girls &amp; Descendants - Edit'!$C$2:$AK$440,'All Girls &amp; Descendants - Edit'!N$1,FALSE)=""," - ",(VLOOKUP($C374,'All Girls &amp; Descendants - Edit'!$C$2:$AK$440,'All Girls &amp; Descendants - Edit'!N$1,FALSE)))</f>
        <v xml:space="preserve"> - </v>
      </c>
      <c r="O374" s="3" t="str">
        <f>IF(VLOOKUP($C374,'All Girls &amp; Descendants - Edit'!$C$2:$AK$440,'All Girls &amp; Descendants - Edit'!O$1,FALSE)="","",(VLOOKUP($C374,'All Girls &amp; Descendants - Edit'!$C$2:$AK$440,'All Girls &amp; Descendants - Edit'!O$1,FALSE)))</f>
        <v/>
      </c>
      <c r="P374" s="3" t="str">
        <f t="shared" si="40"/>
        <v/>
      </c>
      <c r="Q374" s="178" t="str">
        <f t="shared" si="41"/>
        <v>36dba</v>
      </c>
      <c r="R374" s="23"/>
      <c r="S374" t="str">
        <f>VLOOKUP($C374,'All Girls &amp; Descendants - Edit'!$C$2:$AK$440,'All Girls &amp; Descendants - Edit'!S$1,FALSE)</f>
        <v>Female</v>
      </c>
      <c r="T374" s="176">
        <f t="shared" si="38"/>
        <v>7</v>
      </c>
      <c r="U374" s="176">
        <f t="shared" si="42"/>
        <v>6</v>
      </c>
      <c r="V374" s="176">
        <f t="shared" si="43"/>
        <v>3</v>
      </c>
      <c r="W374" s="177">
        <f t="shared" si="44"/>
        <v>4</v>
      </c>
      <c r="X374" s="3" t="str">
        <f>IF(VLOOKUP($C374,'All Girls &amp; Descendants - Edit'!$C$2:$AK$440,'All Girls &amp; Descendants - Edit'!X$1,FALSE)=""," - ",(VLOOKUP($C374,'All Girls &amp; Descendants - Edit'!$C$2:$AK$440,'All Girls &amp; Descendants - Edit'!X$1,FALSE)))</f>
        <v xml:space="preserve"> - </v>
      </c>
      <c r="Y374" s="3" t="str">
        <f>IF(VLOOKUP($C374,'All Girls &amp; Descendants - Edit'!$C$2:$AK$440,'All Girls &amp; Descendants - Edit'!Y$1,FALSE)=""," - ",(VLOOKUP($C374,'All Girls &amp; Descendants - Edit'!$C$2:$AK$440,'All Girls &amp; Descendants - Edit'!Y$1,FALSE)))</f>
        <v xml:space="preserve"> - </v>
      </c>
      <c r="Z374" s="3" t="str">
        <f>IF(VLOOKUP($C374,'All Girls &amp; Descendants - Edit'!$C$2:$AK$440,'All Girls &amp; Descendants - Edit'!Z$1,FALSE)=""," - ",(VLOOKUP($C374,'All Girls &amp; Descendants - Edit'!$C$2:$AK$440,'All Girls &amp; Descendants - Edit'!Z$1,FALSE)))</f>
        <v>Born in Reading</v>
      </c>
      <c r="AA374" s="101">
        <f>IF(VLOOKUP($C374,'All Girls &amp; Descendants - Edit'!$C$2:$AK$440,'All Girls &amp; Descendants - Edit'!AA$1,FALSE)=""," - ",(VLOOKUP($C374,'All Girls &amp; Descendants - Edit'!$C$2:$AK$440,'All Girls &amp; Descendants - Edit'!AA$1,FALSE)))</f>
        <v>79</v>
      </c>
      <c r="AB374" s="101">
        <f>IF(VLOOKUP($C374,'All Girls &amp; Descendants - Edit'!$C$2:$AK$440,'All Girls &amp; Descendants - Edit'!AB$1,FALSE)=""," - ",(VLOOKUP($C374,'All Girls &amp; Descendants - Edit'!$C$2:$AK$440,'All Girls &amp; Descendants - Edit'!AB$1,FALSE)))</f>
        <v>15</v>
      </c>
      <c r="AC374" s="101">
        <f>IF(VLOOKUP($C374,'All Girls &amp; Descendants - Edit'!$C$2:$AK$440,'All Girls &amp; Descendants - Edit'!AC$1,FALSE)=""," - ",(VLOOKUP($C374,'All Girls &amp; Descendants - Edit'!$C$2:$AK$440,'All Girls &amp; Descendants - Edit'!AC$1,FALSE)))</f>
        <v>4015</v>
      </c>
      <c r="AD374" s="3" t="str">
        <f>IF(VLOOKUP($C374,'All Girls &amp; Descendants - Edit'!$C$2:$AK$440,'All Girls &amp; Descendants - Edit'!AD$1,FALSE)=""," - ",(VLOOKUP($C374,'All Girls &amp; Descendants - Edit'!$C$2:$AK$440,'All Girls &amp; Descendants - Edit'!AD$1,FALSE)))</f>
        <v>36dbab</v>
      </c>
      <c r="AE374" s="3" t="str">
        <f>IF(VLOOKUP($C374,'All Girls &amp; Descendants - Edit'!$C$2:$AK$440,'All Girls &amp; Descendants - Edit'!AE$1,FALSE)=""," - ",(VLOOKUP($C374,'All Girls &amp; Descendants - Edit'!$C$2:$AK$440,'All Girls &amp; Descendants - Edit'!AE$1,FALSE)))</f>
        <v>Clare Ann  SCOTT-DEMPSTER (1969 - )</v>
      </c>
      <c r="AF374" s="3" t="str">
        <f>IF(VLOOKUP($C374,'All Girls &amp; Descendants - Edit'!$C$2:$AK$440,'All Girls &amp; Descendants - Edit'!AF$1,FALSE)=""," - ",(VLOOKUP($C374,'All Girls &amp; Descendants - Edit'!$C$2:$AK$440,'All Girls &amp; Descendants - Edit'!AF$1,FALSE)))</f>
        <v>Clare SCOTT-DEMPSTER (7th &amp; 36)</v>
      </c>
      <c r="AG374" s="3" t="str">
        <f>IF(VLOOKUP($C374,'All Girls &amp; Descendants - Edit'!$C$2:$AK$440,'All Girls &amp; Descendants - Edit'!AG$1,FALSE)=""," - ",(VLOOKUP($C374,'All Girls &amp; Descendants - Edit'!$C$2:$AK$440,'All Girls &amp; Descendants - Edit'!AG$1,FALSE)))</f>
        <v>Female</v>
      </c>
      <c r="AH374" s="3" t="str">
        <f>IF(VLOOKUP($C374,'All Girls &amp; Descendants - Edit'!$C$2:$AK$440,'All Girls &amp; Descendants - Edit'!AH$1,FALSE)=""," - ",(VLOOKUP($C374,'All Girls &amp; Descendants - Edit'!$C$2:$AK$440,'All Girls &amp; Descendants - Edit'!AH$1,FALSE)))</f>
        <v>7th</v>
      </c>
      <c r="AI374" s="3" t="str">
        <f>IF(VLOOKUP($C374,'All Girls &amp; Descendants - Edit'!$C$2:$AK$440,'All Girls &amp; Descendants - Edit'!AI$1,FALSE)=""," - ",(VLOOKUP($C374,'All Girls &amp; Descendants - Edit'!$C$2:$AK$440,'All Girls &amp; Descendants - Edit'!AI$1,FALSE)))</f>
        <v>Unmarried</v>
      </c>
      <c r="AJ374" s="3" t="str">
        <f>IF(VLOOKUP($C374,'All Girls &amp; Descendants - Edit'!$C$2:$AK$440,'All Girls &amp; Descendants - Edit'!AJ$1,FALSE)=""," - ",(VLOOKUP($C374,'All Girls &amp; Descendants - Edit'!$C$2:$AK$440,'All Girls &amp; Descendants - Edit'!AJ$1,FALSE)))</f>
        <v>Female. b. 07/06/1969 Born in Reading</v>
      </c>
      <c r="AK374" s="3" t="str">
        <f>IF(VLOOKUP($C374,'All Girls &amp; Descendants - Edit'!$C$2:$AK$440,'All Girls &amp; Descendants - Edit'!AK$1,FALSE)=""," - ",(VLOOKUP($C374,'All Girls &amp; Descendants - Edit'!$C$2:$AK$440,'All Girls &amp; Descendants - Edit'!AK$1,FALSE)))</f>
        <v>b. 07/06/1969</v>
      </c>
    </row>
    <row r="375" spans="1:37" ht="19">
      <c r="A375">
        <f>VLOOKUP(B375,'Loyd List 1-190 - Edit'!$P$1:$R$219,3,FALSE)</f>
        <v>22</v>
      </c>
      <c r="B375">
        <f>'All Girls &amp; Descendants - Edit'!B376</f>
        <v>36</v>
      </c>
      <c r="C375" s="98" t="str">
        <f>'All Girls &amp; Descendants - Edit'!C376</f>
        <v>36dbac</v>
      </c>
      <c r="D375" s="2" t="str">
        <f>'All Girls &amp; Descendants - Edit'!D376</f>
        <v>SCOTT-DEMPSTER</v>
      </c>
      <c r="E375" t="str">
        <f>'All Girls &amp; Descendants - Edit'!E376</f>
        <v>Harry</v>
      </c>
      <c r="F375" t="str">
        <f>IF('All Girls &amp; Descendants - Edit'!F376="","",'All Girls &amp; Descendants - Edit'!F376)</f>
        <v>Colin</v>
      </c>
      <c r="G375" t="str">
        <f>IF('All Girls &amp; Descendants - Edit'!G376="","",'All Girls &amp; Descendants - Edit'!G376)</f>
        <v/>
      </c>
      <c r="H375" t="str">
        <f>IF('All Girls &amp; Descendants - Edit'!H376="","",'All Girls &amp; Descendants - Edit'!H376)</f>
        <v>Ann</v>
      </c>
      <c r="I375">
        <f>VLOOKUP($C375,'All Girls &amp; Descendants - Edit'!$C$2:$AK$440,'All Girls &amp; Descendants - Edit'!I$1,FALSE)</f>
        <v>1985</v>
      </c>
      <c r="J375" t="str">
        <f>VLOOKUP($C375,'All Girls &amp; Descendants - Edit'!$C$2:$AK$440,'All Girls &amp; Descendants - Edit'!J$1,FALSE)</f>
        <v/>
      </c>
      <c r="K375" s="9"/>
      <c r="L375" t="str">
        <f t="shared" si="39"/>
        <v>28/08/1985</v>
      </c>
      <c r="M375" s="3" t="str">
        <f>VLOOKUP($C375,'All Girls &amp; Descendants - Edit'!$C$2:$AK$440,'All Girls &amp; Descendants - Edit'!M$1,FALSE)</f>
        <v>28/08/1985</v>
      </c>
      <c r="N375" s="3" t="str">
        <f>IF(VLOOKUP($C375,'All Girls &amp; Descendants - Edit'!$C$2:$AK$440,'All Girls &amp; Descendants - Edit'!N$1,FALSE)=""," - ",(VLOOKUP($C375,'All Girls &amp; Descendants - Edit'!$C$2:$AK$440,'All Girls &amp; Descendants - Edit'!N$1,FALSE)))</f>
        <v xml:space="preserve"> - </v>
      </c>
      <c r="O375" s="3" t="str">
        <f>IF(VLOOKUP($C375,'All Girls &amp; Descendants - Edit'!$C$2:$AK$440,'All Girls &amp; Descendants - Edit'!O$1,FALSE)="","",(VLOOKUP($C375,'All Girls &amp; Descendants - Edit'!$C$2:$AK$440,'All Girls &amp; Descendants - Edit'!O$1,FALSE)))</f>
        <v/>
      </c>
      <c r="P375" s="3" t="str">
        <f t="shared" si="40"/>
        <v/>
      </c>
      <c r="Q375" s="178" t="str">
        <f t="shared" si="41"/>
        <v>36dba</v>
      </c>
      <c r="R375" s="23"/>
      <c r="S375" t="str">
        <f>VLOOKUP($C375,'All Girls &amp; Descendants - Edit'!$C$2:$AK$440,'All Girls &amp; Descendants - Edit'!S$1,FALSE)</f>
        <v>Male</v>
      </c>
      <c r="T375" s="176">
        <f t="shared" si="38"/>
        <v>7</v>
      </c>
      <c r="U375" s="176">
        <f t="shared" si="42"/>
        <v>6</v>
      </c>
      <c r="V375" s="176">
        <f t="shared" si="43"/>
        <v>3</v>
      </c>
      <c r="W375" s="177">
        <f t="shared" si="44"/>
        <v>4</v>
      </c>
      <c r="X375" s="3" t="str">
        <f>IF(VLOOKUP($C375,'All Girls &amp; Descendants - Edit'!$C$2:$AK$440,'All Girls &amp; Descendants - Edit'!X$1,FALSE)=""," - ",(VLOOKUP($C375,'All Girls &amp; Descendants - Edit'!$C$2:$AK$440,'All Girls &amp; Descendants - Edit'!X$1,FALSE)))</f>
        <v xml:space="preserve"> - </v>
      </c>
      <c r="Y375" s="3" t="str">
        <f>IF(VLOOKUP($C375,'All Girls &amp; Descendants - Edit'!$C$2:$AK$440,'All Girls &amp; Descendants - Edit'!Y$1,FALSE)=""," - ",(VLOOKUP($C375,'All Girls &amp; Descendants - Edit'!$C$2:$AK$440,'All Girls &amp; Descendants - Edit'!Y$1,FALSE)))</f>
        <v xml:space="preserve"> - </v>
      </c>
      <c r="Z375" s="3" t="str">
        <f>IF(VLOOKUP($C375,'All Girls &amp; Descendants - Edit'!$C$2:$AK$440,'All Girls &amp; Descendants - Edit'!Z$1,FALSE)=""," - ",(VLOOKUP($C375,'All Girls &amp; Descendants - Edit'!$C$2:$AK$440,'All Girls &amp; Descendants - Edit'!Z$1,FALSE)))</f>
        <v>Born in Oxford</v>
      </c>
      <c r="AA375" s="101">
        <f>IF(VLOOKUP($C375,'All Girls &amp; Descendants - Edit'!$C$2:$AK$440,'All Girls &amp; Descendants - Edit'!AA$1,FALSE)=""," - ",(VLOOKUP($C375,'All Girls &amp; Descendants - Edit'!$C$2:$AK$440,'All Girls &amp; Descendants - Edit'!AA$1,FALSE)))</f>
        <v>80</v>
      </c>
      <c r="AB375" s="101">
        <f>IF(VLOOKUP($C375,'All Girls &amp; Descendants - Edit'!$C$2:$AK$440,'All Girls &amp; Descendants - Edit'!AB$1,FALSE)=""," - ",(VLOOKUP($C375,'All Girls &amp; Descendants - Edit'!$C$2:$AK$440,'All Girls &amp; Descendants - Edit'!AB$1,FALSE)))</f>
        <v>16</v>
      </c>
      <c r="AC375" s="101">
        <f>IF(VLOOKUP($C375,'All Girls &amp; Descendants - Edit'!$C$2:$AK$440,'All Girls &amp; Descendants - Edit'!AC$1,FALSE)=""," - ",(VLOOKUP($C375,'All Girls &amp; Descendants - Edit'!$C$2:$AK$440,'All Girls &amp; Descendants - Edit'!AC$1,FALSE)))</f>
        <v>4016</v>
      </c>
      <c r="AD375" s="3" t="str">
        <f>IF(VLOOKUP($C375,'All Girls &amp; Descendants - Edit'!$C$2:$AK$440,'All Girls &amp; Descendants - Edit'!AD$1,FALSE)=""," - ",(VLOOKUP($C375,'All Girls &amp; Descendants - Edit'!$C$2:$AK$440,'All Girls &amp; Descendants - Edit'!AD$1,FALSE)))</f>
        <v>36dbac</v>
      </c>
      <c r="AE375" s="3" t="str">
        <f>IF(VLOOKUP($C375,'All Girls &amp; Descendants - Edit'!$C$2:$AK$440,'All Girls &amp; Descendants - Edit'!AE$1,FALSE)=""," - ",(VLOOKUP($C375,'All Girls &amp; Descendants - Edit'!$C$2:$AK$440,'All Girls &amp; Descendants - Edit'!AE$1,FALSE)))</f>
        <v>Harry Colin  SCOTT-DEMPSTER (1985 - )</v>
      </c>
      <c r="AF375" s="3" t="str">
        <f>IF(VLOOKUP($C375,'All Girls &amp; Descendants - Edit'!$C$2:$AK$440,'All Girls &amp; Descendants - Edit'!AF$1,FALSE)=""," - ",(VLOOKUP($C375,'All Girls &amp; Descendants - Edit'!$C$2:$AK$440,'All Girls &amp; Descendants - Edit'!AF$1,FALSE)))</f>
        <v>Ann SCOTT-DEMPSTER (7th &amp; 36)</v>
      </c>
      <c r="AG375" s="3" t="str">
        <f>IF(VLOOKUP($C375,'All Girls &amp; Descendants - Edit'!$C$2:$AK$440,'All Girls &amp; Descendants - Edit'!AG$1,FALSE)=""," - ",(VLOOKUP($C375,'All Girls &amp; Descendants - Edit'!$C$2:$AK$440,'All Girls &amp; Descendants - Edit'!AG$1,FALSE)))</f>
        <v>Male</v>
      </c>
      <c r="AH375" s="3" t="str">
        <f>IF(VLOOKUP($C375,'All Girls &amp; Descendants - Edit'!$C$2:$AK$440,'All Girls &amp; Descendants - Edit'!AH$1,FALSE)=""," - ",(VLOOKUP($C375,'All Girls &amp; Descendants - Edit'!$C$2:$AK$440,'All Girls &amp; Descendants - Edit'!AH$1,FALSE)))</f>
        <v>7th</v>
      </c>
      <c r="AI375" s="3" t="str">
        <f>IF(VLOOKUP($C375,'All Girls &amp; Descendants - Edit'!$C$2:$AK$440,'All Girls &amp; Descendants - Edit'!AI$1,FALSE)=""," - ",(VLOOKUP($C375,'All Girls &amp; Descendants - Edit'!$C$2:$AK$440,'All Girls &amp; Descendants - Edit'!AI$1,FALSE)))</f>
        <v>Unmarried</v>
      </c>
      <c r="AJ375" s="3" t="str">
        <f>IF(VLOOKUP($C375,'All Girls &amp; Descendants - Edit'!$C$2:$AK$440,'All Girls &amp; Descendants - Edit'!AJ$1,FALSE)=""," - ",(VLOOKUP($C375,'All Girls &amp; Descendants - Edit'!$C$2:$AK$440,'All Girls &amp; Descendants - Edit'!AJ$1,FALSE)))</f>
        <v>Male. b. 28/08/1985 Born in Oxford</v>
      </c>
      <c r="AK375" s="3" t="str">
        <f>IF(VLOOKUP($C375,'All Girls &amp; Descendants - Edit'!$C$2:$AK$440,'All Girls &amp; Descendants - Edit'!AK$1,FALSE)=""," - ",(VLOOKUP($C375,'All Girls &amp; Descendants - Edit'!$C$2:$AK$440,'All Girls &amp; Descendants - Edit'!AK$1,FALSE)))</f>
        <v>b. 28/08/1985</v>
      </c>
    </row>
    <row r="376" spans="1:37" ht="19">
      <c r="A376">
        <f>VLOOKUP(B376,'Loyd List 1-190 - Edit'!$P$1:$R$219,3,FALSE)</f>
        <v>22</v>
      </c>
      <c r="B376">
        <f>'All Girls &amp; Descendants - Edit'!B377</f>
        <v>36</v>
      </c>
      <c r="C376" s="98" t="str">
        <f>'All Girls &amp; Descendants - Edit'!C377</f>
        <v>36dbba</v>
      </c>
      <c r="D376" s="2" t="str">
        <f>'All Girls &amp; Descendants - Edit'!D377</f>
        <v>LINDSAY</v>
      </c>
      <c r="E376" t="str">
        <f>'All Girls &amp; Descendants - Edit'!E377</f>
        <v>Jane</v>
      </c>
      <c r="F376" t="str">
        <f>IF('All Girls &amp; Descendants - Edit'!F377="","",'All Girls &amp; Descendants - Edit'!F377)</f>
        <v>Margaret</v>
      </c>
      <c r="G376" t="str">
        <f>IF('All Girls &amp; Descendants - Edit'!G377="","",'All Girls &amp; Descendants - Edit'!G377)</f>
        <v/>
      </c>
      <c r="H376" t="str">
        <f>IF('All Girls &amp; Descendants - Edit'!H377="","",'All Girls &amp; Descendants - Edit'!H377)</f>
        <v/>
      </c>
      <c r="I376">
        <f>VLOOKUP($C376,'All Girls &amp; Descendants - Edit'!$C$2:$AK$440,'All Girls &amp; Descendants - Edit'!I$1,FALSE)</f>
        <v>1966</v>
      </c>
      <c r="J376" t="str">
        <f>VLOOKUP($C376,'All Girls &amp; Descendants - Edit'!$C$2:$AK$440,'All Girls &amp; Descendants - Edit'!J$1,FALSE)</f>
        <v/>
      </c>
      <c r="K376" s="9"/>
      <c r="L376" t="str">
        <f t="shared" si="39"/>
        <v>17/12/1966</v>
      </c>
      <c r="M376" s="3">
        <f>VLOOKUP($C376,'All Girls &amp; Descendants - Edit'!$C$2:$AK$440,'All Girls &amp; Descendants - Edit'!M$1,FALSE)</f>
        <v>24458</v>
      </c>
      <c r="N376" s="3" t="str">
        <f>IF(VLOOKUP($C376,'All Girls &amp; Descendants - Edit'!$C$2:$AK$440,'All Girls &amp; Descendants - Edit'!N$1,FALSE)=""," - ",(VLOOKUP($C376,'All Girls &amp; Descendants - Edit'!$C$2:$AK$440,'All Girls &amp; Descendants - Edit'!N$1,FALSE)))</f>
        <v xml:space="preserve"> - </v>
      </c>
      <c r="O376" s="3" t="str">
        <f>IF(VLOOKUP($C376,'All Girls &amp; Descendants - Edit'!$C$2:$AK$440,'All Girls &amp; Descendants - Edit'!O$1,FALSE)="","",(VLOOKUP($C376,'All Girls &amp; Descendants - Edit'!$C$2:$AK$440,'All Girls &amp; Descendants - Edit'!O$1,FALSE)))</f>
        <v/>
      </c>
      <c r="P376" s="3" t="str">
        <f t="shared" si="40"/>
        <v/>
      </c>
      <c r="Q376" s="178" t="str">
        <f t="shared" si="41"/>
        <v>36dbb</v>
      </c>
      <c r="R376" s="23"/>
      <c r="S376" t="str">
        <f>VLOOKUP($C376,'All Girls &amp; Descendants - Edit'!$C$2:$AK$440,'All Girls &amp; Descendants - Edit'!S$1,FALSE)</f>
        <v>Female</v>
      </c>
      <c r="T376" s="176">
        <f t="shared" si="38"/>
        <v>7</v>
      </c>
      <c r="U376" s="176">
        <f t="shared" si="42"/>
        <v>6</v>
      </c>
      <c r="V376" s="176">
        <f t="shared" si="43"/>
        <v>3</v>
      </c>
      <c r="W376" s="177">
        <f t="shared" si="44"/>
        <v>4</v>
      </c>
      <c r="X376" s="3" t="str">
        <f>IF(VLOOKUP($C376,'All Girls &amp; Descendants - Edit'!$C$2:$AK$440,'All Girls &amp; Descendants - Edit'!X$1,FALSE)=""," - ",(VLOOKUP($C376,'All Girls &amp; Descendants - Edit'!$C$2:$AK$440,'All Girls &amp; Descendants - Edit'!X$1,FALSE)))</f>
        <v>Charles Robert Stephen GRAHAM (b. 01/04/1961, d.)</v>
      </c>
      <c r="Y376" s="3" t="str">
        <f>IF(VLOOKUP($C376,'All Girls &amp; Descendants - Edit'!$C$2:$AK$440,'All Girls &amp; Descendants - Edit'!Y$1,FALSE)=""," - ",(VLOOKUP($C376,'All Girls &amp; Descendants - Edit'!$C$2:$AK$440,'All Girls &amp; Descendants - Edit'!Y$1,FALSE)))</f>
        <v>Married at St Cuthbert’s. Edinburgh,</v>
      </c>
      <c r="Z376" s="3" t="str">
        <f>IF(VLOOKUP($C376,'All Girls &amp; Descendants - Edit'!$C$2:$AK$440,'All Girls &amp; Descendants - Edit'!Z$1,FALSE)=""," - ",(VLOOKUP($C376,'All Girls &amp; Descendants - Edit'!$C$2:$AK$440,'All Girls &amp; Descendants - Edit'!Z$1,FALSE)))</f>
        <v>Born in Edinburgh.</v>
      </c>
      <c r="AA376" s="101">
        <f>IF(VLOOKUP($C376,'All Girls &amp; Descendants - Edit'!$C$2:$AK$440,'All Girls &amp; Descendants - Edit'!AA$1,FALSE)=""," - ",(VLOOKUP($C376,'All Girls &amp; Descendants - Edit'!$C$2:$AK$440,'All Girls &amp; Descendants - Edit'!AA$1,FALSE)))</f>
        <v>82</v>
      </c>
      <c r="AB376" s="101">
        <f>IF(VLOOKUP($C376,'All Girls &amp; Descendants - Edit'!$C$2:$AK$440,'All Girls &amp; Descendants - Edit'!AB$1,FALSE)=""," - ",(VLOOKUP($C376,'All Girls &amp; Descendants - Edit'!$C$2:$AK$440,'All Girls &amp; Descendants - Edit'!AB$1,FALSE)))</f>
        <v>17</v>
      </c>
      <c r="AC376" s="101">
        <f>IF(VLOOKUP($C376,'All Girls &amp; Descendants - Edit'!$C$2:$AK$440,'All Girls &amp; Descendants - Edit'!AC$1,FALSE)=""," - ",(VLOOKUP($C376,'All Girls &amp; Descendants - Edit'!$C$2:$AK$440,'All Girls &amp; Descendants - Edit'!AC$1,FALSE)))</f>
        <v>4017</v>
      </c>
      <c r="AD376" s="3" t="str">
        <f>IF(VLOOKUP($C376,'All Girls &amp; Descendants - Edit'!$C$2:$AK$440,'All Girls &amp; Descendants - Edit'!AD$1,FALSE)=""," - ",(VLOOKUP($C376,'All Girls &amp; Descendants - Edit'!$C$2:$AK$440,'All Girls &amp; Descendants - Edit'!AD$1,FALSE)))</f>
        <v>36dbba</v>
      </c>
      <c r="AE376" s="3" t="str">
        <f>IF(VLOOKUP($C376,'All Girls &amp; Descendants - Edit'!$C$2:$AK$440,'All Girls &amp; Descendants - Edit'!AE$1,FALSE)=""," - ",(VLOOKUP($C376,'All Girls &amp; Descendants - Edit'!$C$2:$AK$440,'All Girls &amp; Descendants - Edit'!AE$1,FALSE)))</f>
        <v>Jane Margaret  LINDSAY (1966 - )</v>
      </c>
      <c r="AF376" s="3" t="str">
        <f>IF(VLOOKUP($C376,'All Girls &amp; Descendants - Edit'!$C$2:$AK$440,'All Girls &amp; Descendants - Edit'!AF$1,FALSE)=""," - ",(VLOOKUP($C376,'All Girls &amp; Descendants - Edit'!$C$2:$AK$440,'All Girls &amp; Descendants - Edit'!AF$1,FALSE)))</f>
        <v>Jane LINDSAY (7th &amp; 36)</v>
      </c>
      <c r="AG376" s="3" t="str">
        <f>IF(VLOOKUP($C376,'All Girls &amp; Descendants - Edit'!$C$2:$AK$440,'All Girls &amp; Descendants - Edit'!AG$1,FALSE)=""," - ",(VLOOKUP($C376,'All Girls &amp; Descendants - Edit'!$C$2:$AK$440,'All Girls &amp; Descendants - Edit'!AG$1,FALSE)))</f>
        <v>Female</v>
      </c>
      <c r="AH376" s="3" t="str">
        <f>IF(VLOOKUP($C376,'All Girls &amp; Descendants - Edit'!$C$2:$AK$440,'All Girls &amp; Descendants - Edit'!AH$1,FALSE)=""," - ",(VLOOKUP($C376,'All Girls &amp; Descendants - Edit'!$C$2:$AK$440,'All Girls &amp; Descendants - Edit'!AH$1,FALSE)))</f>
        <v>7th</v>
      </c>
      <c r="AI376" s="3" t="str">
        <f>IF(VLOOKUP($C376,'All Girls &amp; Descendants - Edit'!$C$2:$AK$440,'All Girls &amp; Descendants - Edit'!AI$1,FALSE)=""," - ",(VLOOKUP($C376,'All Girls &amp; Descendants - Edit'!$C$2:$AK$440,'All Girls &amp; Descendants - Edit'!AI$1,FALSE)))</f>
        <v>Husband: Charles Robert Stephen GRAHAM (b. 01/04/1961, d.). Married at St Cuthbert’s. Edinburgh,</v>
      </c>
      <c r="AJ376" s="3" t="str">
        <f>IF(VLOOKUP($C376,'All Girls &amp; Descendants - Edit'!$C$2:$AK$440,'All Girls &amp; Descendants - Edit'!AJ$1,FALSE)=""," - ",(VLOOKUP($C376,'All Girls &amp; Descendants - Edit'!$C$2:$AK$440,'All Girls &amp; Descendants - Edit'!AJ$1,FALSE)))</f>
        <v>Female. b. 17/12/1966 Born in Edinburgh.</v>
      </c>
      <c r="AK376" s="3" t="str">
        <f>IF(VLOOKUP($C376,'All Girls &amp; Descendants - Edit'!$C$2:$AK$440,'All Girls &amp; Descendants - Edit'!AK$1,FALSE)=""," - ",(VLOOKUP($C376,'All Girls &amp; Descendants - Edit'!$C$2:$AK$440,'All Girls &amp; Descendants - Edit'!AK$1,FALSE)))</f>
        <v>b. 17/12/1966</v>
      </c>
    </row>
    <row r="377" spans="1:37" ht="19">
      <c r="A377">
        <f>VLOOKUP(B377,'Loyd List 1-190 - Edit'!$P$1:$R$219,3,FALSE)</f>
        <v>22</v>
      </c>
      <c r="B377">
        <f>'All Girls &amp; Descendants - Edit'!B378</f>
        <v>36</v>
      </c>
      <c r="C377" s="98" t="str">
        <f>'All Girls &amp; Descendants - Edit'!C378</f>
        <v>36dbbb</v>
      </c>
      <c r="D377" s="2" t="str">
        <f>'All Girls &amp; Descendants - Edit'!D378</f>
        <v>LINDSAY</v>
      </c>
      <c r="E377" t="str">
        <f>'All Girls &amp; Descendants - Edit'!E378</f>
        <v>Richard</v>
      </c>
      <c r="F377" t="str">
        <f>IF('All Girls &amp; Descendants - Edit'!F378="","",'All Girls &amp; Descendants - Edit'!F378)</f>
        <v>Stephen</v>
      </c>
      <c r="G377" t="str">
        <f>IF('All Girls &amp; Descendants - Edit'!G378="","",'All Girls &amp; Descendants - Edit'!G378)</f>
        <v/>
      </c>
      <c r="H377" t="str">
        <f>IF('All Girls &amp; Descendants - Edit'!H378="","",'All Girls &amp; Descendants - Edit'!H378)</f>
        <v/>
      </c>
      <c r="I377">
        <f>VLOOKUP($C377,'All Girls &amp; Descendants - Edit'!$C$2:$AK$440,'All Girls &amp; Descendants - Edit'!I$1,FALSE)</f>
        <v>1969</v>
      </c>
      <c r="J377" t="str">
        <f>VLOOKUP($C377,'All Girls &amp; Descendants - Edit'!$C$2:$AK$440,'All Girls &amp; Descendants - Edit'!J$1,FALSE)</f>
        <v/>
      </c>
      <c r="K377" s="9"/>
      <c r="L377" t="str">
        <f t="shared" si="39"/>
        <v>18/02/1969</v>
      </c>
      <c r="M377" s="3">
        <f>VLOOKUP($C377,'All Girls &amp; Descendants - Edit'!$C$2:$AK$440,'All Girls &amp; Descendants - Edit'!M$1,FALSE)</f>
        <v>25252</v>
      </c>
      <c r="N377" s="3" t="str">
        <f>IF(VLOOKUP($C377,'All Girls &amp; Descendants - Edit'!$C$2:$AK$440,'All Girls &amp; Descendants - Edit'!N$1,FALSE)=""," - ",(VLOOKUP($C377,'All Girls &amp; Descendants - Edit'!$C$2:$AK$440,'All Girls &amp; Descendants - Edit'!N$1,FALSE)))</f>
        <v xml:space="preserve"> - </v>
      </c>
      <c r="O377" s="3" t="str">
        <f>IF(VLOOKUP($C377,'All Girls &amp; Descendants - Edit'!$C$2:$AK$440,'All Girls &amp; Descendants - Edit'!O$1,FALSE)="","",(VLOOKUP($C377,'All Girls &amp; Descendants - Edit'!$C$2:$AK$440,'All Girls &amp; Descendants - Edit'!O$1,FALSE)))</f>
        <v/>
      </c>
      <c r="P377" s="3" t="str">
        <f t="shared" si="40"/>
        <v/>
      </c>
      <c r="Q377" s="178" t="str">
        <f t="shared" si="41"/>
        <v>36dbb</v>
      </c>
      <c r="R377" s="23"/>
      <c r="S377" t="str">
        <f>VLOOKUP($C377,'All Girls &amp; Descendants - Edit'!$C$2:$AK$440,'All Girls &amp; Descendants - Edit'!S$1,FALSE)</f>
        <v>Male</v>
      </c>
      <c r="T377" s="176">
        <f t="shared" si="38"/>
        <v>7</v>
      </c>
      <c r="U377" s="176">
        <f t="shared" si="42"/>
        <v>6</v>
      </c>
      <c r="V377" s="176">
        <f t="shared" si="43"/>
        <v>3</v>
      </c>
      <c r="W377" s="177">
        <f t="shared" si="44"/>
        <v>4</v>
      </c>
      <c r="X377" s="3" t="str">
        <f>IF(VLOOKUP($C377,'All Girls &amp; Descendants - Edit'!$C$2:$AK$440,'All Girls &amp; Descendants - Edit'!X$1,FALSE)=""," - ",(VLOOKUP($C377,'All Girls &amp; Descendants - Edit'!$C$2:$AK$440,'All Girls &amp; Descendants - Edit'!X$1,FALSE)))</f>
        <v>Xanthe CRITCHETT (b. 13/02/1968, d. ?)</v>
      </c>
      <c r="Y377" s="3" t="str">
        <f>IF(VLOOKUP($C377,'All Girls &amp; Descendants - Edit'!$C$2:$AK$440,'All Girls &amp; Descendants - Edit'!Y$1,FALSE)=""," - ",(VLOOKUP($C377,'All Girls &amp; Descendants - Edit'!$C$2:$AK$440,'All Girls &amp; Descendants - Edit'!Y$1,FALSE)))</f>
        <v>Married at St Peter’s, Limpsfield Xanthe daughter of Sir Ian CRITCHETT.</v>
      </c>
      <c r="Z377" s="3" t="str">
        <f>IF(VLOOKUP($C377,'All Girls &amp; Descendants - Edit'!$C$2:$AK$440,'All Girls &amp; Descendants - Edit'!Z$1,FALSE)=""," - ",(VLOOKUP($C377,'All Girls &amp; Descendants - Edit'!$C$2:$AK$440,'All Girls &amp; Descendants - Edit'!Z$1,FALSE)))</f>
        <v>Born in Salisbury.</v>
      </c>
      <c r="AA377" s="101">
        <f>IF(VLOOKUP($C377,'All Girls &amp; Descendants - Edit'!$C$2:$AK$440,'All Girls &amp; Descendants - Edit'!AA$1,FALSE)=""," - ",(VLOOKUP($C377,'All Girls &amp; Descendants - Edit'!$C$2:$AK$440,'All Girls &amp; Descendants - Edit'!AA$1,FALSE)))</f>
        <v>85</v>
      </c>
      <c r="AB377" s="101">
        <f>IF(VLOOKUP($C377,'All Girls &amp; Descendants - Edit'!$C$2:$AK$440,'All Girls &amp; Descendants - Edit'!AB$1,FALSE)=""," - ",(VLOOKUP($C377,'All Girls &amp; Descendants - Edit'!$C$2:$AK$440,'All Girls &amp; Descendants - Edit'!AB$1,FALSE)))</f>
        <v>18</v>
      </c>
      <c r="AC377" s="101">
        <f>IF(VLOOKUP($C377,'All Girls &amp; Descendants - Edit'!$C$2:$AK$440,'All Girls &amp; Descendants - Edit'!AC$1,FALSE)=""," - ",(VLOOKUP($C377,'All Girls &amp; Descendants - Edit'!$C$2:$AK$440,'All Girls &amp; Descendants - Edit'!AC$1,FALSE)))</f>
        <v>4018</v>
      </c>
      <c r="AD377" s="3" t="str">
        <f>IF(VLOOKUP($C377,'All Girls &amp; Descendants - Edit'!$C$2:$AK$440,'All Girls &amp; Descendants - Edit'!AD$1,FALSE)=""," - ",(VLOOKUP($C377,'All Girls &amp; Descendants - Edit'!$C$2:$AK$440,'All Girls &amp; Descendants - Edit'!AD$1,FALSE)))</f>
        <v>36dbbb</v>
      </c>
      <c r="AE377" s="3" t="str">
        <f>IF(VLOOKUP($C377,'All Girls &amp; Descendants - Edit'!$C$2:$AK$440,'All Girls &amp; Descendants - Edit'!AE$1,FALSE)=""," - ",(VLOOKUP($C377,'All Girls &amp; Descendants - Edit'!$C$2:$AK$440,'All Girls &amp; Descendants - Edit'!AE$1,FALSE)))</f>
        <v>Richard Stephen  LINDSAY (1969 - )</v>
      </c>
      <c r="AF377" s="3" t="str">
        <f>IF(VLOOKUP($C377,'All Girls &amp; Descendants - Edit'!$C$2:$AK$440,'All Girls &amp; Descendants - Edit'!AF$1,FALSE)=""," - ",(VLOOKUP($C377,'All Girls &amp; Descendants - Edit'!$C$2:$AK$440,'All Girls &amp; Descendants - Edit'!AF$1,FALSE)))</f>
        <v>Richard LINDSAY (7th &amp; 36)</v>
      </c>
      <c r="AG377" s="3" t="str">
        <f>IF(VLOOKUP($C377,'All Girls &amp; Descendants - Edit'!$C$2:$AK$440,'All Girls &amp; Descendants - Edit'!AG$1,FALSE)=""," - ",(VLOOKUP($C377,'All Girls &amp; Descendants - Edit'!$C$2:$AK$440,'All Girls &amp; Descendants - Edit'!AG$1,FALSE)))</f>
        <v>Male</v>
      </c>
      <c r="AH377" s="3" t="str">
        <f>IF(VLOOKUP($C377,'All Girls &amp; Descendants - Edit'!$C$2:$AK$440,'All Girls &amp; Descendants - Edit'!AH$1,FALSE)=""," - ",(VLOOKUP($C377,'All Girls &amp; Descendants - Edit'!$C$2:$AK$440,'All Girls &amp; Descendants - Edit'!AH$1,FALSE)))</f>
        <v>7th</v>
      </c>
      <c r="AI377" s="3" t="str">
        <f>IF(VLOOKUP($C377,'All Girls &amp; Descendants - Edit'!$C$2:$AK$440,'All Girls &amp; Descendants - Edit'!AI$1,FALSE)=""," - ",(VLOOKUP($C377,'All Girls &amp; Descendants - Edit'!$C$2:$AK$440,'All Girls &amp; Descendants - Edit'!AI$1,FALSE)))</f>
        <v>Wife: Xanthe CRITCHETT (b. 13/02/1968, d. ?). Married at St Peter’s, Limpsfield Xanthe daughter of Sir Ian CRITCHETT.</v>
      </c>
      <c r="AJ377" s="3" t="str">
        <f>IF(VLOOKUP($C377,'All Girls &amp; Descendants - Edit'!$C$2:$AK$440,'All Girls &amp; Descendants - Edit'!AJ$1,FALSE)=""," - ",(VLOOKUP($C377,'All Girls &amp; Descendants - Edit'!$C$2:$AK$440,'All Girls &amp; Descendants - Edit'!AJ$1,FALSE)))</f>
        <v>Male. b. 18/02/1969 Born in Salisbury.</v>
      </c>
      <c r="AK377" s="3" t="str">
        <f>IF(VLOOKUP($C377,'All Girls &amp; Descendants - Edit'!$C$2:$AK$440,'All Girls &amp; Descendants - Edit'!AK$1,FALSE)=""," - ",(VLOOKUP($C377,'All Girls &amp; Descendants - Edit'!$C$2:$AK$440,'All Girls &amp; Descendants - Edit'!AK$1,FALSE)))</f>
        <v>b. 18/02/1969</v>
      </c>
    </row>
    <row r="378" spans="1:37" ht="19">
      <c r="A378">
        <f>VLOOKUP(B378,'Loyd List 1-190 - Edit'!$P$1:$R$219,3,FALSE)</f>
        <v>22</v>
      </c>
      <c r="B378">
        <f>'All Girls &amp; Descendants - Edit'!B379</f>
        <v>36</v>
      </c>
      <c r="C378" s="98" t="str">
        <f>'All Girls &amp; Descendants - Edit'!C379</f>
        <v>36dbbc</v>
      </c>
      <c r="D378" s="2" t="str">
        <f>'All Girls &amp; Descendants - Edit'!D379</f>
        <v>LINDSAY</v>
      </c>
      <c r="E378" t="str">
        <f>'All Girls &amp; Descendants - Edit'!E379</f>
        <v>Charles</v>
      </c>
      <c r="F378" t="str">
        <f>IF('All Girls &amp; Descendants - Edit'!F379="","",'All Girls &amp; Descendants - Edit'!F379)</f>
        <v>Ludovic</v>
      </c>
      <c r="G378" t="str">
        <f>IF('All Girls &amp; Descendants - Edit'!G379="","",'All Girls &amp; Descendants - Edit'!G379)</f>
        <v/>
      </c>
      <c r="H378" t="str">
        <f>IF('All Girls &amp; Descendants - Edit'!H379="","",'All Girls &amp; Descendants - Edit'!H379)</f>
        <v/>
      </c>
      <c r="I378">
        <f>VLOOKUP($C378,'All Girls &amp; Descendants - Edit'!$C$2:$AK$440,'All Girls &amp; Descendants - Edit'!I$1,FALSE)</f>
        <v>1974</v>
      </c>
      <c r="J378" t="str">
        <f>VLOOKUP($C378,'All Girls &amp; Descendants - Edit'!$C$2:$AK$440,'All Girls &amp; Descendants - Edit'!J$1,FALSE)</f>
        <v/>
      </c>
      <c r="K378" s="9"/>
      <c r="L378" t="str">
        <f t="shared" si="39"/>
        <v>24/04/1974</v>
      </c>
      <c r="M378" s="3">
        <f>VLOOKUP($C378,'All Girls &amp; Descendants - Edit'!$C$2:$AK$440,'All Girls &amp; Descendants - Edit'!M$1,FALSE)</f>
        <v>27143</v>
      </c>
      <c r="N378" s="3" t="str">
        <f>IF(VLOOKUP($C378,'All Girls &amp; Descendants - Edit'!$C$2:$AK$440,'All Girls &amp; Descendants - Edit'!N$1,FALSE)=""," - ",(VLOOKUP($C378,'All Girls &amp; Descendants - Edit'!$C$2:$AK$440,'All Girls &amp; Descendants - Edit'!N$1,FALSE)))</f>
        <v xml:space="preserve"> - </v>
      </c>
      <c r="O378" s="3" t="str">
        <f>IF(VLOOKUP($C378,'All Girls &amp; Descendants - Edit'!$C$2:$AK$440,'All Girls &amp; Descendants - Edit'!O$1,FALSE)="","",(VLOOKUP($C378,'All Girls &amp; Descendants - Edit'!$C$2:$AK$440,'All Girls &amp; Descendants - Edit'!O$1,FALSE)))</f>
        <v/>
      </c>
      <c r="P378" s="3" t="str">
        <f t="shared" si="40"/>
        <v/>
      </c>
      <c r="Q378" s="178" t="str">
        <f t="shared" si="41"/>
        <v>36dbb</v>
      </c>
      <c r="R378" s="23"/>
      <c r="S378" t="str">
        <f>VLOOKUP($C378,'All Girls &amp; Descendants - Edit'!$C$2:$AK$440,'All Girls &amp; Descendants - Edit'!S$1,FALSE)</f>
        <v>Male</v>
      </c>
      <c r="T378" s="176">
        <f t="shared" si="38"/>
        <v>7</v>
      </c>
      <c r="U378" s="176">
        <f t="shared" si="42"/>
        <v>6</v>
      </c>
      <c r="V378" s="176">
        <f t="shared" si="43"/>
        <v>3</v>
      </c>
      <c r="W378" s="177">
        <f t="shared" si="44"/>
        <v>4</v>
      </c>
      <c r="X378" s="3" t="str">
        <f>IF(VLOOKUP($C378,'All Girls &amp; Descendants - Edit'!$C$2:$AK$440,'All Girls &amp; Descendants - Edit'!X$1,FALSE)=""," - ",(VLOOKUP($C378,'All Girls &amp; Descendants - Edit'!$C$2:$AK$440,'All Girls &amp; Descendants - Edit'!X$1,FALSE)))</f>
        <v xml:space="preserve"> - </v>
      </c>
      <c r="Y378" s="3" t="str">
        <f>IF(VLOOKUP($C378,'All Girls &amp; Descendants - Edit'!$C$2:$AK$440,'All Girls &amp; Descendants - Edit'!Y$1,FALSE)=""," - ",(VLOOKUP($C378,'All Girls &amp; Descendants - Edit'!$C$2:$AK$440,'All Girls &amp; Descendants - Edit'!Y$1,FALSE)))</f>
        <v xml:space="preserve"> - </v>
      </c>
      <c r="Z378" s="3" t="str">
        <f>IF(VLOOKUP($C378,'All Girls &amp; Descendants - Edit'!$C$2:$AK$440,'All Girls &amp; Descendants - Edit'!Z$1,FALSE)=""," - ",(VLOOKUP($C378,'All Girls &amp; Descendants - Edit'!$C$2:$AK$440,'All Girls &amp; Descendants - Edit'!Z$1,FALSE)))</f>
        <v>Born in Edinburgh.</v>
      </c>
      <c r="AA378" s="101">
        <f>IF(VLOOKUP($C378,'All Girls &amp; Descendants - Edit'!$C$2:$AK$440,'All Girls &amp; Descendants - Edit'!AA$1,FALSE)=""," - ",(VLOOKUP($C378,'All Girls &amp; Descendants - Edit'!$C$2:$AK$440,'All Girls &amp; Descendants - Edit'!AA$1,FALSE)))</f>
        <v>87</v>
      </c>
      <c r="AB378" s="101">
        <f>IF(VLOOKUP($C378,'All Girls &amp; Descendants - Edit'!$C$2:$AK$440,'All Girls &amp; Descendants - Edit'!AB$1,FALSE)=""," - ",(VLOOKUP($C378,'All Girls &amp; Descendants - Edit'!$C$2:$AK$440,'All Girls &amp; Descendants - Edit'!AB$1,FALSE)))</f>
        <v>19</v>
      </c>
      <c r="AC378" s="101">
        <f>IF(VLOOKUP($C378,'All Girls &amp; Descendants - Edit'!$C$2:$AK$440,'All Girls &amp; Descendants - Edit'!AC$1,FALSE)=""," - ",(VLOOKUP($C378,'All Girls &amp; Descendants - Edit'!$C$2:$AK$440,'All Girls &amp; Descendants - Edit'!AC$1,FALSE)))</f>
        <v>4019</v>
      </c>
      <c r="AD378" s="3" t="str">
        <f>IF(VLOOKUP($C378,'All Girls &amp; Descendants - Edit'!$C$2:$AK$440,'All Girls &amp; Descendants - Edit'!AD$1,FALSE)=""," - ",(VLOOKUP($C378,'All Girls &amp; Descendants - Edit'!$C$2:$AK$440,'All Girls &amp; Descendants - Edit'!AD$1,FALSE)))</f>
        <v>36dbbc</v>
      </c>
      <c r="AE378" s="3" t="str">
        <f>IF(VLOOKUP($C378,'All Girls &amp; Descendants - Edit'!$C$2:$AK$440,'All Girls &amp; Descendants - Edit'!AE$1,FALSE)=""," - ",(VLOOKUP($C378,'All Girls &amp; Descendants - Edit'!$C$2:$AK$440,'All Girls &amp; Descendants - Edit'!AE$1,FALSE)))</f>
        <v>Charles Ludovic  LINDSAY (1974 - )</v>
      </c>
      <c r="AF378" s="3" t="str">
        <f>IF(VLOOKUP($C378,'All Girls &amp; Descendants - Edit'!$C$2:$AK$440,'All Girls &amp; Descendants - Edit'!AF$1,FALSE)=""," - ",(VLOOKUP($C378,'All Girls &amp; Descendants - Edit'!$C$2:$AK$440,'All Girls &amp; Descendants - Edit'!AF$1,FALSE)))</f>
        <v>Charles LINDSAY (7th &amp; 36)</v>
      </c>
      <c r="AG378" s="3" t="str">
        <f>IF(VLOOKUP($C378,'All Girls &amp; Descendants - Edit'!$C$2:$AK$440,'All Girls &amp; Descendants - Edit'!AG$1,FALSE)=""," - ",(VLOOKUP($C378,'All Girls &amp; Descendants - Edit'!$C$2:$AK$440,'All Girls &amp; Descendants - Edit'!AG$1,FALSE)))</f>
        <v>Male</v>
      </c>
      <c r="AH378" s="3" t="str">
        <f>IF(VLOOKUP($C378,'All Girls &amp; Descendants - Edit'!$C$2:$AK$440,'All Girls &amp; Descendants - Edit'!AH$1,FALSE)=""," - ",(VLOOKUP($C378,'All Girls &amp; Descendants - Edit'!$C$2:$AK$440,'All Girls &amp; Descendants - Edit'!AH$1,FALSE)))</f>
        <v>7th</v>
      </c>
      <c r="AI378" s="3" t="str">
        <f>IF(VLOOKUP($C378,'All Girls &amp; Descendants - Edit'!$C$2:$AK$440,'All Girls &amp; Descendants - Edit'!AI$1,FALSE)=""," - ",(VLOOKUP($C378,'All Girls &amp; Descendants - Edit'!$C$2:$AK$440,'All Girls &amp; Descendants - Edit'!AI$1,FALSE)))</f>
        <v>Unmarried</v>
      </c>
      <c r="AJ378" s="3" t="str">
        <f>IF(VLOOKUP($C378,'All Girls &amp; Descendants - Edit'!$C$2:$AK$440,'All Girls &amp; Descendants - Edit'!AJ$1,FALSE)=""," - ",(VLOOKUP($C378,'All Girls &amp; Descendants - Edit'!$C$2:$AK$440,'All Girls &amp; Descendants - Edit'!AJ$1,FALSE)))</f>
        <v>Male. b. 24/04/1974 Born in Edinburgh.</v>
      </c>
      <c r="AK378" s="3" t="str">
        <f>IF(VLOOKUP($C378,'All Girls &amp; Descendants - Edit'!$C$2:$AK$440,'All Girls &amp; Descendants - Edit'!AK$1,FALSE)=""," - ",(VLOOKUP($C378,'All Girls &amp; Descendants - Edit'!$C$2:$AK$440,'All Girls &amp; Descendants - Edit'!AK$1,FALSE)))</f>
        <v>b. 24/04/1974</v>
      </c>
    </row>
    <row r="379" spans="1:37" ht="19">
      <c r="A379">
        <f>VLOOKUP(B379,'Loyd List 1-190 - Edit'!$P$1:$R$219,3,FALSE)</f>
        <v>22</v>
      </c>
      <c r="B379">
        <f>'All Girls &amp; Descendants - Edit'!B380</f>
        <v>36</v>
      </c>
      <c r="C379" s="98" t="str">
        <f>'All Girls &amp; Descendants - Edit'!C380</f>
        <v>36dbbd</v>
      </c>
      <c r="D379" s="2" t="str">
        <f>'All Girls &amp; Descendants - Edit'!D380</f>
        <v>LINDSAY</v>
      </c>
      <c r="E379" t="str">
        <f>'All Girls &amp; Descendants - Edit'!E380</f>
        <v>Andrew</v>
      </c>
      <c r="F379" t="str">
        <f>IF('All Girls &amp; Descendants - Edit'!F380="","",'All Girls &amp; Descendants - Edit'!F380)</f>
        <v>James</v>
      </c>
      <c r="G379" t="str">
        <f>IF('All Girls &amp; Descendants - Edit'!G380="","",'All Girls &amp; Descendants - Edit'!G380)</f>
        <v>Ronald</v>
      </c>
      <c r="H379" t="str">
        <f>IF('All Girls &amp; Descendants - Edit'!H380="","",'All Girls &amp; Descendants - Edit'!H380)</f>
        <v/>
      </c>
      <c r="I379">
        <f>VLOOKUP($C379,'All Girls &amp; Descendants - Edit'!$C$2:$AK$440,'All Girls &amp; Descendants - Edit'!I$1,FALSE)</f>
        <v>1977</v>
      </c>
      <c r="J379" t="str">
        <f>VLOOKUP($C379,'All Girls &amp; Descendants - Edit'!$C$2:$AK$440,'All Girls &amp; Descendants - Edit'!J$1,FALSE)</f>
        <v/>
      </c>
      <c r="K379" s="9"/>
      <c r="L379" t="str">
        <f t="shared" si="39"/>
        <v>25/03/1977</v>
      </c>
      <c r="M379" s="3">
        <f>VLOOKUP($C379,'All Girls &amp; Descendants - Edit'!$C$2:$AK$440,'All Girls &amp; Descendants - Edit'!M$1,FALSE)</f>
        <v>28209</v>
      </c>
      <c r="N379" s="3" t="str">
        <f>IF(VLOOKUP($C379,'All Girls &amp; Descendants - Edit'!$C$2:$AK$440,'All Girls &amp; Descendants - Edit'!N$1,FALSE)=""," - ",(VLOOKUP($C379,'All Girls &amp; Descendants - Edit'!$C$2:$AK$440,'All Girls &amp; Descendants - Edit'!N$1,FALSE)))</f>
        <v xml:space="preserve"> - </v>
      </c>
      <c r="O379" s="3" t="str">
        <f>IF(VLOOKUP($C379,'All Girls &amp; Descendants - Edit'!$C$2:$AK$440,'All Girls &amp; Descendants - Edit'!O$1,FALSE)="","",(VLOOKUP($C379,'All Girls &amp; Descendants - Edit'!$C$2:$AK$440,'All Girls &amp; Descendants - Edit'!O$1,FALSE)))</f>
        <v/>
      </c>
      <c r="P379" s="3" t="str">
        <f t="shared" si="40"/>
        <v/>
      </c>
      <c r="Q379" s="178" t="str">
        <f t="shared" si="41"/>
        <v>36dbb</v>
      </c>
      <c r="R379" s="23"/>
      <c r="S379" t="str">
        <f>VLOOKUP($C379,'All Girls &amp; Descendants - Edit'!$C$2:$AK$440,'All Girls &amp; Descendants - Edit'!S$1,FALSE)</f>
        <v>Male</v>
      </c>
      <c r="T379" s="176">
        <f t="shared" si="38"/>
        <v>7</v>
      </c>
      <c r="U379" s="176">
        <f t="shared" si="42"/>
        <v>6</v>
      </c>
      <c r="V379" s="176">
        <f t="shared" si="43"/>
        <v>3</v>
      </c>
      <c r="W379" s="177">
        <f t="shared" si="44"/>
        <v>4</v>
      </c>
      <c r="X379" s="3" t="str">
        <f>IF(VLOOKUP($C379,'All Girls &amp; Descendants - Edit'!$C$2:$AK$440,'All Girls &amp; Descendants - Edit'!X$1,FALSE)=""," - ",(VLOOKUP($C379,'All Girls &amp; Descendants - Edit'!$C$2:$AK$440,'All Girls &amp; Descendants - Edit'!X$1,FALSE)))</f>
        <v xml:space="preserve"> - </v>
      </c>
      <c r="Y379" s="3" t="str">
        <f>IF(VLOOKUP($C379,'All Girls &amp; Descendants - Edit'!$C$2:$AK$440,'All Girls &amp; Descendants - Edit'!Y$1,FALSE)=""," - ",(VLOOKUP($C379,'All Girls &amp; Descendants - Edit'!$C$2:$AK$440,'All Girls &amp; Descendants - Edit'!Y$1,FALSE)))</f>
        <v xml:space="preserve"> - </v>
      </c>
      <c r="Z379" s="3" t="str">
        <f>IF(VLOOKUP($C379,'All Girls &amp; Descendants - Edit'!$C$2:$AK$440,'All Girls &amp; Descendants - Edit'!Z$1,FALSE)=""," - ",(VLOOKUP($C379,'All Girls &amp; Descendants - Edit'!$C$2:$AK$440,'All Girls &amp; Descendants - Edit'!Z$1,FALSE)))</f>
        <v>Born in Perth. Gold Medal at Sydney 2000 in Men's Rowing Eight.</v>
      </c>
      <c r="AA379" s="101">
        <f>IF(VLOOKUP($C379,'All Girls &amp; Descendants - Edit'!$C$2:$AK$440,'All Girls &amp; Descendants - Edit'!AA$1,FALSE)=""," - ",(VLOOKUP($C379,'All Girls &amp; Descendants - Edit'!$C$2:$AK$440,'All Girls &amp; Descendants - Edit'!AA$1,FALSE)))</f>
        <v>88</v>
      </c>
      <c r="AB379" s="101">
        <f>IF(VLOOKUP($C379,'All Girls &amp; Descendants - Edit'!$C$2:$AK$440,'All Girls &amp; Descendants - Edit'!AB$1,FALSE)=""," - ",(VLOOKUP($C379,'All Girls &amp; Descendants - Edit'!$C$2:$AK$440,'All Girls &amp; Descendants - Edit'!AB$1,FALSE)))</f>
        <v>20</v>
      </c>
      <c r="AC379" s="101">
        <f>IF(VLOOKUP($C379,'All Girls &amp; Descendants - Edit'!$C$2:$AK$440,'All Girls &amp; Descendants - Edit'!AC$1,FALSE)=""," - ",(VLOOKUP($C379,'All Girls &amp; Descendants - Edit'!$C$2:$AK$440,'All Girls &amp; Descendants - Edit'!AC$1,FALSE)))</f>
        <v>4020</v>
      </c>
      <c r="AD379" s="3" t="str">
        <f>IF(VLOOKUP($C379,'All Girls &amp; Descendants - Edit'!$C$2:$AK$440,'All Girls &amp; Descendants - Edit'!AD$1,FALSE)=""," - ",(VLOOKUP($C379,'All Girls &amp; Descendants - Edit'!$C$2:$AK$440,'All Girls &amp; Descendants - Edit'!AD$1,FALSE)))</f>
        <v>36dbbd</v>
      </c>
      <c r="AE379" s="3" t="str">
        <f>IF(VLOOKUP($C379,'All Girls &amp; Descendants - Edit'!$C$2:$AK$440,'All Girls &amp; Descendants - Edit'!AE$1,FALSE)=""," - ",(VLOOKUP($C379,'All Girls &amp; Descendants - Edit'!$C$2:$AK$440,'All Girls &amp; Descendants - Edit'!AE$1,FALSE)))</f>
        <v>Andrew James Ronald LINDSAY (1977 - )</v>
      </c>
      <c r="AF379" s="3" t="str">
        <f>IF(VLOOKUP($C379,'All Girls &amp; Descendants - Edit'!$C$2:$AK$440,'All Girls &amp; Descendants - Edit'!AF$1,FALSE)=""," - ",(VLOOKUP($C379,'All Girls &amp; Descendants - Edit'!$C$2:$AK$440,'All Girls &amp; Descendants - Edit'!AF$1,FALSE)))</f>
        <v>Andrew LINDSAY (7th &amp; 36)</v>
      </c>
      <c r="AG379" s="3" t="str">
        <f>IF(VLOOKUP($C379,'All Girls &amp; Descendants - Edit'!$C$2:$AK$440,'All Girls &amp; Descendants - Edit'!AG$1,FALSE)=""," - ",(VLOOKUP($C379,'All Girls &amp; Descendants - Edit'!$C$2:$AK$440,'All Girls &amp; Descendants - Edit'!AG$1,FALSE)))</f>
        <v>Male</v>
      </c>
      <c r="AH379" s="3" t="str">
        <f>IF(VLOOKUP($C379,'All Girls &amp; Descendants - Edit'!$C$2:$AK$440,'All Girls &amp; Descendants - Edit'!AH$1,FALSE)=""," - ",(VLOOKUP($C379,'All Girls &amp; Descendants - Edit'!$C$2:$AK$440,'All Girls &amp; Descendants - Edit'!AH$1,FALSE)))</f>
        <v>7th</v>
      </c>
      <c r="AI379" s="3" t="str">
        <f>IF(VLOOKUP($C379,'All Girls &amp; Descendants - Edit'!$C$2:$AK$440,'All Girls &amp; Descendants - Edit'!AI$1,FALSE)=""," - ",(VLOOKUP($C379,'All Girls &amp; Descendants - Edit'!$C$2:$AK$440,'All Girls &amp; Descendants - Edit'!AI$1,FALSE)))</f>
        <v>Unmarried</v>
      </c>
      <c r="AJ379" s="3" t="str">
        <f>IF(VLOOKUP($C379,'All Girls &amp; Descendants - Edit'!$C$2:$AK$440,'All Girls &amp; Descendants - Edit'!AJ$1,FALSE)=""," - ",(VLOOKUP($C379,'All Girls &amp; Descendants - Edit'!$C$2:$AK$440,'All Girls &amp; Descendants - Edit'!AJ$1,FALSE)))</f>
        <v>Male. b. 25/03/1977 Born in Perth. Gold Medal at Sydney 2000 in Men's Rowing Eight.</v>
      </c>
      <c r="AK379" s="3" t="str">
        <f>IF(VLOOKUP($C379,'All Girls &amp; Descendants - Edit'!$C$2:$AK$440,'All Girls &amp; Descendants - Edit'!AK$1,FALSE)=""," - ",(VLOOKUP($C379,'All Girls &amp; Descendants - Edit'!$C$2:$AK$440,'All Girls &amp; Descendants - Edit'!AK$1,FALSE)))</f>
        <v>b. 25/03/1977</v>
      </c>
    </row>
    <row r="380" spans="1:37" ht="19">
      <c r="A380">
        <f>VLOOKUP(B380,'Loyd List 1-190 - Edit'!$P$1:$R$219,3,FALSE)</f>
        <v>22</v>
      </c>
      <c r="B380">
        <f>'All Girls &amp; Descendants - Edit'!B381</f>
        <v>47</v>
      </c>
      <c r="C380" s="98" t="str">
        <f>'All Girls &amp; Descendants - Edit'!C381</f>
        <v>47aaaa</v>
      </c>
      <c r="D380" s="2" t="str">
        <f>'All Girls &amp; Descendants - Edit'!D381</f>
        <v>HALLETT</v>
      </c>
      <c r="E380" t="str">
        <f>'All Girls &amp; Descendants - Edit'!E381</f>
        <v>Florence</v>
      </c>
      <c r="F380" t="str">
        <f>IF('All Girls &amp; Descendants - Edit'!F381="","",'All Girls &amp; Descendants - Edit'!F381)</f>
        <v>Mary</v>
      </c>
      <c r="G380" t="str">
        <f>IF('All Girls &amp; Descendants - Edit'!G381="","",'All Girls &amp; Descendants - Edit'!G381)</f>
        <v/>
      </c>
      <c r="H380" t="str">
        <f>IF('All Girls &amp; Descendants - Edit'!H381="","",'All Girls &amp; Descendants - Edit'!H381)</f>
        <v/>
      </c>
      <c r="I380">
        <f>VLOOKUP($C380,'All Girls &amp; Descendants - Edit'!$C$2:$AK$440,'All Girls &amp; Descendants - Edit'!I$1,FALSE)</f>
        <v>1977</v>
      </c>
      <c r="J380" t="str">
        <f>VLOOKUP($C380,'All Girls &amp; Descendants - Edit'!$C$2:$AK$440,'All Girls &amp; Descendants - Edit'!J$1,FALSE)</f>
        <v/>
      </c>
      <c r="K380" s="9"/>
      <c r="L380" t="str">
        <f t="shared" si="39"/>
        <v>18/07/1977</v>
      </c>
      <c r="M380" s="3">
        <f>VLOOKUP($C380,'All Girls &amp; Descendants - Edit'!$C$2:$AK$440,'All Girls &amp; Descendants - Edit'!M$1,FALSE)</f>
        <v>28324</v>
      </c>
      <c r="N380" s="3" t="str">
        <f>IF(VLOOKUP($C380,'All Girls &amp; Descendants - Edit'!$C$2:$AK$440,'All Girls &amp; Descendants - Edit'!N$1,FALSE)=""," - ",(VLOOKUP($C380,'All Girls &amp; Descendants - Edit'!$C$2:$AK$440,'All Girls &amp; Descendants - Edit'!N$1,FALSE)))</f>
        <v xml:space="preserve"> - </v>
      </c>
      <c r="O380" s="3" t="str">
        <f>IF(VLOOKUP($C380,'All Girls &amp; Descendants - Edit'!$C$2:$AK$440,'All Girls &amp; Descendants - Edit'!O$1,FALSE)="","",(VLOOKUP($C380,'All Girls &amp; Descendants - Edit'!$C$2:$AK$440,'All Girls &amp; Descendants - Edit'!O$1,FALSE)))</f>
        <v/>
      </c>
      <c r="P380" s="3" t="str">
        <f t="shared" si="40"/>
        <v/>
      </c>
      <c r="Q380" s="178" t="str">
        <f t="shared" si="41"/>
        <v>47aaa</v>
      </c>
      <c r="R380" s="23"/>
      <c r="S380" t="str">
        <f>VLOOKUP($C380,'All Girls &amp; Descendants - Edit'!$C$2:$AK$440,'All Girls &amp; Descendants - Edit'!S$1,FALSE)</f>
        <v>Female</v>
      </c>
      <c r="T380" s="176">
        <f t="shared" si="38"/>
        <v>7</v>
      </c>
      <c r="U380" s="176">
        <f t="shared" si="42"/>
        <v>6</v>
      </c>
      <c r="V380" s="176">
        <f t="shared" si="43"/>
        <v>3</v>
      </c>
      <c r="W380" s="177">
        <f t="shared" si="44"/>
        <v>4</v>
      </c>
      <c r="X380" s="3" t="str">
        <f>IF(VLOOKUP($C380,'All Girls &amp; Descendants - Edit'!$C$2:$AK$440,'All Girls &amp; Descendants - Edit'!X$1,FALSE)=""," - ",(VLOOKUP($C380,'All Girls &amp; Descendants - Edit'!$C$2:$AK$440,'All Girls &amp; Descendants - Edit'!X$1,FALSE)))</f>
        <v xml:space="preserve"> - </v>
      </c>
      <c r="Y380" s="3" t="str">
        <f>IF(VLOOKUP($C380,'All Girls &amp; Descendants - Edit'!$C$2:$AK$440,'All Girls &amp; Descendants - Edit'!Y$1,FALSE)=""," - ",(VLOOKUP($C380,'All Girls &amp; Descendants - Edit'!$C$2:$AK$440,'All Girls &amp; Descendants - Edit'!Y$1,FALSE)))</f>
        <v xml:space="preserve"> - </v>
      </c>
      <c r="Z380" s="3" t="str">
        <f>IF(VLOOKUP($C380,'All Girls &amp; Descendants - Edit'!$C$2:$AK$440,'All Girls &amp; Descendants - Edit'!Z$1,FALSE)=""," - ",(VLOOKUP($C380,'All Girls &amp; Descendants - Edit'!$C$2:$AK$440,'All Girls &amp; Descendants - Edit'!Z$1,FALSE)))</f>
        <v>Educated University College, London (BA History of Art 1998).</v>
      </c>
      <c r="AA380" s="101">
        <f>IF(VLOOKUP($C380,'All Girls &amp; Descendants - Edit'!$C$2:$AK$440,'All Girls &amp; Descendants - Edit'!AA$1,FALSE)=""," - ",(VLOOKUP($C380,'All Girls &amp; Descendants - Edit'!$C$2:$AK$440,'All Girls &amp; Descendants - Edit'!AA$1,FALSE)))</f>
        <v>97</v>
      </c>
      <c r="AB380" s="101">
        <f>IF(VLOOKUP($C380,'All Girls &amp; Descendants - Edit'!$C$2:$AK$440,'All Girls &amp; Descendants - Edit'!AB$1,FALSE)=""," - ",(VLOOKUP($C380,'All Girls &amp; Descendants - Edit'!$C$2:$AK$440,'All Girls &amp; Descendants - Edit'!AB$1,FALSE)))</f>
        <v>21</v>
      </c>
      <c r="AC380" s="101">
        <f>IF(VLOOKUP($C380,'All Girls &amp; Descendants - Edit'!$C$2:$AK$440,'All Girls &amp; Descendants - Edit'!AC$1,FALSE)=""," - ",(VLOOKUP($C380,'All Girls &amp; Descendants - Edit'!$C$2:$AK$440,'All Girls &amp; Descendants - Edit'!AC$1,FALSE)))</f>
        <v>4021</v>
      </c>
      <c r="AD380" s="3" t="str">
        <f>IF(VLOOKUP($C380,'All Girls &amp; Descendants - Edit'!$C$2:$AK$440,'All Girls &amp; Descendants - Edit'!AD$1,FALSE)=""," - ",(VLOOKUP($C380,'All Girls &amp; Descendants - Edit'!$C$2:$AK$440,'All Girls &amp; Descendants - Edit'!AD$1,FALSE)))</f>
        <v>47aaaa</v>
      </c>
      <c r="AE380" s="3" t="str">
        <f>IF(VLOOKUP($C380,'All Girls &amp; Descendants - Edit'!$C$2:$AK$440,'All Girls &amp; Descendants - Edit'!AE$1,FALSE)=""," - ",(VLOOKUP($C380,'All Girls &amp; Descendants - Edit'!$C$2:$AK$440,'All Girls &amp; Descendants - Edit'!AE$1,FALSE)))</f>
        <v>Florence Mary  HALLETT (1977 - )</v>
      </c>
      <c r="AF380" s="3" t="str">
        <f>IF(VLOOKUP($C380,'All Girls &amp; Descendants - Edit'!$C$2:$AK$440,'All Girls &amp; Descendants - Edit'!AF$1,FALSE)=""," - ",(VLOOKUP($C380,'All Girls &amp; Descendants - Edit'!$C$2:$AK$440,'All Girls &amp; Descendants - Edit'!AF$1,FALSE)))</f>
        <v>Florence HALLETT (7th &amp; 47)</v>
      </c>
      <c r="AG380" s="3" t="str">
        <f>IF(VLOOKUP($C380,'All Girls &amp; Descendants - Edit'!$C$2:$AK$440,'All Girls &amp; Descendants - Edit'!AG$1,FALSE)=""," - ",(VLOOKUP($C380,'All Girls &amp; Descendants - Edit'!$C$2:$AK$440,'All Girls &amp; Descendants - Edit'!AG$1,FALSE)))</f>
        <v>Female</v>
      </c>
      <c r="AH380" s="3" t="str">
        <f>IF(VLOOKUP($C380,'All Girls &amp; Descendants - Edit'!$C$2:$AK$440,'All Girls &amp; Descendants - Edit'!AH$1,FALSE)=""," - ",(VLOOKUP($C380,'All Girls &amp; Descendants - Edit'!$C$2:$AK$440,'All Girls &amp; Descendants - Edit'!AH$1,FALSE)))</f>
        <v>7th</v>
      </c>
      <c r="AI380" s="3" t="str">
        <f>IF(VLOOKUP($C380,'All Girls &amp; Descendants - Edit'!$C$2:$AK$440,'All Girls &amp; Descendants - Edit'!AI$1,FALSE)=""," - ",(VLOOKUP($C380,'All Girls &amp; Descendants - Edit'!$C$2:$AK$440,'All Girls &amp; Descendants - Edit'!AI$1,FALSE)))</f>
        <v>Unmarried</v>
      </c>
      <c r="AJ380" s="3" t="str">
        <f>IF(VLOOKUP($C380,'All Girls &amp; Descendants - Edit'!$C$2:$AK$440,'All Girls &amp; Descendants - Edit'!AJ$1,FALSE)=""," - ",(VLOOKUP($C380,'All Girls &amp; Descendants - Edit'!$C$2:$AK$440,'All Girls &amp; Descendants - Edit'!AJ$1,FALSE)))</f>
        <v>Female. b. 18/07/1977 Educated University College, London (BA History of Art 1998).</v>
      </c>
      <c r="AK380" s="3" t="str">
        <f>IF(VLOOKUP($C380,'All Girls &amp; Descendants - Edit'!$C$2:$AK$440,'All Girls &amp; Descendants - Edit'!AK$1,FALSE)=""," - ",(VLOOKUP($C380,'All Girls &amp; Descendants - Edit'!$C$2:$AK$440,'All Girls &amp; Descendants - Edit'!AK$1,FALSE)))</f>
        <v>b. 18/07/1977</v>
      </c>
    </row>
    <row r="381" spans="1:37" ht="19">
      <c r="A381">
        <f>VLOOKUP(B381,'Loyd List 1-190 - Edit'!$P$1:$R$219,3,FALSE)</f>
        <v>22</v>
      </c>
      <c r="B381">
        <f>'All Girls &amp; Descendants - Edit'!B382</f>
        <v>47</v>
      </c>
      <c r="C381" s="98" t="str">
        <f>'All Girls &amp; Descendants - Edit'!C382</f>
        <v>47aaab</v>
      </c>
      <c r="D381" s="2" t="str">
        <f>'All Girls &amp; Descendants - Edit'!D382</f>
        <v>HALLETT</v>
      </c>
      <c r="E381" t="str">
        <f>'All Girls &amp; Descendants - Edit'!E382</f>
        <v>Lillian</v>
      </c>
      <c r="F381" t="str">
        <f>IF('All Girls &amp; Descendants - Edit'!F382="","",'All Girls &amp; Descendants - Edit'!F382)</f>
        <v>Alice</v>
      </c>
      <c r="G381" t="str">
        <f>IF('All Girls &amp; Descendants - Edit'!G382="","",'All Girls &amp; Descendants - Edit'!G382)</f>
        <v/>
      </c>
      <c r="H381" t="str">
        <f>IF('All Girls &amp; Descendants - Edit'!H382="","",'All Girls &amp; Descendants - Edit'!H382)</f>
        <v/>
      </c>
      <c r="I381">
        <f>VLOOKUP($C381,'All Girls &amp; Descendants - Edit'!$C$2:$AK$440,'All Girls &amp; Descendants - Edit'!I$1,FALSE)</f>
        <v>1980</v>
      </c>
      <c r="J381" t="str">
        <f>VLOOKUP($C381,'All Girls &amp; Descendants - Edit'!$C$2:$AK$440,'All Girls &amp; Descendants - Edit'!J$1,FALSE)</f>
        <v/>
      </c>
      <c r="K381" s="9"/>
      <c r="L381" t="str">
        <f t="shared" si="39"/>
        <v>02/08/1980</v>
      </c>
      <c r="M381" s="3">
        <f>VLOOKUP($C381,'All Girls &amp; Descendants - Edit'!$C$2:$AK$440,'All Girls &amp; Descendants - Edit'!M$1,FALSE)</f>
        <v>29435</v>
      </c>
      <c r="N381" s="3" t="str">
        <f>IF(VLOOKUP($C381,'All Girls &amp; Descendants - Edit'!$C$2:$AK$440,'All Girls &amp; Descendants - Edit'!N$1,FALSE)=""," - ",(VLOOKUP($C381,'All Girls &amp; Descendants - Edit'!$C$2:$AK$440,'All Girls &amp; Descendants - Edit'!N$1,FALSE)))</f>
        <v xml:space="preserve"> - </v>
      </c>
      <c r="O381" s="3" t="str">
        <f>IF(VLOOKUP($C381,'All Girls &amp; Descendants - Edit'!$C$2:$AK$440,'All Girls &amp; Descendants - Edit'!O$1,FALSE)="","",(VLOOKUP($C381,'All Girls &amp; Descendants - Edit'!$C$2:$AK$440,'All Girls &amp; Descendants - Edit'!O$1,FALSE)))</f>
        <v/>
      </c>
      <c r="P381" s="3" t="str">
        <f t="shared" si="40"/>
        <v/>
      </c>
      <c r="Q381" s="178" t="str">
        <f t="shared" si="41"/>
        <v>47aaa</v>
      </c>
      <c r="R381" s="23"/>
      <c r="S381" t="str">
        <f>VLOOKUP($C381,'All Girls &amp; Descendants - Edit'!$C$2:$AK$440,'All Girls &amp; Descendants - Edit'!S$1,FALSE)</f>
        <v>Female</v>
      </c>
      <c r="T381" s="176">
        <f t="shared" si="38"/>
        <v>7</v>
      </c>
      <c r="U381" s="176">
        <f t="shared" si="42"/>
        <v>6</v>
      </c>
      <c r="V381" s="176">
        <f t="shared" si="43"/>
        <v>3</v>
      </c>
      <c r="W381" s="177">
        <f t="shared" si="44"/>
        <v>4</v>
      </c>
      <c r="X381" s="3" t="str">
        <f>IF(VLOOKUP($C381,'All Girls &amp; Descendants - Edit'!$C$2:$AK$440,'All Girls &amp; Descendants - Edit'!X$1,FALSE)=""," - ",(VLOOKUP($C381,'All Girls &amp; Descendants - Edit'!$C$2:$AK$440,'All Girls &amp; Descendants - Edit'!X$1,FALSE)))</f>
        <v xml:space="preserve"> - </v>
      </c>
      <c r="Y381" s="3" t="str">
        <f>IF(VLOOKUP($C381,'All Girls &amp; Descendants - Edit'!$C$2:$AK$440,'All Girls &amp; Descendants - Edit'!Y$1,FALSE)=""," - ",(VLOOKUP($C381,'All Girls &amp; Descendants - Edit'!$C$2:$AK$440,'All Girls &amp; Descendants - Edit'!Y$1,FALSE)))</f>
        <v xml:space="preserve"> - </v>
      </c>
      <c r="Z381" s="3" t="str">
        <f>IF(VLOOKUP($C381,'All Girls &amp; Descendants - Edit'!$C$2:$AK$440,'All Girls &amp; Descendants - Edit'!Z$1,FALSE)=""," - ",(VLOOKUP($C381,'All Girls &amp; Descendants - Edit'!$C$2:$AK$440,'All Girls &amp; Descendants - Edit'!Z$1,FALSE)))</f>
        <v>Educated Kings College, London.</v>
      </c>
      <c r="AA381" s="101">
        <f>IF(VLOOKUP($C381,'All Girls &amp; Descendants - Edit'!$C$2:$AK$440,'All Girls &amp; Descendants - Edit'!AA$1,FALSE)=""," - ",(VLOOKUP($C381,'All Girls &amp; Descendants - Edit'!$C$2:$AK$440,'All Girls &amp; Descendants - Edit'!AA$1,FALSE)))</f>
        <v>98</v>
      </c>
      <c r="AB381" s="101">
        <f>IF(VLOOKUP($C381,'All Girls &amp; Descendants - Edit'!$C$2:$AK$440,'All Girls &amp; Descendants - Edit'!AB$1,FALSE)=""," - ",(VLOOKUP($C381,'All Girls &amp; Descendants - Edit'!$C$2:$AK$440,'All Girls &amp; Descendants - Edit'!AB$1,FALSE)))</f>
        <v>22</v>
      </c>
      <c r="AC381" s="101">
        <f>IF(VLOOKUP($C381,'All Girls &amp; Descendants - Edit'!$C$2:$AK$440,'All Girls &amp; Descendants - Edit'!AC$1,FALSE)=""," - ",(VLOOKUP($C381,'All Girls &amp; Descendants - Edit'!$C$2:$AK$440,'All Girls &amp; Descendants - Edit'!AC$1,FALSE)))</f>
        <v>4022</v>
      </c>
      <c r="AD381" s="3" t="str">
        <f>IF(VLOOKUP($C381,'All Girls &amp; Descendants - Edit'!$C$2:$AK$440,'All Girls &amp; Descendants - Edit'!AD$1,FALSE)=""," - ",(VLOOKUP($C381,'All Girls &amp; Descendants - Edit'!$C$2:$AK$440,'All Girls &amp; Descendants - Edit'!AD$1,FALSE)))</f>
        <v>47aaab</v>
      </c>
      <c r="AE381" s="3" t="str">
        <f>IF(VLOOKUP($C381,'All Girls &amp; Descendants - Edit'!$C$2:$AK$440,'All Girls &amp; Descendants - Edit'!AE$1,FALSE)=""," - ",(VLOOKUP($C381,'All Girls &amp; Descendants - Edit'!$C$2:$AK$440,'All Girls &amp; Descendants - Edit'!AE$1,FALSE)))</f>
        <v>Lillian Alice  HALLETT (1980 - )</v>
      </c>
      <c r="AF381" s="3" t="str">
        <f>IF(VLOOKUP($C381,'All Girls &amp; Descendants - Edit'!$C$2:$AK$440,'All Girls &amp; Descendants - Edit'!AF$1,FALSE)=""," - ",(VLOOKUP($C381,'All Girls &amp; Descendants - Edit'!$C$2:$AK$440,'All Girls &amp; Descendants - Edit'!AF$1,FALSE)))</f>
        <v>Lillian HALLETT (7th &amp; 47)</v>
      </c>
      <c r="AG381" s="3" t="str">
        <f>IF(VLOOKUP($C381,'All Girls &amp; Descendants - Edit'!$C$2:$AK$440,'All Girls &amp; Descendants - Edit'!AG$1,FALSE)=""," - ",(VLOOKUP($C381,'All Girls &amp; Descendants - Edit'!$C$2:$AK$440,'All Girls &amp; Descendants - Edit'!AG$1,FALSE)))</f>
        <v>Female</v>
      </c>
      <c r="AH381" s="3" t="str">
        <f>IF(VLOOKUP($C381,'All Girls &amp; Descendants - Edit'!$C$2:$AK$440,'All Girls &amp; Descendants - Edit'!AH$1,FALSE)=""," - ",(VLOOKUP($C381,'All Girls &amp; Descendants - Edit'!$C$2:$AK$440,'All Girls &amp; Descendants - Edit'!AH$1,FALSE)))</f>
        <v>7th</v>
      </c>
      <c r="AI381" s="3" t="str">
        <f>IF(VLOOKUP($C381,'All Girls &amp; Descendants - Edit'!$C$2:$AK$440,'All Girls &amp; Descendants - Edit'!AI$1,FALSE)=""," - ",(VLOOKUP($C381,'All Girls &amp; Descendants - Edit'!$C$2:$AK$440,'All Girls &amp; Descendants - Edit'!AI$1,FALSE)))</f>
        <v>Unmarried</v>
      </c>
      <c r="AJ381" s="3" t="str">
        <f>IF(VLOOKUP($C381,'All Girls &amp; Descendants - Edit'!$C$2:$AK$440,'All Girls &amp; Descendants - Edit'!AJ$1,FALSE)=""," - ",(VLOOKUP($C381,'All Girls &amp; Descendants - Edit'!$C$2:$AK$440,'All Girls &amp; Descendants - Edit'!AJ$1,FALSE)))</f>
        <v>Female. b. 02/08/1980 Educated Kings College, London.</v>
      </c>
      <c r="AK381" s="3" t="str">
        <f>IF(VLOOKUP($C381,'All Girls &amp; Descendants - Edit'!$C$2:$AK$440,'All Girls &amp; Descendants - Edit'!AK$1,FALSE)=""," - ",(VLOOKUP($C381,'All Girls &amp; Descendants - Edit'!$C$2:$AK$440,'All Girls &amp; Descendants - Edit'!AK$1,FALSE)))</f>
        <v>b. 02/08/1980</v>
      </c>
    </row>
    <row r="382" spans="1:37" ht="19">
      <c r="A382">
        <f>VLOOKUP(B382,'Loyd List 1-190 - Edit'!$P$1:$R$219,3,FALSE)</f>
        <v>22</v>
      </c>
      <c r="B382">
        <f>'All Girls &amp; Descendants - Edit'!B383</f>
        <v>47</v>
      </c>
      <c r="C382" s="98" t="str">
        <f>'All Girls &amp; Descendants - Edit'!C383</f>
        <v>47aaba</v>
      </c>
      <c r="D382" s="2" t="str">
        <f>'All Girls &amp; Descendants - Edit'!D383</f>
        <v>HARDCASTLE</v>
      </c>
      <c r="E382" t="str">
        <f>'All Girls &amp; Descendants - Edit'!E383</f>
        <v>Linda</v>
      </c>
      <c r="F382" t="str">
        <f>IF('All Girls &amp; Descendants - Edit'!F383="","",'All Girls &amp; Descendants - Edit'!F383)</f>
        <v>Constance</v>
      </c>
      <c r="G382" t="str">
        <f>IF('All Girls &amp; Descendants - Edit'!G383="","",'All Girls &amp; Descendants - Edit'!G383)</f>
        <v>Elizabeth</v>
      </c>
      <c r="H382" t="str">
        <f>IF('All Girls &amp; Descendants - Edit'!H383="","",'All Girls &amp; Descendants - Edit'!H383)</f>
        <v/>
      </c>
      <c r="I382">
        <f>VLOOKUP($C382,'All Girls &amp; Descendants - Edit'!$C$2:$AK$440,'All Girls &amp; Descendants - Edit'!I$1,FALSE)</f>
        <v>1979</v>
      </c>
      <c r="J382" t="str">
        <f>VLOOKUP($C382,'All Girls &amp; Descendants - Edit'!$C$2:$AK$440,'All Girls &amp; Descendants - Edit'!J$1,FALSE)</f>
        <v/>
      </c>
      <c r="K382" s="9"/>
      <c r="L382" t="str">
        <f t="shared" si="39"/>
        <v>12/03/1979</v>
      </c>
      <c r="M382" s="3">
        <f>VLOOKUP($C382,'All Girls &amp; Descendants - Edit'!$C$2:$AK$440,'All Girls &amp; Descendants - Edit'!M$1,FALSE)</f>
        <v>28926</v>
      </c>
      <c r="N382" s="3" t="str">
        <f>IF(VLOOKUP($C382,'All Girls &amp; Descendants - Edit'!$C$2:$AK$440,'All Girls &amp; Descendants - Edit'!N$1,FALSE)=""," - ",(VLOOKUP($C382,'All Girls &amp; Descendants - Edit'!$C$2:$AK$440,'All Girls &amp; Descendants - Edit'!N$1,FALSE)))</f>
        <v>22/088/1998</v>
      </c>
      <c r="O382" s="3" t="str">
        <f>IF(VLOOKUP($C382,'All Girls &amp; Descendants - Edit'!$C$2:$AK$440,'All Girls &amp; Descendants - Edit'!O$1,FALSE)="","",(VLOOKUP($C382,'All Girls &amp; Descendants - Edit'!$C$2:$AK$440,'All Girls &amp; Descendants - Edit'!O$1,FALSE)))</f>
        <v/>
      </c>
      <c r="P382" s="3" t="str">
        <f t="shared" si="40"/>
        <v/>
      </c>
      <c r="Q382" s="178" t="str">
        <f t="shared" si="41"/>
        <v>47aab</v>
      </c>
      <c r="R382" s="23"/>
      <c r="S382" t="str">
        <f>VLOOKUP($C382,'All Girls &amp; Descendants - Edit'!$C$2:$AK$440,'All Girls &amp; Descendants - Edit'!S$1,FALSE)</f>
        <v>Female</v>
      </c>
      <c r="T382" s="176">
        <f t="shared" si="38"/>
        <v>7</v>
      </c>
      <c r="U382" s="176">
        <f t="shared" si="42"/>
        <v>6</v>
      </c>
      <c r="V382" s="176">
        <f t="shared" si="43"/>
        <v>3</v>
      </c>
      <c r="W382" s="177">
        <f t="shared" si="44"/>
        <v>4</v>
      </c>
      <c r="X382" s="3" t="str">
        <f>IF(VLOOKUP($C382,'All Girls &amp; Descendants - Edit'!$C$2:$AK$440,'All Girls &amp; Descendants - Edit'!X$1,FALSE)=""," - ",(VLOOKUP($C382,'All Girls &amp; Descendants - Edit'!$C$2:$AK$440,'All Girls &amp; Descendants - Edit'!X$1,FALSE)))</f>
        <v>Andrew PURVES (b. 27/01/1973, d. ?)</v>
      </c>
      <c r="Y382" s="3" t="str">
        <f>IF(VLOOKUP($C382,'All Girls &amp; Descendants - Edit'!$C$2:$AK$440,'All Girls &amp; Descendants - Edit'!Y$1,FALSE)=""," - ",(VLOOKUP($C382,'All Girls &amp; Descendants - Edit'!$C$2:$AK$440,'All Girls &amp; Descendants - Edit'!Y$1,FALSE)))</f>
        <v xml:space="preserve"> - </v>
      </c>
      <c r="Z382" s="3" t="str">
        <f>IF(VLOOKUP($C382,'All Girls &amp; Descendants - Edit'!$C$2:$AK$440,'All Girls &amp; Descendants - Edit'!Z$1,FALSE)=""," - ",(VLOOKUP($C382,'All Girls &amp; Descendants - Edit'!$C$2:$AK$440,'All Girls &amp; Descendants - Edit'!Z$1,FALSE)))</f>
        <v>Adopted: Linda Constance Elizabeth HARDCASTLE</v>
      </c>
      <c r="AA382" s="101">
        <f>IF(VLOOKUP($C382,'All Girls &amp; Descendants - Edit'!$C$2:$AK$440,'All Girls &amp; Descendants - Edit'!AA$1,FALSE)=""," - ",(VLOOKUP($C382,'All Girls &amp; Descendants - Edit'!$C$2:$AK$440,'All Girls &amp; Descendants - Edit'!AA$1,FALSE)))</f>
        <v>100</v>
      </c>
      <c r="AB382" s="101">
        <f>IF(VLOOKUP($C382,'All Girls &amp; Descendants - Edit'!$C$2:$AK$440,'All Girls &amp; Descendants - Edit'!AB$1,FALSE)=""," - ",(VLOOKUP($C382,'All Girls &amp; Descendants - Edit'!$C$2:$AK$440,'All Girls &amp; Descendants - Edit'!AB$1,FALSE)))</f>
        <v>23</v>
      </c>
      <c r="AC382" s="101">
        <f>IF(VLOOKUP($C382,'All Girls &amp; Descendants - Edit'!$C$2:$AK$440,'All Girls &amp; Descendants - Edit'!AC$1,FALSE)=""," - ",(VLOOKUP($C382,'All Girls &amp; Descendants - Edit'!$C$2:$AK$440,'All Girls &amp; Descendants - Edit'!AC$1,FALSE)))</f>
        <v>4023</v>
      </c>
      <c r="AD382" s="3" t="str">
        <f>IF(VLOOKUP($C382,'All Girls &amp; Descendants - Edit'!$C$2:$AK$440,'All Girls &amp; Descendants - Edit'!AD$1,FALSE)=""," - ",(VLOOKUP($C382,'All Girls &amp; Descendants - Edit'!$C$2:$AK$440,'All Girls &amp; Descendants - Edit'!AD$1,FALSE)))</f>
        <v>47aaba</v>
      </c>
      <c r="AE382" s="3" t="str">
        <f>IF(VLOOKUP($C382,'All Girls &amp; Descendants - Edit'!$C$2:$AK$440,'All Girls &amp; Descendants - Edit'!AE$1,FALSE)=""," - ",(VLOOKUP($C382,'All Girls &amp; Descendants - Edit'!$C$2:$AK$440,'All Girls &amp; Descendants - Edit'!AE$1,FALSE)))</f>
        <v>Linda Constance Elizabeth HARDCASTLE (1979 - )</v>
      </c>
      <c r="AF382" s="3" t="str">
        <f>IF(VLOOKUP($C382,'All Girls &amp; Descendants - Edit'!$C$2:$AK$440,'All Girls &amp; Descendants - Edit'!AF$1,FALSE)=""," - ",(VLOOKUP($C382,'All Girls &amp; Descendants - Edit'!$C$2:$AK$440,'All Girls &amp; Descendants - Edit'!AF$1,FALSE)))</f>
        <v>Linda HARDCASTLE (7th &amp; 47)</v>
      </c>
      <c r="AG382" s="3" t="str">
        <f>IF(VLOOKUP($C382,'All Girls &amp; Descendants - Edit'!$C$2:$AK$440,'All Girls &amp; Descendants - Edit'!AG$1,FALSE)=""," - ",(VLOOKUP($C382,'All Girls &amp; Descendants - Edit'!$C$2:$AK$440,'All Girls &amp; Descendants - Edit'!AG$1,FALSE)))</f>
        <v>Female</v>
      </c>
      <c r="AH382" s="3" t="str">
        <f>IF(VLOOKUP($C382,'All Girls &amp; Descendants - Edit'!$C$2:$AK$440,'All Girls &amp; Descendants - Edit'!AH$1,FALSE)=""," - ",(VLOOKUP($C382,'All Girls &amp; Descendants - Edit'!$C$2:$AK$440,'All Girls &amp; Descendants - Edit'!AH$1,FALSE)))</f>
        <v>7th</v>
      </c>
      <c r="AI382" s="3" t="str">
        <f>IF(VLOOKUP($C382,'All Girls &amp; Descendants - Edit'!$C$2:$AK$440,'All Girls &amp; Descendants - Edit'!AI$1,FALSE)=""," - ",(VLOOKUP($C382,'All Girls &amp; Descendants - Edit'!$C$2:$AK$440,'All Girls &amp; Descendants - Edit'!AI$1,FALSE)))</f>
        <v xml:space="preserve">Husband: Andrew PURVES (b. 27/01/1973, d. ?). </v>
      </c>
      <c r="AJ382" s="3" t="str">
        <f>IF(VLOOKUP($C382,'All Girls &amp; Descendants - Edit'!$C$2:$AK$440,'All Girls &amp; Descendants - Edit'!AJ$1,FALSE)=""," - ",(VLOOKUP($C382,'All Girls &amp; Descendants - Edit'!$C$2:$AK$440,'All Girls &amp; Descendants - Edit'!AJ$1,FALSE)))</f>
        <v>Female. b. 12/03/1979 Adopted: Linda Constance Elizabeth HARDCASTLE</v>
      </c>
      <c r="AK382" s="3" t="str">
        <f>IF(VLOOKUP($C382,'All Girls &amp; Descendants - Edit'!$C$2:$AK$440,'All Girls &amp; Descendants - Edit'!AK$1,FALSE)=""," - ",(VLOOKUP($C382,'All Girls &amp; Descendants - Edit'!$C$2:$AK$440,'All Girls &amp; Descendants - Edit'!AK$1,FALSE)))</f>
        <v>b. 12/03/1979</v>
      </c>
    </row>
    <row r="383" spans="1:37" ht="19">
      <c r="A383">
        <f>VLOOKUP(B383,'Loyd List 1-190 - Edit'!$P$1:$R$219,3,FALSE)</f>
        <v>22</v>
      </c>
      <c r="B383">
        <f>'All Girls &amp; Descendants - Edit'!B384</f>
        <v>47</v>
      </c>
      <c r="C383" s="98" t="str">
        <f>'All Girls &amp; Descendants - Edit'!C384</f>
        <v>47aabb</v>
      </c>
      <c r="D383" s="2" t="str">
        <f>'All Girls &amp; Descendants - Edit'!D384</f>
        <v>HARDCASTLE</v>
      </c>
      <c r="E383" t="str">
        <f>'All Girls &amp; Descendants - Edit'!E384</f>
        <v>Susan</v>
      </c>
      <c r="F383" t="str">
        <f>IF('All Girls &amp; Descendants - Edit'!F384="","",'All Girls &amp; Descendants - Edit'!F384)</f>
        <v>Jean</v>
      </c>
      <c r="G383" t="str">
        <f>IF('All Girls &amp; Descendants - Edit'!G384="","",'All Girls &amp; Descendants - Edit'!G384)</f>
        <v>Alexandra</v>
      </c>
      <c r="H383" t="str">
        <f>IF('All Girls &amp; Descendants - Edit'!H384="","",'All Girls &amp; Descendants - Edit'!H384)</f>
        <v/>
      </c>
      <c r="I383">
        <f>VLOOKUP($C383,'All Girls &amp; Descendants - Edit'!$C$2:$AK$440,'All Girls &amp; Descendants - Edit'!I$1,FALSE)</f>
        <v>1980</v>
      </c>
      <c r="J383" t="str">
        <f>VLOOKUP($C383,'All Girls &amp; Descendants - Edit'!$C$2:$AK$440,'All Girls &amp; Descendants - Edit'!J$1,FALSE)</f>
        <v/>
      </c>
      <c r="K383" s="9"/>
      <c r="L383" t="str">
        <f t="shared" si="39"/>
        <v>19/08/1980</v>
      </c>
      <c r="M383" s="3">
        <f>VLOOKUP($C383,'All Girls &amp; Descendants - Edit'!$C$2:$AK$440,'All Girls &amp; Descendants - Edit'!M$1,FALSE)</f>
        <v>29452</v>
      </c>
      <c r="N383" s="3" t="str">
        <f>IF(VLOOKUP($C383,'All Girls &amp; Descendants - Edit'!$C$2:$AK$440,'All Girls &amp; Descendants - Edit'!N$1,FALSE)=""," - ",(VLOOKUP($C383,'All Girls &amp; Descendants - Edit'!$C$2:$AK$440,'All Girls &amp; Descendants - Edit'!N$1,FALSE)))</f>
        <v xml:space="preserve"> - </v>
      </c>
      <c r="O383" s="3" t="str">
        <f>IF(VLOOKUP($C383,'All Girls &amp; Descendants - Edit'!$C$2:$AK$440,'All Girls &amp; Descendants - Edit'!O$1,FALSE)="","",(VLOOKUP($C383,'All Girls &amp; Descendants - Edit'!$C$2:$AK$440,'All Girls &amp; Descendants - Edit'!O$1,FALSE)))</f>
        <v/>
      </c>
      <c r="P383" s="3" t="str">
        <f t="shared" si="40"/>
        <v/>
      </c>
      <c r="Q383" s="178" t="str">
        <f t="shared" si="41"/>
        <v>47aab</v>
      </c>
      <c r="R383" s="23"/>
      <c r="S383" t="str">
        <f>VLOOKUP($C383,'All Girls &amp; Descendants - Edit'!$C$2:$AK$440,'All Girls &amp; Descendants - Edit'!S$1,FALSE)</f>
        <v>Female</v>
      </c>
      <c r="T383" s="176">
        <f t="shared" si="38"/>
        <v>7</v>
      </c>
      <c r="U383" s="176">
        <f t="shared" si="42"/>
        <v>6</v>
      </c>
      <c r="V383" s="176">
        <f t="shared" si="43"/>
        <v>3</v>
      </c>
      <c r="W383" s="177">
        <f t="shared" si="44"/>
        <v>4</v>
      </c>
      <c r="X383" s="3" t="str">
        <f>IF(VLOOKUP($C383,'All Girls &amp; Descendants - Edit'!$C$2:$AK$440,'All Girls &amp; Descendants - Edit'!X$1,FALSE)=""," - ",(VLOOKUP($C383,'All Girls &amp; Descendants - Edit'!$C$2:$AK$440,'All Girls &amp; Descendants - Edit'!X$1,FALSE)))</f>
        <v xml:space="preserve"> - </v>
      </c>
      <c r="Y383" s="3" t="str">
        <f>IF(VLOOKUP($C383,'All Girls &amp; Descendants - Edit'!$C$2:$AK$440,'All Girls &amp; Descendants - Edit'!Y$1,FALSE)=""," - ",(VLOOKUP($C383,'All Girls &amp; Descendants - Edit'!$C$2:$AK$440,'All Girls &amp; Descendants - Edit'!Y$1,FALSE)))</f>
        <v xml:space="preserve"> - </v>
      </c>
      <c r="Z383" s="3" t="str">
        <f>IF(VLOOKUP($C383,'All Girls &amp; Descendants - Edit'!$C$2:$AK$440,'All Girls &amp; Descendants - Edit'!Z$1,FALSE)=""," - ",(VLOOKUP($C383,'All Girls &amp; Descendants - Edit'!$C$2:$AK$440,'All Girls &amp; Descendants - Edit'!Z$1,FALSE)))</f>
        <v xml:space="preserve"> - </v>
      </c>
      <c r="AA383" s="101">
        <f>IF(VLOOKUP($C383,'All Girls &amp; Descendants - Edit'!$C$2:$AK$440,'All Girls &amp; Descendants - Edit'!AA$1,FALSE)=""," - ",(VLOOKUP($C383,'All Girls &amp; Descendants - Edit'!$C$2:$AK$440,'All Girls &amp; Descendants - Edit'!AA$1,FALSE)))</f>
        <v>101</v>
      </c>
      <c r="AB383" s="101">
        <f>IF(VLOOKUP($C383,'All Girls &amp; Descendants - Edit'!$C$2:$AK$440,'All Girls &amp; Descendants - Edit'!AB$1,FALSE)=""," - ",(VLOOKUP($C383,'All Girls &amp; Descendants - Edit'!$C$2:$AK$440,'All Girls &amp; Descendants - Edit'!AB$1,FALSE)))</f>
        <v>24</v>
      </c>
      <c r="AC383" s="101">
        <f>IF(VLOOKUP($C383,'All Girls &amp; Descendants - Edit'!$C$2:$AK$440,'All Girls &amp; Descendants - Edit'!AC$1,FALSE)=""," - ",(VLOOKUP($C383,'All Girls &amp; Descendants - Edit'!$C$2:$AK$440,'All Girls &amp; Descendants - Edit'!AC$1,FALSE)))</f>
        <v>4024</v>
      </c>
      <c r="AD383" s="3" t="str">
        <f>IF(VLOOKUP($C383,'All Girls &amp; Descendants - Edit'!$C$2:$AK$440,'All Girls &amp; Descendants - Edit'!AD$1,FALSE)=""," - ",(VLOOKUP($C383,'All Girls &amp; Descendants - Edit'!$C$2:$AK$440,'All Girls &amp; Descendants - Edit'!AD$1,FALSE)))</f>
        <v>47aabb</v>
      </c>
      <c r="AE383" s="3" t="str">
        <f>IF(VLOOKUP($C383,'All Girls &amp; Descendants - Edit'!$C$2:$AK$440,'All Girls &amp; Descendants - Edit'!AE$1,FALSE)=""," - ",(VLOOKUP($C383,'All Girls &amp; Descendants - Edit'!$C$2:$AK$440,'All Girls &amp; Descendants - Edit'!AE$1,FALSE)))</f>
        <v>Susan Jean Alexandra HARDCASTLE (1980 - )</v>
      </c>
      <c r="AF383" s="3" t="str">
        <f>IF(VLOOKUP($C383,'All Girls &amp; Descendants - Edit'!$C$2:$AK$440,'All Girls &amp; Descendants - Edit'!AF$1,FALSE)=""," - ",(VLOOKUP($C383,'All Girls &amp; Descendants - Edit'!$C$2:$AK$440,'All Girls &amp; Descendants - Edit'!AF$1,FALSE)))</f>
        <v>Susan HARDCASTLE (7th &amp; 47)</v>
      </c>
      <c r="AG383" s="3" t="str">
        <f>IF(VLOOKUP($C383,'All Girls &amp; Descendants - Edit'!$C$2:$AK$440,'All Girls &amp; Descendants - Edit'!AG$1,FALSE)=""," - ",(VLOOKUP($C383,'All Girls &amp; Descendants - Edit'!$C$2:$AK$440,'All Girls &amp; Descendants - Edit'!AG$1,FALSE)))</f>
        <v>Female</v>
      </c>
      <c r="AH383" s="3" t="str">
        <f>IF(VLOOKUP($C383,'All Girls &amp; Descendants - Edit'!$C$2:$AK$440,'All Girls &amp; Descendants - Edit'!AH$1,FALSE)=""," - ",(VLOOKUP($C383,'All Girls &amp; Descendants - Edit'!$C$2:$AK$440,'All Girls &amp; Descendants - Edit'!AH$1,FALSE)))</f>
        <v>7th</v>
      </c>
      <c r="AI383" s="3" t="str">
        <f>IF(VLOOKUP($C383,'All Girls &amp; Descendants - Edit'!$C$2:$AK$440,'All Girls &amp; Descendants - Edit'!AI$1,FALSE)=""," - ",(VLOOKUP($C383,'All Girls &amp; Descendants - Edit'!$C$2:$AK$440,'All Girls &amp; Descendants - Edit'!AI$1,FALSE)))</f>
        <v>Unmarried</v>
      </c>
      <c r="AJ383" s="3" t="str">
        <f>IF(VLOOKUP($C383,'All Girls &amp; Descendants - Edit'!$C$2:$AK$440,'All Girls &amp; Descendants - Edit'!AJ$1,FALSE)=""," - ",(VLOOKUP($C383,'All Girls &amp; Descendants - Edit'!$C$2:$AK$440,'All Girls &amp; Descendants - Edit'!AJ$1,FALSE)))</f>
        <v>Female. b. 19/08/1980</v>
      </c>
      <c r="AK383" s="3" t="str">
        <f>IF(VLOOKUP($C383,'All Girls &amp; Descendants - Edit'!$C$2:$AK$440,'All Girls &amp; Descendants - Edit'!AK$1,FALSE)=""," - ",(VLOOKUP($C383,'All Girls &amp; Descendants - Edit'!$C$2:$AK$440,'All Girls &amp; Descendants - Edit'!AK$1,FALSE)))</f>
        <v>b. 19/08/1980</v>
      </c>
    </row>
    <row r="384" spans="1:37" ht="19">
      <c r="A384">
        <f>VLOOKUP(B384,'Loyd List 1-190 - Edit'!$P$1:$R$219,3,FALSE)</f>
        <v>22</v>
      </c>
      <c r="B384">
        <f>'All Girls &amp; Descendants - Edit'!B385</f>
        <v>47</v>
      </c>
      <c r="C384" s="98" t="str">
        <f>'All Girls &amp; Descendants - Edit'!C385</f>
        <v>47aabc</v>
      </c>
      <c r="D384" s="2" t="str">
        <f>'All Girls &amp; Descendants - Edit'!D385</f>
        <v>HARDCASTLE</v>
      </c>
      <c r="E384" t="str">
        <f>'All Girls &amp; Descendants - Edit'!E385</f>
        <v>David</v>
      </c>
      <c r="F384" t="str">
        <f>IF('All Girls &amp; Descendants - Edit'!F385="","",'All Girls &amp; Descendants - Edit'!F385)</f>
        <v>Robert</v>
      </c>
      <c r="G384" t="str">
        <f>IF('All Girls &amp; Descendants - Edit'!G385="","",'All Girls &amp; Descendants - Edit'!G385)</f>
        <v>Edwin</v>
      </c>
      <c r="H384" t="str">
        <f>IF('All Girls &amp; Descendants - Edit'!H385="","",'All Girls &amp; Descendants - Edit'!H385)</f>
        <v/>
      </c>
      <c r="I384">
        <f>VLOOKUP($C384,'All Girls &amp; Descendants - Edit'!$C$2:$AK$440,'All Girls &amp; Descendants - Edit'!I$1,FALSE)</f>
        <v>1982</v>
      </c>
      <c r="J384" t="str">
        <f>VLOOKUP($C384,'All Girls &amp; Descendants - Edit'!$C$2:$AK$440,'All Girls &amp; Descendants - Edit'!J$1,FALSE)</f>
        <v/>
      </c>
      <c r="K384" s="9"/>
      <c r="L384" t="str">
        <f t="shared" si="39"/>
        <v>26/10/1982</v>
      </c>
      <c r="M384" s="3" t="str">
        <f>VLOOKUP($C384,'All Girls &amp; Descendants - Edit'!$C$2:$AK$440,'All Girls &amp; Descendants - Edit'!M$1,FALSE)</f>
        <v>26/10/1982</v>
      </c>
      <c r="N384" s="3" t="str">
        <f>IF(VLOOKUP($C384,'All Girls &amp; Descendants - Edit'!$C$2:$AK$440,'All Girls &amp; Descendants - Edit'!N$1,FALSE)=""," - ",(VLOOKUP($C384,'All Girls &amp; Descendants - Edit'!$C$2:$AK$440,'All Girls &amp; Descendants - Edit'!N$1,FALSE)))</f>
        <v xml:space="preserve"> - </v>
      </c>
      <c r="O384" s="3" t="str">
        <f>IF(VLOOKUP($C384,'All Girls &amp; Descendants - Edit'!$C$2:$AK$440,'All Girls &amp; Descendants - Edit'!O$1,FALSE)="","",(VLOOKUP($C384,'All Girls &amp; Descendants - Edit'!$C$2:$AK$440,'All Girls &amp; Descendants - Edit'!O$1,FALSE)))</f>
        <v/>
      </c>
      <c r="P384" s="3" t="str">
        <f t="shared" si="40"/>
        <v/>
      </c>
      <c r="Q384" s="178" t="str">
        <f t="shared" si="41"/>
        <v>47aab</v>
      </c>
      <c r="R384" s="23"/>
      <c r="S384" t="str">
        <f>VLOOKUP($C384,'All Girls &amp; Descendants - Edit'!$C$2:$AK$440,'All Girls &amp; Descendants - Edit'!S$1,FALSE)</f>
        <v>Male</v>
      </c>
      <c r="T384" s="176">
        <f t="shared" si="38"/>
        <v>7</v>
      </c>
      <c r="U384" s="176">
        <f t="shared" si="42"/>
        <v>6</v>
      </c>
      <c r="V384" s="176">
        <f t="shared" si="43"/>
        <v>3</v>
      </c>
      <c r="W384" s="177">
        <f t="shared" si="44"/>
        <v>4</v>
      </c>
      <c r="X384" s="3" t="str">
        <f>IF(VLOOKUP($C384,'All Girls &amp; Descendants - Edit'!$C$2:$AK$440,'All Girls &amp; Descendants - Edit'!X$1,FALSE)=""," - ",(VLOOKUP($C384,'All Girls &amp; Descendants - Edit'!$C$2:$AK$440,'All Girls &amp; Descendants - Edit'!X$1,FALSE)))</f>
        <v xml:space="preserve"> - </v>
      </c>
      <c r="Y384" s="3" t="str">
        <f>IF(VLOOKUP($C384,'All Girls &amp; Descendants - Edit'!$C$2:$AK$440,'All Girls &amp; Descendants - Edit'!Y$1,FALSE)=""," - ",(VLOOKUP($C384,'All Girls &amp; Descendants - Edit'!$C$2:$AK$440,'All Girls &amp; Descendants - Edit'!Y$1,FALSE)))</f>
        <v xml:space="preserve"> - </v>
      </c>
      <c r="Z384" s="3" t="str">
        <f>IF(VLOOKUP($C384,'All Girls &amp; Descendants - Edit'!$C$2:$AK$440,'All Girls &amp; Descendants - Edit'!Z$1,FALSE)=""," - ",(VLOOKUP($C384,'All Girls &amp; Descendants - Edit'!$C$2:$AK$440,'All Girls &amp; Descendants - Edit'!Z$1,FALSE)))</f>
        <v xml:space="preserve"> - </v>
      </c>
      <c r="AA384" s="101">
        <f>IF(VLOOKUP($C384,'All Girls &amp; Descendants - Edit'!$C$2:$AK$440,'All Girls &amp; Descendants - Edit'!AA$1,FALSE)=""," - ",(VLOOKUP($C384,'All Girls &amp; Descendants - Edit'!$C$2:$AK$440,'All Girls &amp; Descendants - Edit'!AA$1,FALSE)))</f>
        <v>102</v>
      </c>
      <c r="AB384" s="101">
        <f>IF(VLOOKUP($C384,'All Girls &amp; Descendants - Edit'!$C$2:$AK$440,'All Girls &amp; Descendants - Edit'!AB$1,FALSE)=""," - ",(VLOOKUP($C384,'All Girls &amp; Descendants - Edit'!$C$2:$AK$440,'All Girls &amp; Descendants - Edit'!AB$1,FALSE)))</f>
        <v>25</v>
      </c>
      <c r="AC384" s="101">
        <f>IF(VLOOKUP($C384,'All Girls &amp; Descendants - Edit'!$C$2:$AK$440,'All Girls &amp; Descendants - Edit'!AC$1,FALSE)=""," - ",(VLOOKUP($C384,'All Girls &amp; Descendants - Edit'!$C$2:$AK$440,'All Girls &amp; Descendants - Edit'!AC$1,FALSE)))</f>
        <v>4025</v>
      </c>
      <c r="AD384" s="3" t="str">
        <f>IF(VLOOKUP($C384,'All Girls &amp; Descendants - Edit'!$C$2:$AK$440,'All Girls &amp; Descendants - Edit'!AD$1,FALSE)=""," - ",(VLOOKUP($C384,'All Girls &amp; Descendants - Edit'!$C$2:$AK$440,'All Girls &amp; Descendants - Edit'!AD$1,FALSE)))</f>
        <v>47aabc</v>
      </c>
      <c r="AE384" s="3" t="str">
        <f>IF(VLOOKUP($C384,'All Girls &amp; Descendants - Edit'!$C$2:$AK$440,'All Girls &amp; Descendants - Edit'!AE$1,FALSE)=""," - ",(VLOOKUP($C384,'All Girls &amp; Descendants - Edit'!$C$2:$AK$440,'All Girls &amp; Descendants - Edit'!AE$1,FALSE)))</f>
        <v>David Robert Edwin HARDCASTLE (1982 - )</v>
      </c>
      <c r="AF384" s="3" t="str">
        <f>IF(VLOOKUP($C384,'All Girls &amp; Descendants - Edit'!$C$2:$AK$440,'All Girls &amp; Descendants - Edit'!AF$1,FALSE)=""," - ",(VLOOKUP($C384,'All Girls &amp; Descendants - Edit'!$C$2:$AK$440,'All Girls &amp; Descendants - Edit'!AF$1,FALSE)))</f>
        <v>David HARDCASTLE (7th &amp; 47)</v>
      </c>
      <c r="AG384" s="3" t="str">
        <f>IF(VLOOKUP($C384,'All Girls &amp; Descendants - Edit'!$C$2:$AK$440,'All Girls &amp; Descendants - Edit'!AG$1,FALSE)=""," - ",(VLOOKUP($C384,'All Girls &amp; Descendants - Edit'!$C$2:$AK$440,'All Girls &amp; Descendants - Edit'!AG$1,FALSE)))</f>
        <v>Male</v>
      </c>
      <c r="AH384" s="3" t="str">
        <f>IF(VLOOKUP($C384,'All Girls &amp; Descendants - Edit'!$C$2:$AK$440,'All Girls &amp; Descendants - Edit'!AH$1,FALSE)=""," - ",(VLOOKUP($C384,'All Girls &amp; Descendants - Edit'!$C$2:$AK$440,'All Girls &amp; Descendants - Edit'!AH$1,FALSE)))</f>
        <v>7th</v>
      </c>
      <c r="AI384" s="3" t="str">
        <f>IF(VLOOKUP($C384,'All Girls &amp; Descendants - Edit'!$C$2:$AK$440,'All Girls &amp; Descendants - Edit'!AI$1,FALSE)=""," - ",(VLOOKUP($C384,'All Girls &amp; Descendants - Edit'!$C$2:$AK$440,'All Girls &amp; Descendants - Edit'!AI$1,FALSE)))</f>
        <v>Unmarried</v>
      </c>
      <c r="AJ384" s="3" t="str">
        <f>IF(VLOOKUP($C384,'All Girls &amp; Descendants - Edit'!$C$2:$AK$440,'All Girls &amp; Descendants - Edit'!AJ$1,FALSE)=""," - ",(VLOOKUP($C384,'All Girls &amp; Descendants - Edit'!$C$2:$AK$440,'All Girls &amp; Descendants - Edit'!AJ$1,FALSE)))</f>
        <v>Male. b. 26/10/1982</v>
      </c>
      <c r="AK384" s="3" t="str">
        <f>IF(VLOOKUP($C384,'All Girls &amp; Descendants - Edit'!$C$2:$AK$440,'All Girls &amp; Descendants - Edit'!AK$1,FALSE)=""," - ",(VLOOKUP($C384,'All Girls &amp; Descendants - Edit'!$C$2:$AK$440,'All Girls &amp; Descendants - Edit'!AK$1,FALSE)))</f>
        <v>b. 26/10/1982</v>
      </c>
    </row>
    <row r="385" spans="1:37" ht="19">
      <c r="A385">
        <f>VLOOKUP(B385,'Loyd List 1-190 - Edit'!$P$1:$R$219,3,FALSE)</f>
        <v>22</v>
      </c>
      <c r="B385">
        <f>'All Girls &amp; Descendants - Edit'!B386</f>
        <v>47</v>
      </c>
      <c r="C385" s="98" t="str">
        <f>'All Girls &amp; Descendants - Edit'!C386</f>
        <v>47abca</v>
      </c>
      <c r="D385" s="2" t="str">
        <f>'All Girls &amp; Descendants - Edit'!D386</f>
        <v>DREWE</v>
      </c>
      <c r="E385" t="str">
        <f>'All Girls &amp; Descendants - Edit'!E386</f>
        <v>Michael</v>
      </c>
      <c r="F385" t="str">
        <f>IF('All Girls &amp; Descendants - Edit'!F386="","",'All Girls &amp; Descendants - Edit'!F386)</f>
        <v>Alwyn</v>
      </c>
      <c r="G385" t="str">
        <f>IF('All Girls &amp; Descendants - Edit'!G386="","",'All Girls &amp; Descendants - Edit'!G386)</f>
        <v>Karel</v>
      </c>
      <c r="H385" t="str">
        <f>IF('All Girls &amp; Descendants - Edit'!H386="","",'All Girls &amp; Descendants - Edit'!H386)</f>
        <v/>
      </c>
      <c r="I385">
        <f>VLOOKUP($C385,'All Girls &amp; Descendants - Edit'!$C$2:$AK$440,'All Girls &amp; Descendants - Edit'!I$1,FALSE)</f>
        <v>1987</v>
      </c>
      <c r="J385" t="str">
        <f>VLOOKUP($C385,'All Girls &amp; Descendants - Edit'!$C$2:$AK$440,'All Girls &amp; Descendants - Edit'!J$1,FALSE)</f>
        <v/>
      </c>
      <c r="K385" s="9"/>
      <c r="L385" t="str">
        <f t="shared" si="39"/>
        <v>03/10/1987</v>
      </c>
      <c r="M385" s="3">
        <f>VLOOKUP($C385,'All Girls &amp; Descendants - Edit'!$C$2:$AK$440,'All Girls &amp; Descendants - Edit'!M$1,FALSE)</f>
        <v>32053</v>
      </c>
      <c r="N385" s="3" t="str">
        <f>IF(VLOOKUP($C385,'All Girls &amp; Descendants - Edit'!$C$2:$AK$440,'All Girls &amp; Descendants - Edit'!N$1,FALSE)=""," - ",(VLOOKUP($C385,'All Girls &amp; Descendants - Edit'!$C$2:$AK$440,'All Girls &amp; Descendants - Edit'!N$1,FALSE)))</f>
        <v xml:space="preserve"> - </v>
      </c>
      <c r="O385" s="3" t="str">
        <f>IF(VLOOKUP($C385,'All Girls &amp; Descendants - Edit'!$C$2:$AK$440,'All Girls &amp; Descendants - Edit'!O$1,FALSE)="","",(VLOOKUP($C385,'All Girls &amp; Descendants - Edit'!$C$2:$AK$440,'All Girls &amp; Descendants - Edit'!O$1,FALSE)))</f>
        <v/>
      </c>
      <c r="P385" s="3" t="str">
        <f t="shared" si="40"/>
        <v/>
      </c>
      <c r="Q385" s="178" t="str">
        <f t="shared" si="41"/>
        <v>47abc</v>
      </c>
      <c r="R385" s="23"/>
      <c r="S385" t="str">
        <f>VLOOKUP($C385,'All Girls &amp; Descendants - Edit'!$C$2:$AK$440,'All Girls &amp; Descendants - Edit'!S$1,FALSE)</f>
        <v>Male</v>
      </c>
      <c r="T385" s="176">
        <f t="shared" si="38"/>
        <v>7</v>
      </c>
      <c r="U385" s="176">
        <f t="shared" si="42"/>
        <v>6</v>
      </c>
      <c r="V385" s="176">
        <f t="shared" si="43"/>
        <v>3</v>
      </c>
      <c r="W385" s="177">
        <f t="shared" si="44"/>
        <v>4</v>
      </c>
      <c r="X385" s="3" t="str">
        <f>IF(VLOOKUP($C385,'All Girls &amp; Descendants - Edit'!$C$2:$AK$440,'All Girls &amp; Descendants - Edit'!X$1,FALSE)=""," - ",(VLOOKUP($C385,'All Girls &amp; Descendants - Edit'!$C$2:$AK$440,'All Girls &amp; Descendants - Edit'!X$1,FALSE)))</f>
        <v xml:space="preserve"> - </v>
      </c>
      <c r="Y385" s="3" t="str">
        <f>IF(VLOOKUP($C385,'All Girls &amp; Descendants - Edit'!$C$2:$AK$440,'All Girls &amp; Descendants - Edit'!Y$1,FALSE)=""," - ",(VLOOKUP($C385,'All Girls &amp; Descendants - Edit'!$C$2:$AK$440,'All Girls &amp; Descendants - Edit'!Y$1,FALSE)))</f>
        <v xml:space="preserve"> - </v>
      </c>
      <c r="Z385" s="3" t="str">
        <f>IF(VLOOKUP($C385,'All Girls &amp; Descendants - Edit'!$C$2:$AK$440,'All Girls &amp; Descendants - Edit'!Z$1,FALSE)=""," - ",(VLOOKUP($C385,'All Girls &amp; Descendants - Edit'!$C$2:$AK$440,'All Girls &amp; Descendants - Edit'!Z$1,FALSE)))</f>
        <v>Born at Winchester, Hampshire. Issue: Michael Alwyn Karel DREWE</v>
      </c>
      <c r="AA385" s="101">
        <f>IF(VLOOKUP($C385,'All Girls &amp; Descendants - Edit'!$C$2:$AK$440,'All Girls &amp; Descendants - Edit'!AA$1,FALSE)=""," - ",(VLOOKUP($C385,'All Girls &amp; Descendants - Edit'!$C$2:$AK$440,'All Girls &amp; Descendants - Edit'!AA$1,FALSE)))</f>
        <v>108</v>
      </c>
      <c r="AB385" s="101">
        <f>IF(VLOOKUP($C385,'All Girls &amp; Descendants - Edit'!$C$2:$AK$440,'All Girls &amp; Descendants - Edit'!AB$1,FALSE)=""," - ",(VLOOKUP($C385,'All Girls &amp; Descendants - Edit'!$C$2:$AK$440,'All Girls &amp; Descendants - Edit'!AB$1,FALSE)))</f>
        <v>26</v>
      </c>
      <c r="AC385" s="101">
        <f>IF(VLOOKUP($C385,'All Girls &amp; Descendants - Edit'!$C$2:$AK$440,'All Girls &amp; Descendants - Edit'!AC$1,FALSE)=""," - ",(VLOOKUP($C385,'All Girls &amp; Descendants - Edit'!$C$2:$AK$440,'All Girls &amp; Descendants - Edit'!AC$1,FALSE)))</f>
        <v>4026</v>
      </c>
      <c r="AD385" s="3" t="str">
        <f>IF(VLOOKUP($C385,'All Girls &amp; Descendants - Edit'!$C$2:$AK$440,'All Girls &amp; Descendants - Edit'!AD$1,FALSE)=""," - ",(VLOOKUP($C385,'All Girls &amp; Descendants - Edit'!$C$2:$AK$440,'All Girls &amp; Descendants - Edit'!AD$1,FALSE)))</f>
        <v>47abca</v>
      </c>
      <c r="AE385" s="3" t="str">
        <f>IF(VLOOKUP($C385,'All Girls &amp; Descendants - Edit'!$C$2:$AK$440,'All Girls &amp; Descendants - Edit'!AE$1,FALSE)=""," - ",(VLOOKUP($C385,'All Girls &amp; Descendants - Edit'!$C$2:$AK$440,'All Girls &amp; Descendants - Edit'!AE$1,FALSE)))</f>
        <v>Michael Alwyn Karel DREWE (1987 - )</v>
      </c>
      <c r="AF385" s="3" t="str">
        <f>IF(VLOOKUP($C385,'All Girls &amp; Descendants - Edit'!$C$2:$AK$440,'All Girls &amp; Descendants - Edit'!AF$1,FALSE)=""," - ",(VLOOKUP($C385,'All Girls &amp; Descendants - Edit'!$C$2:$AK$440,'All Girls &amp; Descendants - Edit'!AF$1,FALSE)))</f>
        <v>Michael DREWE (7th &amp; 47)</v>
      </c>
      <c r="AG385" s="3" t="str">
        <f>IF(VLOOKUP($C385,'All Girls &amp; Descendants - Edit'!$C$2:$AK$440,'All Girls &amp; Descendants - Edit'!AG$1,FALSE)=""," - ",(VLOOKUP($C385,'All Girls &amp; Descendants - Edit'!$C$2:$AK$440,'All Girls &amp; Descendants - Edit'!AG$1,FALSE)))</f>
        <v>Male</v>
      </c>
      <c r="AH385" s="3" t="str">
        <f>IF(VLOOKUP($C385,'All Girls &amp; Descendants - Edit'!$C$2:$AK$440,'All Girls &amp; Descendants - Edit'!AH$1,FALSE)=""," - ",(VLOOKUP($C385,'All Girls &amp; Descendants - Edit'!$C$2:$AK$440,'All Girls &amp; Descendants - Edit'!AH$1,FALSE)))</f>
        <v>7th</v>
      </c>
      <c r="AI385" s="3" t="str">
        <f>IF(VLOOKUP($C385,'All Girls &amp; Descendants - Edit'!$C$2:$AK$440,'All Girls &amp; Descendants - Edit'!AI$1,FALSE)=""," - ",(VLOOKUP($C385,'All Girls &amp; Descendants - Edit'!$C$2:$AK$440,'All Girls &amp; Descendants - Edit'!AI$1,FALSE)))</f>
        <v>Unmarried</v>
      </c>
      <c r="AJ385" s="3" t="str">
        <f>IF(VLOOKUP($C385,'All Girls &amp; Descendants - Edit'!$C$2:$AK$440,'All Girls &amp; Descendants - Edit'!AJ$1,FALSE)=""," - ",(VLOOKUP($C385,'All Girls &amp; Descendants - Edit'!$C$2:$AK$440,'All Girls &amp; Descendants - Edit'!AJ$1,FALSE)))</f>
        <v>Male. b. 03/10/1987 Born at Winchester, Hampshire. Issue: Michael Alwyn Karel DREWE</v>
      </c>
      <c r="AK385" s="3" t="str">
        <f>IF(VLOOKUP($C385,'All Girls &amp; Descendants - Edit'!$C$2:$AK$440,'All Girls &amp; Descendants - Edit'!AK$1,FALSE)=""," - ",(VLOOKUP($C385,'All Girls &amp; Descendants - Edit'!$C$2:$AK$440,'All Girls &amp; Descendants - Edit'!AK$1,FALSE)))</f>
        <v>b. 03/10/1987</v>
      </c>
    </row>
    <row r="386" spans="1:37" ht="19">
      <c r="A386">
        <f>VLOOKUP(B386,'Loyd List 1-190 - Edit'!$P$1:$R$219,3,FALSE)</f>
        <v>1</v>
      </c>
      <c r="B386">
        <f>'All Girls &amp; Descendants - Edit'!B387</f>
        <v>2</v>
      </c>
      <c r="C386" s="98" t="str">
        <f>'All Girls &amp; Descendants - Edit'!C387</f>
        <v>2cabaa</v>
      </c>
      <c r="D386" s="2" t="str">
        <f>'All Girls &amp; Descendants - Edit'!D387</f>
        <v>PROTHEROE</v>
      </c>
      <c r="E386" t="str">
        <f>'All Girls &amp; Descendants - Edit'!E387</f>
        <v>William</v>
      </c>
      <c r="F386" t="str">
        <f>IF('All Girls &amp; Descendants - Edit'!F387="","",'All Girls &amp; Descendants - Edit'!F387)</f>
        <v>Loyd</v>
      </c>
      <c r="G386" t="str">
        <f>IF('All Girls &amp; Descendants - Edit'!G387="","",'All Girls &amp; Descendants - Edit'!G387)</f>
        <v/>
      </c>
      <c r="H386" t="str">
        <f>IF('All Girls &amp; Descendants - Edit'!H387="","",'All Girls &amp; Descendants - Edit'!H387)</f>
        <v/>
      </c>
      <c r="I386">
        <f>VLOOKUP($C386,'All Girls &amp; Descendants - Edit'!$C$2:$AK$440,'All Girls &amp; Descendants - Edit'!I$1,FALSE)</f>
        <v>1921</v>
      </c>
      <c r="J386">
        <f>VLOOKUP($C386,'All Girls &amp; Descendants - Edit'!$C$2:$AK$440,'All Girls &amp; Descendants - Edit'!J$1,FALSE)</f>
        <v>1942</v>
      </c>
      <c r="K386" s="9"/>
      <c r="L386" t="str">
        <f t="shared" si="39"/>
        <v>04/04/1905</v>
      </c>
      <c r="M386" s="3" t="str">
        <f>VLOOKUP($C386,'All Girls &amp; Descendants - Edit'!$C$2:$AK$440,'All Girls &amp; Descendants - Edit'!M$1,FALSE)</f>
        <v>1921</v>
      </c>
      <c r="N386" s="3" t="str">
        <f>IF(VLOOKUP($C386,'All Girls &amp; Descendants - Edit'!$C$2:$AK$440,'All Girls &amp; Descendants - Edit'!N$1,FALSE)=""," - ",(VLOOKUP($C386,'All Girls &amp; Descendants - Edit'!$C$2:$AK$440,'All Girls &amp; Descendants - Edit'!N$1,FALSE)))</f>
        <v xml:space="preserve"> - </v>
      </c>
      <c r="O386" s="3">
        <f>IF(VLOOKUP($C386,'All Girls &amp; Descendants - Edit'!$C$2:$AK$440,'All Girls &amp; Descendants - Edit'!O$1,FALSE)="","",(VLOOKUP($C386,'All Girls &amp; Descendants - Edit'!$C$2:$AK$440,'All Girls &amp; Descendants - Edit'!O$1,FALSE)))</f>
        <v>15565</v>
      </c>
      <c r="P386" s="3" t="str">
        <f t="shared" si="40"/>
        <v>12/08/1942</v>
      </c>
      <c r="Q386" s="178" t="str">
        <f t="shared" si="41"/>
        <v>2caba</v>
      </c>
      <c r="R386" s="23"/>
      <c r="S386" t="str">
        <f>VLOOKUP($C386,'All Girls &amp; Descendants - Edit'!$C$2:$AK$440,'All Girls &amp; Descendants - Edit'!S$1,FALSE)</f>
        <v>Male</v>
      </c>
      <c r="T386" s="176">
        <f t="shared" si="38"/>
        <v>6</v>
      </c>
      <c r="U386" s="176">
        <f t="shared" si="42"/>
        <v>6</v>
      </c>
      <c r="V386" s="176">
        <f t="shared" si="43"/>
        <v>1</v>
      </c>
      <c r="W386" s="177">
        <f t="shared" si="44"/>
        <v>5</v>
      </c>
      <c r="X386" s="3" t="str">
        <f>IF(VLOOKUP($C386,'All Girls &amp; Descendants - Edit'!$C$2:$AK$440,'All Girls &amp; Descendants - Edit'!X$1,FALSE)=""," - ",(VLOOKUP($C386,'All Girls &amp; Descendants - Edit'!$C$2:$AK$440,'All Girls &amp; Descendants - Edit'!X$1,FALSE)))</f>
        <v xml:space="preserve"> - </v>
      </c>
      <c r="Y386" s="3" t="str">
        <f>IF(VLOOKUP($C386,'All Girls &amp; Descendants - Edit'!$C$2:$AK$440,'All Girls &amp; Descendants - Edit'!Y$1,FALSE)=""," - ",(VLOOKUP($C386,'All Girls &amp; Descendants - Edit'!$C$2:$AK$440,'All Girls &amp; Descendants - Edit'!Y$1,FALSE)))</f>
        <v xml:space="preserve"> - </v>
      </c>
      <c r="Z386" s="3" t="str">
        <f>IF(VLOOKUP($C386,'All Girls &amp; Descendants - Edit'!$C$2:$AK$440,'All Girls &amp; Descendants - Edit'!Z$1,FALSE)=""," - ",(VLOOKUP($C386,'All Girls &amp; Descendants - Edit'!$C$2:$AK$440,'All Girls &amp; Descendants - Edit'!Z$1,FALSE)))</f>
        <v>Killed in action aboard the seriously damaged HMS Indomitable on operation Pedestal. Commemoration: Bay 4, Panel 1 LEE-ON-SOLENT MEMORIAL Hampshire United Kingdom.</v>
      </c>
      <c r="AA386" s="101">
        <f>IF(VLOOKUP($C386,'All Girls &amp; Descendants - Edit'!$C$2:$AK$440,'All Girls &amp; Descendants - Edit'!AA$1,FALSE)=""," - ",(VLOOKUP($C386,'All Girls &amp; Descendants - Edit'!$C$2:$AK$440,'All Girls &amp; Descendants - Edit'!AA$1,FALSE)))</f>
        <v>11</v>
      </c>
      <c r="AB386" s="101">
        <f>IF(VLOOKUP($C386,'All Girls &amp; Descendants - Edit'!$C$2:$AK$440,'All Girls &amp; Descendants - Edit'!AB$1,FALSE)=""," - ",(VLOOKUP($C386,'All Girls &amp; Descendants - Edit'!$C$2:$AK$440,'All Girls &amp; Descendants - Edit'!AB$1,FALSE)))</f>
        <v>1</v>
      </c>
      <c r="AC386" s="101">
        <f>IF(VLOOKUP($C386,'All Girls &amp; Descendants - Edit'!$C$2:$AK$440,'All Girls &amp; Descendants - Edit'!AC$1,FALSE)=""," - ",(VLOOKUP($C386,'All Girls &amp; Descendants - Edit'!$C$2:$AK$440,'All Girls &amp; Descendants - Edit'!AC$1,FALSE)))</f>
        <v>5001</v>
      </c>
      <c r="AD386" s="3" t="str">
        <f>IF(VLOOKUP($C386,'All Girls &amp; Descendants - Edit'!$C$2:$AK$440,'All Girls &amp; Descendants - Edit'!AD$1,FALSE)=""," - ",(VLOOKUP($C386,'All Girls &amp; Descendants - Edit'!$C$2:$AK$440,'All Girls &amp; Descendants - Edit'!AD$1,FALSE)))</f>
        <v>2cabaa</v>
      </c>
      <c r="AE386" s="3" t="str">
        <f>IF(VLOOKUP($C386,'All Girls &amp; Descendants - Edit'!$C$2:$AK$440,'All Girls &amp; Descendants - Edit'!AE$1,FALSE)=""," - ",(VLOOKUP($C386,'All Girls &amp; Descendants - Edit'!$C$2:$AK$440,'All Girls &amp; Descendants - Edit'!AE$1,FALSE)))</f>
        <v>William Loyd  PROTHEROE (1921 - 1942)</v>
      </c>
      <c r="AF386" s="3" t="str">
        <f>IF(VLOOKUP($C386,'All Girls &amp; Descendants - Edit'!$C$2:$AK$440,'All Girls &amp; Descendants - Edit'!AF$1,FALSE)=""," - ",(VLOOKUP($C386,'All Girls &amp; Descendants - Edit'!$C$2:$AK$440,'All Girls &amp; Descendants - Edit'!AF$1,FALSE)))</f>
        <v>William PROTHEROE (6th &amp; 2)</v>
      </c>
      <c r="AG386" s="3" t="str">
        <f>IF(VLOOKUP($C386,'All Girls &amp; Descendants - Edit'!$C$2:$AK$440,'All Girls &amp; Descendants - Edit'!AG$1,FALSE)=""," - ",(VLOOKUP($C386,'All Girls &amp; Descendants - Edit'!$C$2:$AK$440,'All Girls &amp; Descendants - Edit'!AG$1,FALSE)))</f>
        <v>Male</v>
      </c>
      <c r="AH386" s="3" t="str">
        <f>IF(VLOOKUP($C386,'All Girls &amp; Descendants - Edit'!$C$2:$AK$440,'All Girls &amp; Descendants - Edit'!AH$1,FALSE)=""," - ",(VLOOKUP($C386,'All Girls &amp; Descendants - Edit'!$C$2:$AK$440,'All Girls &amp; Descendants - Edit'!AH$1,FALSE)))</f>
        <v>6th</v>
      </c>
      <c r="AI386" s="3" t="str">
        <f>IF(VLOOKUP($C386,'All Girls &amp; Descendants - Edit'!$C$2:$AK$440,'All Girls &amp; Descendants - Edit'!AI$1,FALSE)=""," - ",(VLOOKUP($C386,'All Girls &amp; Descendants - Edit'!$C$2:$AK$440,'All Girls &amp; Descendants - Edit'!AI$1,FALSE)))</f>
        <v>Unmarried</v>
      </c>
      <c r="AJ386" s="3" t="str">
        <f>IF(VLOOKUP($C386,'All Girls &amp; Descendants - Edit'!$C$2:$AK$440,'All Girls &amp; Descendants - Edit'!AJ$1,FALSE)=""," - ",(VLOOKUP($C386,'All Girls &amp; Descendants - Edit'!$C$2:$AK$440,'All Girls &amp; Descendants - Edit'!AJ$1,FALSE)))</f>
        <v>Male. b. 1921, d. 12/08/1942. Killed in action aboard the seriously damaged HMS Indomitable on operation Pedestal. Commemoration: Bay 4, Panel 1 LEE-ON-SOLENT MEMORIAL Hampshire United Kingdom.</v>
      </c>
      <c r="AK386" s="3" t="str">
        <f>IF(VLOOKUP($C386,'All Girls &amp; Descendants - Edit'!$C$2:$AK$440,'All Girls &amp; Descendants - Edit'!AK$1,FALSE)=""," - ",(VLOOKUP($C386,'All Girls &amp; Descendants - Edit'!$C$2:$AK$440,'All Girls &amp; Descendants - Edit'!AK$1,FALSE)))</f>
        <v>b. 1921, d. 12/08/1942.</v>
      </c>
    </row>
    <row r="387" spans="1:37" ht="19">
      <c r="A387">
        <f>VLOOKUP(B387,'Loyd List 1-190 - Edit'!$P$1:$R$219,3,FALSE)</f>
        <v>1</v>
      </c>
      <c r="B387">
        <f>'All Girls &amp; Descendants - Edit'!B388</f>
        <v>2</v>
      </c>
      <c r="C387" s="98" t="str">
        <f>'All Girls &amp; Descendants - Edit'!C388</f>
        <v>2cabab</v>
      </c>
      <c r="D387" s="2" t="str">
        <f>'All Girls &amp; Descendants - Edit'!D388</f>
        <v>PROTHEROE</v>
      </c>
      <c r="E387" t="str">
        <f>'All Girls &amp; Descendants - Edit'!E388</f>
        <v>Sheila</v>
      </c>
      <c r="F387" t="str">
        <f>IF('All Girls &amp; Descendants - Edit'!F388="","",'All Girls &amp; Descendants - Edit'!F388)</f>
        <v>Evelyn</v>
      </c>
      <c r="G387" t="str">
        <f>IF('All Girls &amp; Descendants - Edit'!G388="","",'All Girls &amp; Descendants - Edit'!G388)</f>
        <v/>
      </c>
      <c r="H387" t="str">
        <f>IF('All Girls &amp; Descendants - Edit'!H388="","",'All Girls &amp; Descendants - Edit'!H388)</f>
        <v/>
      </c>
      <c r="I387">
        <f>VLOOKUP($C387,'All Girls &amp; Descendants - Edit'!$C$2:$AK$440,'All Girls &amp; Descendants - Edit'!I$1,FALSE)</f>
        <v>1924</v>
      </c>
      <c r="J387" t="str">
        <f>VLOOKUP($C387,'All Girls &amp; Descendants - Edit'!$C$2:$AK$440,'All Girls &amp; Descendants - Edit'!J$1,FALSE)</f>
        <v/>
      </c>
      <c r="K387" s="9"/>
      <c r="L387" t="str">
        <f t="shared" si="39"/>
        <v>07/04/1905</v>
      </c>
      <c r="M387" s="3" t="str">
        <f>VLOOKUP($C387,'All Girls &amp; Descendants - Edit'!$C$2:$AK$440,'All Girls &amp; Descendants - Edit'!M$1,FALSE)</f>
        <v>1924</v>
      </c>
      <c r="N387" s="3" t="str">
        <f>IF(VLOOKUP($C387,'All Girls &amp; Descendants - Edit'!$C$2:$AK$440,'All Girls &amp; Descendants - Edit'!N$1,FALSE)=""," - ",(VLOOKUP($C387,'All Girls &amp; Descendants - Edit'!$C$2:$AK$440,'All Girls &amp; Descendants - Edit'!N$1,FALSE)))</f>
        <v>1952</v>
      </c>
      <c r="O387" s="3" t="str">
        <f>IF(VLOOKUP($C387,'All Girls &amp; Descendants - Edit'!$C$2:$AK$440,'All Girls &amp; Descendants - Edit'!O$1,FALSE)="","",(VLOOKUP($C387,'All Girls &amp; Descendants - Edit'!$C$2:$AK$440,'All Girls &amp; Descendants - Edit'!O$1,FALSE)))</f>
        <v/>
      </c>
      <c r="P387" s="3" t="str">
        <f t="shared" si="40"/>
        <v/>
      </c>
      <c r="Q387" s="178" t="str">
        <f t="shared" si="41"/>
        <v>2caba</v>
      </c>
      <c r="R387" s="23"/>
      <c r="S387" t="str">
        <f>VLOOKUP($C387,'All Girls &amp; Descendants - Edit'!$C$2:$AK$440,'All Girls &amp; Descendants - Edit'!S$1,FALSE)</f>
        <v>Female</v>
      </c>
      <c r="T387" s="176">
        <f t="shared" si="38"/>
        <v>6</v>
      </c>
      <c r="U387" s="176">
        <f t="shared" si="42"/>
        <v>6</v>
      </c>
      <c r="V387" s="176">
        <f t="shared" si="43"/>
        <v>1</v>
      </c>
      <c r="W387" s="177">
        <f t="shared" si="44"/>
        <v>5</v>
      </c>
      <c r="X387" s="3" t="str">
        <f>IF(VLOOKUP($C387,'All Girls &amp; Descendants - Edit'!$C$2:$AK$440,'All Girls &amp; Descendants - Edit'!X$1,FALSE)=""," - ",(VLOOKUP($C387,'All Girls &amp; Descendants - Edit'!$C$2:$AK$440,'All Girls &amp; Descendants - Edit'!X$1,FALSE)))</f>
        <v>Peter B B GILL</v>
      </c>
      <c r="Y387" s="3" t="str">
        <f>IF(VLOOKUP($C387,'All Girls &amp; Descendants - Edit'!$C$2:$AK$440,'All Girls &amp; Descendants - Edit'!Y$1,FALSE)=""," - ",(VLOOKUP($C387,'All Girls &amp; Descendants - Edit'!$C$2:$AK$440,'All Girls &amp; Descendants - Edit'!Y$1,FALSE)))</f>
        <v>Married at Runcorn. Peter GILL Commander in the Royal Navy.</v>
      </c>
      <c r="Z387" s="3" t="str">
        <f>IF(VLOOKUP($C387,'All Girls &amp; Descendants - Edit'!$C$2:$AK$440,'All Girls &amp; Descendants - Edit'!Z$1,FALSE)=""," - ",(VLOOKUP($C387,'All Girls &amp; Descendants - Edit'!$C$2:$AK$440,'All Girls &amp; Descendants - Edit'!Z$1,FALSE)))</f>
        <v xml:space="preserve"> - </v>
      </c>
      <c r="AA387" s="101">
        <f>IF(VLOOKUP($C387,'All Girls &amp; Descendants - Edit'!$C$2:$AK$440,'All Girls &amp; Descendants - Edit'!AA$1,FALSE)=""," - ",(VLOOKUP($C387,'All Girls &amp; Descendants - Edit'!$C$2:$AK$440,'All Girls &amp; Descendants - Edit'!AA$1,FALSE)))</f>
        <v>12</v>
      </c>
      <c r="AB387" s="101">
        <f>IF(VLOOKUP($C387,'All Girls &amp; Descendants - Edit'!$C$2:$AK$440,'All Girls &amp; Descendants - Edit'!AB$1,FALSE)=""," - ",(VLOOKUP($C387,'All Girls &amp; Descendants - Edit'!$C$2:$AK$440,'All Girls &amp; Descendants - Edit'!AB$1,FALSE)))</f>
        <v>2</v>
      </c>
      <c r="AC387" s="101">
        <f>IF(VLOOKUP($C387,'All Girls &amp; Descendants - Edit'!$C$2:$AK$440,'All Girls &amp; Descendants - Edit'!AC$1,FALSE)=""," - ",(VLOOKUP($C387,'All Girls &amp; Descendants - Edit'!$C$2:$AK$440,'All Girls &amp; Descendants - Edit'!AC$1,FALSE)))</f>
        <v>5002</v>
      </c>
      <c r="AD387" s="3" t="str">
        <f>IF(VLOOKUP($C387,'All Girls &amp; Descendants - Edit'!$C$2:$AK$440,'All Girls &amp; Descendants - Edit'!AD$1,FALSE)=""," - ",(VLOOKUP($C387,'All Girls &amp; Descendants - Edit'!$C$2:$AK$440,'All Girls &amp; Descendants - Edit'!AD$1,FALSE)))</f>
        <v>2cabab</v>
      </c>
      <c r="AE387" s="3" t="str">
        <f>IF(VLOOKUP($C387,'All Girls &amp; Descendants - Edit'!$C$2:$AK$440,'All Girls &amp; Descendants - Edit'!AE$1,FALSE)=""," - ",(VLOOKUP($C387,'All Girls &amp; Descendants - Edit'!$C$2:$AK$440,'All Girls &amp; Descendants - Edit'!AE$1,FALSE)))</f>
        <v>Sheila Evelyn  PROTHEROE (1924 - )</v>
      </c>
      <c r="AF387" s="3" t="str">
        <f>IF(VLOOKUP($C387,'All Girls &amp; Descendants - Edit'!$C$2:$AK$440,'All Girls &amp; Descendants - Edit'!AF$1,FALSE)=""," - ",(VLOOKUP($C387,'All Girls &amp; Descendants - Edit'!$C$2:$AK$440,'All Girls &amp; Descendants - Edit'!AF$1,FALSE)))</f>
        <v>Sheila PROTHEROE (6th &amp; 2)</v>
      </c>
      <c r="AG387" s="3" t="str">
        <f>IF(VLOOKUP($C387,'All Girls &amp; Descendants - Edit'!$C$2:$AK$440,'All Girls &amp; Descendants - Edit'!AG$1,FALSE)=""," - ",(VLOOKUP($C387,'All Girls &amp; Descendants - Edit'!$C$2:$AK$440,'All Girls &amp; Descendants - Edit'!AG$1,FALSE)))</f>
        <v>Female</v>
      </c>
      <c r="AH387" s="3" t="str">
        <f>IF(VLOOKUP($C387,'All Girls &amp; Descendants - Edit'!$C$2:$AK$440,'All Girls &amp; Descendants - Edit'!AH$1,FALSE)=""," - ",(VLOOKUP($C387,'All Girls &amp; Descendants - Edit'!$C$2:$AK$440,'All Girls &amp; Descendants - Edit'!AH$1,FALSE)))</f>
        <v>6th</v>
      </c>
      <c r="AI387" s="3" t="str">
        <f>IF(VLOOKUP($C387,'All Girls &amp; Descendants - Edit'!$C$2:$AK$440,'All Girls &amp; Descendants - Edit'!AI$1,FALSE)=""," - ",(VLOOKUP($C387,'All Girls &amp; Descendants - Edit'!$C$2:$AK$440,'All Girls &amp; Descendants - Edit'!AI$1,FALSE)))</f>
        <v>Husband: Peter B B GILL. Married at Runcorn. Peter GILL Commander in the Royal Navy.</v>
      </c>
      <c r="AJ387" s="3" t="str">
        <f>IF(VLOOKUP($C387,'All Girls &amp; Descendants - Edit'!$C$2:$AK$440,'All Girls &amp; Descendants - Edit'!AJ$1,FALSE)=""," - ",(VLOOKUP($C387,'All Girls &amp; Descendants - Edit'!$C$2:$AK$440,'All Girls &amp; Descendants - Edit'!AJ$1,FALSE)))</f>
        <v>Female. b. 1924</v>
      </c>
      <c r="AK387" s="3" t="str">
        <f>IF(VLOOKUP($C387,'All Girls &amp; Descendants - Edit'!$C$2:$AK$440,'All Girls &amp; Descendants - Edit'!AK$1,FALSE)=""," - ",(VLOOKUP($C387,'All Girls &amp; Descendants - Edit'!$C$2:$AK$440,'All Girls &amp; Descendants - Edit'!AK$1,FALSE)))</f>
        <v>b. 1924</v>
      </c>
    </row>
    <row r="388" spans="1:37" ht="19">
      <c r="A388">
        <f>VLOOKUP(B388,'Loyd List 1-190 - Edit'!$P$1:$R$219,3,FALSE)</f>
        <v>1</v>
      </c>
      <c r="B388">
        <f>'All Girls &amp; Descendants - Edit'!B389</f>
        <v>2</v>
      </c>
      <c r="C388" s="98" t="str">
        <f>'All Girls &amp; Descendants - Edit'!C389</f>
        <v>2cabba</v>
      </c>
      <c r="D388" s="2" t="str">
        <f>'All Girls &amp; Descendants - Edit'!D389</f>
        <v>APPS</v>
      </c>
      <c r="E388" t="str">
        <f>'All Girls &amp; Descendants - Edit'!E389</f>
        <v>Beryl</v>
      </c>
      <c r="F388" t="str">
        <f>IF('All Girls &amp; Descendants - Edit'!F389="","",'All Girls &amp; Descendants - Edit'!F389)</f>
        <v>Mary</v>
      </c>
      <c r="G388" t="str">
        <f>IF('All Girls &amp; Descendants - Edit'!G389="","",'All Girls &amp; Descendants - Edit'!G389)</f>
        <v>Loyd</v>
      </c>
      <c r="H388" t="str">
        <f>IF('All Girls &amp; Descendants - Edit'!H389="","",'All Girls &amp; Descendants - Edit'!H389)</f>
        <v/>
      </c>
      <c r="I388">
        <f>VLOOKUP($C388,'All Girls &amp; Descendants - Edit'!$C$2:$AK$440,'All Girls &amp; Descendants - Edit'!I$1,FALSE)</f>
        <v>1925</v>
      </c>
      <c r="J388" t="str">
        <f>VLOOKUP($C388,'All Girls &amp; Descendants - Edit'!$C$2:$AK$440,'All Girls &amp; Descendants - Edit'!J$1,FALSE)</f>
        <v/>
      </c>
      <c r="K388" s="9"/>
      <c r="L388" t="str">
        <f t="shared" si="39"/>
        <v>20/12/1925</v>
      </c>
      <c r="M388" s="3">
        <f>VLOOKUP($C388,'All Girls &amp; Descendants - Edit'!$C$2:$AK$440,'All Girls &amp; Descendants - Edit'!M$1,FALSE)</f>
        <v>9486</v>
      </c>
      <c r="N388" s="3">
        <f>IF(VLOOKUP($C388,'All Girls &amp; Descendants - Edit'!$C$2:$AK$440,'All Girls &amp; Descendants - Edit'!N$1,FALSE)=""," - ",(VLOOKUP($C388,'All Girls &amp; Descendants - Edit'!$C$2:$AK$440,'All Girls &amp; Descendants - Edit'!N$1,FALSE)))</f>
        <v>18683</v>
      </c>
      <c r="O388" s="3" t="str">
        <f>IF(VLOOKUP($C388,'All Girls &amp; Descendants - Edit'!$C$2:$AK$440,'All Girls &amp; Descendants - Edit'!O$1,FALSE)="","",(VLOOKUP($C388,'All Girls &amp; Descendants - Edit'!$C$2:$AK$440,'All Girls &amp; Descendants - Edit'!O$1,FALSE)))</f>
        <v/>
      </c>
      <c r="P388" s="3" t="str">
        <f t="shared" si="40"/>
        <v/>
      </c>
      <c r="Q388" s="178" t="str">
        <f t="shared" si="41"/>
        <v>2cabb</v>
      </c>
      <c r="R388" s="23"/>
      <c r="S388" t="str">
        <f>VLOOKUP($C388,'All Girls &amp; Descendants - Edit'!$C$2:$AK$440,'All Girls &amp; Descendants - Edit'!S$1,FALSE)</f>
        <v>Female</v>
      </c>
      <c r="T388" s="176">
        <f t="shared" ref="T388:T418" si="45">IF(B388&lt;10,V388+U388-1,IF(AND(B388&gt;=10,B388&lt;100),V388+U388-2,IF(B388&gt;=100,V388+U388-3)))</f>
        <v>6</v>
      </c>
      <c r="U388" s="176">
        <f t="shared" si="42"/>
        <v>6</v>
      </c>
      <c r="V388" s="176">
        <f t="shared" si="43"/>
        <v>1</v>
      </c>
      <c r="W388" s="177">
        <f t="shared" si="44"/>
        <v>5</v>
      </c>
      <c r="X388" s="3" t="str">
        <f>IF(VLOOKUP($C388,'All Girls &amp; Descendants - Edit'!$C$2:$AK$440,'All Girls &amp; Descendants - Edit'!X$1,FALSE)=""," - ",(VLOOKUP($C388,'All Girls &amp; Descendants - Edit'!$C$2:$AK$440,'All Girls &amp; Descendants - Edit'!X$1,FALSE)))</f>
        <v>Ian George Greensmith RANDERSON (b.1930)</v>
      </c>
      <c r="Y388" s="3" t="str">
        <f>IF(VLOOKUP($C388,'All Girls &amp; Descendants - Edit'!$C$2:$AK$440,'All Girls &amp; Descendants - Edit'!Y$1,FALSE)=""," - ",(VLOOKUP($C388,'All Girls &amp; Descendants - Edit'!$C$2:$AK$440,'All Girls &amp; Descendants - Edit'!Y$1,FALSE)))</f>
        <v>Married at St Jude's, Portsea, Hampshire. Ian son of George Oswald RANDERSON.</v>
      </c>
      <c r="Z388" s="3" t="str">
        <f>IF(VLOOKUP($C388,'All Girls &amp; Descendants - Edit'!$C$2:$AK$440,'All Girls &amp; Descendants - Edit'!Z$1,FALSE)=""," - ",(VLOOKUP($C388,'All Girls &amp; Descendants - Edit'!$C$2:$AK$440,'All Girls &amp; Descendants - Edit'!Z$1,FALSE)))</f>
        <v xml:space="preserve"> - </v>
      </c>
      <c r="AA388" s="101">
        <f>IF(VLOOKUP($C388,'All Girls &amp; Descendants - Edit'!$C$2:$AK$440,'All Girls &amp; Descendants - Edit'!AA$1,FALSE)=""," - ",(VLOOKUP($C388,'All Girls &amp; Descendants - Edit'!$C$2:$AK$440,'All Girls &amp; Descendants - Edit'!AA$1,FALSE)))</f>
        <v>14</v>
      </c>
      <c r="AB388" s="101">
        <f>IF(VLOOKUP($C388,'All Girls &amp; Descendants - Edit'!$C$2:$AK$440,'All Girls &amp; Descendants - Edit'!AB$1,FALSE)=""," - ",(VLOOKUP($C388,'All Girls &amp; Descendants - Edit'!$C$2:$AK$440,'All Girls &amp; Descendants - Edit'!AB$1,FALSE)))</f>
        <v>3</v>
      </c>
      <c r="AC388" s="101">
        <f>IF(VLOOKUP($C388,'All Girls &amp; Descendants - Edit'!$C$2:$AK$440,'All Girls &amp; Descendants - Edit'!AC$1,FALSE)=""," - ",(VLOOKUP($C388,'All Girls &amp; Descendants - Edit'!$C$2:$AK$440,'All Girls &amp; Descendants - Edit'!AC$1,FALSE)))</f>
        <v>5003</v>
      </c>
      <c r="AD388" s="3" t="str">
        <f>IF(VLOOKUP($C388,'All Girls &amp; Descendants - Edit'!$C$2:$AK$440,'All Girls &amp; Descendants - Edit'!AD$1,FALSE)=""," - ",(VLOOKUP($C388,'All Girls &amp; Descendants - Edit'!$C$2:$AK$440,'All Girls &amp; Descendants - Edit'!AD$1,FALSE)))</f>
        <v>2cabba</v>
      </c>
      <c r="AE388" s="3" t="str">
        <f>IF(VLOOKUP($C388,'All Girls &amp; Descendants - Edit'!$C$2:$AK$440,'All Girls &amp; Descendants - Edit'!AE$1,FALSE)=""," - ",(VLOOKUP($C388,'All Girls &amp; Descendants - Edit'!$C$2:$AK$440,'All Girls &amp; Descendants - Edit'!AE$1,FALSE)))</f>
        <v>Beryl Mary Loyd APPS (1925 - )</v>
      </c>
      <c r="AF388" s="3" t="str">
        <f>IF(VLOOKUP($C388,'All Girls &amp; Descendants - Edit'!$C$2:$AK$440,'All Girls &amp; Descendants - Edit'!AF$1,FALSE)=""," - ",(VLOOKUP($C388,'All Girls &amp; Descendants - Edit'!$C$2:$AK$440,'All Girls &amp; Descendants - Edit'!AF$1,FALSE)))</f>
        <v>Beryl APPS (6th &amp; 2)</v>
      </c>
      <c r="AG388" s="3" t="str">
        <f>IF(VLOOKUP($C388,'All Girls &amp; Descendants - Edit'!$C$2:$AK$440,'All Girls &amp; Descendants - Edit'!AG$1,FALSE)=""," - ",(VLOOKUP($C388,'All Girls &amp; Descendants - Edit'!$C$2:$AK$440,'All Girls &amp; Descendants - Edit'!AG$1,FALSE)))</f>
        <v>Female</v>
      </c>
      <c r="AH388" s="3" t="str">
        <f>IF(VLOOKUP($C388,'All Girls &amp; Descendants - Edit'!$C$2:$AK$440,'All Girls &amp; Descendants - Edit'!AH$1,FALSE)=""," - ",(VLOOKUP($C388,'All Girls &amp; Descendants - Edit'!$C$2:$AK$440,'All Girls &amp; Descendants - Edit'!AH$1,FALSE)))</f>
        <v>6th</v>
      </c>
      <c r="AI388" s="3" t="str">
        <f>IF(VLOOKUP($C388,'All Girls &amp; Descendants - Edit'!$C$2:$AK$440,'All Girls &amp; Descendants - Edit'!AI$1,FALSE)=""," - ",(VLOOKUP($C388,'All Girls &amp; Descendants - Edit'!$C$2:$AK$440,'All Girls &amp; Descendants - Edit'!AI$1,FALSE)))</f>
        <v>Husband: Ian George Greensmith RANDERSON (b.1930). Married at St Jude's, Portsea, Hampshire. Ian son of George Oswald RANDERSON.</v>
      </c>
      <c r="AJ388" s="3" t="str">
        <f>IF(VLOOKUP($C388,'All Girls &amp; Descendants - Edit'!$C$2:$AK$440,'All Girls &amp; Descendants - Edit'!AJ$1,FALSE)=""," - ",(VLOOKUP($C388,'All Girls &amp; Descendants - Edit'!$C$2:$AK$440,'All Girls &amp; Descendants - Edit'!AJ$1,FALSE)))</f>
        <v>Female. b. 20/12/1925</v>
      </c>
      <c r="AK388" s="3" t="str">
        <f>IF(VLOOKUP($C388,'All Girls &amp; Descendants - Edit'!$C$2:$AK$440,'All Girls &amp; Descendants - Edit'!AK$1,FALSE)=""," - ",(VLOOKUP($C388,'All Girls &amp; Descendants - Edit'!$C$2:$AK$440,'All Girls &amp; Descendants - Edit'!AK$1,FALSE)))</f>
        <v>b. 20/12/1925</v>
      </c>
    </row>
    <row r="389" spans="1:37" ht="19">
      <c r="A389">
        <f>VLOOKUP(B389,'Loyd List 1-190 - Edit'!$P$1:$R$219,3,FALSE)</f>
        <v>8</v>
      </c>
      <c r="B389">
        <f>'All Girls &amp; Descendants - Edit'!B390</f>
        <v>18</v>
      </c>
      <c r="C389" s="98" t="str">
        <f>'All Girls &amp; Descendants - Edit'!C390</f>
        <v>18bbaaa</v>
      </c>
      <c r="D389" s="2" t="str">
        <f>'All Girls &amp; Descendants - Edit'!D390</f>
        <v>RAMSAY</v>
      </c>
      <c r="E389" t="str">
        <f>'All Girls &amp; Descendants - Edit'!E390</f>
        <v>Gilbert</v>
      </c>
      <c r="F389" t="str">
        <f>IF('All Girls &amp; Descendants - Edit'!F390="","",'All Girls &amp; Descendants - Edit'!F390)</f>
        <v>Aubrey</v>
      </c>
      <c r="G389" t="str">
        <f>IF('All Girls &amp; Descendants - Edit'!G390="","",'All Girls &amp; Descendants - Edit'!G390)</f>
        <v>Warner</v>
      </c>
      <c r="H389" t="str">
        <f>IF('All Girls &amp; Descendants - Edit'!H390="","",'All Girls &amp; Descendants - Edit'!H390)</f>
        <v/>
      </c>
      <c r="I389">
        <f>VLOOKUP($C389,'All Girls &amp; Descendants - Edit'!$C$2:$AK$440,'All Girls &amp; Descendants - Edit'!I$1,FALSE)</f>
        <v>1980</v>
      </c>
      <c r="J389" t="str">
        <f>VLOOKUP($C389,'All Girls &amp; Descendants - Edit'!$C$2:$AK$440,'All Girls &amp; Descendants - Edit'!J$1,FALSE)</f>
        <v/>
      </c>
      <c r="K389" s="9"/>
      <c r="L389" t="str">
        <f t="shared" si="39"/>
        <v>24/09/1980</v>
      </c>
      <c r="M389" s="3">
        <f>VLOOKUP($C389,'All Girls &amp; Descendants - Edit'!$C$2:$AK$440,'All Girls &amp; Descendants - Edit'!M$1,FALSE)</f>
        <v>29488</v>
      </c>
      <c r="N389" s="3" t="str">
        <f>IF(VLOOKUP($C389,'All Girls &amp; Descendants - Edit'!$C$2:$AK$440,'All Girls &amp; Descendants - Edit'!N$1,FALSE)=""," - ",(VLOOKUP($C389,'All Girls &amp; Descendants - Edit'!$C$2:$AK$440,'All Girls &amp; Descendants - Edit'!N$1,FALSE)))</f>
        <v xml:space="preserve"> - </v>
      </c>
      <c r="O389" s="3" t="str">
        <f>IF(VLOOKUP($C389,'All Girls &amp; Descendants - Edit'!$C$2:$AK$440,'All Girls &amp; Descendants - Edit'!O$1,FALSE)="","",(VLOOKUP($C389,'All Girls &amp; Descendants - Edit'!$C$2:$AK$440,'All Girls &amp; Descendants - Edit'!O$1,FALSE)))</f>
        <v/>
      </c>
      <c r="P389" s="3" t="str">
        <f t="shared" si="40"/>
        <v/>
      </c>
      <c r="Q389" s="178" t="str">
        <f t="shared" si="41"/>
        <v>18bbaa</v>
      </c>
      <c r="R389" s="23"/>
      <c r="S389" t="str">
        <f>VLOOKUP($C389,'All Girls &amp; Descendants - Edit'!$C$2:$AK$440,'All Girls &amp; Descendants - Edit'!S$1,FALSE)</f>
        <v>Male</v>
      </c>
      <c r="T389" s="176">
        <f t="shared" si="45"/>
        <v>7</v>
      </c>
      <c r="U389" s="176">
        <f t="shared" si="42"/>
        <v>7</v>
      </c>
      <c r="V389" s="176">
        <f t="shared" si="43"/>
        <v>2</v>
      </c>
      <c r="W389" s="177">
        <f t="shared" si="44"/>
        <v>5</v>
      </c>
      <c r="X389" s="3" t="str">
        <f>IF(VLOOKUP($C389,'All Girls &amp; Descendants - Edit'!$C$2:$AK$440,'All Girls &amp; Descendants - Edit'!X$1,FALSE)=""," - ",(VLOOKUP($C389,'All Girls &amp; Descendants - Edit'!$C$2:$AK$440,'All Girls &amp; Descendants - Edit'!X$1,FALSE)))</f>
        <v xml:space="preserve"> - </v>
      </c>
      <c r="Y389" s="3" t="str">
        <f>IF(VLOOKUP($C389,'All Girls &amp; Descendants - Edit'!$C$2:$AK$440,'All Girls &amp; Descendants - Edit'!Y$1,FALSE)=""," - ",(VLOOKUP($C389,'All Girls &amp; Descendants - Edit'!$C$2:$AK$440,'All Girls &amp; Descendants - Edit'!Y$1,FALSE)))</f>
        <v xml:space="preserve"> - </v>
      </c>
      <c r="Z389" s="3" t="str">
        <f>IF(VLOOKUP($C389,'All Girls &amp; Descendants - Edit'!$C$2:$AK$440,'All Girls &amp; Descendants - Edit'!Z$1,FALSE)=""," - ",(VLOOKUP($C389,'All Girls &amp; Descendants - Edit'!$C$2:$AK$440,'All Girls &amp; Descendants - Edit'!Z$1,FALSE)))</f>
        <v>Educated Trinity College, Glenalmond and Christchurch, Oxford.</v>
      </c>
      <c r="AA389" s="101">
        <f>IF(VLOOKUP($C389,'All Girls &amp; Descendants - Edit'!$C$2:$AK$440,'All Girls &amp; Descendants - Edit'!AA$1,FALSE)=""," - ",(VLOOKUP($C389,'All Girls &amp; Descendants - Edit'!$C$2:$AK$440,'All Girls &amp; Descendants - Edit'!AA$1,FALSE)))</f>
        <v>29</v>
      </c>
      <c r="AB389" s="101">
        <f>IF(VLOOKUP($C389,'All Girls &amp; Descendants - Edit'!$C$2:$AK$440,'All Girls &amp; Descendants - Edit'!AB$1,FALSE)=""," - ",(VLOOKUP($C389,'All Girls &amp; Descendants - Edit'!$C$2:$AK$440,'All Girls &amp; Descendants - Edit'!AB$1,FALSE)))</f>
        <v>4</v>
      </c>
      <c r="AC389" s="101">
        <f>IF(VLOOKUP($C389,'All Girls &amp; Descendants - Edit'!$C$2:$AK$440,'All Girls &amp; Descendants - Edit'!AC$1,FALSE)=""," - ",(VLOOKUP($C389,'All Girls &amp; Descendants - Edit'!$C$2:$AK$440,'All Girls &amp; Descendants - Edit'!AC$1,FALSE)))</f>
        <v>5004</v>
      </c>
      <c r="AD389" s="3" t="str">
        <f>IF(VLOOKUP($C389,'All Girls &amp; Descendants - Edit'!$C$2:$AK$440,'All Girls &amp; Descendants - Edit'!AD$1,FALSE)=""," - ",(VLOOKUP($C389,'All Girls &amp; Descendants - Edit'!$C$2:$AK$440,'All Girls &amp; Descendants - Edit'!AD$1,FALSE)))</f>
        <v>18bbaaa</v>
      </c>
      <c r="AE389" s="3" t="str">
        <f>IF(VLOOKUP($C389,'All Girls &amp; Descendants - Edit'!$C$2:$AK$440,'All Girls &amp; Descendants - Edit'!AE$1,FALSE)=""," - ",(VLOOKUP($C389,'All Girls &amp; Descendants - Edit'!$C$2:$AK$440,'All Girls &amp; Descendants - Edit'!AE$1,FALSE)))</f>
        <v>Gilbert Aubrey Warner RAMSAY (1980 - )</v>
      </c>
      <c r="AF389" s="3" t="str">
        <f>IF(VLOOKUP($C389,'All Girls &amp; Descendants - Edit'!$C$2:$AK$440,'All Girls &amp; Descendants - Edit'!AF$1,FALSE)=""," - ",(VLOOKUP($C389,'All Girls &amp; Descendants - Edit'!$C$2:$AK$440,'All Girls &amp; Descendants - Edit'!AF$1,FALSE)))</f>
        <v>Gilbert RAMSAY (7th &amp; 18)</v>
      </c>
      <c r="AG389" s="3" t="str">
        <f>IF(VLOOKUP($C389,'All Girls &amp; Descendants - Edit'!$C$2:$AK$440,'All Girls &amp; Descendants - Edit'!AG$1,FALSE)=""," - ",(VLOOKUP($C389,'All Girls &amp; Descendants - Edit'!$C$2:$AK$440,'All Girls &amp; Descendants - Edit'!AG$1,FALSE)))</f>
        <v>Male</v>
      </c>
      <c r="AH389" s="3" t="str">
        <f>IF(VLOOKUP($C389,'All Girls &amp; Descendants - Edit'!$C$2:$AK$440,'All Girls &amp; Descendants - Edit'!AH$1,FALSE)=""," - ",(VLOOKUP($C389,'All Girls &amp; Descendants - Edit'!$C$2:$AK$440,'All Girls &amp; Descendants - Edit'!AH$1,FALSE)))</f>
        <v>7th</v>
      </c>
      <c r="AI389" s="3" t="str">
        <f>IF(VLOOKUP($C389,'All Girls &amp; Descendants - Edit'!$C$2:$AK$440,'All Girls &amp; Descendants - Edit'!AI$1,FALSE)=""," - ",(VLOOKUP($C389,'All Girls &amp; Descendants - Edit'!$C$2:$AK$440,'All Girls &amp; Descendants - Edit'!AI$1,FALSE)))</f>
        <v>Unmarried</v>
      </c>
      <c r="AJ389" s="3" t="str">
        <f>IF(VLOOKUP($C389,'All Girls &amp; Descendants - Edit'!$C$2:$AK$440,'All Girls &amp; Descendants - Edit'!AJ$1,FALSE)=""," - ",(VLOOKUP($C389,'All Girls &amp; Descendants - Edit'!$C$2:$AK$440,'All Girls &amp; Descendants - Edit'!AJ$1,FALSE)))</f>
        <v>Male. b. 24/09/1980 Educated Trinity College, Glenalmond and Christchurch, Oxford.</v>
      </c>
      <c r="AK389" s="3" t="str">
        <f>IF(VLOOKUP($C389,'All Girls &amp; Descendants - Edit'!$C$2:$AK$440,'All Girls &amp; Descendants - Edit'!AK$1,FALSE)=""," - ",(VLOOKUP($C389,'All Girls &amp; Descendants - Edit'!$C$2:$AK$440,'All Girls &amp; Descendants - Edit'!AK$1,FALSE)))</f>
        <v>b. 24/09/1980</v>
      </c>
    </row>
    <row r="390" spans="1:37" ht="19">
      <c r="A390">
        <f>VLOOKUP(B390,'Loyd List 1-190 - Edit'!$P$1:$R$219,3,FALSE)</f>
        <v>8</v>
      </c>
      <c r="B390">
        <f>'All Girls &amp; Descendants - Edit'!B391</f>
        <v>18</v>
      </c>
      <c r="C390" s="98" t="str">
        <f>'All Girls &amp; Descendants - Edit'!C391</f>
        <v>18bbaab</v>
      </c>
      <c r="D390" s="2" t="str">
        <f>'All Girls &amp; Descendants - Edit'!D391</f>
        <v>RAMSAY</v>
      </c>
      <c r="E390" t="str">
        <f>'All Girls &amp; Descendants - Edit'!E391</f>
        <v>Sophie</v>
      </c>
      <c r="F390" t="str">
        <f>IF('All Girls &amp; Descendants - Edit'!F391="","",'All Girls &amp; Descendants - Edit'!F391)</f>
        <v>Charlotte</v>
      </c>
      <c r="G390" t="str">
        <f>IF('All Girls &amp; Descendants - Edit'!G391="","",'All Girls &amp; Descendants - Edit'!G391)</f>
        <v/>
      </c>
      <c r="H390" t="str">
        <f>IF('All Girls &amp; Descendants - Edit'!H391="","",'All Girls &amp; Descendants - Edit'!H391)</f>
        <v/>
      </c>
      <c r="I390">
        <f>VLOOKUP($C390,'All Girls &amp; Descendants - Edit'!$C$2:$AK$440,'All Girls &amp; Descendants - Edit'!I$1,FALSE)</f>
        <v>1982</v>
      </c>
      <c r="J390" t="str">
        <f>VLOOKUP($C390,'All Girls &amp; Descendants - Edit'!$C$2:$AK$440,'All Girls &amp; Descendants - Edit'!J$1,FALSE)</f>
        <v/>
      </c>
      <c r="K390" s="9"/>
      <c r="L390" t="str">
        <f t="shared" si="39"/>
        <v>30/11/1982</v>
      </c>
      <c r="M390" s="3" t="str">
        <f>VLOOKUP($C390,'All Girls &amp; Descendants - Edit'!$C$2:$AK$440,'All Girls &amp; Descendants - Edit'!M$1,FALSE)</f>
        <v>30/11/1982</v>
      </c>
      <c r="N390" s="3" t="str">
        <f>IF(VLOOKUP($C390,'All Girls &amp; Descendants - Edit'!$C$2:$AK$440,'All Girls &amp; Descendants - Edit'!N$1,FALSE)=""," - ",(VLOOKUP($C390,'All Girls &amp; Descendants - Edit'!$C$2:$AK$440,'All Girls &amp; Descendants - Edit'!N$1,FALSE)))</f>
        <v xml:space="preserve"> - </v>
      </c>
      <c r="O390" s="3" t="str">
        <f>IF(VLOOKUP($C390,'All Girls &amp; Descendants - Edit'!$C$2:$AK$440,'All Girls &amp; Descendants - Edit'!O$1,FALSE)="","",(VLOOKUP($C390,'All Girls &amp; Descendants - Edit'!$C$2:$AK$440,'All Girls &amp; Descendants - Edit'!O$1,FALSE)))</f>
        <v/>
      </c>
      <c r="P390" s="3" t="str">
        <f t="shared" si="40"/>
        <v/>
      </c>
      <c r="Q390" s="178" t="str">
        <f t="shared" si="41"/>
        <v>18bbaa</v>
      </c>
      <c r="R390" s="23"/>
      <c r="S390" t="str">
        <f>VLOOKUP($C390,'All Girls &amp; Descendants - Edit'!$C$2:$AK$440,'All Girls &amp; Descendants - Edit'!S$1,FALSE)</f>
        <v>Female</v>
      </c>
      <c r="T390" s="176">
        <f t="shared" si="45"/>
        <v>7</v>
      </c>
      <c r="U390" s="176">
        <f t="shared" si="42"/>
        <v>7</v>
      </c>
      <c r="V390" s="176">
        <f t="shared" si="43"/>
        <v>2</v>
      </c>
      <c r="W390" s="177">
        <f t="shared" si="44"/>
        <v>5</v>
      </c>
      <c r="X390" s="3" t="str">
        <f>IF(VLOOKUP($C390,'All Girls &amp; Descendants - Edit'!$C$2:$AK$440,'All Girls &amp; Descendants - Edit'!X$1,FALSE)=""," - ",(VLOOKUP($C390,'All Girls &amp; Descendants - Edit'!$C$2:$AK$440,'All Girls &amp; Descendants - Edit'!X$1,FALSE)))</f>
        <v xml:space="preserve"> - </v>
      </c>
      <c r="Y390" s="3" t="str">
        <f>IF(VLOOKUP($C390,'All Girls &amp; Descendants - Edit'!$C$2:$AK$440,'All Girls &amp; Descendants - Edit'!Y$1,FALSE)=""," - ",(VLOOKUP($C390,'All Girls &amp; Descendants - Edit'!$C$2:$AK$440,'All Girls &amp; Descendants - Edit'!Y$1,FALSE)))</f>
        <v xml:space="preserve"> - </v>
      </c>
      <c r="Z390" s="3" t="str">
        <f>IF(VLOOKUP($C390,'All Girls &amp; Descendants - Edit'!$C$2:$AK$440,'All Girls &amp; Descendants - Edit'!Z$1,FALSE)=""," - ",(VLOOKUP($C390,'All Girls &amp; Descendants - Edit'!$C$2:$AK$440,'All Girls &amp; Descendants - Edit'!Z$1,FALSE)))</f>
        <v>Educated Trinity College, Glenalmond.</v>
      </c>
      <c r="AA390" s="101">
        <f>IF(VLOOKUP($C390,'All Girls &amp; Descendants - Edit'!$C$2:$AK$440,'All Girls &amp; Descendants - Edit'!AA$1,FALSE)=""," - ",(VLOOKUP($C390,'All Girls &amp; Descendants - Edit'!$C$2:$AK$440,'All Girls &amp; Descendants - Edit'!AA$1,FALSE)))</f>
        <v>30</v>
      </c>
      <c r="AB390" s="101">
        <f>IF(VLOOKUP($C390,'All Girls &amp; Descendants - Edit'!$C$2:$AK$440,'All Girls &amp; Descendants - Edit'!AB$1,FALSE)=""," - ",(VLOOKUP($C390,'All Girls &amp; Descendants - Edit'!$C$2:$AK$440,'All Girls &amp; Descendants - Edit'!AB$1,FALSE)))</f>
        <v>5</v>
      </c>
      <c r="AC390" s="101">
        <f>IF(VLOOKUP($C390,'All Girls &amp; Descendants - Edit'!$C$2:$AK$440,'All Girls &amp; Descendants - Edit'!AC$1,FALSE)=""," - ",(VLOOKUP($C390,'All Girls &amp; Descendants - Edit'!$C$2:$AK$440,'All Girls &amp; Descendants - Edit'!AC$1,FALSE)))</f>
        <v>5005</v>
      </c>
      <c r="AD390" s="3" t="str">
        <f>IF(VLOOKUP($C390,'All Girls &amp; Descendants - Edit'!$C$2:$AK$440,'All Girls &amp; Descendants - Edit'!AD$1,FALSE)=""," - ",(VLOOKUP($C390,'All Girls &amp; Descendants - Edit'!$C$2:$AK$440,'All Girls &amp; Descendants - Edit'!AD$1,FALSE)))</f>
        <v>18bbaab</v>
      </c>
      <c r="AE390" s="3" t="str">
        <f>IF(VLOOKUP($C390,'All Girls &amp; Descendants - Edit'!$C$2:$AK$440,'All Girls &amp; Descendants - Edit'!AE$1,FALSE)=""," - ",(VLOOKUP($C390,'All Girls &amp; Descendants - Edit'!$C$2:$AK$440,'All Girls &amp; Descendants - Edit'!AE$1,FALSE)))</f>
        <v>Sophie Charlotte  RAMSAY (1982 - )</v>
      </c>
      <c r="AF390" s="3" t="str">
        <f>IF(VLOOKUP($C390,'All Girls &amp; Descendants - Edit'!$C$2:$AK$440,'All Girls &amp; Descendants - Edit'!AF$1,FALSE)=""," - ",(VLOOKUP($C390,'All Girls &amp; Descendants - Edit'!$C$2:$AK$440,'All Girls &amp; Descendants - Edit'!AF$1,FALSE)))</f>
        <v>Sophie RAMSAY (7th &amp; 18)</v>
      </c>
      <c r="AG390" s="3" t="str">
        <f>IF(VLOOKUP($C390,'All Girls &amp; Descendants - Edit'!$C$2:$AK$440,'All Girls &amp; Descendants - Edit'!AG$1,FALSE)=""," - ",(VLOOKUP($C390,'All Girls &amp; Descendants - Edit'!$C$2:$AK$440,'All Girls &amp; Descendants - Edit'!AG$1,FALSE)))</f>
        <v>Female</v>
      </c>
      <c r="AH390" s="3" t="str">
        <f>IF(VLOOKUP($C390,'All Girls &amp; Descendants - Edit'!$C$2:$AK$440,'All Girls &amp; Descendants - Edit'!AH$1,FALSE)=""," - ",(VLOOKUP($C390,'All Girls &amp; Descendants - Edit'!$C$2:$AK$440,'All Girls &amp; Descendants - Edit'!AH$1,FALSE)))</f>
        <v>7th</v>
      </c>
      <c r="AI390" s="3" t="str">
        <f>IF(VLOOKUP($C390,'All Girls &amp; Descendants - Edit'!$C$2:$AK$440,'All Girls &amp; Descendants - Edit'!AI$1,FALSE)=""," - ",(VLOOKUP($C390,'All Girls &amp; Descendants - Edit'!$C$2:$AK$440,'All Girls &amp; Descendants - Edit'!AI$1,FALSE)))</f>
        <v>Unmarried</v>
      </c>
      <c r="AJ390" s="3" t="str">
        <f>IF(VLOOKUP($C390,'All Girls &amp; Descendants - Edit'!$C$2:$AK$440,'All Girls &amp; Descendants - Edit'!AJ$1,FALSE)=""," - ",(VLOOKUP($C390,'All Girls &amp; Descendants - Edit'!$C$2:$AK$440,'All Girls &amp; Descendants - Edit'!AJ$1,FALSE)))</f>
        <v>Female. b. 30/11/1982 Educated Trinity College, Glenalmond.</v>
      </c>
      <c r="AK390" s="3" t="str">
        <f>IF(VLOOKUP($C390,'All Girls &amp; Descendants - Edit'!$C$2:$AK$440,'All Girls &amp; Descendants - Edit'!AK$1,FALSE)=""," - ",(VLOOKUP($C390,'All Girls &amp; Descendants - Edit'!$C$2:$AK$440,'All Girls &amp; Descendants - Edit'!AK$1,FALSE)))</f>
        <v>b. 30/11/1982</v>
      </c>
    </row>
    <row r="391" spans="1:37" ht="19">
      <c r="A391">
        <f>VLOOKUP(B391,'Loyd List 1-190 - Edit'!$P$1:$R$219,3,FALSE)</f>
        <v>8</v>
      </c>
      <c r="B391">
        <f>'All Girls &amp; Descendants - Edit'!B392</f>
        <v>18</v>
      </c>
      <c r="C391" s="98" t="str">
        <f>'All Girls &amp; Descendants - Edit'!C392</f>
        <v>18bbaac</v>
      </c>
      <c r="D391" s="2" t="str">
        <f>'All Girls &amp; Descendants - Edit'!D392</f>
        <v>RAMSAY</v>
      </c>
      <c r="E391" t="str">
        <f>'All Girls &amp; Descendants - Edit'!E392</f>
        <v>Adam</v>
      </c>
      <c r="F391" t="str">
        <f>IF('All Girls &amp; Descendants - Edit'!F392="","",'All Girls &amp; Descendants - Edit'!F392)</f>
        <v>Alexander</v>
      </c>
      <c r="G391" t="str">
        <f>IF('All Girls &amp; Descendants - Edit'!G392="","",'All Girls &amp; Descendants - Edit'!G392)</f>
        <v/>
      </c>
      <c r="H391" t="str">
        <f>IF('All Girls &amp; Descendants - Edit'!H392="","",'All Girls &amp; Descendants - Edit'!H392)</f>
        <v/>
      </c>
      <c r="I391">
        <f>VLOOKUP($C391,'All Girls &amp; Descendants - Edit'!$C$2:$AK$440,'All Girls &amp; Descendants - Edit'!I$1,FALSE)</f>
        <v>1985</v>
      </c>
      <c r="J391" t="str">
        <f>VLOOKUP($C391,'All Girls &amp; Descendants - Edit'!$C$2:$AK$440,'All Girls &amp; Descendants - Edit'!J$1,FALSE)</f>
        <v/>
      </c>
      <c r="K391" s="9"/>
      <c r="L391" t="str">
        <f t="shared" si="39"/>
        <v>09/07/1985</v>
      </c>
      <c r="M391" s="3" t="str">
        <f>VLOOKUP($C391,'All Girls &amp; Descendants - Edit'!$C$2:$AK$440,'All Girls &amp; Descendants - Edit'!M$1,FALSE)</f>
        <v>09/07/1985</v>
      </c>
      <c r="N391" s="3" t="str">
        <f>IF(VLOOKUP($C391,'All Girls &amp; Descendants - Edit'!$C$2:$AK$440,'All Girls &amp; Descendants - Edit'!N$1,FALSE)=""," - ",(VLOOKUP($C391,'All Girls &amp; Descendants - Edit'!$C$2:$AK$440,'All Girls &amp; Descendants - Edit'!N$1,FALSE)))</f>
        <v xml:space="preserve"> - </v>
      </c>
      <c r="O391" s="3" t="str">
        <f>IF(VLOOKUP($C391,'All Girls &amp; Descendants - Edit'!$C$2:$AK$440,'All Girls &amp; Descendants - Edit'!O$1,FALSE)="","",(VLOOKUP($C391,'All Girls &amp; Descendants - Edit'!$C$2:$AK$440,'All Girls &amp; Descendants - Edit'!O$1,FALSE)))</f>
        <v/>
      </c>
      <c r="P391" s="3" t="str">
        <f t="shared" si="40"/>
        <v/>
      </c>
      <c r="Q391" s="178" t="str">
        <f t="shared" si="41"/>
        <v>18bbaa</v>
      </c>
      <c r="R391" s="23"/>
      <c r="S391" t="str">
        <f>VLOOKUP($C391,'All Girls &amp; Descendants - Edit'!$C$2:$AK$440,'All Girls &amp; Descendants - Edit'!S$1,FALSE)</f>
        <v>Male</v>
      </c>
      <c r="T391" s="176">
        <f t="shared" si="45"/>
        <v>7</v>
      </c>
      <c r="U391" s="176">
        <f t="shared" si="42"/>
        <v>7</v>
      </c>
      <c r="V391" s="176">
        <f t="shared" si="43"/>
        <v>2</v>
      </c>
      <c r="W391" s="177">
        <f t="shared" si="44"/>
        <v>5</v>
      </c>
      <c r="X391" s="3" t="str">
        <f>IF(VLOOKUP($C391,'All Girls &amp; Descendants - Edit'!$C$2:$AK$440,'All Girls &amp; Descendants - Edit'!X$1,FALSE)=""," - ",(VLOOKUP($C391,'All Girls &amp; Descendants - Edit'!$C$2:$AK$440,'All Girls &amp; Descendants - Edit'!X$1,FALSE)))</f>
        <v xml:space="preserve"> - </v>
      </c>
      <c r="Y391" s="3" t="str">
        <f>IF(VLOOKUP($C391,'All Girls &amp; Descendants - Edit'!$C$2:$AK$440,'All Girls &amp; Descendants - Edit'!Y$1,FALSE)=""," - ",(VLOOKUP($C391,'All Girls &amp; Descendants - Edit'!$C$2:$AK$440,'All Girls &amp; Descendants - Edit'!Y$1,FALSE)))</f>
        <v xml:space="preserve"> - </v>
      </c>
      <c r="Z391" s="3" t="str">
        <f>IF(VLOOKUP($C391,'All Girls &amp; Descendants - Edit'!$C$2:$AK$440,'All Girls &amp; Descendants - Edit'!Z$1,FALSE)=""," - ",(VLOOKUP($C391,'All Girls &amp; Descendants - Edit'!$C$2:$AK$440,'All Girls &amp; Descendants - Edit'!Z$1,FALSE)))</f>
        <v>Educated Trinity College, Glenalmond.</v>
      </c>
      <c r="AA391" s="101">
        <f>IF(VLOOKUP($C391,'All Girls &amp; Descendants - Edit'!$C$2:$AK$440,'All Girls &amp; Descendants - Edit'!AA$1,FALSE)=""," - ",(VLOOKUP($C391,'All Girls &amp; Descendants - Edit'!$C$2:$AK$440,'All Girls &amp; Descendants - Edit'!AA$1,FALSE)))</f>
        <v>31</v>
      </c>
      <c r="AB391" s="101">
        <f>IF(VLOOKUP($C391,'All Girls &amp; Descendants - Edit'!$C$2:$AK$440,'All Girls &amp; Descendants - Edit'!AB$1,FALSE)=""," - ",(VLOOKUP($C391,'All Girls &amp; Descendants - Edit'!$C$2:$AK$440,'All Girls &amp; Descendants - Edit'!AB$1,FALSE)))</f>
        <v>6</v>
      </c>
      <c r="AC391" s="101">
        <f>IF(VLOOKUP($C391,'All Girls &amp; Descendants - Edit'!$C$2:$AK$440,'All Girls &amp; Descendants - Edit'!AC$1,FALSE)=""," - ",(VLOOKUP($C391,'All Girls &amp; Descendants - Edit'!$C$2:$AK$440,'All Girls &amp; Descendants - Edit'!AC$1,FALSE)))</f>
        <v>5006</v>
      </c>
      <c r="AD391" s="3" t="str">
        <f>IF(VLOOKUP($C391,'All Girls &amp; Descendants - Edit'!$C$2:$AK$440,'All Girls &amp; Descendants - Edit'!AD$1,FALSE)=""," - ",(VLOOKUP($C391,'All Girls &amp; Descendants - Edit'!$C$2:$AK$440,'All Girls &amp; Descendants - Edit'!AD$1,FALSE)))</f>
        <v>18bbaac</v>
      </c>
      <c r="AE391" s="3" t="str">
        <f>IF(VLOOKUP($C391,'All Girls &amp; Descendants - Edit'!$C$2:$AK$440,'All Girls &amp; Descendants - Edit'!AE$1,FALSE)=""," - ",(VLOOKUP($C391,'All Girls &amp; Descendants - Edit'!$C$2:$AK$440,'All Girls &amp; Descendants - Edit'!AE$1,FALSE)))</f>
        <v>Adam Alexander  RAMSAY (1985 - )</v>
      </c>
      <c r="AF391" s="3" t="str">
        <f>IF(VLOOKUP($C391,'All Girls &amp; Descendants - Edit'!$C$2:$AK$440,'All Girls &amp; Descendants - Edit'!AF$1,FALSE)=""," - ",(VLOOKUP($C391,'All Girls &amp; Descendants - Edit'!$C$2:$AK$440,'All Girls &amp; Descendants - Edit'!AF$1,FALSE)))</f>
        <v>Adam RAMSAY (7th &amp; 18)</v>
      </c>
      <c r="AG391" s="3" t="str">
        <f>IF(VLOOKUP($C391,'All Girls &amp; Descendants - Edit'!$C$2:$AK$440,'All Girls &amp; Descendants - Edit'!AG$1,FALSE)=""," - ",(VLOOKUP($C391,'All Girls &amp; Descendants - Edit'!$C$2:$AK$440,'All Girls &amp; Descendants - Edit'!AG$1,FALSE)))</f>
        <v>Male</v>
      </c>
      <c r="AH391" s="3" t="str">
        <f>IF(VLOOKUP($C391,'All Girls &amp; Descendants - Edit'!$C$2:$AK$440,'All Girls &amp; Descendants - Edit'!AH$1,FALSE)=""," - ",(VLOOKUP($C391,'All Girls &amp; Descendants - Edit'!$C$2:$AK$440,'All Girls &amp; Descendants - Edit'!AH$1,FALSE)))</f>
        <v>7th</v>
      </c>
      <c r="AI391" s="3" t="str">
        <f>IF(VLOOKUP($C391,'All Girls &amp; Descendants - Edit'!$C$2:$AK$440,'All Girls &amp; Descendants - Edit'!AI$1,FALSE)=""," - ",(VLOOKUP($C391,'All Girls &amp; Descendants - Edit'!$C$2:$AK$440,'All Girls &amp; Descendants - Edit'!AI$1,FALSE)))</f>
        <v>Unmarried</v>
      </c>
      <c r="AJ391" s="3" t="str">
        <f>IF(VLOOKUP($C391,'All Girls &amp; Descendants - Edit'!$C$2:$AK$440,'All Girls &amp; Descendants - Edit'!AJ$1,FALSE)=""," - ",(VLOOKUP($C391,'All Girls &amp; Descendants - Edit'!$C$2:$AK$440,'All Girls &amp; Descendants - Edit'!AJ$1,FALSE)))</f>
        <v>Male. b. 09/07/1985 Educated Trinity College, Glenalmond.</v>
      </c>
      <c r="AK391" s="3" t="str">
        <f>IF(VLOOKUP($C391,'All Girls &amp; Descendants - Edit'!$C$2:$AK$440,'All Girls &amp; Descendants - Edit'!AK$1,FALSE)=""," - ",(VLOOKUP($C391,'All Girls &amp; Descendants - Edit'!$C$2:$AK$440,'All Girls &amp; Descendants - Edit'!AK$1,FALSE)))</f>
        <v>b. 09/07/1985</v>
      </c>
    </row>
    <row r="392" spans="1:37" ht="19">
      <c r="A392">
        <f>VLOOKUP(B392,'Loyd List 1-190 - Edit'!$P$1:$R$219,3,FALSE)</f>
        <v>8</v>
      </c>
      <c r="B392">
        <f>'All Girls &amp; Descendants - Edit'!B393</f>
        <v>18</v>
      </c>
      <c r="C392" s="98" t="str">
        <f>'All Girls &amp; Descendants - Edit'!C393</f>
        <v>18bbaad</v>
      </c>
      <c r="D392" s="2" t="str">
        <f>'All Girls &amp; Descendants - Edit'!D393</f>
        <v>RAMSAY</v>
      </c>
      <c r="E392" t="str">
        <f>'All Girls &amp; Descendants - Edit'!E393</f>
        <v>George</v>
      </c>
      <c r="F392" t="str">
        <f>IF('All Girls &amp; Descendants - Edit'!F393="","",'All Girls &amp; Descendants - Edit'!F393)</f>
        <v>Finlay</v>
      </c>
      <c r="G392" t="str">
        <f>IF('All Girls &amp; Descendants - Edit'!G393="","",'All Girls &amp; Descendants - Edit'!G393)</f>
        <v/>
      </c>
      <c r="H392" t="str">
        <f>IF('All Girls &amp; Descendants - Edit'!H393="","",'All Girls &amp; Descendants - Edit'!H393)</f>
        <v/>
      </c>
      <c r="I392">
        <f>VLOOKUP($C392,'All Girls &amp; Descendants - Edit'!$C$2:$AK$440,'All Girls &amp; Descendants - Edit'!I$1,FALSE)</f>
        <v>1988</v>
      </c>
      <c r="J392" t="str">
        <f>VLOOKUP($C392,'All Girls &amp; Descendants - Edit'!$C$2:$AK$440,'All Girls &amp; Descendants - Edit'!J$1,FALSE)</f>
        <v/>
      </c>
      <c r="K392" s="9"/>
      <c r="L392" t="str">
        <f t="shared" si="39"/>
        <v>30/10/1988</v>
      </c>
      <c r="M392" s="3">
        <f>VLOOKUP($C392,'All Girls &amp; Descendants - Edit'!$C$2:$AK$440,'All Girls &amp; Descendants - Edit'!M$1,FALSE)</f>
        <v>32446</v>
      </c>
      <c r="N392" s="3" t="str">
        <f>IF(VLOOKUP($C392,'All Girls &amp; Descendants - Edit'!$C$2:$AK$440,'All Girls &amp; Descendants - Edit'!N$1,FALSE)=""," - ",(VLOOKUP($C392,'All Girls &amp; Descendants - Edit'!$C$2:$AK$440,'All Girls &amp; Descendants - Edit'!N$1,FALSE)))</f>
        <v xml:space="preserve"> - </v>
      </c>
      <c r="O392" s="3" t="str">
        <f>IF(VLOOKUP($C392,'All Girls &amp; Descendants - Edit'!$C$2:$AK$440,'All Girls &amp; Descendants - Edit'!O$1,FALSE)="","",(VLOOKUP($C392,'All Girls &amp; Descendants - Edit'!$C$2:$AK$440,'All Girls &amp; Descendants - Edit'!O$1,FALSE)))</f>
        <v/>
      </c>
      <c r="P392" s="3" t="str">
        <f t="shared" si="40"/>
        <v/>
      </c>
      <c r="Q392" s="178" t="str">
        <f t="shared" si="41"/>
        <v>18bbaa</v>
      </c>
      <c r="R392" s="23"/>
      <c r="S392" t="str">
        <f>VLOOKUP($C392,'All Girls &amp; Descendants - Edit'!$C$2:$AK$440,'All Girls &amp; Descendants - Edit'!S$1,FALSE)</f>
        <v>Male</v>
      </c>
      <c r="T392" s="176">
        <f t="shared" si="45"/>
        <v>7</v>
      </c>
      <c r="U392" s="176">
        <f t="shared" si="42"/>
        <v>7</v>
      </c>
      <c r="V392" s="176">
        <f t="shared" si="43"/>
        <v>2</v>
      </c>
      <c r="W392" s="177">
        <f t="shared" si="44"/>
        <v>5</v>
      </c>
      <c r="X392" s="3" t="str">
        <f>IF(VLOOKUP($C392,'All Girls &amp; Descendants - Edit'!$C$2:$AK$440,'All Girls &amp; Descendants - Edit'!X$1,FALSE)=""," - ",(VLOOKUP($C392,'All Girls &amp; Descendants - Edit'!$C$2:$AK$440,'All Girls &amp; Descendants - Edit'!X$1,FALSE)))</f>
        <v xml:space="preserve"> - </v>
      </c>
      <c r="Y392" s="3" t="str">
        <f>IF(VLOOKUP($C392,'All Girls &amp; Descendants - Edit'!$C$2:$AK$440,'All Girls &amp; Descendants - Edit'!Y$1,FALSE)=""," - ",(VLOOKUP($C392,'All Girls &amp; Descendants - Edit'!$C$2:$AK$440,'All Girls &amp; Descendants - Edit'!Y$1,FALSE)))</f>
        <v xml:space="preserve"> - </v>
      </c>
      <c r="Z392" s="3" t="str">
        <f>IF(VLOOKUP($C392,'All Girls &amp; Descendants - Edit'!$C$2:$AK$440,'All Girls &amp; Descendants - Edit'!Z$1,FALSE)=""," - ",(VLOOKUP($C392,'All Girls &amp; Descendants - Edit'!$C$2:$AK$440,'All Girls &amp; Descendants - Edit'!Z$1,FALSE)))</f>
        <v xml:space="preserve"> - </v>
      </c>
      <c r="AA392" s="101">
        <f>IF(VLOOKUP($C392,'All Girls &amp; Descendants - Edit'!$C$2:$AK$440,'All Girls &amp; Descendants - Edit'!AA$1,FALSE)=""," - ",(VLOOKUP($C392,'All Girls &amp; Descendants - Edit'!$C$2:$AK$440,'All Girls &amp; Descendants - Edit'!AA$1,FALSE)))</f>
        <v>32</v>
      </c>
      <c r="AB392" s="101">
        <f>IF(VLOOKUP($C392,'All Girls &amp; Descendants - Edit'!$C$2:$AK$440,'All Girls &amp; Descendants - Edit'!AB$1,FALSE)=""," - ",(VLOOKUP($C392,'All Girls &amp; Descendants - Edit'!$C$2:$AK$440,'All Girls &amp; Descendants - Edit'!AB$1,FALSE)))</f>
        <v>7</v>
      </c>
      <c r="AC392" s="101">
        <f>IF(VLOOKUP($C392,'All Girls &amp; Descendants - Edit'!$C$2:$AK$440,'All Girls &amp; Descendants - Edit'!AC$1,FALSE)=""," - ",(VLOOKUP($C392,'All Girls &amp; Descendants - Edit'!$C$2:$AK$440,'All Girls &amp; Descendants - Edit'!AC$1,FALSE)))</f>
        <v>5007</v>
      </c>
      <c r="AD392" s="3" t="str">
        <f>IF(VLOOKUP($C392,'All Girls &amp; Descendants - Edit'!$C$2:$AK$440,'All Girls &amp; Descendants - Edit'!AD$1,FALSE)=""," - ",(VLOOKUP($C392,'All Girls &amp; Descendants - Edit'!$C$2:$AK$440,'All Girls &amp; Descendants - Edit'!AD$1,FALSE)))</f>
        <v>18bbaad</v>
      </c>
      <c r="AE392" s="3" t="str">
        <f>IF(VLOOKUP($C392,'All Girls &amp; Descendants - Edit'!$C$2:$AK$440,'All Girls &amp; Descendants - Edit'!AE$1,FALSE)=""," - ",(VLOOKUP($C392,'All Girls &amp; Descendants - Edit'!$C$2:$AK$440,'All Girls &amp; Descendants - Edit'!AE$1,FALSE)))</f>
        <v>George Finlay  RAMSAY (1988 - )</v>
      </c>
      <c r="AF392" s="3" t="str">
        <f>IF(VLOOKUP($C392,'All Girls &amp; Descendants - Edit'!$C$2:$AK$440,'All Girls &amp; Descendants - Edit'!AF$1,FALSE)=""," - ",(VLOOKUP($C392,'All Girls &amp; Descendants - Edit'!$C$2:$AK$440,'All Girls &amp; Descendants - Edit'!AF$1,FALSE)))</f>
        <v>George RAMSAY (7th &amp; 18)</v>
      </c>
      <c r="AG392" s="3" t="str">
        <f>IF(VLOOKUP($C392,'All Girls &amp; Descendants - Edit'!$C$2:$AK$440,'All Girls &amp; Descendants - Edit'!AG$1,FALSE)=""," - ",(VLOOKUP($C392,'All Girls &amp; Descendants - Edit'!$C$2:$AK$440,'All Girls &amp; Descendants - Edit'!AG$1,FALSE)))</f>
        <v>Male</v>
      </c>
      <c r="AH392" s="3" t="str">
        <f>IF(VLOOKUP($C392,'All Girls &amp; Descendants - Edit'!$C$2:$AK$440,'All Girls &amp; Descendants - Edit'!AH$1,FALSE)=""," - ",(VLOOKUP($C392,'All Girls &amp; Descendants - Edit'!$C$2:$AK$440,'All Girls &amp; Descendants - Edit'!AH$1,FALSE)))</f>
        <v>7th</v>
      </c>
      <c r="AI392" s="3" t="str">
        <f>IF(VLOOKUP($C392,'All Girls &amp; Descendants - Edit'!$C$2:$AK$440,'All Girls &amp; Descendants - Edit'!AI$1,FALSE)=""," - ",(VLOOKUP($C392,'All Girls &amp; Descendants - Edit'!$C$2:$AK$440,'All Girls &amp; Descendants - Edit'!AI$1,FALSE)))</f>
        <v>Unmarried</v>
      </c>
      <c r="AJ392" s="3" t="str">
        <f>IF(VLOOKUP($C392,'All Girls &amp; Descendants - Edit'!$C$2:$AK$440,'All Girls &amp; Descendants - Edit'!AJ$1,FALSE)=""," - ",(VLOOKUP($C392,'All Girls &amp; Descendants - Edit'!$C$2:$AK$440,'All Girls &amp; Descendants - Edit'!AJ$1,FALSE)))</f>
        <v>Male. b. 30/10/1988</v>
      </c>
      <c r="AK392" s="3" t="str">
        <f>IF(VLOOKUP($C392,'All Girls &amp; Descendants - Edit'!$C$2:$AK$440,'All Girls &amp; Descendants - Edit'!AK$1,FALSE)=""," - ",(VLOOKUP($C392,'All Girls &amp; Descendants - Edit'!$C$2:$AK$440,'All Girls &amp; Descendants - Edit'!AK$1,FALSE)))</f>
        <v>b. 30/10/1988</v>
      </c>
    </row>
    <row r="393" spans="1:37" ht="19">
      <c r="A393">
        <f>VLOOKUP(B393,'Loyd List 1-190 - Edit'!$P$1:$R$219,3,FALSE)</f>
        <v>8</v>
      </c>
      <c r="B393">
        <f>'All Girls &amp; Descendants - Edit'!B394</f>
        <v>18</v>
      </c>
      <c r="C393" s="98" t="str">
        <f>'All Girls &amp; Descendants - Edit'!C394</f>
        <v>18bbaba</v>
      </c>
      <c r="D393" s="2" t="str">
        <f>'All Girls &amp; Descendants - Edit'!D394</f>
        <v>BERRY</v>
      </c>
      <c r="E393" t="str">
        <f>'All Girls &amp; Descendants - Edit'!E394</f>
        <v>John</v>
      </c>
      <c r="F393" t="str">
        <f>IF('All Girls &amp; Descendants - Edit'!F394="","",'All Girls &amp; Descendants - Edit'!F394)</f>
        <v/>
      </c>
      <c r="G393" t="str">
        <f>IF('All Girls &amp; Descendants - Edit'!G394="","",'All Girls &amp; Descendants - Edit'!G394)</f>
        <v/>
      </c>
      <c r="H393" t="str">
        <f>IF('All Girls &amp; Descendants - Edit'!H394="","",'All Girls &amp; Descendants - Edit'!H394)</f>
        <v/>
      </c>
      <c r="I393">
        <f>VLOOKUP($C393,'All Girls &amp; Descendants - Edit'!$C$2:$AK$440,'All Girls &amp; Descendants - Edit'!I$1,FALSE)</f>
        <v>1976</v>
      </c>
      <c r="J393" t="str">
        <f>VLOOKUP($C393,'All Girls &amp; Descendants - Edit'!$C$2:$AK$440,'All Girls &amp; Descendants - Edit'!J$1,FALSE)</f>
        <v/>
      </c>
      <c r="K393" s="9"/>
      <c r="L393" t="str">
        <f t="shared" si="39"/>
        <v>22/02/1976</v>
      </c>
      <c r="M393" s="3" t="str">
        <f>VLOOKUP($C393,'All Girls &amp; Descendants - Edit'!$C$2:$AK$440,'All Girls &amp; Descendants - Edit'!M$1,FALSE)</f>
        <v>22/02/1976</v>
      </c>
      <c r="N393" s="3" t="str">
        <f>IF(VLOOKUP($C393,'All Girls &amp; Descendants - Edit'!$C$2:$AK$440,'All Girls &amp; Descendants - Edit'!N$1,FALSE)=""," - ",(VLOOKUP($C393,'All Girls &amp; Descendants - Edit'!$C$2:$AK$440,'All Girls &amp; Descendants - Edit'!N$1,FALSE)))</f>
        <v xml:space="preserve"> - </v>
      </c>
      <c r="O393" s="3" t="str">
        <f>IF(VLOOKUP($C393,'All Girls &amp; Descendants - Edit'!$C$2:$AK$440,'All Girls &amp; Descendants - Edit'!O$1,FALSE)="","",(VLOOKUP($C393,'All Girls &amp; Descendants - Edit'!$C$2:$AK$440,'All Girls &amp; Descendants - Edit'!O$1,FALSE)))</f>
        <v/>
      </c>
      <c r="P393" s="3" t="str">
        <f t="shared" si="40"/>
        <v/>
      </c>
      <c r="Q393" s="178" t="str">
        <f t="shared" si="41"/>
        <v>18bbab</v>
      </c>
      <c r="R393" s="23"/>
      <c r="S393" t="str">
        <f>VLOOKUP($C393,'All Girls &amp; Descendants - Edit'!$C$2:$AK$440,'All Girls &amp; Descendants - Edit'!S$1,FALSE)</f>
        <v>Male</v>
      </c>
      <c r="T393" s="176">
        <f t="shared" si="45"/>
        <v>7</v>
      </c>
      <c r="U393" s="176">
        <f t="shared" si="42"/>
        <v>7</v>
      </c>
      <c r="V393" s="176">
        <f t="shared" si="43"/>
        <v>2</v>
      </c>
      <c r="W393" s="177">
        <f t="shared" si="44"/>
        <v>5</v>
      </c>
      <c r="X393" s="3" t="str">
        <f>IF(VLOOKUP($C393,'All Girls &amp; Descendants - Edit'!$C$2:$AK$440,'All Girls &amp; Descendants - Edit'!X$1,FALSE)=""," - ",(VLOOKUP($C393,'All Girls &amp; Descendants - Edit'!$C$2:$AK$440,'All Girls &amp; Descendants - Edit'!X$1,FALSE)))</f>
        <v>Dr Megan Louise BASTICK PhD.</v>
      </c>
      <c r="Y393" s="3" t="str">
        <f>IF(VLOOKUP($C393,'All Girls &amp; Descendants - Edit'!$C$2:$AK$440,'All Girls &amp; Descendants - Edit'!Y$1,FALSE)=""," - ",(VLOOKUP($C393,'All Girls &amp; Descendants - Edit'!$C$2:$AK$440,'All Girls &amp; Descendants - Edit'!Y$1,FALSE)))</f>
        <v>Married Megan on 29/12/2007 at Yellow Point, Tasmania, Australia.</v>
      </c>
      <c r="Z393" s="3" t="str">
        <f>IF(VLOOKUP($C393,'All Girls &amp; Descendants - Edit'!$C$2:$AK$440,'All Girls &amp; Descendants - Edit'!Z$1,FALSE)=""," - ",(VLOOKUP($C393,'All Girls &amp; Descendants - Edit'!$C$2:$AK$440,'All Girls &amp; Descendants - Edit'!Z$1,FALSE)))</f>
        <v>Educated Eton and Edinburgh University (MA Hons 1st class) and Oxford Brookes (MSc in Development Practice).</v>
      </c>
      <c r="AA393" s="101">
        <f>IF(VLOOKUP($C393,'All Girls &amp; Descendants - Edit'!$C$2:$AK$440,'All Girls &amp; Descendants - Edit'!AA$1,FALSE)=""," - ",(VLOOKUP($C393,'All Girls &amp; Descendants - Edit'!$C$2:$AK$440,'All Girls &amp; Descendants - Edit'!AA$1,FALSE)))</f>
        <v>34</v>
      </c>
      <c r="AB393" s="101">
        <f>IF(VLOOKUP($C393,'All Girls &amp; Descendants - Edit'!$C$2:$AK$440,'All Girls &amp; Descendants - Edit'!AB$1,FALSE)=""," - ",(VLOOKUP($C393,'All Girls &amp; Descendants - Edit'!$C$2:$AK$440,'All Girls &amp; Descendants - Edit'!AB$1,FALSE)))</f>
        <v>8</v>
      </c>
      <c r="AC393" s="101">
        <f>IF(VLOOKUP($C393,'All Girls &amp; Descendants - Edit'!$C$2:$AK$440,'All Girls &amp; Descendants - Edit'!AC$1,FALSE)=""," - ",(VLOOKUP($C393,'All Girls &amp; Descendants - Edit'!$C$2:$AK$440,'All Girls &amp; Descendants - Edit'!AC$1,FALSE)))</f>
        <v>5008</v>
      </c>
      <c r="AD393" s="3" t="str">
        <f>IF(VLOOKUP($C393,'All Girls &amp; Descendants - Edit'!$C$2:$AK$440,'All Girls &amp; Descendants - Edit'!AD$1,FALSE)=""," - ",(VLOOKUP($C393,'All Girls &amp; Descendants - Edit'!$C$2:$AK$440,'All Girls &amp; Descendants - Edit'!AD$1,FALSE)))</f>
        <v>18bbaba</v>
      </c>
      <c r="AE393" s="3" t="str">
        <f>IF(VLOOKUP($C393,'All Girls &amp; Descendants - Edit'!$C$2:$AK$440,'All Girls &amp; Descendants - Edit'!AE$1,FALSE)=""," - ",(VLOOKUP($C393,'All Girls &amp; Descendants - Edit'!$C$2:$AK$440,'All Girls &amp; Descendants - Edit'!AE$1,FALSE)))</f>
        <v>John   BERRY (1976 - )</v>
      </c>
      <c r="AF393" s="3" t="str">
        <f>IF(VLOOKUP($C393,'All Girls &amp; Descendants - Edit'!$C$2:$AK$440,'All Girls &amp; Descendants - Edit'!AF$1,FALSE)=""," - ",(VLOOKUP($C393,'All Girls &amp; Descendants - Edit'!$C$2:$AK$440,'All Girls &amp; Descendants - Edit'!AF$1,FALSE)))</f>
        <v>John BERRY (7th &amp; 18)</v>
      </c>
      <c r="AG393" s="3" t="str">
        <f>IF(VLOOKUP($C393,'All Girls &amp; Descendants - Edit'!$C$2:$AK$440,'All Girls &amp; Descendants - Edit'!AG$1,FALSE)=""," - ",(VLOOKUP($C393,'All Girls &amp; Descendants - Edit'!$C$2:$AK$440,'All Girls &amp; Descendants - Edit'!AG$1,FALSE)))</f>
        <v>Male</v>
      </c>
      <c r="AH393" s="3" t="str">
        <f>IF(VLOOKUP($C393,'All Girls &amp; Descendants - Edit'!$C$2:$AK$440,'All Girls &amp; Descendants - Edit'!AH$1,FALSE)=""," - ",(VLOOKUP($C393,'All Girls &amp; Descendants - Edit'!$C$2:$AK$440,'All Girls &amp; Descendants - Edit'!AH$1,FALSE)))</f>
        <v>7th</v>
      </c>
      <c r="AI393" s="3" t="str">
        <f>IF(VLOOKUP($C393,'All Girls &amp; Descendants - Edit'!$C$2:$AK$440,'All Girls &amp; Descendants - Edit'!AI$1,FALSE)=""," - ",(VLOOKUP($C393,'All Girls &amp; Descendants - Edit'!$C$2:$AK$440,'All Girls &amp; Descendants - Edit'!AI$1,FALSE)))</f>
        <v>Wife: Dr Megan Louise BASTICK PhD.. Married Megan on 29/12/2007 at Yellow Point, Tasmania, Australia.</v>
      </c>
      <c r="AJ393" s="3" t="str">
        <f>IF(VLOOKUP($C393,'All Girls &amp; Descendants - Edit'!$C$2:$AK$440,'All Girls &amp; Descendants - Edit'!AJ$1,FALSE)=""," - ",(VLOOKUP($C393,'All Girls &amp; Descendants - Edit'!$C$2:$AK$440,'All Girls &amp; Descendants - Edit'!AJ$1,FALSE)))</f>
        <v>Male. b. 22/02/1976 Educated Eton and Edinburgh University (MA Hons 1st class) and Oxford Brookes (MSc in Development Practice).</v>
      </c>
      <c r="AK393" s="3" t="str">
        <f>IF(VLOOKUP($C393,'All Girls &amp; Descendants - Edit'!$C$2:$AK$440,'All Girls &amp; Descendants - Edit'!AK$1,FALSE)=""," - ",(VLOOKUP($C393,'All Girls &amp; Descendants - Edit'!$C$2:$AK$440,'All Girls &amp; Descendants - Edit'!AK$1,FALSE)))</f>
        <v>b. 22/02/1976</v>
      </c>
    </row>
    <row r="394" spans="1:37" ht="19">
      <c r="A394">
        <f>VLOOKUP(B394,'Loyd List 1-190 - Edit'!$P$1:$R$219,3,FALSE)</f>
        <v>8</v>
      </c>
      <c r="B394">
        <f>'All Girls &amp; Descendants - Edit'!B395</f>
        <v>18</v>
      </c>
      <c r="C394" s="98" t="str">
        <f>'All Girls &amp; Descendants - Edit'!C395</f>
        <v>18bbabb</v>
      </c>
      <c r="D394" s="2" t="str">
        <f>'All Girls &amp; Descendants - Edit'!D395</f>
        <v>BERRY</v>
      </c>
      <c r="E394" t="str">
        <f>'All Girls &amp; Descendants - Edit'!E395</f>
        <v>Robert</v>
      </c>
      <c r="F394" t="str">
        <f>IF('All Girls &amp; Descendants - Edit'!F395="","",'All Girls &amp; Descendants - Edit'!F395)</f>
        <v/>
      </c>
      <c r="G394" t="str">
        <f>IF('All Girls &amp; Descendants - Edit'!G395="","",'All Girls &amp; Descendants - Edit'!G395)</f>
        <v/>
      </c>
      <c r="H394" t="str">
        <f>IF('All Girls &amp; Descendants - Edit'!H395="","",'All Girls &amp; Descendants - Edit'!H395)</f>
        <v/>
      </c>
      <c r="I394">
        <f>VLOOKUP($C394,'All Girls &amp; Descendants - Edit'!$C$2:$AK$440,'All Girls &amp; Descendants - Edit'!I$1,FALSE)</f>
        <v>1978</v>
      </c>
      <c r="J394" t="str">
        <f>VLOOKUP($C394,'All Girls &amp; Descendants - Edit'!$C$2:$AK$440,'All Girls &amp; Descendants - Edit'!J$1,FALSE)</f>
        <v/>
      </c>
      <c r="K394" s="9"/>
      <c r="L394" t="str">
        <f t="shared" si="39"/>
        <v>15/07/1978</v>
      </c>
      <c r="M394" s="3" t="str">
        <f>VLOOKUP($C394,'All Girls &amp; Descendants - Edit'!$C$2:$AK$440,'All Girls &amp; Descendants - Edit'!M$1,FALSE)</f>
        <v>15/07/1978</v>
      </c>
      <c r="N394" s="3" t="str">
        <f>IF(VLOOKUP($C394,'All Girls &amp; Descendants - Edit'!$C$2:$AK$440,'All Girls &amp; Descendants - Edit'!N$1,FALSE)=""," - ",(VLOOKUP($C394,'All Girls &amp; Descendants - Edit'!$C$2:$AK$440,'All Girls &amp; Descendants - Edit'!N$1,FALSE)))</f>
        <v xml:space="preserve"> - </v>
      </c>
      <c r="O394" s="3" t="str">
        <f>IF(VLOOKUP($C394,'All Girls &amp; Descendants - Edit'!$C$2:$AK$440,'All Girls &amp; Descendants - Edit'!O$1,FALSE)="","",(VLOOKUP($C394,'All Girls &amp; Descendants - Edit'!$C$2:$AK$440,'All Girls &amp; Descendants - Edit'!O$1,FALSE)))</f>
        <v/>
      </c>
      <c r="P394" s="3" t="str">
        <f t="shared" si="40"/>
        <v/>
      </c>
      <c r="Q394" s="178" t="str">
        <f t="shared" si="41"/>
        <v>18bbab</v>
      </c>
      <c r="R394" s="23"/>
      <c r="S394" t="str">
        <f>VLOOKUP($C394,'All Girls &amp; Descendants - Edit'!$C$2:$AK$440,'All Girls &amp; Descendants - Edit'!S$1,FALSE)</f>
        <v>Male</v>
      </c>
      <c r="T394" s="176">
        <f t="shared" si="45"/>
        <v>7</v>
      </c>
      <c r="U394" s="176">
        <f t="shared" si="42"/>
        <v>7</v>
      </c>
      <c r="V394" s="176">
        <f t="shared" si="43"/>
        <v>2</v>
      </c>
      <c r="W394" s="177">
        <f t="shared" si="44"/>
        <v>5</v>
      </c>
      <c r="X394" s="3" t="str">
        <f>IF(VLOOKUP($C394,'All Girls &amp; Descendants - Edit'!$C$2:$AK$440,'All Girls &amp; Descendants - Edit'!X$1,FALSE)=""," - ",(VLOOKUP($C394,'All Girls &amp; Descendants - Edit'!$C$2:$AK$440,'All Girls &amp; Descendants - Edit'!X$1,FALSE)))</f>
        <v>Catriona Hermione CAMPBELL.</v>
      </c>
      <c r="Y394" s="3" t="str">
        <f>IF(VLOOKUP($C394,'All Girls &amp; Descendants - Edit'!$C$2:$AK$440,'All Girls &amp; Descendants - Edit'!Y$1,FALSE)=""," - ",(VLOOKUP($C394,'All Girls &amp; Descendants - Edit'!$C$2:$AK$440,'All Girls &amp; Descendants - Edit'!Y$1,FALSE)))</f>
        <v>Married Catriona 12/04/2008 in Oban Argyll.</v>
      </c>
      <c r="Z394" s="3" t="str">
        <f>IF(VLOOKUP($C394,'All Girls &amp; Descendants - Edit'!$C$2:$AK$440,'All Girls &amp; Descendants - Edit'!Z$1,FALSE)=""," - ",(VLOOKUP($C394,'All Girls &amp; Descendants - Edit'!$C$2:$AK$440,'All Girls &amp; Descendants - Edit'!Z$1,FALSE)))</f>
        <v>Educated Fettes and Bristol University (BA Hons Music).</v>
      </c>
      <c r="AA394" s="101">
        <f>IF(VLOOKUP($C394,'All Girls &amp; Descendants - Edit'!$C$2:$AK$440,'All Girls &amp; Descendants - Edit'!AA$1,FALSE)=""," - ",(VLOOKUP($C394,'All Girls &amp; Descendants - Edit'!$C$2:$AK$440,'All Girls &amp; Descendants - Edit'!AA$1,FALSE)))</f>
        <v>35</v>
      </c>
      <c r="AB394" s="101">
        <f>IF(VLOOKUP($C394,'All Girls &amp; Descendants - Edit'!$C$2:$AK$440,'All Girls &amp; Descendants - Edit'!AB$1,FALSE)=""," - ",(VLOOKUP($C394,'All Girls &amp; Descendants - Edit'!$C$2:$AK$440,'All Girls &amp; Descendants - Edit'!AB$1,FALSE)))</f>
        <v>9</v>
      </c>
      <c r="AC394" s="101">
        <f>IF(VLOOKUP($C394,'All Girls &amp; Descendants - Edit'!$C$2:$AK$440,'All Girls &amp; Descendants - Edit'!AC$1,FALSE)=""," - ",(VLOOKUP($C394,'All Girls &amp; Descendants - Edit'!$C$2:$AK$440,'All Girls &amp; Descendants - Edit'!AC$1,FALSE)))</f>
        <v>5009</v>
      </c>
      <c r="AD394" s="3" t="str">
        <f>IF(VLOOKUP($C394,'All Girls &amp; Descendants - Edit'!$C$2:$AK$440,'All Girls &amp; Descendants - Edit'!AD$1,FALSE)=""," - ",(VLOOKUP($C394,'All Girls &amp; Descendants - Edit'!$C$2:$AK$440,'All Girls &amp; Descendants - Edit'!AD$1,FALSE)))</f>
        <v>18bbabb</v>
      </c>
      <c r="AE394" s="3" t="str">
        <f>IF(VLOOKUP($C394,'All Girls &amp; Descendants - Edit'!$C$2:$AK$440,'All Girls &amp; Descendants - Edit'!AE$1,FALSE)=""," - ",(VLOOKUP($C394,'All Girls &amp; Descendants - Edit'!$C$2:$AK$440,'All Girls &amp; Descendants - Edit'!AE$1,FALSE)))</f>
        <v>Robert   BERRY (1978 - )</v>
      </c>
      <c r="AF394" s="3" t="str">
        <f>IF(VLOOKUP($C394,'All Girls &amp; Descendants - Edit'!$C$2:$AK$440,'All Girls &amp; Descendants - Edit'!AF$1,FALSE)=""," - ",(VLOOKUP($C394,'All Girls &amp; Descendants - Edit'!$C$2:$AK$440,'All Girls &amp; Descendants - Edit'!AF$1,FALSE)))</f>
        <v>Robert BERRY (7th &amp; 18)</v>
      </c>
      <c r="AG394" s="3" t="str">
        <f>IF(VLOOKUP($C394,'All Girls &amp; Descendants - Edit'!$C$2:$AK$440,'All Girls &amp; Descendants - Edit'!AG$1,FALSE)=""," - ",(VLOOKUP($C394,'All Girls &amp; Descendants - Edit'!$C$2:$AK$440,'All Girls &amp; Descendants - Edit'!AG$1,FALSE)))</f>
        <v>Male</v>
      </c>
      <c r="AH394" s="3" t="str">
        <f>IF(VLOOKUP($C394,'All Girls &amp; Descendants - Edit'!$C$2:$AK$440,'All Girls &amp; Descendants - Edit'!AH$1,FALSE)=""," - ",(VLOOKUP($C394,'All Girls &amp; Descendants - Edit'!$C$2:$AK$440,'All Girls &amp; Descendants - Edit'!AH$1,FALSE)))</f>
        <v>7th</v>
      </c>
      <c r="AI394" s="3" t="str">
        <f>IF(VLOOKUP($C394,'All Girls &amp; Descendants - Edit'!$C$2:$AK$440,'All Girls &amp; Descendants - Edit'!AI$1,FALSE)=""," - ",(VLOOKUP($C394,'All Girls &amp; Descendants - Edit'!$C$2:$AK$440,'All Girls &amp; Descendants - Edit'!AI$1,FALSE)))</f>
        <v>Wife: Catriona Hermione CAMPBELL.. Married Catriona 12/04/2008 in Oban Argyll.</v>
      </c>
      <c r="AJ394" s="3" t="str">
        <f>IF(VLOOKUP($C394,'All Girls &amp; Descendants - Edit'!$C$2:$AK$440,'All Girls &amp; Descendants - Edit'!AJ$1,FALSE)=""," - ",(VLOOKUP($C394,'All Girls &amp; Descendants - Edit'!$C$2:$AK$440,'All Girls &amp; Descendants - Edit'!AJ$1,FALSE)))</f>
        <v>Male. b. 15/07/1978 Educated Fettes and Bristol University (BA Hons Music).</v>
      </c>
      <c r="AK394" s="3" t="str">
        <f>IF(VLOOKUP($C394,'All Girls &amp; Descendants - Edit'!$C$2:$AK$440,'All Girls &amp; Descendants - Edit'!AK$1,FALSE)=""," - ",(VLOOKUP($C394,'All Girls &amp; Descendants - Edit'!$C$2:$AK$440,'All Girls &amp; Descendants - Edit'!AK$1,FALSE)))</f>
        <v>b. 15/07/1978</v>
      </c>
    </row>
    <row r="395" spans="1:37" ht="19">
      <c r="A395">
        <f>VLOOKUP(B395,'Loyd List 1-190 - Edit'!$P$1:$R$219,3,FALSE)</f>
        <v>8</v>
      </c>
      <c r="B395">
        <f>'All Girls &amp; Descendants - Edit'!B396</f>
        <v>18</v>
      </c>
      <c r="C395" s="98" t="str">
        <f>'All Girls &amp; Descendants - Edit'!C396</f>
        <v>18bbada</v>
      </c>
      <c r="D395" s="2" t="str">
        <f>'All Girls &amp; Descendants - Edit'!D396</f>
        <v>WARNER</v>
      </c>
      <c r="E395" t="str">
        <f>'All Girls &amp; Descendants - Edit'!E396</f>
        <v>Nicholas</v>
      </c>
      <c r="F395" t="str">
        <f>IF('All Girls &amp; Descendants - Edit'!F396="","",'All Girls &amp; Descendants - Edit'!F396)</f>
        <v>Redston</v>
      </c>
      <c r="G395" t="str">
        <f>IF('All Girls &amp; Descendants - Edit'!G396="","",'All Girls &amp; Descendants - Edit'!G396)</f>
        <v/>
      </c>
      <c r="H395" t="str">
        <f>IF('All Girls &amp; Descendants - Edit'!H396="","",'All Girls &amp; Descendants - Edit'!H396)</f>
        <v>Nick</v>
      </c>
      <c r="I395">
        <f>VLOOKUP($C395,'All Girls &amp; Descendants - Edit'!$C$2:$AK$440,'All Girls &amp; Descendants - Edit'!I$1,FALSE)</f>
        <v>1985</v>
      </c>
      <c r="J395" t="str">
        <f>VLOOKUP($C395,'All Girls &amp; Descendants - Edit'!$C$2:$AK$440,'All Girls &amp; Descendants - Edit'!J$1,FALSE)</f>
        <v/>
      </c>
      <c r="K395" s="9"/>
      <c r="L395" t="str">
        <f t="shared" ref="L395:L418" si="46">IF(M395="","",TEXT(M395,"dd/mm/yyyy"))</f>
        <v>15/04/1985</v>
      </c>
      <c r="M395" s="3" t="str">
        <f>VLOOKUP($C395,'All Girls &amp; Descendants - Edit'!$C$2:$AK$440,'All Girls &amp; Descendants - Edit'!M$1,FALSE)</f>
        <v>15/04/1985</v>
      </c>
      <c r="N395" s="3">
        <f>IF(VLOOKUP($C395,'All Girls &amp; Descendants - Edit'!$C$2:$AK$440,'All Girls &amp; Descendants - Edit'!N$1,FALSE)=""," - ",(VLOOKUP($C395,'All Girls &amp; Descendants - Edit'!$C$2:$AK$440,'All Girls &amp; Descendants - Edit'!N$1,FALSE)))</f>
        <v>41769</v>
      </c>
      <c r="O395" s="3" t="str">
        <f>IF(VLOOKUP($C395,'All Girls &amp; Descendants - Edit'!$C$2:$AK$440,'All Girls &amp; Descendants - Edit'!O$1,FALSE)="","",(VLOOKUP($C395,'All Girls &amp; Descendants - Edit'!$C$2:$AK$440,'All Girls &amp; Descendants - Edit'!O$1,FALSE)))</f>
        <v/>
      </c>
      <c r="P395" s="3" t="str">
        <f t="shared" ref="P395:P418" si="47">IF(O395="","",TEXT(O395,"dd/mm/yyyy"))</f>
        <v/>
      </c>
      <c r="Q395" s="178" t="str">
        <f t="shared" ref="Q395:Q418" si="48">MID(C395,1,LEN(C395)-1)</f>
        <v>18bbad</v>
      </c>
      <c r="R395" s="23"/>
      <c r="S395" t="str">
        <f>VLOOKUP($C395,'All Girls &amp; Descendants - Edit'!$C$2:$AK$440,'All Girls &amp; Descendants - Edit'!S$1,FALSE)</f>
        <v>Male</v>
      </c>
      <c r="T395" s="176">
        <f t="shared" si="45"/>
        <v>7</v>
      </c>
      <c r="U395" s="176">
        <f t="shared" ref="U395:U418" si="49">LEN(C395)</f>
        <v>7</v>
      </c>
      <c r="V395" s="176">
        <f t="shared" ref="V395:V418" si="50">VLOOKUP(B395,Generation,2,FALSE)</f>
        <v>2</v>
      </c>
      <c r="W395" s="177">
        <f t="shared" ref="W395:W418" si="51">IF(LEN(C395)-IF(B395&lt;10,1,IF(AND(B395&gt;9,B395&lt;100),2,3))=1,1,IF(LEN(C395)-IF(B395&lt;10,1,IF(AND(B395&gt;9,B395&lt;100),2,3))=0,"SELF",LEN(C395)-IF(B395&lt;10,1,IF(AND(B395&gt;9,B395&lt;100),2,3))))</f>
        <v>5</v>
      </c>
      <c r="X395" s="3" t="str">
        <f>IF(VLOOKUP($C395,'All Girls &amp; Descendants - Edit'!$C$2:$AK$440,'All Girls &amp; Descendants - Edit'!X$1,FALSE)=""," - ",(VLOOKUP($C395,'All Girls &amp; Descendants - Edit'!$C$2:$AK$440,'All Girls &amp; Descendants - Edit'!X$1,FALSE)))</f>
        <v>Aimee Fiona Ann BAIRD (b04/12/1985, )</v>
      </c>
      <c r="Y395" s="3" t="str">
        <f>IF(VLOOKUP($C395,'All Girls &amp; Descendants - Edit'!$C$2:$AK$440,'All Girls &amp; Descendants - Edit'!Y$1,FALSE)=""," - ",(VLOOKUP($C395,'All Girls &amp; Descendants - Edit'!$C$2:$AK$440,'All Girls &amp; Descendants - Edit'!Y$1,FALSE)))</f>
        <v>Aimee only daughter of James Baird of Southon House, Marden, Kent. Married St Michael &amp; All Angels, Marden.</v>
      </c>
      <c r="Z395" s="3" t="str">
        <f>IF(VLOOKUP($C395,'All Girls &amp; Descendants - Edit'!$C$2:$AK$440,'All Girls &amp; Descendants - Edit'!Z$1,FALSE)=""," - ",(VLOOKUP($C395,'All Girls &amp; Descendants - Edit'!$C$2:$AK$440,'All Girls &amp; Descendants - Edit'!Z$1,FALSE)))</f>
        <v xml:space="preserve">Nick lives SW London. Educated at Rugby (scholar) and Edinburgh University. Chartered Accountant PwC. </v>
      </c>
      <c r="AA395" s="101">
        <f>IF(VLOOKUP($C395,'All Girls &amp; Descendants - Edit'!$C$2:$AK$440,'All Girls &amp; Descendants - Edit'!AA$1,FALSE)=""," - ",(VLOOKUP($C395,'All Girls &amp; Descendants - Edit'!$C$2:$AK$440,'All Girls &amp; Descendants - Edit'!AA$1,FALSE)))</f>
        <v>38</v>
      </c>
      <c r="AB395" s="101">
        <f>IF(VLOOKUP($C395,'All Girls &amp; Descendants - Edit'!$C$2:$AK$440,'All Girls &amp; Descendants - Edit'!AB$1,FALSE)=""," - ",(VLOOKUP($C395,'All Girls &amp; Descendants - Edit'!$C$2:$AK$440,'All Girls &amp; Descendants - Edit'!AB$1,FALSE)))</f>
        <v>10</v>
      </c>
      <c r="AC395" s="101">
        <f>IF(VLOOKUP($C395,'All Girls &amp; Descendants - Edit'!$C$2:$AK$440,'All Girls &amp; Descendants - Edit'!AC$1,FALSE)=""," - ",(VLOOKUP($C395,'All Girls &amp; Descendants - Edit'!$C$2:$AK$440,'All Girls &amp; Descendants - Edit'!AC$1,FALSE)))</f>
        <v>5010</v>
      </c>
      <c r="AD395" s="3" t="str">
        <f>IF(VLOOKUP($C395,'All Girls &amp; Descendants - Edit'!$C$2:$AK$440,'All Girls &amp; Descendants - Edit'!AD$1,FALSE)=""," - ",(VLOOKUP($C395,'All Girls &amp; Descendants - Edit'!$C$2:$AK$440,'All Girls &amp; Descendants - Edit'!AD$1,FALSE)))</f>
        <v>18bbada</v>
      </c>
      <c r="AE395" s="3" t="str">
        <f>IF(VLOOKUP($C395,'All Girls &amp; Descendants - Edit'!$C$2:$AK$440,'All Girls &amp; Descendants - Edit'!AE$1,FALSE)=""," - ",(VLOOKUP($C395,'All Girls &amp; Descendants - Edit'!$C$2:$AK$440,'All Girls &amp; Descendants - Edit'!AE$1,FALSE)))</f>
        <v>Nicholas Redston  WARNER (1985 - )</v>
      </c>
      <c r="AF395" s="3" t="str">
        <f>IF(VLOOKUP($C395,'All Girls &amp; Descendants - Edit'!$C$2:$AK$440,'All Girls &amp; Descendants - Edit'!AF$1,FALSE)=""," - ",(VLOOKUP($C395,'All Girls &amp; Descendants - Edit'!$C$2:$AK$440,'All Girls &amp; Descendants - Edit'!AF$1,FALSE)))</f>
        <v>Nick WARNER (7th &amp; 18)</v>
      </c>
      <c r="AG395" s="3" t="str">
        <f>IF(VLOOKUP($C395,'All Girls &amp; Descendants - Edit'!$C$2:$AK$440,'All Girls &amp; Descendants - Edit'!AG$1,FALSE)=""," - ",(VLOOKUP($C395,'All Girls &amp; Descendants - Edit'!$C$2:$AK$440,'All Girls &amp; Descendants - Edit'!AG$1,FALSE)))</f>
        <v>Male</v>
      </c>
      <c r="AH395" s="3" t="str">
        <f>IF(VLOOKUP($C395,'All Girls &amp; Descendants - Edit'!$C$2:$AK$440,'All Girls &amp; Descendants - Edit'!AH$1,FALSE)=""," - ",(VLOOKUP($C395,'All Girls &amp; Descendants - Edit'!$C$2:$AK$440,'All Girls &amp; Descendants - Edit'!AH$1,FALSE)))</f>
        <v>7th</v>
      </c>
      <c r="AI395" s="3" t="str">
        <f>IF(VLOOKUP($C395,'All Girls &amp; Descendants - Edit'!$C$2:$AK$440,'All Girls &amp; Descendants - Edit'!AI$1,FALSE)=""," - ",(VLOOKUP($C395,'All Girls &amp; Descendants - Edit'!$C$2:$AK$440,'All Girls &amp; Descendants - Edit'!AI$1,FALSE)))</f>
        <v>Wife: Aimee Fiona Ann BAIRD (b04/12/1985, ). Aimee only daughter of James Baird of Southon House, Marden, Kent. Married St Michael &amp; All Angels, Marden.</v>
      </c>
      <c r="AJ395" s="3" t="str">
        <f>IF(VLOOKUP($C395,'All Girls &amp; Descendants - Edit'!$C$2:$AK$440,'All Girls &amp; Descendants - Edit'!AJ$1,FALSE)=""," - ",(VLOOKUP($C395,'All Girls &amp; Descendants - Edit'!$C$2:$AK$440,'All Girls &amp; Descendants - Edit'!AJ$1,FALSE)))</f>
        <v xml:space="preserve">Male. b. 15/04/1985 Nick lives SW London. Educated at Rugby (scholar) and Edinburgh University. Chartered Accountant PwC. </v>
      </c>
      <c r="AK395" s="3" t="str">
        <f>IF(VLOOKUP($C395,'All Girls &amp; Descendants - Edit'!$C$2:$AK$440,'All Girls &amp; Descendants - Edit'!AK$1,FALSE)=""," - ",(VLOOKUP($C395,'All Girls &amp; Descendants - Edit'!$C$2:$AK$440,'All Girls &amp; Descendants - Edit'!AK$1,FALSE)))</f>
        <v>b. 15/04/1985</v>
      </c>
    </row>
    <row r="396" spans="1:37" ht="19">
      <c r="A396">
        <f>VLOOKUP(B396,'Loyd List 1-190 - Edit'!$P$1:$R$219,3,FALSE)</f>
        <v>8</v>
      </c>
      <c r="B396">
        <f>'All Girls &amp; Descendants - Edit'!B397</f>
        <v>18</v>
      </c>
      <c r="C396" s="98" t="str">
        <f>'All Girls &amp; Descendants - Edit'!C397</f>
        <v>18bbadb</v>
      </c>
      <c r="D396" s="2" t="str">
        <f>'All Girls &amp; Descendants - Edit'!D397</f>
        <v>WARNER</v>
      </c>
      <c r="E396" t="str">
        <f>'All Girls &amp; Descendants - Edit'!E397</f>
        <v>Harriet</v>
      </c>
      <c r="F396" t="str">
        <f>IF('All Girls &amp; Descendants - Edit'!F397="","",'All Girls &amp; Descendants - Edit'!F397)</f>
        <v>Voase</v>
      </c>
      <c r="G396" t="str">
        <f>IF('All Girls &amp; Descendants - Edit'!G397="","",'All Girls &amp; Descendants - Edit'!G397)</f>
        <v/>
      </c>
      <c r="H396" t="str">
        <f>IF('All Girls &amp; Descendants - Edit'!H397="","",'All Girls &amp; Descendants - Edit'!H397)</f>
        <v/>
      </c>
      <c r="I396">
        <f>VLOOKUP($C396,'All Girls &amp; Descendants - Edit'!$C$2:$AK$440,'All Girls &amp; Descendants - Edit'!I$1,FALSE)</f>
        <v>1988</v>
      </c>
      <c r="J396" t="str">
        <f>VLOOKUP($C396,'All Girls &amp; Descendants - Edit'!$C$2:$AK$440,'All Girls &amp; Descendants - Edit'!J$1,FALSE)</f>
        <v/>
      </c>
      <c r="K396" s="9"/>
      <c r="L396" t="str">
        <f t="shared" si="46"/>
        <v>09/02/1988</v>
      </c>
      <c r="M396" s="3">
        <f>VLOOKUP($C396,'All Girls &amp; Descendants - Edit'!$C$2:$AK$440,'All Girls &amp; Descendants - Edit'!M$1,FALSE)</f>
        <v>32182</v>
      </c>
      <c r="N396" s="3" t="str">
        <f>IF(VLOOKUP($C396,'All Girls &amp; Descendants - Edit'!$C$2:$AK$440,'All Girls &amp; Descendants - Edit'!N$1,FALSE)=""," - ",(VLOOKUP($C396,'All Girls &amp; Descendants - Edit'!$C$2:$AK$440,'All Girls &amp; Descendants - Edit'!N$1,FALSE)))</f>
        <v xml:space="preserve"> - </v>
      </c>
      <c r="O396" s="3" t="str">
        <f>IF(VLOOKUP($C396,'All Girls &amp; Descendants - Edit'!$C$2:$AK$440,'All Girls &amp; Descendants - Edit'!O$1,FALSE)="","",(VLOOKUP($C396,'All Girls &amp; Descendants - Edit'!$C$2:$AK$440,'All Girls &amp; Descendants - Edit'!O$1,FALSE)))</f>
        <v/>
      </c>
      <c r="P396" s="3" t="str">
        <f t="shared" si="47"/>
        <v/>
      </c>
      <c r="Q396" s="178" t="str">
        <f t="shared" si="48"/>
        <v>18bbad</v>
      </c>
      <c r="R396" s="23"/>
      <c r="S396" t="str">
        <f>VLOOKUP($C396,'All Girls &amp; Descendants - Edit'!$C$2:$AK$440,'All Girls &amp; Descendants - Edit'!S$1,FALSE)</f>
        <v>Female</v>
      </c>
      <c r="T396" s="176">
        <f t="shared" si="45"/>
        <v>7</v>
      </c>
      <c r="U396" s="176">
        <f t="shared" si="49"/>
        <v>7</v>
      </c>
      <c r="V396" s="176">
        <f t="shared" si="50"/>
        <v>2</v>
      </c>
      <c r="W396" s="177">
        <f t="shared" si="51"/>
        <v>5</v>
      </c>
      <c r="X396" s="3" t="str">
        <f>IF(VLOOKUP($C396,'All Girls &amp; Descendants - Edit'!$C$2:$AK$440,'All Girls &amp; Descendants - Edit'!X$1,FALSE)=""," - ",(VLOOKUP($C396,'All Girls &amp; Descendants - Edit'!$C$2:$AK$440,'All Girls &amp; Descendants - Edit'!X$1,FALSE)))</f>
        <v xml:space="preserve"> - </v>
      </c>
      <c r="Y396" s="3" t="str">
        <f>IF(VLOOKUP($C396,'All Girls &amp; Descendants - Edit'!$C$2:$AK$440,'All Girls &amp; Descendants - Edit'!Y$1,FALSE)=""," - ",(VLOOKUP($C396,'All Girls &amp; Descendants - Edit'!$C$2:$AK$440,'All Girls &amp; Descendants - Edit'!Y$1,FALSE)))</f>
        <v xml:space="preserve"> - </v>
      </c>
      <c r="Z396" s="3" t="str">
        <f>IF(VLOOKUP($C396,'All Girls &amp; Descendants - Edit'!$C$2:$AK$440,'All Girls &amp; Descendants - Edit'!Z$1,FALSE)=""," - ",(VLOOKUP($C396,'All Girls &amp; Descendants - Edit'!$C$2:$AK$440,'All Girls &amp; Descendants - Edit'!Z$1,FALSE)))</f>
        <v>Harriet lives in SW London. Educated Rugby and Edinburgh Napier. Nursery School Teacher.</v>
      </c>
      <c r="AA396" s="101">
        <f>IF(VLOOKUP($C396,'All Girls &amp; Descendants - Edit'!$C$2:$AK$440,'All Girls &amp; Descendants - Edit'!AA$1,FALSE)=""," - ",(VLOOKUP($C396,'All Girls &amp; Descendants - Edit'!$C$2:$AK$440,'All Girls &amp; Descendants - Edit'!AA$1,FALSE)))</f>
        <v>39</v>
      </c>
      <c r="AB396" s="101">
        <f>IF(VLOOKUP($C396,'All Girls &amp; Descendants - Edit'!$C$2:$AK$440,'All Girls &amp; Descendants - Edit'!AB$1,FALSE)=""," - ",(VLOOKUP($C396,'All Girls &amp; Descendants - Edit'!$C$2:$AK$440,'All Girls &amp; Descendants - Edit'!AB$1,FALSE)))</f>
        <v>11</v>
      </c>
      <c r="AC396" s="101">
        <f>IF(VLOOKUP($C396,'All Girls &amp; Descendants - Edit'!$C$2:$AK$440,'All Girls &amp; Descendants - Edit'!AC$1,FALSE)=""," - ",(VLOOKUP($C396,'All Girls &amp; Descendants - Edit'!$C$2:$AK$440,'All Girls &amp; Descendants - Edit'!AC$1,FALSE)))</f>
        <v>5011</v>
      </c>
      <c r="AD396" s="3" t="str">
        <f>IF(VLOOKUP($C396,'All Girls &amp; Descendants - Edit'!$C$2:$AK$440,'All Girls &amp; Descendants - Edit'!AD$1,FALSE)=""," - ",(VLOOKUP($C396,'All Girls &amp; Descendants - Edit'!$C$2:$AK$440,'All Girls &amp; Descendants - Edit'!AD$1,FALSE)))</f>
        <v>18bbadb</v>
      </c>
      <c r="AE396" s="3" t="str">
        <f>IF(VLOOKUP($C396,'All Girls &amp; Descendants - Edit'!$C$2:$AK$440,'All Girls &amp; Descendants - Edit'!AE$1,FALSE)=""," - ",(VLOOKUP($C396,'All Girls &amp; Descendants - Edit'!$C$2:$AK$440,'All Girls &amp; Descendants - Edit'!AE$1,FALSE)))</f>
        <v>Harriet Voase  WARNER (1988 - )</v>
      </c>
      <c r="AF396" s="3" t="str">
        <f>IF(VLOOKUP($C396,'All Girls &amp; Descendants - Edit'!$C$2:$AK$440,'All Girls &amp; Descendants - Edit'!AF$1,FALSE)=""," - ",(VLOOKUP($C396,'All Girls &amp; Descendants - Edit'!$C$2:$AK$440,'All Girls &amp; Descendants - Edit'!AF$1,FALSE)))</f>
        <v>Harriet WARNER (7th &amp; 18)</v>
      </c>
      <c r="AG396" s="3" t="str">
        <f>IF(VLOOKUP($C396,'All Girls &amp; Descendants - Edit'!$C$2:$AK$440,'All Girls &amp; Descendants - Edit'!AG$1,FALSE)=""," - ",(VLOOKUP($C396,'All Girls &amp; Descendants - Edit'!$C$2:$AK$440,'All Girls &amp; Descendants - Edit'!AG$1,FALSE)))</f>
        <v>Female</v>
      </c>
      <c r="AH396" s="3" t="str">
        <f>IF(VLOOKUP($C396,'All Girls &amp; Descendants - Edit'!$C$2:$AK$440,'All Girls &amp; Descendants - Edit'!AH$1,FALSE)=""," - ",(VLOOKUP($C396,'All Girls &amp; Descendants - Edit'!$C$2:$AK$440,'All Girls &amp; Descendants - Edit'!AH$1,FALSE)))</f>
        <v>7th</v>
      </c>
      <c r="AI396" s="3" t="str">
        <f>IF(VLOOKUP($C396,'All Girls &amp; Descendants - Edit'!$C$2:$AK$440,'All Girls &amp; Descendants - Edit'!AI$1,FALSE)=""," - ",(VLOOKUP($C396,'All Girls &amp; Descendants - Edit'!$C$2:$AK$440,'All Girls &amp; Descendants - Edit'!AI$1,FALSE)))</f>
        <v>Unmarried</v>
      </c>
      <c r="AJ396" s="3" t="str">
        <f>IF(VLOOKUP($C396,'All Girls &amp; Descendants - Edit'!$C$2:$AK$440,'All Girls &amp; Descendants - Edit'!AJ$1,FALSE)=""," - ",(VLOOKUP($C396,'All Girls &amp; Descendants - Edit'!$C$2:$AK$440,'All Girls &amp; Descendants - Edit'!AJ$1,FALSE)))</f>
        <v>Female. b. 09/02/1988 Harriet lives in SW London. Educated Rugby and Edinburgh Napier. Nursery School Teacher.</v>
      </c>
      <c r="AK396" s="3" t="str">
        <f>IF(VLOOKUP($C396,'All Girls &amp; Descendants - Edit'!$C$2:$AK$440,'All Girls &amp; Descendants - Edit'!AK$1,FALSE)=""," - ",(VLOOKUP($C396,'All Girls &amp; Descendants - Edit'!$C$2:$AK$440,'All Girls &amp; Descendants - Edit'!AK$1,FALSE)))</f>
        <v>b. 09/02/1988</v>
      </c>
    </row>
    <row r="397" spans="1:37" ht="19">
      <c r="A397">
        <f>VLOOKUP(B397,'Loyd List 1-190 - Edit'!$P$1:$R$219,3,FALSE)</f>
        <v>8</v>
      </c>
      <c r="B397">
        <f>'All Girls &amp; Descendants - Edit'!B398</f>
        <v>18</v>
      </c>
      <c r="C397" s="98" t="str">
        <f>'All Girls &amp; Descendants - Edit'!C398</f>
        <v>18bbbba</v>
      </c>
      <c r="D397" s="2" t="str">
        <f>'All Girls &amp; Descendants - Edit'!D398</f>
        <v>NICOL</v>
      </c>
      <c r="E397" t="str">
        <f>'All Girls &amp; Descendants - Edit'!E398</f>
        <v>Helen</v>
      </c>
      <c r="F397" t="str">
        <f>IF('All Girls &amp; Descendants - Edit'!F398="","",'All Girls &amp; Descendants - Edit'!F398)</f>
        <v>Louise</v>
      </c>
      <c r="G397" t="str">
        <f>IF('All Girls &amp; Descendants - Edit'!G398="","",'All Girls &amp; Descendants - Edit'!G398)</f>
        <v/>
      </c>
      <c r="H397" t="str">
        <f>IF('All Girls &amp; Descendants - Edit'!H398="","",'All Girls &amp; Descendants - Edit'!H398)</f>
        <v/>
      </c>
      <c r="I397">
        <f>VLOOKUP($C397,'All Girls &amp; Descendants - Edit'!$C$2:$AK$440,'All Girls &amp; Descendants - Edit'!I$1,FALSE)</f>
        <v>1982</v>
      </c>
      <c r="J397" t="str">
        <f>VLOOKUP($C397,'All Girls &amp; Descendants - Edit'!$C$2:$AK$440,'All Girls &amp; Descendants - Edit'!J$1,FALSE)</f>
        <v/>
      </c>
      <c r="K397" s="9"/>
      <c r="L397" t="str">
        <f t="shared" si="46"/>
        <v>23/03/1982</v>
      </c>
      <c r="M397" s="3">
        <f>VLOOKUP($C397,'All Girls &amp; Descendants - Edit'!$C$2:$AK$440,'All Girls &amp; Descendants - Edit'!M$1,FALSE)</f>
        <v>30033</v>
      </c>
      <c r="N397" s="3" t="str">
        <f>IF(VLOOKUP($C397,'All Girls &amp; Descendants - Edit'!$C$2:$AK$440,'All Girls &amp; Descendants - Edit'!N$1,FALSE)=""," - ",(VLOOKUP($C397,'All Girls &amp; Descendants - Edit'!$C$2:$AK$440,'All Girls &amp; Descendants - Edit'!N$1,FALSE)))</f>
        <v xml:space="preserve"> - </v>
      </c>
      <c r="O397" s="3" t="str">
        <f>IF(VLOOKUP($C397,'All Girls &amp; Descendants - Edit'!$C$2:$AK$440,'All Girls &amp; Descendants - Edit'!O$1,FALSE)="","",(VLOOKUP($C397,'All Girls &amp; Descendants - Edit'!$C$2:$AK$440,'All Girls &amp; Descendants - Edit'!O$1,FALSE)))</f>
        <v/>
      </c>
      <c r="P397" s="3" t="str">
        <f t="shared" si="47"/>
        <v/>
      </c>
      <c r="Q397" s="178" t="str">
        <f t="shared" si="48"/>
        <v>18bbbb</v>
      </c>
      <c r="R397" s="23"/>
      <c r="S397" t="str">
        <f>VLOOKUP($C397,'All Girls &amp; Descendants - Edit'!$C$2:$AK$440,'All Girls &amp; Descendants - Edit'!S$1,FALSE)</f>
        <v>Female</v>
      </c>
      <c r="T397" s="176">
        <f t="shared" si="45"/>
        <v>7</v>
      </c>
      <c r="U397" s="176">
        <f t="shared" si="49"/>
        <v>7</v>
      </c>
      <c r="V397" s="176">
        <f t="shared" si="50"/>
        <v>2</v>
      </c>
      <c r="W397" s="177">
        <f t="shared" si="51"/>
        <v>5</v>
      </c>
      <c r="X397" s="3" t="str">
        <f>IF(VLOOKUP($C397,'All Girls &amp; Descendants - Edit'!$C$2:$AK$440,'All Girls &amp; Descendants - Edit'!X$1,FALSE)=""," - ",(VLOOKUP($C397,'All Girls &amp; Descendants - Edit'!$C$2:$AK$440,'All Girls &amp; Descendants - Edit'!X$1,FALSE)))</f>
        <v xml:space="preserve"> - </v>
      </c>
      <c r="Y397" s="3" t="str">
        <f>IF(VLOOKUP($C397,'All Girls &amp; Descendants - Edit'!$C$2:$AK$440,'All Girls &amp; Descendants - Edit'!Y$1,FALSE)=""," - ",(VLOOKUP($C397,'All Girls &amp; Descendants - Edit'!$C$2:$AK$440,'All Girls &amp; Descendants - Edit'!Y$1,FALSE)))</f>
        <v xml:space="preserve"> - </v>
      </c>
      <c r="Z397" s="3" t="str">
        <f>IF(VLOOKUP($C397,'All Girls &amp; Descendants - Edit'!$C$2:$AK$440,'All Girls &amp; Descendants - Edit'!Z$1,FALSE)=""," - ",(VLOOKUP($C397,'All Girls &amp; Descendants - Edit'!$C$2:$AK$440,'All Girls &amp; Descendants - Edit'!Z$1,FALSE)))</f>
        <v xml:space="preserve"> - </v>
      </c>
      <c r="AA397" s="101">
        <f>IF(VLOOKUP($C397,'All Girls &amp; Descendants - Edit'!$C$2:$AK$440,'All Girls &amp; Descendants - Edit'!AA$1,FALSE)=""," - ",(VLOOKUP($C397,'All Girls &amp; Descendants - Edit'!$C$2:$AK$440,'All Girls &amp; Descendants - Edit'!AA$1,FALSE)))</f>
        <v>43</v>
      </c>
      <c r="AB397" s="101">
        <f>IF(VLOOKUP($C397,'All Girls &amp; Descendants - Edit'!$C$2:$AK$440,'All Girls &amp; Descendants - Edit'!AB$1,FALSE)=""," - ",(VLOOKUP($C397,'All Girls &amp; Descendants - Edit'!$C$2:$AK$440,'All Girls &amp; Descendants - Edit'!AB$1,FALSE)))</f>
        <v>12</v>
      </c>
      <c r="AC397" s="101">
        <f>IF(VLOOKUP($C397,'All Girls &amp; Descendants - Edit'!$C$2:$AK$440,'All Girls &amp; Descendants - Edit'!AC$1,FALSE)=""," - ",(VLOOKUP($C397,'All Girls &amp; Descendants - Edit'!$C$2:$AK$440,'All Girls &amp; Descendants - Edit'!AC$1,FALSE)))</f>
        <v>5012</v>
      </c>
      <c r="AD397" s="3" t="str">
        <f>IF(VLOOKUP($C397,'All Girls &amp; Descendants - Edit'!$C$2:$AK$440,'All Girls &amp; Descendants - Edit'!AD$1,FALSE)=""," - ",(VLOOKUP($C397,'All Girls &amp; Descendants - Edit'!$C$2:$AK$440,'All Girls &amp; Descendants - Edit'!AD$1,FALSE)))</f>
        <v>18bbbba</v>
      </c>
      <c r="AE397" s="3" t="str">
        <f>IF(VLOOKUP($C397,'All Girls &amp; Descendants - Edit'!$C$2:$AK$440,'All Girls &amp; Descendants - Edit'!AE$1,FALSE)=""," - ",(VLOOKUP($C397,'All Girls &amp; Descendants - Edit'!$C$2:$AK$440,'All Girls &amp; Descendants - Edit'!AE$1,FALSE)))</f>
        <v>Helen Louise  NICOL (1982 - )</v>
      </c>
      <c r="AF397" s="3" t="str">
        <f>IF(VLOOKUP($C397,'All Girls &amp; Descendants - Edit'!$C$2:$AK$440,'All Girls &amp; Descendants - Edit'!AF$1,FALSE)=""," - ",(VLOOKUP($C397,'All Girls &amp; Descendants - Edit'!$C$2:$AK$440,'All Girls &amp; Descendants - Edit'!AF$1,FALSE)))</f>
        <v>Helen NICOL (7th &amp; 18)</v>
      </c>
      <c r="AG397" s="3" t="str">
        <f>IF(VLOOKUP($C397,'All Girls &amp; Descendants - Edit'!$C$2:$AK$440,'All Girls &amp; Descendants - Edit'!AG$1,FALSE)=""," - ",(VLOOKUP($C397,'All Girls &amp; Descendants - Edit'!$C$2:$AK$440,'All Girls &amp; Descendants - Edit'!AG$1,FALSE)))</f>
        <v>Female</v>
      </c>
      <c r="AH397" s="3" t="str">
        <f>IF(VLOOKUP($C397,'All Girls &amp; Descendants - Edit'!$C$2:$AK$440,'All Girls &amp; Descendants - Edit'!AH$1,FALSE)=""," - ",(VLOOKUP($C397,'All Girls &amp; Descendants - Edit'!$C$2:$AK$440,'All Girls &amp; Descendants - Edit'!AH$1,FALSE)))</f>
        <v>7th</v>
      </c>
      <c r="AI397" s="3" t="str">
        <f>IF(VLOOKUP($C397,'All Girls &amp; Descendants - Edit'!$C$2:$AK$440,'All Girls &amp; Descendants - Edit'!AI$1,FALSE)=""," - ",(VLOOKUP($C397,'All Girls &amp; Descendants - Edit'!$C$2:$AK$440,'All Girls &amp; Descendants - Edit'!AI$1,FALSE)))</f>
        <v>Unmarried</v>
      </c>
      <c r="AJ397" s="3" t="str">
        <f>IF(VLOOKUP($C397,'All Girls &amp; Descendants - Edit'!$C$2:$AK$440,'All Girls &amp; Descendants - Edit'!AJ$1,FALSE)=""," - ",(VLOOKUP($C397,'All Girls &amp; Descendants - Edit'!$C$2:$AK$440,'All Girls &amp; Descendants - Edit'!AJ$1,FALSE)))</f>
        <v>Female. b. 23/03/1982</v>
      </c>
      <c r="AK397" s="3" t="str">
        <f>IF(VLOOKUP($C397,'All Girls &amp; Descendants - Edit'!$C$2:$AK$440,'All Girls &amp; Descendants - Edit'!AK$1,FALSE)=""," - ",(VLOOKUP($C397,'All Girls &amp; Descendants - Edit'!$C$2:$AK$440,'All Girls &amp; Descendants - Edit'!AK$1,FALSE)))</f>
        <v>b. 23/03/1982</v>
      </c>
    </row>
    <row r="398" spans="1:37" ht="19">
      <c r="A398">
        <f>VLOOKUP(B398,'Loyd List 1-190 - Edit'!$P$1:$R$219,3,FALSE)</f>
        <v>8</v>
      </c>
      <c r="B398">
        <f>'All Girls &amp; Descendants - Edit'!B399</f>
        <v>18</v>
      </c>
      <c r="C398" s="98" t="str">
        <f>'All Girls &amp; Descendants - Edit'!C399</f>
        <v>18bbbbb</v>
      </c>
      <c r="D398" s="2" t="str">
        <f>'All Girls &amp; Descendants - Edit'!D399</f>
        <v>NICOL</v>
      </c>
      <c r="E398" t="str">
        <f>'All Girls &amp; Descendants - Edit'!E399</f>
        <v>Lucinda</v>
      </c>
      <c r="F398" t="str">
        <f>IF('All Girls &amp; Descendants - Edit'!F399="","",'All Girls &amp; Descendants - Edit'!F399)</f>
        <v>Rachel</v>
      </c>
      <c r="G398" t="str">
        <f>IF('All Girls &amp; Descendants - Edit'!G399="","",'All Girls &amp; Descendants - Edit'!G399)</f>
        <v/>
      </c>
      <c r="H398" t="str">
        <f>IF('All Girls &amp; Descendants - Edit'!H399="","",'All Girls &amp; Descendants - Edit'!H399)</f>
        <v>Lucy</v>
      </c>
      <c r="I398">
        <f>VLOOKUP($C398,'All Girls &amp; Descendants - Edit'!$C$2:$AK$440,'All Girls &amp; Descendants - Edit'!I$1,FALSE)</f>
        <v>1984</v>
      </c>
      <c r="J398" t="str">
        <f>VLOOKUP($C398,'All Girls &amp; Descendants - Edit'!$C$2:$AK$440,'All Girls &amp; Descendants - Edit'!J$1,FALSE)</f>
        <v/>
      </c>
      <c r="K398" s="9"/>
      <c r="L398" t="str">
        <f t="shared" si="46"/>
        <v>24/02/1984</v>
      </c>
      <c r="M398" s="3">
        <f>VLOOKUP($C398,'All Girls &amp; Descendants - Edit'!$C$2:$AK$440,'All Girls &amp; Descendants - Edit'!M$1,FALSE)</f>
        <v>30736</v>
      </c>
      <c r="N398" s="3" t="str">
        <f>IF(VLOOKUP($C398,'All Girls &amp; Descendants - Edit'!$C$2:$AK$440,'All Girls &amp; Descendants - Edit'!N$1,FALSE)=""," - ",(VLOOKUP($C398,'All Girls &amp; Descendants - Edit'!$C$2:$AK$440,'All Girls &amp; Descendants - Edit'!N$1,FALSE)))</f>
        <v xml:space="preserve"> - </v>
      </c>
      <c r="O398" s="3" t="str">
        <f>IF(VLOOKUP($C398,'All Girls &amp; Descendants - Edit'!$C$2:$AK$440,'All Girls &amp; Descendants - Edit'!O$1,FALSE)="","",(VLOOKUP($C398,'All Girls &amp; Descendants - Edit'!$C$2:$AK$440,'All Girls &amp; Descendants - Edit'!O$1,FALSE)))</f>
        <v/>
      </c>
      <c r="P398" s="3" t="str">
        <f t="shared" si="47"/>
        <v/>
      </c>
      <c r="Q398" s="178" t="str">
        <f t="shared" si="48"/>
        <v>18bbbb</v>
      </c>
      <c r="R398" s="23"/>
      <c r="S398" t="str">
        <f>VLOOKUP($C398,'All Girls &amp; Descendants - Edit'!$C$2:$AK$440,'All Girls &amp; Descendants - Edit'!S$1,FALSE)</f>
        <v>Female</v>
      </c>
      <c r="T398" s="176">
        <f t="shared" si="45"/>
        <v>7</v>
      </c>
      <c r="U398" s="176">
        <f t="shared" si="49"/>
        <v>7</v>
      </c>
      <c r="V398" s="176">
        <f t="shared" si="50"/>
        <v>2</v>
      </c>
      <c r="W398" s="177">
        <f t="shared" si="51"/>
        <v>5</v>
      </c>
      <c r="X398" s="3" t="str">
        <f>IF(VLOOKUP($C398,'All Girls &amp; Descendants - Edit'!$C$2:$AK$440,'All Girls &amp; Descendants - Edit'!X$1,FALSE)=""," - ",(VLOOKUP($C398,'All Girls &amp; Descendants - Edit'!$C$2:$AK$440,'All Girls &amp; Descendants - Edit'!X$1,FALSE)))</f>
        <v xml:space="preserve"> - </v>
      </c>
      <c r="Y398" s="3" t="str">
        <f>IF(VLOOKUP($C398,'All Girls &amp; Descendants - Edit'!$C$2:$AK$440,'All Girls &amp; Descendants - Edit'!Y$1,FALSE)=""," - ",(VLOOKUP($C398,'All Girls &amp; Descendants - Edit'!$C$2:$AK$440,'All Girls &amp; Descendants - Edit'!Y$1,FALSE)))</f>
        <v xml:space="preserve"> - </v>
      </c>
      <c r="Z398" s="3" t="str">
        <f>IF(VLOOKUP($C398,'All Girls &amp; Descendants - Edit'!$C$2:$AK$440,'All Girls &amp; Descendants - Edit'!Z$1,FALSE)=""," - ",(VLOOKUP($C398,'All Girls &amp; Descendants - Edit'!$C$2:$AK$440,'All Girls &amp; Descendants - Edit'!Z$1,FALSE)))</f>
        <v xml:space="preserve"> - </v>
      </c>
      <c r="AA398" s="101">
        <f>IF(VLOOKUP($C398,'All Girls &amp; Descendants - Edit'!$C$2:$AK$440,'All Girls &amp; Descendants - Edit'!AA$1,FALSE)=""," - ",(VLOOKUP($C398,'All Girls &amp; Descendants - Edit'!$C$2:$AK$440,'All Girls &amp; Descendants - Edit'!AA$1,FALSE)))</f>
        <v>44</v>
      </c>
      <c r="AB398" s="101">
        <f>IF(VLOOKUP($C398,'All Girls &amp; Descendants - Edit'!$C$2:$AK$440,'All Girls &amp; Descendants - Edit'!AB$1,FALSE)=""," - ",(VLOOKUP($C398,'All Girls &amp; Descendants - Edit'!$C$2:$AK$440,'All Girls &amp; Descendants - Edit'!AB$1,FALSE)))</f>
        <v>13</v>
      </c>
      <c r="AC398" s="101">
        <f>IF(VLOOKUP($C398,'All Girls &amp; Descendants - Edit'!$C$2:$AK$440,'All Girls &amp; Descendants - Edit'!AC$1,FALSE)=""," - ",(VLOOKUP($C398,'All Girls &amp; Descendants - Edit'!$C$2:$AK$440,'All Girls &amp; Descendants - Edit'!AC$1,FALSE)))</f>
        <v>5013</v>
      </c>
      <c r="AD398" s="3" t="str">
        <f>IF(VLOOKUP($C398,'All Girls &amp; Descendants - Edit'!$C$2:$AK$440,'All Girls &amp; Descendants - Edit'!AD$1,FALSE)=""," - ",(VLOOKUP($C398,'All Girls &amp; Descendants - Edit'!$C$2:$AK$440,'All Girls &amp; Descendants - Edit'!AD$1,FALSE)))</f>
        <v>18bbbbb</v>
      </c>
      <c r="AE398" s="3" t="str">
        <f>IF(VLOOKUP($C398,'All Girls &amp; Descendants - Edit'!$C$2:$AK$440,'All Girls &amp; Descendants - Edit'!AE$1,FALSE)=""," - ",(VLOOKUP($C398,'All Girls &amp; Descendants - Edit'!$C$2:$AK$440,'All Girls &amp; Descendants - Edit'!AE$1,FALSE)))</f>
        <v>Lucinda Rachel  NICOL (1984 - )</v>
      </c>
      <c r="AF398" s="3" t="str">
        <f>IF(VLOOKUP($C398,'All Girls &amp; Descendants - Edit'!$C$2:$AK$440,'All Girls &amp; Descendants - Edit'!AF$1,FALSE)=""," - ",(VLOOKUP($C398,'All Girls &amp; Descendants - Edit'!$C$2:$AK$440,'All Girls &amp; Descendants - Edit'!AF$1,FALSE)))</f>
        <v>Lucy NICOL (7th &amp; 18)</v>
      </c>
      <c r="AG398" s="3" t="str">
        <f>IF(VLOOKUP($C398,'All Girls &amp; Descendants - Edit'!$C$2:$AK$440,'All Girls &amp; Descendants - Edit'!AG$1,FALSE)=""," - ",(VLOOKUP($C398,'All Girls &amp; Descendants - Edit'!$C$2:$AK$440,'All Girls &amp; Descendants - Edit'!AG$1,FALSE)))</f>
        <v>Female</v>
      </c>
      <c r="AH398" s="3" t="str">
        <f>IF(VLOOKUP($C398,'All Girls &amp; Descendants - Edit'!$C$2:$AK$440,'All Girls &amp; Descendants - Edit'!AH$1,FALSE)=""," - ",(VLOOKUP($C398,'All Girls &amp; Descendants - Edit'!$C$2:$AK$440,'All Girls &amp; Descendants - Edit'!AH$1,FALSE)))</f>
        <v>7th</v>
      </c>
      <c r="AI398" s="3" t="str">
        <f>IF(VLOOKUP($C398,'All Girls &amp; Descendants - Edit'!$C$2:$AK$440,'All Girls &amp; Descendants - Edit'!AI$1,FALSE)=""," - ",(VLOOKUP($C398,'All Girls &amp; Descendants - Edit'!$C$2:$AK$440,'All Girls &amp; Descendants - Edit'!AI$1,FALSE)))</f>
        <v>Unmarried</v>
      </c>
      <c r="AJ398" s="3" t="str">
        <f>IF(VLOOKUP($C398,'All Girls &amp; Descendants - Edit'!$C$2:$AK$440,'All Girls &amp; Descendants - Edit'!AJ$1,FALSE)=""," - ",(VLOOKUP($C398,'All Girls &amp; Descendants - Edit'!$C$2:$AK$440,'All Girls &amp; Descendants - Edit'!AJ$1,FALSE)))</f>
        <v>Female. b. 24/02/1984</v>
      </c>
      <c r="AK398" s="3" t="str">
        <f>IF(VLOOKUP($C398,'All Girls &amp; Descendants - Edit'!$C$2:$AK$440,'All Girls &amp; Descendants - Edit'!AK$1,FALSE)=""," - ",(VLOOKUP($C398,'All Girls &amp; Descendants - Edit'!$C$2:$AK$440,'All Girls &amp; Descendants - Edit'!AK$1,FALSE)))</f>
        <v>b. 24/02/1984</v>
      </c>
    </row>
    <row r="399" spans="1:37" ht="19">
      <c r="A399">
        <f>VLOOKUP(B399,'Loyd List 1-190 - Edit'!$P$1:$R$219,3,FALSE)</f>
        <v>8</v>
      </c>
      <c r="B399">
        <f>'All Girls &amp; Descendants - Edit'!B400</f>
        <v>18</v>
      </c>
      <c r="C399" s="98" t="str">
        <f>'All Girls &amp; Descendants - Edit'!C400</f>
        <v>18bbbbc</v>
      </c>
      <c r="D399" s="2" t="str">
        <f>'All Girls &amp; Descendants - Edit'!D400</f>
        <v>NICOL</v>
      </c>
      <c r="E399" t="str">
        <f>'All Girls &amp; Descendants - Edit'!E400</f>
        <v>Johnathan</v>
      </c>
      <c r="F399" t="str">
        <f>IF('All Girls &amp; Descendants - Edit'!F400="","",'All Girls &amp; Descendants - Edit'!F400)</f>
        <v>Michael</v>
      </c>
      <c r="G399" t="str">
        <f>IF('All Girls &amp; Descendants - Edit'!G400="","",'All Girls &amp; Descendants - Edit'!G400)</f>
        <v/>
      </c>
      <c r="H399" t="str">
        <f>IF('All Girls &amp; Descendants - Edit'!H400="","",'All Girls &amp; Descendants - Edit'!H400)</f>
        <v/>
      </c>
      <c r="I399">
        <f>VLOOKUP($C399,'All Girls &amp; Descendants - Edit'!$C$2:$AK$440,'All Girls &amp; Descendants - Edit'!I$1,FALSE)</f>
        <v>1987</v>
      </c>
      <c r="J399">
        <f>VLOOKUP($C399,'All Girls &amp; Descendants - Edit'!$C$2:$AK$440,'All Girls &amp; Descendants - Edit'!J$1,FALSE)</f>
        <v>1988</v>
      </c>
      <c r="K399" s="9"/>
      <c r="L399" t="str">
        <f t="shared" si="46"/>
        <v>08/11/1987</v>
      </c>
      <c r="M399" s="3">
        <f>VLOOKUP($C399,'All Girls &amp; Descendants - Edit'!$C$2:$AK$440,'All Girls &amp; Descendants - Edit'!M$1,FALSE)</f>
        <v>32089</v>
      </c>
      <c r="N399" s="3" t="str">
        <f>IF(VLOOKUP($C399,'All Girls &amp; Descendants - Edit'!$C$2:$AK$440,'All Girls &amp; Descendants - Edit'!N$1,FALSE)=""," - ",(VLOOKUP($C399,'All Girls &amp; Descendants - Edit'!$C$2:$AK$440,'All Girls &amp; Descendants - Edit'!N$1,FALSE)))</f>
        <v xml:space="preserve"> - </v>
      </c>
      <c r="O399" s="3">
        <f>IF(VLOOKUP($C399,'All Girls &amp; Descendants - Edit'!$C$2:$AK$440,'All Girls &amp; Descendants - Edit'!O$1,FALSE)="","",(VLOOKUP($C399,'All Girls &amp; Descendants - Edit'!$C$2:$AK$440,'All Girls &amp; Descendants - Edit'!O$1,FALSE)))</f>
        <v>32188</v>
      </c>
      <c r="P399" s="3" t="str">
        <f t="shared" si="47"/>
        <v>15/02/1988</v>
      </c>
      <c r="Q399" s="178" t="str">
        <f t="shared" si="48"/>
        <v>18bbbb</v>
      </c>
      <c r="R399" s="23"/>
      <c r="S399" t="str">
        <f>VLOOKUP($C399,'All Girls &amp; Descendants - Edit'!$C$2:$AK$440,'All Girls &amp; Descendants - Edit'!S$1,FALSE)</f>
        <v>Male</v>
      </c>
      <c r="T399" s="176">
        <f t="shared" si="45"/>
        <v>7</v>
      </c>
      <c r="U399" s="176">
        <f t="shared" si="49"/>
        <v>7</v>
      </c>
      <c r="V399" s="176">
        <f t="shared" si="50"/>
        <v>2</v>
      </c>
      <c r="W399" s="177">
        <f t="shared" si="51"/>
        <v>5</v>
      </c>
      <c r="X399" s="3" t="str">
        <f>IF(VLOOKUP($C399,'All Girls &amp; Descendants - Edit'!$C$2:$AK$440,'All Girls &amp; Descendants - Edit'!X$1,FALSE)=""," - ",(VLOOKUP($C399,'All Girls &amp; Descendants - Edit'!$C$2:$AK$440,'All Girls &amp; Descendants - Edit'!X$1,FALSE)))</f>
        <v xml:space="preserve"> - </v>
      </c>
      <c r="Y399" s="3" t="str">
        <f>IF(VLOOKUP($C399,'All Girls &amp; Descendants - Edit'!$C$2:$AK$440,'All Girls &amp; Descendants - Edit'!Y$1,FALSE)=""," - ",(VLOOKUP($C399,'All Girls &amp; Descendants - Edit'!$C$2:$AK$440,'All Girls &amp; Descendants - Edit'!Y$1,FALSE)))</f>
        <v xml:space="preserve"> - </v>
      </c>
      <c r="Z399" s="3" t="str">
        <f>IF(VLOOKUP($C399,'All Girls &amp; Descendants - Edit'!$C$2:$AK$440,'All Girls &amp; Descendants - Edit'!Z$1,FALSE)=""," - ",(VLOOKUP($C399,'All Girls &amp; Descendants - Edit'!$C$2:$AK$440,'All Girls &amp; Descendants - Edit'!Z$1,FALSE)))</f>
        <v xml:space="preserve"> - </v>
      </c>
      <c r="AA399" s="101">
        <f>IF(VLOOKUP($C399,'All Girls &amp; Descendants - Edit'!$C$2:$AK$440,'All Girls &amp; Descendants - Edit'!AA$1,FALSE)=""," - ",(VLOOKUP($C399,'All Girls &amp; Descendants - Edit'!$C$2:$AK$440,'All Girls &amp; Descendants - Edit'!AA$1,FALSE)))</f>
        <v>45</v>
      </c>
      <c r="AB399" s="101">
        <f>IF(VLOOKUP($C399,'All Girls &amp; Descendants - Edit'!$C$2:$AK$440,'All Girls &amp; Descendants - Edit'!AB$1,FALSE)=""," - ",(VLOOKUP($C399,'All Girls &amp; Descendants - Edit'!$C$2:$AK$440,'All Girls &amp; Descendants - Edit'!AB$1,FALSE)))</f>
        <v>14</v>
      </c>
      <c r="AC399" s="101">
        <f>IF(VLOOKUP($C399,'All Girls &amp; Descendants - Edit'!$C$2:$AK$440,'All Girls &amp; Descendants - Edit'!AC$1,FALSE)=""," - ",(VLOOKUP($C399,'All Girls &amp; Descendants - Edit'!$C$2:$AK$440,'All Girls &amp; Descendants - Edit'!AC$1,FALSE)))</f>
        <v>5014</v>
      </c>
      <c r="AD399" s="3" t="str">
        <f>IF(VLOOKUP($C399,'All Girls &amp; Descendants - Edit'!$C$2:$AK$440,'All Girls &amp; Descendants - Edit'!AD$1,FALSE)=""," - ",(VLOOKUP($C399,'All Girls &amp; Descendants - Edit'!$C$2:$AK$440,'All Girls &amp; Descendants - Edit'!AD$1,FALSE)))</f>
        <v>18bbbbc</v>
      </c>
      <c r="AE399" s="3" t="str">
        <f>IF(VLOOKUP($C399,'All Girls &amp; Descendants - Edit'!$C$2:$AK$440,'All Girls &amp; Descendants - Edit'!AE$1,FALSE)=""," - ",(VLOOKUP($C399,'All Girls &amp; Descendants - Edit'!$C$2:$AK$440,'All Girls &amp; Descendants - Edit'!AE$1,FALSE)))</f>
        <v>Johnathan Michael  NICOL (1987 - 1988)</v>
      </c>
      <c r="AF399" s="3" t="str">
        <f>IF(VLOOKUP($C399,'All Girls &amp; Descendants - Edit'!$C$2:$AK$440,'All Girls &amp; Descendants - Edit'!AF$1,FALSE)=""," - ",(VLOOKUP($C399,'All Girls &amp; Descendants - Edit'!$C$2:$AK$440,'All Girls &amp; Descendants - Edit'!AF$1,FALSE)))</f>
        <v>Johnathan NICOL (7th &amp; 18)</v>
      </c>
      <c r="AG399" s="3" t="str">
        <f>IF(VLOOKUP($C399,'All Girls &amp; Descendants - Edit'!$C$2:$AK$440,'All Girls &amp; Descendants - Edit'!AG$1,FALSE)=""," - ",(VLOOKUP($C399,'All Girls &amp; Descendants - Edit'!$C$2:$AK$440,'All Girls &amp; Descendants - Edit'!AG$1,FALSE)))</f>
        <v>Male</v>
      </c>
      <c r="AH399" s="3" t="str">
        <f>IF(VLOOKUP($C399,'All Girls &amp; Descendants - Edit'!$C$2:$AK$440,'All Girls &amp; Descendants - Edit'!AH$1,FALSE)=""," - ",(VLOOKUP($C399,'All Girls &amp; Descendants - Edit'!$C$2:$AK$440,'All Girls &amp; Descendants - Edit'!AH$1,FALSE)))</f>
        <v>7th</v>
      </c>
      <c r="AI399" s="3" t="str">
        <f>IF(VLOOKUP($C399,'All Girls &amp; Descendants - Edit'!$C$2:$AK$440,'All Girls &amp; Descendants - Edit'!AI$1,FALSE)=""," - ",(VLOOKUP($C399,'All Girls &amp; Descendants - Edit'!$C$2:$AK$440,'All Girls &amp; Descendants - Edit'!AI$1,FALSE)))</f>
        <v>Unmarried</v>
      </c>
      <c r="AJ399" s="3" t="str">
        <f>IF(VLOOKUP($C399,'All Girls &amp; Descendants - Edit'!$C$2:$AK$440,'All Girls &amp; Descendants - Edit'!AJ$1,FALSE)=""," - ",(VLOOKUP($C399,'All Girls &amp; Descendants - Edit'!$C$2:$AK$440,'All Girls &amp; Descendants - Edit'!AJ$1,FALSE)))</f>
        <v>Male. b. 08/11/1987, d. 15/02/1988.</v>
      </c>
      <c r="AK399" s="3" t="str">
        <f>IF(VLOOKUP($C399,'All Girls &amp; Descendants - Edit'!$C$2:$AK$440,'All Girls &amp; Descendants - Edit'!AK$1,FALSE)=""," - ",(VLOOKUP($C399,'All Girls &amp; Descendants - Edit'!$C$2:$AK$440,'All Girls &amp; Descendants - Edit'!AK$1,FALSE)))</f>
        <v>b. 08/11/1987, d. 15/02/1988.</v>
      </c>
    </row>
    <row r="400" spans="1:37" ht="19">
      <c r="A400">
        <f>VLOOKUP(B400,'Loyd List 1-190 - Edit'!$P$1:$R$219,3,FALSE)</f>
        <v>8</v>
      </c>
      <c r="B400">
        <f>'All Girls &amp; Descendants - Edit'!B401</f>
        <v>18</v>
      </c>
      <c r="C400" s="98" t="str">
        <f>'All Girls &amp; Descendants - Edit'!C401</f>
        <v>18bbbbd</v>
      </c>
      <c r="D400" s="2" t="str">
        <f>'All Girls &amp; Descendants - Edit'!D401</f>
        <v>NICOL</v>
      </c>
      <c r="E400" t="str">
        <f>'All Girls &amp; Descendants - Edit'!E401</f>
        <v>James</v>
      </c>
      <c r="F400" t="str">
        <f>IF('All Girls &amp; Descendants - Edit'!F401="","",'All Girls &amp; Descendants - Edit'!F401)</f>
        <v>Peter</v>
      </c>
      <c r="G400" t="str">
        <f>IF('All Girls &amp; Descendants - Edit'!G401="","",'All Girls &amp; Descendants - Edit'!G401)</f>
        <v>Robert</v>
      </c>
      <c r="H400" t="str">
        <f>IF('All Girls &amp; Descendants - Edit'!H401="","",'All Girls &amp; Descendants - Edit'!H401)</f>
        <v/>
      </c>
      <c r="I400">
        <f>VLOOKUP($C400,'All Girls &amp; Descendants - Edit'!$C$2:$AK$440,'All Girls &amp; Descendants - Edit'!I$1,FALSE)</f>
        <v>1991</v>
      </c>
      <c r="J400" t="str">
        <f>VLOOKUP($C400,'All Girls &amp; Descendants - Edit'!$C$2:$AK$440,'All Girls &amp; Descendants - Edit'!J$1,FALSE)</f>
        <v/>
      </c>
      <c r="K400" s="9"/>
      <c r="L400" t="str">
        <f t="shared" si="46"/>
        <v>23/01/1991</v>
      </c>
      <c r="M400" s="3">
        <f>VLOOKUP($C400,'All Girls &amp; Descendants - Edit'!$C$2:$AK$440,'All Girls &amp; Descendants - Edit'!M$1,FALSE)</f>
        <v>33261</v>
      </c>
      <c r="N400" s="3" t="str">
        <f>IF(VLOOKUP($C400,'All Girls &amp; Descendants - Edit'!$C$2:$AK$440,'All Girls &amp; Descendants - Edit'!N$1,FALSE)=""," - ",(VLOOKUP($C400,'All Girls &amp; Descendants - Edit'!$C$2:$AK$440,'All Girls &amp; Descendants - Edit'!N$1,FALSE)))</f>
        <v xml:space="preserve"> - </v>
      </c>
      <c r="O400" s="3" t="str">
        <f>IF(VLOOKUP($C400,'All Girls &amp; Descendants - Edit'!$C$2:$AK$440,'All Girls &amp; Descendants - Edit'!O$1,FALSE)="","",(VLOOKUP($C400,'All Girls &amp; Descendants - Edit'!$C$2:$AK$440,'All Girls &amp; Descendants - Edit'!O$1,FALSE)))</f>
        <v/>
      </c>
      <c r="P400" s="3" t="str">
        <f t="shared" si="47"/>
        <v/>
      </c>
      <c r="Q400" s="178" t="str">
        <f t="shared" si="48"/>
        <v>18bbbb</v>
      </c>
      <c r="R400" s="23"/>
      <c r="S400" t="str">
        <f>VLOOKUP($C400,'All Girls &amp; Descendants - Edit'!$C$2:$AK$440,'All Girls &amp; Descendants - Edit'!S$1,FALSE)</f>
        <v>Male</v>
      </c>
      <c r="T400" s="176">
        <f t="shared" si="45"/>
        <v>7</v>
      </c>
      <c r="U400" s="176">
        <f t="shared" si="49"/>
        <v>7</v>
      </c>
      <c r="V400" s="176">
        <f t="shared" si="50"/>
        <v>2</v>
      </c>
      <c r="W400" s="177">
        <f t="shared" si="51"/>
        <v>5</v>
      </c>
      <c r="X400" s="3" t="str">
        <f>IF(VLOOKUP($C400,'All Girls &amp; Descendants - Edit'!$C$2:$AK$440,'All Girls &amp; Descendants - Edit'!X$1,FALSE)=""," - ",(VLOOKUP($C400,'All Girls &amp; Descendants - Edit'!$C$2:$AK$440,'All Girls &amp; Descendants - Edit'!X$1,FALSE)))</f>
        <v xml:space="preserve"> - </v>
      </c>
      <c r="Y400" s="3" t="str">
        <f>IF(VLOOKUP($C400,'All Girls &amp; Descendants - Edit'!$C$2:$AK$440,'All Girls &amp; Descendants - Edit'!Y$1,FALSE)=""," - ",(VLOOKUP($C400,'All Girls &amp; Descendants - Edit'!$C$2:$AK$440,'All Girls &amp; Descendants - Edit'!Y$1,FALSE)))</f>
        <v xml:space="preserve"> - </v>
      </c>
      <c r="Z400" s="3" t="str">
        <f>IF(VLOOKUP($C400,'All Girls &amp; Descendants - Edit'!$C$2:$AK$440,'All Girls &amp; Descendants - Edit'!Z$1,FALSE)=""," - ",(VLOOKUP($C400,'All Girls &amp; Descendants - Edit'!$C$2:$AK$440,'All Girls &amp; Descendants - Edit'!Z$1,FALSE)))</f>
        <v xml:space="preserve"> - </v>
      </c>
      <c r="AA400" s="101">
        <f>IF(VLOOKUP($C400,'All Girls &amp; Descendants - Edit'!$C$2:$AK$440,'All Girls &amp; Descendants - Edit'!AA$1,FALSE)=""," - ",(VLOOKUP($C400,'All Girls &amp; Descendants - Edit'!$C$2:$AK$440,'All Girls &amp; Descendants - Edit'!AA$1,FALSE)))</f>
        <v>46</v>
      </c>
      <c r="AB400" s="101">
        <f>IF(VLOOKUP($C400,'All Girls &amp; Descendants - Edit'!$C$2:$AK$440,'All Girls &amp; Descendants - Edit'!AB$1,FALSE)=""," - ",(VLOOKUP($C400,'All Girls &amp; Descendants - Edit'!$C$2:$AK$440,'All Girls &amp; Descendants - Edit'!AB$1,FALSE)))</f>
        <v>15</v>
      </c>
      <c r="AC400" s="101">
        <f>IF(VLOOKUP($C400,'All Girls &amp; Descendants - Edit'!$C$2:$AK$440,'All Girls &amp; Descendants - Edit'!AC$1,FALSE)=""," - ",(VLOOKUP($C400,'All Girls &amp; Descendants - Edit'!$C$2:$AK$440,'All Girls &amp; Descendants - Edit'!AC$1,FALSE)))</f>
        <v>5015</v>
      </c>
      <c r="AD400" s="3" t="str">
        <f>IF(VLOOKUP($C400,'All Girls &amp; Descendants - Edit'!$C$2:$AK$440,'All Girls &amp; Descendants - Edit'!AD$1,FALSE)=""," - ",(VLOOKUP($C400,'All Girls &amp; Descendants - Edit'!$C$2:$AK$440,'All Girls &amp; Descendants - Edit'!AD$1,FALSE)))</f>
        <v>18bbbbd</v>
      </c>
      <c r="AE400" s="3" t="str">
        <f>IF(VLOOKUP($C400,'All Girls &amp; Descendants - Edit'!$C$2:$AK$440,'All Girls &amp; Descendants - Edit'!AE$1,FALSE)=""," - ",(VLOOKUP($C400,'All Girls &amp; Descendants - Edit'!$C$2:$AK$440,'All Girls &amp; Descendants - Edit'!AE$1,FALSE)))</f>
        <v>James Peter Robert NICOL (1991 - )</v>
      </c>
      <c r="AF400" s="3" t="str">
        <f>IF(VLOOKUP($C400,'All Girls &amp; Descendants - Edit'!$C$2:$AK$440,'All Girls &amp; Descendants - Edit'!AF$1,FALSE)=""," - ",(VLOOKUP($C400,'All Girls &amp; Descendants - Edit'!$C$2:$AK$440,'All Girls &amp; Descendants - Edit'!AF$1,FALSE)))</f>
        <v>James NICOL (7th &amp; 18)</v>
      </c>
      <c r="AG400" s="3" t="str">
        <f>IF(VLOOKUP($C400,'All Girls &amp; Descendants - Edit'!$C$2:$AK$440,'All Girls &amp; Descendants - Edit'!AG$1,FALSE)=""," - ",(VLOOKUP($C400,'All Girls &amp; Descendants - Edit'!$C$2:$AK$440,'All Girls &amp; Descendants - Edit'!AG$1,FALSE)))</f>
        <v>Male</v>
      </c>
      <c r="AH400" s="3" t="str">
        <f>IF(VLOOKUP($C400,'All Girls &amp; Descendants - Edit'!$C$2:$AK$440,'All Girls &amp; Descendants - Edit'!AH$1,FALSE)=""," - ",(VLOOKUP($C400,'All Girls &amp; Descendants - Edit'!$C$2:$AK$440,'All Girls &amp; Descendants - Edit'!AH$1,FALSE)))</f>
        <v>7th</v>
      </c>
      <c r="AI400" s="3" t="str">
        <f>IF(VLOOKUP($C400,'All Girls &amp; Descendants - Edit'!$C$2:$AK$440,'All Girls &amp; Descendants - Edit'!AI$1,FALSE)=""," - ",(VLOOKUP($C400,'All Girls &amp; Descendants - Edit'!$C$2:$AK$440,'All Girls &amp; Descendants - Edit'!AI$1,FALSE)))</f>
        <v>Unmarried</v>
      </c>
      <c r="AJ400" s="3" t="str">
        <f>IF(VLOOKUP($C400,'All Girls &amp; Descendants - Edit'!$C$2:$AK$440,'All Girls &amp; Descendants - Edit'!AJ$1,FALSE)=""," - ",(VLOOKUP($C400,'All Girls &amp; Descendants - Edit'!$C$2:$AK$440,'All Girls &amp; Descendants - Edit'!AJ$1,FALSE)))</f>
        <v>Male. b. 23/01/1991</v>
      </c>
      <c r="AK400" s="3" t="str">
        <f>IF(VLOOKUP($C400,'All Girls &amp; Descendants - Edit'!$C$2:$AK$440,'All Girls &amp; Descendants - Edit'!AK$1,FALSE)=""," - ",(VLOOKUP($C400,'All Girls &amp; Descendants - Edit'!$C$2:$AK$440,'All Girls &amp; Descendants - Edit'!AK$1,FALSE)))</f>
        <v>b. 23/01/1991</v>
      </c>
    </row>
    <row r="401" spans="1:37" ht="19">
      <c r="A401">
        <f>VLOOKUP(B401,'Loyd List 1-190 - Edit'!$P$1:$R$219,3,FALSE)</f>
        <v>8</v>
      </c>
      <c r="B401">
        <f>'All Girls &amp; Descendants - Edit'!B402</f>
        <v>18</v>
      </c>
      <c r="C401" s="98" t="str">
        <f>'All Girls &amp; Descendants - Edit'!C402</f>
        <v>18bbbca</v>
      </c>
      <c r="D401" s="2" t="str">
        <f>'All Girls &amp; Descendants - Edit'!D402</f>
        <v>NICOL</v>
      </c>
      <c r="E401" t="str">
        <f>'All Girls &amp; Descendants - Edit'!E402</f>
        <v>Abigail</v>
      </c>
      <c r="F401" t="str">
        <f>IF('All Girls &amp; Descendants - Edit'!F402="","",'All Girls &amp; Descendants - Edit'!F402)</f>
        <v>Elizabeth</v>
      </c>
      <c r="G401" t="str">
        <f>IF('All Girls &amp; Descendants - Edit'!G402="","",'All Girls &amp; Descendants - Edit'!G402)</f>
        <v/>
      </c>
      <c r="H401" t="str">
        <f>IF('All Girls &amp; Descendants - Edit'!H402="","",'All Girls &amp; Descendants - Edit'!H402)</f>
        <v/>
      </c>
      <c r="I401">
        <f>VLOOKUP($C401,'All Girls &amp; Descendants - Edit'!$C$2:$AK$440,'All Girls &amp; Descendants - Edit'!I$1,FALSE)</f>
        <v>1985</v>
      </c>
      <c r="J401" t="str">
        <f>VLOOKUP($C401,'All Girls &amp; Descendants - Edit'!$C$2:$AK$440,'All Girls &amp; Descendants - Edit'!J$1,FALSE)</f>
        <v/>
      </c>
      <c r="K401" s="9"/>
      <c r="L401" t="str">
        <f t="shared" si="46"/>
        <v>24/11/1985</v>
      </c>
      <c r="M401" s="3">
        <f>VLOOKUP($C401,'All Girls &amp; Descendants - Edit'!$C$2:$AK$440,'All Girls &amp; Descendants - Edit'!M$1,FALSE)</f>
        <v>31375</v>
      </c>
      <c r="N401" s="3" t="str">
        <f>IF(VLOOKUP($C401,'All Girls &amp; Descendants - Edit'!$C$2:$AK$440,'All Girls &amp; Descendants - Edit'!N$1,FALSE)=""," - ",(VLOOKUP($C401,'All Girls &amp; Descendants - Edit'!$C$2:$AK$440,'All Girls &amp; Descendants - Edit'!N$1,FALSE)))</f>
        <v xml:space="preserve"> - </v>
      </c>
      <c r="O401" s="3" t="str">
        <f>IF(VLOOKUP($C401,'All Girls &amp; Descendants - Edit'!$C$2:$AK$440,'All Girls &amp; Descendants - Edit'!O$1,FALSE)="","",(VLOOKUP($C401,'All Girls &amp; Descendants - Edit'!$C$2:$AK$440,'All Girls &amp; Descendants - Edit'!O$1,FALSE)))</f>
        <v/>
      </c>
      <c r="P401" s="3" t="str">
        <f t="shared" si="47"/>
        <v/>
      </c>
      <c r="Q401" s="178" t="str">
        <f t="shared" si="48"/>
        <v>18bbbc</v>
      </c>
      <c r="R401" s="23"/>
      <c r="S401" t="str">
        <f>VLOOKUP($C401,'All Girls &amp; Descendants - Edit'!$C$2:$AK$440,'All Girls &amp; Descendants - Edit'!S$1,FALSE)</f>
        <v>Female</v>
      </c>
      <c r="T401" s="176">
        <f t="shared" si="45"/>
        <v>7</v>
      </c>
      <c r="U401" s="176">
        <f t="shared" si="49"/>
        <v>7</v>
      </c>
      <c r="V401" s="176">
        <f t="shared" si="50"/>
        <v>2</v>
      </c>
      <c r="W401" s="177">
        <f t="shared" si="51"/>
        <v>5</v>
      </c>
      <c r="X401" s="3" t="str">
        <f>IF(VLOOKUP($C401,'All Girls &amp; Descendants - Edit'!$C$2:$AK$440,'All Girls &amp; Descendants - Edit'!X$1,FALSE)=""," - ",(VLOOKUP($C401,'All Girls &amp; Descendants - Edit'!$C$2:$AK$440,'All Girls &amp; Descendants - Edit'!X$1,FALSE)))</f>
        <v xml:space="preserve"> - </v>
      </c>
      <c r="Y401" s="3" t="str">
        <f>IF(VLOOKUP($C401,'All Girls &amp; Descendants - Edit'!$C$2:$AK$440,'All Girls &amp; Descendants - Edit'!Y$1,FALSE)=""," - ",(VLOOKUP($C401,'All Girls &amp; Descendants - Edit'!$C$2:$AK$440,'All Girls &amp; Descendants - Edit'!Y$1,FALSE)))</f>
        <v xml:space="preserve"> - </v>
      </c>
      <c r="Z401" s="3" t="str">
        <f>IF(VLOOKUP($C401,'All Girls &amp; Descendants - Edit'!$C$2:$AK$440,'All Girls &amp; Descendants - Edit'!Z$1,FALSE)=""," - ",(VLOOKUP($C401,'All Girls &amp; Descendants - Edit'!$C$2:$AK$440,'All Girls &amp; Descendants - Edit'!Z$1,FALSE)))</f>
        <v>Twin with her sister Jennifer.</v>
      </c>
      <c r="AA401" s="101">
        <f>IF(VLOOKUP($C401,'All Girls &amp; Descendants - Edit'!$C$2:$AK$440,'All Girls &amp; Descendants - Edit'!AA$1,FALSE)=""," - ",(VLOOKUP($C401,'All Girls &amp; Descendants - Edit'!$C$2:$AK$440,'All Girls &amp; Descendants - Edit'!AA$1,FALSE)))</f>
        <v>48</v>
      </c>
      <c r="AB401" s="101">
        <f>IF(VLOOKUP($C401,'All Girls &amp; Descendants - Edit'!$C$2:$AK$440,'All Girls &amp; Descendants - Edit'!AB$1,FALSE)=""," - ",(VLOOKUP($C401,'All Girls &amp; Descendants - Edit'!$C$2:$AK$440,'All Girls &amp; Descendants - Edit'!AB$1,FALSE)))</f>
        <v>16</v>
      </c>
      <c r="AC401" s="101">
        <f>IF(VLOOKUP($C401,'All Girls &amp; Descendants - Edit'!$C$2:$AK$440,'All Girls &amp; Descendants - Edit'!AC$1,FALSE)=""," - ",(VLOOKUP($C401,'All Girls &amp; Descendants - Edit'!$C$2:$AK$440,'All Girls &amp; Descendants - Edit'!AC$1,FALSE)))</f>
        <v>5016</v>
      </c>
      <c r="AD401" s="3" t="str">
        <f>IF(VLOOKUP($C401,'All Girls &amp; Descendants - Edit'!$C$2:$AK$440,'All Girls &amp; Descendants - Edit'!AD$1,FALSE)=""," - ",(VLOOKUP($C401,'All Girls &amp; Descendants - Edit'!$C$2:$AK$440,'All Girls &amp; Descendants - Edit'!AD$1,FALSE)))</f>
        <v>18bbbca</v>
      </c>
      <c r="AE401" s="3" t="str">
        <f>IF(VLOOKUP($C401,'All Girls &amp; Descendants - Edit'!$C$2:$AK$440,'All Girls &amp; Descendants - Edit'!AE$1,FALSE)=""," - ",(VLOOKUP($C401,'All Girls &amp; Descendants - Edit'!$C$2:$AK$440,'All Girls &amp; Descendants - Edit'!AE$1,FALSE)))</f>
        <v>Abigail Elizabeth  NICOL (1985 - )</v>
      </c>
      <c r="AF401" s="3" t="str">
        <f>IF(VLOOKUP($C401,'All Girls &amp; Descendants - Edit'!$C$2:$AK$440,'All Girls &amp; Descendants - Edit'!AF$1,FALSE)=""," - ",(VLOOKUP($C401,'All Girls &amp; Descendants - Edit'!$C$2:$AK$440,'All Girls &amp; Descendants - Edit'!AF$1,FALSE)))</f>
        <v>Abigail NICOL (7th &amp; 18)</v>
      </c>
      <c r="AG401" s="3" t="str">
        <f>IF(VLOOKUP($C401,'All Girls &amp; Descendants - Edit'!$C$2:$AK$440,'All Girls &amp; Descendants - Edit'!AG$1,FALSE)=""," - ",(VLOOKUP($C401,'All Girls &amp; Descendants - Edit'!$C$2:$AK$440,'All Girls &amp; Descendants - Edit'!AG$1,FALSE)))</f>
        <v>Female</v>
      </c>
      <c r="AH401" s="3" t="str">
        <f>IF(VLOOKUP($C401,'All Girls &amp; Descendants - Edit'!$C$2:$AK$440,'All Girls &amp; Descendants - Edit'!AH$1,FALSE)=""," - ",(VLOOKUP($C401,'All Girls &amp; Descendants - Edit'!$C$2:$AK$440,'All Girls &amp; Descendants - Edit'!AH$1,FALSE)))</f>
        <v>7th</v>
      </c>
      <c r="AI401" s="3" t="str">
        <f>IF(VLOOKUP($C401,'All Girls &amp; Descendants - Edit'!$C$2:$AK$440,'All Girls &amp; Descendants - Edit'!AI$1,FALSE)=""," - ",(VLOOKUP($C401,'All Girls &amp; Descendants - Edit'!$C$2:$AK$440,'All Girls &amp; Descendants - Edit'!AI$1,FALSE)))</f>
        <v>Unmarried</v>
      </c>
      <c r="AJ401" s="3" t="str">
        <f>IF(VLOOKUP($C401,'All Girls &amp; Descendants - Edit'!$C$2:$AK$440,'All Girls &amp; Descendants - Edit'!AJ$1,FALSE)=""," - ",(VLOOKUP($C401,'All Girls &amp; Descendants - Edit'!$C$2:$AK$440,'All Girls &amp; Descendants - Edit'!AJ$1,FALSE)))</f>
        <v>Female. b. 24/11/1985 Twin with her sister Jennifer.</v>
      </c>
      <c r="AK401" s="3" t="str">
        <f>IF(VLOOKUP($C401,'All Girls &amp; Descendants - Edit'!$C$2:$AK$440,'All Girls &amp; Descendants - Edit'!AK$1,FALSE)=""," - ",(VLOOKUP($C401,'All Girls &amp; Descendants - Edit'!$C$2:$AK$440,'All Girls &amp; Descendants - Edit'!AK$1,FALSE)))</f>
        <v>b. 24/11/1985</v>
      </c>
    </row>
    <row r="402" spans="1:37" ht="19">
      <c r="A402">
        <f>VLOOKUP(B402,'Loyd List 1-190 - Edit'!$P$1:$R$219,3,FALSE)</f>
        <v>8</v>
      </c>
      <c r="B402">
        <f>'All Girls &amp; Descendants - Edit'!B403</f>
        <v>18</v>
      </c>
      <c r="C402" s="98" t="str">
        <f>'All Girls &amp; Descendants - Edit'!C403</f>
        <v>18bbbcb</v>
      </c>
      <c r="D402" s="2" t="str">
        <f>'All Girls &amp; Descendants - Edit'!D403</f>
        <v>NICOL</v>
      </c>
      <c r="E402" t="str">
        <f>'All Girls &amp; Descendants - Edit'!E403</f>
        <v>Jennifer</v>
      </c>
      <c r="F402" t="str">
        <f>IF('All Girls &amp; Descendants - Edit'!F403="","",'All Girls &amp; Descendants - Edit'!F403)</f>
        <v>Catherine</v>
      </c>
      <c r="G402" t="str">
        <f>IF('All Girls &amp; Descendants - Edit'!G403="","",'All Girls &amp; Descendants - Edit'!G403)</f>
        <v/>
      </c>
      <c r="H402" t="str">
        <f>IF('All Girls &amp; Descendants - Edit'!H403="","",'All Girls &amp; Descendants - Edit'!H403)</f>
        <v/>
      </c>
      <c r="I402">
        <f>VLOOKUP($C402,'All Girls &amp; Descendants - Edit'!$C$2:$AK$440,'All Girls &amp; Descendants - Edit'!I$1,FALSE)</f>
        <v>1985</v>
      </c>
      <c r="J402" t="str">
        <f>VLOOKUP($C402,'All Girls &amp; Descendants - Edit'!$C$2:$AK$440,'All Girls &amp; Descendants - Edit'!J$1,FALSE)</f>
        <v/>
      </c>
      <c r="K402" s="9"/>
      <c r="L402" t="str">
        <f t="shared" si="46"/>
        <v>24/11/1985</v>
      </c>
      <c r="M402" s="3">
        <f>VLOOKUP($C402,'All Girls &amp; Descendants - Edit'!$C$2:$AK$440,'All Girls &amp; Descendants - Edit'!M$1,FALSE)</f>
        <v>31375</v>
      </c>
      <c r="N402" s="3" t="str">
        <f>IF(VLOOKUP($C402,'All Girls &amp; Descendants - Edit'!$C$2:$AK$440,'All Girls &amp; Descendants - Edit'!N$1,FALSE)=""," - ",(VLOOKUP($C402,'All Girls &amp; Descendants - Edit'!$C$2:$AK$440,'All Girls &amp; Descendants - Edit'!N$1,FALSE)))</f>
        <v xml:space="preserve"> - </v>
      </c>
      <c r="O402" s="3" t="str">
        <f>IF(VLOOKUP($C402,'All Girls &amp; Descendants - Edit'!$C$2:$AK$440,'All Girls &amp; Descendants - Edit'!O$1,FALSE)="","",(VLOOKUP($C402,'All Girls &amp; Descendants - Edit'!$C$2:$AK$440,'All Girls &amp; Descendants - Edit'!O$1,FALSE)))</f>
        <v/>
      </c>
      <c r="P402" s="3" t="str">
        <f t="shared" si="47"/>
        <v/>
      </c>
      <c r="Q402" s="178" t="str">
        <f t="shared" si="48"/>
        <v>18bbbc</v>
      </c>
      <c r="R402" s="23"/>
      <c r="S402" t="str">
        <f>VLOOKUP($C402,'All Girls &amp; Descendants - Edit'!$C$2:$AK$440,'All Girls &amp; Descendants - Edit'!S$1,FALSE)</f>
        <v>Female</v>
      </c>
      <c r="T402" s="176">
        <f t="shared" si="45"/>
        <v>7</v>
      </c>
      <c r="U402" s="176">
        <f t="shared" si="49"/>
        <v>7</v>
      </c>
      <c r="V402" s="176">
        <f t="shared" si="50"/>
        <v>2</v>
      </c>
      <c r="W402" s="177">
        <f t="shared" si="51"/>
        <v>5</v>
      </c>
      <c r="X402" s="3" t="str">
        <f>IF(VLOOKUP($C402,'All Girls &amp; Descendants - Edit'!$C$2:$AK$440,'All Girls &amp; Descendants - Edit'!X$1,FALSE)=""," - ",(VLOOKUP($C402,'All Girls &amp; Descendants - Edit'!$C$2:$AK$440,'All Girls &amp; Descendants - Edit'!X$1,FALSE)))</f>
        <v xml:space="preserve"> - </v>
      </c>
      <c r="Y402" s="3" t="str">
        <f>IF(VLOOKUP($C402,'All Girls &amp; Descendants - Edit'!$C$2:$AK$440,'All Girls &amp; Descendants - Edit'!Y$1,FALSE)=""," - ",(VLOOKUP($C402,'All Girls &amp; Descendants - Edit'!$C$2:$AK$440,'All Girls &amp; Descendants - Edit'!Y$1,FALSE)))</f>
        <v xml:space="preserve"> - </v>
      </c>
      <c r="Z402" s="3" t="str">
        <f>IF(VLOOKUP($C402,'All Girls &amp; Descendants - Edit'!$C$2:$AK$440,'All Girls &amp; Descendants - Edit'!Z$1,FALSE)=""," - ",(VLOOKUP($C402,'All Girls &amp; Descendants - Edit'!$C$2:$AK$440,'All Girls &amp; Descendants - Edit'!Z$1,FALSE)))</f>
        <v>Twin with her sister, Abigail</v>
      </c>
      <c r="AA402" s="101">
        <f>IF(VLOOKUP($C402,'All Girls &amp; Descendants - Edit'!$C$2:$AK$440,'All Girls &amp; Descendants - Edit'!AA$1,FALSE)=""," - ",(VLOOKUP($C402,'All Girls &amp; Descendants - Edit'!$C$2:$AK$440,'All Girls &amp; Descendants - Edit'!AA$1,FALSE)))</f>
        <v>49</v>
      </c>
      <c r="AB402" s="101">
        <f>IF(VLOOKUP($C402,'All Girls &amp; Descendants - Edit'!$C$2:$AK$440,'All Girls &amp; Descendants - Edit'!AB$1,FALSE)=""," - ",(VLOOKUP($C402,'All Girls &amp; Descendants - Edit'!$C$2:$AK$440,'All Girls &amp; Descendants - Edit'!AB$1,FALSE)))</f>
        <v>17</v>
      </c>
      <c r="AC402" s="101">
        <f>IF(VLOOKUP($C402,'All Girls &amp; Descendants - Edit'!$C$2:$AK$440,'All Girls &amp; Descendants - Edit'!AC$1,FALSE)=""," - ",(VLOOKUP($C402,'All Girls &amp; Descendants - Edit'!$C$2:$AK$440,'All Girls &amp; Descendants - Edit'!AC$1,FALSE)))</f>
        <v>5017</v>
      </c>
      <c r="AD402" s="3" t="str">
        <f>IF(VLOOKUP($C402,'All Girls &amp; Descendants - Edit'!$C$2:$AK$440,'All Girls &amp; Descendants - Edit'!AD$1,FALSE)=""," - ",(VLOOKUP($C402,'All Girls &amp; Descendants - Edit'!$C$2:$AK$440,'All Girls &amp; Descendants - Edit'!AD$1,FALSE)))</f>
        <v>18bbbcb</v>
      </c>
      <c r="AE402" s="3" t="str">
        <f>IF(VLOOKUP($C402,'All Girls &amp; Descendants - Edit'!$C$2:$AK$440,'All Girls &amp; Descendants - Edit'!AE$1,FALSE)=""," - ",(VLOOKUP($C402,'All Girls &amp; Descendants - Edit'!$C$2:$AK$440,'All Girls &amp; Descendants - Edit'!AE$1,FALSE)))</f>
        <v>Jennifer Catherine  NICOL (1985 - )</v>
      </c>
      <c r="AF402" s="3" t="str">
        <f>IF(VLOOKUP($C402,'All Girls &amp; Descendants - Edit'!$C$2:$AK$440,'All Girls &amp; Descendants - Edit'!AF$1,FALSE)=""," - ",(VLOOKUP($C402,'All Girls &amp; Descendants - Edit'!$C$2:$AK$440,'All Girls &amp; Descendants - Edit'!AF$1,FALSE)))</f>
        <v>Jennifer NICOL (7th &amp; 18)</v>
      </c>
      <c r="AG402" s="3" t="str">
        <f>IF(VLOOKUP($C402,'All Girls &amp; Descendants - Edit'!$C$2:$AK$440,'All Girls &amp; Descendants - Edit'!AG$1,FALSE)=""," - ",(VLOOKUP($C402,'All Girls &amp; Descendants - Edit'!$C$2:$AK$440,'All Girls &amp; Descendants - Edit'!AG$1,FALSE)))</f>
        <v>Female</v>
      </c>
      <c r="AH402" s="3" t="str">
        <f>IF(VLOOKUP($C402,'All Girls &amp; Descendants - Edit'!$C$2:$AK$440,'All Girls &amp; Descendants - Edit'!AH$1,FALSE)=""," - ",(VLOOKUP($C402,'All Girls &amp; Descendants - Edit'!$C$2:$AK$440,'All Girls &amp; Descendants - Edit'!AH$1,FALSE)))</f>
        <v>7th</v>
      </c>
      <c r="AI402" s="3" t="str">
        <f>IF(VLOOKUP($C402,'All Girls &amp; Descendants - Edit'!$C$2:$AK$440,'All Girls &amp; Descendants - Edit'!AI$1,FALSE)=""," - ",(VLOOKUP($C402,'All Girls &amp; Descendants - Edit'!$C$2:$AK$440,'All Girls &amp; Descendants - Edit'!AI$1,FALSE)))</f>
        <v>Unmarried</v>
      </c>
      <c r="AJ402" s="3" t="str">
        <f>IF(VLOOKUP($C402,'All Girls &amp; Descendants - Edit'!$C$2:$AK$440,'All Girls &amp; Descendants - Edit'!AJ$1,FALSE)=""," - ",(VLOOKUP($C402,'All Girls &amp; Descendants - Edit'!$C$2:$AK$440,'All Girls &amp; Descendants - Edit'!AJ$1,FALSE)))</f>
        <v>Female. b. 24/11/1985 Twin with her sister, Abigail</v>
      </c>
      <c r="AK402" s="3" t="str">
        <f>IF(VLOOKUP($C402,'All Girls &amp; Descendants - Edit'!$C$2:$AK$440,'All Girls &amp; Descendants - Edit'!AK$1,FALSE)=""," - ",(VLOOKUP($C402,'All Girls &amp; Descendants - Edit'!$C$2:$AK$440,'All Girls &amp; Descendants - Edit'!AK$1,FALSE)))</f>
        <v>b. 24/11/1985</v>
      </c>
    </row>
    <row r="403" spans="1:37" ht="19">
      <c r="A403">
        <f>VLOOKUP(B403,'Loyd List 1-190 - Edit'!$P$1:$R$219,3,FALSE)</f>
        <v>8</v>
      </c>
      <c r="B403">
        <f>'All Girls &amp; Descendants - Edit'!B404</f>
        <v>18</v>
      </c>
      <c r="C403" s="98" t="str">
        <f>'All Girls &amp; Descendants - Edit'!C404</f>
        <v>18bbbcc</v>
      </c>
      <c r="D403" s="2" t="str">
        <f>'All Girls &amp; Descendants - Edit'!D404</f>
        <v>NICOL</v>
      </c>
      <c r="E403" t="str">
        <f>'All Girls &amp; Descendants - Edit'!E404</f>
        <v>Alice</v>
      </c>
      <c r="F403" t="str">
        <f>IF('All Girls &amp; Descendants - Edit'!F404="","",'All Girls &amp; Descendants - Edit'!F404)</f>
        <v>Mary</v>
      </c>
      <c r="G403" t="str">
        <f>IF('All Girls &amp; Descendants - Edit'!G404="","",'All Girls &amp; Descendants - Edit'!G404)</f>
        <v>Rose</v>
      </c>
      <c r="H403" t="str">
        <f>IF('All Girls &amp; Descendants - Edit'!H404="","",'All Girls &amp; Descendants - Edit'!H404)</f>
        <v/>
      </c>
      <c r="I403">
        <f>VLOOKUP($C403,'All Girls &amp; Descendants - Edit'!$C$2:$AK$440,'All Girls &amp; Descendants - Edit'!I$1,FALSE)</f>
        <v>1988</v>
      </c>
      <c r="J403" t="str">
        <f>VLOOKUP($C403,'All Girls &amp; Descendants - Edit'!$C$2:$AK$440,'All Girls &amp; Descendants - Edit'!J$1,FALSE)</f>
        <v/>
      </c>
      <c r="K403" s="9"/>
      <c r="L403" t="str">
        <f t="shared" si="46"/>
        <v>21/01/1988</v>
      </c>
      <c r="M403" s="3">
        <f>VLOOKUP($C403,'All Girls &amp; Descendants - Edit'!$C$2:$AK$440,'All Girls &amp; Descendants - Edit'!M$1,FALSE)</f>
        <v>32163</v>
      </c>
      <c r="N403" s="3" t="str">
        <f>IF(VLOOKUP($C403,'All Girls &amp; Descendants - Edit'!$C$2:$AK$440,'All Girls &amp; Descendants - Edit'!N$1,FALSE)=""," - ",(VLOOKUP($C403,'All Girls &amp; Descendants - Edit'!$C$2:$AK$440,'All Girls &amp; Descendants - Edit'!N$1,FALSE)))</f>
        <v xml:space="preserve"> - </v>
      </c>
      <c r="O403" s="3" t="str">
        <f>IF(VLOOKUP($C403,'All Girls &amp; Descendants - Edit'!$C$2:$AK$440,'All Girls &amp; Descendants - Edit'!O$1,FALSE)="","",(VLOOKUP($C403,'All Girls &amp; Descendants - Edit'!$C$2:$AK$440,'All Girls &amp; Descendants - Edit'!O$1,FALSE)))</f>
        <v/>
      </c>
      <c r="P403" s="3" t="str">
        <f t="shared" si="47"/>
        <v/>
      </c>
      <c r="Q403" s="178" t="str">
        <f t="shared" si="48"/>
        <v>18bbbc</v>
      </c>
      <c r="R403" s="23"/>
      <c r="S403" t="str">
        <f>VLOOKUP($C403,'All Girls &amp; Descendants - Edit'!$C$2:$AK$440,'All Girls &amp; Descendants - Edit'!S$1,FALSE)</f>
        <v>Female</v>
      </c>
      <c r="T403" s="176">
        <f t="shared" si="45"/>
        <v>7</v>
      </c>
      <c r="U403" s="176">
        <f t="shared" si="49"/>
        <v>7</v>
      </c>
      <c r="V403" s="176">
        <f t="shared" si="50"/>
        <v>2</v>
      </c>
      <c r="W403" s="177">
        <f t="shared" si="51"/>
        <v>5</v>
      </c>
      <c r="X403" s="3" t="str">
        <f>IF(VLOOKUP($C403,'All Girls &amp; Descendants - Edit'!$C$2:$AK$440,'All Girls &amp; Descendants - Edit'!X$1,FALSE)=""," - ",(VLOOKUP($C403,'All Girls &amp; Descendants - Edit'!$C$2:$AK$440,'All Girls &amp; Descendants - Edit'!X$1,FALSE)))</f>
        <v xml:space="preserve"> - </v>
      </c>
      <c r="Y403" s="3" t="str">
        <f>IF(VLOOKUP($C403,'All Girls &amp; Descendants - Edit'!$C$2:$AK$440,'All Girls &amp; Descendants - Edit'!Y$1,FALSE)=""," - ",(VLOOKUP($C403,'All Girls &amp; Descendants - Edit'!$C$2:$AK$440,'All Girls &amp; Descendants - Edit'!Y$1,FALSE)))</f>
        <v xml:space="preserve"> - </v>
      </c>
      <c r="Z403" s="3" t="str">
        <f>IF(VLOOKUP($C403,'All Girls &amp; Descendants - Edit'!$C$2:$AK$440,'All Girls &amp; Descendants - Edit'!Z$1,FALSE)=""," - ",(VLOOKUP($C403,'All Girls &amp; Descendants - Edit'!$C$2:$AK$440,'All Girls &amp; Descendants - Edit'!Z$1,FALSE)))</f>
        <v xml:space="preserve"> - </v>
      </c>
      <c r="AA403" s="101">
        <f>IF(VLOOKUP($C403,'All Girls &amp; Descendants - Edit'!$C$2:$AK$440,'All Girls &amp; Descendants - Edit'!AA$1,FALSE)=""," - ",(VLOOKUP($C403,'All Girls &amp; Descendants - Edit'!$C$2:$AK$440,'All Girls &amp; Descendants - Edit'!AA$1,FALSE)))</f>
        <v>50</v>
      </c>
      <c r="AB403" s="101">
        <f>IF(VLOOKUP($C403,'All Girls &amp; Descendants - Edit'!$C$2:$AK$440,'All Girls &amp; Descendants - Edit'!AB$1,FALSE)=""," - ",(VLOOKUP($C403,'All Girls &amp; Descendants - Edit'!$C$2:$AK$440,'All Girls &amp; Descendants - Edit'!AB$1,FALSE)))</f>
        <v>18</v>
      </c>
      <c r="AC403" s="101">
        <f>IF(VLOOKUP($C403,'All Girls &amp; Descendants - Edit'!$C$2:$AK$440,'All Girls &amp; Descendants - Edit'!AC$1,FALSE)=""," - ",(VLOOKUP($C403,'All Girls &amp; Descendants - Edit'!$C$2:$AK$440,'All Girls &amp; Descendants - Edit'!AC$1,FALSE)))</f>
        <v>5018</v>
      </c>
      <c r="AD403" s="3" t="str">
        <f>IF(VLOOKUP($C403,'All Girls &amp; Descendants - Edit'!$C$2:$AK$440,'All Girls &amp; Descendants - Edit'!AD$1,FALSE)=""," - ",(VLOOKUP($C403,'All Girls &amp; Descendants - Edit'!$C$2:$AK$440,'All Girls &amp; Descendants - Edit'!AD$1,FALSE)))</f>
        <v>18bbbcc</v>
      </c>
      <c r="AE403" s="3" t="str">
        <f>IF(VLOOKUP($C403,'All Girls &amp; Descendants - Edit'!$C$2:$AK$440,'All Girls &amp; Descendants - Edit'!AE$1,FALSE)=""," - ",(VLOOKUP($C403,'All Girls &amp; Descendants - Edit'!$C$2:$AK$440,'All Girls &amp; Descendants - Edit'!AE$1,FALSE)))</f>
        <v>Alice Mary Rose NICOL (1988 - )</v>
      </c>
      <c r="AF403" s="3" t="str">
        <f>IF(VLOOKUP($C403,'All Girls &amp; Descendants - Edit'!$C$2:$AK$440,'All Girls &amp; Descendants - Edit'!AF$1,FALSE)=""," - ",(VLOOKUP($C403,'All Girls &amp; Descendants - Edit'!$C$2:$AK$440,'All Girls &amp; Descendants - Edit'!AF$1,FALSE)))</f>
        <v>Alice NICOL (7th &amp; 18)</v>
      </c>
      <c r="AG403" s="3" t="str">
        <f>IF(VLOOKUP($C403,'All Girls &amp; Descendants - Edit'!$C$2:$AK$440,'All Girls &amp; Descendants - Edit'!AG$1,FALSE)=""," - ",(VLOOKUP($C403,'All Girls &amp; Descendants - Edit'!$C$2:$AK$440,'All Girls &amp; Descendants - Edit'!AG$1,FALSE)))</f>
        <v>Female</v>
      </c>
      <c r="AH403" s="3" t="str">
        <f>IF(VLOOKUP($C403,'All Girls &amp; Descendants - Edit'!$C$2:$AK$440,'All Girls &amp; Descendants - Edit'!AH$1,FALSE)=""," - ",(VLOOKUP($C403,'All Girls &amp; Descendants - Edit'!$C$2:$AK$440,'All Girls &amp; Descendants - Edit'!AH$1,FALSE)))</f>
        <v>7th</v>
      </c>
      <c r="AI403" s="3" t="str">
        <f>IF(VLOOKUP($C403,'All Girls &amp; Descendants - Edit'!$C$2:$AK$440,'All Girls &amp; Descendants - Edit'!AI$1,FALSE)=""," - ",(VLOOKUP($C403,'All Girls &amp; Descendants - Edit'!$C$2:$AK$440,'All Girls &amp; Descendants - Edit'!AI$1,FALSE)))</f>
        <v>Unmarried</v>
      </c>
      <c r="AJ403" s="3" t="str">
        <f>IF(VLOOKUP($C403,'All Girls &amp; Descendants - Edit'!$C$2:$AK$440,'All Girls &amp; Descendants - Edit'!AJ$1,FALSE)=""," - ",(VLOOKUP($C403,'All Girls &amp; Descendants - Edit'!$C$2:$AK$440,'All Girls &amp; Descendants - Edit'!AJ$1,FALSE)))</f>
        <v>Female. b. 21/01/1988</v>
      </c>
      <c r="AK403" s="3" t="str">
        <f>IF(VLOOKUP($C403,'All Girls &amp; Descendants - Edit'!$C$2:$AK$440,'All Girls &amp; Descendants - Edit'!AK$1,FALSE)=""," - ",(VLOOKUP($C403,'All Girls &amp; Descendants - Edit'!$C$2:$AK$440,'All Girls &amp; Descendants - Edit'!AK$1,FALSE)))</f>
        <v>b. 21/01/1988</v>
      </c>
    </row>
    <row r="404" spans="1:37" ht="19">
      <c r="A404">
        <f>VLOOKUP(B404,'Loyd List 1-190 - Edit'!$P$1:$R$219,3,FALSE)</f>
        <v>8</v>
      </c>
      <c r="B404">
        <f>'All Girls &amp; Descendants - Edit'!B405</f>
        <v>18</v>
      </c>
      <c r="C404" s="98" t="str">
        <f>'All Girls &amp; Descendants - Edit'!C405</f>
        <v>18bbbcd</v>
      </c>
      <c r="D404" s="2" t="str">
        <f>'All Girls &amp; Descendants - Edit'!D405</f>
        <v>NICOL</v>
      </c>
      <c r="E404" t="str">
        <f>'All Girls &amp; Descendants - Edit'!E405</f>
        <v>Catherine</v>
      </c>
      <c r="F404" t="str">
        <f>IF('All Girls &amp; Descendants - Edit'!F405="","",'All Girls &amp; Descendants - Edit'!F405)</f>
        <v>Margaret</v>
      </c>
      <c r="G404" t="str">
        <f>IF('All Girls &amp; Descendants - Edit'!G405="","",'All Girls &amp; Descendants - Edit'!G405)</f>
        <v/>
      </c>
      <c r="H404" t="str">
        <f>IF('All Girls &amp; Descendants - Edit'!H405="","",'All Girls &amp; Descendants - Edit'!H405)</f>
        <v/>
      </c>
      <c r="I404">
        <f>VLOOKUP($C404,'All Girls &amp; Descendants - Edit'!$C$2:$AK$440,'All Girls &amp; Descendants - Edit'!I$1,FALSE)</f>
        <v>1990</v>
      </c>
      <c r="J404" t="str">
        <f>VLOOKUP($C404,'All Girls &amp; Descendants - Edit'!$C$2:$AK$440,'All Girls &amp; Descendants - Edit'!J$1,FALSE)</f>
        <v/>
      </c>
      <c r="K404" s="9"/>
      <c r="L404" t="str">
        <f t="shared" si="46"/>
        <v>24/04/1990</v>
      </c>
      <c r="M404" s="3">
        <f>VLOOKUP($C404,'All Girls &amp; Descendants - Edit'!$C$2:$AK$440,'All Girls &amp; Descendants - Edit'!M$1,FALSE)</f>
        <v>32987</v>
      </c>
      <c r="N404" s="3" t="str">
        <f>IF(VLOOKUP($C404,'All Girls &amp; Descendants - Edit'!$C$2:$AK$440,'All Girls &amp; Descendants - Edit'!N$1,FALSE)=""," - ",(VLOOKUP($C404,'All Girls &amp; Descendants - Edit'!$C$2:$AK$440,'All Girls &amp; Descendants - Edit'!N$1,FALSE)))</f>
        <v xml:space="preserve"> - </v>
      </c>
      <c r="O404" s="3" t="str">
        <f>IF(VLOOKUP($C404,'All Girls &amp; Descendants - Edit'!$C$2:$AK$440,'All Girls &amp; Descendants - Edit'!O$1,FALSE)="","",(VLOOKUP($C404,'All Girls &amp; Descendants - Edit'!$C$2:$AK$440,'All Girls &amp; Descendants - Edit'!O$1,FALSE)))</f>
        <v/>
      </c>
      <c r="P404" s="3" t="str">
        <f t="shared" si="47"/>
        <v/>
      </c>
      <c r="Q404" s="178" t="str">
        <f t="shared" si="48"/>
        <v>18bbbc</v>
      </c>
      <c r="R404" s="23"/>
      <c r="S404" t="str">
        <f>VLOOKUP($C404,'All Girls &amp; Descendants - Edit'!$C$2:$AK$440,'All Girls &amp; Descendants - Edit'!S$1,FALSE)</f>
        <v>Female</v>
      </c>
      <c r="T404" s="176">
        <f t="shared" si="45"/>
        <v>7</v>
      </c>
      <c r="U404" s="176">
        <f t="shared" si="49"/>
        <v>7</v>
      </c>
      <c r="V404" s="176">
        <f t="shared" si="50"/>
        <v>2</v>
      </c>
      <c r="W404" s="177">
        <f t="shared" si="51"/>
        <v>5</v>
      </c>
      <c r="X404" s="3" t="str">
        <f>IF(VLOOKUP($C404,'All Girls &amp; Descendants - Edit'!$C$2:$AK$440,'All Girls &amp; Descendants - Edit'!X$1,FALSE)=""," - ",(VLOOKUP($C404,'All Girls &amp; Descendants - Edit'!$C$2:$AK$440,'All Girls &amp; Descendants - Edit'!X$1,FALSE)))</f>
        <v xml:space="preserve"> - </v>
      </c>
      <c r="Y404" s="3" t="str">
        <f>IF(VLOOKUP($C404,'All Girls &amp; Descendants - Edit'!$C$2:$AK$440,'All Girls &amp; Descendants - Edit'!Y$1,FALSE)=""," - ",(VLOOKUP($C404,'All Girls &amp; Descendants - Edit'!$C$2:$AK$440,'All Girls &amp; Descendants - Edit'!Y$1,FALSE)))</f>
        <v xml:space="preserve"> - </v>
      </c>
      <c r="Z404" s="3" t="str">
        <f>IF(VLOOKUP($C404,'All Girls &amp; Descendants - Edit'!$C$2:$AK$440,'All Girls &amp; Descendants - Edit'!Z$1,FALSE)=""," - ",(VLOOKUP($C404,'All Girls &amp; Descendants - Edit'!$C$2:$AK$440,'All Girls &amp; Descendants - Edit'!Z$1,FALSE)))</f>
        <v xml:space="preserve"> - </v>
      </c>
      <c r="AA404" s="101">
        <f>IF(VLOOKUP($C404,'All Girls &amp; Descendants - Edit'!$C$2:$AK$440,'All Girls &amp; Descendants - Edit'!AA$1,FALSE)=""," - ",(VLOOKUP($C404,'All Girls &amp; Descendants - Edit'!$C$2:$AK$440,'All Girls &amp; Descendants - Edit'!AA$1,FALSE)))</f>
        <v>51</v>
      </c>
      <c r="AB404" s="101">
        <f>IF(VLOOKUP($C404,'All Girls &amp; Descendants - Edit'!$C$2:$AK$440,'All Girls &amp; Descendants - Edit'!AB$1,FALSE)=""," - ",(VLOOKUP($C404,'All Girls &amp; Descendants - Edit'!$C$2:$AK$440,'All Girls &amp; Descendants - Edit'!AB$1,FALSE)))</f>
        <v>19</v>
      </c>
      <c r="AC404" s="101">
        <f>IF(VLOOKUP($C404,'All Girls &amp; Descendants - Edit'!$C$2:$AK$440,'All Girls &amp; Descendants - Edit'!AC$1,FALSE)=""," - ",(VLOOKUP($C404,'All Girls &amp; Descendants - Edit'!$C$2:$AK$440,'All Girls &amp; Descendants - Edit'!AC$1,FALSE)))</f>
        <v>5019</v>
      </c>
      <c r="AD404" s="3" t="str">
        <f>IF(VLOOKUP($C404,'All Girls &amp; Descendants - Edit'!$C$2:$AK$440,'All Girls &amp; Descendants - Edit'!AD$1,FALSE)=""," - ",(VLOOKUP($C404,'All Girls &amp; Descendants - Edit'!$C$2:$AK$440,'All Girls &amp; Descendants - Edit'!AD$1,FALSE)))</f>
        <v>18bbbcd</v>
      </c>
      <c r="AE404" s="3" t="str">
        <f>IF(VLOOKUP($C404,'All Girls &amp; Descendants - Edit'!$C$2:$AK$440,'All Girls &amp; Descendants - Edit'!AE$1,FALSE)=""," - ",(VLOOKUP($C404,'All Girls &amp; Descendants - Edit'!$C$2:$AK$440,'All Girls &amp; Descendants - Edit'!AE$1,FALSE)))</f>
        <v>Catherine Margaret  NICOL (1990 - )</v>
      </c>
      <c r="AF404" s="3" t="str">
        <f>IF(VLOOKUP($C404,'All Girls &amp; Descendants - Edit'!$C$2:$AK$440,'All Girls &amp; Descendants - Edit'!AF$1,FALSE)=""," - ",(VLOOKUP($C404,'All Girls &amp; Descendants - Edit'!$C$2:$AK$440,'All Girls &amp; Descendants - Edit'!AF$1,FALSE)))</f>
        <v>Catherine NICOL (7th &amp; 18)</v>
      </c>
      <c r="AG404" s="3" t="str">
        <f>IF(VLOOKUP($C404,'All Girls &amp; Descendants - Edit'!$C$2:$AK$440,'All Girls &amp; Descendants - Edit'!AG$1,FALSE)=""," - ",(VLOOKUP($C404,'All Girls &amp; Descendants - Edit'!$C$2:$AK$440,'All Girls &amp; Descendants - Edit'!AG$1,FALSE)))</f>
        <v>Female</v>
      </c>
      <c r="AH404" s="3" t="str">
        <f>IF(VLOOKUP($C404,'All Girls &amp; Descendants - Edit'!$C$2:$AK$440,'All Girls &amp; Descendants - Edit'!AH$1,FALSE)=""," - ",(VLOOKUP($C404,'All Girls &amp; Descendants - Edit'!$C$2:$AK$440,'All Girls &amp; Descendants - Edit'!AH$1,FALSE)))</f>
        <v>7th</v>
      </c>
      <c r="AI404" s="3" t="str">
        <f>IF(VLOOKUP($C404,'All Girls &amp; Descendants - Edit'!$C$2:$AK$440,'All Girls &amp; Descendants - Edit'!AI$1,FALSE)=""," - ",(VLOOKUP($C404,'All Girls &amp; Descendants - Edit'!$C$2:$AK$440,'All Girls &amp; Descendants - Edit'!AI$1,FALSE)))</f>
        <v>Unmarried</v>
      </c>
      <c r="AJ404" s="3" t="str">
        <f>IF(VLOOKUP($C404,'All Girls &amp; Descendants - Edit'!$C$2:$AK$440,'All Girls &amp; Descendants - Edit'!AJ$1,FALSE)=""," - ",(VLOOKUP($C404,'All Girls &amp; Descendants - Edit'!$C$2:$AK$440,'All Girls &amp; Descendants - Edit'!AJ$1,FALSE)))</f>
        <v>Female. b. 24/04/1990</v>
      </c>
      <c r="AK404" s="3" t="str">
        <f>IF(VLOOKUP($C404,'All Girls &amp; Descendants - Edit'!$C$2:$AK$440,'All Girls &amp; Descendants - Edit'!AK$1,FALSE)=""," - ",(VLOOKUP($C404,'All Girls &amp; Descendants - Edit'!$C$2:$AK$440,'All Girls &amp; Descendants - Edit'!AK$1,FALSE)))</f>
        <v>b. 24/04/1990</v>
      </c>
    </row>
    <row r="405" spans="1:37" ht="19">
      <c r="A405">
        <f>VLOOKUP(B405,'Loyd List 1-190 - Edit'!$P$1:$R$219,3,FALSE)</f>
        <v>8</v>
      </c>
      <c r="B405">
        <f>'All Girls &amp; Descendants - Edit'!B406</f>
        <v>18</v>
      </c>
      <c r="C405" s="98" t="str">
        <f>'All Girls &amp; Descendants - Edit'!C406</f>
        <v>18bbbce</v>
      </c>
      <c r="D405" s="2" t="str">
        <f>'All Girls &amp; Descendants - Edit'!D406</f>
        <v>NICOL</v>
      </c>
      <c r="E405" t="str">
        <f>'All Girls &amp; Descendants - Edit'!E406</f>
        <v>Elisabeth</v>
      </c>
      <c r="F405" t="str">
        <f>IF('All Girls &amp; Descendants - Edit'!F406="","",'All Girls &amp; Descendants - Edit'!F406)</f>
        <v>Iona</v>
      </c>
      <c r="G405" t="str">
        <f>IF('All Girls &amp; Descendants - Edit'!G406="","",'All Girls &amp; Descendants - Edit'!G406)</f>
        <v/>
      </c>
      <c r="H405" t="str">
        <f>IF('All Girls &amp; Descendants - Edit'!H406="","",'All Girls &amp; Descendants - Edit'!H406)</f>
        <v/>
      </c>
      <c r="I405">
        <f>VLOOKUP($C405,'All Girls &amp; Descendants - Edit'!$C$2:$AK$440,'All Girls &amp; Descendants - Edit'!I$1,FALSE)</f>
        <v>1990</v>
      </c>
      <c r="J405" t="str">
        <f>VLOOKUP($C405,'All Girls &amp; Descendants - Edit'!$C$2:$AK$440,'All Girls &amp; Descendants - Edit'!J$1,FALSE)</f>
        <v/>
      </c>
      <c r="K405" s="9"/>
      <c r="L405" t="str">
        <f t="shared" si="46"/>
        <v>25/04/1990</v>
      </c>
      <c r="M405" s="3">
        <f>VLOOKUP($C405,'All Girls &amp; Descendants - Edit'!$C$2:$AK$440,'All Girls &amp; Descendants - Edit'!M$1,FALSE)</f>
        <v>32988</v>
      </c>
      <c r="N405" s="3" t="str">
        <f>IF(VLOOKUP($C405,'All Girls &amp; Descendants - Edit'!$C$2:$AK$440,'All Girls &amp; Descendants - Edit'!N$1,FALSE)=""," - ",(VLOOKUP($C405,'All Girls &amp; Descendants - Edit'!$C$2:$AK$440,'All Girls &amp; Descendants - Edit'!N$1,FALSE)))</f>
        <v xml:space="preserve"> - </v>
      </c>
      <c r="O405" s="3" t="str">
        <f>IF(VLOOKUP($C405,'All Girls &amp; Descendants - Edit'!$C$2:$AK$440,'All Girls &amp; Descendants - Edit'!O$1,FALSE)="","",(VLOOKUP($C405,'All Girls &amp; Descendants - Edit'!$C$2:$AK$440,'All Girls &amp; Descendants - Edit'!O$1,FALSE)))</f>
        <v/>
      </c>
      <c r="P405" s="3" t="str">
        <f t="shared" si="47"/>
        <v/>
      </c>
      <c r="Q405" s="178" t="str">
        <f t="shared" si="48"/>
        <v>18bbbc</v>
      </c>
      <c r="R405" s="23"/>
      <c r="S405" t="str">
        <f>VLOOKUP($C405,'All Girls &amp; Descendants - Edit'!$C$2:$AK$440,'All Girls &amp; Descendants - Edit'!S$1,FALSE)</f>
        <v>Female</v>
      </c>
      <c r="T405" s="176">
        <f t="shared" si="45"/>
        <v>7</v>
      </c>
      <c r="U405" s="176">
        <f t="shared" si="49"/>
        <v>7</v>
      </c>
      <c r="V405" s="176">
        <f t="shared" si="50"/>
        <v>2</v>
      </c>
      <c r="W405" s="177">
        <f t="shared" si="51"/>
        <v>5</v>
      </c>
      <c r="X405" s="3" t="str">
        <f>IF(VLOOKUP($C405,'All Girls &amp; Descendants - Edit'!$C$2:$AK$440,'All Girls &amp; Descendants - Edit'!X$1,FALSE)=""," - ",(VLOOKUP($C405,'All Girls &amp; Descendants - Edit'!$C$2:$AK$440,'All Girls &amp; Descendants - Edit'!X$1,FALSE)))</f>
        <v xml:space="preserve"> - </v>
      </c>
      <c r="Y405" s="3" t="str">
        <f>IF(VLOOKUP($C405,'All Girls &amp; Descendants - Edit'!$C$2:$AK$440,'All Girls &amp; Descendants - Edit'!Y$1,FALSE)=""," - ",(VLOOKUP($C405,'All Girls &amp; Descendants - Edit'!$C$2:$AK$440,'All Girls &amp; Descendants - Edit'!Y$1,FALSE)))</f>
        <v xml:space="preserve"> - </v>
      </c>
      <c r="Z405" s="3" t="str">
        <f>IF(VLOOKUP($C405,'All Girls &amp; Descendants - Edit'!$C$2:$AK$440,'All Girls &amp; Descendants - Edit'!Z$1,FALSE)=""," - ",(VLOOKUP($C405,'All Girls &amp; Descendants - Edit'!$C$2:$AK$440,'All Girls &amp; Descendants - Edit'!Z$1,FALSE)))</f>
        <v xml:space="preserve"> - </v>
      </c>
      <c r="AA405" s="101">
        <f>IF(VLOOKUP($C405,'All Girls &amp; Descendants - Edit'!$C$2:$AK$440,'All Girls &amp; Descendants - Edit'!AA$1,FALSE)=""," - ",(VLOOKUP($C405,'All Girls &amp; Descendants - Edit'!$C$2:$AK$440,'All Girls &amp; Descendants - Edit'!AA$1,FALSE)))</f>
        <v>52</v>
      </c>
      <c r="AB405" s="101">
        <f>IF(VLOOKUP($C405,'All Girls &amp; Descendants - Edit'!$C$2:$AK$440,'All Girls &amp; Descendants - Edit'!AB$1,FALSE)=""," - ",(VLOOKUP($C405,'All Girls &amp; Descendants - Edit'!$C$2:$AK$440,'All Girls &amp; Descendants - Edit'!AB$1,FALSE)))</f>
        <v>20</v>
      </c>
      <c r="AC405" s="101">
        <f>IF(VLOOKUP($C405,'All Girls &amp; Descendants - Edit'!$C$2:$AK$440,'All Girls &amp; Descendants - Edit'!AC$1,FALSE)=""," - ",(VLOOKUP($C405,'All Girls &amp; Descendants - Edit'!$C$2:$AK$440,'All Girls &amp; Descendants - Edit'!AC$1,FALSE)))</f>
        <v>5020</v>
      </c>
      <c r="AD405" s="3" t="str">
        <f>IF(VLOOKUP($C405,'All Girls &amp; Descendants - Edit'!$C$2:$AK$440,'All Girls &amp; Descendants - Edit'!AD$1,FALSE)=""," - ",(VLOOKUP($C405,'All Girls &amp; Descendants - Edit'!$C$2:$AK$440,'All Girls &amp; Descendants - Edit'!AD$1,FALSE)))</f>
        <v>18bbbce</v>
      </c>
      <c r="AE405" s="3" t="str">
        <f>IF(VLOOKUP($C405,'All Girls &amp; Descendants - Edit'!$C$2:$AK$440,'All Girls &amp; Descendants - Edit'!AE$1,FALSE)=""," - ",(VLOOKUP($C405,'All Girls &amp; Descendants - Edit'!$C$2:$AK$440,'All Girls &amp; Descendants - Edit'!AE$1,FALSE)))</f>
        <v>Elisabeth Iona  NICOL (1990 - )</v>
      </c>
      <c r="AF405" s="3" t="str">
        <f>IF(VLOOKUP($C405,'All Girls &amp; Descendants - Edit'!$C$2:$AK$440,'All Girls &amp; Descendants - Edit'!AF$1,FALSE)=""," - ",(VLOOKUP($C405,'All Girls &amp; Descendants - Edit'!$C$2:$AK$440,'All Girls &amp; Descendants - Edit'!AF$1,FALSE)))</f>
        <v>Elisabeth NICOL (7th &amp; 18)</v>
      </c>
      <c r="AG405" s="3" t="str">
        <f>IF(VLOOKUP($C405,'All Girls &amp; Descendants - Edit'!$C$2:$AK$440,'All Girls &amp; Descendants - Edit'!AG$1,FALSE)=""," - ",(VLOOKUP($C405,'All Girls &amp; Descendants - Edit'!$C$2:$AK$440,'All Girls &amp; Descendants - Edit'!AG$1,FALSE)))</f>
        <v>Female</v>
      </c>
      <c r="AH405" s="3" t="str">
        <f>IF(VLOOKUP($C405,'All Girls &amp; Descendants - Edit'!$C$2:$AK$440,'All Girls &amp; Descendants - Edit'!AH$1,FALSE)=""," - ",(VLOOKUP($C405,'All Girls &amp; Descendants - Edit'!$C$2:$AK$440,'All Girls &amp; Descendants - Edit'!AH$1,FALSE)))</f>
        <v>7th</v>
      </c>
      <c r="AI405" s="3" t="str">
        <f>IF(VLOOKUP($C405,'All Girls &amp; Descendants - Edit'!$C$2:$AK$440,'All Girls &amp; Descendants - Edit'!AI$1,FALSE)=""," - ",(VLOOKUP($C405,'All Girls &amp; Descendants - Edit'!$C$2:$AK$440,'All Girls &amp; Descendants - Edit'!AI$1,FALSE)))</f>
        <v>Unmarried</v>
      </c>
      <c r="AJ405" s="3" t="str">
        <f>IF(VLOOKUP($C405,'All Girls &amp; Descendants - Edit'!$C$2:$AK$440,'All Girls &amp; Descendants - Edit'!AJ$1,FALSE)=""," - ",(VLOOKUP($C405,'All Girls &amp; Descendants - Edit'!$C$2:$AK$440,'All Girls &amp; Descendants - Edit'!AJ$1,FALSE)))</f>
        <v>Female. b. 25/04/1990</v>
      </c>
      <c r="AK405" s="3" t="str">
        <f>IF(VLOOKUP($C405,'All Girls &amp; Descendants - Edit'!$C$2:$AK$440,'All Girls &amp; Descendants - Edit'!AK$1,FALSE)=""," - ",(VLOOKUP($C405,'All Girls &amp; Descendants - Edit'!$C$2:$AK$440,'All Girls &amp; Descendants - Edit'!AK$1,FALSE)))</f>
        <v>b. 25/04/1990</v>
      </c>
    </row>
    <row r="406" spans="1:37" ht="19">
      <c r="A406">
        <f>VLOOKUP(B406,'Loyd List 1-190 - Edit'!$P$1:$R$219,3,FALSE)</f>
        <v>8</v>
      </c>
      <c r="B406">
        <f>'All Girls &amp; Descendants - Edit'!B407</f>
        <v>18</v>
      </c>
      <c r="C406" s="98" t="str">
        <f>'All Girls &amp; Descendants - Edit'!C407</f>
        <v>18bbbcf</v>
      </c>
      <c r="D406" s="2" t="str">
        <f>'All Girls &amp; Descendants - Edit'!D407</f>
        <v>NICOL</v>
      </c>
      <c r="E406" t="str">
        <f>'All Girls &amp; Descendants - Edit'!E407</f>
        <v>Lydia</v>
      </c>
      <c r="F406" t="str">
        <f>IF('All Girls &amp; Descendants - Edit'!F407="","",'All Girls &amp; Descendants - Edit'!F407)</f>
        <v>Clare</v>
      </c>
      <c r="G406" t="str">
        <f>IF('All Girls &amp; Descendants - Edit'!G407="","",'All Girls &amp; Descendants - Edit'!G407)</f>
        <v>Diana</v>
      </c>
      <c r="H406" t="str">
        <f>IF('All Girls &amp; Descendants - Edit'!H407="","",'All Girls &amp; Descendants - Edit'!H407)</f>
        <v/>
      </c>
      <c r="I406">
        <f>VLOOKUP($C406,'All Girls &amp; Descendants - Edit'!$C$2:$AK$440,'All Girls &amp; Descendants - Edit'!I$1,FALSE)</f>
        <v>1992</v>
      </c>
      <c r="J406" t="str">
        <f>VLOOKUP($C406,'All Girls &amp; Descendants - Edit'!$C$2:$AK$440,'All Girls &amp; Descendants - Edit'!J$1,FALSE)</f>
        <v/>
      </c>
      <c r="K406" s="9"/>
      <c r="L406" t="str">
        <f t="shared" si="46"/>
        <v>19/03/1992</v>
      </c>
      <c r="M406" s="3">
        <f>VLOOKUP($C406,'All Girls &amp; Descendants - Edit'!$C$2:$AK$440,'All Girls &amp; Descendants - Edit'!M$1,FALSE)</f>
        <v>33682</v>
      </c>
      <c r="N406" s="3" t="str">
        <f>IF(VLOOKUP($C406,'All Girls &amp; Descendants - Edit'!$C$2:$AK$440,'All Girls &amp; Descendants - Edit'!N$1,FALSE)=""," - ",(VLOOKUP($C406,'All Girls &amp; Descendants - Edit'!$C$2:$AK$440,'All Girls &amp; Descendants - Edit'!N$1,FALSE)))</f>
        <v xml:space="preserve"> - </v>
      </c>
      <c r="O406" s="3" t="str">
        <f>IF(VLOOKUP($C406,'All Girls &amp; Descendants - Edit'!$C$2:$AK$440,'All Girls &amp; Descendants - Edit'!O$1,FALSE)="","",(VLOOKUP($C406,'All Girls &amp; Descendants - Edit'!$C$2:$AK$440,'All Girls &amp; Descendants - Edit'!O$1,FALSE)))</f>
        <v/>
      </c>
      <c r="P406" s="3" t="str">
        <f t="shared" si="47"/>
        <v/>
      </c>
      <c r="Q406" s="178" t="str">
        <f t="shared" si="48"/>
        <v>18bbbc</v>
      </c>
      <c r="R406" s="23"/>
      <c r="S406" t="str">
        <f>VLOOKUP($C406,'All Girls &amp; Descendants - Edit'!$C$2:$AK$440,'All Girls &amp; Descendants - Edit'!S$1,FALSE)</f>
        <v>Female</v>
      </c>
      <c r="T406" s="176">
        <f t="shared" si="45"/>
        <v>7</v>
      </c>
      <c r="U406" s="176">
        <f t="shared" si="49"/>
        <v>7</v>
      </c>
      <c r="V406" s="176">
        <f t="shared" si="50"/>
        <v>2</v>
      </c>
      <c r="W406" s="177">
        <f t="shared" si="51"/>
        <v>5</v>
      </c>
      <c r="X406" s="3" t="str">
        <f>IF(VLOOKUP($C406,'All Girls &amp; Descendants - Edit'!$C$2:$AK$440,'All Girls &amp; Descendants - Edit'!X$1,FALSE)=""," - ",(VLOOKUP($C406,'All Girls &amp; Descendants - Edit'!$C$2:$AK$440,'All Girls &amp; Descendants - Edit'!X$1,FALSE)))</f>
        <v xml:space="preserve"> - </v>
      </c>
      <c r="Y406" s="3" t="str">
        <f>IF(VLOOKUP($C406,'All Girls &amp; Descendants - Edit'!$C$2:$AK$440,'All Girls &amp; Descendants - Edit'!Y$1,FALSE)=""," - ",(VLOOKUP($C406,'All Girls &amp; Descendants - Edit'!$C$2:$AK$440,'All Girls &amp; Descendants - Edit'!Y$1,FALSE)))</f>
        <v xml:space="preserve"> - </v>
      </c>
      <c r="Z406" s="3" t="str">
        <f>IF(VLOOKUP($C406,'All Girls &amp; Descendants - Edit'!$C$2:$AK$440,'All Girls &amp; Descendants - Edit'!Z$1,FALSE)=""," - ",(VLOOKUP($C406,'All Girls &amp; Descendants - Edit'!$C$2:$AK$440,'All Girls &amp; Descendants - Edit'!Z$1,FALSE)))</f>
        <v xml:space="preserve"> - </v>
      </c>
      <c r="AA406" s="101">
        <f>IF(VLOOKUP($C406,'All Girls &amp; Descendants - Edit'!$C$2:$AK$440,'All Girls &amp; Descendants - Edit'!AA$1,FALSE)=""," - ",(VLOOKUP($C406,'All Girls &amp; Descendants - Edit'!$C$2:$AK$440,'All Girls &amp; Descendants - Edit'!AA$1,FALSE)))</f>
        <v>53</v>
      </c>
      <c r="AB406" s="101">
        <f>IF(VLOOKUP($C406,'All Girls &amp; Descendants - Edit'!$C$2:$AK$440,'All Girls &amp; Descendants - Edit'!AB$1,FALSE)=""," - ",(VLOOKUP($C406,'All Girls &amp; Descendants - Edit'!$C$2:$AK$440,'All Girls &amp; Descendants - Edit'!AB$1,FALSE)))</f>
        <v>21</v>
      </c>
      <c r="AC406" s="101">
        <f>IF(VLOOKUP($C406,'All Girls &amp; Descendants - Edit'!$C$2:$AK$440,'All Girls &amp; Descendants - Edit'!AC$1,FALSE)=""," - ",(VLOOKUP($C406,'All Girls &amp; Descendants - Edit'!$C$2:$AK$440,'All Girls &amp; Descendants - Edit'!AC$1,FALSE)))</f>
        <v>5021</v>
      </c>
      <c r="AD406" s="3" t="str">
        <f>IF(VLOOKUP($C406,'All Girls &amp; Descendants - Edit'!$C$2:$AK$440,'All Girls &amp; Descendants - Edit'!AD$1,FALSE)=""," - ",(VLOOKUP($C406,'All Girls &amp; Descendants - Edit'!$C$2:$AK$440,'All Girls &amp; Descendants - Edit'!AD$1,FALSE)))</f>
        <v>18bbbcf</v>
      </c>
      <c r="AE406" s="3" t="str">
        <f>IF(VLOOKUP($C406,'All Girls &amp; Descendants - Edit'!$C$2:$AK$440,'All Girls &amp; Descendants - Edit'!AE$1,FALSE)=""," - ",(VLOOKUP($C406,'All Girls &amp; Descendants - Edit'!$C$2:$AK$440,'All Girls &amp; Descendants - Edit'!AE$1,FALSE)))</f>
        <v>Lydia Clare Diana NICOL (1992 - )</v>
      </c>
      <c r="AF406" s="3" t="str">
        <f>IF(VLOOKUP($C406,'All Girls &amp; Descendants - Edit'!$C$2:$AK$440,'All Girls &amp; Descendants - Edit'!AF$1,FALSE)=""," - ",(VLOOKUP($C406,'All Girls &amp; Descendants - Edit'!$C$2:$AK$440,'All Girls &amp; Descendants - Edit'!AF$1,FALSE)))</f>
        <v>Lydia NICOL (7th &amp; 18)</v>
      </c>
      <c r="AG406" s="3" t="str">
        <f>IF(VLOOKUP($C406,'All Girls &amp; Descendants - Edit'!$C$2:$AK$440,'All Girls &amp; Descendants - Edit'!AG$1,FALSE)=""," - ",(VLOOKUP($C406,'All Girls &amp; Descendants - Edit'!$C$2:$AK$440,'All Girls &amp; Descendants - Edit'!AG$1,FALSE)))</f>
        <v>Female</v>
      </c>
      <c r="AH406" s="3" t="str">
        <f>IF(VLOOKUP($C406,'All Girls &amp; Descendants - Edit'!$C$2:$AK$440,'All Girls &amp; Descendants - Edit'!AH$1,FALSE)=""," - ",(VLOOKUP($C406,'All Girls &amp; Descendants - Edit'!$C$2:$AK$440,'All Girls &amp; Descendants - Edit'!AH$1,FALSE)))</f>
        <v>7th</v>
      </c>
      <c r="AI406" s="3" t="str">
        <f>IF(VLOOKUP($C406,'All Girls &amp; Descendants - Edit'!$C$2:$AK$440,'All Girls &amp; Descendants - Edit'!AI$1,FALSE)=""," - ",(VLOOKUP($C406,'All Girls &amp; Descendants - Edit'!$C$2:$AK$440,'All Girls &amp; Descendants - Edit'!AI$1,FALSE)))</f>
        <v>Unmarried</v>
      </c>
      <c r="AJ406" s="3" t="str">
        <f>IF(VLOOKUP($C406,'All Girls &amp; Descendants - Edit'!$C$2:$AK$440,'All Girls &amp; Descendants - Edit'!AJ$1,FALSE)=""," - ",(VLOOKUP($C406,'All Girls &amp; Descendants - Edit'!$C$2:$AK$440,'All Girls &amp; Descendants - Edit'!AJ$1,FALSE)))</f>
        <v>Female. b. 19/03/1992</v>
      </c>
      <c r="AK406" s="3" t="str">
        <f>IF(VLOOKUP($C406,'All Girls &amp; Descendants - Edit'!$C$2:$AK$440,'All Girls &amp; Descendants - Edit'!AK$1,FALSE)=""," - ",(VLOOKUP($C406,'All Girls &amp; Descendants - Edit'!$C$2:$AK$440,'All Girls &amp; Descendants - Edit'!AK$1,FALSE)))</f>
        <v>b. 19/03/1992</v>
      </c>
    </row>
    <row r="407" spans="1:37" ht="19">
      <c r="A407">
        <f>VLOOKUP(B407,'Loyd List 1-190 - Edit'!$P$1:$R$219,3,FALSE)</f>
        <v>8</v>
      </c>
      <c r="B407">
        <f>'All Girls &amp; Descendants - Edit'!B408</f>
        <v>18</v>
      </c>
      <c r="C407" s="98" t="str">
        <f>'All Girls &amp; Descendants - Edit'!C408</f>
        <v>18bbbcg</v>
      </c>
      <c r="D407" s="2" t="str">
        <f>'All Girls &amp; Descendants - Edit'!D408</f>
        <v>NICOL</v>
      </c>
      <c r="E407" t="str">
        <f>'All Girls &amp; Descendants - Edit'!E408</f>
        <v>Patrick</v>
      </c>
      <c r="F407" t="str">
        <f>IF('All Girls &amp; Descendants - Edit'!F408="","",'All Girls &amp; Descendants - Edit'!F408)</f>
        <v>William</v>
      </c>
      <c r="G407" t="str">
        <f>IF('All Girls &amp; Descendants - Edit'!G408="","",'All Girls &amp; Descendants - Edit'!G408)</f>
        <v>John Perry</v>
      </c>
      <c r="H407" t="str">
        <f>IF('All Girls &amp; Descendants - Edit'!H408="","",'All Girls &amp; Descendants - Edit'!H408)</f>
        <v/>
      </c>
      <c r="I407">
        <f>VLOOKUP($C407,'All Girls &amp; Descendants - Edit'!$C$2:$AK$440,'All Girls &amp; Descendants - Edit'!I$1,FALSE)</f>
        <v>1995</v>
      </c>
      <c r="J407" t="str">
        <f>VLOOKUP($C407,'All Girls &amp; Descendants - Edit'!$C$2:$AK$440,'All Girls &amp; Descendants - Edit'!J$1,FALSE)</f>
        <v/>
      </c>
      <c r="K407" s="9"/>
      <c r="L407" t="str">
        <f t="shared" si="46"/>
        <v>28/12/1995</v>
      </c>
      <c r="M407" s="3">
        <f>VLOOKUP($C407,'All Girls &amp; Descendants - Edit'!$C$2:$AK$440,'All Girls &amp; Descendants - Edit'!M$1,FALSE)</f>
        <v>35061</v>
      </c>
      <c r="N407" s="3" t="str">
        <f>IF(VLOOKUP($C407,'All Girls &amp; Descendants - Edit'!$C$2:$AK$440,'All Girls &amp; Descendants - Edit'!N$1,FALSE)=""," - ",(VLOOKUP($C407,'All Girls &amp; Descendants - Edit'!$C$2:$AK$440,'All Girls &amp; Descendants - Edit'!N$1,FALSE)))</f>
        <v xml:space="preserve"> - </v>
      </c>
      <c r="O407" s="3" t="str">
        <f>IF(VLOOKUP($C407,'All Girls &amp; Descendants - Edit'!$C$2:$AK$440,'All Girls &amp; Descendants - Edit'!O$1,FALSE)="","",(VLOOKUP($C407,'All Girls &amp; Descendants - Edit'!$C$2:$AK$440,'All Girls &amp; Descendants - Edit'!O$1,FALSE)))</f>
        <v/>
      </c>
      <c r="P407" s="3" t="str">
        <f t="shared" si="47"/>
        <v/>
      </c>
      <c r="Q407" s="178" t="str">
        <f t="shared" si="48"/>
        <v>18bbbc</v>
      </c>
      <c r="R407" s="23"/>
      <c r="S407" t="str">
        <f>VLOOKUP($C407,'All Girls &amp; Descendants - Edit'!$C$2:$AK$440,'All Girls &amp; Descendants - Edit'!S$1,FALSE)</f>
        <v>Male</v>
      </c>
      <c r="T407" s="176">
        <f t="shared" si="45"/>
        <v>7</v>
      </c>
      <c r="U407" s="176">
        <f t="shared" si="49"/>
        <v>7</v>
      </c>
      <c r="V407" s="176">
        <f t="shared" si="50"/>
        <v>2</v>
      </c>
      <c r="W407" s="177">
        <f t="shared" si="51"/>
        <v>5</v>
      </c>
      <c r="X407" s="3" t="str">
        <f>IF(VLOOKUP($C407,'All Girls &amp; Descendants - Edit'!$C$2:$AK$440,'All Girls &amp; Descendants - Edit'!X$1,FALSE)=""," - ",(VLOOKUP($C407,'All Girls &amp; Descendants - Edit'!$C$2:$AK$440,'All Girls &amp; Descendants - Edit'!X$1,FALSE)))</f>
        <v xml:space="preserve"> - </v>
      </c>
      <c r="Y407" s="3" t="str">
        <f>IF(VLOOKUP($C407,'All Girls &amp; Descendants - Edit'!$C$2:$AK$440,'All Girls &amp; Descendants - Edit'!Y$1,FALSE)=""," - ",(VLOOKUP($C407,'All Girls &amp; Descendants - Edit'!$C$2:$AK$440,'All Girls &amp; Descendants - Edit'!Y$1,FALSE)))</f>
        <v xml:space="preserve"> - </v>
      </c>
      <c r="Z407" s="3" t="str">
        <f>IF(VLOOKUP($C407,'All Girls &amp; Descendants - Edit'!$C$2:$AK$440,'All Girls &amp; Descendants - Edit'!Z$1,FALSE)=""," - ",(VLOOKUP($C407,'All Girls &amp; Descendants - Edit'!$C$2:$AK$440,'All Girls &amp; Descendants - Edit'!Z$1,FALSE)))</f>
        <v xml:space="preserve"> - </v>
      </c>
      <c r="AA407" s="101">
        <f>IF(VLOOKUP($C407,'All Girls &amp; Descendants - Edit'!$C$2:$AK$440,'All Girls &amp; Descendants - Edit'!AA$1,FALSE)=""," - ",(VLOOKUP($C407,'All Girls &amp; Descendants - Edit'!$C$2:$AK$440,'All Girls &amp; Descendants - Edit'!AA$1,FALSE)))</f>
        <v>54</v>
      </c>
      <c r="AB407" s="101">
        <f>IF(VLOOKUP($C407,'All Girls &amp; Descendants - Edit'!$C$2:$AK$440,'All Girls &amp; Descendants - Edit'!AB$1,FALSE)=""," - ",(VLOOKUP($C407,'All Girls &amp; Descendants - Edit'!$C$2:$AK$440,'All Girls &amp; Descendants - Edit'!AB$1,FALSE)))</f>
        <v>22</v>
      </c>
      <c r="AC407" s="101">
        <f>IF(VLOOKUP($C407,'All Girls &amp; Descendants - Edit'!$C$2:$AK$440,'All Girls &amp; Descendants - Edit'!AC$1,FALSE)=""," - ",(VLOOKUP($C407,'All Girls &amp; Descendants - Edit'!$C$2:$AK$440,'All Girls &amp; Descendants - Edit'!AC$1,FALSE)))</f>
        <v>5022</v>
      </c>
      <c r="AD407" s="3" t="str">
        <f>IF(VLOOKUP($C407,'All Girls &amp; Descendants - Edit'!$C$2:$AK$440,'All Girls &amp; Descendants - Edit'!AD$1,FALSE)=""," - ",(VLOOKUP($C407,'All Girls &amp; Descendants - Edit'!$C$2:$AK$440,'All Girls &amp; Descendants - Edit'!AD$1,FALSE)))</f>
        <v>18bbbcg</v>
      </c>
      <c r="AE407" s="3" t="str">
        <f>IF(VLOOKUP($C407,'All Girls &amp; Descendants - Edit'!$C$2:$AK$440,'All Girls &amp; Descendants - Edit'!AE$1,FALSE)=""," - ",(VLOOKUP($C407,'All Girls &amp; Descendants - Edit'!$C$2:$AK$440,'All Girls &amp; Descendants - Edit'!AE$1,FALSE)))</f>
        <v>Patrick William John Perry NICOL (1995 - )</v>
      </c>
      <c r="AF407" s="3" t="str">
        <f>IF(VLOOKUP($C407,'All Girls &amp; Descendants - Edit'!$C$2:$AK$440,'All Girls &amp; Descendants - Edit'!AF$1,FALSE)=""," - ",(VLOOKUP($C407,'All Girls &amp; Descendants - Edit'!$C$2:$AK$440,'All Girls &amp; Descendants - Edit'!AF$1,FALSE)))</f>
        <v>Patrick NICOL (7th &amp; 18)</v>
      </c>
      <c r="AG407" s="3" t="str">
        <f>IF(VLOOKUP($C407,'All Girls &amp; Descendants - Edit'!$C$2:$AK$440,'All Girls &amp; Descendants - Edit'!AG$1,FALSE)=""," - ",(VLOOKUP($C407,'All Girls &amp; Descendants - Edit'!$C$2:$AK$440,'All Girls &amp; Descendants - Edit'!AG$1,FALSE)))</f>
        <v>Male</v>
      </c>
      <c r="AH407" s="3" t="str">
        <f>IF(VLOOKUP($C407,'All Girls &amp; Descendants - Edit'!$C$2:$AK$440,'All Girls &amp; Descendants - Edit'!AH$1,FALSE)=""," - ",(VLOOKUP($C407,'All Girls &amp; Descendants - Edit'!$C$2:$AK$440,'All Girls &amp; Descendants - Edit'!AH$1,FALSE)))</f>
        <v>7th</v>
      </c>
      <c r="AI407" s="3" t="str">
        <f>IF(VLOOKUP($C407,'All Girls &amp; Descendants - Edit'!$C$2:$AK$440,'All Girls &amp; Descendants - Edit'!AI$1,FALSE)=""," - ",(VLOOKUP($C407,'All Girls &amp; Descendants - Edit'!$C$2:$AK$440,'All Girls &amp; Descendants - Edit'!AI$1,FALSE)))</f>
        <v>Unmarried</v>
      </c>
      <c r="AJ407" s="3" t="str">
        <f>IF(VLOOKUP($C407,'All Girls &amp; Descendants - Edit'!$C$2:$AK$440,'All Girls &amp; Descendants - Edit'!AJ$1,FALSE)=""," - ",(VLOOKUP($C407,'All Girls &amp; Descendants - Edit'!$C$2:$AK$440,'All Girls &amp; Descendants - Edit'!AJ$1,FALSE)))</f>
        <v>Male. b. 28/12/1995</v>
      </c>
      <c r="AK407" s="3" t="str">
        <f>IF(VLOOKUP($C407,'All Girls &amp; Descendants - Edit'!$C$2:$AK$440,'All Girls &amp; Descendants - Edit'!AK$1,FALSE)=""," - ",(VLOOKUP($C407,'All Girls &amp; Descendants - Edit'!$C$2:$AK$440,'All Girls &amp; Descendants - Edit'!AK$1,FALSE)))</f>
        <v>b. 28/12/1995</v>
      </c>
    </row>
    <row r="408" spans="1:37" ht="19">
      <c r="A408">
        <f>VLOOKUP(B408,'Loyd List 1-190 - Edit'!$P$1:$R$219,3,FALSE)</f>
        <v>22</v>
      </c>
      <c r="B408">
        <f>'All Girls &amp; Descendants - Edit'!B409</f>
        <v>36</v>
      </c>
      <c r="C408" s="98" t="str">
        <f>'All Girls &amp; Descendants - Edit'!C409</f>
        <v>36dbaaa</v>
      </c>
      <c r="D408" s="2" t="str">
        <f>'All Girls &amp; Descendants - Edit'!D409</f>
        <v>SCOTT-DEMPSTER</v>
      </c>
      <c r="E408" t="str">
        <f>'All Girls &amp; Descendants - Edit'!E409</f>
        <v>Lorne</v>
      </c>
      <c r="F408" t="str">
        <f>IF('All Girls &amp; Descendants - Edit'!F409="","",'All Girls &amp; Descendants - Edit'!F409)</f>
        <v>Robert</v>
      </c>
      <c r="G408" t="str">
        <f>IF('All Girls &amp; Descendants - Edit'!G409="","",'All Girls &amp; Descendants - Edit'!G409)</f>
        <v/>
      </c>
      <c r="H408" t="str">
        <f>IF('All Girls &amp; Descendants - Edit'!H409="","",'All Girls &amp; Descendants - Edit'!H409)</f>
        <v/>
      </c>
      <c r="I408">
        <f>VLOOKUP($C408,'All Girls &amp; Descendants - Edit'!$C$2:$AK$440,'All Girls &amp; Descendants - Edit'!I$1,FALSE)</f>
        <v>1998</v>
      </c>
      <c r="J408" t="str">
        <f>VLOOKUP($C408,'All Girls &amp; Descendants - Edit'!$C$2:$AK$440,'All Girls &amp; Descendants - Edit'!J$1,FALSE)</f>
        <v/>
      </c>
      <c r="K408" s="9"/>
      <c r="L408" t="str">
        <f t="shared" si="46"/>
        <v>06/12/1998</v>
      </c>
      <c r="M408" s="3">
        <f>VLOOKUP($C408,'All Girls &amp; Descendants - Edit'!$C$2:$AK$440,'All Girls &amp; Descendants - Edit'!M$1,FALSE)</f>
        <v>36135</v>
      </c>
      <c r="N408" s="3" t="str">
        <f>IF(VLOOKUP($C408,'All Girls &amp; Descendants - Edit'!$C$2:$AK$440,'All Girls &amp; Descendants - Edit'!N$1,FALSE)=""," - ",(VLOOKUP($C408,'All Girls &amp; Descendants - Edit'!$C$2:$AK$440,'All Girls &amp; Descendants - Edit'!N$1,FALSE)))</f>
        <v xml:space="preserve"> - </v>
      </c>
      <c r="O408" s="3" t="str">
        <f>IF(VLOOKUP($C408,'All Girls &amp; Descendants - Edit'!$C$2:$AK$440,'All Girls &amp; Descendants - Edit'!O$1,FALSE)="","",(VLOOKUP($C408,'All Girls &amp; Descendants - Edit'!$C$2:$AK$440,'All Girls &amp; Descendants - Edit'!O$1,FALSE)))</f>
        <v/>
      </c>
      <c r="P408" s="3" t="str">
        <f t="shared" si="47"/>
        <v/>
      </c>
      <c r="Q408" s="178" t="str">
        <f t="shared" si="48"/>
        <v>36dbaa</v>
      </c>
      <c r="R408" s="23"/>
      <c r="S408" t="str">
        <f>VLOOKUP($C408,'All Girls &amp; Descendants - Edit'!$C$2:$AK$440,'All Girls &amp; Descendants - Edit'!S$1,FALSE)</f>
        <v>Male</v>
      </c>
      <c r="T408" s="176">
        <f t="shared" si="45"/>
        <v>8</v>
      </c>
      <c r="U408" s="176">
        <f t="shared" si="49"/>
        <v>7</v>
      </c>
      <c r="V408" s="176">
        <f t="shared" si="50"/>
        <v>3</v>
      </c>
      <c r="W408" s="177">
        <f t="shared" si="51"/>
        <v>5</v>
      </c>
      <c r="X408" s="3" t="str">
        <f>IF(VLOOKUP($C408,'All Girls &amp; Descendants - Edit'!$C$2:$AK$440,'All Girls &amp; Descendants - Edit'!X$1,FALSE)=""," - ",(VLOOKUP($C408,'All Girls &amp; Descendants - Edit'!$C$2:$AK$440,'All Girls &amp; Descendants - Edit'!X$1,FALSE)))</f>
        <v xml:space="preserve"> - </v>
      </c>
      <c r="Y408" s="3" t="str">
        <f>IF(VLOOKUP($C408,'All Girls &amp; Descendants - Edit'!$C$2:$AK$440,'All Girls &amp; Descendants - Edit'!Y$1,FALSE)=""," - ",(VLOOKUP($C408,'All Girls &amp; Descendants - Edit'!$C$2:$AK$440,'All Girls &amp; Descendants - Edit'!Y$1,FALSE)))</f>
        <v xml:space="preserve"> - </v>
      </c>
      <c r="Z408" s="3" t="str">
        <f>IF(VLOOKUP($C408,'All Girls &amp; Descendants - Edit'!$C$2:$AK$440,'All Girls &amp; Descendants - Edit'!Z$1,FALSE)=""," - ",(VLOOKUP($C408,'All Girls &amp; Descendants - Edit'!$C$2:$AK$440,'All Girls &amp; Descendants - Edit'!Z$1,FALSE)))</f>
        <v>Born in Edinburgh.</v>
      </c>
      <c r="AA408" s="101">
        <f>IF(VLOOKUP($C408,'All Girls &amp; Descendants - Edit'!$C$2:$AK$440,'All Girls &amp; Descendants - Edit'!AA$1,FALSE)=""," - ",(VLOOKUP($C408,'All Girls &amp; Descendants - Edit'!$C$2:$AK$440,'All Girls &amp; Descendants - Edit'!AA$1,FALSE)))</f>
        <v>78</v>
      </c>
      <c r="AB408" s="101">
        <f>IF(VLOOKUP($C408,'All Girls &amp; Descendants - Edit'!$C$2:$AK$440,'All Girls &amp; Descendants - Edit'!AB$1,FALSE)=""," - ",(VLOOKUP($C408,'All Girls &amp; Descendants - Edit'!$C$2:$AK$440,'All Girls &amp; Descendants - Edit'!AB$1,FALSE)))</f>
        <v>23</v>
      </c>
      <c r="AC408" s="101">
        <f>IF(VLOOKUP($C408,'All Girls &amp; Descendants - Edit'!$C$2:$AK$440,'All Girls &amp; Descendants - Edit'!AC$1,FALSE)=""," - ",(VLOOKUP($C408,'All Girls &amp; Descendants - Edit'!$C$2:$AK$440,'All Girls &amp; Descendants - Edit'!AC$1,FALSE)))</f>
        <v>5023</v>
      </c>
      <c r="AD408" s="3" t="str">
        <f>IF(VLOOKUP($C408,'All Girls &amp; Descendants - Edit'!$C$2:$AK$440,'All Girls &amp; Descendants - Edit'!AD$1,FALSE)=""," - ",(VLOOKUP($C408,'All Girls &amp; Descendants - Edit'!$C$2:$AK$440,'All Girls &amp; Descendants - Edit'!AD$1,FALSE)))</f>
        <v>36dbaaa</v>
      </c>
      <c r="AE408" s="3" t="str">
        <f>IF(VLOOKUP($C408,'All Girls &amp; Descendants - Edit'!$C$2:$AK$440,'All Girls &amp; Descendants - Edit'!AE$1,FALSE)=""," - ",(VLOOKUP($C408,'All Girls &amp; Descendants - Edit'!$C$2:$AK$440,'All Girls &amp; Descendants - Edit'!AE$1,FALSE)))</f>
        <v>Lorne Robert  SCOTT-DEMPSTER (1998 - )</v>
      </c>
      <c r="AF408" s="3" t="str">
        <f>IF(VLOOKUP($C408,'All Girls &amp; Descendants - Edit'!$C$2:$AK$440,'All Girls &amp; Descendants - Edit'!AF$1,FALSE)=""," - ",(VLOOKUP($C408,'All Girls &amp; Descendants - Edit'!$C$2:$AK$440,'All Girls &amp; Descendants - Edit'!AF$1,FALSE)))</f>
        <v>Lorne SCOTT-DEMPSTER (8th &amp; 36)</v>
      </c>
      <c r="AG408" s="3" t="str">
        <f>IF(VLOOKUP($C408,'All Girls &amp; Descendants - Edit'!$C$2:$AK$440,'All Girls &amp; Descendants - Edit'!AG$1,FALSE)=""," - ",(VLOOKUP($C408,'All Girls &amp; Descendants - Edit'!$C$2:$AK$440,'All Girls &amp; Descendants - Edit'!AG$1,FALSE)))</f>
        <v>Male</v>
      </c>
      <c r="AH408" s="3" t="str">
        <f>IF(VLOOKUP($C408,'All Girls &amp; Descendants - Edit'!$C$2:$AK$440,'All Girls &amp; Descendants - Edit'!AH$1,FALSE)=""," - ",(VLOOKUP($C408,'All Girls &amp; Descendants - Edit'!$C$2:$AK$440,'All Girls &amp; Descendants - Edit'!AH$1,FALSE)))</f>
        <v>8th</v>
      </c>
      <c r="AI408" s="3" t="str">
        <f>IF(VLOOKUP($C408,'All Girls &amp; Descendants - Edit'!$C$2:$AK$440,'All Girls &amp; Descendants - Edit'!AI$1,FALSE)=""," - ",(VLOOKUP($C408,'All Girls &amp; Descendants - Edit'!$C$2:$AK$440,'All Girls &amp; Descendants - Edit'!AI$1,FALSE)))</f>
        <v>Unmarried</v>
      </c>
      <c r="AJ408" s="3" t="str">
        <f>IF(VLOOKUP($C408,'All Girls &amp; Descendants - Edit'!$C$2:$AK$440,'All Girls &amp; Descendants - Edit'!AJ$1,FALSE)=""," - ",(VLOOKUP($C408,'All Girls &amp; Descendants - Edit'!$C$2:$AK$440,'All Girls &amp; Descendants - Edit'!AJ$1,FALSE)))</f>
        <v>Male. b. 06/12/1998 Born in Edinburgh.</v>
      </c>
      <c r="AK408" s="3" t="str">
        <f>IF(VLOOKUP($C408,'All Girls &amp; Descendants - Edit'!$C$2:$AK$440,'All Girls &amp; Descendants - Edit'!AK$1,FALSE)=""," - ",(VLOOKUP($C408,'All Girls &amp; Descendants - Edit'!$C$2:$AK$440,'All Girls &amp; Descendants - Edit'!AK$1,FALSE)))</f>
        <v>b. 06/12/1998</v>
      </c>
    </row>
    <row r="409" spans="1:37" ht="19">
      <c r="A409">
        <f>VLOOKUP(B409,'Loyd List 1-190 - Edit'!$P$1:$R$219,3,FALSE)</f>
        <v>22</v>
      </c>
      <c r="B409">
        <f>'All Girls &amp; Descendants - Edit'!B410</f>
        <v>36</v>
      </c>
      <c r="C409" s="98" t="str">
        <f>'All Girls &amp; Descendants - Edit'!C410</f>
        <v>36dbbaa</v>
      </c>
      <c r="D409" s="2" t="str">
        <f>'All Girls &amp; Descendants - Edit'!D410</f>
        <v>GRAHAM</v>
      </c>
      <c r="E409" t="str">
        <f>'All Girls &amp; Descendants - Edit'!E410</f>
        <v>Cosmo</v>
      </c>
      <c r="F409" t="str">
        <f>IF('All Girls &amp; Descendants - Edit'!F410="","",'All Girls &amp; Descendants - Edit'!F410)</f>
        <v>Stephen</v>
      </c>
      <c r="G409" t="str">
        <f>IF('All Girls &amp; Descendants - Edit'!G410="","",'All Girls &amp; Descendants - Edit'!G410)</f>
        <v>Buckle</v>
      </c>
      <c r="H409" t="str">
        <f>IF('All Girls &amp; Descendants - Edit'!H410="","",'All Girls &amp; Descendants - Edit'!H410)</f>
        <v/>
      </c>
      <c r="I409">
        <f>VLOOKUP($C409,'All Girls &amp; Descendants - Edit'!$C$2:$AK$440,'All Girls &amp; Descendants - Edit'!I$1,FALSE)</f>
        <v>1995</v>
      </c>
      <c r="J409" t="str">
        <f>VLOOKUP($C409,'All Girls &amp; Descendants - Edit'!$C$2:$AK$440,'All Girls &amp; Descendants - Edit'!J$1,FALSE)</f>
        <v/>
      </c>
      <c r="K409" s="9"/>
      <c r="L409" t="str">
        <f t="shared" si="46"/>
        <v>05/09/1995</v>
      </c>
      <c r="M409" s="3">
        <f>VLOOKUP($C409,'All Girls &amp; Descendants - Edit'!$C$2:$AK$440,'All Girls &amp; Descendants - Edit'!M$1,FALSE)</f>
        <v>34947</v>
      </c>
      <c r="N409" s="3" t="str">
        <f>IF(VLOOKUP($C409,'All Girls &amp; Descendants - Edit'!$C$2:$AK$440,'All Girls &amp; Descendants - Edit'!N$1,FALSE)=""," - ",(VLOOKUP($C409,'All Girls &amp; Descendants - Edit'!$C$2:$AK$440,'All Girls &amp; Descendants - Edit'!N$1,FALSE)))</f>
        <v xml:space="preserve"> - </v>
      </c>
      <c r="O409" s="3" t="str">
        <f>IF(VLOOKUP($C409,'All Girls &amp; Descendants - Edit'!$C$2:$AK$440,'All Girls &amp; Descendants - Edit'!O$1,FALSE)="","",(VLOOKUP($C409,'All Girls &amp; Descendants - Edit'!$C$2:$AK$440,'All Girls &amp; Descendants - Edit'!O$1,FALSE)))</f>
        <v/>
      </c>
      <c r="P409" s="3" t="str">
        <f t="shared" si="47"/>
        <v/>
      </c>
      <c r="Q409" s="178" t="str">
        <f t="shared" si="48"/>
        <v>36dbba</v>
      </c>
      <c r="R409" s="23"/>
      <c r="S409" t="str">
        <f>VLOOKUP($C409,'All Girls &amp; Descendants - Edit'!$C$2:$AK$440,'All Girls &amp; Descendants - Edit'!S$1,FALSE)</f>
        <v>Male</v>
      </c>
      <c r="T409" s="176">
        <f t="shared" si="45"/>
        <v>8</v>
      </c>
      <c r="U409" s="176">
        <f t="shared" si="49"/>
        <v>7</v>
      </c>
      <c r="V409" s="176">
        <f t="shared" si="50"/>
        <v>3</v>
      </c>
      <c r="W409" s="177">
        <f t="shared" si="51"/>
        <v>5</v>
      </c>
      <c r="X409" s="3" t="str">
        <f>IF(VLOOKUP($C409,'All Girls &amp; Descendants - Edit'!$C$2:$AK$440,'All Girls &amp; Descendants - Edit'!X$1,FALSE)=""," - ",(VLOOKUP($C409,'All Girls &amp; Descendants - Edit'!$C$2:$AK$440,'All Girls &amp; Descendants - Edit'!X$1,FALSE)))</f>
        <v xml:space="preserve"> - </v>
      </c>
      <c r="Y409" s="3" t="str">
        <f>IF(VLOOKUP($C409,'All Girls &amp; Descendants - Edit'!$C$2:$AK$440,'All Girls &amp; Descendants - Edit'!Y$1,FALSE)=""," - ",(VLOOKUP($C409,'All Girls &amp; Descendants - Edit'!$C$2:$AK$440,'All Girls &amp; Descendants - Edit'!Y$1,FALSE)))</f>
        <v xml:space="preserve"> - </v>
      </c>
      <c r="Z409" s="3" t="str">
        <f>IF(VLOOKUP($C409,'All Girls &amp; Descendants - Edit'!$C$2:$AK$440,'All Girls &amp; Descendants - Edit'!Z$1,FALSE)=""," - ",(VLOOKUP($C409,'All Girls &amp; Descendants - Edit'!$C$2:$AK$440,'All Girls &amp; Descendants - Edit'!Z$1,FALSE)))</f>
        <v>Born in London.</v>
      </c>
      <c r="AA409" s="101">
        <f>IF(VLOOKUP($C409,'All Girls &amp; Descendants - Edit'!$C$2:$AK$440,'All Girls &amp; Descendants - Edit'!AA$1,FALSE)=""," - ",(VLOOKUP($C409,'All Girls &amp; Descendants - Edit'!$C$2:$AK$440,'All Girls &amp; Descendants - Edit'!AA$1,FALSE)))</f>
        <v>83</v>
      </c>
      <c r="AB409" s="101">
        <f>IF(VLOOKUP($C409,'All Girls &amp; Descendants - Edit'!$C$2:$AK$440,'All Girls &amp; Descendants - Edit'!AB$1,FALSE)=""," - ",(VLOOKUP($C409,'All Girls &amp; Descendants - Edit'!$C$2:$AK$440,'All Girls &amp; Descendants - Edit'!AB$1,FALSE)))</f>
        <v>24</v>
      </c>
      <c r="AC409" s="101">
        <f>IF(VLOOKUP($C409,'All Girls &amp; Descendants - Edit'!$C$2:$AK$440,'All Girls &amp; Descendants - Edit'!AC$1,FALSE)=""," - ",(VLOOKUP($C409,'All Girls &amp; Descendants - Edit'!$C$2:$AK$440,'All Girls &amp; Descendants - Edit'!AC$1,FALSE)))</f>
        <v>5024</v>
      </c>
      <c r="AD409" s="3" t="str">
        <f>IF(VLOOKUP($C409,'All Girls &amp; Descendants - Edit'!$C$2:$AK$440,'All Girls &amp; Descendants - Edit'!AD$1,FALSE)=""," - ",(VLOOKUP($C409,'All Girls &amp; Descendants - Edit'!$C$2:$AK$440,'All Girls &amp; Descendants - Edit'!AD$1,FALSE)))</f>
        <v>36dbbaa</v>
      </c>
      <c r="AE409" s="3" t="str">
        <f>IF(VLOOKUP($C409,'All Girls &amp; Descendants - Edit'!$C$2:$AK$440,'All Girls &amp; Descendants - Edit'!AE$1,FALSE)=""," - ",(VLOOKUP($C409,'All Girls &amp; Descendants - Edit'!$C$2:$AK$440,'All Girls &amp; Descendants - Edit'!AE$1,FALSE)))</f>
        <v>Cosmo Stephen Buckle GRAHAM (1995 - )</v>
      </c>
      <c r="AF409" s="3" t="str">
        <f>IF(VLOOKUP($C409,'All Girls &amp; Descendants - Edit'!$C$2:$AK$440,'All Girls &amp; Descendants - Edit'!AF$1,FALSE)=""," - ",(VLOOKUP($C409,'All Girls &amp; Descendants - Edit'!$C$2:$AK$440,'All Girls &amp; Descendants - Edit'!AF$1,FALSE)))</f>
        <v>Cosmo GRAHAM (8th &amp; 36)</v>
      </c>
      <c r="AG409" s="3" t="str">
        <f>IF(VLOOKUP($C409,'All Girls &amp; Descendants - Edit'!$C$2:$AK$440,'All Girls &amp; Descendants - Edit'!AG$1,FALSE)=""," - ",(VLOOKUP($C409,'All Girls &amp; Descendants - Edit'!$C$2:$AK$440,'All Girls &amp; Descendants - Edit'!AG$1,FALSE)))</f>
        <v>Male</v>
      </c>
      <c r="AH409" s="3" t="str">
        <f>IF(VLOOKUP($C409,'All Girls &amp; Descendants - Edit'!$C$2:$AK$440,'All Girls &amp; Descendants - Edit'!AH$1,FALSE)=""," - ",(VLOOKUP($C409,'All Girls &amp; Descendants - Edit'!$C$2:$AK$440,'All Girls &amp; Descendants - Edit'!AH$1,FALSE)))</f>
        <v>8th</v>
      </c>
      <c r="AI409" s="3" t="str">
        <f>IF(VLOOKUP($C409,'All Girls &amp; Descendants - Edit'!$C$2:$AK$440,'All Girls &amp; Descendants - Edit'!AI$1,FALSE)=""," - ",(VLOOKUP($C409,'All Girls &amp; Descendants - Edit'!$C$2:$AK$440,'All Girls &amp; Descendants - Edit'!AI$1,FALSE)))</f>
        <v>Unmarried</v>
      </c>
      <c r="AJ409" s="3" t="str">
        <f>IF(VLOOKUP($C409,'All Girls &amp; Descendants - Edit'!$C$2:$AK$440,'All Girls &amp; Descendants - Edit'!AJ$1,FALSE)=""," - ",(VLOOKUP($C409,'All Girls &amp; Descendants - Edit'!$C$2:$AK$440,'All Girls &amp; Descendants - Edit'!AJ$1,FALSE)))</f>
        <v>Male. b. 05/09/1995 Born in London.</v>
      </c>
      <c r="AK409" s="3" t="str">
        <f>IF(VLOOKUP($C409,'All Girls &amp; Descendants - Edit'!$C$2:$AK$440,'All Girls &amp; Descendants - Edit'!AK$1,FALSE)=""," - ",(VLOOKUP($C409,'All Girls &amp; Descendants - Edit'!$C$2:$AK$440,'All Girls &amp; Descendants - Edit'!AK$1,FALSE)))</f>
        <v>b. 05/09/1995</v>
      </c>
    </row>
    <row r="410" spans="1:37" ht="19">
      <c r="A410">
        <f>VLOOKUP(B410,'Loyd List 1-190 - Edit'!$P$1:$R$219,3,FALSE)</f>
        <v>22</v>
      </c>
      <c r="B410">
        <f>'All Girls &amp; Descendants - Edit'!B411</f>
        <v>36</v>
      </c>
      <c r="C410" s="98" t="str">
        <f>'All Girls &amp; Descendants - Edit'!C411</f>
        <v>36dbbab</v>
      </c>
      <c r="D410" s="2" t="str">
        <f>'All Girls &amp; Descendants - Edit'!D411</f>
        <v>GRAHAM</v>
      </c>
      <c r="E410" t="str">
        <f>'All Girls &amp; Descendants - Edit'!E411</f>
        <v>Ludovic</v>
      </c>
      <c r="F410" t="str">
        <f>IF('All Girls &amp; Descendants - Edit'!F411="","",'All Girls &amp; Descendants - Edit'!F411)</f>
        <v>James</v>
      </c>
      <c r="G410" t="str">
        <f>IF('All Girls &amp; Descendants - Edit'!G411="","",'All Girls &amp; Descendants - Edit'!G411)</f>
        <v>Buckle</v>
      </c>
      <c r="H410" t="str">
        <f>IF('All Girls &amp; Descendants - Edit'!H411="","",'All Girls &amp; Descendants - Edit'!H411)</f>
        <v/>
      </c>
      <c r="I410">
        <f>VLOOKUP($C410,'All Girls &amp; Descendants - Edit'!$C$2:$AK$440,'All Girls &amp; Descendants - Edit'!I$1,FALSE)</f>
        <v>1997</v>
      </c>
      <c r="J410" t="str">
        <f>VLOOKUP($C410,'All Girls &amp; Descendants - Edit'!$C$2:$AK$440,'All Girls &amp; Descendants - Edit'!J$1,FALSE)</f>
        <v/>
      </c>
      <c r="K410" s="9"/>
      <c r="L410" t="str">
        <f t="shared" si="46"/>
        <v>18/08/1997</v>
      </c>
      <c r="M410" s="3">
        <f>VLOOKUP($C410,'All Girls &amp; Descendants - Edit'!$C$2:$AK$440,'All Girls &amp; Descendants - Edit'!M$1,FALSE)</f>
        <v>35660</v>
      </c>
      <c r="N410" s="3" t="str">
        <f>IF(VLOOKUP($C410,'All Girls &amp; Descendants - Edit'!$C$2:$AK$440,'All Girls &amp; Descendants - Edit'!N$1,FALSE)=""," - ",(VLOOKUP($C410,'All Girls &amp; Descendants - Edit'!$C$2:$AK$440,'All Girls &amp; Descendants - Edit'!N$1,FALSE)))</f>
        <v xml:space="preserve"> - </v>
      </c>
      <c r="O410" s="3" t="str">
        <f>IF(VLOOKUP($C410,'All Girls &amp; Descendants - Edit'!$C$2:$AK$440,'All Girls &amp; Descendants - Edit'!O$1,FALSE)="","",(VLOOKUP($C410,'All Girls &amp; Descendants - Edit'!$C$2:$AK$440,'All Girls &amp; Descendants - Edit'!O$1,FALSE)))</f>
        <v/>
      </c>
      <c r="P410" s="3" t="str">
        <f t="shared" si="47"/>
        <v/>
      </c>
      <c r="Q410" s="178" t="str">
        <f t="shared" si="48"/>
        <v>36dbba</v>
      </c>
      <c r="R410" s="23"/>
      <c r="S410" t="str">
        <f>VLOOKUP($C410,'All Girls &amp; Descendants - Edit'!$C$2:$AK$440,'All Girls &amp; Descendants - Edit'!S$1,FALSE)</f>
        <v>Female</v>
      </c>
      <c r="T410" s="176">
        <f t="shared" si="45"/>
        <v>8</v>
      </c>
      <c r="U410" s="176">
        <f t="shared" si="49"/>
        <v>7</v>
      </c>
      <c r="V410" s="176">
        <f t="shared" si="50"/>
        <v>3</v>
      </c>
      <c r="W410" s="177">
        <f t="shared" si="51"/>
        <v>5</v>
      </c>
      <c r="X410" s="3" t="str">
        <f>IF(VLOOKUP($C410,'All Girls &amp; Descendants - Edit'!$C$2:$AK$440,'All Girls &amp; Descendants - Edit'!X$1,FALSE)=""," - ",(VLOOKUP($C410,'All Girls &amp; Descendants - Edit'!$C$2:$AK$440,'All Girls &amp; Descendants - Edit'!X$1,FALSE)))</f>
        <v xml:space="preserve"> - </v>
      </c>
      <c r="Y410" s="3" t="str">
        <f>IF(VLOOKUP($C410,'All Girls &amp; Descendants - Edit'!$C$2:$AK$440,'All Girls &amp; Descendants - Edit'!Y$1,FALSE)=""," - ",(VLOOKUP($C410,'All Girls &amp; Descendants - Edit'!$C$2:$AK$440,'All Girls &amp; Descendants - Edit'!Y$1,FALSE)))</f>
        <v xml:space="preserve"> - </v>
      </c>
      <c r="Z410" s="3" t="str">
        <f>IF(VLOOKUP($C410,'All Girls &amp; Descendants - Edit'!$C$2:$AK$440,'All Girls &amp; Descendants - Edit'!Z$1,FALSE)=""," - ",(VLOOKUP($C410,'All Girls &amp; Descendants - Edit'!$C$2:$AK$440,'All Girls &amp; Descendants - Edit'!Z$1,FALSE)))</f>
        <v>Born in London.</v>
      </c>
      <c r="AA410" s="101">
        <f>IF(VLOOKUP($C410,'All Girls &amp; Descendants - Edit'!$C$2:$AK$440,'All Girls &amp; Descendants - Edit'!AA$1,FALSE)=""," - ",(VLOOKUP($C410,'All Girls &amp; Descendants - Edit'!$C$2:$AK$440,'All Girls &amp; Descendants - Edit'!AA$1,FALSE)))</f>
        <v>84</v>
      </c>
      <c r="AB410" s="101">
        <f>IF(VLOOKUP($C410,'All Girls &amp; Descendants - Edit'!$C$2:$AK$440,'All Girls &amp; Descendants - Edit'!AB$1,FALSE)=""," - ",(VLOOKUP($C410,'All Girls &amp; Descendants - Edit'!$C$2:$AK$440,'All Girls &amp; Descendants - Edit'!AB$1,FALSE)))</f>
        <v>25</v>
      </c>
      <c r="AC410" s="101">
        <f>IF(VLOOKUP($C410,'All Girls &amp; Descendants - Edit'!$C$2:$AK$440,'All Girls &amp; Descendants - Edit'!AC$1,FALSE)=""," - ",(VLOOKUP($C410,'All Girls &amp; Descendants - Edit'!$C$2:$AK$440,'All Girls &amp; Descendants - Edit'!AC$1,FALSE)))</f>
        <v>5025</v>
      </c>
      <c r="AD410" s="3" t="str">
        <f>IF(VLOOKUP($C410,'All Girls &amp; Descendants - Edit'!$C$2:$AK$440,'All Girls &amp; Descendants - Edit'!AD$1,FALSE)=""," - ",(VLOOKUP($C410,'All Girls &amp; Descendants - Edit'!$C$2:$AK$440,'All Girls &amp; Descendants - Edit'!AD$1,FALSE)))</f>
        <v>36dbbab</v>
      </c>
      <c r="AE410" s="3" t="str">
        <f>IF(VLOOKUP($C410,'All Girls &amp; Descendants - Edit'!$C$2:$AK$440,'All Girls &amp; Descendants - Edit'!AE$1,FALSE)=""," - ",(VLOOKUP($C410,'All Girls &amp; Descendants - Edit'!$C$2:$AK$440,'All Girls &amp; Descendants - Edit'!AE$1,FALSE)))</f>
        <v>Ludovic James Buckle GRAHAM (1997 - )</v>
      </c>
      <c r="AF410" s="3" t="str">
        <f>IF(VLOOKUP($C410,'All Girls &amp; Descendants - Edit'!$C$2:$AK$440,'All Girls &amp; Descendants - Edit'!AF$1,FALSE)=""," - ",(VLOOKUP($C410,'All Girls &amp; Descendants - Edit'!$C$2:$AK$440,'All Girls &amp; Descendants - Edit'!AF$1,FALSE)))</f>
        <v>Ludovic GRAHAM (8th &amp; 36)</v>
      </c>
      <c r="AG410" s="3" t="str">
        <f>IF(VLOOKUP($C410,'All Girls &amp; Descendants - Edit'!$C$2:$AK$440,'All Girls &amp; Descendants - Edit'!AG$1,FALSE)=""," - ",(VLOOKUP($C410,'All Girls &amp; Descendants - Edit'!$C$2:$AK$440,'All Girls &amp; Descendants - Edit'!AG$1,FALSE)))</f>
        <v>Female</v>
      </c>
      <c r="AH410" s="3" t="str">
        <f>IF(VLOOKUP($C410,'All Girls &amp; Descendants - Edit'!$C$2:$AK$440,'All Girls &amp; Descendants - Edit'!AH$1,FALSE)=""," - ",(VLOOKUP($C410,'All Girls &amp; Descendants - Edit'!$C$2:$AK$440,'All Girls &amp; Descendants - Edit'!AH$1,FALSE)))</f>
        <v>8th</v>
      </c>
      <c r="AI410" s="3" t="str">
        <f>IF(VLOOKUP($C410,'All Girls &amp; Descendants - Edit'!$C$2:$AK$440,'All Girls &amp; Descendants - Edit'!AI$1,FALSE)=""," - ",(VLOOKUP($C410,'All Girls &amp; Descendants - Edit'!$C$2:$AK$440,'All Girls &amp; Descendants - Edit'!AI$1,FALSE)))</f>
        <v>Unmarried</v>
      </c>
      <c r="AJ410" s="3" t="str">
        <f>IF(VLOOKUP($C410,'All Girls &amp; Descendants - Edit'!$C$2:$AK$440,'All Girls &amp; Descendants - Edit'!AJ$1,FALSE)=""," - ",(VLOOKUP($C410,'All Girls &amp; Descendants - Edit'!$C$2:$AK$440,'All Girls &amp; Descendants - Edit'!AJ$1,FALSE)))</f>
        <v>Female. b. 18/08/1997 Born in London.</v>
      </c>
      <c r="AK410" s="3" t="str">
        <f>IF(VLOOKUP($C410,'All Girls &amp; Descendants - Edit'!$C$2:$AK$440,'All Girls &amp; Descendants - Edit'!AK$1,FALSE)=""," - ",(VLOOKUP($C410,'All Girls &amp; Descendants - Edit'!$C$2:$AK$440,'All Girls &amp; Descendants - Edit'!AK$1,FALSE)))</f>
        <v>b. 18/08/1997</v>
      </c>
    </row>
    <row r="411" spans="1:37" ht="19">
      <c r="A411">
        <f>VLOOKUP(B411,'Loyd List 1-190 - Edit'!$P$1:$R$219,3,FALSE)</f>
        <v>22</v>
      </c>
      <c r="B411">
        <f>'All Girls &amp; Descendants - Edit'!B412</f>
        <v>36</v>
      </c>
      <c r="C411" s="98" t="str">
        <f>'All Girls &amp; Descendants - Edit'!C412</f>
        <v>36dbbba</v>
      </c>
      <c r="D411" s="2" t="str">
        <f>'All Girls &amp; Descendants - Edit'!D412</f>
        <v>LINDSAY</v>
      </c>
      <c r="E411" t="str">
        <f>'All Girls &amp; Descendants - Edit'!E412</f>
        <v>Oscar</v>
      </c>
      <c r="F411" t="str">
        <f>IF('All Girls &amp; Descendants - Edit'!F412="","",'All Girls &amp; Descendants - Edit'!F412)</f>
        <v>James</v>
      </c>
      <c r="G411" t="str">
        <f>IF('All Girls &amp; Descendants - Edit'!G412="","",'All Girls &amp; Descendants - Edit'!G412)</f>
        <v>Montague</v>
      </c>
      <c r="H411" t="str">
        <f>IF('All Girls &amp; Descendants - Edit'!H412="","",'All Girls &amp; Descendants - Edit'!H412)</f>
        <v/>
      </c>
      <c r="I411">
        <f>VLOOKUP($C411,'All Girls &amp; Descendants - Edit'!$C$2:$AK$440,'All Girls &amp; Descendants - Edit'!I$1,FALSE)</f>
        <v>1998</v>
      </c>
      <c r="J411" t="str">
        <f>VLOOKUP($C411,'All Girls &amp; Descendants - Edit'!$C$2:$AK$440,'All Girls &amp; Descendants - Edit'!J$1,FALSE)</f>
        <v/>
      </c>
      <c r="K411" s="9"/>
      <c r="L411" t="str">
        <f t="shared" si="46"/>
        <v>02/07/1998</v>
      </c>
      <c r="M411" s="3">
        <f>VLOOKUP($C411,'All Girls &amp; Descendants - Edit'!$C$2:$AK$440,'All Girls &amp; Descendants - Edit'!M$1,FALSE)</f>
        <v>35978</v>
      </c>
      <c r="N411" s="3" t="str">
        <f>IF(VLOOKUP($C411,'All Girls &amp; Descendants - Edit'!$C$2:$AK$440,'All Girls &amp; Descendants - Edit'!N$1,FALSE)=""," - ",(VLOOKUP($C411,'All Girls &amp; Descendants - Edit'!$C$2:$AK$440,'All Girls &amp; Descendants - Edit'!N$1,FALSE)))</f>
        <v xml:space="preserve"> - </v>
      </c>
      <c r="O411" s="3" t="str">
        <f>IF(VLOOKUP($C411,'All Girls &amp; Descendants - Edit'!$C$2:$AK$440,'All Girls &amp; Descendants - Edit'!O$1,FALSE)="","",(VLOOKUP($C411,'All Girls &amp; Descendants - Edit'!$C$2:$AK$440,'All Girls &amp; Descendants - Edit'!O$1,FALSE)))</f>
        <v/>
      </c>
      <c r="P411" s="3" t="str">
        <f t="shared" si="47"/>
        <v/>
      </c>
      <c r="Q411" s="178" t="str">
        <f t="shared" si="48"/>
        <v>36dbbb</v>
      </c>
      <c r="R411" s="23"/>
      <c r="S411" t="str">
        <f>VLOOKUP($C411,'All Girls &amp; Descendants - Edit'!$C$2:$AK$440,'All Girls &amp; Descendants - Edit'!S$1,FALSE)</f>
        <v>Male</v>
      </c>
      <c r="T411" s="176">
        <f t="shared" si="45"/>
        <v>8</v>
      </c>
      <c r="U411" s="176">
        <f t="shared" si="49"/>
        <v>7</v>
      </c>
      <c r="V411" s="176">
        <f t="shared" si="50"/>
        <v>3</v>
      </c>
      <c r="W411" s="177">
        <f t="shared" si="51"/>
        <v>5</v>
      </c>
      <c r="X411" s="3" t="str">
        <f>IF(VLOOKUP($C411,'All Girls &amp; Descendants - Edit'!$C$2:$AK$440,'All Girls &amp; Descendants - Edit'!X$1,FALSE)=""," - ",(VLOOKUP($C411,'All Girls &amp; Descendants - Edit'!$C$2:$AK$440,'All Girls &amp; Descendants - Edit'!X$1,FALSE)))</f>
        <v xml:space="preserve"> - </v>
      </c>
      <c r="Y411" s="3" t="str">
        <f>IF(VLOOKUP($C411,'All Girls &amp; Descendants - Edit'!$C$2:$AK$440,'All Girls &amp; Descendants - Edit'!Y$1,FALSE)=""," - ",(VLOOKUP($C411,'All Girls &amp; Descendants - Edit'!$C$2:$AK$440,'All Girls &amp; Descendants - Edit'!Y$1,FALSE)))</f>
        <v xml:space="preserve"> - </v>
      </c>
      <c r="Z411" s="3" t="str">
        <f>IF(VLOOKUP($C411,'All Girls &amp; Descendants - Edit'!$C$2:$AK$440,'All Girls &amp; Descendants - Edit'!Z$1,FALSE)=""," - ",(VLOOKUP($C411,'All Girls &amp; Descendants - Edit'!$C$2:$AK$440,'All Girls &amp; Descendants - Edit'!Z$1,FALSE)))</f>
        <v>Born in London.</v>
      </c>
      <c r="AA411" s="101">
        <f>IF(VLOOKUP($C411,'All Girls &amp; Descendants - Edit'!$C$2:$AK$440,'All Girls &amp; Descendants - Edit'!AA$1,FALSE)=""," - ",(VLOOKUP($C411,'All Girls &amp; Descendants - Edit'!$C$2:$AK$440,'All Girls &amp; Descendants - Edit'!AA$1,FALSE)))</f>
        <v>86</v>
      </c>
      <c r="AB411" s="101">
        <f>IF(VLOOKUP($C411,'All Girls &amp; Descendants - Edit'!$C$2:$AK$440,'All Girls &amp; Descendants - Edit'!AB$1,FALSE)=""," - ",(VLOOKUP($C411,'All Girls &amp; Descendants - Edit'!$C$2:$AK$440,'All Girls &amp; Descendants - Edit'!AB$1,FALSE)))</f>
        <v>26</v>
      </c>
      <c r="AC411" s="101">
        <f>IF(VLOOKUP($C411,'All Girls &amp; Descendants - Edit'!$C$2:$AK$440,'All Girls &amp; Descendants - Edit'!AC$1,FALSE)=""," - ",(VLOOKUP($C411,'All Girls &amp; Descendants - Edit'!$C$2:$AK$440,'All Girls &amp; Descendants - Edit'!AC$1,FALSE)))</f>
        <v>5026</v>
      </c>
      <c r="AD411" s="3" t="str">
        <f>IF(VLOOKUP($C411,'All Girls &amp; Descendants - Edit'!$C$2:$AK$440,'All Girls &amp; Descendants - Edit'!AD$1,FALSE)=""," - ",(VLOOKUP($C411,'All Girls &amp; Descendants - Edit'!$C$2:$AK$440,'All Girls &amp; Descendants - Edit'!AD$1,FALSE)))</f>
        <v>36dbbba</v>
      </c>
      <c r="AE411" s="3" t="str">
        <f>IF(VLOOKUP($C411,'All Girls &amp; Descendants - Edit'!$C$2:$AK$440,'All Girls &amp; Descendants - Edit'!AE$1,FALSE)=""," - ",(VLOOKUP($C411,'All Girls &amp; Descendants - Edit'!$C$2:$AK$440,'All Girls &amp; Descendants - Edit'!AE$1,FALSE)))</f>
        <v>Oscar James Montague LINDSAY (1998 - )</v>
      </c>
      <c r="AF411" s="3" t="str">
        <f>IF(VLOOKUP($C411,'All Girls &amp; Descendants - Edit'!$C$2:$AK$440,'All Girls &amp; Descendants - Edit'!AF$1,FALSE)=""," - ",(VLOOKUP($C411,'All Girls &amp; Descendants - Edit'!$C$2:$AK$440,'All Girls &amp; Descendants - Edit'!AF$1,FALSE)))</f>
        <v>Oscar LINDSAY (8th &amp; 36)</v>
      </c>
      <c r="AG411" s="3" t="str">
        <f>IF(VLOOKUP($C411,'All Girls &amp; Descendants - Edit'!$C$2:$AK$440,'All Girls &amp; Descendants - Edit'!AG$1,FALSE)=""," - ",(VLOOKUP($C411,'All Girls &amp; Descendants - Edit'!$C$2:$AK$440,'All Girls &amp; Descendants - Edit'!AG$1,FALSE)))</f>
        <v>Male</v>
      </c>
      <c r="AH411" s="3" t="str">
        <f>IF(VLOOKUP($C411,'All Girls &amp; Descendants - Edit'!$C$2:$AK$440,'All Girls &amp; Descendants - Edit'!AH$1,FALSE)=""," - ",(VLOOKUP($C411,'All Girls &amp; Descendants - Edit'!$C$2:$AK$440,'All Girls &amp; Descendants - Edit'!AH$1,FALSE)))</f>
        <v>8th</v>
      </c>
      <c r="AI411" s="3" t="str">
        <f>IF(VLOOKUP($C411,'All Girls &amp; Descendants - Edit'!$C$2:$AK$440,'All Girls &amp; Descendants - Edit'!AI$1,FALSE)=""," - ",(VLOOKUP($C411,'All Girls &amp; Descendants - Edit'!$C$2:$AK$440,'All Girls &amp; Descendants - Edit'!AI$1,FALSE)))</f>
        <v>Unmarried</v>
      </c>
      <c r="AJ411" s="3" t="str">
        <f>IF(VLOOKUP($C411,'All Girls &amp; Descendants - Edit'!$C$2:$AK$440,'All Girls &amp; Descendants - Edit'!AJ$1,FALSE)=""," - ",(VLOOKUP($C411,'All Girls &amp; Descendants - Edit'!$C$2:$AK$440,'All Girls &amp; Descendants - Edit'!AJ$1,FALSE)))</f>
        <v>Male. b. 02/07/1998 Born in London.</v>
      </c>
      <c r="AK411" s="3" t="str">
        <f>IF(VLOOKUP($C411,'All Girls &amp; Descendants - Edit'!$C$2:$AK$440,'All Girls &amp; Descendants - Edit'!AK$1,FALSE)=""," - ",(VLOOKUP($C411,'All Girls &amp; Descendants - Edit'!$C$2:$AK$440,'All Girls &amp; Descendants - Edit'!AK$1,FALSE)))</f>
        <v>b. 02/07/1998</v>
      </c>
    </row>
    <row r="412" spans="1:37" ht="19">
      <c r="A412">
        <f>VLOOKUP(B412,'Loyd List 1-190 - Edit'!$P$1:$R$219,3,FALSE)</f>
        <v>8</v>
      </c>
      <c r="B412">
        <f>'All Girls &amp; Descendants - Edit'!B413</f>
        <v>18</v>
      </c>
      <c r="C412" s="98" t="str">
        <f>'All Girls &amp; Descendants - Edit'!C413</f>
        <v>18bbabaa</v>
      </c>
      <c r="D412" s="2" t="str">
        <f>'All Girls &amp; Descendants - Edit'!D413</f>
        <v>BERRY</v>
      </c>
      <c r="E412" t="str">
        <f>'All Girls &amp; Descendants - Edit'!E413</f>
        <v>William</v>
      </c>
      <c r="F412" t="str">
        <f>IF('All Girls &amp; Descendants - Edit'!F413="","",'All Girls &amp; Descendants - Edit'!F413)</f>
        <v/>
      </c>
      <c r="G412" t="str">
        <f>IF('All Girls &amp; Descendants - Edit'!G413="","",'All Girls &amp; Descendants - Edit'!G413)</f>
        <v/>
      </c>
      <c r="H412" t="str">
        <f>IF('All Girls &amp; Descendants - Edit'!H413="","",'All Girls &amp; Descendants - Edit'!H413)</f>
        <v/>
      </c>
      <c r="I412">
        <f>VLOOKUP($C412,'All Girls &amp; Descendants - Edit'!$C$2:$AK$440,'All Girls &amp; Descendants - Edit'!I$1,FALSE)</f>
        <v>2008</v>
      </c>
      <c r="J412" t="str">
        <f>VLOOKUP($C412,'All Girls &amp; Descendants - Edit'!$C$2:$AK$440,'All Girls &amp; Descendants - Edit'!J$1,FALSE)</f>
        <v/>
      </c>
      <c r="K412" s="9"/>
      <c r="L412" t="str">
        <f t="shared" si="46"/>
        <v>29/06/2008</v>
      </c>
      <c r="M412" s="3">
        <f>VLOOKUP($C412,'All Girls &amp; Descendants - Edit'!$C$2:$AK$440,'All Girls &amp; Descendants - Edit'!M$1,FALSE)</f>
        <v>39628</v>
      </c>
      <c r="N412" s="3" t="str">
        <f>IF(VLOOKUP($C412,'All Girls &amp; Descendants - Edit'!$C$2:$AK$440,'All Girls &amp; Descendants - Edit'!N$1,FALSE)=""," - ",(VLOOKUP($C412,'All Girls &amp; Descendants - Edit'!$C$2:$AK$440,'All Girls &amp; Descendants - Edit'!N$1,FALSE)))</f>
        <v xml:space="preserve"> - </v>
      </c>
      <c r="O412" s="3" t="str">
        <f>IF(VLOOKUP($C412,'All Girls &amp; Descendants - Edit'!$C$2:$AK$440,'All Girls &amp; Descendants - Edit'!O$1,FALSE)="","",(VLOOKUP($C412,'All Girls &amp; Descendants - Edit'!$C$2:$AK$440,'All Girls &amp; Descendants - Edit'!O$1,FALSE)))</f>
        <v/>
      </c>
      <c r="P412" s="3" t="str">
        <f t="shared" si="47"/>
        <v/>
      </c>
      <c r="Q412" s="178" t="str">
        <f t="shared" si="48"/>
        <v>18bbaba</v>
      </c>
      <c r="R412" s="23"/>
      <c r="S412" t="str">
        <f>VLOOKUP($C412,'All Girls &amp; Descendants - Edit'!$C$2:$AK$440,'All Girls &amp; Descendants - Edit'!S$1,FALSE)</f>
        <v>Male</v>
      </c>
      <c r="T412" s="176">
        <f t="shared" si="45"/>
        <v>8</v>
      </c>
      <c r="U412" s="176">
        <f t="shared" si="49"/>
        <v>8</v>
      </c>
      <c r="V412" s="176">
        <f t="shared" si="50"/>
        <v>2</v>
      </c>
      <c r="W412" s="177">
        <f t="shared" si="51"/>
        <v>6</v>
      </c>
      <c r="X412" s="3" t="str">
        <f>IF(VLOOKUP($C412,'All Girls &amp; Descendants - Edit'!$C$2:$AK$440,'All Girls &amp; Descendants - Edit'!X$1,FALSE)=""," - ",(VLOOKUP($C412,'All Girls &amp; Descendants - Edit'!$C$2:$AK$440,'All Girls &amp; Descendants - Edit'!X$1,FALSE)))</f>
        <v xml:space="preserve"> - </v>
      </c>
      <c r="Y412" s="3" t="str">
        <f>IF(VLOOKUP($C412,'All Girls &amp; Descendants - Edit'!$C$2:$AK$440,'All Girls &amp; Descendants - Edit'!Y$1,FALSE)=""," - ",(VLOOKUP($C412,'All Girls &amp; Descendants - Edit'!$C$2:$AK$440,'All Girls &amp; Descendants - Edit'!Y$1,FALSE)))</f>
        <v xml:space="preserve"> - </v>
      </c>
      <c r="Z412" s="3" t="str">
        <f>IF(VLOOKUP($C412,'All Girls &amp; Descendants - Edit'!$C$2:$AK$440,'All Girls &amp; Descendants - Edit'!Z$1,FALSE)=""," - ",(VLOOKUP($C412,'All Girls &amp; Descendants - Edit'!$C$2:$AK$440,'All Girls &amp; Descendants - Edit'!Z$1,FALSE)))</f>
        <v>Born in Geneva.</v>
      </c>
      <c r="AA412" s="101" t="str">
        <f>IF(VLOOKUP($C412,'All Girls &amp; Descendants - Edit'!$C$2:$AK$440,'All Girls &amp; Descendants - Edit'!AA$1,FALSE)=""," - ",(VLOOKUP($C412,'All Girls &amp; Descendants - Edit'!$C$2:$AK$440,'All Girls &amp; Descendants - Edit'!AA$1,FALSE)))</f>
        <v xml:space="preserve"> - </v>
      </c>
      <c r="AB412" s="101">
        <f>IF(VLOOKUP($C412,'All Girls &amp; Descendants - Edit'!$C$2:$AK$440,'All Girls &amp; Descendants - Edit'!AB$1,FALSE)=""," - ",(VLOOKUP($C412,'All Girls &amp; Descendants - Edit'!$C$2:$AK$440,'All Girls &amp; Descendants - Edit'!AB$1,FALSE)))</f>
        <v>1</v>
      </c>
      <c r="AC412" s="101">
        <f>IF(VLOOKUP($C412,'All Girls &amp; Descendants - Edit'!$C$2:$AK$440,'All Girls &amp; Descendants - Edit'!AC$1,FALSE)=""," - ",(VLOOKUP($C412,'All Girls &amp; Descendants - Edit'!$C$2:$AK$440,'All Girls &amp; Descendants - Edit'!AC$1,FALSE)))</f>
        <v>6001</v>
      </c>
      <c r="AD412" s="3" t="str">
        <f>IF(VLOOKUP($C412,'All Girls &amp; Descendants - Edit'!$C$2:$AK$440,'All Girls &amp; Descendants - Edit'!AD$1,FALSE)=""," - ",(VLOOKUP($C412,'All Girls &amp; Descendants - Edit'!$C$2:$AK$440,'All Girls &amp; Descendants - Edit'!AD$1,FALSE)))</f>
        <v>18bbabaa</v>
      </c>
      <c r="AE412" s="3" t="str">
        <f>IF(VLOOKUP($C412,'All Girls &amp; Descendants - Edit'!$C$2:$AK$440,'All Girls &amp; Descendants - Edit'!AE$1,FALSE)=""," - ",(VLOOKUP($C412,'All Girls &amp; Descendants - Edit'!$C$2:$AK$440,'All Girls &amp; Descendants - Edit'!AE$1,FALSE)))</f>
        <v>William   BERRY (2008 - )</v>
      </c>
      <c r="AF412" s="3" t="str">
        <f>IF(VLOOKUP($C412,'All Girls &amp; Descendants - Edit'!$C$2:$AK$440,'All Girls &amp; Descendants - Edit'!AF$1,FALSE)=""," - ",(VLOOKUP($C412,'All Girls &amp; Descendants - Edit'!$C$2:$AK$440,'All Girls &amp; Descendants - Edit'!AF$1,FALSE)))</f>
        <v>William BERRY (8th &amp; 18)</v>
      </c>
      <c r="AG412" s="3" t="str">
        <f>IF(VLOOKUP($C412,'All Girls &amp; Descendants - Edit'!$C$2:$AK$440,'All Girls &amp; Descendants - Edit'!AG$1,FALSE)=""," - ",(VLOOKUP($C412,'All Girls &amp; Descendants - Edit'!$C$2:$AK$440,'All Girls &amp; Descendants - Edit'!AG$1,FALSE)))</f>
        <v>Male</v>
      </c>
      <c r="AH412" s="3" t="str">
        <f>IF(VLOOKUP($C412,'All Girls &amp; Descendants - Edit'!$C$2:$AK$440,'All Girls &amp; Descendants - Edit'!AH$1,FALSE)=""," - ",(VLOOKUP($C412,'All Girls &amp; Descendants - Edit'!$C$2:$AK$440,'All Girls &amp; Descendants - Edit'!AH$1,FALSE)))</f>
        <v>8th</v>
      </c>
      <c r="AI412" s="3" t="str">
        <f>IF(VLOOKUP($C412,'All Girls &amp; Descendants - Edit'!$C$2:$AK$440,'All Girls &amp; Descendants - Edit'!AI$1,FALSE)=""," - ",(VLOOKUP($C412,'All Girls &amp; Descendants - Edit'!$C$2:$AK$440,'All Girls &amp; Descendants - Edit'!AI$1,FALSE)))</f>
        <v>Unmarried</v>
      </c>
      <c r="AJ412" s="3" t="str">
        <f>IF(VLOOKUP($C412,'All Girls &amp; Descendants - Edit'!$C$2:$AK$440,'All Girls &amp; Descendants - Edit'!AJ$1,FALSE)=""," - ",(VLOOKUP($C412,'All Girls &amp; Descendants - Edit'!$C$2:$AK$440,'All Girls &amp; Descendants - Edit'!AJ$1,FALSE)))</f>
        <v>Male. b. 29/06/2008 Born in Geneva.</v>
      </c>
      <c r="AK412" s="3" t="str">
        <f>IF(VLOOKUP($C412,'All Girls &amp; Descendants - Edit'!$C$2:$AK$440,'All Girls &amp; Descendants - Edit'!AK$1,FALSE)=""," - ",(VLOOKUP($C412,'All Girls &amp; Descendants - Edit'!$C$2:$AK$440,'All Girls &amp; Descendants - Edit'!AK$1,FALSE)))</f>
        <v>b. 29/06/2008</v>
      </c>
    </row>
    <row r="413" spans="1:37" ht="19">
      <c r="A413">
        <f>VLOOKUP(B413,'Loyd List 1-190 - Edit'!$P$1:$R$219,3,FALSE)</f>
        <v>8</v>
      </c>
      <c r="B413">
        <f>'All Girls &amp; Descendants - Edit'!B414</f>
        <v>18</v>
      </c>
      <c r="C413" s="98" t="str">
        <f>'All Girls &amp; Descendants - Edit'!C414</f>
        <v>18bbabab</v>
      </c>
      <c r="D413" s="2" t="str">
        <f>'All Girls &amp; Descendants - Edit'!D414</f>
        <v>BERRY</v>
      </c>
      <c r="E413" t="str">
        <f>'All Girls &amp; Descendants - Edit'!E414</f>
        <v>Mungo</v>
      </c>
      <c r="F413" t="str">
        <f>IF('All Girls &amp; Descendants - Edit'!F414="","",'All Girls &amp; Descendants - Edit'!F414)</f>
        <v>James</v>
      </c>
      <c r="G413" t="str">
        <f>IF('All Girls &amp; Descendants - Edit'!G414="","",'All Girls &amp; Descendants - Edit'!G414)</f>
        <v/>
      </c>
      <c r="H413" t="str">
        <f>IF('All Girls &amp; Descendants - Edit'!H414="","",'All Girls &amp; Descendants - Edit'!H414)</f>
        <v/>
      </c>
      <c r="I413">
        <f>VLOOKUP($C413,'All Girls &amp; Descendants - Edit'!$C$2:$AK$440,'All Girls &amp; Descendants - Edit'!I$1,FALSE)</f>
        <v>2010</v>
      </c>
      <c r="J413" t="str">
        <f>VLOOKUP($C413,'All Girls &amp; Descendants - Edit'!$C$2:$AK$440,'All Girls &amp; Descendants - Edit'!J$1,FALSE)</f>
        <v/>
      </c>
      <c r="K413" s="9"/>
      <c r="L413" t="str">
        <f t="shared" si="46"/>
        <v>19/03/2010</v>
      </c>
      <c r="M413" s="3">
        <f>VLOOKUP($C413,'All Girls &amp; Descendants - Edit'!$C$2:$AK$440,'All Girls &amp; Descendants - Edit'!M$1,FALSE)</f>
        <v>40256</v>
      </c>
      <c r="N413" s="3" t="str">
        <f>IF(VLOOKUP($C413,'All Girls &amp; Descendants - Edit'!$C$2:$AK$440,'All Girls &amp; Descendants - Edit'!N$1,FALSE)=""," - ",(VLOOKUP($C413,'All Girls &amp; Descendants - Edit'!$C$2:$AK$440,'All Girls &amp; Descendants - Edit'!N$1,FALSE)))</f>
        <v xml:space="preserve"> - </v>
      </c>
      <c r="O413" s="3" t="str">
        <f>IF(VLOOKUP($C413,'All Girls &amp; Descendants - Edit'!$C$2:$AK$440,'All Girls &amp; Descendants - Edit'!O$1,FALSE)="","",(VLOOKUP($C413,'All Girls &amp; Descendants - Edit'!$C$2:$AK$440,'All Girls &amp; Descendants - Edit'!O$1,FALSE)))</f>
        <v/>
      </c>
      <c r="P413" s="3" t="str">
        <f t="shared" si="47"/>
        <v/>
      </c>
      <c r="Q413" s="178" t="str">
        <f t="shared" si="48"/>
        <v>18bbaba</v>
      </c>
      <c r="R413" s="23"/>
      <c r="S413" t="str">
        <f>VLOOKUP($C413,'All Girls &amp; Descendants - Edit'!$C$2:$AK$440,'All Girls &amp; Descendants - Edit'!S$1,FALSE)</f>
        <v>Male</v>
      </c>
      <c r="T413" s="176">
        <f t="shared" si="45"/>
        <v>8</v>
      </c>
      <c r="U413" s="176">
        <f t="shared" si="49"/>
        <v>8</v>
      </c>
      <c r="V413" s="176">
        <f t="shared" si="50"/>
        <v>2</v>
      </c>
      <c r="W413" s="177">
        <f t="shared" si="51"/>
        <v>6</v>
      </c>
      <c r="X413" s="3" t="str">
        <f>IF(VLOOKUP($C413,'All Girls &amp; Descendants - Edit'!$C$2:$AK$440,'All Girls &amp; Descendants - Edit'!X$1,FALSE)=""," - ",(VLOOKUP($C413,'All Girls &amp; Descendants - Edit'!$C$2:$AK$440,'All Girls &amp; Descendants - Edit'!X$1,FALSE)))</f>
        <v xml:space="preserve"> - </v>
      </c>
      <c r="Y413" s="3" t="str">
        <f>IF(VLOOKUP($C413,'All Girls &amp; Descendants - Edit'!$C$2:$AK$440,'All Girls &amp; Descendants - Edit'!Y$1,FALSE)=""," - ",(VLOOKUP($C413,'All Girls &amp; Descendants - Edit'!$C$2:$AK$440,'All Girls &amp; Descendants - Edit'!Y$1,FALSE)))</f>
        <v xml:space="preserve"> - </v>
      </c>
      <c r="Z413" s="3" t="str">
        <f>IF(VLOOKUP($C413,'All Girls &amp; Descendants - Edit'!$C$2:$AK$440,'All Girls &amp; Descendants - Edit'!Z$1,FALSE)=""," - ",(VLOOKUP($C413,'All Girls &amp; Descendants - Edit'!$C$2:$AK$440,'All Girls &amp; Descendants - Edit'!Z$1,FALSE)))</f>
        <v>Born in Edinburgh.</v>
      </c>
      <c r="AA413" s="101" t="str">
        <f>IF(VLOOKUP($C413,'All Girls &amp; Descendants - Edit'!$C$2:$AK$440,'All Girls &amp; Descendants - Edit'!AA$1,FALSE)=""," - ",(VLOOKUP($C413,'All Girls &amp; Descendants - Edit'!$C$2:$AK$440,'All Girls &amp; Descendants - Edit'!AA$1,FALSE)))</f>
        <v xml:space="preserve"> - </v>
      </c>
      <c r="AB413" s="101">
        <f>IF(VLOOKUP($C413,'All Girls &amp; Descendants - Edit'!$C$2:$AK$440,'All Girls &amp; Descendants - Edit'!AB$1,FALSE)=""," - ",(VLOOKUP($C413,'All Girls &amp; Descendants - Edit'!$C$2:$AK$440,'All Girls &amp; Descendants - Edit'!AB$1,FALSE)))</f>
        <v>2</v>
      </c>
      <c r="AC413" s="101">
        <f>IF(VLOOKUP($C413,'All Girls &amp; Descendants - Edit'!$C$2:$AK$440,'All Girls &amp; Descendants - Edit'!AC$1,FALSE)=""," - ",(VLOOKUP($C413,'All Girls &amp; Descendants - Edit'!$C$2:$AK$440,'All Girls &amp; Descendants - Edit'!AC$1,FALSE)))</f>
        <v>6002</v>
      </c>
      <c r="AD413" s="3" t="str">
        <f>IF(VLOOKUP($C413,'All Girls &amp; Descendants - Edit'!$C$2:$AK$440,'All Girls &amp; Descendants - Edit'!AD$1,FALSE)=""," - ",(VLOOKUP($C413,'All Girls &amp; Descendants - Edit'!$C$2:$AK$440,'All Girls &amp; Descendants - Edit'!AD$1,FALSE)))</f>
        <v>18bbabab</v>
      </c>
      <c r="AE413" s="3" t="str">
        <f>IF(VLOOKUP($C413,'All Girls &amp; Descendants - Edit'!$C$2:$AK$440,'All Girls &amp; Descendants - Edit'!AE$1,FALSE)=""," - ",(VLOOKUP($C413,'All Girls &amp; Descendants - Edit'!$C$2:$AK$440,'All Girls &amp; Descendants - Edit'!AE$1,FALSE)))</f>
        <v>Mungo James  BERRY (2010 - )</v>
      </c>
      <c r="AF413" s="3" t="str">
        <f>IF(VLOOKUP($C413,'All Girls &amp; Descendants - Edit'!$C$2:$AK$440,'All Girls &amp; Descendants - Edit'!AF$1,FALSE)=""," - ",(VLOOKUP($C413,'All Girls &amp; Descendants - Edit'!$C$2:$AK$440,'All Girls &amp; Descendants - Edit'!AF$1,FALSE)))</f>
        <v>Mungo BERRY (8th &amp; 18)</v>
      </c>
      <c r="AG413" s="3" t="str">
        <f>IF(VLOOKUP($C413,'All Girls &amp; Descendants - Edit'!$C$2:$AK$440,'All Girls &amp; Descendants - Edit'!AG$1,FALSE)=""," - ",(VLOOKUP($C413,'All Girls &amp; Descendants - Edit'!$C$2:$AK$440,'All Girls &amp; Descendants - Edit'!AG$1,FALSE)))</f>
        <v>Male</v>
      </c>
      <c r="AH413" s="3" t="str">
        <f>IF(VLOOKUP($C413,'All Girls &amp; Descendants - Edit'!$C$2:$AK$440,'All Girls &amp; Descendants - Edit'!AH$1,FALSE)=""," - ",(VLOOKUP($C413,'All Girls &amp; Descendants - Edit'!$C$2:$AK$440,'All Girls &amp; Descendants - Edit'!AH$1,FALSE)))</f>
        <v>8th</v>
      </c>
      <c r="AI413" s="3" t="str">
        <f>IF(VLOOKUP($C413,'All Girls &amp; Descendants - Edit'!$C$2:$AK$440,'All Girls &amp; Descendants - Edit'!AI$1,FALSE)=""," - ",(VLOOKUP($C413,'All Girls &amp; Descendants - Edit'!$C$2:$AK$440,'All Girls &amp; Descendants - Edit'!AI$1,FALSE)))</f>
        <v>Unmarried</v>
      </c>
      <c r="AJ413" s="3" t="str">
        <f>IF(VLOOKUP($C413,'All Girls &amp; Descendants - Edit'!$C$2:$AK$440,'All Girls &amp; Descendants - Edit'!AJ$1,FALSE)=""," - ",(VLOOKUP($C413,'All Girls &amp; Descendants - Edit'!$C$2:$AK$440,'All Girls &amp; Descendants - Edit'!AJ$1,FALSE)))</f>
        <v>Male. b. 19/03/2010 Born in Edinburgh.</v>
      </c>
      <c r="AK413" s="3" t="str">
        <f>IF(VLOOKUP($C413,'All Girls &amp; Descendants - Edit'!$C$2:$AK$440,'All Girls &amp; Descendants - Edit'!AK$1,FALSE)=""," - ",(VLOOKUP($C413,'All Girls &amp; Descendants - Edit'!$C$2:$AK$440,'All Girls &amp; Descendants - Edit'!AK$1,FALSE)))</f>
        <v>b. 19/03/2010</v>
      </c>
    </row>
    <row r="414" spans="1:37" ht="19">
      <c r="A414">
        <f>VLOOKUP(B414,'Loyd List 1-190 - Edit'!$P$1:$R$219,3,FALSE)</f>
        <v>8</v>
      </c>
      <c r="B414">
        <f>'All Girls &amp; Descendants - Edit'!B415</f>
        <v>18</v>
      </c>
      <c r="C414" s="98" t="str">
        <f>'All Girls &amp; Descendants - Edit'!C415</f>
        <v>18bbabba</v>
      </c>
      <c r="D414" s="2" t="str">
        <f>'All Girls &amp; Descendants - Edit'!D415</f>
        <v>BERRY</v>
      </c>
      <c r="E414" t="str">
        <f>'All Girls &amp; Descendants - Edit'!E415</f>
        <v>Ursula</v>
      </c>
      <c r="F414" t="str">
        <f>IF('All Girls &amp; Descendants - Edit'!F415="","",'All Girls &amp; Descendants - Edit'!F415)</f>
        <v>Hermione</v>
      </c>
      <c r="G414" t="str">
        <f>IF('All Girls &amp; Descendants - Edit'!G415="","",'All Girls &amp; Descendants - Edit'!G415)</f>
        <v>Grace</v>
      </c>
      <c r="H414" t="str">
        <f>IF('All Girls &amp; Descendants - Edit'!H415="","",'All Girls &amp; Descendants - Edit'!H415)</f>
        <v/>
      </c>
      <c r="I414">
        <f>VLOOKUP($C414,'All Girls &amp; Descendants - Edit'!$C$2:$AK$440,'All Girls &amp; Descendants - Edit'!I$1,FALSE)</f>
        <v>2010</v>
      </c>
      <c r="J414" t="str">
        <f>VLOOKUP($C414,'All Girls &amp; Descendants - Edit'!$C$2:$AK$440,'All Girls &amp; Descendants - Edit'!J$1,FALSE)</f>
        <v/>
      </c>
      <c r="K414" s="9"/>
      <c r="L414" t="str">
        <f t="shared" si="46"/>
        <v>29/05/2010</v>
      </c>
      <c r="M414" s="3">
        <f>VLOOKUP($C414,'All Girls &amp; Descendants - Edit'!$C$2:$AK$440,'All Girls &amp; Descendants - Edit'!M$1,FALSE)</f>
        <v>40327</v>
      </c>
      <c r="N414" s="3" t="str">
        <f>IF(VLOOKUP($C414,'All Girls &amp; Descendants - Edit'!$C$2:$AK$440,'All Girls &amp; Descendants - Edit'!N$1,FALSE)=""," - ",(VLOOKUP($C414,'All Girls &amp; Descendants - Edit'!$C$2:$AK$440,'All Girls &amp; Descendants - Edit'!N$1,FALSE)))</f>
        <v xml:space="preserve"> - </v>
      </c>
      <c r="O414" s="3" t="str">
        <f>IF(VLOOKUP($C414,'All Girls &amp; Descendants - Edit'!$C$2:$AK$440,'All Girls &amp; Descendants - Edit'!O$1,FALSE)="","",(VLOOKUP($C414,'All Girls &amp; Descendants - Edit'!$C$2:$AK$440,'All Girls &amp; Descendants - Edit'!O$1,FALSE)))</f>
        <v/>
      </c>
      <c r="P414" s="3" t="str">
        <f t="shared" si="47"/>
        <v/>
      </c>
      <c r="Q414" s="178" t="str">
        <f t="shared" si="48"/>
        <v>18bbabb</v>
      </c>
      <c r="R414" s="23"/>
      <c r="S414" t="str">
        <f>VLOOKUP($C414,'All Girls &amp; Descendants - Edit'!$C$2:$AK$440,'All Girls &amp; Descendants - Edit'!S$1,FALSE)</f>
        <v>Female</v>
      </c>
      <c r="T414" s="176">
        <f t="shared" si="45"/>
        <v>8</v>
      </c>
      <c r="U414" s="176">
        <f t="shared" si="49"/>
        <v>8</v>
      </c>
      <c r="V414" s="176">
        <f t="shared" si="50"/>
        <v>2</v>
      </c>
      <c r="W414" s="177">
        <f t="shared" si="51"/>
        <v>6</v>
      </c>
      <c r="X414" s="3" t="str">
        <f>IF(VLOOKUP($C414,'All Girls &amp; Descendants - Edit'!$C$2:$AK$440,'All Girls &amp; Descendants - Edit'!X$1,FALSE)=""," - ",(VLOOKUP($C414,'All Girls &amp; Descendants - Edit'!$C$2:$AK$440,'All Girls &amp; Descendants - Edit'!X$1,FALSE)))</f>
        <v xml:space="preserve"> - </v>
      </c>
      <c r="Y414" s="3" t="str">
        <f>IF(VLOOKUP($C414,'All Girls &amp; Descendants - Edit'!$C$2:$AK$440,'All Girls &amp; Descendants - Edit'!Y$1,FALSE)=""," - ",(VLOOKUP($C414,'All Girls &amp; Descendants - Edit'!$C$2:$AK$440,'All Girls &amp; Descendants - Edit'!Y$1,FALSE)))</f>
        <v xml:space="preserve"> - </v>
      </c>
      <c r="Z414" s="3" t="str">
        <f>IF(VLOOKUP($C414,'All Girls &amp; Descendants - Edit'!$C$2:$AK$440,'All Girls &amp; Descendants - Edit'!Z$1,FALSE)=""," - ",(VLOOKUP($C414,'All Girls &amp; Descendants - Edit'!$C$2:$AK$440,'All Girls &amp; Descendants - Edit'!Z$1,FALSE)))</f>
        <v>Born in London.</v>
      </c>
      <c r="AA414" s="101" t="str">
        <f>IF(VLOOKUP($C414,'All Girls &amp; Descendants - Edit'!$C$2:$AK$440,'All Girls &amp; Descendants - Edit'!AA$1,FALSE)=""," - ",(VLOOKUP($C414,'All Girls &amp; Descendants - Edit'!$C$2:$AK$440,'All Girls &amp; Descendants - Edit'!AA$1,FALSE)))</f>
        <v xml:space="preserve"> - </v>
      </c>
      <c r="AB414" s="101">
        <f>IF(VLOOKUP($C414,'All Girls &amp; Descendants - Edit'!$C$2:$AK$440,'All Girls &amp; Descendants - Edit'!AB$1,FALSE)=""," - ",(VLOOKUP($C414,'All Girls &amp; Descendants - Edit'!$C$2:$AK$440,'All Girls &amp; Descendants - Edit'!AB$1,FALSE)))</f>
        <v>3</v>
      </c>
      <c r="AC414" s="101">
        <f>IF(VLOOKUP($C414,'All Girls &amp; Descendants - Edit'!$C$2:$AK$440,'All Girls &amp; Descendants - Edit'!AC$1,FALSE)=""," - ",(VLOOKUP($C414,'All Girls &amp; Descendants - Edit'!$C$2:$AK$440,'All Girls &amp; Descendants - Edit'!AC$1,FALSE)))</f>
        <v>6003</v>
      </c>
      <c r="AD414" s="3" t="str">
        <f>IF(VLOOKUP($C414,'All Girls &amp; Descendants - Edit'!$C$2:$AK$440,'All Girls &amp; Descendants - Edit'!AD$1,FALSE)=""," - ",(VLOOKUP($C414,'All Girls &amp; Descendants - Edit'!$C$2:$AK$440,'All Girls &amp; Descendants - Edit'!AD$1,FALSE)))</f>
        <v>18bbabba</v>
      </c>
      <c r="AE414" s="3" t="str">
        <f>IF(VLOOKUP($C414,'All Girls &amp; Descendants - Edit'!$C$2:$AK$440,'All Girls &amp; Descendants - Edit'!AE$1,FALSE)=""," - ",(VLOOKUP($C414,'All Girls &amp; Descendants - Edit'!$C$2:$AK$440,'All Girls &amp; Descendants - Edit'!AE$1,FALSE)))</f>
        <v>Ursula Hermione Grace BERRY (2010 - )</v>
      </c>
      <c r="AF414" s="3" t="str">
        <f>IF(VLOOKUP($C414,'All Girls &amp; Descendants - Edit'!$C$2:$AK$440,'All Girls &amp; Descendants - Edit'!AF$1,FALSE)=""," - ",(VLOOKUP($C414,'All Girls &amp; Descendants - Edit'!$C$2:$AK$440,'All Girls &amp; Descendants - Edit'!AF$1,FALSE)))</f>
        <v>Ursula BERRY (8th &amp; 18)</v>
      </c>
      <c r="AG414" s="3" t="str">
        <f>IF(VLOOKUP($C414,'All Girls &amp; Descendants - Edit'!$C$2:$AK$440,'All Girls &amp; Descendants - Edit'!AG$1,FALSE)=""," - ",(VLOOKUP($C414,'All Girls &amp; Descendants - Edit'!$C$2:$AK$440,'All Girls &amp; Descendants - Edit'!AG$1,FALSE)))</f>
        <v>Female</v>
      </c>
      <c r="AH414" s="3" t="str">
        <f>IF(VLOOKUP($C414,'All Girls &amp; Descendants - Edit'!$C$2:$AK$440,'All Girls &amp; Descendants - Edit'!AH$1,FALSE)=""," - ",(VLOOKUP($C414,'All Girls &amp; Descendants - Edit'!$C$2:$AK$440,'All Girls &amp; Descendants - Edit'!AH$1,FALSE)))</f>
        <v>8th</v>
      </c>
      <c r="AI414" s="3" t="str">
        <f>IF(VLOOKUP($C414,'All Girls &amp; Descendants - Edit'!$C$2:$AK$440,'All Girls &amp; Descendants - Edit'!AI$1,FALSE)=""," - ",(VLOOKUP($C414,'All Girls &amp; Descendants - Edit'!$C$2:$AK$440,'All Girls &amp; Descendants - Edit'!AI$1,FALSE)))</f>
        <v>Unmarried</v>
      </c>
      <c r="AJ414" s="3" t="str">
        <f>IF(VLOOKUP($C414,'All Girls &amp; Descendants - Edit'!$C$2:$AK$440,'All Girls &amp; Descendants - Edit'!AJ$1,FALSE)=""," - ",(VLOOKUP($C414,'All Girls &amp; Descendants - Edit'!$C$2:$AK$440,'All Girls &amp; Descendants - Edit'!AJ$1,FALSE)))</f>
        <v>Female. b. 29/05/2010 Born in London.</v>
      </c>
      <c r="AK414" s="3" t="str">
        <f>IF(VLOOKUP($C414,'All Girls &amp; Descendants - Edit'!$C$2:$AK$440,'All Girls &amp; Descendants - Edit'!AK$1,FALSE)=""," - ",(VLOOKUP($C414,'All Girls &amp; Descendants - Edit'!$C$2:$AK$440,'All Girls &amp; Descendants - Edit'!AK$1,FALSE)))</f>
        <v>b. 29/05/2010</v>
      </c>
    </row>
    <row r="415" spans="1:37" ht="19">
      <c r="A415">
        <f>VLOOKUP(B415,'Loyd List 1-190 - Edit'!$P$1:$R$219,3,FALSE)</f>
        <v>8</v>
      </c>
      <c r="B415">
        <f>'All Girls &amp; Descendants - Edit'!B416</f>
        <v>18</v>
      </c>
      <c r="C415" s="98" t="str">
        <f>'All Girls &amp; Descendants - Edit'!C416</f>
        <v>18bbabbb</v>
      </c>
      <c r="D415" s="2" t="str">
        <f>'All Girls &amp; Descendants - Edit'!D416</f>
        <v>BERRY</v>
      </c>
      <c r="E415" t="str">
        <f>'All Girls &amp; Descendants - Edit'!E416</f>
        <v>Arthur</v>
      </c>
      <c r="F415" t="str">
        <f>IF('All Girls &amp; Descendants - Edit'!F416="","",'All Girls &amp; Descendants - Edit'!F416)</f>
        <v>Oran</v>
      </c>
      <c r="G415" t="str">
        <f>IF('All Girls &amp; Descendants - Edit'!G416="","",'All Girls &amp; Descendants - Edit'!G416)</f>
        <v>James</v>
      </c>
      <c r="H415" t="str">
        <f>IF('All Girls &amp; Descendants - Edit'!H416="","",'All Girls &amp; Descendants - Edit'!H416)</f>
        <v/>
      </c>
      <c r="I415">
        <f>VLOOKUP($C415,'All Girls &amp; Descendants - Edit'!$C$2:$AK$440,'All Girls &amp; Descendants - Edit'!I$1,FALSE)</f>
        <v>2013</v>
      </c>
      <c r="J415" t="str">
        <f>VLOOKUP($C415,'All Girls &amp; Descendants - Edit'!$C$2:$AK$440,'All Girls &amp; Descendants - Edit'!J$1,FALSE)</f>
        <v/>
      </c>
      <c r="K415" s="9"/>
      <c r="L415" t="str">
        <f t="shared" si="46"/>
        <v>28/10/2013</v>
      </c>
      <c r="M415" s="3">
        <f>VLOOKUP($C415,'All Girls &amp; Descendants - Edit'!$C$2:$AK$440,'All Girls &amp; Descendants - Edit'!M$1,FALSE)</f>
        <v>41575</v>
      </c>
      <c r="N415" s="3" t="str">
        <f>IF(VLOOKUP($C415,'All Girls &amp; Descendants - Edit'!$C$2:$AK$440,'All Girls &amp; Descendants - Edit'!N$1,FALSE)=""," - ",(VLOOKUP($C415,'All Girls &amp; Descendants - Edit'!$C$2:$AK$440,'All Girls &amp; Descendants - Edit'!N$1,FALSE)))</f>
        <v xml:space="preserve"> - </v>
      </c>
      <c r="O415" s="3" t="str">
        <f>IF(VLOOKUP($C415,'All Girls &amp; Descendants - Edit'!$C$2:$AK$440,'All Girls &amp; Descendants - Edit'!O$1,FALSE)="","",(VLOOKUP($C415,'All Girls &amp; Descendants - Edit'!$C$2:$AK$440,'All Girls &amp; Descendants - Edit'!O$1,FALSE)))</f>
        <v/>
      </c>
      <c r="P415" s="3" t="str">
        <f t="shared" si="47"/>
        <v/>
      </c>
      <c r="Q415" s="178" t="str">
        <f t="shared" si="48"/>
        <v>18bbabb</v>
      </c>
      <c r="R415" s="23"/>
      <c r="S415" t="str">
        <f>VLOOKUP($C415,'All Girls &amp; Descendants - Edit'!$C$2:$AK$440,'All Girls &amp; Descendants - Edit'!S$1,FALSE)</f>
        <v>Male</v>
      </c>
      <c r="T415" s="176">
        <f t="shared" si="45"/>
        <v>8</v>
      </c>
      <c r="U415" s="176">
        <f t="shared" si="49"/>
        <v>8</v>
      </c>
      <c r="V415" s="176">
        <f t="shared" si="50"/>
        <v>2</v>
      </c>
      <c r="W415" s="177">
        <f t="shared" si="51"/>
        <v>6</v>
      </c>
      <c r="X415" s="3" t="str">
        <f>IF(VLOOKUP($C415,'All Girls &amp; Descendants - Edit'!$C$2:$AK$440,'All Girls &amp; Descendants - Edit'!X$1,FALSE)=""," - ",(VLOOKUP($C415,'All Girls &amp; Descendants - Edit'!$C$2:$AK$440,'All Girls &amp; Descendants - Edit'!X$1,FALSE)))</f>
        <v xml:space="preserve"> - </v>
      </c>
      <c r="Y415" s="3" t="str">
        <f>IF(VLOOKUP($C415,'All Girls &amp; Descendants - Edit'!$C$2:$AK$440,'All Girls &amp; Descendants - Edit'!Y$1,FALSE)=""," - ",(VLOOKUP($C415,'All Girls &amp; Descendants - Edit'!$C$2:$AK$440,'All Girls &amp; Descendants - Edit'!Y$1,FALSE)))</f>
        <v xml:space="preserve"> - </v>
      </c>
      <c r="Z415" s="3" t="str">
        <f>IF(VLOOKUP($C415,'All Girls &amp; Descendants - Edit'!$C$2:$AK$440,'All Girls &amp; Descendants - Edit'!Z$1,FALSE)=""," - ",(VLOOKUP($C415,'All Girls &amp; Descendants - Edit'!$C$2:$AK$440,'All Girls &amp; Descendants - Edit'!Z$1,FALSE)))</f>
        <v>Born in London.</v>
      </c>
      <c r="AA415" s="101" t="str">
        <f>IF(VLOOKUP($C415,'All Girls &amp; Descendants - Edit'!$C$2:$AK$440,'All Girls &amp; Descendants - Edit'!AA$1,FALSE)=""," - ",(VLOOKUP($C415,'All Girls &amp; Descendants - Edit'!$C$2:$AK$440,'All Girls &amp; Descendants - Edit'!AA$1,FALSE)))</f>
        <v xml:space="preserve"> - </v>
      </c>
      <c r="AB415" s="101">
        <f>IF(VLOOKUP($C415,'All Girls &amp; Descendants - Edit'!$C$2:$AK$440,'All Girls &amp; Descendants - Edit'!AB$1,FALSE)=""," - ",(VLOOKUP($C415,'All Girls &amp; Descendants - Edit'!$C$2:$AK$440,'All Girls &amp; Descendants - Edit'!AB$1,FALSE)))</f>
        <v>4</v>
      </c>
      <c r="AC415" s="101">
        <f>IF(VLOOKUP($C415,'All Girls &amp; Descendants - Edit'!$C$2:$AK$440,'All Girls &amp; Descendants - Edit'!AC$1,FALSE)=""," - ",(VLOOKUP($C415,'All Girls &amp; Descendants - Edit'!$C$2:$AK$440,'All Girls &amp; Descendants - Edit'!AC$1,FALSE)))</f>
        <v>6004</v>
      </c>
      <c r="AD415" s="3" t="str">
        <f>IF(VLOOKUP($C415,'All Girls &amp; Descendants - Edit'!$C$2:$AK$440,'All Girls &amp; Descendants - Edit'!AD$1,FALSE)=""," - ",(VLOOKUP($C415,'All Girls &amp; Descendants - Edit'!$C$2:$AK$440,'All Girls &amp; Descendants - Edit'!AD$1,FALSE)))</f>
        <v>18bbabbb</v>
      </c>
      <c r="AE415" s="3" t="str">
        <f>IF(VLOOKUP($C415,'All Girls &amp; Descendants - Edit'!$C$2:$AK$440,'All Girls &amp; Descendants - Edit'!AE$1,FALSE)=""," - ",(VLOOKUP($C415,'All Girls &amp; Descendants - Edit'!$C$2:$AK$440,'All Girls &amp; Descendants - Edit'!AE$1,FALSE)))</f>
        <v>Arthur Oran James BERRY (2013 - )</v>
      </c>
      <c r="AF415" s="3" t="str">
        <f>IF(VLOOKUP($C415,'All Girls &amp; Descendants - Edit'!$C$2:$AK$440,'All Girls &amp; Descendants - Edit'!AF$1,FALSE)=""," - ",(VLOOKUP($C415,'All Girls &amp; Descendants - Edit'!$C$2:$AK$440,'All Girls &amp; Descendants - Edit'!AF$1,FALSE)))</f>
        <v>Arthur BERRY (8th &amp; 18)</v>
      </c>
      <c r="AG415" s="3" t="str">
        <f>IF(VLOOKUP($C415,'All Girls &amp; Descendants - Edit'!$C$2:$AK$440,'All Girls &amp; Descendants - Edit'!AG$1,FALSE)=""," - ",(VLOOKUP($C415,'All Girls &amp; Descendants - Edit'!$C$2:$AK$440,'All Girls &amp; Descendants - Edit'!AG$1,FALSE)))</f>
        <v>Male</v>
      </c>
      <c r="AH415" s="3" t="str">
        <f>IF(VLOOKUP($C415,'All Girls &amp; Descendants - Edit'!$C$2:$AK$440,'All Girls &amp; Descendants - Edit'!AH$1,FALSE)=""," - ",(VLOOKUP($C415,'All Girls &amp; Descendants - Edit'!$C$2:$AK$440,'All Girls &amp; Descendants - Edit'!AH$1,FALSE)))</f>
        <v>8th</v>
      </c>
      <c r="AI415" s="3" t="str">
        <f>IF(VLOOKUP($C415,'All Girls &amp; Descendants - Edit'!$C$2:$AK$440,'All Girls &amp; Descendants - Edit'!AI$1,FALSE)=""," - ",(VLOOKUP($C415,'All Girls &amp; Descendants - Edit'!$C$2:$AK$440,'All Girls &amp; Descendants - Edit'!AI$1,FALSE)))</f>
        <v>Unmarried</v>
      </c>
      <c r="AJ415" s="3" t="str">
        <f>IF(VLOOKUP($C415,'All Girls &amp; Descendants - Edit'!$C$2:$AK$440,'All Girls &amp; Descendants - Edit'!AJ$1,FALSE)=""," - ",(VLOOKUP($C415,'All Girls &amp; Descendants - Edit'!$C$2:$AK$440,'All Girls &amp; Descendants - Edit'!AJ$1,FALSE)))</f>
        <v>Male. b. 28/10/2013 Born in London.</v>
      </c>
      <c r="AK415" s="3" t="str">
        <f>IF(VLOOKUP($C415,'All Girls &amp; Descendants - Edit'!$C$2:$AK$440,'All Girls &amp; Descendants - Edit'!AK$1,FALSE)=""," - ",(VLOOKUP($C415,'All Girls &amp; Descendants - Edit'!$C$2:$AK$440,'All Girls &amp; Descendants - Edit'!AK$1,FALSE)))</f>
        <v>b. 28/10/2013</v>
      </c>
    </row>
    <row r="416" spans="1:37" ht="19">
      <c r="A416">
        <f>VLOOKUP(B416,'Loyd List 1-190 - Edit'!$P$1:$R$219,3,FALSE)</f>
        <v>8</v>
      </c>
      <c r="B416">
        <f>'All Girls &amp; Descendants - Edit'!B417</f>
        <v>18</v>
      </c>
      <c r="C416" s="98" t="str">
        <f>'All Girls &amp; Descendants - Edit'!C417</f>
        <v>18bbadaa</v>
      </c>
      <c r="D416" s="2" t="str">
        <f>'All Girls &amp; Descendants - Edit'!D417</f>
        <v>WARNER</v>
      </c>
      <c r="E416" t="str">
        <f>'All Girls &amp; Descendants - Edit'!E417</f>
        <v>Camilla</v>
      </c>
      <c r="F416" t="str">
        <f>IF('All Girls &amp; Descendants - Edit'!F417="","",'All Girls &amp; Descendants - Edit'!F417)</f>
        <v>Rose</v>
      </c>
      <c r="G416" t="str">
        <f>IF('All Girls &amp; Descendants - Edit'!G417="","",'All Girls &amp; Descendants - Edit'!G417)</f>
        <v>Aimee</v>
      </c>
      <c r="H416" t="str">
        <f>IF('All Girls &amp; Descendants - Edit'!H417="","",'All Girls &amp; Descendants - Edit'!H417)</f>
        <v/>
      </c>
      <c r="I416">
        <f>VLOOKUP($C416,'All Girls &amp; Descendants - Edit'!$C$2:$AK$440,'All Girls &amp; Descendants - Edit'!I$1,FALSE)</f>
        <v>2017</v>
      </c>
      <c r="J416" t="str">
        <f>VLOOKUP($C416,'All Girls &amp; Descendants - Edit'!$C$2:$AK$440,'All Girls &amp; Descendants - Edit'!J$1,FALSE)</f>
        <v/>
      </c>
      <c r="K416" s="9"/>
      <c r="L416" t="str">
        <f t="shared" si="46"/>
        <v>18/04/2017</v>
      </c>
      <c r="M416" s="3">
        <f>VLOOKUP($C416,'All Girls &amp; Descendants - Edit'!$C$2:$AK$440,'All Girls &amp; Descendants - Edit'!M$1,FALSE)</f>
        <v>42843</v>
      </c>
      <c r="N416" s="3" t="str">
        <f>IF(VLOOKUP($C416,'All Girls &amp; Descendants - Edit'!$C$2:$AK$440,'All Girls &amp; Descendants - Edit'!N$1,FALSE)=""," - ",(VLOOKUP($C416,'All Girls &amp; Descendants - Edit'!$C$2:$AK$440,'All Girls &amp; Descendants - Edit'!N$1,FALSE)))</f>
        <v xml:space="preserve"> - </v>
      </c>
      <c r="O416" s="3" t="str">
        <f>IF(VLOOKUP($C416,'All Girls &amp; Descendants - Edit'!$C$2:$AK$440,'All Girls &amp; Descendants - Edit'!O$1,FALSE)="","",(VLOOKUP($C416,'All Girls &amp; Descendants - Edit'!$C$2:$AK$440,'All Girls &amp; Descendants - Edit'!O$1,FALSE)))</f>
        <v/>
      </c>
      <c r="P416" s="3" t="str">
        <f t="shared" si="47"/>
        <v/>
      </c>
      <c r="Q416" s="178" t="str">
        <f t="shared" si="48"/>
        <v>18bbada</v>
      </c>
      <c r="R416" s="23"/>
      <c r="S416" t="str">
        <f>VLOOKUP($C416,'All Girls &amp; Descendants - Edit'!$C$2:$AK$440,'All Girls &amp; Descendants - Edit'!S$1,FALSE)</f>
        <v>Female</v>
      </c>
      <c r="T416" s="176">
        <f t="shared" si="45"/>
        <v>8</v>
      </c>
      <c r="U416" s="176">
        <f t="shared" si="49"/>
        <v>8</v>
      </c>
      <c r="V416" s="176">
        <f t="shared" si="50"/>
        <v>2</v>
      </c>
      <c r="W416" s="177">
        <f t="shared" si="51"/>
        <v>6</v>
      </c>
      <c r="X416" s="3" t="str">
        <f>IF(VLOOKUP($C416,'All Girls &amp; Descendants - Edit'!$C$2:$AK$440,'All Girls &amp; Descendants - Edit'!X$1,FALSE)=""," - ",(VLOOKUP($C416,'All Girls &amp; Descendants - Edit'!$C$2:$AK$440,'All Girls &amp; Descendants - Edit'!X$1,FALSE)))</f>
        <v xml:space="preserve"> - </v>
      </c>
      <c r="Y416" s="3" t="str">
        <f>IF(VLOOKUP($C416,'All Girls &amp; Descendants - Edit'!$C$2:$AK$440,'All Girls &amp; Descendants - Edit'!Y$1,FALSE)=""," - ",(VLOOKUP($C416,'All Girls &amp; Descendants - Edit'!$C$2:$AK$440,'All Girls &amp; Descendants - Edit'!Y$1,FALSE)))</f>
        <v xml:space="preserve"> - </v>
      </c>
      <c r="Z416" s="3" t="str">
        <f>IF(VLOOKUP($C416,'All Girls &amp; Descendants - Edit'!$C$2:$AK$440,'All Girls &amp; Descendants - Edit'!Z$1,FALSE)=""," - ",(VLOOKUP($C416,'All Girls &amp; Descendants - Edit'!$C$2:$AK$440,'All Girls &amp; Descendants - Edit'!Z$1,FALSE)))</f>
        <v xml:space="preserve"> - </v>
      </c>
      <c r="AA416" s="101" t="str">
        <f>IF(VLOOKUP($C416,'All Girls &amp; Descendants - Edit'!$C$2:$AK$440,'All Girls &amp; Descendants - Edit'!AA$1,FALSE)=""," - ",(VLOOKUP($C416,'All Girls &amp; Descendants - Edit'!$C$2:$AK$440,'All Girls &amp; Descendants - Edit'!AA$1,FALSE)))</f>
        <v xml:space="preserve"> - </v>
      </c>
      <c r="AB416" s="101">
        <f>IF(VLOOKUP($C416,'All Girls &amp; Descendants - Edit'!$C$2:$AK$440,'All Girls &amp; Descendants - Edit'!AB$1,FALSE)=""," - ",(VLOOKUP($C416,'All Girls &amp; Descendants - Edit'!$C$2:$AK$440,'All Girls &amp; Descendants - Edit'!AB$1,FALSE)))</f>
        <v>5</v>
      </c>
      <c r="AC416" s="101">
        <f>IF(VLOOKUP($C416,'All Girls &amp; Descendants - Edit'!$C$2:$AK$440,'All Girls &amp; Descendants - Edit'!AC$1,FALSE)=""," - ",(VLOOKUP($C416,'All Girls &amp; Descendants - Edit'!$C$2:$AK$440,'All Girls &amp; Descendants - Edit'!AC$1,FALSE)))</f>
        <v>6005</v>
      </c>
      <c r="AD416" s="3" t="str">
        <f>IF(VLOOKUP($C416,'All Girls &amp; Descendants - Edit'!$C$2:$AK$440,'All Girls &amp; Descendants - Edit'!AD$1,FALSE)=""," - ",(VLOOKUP($C416,'All Girls &amp; Descendants - Edit'!$C$2:$AK$440,'All Girls &amp; Descendants - Edit'!AD$1,FALSE)))</f>
        <v>18bbadaa</v>
      </c>
      <c r="AE416" s="3" t="str">
        <f>IF(VLOOKUP($C416,'All Girls &amp; Descendants - Edit'!$C$2:$AK$440,'All Girls &amp; Descendants - Edit'!AE$1,FALSE)=""," - ",(VLOOKUP($C416,'All Girls &amp; Descendants - Edit'!$C$2:$AK$440,'All Girls &amp; Descendants - Edit'!AE$1,FALSE)))</f>
        <v>Camilla Rose Aimee WARNER (2017 - )</v>
      </c>
      <c r="AF416" s="3" t="str">
        <f>IF(VLOOKUP($C416,'All Girls &amp; Descendants - Edit'!$C$2:$AK$440,'All Girls &amp; Descendants - Edit'!AF$1,FALSE)=""," - ",(VLOOKUP($C416,'All Girls &amp; Descendants - Edit'!$C$2:$AK$440,'All Girls &amp; Descendants - Edit'!AF$1,FALSE)))</f>
        <v>Camilla WARNER (8th &amp; 18)</v>
      </c>
      <c r="AG416" s="3" t="str">
        <f>IF(VLOOKUP($C416,'All Girls &amp; Descendants - Edit'!$C$2:$AK$440,'All Girls &amp; Descendants - Edit'!AG$1,FALSE)=""," - ",(VLOOKUP($C416,'All Girls &amp; Descendants - Edit'!$C$2:$AK$440,'All Girls &amp; Descendants - Edit'!AG$1,FALSE)))</f>
        <v>Female</v>
      </c>
      <c r="AH416" s="3" t="str">
        <f>IF(VLOOKUP($C416,'All Girls &amp; Descendants - Edit'!$C$2:$AK$440,'All Girls &amp; Descendants - Edit'!AH$1,FALSE)=""," - ",(VLOOKUP($C416,'All Girls &amp; Descendants - Edit'!$C$2:$AK$440,'All Girls &amp; Descendants - Edit'!AH$1,FALSE)))</f>
        <v>8th</v>
      </c>
      <c r="AI416" s="3" t="str">
        <f>IF(VLOOKUP($C416,'All Girls &amp; Descendants - Edit'!$C$2:$AK$440,'All Girls &amp; Descendants - Edit'!AI$1,FALSE)=""," - ",(VLOOKUP($C416,'All Girls &amp; Descendants - Edit'!$C$2:$AK$440,'All Girls &amp; Descendants - Edit'!AI$1,FALSE)))</f>
        <v>Unmarried</v>
      </c>
      <c r="AJ416" s="3" t="str">
        <f>IF(VLOOKUP($C416,'All Girls &amp; Descendants - Edit'!$C$2:$AK$440,'All Girls &amp; Descendants - Edit'!AJ$1,FALSE)=""," - ",(VLOOKUP($C416,'All Girls &amp; Descendants - Edit'!$C$2:$AK$440,'All Girls &amp; Descendants - Edit'!AJ$1,FALSE)))</f>
        <v>Female. b. 18/04/2017</v>
      </c>
      <c r="AK416" s="3" t="str">
        <f>IF(VLOOKUP($C416,'All Girls &amp; Descendants - Edit'!$C$2:$AK$440,'All Girls &amp; Descendants - Edit'!AK$1,FALSE)=""," - ",(VLOOKUP($C416,'All Girls &amp; Descendants - Edit'!$C$2:$AK$440,'All Girls &amp; Descendants - Edit'!AK$1,FALSE)))</f>
        <v>b. 18/04/2017</v>
      </c>
    </row>
    <row r="417" spans="1:37" ht="19">
      <c r="A417">
        <f>VLOOKUP(B417,'Loyd List 1-190 - Edit'!$P$1:$R$219,3,FALSE)</f>
        <v>8</v>
      </c>
      <c r="B417">
        <f>'All Girls &amp; Descendants - Edit'!B418</f>
        <v>18</v>
      </c>
      <c r="C417" s="98" t="str">
        <f>'All Girls &amp; Descendants - Edit'!C418</f>
        <v>18bbadab</v>
      </c>
      <c r="D417" s="2" t="str">
        <f>'All Girls &amp; Descendants - Edit'!D418</f>
        <v>WARNER</v>
      </c>
      <c r="E417" t="str">
        <f>'All Girls &amp; Descendants - Edit'!E418</f>
        <v>William</v>
      </c>
      <c r="F417" t="str">
        <f>IF('All Girls &amp; Descendants - Edit'!F418="","",'All Girls &amp; Descendants - Edit'!F418)</f>
        <v>Peter</v>
      </c>
      <c r="G417" t="str">
        <f>IF('All Girls &amp; Descendants - Edit'!G418="","",'All Girls &amp; Descendants - Edit'!G418)</f>
        <v>Redston</v>
      </c>
      <c r="H417" t="str">
        <f>IF('All Girls &amp; Descendants - Edit'!H418="","",'All Girls &amp; Descendants - Edit'!H418)</f>
        <v/>
      </c>
      <c r="I417">
        <f>VLOOKUP($C417,'All Girls &amp; Descendants - Edit'!$C$2:$AK$440,'All Girls &amp; Descendants - Edit'!I$1,FALSE)</f>
        <v>2018</v>
      </c>
      <c r="J417" t="str">
        <f>VLOOKUP($C417,'All Girls &amp; Descendants - Edit'!$C$2:$AK$440,'All Girls &amp; Descendants - Edit'!J$1,FALSE)</f>
        <v/>
      </c>
      <c r="K417" s="9"/>
      <c r="L417" t="str">
        <f t="shared" si="46"/>
        <v>18/12/2018</v>
      </c>
      <c r="M417" s="3">
        <f>VLOOKUP($C417,'All Girls &amp; Descendants - Edit'!$C$2:$AK$440,'All Girls &amp; Descendants - Edit'!M$1,FALSE)</f>
        <v>43452</v>
      </c>
      <c r="N417" s="3" t="str">
        <f>IF(VLOOKUP($C417,'All Girls &amp; Descendants - Edit'!$C$2:$AK$440,'All Girls &amp; Descendants - Edit'!N$1,FALSE)=""," - ",(VLOOKUP($C417,'All Girls &amp; Descendants - Edit'!$C$2:$AK$440,'All Girls &amp; Descendants - Edit'!N$1,FALSE)))</f>
        <v xml:space="preserve"> - </v>
      </c>
      <c r="O417" s="3" t="str">
        <f>IF(VLOOKUP($C417,'All Girls &amp; Descendants - Edit'!$C$2:$AK$440,'All Girls &amp; Descendants - Edit'!O$1,FALSE)="","",(VLOOKUP($C417,'All Girls &amp; Descendants - Edit'!$C$2:$AK$440,'All Girls &amp; Descendants - Edit'!O$1,FALSE)))</f>
        <v/>
      </c>
      <c r="P417" s="3" t="str">
        <f t="shared" si="47"/>
        <v/>
      </c>
      <c r="Q417" s="178" t="str">
        <f t="shared" si="48"/>
        <v>18bbada</v>
      </c>
      <c r="R417" s="23"/>
      <c r="S417" t="str">
        <f>VLOOKUP($C417,'All Girls &amp; Descendants - Edit'!$C$2:$AK$440,'All Girls &amp; Descendants - Edit'!S$1,FALSE)</f>
        <v>Male</v>
      </c>
      <c r="T417" s="176">
        <f t="shared" si="45"/>
        <v>8</v>
      </c>
      <c r="U417" s="176">
        <f t="shared" si="49"/>
        <v>8</v>
      </c>
      <c r="V417" s="176">
        <f t="shared" si="50"/>
        <v>2</v>
      </c>
      <c r="W417" s="177">
        <f t="shared" si="51"/>
        <v>6</v>
      </c>
      <c r="X417" s="3" t="str">
        <f>IF(VLOOKUP($C417,'All Girls &amp; Descendants - Edit'!$C$2:$AK$440,'All Girls &amp; Descendants - Edit'!X$1,FALSE)=""," - ",(VLOOKUP($C417,'All Girls &amp; Descendants - Edit'!$C$2:$AK$440,'All Girls &amp; Descendants - Edit'!X$1,FALSE)))</f>
        <v xml:space="preserve"> - </v>
      </c>
      <c r="Y417" s="3" t="str">
        <f>IF(VLOOKUP($C417,'All Girls &amp; Descendants - Edit'!$C$2:$AK$440,'All Girls &amp; Descendants - Edit'!Y$1,FALSE)=""," - ",(VLOOKUP($C417,'All Girls &amp; Descendants - Edit'!$C$2:$AK$440,'All Girls &amp; Descendants - Edit'!Y$1,FALSE)))</f>
        <v xml:space="preserve"> - </v>
      </c>
      <c r="Z417" s="3" t="str">
        <f>IF(VLOOKUP($C417,'All Girls &amp; Descendants - Edit'!$C$2:$AK$440,'All Girls &amp; Descendants - Edit'!Z$1,FALSE)=""," - ",(VLOOKUP($C417,'All Girls &amp; Descendants - Edit'!$C$2:$AK$440,'All Girls &amp; Descendants - Edit'!Z$1,FALSE)))</f>
        <v xml:space="preserve"> - </v>
      </c>
      <c r="AA417" s="101" t="str">
        <f>IF(VLOOKUP($C417,'All Girls &amp; Descendants - Edit'!$C$2:$AK$440,'All Girls &amp; Descendants - Edit'!AA$1,FALSE)=""," - ",(VLOOKUP($C417,'All Girls &amp; Descendants - Edit'!$C$2:$AK$440,'All Girls &amp; Descendants - Edit'!AA$1,FALSE)))</f>
        <v xml:space="preserve"> - </v>
      </c>
      <c r="AB417" s="101">
        <f>IF(VLOOKUP($C417,'All Girls &amp; Descendants - Edit'!$C$2:$AK$440,'All Girls &amp; Descendants - Edit'!AB$1,FALSE)=""," - ",(VLOOKUP($C417,'All Girls &amp; Descendants - Edit'!$C$2:$AK$440,'All Girls &amp; Descendants - Edit'!AB$1,FALSE)))</f>
        <v>6</v>
      </c>
      <c r="AC417" s="101">
        <f>IF(VLOOKUP($C417,'All Girls &amp; Descendants - Edit'!$C$2:$AK$440,'All Girls &amp; Descendants - Edit'!AC$1,FALSE)=""," - ",(VLOOKUP($C417,'All Girls &amp; Descendants - Edit'!$C$2:$AK$440,'All Girls &amp; Descendants - Edit'!AC$1,FALSE)))</f>
        <v>6006</v>
      </c>
      <c r="AD417" s="3" t="str">
        <f>IF(VLOOKUP($C417,'All Girls &amp; Descendants - Edit'!$C$2:$AK$440,'All Girls &amp; Descendants - Edit'!AD$1,FALSE)=""," - ",(VLOOKUP($C417,'All Girls &amp; Descendants - Edit'!$C$2:$AK$440,'All Girls &amp; Descendants - Edit'!AD$1,FALSE)))</f>
        <v>18bbadab</v>
      </c>
      <c r="AE417" s="3" t="str">
        <f>IF(VLOOKUP($C417,'All Girls &amp; Descendants - Edit'!$C$2:$AK$440,'All Girls &amp; Descendants - Edit'!AE$1,FALSE)=""," - ",(VLOOKUP($C417,'All Girls &amp; Descendants - Edit'!$C$2:$AK$440,'All Girls &amp; Descendants - Edit'!AE$1,FALSE)))</f>
        <v>William Peter Redston WARNER (2018 - )</v>
      </c>
      <c r="AF417" s="3" t="str">
        <f>IF(VLOOKUP($C417,'All Girls &amp; Descendants - Edit'!$C$2:$AK$440,'All Girls &amp; Descendants - Edit'!AF$1,FALSE)=""," - ",(VLOOKUP($C417,'All Girls &amp; Descendants - Edit'!$C$2:$AK$440,'All Girls &amp; Descendants - Edit'!AF$1,FALSE)))</f>
        <v>William WARNER (8th &amp; 18)</v>
      </c>
      <c r="AG417" s="3" t="str">
        <f>IF(VLOOKUP($C417,'All Girls &amp; Descendants - Edit'!$C$2:$AK$440,'All Girls &amp; Descendants - Edit'!AG$1,FALSE)=""," - ",(VLOOKUP($C417,'All Girls &amp; Descendants - Edit'!$C$2:$AK$440,'All Girls &amp; Descendants - Edit'!AG$1,FALSE)))</f>
        <v>Male</v>
      </c>
      <c r="AH417" s="3" t="str">
        <f>IF(VLOOKUP($C417,'All Girls &amp; Descendants - Edit'!$C$2:$AK$440,'All Girls &amp; Descendants - Edit'!AH$1,FALSE)=""," - ",(VLOOKUP($C417,'All Girls &amp; Descendants - Edit'!$C$2:$AK$440,'All Girls &amp; Descendants - Edit'!AH$1,FALSE)))</f>
        <v>8th</v>
      </c>
      <c r="AI417" s="3" t="str">
        <f>IF(VLOOKUP($C417,'All Girls &amp; Descendants - Edit'!$C$2:$AK$440,'All Girls &amp; Descendants - Edit'!AI$1,FALSE)=""," - ",(VLOOKUP($C417,'All Girls &amp; Descendants - Edit'!$C$2:$AK$440,'All Girls &amp; Descendants - Edit'!AI$1,FALSE)))</f>
        <v>Unmarried</v>
      </c>
      <c r="AJ417" s="3" t="str">
        <f>IF(VLOOKUP($C417,'All Girls &amp; Descendants - Edit'!$C$2:$AK$440,'All Girls &amp; Descendants - Edit'!AJ$1,FALSE)=""," - ",(VLOOKUP($C417,'All Girls &amp; Descendants - Edit'!$C$2:$AK$440,'All Girls &amp; Descendants - Edit'!AJ$1,FALSE)))</f>
        <v>Male. b. 18/12/2018</v>
      </c>
      <c r="AK417" s="3" t="str">
        <f>IF(VLOOKUP($C417,'All Girls &amp; Descendants - Edit'!$C$2:$AK$440,'All Girls &amp; Descendants - Edit'!AK$1,FALSE)=""," - ",(VLOOKUP($C417,'All Girls &amp; Descendants - Edit'!$C$2:$AK$440,'All Girls &amp; Descendants - Edit'!AK$1,FALSE)))</f>
        <v>b. 18/12/2018</v>
      </c>
    </row>
    <row r="418" spans="1:37" ht="19">
      <c r="A418">
        <f>VLOOKUP(B418,'Loyd List 1-190 - Edit'!$P$1:$R$219,3,FALSE)</f>
        <v>8</v>
      </c>
      <c r="B418">
        <f>'All Girls &amp; Descendants - Edit'!B419</f>
        <v>18</v>
      </c>
      <c r="C418" s="98" t="str">
        <f>'All Girls &amp; Descendants - Edit'!C419</f>
        <v>18bbadac</v>
      </c>
      <c r="D418" s="2" t="str">
        <f>'All Girls &amp; Descendants - Edit'!D419</f>
        <v>WARNER</v>
      </c>
      <c r="E418" t="str">
        <f>'All Girls &amp; Descendants - Edit'!E419</f>
        <v>Oliver</v>
      </c>
      <c r="F418" t="str">
        <f>IF('All Girls &amp; Descendants - Edit'!F419="","",'All Girls &amp; Descendants - Edit'!F419)</f>
        <v>James</v>
      </c>
      <c r="G418" t="str">
        <f>IF('All Girls &amp; Descendants - Edit'!G419="","",'All Girls &amp; Descendants - Edit'!G419)</f>
        <v>Robert</v>
      </c>
      <c r="H418" t="str">
        <f>IF('All Girls &amp; Descendants - Edit'!H419="","",'All Girls &amp; Descendants - Edit'!H419)</f>
        <v/>
      </c>
      <c r="I418">
        <f>VLOOKUP($C418,'All Girls &amp; Descendants - Edit'!$C$2:$AK$440,'All Girls &amp; Descendants - Edit'!I$1,FALSE)</f>
        <v>2020</v>
      </c>
      <c r="J418" t="str">
        <f>VLOOKUP($C418,'All Girls &amp; Descendants - Edit'!$C$2:$AK$440,'All Girls &amp; Descendants - Edit'!J$1,FALSE)</f>
        <v/>
      </c>
      <c r="K418" s="9"/>
      <c r="L418" t="str">
        <f t="shared" si="46"/>
        <v>22/12/2020</v>
      </c>
      <c r="M418" s="3">
        <f>VLOOKUP($C418,'All Girls &amp; Descendants - Edit'!$C$2:$AK$440,'All Girls &amp; Descendants - Edit'!M$1,FALSE)</f>
        <v>44187</v>
      </c>
      <c r="N418" s="3" t="str">
        <f>IF(VLOOKUP($C418,'All Girls &amp; Descendants - Edit'!$C$2:$AK$440,'All Girls &amp; Descendants - Edit'!N$1,FALSE)=""," - ",(VLOOKUP($C418,'All Girls &amp; Descendants - Edit'!$C$2:$AK$440,'All Girls &amp; Descendants - Edit'!N$1,FALSE)))</f>
        <v xml:space="preserve"> - </v>
      </c>
      <c r="O418" s="3" t="str">
        <f>IF(VLOOKUP($C418,'All Girls &amp; Descendants - Edit'!$C$2:$AK$440,'All Girls &amp; Descendants - Edit'!O$1,FALSE)="","",(VLOOKUP($C418,'All Girls &amp; Descendants - Edit'!$C$2:$AK$440,'All Girls &amp; Descendants - Edit'!O$1,FALSE)))</f>
        <v/>
      </c>
      <c r="P418" s="3" t="str">
        <f t="shared" si="47"/>
        <v/>
      </c>
      <c r="Q418" s="178" t="str">
        <f t="shared" si="48"/>
        <v>18bbada</v>
      </c>
      <c r="R418" s="23"/>
      <c r="S418" t="str">
        <f>VLOOKUP($C418,'All Girls &amp; Descendants - Edit'!$C$2:$AK$440,'All Girls &amp; Descendants - Edit'!S$1,FALSE)</f>
        <v>Male</v>
      </c>
      <c r="T418" s="176">
        <f t="shared" si="45"/>
        <v>8</v>
      </c>
      <c r="U418" s="176">
        <f t="shared" si="49"/>
        <v>8</v>
      </c>
      <c r="V418" s="176">
        <f t="shared" si="50"/>
        <v>2</v>
      </c>
      <c r="W418" s="177">
        <f t="shared" si="51"/>
        <v>6</v>
      </c>
      <c r="X418" s="3" t="str">
        <f>IF(VLOOKUP($C418,'All Girls &amp; Descendants - Edit'!$C$2:$AK$440,'All Girls &amp; Descendants - Edit'!X$1,FALSE)=""," - ",(VLOOKUP($C418,'All Girls &amp; Descendants - Edit'!$C$2:$AK$440,'All Girls &amp; Descendants - Edit'!X$1,FALSE)))</f>
        <v xml:space="preserve"> - </v>
      </c>
      <c r="Y418" s="3" t="str">
        <f>IF(VLOOKUP($C418,'All Girls &amp; Descendants - Edit'!$C$2:$AK$440,'All Girls &amp; Descendants - Edit'!Y$1,FALSE)=""," - ",(VLOOKUP($C418,'All Girls &amp; Descendants - Edit'!$C$2:$AK$440,'All Girls &amp; Descendants - Edit'!Y$1,FALSE)))</f>
        <v xml:space="preserve"> - </v>
      </c>
      <c r="Z418" s="3" t="str">
        <f>IF(VLOOKUP($C418,'All Girls &amp; Descendants - Edit'!$C$2:$AK$440,'All Girls &amp; Descendants - Edit'!Z$1,FALSE)=""," - ",(VLOOKUP($C418,'All Girls &amp; Descendants - Edit'!$C$2:$AK$440,'All Girls &amp; Descendants - Edit'!Z$1,FALSE)))</f>
        <v xml:space="preserve"> - </v>
      </c>
      <c r="AA418" s="101" t="str">
        <f>IF(VLOOKUP($C418,'All Girls &amp; Descendants - Edit'!$C$2:$AK$440,'All Girls &amp; Descendants - Edit'!AA$1,FALSE)=""," - ",(VLOOKUP($C418,'All Girls &amp; Descendants - Edit'!$C$2:$AK$440,'All Girls &amp; Descendants - Edit'!AA$1,FALSE)))</f>
        <v xml:space="preserve"> - </v>
      </c>
      <c r="AB418" s="101">
        <f>IF(VLOOKUP($C418,'All Girls &amp; Descendants - Edit'!$C$2:$AK$440,'All Girls &amp; Descendants - Edit'!AB$1,FALSE)=""," - ",(VLOOKUP($C418,'All Girls &amp; Descendants - Edit'!$C$2:$AK$440,'All Girls &amp; Descendants - Edit'!AB$1,FALSE)))</f>
        <v>7</v>
      </c>
      <c r="AC418" s="101">
        <f>IF(VLOOKUP($C418,'All Girls &amp; Descendants - Edit'!$C$2:$AK$440,'All Girls &amp; Descendants - Edit'!AC$1,FALSE)=""," - ",(VLOOKUP($C418,'All Girls &amp; Descendants - Edit'!$C$2:$AK$440,'All Girls &amp; Descendants - Edit'!AC$1,FALSE)))</f>
        <v>6007</v>
      </c>
      <c r="AD418" s="3" t="str">
        <f>IF(VLOOKUP($C418,'All Girls &amp; Descendants - Edit'!$C$2:$AK$440,'All Girls &amp; Descendants - Edit'!AD$1,FALSE)=""," - ",(VLOOKUP($C418,'All Girls &amp; Descendants - Edit'!$C$2:$AK$440,'All Girls &amp; Descendants - Edit'!AD$1,FALSE)))</f>
        <v>18bbadac</v>
      </c>
      <c r="AE418" s="3" t="str">
        <f>IF(VLOOKUP($C418,'All Girls &amp; Descendants - Edit'!$C$2:$AK$440,'All Girls &amp; Descendants - Edit'!AE$1,FALSE)=""," - ",(VLOOKUP($C418,'All Girls &amp; Descendants - Edit'!$C$2:$AK$440,'All Girls &amp; Descendants - Edit'!AE$1,FALSE)))</f>
        <v>Oliver James Robert WARNER (2020 - )</v>
      </c>
      <c r="AF418" s="3" t="str">
        <f>IF(VLOOKUP($C418,'All Girls &amp; Descendants - Edit'!$C$2:$AK$440,'All Girls &amp; Descendants - Edit'!AF$1,FALSE)=""," - ",(VLOOKUP($C418,'All Girls &amp; Descendants - Edit'!$C$2:$AK$440,'All Girls &amp; Descendants - Edit'!AF$1,FALSE)))</f>
        <v>Oliver WARNER (8th &amp; 18)</v>
      </c>
      <c r="AG418" s="3" t="str">
        <f>IF(VLOOKUP($C418,'All Girls &amp; Descendants - Edit'!$C$2:$AK$440,'All Girls &amp; Descendants - Edit'!AG$1,FALSE)=""," - ",(VLOOKUP($C418,'All Girls &amp; Descendants - Edit'!$C$2:$AK$440,'All Girls &amp; Descendants - Edit'!AG$1,FALSE)))</f>
        <v>Male</v>
      </c>
      <c r="AH418" s="3" t="str">
        <f>IF(VLOOKUP($C418,'All Girls &amp; Descendants - Edit'!$C$2:$AK$440,'All Girls &amp; Descendants - Edit'!AH$1,FALSE)=""," - ",(VLOOKUP($C418,'All Girls &amp; Descendants - Edit'!$C$2:$AK$440,'All Girls &amp; Descendants - Edit'!AH$1,FALSE)))</f>
        <v>8th</v>
      </c>
      <c r="AI418" s="3" t="str">
        <f>IF(VLOOKUP($C418,'All Girls &amp; Descendants - Edit'!$C$2:$AK$440,'All Girls &amp; Descendants - Edit'!AI$1,FALSE)=""," - ",(VLOOKUP($C418,'All Girls &amp; Descendants - Edit'!$C$2:$AK$440,'All Girls &amp; Descendants - Edit'!AI$1,FALSE)))</f>
        <v>Unmarried</v>
      </c>
      <c r="AJ418" s="3" t="str">
        <f>IF(VLOOKUP($C418,'All Girls &amp; Descendants - Edit'!$C$2:$AK$440,'All Girls &amp; Descendants - Edit'!AJ$1,FALSE)=""," - ",(VLOOKUP($C418,'All Girls &amp; Descendants - Edit'!$C$2:$AK$440,'All Girls &amp; Descendants - Edit'!AJ$1,FALSE)))</f>
        <v>Male. b. 22/12/2020</v>
      </c>
      <c r="AK418" s="3" t="str">
        <f>IF(VLOOKUP($C418,'All Girls &amp; Descendants - Edit'!$C$2:$AK$440,'All Girls &amp; Descendants - Edit'!AK$1,FALSE)=""," - ",(VLOOKUP($C418,'All Girls &amp; Descendants - Edit'!$C$2:$AK$440,'All Girls &amp; Descendants - Edit'!AK$1,FALSE)))</f>
        <v>b. 22/12/2020</v>
      </c>
    </row>
    <row r="419" spans="1:37" ht="19">
      <c r="C419" s="98"/>
      <c r="D419" s="2"/>
      <c r="K419" s="9"/>
      <c r="M419" s="8"/>
      <c r="O419" s="62"/>
      <c r="P419" s="20"/>
      <c r="Q419" s="179"/>
      <c r="R419" s="23"/>
      <c r="S419" s="23"/>
      <c r="W419" s="177"/>
      <c r="AF419" s="71"/>
    </row>
    <row r="420" spans="1:37" ht="19">
      <c r="C420" s="98"/>
      <c r="D420" s="2"/>
      <c r="K420" s="9"/>
      <c r="M420" s="8"/>
      <c r="O420" s="62"/>
      <c r="P420" s="20"/>
      <c r="Q420" s="179"/>
      <c r="R420" s="23"/>
      <c r="S420" s="23"/>
      <c r="W420" s="177"/>
      <c r="AF420" s="71"/>
    </row>
    <row r="421" spans="1:37" ht="19">
      <c r="C421" s="98"/>
      <c r="D421" s="2"/>
      <c r="K421" s="9"/>
      <c r="M421" s="8"/>
      <c r="O421" s="62"/>
      <c r="P421" s="20"/>
      <c r="Q421" s="179"/>
      <c r="R421" s="23"/>
      <c r="S421" s="23"/>
      <c r="W421" s="177"/>
      <c r="AF421" s="71"/>
    </row>
    <row r="422" spans="1:37" ht="19">
      <c r="C422" s="98"/>
      <c r="D422" s="2"/>
      <c r="K422" s="9"/>
      <c r="M422" s="8"/>
      <c r="O422" s="62"/>
      <c r="P422" s="20"/>
      <c r="Q422" s="179"/>
      <c r="R422" s="23"/>
      <c r="S422" s="23"/>
      <c r="W422" s="177"/>
      <c r="AF422" s="71"/>
    </row>
    <row r="423" spans="1:37" ht="19">
      <c r="C423" s="98"/>
      <c r="D423" s="2"/>
      <c r="K423" s="9"/>
      <c r="M423" s="8"/>
      <c r="O423" s="62"/>
      <c r="P423" s="20"/>
      <c r="Q423" s="179"/>
      <c r="R423" s="23"/>
      <c r="S423" s="23"/>
      <c r="W423" s="177"/>
      <c r="AF423" s="71"/>
    </row>
    <row r="424" spans="1:37" ht="19">
      <c r="C424" s="98"/>
      <c r="D424" s="2"/>
      <c r="K424" s="9"/>
      <c r="M424" s="8"/>
      <c r="O424" s="62"/>
      <c r="P424" s="20"/>
      <c r="Q424" s="179"/>
      <c r="R424" s="23"/>
      <c r="S424" s="23"/>
      <c r="W424" s="177"/>
      <c r="AF424" s="71"/>
    </row>
    <row r="425" spans="1:37" ht="19">
      <c r="C425" s="98"/>
      <c r="D425" s="2"/>
      <c r="K425" s="9"/>
      <c r="M425" s="8"/>
      <c r="O425" s="62"/>
      <c r="P425" s="20"/>
      <c r="Q425" s="179"/>
      <c r="R425" s="23"/>
      <c r="S425" s="23"/>
      <c r="W425" s="177"/>
      <c r="AF425" s="71"/>
    </row>
    <row r="426" spans="1:37" ht="19">
      <c r="C426" s="98"/>
      <c r="D426" s="2"/>
      <c r="K426" s="9"/>
      <c r="M426" s="8"/>
      <c r="O426" s="62"/>
      <c r="P426" s="20"/>
      <c r="Q426" s="179"/>
      <c r="R426" s="23"/>
      <c r="S426" s="23"/>
      <c r="W426" s="177"/>
      <c r="AF426" s="71"/>
    </row>
    <row r="427" spans="1:37" ht="19">
      <c r="C427" s="98"/>
      <c r="D427" s="2"/>
      <c r="K427" s="9"/>
      <c r="M427" s="8"/>
      <c r="O427" s="62"/>
      <c r="P427" s="20"/>
      <c r="Q427" s="179"/>
      <c r="R427" s="23"/>
      <c r="S427" s="23"/>
      <c r="W427" s="177"/>
      <c r="AF427" s="71"/>
    </row>
    <row r="428" spans="1:37" ht="19">
      <c r="C428" s="98"/>
      <c r="D428" s="2"/>
      <c r="K428" s="9"/>
      <c r="M428" s="8"/>
      <c r="O428" s="62"/>
      <c r="P428" s="20"/>
      <c r="Q428" s="179"/>
      <c r="R428" s="23"/>
      <c r="S428" s="23"/>
      <c r="W428" s="177"/>
      <c r="AF428" s="71"/>
    </row>
    <row r="429" spans="1:37" ht="19">
      <c r="C429" s="98"/>
      <c r="D429" s="2"/>
      <c r="K429" s="9"/>
      <c r="M429" s="8"/>
      <c r="O429" s="62"/>
      <c r="P429" s="20"/>
      <c r="Q429" s="179"/>
      <c r="R429" s="23"/>
      <c r="S429" s="23"/>
      <c r="W429" s="177"/>
      <c r="AF429" s="71"/>
    </row>
    <row r="430" spans="1:37" ht="19">
      <c r="C430" s="98"/>
      <c r="D430" s="2"/>
      <c r="K430" s="9"/>
      <c r="M430" s="8"/>
      <c r="O430" s="62"/>
      <c r="P430" s="20"/>
      <c r="Q430" s="179"/>
      <c r="R430" s="23"/>
      <c r="S430" s="23"/>
      <c r="W430" s="177"/>
      <c r="AF430" s="71"/>
    </row>
    <row r="431" spans="1:37" s="134" customFormat="1" ht="19">
      <c r="B431"/>
      <c r="C431" s="98"/>
      <c r="D431" s="135"/>
      <c r="K431" s="136"/>
      <c r="M431" s="138"/>
      <c r="Q431" s="176"/>
      <c r="R431"/>
      <c r="S431" s="17"/>
      <c r="T431" s="176"/>
      <c r="U431" s="176"/>
      <c r="V431" s="176"/>
      <c r="W431" s="176"/>
      <c r="AB431"/>
    </row>
    <row r="432" spans="1:37" s="134" customFormat="1" ht="19">
      <c r="B432"/>
      <c r="C432" s="98"/>
      <c r="D432" s="135"/>
      <c r="K432" s="136"/>
      <c r="M432" s="138"/>
      <c r="Q432" s="176"/>
      <c r="R432"/>
      <c r="T432" s="176"/>
      <c r="U432" s="176"/>
      <c r="V432" s="176"/>
      <c r="W432" s="176"/>
      <c r="AB432"/>
    </row>
    <row r="433" spans="2:28" s="134" customFormat="1" ht="19">
      <c r="B433"/>
      <c r="C433" s="98"/>
      <c r="D433" s="135"/>
      <c r="K433" s="136"/>
      <c r="M433" s="138"/>
      <c r="Q433" s="176"/>
      <c r="R433"/>
      <c r="T433" s="176"/>
      <c r="U433" s="176"/>
      <c r="V433" s="176"/>
      <c r="W433" s="176"/>
      <c r="AB433"/>
    </row>
    <row r="434" spans="2:28" s="134" customFormat="1" ht="19">
      <c r="B434"/>
      <c r="C434" s="98"/>
      <c r="D434" s="135"/>
      <c r="K434" s="136"/>
      <c r="M434" s="138"/>
      <c r="Q434" s="176"/>
      <c r="R434"/>
      <c r="T434" s="176"/>
      <c r="U434" s="176"/>
      <c r="V434" s="176"/>
      <c r="W434" s="176"/>
      <c r="AB434"/>
    </row>
    <row r="435" spans="2:28" s="134" customFormat="1" ht="19">
      <c r="B435"/>
      <c r="C435" s="98"/>
      <c r="D435" s="135"/>
      <c r="K435" s="136"/>
      <c r="M435" s="138"/>
      <c r="O435" s="138"/>
      <c r="Q435" s="176"/>
      <c r="R435"/>
      <c r="T435" s="176"/>
      <c r="U435" s="176"/>
      <c r="V435" s="176"/>
      <c r="W435" s="176"/>
      <c r="AB435"/>
    </row>
    <row r="436" spans="2:28" s="134" customFormat="1" ht="19">
      <c r="B436"/>
      <c r="C436" s="98"/>
      <c r="D436" s="135"/>
      <c r="K436" s="136"/>
      <c r="M436" s="138"/>
      <c r="Q436" s="176"/>
      <c r="R436"/>
      <c r="T436" s="176"/>
      <c r="U436" s="176"/>
      <c r="V436" s="176"/>
      <c r="W436" s="176"/>
      <c r="AB436"/>
    </row>
    <row r="437" spans="2:28" s="134" customFormat="1" ht="19">
      <c r="B437"/>
      <c r="C437" s="98"/>
      <c r="D437" s="135"/>
      <c r="K437" s="136"/>
      <c r="M437" s="138"/>
      <c r="Q437" s="176"/>
      <c r="R437"/>
      <c r="T437" s="176"/>
      <c r="U437" s="176"/>
      <c r="V437" s="176"/>
      <c r="W437" s="176"/>
      <c r="AB437"/>
    </row>
    <row r="438" spans="2:28" s="134" customFormat="1" ht="19">
      <c r="B438"/>
      <c r="C438" s="98"/>
      <c r="D438" s="135"/>
      <c r="K438" s="136"/>
      <c r="M438" s="138"/>
      <c r="Q438" s="176"/>
      <c r="R438"/>
      <c r="T438" s="176"/>
      <c r="U438" s="176"/>
      <c r="V438" s="176"/>
      <c r="W438" s="176"/>
      <c r="AB438"/>
    </row>
    <row r="439" spans="2:28" s="134" customFormat="1" ht="19">
      <c r="B439"/>
      <c r="C439" s="98"/>
      <c r="D439" s="135"/>
      <c r="K439" s="136"/>
      <c r="M439" s="138"/>
      <c r="Q439" s="176"/>
      <c r="R439"/>
      <c r="T439" s="176"/>
      <c r="U439" s="176"/>
      <c r="V439" s="176"/>
      <c r="W439" s="176"/>
      <c r="AB439"/>
    </row>
    <row r="440" spans="2:28" s="134" customFormat="1" ht="19">
      <c r="B440"/>
      <c r="C440" s="98"/>
      <c r="D440" s="135"/>
      <c r="K440" s="136"/>
      <c r="M440" s="138"/>
      <c r="Q440" s="176"/>
      <c r="R440"/>
      <c r="T440" s="176"/>
      <c r="U440" s="176"/>
      <c r="V440" s="176"/>
      <c r="W440" s="176"/>
      <c r="AB440"/>
    </row>
    <row r="441" spans="2:28" s="134" customFormat="1" ht="19">
      <c r="B441"/>
      <c r="C441" s="98"/>
      <c r="D441" s="135"/>
      <c r="K441" s="136"/>
      <c r="M441" s="138"/>
      <c r="Q441" s="176"/>
      <c r="R441"/>
      <c r="T441" s="176"/>
      <c r="U441" s="176"/>
      <c r="V441" s="176"/>
      <c r="W441" s="176"/>
      <c r="AB441"/>
    </row>
    <row r="442" spans="2:28" s="134" customFormat="1" ht="19">
      <c r="B442"/>
      <c r="C442" s="98"/>
      <c r="D442" s="135"/>
      <c r="K442" s="136"/>
      <c r="M442" s="138"/>
      <c r="Q442" s="176"/>
      <c r="R442"/>
      <c r="T442" s="176"/>
      <c r="U442" s="176"/>
      <c r="V442" s="176"/>
      <c r="W442" s="176"/>
      <c r="AB442"/>
    </row>
    <row r="443" spans="2:28" s="134" customFormat="1" ht="19">
      <c r="B443"/>
      <c r="C443" s="98"/>
      <c r="D443" s="135"/>
      <c r="K443" s="136"/>
      <c r="M443" s="138"/>
      <c r="Q443" s="176"/>
      <c r="R443"/>
      <c r="T443" s="176"/>
      <c r="U443" s="176"/>
      <c r="V443" s="176"/>
      <c r="W443" s="176"/>
      <c r="AB443"/>
    </row>
    <row r="444" spans="2:28" s="134" customFormat="1" ht="19">
      <c r="B444"/>
      <c r="C444" s="98"/>
      <c r="D444" s="135"/>
      <c r="K444" s="136"/>
      <c r="M444" s="138"/>
      <c r="Q444" s="176"/>
      <c r="R444"/>
      <c r="T444" s="176"/>
      <c r="U444" s="176"/>
      <c r="V444" s="176"/>
      <c r="W444" s="176"/>
      <c r="AB444"/>
    </row>
    <row r="445" spans="2:28" s="134" customFormat="1" ht="19">
      <c r="B445"/>
      <c r="C445" s="98"/>
      <c r="D445" s="135"/>
      <c r="K445" s="136"/>
      <c r="M445" s="138"/>
      <c r="Q445" s="176"/>
      <c r="R445"/>
      <c r="T445" s="176"/>
      <c r="U445" s="176"/>
      <c r="V445" s="176"/>
      <c r="W445" s="176"/>
      <c r="AB445"/>
    </row>
    <row r="446" spans="2:28" s="134" customFormat="1" ht="19">
      <c r="B446"/>
      <c r="C446" s="98"/>
      <c r="D446" s="135"/>
      <c r="K446" s="136"/>
      <c r="M446" s="138"/>
      <c r="Q446" s="176"/>
      <c r="R446"/>
      <c r="T446" s="176"/>
      <c r="U446" s="176"/>
      <c r="V446" s="176"/>
      <c r="W446" s="176"/>
      <c r="AB446"/>
    </row>
    <row r="447" spans="2:28" s="134" customFormat="1" ht="19">
      <c r="B447"/>
      <c r="C447" s="98"/>
      <c r="D447" s="135"/>
      <c r="K447" s="136"/>
      <c r="M447" s="138"/>
      <c r="Q447" s="176"/>
      <c r="R447"/>
      <c r="T447" s="176"/>
      <c r="U447" s="176"/>
      <c r="V447" s="176"/>
      <c r="W447" s="176"/>
      <c r="AB447"/>
    </row>
    <row r="448" spans="2:28" s="134" customFormat="1" ht="19">
      <c r="B448"/>
      <c r="C448" s="98"/>
      <c r="D448" s="135"/>
      <c r="K448" s="136"/>
      <c r="M448" s="138"/>
      <c r="Q448" s="176"/>
      <c r="R448"/>
      <c r="T448" s="176"/>
      <c r="U448" s="176"/>
      <c r="V448" s="176"/>
      <c r="W448" s="176"/>
      <c r="AB448"/>
    </row>
    <row r="449" spans="2:28" s="134" customFormat="1" ht="19">
      <c r="B449"/>
      <c r="C449" s="98"/>
      <c r="D449" s="135"/>
      <c r="K449" s="136"/>
      <c r="M449" s="138"/>
      <c r="Q449" s="176"/>
      <c r="R449"/>
      <c r="T449" s="176"/>
      <c r="U449" s="176"/>
      <c r="V449" s="176"/>
      <c r="W449" s="176"/>
      <c r="AB449"/>
    </row>
    <row r="450" spans="2:28" s="134" customFormat="1" ht="19">
      <c r="B450"/>
      <c r="C450" s="98"/>
      <c r="D450" s="135"/>
      <c r="K450" s="136"/>
      <c r="M450" s="138"/>
      <c r="Q450" s="176"/>
      <c r="R450"/>
      <c r="T450" s="176"/>
      <c r="U450" s="176"/>
      <c r="V450" s="176"/>
      <c r="W450" s="176"/>
      <c r="AB450"/>
    </row>
    <row r="451" spans="2:28" s="134" customFormat="1" ht="19">
      <c r="B451"/>
      <c r="C451" s="98"/>
      <c r="D451" s="135"/>
      <c r="K451" s="136"/>
      <c r="M451" s="138"/>
      <c r="Q451" s="176"/>
      <c r="R451"/>
      <c r="T451" s="176"/>
      <c r="U451" s="176"/>
      <c r="V451" s="176"/>
      <c r="W451" s="176"/>
      <c r="AB451"/>
    </row>
  </sheetData>
  <autoFilter ref="A1:AF451" xr:uid="{62E82E1B-F56A-3344-91FF-24B02B2E8519}"/>
  <sortState xmlns:xlrd2="http://schemas.microsoft.com/office/spreadsheetml/2017/richdata2" ref="BQ1:BS69">
    <sortCondition descending="1" ref="BQ1:BQ69"/>
  </sortState>
  <phoneticPr fontId="10" type="noConversion"/>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BB2F-76BF-FF43-B524-0925B7F32EA9}">
  <dimension ref="A1:AS422"/>
  <sheetViews>
    <sheetView zoomScale="141" zoomScaleNormal="141" workbookViewId="0">
      <pane xSplit="5" ySplit="2" topLeftCell="F294" activePane="bottomRight" state="frozen"/>
      <selection pane="topRight" activeCell="F1" sqref="F1"/>
      <selection pane="bottomLeft" activeCell="A2" sqref="A2"/>
      <selection pane="bottomRight" activeCell="C2" sqref="C2:J292"/>
    </sheetView>
  </sheetViews>
  <sheetFormatPr baseColWidth="10" defaultRowHeight="16"/>
  <cols>
    <col min="1" max="1" width="14.33203125" customWidth="1"/>
    <col min="3" max="3" width="19" customWidth="1"/>
    <col min="4" max="4" width="25.1640625" bestFit="1" customWidth="1"/>
    <col min="5" max="5" width="19.33203125" bestFit="1" customWidth="1"/>
    <col min="6" max="6" width="12.5" bestFit="1" customWidth="1"/>
    <col min="7" max="7" width="14.33203125" bestFit="1" customWidth="1"/>
    <col min="8" max="8" width="15.1640625" customWidth="1"/>
    <col min="11" max="11" width="33" customWidth="1"/>
    <col min="12" max="12" width="14.5" customWidth="1"/>
    <col min="13" max="13" width="16.83203125" customWidth="1"/>
    <col min="14" max="14" width="12.1640625" customWidth="1"/>
    <col min="15" max="15" width="24.1640625" customWidth="1"/>
    <col min="16" max="16" width="22.33203125" customWidth="1"/>
    <col min="18" max="18" width="12" style="3" bestFit="1" customWidth="1"/>
    <col min="19" max="19" width="12.1640625" customWidth="1"/>
    <col min="20" max="20" width="13.33203125" customWidth="1"/>
    <col min="24" max="24" width="39.83203125" style="99" customWidth="1"/>
    <col min="25" max="25" width="94" style="99" customWidth="1"/>
    <col min="26" max="26" width="66.6640625" style="99" customWidth="1"/>
    <col min="27" max="27" width="30.83203125" customWidth="1"/>
    <col min="28" max="28" width="15.33203125" customWidth="1"/>
    <col min="29" max="30" width="13" customWidth="1"/>
    <col min="31" max="31" width="46.33203125" bestFit="1" customWidth="1"/>
    <col min="32" max="32" width="47.83203125" bestFit="1" customWidth="1"/>
    <col min="33" max="33" width="13.5" customWidth="1"/>
    <col min="35" max="35" width="44.5" customWidth="1"/>
    <col min="36" max="36" width="78.5" style="99" customWidth="1"/>
    <col min="37" max="37" width="47.5" style="99" customWidth="1"/>
    <col min="38" max="38" width="34.1640625" customWidth="1"/>
    <col min="39" max="39" width="21.1640625" bestFit="1" customWidth="1"/>
    <col min="40" max="40" width="12.83203125" bestFit="1" customWidth="1"/>
    <col min="41" max="41" width="21.1640625" bestFit="1" customWidth="1"/>
    <col min="42" max="42" width="12.83203125" bestFit="1" customWidth="1"/>
    <col min="43" max="43" width="21.1640625" bestFit="1" customWidth="1"/>
    <col min="44" max="44" width="20.33203125" customWidth="1"/>
    <col min="45" max="45" width="21.1640625" bestFit="1" customWidth="1"/>
    <col min="46" max="46" width="12.83203125" bestFit="1" customWidth="1"/>
    <col min="47" max="47" width="21.1640625" bestFit="1" customWidth="1"/>
    <col min="48" max="48" width="12.83203125" bestFit="1" customWidth="1"/>
    <col min="49" max="49" width="21.1640625" bestFit="1" customWidth="1"/>
    <col min="50" max="50" width="12.83203125" bestFit="1" customWidth="1"/>
    <col min="51" max="51" width="25" bestFit="1" customWidth="1"/>
    <col min="52" max="52" width="16.6640625" bestFit="1" customWidth="1"/>
    <col min="53" max="53" width="21.1640625" bestFit="1" customWidth="1"/>
    <col min="54" max="54" width="12.83203125" bestFit="1" customWidth="1"/>
    <col min="55" max="55" width="21.1640625" bestFit="1" customWidth="1"/>
    <col min="56" max="56" width="12.83203125" bestFit="1" customWidth="1"/>
    <col min="57" max="57" width="21.1640625" bestFit="1" customWidth="1"/>
    <col min="58" max="58" width="12.83203125" bestFit="1" customWidth="1"/>
    <col min="59" max="59" width="21.1640625" bestFit="1" customWidth="1"/>
    <col min="60" max="60" width="12.83203125" bestFit="1" customWidth="1"/>
    <col min="61" max="61" width="21.1640625" bestFit="1" customWidth="1"/>
    <col min="62" max="62" width="12.83203125" bestFit="1" customWidth="1"/>
    <col min="63" max="63" width="21.1640625" bestFit="1" customWidth="1"/>
    <col min="64" max="64" width="12.83203125" bestFit="1" customWidth="1"/>
    <col min="65" max="65" width="21.1640625" bestFit="1" customWidth="1"/>
    <col min="66" max="66" width="12.83203125" bestFit="1" customWidth="1"/>
    <col min="67" max="67" width="24.83203125" bestFit="1" customWidth="1"/>
    <col min="68" max="68" width="16.5" bestFit="1" customWidth="1"/>
    <col min="69" max="69" width="26" bestFit="1" customWidth="1"/>
    <col min="70" max="70" width="17.6640625" bestFit="1" customWidth="1"/>
  </cols>
  <sheetData>
    <row r="1" spans="1:45">
      <c r="C1">
        <v>1</v>
      </c>
      <c r="D1">
        <v>2</v>
      </c>
      <c r="E1">
        <v>3</v>
      </c>
      <c r="F1">
        <v>4</v>
      </c>
      <c r="G1">
        <v>5</v>
      </c>
      <c r="H1">
        <v>6</v>
      </c>
      <c r="I1">
        <v>7</v>
      </c>
      <c r="J1">
        <v>8</v>
      </c>
      <c r="K1">
        <v>9</v>
      </c>
      <c r="L1">
        <v>10</v>
      </c>
      <c r="M1">
        <v>11</v>
      </c>
      <c r="N1">
        <v>12</v>
      </c>
      <c r="O1">
        <v>13</v>
      </c>
      <c r="P1">
        <v>14</v>
      </c>
      <c r="Q1">
        <v>15</v>
      </c>
      <c r="R1">
        <v>16</v>
      </c>
      <c r="S1">
        <v>17</v>
      </c>
      <c r="T1">
        <v>18</v>
      </c>
      <c r="U1">
        <v>19</v>
      </c>
      <c r="V1">
        <v>20</v>
      </c>
      <c r="W1">
        <v>21</v>
      </c>
      <c r="X1">
        <v>22</v>
      </c>
      <c r="Y1">
        <v>23</v>
      </c>
      <c r="Z1">
        <v>24</v>
      </c>
      <c r="AA1">
        <v>25</v>
      </c>
      <c r="AB1">
        <v>26</v>
      </c>
      <c r="AC1">
        <v>27</v>
      </c>
      <c r="AD1">
        <v>28</v>
      </c>
      <c r="AE1">
        <v>29</v>
      </c>
      <c r="AF1">
        <v>30</v>
      </c>
      <c r="AG1">
        <v>31</v>
      </c>
      <c r="AH1">
        <v>32</v>
      </c>
      <c r="AI1">
        <v>33</v>
      </c>
      <c r="AJ1">
        <v>34</v>
      </c>
      <c r="AK1">
        <v>35</v>
      </c>
      <c r="AL1">
        <v>36</v>
      </c>
      <c r="AM1">
        <v>37</v>
      </c>
    </row>
    <row r="2" spans="1:45" ht="68">
      <c r="A2" s="33" t="s">
        <v>3029</v>
      </c>
      <c r="B2" s="33" t="s">
        <v>780</v>
      </c>
      <c r="C2" s="97" t="s">
        <v>1142</v>
      </c>
      <c r="D2" s="34" t="s">
        <v>781</v>
      </c>
      <c r="E2" s="33" t="s">
        <v>777</v>
      </c>
      <c r="F2" s="33" t="s">
        <v>778</v>
      </c>
      <c r="G2" s="33" t="s">
        <v>779</v>
      </c>
      <c r="H2" s="33" t="s">
        <v>2957</v>
      </c>
      <c r="I2" s="33" t="s">
        <v>1154</v>
      </c>
      <c r="J2" s="33" t="s">
        <v>1177</v>
      </c>
      <c r="K2" s="35" t="s">
        <v>1137</v>
      </c>
      <c r="L2" s="5" t="s">
        <v>784</v>
      </c>
      <c r="M2" s="8" t="s">
        <v>1138</v>
      </c>
      <c r="N2" s="33" t="s">
        <v>785</v>
      </c>
      <c r="O2" s="33" t="s">
        <v>786</v>
      </c>
      <c r="P2" s="182" t="str">
        <f>R2</f>
        <v>DOD Entered</v>
      </c>
      <c r="Q2" s="36" t="s">
        <v>1365</v>
      </c>
      <c r="R2" s="182" t="s">
        <v>3447</v>
      </c>
      <c r="S2" s="36" t="s">
        <v>3251</v>
      </c>
      <c r="T2" s="36" t="s">
        <v>3261</v>
      </c>
      <c r="U2" s="36" t="s">
        <v>2355</v>
      </c>
      <c r="V2" s="36" t="s">
        <v>2549</v>
      </c>
      <c r="W2" s="36" t="s">
        <v>2877</v>
      </c>
      <c r="X2" s="115" t="s">
        <v>3628</v>
      </c>
      <c r="Y2" s="36" t="s">
        <v>1381</v>
      </c>
      <c r="Z2" s="115" t="s">
        <v>2359</v>
      </c>
      <c r="AA2" s="33" t="s">
        <v>3247</v>
      </c>
      <c r="AB2" s="36" t="s">
        <v>4070</v>
      </c>
      <c r="AC2" s="36" t="s">
        <v>3249</v>
      </c>
      <c r="AD2" s="148" t="str">
        <f>C2</f>
        <v>Loyd ##</v>
      </c>
      <c r="AE2" s="36" t="s">
        <v>3250</v>
      </c>
      <c r="AF2" s="36" t="s">
        <v>3277</v>
      </c>
      <c r="AG2" s="73" t="str">
        <f>S2</f>
        <v>Male/Female</v>
      </c>
      <c r="AH2" s="36" t="str">
        <f>T2</f>
        <v>Generation from William (#1)</v>
      </c>
      <c r="AI2" s="36" t="s">
        <v>3262</v>
      </c>
      <c r="AJ2" s="36" t="s">
        <v>3278</v>
      </c>
      <c r="AK2" s="36" t="s">
        <v>3279</v>
      </c>
      <c r="AR2" t="s">
        <v>3255</v>
      </c>
    </row>
    <row r="3" spans="1:45" s="5" customFormat="1" ht="34">
      <c r="A3" s="5">
        <f>VLOOKUP(B3,'Loyd List 1-190 - Edit'!$P$1:$R$219,3,FALSE)</f>
        <v>1</v>
      </c>
      <c r="B3" s="5">
        <f>VALUE(LEFT(C3,1))</f>
        <v>2</v>
      </c>
      <c r="C3" s="151" t="s">
        <v>1949</v>
      </c>
      <c r="D3" s="6" t="s">
        <v>1962</v>
      </c>
      <c r="E3" s="5" t="s">
        <v>914</v>
      </c>
      <c r="I3" s="5" t="s">
        <v>3448</v>
      </c>
      <c r="J3" s="5" t="s">
        <v>3448</v>
      </c>
      <c r="K3" s="152"/>
      <c r="L3" s="181" t="s">
        <v>3448</v>
      </c>
      <c r="M3" s="181" t="s">
        <v>3448</v>
      </c>
      <c r="N3" s="194"/>
      <c r="O3" s="194"/>
      <c r="P3" s="181" t="str">
        <f t="shared" ref="P3:P66" si="0">R3</f>
        <v>Unknown</v>
      </c>
      <c r="Q3" s="153" t="str">
        <f t="shared" ref="Q3:Q28" si="1">MID(C3,1,LEN(C3)-1)</f>
        <v>2</v>
      </c>
      <c r="R3" s="180" t="s">
        <v>3448</v>
      </c>
      <c r="S3" s="25" t="s">
        <v>3245</v>
      </c>
      <c r="T3" s="5">
        <f t="shared" ref="T3:T66" si="2">IF(B3&lt;10,V3+U3-1,IF(AND(B3&gt;=10,B3&lt;=99),V3+U3-2,V3+U3-3))</f>
        <v>2</v>
      </c>
      <c r="U3" s="5">
        <f t="shared" ref="U3:U66" si="3">LEN(C3)</f>
        <v>2</v>
      </c>
      <c r="V3" s="5">
        <f>VLOOKUP(B3,'Loyd List 1-190 - Edit'!$A$2:$B$220,2,FALSE)</f>
        <v>1</v>
      </c>
      <c r="W3" s="155">
        <f t="shared" ref="W3:W66" si="4">IF(LEN(C3)-IF(B3&lt;10,1,IF(AND(B3&gt;9,B3&lt;100),2,3))=1,1,IF(LEN(C3)-IF(B3&lt;10,1,IF(AND(B3&gt;9,B3&lt;100),2,3))=0,"SELF",LEN(C3)-IF(B3&lt;10,1,IF(AND(B3&gt;9,B3&lt;100),2,3))))</f>
        <v>1</v>
      </c>
      <c r="X3" s="105"/>
      <c r="Y3" s="105"/>
      <c r="Z3" s="164" t="s">
        <v>3281</v>
      </c>
      <c r="AA3" s="6">
        <v>1</v>
      </c>
      <c r="AB3" s="188">
        <v>1</v>
      </c>
      <c r="AC3" s="5">
        <f>W3*1000+AB3</f>
        <v>1001</v>
      </c>
      <c r="AD3" s="97" t="str">
        <f t="shared" ref="AD3:AD66" si="5">C3</f>
        <v>2a</v>
      </c>
      <c r="AE3" s="5" t="str">
        <f t="shared" ref="AE3:AE66" si="6">_xlfn.CONCAT(E3," ",F3," ",G3," ",D3," (",I3," - ",J3,")")</f>
        <v>Lewis   DAVIES or DANIEL (Unknown - Unknown)</v>
      </c>
      <c r="AF3" s="5" t="str">
        <f t="shared" ref="AF3:AF66" si="7">IF(H3="",_xlfn.CONCAT(E3," ",D3," (",AH3," &amp; ",B3,")"),_xlfn.CONCAT(H3," ",D3," (",AH3," &amp; ",B3,")"))</f>
        <v>Lewis DAVIES or DANIEL (2nd &amp; 2)</v>
      </c>
      <c r="AG3" s="110" t="str">
        <f t="shared" ref="AG3:AG66" si="8">S3</f>
        <v>Male</v>
      </c>
      <c r="AH3" s="5" t="str">
        <f t="shared" ref="AH3:AH66" si="9">VLOOKUP(T3,$AQ$2:$AS$10,3,FALSE)</f>
        <v>2nd</v>
      </c>
      <c r="AI3" s="5" t="str">
        <f t="shared" ref="AI3:AI34" si="10">IF(X3="","Unmarried",IF(AG3="Male",_xlfn.CONCAT("Wife: ",X3,". ",Y3),_xlfn.CONCAT("Husband: ",X3,". ",Y3)))</f>
        <v>Unmarried</v>
      </c>
      <c r="AJ3" s="105" t="str">
        <f>IF(Z3="",_xlfn.CONCAT(AG3,". ",AK3),_xlfn.CONCAT(AG3,". ",AK3," ",Z3))</f>
        <v>Male. b. Unknown, d. Unknown. Left 50 shillings in his grandfather's will as was sister Ann (#2b).</v>
      </c>
      <c r="AK3" s="105" t="str">
        <f t="shared" ref="AK3:AK66" si="11">_xlfn.CONCAT(IF(L3="","b &amp; d dates unknown.",_xlfn.CONCAT("b. ",L3)),IF(P3="","",_xlfn.CONCAT(", d. ",P3,".")))</f>
        <v>b. Unknown, d. Unknown.</v>
      </c>
      <c r="AQ3" s="5">
        <v>1</v>
      </c>
      <c r="AR3" s="5" t="s">
        <v>3252</v>
      </c>
      <c r="AS3" s="5" t="s">
        <v>3269</v>
      </c>
    </row>
    <row r="4" spans="1:45" s="5" customFormat="1" ht="49" customHeight="1">
      <c r="A4" s="5">
        <f>VLOOKUP(B4,'Loyd List 1-190 - Edit'!$P$1:$R$219,3,FALSE)</f>
        <v>1</v>
      </c>
      <c r="B4" s="5">
        <f>VALUE(LEFT(C4,1))</f>
        <v>2</v>
      </c>
      <c r="C4" s="151" t="s">
        <v>1965</v>
      </c>
      <c r="D4" s="6" t="s">
        <v>1962</v>
      </c>
      <c r="E4" s="5" t="s">
        <v>1010</v>
      </c>
      <c r="I4" s="5" t="s">
        <v>3448</v>
      </c>
      <c r="J4" s="5" t="s">
        <v>3448</v>
      </c>
      <c r="K4" s="152"/>
      <c r="L4" s="181" t="s">
        <v>3448</v>
      </c>
      <c r="M4" s="181" t="s">
        <v>3448</v>
      </c>
      <c r="N4" s="194"/>
      <c r="O4" s="181"/>
      <c r="P4" s="181" t="str">
        <f t="shared" si="0"/>
        <v>Unknown</v>
      </c>
      <c r="Q4" s="153" t="str">
        <f t="shared" si="1"/>
        <v>2</v>
      </c>
      <c r="R4" s="202" t="s">
        <v>3448</v>
      </c>
      <c r="S4" s="25" t="s">
        <v>3244</v>
      </c>
      <c r="T4" s="5">
        <f t="shared" si="2"/>
        <v>2</v>
      </c>
      <c r="U4" s="5">
        <f t="shared" si="3"/>
        <v>2</v>
      </c>
      <c r="V4" s="5">
        <f>VLOOKUP(B4,'Loyd List 1-190 - Edit'!$A$2:$B$220,2,FALSE)</f>
        <v>1</v>
      </c>
      <c r="W4" s="155">
        <f t="shared" si="4"/>
        <v>1</v>
      </c>
      <c r="X4" s="105"/>
      <c r="Y4" s="105"/>
      <c r="Z4" s="164" t="s">
        <v>3280</v>
      </c>
      <c r="AA4" s="6">
        <v>5</v>
      </c>
      <c r="AB4" s="5">
        <f t="shared" ref="AB4:AB35" si="12">AB3+1</f>
        <v>2</v>
      </c>
      <c r="AC4" s="5">
        <f t="shared" ref="AC4:AC67" si="13">W4*1000+AB4</f>
        <v>1002</v>
      </c>
      <c r="AD4" s="97" t="str">
        <f t="shared" si="5"/>
        <v>2b</v>
      </c>
      <c r="AE4" s="5" t="str">
        <f t="shared" si="6"/>
        <v>Ann   DAVIES or DANIEL (Unknown - Unknown)</v>
      </c>
      <c r="AF4" s="5" t="str">
        <f t="shared" si="7"/>
        <v>Ann DAVIES or DANIEL (2nd &amp; 2)</v>
      </c>
      <c r="AG4" s="110" t="str">
        <f t="shared" si="8"/>
        <v>Female</v>
      </c>
      <c r="AH4" s="5" t="str">
        <f t="shared" si="9"/>
        <v>2nd</v>
      </c>
      <c r="AI4" s="5" t="str">
        <f t="shared" si="10"/>
        <v>Unmarried</v>
      </c>
      <c r="AJ4" s="105" t="str">
        <f t="shared" ref="AJ4:AJ67" si="14">IF(Z4="",_xlfn.CONCAT(AG4,". ",AK4),_xlfn.CONCAT(AG4,". ",AK4," ",Z4))</f>
        <v>Female. b. Unknown, d. Unknown. Left 50 shillings in her  grandfather's will as was brother Lewis (#2a).</v>
      </c>
      <c r="AK4" s="105" t="str">
        <f t="shared" si="11"/>
        <v>b. Unknown, d. Unknown.</v>
      </c>
      <c r="AQ4" s="5">
        <v>2</v>
      </c>
      <c r="AR4" s="5" t="s">
        <v>3253</v>
      </c>
      <c r="AS4" s="5" t="s">
        <v>3270</v>
      </c>
    </row>
    <row r="5" spans="1:45" s="5" customFormat="1" ht="20">
      <c r="A5" s="5">
        <f>VLOOKUP(B5,'Loyd List 1-190 - Edit'!$P$1:$R$219,3,FALSE)</f>
        <v>1</v>
      </c>
      <c r="B5" s="5">
        <f>VALUE(LEFT(C5,1))</f>
        <v>2</v>
      </c>
      <c r="C5" s="151" t="s">
        <v>1969</v>
      </c>
      <c r="D5" s="6" t="s">
        <v>1962</v>
      </c>
      <c r="E5" s="5" t="s">
        <v>830</v>
      </c>
      <c r="I5" s="5">
        <f t="shared" ref="I5:I35" si="15">IF(L5="","",VALUE(RIGHT(L5,4)))</f>
        <v>1800</v>
      </c>
      <c r="J5" s="5">
        <f t="shared" ref="J5:J35" si="16">IF(O5="","",VALUE(RIGHT(TEXT(O5,"dd/mm/yyyy"),4)))</f>
        <v>1832</v>
      </c>
      <c r="K5" s="152"/>
      <c r="L5" s="7" t="str">
        <f t="shared" ref="L5:L35" si="17">IF(M5="","",TEXT(M5,"dd/mm/yyyy"))</f>
        <v>04/05/1800</v>
      </c>
      <c r="M5" s="8" t="s">
        <v>1966</v>
      </c>
      <c r="O5" s="7" t="s">
        <v>960</v>
      </c>
      <c r="P5" s="181" t="str">
        <f t="shared" si="0"/>
        <v>11/05/1832</v>
      </c>
      <c r="Q5" s="153" t="str">
        <f t="shared" si="1"/>
        <v>2</v>
      </c>
      <c r="R5" s="180" t="str">
        <f t="shared" ref="R5:R66" si="18">IF(LEN(O5)=4,O5,IF(O5="","",TEXT(O5,"dd/mm/yyyy")))</f>
        <v>11/05/1832</v>
      </c>
      <c r="S5" s="25" t="s">
        <v>3245</v>
      </c>
      <c r="T5" s="5">
        <f t="shared" si="2"/>
        <v>2</v>
      </c>
      <c r="U5" s="5">
        <f t="shared" si="3"/>
        <v>2</v>
      </c>
      <c r="V5" s="5">
        <f>VLOOKUP(B5,'Loyd List 1-190 - Edit'!$A$2:$B$220,2,FALSE)</f>
        <v>1</v>
      </c>
      <c r="W5" s="155">
        <f t="shared" si="4"/>
        <v>1</v>
      </c>
      <c r="X5" s="105" t="s">
        <v>952</v>
      </c>
      <c r="Y5" s="105"/>
      <c r="Z5" s="164" t="s">
        <v>2366</v>
      </c>
      <c r="AA5" s="6">
        <v>6</v>
      </c>
      <c r="AB5" s="5">
        <f t="shared" si="12"/>
        <v>3</v>
      </c>
      <c r="AC5" s="5">
        <f t="shared" si="13"/>
        <v>1003</v>
      </c>
      <c r="AD5" s="97" t="str">
        <f t="shared" si="5"/>
        <v>2c</v>
      </c>
      <c r="AE5" s="5" t="str">
        <f t="shared" si="6"/>
        <v>William   DAVIES or DANIEL (1800 - 1832)</v>
      </c>
      <c r="AF5" s="5" t="str">
        <f t="shared" si="7"/>
        <v>William DAVIES or DANIEL (2nd &amp; 2)</v>
      </c>
      <c r="AG5" s="110" t="str">
        <f t="shared" si="8"/>
        <v>Male</v>
      </c>
      <c r="AH5" s="5" t="str">
        <f t="shared" si="9"/>
        <v>2nd</v>
      </c>
      <c r="AI5" s="5" t="str">
        <f t="shared" si="10"/>
        <v xml:space="preserve">Wife: Elizabeth. </v>
      </c>
      <c r="AJ5" s="105" t="str">
        <f t="shared" si="14"/>
        <v>Male. b. 04/05/1800, d. 11/05/1832. Baptised 4 May 1800 at Cilycwm.</v>
      </c>
      <c r="AK5" s="105" t="str">
        <f t="shared" si="11"/>
        <v>b. 04/05/1800, d. 11/05/1832.</v>
      </c>
      <c r="AQ5" s="5">
        <v>3</v>
      </c>
      <c r="AR5" s="5" t="s">
        <v>3254</v>
      </c>
      <c r="AS5" s="5" t="s">
        <v>3271</v>
      </c>
    </row>
    <row r="6" spans="1:45" s="5" customFormat="1" ht="20">
      <c r="A6" s="5">
        <f>VLOOKUP(B6,'Loyd List 1-190 - Edit'!$P$1:$R$219,3,FALSE)</f>
        <v>8</v>
      </c>
      <c r="B6" s="5">
        <f t="shared" ref="B6:B37" si="19">VALUE(LEFT(C6,2))</f>
        <v>11</v>
      </c>
      <c r="C6" s="151" t="s">
        <v>2007</v>
      </c>
      <c r="D6" s="6" t="s">
        <v>2006</v>
      </c>
      <c r="E6" s="5" t="s">
        <v>1452</v>
      </c>
      <c r="I6" s="5">
        <f t="shared" si="15"/>
        <v>1838</v>
      </c>
      <c r="J6" s="5">
        <f t="shared" si="16"/>
        <v>1913</v>
      </c>
      <c r="K6" s="152"/>
      <c r="L6" s="7" t="str">
        <f t="shared" si="17"/>
        <v>09/03/1838</v>
      </c>
      <c r="M6" s="8" t="s">
        <v>3294</v>
      </c>
      <c r="N6" s="5" t="s">
        <v>1797</v>
      </c>
      <c r="O6" s="158">
        <v>5016</v>
      </c>
      <c r="P6" s="190" t="s">
        <v>3455</v>
      </c>
      <c r="Q6" s="153" t="str">
        <f t="shared" si="1"/>
        <v>11</v>
      </c>
      <c r="R6" s="180">
        <f t="shared" si="18"/>
        <v>5016</v>
      </c>
      <c r="S6" s="25" t="s">
        <v>3244</v>
      </c>
      <c r="T6" s="5">
        <f t="shared" si="2"/>
        <v>3</v>
      </c>
      <c r="U6" s="5">
        <f t="shared" si="3"/>
        <v>3</v>
      </c>
      <c r="V6" s="5">
        <f>VLOOKUP(B6,'Loyd List 1-190 - Edit'!$A$2:$B$220,2,FALSE)</f>
        <v>2</v>
      </c>
      <c r="W6" s="155">
        <f t="shared" si="4"/>
        <v>1</v>
      </c>
      <c r="X6" s="105"/>
      <c r="Y6" s="105"/>
      <c r="Z6" s="164" t="s">
        <v>2387</v>
      </c>
      <c r="AA6" s="6">
        <v>18</v>
      </c>
      <c r="AB6" s="5">
        <f t="shared" si="12"/>
        <v>4</v>
      </c>
      <c r="AC6" s="5">
        <f t="shared" si="13"/>
        <v>1004</v>
      </c>
      <c r="AD6" s="97" t="str">
        <f t="shared" si="5"/>
        <v>11a</v>
      </c>
      <c r="AE6" s="5" t="str">
        <f t="shared" si="6"/>
        <v>Emma   BENYON (1838 - 1913)</v>
      </c>
      <c r="AF6" s="5" t="str">
        <f t="shared" si="7"/>
        <v>Emma BENYON (3rd &amp; 11)</v>
      </c>
      <c r="AG6" s="110" t="str">
        <f t="shared" si="8"/>
        <v>Female</v>
      </c>
      <c r="AH6" s="5" t="str">
        <f t="shared" si="9"/>
        <v>3rd</v>
      </c>
      <c r="AI6" s="5" t="str">
        <f t="shared" si="10"/>
        <v>Unmarried</v>
      </c>
      <c r="AJ6" s="105" t="str">
        <f t="shared" si="14"/>
        <v>Female. b. 09/03/1838, d. 24/09/1913. Buried at St Peter’s, Bournemouth.</v>
      </c>
      <c r="AK6" s="105" t="str">
        <f t="shared" si="11"/>
        <v>b. 09/03/1838, d. 24/09/1913.</v>
      </c>
      <c r="AQ6" s="5">
        <v>4</v>
      </c>
      <c r="AR6" s="5" t="s">
        <v>3256</v>
      </c>
      <c r="AS6" s="5" t="s">
        <v>3272</v>
      </c>
    </row>
    <row r="7" spans="1:45" s="5" customFormat="1" ht="20">
      <c r="A7" s="5">
        <f>VLOOKUP(B7,'Loyd List 1-190 - Edit'!$P$1:$R$219,3,FALSE)</f>
        <v>8</v>
      </c>
      <c r="B7" s="5">
        <f t="shared" si="19"/>
        <v>11</v>
      </c>
      <c r="C7" s="151" t="s">
        <v>2010</v>
      </c>
      <c r="D7" s="6" t="s">
        <v>2006</v>
      </c>
      <c r="E7" s="5" t="s">
        <v>998</v>
      </c>
      <c r="I7" s="5">
        <f t="shared" si="15"/>
        <v>1839</v>
      </c>
      <c r="J7" s="5">
        <f t="shared" si="16"/>
        <v>1863</v>
      </c>
      <c r="K7" s="152"/>
      <c r="L7" s="7" t="str">
        <f t="shared" si="17"/>
        <v>02/09/1839</v>
      </c>
      <c r="M7" s="8" t="s">
        <v>2008</v>
      </c>
      <c r="N7" s="5" t="s">
        <v>1797</v>
      </c>
      <c r="O7" s="7" t="s">
        <v>2009</v>
      </c>
      <c r="P7" s="181" t="str">
        <f t="shared" si="0"/>
        <v>01/05/1863</v>
      </c>
      <c r="Q7" s="153" t="str">
        <f t="shared" si="1"/>
        <v>11</v>
      </c>
      <c r="R7" s="180" t="str">
        <f t="shared" si="18"/>
        <v>01/05/1863</v>
      </c>
      <c r="S7" s="25" t="s">
        <v>3244</v>
      </c>
      <c r="T7" s="5">
        <f t="shared" si="2"/>
        <v>3</v>
      </c>
      <c r="U7" s="5">
        <f t="shared" si="3"/>
        <v>3</v>
      </c>
      <c r="V7" s="5">
        <f>VLOOKUP(B7,'Loyd List 1-190 - Edit'!$A$2:$B$220,2,FALSE)</f>
        <v>2</v>
      </c>
      <c r="W7" s="155">
        <f t="shared" si="4"/>
        <v>1</v>
      </c>
      <c r="X7" s="105"/>
      <c r="Y7" s="105"/>
      <c r="Z7" s="164" t="s">
        <v>2389</v>
      </c>
      <c r="AA7" s="6">
        <v>19</v>
      </c>
      <c r="AB7" s="5">
        <f t="shared" si="12"/>
        <v>5</v>
      </c>
      <c r="AC7" s="5">
        <f t="shared" si="13"/>
        <v>1005</v>
      </c>
      <c r="AD7" s="97" t="str">
        <f t="shared" si="5"/>
        <v>11b</v>
      </c>
      <c r="AE7" s="5" t="str">
        <f t="shared" si="6"/>
        <v>Sarah   BENYON (1839 - 1863)</v>
      </c>
      <c r="AF7" s="5" t="str">
        <f t="shared" si="7"/>
        <v>Sarah BENYON (3rd &amp; 11)</v>
      </c>
      <c r="AG7" s="110" t="str">
        <f t="shared" si="8"/>
        <v>Female</v>
      </c>
      <c r="AH7" s="5" t="str">
        <f t="shared" si="9"/>
        <v>3rd</v>
      </c>
      <c r="AI7" s="5" t="str">
        <f t="shared" si="10"/>
        <v>Unmarried</v>
      </c>
      <c r="AJ7" s="105" t="str">
        <f t="shared" si="14"/>
        <v>Female. b. 02/09/1839, d. 01/05/1863. Buried in Willesden Cemetery.</v>
      </c>
      <c r="AK7" s="105" t="str">
        <f t="shared" si="11"/>
        <v>b. 02/09/1839, d. 01/05/1863.</v>
      </c>
      <c r="AQ7" s="5">
        <v>5</v>
      </c>
      <c r="AR7" s="5" t="s">
        <v>3257</v>
      </c>
      <c r="AS7" s="5" t="s">
        <v>3273</v>
      </c>
    </row>
    <row r="8" spans="1:45" s="5" customFormat="1" ht="20">
      <c r="A8" s="5">
        <f>VLOOKUP(B8,'Loyd List 1-190 - Edit'!$P$1:$R$219,3,FALSE)</f>
        <v>8</v>
      </c>
      <c r="B8" s="5">
        <f t="shared" si="19"/>
        <v>11</v>
      </c>
      <c r="C8" s="151" t="s">
        <v>2011</v>
      </c>
      <c r="D8" s="6" t="s">
        <v>2006</v>
      </c>
      <c r="E8" s="5" t="s">
        <v>807</v>
      </c>
      <c r="I8" s="5">
        <f t="shared" si="15"/>
        <v>1841</v>
      </c>
      <c r="J8" s="5">
        <f t="shared" si="16"/>
        <v>1861</v>
      </c>
      <c r="K8" s="152"/>
      <c r="L8" s="7" t="str">
        <f t="shared" si="17"/>
        <v>15/01/1841</v>
      </c>
      <c r="M8" s="8" t="s">
        <v>2013</v>
      </c>
      <c r="N8" s="5" t="s">
        <v>1797</v>
      </c>
      <c r="O8" s="7" t="s">
        <v>2014</v>
      </c>
      <c r="P8" s="181" t="str">
        <f t="shared" si="0"/>
        <v>01/03/1861</v>
      </c>
      <c r="Q8" s="153" t="str">
        <f t="shared" si="1"/>
        <v>11</v>
      </c>
      <c r="R8" s="180" t="str">
        <f t="shared" si="18"/>
        <v>01/03/1861</v>
      </c>
      <c r="S8" s="25" t="s">
        <v>3245</v>
      </c>
      <c r="T8" s="5">
        <f t="shared" si="2"/>
        <v>3</v>
      </c>
      <c r="U8" s="5">
        <f t="shared" si="3"/>
        <v>3</v>
      </c>
      <c r="V8" s="5">
        <f>VLOOKUP(B8,'Loyd List 1-190 - Edit'!$A$2:$B$220,2,FALSE)</f>
        <v>2</v>
      </c>
      <c r="W8" s="155">
        <f t="shared" si="4"/>
        <v>1</v>
      </c>
      <c r="X8" s="105"/>
      <c r="Y8" s="105"/>
      <c r="Z8" s="164" t="s">
        <v>2387</v>
      </c>
      <c r="AA8" s="6">
        <v>20</v>
      </c>
      <c r="AB8" s="5">
        <f t="shared" si="12"/>
        <v>6</v>
      </c>
      <c r="AC8" s="5">
        <f t="shared" si="13"/>
        <v>1006</v>
      </c>
      <c r="AD8" s="97" t="str">
        <f t="shared" si="5"/>
        <v>11c</v>
      </c>
      <c r="AE8" s="5" t="str">
        <f t="shared" si="6"/>
        <v>Henry   BENYON (1841 - 1861)</v>
      </c>
      <c r="AF8" s="5" t="str">
        <f t="shared" si="7"/>
        <v>Henry BENYON (3rd &amp; 11)</v>
      </c>
      <c r="AG8" s="110" t="str">
        <f t="shared" si="8"/>
        <v>Male</v>
      </c>
      <c r="AH8" s="5" t="str">
        <f t="shared" si="9"/>
        <v>3rd</v>
      </c>
      <c r="AI8" s="5" t="str">
        <f t="shared" si="10"/>
        <v>Unmarried</v>
      </c>
      <c r="AJ8" s="105" t="str">
        <f t="shared" si="14"/>
        <v>Male. b. 15/01/1841, d. 01/03/1861. Buried at St Peter’s, Bournemouth.</v>
      </c>
      <c r="AK8" s="105" t="str">
        <f t="shared" si="11"/>
        <v>b. 15/01/1841, d. 01/03/1861.</v>
      </c>
      <c r="AQ8" s="5">
        <v>6</v>
      </c>
      <c r="AR8" s="5" t="s">
        <v>3258</v>
      </c>
      <c r="AS8" s="5" t="s">
        <v>3274</v>
      </c>
    </row>
    <row r="9" spans="1:45" s="5" customFormat="1" ht="20">
      <c r="A9" s="5">
        <f>VLOOKUP(B9,'Loyd List 1-190 - Edit'!$P$1:$R$219,3,FALSE)</f>
        <v>8</v>
      </c>
      <c r="B9" s="5">
        <f t="shared" si="19"/>
        <v>11</v>
      </c>
      <c r="C9" s="151" t="s">
        <v>2012</v>
      </c>
      <c r="D9" s="6" t="s">
        <v>2006</v>
      </c>
      <c r="E9" s="5" t="s">
        <v>2015</v>
      </c>
      <c r="I9" s="5">
        <f t="shared" si="15"/>
        <v>1842</v>
      </c>
      <c r="J9" s="5">
        <f t="shared" si="16"/>
        <v>1845</v>
      </c>
      <c r="K9" s="152"/>
      <c r="L9" s="7" t="str">
        <f t="shared" si="17"/>
        <v>02/02/1842</v>
      </c>
      <c r="M9" s="8" t="s">
        <v>2016</v>
      </c>
      <c r="N9" s="5" t="s">
        <v>1797</v>
      </c>
      <c r="O9" s="7" t="s">
        <v>2017</v>
      </c>
      <c r="P9" s="181" t="str">
        <f t="shared" si="0"/>
        <v>30/01/1845</v>
      </c>
      <c r="Q9" s="153" t="str">
        <f t="shared" si="1"/>
        <v>11</v>
      </c>
      <c r="R9" s="180" t="str">
        <f t="shared" si="18"/>
        <v>30/01/1845</v>
      </c>
      <c r="S9" s="25" t="s">
        <v>3244</v>
      </c>
      <c r="T9" s="5">
        <f t="shared" si="2"/>
        <v>3</v>
      </c>
      <c r="U9" s="5">
        <f t="shared" si="3"/>
        <v>3</v>
      </c>
      <c r="V9" s="5">
        <f>VLOOKUP(B9,'Loyd List 1-190 - Edit'!$A$2:$B$220,2,FALSE)</f>
        <v>2</v>
      </c>
      <c r="W9" s="155">
        <f t="shared" si="4"/>
        <v>1</v>
      </c>
      <c r="X9" s="105"/>
      <c r="Y9" s="105"/>
      <c r="Z9" s="164" t="s">
        <v>2390</v>
      </c>
      <c r="AA9" s="6">
        <v>21</v>
      </c>
      <c r="AB9" s="5">
        <f t="shared" si="12"/>
        <v>7</v>
      </c>
      <c r="AC9" s="5">
        <f t="shared" si="13"/>
        <v>1007</v>
      </c>
      <c r="AD9" s="97" t="str">
        <f t="shared" si="5"/>
        <v>11d</v>
      </c>
      <c r="AE9" s="5" t="str">
        <f t="shared" si="6"/>
        <v>Fanny   BENYON (1842 - 1845)</v>
      </c>
      <c r="AF9" s="5" t="str">
        <f t="shared" si="7"/>
        <v>Fanny BENYON (3rd &amp; 11)</v>
      </c>
      <c r="AG9" s="110" t="str">
        <f t="shared" si="8"/>
        <v>Female</v>
      </c>
      <c r="AH9" s="5" t="str">
        <f t="shared" si="9"/>
        <v>3rd</v>
      </c>
      <c r="AI9" s="5" t="str">
        <f t="shared" si="10"/>
        <v>Unmarried</v>
      </c>
      <c r="AJ9" s="105" t="str">
        <f t="shared" si="14"/>
        <v>Female. b. 02/02/1842, d. 30/01/1845. Buried in a vault at Roundhay Church.</v>
      </c>
      <c r="AK9" s="105" t="str">
        <f t="shared" si="11"/>
        <v>b. 02/02/1842, d. 30/01/1845.</v>
      </c>
      <c r="AQ9" s="5">
        <v>7</v>
      </c>
      <c r="AR9" s="5" t="s">
        <v>3259</v>
      </c>
      <c r="AS9" s="5" t="s">
        <v>3275</v>
      </c>
    </row>
    <row r="10" spans="1:45" s="5" customFormat="1" ht="52">
      <c r="A10" s="5">
        <f>VLOOKUP(B10,'Loyd List 1-190 - Edit'!$P$1:$R$219,3,FALSE)</f>
        <v>8</v>
      </c>
      <c r="B10" s="5">
        <f t="shared" si="19"/>
        <v>11</v>
      </c>
      <c r="C10" s="151" t="s">
        <v>2020</v>
      </c>
      <c r="D10" s="6" t="s">
        <v>2006</v>
      </c>
      <c r="E10" s="5" t="s">
        <v>811</v>
      </c>
      <c r="F10" s="5" t="s">
        <v>1497</v>
      </c>
      <c r="I10" s="5">
        <f t="shared" si="15"/>
        <v>1845</v>
      </c>
      <c r="J10" s="5">
        <f t="shared" si="16"/>
        <v>1903</v>
      </c>
      <c r="K10" s="152"/>
      <c r="L10" s="7" t="str">
        <f t="shared" si="17"/>
        <v>25/11/1845</v>
      </c>
      <c r="M10" s="8" t="s">
        <v>2018</v>
      </c>
      <c r="N10" s="5" t="s">
        <v>2019</v>
      </c>
      <c r="O10" s="158">
        <v>1103</v>
      </c>
      <c r="P10" s="190" t="s">
        <v>3456</v>
      </c>
      <c r="Q10" s="153" t="str">
        <f t="shared" si="1"/>
        <v>11</v>
      </c>
      <c r="R10" s="180">
        <f t="shared" si="18"/>
        <v>1103</v>
      </c>
      <c r="S10" s="25" t="s">
        <v>3245</v>
      </c>
      <c r="T10" s="5">
        <f t="shared" si="2"/>
        <v>3</v>
      </c>
      <c r="U10" s="5">
        <f t="shared" si="3"/>
        <v>3</v>
      </c>
      <c r="V10" s="5">
        <f>VLOOKUP(B10,'Loyd List 1-190 - Edit'!$A$2:$B$220,2,FALSE)</f>
        <v>2</v>
      </c>
      <c r="W10" s="155">
        <f t="shared" si="4"/>
        <v>1</v>
      </c>
      <c r="X10" s="105" t="s">
        <v>2393</v>
      </c>
      <c r="Y10" s="165" t="s">
        <v>2820</v>
      </c>
      <c r="Z10" s="164" t="s">
        <v>3454</v>
      </c>
      <c r="AA10" s="6">
        <v>22</v>
      </c>
      <c r="AB10" s="5">
        <f t="shared" si="12"/>
        <v>8</v>
      </c>
      <c r="AC10" s="5">
        <f t="shared" si="13"/>
        <v>1008</v>
      </c>
      <c r="AD10" s="97" t="str">
        <f t="shared" si="5"/>
        <v>11e</v>
      </c>
      <c r="AE10" s="5" t="str">
        <f t="shared" si="6"/>
        <v>Edward Loyd  BENYON (1845 - 1903)</v>
      </c>
      <c r="AF10" s="5" t="str">
        <f t="shared" si="7"/>
        <v>Edward BENYON (3rd &amp; 11)</v>
      </c>
      <c r="AG10" s="110" t="str">
        <f t="shared" si="8"/>
        <v>Male</v>
      </c>
      <c r="AH10" s="5" t="str">
        <f t="shared" si="9"/>
        <v>3rd</v>
      </c>
      <c r="AI10" s="5" t="str">
        <f t="shared" si="10"/>
        <v>Wife: Mrs Sarah Amelia PARFITT (b. 11/11/1837, 08/03/1906) widow of William PARFITT. Sarah Parfitt was the widow of William Parfitt</v>
      </c>
      <c r="AJ10" s="105" t="str">
        <f t="shared" si="14"/>
        <v>Male. b. 25/11/1845, d. 07/01/1903. Edward and Sarah buried together in Feltham Cemetery. d. 8 Mar 1906.</v>
      </c>
      <c r="AK10" s="105" t="str">
        <f t="shared" si="11"/>
        <v>b. 25/11/1845, d. 07/01/1903.</v>
      </c>
      <c r="AQ10" s="5">
        <v>8</v>
      </c>
      <c r="AR10" s="5" t="s">
        <v>3260</v>
      </c>
      <c r="AS10" s="5" t="s">
        <v>3276</v>
      </c>
    </row>
    <row r="11" spans="1:45" s="5" customFormat="1" ht="20">
      <c r="A11" s="5">
        <f>VLOOKUP(B11,'Loyd List 1-190 - Edit'!$P$1:$R$219,3,FALSE)</f>
        <v>8</v>
      </c>
      <c r="B11" s="5">
        <f t="shared" si="19"/>
        <v>18</v>
      </c>
      <c r="C11" s="151" t="s">
        <v>2026</v>
      </c>
      <c r="D11" s="6" t="s">
        <v>2022</v>
      </c>
      <c r="E11" s="5" t="s">
        <v>882</v>
      </c>
      <c r="F11" s="5" t="s">
        <v>2023</v>
      </c>
      <c r="I11" s="5">
        <f t="shared" si="15"/>
        <v>1844</v>
      </c>
      <c r="J11" s="5">
        <f t="shared" si="16"/>
        <v>1927</v>
      </c>
      <c r="K11" s="152"/>
      <c r="L11" s="7" t="str">
        <f t="shared" si="17"/>
        <v>15/12/1844</v>
      </c>
      <c r="M11" s="8" t="s">
        <v>2025</v>
      </c>
      <c r="N11" s="5" t="s">
        <v>1797</v>
      </c>
      <c r="O11" s="7">
        <v>10173</v>
      </c>
      <c r="P11" s="181" t="str">
        <f t="shared" si="0"/>
        <v>07/11/1927</v>
      </c>
      <c r="Q11" s="153" t="str">
        <f t="shared" si="1"/>
        <v>18</v>
      </c>
      <c r="R11" s="180" t="str">
        <f t="shared" si="18"/>
        <v>07/11/1927</v>
      </c>
      <c r="S11" s="25" t="s">
        <v>3244</v>
      </c>
      <c r="T11" s="5">
        <f t="shared" si="2"/>
        <v>3</v>
      </c>
      <c r="U11" s="5">
        <f t="shared" si="3"/>
        <v>3</v>
      </c>
      <c r="V11" s="5">
        <f>VLOOKUP(B11,'Loyd List 1-190 - Edit'!$A$2:$B$220,2,FALSE)</f>
        <v>2</v>
      </c>
      <c r="W11" s="155">
        <f t="shared" si="4"/>
        <v>1</v>
      </c>
      <c r="X11" s="105"/>
      <c r="Y11" s="105"/>
      <c r="Z11" s="164" t="s">
        <v>2395</v>
      </c>
      <c r="AA11" s="6">
        <v>23</v>
      </c>
      <c r="AB11" s="5">
        <f t="shared" si="12"/>
        <v>9</v>
      </c>
      <c r="AC11" s="5">
        <f t="shared" si="13"/>
        <v>1009</v>
      </c>
      <c r="AD11" s="97" t="str">
        <f t="shared" si="5"/>
        <v>18a</v>
      </c>
      <c r="AE11" s="5" t="str">
        <f t="shared" si="6"/>
        <v>Margaret Dyce  NICOL (1844 - 1927)</v>
      </c>
      <c r="AF11" s="5" t="str">
        <f t="shared" si="7"/>
        <v>Margaret NICOL (3rd &amp; 18)</v>
      </c>
      <c r="AG11" s="110" t="str">
        <f t="shared" si="8"/>
        <v>Female</v>
      </c>
      <c r="AH11" s="5" t="str">
        <f t="shared" si="9"/>
        <v>3rd</v>
      </c>
      <c r="AI11" s="5" t="str">
        <f t="shared" si="10"/>
        <v>Unmarried</v>
      </c>
      <c r="AJ11" s="105" t="str">
        <f t="shared" si="14"/>
        <v>Female. b. 15/12/1844, d. 07/11/1927. Buried at Brookwood.</v>
      </c>
      <c r="AK11" s="105" t="str">
        <f t="shared" si="11"/>
        <v>b. 15/12/1844, d. 07/11/1927.</v>
      </c>
    </row>
    <row r="12" spans="1:45" s="5" customFormat="1" ht="35">
      <c r="A12" s="5">
        <f>VLOOKUP(B12,'Loyd List 1-190 - Edit'!$P$1:$R$219,3,FALSE)</f>
        <v>8</v>
      </c>
      <c r="B12" s="5">
        <f t="shared" si="19"/>
        <v>18</v>
      </c>
      <c r="C12" s="151" t="s">
        <v>2029</v>
      </c>
      <c r="D12" s="6" t="s">
        <v>2022</v>
      </c>
      <c r="E12" s="5" t="s">
        <v>830</v>
      </c>
      <c r="F12" s="5" t="s">
        <v>811</v>
      </c>
      <c r="I12" s="5">
        <f t="shared" si="15"/>
        <v>1846</v>
      </c>
      <c r="J12" s="5">
        <f t="shared" si="16"/>
        <v>1914</v>
      </c>
      <c r="K12" s="152"/>
      <c r="L12" s="7" t="str">
        <f t="shared" si="17"/>
        <v>02/11/1846</v>
      </c>
      <c r="M12" s="8" t="s">
        <v>2027</v>
      </c>
      <c r="N12" s="5" t="s">
        <v>2028</v>
      </c>
      <c r="O12" s="7">
        <v>5345</v>
      </c>
      <c r="P12" s="190" t="s">
        <v>3457</v>
      </c>
      <c r="Q12" s="153" t="str">
        <f t="shared" si="1"/>
        <v>18</v>
      </c>
      <c r="R12" s="180">
        <f t="shared" si="18"/>
        <v>5345</v>
      </c>
      <c r="S12" s="25" t="s">
        <v>3245</v>
      </c>
      <c r="T12" s="5">
        <f t="shared" si="2"/>
        <v>3</v>
      </c>
      <c r="U12" s="5">
        <f t="shared" si="3"/>
        <v>3</v>
      </c>
      <c r="V12" s="5">
        <f>VLOOKUP(B12,'Loyd List 1-190 - Edit'!$A$2:$B$220,2,FALSE)</f>
        <v>2</v>
      </c>
      <c r="W12" s="155">
        <f t="shared" si="4"/>
        <v>1</v>
      </c>
      <c r="X12" s="105" t="s">
        <v>2396</v>
      </c>
      <c r="Y12" s="105" t="s">
        <v>2397</v>
      </c>
      <c r="Z12" s="164" t="s">
        <v>3708</v>
      </c>
      <c r="AA12" s="6">
        <v>24</v>
      </c>
      <c r="AB12" s="5">
        <f t="shared" si="12"/>
        <v>10</v>
      </c>
      <c r="AC12" s="5">
        <f t="shared" si="13"/>
        <v>1010</v>
      </c>
      <c r="AD12" s="97" t="str">
        <f t="shared" si="5"/>
        <v>18b</v>
      </c>
      <c r="AE12" s="5" t="str">
        <f t="shared" si="6"/>
        <v>William Edward  NICOL (1846 - 1914)</v>
      </c>
      <c r="AF12" s="5" t="str">
        <f t="shared" si="7"/>
        <v>William NICOL (3rd &amp; 18)</v>
      </c>
      <c r="AG12" s="110" t="str">
        <f t="shared" si="8"/>
        <v>Male</v>
      </c>
      <c r="AH12" s="5" t="str">
        <f t="shared" si="9"/>
        <v>3rd</v>
      </c>
      <c r="AI12" s="5" t="str">
        <f t="shared" si="10"/>
        <v>Wife: Catherine Nicol Lewis PROUT (b. 04/03/1848, d. 18/12/1914). Catherine born in London.</v>
      </c>
      <c r="AJ12" s="105" t="str">
        <f t="shared" si="14"/>
        <v>Male. b. 02/11/1846, d. 19/08/1914. Died at Ballogie. Buried at Christ Church, Kincardine O’Neil. Aberdeenshire.</v>
      </c>
      <c r="AK12" s="105" t="str">
        <f t="shared" si="11"/>
        <v>b. 02/11/1846, d. 19/08/1914.</v>
      </c>
    </row>
    <row r="13" spans="1:45" s="5" customFormat="1" ht="52">
      <c r="A13" s="5">
        <f>VLOOKUP(B13,'Loyd List 1-190 - Edit'!$P$1:$R$219,3,FALSE)</f>
        <v>8</v>
      </c>
      <c r="B13" s="5">
        <f t="shared" si="19"/>
        <v>18</v>
      </c>
      <c r="C13" s="151" t="s">
        <v>2098</v>
      </c>
      <c r="D13" s="6" t="s">
        <v>2022</v>
      </c>
      <c r="E13" s="5" t="s">
        <v>918</v>
      </c>
      <c r="F13" s="5" t="s">
        <v>2023</v>
      </c>
      <c r="I13" s="5">
        <f t="shared" si="15"/>
        <v>1848</v>
      </c>
      <c r="J13" s="5">
        <f t="shared" si="16"/>
        <v>1938</v>
      </c>
      <c r="K13" s="152"/>
      <c r="L13" s="7" t="str">
        <f t="shared" si="17"/>
        <v>30/06/1848</v>
      </c>
      <c r="M13" s="8" t="s">
        <v>2096</v>
      </c>
      <c r="N13" s="5" t="s">
        <v>2097</v>
      </c>
      <c r="O13" s="7">
        <v>14158</v>
      </c>
      <c r="P13" s="181" t="str">
        <f t="shared" si="0"/>
        <v>05/10/1938</v>
      </c>
      <c r="Q13" s="153" t="str">
        <f t="shared" si="1"/>
        <v>18</v>
      </c>
      <c r="R13" s="180" t="str">
        <f t="shared" si="18"/>
        <v>05/10/1938</v>
      </c>
      <c r="S13" s="25" t="s">
        <v>3245</v>
      </c>
      <c r="T13" s="5">
        <f t="shared" si="2"/>
        <v>3</v>
      </c>
      <c r="U13" s="5">
        <f t="shared" si="3"/>
        <v>3</v>
      </c>
      <c r="V13" s="5">
        <f>VLOOKUP(B13,'Loyd List 1-190 - Edit'!$A$2:$B$220,2,FALSE)</f>
        <v>2</v>
      </c>
      <c r="W13" s="155">
        <f t="shared" si="4"/>
        <v>1</v>
      </c>
      <c r="X13" s="105" t="s">
        <v>2436</v>
      </c>
      <c r="Y13" s="105" t="s">
        <v>2437</v>
      </c>
      <c r="Z13" s="105" t="s">
        <v>4321</v>
      </c>
      <c r="AA13" s="6">
        <v>58</v>
      </c>
      <c r="AB13" s="5">
        <f t="shared" si="12"/>
        <v>11</v>
      </c>
      <c r="AC13" s="5">
        <f t="shared" si="13"/>
        <v>1011</v>
      </c>
      <c r="AD13" s="97" t="str">
        <f t="shared" si="5"/>
        <v>18c</v>
      </c>
      <c r="AE13" s="5" t="str">
        <f t="shared" si="6"/>
        <v>James Dyce  NICOL (1848 - 1938)</v>
      </c>
      <c r="AF13" s="5" t="str">
        <f t="shared" si="7"/>
        <v>James NICOL (3rd &amp; 18)</v>
      </c>
      <c r="AG13" s="110" t="str">
        <f t="shared" si="8"/>
        <v>Male</v>
      </c>
      <c r="AH13" s="5" t="str">
        <f t="shared" si="9"/>
        <v>3rd</v>
      </c>
      <c r="AI13" s="5" t="str">
        <f t="shared" si="10"/>
        <v>Wife: (1) Alice Maud WARDEN (d. 27/01/1930 buried at Aboyne).. (2) Eveleyn May MITCHELL of Sauchrie (d. 07/04/1945).</v>
      </c>
      <c r="AJ13" s="105" t="str">
        <f t="shared" si="14"/>
        <v>Male. b. 30/06/1848, d. 05/10/1938. DSP 5 Oct 1938, buried at St Thomas’s, Aboyne, Aberdeenshire.</v>
      </c>
      <c r="AK13" s="105" t="str">
        <f t="shared" si="11"/>
        <v>b. 30/06/1848, d. 05/10/1938.</v>
      </c>
    </row>
    <row r="14" spans="1:45" s="5" customFormat="1" ht="34">
      <c r="A14" s="5">
        <f>VLOOKUP(B14,'Loyd List 1-190 - Edit'!$P$1:$R$219,3,FALSE)</f>
        <v>8</v>
      </c>
      <c r="B14" s="5">
        <f t="shared" si="19"/>
        <v>18</v>
      </c>
      <c r="C14" s="151" t="s">
        <v>2094</v>
      </c>
      <c r="D14" s="6" t="s">
        <v>2022</v>
      </c>
      <c r="E14" s="5" t="s">
        <v>998</v>
      </c>
      <c r="F14" s="5" t="s">
        <v>1497</v>
      </c>
      <c r="I14" s="5">
        <f t="shared" si="15"/>
        <v>1854</v>
      </c>
      <c r="J14" s="5">
        <f t="shared" si="16"/>
        <v>1943</v>
      </c>
      <c r="K14" s="152"/>
      <c r="L14" s="7" t="str">
        <f t="shared" si="17"/>
        <v>23/05/1854</v>
      </c>
      <c r="M14" s="8" t="s">
        <v>2095</v>
      </c>
      <c r="O14" s="7">
        <v>15875</v>
      </c>
      <c r="P14" s="181" t="str">
        <f t="shared" si="0"/>
        <v>18/06/1943</v>
      </c>
      <c r="Q14" s="153" t="str">
        <f t="shared" si="1"/>
        <v>18</v>
      </c>
      <c r="R14" s="180" t="str">
        <f t="shared" si="18"/>
        <v>18/06/1943</v>
      </c>
      <c r="S14" s="25" t="s">
        <v>3244</v>
      </c>
      <c r="T14" s="5">
        <f t="shared" si="2"/>
        <v>3</v>
      </c>
      <c r="U14" s="5">
        <f t="shared" si="3"/>
        <v>3</v>
      </c>
      <c r="V14" s="5">
        <f>VLOOKUP(B14,'Loyd List 1-190 - Edit'!$A$2:$B$220,2,FALSE)</f>
        <v>2</v>
      </c>
      <c r="W14" s="155">
        <f t="shared" si="4"/>
        <v>1</v>
      </c>
      <c r="X14" s="105"/>
      <c r="Y14" s="105"/>
      <c r="Z14" s="105" t="s">
        <v>3709</v>
      </c>
      <c r="AA14" s="6">
        <v>59</v>
      </c>
      <c r="AB14" s="5">
        <f t="shared" si="12"/>
        <v>12</v>
      </c>
      <c r="AC14" s="5">
        <f t="shared" si="13"/>
        <v>1012</v>
      </c>
      <c r="AD14" s="97" t="str">
        <f t="shared" si="5"/>
        <v>18d</v>
      </c>
      <c r="AE14" s="5" t="str">
        <f t="shared" si="6"/>
        <v>Sarah Loyd  NICOL (1854 - 1943)</v>
      </c>
      <c r="AF14" s="5" t="str">
        <f t="shared" si="7"/>
        <v>Sarah NICOL (3rd &amp; 18)</v>
      </c>
      <c r="AG14" s="110" t="str">
        <f t="shared" si="8"/>
        <v>Female</v>
      </c>
      <c r="AH14" s="5" t="str">
        <f t="shared" si="9"/>
        <v>3rd</v>
      </c>
      <c r="AI14" s="5" t="str">
        <f t="shared" si="10"/>
        <v>Unmarried</v>
      </c>
      <c r="AJ14" s="105" t="str">
        <f t="shared" si="14"/>
        <v>Female. b. 23/05/1854, d. 18/06/1943. Died at Tunbridge Wells, Kent. Buried at Brookwood.</v>
      </c>
      <c r="AK14" s="105" t="str">
        <f t="shared" si="11"/>
        <v>b. 23/05/1854, d. 18/06/1943.</v>
      </c>
    </row>
    <row r="15" spans="1:45" s="5" customFormat="1" ht="51">
      <c r="A15" s="5">
        <f>VLOOKUP(B15,'Loyd List 1-190 - Edit'!$P$1:$R$219,3,FALSE)</f>
        <v>8</v>
      </c>
      <c r="B15" s="5">
        <f t="shared" si="19"/>
        <v>18</v>
      </c>
      <c r="C15" s="151" t="s">
        <v>2101</v>
      </c>
      <c r="D15" s="6" t="s">
        <v>2022</v>
      </c>
      <c r="E15" s="5" t="s">
        <v>914</v>
      </c>
      <c r="F15" s="5" t="s">
        <v>1497</v>
      </c>
      <c r="I15" s="5">
        <f t="shared" si="15"/>
        <v>1858</v>
      </c>
      <c r="J15" s="5">
        <f t="shared" si="16"/>
        <v>1935</v>
      </c>
      <c r="K15" s="152"/>
      <c r="L15" s="7" t="str">
        <f t="shared" si="17"/>
        <v>10/04/1858</v>
      </c>
      <c r="M15" s="8" t="s">
        <v>2099</v>
      </c>
      <c r="N15" s="7" t="s">
        <v>2100</v>
      </c>
      <c r="O15" s="7">
        <v>12925</v>
      </c>
      <c r="P15" s="181" t="str">
        <f t="shared" si="0"/>
        <v>21/05/1935</v>
      </c>
      <c r="Q15" s="153" t="str">
        <f t="shared" si="1"/>
        <v>18</v>
      </c>
      <c r="R15" s="180" t="str">
        <f t="shared" si="18"/>
        <v>21/05/1935</v>
      </c>
      <c r="S15" s="25" t="s">
        <v>3245</v>
      </c>
      <c r="T15" s="5">
        <f t="shared" si="2"/>
        <v>3</v>
      </c>
      <c r="U15" s="5">
        <f t="shared" si="3"/>
        <v>3</v>
      </c>
      <c r="V15" s="5">
        <f>VLOOKUP(B15,'Loyd List 1-190 - Edit'!$A$2:$B$220,2,FALSE)</f>
        <v>2</v>
      </c>
      <c r="W15" s="155">
        <f t="shared" si="4"/>
        <v>1</v>
      </c>
      <c r="X15" s="105" t="s">
        <v>2102</v>
      </c>
      <c r="Y15" s="105" t="s">
        <v>2439</v>
      </c>
      <c r="Z15" s="164" t="s">
        <v>3710</v>
      </c>
      <c r="AA15" s="6">
        <v>60</v>
      </c>
      <c r="AB15" s="5">
        <f t="shared" si="12"/>
        <v>13</v>
      </c>
      <c r="AC15" s="5">
        <f t="shared" si="13"/>
        <v>1013</v>
      </c>
      <c r="AD15" s="97" t="str">
        <f t="shared" si="5"/>
        <v>18e</v>
      </c>
      <c r="AE15" s="5" t="str">
        <f t="shared" si="6"/>
        <v>Lewis Loyd  NICOL (1858 - 1935)</v>
      </c>
      <c r="AF15" s="5" t="str">
        <f t="shared" si="7"/>
        <v>Lewis NICOL (3rd &amp; 18)</v>
      </c>
      <c r="AG15" s="110" t="str">
        <f t="shared" si="8"/>
        <v>Male</v>
      </c>
      <c r="AH15" s="5" t="str">
        <f t="shared" si="9"/>
        <v>3rd</v>
      </c>
      <c r="AI15" s="5" t="str">
        <f t="shared" si="10"/>
        <v>Wife: Agnes FREELING (d. 18/12/1914). Eldest daughter of Sir Sandford FREELING KCMG.</v>
      </c>
      <c r="AJ15" s="105" t="str">
        <f t="shared" si="14"/>
        <v>Male. b. 10/04/1858, d. 21/05/1935. Educated Harrow. Served in World War I 1915-16. Served Gallipoli and Salonika. Commanded 30th Brigade, 10th [Irish Division]. Colonel 3 Bn The Rifle Bde. CBE 1916. Brig General. Died at St Jean de Luz.</v>
      </c>
      <c r="AK15" s="105" t="str">
        <f t="shared" si="11"/>
        <v>b. 10/04/1858, d. 21/05/1935.</v>
      </c>
    </row>
    <row r="16" spans="1:45" s="5" customFormat="1" ht="20">
      <c r="A16" s="5">
        <f>VLOOKUP(B16,'Loyd List 1-190 - Edit'!$P$1:$R$219,3,FALSE)</f>
        <v>8</v>
      </c>
      <c r="B16" s="5">
        <f t="shared" si="19"/>
        <v>19</v>
      </c>
      <c r="C16" s="151" t="s">
        <v>2114</v>
      </c>
      <c r="D16" s="6" t="s">
        <v>2109</v>
      </c>
      <c r="E16" s="5" t="s">
        <v>830</v>
      </c>
      <c r="I16" s="5">
        <f t="shared" si="15"/>
        <v>1839</v>
      </c>
      <c r="J16" s="5">
        <f t="shared" si="16"/>
        <v>1860</v>
      </c>
      <c r="K16" s="152"/>
      <c r="L16" s="7" t="str">
        <f t="shared" si="17"/>
        <v>14/05/1839</v>
      </c>
      <c r="M16" s="8" t="s">
        <v>2110</v>
      </c>
      <c r="N16" s="5" t="s">
        <v>1797</v>
      </c>
      <c r="O16" s="7" t="s">
        <v>2111</v>
      </c>
      <c r="P16" s="181" t="str">
        <f t="shared" si="0"/>
        <v>27/08/1860</v>
      </c>
      <c r="Q16" s="153" t="str">
        <f t="shared" si="1"/>
        <v>19</v>
      </c>
      <c r="R16" s="180" t="str">
        <f t="shared" si="18"/>
        <v>27/08/1860</v>
      </c>
      <c r="S16" s="25" t="s">
        <v>3245</v>
      </c>
      <c r="T16" s="5">
        <f t="shared" si="2"/>
        <v>3</v>
      </c>
      <c r="U16" s="5">
        <f t="shared" si="3"/>
        <v>3</v>
      </c>
      <c r="V16" s="5">
        <f>VLOOKUP(B16,'Loyd List 1-190 - Edit'!$A$2:$B$220,2,FALSE)</f>
        <v>2</v>
      </c>
      <c r="W16" s="155">
        <f t="shared" si="4"/>
        <v>1</v>
      </c>
      <c r="X16" s="105"/>
      <c r="Y16" s="105"/>
      <c r="Z16" s="164"/>
      <c r="AA16" s="6">
        <v>63</v>
      </c>
      <c r="AB16" s="5">
        <f t="shared" si="12"/>
        <v>14</v>
      </c>
      <c r="AC16" s="5">
        <f t="shared" si="13"/>
        <v>1014</v>
      </c>
      <c r="AD16" s="97" t="str">
        <f t="shared" si="5"/>
        <v>19a</v>
      </c>
      <c r="AE16" s="5" t="str">
        <f t="shared" si="6"/>
        <v>William   ENTWISLE (1839 - 1860)</v>
      </c>
      <c r="AF16" s="5" t="str">
        <f t="shared" si="7"/>
        <v>William ENTWISLE (3rd &amp; 19)</v>
      </c>
      <c r="AG16" s="110" t="str">
        <f t="shared" si="8"/>
        <v>Male</v>
      </c>
      <c r="AH16" s="5" t="str">
        <f t="shared" si="9"/>
        <v>3rd</v>
      </c>
      <c r="AI16" s="5" t="str">
        <f t="shared" si="10"/>
        <v>Unmarried</v>
      </c>
      <c r="AJ16" s="105" t="str">
        <f t="shared" si="14"/>
        <v>Male. b. 14/05/1839, d. 27/08/1860.</v>
      </c>
      <c r="AK16" s="105" t="str">
        <f t="shared" si="11"/>
        <v>b. 14/05/1839, d. 27/08/1860.</v>
      </c>
    </row>
    <row r="17" spans="1:37" s="5" customFormat="1" ht="20">
      <c r="A17" s="5">
        <f>VLOOKUP(B17,'Loyd List 1-190 - Edit'!$P$1:$R$219,3,FALSE)</f>
        <v>8</v>
      </c>
      <c r="B17" s="5">
        <f t="shared" si="19"/>
        <v>19</v>
      </c>
      <c r="C17" s="151" t="s">
        <v>2115</v>
      </c>
      <c r="D17" s="6" t="s">
        <v>2109</v>
      </c>
      <c r="E17" s="5" t="s">
        <v>928</v>
      </c>
      <c r="I17" s="5">
        <f t="shared" si="15"/>
        <v>1840</v>
      </c>
      <c r="J17" s="5">
        <f t="shared" si="16"/>
        <v>1894</v>
      </c>
      <c r="K17" s="152"/>
      <c r="L17" s="7" t="str">
        <f t="shared" si="17"/>
        <v>02/10/1840</v>
      </c>
      <c r="M17" s="8" t="s">
        <v>2112</v>
      </c>
      <c r="N17" s="5" t="s">
        <v>1797</v>
      </c>
      <c r="O17" s="7" t="s">
        <v>4341</v>
      </c>
      <c r="P17" s="181" t="str">
        <f t="shared" si="0"/>
        <v>04/10/1894</v>
      </c>
      <c r="Q17" s="153" t="str">
        <f t="shared" si="1"/>
        <v>19</v>
      </c>
      <c r="R17" s="180" t="str">
        <f t="shared" si="18"/>
        <v>04/10/1894</v>
      </c>
      <c r="S17" s="25" t="s">
        <v>3245</v>
      </c>
      <c r="T17" s="5">
        <f t="shared" si="2"/>
        <v>3</v>
      </c>
      <c r="U17" s="5">
        <f t="shared" si="3"/>
        <v>3</v>
      </c>
      <c r="V17" s="5">
        <f>VLOOKUP(B17,'Loyd List 1-190 - Edit'!$A$2:$B$220,2,FALSE)</f>
        <v>2</v>
      </c>
      <c r="W17" s="155">
        <f t="shared" si="4"/>
        <v>1</v>
      </c>
      <c r="X17" s="105"/>
      <c r="Y17" s="105"/>
      <c r="Z17" s="164"/>
      <c r="AA17" s="6">
        <v>64</v>
      </c>
      <c r="AB17" s="5">
        <f t="shared" si="12"/>
        <v>15</v>
      </c>
      <c r="AC17" s="5">
        <f t="shared" si="13"/>
        <v>1015</v>
      </c>
      <c r="AD17" s="97" t="str">
        <f t="shared" si="5"/>
        <v>19b</v>
      </c>
      <c r="AE17" s="5" t="str">
        <f t="shared" si="6"/>
        <v>Richard   ENTWISLE (1840 - 1894)</v>
      </c>
      <c r="AF17" s="5" t="str">
        <f t="shared" si="7"/>
        <v>Richard ENTWISLE (3rd &amp; 19)</v>
      </c>
      <c r="AG17" s="110" t="str">
        <f t="shared" si="8"/>
        <v>Male</v>
      </c>
      <c r="AH17" s="5" t="str">
        <f t="shared" si="9"/>
        <v>3rd</v>
      </c>
      <c r="AI17" s="5" t="str">
        <f t="shared" si="10"/>
        <v>Unmarried</v>
      </c>
      <c r="AJ17" s="105" t="str">
        <f t="shared" si="14"/>
        <v>Male. b. 02/10/1840, d. 04/10/1894.</v>
      </c>
      <c r="AK17" s="105" t="str">
        <f t="shared" si="11"/>
        <v>b. 02/10/1840, d. 04/10/1894.</v>
      </c>
    </row>
    <row r="18" spans="1:37" s="5" customFormat="1" ht="20">
      <c r="A18" s="5">
        <f>VLOOKUP(B18,'Loyd List 1-190 - Edit'!$P$1:$R$219,3,FALSE)</f>
        <v>8</v>
      </c>
      <c r="B18" s="5">
        <f t="shared" si="19"/>
        <v>19</v>
      </c>
      <c r="C18" s="151" t="s">
        <v>2119</v>
      </c>
      <c r="D18" s="6" t="s">
        <v>2109</v>
      </c>
      <c r="E18" s="5" t="s">
        <v>2116</v>
      </c>
      <c r="F18" s="5" t="s">
        <v>1036</v>
      </c>
      <c r="I18" s="5">
        <f t="shared" si="15"/>
        <v>1842</v>
      </c>
      <c r="J18" s="5">
        <f t="shared" si="16"/>
        <v>1916</v>
      </c>
      <c r="K18" s="152"/>
      <c r="L18" s="7" t="str">
        <f t="shared" si="17"/>
        <v>24/09/1842</v>
      </c>
      <c r="M18" s="8" t="s">
        <v>2117</v>
      </c>
      <c r="N18" s="5" t="s">
        <v>2118</v>
      </c>
      <c r="O18" s="168">
        <v>5949</v>
      </c>
      <c r="P18" s="190" t="s">
        <v>3458</v>
      </c>
      <c r="Q18" s="153" t="str">
        <f t="shared" si="1"/>
        <v>19</v>
      </c>
      <c r="R18" s="180">
        <f>IF(LEN(O18)=4,O18,IF(O18="","",TEXT(O18,"dd/mm/yyyy")))</f>
        <v>5949</v>
      </c>
      <c r="S18" s="25" t="s">
        <v>3244</v>
      </c>
      <c r="T18" s="5">
        <f t="shared" si="2"/>
        <v>3</v>
      </c>
      <c r="U18" s="5">
        <f t="shared" si="3"/>
        <v>3</v>
      </c>
      <c r="V18" s="5">
        <f>VLOOKUP(B18,'Loyd List 1-190 - Edit'!$A$2:$B$220,2,FALSE)</f>
        <v>2</v>
      </c>
      <c r="W18" s="155">
        <f t="shared" si="4"/>
        <v>1</v>
      </c>
      <c r="X18" s="105"/>
      <c r="Y18" s="105"/>
      <c r="Z18" s="164"/>
      <c r="AA18" s="6">
        <v>65</v>
      </c>
      <c r="AB18" s="5">
        <f t="shared" si="12"/>
        <v>16</v>
      </c>
      <c r="AC18" s="5">
        <f t="shared" si="13"/>
        <v>1016</v>
      </c>
      <c r="AD18" s="97" t="str">
        <f t="shared" si="5"/>
        <v>19c</v>
      </c>
      <c r="AE18" s="5" t="str">
        <f t="shared" si="6"/>
        <v>Frederica Frances  ENTWISLE (1842 - 1916)</v>
      </c>
      <c r="AF18" s="5" t="str">
        <f t="shared" si="7"/>
        <v>Frederica ENTWISLE (3rd &amp; 19)</v>
      </c>
      <c r="AG18" s="110" t="str">
        <f t="shared" si="8"/>
        <v>Female</v>
      </c>
      <c r="AH18" s="5" t="str">
        <f t="shared" si="9"/>
        <v>3rd</v>
      </c>
      <c r="AI18" s="5" t="str">
        <f t="shared" si="10"/>
        <v>Unmarried</v>
      </c>
      <c r="AJ18" s="105" t="str">
        <f t="shared" si="14"/>
        <v>Female. b. 24/09/1842, d. 14/04/1916.</v>
      </c>
      <c r="AK18" s="105" t="str">
        <f t="shared" si="11"/>
        <v>b. 24/09/1842, d. 14/04/1916.</v>
      </c>
    </row>
    <row r="19" spans="1:37" s="5" customFormat="1" ht="35">
      <c r="A19" s="5">
        <f>VLOOKUP(B19,'Loyd List 1-190 - Edit'!$P$1:$R$219,3,FALSE)</f>
        <v>8</v>
      </c>
      <c r="B19" s="5">
        <f t="shared" si="19"/>
        <v>19</v>
      </c>
      <c r="C19" s="151" t="s">
        <v>2124</v>
      </c>
      <c r="D19" s="6" t="s">
        <v>2109</v>
      </c>
      <c r="E19" s="5" t="s">
        <v>2120</v>
      </c>
      <c r="F19" s="5" t="s">
        <v>807</v>
      </c>
      <c r="I19" s="5">
        <f t="shared" si="15"/>
        <v>1847</v>
      </c>
      <c r="J19" s="5">
        <f t="shared" si="16"/>
        <v>1877</v>
      </c>
      <c r="K19" s="152"/>
      <c r="L19" s="7" t="str">
        <f t="shared" si="17"/>
        <v>25/02/1847</v>
      </c>
      <c r="M19" s="8" t="s">
        <v>2121</v>
      </c>
      <c r="N19" s="5" t="s">
        <v>2122</v>
      </c>
      <c r="O19" s="7" t="s">
        <v>2123</v>
      </c>
      <c r="P19" s="181" t="str">
        <f t="shared" si="0"/>
        <v>22/09/1877</v>
      </c>
      <c r="Q19" s="153" t="str">
        <f t="shared" si="1"/>
        <v>19</v>
      </c>
      <c r="R19" s="180" t="str">
        <f t="shared" si="18"/>
        <v>22/09/1877</v>
      </c>
      <c r="S19" s="25" t="s">
        <v>3245</v>
      </c>
      <c r="T19" s="5">
        <f t="shared" si="2"/>
        <v>3</v>
      </c>
      <c r="U19" s="5">
        <f t="shared" si="3"/>
        <v>3</v>
      </c>
      <c r="V19" s="5">
        <f>VLOOKUP(B19,'Loyd List 1-190 - Edit'!$A$2:$B$220,2,FALSE)</f>
        <v>2</v>
      </c>
      <c r="W19" s="155">
        <f t="shared" si="4"/>
        <v>1</v>
      </c>
      <c r="X19" s="105"/>
      <c r="Y19" s="105"/>
      <c r="Z19" s="164"/>
      <c r="AA19" s="6">
        <v>66</v>
      </c>
      <c r="AB19" s="5">
        <f t="shared" si="12"/>
        <v>17</v>
      </c>
      <c r="AC19" s="5">
        <f t="shared" si="13"/>
        <v>1017</v>
      </c>
      <c r="AD19" s="97" t="str">
        <f t="shared" si="5"/>
        <v>19d</v>
      </c>
      <c r="AE19" s="5" t="str">
        <f t="shared" si="6"/>
        <v>Bernard Henry  ENTWISLE (1847 - 1877)</v>
      </c>
      <c r="AF19" s="5" t="str">
        <f t="shared" si="7"/>
        <v>Bernard ENTWISLE (3rd &amp; 19)</v>
      </c>
      <c r="AG19" s="110" t="str">
        <f t="shared" si="8"/>
        <v>Male</v>
      </c>
      <c r="AH19" s="5" t="str">
        <f t="shared" si="9"/>
        <v>3rd</v>
      </c>
      <c r="AI19" s="5" t="str">
        <f t="shared" si="10"/>
        <v>Unmarried</v>
      </c>
      <c r="AJ19" s="105" t="str">
        <f t="shared" si="14"/>
        <v>Male. b. 25/02/1847, d. 22/09/1877.</v>
      </c>
      <c r="AK19" s="105" t="str">
        <f t="shared" si="11"/>
        <v>b. 25/02/1847, d. 22/09/1877.</v>
      </c>
    </row>
    <row r="20" spans="1:37" s="5" customFormat="1" ht="20">
      <c r="A20" s="5">
        <f>VLOOKUP(B20,'Loyd List 1-190 - Edit'!$P$1:$R$219,3,FALSE)</f>
        <v>8</v>
      </c>
      <c r="B20" s="5">
        <f t="shared" si="19"/>
        <v>19</v>
      </c>
      <c r="C20" s="151" t="s">
        <v>2127</v>
      </c>
      <c r="D20" s="6" t="s">
        <v>2109</v>
      </c>
      <c r="E20" s="5" t="s">
        <v>811</v>
      </c>
      <c r="F20" s="5" t="s">
        <v>1497</v>
      </c>
      <c r="I20" s="5">
        <f t="shared" si="15"/>
        <v>1852</v>
      </c>
      <c r="J20" s="5">
        <f t="shared" si="16"/>
        <v>1881</v>
      </c>
      <c r="K20" s="152"/>
      <c r="L20" s="7" t="str">
        <f t="shared" si="17"/>
        <v>13/02/1852</v>
      </c>
      <c r="M20" s="8" t="s">
        <v>2125</v>
      </c>
      <c r="N20" s="5" t="s">
        <v>2126</v>
      </c>
      <c r="O20" s="7" t="s">
        <v>2128</v>
      </c>
      <c r="P20" s="181" t="str">
        <f t="shared" si="0"/>
        <v>16/01/1881</v>
      </c>
      <c r="Q20" s="153" t="str">
        <f t="shared" si="1"/>
        <v>19</v>
      </c>
      <c r="R20" s="180" t="str">
        <f t="shared" si="18"/>
        <v>16/01/1881</v>
      </c>
      <c r="S20" s="25" t="s">
        <v>3245</v>
      </c>
      <c r="T20" s="5">
        <f t="shared" si="2"/>
        <v>3</v>
      </c>
      <c r="U20" s="5">
        <f t="shared" si="3"/>
        <v>3</v>
      </c>
      <c r="V20" s="5">
        <f>VLOOKUP(B20,'Loyd List 1-190 - Edit'!$A$2:$B$220,2,FALSE)</f>
        <v>2</v>
      </c>
      <c r="W20" s="155">
        <f t="shared" si="4"/>
        <v>1</v>
      </c>
      <c r="X20" s="105" t="s">
        <v>2129</v>
      </c>
      <c r="Y20" s="105"/>
      <c r="Z20" s="164"/>
      <c r="AA20" s="6">
        <v>67</v>
      </c>
      <c r="AB20" s="5">
        <f t="shared" si="12"/>
        <v>18</v>
      </c>
      <c r="AC20" s="5">
        <f t="shared" si="13"/>
        <v>1018</v>
      </c>
      <c r="AD20" s="97" t="str">
        <f t="shared" si="5"/>
        <v>19e</v>
      </c>
      <c r="AE20" s="5" t="str">
        <f t="shared" si="6"/>
        <v>Edward Loyd  ENTWISLE (1852 - 1881)</v>
      </c>
      <c r="AF20" s="5" t="str">
        <f t="shared" si="7"/>
        <v>Edward ENTWISLE (3rd &amp; 19)</v>
      </c>
      <c r="AG20" s="110" t="str">
        <f t="shared" si="8"/>
        <v>Male</v>
      </c>
      <c r="AH20" s="5" t="str">
        <f t="shared" si="9"/>
        <v>3rd</v>
      </c>
      <c r="AI20" s="5" t="str">
        <f t="shared" si="10"/>
        <v xml:space="preserve">Wife: Anne Marie Hyde CLARKE. </v>
      </c>
      <c r="AJ20" s="105" t="str">
        <f t="shared" si="14"/>
        <v>Male. b. 13/02/1852, d. 16/01/1881.</v>
      </c>
      <c r="AK20" s="105" t="str">
        <f t="shared" si="11"/>
        <v>b. 13/02/1852, d. 16/01/1881.</v>
      </c>
    </row>
    <row r="21" spans="1:37" s="5" customFormat="1" ht="171">
      <c r="A21" s="5">
        <f>VLOOKUP(B21,'Loyd List 1-190 - Edit'!$P$1:$R$219,3,FALSE)</f>
        <v>22</v>
      </c>
      <c r="B21" s="5">
        <f t="shared" si="19"/>
        <v>36</v>
      </c>
      <c r="C21" s="151" t="s">
        <v>2136</v>
      </c>
      <c r="D21" s="5" t="s">
        <v>2133</v>
      </c>
      <c r="E21" s="5" t="s">
        <v>913</v>
      </c>
      <c r="F21" s="5" t="s">
        <v>1497</v>
      </c>
      <c r="I21" s="5">
        <f t="shared" si="15"/>
        <v>1877</v>
      </c>
      <c r="J21" s="5">
        <f t="shared" si="16"/>
        <v>1955</v>
      </c>
      <c r="K21" s="152"/>
      <c r="L21" s="7" t="str">
        <f t="shared" si="17"/>
        <v>12/06/1877</v>
      </c>
      <c r="M21" s="8" t="s">
        <v>2134</v>
      </c>
      <c r="N21" s="5" t="s">
        <v>2135</v>
      </c>
      <c r="O21" s="7">
        <v>20334</v>
      </c>
      <c r="P21" s="181" t="str">
        <f t="shared" si="0"/>
        <v>02/09/1955</v>
      </c>
      <c r="Q21" s="153" t="str">
        <f t="shared" si="1"/>
        <v>36</v>
      </c>
      <c r="R21" s="180" t="str">
        <f t="shared" si="18"/>
        <v>02/09/1955</v>
      </c>
      <c r="S21" s="25" t="s">
        <v>3245</v>
      </c>
      <c r="T21" s="5">
        <f t="shared" si="2"/>
        <v>4</v>
      </c>
      <c r="U21" s="5">
        <f t="shared" si="3"/>
        <v>3</v>
      </c>
      <c r="V21" s="5">
        <f>VLOOKUP(B21,'Loyd List 1-190 - Edit'!$A$2:$B$220,2,FALSE)</f>
        <v>3</v>
      </c>
      <c r="W21" s="155">
        <f t="shared" si="4"/>
        <v>1</v>
      </c>
      <c r="X21" s="105" t="s">
        <v>2141</v>
      </c>
      <c r="Y21" s="105" t="s">
        <v>3450</v>
      </c>
      <c r="Z21" s="164" t="s">
        <v>3449</v>
      </c>
      <c r="AA21" s="6">
        <v>68</v>
      </c>
      <c r="AB21" s="5">
        <f t="shared" si="12"/>
        <v>19</v>
      </c>
      <c r="AC21" s="5">
        <f t="shared" si="13"/>
        <v>1019</v>
      </c>
      <c r="AD21" s="97" t="str">
        <f t="shared" si="5"/>
        <v>36a</v>
      </c>
      <c r="AE21" s="5" t="str">
        <f t="shared" si="6"/>
        <v>George Loyd  COURTHOPE (1877 - 1955)</v>
      </c>
      <c r="AF21" s="5" t="str">
        <f t="shared" si="7"/>
        <v>George COURTHOPE (4th &amp; 36)</v>
      </c>
      <c r="AG21" s="110" t="str">
        <f t="shared" si="8"/>
        <v>Male</v>
      </c>
      <c r="AH21" s="5" t="str">
        <f t="shared" si="9"/>
        <v>4th</v>
      </c>
      <c r="AI21" s="5" t="str">
        <f t="shared" si="10"/>
        <v>Wife: (1) Hilda Gertrude CLOSE (b. 08/06/1870, d. 11/11/1940) (2) 05/09/1944 Margaret Blance BARRY (b. 23/02 1884, d. 30/09/1972). (1) Hilda, baptised at Muree, Punjab, India, daughter of Major General Henry Pelham CLOSE.  (2) Married 5 Sep 1944 in Crypt of House of Commons, Margaret daughter of Frederick BARRY of Westbury, Wiltshire. Roddy SALE (97d) has a portrait of Hilda, in March 1890, aged 16 by Russian artist Leon Spink. Portrait at Whiligh until 1980.</v>
      </c>
      <c r="AJ21" s="105" t="str">
        <f t="shared" si="14"/>
        <v xml:space="preserve">Male. b. 12/06/1877, d. 02/09/1955. Served in World War I, Lieut Colonel Royal Sussex Regiment, wounded, despatches, MC. MP for Rye, Sussex (C) 1906-45. DL and JP for Sussex. Bart: 1925. Privy Counsellor 1937. Raised to Peerage 1945 as (1st &amp; last) Baron COURTHOPE of WHILIGH. </v>
      </c>
      <c r="AK21" s="105" t="str">
        <f t="shared" si="11"/>
        <v>b. 12/06/1877, d. 02/09/1955.</v>
      </c>
    </row>
    <row r="22" spans="1:37" s="5" customFormat="1" ht="19">
      <c r="A22" s="5">
        <f>VLOOKUP(B22,'Loyd List 1-190 - Edit'!$P$1:$R$219,3,FALSE)</f>
        <v>22</v>
      </c>
      <c r="B22" s="5">
        <f t="shared" si="19"/>
        <v>36</v>
      </c>
      <c r="C22" s="151" t="s">
        <v>2144</v>
      </c>
      <c r="D22" s="5" t="s">
        <v>2133</v>
      </c>
      <c r="E22" s="5" t="s">
        <v>924</v>
      </c>
      <c r="I22" s="5">
        <f t="shared" si="15"/>
        <v>1878</v>
      </c>
      <c r="J22" s="5">
        <f t="shared" si="16"/>
        <v>1892</v>
      </c>
      <c r="K22" s="152"/>
      <c r="L22" s="7" t="str">
        <f t="shared" si="17"/>
        <v>14/09/1878</v>
      </c>
      <c r="M22" s="8" t="s">
        <v>2142</v>
      </c>
      <c r="O22" s="7" t="s">
        <v>2143</v>
      </c>
      <c r="P22" s="181" t="str">
        <f t="shared" si="0"/>
        <v>29/07/1892</v>
      </c>
      <c r="Q22" s="153" t="str">
        <f t="shared" si="1"/>
        <v>36</v>
      </c>
      <c r="R22" s="180" t="str">
        <f t="shared" si="18"/>
        <v>29/07/1892</v>
      </c>
      <c r="S22" s="25" t="s">
        <v>3245</v>
      </c>
      <c r="T22" s="5">
        <f t="shared" si="2"/>
        <v>4</v>
      </c>
      <c r="U22" s="5">
        <f t="shared" si="3"/>
        <v>3</v>
      </c>
      <c r="V22" s="5">
        <f>VLOOKUP(B22,'Loyd List 1-190 - Edit'!$A$2:$B$220,2,FALSE)</f>
        <v>3</v>
      </c>
      <c r="W22" s="155">
        <f t="shared" si="4"/>
        <v>1</v>
      </c>
      <c r="X22" s="105"/>
      <c r="Y22" s="105"/>
      <c r="Z22" s="164" t="s">
        <v>2451</v>
      </c>
      <c r="AA22" s="6">
        <v>71</v>
      </c>
      <c r="AB22" s="5">
        <f t="shared" si="12"/>
        <v>20</v>
      </c>
      <c r="AC22" s="5">
        <f t="shared" si="13"/>
        <v>1020</v>
      </c>
      <c r="AD22" s="97" t="str">
        <f t="shared" si="5"/>
        <v>36b</v>
      </c>
      <c r="AE22" s="5" t="str">
        <f t="shared" si="6"/>
        <v>Alexander   COURTHOPE (1878 - 1892)</v>
      </c>
      <c r="AF22" s="5" t="str">
        <f t="shared" si="7"/>
        <v>Alexander COURTHOPE (4th &amp; 36)</v>
      </c>
      <c r="AG22" s="110" t="str">
        <f t="shared" si="8"/>
        <v>Male</v>
      </c>
      <c r="AH22" s="5" t="str">
        <f t="shared" si="9"/>
        <v>4th</v>
      </c>
      <c r="AI22" s="5" t="str">
        <f t="shared" si="10"/>
        <v>Unmarried</v>
      </c>
      <c r="AJ22" s="105" t="str">
        <f t="shared" si="14"/>
        <v>Male. b. 14/09/1878, d. 29/07/1892. Buried at Horsmonden, Kent.</v>
      </c>
      <c r="AK22" s="105" t="str">
        <f t="shared" si="11"/>
        <v>b. 14/09/1878, d. 29/07/1892.</v>
      </c>
    </row>
    <row r="23" spans="1:37" s="5" customFormat="1" ht="19">
      <c r="A23" s="5">
        <f>VLOOKUP(B23,'Loyd List 1-190 - Edit'!$P$1:$R$219,3,FALSE)</f>
        <v>22</v>
      </c>
      <c r="B23" s="5">
        <f t="shared" si="19"/>
        <v>36</v>
      </c>
      <c r="C23" s="151" t="s">
        <v>2146</v>
      </c>
      <c r="D23" s="5" t="s">
        <v>2133</v>
      </c>
      <c r="E23" s="5" t="s">
        <v>842</v>
      </c>
      <c r="F23" s="5" t="s">
        <v>811</v>
      </c>
      <c r="I23" s="5">
        <f t="shared" si="15"/>
        <v>1882</v>
      </c>
      <c r="J23" s="5">
        <f t="shared" si="16"/>
        <v>1954</v>
      </c>
      <c r="K23" s="152"/>
      <c r="L23" s="7" t="str">
        <f t="shared" si="17"/>
        <v>28/01/1882</v>
      </c>
      <c r="M23" s="8" t="s">
        <v>2145</v>
      </c>
      <c r="N23" s="5" t="s">
        <v>1797</v>
      </c>
      <c r="O23" s="7">
        <v>19816</v>
      </c>
      <c r="P23" s="181" t="str">
        <f t="shared" si="0"/>
        <v>02/04/1954</v>
      </c>
      <c r="Q23" s="153" t="str">
        <f t="shared" si="1"/>
        <v>36</v>
      </c>
      <c r="R23" s="180" t="str">
        <f t="shared" si="18"/>
        <v>02/04/1954</v>
      </c>
      <c r="S23" s="25" t="s">
        <v>3245</v>
      </c>
      <c r="T23" s="5">
        <f t="shared" si="2"/>
        <v>4</v>
      </c>
      <c r="U23" s="5">
        <f t="shared" si="3"/>
        <v>3</v>
      </c>
      <c r="V23" s="5">
        <f>VLOOKUP(B23,'Loyd List 1-190 - Edit'!$A$2:$B$220,2,FALSE)</f>
        <v>3</v>
      </c>
      <c r="W23" s="155">
        <f t="shared" si="4"/>
        <v>1</v>
      </c>
      <c r="X23" s="105"/>
      <c r="Y23" s="105"/>
      <c r="Z23" s="164" t="s">
        <v>2452</v>
      </c>
      <c r="AA23" s="6">
        <v>72</v>
      </c>
      <c r="AB23" s="5">
        <f t="shared" si="12"/>
        <v>21</v>
      </c>
      <c r="AC23" s="5">
        <f t="shared" si="13"/>
        <v>1021</v>
      </c>
      <c r="AD23" s="97" t="str">
        <f t="shared" si="5"/>
        <v>36c</v>
      </c>
      <c r="AE23" s="5" t="str">
        <f t="shared" si="6"/>
        <v>John Edward  COURTHOPE (1882 - 1954)</v>
      </c>
      <c r="AF23" s="5" t="str">
        <f t="shared" si="7"/>
        <v>John COURTHOPE (4th &amp; 36)</v>
      </c>
      <c r="AG23" s="110" t="str">
        <f t="shared" si="8"/>
        <v>Male</v>
      </c>
      <c r="AH23" s="5" t="str">
        <f t="shared" si="9"/>
        <v>4th</v>
      </c>
      <c r="AI23" s="5" t="str">
        <f t="shared" si="10"/>
        <v>Unmarried</v>
      </c>
      <c r="AJ23" s="105" t="str">
        <f t="shared" si="14"/>
        <v>Male. b. 28/01/1882, d. 02/04/1954. Died at Lonsdale Nursing Home, Tunbridge Wells.</v>
      </c>
      <c r="AK23" s="105" t="str">
        <f t="shared" si="11"/>
        <v>b. 28/01/1882, d. 02/04/1954.</v>
      </c>
    </row>
    <row r="24" spans="1:37" s="5" customFormat="1" ht="52">
      <c r="A24" s="5">
        <f>VLOOKUP(B24,'Loyd List 1-190 - Edit'!$P$1:$R$219,3,FALSE)</f>
        <v>22</v>
      </c>
      <c r="B24" s="5">
        <f t="shared" si="19"/>
        <v>36</v>
      </c>
      <c r="C24" s="151" t="s">
        <v>2147</v>
      </c>
      <c r="D24" s="5" t="s">
        <v>2133</v>
      </c>
      <c r="E24" s="5" t="s">
        <v>2148</v>
      </c>
      <c r="F24" s="5" t="s">
        <v>1036</v>
      </c>
      <c r="I24" s="5">
        <f t="shared" si="15"/>
        <v>1883</v>
      </c>
      <c r="J24" s="5">
        <f t="shared" si="16"/>
        <v>1972</v>
      </c>
      <c r="K24" s="152"/>
      <c r="L24" s="7" t="str">
        <f t="shared" si="17"/>
        <v>23/12/1883</v>
      </c>
      <c r="M24" s="8" t="s">
        <v>2149</v>
      </c>
      <c r="N24" s="7">
        <v>3966</v>
      </c>
      <c r="O24" s="7">
        <v>26373</v>
      </c>
      <c r="P24" s="181" t="str">
        <f t="shared" si="0"/>
        <v>15/03/1972</v>
      </c>
      <c r="Q24" s="153" t="str">
        <f t="shared" si="1"/>
        <v>36</v>
      </c>
      <c r="R24" s="180" t="str">
        <f t="shared" si="18"/>
        <v>15/03/1972</v>
      </c>
      <c r="S24" s="25" t="s">
        <v>3244</v>
      </c>
      <c r="T24" s="5">
        <f t="shared" si="2"/>
        <v>4</v>
      </c>
      <c r="U24" s="5">
        <f t="shared" si="3"/>
        <v>3</v>
      </c>
      <c r="V24" s="5">
        <f>VLOOKUP(B24,'Loyd List 1-190 - Edit'!$A$2:$B$220,2,FALSE)</f>
        <v>3</v>
      </c>
      <c r="W24" s="155">
        <f t="shared" si="4"/>
        <v>1</v>
      </c>
      <c r="X24" s="105" t="s">
        <v>2150</v>
      </c>
      <c r="Y24" s="164" t="s">
        <v>2453</v>
      </c>
      <c r="Z24" s="105" t="s">
        <v>2454</v>
      </c>
      <c r="AA24" s="6">
        <v>73</v>
      </c>
      <c r="AB24" s="5">
        <f t="shared" si="12"/>
        <v>22</v>
      </c>
      <c r="AC24" s="5">
        <f t="shared" si="13"/>
        <v>1022</v>
      </c>
      <c r="AD24" s="97" t="str">
        <f t="shared" si="5"/>
        <v>36d</v>
      </c>
      <c r="AE24" s="5" t="str">
        <f t="shared" si="6"/>
        <v>Barbara Frances  COURTHOPE (1883 - 1972)</v>
      </c>
      <c r="AF24" s="5" t="str">
        <f t="shared" si="7"/>
        <v>Barbara COURTHOPE (4th &amp; 36)</v>
      </c>
      <c r="AG24" s="110" t="str">
        <f t="shared" si="8"/>
        <v>Female</v>
      </c>
      <c r="AH24" s="5" t="str">
        <f t="shared" si="9"/>
        <v>4th</v>
      </c>
      <c r="AI24" s="5" t="str">
        <f t="shared" si="10"/>
        <v>Husband: Richard Henry POWELL (b. 15/03/1884, d. 09/05/1915). Richard 3rd son of Henry Pryor POWELL of Hale House, Ockley, Surrey.</v>
      </c>
      <c r="AJ24" s="105" t="str">
        <f t="shared" si="14"/>
        <v>Female. b. 23/12/1883, d. 15/03/1972. Died at Broad Ford, Horsmonden, Kent, buried 20 Mar 1972 at Wadhurst, Sussex.</v>
      </c>
      <c r="AK24" s="105" t="str">
        <f t="shared" si="11"/>
        <v>b. 23/12/1883, d. 15/03/1972.</v>
      </c>
    </row>
    <row r="25" spans="1:37" s="5" customFormat="1" ht="34">
      <c r="A25" s="5">
        <f>VLOOKUP(B25,'Loyd List 1-190 - Edit'!$P$1:$R$219,3,FALSE)</f>
        <v>22</v>
      </c>
      <c r="B25" s="5">
        <f t="shared" si="19"/>
        <v>36</v>
      </c>
      <c r="C25" s="151" t="s">
        <v>2182</v>
      </c>
      <c r="D25" s="5" t="s">
        <v>2133</v>
      </c>
      <c r="E25" s="5" t="s">
        <v>1071</v>
      </c>
      <c r="F25" s="5" t="s">
        <v>2186</v>
      </c>
      <c r="I25" s="5">
        <f t="shared" si="15"/>
        <v>1886</v>
      </c>
      <c r="J25" s="5">
        <f t="shared" si="16"/>
        <v>1974</v>
      </c>
      <c r="K25" s="152"/>
      <c r="L25" s="7" t="str">
        <f t="shared" si="17"/>
        <v>03/06/1886</v>
      </c>
      <c r="M25" s="8" t="s">
        <v>2187</v>
      </c>
      <c r="N25" s="7"/>
      <c r="O25" s="7">
        <v>27072</v>
      </c>
      <c r="P25" s="181" t="str">
        <f t="shared" si="0"/>
        <v>12/02/1974</v>
      </c>
      <c r="Q25" s="153" t="str">
        <f t="shared" si="1"/>
        <v>36</v>
      </c>
      <c r="R25" s="180" t="str">
        <f t="shared" si="18"/>
        <v>12/02/1974</v>
      </c>
      <c r="S25" s="25" t="s">
        <v>3244</v>
      </c>
      <c r="T25" s="5">
        <f t="shared" si="2"/>
        <v>4</v>
      </c>
      <c r="U25" s="5">
        <f t="shared" si="3"/>
        <v>3</v>
      </c>
      <c r="V25" s="5">
        <f>VLOOKUP(B25,'Loyd List 1-190 - Edit'!$A$2:$B$220,2,FALSE)</f>
        <v>3</v>
      </c>
      <c r="W25" s="155">
        <f t="shared" si="4"/>
        <v>1</v>
      </c>
      <c r="X25" s="105"/>
      <c r="Y25" s="105"/>
      <c r="Z25" s="164" t="s">
        <v>2476</v>
      </c>
      <c r="AA25" s="6">
        <v>89</v>
      </c>
      <c r="AB25" s="5">
        <f t="shared" si="12"/>
        <v>23</v>
      </c>
      <c r="AC25" s="5">
        <f t="shared" si="13"/>
        <v>1023</v>
      </c>
      <c r="AD25" s="97" t="str">
        <f t="shared" si="5"/>
        <v>36e</v>
      </c>
      <c r="AE25" s="5" t="str">
        <f t="shared" si="6"/>
        <v>Elinor Joan  COURTHOPE (1886 - 1974)</v>
      </c>
      <c r="AF25" s="5" t="str">
        <f t="shared" si="7"/>
        <v>Elinor COURTHOPE (4th &amp; 36)</v>
      </c>
      <c r="AG25" s="110" t="str">
        <f t="shared" si="8"/>
        <v>Female</v>
      </c>
      <c r="AH25" s="5" t="str">
        <f t="shared" si="9"/>
        <v>4th</v>
      </c>
      <c r="AI25" s="5" t="str">
        <f t="shared" si="10"/>
        <v>Unmarried</v>
      </c>
      <c r="AJ25" s="105" t="str">
        <f t="shared" si="14"/>
        <v>Female. b. 03/06/1886, d. 12/02/1974. Born at Lillesden, Hawkhurst, Kent. Died at Sprivers, Horsmonden, Kent, buried 18 Feb 1974 at Wadhurst, Sussex.</v>
      </c>
      <c r="AK25" s="105" t="str">
        <f t="shared" si="11"/>
        <v>b. 03/06/1886, d. 12/02/1974.</v>
      </c>
    </row>
    <row r="26" spans="1:37" s="5" customFormat="1" ht="19">
      <c r="A26" s="5">
        <f>VLOOKUP(B26,'Loyd List 1-190 - Edit'!$P$1:$R$219,3,FALSE)</f>
        <v>22</v>
      </c>
      <c r="B26" s="5">
        <f t="shared" si="19"/>
        <v>36</v>
      </c>
      <c r="C26" s="151" t="s">
        <v>2183</v>
      </c>
      <c r="D26" s="5" t="s">
        <v>2133</v>
      </c>
      <c r="E26" s="5" t="s">
        <v>928</v>
      </c>
      <c r="F26" s="5" t="s">
        <v>812</v>
      </c>
      <c r="I26" s="5">
        <f t="shared" si="15"/>
        <v>1888</v>
      </c>
      <c r="J26" s="5">
        <f t="shared" si="16"/>
        <v>1889</v>
      </c>
      <c r="K26" s="152"/>
      <c r="L26" s="7" t="str">
        <f t="shared" si="17"/>
        <v>21/10/1888</v>
      </c>
      <c r="M26" s="8" t="s">
        <v>2188</v>
      </c>
      <c r="N26" s="7"/>
      <c r="O26" s="7" t="s">
        <v>2189</v>
      </c>
      <c r="P26" s="181" t="str">
        <f t="shared" si="0"/>
        <v>28/05/1889</v>
      </c>
      <c r="Q26" s="153" t="str">
        <f t="shared" si="1"/>
        <v>36</v>
      </c>
      <c r="R26" s="180" t="str">
        <f t="shared" si="18"/>
        <v>28/05/1889</v>
      </c>
      <c r="S26" s="25" t="s">
        <v>3245</v>
      </c>
      <c r="T26" s="5">
        <f t="shared" si="2"/>
        <v>4</v>
      </c>
      <c r="U26" s="5">
        <f t="shared" si="3"/>
        <v>3</v>
      </c>
      <c r="V26" s="5">
        <f>VLOOKUP(B26,'Loyd List 1-190 - Edit'!$A$2:$B$220,2,FALSE)</f>
        <v>3</v>
      </c>
      <c r="W26" s="155">
        <f t="shared" si="4"/>
        <v>1</v>
      </c>
      <c r="X26" s="105"/>
      <c r="Y26" s="105"/>
      <c r="Z26" s="164" t="s">
        <v>2451</v>
      </c>
      <c r="AA26" s="6">
        <v>90</v>
      </c>
      <c r="AB26" s="5">
        <f t="shared" si="12"/>
        <v>24</v>
      </c>
      <c r="AC26" s="5">
        <f t="shared" si="13"/>
        <v>1024</v>
      </c>
      <c r="AD26" s="97" t="str">
        <f t="shared" si="5"/>
        <v>36f</v>
      </c>
      <c r="AE26" s="5" t="str">
        <f t="shared" si="6"/>
        <v>Richard Foster  COURTHOPE (1888 - 1889)</v>
      </c>
      <c r="AF26" s="5" t="str">
        <f t="shared" si="7"/>
        <v>Richard COURTHOPE (4th &amp; 36)</v>
      </c>
      <c r="AG26" s="110" t="str">
        <f t="shared" si="8"/>
        <v>Male</v>
      </c>
      <c r="AH26" s="5" t="str">
        <f t="shared" si="9"/>
        <v>4th</v>
      </c>
      <c r="AI26" s="5" t="str">
        <f t="shared" si="10"/>
        <v>Unmarried</v>
      </c>
      <c r="AJ26" s="105" t="str">
        <f t="shared" si="14"/>
        <v>Male. b. 21/10/1888, d. 28/05/1889. Buried at Horsmonden, Kent.</v>
      </c>
      <c r="AK26" s="105" t="str">
        <f t="shared" si="11"/>
        <v>b. 21/10/1888, d. 28/05/1889.</v>
      </c>
    </row>
    <row r="27" spans="1:37" s="5" customFormat="1" ht="102">
      <c r="A27" s="5">
        <f>VLOOKUP(B27,'Loyd List 1-190 - Edit'!$P$1:$R$219,3,FALSE)</f>
        <v>22</v>
      </c>
      <c r="B27" s="5">
        <f t="shared" si="19"/>
        <v>36</v>
      </c>
      <c r="C27" s="151" t="s">
        <v>2184</v>
      </c>
      <c r="D27" s="5" t="s">
        <v>2133</v>
      </c>
      <c r="E27" s="5" t="s">
        <v>902</v>
      </c>
      <c r="I27" s="5">
        <f t="shared" si="15"/>
        <v>1891</v>
      </c>
      <c r="J27" s="5">
        <f t="shared" si="16"/>
        <v>1966</v>
      </c>
      <c r="K27" s="152"/>
      <c r="L27" s="7" t="str">
        <f t="shared" si="17"/>
        <v>15/03/1891</v>
      </c>
      <c r="M27" s="8" t="s">
        <v>2190</v>
      </c>
      <c r="N27" s="7"/>
      <c r="O27" s="7">
        <v>24198</v>
      </c>
      <c r="P27" s="181" t="str">
        <f t="shared" si="0"/>
        <v>01/04/1966</v>
      </c>
      <c r="Q27" s="153" t="str">
        <f t="shared" si="1"/>
        <v>36</v>
      </c>
      <c r="R27" s="180" t="str">
        <f t="shared" si="18"/>
        <v>01/04/1966</v>
      </c>
      <c r="S27" s="25" t="s">
        <v>3245</v>
      </c>
      <c r="T27" s="5">
        <f t="shared" si="2"/>
        <v>4</v>
      </c>
      <c r="U27" s="5">
        <f t="shared" si="3"/>
        <v>3</v>
      </c>
      <c r="V27" s="5">
        <f>VLOOKUP(B27,'Loyd List 1-190 - Edit'!$A$2:$B$220,2,FALSE)</f>
        <v>3</v>
      </c>
      <c r="W27" s="155">
        <f t="shared" si="4"/>
        <v>1</v>
      </c>
      <c r="X27" s="105"/>
      <c r="Y27" s="105"/>
      <c r="Z27" s="164" t="s">
        <v>3451</v>
      </c>
      <c r="AA27" s="6">
        <v>91</v>
      </c>
      <c r="AB27" s="5">
        <f t="shared" si="12"/>
        <v>25</v>
      </c>
      <c r="AC27" s="5">
        <f t="shared" si="13"/>
        <v>1025</v>
      </c>
      <c r="AD27" s="97" t="str">
        <f t="shared" si="5"/>
        <v>36g</v>
      </c>
      <c r="AE27" s="5" t="str">
        <f t="shared" si="6"/>
        <v>Robert   COURTHOPE (1891 - 1966)</v>
      </c>
      <c r="AF27" s="5" t="str">
        <f t="shared" si="7"/>
        <v>Robert COURTHOPE (4th &amp; 36)</v>
      </c>
      <c r="AG27" s="110" t="str">
        <f t="shared" si="8"/>
        <v>Male</v>
      </c>
      <c r="AH27" s="5" t="str">
        <f t="shared" si="9"/>
        <v>4th</v>
      </c>
      <c r="AI27" s="5" t="str">
        <f t="shared" si="10"/>
        <v>Unmarried</v>
      </c>
      <c r="AJ27" s="105" t="str">
        <f t="shared" si="14"/>
        <v xml:space="preserve">Male. b. 15/03/1891, d. 01/04/1966. Born at Lillesden, Hawkhurst, Kent. Died at Sprivers, Horsmonden, Kent, buried 5 Apr 1966 at Wadhurst, Sussex. Left house and hundred acres surrounding it to the National Trust in his will. Roddy SALE (97d) has Robert’s diaries and a copy of a portrait of Mary Foster which was left to the NT at Sprivers.
</v>
      </c>
      <c r="AK27" s="105" t="str">
        <f t="shared" si="11"/>
        <v>b. 15/03/1891, d. 01/04/1966.</v>
      </c>
    </row>
    <row r="28" spans="1:37" s="5" customFormat="1" ht="19">
      <c r="A28" s="5">
        <f>VLOOKUP(B28,'Loyd List 1-190 - Edit'!$P$1:$R$219,3,FALSE)</f>
        <v>22</v>
      </c>
      <c r="B28" s="5">
        <f t="shared" si="19"/>
        <v>36</v>
      </c>
      <c r="C28" s="151" t="s">
        <v>2185</v>
      </c>
      <c r="D28" s="5" t="s">
        <v>2133</v>
      </c>
      <c r="E28" s="5" t="s">
        <v>2036</v>
      </c>
      <c r="I28" s="5">
        <f t="shared" si="15"/>
        <v>1893</v>
      </c>
      <c r="J28" s="5">
        <f t="shared" si="16"/>
        <v>1901</v>
      </c>
      <c r="K28" s="152"/>
      <c r="L28" s="7" t="str">
        <f t="shared" si="17"/>
        <v>29/03/1893</v>
      </c>
      <c r="M28" s="8" t="s">
        <v>2191</v>
      </c>
      <c r="O28" s="7">
        <v>710</v>
      </c>
      <c r="P28" s="181" t="str">
        <f t="shared" si="0"/>
        <v>10/12/1901</v>
      </c>
      <c r="Q28" s="153" t="str">
        <f t="shared" si="1"/>
        <v>36</v>
      </c>
      <c r="R28" s="180" t="str">
        <f t="shared" si="18"/>
        <v>10/12/1901</v>
      </c>
      <c r="S28" s="25" t="s">
        <v>3244</v>
      </c>
      <c r="T28" s="5">
        <f t="shared" si="2"/>
        <v>4</v>
      </c>
      <c r="U28" s="5">
        <f t="shared" si="3"/>
        <v>3</v>
      </c>
      <c r="V28" s="5">
        <f>VLOOKUP(B28,'Loyd List 1-190 - Edit'!$A$2:$B$220,2,FALSE)</f>
        <v>3</v>
      </c>
      <c r="W28" s="155">
        <f t="shared" si="4"/>
        <v>1</v>
      </c>
      <c r="X28" s="105"/>
      <c r="Y28" s="105"/>
      <c r="Z28" s="164" t="s">
        <v>2478</v>
      </c>
      <c r="AA28" s="6">
        <v>92</v>
      </c>
      <c r="AB28" s="5">
        <f t="shared" si="12"/>
        <v>26</v>
      </c>
      <c r="AC28" s="5">
        <f t="shared" si="13"/>
        <v>1026</v>
      </c>
      <c r="AD28" s="97" t="str">
        <f t="shared" si="5"/>
        <v>36h</v>
      </c>
      <c r="AE28" s="5" t="str">
        <f t="shared" si="6"/>
        <v>Margery   COURTHOPE (1893 - 1901)</v>
      </c>
      <c r="AF28" s="5" t="str">
        <f t="shared" si="7"/>
        <v>Margery COURTHOPE (4th &amp; 36)</v>
      </c>
      <c r="AG28" s="110" t="str">
        <f t="shared" si="8"/>
        <v>Female</v>
      </c>
      <c r="AH28" s="5" t="str">
        <f t="shared" si="9"/>
        <v>4th</v>
      </c>
      <c r="AI28" s="5" t="str">
        <f t="shared" si="10"/>
        <v>Unmarried</v>
      </c>
      <c r="AJ28" s="105" t="str">
        <f t="shared" si="14"/>
        <v>Female. b. 29/03/1893, d. 10/12/1901. Buried at Ticehurst, Sussex.</v>
      </c>
      <c r="AK28" s="105" t="str">
        <f t="shared" si="11"/>
        <v>b. 29/03/1893, d. 10/12/1901.</v>
      </c>
    </row>
    <row r="29" spans="1:37" s="5" customFormat="1" ht="35">
      <c r="A29" s="5">
        <f>VLOOKUP(B29,'Loyd List 1-190 - Edit'!$P$1:$R$219,3,FALSE)</f>
        <v>23</v>
      </c>
      <c r="B29" s="5">
        <f t="shared" si="19"/>
        <v>42</v>
      </c>
      <c r="C29" s="151" t="s">
        <v>2413</v>
      </c>
      <c r="D29" s="6" t="s">
        <v>2195</v>
      </c>
      <c r="E29" s="5" t="s">
        <v>2196</v>
      </c>
      <c r="F29" s="5" t="s">
        <v>830</v>
      </c>
      <c r="I29" s="5">
        <f t="shared" si="15"/>
        <v>1892</v>
      </c>
      <c r="J29" s="5" t="str">
        <f t="shared" si="16"/>
        <v/>
      </c>
      <c r="K29" s="152"/>
      <c r="L29" s="7" t="str">
        <f t="shared" si="17"/>
        <v>13/03/1892</v>
      </c>
      <c r="M29" s="8" t="s">
        <v>2197</v>
      </c>
      <c r="N29" s="7">
        <v>8333</v>
      </c>
      <c r="O29" s="7"/>
      <c r="P29" s="181" t="str">
        <f t="shared" si="0"/>
        <v/>
      </c>
      <c r="Q29" s="159">
        <v>42</v>
      </c>
      <c r="R29" s="180" t="str">
        <f t="shared" si="18"/>
        <v/>
      </c>
      <c r="S29" s="25" t="s">
        <v>3245</v>
      </c>
      <c r="T29" s="5">
        <f t="shared" si="2"/>
        <v>4</v>
      </c>
      <c r="U29" s="5">
        <f t="shared" si="3"/>
        <v>3</v>
      </c>
      <c r="V29" s="5">
        <f>VLOOKUP(B29,'Loyd List 1-190 - Edit'!$A$2:$B$220,2,FALSE)</f>
        <v>3</v>
      </c>
      <c r="W29" s="155">
        <f t="shared" si="4"/>
        <v>1</v>
      </c>
      <c r="X29" s="105" t="s">
        <v>2198</v>
      </c>
      <c r="Y29" s="105" t="s">
        <v>2480</v>
      </c>
      <c r="Z29" s="164"/>
      <c r="AA29" s="6">
        <v>93</v>
      </c>
      <c r="AB29" s="5">
        <f t="shared" si="12"/>
        <v>27</v>
      </c>
      <c r="AC29" s="5">
        <f t="shared" si="13"/>
        <v>1027</v>
      </c>
      <c r="AD29" s="97" t="str">
        <f t="shared" si="5"/>
        <v>42a</v>
      </c>
      <c r="AE29" s="5" t="str">
        <f t="shared" si="6"/>
        <v>Ambrose William  GODDARD (1892 - )</v>
      </c>
      <c r="AF29" s="5" t="str">
        <f t="shared" si="7"/>
        <v>Ambrose GODDARD (4th &amp; 42)</v>
      </c>
      <c r="AG29" s="110" t="str">
        <f t="shared" si="8"/>
        <v>Male</v>
      </c>
      <c r="AH29" s="5" t="str">
        <f t="shared" si="9"/>
        <v>4th</v>
      </c>
      <c r="AI29" s="5" t="str">
        <f t="shared" si="10"/>
        <v>Wife: Ursula WOOD. Ursula daughter of Andrew WOOD</v>
      </c>
      <c r="AJ29" s="105" t="str">
        <f t="shared" si="14"/>
        <v>Male. b. 13/03/1892</v>
      </c>
      <c r="AK29" s="105" t="str">
        <f t="shared" si="11"/>
        <v>b. 13/03/1892</v>
      </c>
    </row>
    <row r="30" spans="1:37" s="5" customFormat="1" ht="69">
      <c r="A30" s="5">
        <f>VLOOKUP(B30,'Loyd List 1-190 - Edit'!$P$1:$R$219,3,FALSE)</f>
        <v>22</v>
      </c>
      <c r="B30" s="5">
        <f t="shared" si="19"/>
        <v>47</v>
      </c>
      <c r="C30" s="151" t="s">
        <v>2202</v>
      </c>
      <c r="D30" s="6" t="s">
        <v>2200</v>
      </c>
      <c r="E30" s="5" t="s">
        <v>1063</v>
      </c>
      <c r="F30" s="5" t="s">
        <v>811</v>
      </c>
      <c r="G30" s="5" t="s">
        <v>1497</v>
      </c>
      <c r="H30" s="5" t="s">
        <v>1497</v>
      </c>
      <c r="I30" s="5">
        <f t="shared" si="15"/>
        <v>1893</v>
      </c>
      <c r="J30" s="5">
        <f t="shared" si="16"/>
        <v>1955</v>
      </c>
      <c r="K30" s="152"/>
      <c r="L30" s="7" t="str">
        <f t="shared" si="17"/>
        <v>06/06/1893</v>
      </c>
      <c r="M30" s="5" t="s">
        <v>2201</v>
      </c>
      <c r="N30" s="8">
        <v>7824</v>
      </c>
      <c r="O30" s="7">
        <v>20111</v>
      </c>
      <c r="P30" s="181" t="str">
        <f t="shared" si="0"/>
        <v>22/01/1955</v>
      </c>
      <c r="Q30" s="153" t="str">
        <f>MID(C30,1,LEN(C30)-1)</f>
        <v>47</v>
      </c>
      <c r="R30" s="180" t="str">
        <f t="shared" si="18"/>
        <v>22/01/1955</v>
      </c>
      <c r="S30" s="25" t="s">
        <v>3245</v>
      </c>
      <c r="T30" s="5">
        <f t="shared" si="2"/>
        <v>4</v>
      </c>
      <c r="U30" s="5">
        <f t="shared" si="3"/>
        <v>3</v>
      </c>
      <c r="V30" s="5">
        <f>VLOOKUP(B30,'Loyd List 1-190 - Edit'!$A$2:$B$220,2,FALSE)</f>
        <v>3</v>
      </c>
      <c r="W30" s="155">
        <f t="shared" si="4"/>
        <v>1</v>
      </c>
      <c r="X30" s="105" t="s">
        <v>2203</v>
      </c>
      <c r="Y30" s="105" t="s">
        <v>2481</v>
      </c>
      <c r="Z30" s="164" t="s">
        <v>2482</v>
      </c>
      <c r="AA30" s="6">
        <v>94</v>
      </c>
      <c r="AB30" s="5">
        <f t="shared" si="12"/>
        <v>28</v>
      </c>
      <c r="AC30" s="5">
        <f t="shared" si="13"/>
        <v>1028</v>
      </c>
      <c r="AD30" s="97" t="str">
        <f t="shared" si="5"/>
        <v>47a</v>
      </c>
      <c r="AE30" s="5" t="str">
        <f t="shared" si="6"/>
        <v>Alfred Edward Loyd HARDCASTLE (1893 - 1955)</v>
      </c>
      <c r="AF30" s="5" t="str">
        <f t="shared" si="7"/>
        <v>Loyd HARDCASTLE (4th &amp; 47)</v>
      </c>
      <c r="AG30" s="110" t="str">
        <f t="shared" si="8"/>
        <v>Male</v>
      </c>
      <c r="AH30" s="5" t="str">
        <f t="shared" si="9"/>
        <v>4th</v>
      </c>
      <c r="AI30" s="5" t="str">
        <f t="shared" si="10"/>
        <v>Wife: Leila Mary Arden BRIERLY (b. 18/12/1894, d. 11/04/1979). Married Leila, at Tunbridge Wells, daughter of J.S. BRIERLY of Aldenham, Hertfordshire.</v>
      </c>
      <c r="AJ30" s="105" t="str">
        <f t="shared" si="14"/>
        <v>Male. b. 06/06/1893, d. 22/01/1955. Educated Repton. Died at Little Pell Farm, Wadhurst.</v>
      </c>
      <c r="AK30" s="105" t="str">
        <f t="shared" si="11"/>
        <v>b. 06/06/1893, d. 22/01/1955.</v>
      </c>
    </row>
    <row r="31" spans="1:37" s="5" customFormat="1" ht="102">
      <c r="A31" s="5">
        <f>VLOOKUP(B31,'Loyd List 1-190 - Edit'!$P$1:$R$219,3,FALSE)</f>
        <v>22</v>
      </c>
      <c r="B31" s="5">
        <f t="shared" si="19"/>
        <v>47</v>
      </c>
      <c r="C31" s="151" t="s">
        <v>2506</v>
      </c>
      <c r="D31" s="6" t="s">
        <v>2200</v>
      </c>
      <c r="E31" s="5" t="s">
        <v>2504</v>
      </c>
      <c r="F31" s="5" t="s">
        <v>931</v>
      </c>
      <c r="G31" s="5" t="s">
        <v>1497</v>
      </c>
      <c r="I31" s="5">
        <f t="shared" si="15"/>
        <v>1899</v>
      </c>
      <c r="J31" s="5">
        <f t="shared" si="16"/>
        <v>1972</v>
      </c>
      <c r="K31" s="152"/>
      <c r="L31" s="7" t="str">
        <f t="shared" si="17"/>
        <v>19/07/1899</v>
      </c>
      <c r="M31" s="8" t="s">
        <v>2505</v>
      </c>
      <c r="N31" s="7">
        <v>14626</v>
      </c>
      <c r="O31" s="7">
        <v>26646</v>
      </c>
      <c r="P31" s="181" t="str">
        <f t="shared" si="0"/>
        <v>13/12/1972</v>
      </c>
      <c r="Q31" s="153" t="str">
        <f>MID(C31,1,LEN(C31)-1)</f>
        <v>47</v>
      </c>
      <c r="R31" s="180" t="str">
        <f t="shared" si="18"/>
        <v>13/12/1972</v>
      </c>
      <c r="S31" s="25" t="s">
        <v>3245</v>
      </c>
      <c r="T31" s="5">
        <f t="shared" si="2"/>
        <v>4</v>
      </c>
      <c r="U31" s="5">
        <f t="shared" si="3"/>
        <v>3</v>
      </c>
      <c r="V31" s="5">
        <f>VLOOKUP(B31,'Loyd List 1-190 - Edit'!$A$2:$B$220,2,FALSE)</f>
        <v>3</v>
      </c>
      <c r="W31" s="155">
        <f t="shared" si="4"/>
        <v>1</v>
      </c>
      <c r="X31" s="105" t="s">
        <v>2509</v>
      </c>
      <c r="Y31" s="105" t="s">
        <v>2508</v>
      </c>
      <c r="Z31" s="164" t="s">
        <v>2507</v>
      </c>
      <c r="AA31" s="6">
        <v>109</v>
      </c>
      <c r="AB31" s="5">
        <f t="shared" si="12"/>
        <v>29</v>
      </c>
      <c r="AC31" s="5">
        <f t="shared" si="13"/>
        <v>1029</v>
      </c>
      <c r="AD31" s="97" t="str">
        <f t="shared" si="5"/>
        <v>47b</v>
      </c>
      <c r="AE31" s="5" t="str">
        <f t="shared" si="6"/>
        <v>Canon Joseph Anthony Loyd HARDCASTLE (1899 - 1972)</v>
      </c>
      <c r="AF31" s="5" t="str">
        <f t="shared" si="7"/>
        <v>Canon Joseph HARDCASTLE (4th &amp; 47)</v>
      </c>
      <c r="AG31" s="110" t="str">
        <f t="shared" si="8"/>
        <v>Male</v>
      </c>
      <c r="AH31" s="5" t="str">
        <f t="shared" si="9"/>
        <v>4th</v>
      </c>
      <c r="AI31" s="5" t="str">
        <f t="shared" si="10"/>
        <v>Wife: Ruth Mary  SETH-SMITH FRZS (b. 27 Nov 1907, d. 14 Aug 1997). m. 16 Jan 1940 Ruth Mary (b. 27 Nov 1907, d. 14 Aug 1997) daughter of David SETH-SMITH FRZS.</v>
      </c>
      <c r="AJ31" s="105" t="str">
        <f t="shared" si="14"/>
        <v>Male. b. 19/07/1899, d. 13/12/1972. Educated Sherborne and Jesus College, Cambridge 1917. Wells Theological College 1919. Deacon 1922. Priest 1924. Curate St Mary’s, Southampton 1922-24. St John Evangelist, Holborn 1924-27. St John the Divine, Kennington 1927-29. Hawarden (in charge of St Francis’ Sandicroft) 1929-34. Vicar of St Mary the Virgin, Primrose Hill 1934-1946. Canon Carlisle Cathedral 1947-52. Died at Farnham Hospital, Surrey.</v>
      </c>
      <c r="AK31" s="105" t="str">
        <f t="shared" si="11"/>
        <v>b. 19/07/1899, d. 13/12/1972.</v>
      </c>
    </row>
    <row r="32" spans="1:37" s="5" customFormat="1" ht="20">
      <c r="A32" s="5">
        <f>VLOOKUP(B32,'Loyd List 1-190 - Edit'!$P$1:$R$219,3,FALSE)</f>
        <v>23</v>
      </c>
      <c r="B32" s="5">
        <f t="shared" si="19"/>
        <v>48</v>
      </c>
      <c r="C32" s="151" t="s">
        <v>2243</v>
      </c>
      <c r="D32" s="6" t="s">
        <v>2240</v>
      </c>
      <c r="E32" s="5" t="s">
        <v>1058</v>
      </c>
      <c r="F32" s="5" t="s">
        <v>2242</v>
      </c>
      <c r="H32" s="5" t="s">
        <v>2242</v>
      </c>
      <c r="I32" s="5">
        <f t="shared" si="15"/>
        <v>1904</v>
      </c>
      <c r="J32" s="5">
        <f t="shared" si="16"/>
        <v>1983</v>
      </c>
      <c r="K32" s="152"/>
      <c r="L32" s="7" t="str">
        <f t="shared" si="17"/>
        <v>15/06/1904</v>
      </c>
      <c r="M32" s="8">
        <v>1628</v>
      </c>
      <c r="N32" s="5" t="s">
        <v>1797</v>
      </c>
      <c r="O32" s="7">
        <v>30447</v>
      </c>
      <c r="P32" s="181" t="str">
        <f t="shared" si="0"/>
        <v>11/05/1983</v>
      </c>
      <c r="Q32" s="153" t="str">
        <f>MID(C32,1,LEN(C32)-1)</f>
        <v>48</v>
      </c>
      <c r="R32" s="180" t="str">
        <f t="shared" si="18"/>
        <v>11/05/1983</v>
      </c>
      <c r="S32" s="24" t="s">
        <v>3244</v>
      </c>
      <c r="T32" s="5">
        <f t="shared" si="2"/>
        <v>4</v>
      </c>
      <c r="U32" s="5">
        <f t="shared" si="3"/>
        <v>3</v>
      </c>
      <c r="V32" s="5">
        <f>VLOOKUP(B32,'Loyd List 1-190 - Edit'!$A$2:$B$220,2,FALSE)</f>
        <v>3</v>
      </c>
      <c r="W32" s="155">
        <f t="shared" si="4"/>
        <v>1</v>
      </c>
      <c r="X32" s="105"/>
      <c r="Y32" s="105"/>
      <c r="Z32" s="164"/>
      <c r="AA32" s="6">
        <v>110</v>
      </c>
      <c r="AB32" s="5">
        <f t="shared" si="12"/>
        <v>30</v>
      </c>
      <c r="AC32" s="5">
        <f t="shared" si="13"/>
        <v>1030</v>
      </c>
      <c r="AD32" s="97" t="str">
        <f t="shared" si="5"/>
        <v>48a</v>
      </c>
      <c r="AE32" s="5" t="str">
        <f t="shared" si="6"/>
        <v>Louisa Mabell  D'OYLY (1904 - 1983)</v>
      </c>
      <c r="AF32" s="5" t="str">
        <f t="shared" si="7"/>
        <v>Mabell D'OYLY (4th &amp; 48)</v>
      </c>
      <c r="AG32" s="110" t="str">
        <f t="shared" si="8"/>
        <v>Female</v>
      </c>
      <c r="AH32" s="5" t="str">
        <f t="shared" si="9"/>
        <v>4th</v>
      </c>
      <c r="AI32" s="5" t="str">
        <f t="shared" si="10"/>
        <v>Unmarried</v>
      </c>
      <c r="AJ32" s="105" t="str">
        <f t="shared" si="14"/>
        <v>Female. b. 15/06/1904, d. 11/05/1983.</v>
      </c>
      <c r="AK32" s="105" t="str">
        <f t="shared" si="11"/>
        <v>b. 15/06/1904, d. 11/05/1983.</v>
      </c>
    </row>
    <row r="33" spans="1:37" s="5" customFormat="1" ht="119">
      <c r="A33" s="5">
        <f>VLOOKUP(B33,'Loyd List 1-190 - Edit'!$P$1:$R$219,3,FALSE)</f>
        <v>41</v>
      </c>
      <c r="B33" s="5">
        <f t="shared" si="19"/>
        <v>63</v>
      </c>
      <c r="C33" s="151" t="s">
        <v>2249</v>
      </c>
      <c r="D33" s="6" t="s">
        <v>2246</v>
      </c>
      <c r="E33" s="5" t="s">
        <v>1083</v>
      </c>
      <c r="F33" s="5" t="s">
        <v>2247</v>
      </c>
      <c r="G33" s="5" t="s">
        <v>1497</v>
      </c>
      <c r="H33" s="5" t="s">
        <v>1497</v>
      </c>
      <c r="I33" s="5">
        <f t="shared" si="15"/>
        <v>1926</v>
      </c>
      <c r="J33" s="5">
        <f t="shared" si="16"/>
        <v>2019</v>
      </c>
      <c r="K33" s="152"/>
      <c r="L33" s="7" t="str">
        <f t="shared" si="17"/>
        <v>19/11/1926</v>
      </c>
      <c r="M33" s="8">
        <v>9820</v>
      </c>
      <c r="N33" s="8">
        <v>17896</v>
      </c>
      <c r="O33" s="7">
        <v>43737</v>
      </c>
      <c r="P33" s="181" t="str">
        <f t="shared" si="0"/>
        <v>29/09/2019</v>
      </c>
      <c r="Q33" s="153" t="str">
        <f t="shared" ref="Q33:Q44" si="20">MID(C33,1,LEN(C33)-1)</f>
        <v>63</v>
      </c>
      <c r="R33" s="180" t="str">
        <f t="shared" si="18"/>
        <v>29/09/2019</v>
      </c>
      <c r="S33" s="25" t="s">
        <v>3245</v>
      </c>
      <c r="T33" s="5">
        <f t="shared" si="2"/>
        <v>5</v>
      </c>
      <c r="U33" s="5">
        <f t="shared" si="3"/>
        <v>3</v>
      </c>
      <c r="V33" s="5">
        <f>VLOOKUP(B33,'Loyd List 1-190 - Edit'!$A$2:$B$220,2,FALSE)</f>
        <v>4</v>
      </c>
      <c r="W33" s="155">
        <f t="shared" si="4"/>
        <v>1</v>
      </c>
      <c r="X33" s="105" t="s">
        <v>2248</v>
      </c>
      <c r="Y33" s="105"/>
      <c r="Z33" s="164" t="s">
        <v>2510</v>
      </c>
      <c r="AA33" s="6">
        <v>111</v>
      </c>
      <c r="AB33" s="5">
        <f t="shared" si="12"/>
        <v>31</v>
      </c>
      <c r="AC33" s="5">
        <f t="shared" si="13"/>
        <v>1031</v>
      </c>
      <c r="AD33" s="97" t="str">
        <f t="shared" si="5"/>
        <v>63a</v>
      </c>
      <c r="AE33" s="5" t="str">
        <f t="shared" si="6"/>
        <v>Frederic Withers Loyd MOORE (1926 - 2019)</v>
      </c>
      <c r="AF33" s="5" t="str">
        <f t="shared" si="7"/>
        <v>Loyd MOORE (5th &amp; 63)</v>
      </c>
      <c r="AG33" s="110" t="str">
        <f t="shared" si="8"/>
        <v>Male</v>
      </c>
      <c r="AH33" s="5" t="str">
        <f t="shared" si="9"/>
        <v>5th</v>
      </c>
      <c r="AI33" s="5" t="str">
        <f t="shared" si="10"/>
        <v xml:space="preserve">Wife: Priscilla Mary MELLIS (b. 26/04/1925, d. ?). </v>
      </c>
      <c r="AJ33" s="105" t="str">
        <f t="shared" si="14"/>
        <v xml:space="preserve">Male. b. 19/11/1926, d. 29/09/2019. of 61 St Clair Avenue, West Apt. 507, Toronto, Ontario, Canada, M4V 2Y8. Baptised 20 Dec 1926 at St Peter &amp; St Paul (The Abbey) Bath. Educated Cheltenham, and Imperial College of Science and Technology (BSc Eng 1949), ACG I, C. Eng, M I Mech E. Liveryman, Clothworkers’ Company 21 Jul 1948. Engine Division of Bristol Aeroplane Company in UK, satellite development with Radio Experimental Stress Engineer with Aero Corporation of America in Canada, Bell Telephone Company of Canada 1966-86. </v>
      </c>
      <c r="AK33" s="105" t="str">
        <f t="shared" si="11"/>
        <v>b. 19/11/1926, d. 29/09/2019.</v>
      </c>
    </row>
    <row r="34" spans="1:37" s="5" customFormat="1" ht="34">
      <c r="A34" s="5">
        <f>VLOOKUP(B34,'Loyd List 1-190 - Edit'!$P$1:$R$219,3,FALSE)</f>
        <v>41</v>
      </c>
      <c r="B34" s="5">
        <f t="shared" si="19"/>
        <v>63</v>
      </c>
      <c r="C34" s="151" t="s">
        <v>2259</v>
      </c>
      <c r="D34" s="6" t="s">
        <v>2246</v>
      </c>
      <c r="E34" s="5" t="s">
        <v>1452</v>
      </c>
      <c r="F34" s="5" t="s">
        <v>863</v>
      </c>
      <c r="H34" s="5" t="s">
        <v>863</v>
      </c>
      <c r="I34" s="5">
        <f t="shared" si="15"/>
        <v>1929</v>
      </c>
      <c r="J34" s="194">
        <v>2020</v>
      </c>
      <c r="K34" s="152"/>
      <c r="L34" s="7" t="str">
        <f t="shared" si="17"/>
        <v>28/06/1929</v>
      </c>
      <c r="M34" s="7">
        <v>10772</v>
      </c>
      <c r="N34" s="7"/>
      <c r="O34" s="7"/>
      <c r="P34" s="181" t="str">
        <f t="shared" si="0"/>
        <v/>
      </c>
      <c r="Q34" s="153" t="str">
        <f t="shared" si="20"/>
        <v>63</v>
      </c>
      <c r="R34" s="180" t="str">
        <f t="shared" si="18"/>
        <v/>
      </c>
      <c r="S34" s="25" t="s">
        <v>3244</v>
      </c>
      <c r="T34" s="5">
        <f t="shared" si="2"/>
        <v>5</v>
      </c>
      <c r="U34" s="5">
        <f t="shared" si="3"/>
        <v>3</v>
      </c>
      <c r="V34" s="5">
        <f>VLOOKUP(B34,'Loyd List 1-190 - Edit'!$A$2:$B$220,2,FALSE)</f>
        <v>4</v>
      </c>
      <c r="W34" s="155">
        <f t="shared" si="4"/>
        <v>1</v>
      </c>
      <c r="X34" s="105"/>
      <c r="Y34" s="105"/>
      <c r="Z34" s="164" t="s">
        <v>2514</v>
      </c>
      <c r="AA34" s="6">
        <v>116</v>
      </c>
      <c r="AB34" s="5">
        <f t="shared" si="12"/>
        <v>32</v>
      </c>
      <c r="AC34" s="5">
        <f t="shared" si="13"/>
        <v>1032</v>
      </c>
      <c r="AD34" s="97" t="str">
        <f t="shared" si="5"/>
        <v>63b</v>
      </c>
      <c r="AE34" s="5" t="str">
        <f t="shared" si="6"/>
        <v>Emma Isabel  MOORE (1929 - 2020)</v>
      </c>
      <c r="AF34" s="5" t="str">
        <f t="shared" si="7"/>
        <v>Isabel MOORE (5th &amp; 63)</v>
      </c>
      <c r="AG34" s="110" t="str">
        <f t="shared" si="8"/>
        <v>Female</v>
      </c>
      <c r="AH34" s="5" t="str">
        <f t="shared" si="9"/>
        <v>5th</v>
      </c>
      <c r="AI34" s="5" t="str">
        <f t="shared" si="10"/>
        <v>Unmarried</v>
      </c>
      <c r="AJ34" s="105" t="str">
        <f t="shared" si="14"/>
        <v>Female. b. 28/06/1929 Isabel of Tormore, Ardvasar, Isle of Skye, IV45 8RP. Baptsied 1 Aug 1929 at St Peter &amp; St Paul (The Abbey) Bath.</v>
      </c>
      <c r="AK34" s="105" t="str">
        <f t="shared" si="11"/>
        <v>b. 28/06/1929</v>
      </c>
    </row>
    <row r="35" spans="1:37" s="5" customFormat="1" ht="34">
      <c r="A35" s="5">
        <f>VLOOKUP(B35,'Loyd List 1-190 - Edit'!$P$1:$R$219,3,FALSE)</f>
        <v>41</v>
      </c>
      <c r="B35" s="5">
        <f t="shared" si="19"/>
        <v>63</v>
      </c>
      <c r="C35" s="151" t="s">
        <v>2260</v>
      </c>
      <c r="D35" s="6" t="s">
        <v>2246</v>
      </c>
      <c r="E35" s="5" t="s">
        <v>2257</v>
      </c>
      <c r="F35" s="5" t="s">
        <v>2258</v>
      </c>
      <c r="I35" s="5">
        <f t="shared" si="15"/>
        <v>1930</v>
      </c>
      <c r="J35" s="5">
        <f t="shared" si="16"/>
        <v>1934</v>
      </c>
      <c r="K35" s="152"/>
      <c r="L35" s="7" t="str">
        <f t="shared" si="17"/>
        <v>29/09/1930</v>
      </c>
      <c r="M35" s="7">
        <v>11230</v>
      </c>
      <c r="O35" s="7">
        <v>12706</v>
      </c>
      <c r="P35" s="181" t="str">
        <f t="shared" si="0"/>
        <v>14/10/1934</v>
      </c>
      <c r="Q35" s="153" t="str">
        <f t="shared" si="20"/>
        <v>63</v>
      </c>
      <c r="R35" s="180" t="str">
        <f t="shared" si="18"/>
        <v>14/10/1934</v>
      </c>
      <c r="S35" s="25" t="s">
        <v>3244</v>
      </c>
      <c r="T35" s="5">
        <f t="shared" si="2"/>
        <v>5</v>
      </c>
      <c r="U35" s="5">
        <f t="shared" si="3"/>
        <v>3</v>
      </c>
      <c r="V35" s="5">
        <f>VLOOKUP(B35,'Loyd List 1-190 - Edit'!$A$2:$B$220,2,FALSE)</f>
        <v>4</v>
      </c>
      <c r="W35" s="155">
        <f t="shared" si="4"/>
        <v>1</v>
      </c>
      <c r="X35" s="105"/>
      <c r="Y35" s="105"/>
      <c r="Z35" s="164" t="s">
        <v>2516</v>
      </c>
      <c r="AA35" s="6">
        <v>117</v>
      </c>
      <c r="AB35" s="5">
        <f t="shared" si="12"/>
        <v>33</v>
      </c>
      <c r="AC35" s="5">
        <f t="shared" si="13"/>
        <v>1033</v>
      </c>
      <c r="AD35" s="97" t="str">
        <f t="shared" si="5"/>
        <v>63c</v>
      </c>
      <c r="AE35" s="5" t="str">
        <f t="shared" si="6"/>
        <v>Veronica Ashwell  MOORE (1930 - 1934)</v>
      </c>
      <c r="AF35" s="5" t="str">
        <f t="shared" si="7"/>
        <v>Veronica MOORE (5th &amp; 63)</v>
      </c>
      <c r="AG35" s="110" t="str">
        <f t="shared" si="8"/>
        <v>Female</v>
      </c>
      <c r="AH35" s="5" t="str">
        <f t="shared" si="9"/>
        <v>5th</v>
      </c>
      <c r="AI35" s="5" t="str">
        <f t="shared" ref="AI35:AI66" si="21">IF(X35="","Unmarried",IF(AG35="Male",_xlfn.CONCAT("Wife: ",X35,". ",Y35),_xlfn.CONCAT("Husband: ",X35,". ",Y35)))</f>
        <v>Unmarried</v>
      </c>
      <c r="AJ35" s="105" t="str">
        <f t="shared" si="14"/>
        <v>Female. b. 29/09/1930, d. 14/10/1934. Baptised 1 Aug 1929 at St Peter &amp; St Paul (The Abbey) Bath. Died 15 Sep 1968 in Skye, buried in Lansdown Cemetery, Bath.</v>
      </c>
      <c r="AK35" s="105" t="str">
        <f t="shared" si="11"/>
        <v>b. 29/09/1930, d. 14/10/1934.</v>
      </c>
    </row>
    <row r="36" spans="1:37" s="5" customFormat="1" ht="34">
      <c r="A36" s="5">
        <f>VLOOKUP(B36,'Loyd List 1-190 - Edit'!$P$1:$R$219,3,FALSE)</f>
        <v>34</v>
      </c>
      <c r="B36" s="5">
        <f t="shared" si="19"/>
        <v>65</v>
      </c>
      <c r="C36" s="151" t="s">
        <v>2265</v>
      </c>
      <c r="D36" s="6" t="s">
        <v>2264</v>
      </c>
      <c r="E36" s="5" t="s">
        <v>861</v>
      </c>
      <c r="F36" s="5" t="s">
        <v>822</v>
      </c>
      <c r="I36" s="5">
        <f t="shared" ref="I36:I67" si="22">IF(L36="","",VALUE(RIGHT(L36,4)))</f>
        <v>1913</v>
      </c>
      <c r="J36" s="5" t="str">
        <f t="shared" ref="J36:J67" si="23">IF(O36="","",VALUE(RIGHT(TEXT(O36,"dd/mm/yyyy"),4)))</f>
        <v/>
      </c>
      <c r="K36" s="152"/>
      <c r="L36" s="7" t="str">
        <f t="shared" ref="L36:L67" si="24">IF(M36="","",TEXT(M36,"dd/mm/yyyy"))</f>
        <v>05/04/1913</v>
      </c>
      <c r="M36" s="8">
        <v>4844</v>
      </c>
      <c r="N36" s="7"/>
      <c r="O36" s="7"/>
      <c r="P36" s="181" t="str">
        <f t="shared" si="0"/>
        <v/>
      </c>
      <c r="Q36" s="153" t="str">
        <f t="shared" si="20"/>
        <v>65</v>
      </c>
      <c r="R36" s="180" t="str">
        <f t="shared" si="18"/>
        <v/>
      </c>
      <c r="S36" s="25" t="s">
        <v>3244</v>
      </c>
      <c r="T36" s="5">
        <f t="shared" si="2"/>
        <v>5</v>
      </c>
      <c r="U36" s="5">
        <f t="shared" si="3"/>
        <v>3</v>
      </c>
      <c r="V36" s="5">
        <f>VLOOKUP(B36,'Loyd List 1-190 - Edit'!$A$2:$B$220,2,FALSE)</f>
        <v>4</v>
      </c>
      <c r="W36" s="155">
        <f t="shared" si="4"/>
        <v>1</v>
      </c>
      <c r="X36" s="105"/>
      <c r="Y36" s="105" t="s">
        <v>2517</v>
      </c>
      <c r="Z36" s="164" t="s">
        <v>2519</v>
      </c>
      <c r="AA36" s="6">
        <v>118</v>
      </c>
      <c r="AB36" s="5">
        <f t="shared" ref="AB36:AB67" si="25">AB35+1</f>
        <v>34</v>
      </c>
      <c r="AC36" s="5">
        <f t="shared" si="13"/>
        <v>1034</v>
      </c>
      <c r="AD36" s="97" t="str">
        <f t="shared" si="5"/>
        <v>65a</v>
      </c>
      <c r="AE36" s="5" t="str">
        <f t="shared" si="6"/>
        <v>Audrey Haig  WHEELER (1913 - )</v>
      </c>
      <c r="AF36" s="5" t="str">
        <f t="shared" si="7"/>
        <v>Audrey WHEELER (5th &amp; 65)</v>
      </c>
      <c r="AG36" s="110" t="str">
        <f t="shared" si="8"/>
        <v>Female</v>
      </c>
      <c r="AH36" s="5" t="str">
        <f t="shared" si="9"/>
        <v>5th</v>
      </c>
      <c r="AI36" s="5" t="str">
        <f t="shared" si="21"/>
        <v>Unmarried</v>
      </c>
      <c r="AJ36" s="105" t="str">
        <f t="shared" si="14"/>
        <v>Female. b. 05/04/1913 Audrey WHEELER of Spinnakers, 1 Pedn Moran, St Mawes, Cornwall, TR2 5BA.</v>
      </c>
      <c r="AK36" s="105" t="str">
        <f t="shared" si="11"/>
        <v>b. 05/04/1913</v>
      </c>
    </row>
    <row r="37" spans="1:37" s="5" customFormat="1" ht="153">
      <c r="A37" s="5">
        <f>VLOOKUP(B37,'Loyd List 1-190 - Edit'!$P$1:$R$219,3,FALSE)</f>
        <v>34</v>
      </c>
      <c r="B37" s="5">
        <f t="shared" si="19"/>
        <v>65</v>
      </c>
      <c r="C37" s="151" t="s">
        <v>2268</v>
      </c>
      <c r="D37" s="6" t="s">
        <v>2264</v>
      </c>
      <c r="E37" s="5" t="s">
        <v>2266</v>
      </c>
      <c r="F37" s="5" t="s">
        <v>2267</v>
      </c>
      <c r="G37" s="5" t="s">
        <v>822</v>
      </c>
      <c r="I37" s="5">
        <f t="shared" si="22"/>
        <v>1924</v>
      </c>
      <c r="J37" s="5" t="str">
        <f t="shared" si="23"/>
        <v/>
      </c>
      <c r="K37" s="152"/>
      <c r="L37" s="7" t="str">
        <f t="shared" si="24"/>
        <v>04/02/1924</v>
      </c>
      <c r="M37" s="8">
        <v>8801</v>
      </c>
      <c r="N37" s="7"/>
      <c r="O37" s="7"/>
      <c r="P37" s="181" t="str">
        <f t="shared" si="0"/>
        <v/>
      </c>
      <c r="Q37" s="153" t="str">
        <f t="shared" si="20"/>
        <v>65</v>
      </c>
      <c r="R37" s="180" t="str">
        <f t="shared" si="18"/>
        <v/>
      </c>
      <c r="S37" s="25" t="s">
        <v>3244</v>
      </c>
      <c r="T37" s="5">
        <f t="shared" si="2"/>
        <v>5</v>
      </c>
      <c r="U37" s="5">
        <f t="shared" si="3"/>
        <v>3</v>
      </c>
      <c r="V37" s="5">
        <f>VLOOKUP(B37,'Loyd List 1-190 - Edit'!$A$2:$B$220,2,FALSE)</f>
        <v>4</v>
      </c>
      <c r="W37" s="155">
        <f t="shared" si="4"/>
        <v>1</v>
      </c>
      <c r="X37" s="105"/>
      <c r="Y37" s="105"/>
      <c r="Z37" s="164" t="s">
        <v>2521</v>
      </c>
      <c r="AA37" s="6">
        <v>119</v>
      </c>
      <c r="AB37" s="5">
        <f t="shared" si="25"/>
        <v>35</v>
      </c>
      <c r="AC37" s="5">
        <f t="shared" si="13"/>
        <v>1035</v>
      </c>
      <c r="AD37" s="97" t="str">
        <f t="shared" si="5"/>
        <v>65b</v>
      </c>
      <c r="AE37" s="5" t="str">
        <f t="shared" si="6"/>
        <v>Norma Monica Haig WHEELER (1924 - )</v>
      </c>
      <c r="AF37" s="5" t="str">
        <f t="shared" si="7"/>
        <v>Norma WHEELER (5th &amp; 65)</v>
      </c>
      <c r="AG37" s="110" t="str">
        <f t="shared" si="8"/>
        <v>Female</v>
      </c>
      <c r="AH37" s="5" t="str">
        <f t="shared" si="9"/>
        <v>5th</v>
      </c>
      <c r="AI37" s="5" t="str">
        <f t="shared" si="21"/>
        <v>Unmarried</v>
      </c>
      <c r="AJ37" s="105" t="str">
        <f t="shared" si="14"/>
        <v>Female. b. 04/02/1924 Norma WHEELER of 7 Enys Quay, Truro, Cornwall, TR1 2HH. Baptised 17 Apr 1924 at St Andrew’s, Rugby. Educated Moreton Hall, Shropshire 1934-41, London Chamber of Commerce, Higher French (Gold Medalist) 1943, Archbishop’s (Lambeth) Dip in Theology 1954, Reading University, Inst of Education. (Cert in Ed) 1965 and London University, Teaching of Music (adv Dip) 1972. Government Communications 1943-45. Private Secretary to Bishop of Truro (Rt Rev J W Hunkin) 1948-50. Church trg &amp; voc work 1950-59. British Council 1960-63. Reading LEA, teaching 1965-79. Reading University, Dep of Russian 1980-84.</v>
      </c>
      <c r="AK37" s="105" t="str">
        <f t="shared" si="11"/>
        <v>b. 04/02/1924</v>
      </c>
    </row>
    <row r="38" spans="1:37" s="5" customFormat="1" ht="102">
      <c r="A38" s="5">
        <f>VLOOKUP(B38,'Loyd List 1-190 - Edit'!$P$1:$R$219,3,FALSE)</f>
        <v>34</v>
      </c>
      <c r="B38" s="5">
        <f t="shared" ref="B38:B65" si="26">VALUE(LEFT(C38,2))</f>
        <v>65</v>
      </c>
      <c r="C38" s="151" t="s">
        <v>2269</v>
      </c>
      <c r="D38" s="6" t="s">
        <v>2264</v>
      </c>
      <c r="E38" s="5" t="s">
        <v>818</v>
      </c>
      <c r="F38" s="5" t="s">
        <v>841</v>
      </c>
      <c r="G38" s="5" t="s">
        <v>822</v>
      </c>
      <c r="I38" s="5">
        <f t="shared" si="22"/>
        <v>1926</v>
      </c>
      <c r="J38" s="5" t="str">
        <f t="shared" si="23"/>
        <v/>
      </c>
      <c r="K38" s="152"/>
      <c r="L38" s="7" t="str">
        <f t="shared" si="24"/>
        <v>03/09/1926</v>
      </c>
      <c r="M38" s="8">
        <v>9743</v>
      </c>
      <c r="N38" s="7">
        <v>25689</v>
      </c>
      <c r="O38" s="7"/>
      <c r="P38" s="181" t="str">
        <f t="shared" si="0"/>
        <v/>
      </c>
      <c r="Q38" s="153" t="str">
        <f t="shared" si="20"/>
        <v>65</v>
      </c>
      <c r="R38" s="180" t="str">
        <f t="shared" si="18"/>
        <v/>
      </c>
      <c r="S38" s="25" t="s">
        <v>3245</v>
      </c>
      <c r="T38" s="5">
        <f t="shared" si="2"/>
        <v>5</v>
      </c>
      <c r="U38" s="5">
        <f t="shared" si="3"/>
        <v>3</v>
      </c>
      <c r="V38" s="5">
        <f>VLOOKUP(B38,'Loyd List 1-190 - Edit'!$A$2:$B$220,2,FALSE)</f>
        <v>4</v>
      </c>
      <c r="W38" s="155">
        <f t="shared" si="4"/>
        <v>1</v>
      </c>
      <c r="X38" s="105" t="s">
        <v>2270</v>
      </c>
      <c r="Y38" s="105" t="s">
        <v>2523</v>
      </c>
      <c r="Z38" s="164" t="s">
        <v>2522</v>
      </c>
      <c r="AA38" s="6">
        <v>120</v>
      </c>
      <c r="AB38" s="5">
        <f t="shared" si="25"/>
        <v>36</v>
      </c>
      <c r="AC38" s="5">
        <f t="shared" si="13"/>
        <v>1036</v>
      </c>
      <c r="AD38" s="97" t="str">
        <f t="shared" si="5"/>
        <v>65c</v>
      </c>
      <c r="AE38" s="5" t="str">
        <f t="shared" si="6"/>
        <v>Basil Norman Haig WHEELER (1926 - )</v>
      </c>
      <c r="AF38" s="5" t="str">
        <f t="shared" si="7"/>
        <v>Basil WHEELER (5th &amp; 65)</v>
      </c>
      <c r="AG38" s="110" t="str">
        <f t="shared" si="8"/>
        <v>Male</v>
      </c>
      <c r="AH38" s="5" t="str">
        <f t="shared" si="9"/>
        <v>5th</v>
      </c>
      <c r="AI38" s="5" t="str">
        <f t="shared" si="21"/>
        <v>Wife: Pierrette CORCOS (b. 10/10/1944, d. ?). Married Pierrette (b. 10 Oct 1944) 3rd daughter of Salomon CORCOS of Safi, Morocco.</v>
      </c>
      <c r="AJ38" s="105" t="str">
        <f t="shared" si="14"/>
        <v>Male. b. 03/09/1926 Basil WHEELER of 3 Blandford Close, London, N2 0DH. Baptised 25 Nov 1926 at St Andrew’s, Rugby. Educated Marlborough 1940-44 and Christ’s College, Cambridge 1948-50 (BA). Oversea Civil Service, Uganda (Administration) 1951-62. Inter-Univ Council for Higher Education Overseas 1964-69. International African Institute 1972-76. Rand Medical Recruitment International from 1977, Proprietor from 1990.</v>
      </c>
      <c r="AK38" s="105" t="str">
        <f t="shared" si="11"/>
        <v>b. 03/09/1926</v>
      </c>
    </row>
    <row r="39" spans="1:37" s="5" customFormat="1" ht="86">
      <c r="A39" s="5">
        <f>VLOOKUP(B39,'Loyd List 1-190 - Edit'!$P$1:$R$219,3,FALSE)</f>
        <v>46</v>
      </c>
      <c r="B39" s="5">
        <f t="shared" si="26"/>
        <v>70</v>
      </c>
      <c r="C39" s="151" t="s">
        <v>2277</v>
      </c>
      <c r="D39" s="6" t="s">
        <v>2278</v>
      </c>
      <c r="E39" s="5" t="s">
        <v>2279</v>
      </c>
      <c r="F39" s="5" t="s">
        <v>1826</v>
      </c>
      <c r="I39" s="5">
        <f t="shared" si="22"/>
        <v>1921</v>
      </c>
      <c r="J39" s="5">
        <f t="shared" si="23"/>
        <v>1990</v>
      </c>
      <c r="K39" s="152"/>
      <c r="L39" s="7" t="str">
        <f t="shared" si="24"/>
        <v>11/10/1921</v>
      </c>
      <c r="M39" s="7">
        <v>7955</v>
      </c>
      <c r="N39" s="8">
        <v>18280</v>
      </c>
      <c r="O39" s="7">
        <v>32962</v>
      </c>
      <c r="P39" s="181" t="str">
        <f t="shared" si="0"/>
        <v>30/03/1990</v>
      </c>
      <c r="Q39" s="153" t="str">
        <f t="shared" si="20"/>
        <v>70</v>
      </c>
      <c r="R39" s="180" t="str">
        <f t="shared" si="18"/>
        <v>30/03/1990</v>
      </c>
      <c r="S39" s="25" t="s">
        <v>3244</v>
      </c>
      <c r="T39" s="5">
        <f t="shared" si="2"/>
        <v>5</v>
      </c>
      <c r="U39" s="5">
        <f t="shared" si="3"/>
        <v>3</v>
      </c>
      <c r="V39" s="5">
        <f>VLOOKUP(B39,'Loyd List 1-190 - Edit'!$A$2:$B$220,2,FALSE)</f>
        <v>4</v>
      </c>
      <c r="W39" s="155">
        <f t="shared" si="4"/>
        <v>1</v>
      </c>
      <c r="X39" s="105" t="s">
        <v>2280</v>
      </c>
      <c r="Y39" s="105" t="s">
        <v>2525</v>
      </c>
      <c r="Z39" s="164" t="s">
        <v>2528</v>
      </c>
      <c r="AA39" s="6">
        <v>123</v>
      </c>
      <c r="AB39" s="5">
        <f t="shared" si="25"/>
        <v>37</v>
      </c>
      <c r="AC39" s="5">
        <f t="shared" si="13"/>
        <v>1037</v>
      </c>
      <c r="AD39" s="97" t="str">
        <f t="shared" si="5"/>
        <v>70a</v>
      </c>
      <c r="AE39" s="5" t="str">
        <f t="shared" si="6"/>
        <v>Cynthia Violet  MICKLEM (1921 - 1990)</v>
      </c>
      <c r="AF39" s="5" t="str">
        <f t="shared" si="7"/>
        <v>Cynthia MICKLEM (5th &amp; 70)</v>
      </c>
      <c r="AG39" s="110" t="str">
        <f t="shared" si="8"/>
        <v>Female</v>
      </c>
      <c r="AH39" s="5" t="str">
        <f t="shared" si="9"/>
        <v>5th</v>
      </c>
      <c r="AI39" s="5" t="str">
        <f t="shared" si="21"/>
        <v>Husband: William Alan Watson SAHEARER (b. 13/08/1917, d. 09/07/1995). William SHEARER of Poplars Farm, Wollaston, Wellingborough, Northamptonshire. Died at Poplars Farm, buried in Wollaston Cemetery.</v>
      </c>
      <c r="AJ39" s="105" t="str">
        <f t="shared" si="14"/>
        <v>Female. b. 11/10/1921, d. 30/03/1990. SRN. Died at Poplars Farm, buried in Wollaston Cemetery.</v>
      </c>
      <c r="AK39" s="105" t="str">
        <f t="shared" si="11"/>
        <v>b. 11/10/1921, d. 30/03/1990.</v>
      </c>
    </row>
    <row r="40" spans="1:37" s="5" customFormat="1" ht="52">
      <c r="A40" s="5">
        <f>VLOOKUP(B40,'Loyd List 1-190 - Edit'!$P$1:$R$219,3,FALSE)</f>
        <v>46</v>
      </c>
      <c r="B40" s="5">
        <f t="shared" si="26"/>
        <v>70</v>
      </c>
      <c r="C40" s="151" t="s">
        <v>2298</v>
      </c>
      <c r="D40" s="6" t="s">
        <v>2278</v>
      </c>
      <c r="E40" s="5" t="s">
        <v>2295</v>
      </c>
      <c r="F40" s="5" t="s">
        <v>882</v>
      </c>
      <c r="I40" s="5">
        <f t="shared" si="22"/>
        <v>1924</v>
      </c>
      <c r="J40" s="5" t="str">
        <f t="shared" si="23"/>
        <v/>
      </c>
      <c r="K40" s="152"/>
      <c r="L40" s="7" t="str">
        <f t="shared" si="24"/>
        <v>06/04/1924</v>
      </c>
      <c r="M40" s="7">
        <v>8863</v>
      </c>
      <c r="N40" s="8">
        <v>19873</v>
      </c>
      <c r="O40" s="7"/>
      <c r="P40" s="181" t="str">
        <f t="shared" si="0"/>
        <v/>
      </c>
      <c r="Q40" s="153" t="str">
        <f t="shared" si="20"/>
        <v>70</v>
      </c>
      <c r="R40" s="180" t="str">
        <f t="shared" si="18"/>
        <v/>
      </c>
      <c r="S40" s="25" t="s">
        <v>3244</v>
      </c>
      <c r="T40" s="5">
        <f t="shared" si="2"/>
        <v>5</v>
      </c>
      <c r="U40" s="5">
        <f t="shared" si="3"/>
        <v>3</v>
      </c>
      <c r="V40" s="5">
        <f>VLOOKUP(B40,'Loyd List 1-190 - Edit'!$A$2:$B$220,2,FALSE)</f>
        <v>4</v>
      </c>
      <c r="W40" s="155">
        <f t="shared" si="4"/>
        <v>1</v>
      </c>
      <c r="X40" s="105" t="s">
        <v>2297</v>
      </c>
      <c r="Y40" s="105" t="s">
        <v>2529</v>
      </c>
      <c r="Z40" s="164"/>
      <c r="AA40" s="6">
        <v>131</v>
      </c>
      <c r="AB40" s="5">
        <f t="shared" si="25"/>
        <v>38</v>
      </c>
      <c r="AC40" s="5">
        <f t="shared" si="13"/>
        <v>1038</v>
      </c>
      <c r="AD40" s="97" t="str">
        <f t="shared" si="5"/>
        <v>70b</v>
      </c>
      <c r="AE40" s="5" t="str">
        <f t="shared" si="6"/>
        <v>Dora Margaret  MICKLEM (1924 - )</v>
      </c>
      <c r="AF40" s="5" t="str">
        <f t="shared" si="7"/>
        <v>Dora MICKLEM (5th &amp; 70)</v>
      </c>
      <c r="AG40" s="110" t="str">
        <f t="shared" si="8"/>
        <v>Female</v>
      </c>
      <c r="AH40" s="5" t="str">
        <f t="shared" si="9"/>
        <v>5th</v>
      </c>
      <c r="AI40" s="5" t="str">
        <f t="shared" si="21"/>
        <v>Husband: Peter MELITUS (b. 24/09/1922, d. ?). Married Peter MELITUS Captain, King’s Hussars, of 72 Manor Road, Dorchester, Dorset DT1 2AZ.</v>
      </c>
      <c r="AJ40" s="105" t="str">
        <f t="shared" si="14"/>
        <v>Female. b. 06/04/1924</v>
      </c>
      <c r="AK40" s="105" t="str">
        <f t="shared" si="11"/>
        <v>b. 06/04/1924</v>
      </c>
    </row>
    <row r="41" spans="1:37" s="5" customFormat="1" ht="69">
      <c r="A41" s="5">
        <f>VLOOKUP(B41,'Loyd List 1-190 - Edit'!$P$1:$R$219,3,FALSE)</f>
        <v>46</v>
      </c>
      <c r="B41" s="5">
        <f t="shared" si="26"/>
        <v>70</v>
      </c>
      <c r="C41" s="151" t="s">
        <v>2312</v>
      </c>
      <c r="D41" s="6" t="s">
        <v>2278</v>
      </c>
      <c r="E41" s="5" t="s">
        <v>839</v>
      </c>
      <c r="F41" s="5" t="s">
        <v>799</v>
      </c>
      <c r="I41" s="5">
        <f t="shared" si="22"/>
        <v>1925</v>
      </c>
      <c r="J41" s="5" t="str">
        <f t="shared" si="23"/>
        <v/>
      </c>
      <c r="K41" s="152"/>
      <c r="L41" s="7" t="str">
        <f t="shared" si="24"/>
        <v>24/09/1925</v>
      </c>
      <c r="M41" s="8">
        <v>9399</v>
      </c>
      <c r="N41" s="7">
        <v>18606</v>
      </c>
      <c r="O41" s="7"/>
      <c r="P41" s="181" t="str">
        <f t="shared" si="0"/>
        <v/>
      </c>
      <c r="Q41" s="153" t="str">
        <f t="shared" si="20"/>
        <v>70</v>
      </c>
      <c r="R41" s="180" t="str">
        <f t="shared" si="18"/>
        <v/>
      </c>
      <c r="S41" s="25" t="s">
        <v>3244</v>
      </c>
      <c r="T41" s="5">
        <f t="shared" si="2"/>
        <v>5</v>
      </c>
      <c r="U41" s="5">
        <f t="shared" si="3"/>
        <v>3</v>
      </c>
      <c r="V41" s="5">
        <f>VLOOKUP(B41,'Loyd List 1-190 - Edit'!$A$2:$B$220,2,FALSE)</f>
        <v>4</v>
      </c>
      <c r="W41" s="155">
        <f t="shared" si="4"/>
        <v>1</v>
      </c>
      <c r="X41" s="105" t="s">
        <v>2313</v>
      </c>
      <c r="Y41" s="165" t="s">
        <v>2536</v>
      </c>
      <c r="Z41" s="164" t="s">
        <v>2535</v>
      </c>
      <c r="AA41" s="6">
        <v>139</v>
      </c>
      <c r="AB41" s="5">
        <f t="shared" si="25"/>
        <v>39</v>
      </c>
      <c r="AC41" s="5">
        <f t="shared" si="13"/>
        <v>1039</v>
      </c>
      <c r="AD41" s="97" t="str">
        <f t="shared" si="5"/>
        <v>70c</v>
      </c>
      <c r="AE41" s="5" t="str">
        <f t="shared" si="6"/>
        <v>Anne Gertrude  MICKLEM (1925 - )</v>
      </c>
      <c r="AF41" s="5" t="str">
        <f t="shared" si="7"/>
        <v>Anne MICKLEM (5th &amp; 70)</v>
      </c>
      <c r="AG41" s="110" t="str">
        <f t="shared" si="8"/>
        <v>Female</v>
      </c>
      <c r="AH41" s="5" t="str">
        <f t="shared" si="9"/>
        <v>5th</v>
      </c>
      <c r="AI41" s="5" t="str">
        <f t="shared" si="21"/>
        <v>Husband: Sir Arthur John (Jack) PAGE (b. 16/09/1919, d.?). Married  Sir Arthur John (Jack) of Hitcham Lodge, Taplow, Maidenhead, Berkshire, SL6 0HG. MP for Harrow West 1960-87.</v>
      </c>
      <c r="AJ41" s="105" t="str">
        <f t="shared" si="14"/>
        <v>Female. b. 24/09/1925 Educated Cambridge (MA).</v>
      </c>
      <c r="AK41" s="105" t="str">
        <f t="shared" si="11"/>
        <v>b. 24/09/1925</v>
      </c>
    </row>
    <row r="42" spans="1:37" s="5" customFormat="1" ht="35">
      <c r="A42" s="5">
        <f>VLOOKUP(B42,'Loyd List 1-190 - Edit'!$P$1:$R$219,3,FALSE)</f>
        <v>46</v>
      </c>
      <c r="B42" s="5">
        <f t="shared" si="26"/>
        <v>70</v>
      </c>
      <c r="C42" s="151" t="s">
        <v>2328</v>
      </c>
      <c r="D42" s="6" t="s">
        <v>2278</v>
      </c>
      <c r="E42" s="5" t="s">
        <v>852</v>
      </c>
      <c r="F42" s="5" t="s">
        <v>917</v>
      </c>
      <c r="G42" s="5" t="s">
        <v>2970</v>
      </c>
      <c r="H42" s="5" t="s">
        <v>2327</v>
      </c>
      <c r="I42" s="5">
        <f t="shared" si="22"/>
        <v>1926</v>
      </c>
      <c r="J42" s="5" t="str">
        <f t="shared" si="23"/>
        <v/>
      </c>
      <c r="K42" s="152"/>
      <c r="L42" s="7" t="str">
        <f t="shared" si="24"/>
        <v>04/11/1926</v>
      </c>
      <c r="M42" s="8">
        <v>9805</v>
      </c>
      <c r="N42" s="7">
        <v>20986</v>
      </c>
      <c r="O42" s="7"/>
      <c r="P42" s="181" t="str">
        <f t="shared" si="0"/>
        <v/>
      </c>
      <c r="Q42" s="153" t="str">
        <f t="shared" si="20"/>
        <v>70</v>
      </c>
      <c r="R42" s="180" t="str">
        <f t="shared" si="18"/>
        <v/>
      </c>
      <c r="S42" s="25" t="s">
        <v>3245</v>
      </c>
      <c r="T42" s="5">
        <f t="shared" si="2"/>
        <v>5</v>
      </c>
      <c r="U42" s="5">
        <f t="shared" si="3"/>
        <v>3</v>
      </c>
      <c r="V42" s="5">
        <f>VLOOKUP(B42,'Loyd List 1-190 - Edit'!$A$2:$B$220,2,FALSE)</f>
        <v>4</v>
      </c>
      <c r="W42" s="155">
        <f t="shared" si="4"/>
        <v>1</v>
      </c>
      <c r="X42" s="105" t="s">
        <v>2329</v>
      </c>
      <c r="Y42" s="105"/>
      <c r="Z42" s="164" t="s">
        <v>2546</v>
      </c>
      <c r="AA42" s="6">
        <v>145</v>
      </c>
      <c r="AB42" s="5">
        <f t="shared" si="25"/>
        <v>40</v>
      </c>
      <c r="AC42" s="5">
        <f t="shared" si="13"/>
        <v>1040</v>
      </c>
      <c r="AD42" s="97" t="str">
        <f t="shared" si="5"/>
        <v>70d</v>
      </c>
      <c r="AE42" s="5" t="str">
        <f t="shared" si="6"/>
        <v>Thomas Charles Weguelin MICKLEM (1926 - )</v>
      </c>
      <c r="AF42" s="5" t="str">
        <f t="shared" si="7"/>
        <v>Tom MICKLEM (5th &amp; 70)</v>
      </c>
      <c r="AG42" s="110" t="str">
        <f t="shared" si="8"/>
        <v>Male</v>
      </c>
      <c r="AH42" s="5" t="str">
        <f t="shared" si="9"/>
        <v>5th</v>
      </c>
      <c r="AI42" s="5" t="str">
        <f t="shared" si="21"/>
        <v xml:space="preserve">Wife: Marian Cicely CRACROFT-AMCOTTS (b. 13/09/1931, d. ). </v>
      </c>
      <c r="AJ42" s="105" t="str">
        <f t="shared" si="14"/>
        <v xml:space="preserve">Male. b. 04/11/1926 Tom of Foxbridge Farm, Kirdford, Billinghurst, Sussex. RH14 0LB. Educated Eton. </v>
      </c>
      <c r="AK42" s="105" t="str">
        <f t="shared" si="11"/>
        <v>b. 04/11/1926</v>
      </c>
    </row>
    <row r="43" spans="1:37" s="5" customFormat="1" ht="52">
      <c r="A43" s="5">
        <f>VLOOKUP(B43,'Loyd List 1-190 - Edit'!$P$1:$R$219,3,FALSE)</f>
        <v>46</v>
      </c>
      <c r="B43" s="5">
        <f t="shared" si="26"/>
        <v>70</v>
      </c>
      <c r="C43" s="151" t="s">
        <v>2346</v>
      </c>
      <c r="D43" s="6" t="s">
        <v>2278</v>
      </c>
      <c r="E43" s="5" t="s">
        <v>952</v>
      </c>
      <c r="F43" s="5" t="s">
        <v>1752</v>
      </c>
      <c r="I43" s="5">
        <f t="shared" si="22"/>
        <v>1929</v>
      </c>
      <c r="J43" s="5" t="str">
        <f t="shared" si="23"/>
        <v/>
      </c>
      <c r="K43" s="152"/>
      <c r="L43" s="7" t="str">
        <f t="shared" si="24"/>
        <v>16/02/1929</v>
      </c>
      <c r="M43" s="10" t="s">
        <v>2989</v>
      </c>
      <c r="N43" s="7">
        <v>19784</v>
      </c>
      <c r="O43" s="7"/>
      <c r="P43" s="181" t="str">
        <f t="shared" si="0"/>
        <v/>
      </c>
      <c r="Q43" s="153" t="str">
        <f t="shared" si="20"/>
        <v>70</v>
      </c>
      <c r="R43" s="180" t="str">
        <f t="shared" si="18"/>
        <v/>
      </c>
      <c r="S43" s="25" t="s">
        <v>3244</v>
      </c>
      <c r="T43" s="5">
        <f t="shared" si="2"/>
        <v>5</v>
      </c>
      <c r="U43" s="5">
        <f t="shared" si="3"/>
        <v>3</v>
      </c>
      <c r="V43" s="5">
        <f>VLOOKUP(B43,'Loyd List 1-190 - Edit'!$A$2:$B$220,2,FALSE)</f>
        <v>4</v>
      </c>
      <c r="W43" s="155">
        <f t="shared" si="4"/>
        <v>1</v>
      </c>
      <c r="X43" s="105" t="s">
        <v>2347</v>
      </c>
      <c r="Y43" s="105" t="s">
        <v>2547</v>
      </c>
      <c r="Z43" s="167"/>
      <c r="AA43" s="6">
        <v>152</v>
      </c>
      <c r="AB43" s="5">
        <f t="shared" si="25"/>
        <v>41</v>
      </c>
      <c r="AC43" s="5">
        <f t="shared" si="13"/>
        <v>1041</v>
      </c>
      <c r="AD43" s="97" t="str">
        <f t="shared" si="5"/>
        <v>70e</v>
      </c>
      <c r="AE43" s="5" t="str">
        <f t="shared" si="6"/>
        <v>Elizabeth Paula  MICKLEM (1929 - )</v>
      </c>
      <c r="AF43" s="5" t="str">
        <f t="shared" si="7"/>
        <v>Elizabeth MICKLEM (5th &amp; 70)</v>
      </c>
      <c r="AG43" s="110" t="str">
        <f t="shared" si="8"/>
        <v>Female</v>
      </c>
      <c r="AH43" s="5" t="str">
        <f t="shared" si="9"/>
        <v>5th</v>
      </c>
      <c r="AI43" s="5" t="str">
        <f t="shared" si="21"/>
        <v>Husband: Peter RAINSFORD (b. 26/05/1921) (Divorced). Peter of Whealspeed House, Corbis Bay, St. Ives, Cornwall.</v>
      </c>
      <c r="AJ43" s="105" t="str">
        <f t="shared" si="14"/>
        <v>Female. b. 16/02/1929</v>
      </c>
      <c r="AK43" s="105" t="str">
        <f t="shared" si="11"/>
        <v>b. 16/02/1929</v>
      </c>
    </row>
    <row r="44" spans="1:37" s="5" customFormat="1" ht="20">
      <c r="A44" s="5">
        <f>VLOOKUP(B44,'Loyd List 1-190 - Edit'!$P$1:$R$219,3,FALSE)</f>
        <v>46</v>
      </c>
      <c r="B44" s="5">
        <f t="shared" si="26"/>
        <v>70</v>
      </c>
      <c r="C44" s="151" t="s">
        <v>2348</v>
      </c>
      <c r="D44" s="6" t="s">
        <v>2278</v>
      </c>
      <c r="E44" s="5" t="s">
        <v>2319</v>
      </c>
      <c r="F44" s="5" t="s">
        <v>807</v>
      </c>
      <c r="G44" s="5" t="s">
        <v>2349</v>
      </c>
      <c r="I44" s="5">
        <f t="shared" si="22"/>
        <v>1931</v>
      </c>
      <c r="J44" s="5">
        <f t="shared" si="23"/>
        <v>1950</v>
      </c>
      <c r="K44" s="152"/>
      <c r="L44" s="7" t="str">
        <f t="shared" si="24"/>
        <v>21/09/1931</v>
      </c>
      <c r="M44" s="10" t="s">
        <v>2992</v>
      </c>
      <c r="N44" s="5" t="s">
        <v>1797</v>
      </c>
      <c r="O44" s="7">
        <v>18546</v>
      </c>
      <c r="P44" s="181" t="str">
        <f t="shared" si="0"/>
        <v>10/10/1950</v>
      </c>
      <c r="Q44" s="153" t="str">
        <f t="shared" si="20"/>
        <v>70</v>
      </c>
      <c r="R44" s="180" t="str">
        <f t="shared" si="18"/>
        <v>10/10/1950</v>
      </c>
      <c r="S44" s="25" t="s">
        <v>3245</v>
      </c>
      <c r="T44" s="5">
        <f t="shared" si="2"/>
        <v>5</v>
      </c>
      <c r="U44" s="5">
        <f t="shared" si="3"/>
        <v>3</v>
      </c>
      <c r="V44" s="5">
        <f>VLOOKUP(B44,'Loyd List 1-190 - Edit'!$A$2:$B$220,2,FALSE)</f>
        <v>4</v>
      </c>
      <c r="W44" s="155">
        <f t="shared" si="4"/>
        <v>1</v>
      </c>
      <c r="X44" s="105"/>
      <c r="Y44" s="105"/>
      <c r="Z44" s="164" t="s">
        <v>2548</v>
      </c>
      <c r="AA44" s="6">
        <v>153</v>
      </c>
      <c r="AB44" s="5">
        <f t="shared" si="25"/>
        <v>42</v>
      </c>
      <c r="AC44" s="5">
        <f t="shared" si="13"/>
        <v>1042</v>
      </c>
      <c r="AD44" s="97" t="str">
        <f t="shared" si="5"/>
        <v>70f</v>
      </c>
      <c r="AE44" s="5" t="str">
        <f t="shared" si="6"/>
        <v>Nathaniel Henry Stirling MICKLEM (1931 - 1950)</v>
      </c>
      <c r="AF44" s="5" t="str">
        <f t="shared" si="7"/>
        <v>Nathaniel MICKLEM (5th &amp; 70)</v>
      </c>
      <c r="AG44" s="110" t="str">
        <f t="shared" si="8"/>
        <v>Male</v>
      </c>
      <c r="AH44" s="5" t="str">
        <f t="shared" si="9"/>
        <v>5th</v>
      </c>
      <c r="AI44" s="5" t="str">
        <f t="shared" si="21"/>
        <v>Unmarried</v>
      </c>
      <c r="AJ44" s="105" t="str">
        <f t="shared" si="14"/>
        <v>Male. b. 21/09/1931, d. 10/10/1950. Officer Cadet Royal Air Force. Killed in flying accident.</v>
      </c>
      <c r="AK44" s="105" t="str">
        <f t="shared" si="11"/>
        <v>b. 21/09/1931, d. 10/10/1950.</v>
      </c>
    </row>
    <row r="45" spans="1:37" s="5" customFormat="1" ht="35">
      <c r="A45" s="5">
        <f>VLOOKUP(B45,'Loyd List 1-190 - Edit'!$P$1:$R$219,3,FALSE)</f>
        <v>56</v>
      </c>
      <c r="B45" s="5">
        <f t="shared" si="26"/>
        <v>85</v>
      </c>
      <c r="C45" s="157" t="s">
        <v>1312</v>
      </c>
      <c r="D45" s="6" t="s">
        <v>1357</v>
      </c>
      <c r="E45" s="5" t="s">
        <v>851</v>
      </c>
      <c r="F45" s="5" t="s">
        <v>918</v>
      </c>
      <c r="I45" s="5">
        <f t="shared" si="22"/>
        <v>1938</v>
      </c>
      <c r="J45" s="5">
        <f t="shared" si="23"/>
        <v>2016</v>
      </c>
      <c r="K45" s="152"/>
      <c r="L45" s="7" t="str">
        <f t="shared" si="24"/>
        <v>11/04/1938</v>
      </c>
      <c r="M45" s="8">
        <v>13981</v>
      </c>
      <c r="N45" s="7">
        <v>23797</v>
      </c>
      <c r="O45" s="7">
        <v>42565</v>
      </c>
      <c r="P45" s="181" t="str">
        <f t="shared" si="0"/>
        <v>14/07/2016</v>
      </c>
      <c r="Q45" s="159">
        <v>85</v>
      </c>
      <c r="R45" s="180" t="str">
        <f t="shared" si="18"/>
        <v>14/07/2016</v>
      </c>
      <c r="S45" s="25" t="s">
        <v>3245</v>
      </c>
      <c r="T45" s="5">
        <f t="shared" si="2"/>
        <v>6</v>
      </c>
      <c r="U45" s="5">
        <f t="shared" si="3"/>
        <v>3</v>
      </c>
      <c r="V45" s="5">
        <f>VLOOKUP(B45,'Loyd List 1-190 - Edit'!$A$2:$B$220,2,FALSE)</f>
        <v>5</v>
      </c>
      <c r="W45" s="155">
        <f t="shared" si="4"/>
        <v>1</v>
      </c>
      <c r="X45" s="105" t="s">
        <v>2561</v>
      </c>
      <c r="Y45" s="105" t="s">
        <v>2562</v>
      </c>
      <c r="Z45" s="164" t="s">
        <v>2564</v>
      </c>
      <c r="AA45" s="6">
        <v>154</v>
      </c>
      <c r="AB45" s="5">
        <f t="shared" si="25"/>
        <v>43</v>
      </c>
      <c r="AC45" s="5">
        <f t="shared" si="13"/>
        <v>1043</v>
      </c>
      <c r="AD45" s="97" t="str">
        <f t="shared" si="5"/>
        <v>85a</v>
      </c>
      <c r="AE45" s="5" t="str">
        <f t="shared" si="6"/>
        <v>Martin James  LANE FOX (1938 - 2016)</v>
      </c>
      <c r="AF45" s="5" t="str">
        <f t="shared" si="7"/>
        <v>Martin LANE FOX (6th &amp; 85)</v>
      </c>
      <c r="AG45" s="110" t="str">
        <f t="shared" si="8"/>
        <v>Male</v>
      </c>
      <c r="AH45" s="5" t="str">
        <f t="shared" si="9"/>
        <v>6th</v>
      </c>
      <c r="AI45" s="5" t="str">
        <f t="shared" si="21"/>
        <v>Wife: Prudence Mary SPORBORG (b. 22/07/1942, d. ). Divorced</v>
      </c>
      <c r="AJ45" s="105" t="str">
        <f t="shared" si="14"/>
        <v>Male. b. 11/04/1938, d. 14/07/2016. Educated Eton. Gardens &amp; Landscape designer.</v>
      </c>
      <c r="AK45" s="105" t="str">
        <f t="shared" si="11"/>
        <v>b. 11/04/1938, d. 14/07/2016.</v>
      </c>
    </row>
    <row r="46" spans="1:37" s="5" customFormat="1" ht="52">
      <c r="A46" s="5">
        <f>VLOOKUP(B46,'Loyd List 1-190 - Edit'!$P$1:$R$219,3,FALSE)</f>
        <v>56</v>
      </c>
      <c r="B46" s="5">
        <f t="shared" si="26"/>
        <v>85</v>
      </c>
      <c r="C46" s="157" t="s">
        <v>1313</v>
      </c>
      <c r="D46" s="6" t="s">
        <v>1357</v>
      </c>
      <c r="E46" s="156" t="s">
        <v>811</v>
      </c>
      <c r="F46" s="5" t="s">
        <v>918</v>
      </c>
      <c r="I46" s="5">
        <f t="shared" si="22"/>
        <v>1939</v>
      </c>
      <c r="J46" s="5" t="str">
        <f t="shared" si="23"/>
        <v/>
      </c>
      <c r="K46" s="152"/>
      <c r="L46" s="7" t="str">
        <f t="shared" si="24"/>
        <v>13/10/1939</v>
      </c>
      <c r="M46" s="8">
        <v>14531</v>
      </c>
      <c r="N46" s="7">
        <v>23188</v>
      </c>
      <c r="O46" s="7"/>
      <c r="P46" s="181" t="str">
        <f t="shared" si="0"/>
        <v/>
      </c>
      <c r="Q46" s="153" t="str">
        <f t="shared" ref="Q46:Q77" si="27">MID(C46,1,LEN(C46)-1)</f>
        <v>85</v>
      </c>
      <c r="R46" s="180" t="str">
        <f t="shared" si="18"/>
        <v/>
      </c>
      <c r="S46" s="25" t="s">
        <v>3245</v>
      </c>
      <c r="T46" s="5">
        <f t="shared" si="2"/>
        <v>6</v>
      </c>
      <c r="U46" s="5">
        <f t="shared" si="3"/>
        <v>3</v>
      </c>
      <c r="V46" s="5">
        <f>VLOOKUP(B46,'Loyd List 1-190 - Edit'!$A$2:$B$220,2,FALSE)</f>
        <v>5</v>
      </c>
      <c r="W46" s="155">
        <f t="shared" si="4"/>
        <v>1</v>
      </c>
      <c r="X46" s="105" t="s">
        <v>2570</v>
      </c>
      <c r="Y46" s="105"/>
      <c r="Z46" s="164" t="s">
        <v>2569</v>
      </c>
      <c r="AA46" s="6">
        <v>162</v>
      </c>
      <c r="AB46" s="5">
        <f t="shared" si="25"/>
        <v>44</v>
      </c>
      <c r="AC46" s="5">
        <f t="shared" si="13"/>
        <v>1044</v>
      </c>
      <c r="AD46" s="97" t="str">
        <f t="shared" si="5"/>
        <v>85b</v>
      </c>
      <c r="AE46" s="5" t="str">
        <f t="shared" si="6"/>
        <v>Edward James  LANE FOX (1939 - )</v>
      </c>
      <c r="AF46" s="5" t="str">
        <f t="shared" si="7"/>
        <v>Edward LANE FOX (6th &amp; 85)</v>
      </c>
      <c r="AG46" s="110" t="str">
        <f t="shared" si="8"/>
        <v>Male</v>
      </c>
      <c r="AH46" s="5" t="str">
        <f t="shared" si="9"/>
        <v>6th</v>
      </c>
      <c r="AI46" s="5" t="str">
        <f t="shared" si="21"/>
        <v xml:space="preserve">Wife: Janet Mary (Wendy) (b. 19/07/1941) only daughter of Commander Basil Edward Malcolm BALL DSC, Royal Navy.. </v>
      </c>
      <c r="AJ46" s="105" t="str">
        <f t="shared" si="14"/>
        <v>Male. b. 13/10/1939 Edward of Calcott Lodge, Heyford, Oxfordshire. Educated Eton.</v>
      </c>
      <c r="AK46" s="105" t="str">
        <f t="shared" si="11"/>
        <v>b. 13/10/1939</v>
      </c>
    </row>
    <row r="47" spans="1:37" s="5" customFormat="1" ht="35">
      <c r="A47" s="5">
        <f>VLOOKUP(B47,'Loyd List 1-190 - Edit'!$P$1:$R$219,3,FALSE)</f>
        <v>56</v>
      </c>
      <c r="B47" s="5">
        <f t="shared" si="26"/>
        <v>85</v>
      </c>
      <c r="C47" s="157" t="s">
        <v>1388</v>
      </c>
      <c r="D47" s="6" t="s">
        <v>1357</v>
      </c>
      <c r="E47" s="156" t="s">
        <v>1387</v>
      </c>
      <c r="I47" s="5">
        <f t="shared" si="22"/>
        <v>1944</v>
      </c>
      <c r="J47" s="5" t="str">
        <f t="shared" si="23"/>
        <v/>
      </c>
      <c r="K47" s="152"/>
      <c r="L47" s="7" t="str">
        <f t="shared" si="24"/>
        <v>29/12/1944</v>
      </c>
      <c r="M47" s="8">
        <v>16435</v>
      </c>
      <c r="N47" s="7">
        <v>28478</v>
      </c>
      <c r="O47" s="7"/>
      <c r="P47" s="181" t="str">
        <f t="shared" si="0"/>
        <v/>
      </c>
      <c r="Q47" s="153" t="str">
        <f t="shared" si="27"/>
        <v>85</v>
      </c>
      <c r="R47" s="180" t="str">
        <f t="shared" si="18"/>
        <v/>
      </c>
      <c r="S47" s="25" t="s">
        <v>3244</v>
      </c>
      <c r="T47" s="5">
        <f t="shared" si="2"/>
        <v>6</v>
      </c>
      <c r="U47" s="5">
        <f t="shared" si="3"/>
        <v>3</v>
      </c>
      <c r="V47" s="5">
        <f>VLOOKUP(B47,'Loyd List 1-190 - Edit'!$A$2:$B$220,2,FALSE)</f>
        <v>5</v>
      </c>
      <c r="W47" s="155">
        <f t="shared" si="4"/>
        <v>1</v>
      </c>
      <c r="X47" s="105" t="s">
        <v>2580</v>
      </c>
      <c r="Y47" s="105"/>
      <c r="Z47" s="164"/>
      <c r="AA47" s="6">
        <v>168</v>
      </c>
      <c r="AB47" s="5">
        <f t="shared" si="25"/>
        <v>45</v>
      </c>
      <c r="AC47" s="5">
        <f t="shared" si="13"/>
        <v>1045</v>
      </c>
      <c r="AD47" s="97" t="str">
        <f t="shared" si="5"/>
        <v>85c</v>
      </c>
      <c r="AE47" s="5" t="str">
        <f t="shared" si="6"/>
        <v>Jenny   LANE FOX (1944 - )</v>
      </c>
      <c r="AF47" s="5" t="str">
        <f t="shared" si="7"/>
        <v>Jenny LANE FOX (6th &amp; 85)</v>
      </c>
      <c r="AG47" s="110" t="str">
        <f t="shared" si="8"/>
        <v>Female</v>
      </c>
      <c r="AH47" s="5" t="str">
        <f t="shared" si="9"/>
        <v>6th</v>
      </c>
      <c r="AI47" s="5" t="str">
        <f t="shared" si="21"/>
        <v xml:space="preserve">Husband: Mark Alfred TENNYSON d'EYNCOURT (b. 16/04/1940, d. ). </v>
      </c>
      <c r="AJ47" s="105" t="str">
        <f t="shared" si="14"/>
        <v>Female. b. 29/12/1944</v>
      </c>
      <c r="AK47" s="105" t="str">
        <f t="shared" si="11"/>
        <v>b. 29/12/1944</v>
      </c>
    </row>
    <row r="48" spans="1:37" s="5" customFormat="1" ht="102">
      <c r="A48" s="5">
        <f>VLOOKUP(B48,'Loyd List 1-190 - Edit'!$P$1:$R$219,3,FALSE)</f>
        <v>56</v>
      </c>
      <c r="B48" s="5">
        <f t="shared" si="26"/>
        <v>85</v>
      </c>
      <c r="C48" s="157" t="s">
        <v>1395</v>
      </c>
      <c r="D48" s="6" t="s">
        <v>1357</v>
      </c>
      <c r="E48" s="156" t="s">
        <v>897</v>
      </c>
      <c r="F48" s="5" t="s">
        <v>918</v>
      </c>
      <c r="I48" s="5">
        <f t="shared" si="22"/>
        <v>1946</v>
      </c>
      <c r="J48" s="5" t="str">
        <f t="shared" si="23"/>
        <v/>
      </c>
      <c r="K48" s="152"/>
      <c r="L48" s="7" t="str">
        <f t="shared" si="24"/>
        <v>05/10/1946</v>
      </c>
      <c r="M48" s="8">
        <v>17080</v>
      </c>
      <c r="N48" s="7">
        <v>25745</v>
      </c>
      <c r="O48" s="7"/>
      <c r="P48" s="181" t="str">
        <f t="shared" si="0"/>
        <v/>
      </c>
      <c r="Q48" s="153" t="str">
        <f t="shared" si="27"/>
        <v>85</v>
      </c>
      <c r="R48" s="180" t="str">
        <f t="shared" si="18"/>
        <v/>
      </c>
      <c r="S48" s="25" t="s">
        <v>3245</v>
      </c>
      <c r="T48" s="5">
        <f t="shared" si="2"/>
        <v>6</v>
      </c>
      <c r="U48" s="5">
        <f t="shared" si="3"/>
        <v>3</v>
      </c>
      <c r="V48" s="5">
        <f>VLOOKUP(B48,'Loyd List 1-190 - Edit'!$A$2:$B$220,2,FALSE)</f>
        <v>5</v>
      </c>
      <c r="W48" s="155">
        <f t="shared" si="4"/>
        <v>1</v>
      </c>
      <c r="X48" s="105" t="s">
        <v>2584</v>
      </c>
      <c r="Y48" s="164" t="s">
        <v>2585</v>
      </c>
      <c r="Z48" s="164" t="s">
        <v>2586</v>
      </c>
      <c r="AA48" s="6">
        <v>171</v>
      </c>
      <c r="AB48" s="5">
        <f t="shared" si="25"/>
        <v>46</v>
      </c>
      <c r="AC48" s="5">
        <f t="shared" si="13"/>
        <v>1046</v>
      </c>
      <c r="AD48" s="97" t="str">
        <f t="shared" si="5"/>
        <v>85d</v>
      </c>
      <c r="AE48" s="5" t="str">
        <f t="shared" si="6"/>
        <v>Robin James  LANE FOX (1946 - )</v>
      </c>
      <c r="AF48" s="5" t="str">
        <f t="shared" si="7"/>
        <v>Robin LANE FOX (6th &amp; 85)</v>
      </c>
      <c r="AG48" s="110" t="str">
        <f t="shared" si="8"/>
        <v>Male</v>
      </c>
      <c r="AH48" s="5" t="str">
        <f t="shared" si="9"/>
        <v>6th</v>
      </c>
      <c r="AI48" s="5" t="str">
        <f t="shared" si="21"/>
        <v>Wife: LouIsa Caroline Mary FARRELL (b. 14/07/1949, d.). Louisa, daughter of Charles FARRELL.</v>
      </c>
      <c r="AJ48" s="105" t="str">
        <f t="shared" si="14"/>
        <v xml:space="preserve">Male. b. 05/10/1946 Educated Eton 1959-64 and Magdalen College, Oxford 1964-69. Weekly gardening correspondent, Financial Times from 1970. Fellow, New College, Oxford from 1977. Reader in Ancient History, Oxford from 1990. Publications: “Alexander the Great” 1973; “Variations on a Garden” 1974; “Search for Alexander” 1980; “Better Gardening” 1982; “Pagans and Christians” 1986; “The Unauthorised Version” 1991. </v>
      </c>
      <c r="AK48" s="105" t="str">
        <f t="shared" si="11"/>
        <v>b. 05/10/1946</v>
      </c>
    </row>
    <row r="49" spans="1:37" s="5" customFormat="1" ht="86">
      <c r="A49" s="5">
        <f>VLOOKUP(B49,'Loyd List 1-190 - Edit'!$P$1:$R$219,3,FALSE)</f>
        <v>66</v>
      </c>
      <c r="B49" s="5">
        <f t="shared" si="26"/>
        <v>88</v>
      </c>
      <c r="C49" s="157" t="s">
        <v>1433</v>
      </c>
      <c r="D49" s="6" t="s">
        <v>1430</v>
      </c>
      <c r="E49" s="156" t="s">
        <v>1431</v>
      </c>
      <c r="F49" s="5" t="s">
        <v>952</v>
      </c>
      <c r="G49" s="5" t="s">
        <v>1432</v>
      </c>
      <c r="I49" s="5">
        <f t="shared" si="22"/>
        <v>1937</v>
      </c>
      <c r="J49" s="5" t="str">
        <f t="shared" si="23"/>
        <v/>
      </c>
      <c r="K49" s="152"/>
      <c r="L49" s="7" t="str">
        <f t="shared" si="24"/>
        <v>22/06/1937</v>
      </c>
      <c r="M49" s="8">
        <v>13688</v>
      </c>
      <c r="N49" s="7">
        <v>21021</v>
      </c>
      <c r="O49" s="7"/>
      <c r="P49" s="181" t="str">
        <f t="shared" si="0"/>
        <v/>
      </c>
      <c r="Q49" s="153" t="str">
        <f t="shared" si="27"/>
        <v>88</v>
      </c>
      <c r="R49" s="180" t="str">
        <f t="shared" si="18"/>
        <v/>
      </c>
      <c r="S49" s="25" t="s">
        <v>3244</v>
      </c>
      <c r="T49" s="5">
        <f t="shared" si="2"/>
        <v>6</v>
      </c>
      <c r="U49" s="5">
        <f t="shared" si="3"/>
        <v>3</v>
      </c>
      <c r="V49" s="5">
        <f>VLOOKUP(B49,'Loyd List 1-190 - Edit'!$A$2:$B$220,2,FALSE)</f>
        <v>5</v>
      </c>
      <c r="W49" s="155">
        <f t="shared" si="4"/>
        <v>1</v>
      </c>
      <c r="X49" s="105" t="s">
        <v>2590</v>
      </c>
      <c r="Y49" s="105" t="s">
        <v>2591</v>
      </c>
      <c r="Z49" s="164" t="s">
        <v>3744</v>
      </c>
      <c r="AA49" s="6">
        <v>174</v>
      </c>
      <c r="AB49" s="5">
        <f t="shared" si="25"/>
        <v>47</v>
      </c>
      <c r="AC49" s="5">
        <f t="shared" si="13"/>
        <v>1047</v>
      </c>
      <c r="AD49" s="97" t="str">
        <f t="shared" si="5"/>
        <v>88a</v>
      </c>
      <c r="AE49" s="5" t="str">
        <f t="shared" si="6"/>
        <v>Lady Diana Elizabeth Virginia Sydney BAIRD (1937 - )</v>
      </c>
      <c r="AF49" s="5" t="str">
        <f t="shared" si="7"/>
        <v>Lady Diana BAIRD (6th &amp; 88)</v>
      </c>
      <c r="AG49" s="110" t="str">
        <f t="shared" si="8"/>
        <v>Female</v>
      </c>
      <c r="AH49" s="5" t="str">
        <f t="shared" si="9"/>
        <v>6th</v>
      </c>
      <c r="AI49" s="5" t="str">
        <f t="shared" si="21"/>
        <v>Husband: John Frances HOLMAN (b. 25/05/1924, d. ). Married at Rudgwick, Sussex, John OBE of Rickarton House, Stonehaven, Kincardinshire and of 6A St Luke’s Street, London SW3, eldest son of Max HOLMAN of Hyes, Rudgwick, Sussex.</v>
      </c>
      <c r="AJ49" s="105" t="str">
        <f t="shared" si="14"/>
        <v>Female. b. 22/06/1937 Baptised at Stonehaven. Educated Downham. Diana now lives in Kincardine O’Neill.</v>
      </c>
      <c r="AK49" s="105" t="str">
        <f t="shared" si="11"/>
        <v>b. 22/06/1937</v>
      </c>
    </row>
    <row r="50" spans="1:37" s="5" customFormat="1" ht="86">
      <c r="A50" s="5">
        <f>VLOOKUP(B50,'Loyd List 1-190 - Edit'!$P$1:$R$219,3,FALSE)</f>
        <v>66</v>
      </c>
      <c r="B50" s="5">
        <f t="shared" si="26"/>
        <v>88</v>
      </c>
      <c r="C50" s="157" t="s">
        <v>1458</v>
      </c>
      <c r="D50" s="6" t="s">
        <v>1457</v>
      </c>
      <c r="E50" s="156" t="s">
        <v>891</v>
      </c>
      <c r="F50" s="5" t="s">
        <v>860</v>
      </c>
      <c r="G50" s="5" t="s">
        <v>1459</v>
      </c>
      <c r="I50" s="5">
        <f t="shared" si="22"/>
        <v>1939</v>
      </c>
      <c r="J50" s="5">
        <v>2004</v>
      </c>
      <c r="K50" s="152"/>
      <c r="L50" s="7" t="str">
        <f t="shared" si="24"/>
        <v>22/02/1939</v>
      </c>
      <c r="M50" s="8">
        <v>14298</v>
      </c>
      <c r="N50" s="7">
        <v>26581</v>
      </c>
      <c r="O50" s="7"/>
      <c r="P50" s="181" t="str">
        <f t="shared" si="0"/>
        <v/>
      </c>
      <c r="Q50" s="153" t="str">
        <f t="shared" si="27"/>
        <v>88</v>
      </c>
      <c r="R50" s="180" t="str">
        <f t="shared" si="18"/>
        <v/>
      </c>
      <c r="S50" s="25" t="s">
        <v>3245</v>
      </c>
      <c r="T50" s="5">
        <f t="shared" si="2"/>
        <v>6</v>
      </c>
      <c r="U50" s="5">
        <f t="shared" si="3"/>
        <v>3</v>
      </c>
      <c r="V50" s="5">
        <f>VLOOKUP(B50,'Loyd List 1-190 - Edit'!$A$2:$B$220,2,FALSE)</f>
        <v>5</v>
      </c>
      <c r="W50" s="155">
        <f t="shared" si="4"/>
        <v>1</v>
      </c>
      <c r="X50" s="105" t="s">
        <v>3711</v>
      </c>
      <c r="Y50" s="164" t="s">
        <v>2609</v>
      </c>
      <c r="Z50" s="164" t="s">
        <v>3712</v>
      </c>
      <c r="AA50" s="6">
        <v>187</v>
      </c>
      <c r="AB50" s="5">
        <f t="shared" si="25"/>
        <v>48</v>
      </c>
      <c r="AC50" s="5">
        <f t="shared" si="13"/>
        <v>1048</v>
      </c>
      <c r="AD50" s="97" t="str">
        <f t="shared" si="5"/>
        <v>88b</v>
      </c>
      <c r="AE50" s="5" t="str">
        <f t="shared" si="6"/>
        <v>Michael Canning William John KEITH (1939 - 2004)</v>
      </c>
      <c r="AF50" s="5" t="str">
        <f t="shared" si="7"/>
        <v>Michael KEITH (6th &amp; 88)</v>
      </c>
      <c r="AG50" s="110" t="str">
        <f t="shared" si="8"/>
        <v>Male</v>
      </c>
      <c r="AH50" s="5" t="str">
        <f t="shared" si="9"/>
        <v>6th</v>
      </c>
      <c r="AI50" s="5" t="str">
        <f t="shared" si="21"/>
        <v>Wife: Mary Gaddis PLUM (b. 17/09/1943, d. c2006). Married at the Guards’ Chapel, London SW1, Mary only daughter of the late Squadron Leader E.G. PLUM of Rumson, New Jersey, USA.</v>
      </c>
      <c r="AJ50" s="105" t="str">
        <f t="shared" si="14"/>
        <v>Male. b. 22/02/1939 Michael Canning William John KEITH, 13th Earl of KINTORE. Baptised at St Columba’s, Pont Street, London SW1. Educated Eton 1952-56. Late Coldstream Guards. Died 2004.</v>
      </c>
      <c r="AK50" s="105" t="str">
        <f t="shared" si="11"/>
        <v>b. 22/02/1939</v>
      </c>
    </row>
    <row r="51" spans="1:37" s="5" customFormat="1" ht="34">
      <c r="A51" s="5">
        <f>VLOOKUP(B51,'Loyd List 1-190 - Edit'!$P$1:$R$219,3,FALSE)</f>
        <v>66</v>
      </c>
      <c r="B51" s="5">
        <f t="shared" si="26"/>
        <v>88</v>
      </c>
      <c r="C51" s="157" t="s">
        <v>1467</v>
      </c>
      <c r="D51" s="6" t="s">
        <v>1430</v>
      </c>
      <c r="E51" s="156" t="s">
        <v>1466</v>
      </c>
      <c r="F51" s="5" t="s">
        <v>905</v>
      </c>
      <c r="I51" s="5">
        <f t="shared" si="22"/>
        <v>1946</v>
      </c>
      <c r="J51" s="5" t="str">
        <f t="shared" si="23"/>
        <v/>
      </c>
      <c r="K51" s="152"/>
      <c r="L51" s="7" t="str">
        <f t="shared" si="24"/>
        <v>21/04/1946</v>
      </c>
      <c r="M51" s="8">
        <v>16913</v>
      </c>
      <c r="N51" s="7"/>
      <c r="O51" s="7"/>
      <c r="P51" s="181" t="str">
        <f t="shared" si="0"/>
        <v/>
      </c>
      <c r="Q51" s="153" t="str">
        <f t="shared" si="27"/>
        <v>88</v>
      </c>
      <c r="R51" s="180" t="str">
        <f t="shared" si="18"/>
        <v/>
      </c>
      <c r="S51" s="25" t="s">
        <v>3245</v>
      </c>
      <c r="T51" s="5">
        <f t="shared" si="2"/>
        <v>6</v>
      </c>
      <c r="U51" s="5">
        <f t="shared" si="3"/>
        <v>3</v>
      </c>
      <c r="V51" s="5">
        <f>VLOOKUP(B51,'Loyd List 1-190 - Edit'!$A$2:$B$220,2,FALSE)</f>
        <v>5</v>
      </c>
      <c r="W51" s="155">
        <f t="shared" si="4"/>
        <v>1</v>
      </c>
      <c r="X51" s="105"/>
      <c r="Y51" s="105"/>
      <c r="Z51" s="164" t="s">
        <v>2613</v>
      </c>
      <c r="AA51" s="6">
        <v>190</v>
      </c>
      <c r="AB51" s="5">
        <f t="shared" si="25"/>
        <v>49</v>
      </c>
      <c r="AC51" s="5">
        <f t="shared" si="13"/>
        <v>1049</v>
      </c>
      <c r="AD51" s="97" t="str">
        <f t="shared" si="5"/>
        <v>88c</v>
      </c>
      <c r="AE51" s="5" t="str">
        <f t="shared" si="6"/>
        <v>The Hon Alexander David  BAIRD (1946 - )</v>
      </c>
      <c r="AF51" s="5" t="str">
        <f t="shared" si="7"/>
        <v>The Hon Alexander BAIRD (6th &amp; 88)</v>
      </c>
      <c r="AG51" s="110" t="str">
        <f t="shared" si="8"/>
        <v>Male</v>
      </c>
      <c r="AH51" s="5" t="str">
        <f t="shared" si="9"/>
        <v>6th</v>
      </c>
      <c r="AI51" s="5" t="str">
        <f t="shared" si="21"/>
        <v>Unmarried</v>
      </c>
      <c r="AJ51" s="105" t="str">
        <f t="shared" si="14"/>
        <v>Male. b. 21/04/1946 The Hon Alexander David BAIRD. Baptised at Shamley Green, Surrey. Educated Tabley House, Cheshire.</v>
      </c>
      <c r="AK51" s="105" t="str">
        <f t="shared" si="11"/>
        <v>b. 21/04/1946</v>
      </c>
    </row>
    <row r="52" spans="1:37" s="5" customFormat="1" ht="154">
      <c r="A52" s="5">
        <f>VLOOKUP(B52,'Loyd List 1-190 - Edit'!$P$1:$R$219,3,FALSE)</f>
        <v>52</v>
      </c>
      <c r="B52" s="5">
        <f t="shared" si="26"/>
        <v>90</v>
      </c>
      <c r="C52" s="157" t="s">
        <v>1471</v>
      </c>
      <c r="D52" s="6" t="s">
        <v>2553</v>
      </c>
      <c r="E52" s="156" t="s">
        <v>1470</v>
      </c>
      <c r="I52" s="5">
        <f t="shared" si="22"/>
        <v>1942</v>
      </c>
      <c r="J52" s="5" t="str">
        <f t="shared" si="23"/>
        <v/>
      </c>
      <c r="K52" s="152"/>
      <c r="L52" s="7" t="str">
        <f t="shared" si="24"/>
        <v>30/06/1942</v>
      </c>
      <c r="M52" s="8">
        <v>15522</v>
      </c>
      <c r="N52" s="7">
        <v>22815</v>
      </c>
      <c r="O52" s="7"/>
      <c r="P52" s="181" t="str">
        <f t="shared" si="0"/>
        <v/>
      </c>
      <c r="Q52" s="153" t="str">
        <f t="shared" si="27"/>
        <v>90</v>
      </c>
      <c r="R52" s="180" t="str">
        <f t="shared" si="18"/>
        <v/>
      </c>
      <c r="S52" s="25" t="s">
        <v>3244</v>
      </c>
      <c r="T52" s="5">
        <f t="shared" si="2"/>
        <v>6</v>
      </c>
      <c r="U52" s="5">
        <f t="shared" si="3"/>
        <v>3</v>
      </c>
      <c r="V52" s="5">
        <f>VLOOKUP(B52,'Loyd List 1-190 - Edit'!$A$2:$B$220,2,FALSE)</f>
        <v>5</v>
      </c>
      <c r="W52" s="155">
        <f t="shared" si="4"/>
        <v>1</v>
      </c>
      <c r="X52" s="105" t="s">
        <v>2617</v>
      </c>
      <c r="Y52" s="105" t="s">
        <v>2616</v>
      </c>
      <c r="Z52" s="164" t="s">
        <v>2614</v>
      </c>
      <c r="AA52" s="6">
        <v>191</v>
      </c>
      <c r="AB52" s="5">
        <f t="shared" si="25"/>
        <v>50</v>
      </c>
      <c r="AC52" s="5">
        <f t="shared" si="13"/>
        <v>1050</v>
      </c>
      <c r="AD52" s="97" t="str">
        <f t="shared" si="5"/>
        <v>90a</v>
      </c>
      <c r="AE52" s="5" t="str">
        <f t="shared" si="6"/>
        <v>June   MARSHAM-TOWNHEND (1942 - )</v>
      </c>
      <c r="AF52" s="5" t="str">
        <f t="shared" si="7"/>
        <v>June MARSHAM-TOWNHEND (6th &amp; 90)</v>
      </c>
      <c r="AG52" s="110" t="str">
        <f t="shared" si="8"/>
        <v>Female</v>
      </c>
      <c r="AH52" s="5" t="str">
        <f t="shared" si="9"/>
        <v>6th</v>
      </c>
      <c r="AI52" s="5" t="str">
        <f t="shared" si="21"/>
        <v>Husband: (1) Bryan Montagu NORMAN (b. 08/01/1939, d. ) (2) Feb 1980 Ian RANKIN (b. 19/12/1932, d. ). (1) Married at St Paul’s Knightsbridge, London, Bryan Montagu elder son of Lieut Colonel Mark Richard NORMAN OBE, Hertfordshire Yeomanry of Moor Place, Much Hadham, Hertfordshire. (Divorced). (2) Married Ian RANKIN of 63 Marlborough Place, London, NW8. (Divorced).</v>
      </c>
      <c r="AJ52" s="105" t="str">
        <f t="shared" si="14"/>
        <v>Female. b. 30/06/1942 Born in Alexandria, Egypt. Educated Southover Manor, East Sussex.</v>
      </c>
      <c r="AK52" s="105" t="str">
        <f t="shared" si="11"/>
        <v>b. 30/06/1942</v>
      </c>
    </row>
    <row r="53" spans="1:37" s="5" customFormat="1" ht="205">
      <c r="A53" s="5">
        <f>VLOOKUP(B53,'Loyd List 1-190 - Edit'!$P$1:$R$219,3,FALSE)</f>
        <v>52</v>
      </c>
      <c r="B53" s="5">
        <f t="shared" si="26"/>
        <v>90</v>
      </c>
      <c r="C53" s="157" t="s">
        <v>1474</v>
      </c>
      <c r="D53" s="6" t="s">
        <v>2553</v>
      </c>
      <c r="E53" s="156" t="s">
        <v>2220</v>
      </c>
      <c r="H53" s="5" t="s">
        <v>3018</v>
      </c>
      <c r="I53" s="5">
        <f t="shared" si="22"/>
        <v>1944</v>
      </c>
      <c r="J53" s="5" t="str">
        <f t="shared" si="23"/>
        <v/>
      </c>
      <c r="K53" s="152"/>
      <c r="L53" s="7" t="str">
        <f t="shared" si="24"/>
        <v>13/05/1944</v>
      </c>
      <c r="M53" s="8">
        <v>16205</v>
      </c>
      <c r="N53" s="7">
        <v>26324</v>
      </c>
      <c r="O53" s="7"/>
      <c r="P53" s="181" t="str">
        <f t="shared" si="0"/>
        <v/>
      </c>
      <c r="Q53" s="153" t="str">
        <f t="shared" si="27"/>
        <v>90</v>
      </c>
      <c r="R53" s="180" t="str">
        <f t="shared" si="18"/>
        <v/>
      </c>
      <c r="S53" s="25" t="s">
        <v>3244</v>
      </c>
      <c r="T53" s="5">
        <f t="shared" si="2"/>
        <v>6</v>
      </c>
      <c r="U53" s="5">
        <f t="shared" si="3"/>
        <v>3</v>
      </c>
      <c r="V53" s="5">
        <f>VLOOKUP(B53,'Loyd List 1-190 - Edit'!$A$2:$B$220,2,FALSE)</f>
        <v>5</v>
      </c>
      <c r="W53" s="155">
        <f t="shared" si="4"/>
        <v>1</v>
      </c>
      <c r="X53" s="105" t="s">
        <v>2620</v>
      </c>
      <c r="Y53" s="164" t="s">
        <v>2621</v>
      </c>
      <c r="Z53" s="164" t="s">
        <v>2619</v>
      </c>
      <c r="AA53" s="6">
        <v>194</v>
      </c>
      <c r="AB53" s="5">
        <f t="shared" si="25"/>
        <v>51</v>
      </c>
      <c r="AC53" s="5">
        <f t="shared" si="13"/>
        <v>1051</v>
      </c>
      <c r="AD53" s="97" t="str">
        <f t="shared" si="5"/>
        <v>90b</v>
      </c>
      <c r="AE53" s="5" t="str">
        <f t="shared" si="6"/>
        <v>Susan   MARSHAM-TOWNHEND (1944 - )</v>
      </c>
      <c r="AF53" s="5" t="str">
        <f t="shared" si="7"/>
        <v>Suki MARSHAM-TOWNHEND (6th &amp; 90)</v>
      </c>
      <c r="AG53" s="110" t="str">
        <f t="shared" si="8"/>
        <v>Female</v>
      </c>
      <c r="AH53" s="5" t="str">
        <f t="shared" si="9"/>
        <v>6th</v>
      </c>
      <c r="AI53" s="5" t="str">
        <f t="shared" si="21"/>
        <v>Husband: (1) Piero STUDIATI BERNI (b. 22/02/1936, d.) (2) John Robert Stephenson CLARKE (b. 05/04/1918, d. 28/08/1993). (1) Married  in Switzerland, Piero STUDIATI BERNI of Molina di Quosa, Pisa, Italy. (2) 08/08/1945 at St Paul’s, Knightsbridge, London, John Robert Stephenson buried Highbrook Church, West Sussex) OBE, MC, Yugoslav Order of Service to the People with Silver Rays, Lieut Colonel, Scots Guards, Liveryman of Clothworkers’ Company, eldest son of Edmund Stephenson CLARKE of Pickwell, Bolney, West Sussex, RH17 5RE.</v>
      </c>
      <c r="AJ53" s="105" t="str">
        <f t="shared" si="14"/>
        <v>Female. b. 13/05/1944 Born in Alexandria, Egypt. Educated Southover Manor, East Sussex and Farlington, West Sussex.</v>
      </c>
      <c r="AK53" s="105" t="str">
        <f t="shared" si="11"/>
        <v>b. 13/05/1944</v>
      </c>
    </row>
    <row r="54" spans="1:37" s="5" customFormat="1" ht="52">
      <c r="A54" s="5">
        <f>VLOOKUP(B54,'Loyd List 1-190 - Edit'!$P$1:$R$219,3,FALSE)</f>
        <v>52</v>
      </c>
      <c r="B54" s="5">
        <f t="shared" si="26"/>
        <v>90</v>
      </c>
      <c r="C54" s="157" t="s">
        <v>1485</v>
      </c>
      <c r="D54" s="6" t="s">
        <v>1480</v>
      </c>
      <c r="E54" s="156" t="s">
        <v>1483</v>
      </c>
      <c r="F54" s="5" t="s">
        <v>1481</v>
      </c>
      <c r="G54" s="5" t="s">
        <v>1482</v>
      </c>
      <c r="I54" s="5">
        <f t="shared" si="22"/>
        <v>1950</v>
      </c>
      <c r="J54" s="5" t="str">
        <f t="shared" si="23"/>
        <v/>
      </c>
      <c r="K54" s="152"/>
      <c r="L54" s="7" t="str">
        <f t="shared" si="24"/>
        <v>18/01/1950</v>
      </c>
      <c r="M54" s="8">
        <v>18281</v>
      </c>
      <c r="N54" s="7">
        <v>26815</v>
      </c>
      <c r="O54" s="7"/>
      <c r="P54" s="181" t="str">
        <f t="shared" si="0"/>
        <v/>
      </c>
      <c r="Q54" s="153" t="str">
        <f t="shared" si="27"/>
        <v>90</v>
      </c>
      <c r="R54" s="180" t="str">
        <f t="shared" si="18"/>
        <v/>
      </c>
      <c r="S54" s="25" t="s">
        <v>3245</v>
      </c>
      <c r="T54" s="5">
        <f t="shared" si="2"/>
        <v>6</v>
      </c>
      <c r="U54" s="5">
        <f t="shared" si="3"/>
        <v>3</v>
      </c>
      <c r="V54" s="5">
        <f>VLOOKUP(B54,'Loyd List 1-190 - Edit'!$A$2:$B$220,2,FALSE)</f>
        <v>5</v>
      </c>
      <c r="W54" s="155">
        <f t="shared" si="4"/>
        <v>1</v>
      </c>
      <c r="X54" s="105" t="s">
        <v>2623</v>
      </c>
      <c r="Y54" s="105" t="s">
        <v>2624</v>
      </c>
      <c r="Z54" s="164" t="s">
        <v>2622</v>
      </c>
      <c r="AA54" s="6">
        <v>197</v>
      </c>
      <c r="AB54" s="5">
        <f t="shared" si="25"/>
        <v>52</v>
      </c>
      <c r="AC54" s="5">
        <f t="shared" si="13"/>
        <v>1052</v>
      </c>
      <c r="AD54" s="97" t="str">
        <f t="shared" si="5"/>
        <v>90c</v>
      </c>
      <c r="AE54" s="5" t="str">
        <f t="shared" si="6"/>
        <v>Jonathan Edmund Stephenson CLARKE (1950 - )</v>
      </c>
      <c r="AF54" s="5" t="str">
        <f t="shared" si="7"/>
        <v>Jonathan CLARKE (6th &amp; 90)</v>
      </c>
      <c r="AG54" s="110" t="str">
        <f t="shared" si="8"/>
        <v>Male</v>
      </c>
      <c r="AH54" s="5" t="str">
        <f t="shared" si="9"/>
        <v>6th</v>
      </c>
      <c r="AI54" s="5" t="str">
        <f t="shared" si="21"/>
        <v>Wife: Esme Lavinia Louise RENNIE (b. 07/04/1950, d. ). Married at the Guards’ Chapel, Birdcage Walk, London, (Divorced 2000).</v>
      </c>
      <c r="AJ54" s="105" t="str">
        <f t="shared" si="14"/>
        <v>Male. b. 18/01/1950 Born at the Westminster Hospital, London. Educated Tabley House, Cheshire. Liveryman of Clothworkers’ Company.</v>
      </c>
      <c r="AK54" s="105" t="str">
        <f t="shared" si="11"/>
        <v>b. 18/01/1950</v>
      </c>
    </row>
    <row r="55" spans="1:37" s="5" customFormat="1" ht="52">
      <c r="A55" s="5">
        <f>VLOOKUP(B55,'Loyd List 1-190 - Edit'!$P$1:$R$219,3,FALSE)</f>
        <v>54</v>
      </c>
      <c r="B55" s="5">
        <f t="shared" si="26"/>
        <v>92</v>
      </c>
      <c r="C55" s="157" t="s">
        <v>1498</v>
      </c>
      <c r="D55" s="6" t="s">
        <v>1494</v>
      </c>
      <c r="E55" s="156" t="s">
        <v>919</v>
      </c>
      <c r="F55" s="5" t="s">
        <v>830</v>
      </c>
      <c r="G55" s="5" t="s">
        <v>855</v>
      </c>
      <c r="H55" s="5" t="s">
        <v>1190</v>
      </c>
      <c r="I55" s="5">
        <f t="shared" si="22"/>
        <v>1947</v>
      </c>
      <c r="J55" s="5" t="str">
        <f t="shared" si="23"/>
        <v/>
      </c>
      <c r="K55" s="152"/>
      <c r="L55" s="7" t="str">
        <f t="shared" si="24"/>
        <v>03/02/1947</v>
      </c>
      <c r="M55" s="8">
        <v>17201</v>
      </c>
      <c r="N55" s="7">
        <v>28875</v>
      </c>
      <c r="O55" s="7"/>
      <c r="P55" s="181" t="str">
        <f t="shared" si="0"/>
        <v/>
      </c>
      <c r="Q55" s="153" t="str">
        <f t="shared" si="27"/>
        <v>92</v>
      </c>
      <c r="R55" s="180" t="str">
        <f t="shared" si="18"/>
        <v/>
      </c>
      <c r="S55" s="25" t="s">
        <v>3245</v>
      </c>
      <c r="T55" s="5">
        <f t="shared" si="2"/>
        <v>6</v>
      </c>
      <c r="U55" s="5">
        <f t="shared" si="3"/>
        <v>3</v>
      </c>
      <c r="V55" s="5">
        <f>VLOOKUP(B55,'Loyd List 1-190 - Edit'!$A$2:$B$220,2,FALSE)</f>
        <v>5</v>
      </c>
      <c r="W55" s="155">
        <f t="shared" si="4"/>
        <v>1</v>
      </c>
      <c r="X55" s="105" t="s">
        <v>3745</v>
      </c>
      <c r="Y55" s="164" t="s">
        <v>2630</v>
      </c>
      <c r="Z55" s="164" t="s">
        <v>2628</v>
      </c>
      <c r="AA55" s="6">
        <v>201</v>
      </c>
      <c r="AB55" s="5">
        <f t="shared" si="25"/>
        <v>53</v>
      </c>
      <c r="AC55" s="5">
        <f t="shared" si="13"/>
        <v>1053</v>
      </c>
      <c r="AD55" s="97" t="str">
        <f t="shared" si="5"/>
        <v>92a</v>
      </c>
      <c r="AE55" s="5" t="str">
        <f t="shared" si="6"/>
        <v>Timothy William Trelawny TATTON-BROWN (1947 - )</v>
      </c>
      <c r="AF55" s="5" t="str">
        <f t="shared" si="7"/>
        <v>Tim TATTON-BROWN (6th &amp; 92)</v>
      </c>
      <c r="AG55" s="110" t="str">
        <f t="shared" si="8"/>
        <v>Male</v>
      </c>
      <c r="AH55" s="5" t="str">
        <f t="shared" si="9"/>
        <v>6th</v>
      </c>
      <c r="AI55" s="5" t="str">
        <f t="shared" si="21"/>
        <v>Wife: Veronica Ann WILSON (b. 30/11/1944, d. 02/03/2012).  Veronica daughter of Captain Thomas Hugh Peter WILSON Royal Navy.</v>
      </c>
      <c r="AJ55" s="105" t="str">
        <f t="shared" si="14"/>
        <v>Male. b. 03/02/1947 Born in Nairobi, Kenya. Baptised 3 Mar 1947 at Nairobi Cathedral by the Bishop of Mombasa.</v>
      </c>
      <c r="AK55" s="105" t="str">
        <f t="shared" si="11"/>
        <v>b. 03/02/1947</v>
      </c>
    </row>
    <row r="56" spans="1:37" s="5" customFormat="1" ht="69">
      <c r="A56" s="5">
        <f>VLOOKUP(B56,'Loyd List 1-190 - Edit'!$P$1:$R$219,3,FALSE)</f>
        <v>54</v>
      </c>
      <c r="B56" s="5">
        <f t="shared" si="26"/>
        <v>92</v>
      </c>
      <c r="C56" s="157" t="s">
        <v>1503</v>
      </c>
      <c r="D56" s="6" t="s">
        <v>1494</v>
      </c>
      <c r="E56" s="156" t="s">
        <v>1504</v>
      </c>
      <c r="F56" s="5" t="s">
        <v>1505</v>
      </c>
      <c r="I56" s="5">
        <f t="shared" si="22"/>
        <v>1948</v>
      </c>
      <c r="J56" s="5" t="str">
        <f t="shared" si="23"/>
        <v/>
      </c>
      <c r="K56" s="152"/>
      <c r="L56" s="7" t="str">
        <f t="shared" si="24"/>
        <v>21/10/1948</v>
      </c>
      <c r="M56" s="8">
        <v>17827</v>
      </c>
      <c r="N56" s="7"/>
      <c r="O56" s="7"/>
      <c r="P56" s="181" t="str">
        <f t="shared" si="0"/>
        <v/>
      </c>
      <c r="Q56" s="153" t="str">
        <f t="shared" si="27"/>
        <v>92</v>
      </c>
      <c r="R56" s="180" t="str">
        <f t="shared" si="18"/>
        <v/>
      </c>
      <c r="S56" s="25" t="s">
        <v>3245</v>
      </c>
      <c r="T56" s="5">
        <f t="shared" si="2"/>
        <v>6</v>
      </c>
      <c r="U56" s="5">
        <f t="shared" si="3"/>
        <v>3</v>
      </c>
      <c r="V56" s="5">
        <f>VLOOKUP(B56,'Loyd List 1-190 - Edit'!$A$2:$B$220,2,FALSE)</f>
        <v>5</v>
      </c>
      <c r="W56" s="155">
        <f t="shared" si="4"/>
        <v>1</v>
      </c>
      <c r="X56" s="105" t="s">
        <v>2637</v>
      </c>
      <c r="Y56" s="164" t="s">
        <v>2636</v>
      </c>
      <c r="Z56" s="164" t="s">
        <v>2635</v>
      </c>
      <c r="AA56" s="6">
        <v>206</v>
      </c>
      <c r="AB56" s="5">
        <f t="shared" si="25"/>
        <v>54</v>
      </c>
      <c r="AC56" s="5">
        <f t="shared" si="13"/>
        <v>1054</v>
      </c>
      <c r="AD56" s="97" t="str">
        <f t="shared" si="5"/>
        <v>92b</v>
      </c>
      <c r="AE56" s="5" t="str">
        <f t="shared" si="6"/>
        <v>Giles Eden  TATTON-BROWN (1948 - )</v>
      </c>
      <c r="AF56" s="5" t="str">
        <f t="shared" si="7"/>
        <v>Giles TATTON-BROWN (6th &amp; 92)</v>
      </c>
      <c r="AG56" s="110" t="str">
        <f t="shared" si="8"/>
        <v>Male</v>
      </c>
      <c r="AH56" s="5" t="str">
        <f t="shared" si="9"/>
        <v>6th</v>
      </c>
      <c r="AI56" s="5" t="str">
        <f t="shared" si="21"/>
        <v>Wife: Monique Marie-Noelle MENU (b. 29/12/1947, d. ) . Married Sep 1970 at St. Jean do Malte, Monique, daughter of Louis MENU of Aix en Provence, France.</v>
      </c>
      <c r="AJ56" s="105" t="str">
        <f t="shared" si="14"/>
        <v>Male. b. 21/10/1948 Born at Woking. Baptised Nov 1948 at St Mary’s, Horsell, Woking.</v>
      </c>
      <c r="AK56" s="105" t="str">
        <f t="shared" si="11"/>
        <v>b. 21/10/1948</v>
      </c>
    </row>
    <row r="57" spans="1:37" s="5" customFormat="1" ht="34">
      <c r="A57" s="5">
        <f>VLOOKUP(B57,'Loyd List 1-190 - Edit'!$P$1:$R$219,3,FALSE)</f>
        <v>54</v>
      </c>
      <c r="B57" s="5">
        <f t="shared" si="26"/>
        <v>92</v>
      </c>
      <c r="C57" s="157" t="s">
        <v>1520</v>
      </c>
      <c r="D57" s="6" t="s">
        <v>1494</v>
      </c>
      <c r="E57" s="156" t="s">
        <v>1519</v>
      </c>
      <c r="F57" s="5" t="s">
        <v>870</v>
      </c>
      <c r="I57" s="5">
        <f t="shared" si="22"/>
        <v>1951</v>
      </c>
      <c r="J57" s="5" t="str">
        <f t="shared" si="23"/>
        <v/>
      </c>
      <c r="K57" s="152"/>
      <c r="L57" s="7" t="str">
        <f t="shared" si="24"/>
        <v>26/11/1951</v>
      </c>
      <c r="M57" s="8">
        <v>18958</v>
      </c>
      <c r="N57" s="7"/>
      <c r="O57" s="7"/>
      <c r="P57" s="181" t="str">
        <f t="shared" si="0"/>
        <v/>
      </c>
      <c r="Q57" s="153" t="str">
        <f t="shared" si="27"/>
        <v>92</v>
      </c>
      <c r="R57" s="180" t="str">
        <f t="shared" si="18"/>
        <v/>
      </c>
      <c r="S57" s="25" t="s">
        <v>3244</v>
      </c>
      <c r="T57" s="5">
        <f t="shared" si="2"/>
        <v>6</v>
      </c>
      <c r="U57" s="5">
        <f t="shared" si="3"/>
        <v>3</v>
      </c>
      <c r="V57" s="5">
        <f>VLOOKUP(B57,'Loyd List 1-190 - Edit'!$A$2:$B$220,2,FALSE)</f>
        <v>5</v>
      </c>
      <c r="W57" s="155">
        <f t="shared" si="4"/>
        <v>1</v>
      </c>
      <c r="X57" s="105"/>
      <c r="Y57" s="105"/>
      <c r="Z57" s="164" t="s">
        <v>2642</v>
      </c>
      <c r="AA57" s="6">
        <v>212</v>
      </c>
      <c r="AB57" s="5">
        <f t="shared" si="25"/>
        <v>55</v>
      </c>
      <c r="AC57" s="5">
        <f t="shared" si="13"/>
        <v>1055</v>
      </c>
      <c r="AD57" s="97" t="str">
        <f t="shared" si="5"/>
        <v>92c</v>
      </c>
      <c r="AE57" s="5" t="str">
        <f t="shared" si="6"/>
        <v>Anthea Mary  TATTON-BROWN (1951 - )</v>
      </c>
      <c r="AF57" s="5" t="str">
        <f t="shared" si="7"/>
        <v>Anthea TATTON-BROWN (6th &amp; 92)</v>
      </c>
      <c r="AG57" s="110" t="str">
        <f t="shared" si="8"/>
        <v>Female</v>
      </c>
      <c r="AH57" s="5" t="str">
        <f t="shared" si="9"/>
        <v>6th</v>
      </c>
      <c r="AI57" s="5" t="str">
        <f t="shared" si="21"/>
        <v>Unmarried</v>
      </c>
      <c r="AJ57" s="105" t="str">
        <f t="shared" si="14"/>
        <v>Female. b. 26/11/1951 Born in Aden, South Arabia. Baptised 3 Jan 1952 at the Garrison Church, Aden.</v>
      </c>
      <c r="AK57" s="105" t="str">
        <f t="shared" si="11"/>
        <v>b. 26/11/1951</v>
      </c>
    </row>
    <row r="58" spans="1:37" s="5" customFormat="1" ht="69">
      <c r="A58" s="5">
        <f>VLOOKUP(B58,'Loyd List 1-190 - Edit'!$P$1:$R$219,3,FALSE)</f>
        <v>54</v>
      </c>
      <c r="B58" s="5">
        <f t="shared" si="26"/>
        <v>92</v>
      </c>
      <c r="C58" s="157" t="s">
        <v>1521</v>
      </c>
      <c r="D58" s="6" t="s">
        <v>1494</v>
      </c>
      <c r="E58" s="156" t="s">
        <v>1036</v>
      </c>
      <c r="F58" s="5" t="s">
        <v>854</v>
      </c>
      <c r="H58" s="5" t="s">
        <v>2015</v>
      </c>
      <c r="I58" s="5">
        <f t="shared" si="22"/>
        <v>1954</v>
      </c>
      <c r="J58" s="5" t="str">
        <f t="shared" si="23"/>
        <v/>
      </c>
      <c r="K58" s="152"/>
      <c r="L58" s="7" t="str">
        <f t="shared" si="24"/>
        <v>01/01/1954</v>
      </c>
      <c r="M58" s="8">
        <v>19725</v>
      </c>
      <c r="N58" s="7"/>
      <c r="O58" s="7"/>
      <c r="P58" s="181" t="str">
        <f t="shared" si="0"/>
        <v/>
      </c>
      <c r="Q58" s="153" t="str">
        <f t="shared" si="27"/>
        <v>92</v>
      </c>
      <c r="R58" s="180" t="str">
        <f t="shared" si="18"/>
        <v/>
      </c>
      <c r="S58" s="25" t="s">
        <v>3244</v>
      </c>
      <c r="T58" s="5">
        <f t="shared" si="2"/>
        <v>6</v>
      </c>
      <c r="U58" s="5">
        <f t="shared" si="3"/>
        <v>3</v>
      </c>
      <c r="V58" s="5">
        <f>VLOOKUP(B58,'Loyd List 1-190 - Edit'!$A$2:$B$220,2,FALSE)</f>
        <v>5</v>
      </c>
      <c r="W58" s="155">
        <f t="shared" si="4"/>
        <v>1</v>
      </c>
      <c r="X58" s="105" t="s">
        <v>1522</v>
      </c>
      <c r="Y58" s="164" t="s">
        <v>231</v>
      </c>
      <c r="Z58" s="164" t="s">
        <v>3795</v>
      </c>
      <c r="AA58" s="6">
        <v>213</v>
      </c>
      <c r="AB58" s="5">
        <f t="shared" si="25"/>
        <v>56</v>
      </c>
      <c r="AC58" s="5">
        <f t="shared" si="13"/>
        <v>1056</v>
      </c>
      <c r="AD58" s="97" t="str">
        <f t="shared" si="5"/>
        <v>92d</v>
      </c>
      <c r="AE58" s="5" t="str">
        <f t="shared" si="6"/>
        <v>Frances Maud  TATTON-BROWN (1954 - )</v>
      </c>
      <c r="AF58" s="5" t="str">
        <f t="shared" si="7"/>
        <v>Fanny TATTON-BROWN (6th &amp; 92)</v>
      </c>
      <c r="AG58" s="110" t="str">
        <f t="shared" si="8"/>
        <v>Female</v>
      </c>
      <c r="AH58" s="5" t="str">
        <f t="shared" si="9"/>
        <v>6th</v>
      </c>
      <c r="AI58" s="5" t="str">
        <f t="shared" si="21"/>
        <v>Husband: David SURTEES. m. 30 Sep 1979 in Salisbury Cathedral, David (b. 12 Jan 1952) son of Charles William SURTEES of Durham. (Div Jul 1988).</v>
      </c>
      <c r="AJ58" s="105" t="str">
        <f t="shared" si="14"/>
        <v>Female. b. 01/01/1954 Born in Aden, South Arabia, baptised 10 Feb 1954 at the Garrison Church, Aden.</v>
      </c>
      <c r="AK58" s="105" t="str">
        <f t="shared" si="11"/>
        <v>b. 01/01/1954</v>
      </c>
    </row>
    <row r="59" spans="1:37" s="5" customFormat="1" ht="103">
      <c r="A59" s="5">
        <f>VLOOKUP(B59,'Loyd List 1-190 - Edit'!$P$1:$R$219,3,FALSE)</f>
        <v>56</v>
      </c>
      <c r="B59" s="5">
        <f t="shared" si="26"/>
        <v>95</v>
      </c>
      <c r="C59" s="157" t="s">
        <v>1529</v>
      </c>
      <c r="D59" s="6" t="s">
        <v>1528</v>
      </c>
      <c r="E59" s="156" t="s">
        <v>921</v>
      </c>
      <c r="F59" s="5" t="s">
        <v>867</v>
      </c>
      <c r="I59" s="5">
        <f t="shared" si="22"/>
        <v>1946</v>
      </c>
      <c r="J59" s="5" t="str">
        <f t="shared" si="23"/>
        <v/>
      </c>
      <c r="K59" s="152"/>
      <c r="L59" s="7" t="str">
        <f t="shared" si="24"/>
        <v>15/12/1946</v>
      </c>
      <c r="M59" s="8">
        <v>17151</v>
      </c>
      <c r="N59" s="7"/>
      <c r="O59" s="7"/>
      <c r="P59" s="181" t="str">
        <f t="shared" si="0"/>
        <v/>
      </c>
      <c r="Q59" s="153" t="str">
        <f t="shared" si="27"/>
        <v>95</v>
      </c>
      <c r="R59" s="180" t="str">
        <f t="shared" si="18"/>
        <v/>
      </c>
      <c r="S59" s="25" t="s">
        <v>3244</v>
      </c>
      <c r="T59" s="5">
        <f t="shared" si="2"/>
        <v>6</v>
      </c>
      <c r="U59" s="5">
        <f t="shared" si="3"/>
        <v>3</v>
      </c>
      <c r="V59" s="5">
        <f>VLOOKUP(B59,'Loyd List 1-190 - Edit'!$A$2:$B$220,2,FALSE)</f>
        <v>5</v>
      </c>
      <c r="W59" s="155">
        <f t="shared" si="4"/>
        <v>1</v>
      </c>
      <c r="X59" s="105" t="s">
        <v>2647</v>
      </c>
      <c r="Y59" s="164" t="s">
        <v>2648</v>
      </c>
      <c r="Z59" s="164" t="s">
        <v>2649</v>
      </c>
      <c r="AA59" s="6">
        <v>216</v>
      </c>
      <c r="AB59" s="5">
        <f t="shared" si="25"/>
        <v>57</v>
      </c>
      <c r="AC59" s="5">
        <f t="shared" si="13"/>
        <v>1057</v>
      </c>
      <c r="AD59" s="97" t="str">
        <f t="shared" si="5"/>
        <v>95a</v>
      </c>
      <c r="AE59" s="5" t="str">
        <f t="shared" si="6"/>
        <v>Henrietta Catherine  KNIGHT (1946 - )</v>
      </c>
      <c r="AF59" s="5" t="str">
        <f t="shared" si="7"/>
        <v>Henrietta KNIGHT (6th &amp; 95)</v>
      </c>
      <c r="AG59" s="110" t="str">
        <f t="shared" si="8"/>
        <v>Female</v>
      </c>
      <c r="AH59" s="5" t="str">
        <f t="shared" si="9"/>
        <v>6th</v>
      </c>
      <c r="AI59" s="5" t="str">
        <f t="shared" si="21"/>
        <v>Husband: Major Hubert Guy Broughton KNIGHT (b. 09/04/1917, d.01/11/1993). Married at Lockinge by her uncle, the Rt Rev Philip LOYD, Major Hubert Guy Broughton KNIGHT, MC, late Coldstream Guards of Lockinge Manor, Wantage - Educated Eton and RMC Sandhurst.</v>
      </c>
      <c r="AJ59" s="105" t="str">
        <f t="shared" si="14"/>
        <v>Female. b. 15/12/1946 Henrietta of West Lockinge Farm, Wantage.</v>
      </c>
      <c r="AK59" s="105" t="str">
        <f t="shared" si="11"/>
        <v>b. 15/12/1946</v>
      </c>
    </row>
    <row r="60" spans="1:37" s="5" customFormat="1" ht="171">
      <c r="A60" s="5">
        <f>VLOOKUP(B60,'Loyd List 1-190 - Edit'!$P$1:$R$219,3,FALSE)</f>
        <v>56</v>
      </c>
      <c r="B60" s="5">
        <f t="shared" si="26"/>
        <v>95</v>
      </c>
      <c r="C60" s="157" t="s">
        <v>1530</v>
      </c>
      <c r="D60" s="6" t="s">
        <v>1528</v>
      </c>
      <c r="E60" s="156" t="s">
        <v>1531</v>
      </c>
      <c r="F60" s="5" t="s">
        <v>952</v>
      </c>
      <c r="H60" s="5" t="s">
        <v>2650</v>
      </c>
      <c r="I60" s="5">
        <f t="shared" si="22"/>
        <v>1949</v>
      </c>
      <c r="J60" s="5">
        <f t="shared" si="23"/>
        <v>2020</v>
      </c>
      <c r="K60" s="152"/>
      <c r="L60" s="7" t="str">
        <f t="shared" si="24"/>
        <v>11/10/1949</v>
      </c>
      <c r="M60" s="8">
        <v>18182</v>
      </c>
      <c r="N60" s="7">
        <v>29942</v>
      </c>
      <c r="O60" s="7">
        <v>44163</v>
      </c>
      <c r="P60" s="181" t="str">
        <f t="shared" si="0"/>
        <v>28/11/2020</v>
      </c>
      <c r="Q60" s="153" t="str">
        <f t="shared" si="27"/>
        <v>95</v>
      </c>
      <c r="R60" s="180" t="str">
        <f t="shared" si="18"/>
        <v>28/11/2020</v>
      </c>
      <c r="S60" s="25" t="s">
        <v>3244</v>
      </c>
      <c r="T60" s="5">
        <f t="shared" si="2"/>
        <v>6</v>
      </c>
      <c r="U60" s="5">
        <f t="shared" si="3"/>
        <v>3</v>
      </c>
      <c r="V60" s="5">
        <f>VLOOKUP(B60,'Loyd List 1-190 - Edit'!$A$2:$B$220,2,FALSE)</f>
        <v>5</v>
      </c>
      <c r="W60" s="155">
        <f t="shared" si="4"/>
        <v>1</v>
      </c>
      <c r="X60" s="105" t="s">
        <v>3732</v>
      </c>
      <c r="Y60" s="164" t="s">
        <v>3594</v>
      </c>
      <c r="Z60" s="164"/>
      <c r="AA60" s="6">
        <v>217</v>
      </c>
      <c r="AB60" s="5">
        <f t="shared" si="25"/>
        <v>58</v>
      </c>
      <c r="AC60" s="5">
        <f t="shared" si="13"/>
        <v>1058</v>
      </c>
      <c r="AD60" s="97" t="str">
        <f t="shared" si="5"/>
        <v>95b</v>
      </c>
      <c r="AE60" s="5" t="str">
        <f t="shared" si="6"/>
        <v>Celia Elizabeth  KNIGHT (1949 - 2020)</v>
      </c>
      <c r="AF60" s="5" t="str">
        <f t="shared" si="7"/>
        <v>Ce-Ce KNIGHT (6th &amp; 95)</v>
      </c>
      <c r="AG60" s="110" t="str">
        <f t="shared" si="8"/>
        <v>Female</v>
      </c>
      <c r="AH60" s="5" t="str">
        <f t="shared" si="9"/>
        <v>6th</v>
      </c>
      <c r="AI60" s="5" t="str">
        <f t="shared" si="21"/>
        <v>Husband: Sir Samuel George Armstrong VESTEY (b. 19 Mar 1941, d. 04 Feb 2021). Samuel Vestey Master of the Horse and Lord-in Waiting and was award the GCVO and GCStJ (Lord Prior of St John) medals. Married  Sir Samuel George Armstrong VESTEY, 3rd Baron VESTEY  of Stowell Park, Northleach, Gloucestershire. Educated Eton 1954-59.Lieutenant, Scots Guards 1960-63. Dir. Union International and other companies. Died 4 Feb 2021.</v>
      </c>
      <c r="AJ60" s="105" t="str">
        <f t="shared" si="14"/>
        <v>Female. b. 11/10/1949, d. 28/11/2020.</v>
      </c>
      <c r="AK60" s="105" t="str">
        <f t="shared" si="11"/>
        <v>b. 11/10/1949, d. 28/11/2020.</v>
      </c>
    </row>
    <row r="61" spans="1:37" s="5" customFormat="1" ht="137">
      <c r="A61" s="5">
        <f>VLOOKUP(B61,'Loyd List 1-190 - Edit'!$P$1:$R$219,3,FALSE)</f>
        <v>53</v>
      </c>
      <c r="B61" s="5">
        <f t="shared" si="26"/>
        <v>97</v>
      </c>
      <c r="C61" s="157" t="s">
        <v>1542</v>
      </c>
      <c r="D61" s="6" t="s">
        <v>1541</v>
      </c>
      <c r="E61" s="156" t="s">
        <v>982</v>
      </c>
      <c r="F61" s="5" t="s">
        <v>811</v>
      </c>
      <c r="G61" s="5" t="s">
        <v>1497</v>
      </c>
      <c r="I61" s="5">
        <f t="shared" si="22"/>
        <v>1951</v>
      </c>
      <c r="J61" s="5" t="str">
        <f t="shared" si="23"/>
        <v/>
      </c>
      <c r="K61" s="152"/>
      <c r="L61" s="7" t="str">
        <f t="shared" si="24"/>
        <v>17/12/1951</v>
      </c>
      <c r="M61" s="8">
        <v>18979</v>
      </c>
      <c r="N61" s="7"/>
      <c r="O61" s="7"/>
      <c r="P61" s="181" t="str">
        <f t="shared" si="0"/>
        <v/>
      </c>
      <c r="Q61" s="153" t="str">
        <f t="shared" si="27"/>
        <v>97</v>
      </c>
      <c r="R61" s="180" t="str">
        <f t="shared" si="18"/>
        <v/>
      </c>
      <c r="S61" s="25" t="s">
        <v>3245</v>
      </c>
      <c r="T61" s="5">
        <f t="shared" si="2"/>
        <v>6</v>
      </c>
      <c r="U61" s="5">
        <f t="shared" si="3"/>
        <v>3</v>
      </c>
      <c r="V61" s="5">
        <f>VLOOKUP(B61,'Loyd List 1-190 - Edit'!$A$2:$B$220,2,FALSE)</f>
        <v>5</v>
      </c>
      <c r="W61" s="155">
        <f t="shared" si="4"/>
        <v>1</v>
      </c>
      <c r="X61" s="105" t="s">
        <v>2656</v>
      </c>
      <c r="Y61" s="164" t="s">
        <v>4084</v>
      </c>
      <c r="Z61" s="164" t="s">
        <v>4083</v>
      </c>
      <c r="AA61" s="6">
        <v>221</v>
      </c>
      <c r="AB61" s="5">
        <f t="shared" si="25"/>
        <v>59</v>
      </c>
      <c r="AC61" s="5">
        <f t="shared" si="13"/>
        <v>1059</v>
      </c>
      <c r="AD61" s="97" t="str">
        <f t="shared" si="5"/>
        <v>97a</v>
      </c>
      <c r="AE61" s="5" t="str">
        <f t="shared" si="6"/>
        <v>Julian Edward Loyd SALE (1951 - )</v>
      </c>
      <c r="AF61" s="5" t="str">
        <f t="shared" si="7"/>
        <v>Julian SALE (6th &amp; 97)</v>
      </c>
      <c r="AG61" s="110" t="str">
        <f t="shared" si="8"/>
        <v>Male</v>
      </c>
      <c r="AH61" s="5" t="str">
        <f t="shared" si="9"/>
        <v>6th</v>
      </c>
      <c r="AI61" s="5" t="str">
        <f t="shared" si="21"/>
        <v>Wife: Fiona TAYLOR (b. 23 Aug 1955, ). Married in London, Fiona younger daughter of David TAYLOR of Haywards Heath, Sussex and formerly of Hong Kong. Educated Southampton (BSc Geography). Asia: Esprit International and Strait Approach. Non-executive director, Royal Collection Trust. Retail consultant to country houses and museums.</v>
      </c>
      <c r="AJ61" s="105" t="str">
        <f t="shared" si="14"/>
        <v xml:space="preserve">Male. b. 17/12/1951 Julian of D’Anvers house, Culworth, Northamptonshire. Educated Eton College 1965 - 1969. Welsh Guards 1970 – 1974. Asia 1978 – 1996: Commercial director, Newsweek, Harvard Business Review. UK 1996 to present: financial advisory at Lancea Partners London and arranging funding for litigation – access to justice for claimants.
</v>
      </c>
      <c r="AK61" s="105" t="str">
        <f t="shared" si="11"/>
        <v>b. 17/12/1951</v>
      </c>
    </row>
    <row r="62" spans="1:37" s="5" customFormat="1" ht="85">
      <c r="A62" s="5">
        <f>VLOOKUP(B62,'Loyd List 1-190 - Edit'!$P$1:$R$219,3,FALSE)</f>
        <v>53</v>
      </c>
      <c r="B62" s="5">
        <f t="shared" si="26"/>
        <v>97</v>
      </c>
      <c r="C62" s="157" t="s">
        <v>1547</v>
      </c>
      <c r="D62" s="6" t="s">
        <v>1541</v>
      </c>
      <c r="E62" s="156" t="s">
        <v>1543</v>
      </c>
      <c r="F62" s="5" t="s">
        <v>1544</v>
      </c>
      <c r="I62" s="5">
        <f t="shared" si="22"/>
        <v>1954</v>
      </c>
      <c r="J62" s="5" t="str">
        <f t="shared" si="23"/>
        <v/>
      </c>
      <c r="K62" s="152"/>
      <c r="L62" s="7" t="str">
        <f t="shared" si="24"/>
        <v>22/03/1954</v>
      </c>
      <c r="M62" s="8">
        <v>19805</v>
      </c>
      <c r="N62" s="7"/>
      <c r="O62" s="7"/>
      <c r="P62" s="181" t="str">
        <f t="shared" si="0"/>
        <v/>
      </c>
      <c r="Q62" s="153" t="str">
        <f t="shared" si="27"/>
        <v>97</v>
      </c>
      <c r="R62" s="180" t="str">
        <f t="shared" si="18"/>
        <v/>
      </c>
      <c r="S62" s="25" t="s">
        <v>3244</v>
      </c>
      <c r="T62" s="5">
        <f t="shared" si="2"/>
        <v>6</v>
      </c>
      <c r="U62" s="5">
        <f t="shared" si="3"/>
        <v>3</v>
      </c>
      <c r="V62" s="5">
        <f>VLOOKUP(B62,'Loyd List 1-190 - Edit'!$A$2:$B$220,2,FALSE)</f>
        <v>5</v>
      </c>
      <c r="W62" s="155">
        <f t="shared" si="4"/>
        <v>1</v>
      </c>
      <c r="X62" s="105"/>
      <c r="Y62" s="105"/>
      <c r="Z62" s="164" t="s">
        <v>4087</v>
      </c>
      <c r="AA62" s="6">
        <v>224</v>
      </c>
      <c r="AB62" s="5">
        <f t="shared" si="25"/>
        <v>60</v>
      </c>
      <c r="AC62" s="5">
        <f t="shared" si="13"/>
        <v>1060</v>
      </c>
      <c r="AD62" s="97" t="str">
        <f t="shared" si="5"/>
        <v>97b</v>
      </c>
      <c r="AE62" s="5" t="str">
        <f t="shared" si="6"/>
        <v>Iona Marian  SALE (1954 - )</v>
      </c>
      <c r="AF62" s="5" t="str">
        <f t="shared" si="7"/>
        <v>Iona SALE (6th &amp; 97)</v>
      </c>
      <c r="AG62" s="110" t="str">
        <f t="shared" si="8"/>
        <v>Female</v>
      </c>
      <c r="AH62" s="5" t="str">
        <f t="shared" si="9"/>
        <v>6th</v>
      </c>
      <c r="AI62" s="5" t="str">
        <f t="shared" si="21"/>
        <v>Unmarried</v>
      </c>
      <c r="AJ62" s="105" t="str">
        <f t="shared" si="14"/>
        <v xml:space="preserve">Female. b. 22/03/1954 Iona  of 70 Morrison Street, London SW11.  Educated Lawnside, Malvern. Secretary to the Rt Hon Jeremy Thorpe MP. Manageress, Tiger Tops Hotel, Nepal 1981-82. Travel industry 1983-89. Public relations 1989-91. Press Officer, Spink &amp; Sons 1991-98. MD Iona PR from 1998 for artists, galleries and exhibitions. </v>
      </c>
      <c r="AK62" s="105" t="str">
        <f t="shared" si="11"/>
        <v>b. 22/03/1954</v>
      </c>
    </row>
    <row r="63" spans="1:37" s="5" customFormat="1" ht="20">
      <c r="A63" s="5">
        <f>VLOOKUP(B63,'Loyd List 1-190 - Edit'!$P$1:$R$219,3,FALSE)</f>
        <v>53</v>
      </c>
      <c r="B63" s="5">
        <f t="shared" si="26"/>
        <v>97</v>
      </c>
      <c r="C63" s="157" t="s">
        <v>1548</v>
      </c>
      <c r="D63" s="6" t="s">
        <v>1541</v>
      </c>
      <c r="E63" s="156" t="s">
        <v>917</v>
      </c>
      <c r="F63" s="5" t="s">
        <v>902</v>
      </c>
      <c r="I63" s="5">
        <f t="shared" si="22"/>
        <v>1956</v>
      </c>
      <c r="J63" s="5">
        <f t="shared" si="23"/>
        <v>1957</v>
      </c>
      <c r="K63" s="152"/>
      <c r="L63" s="7" t="str">
        <f t="shared" si="24"/>
        <v>12/09/1956</v>
      </c>
      <c r="M63" s="8">
        <v>20710</v>
      </c>
      <c r="N63" s="7"/>
      <c r="O63" s="7">
        <v>21047</v>
      </c>
      <c r="P63" s="181" t="str">
        <f t="shared" si="0"/>
        <v>15/08/1957</v>
      </c>
      <c r="Q63" s="153" t="str">
        <f t="shared" si="27"/>
        <v>97</v>
      </c>
      <c r="R63" s="180" t="str">
        <f t="shared" si="18"/>
        <v>15/08/1957</v>
      </c>
      <c r="S63" s="25" t="s">
        <v>3245</v>
      </c>
      <c r="T63" s="5">
        <f t="shared" si="2"/>
        <v>6</v>
      </c>
      <c r="U63" s="5">
        <f t="shared" si="3"/>
        <v>3</v>
      </c>
      <c r="V63" s="5">
        <f>VLOOKUP(B63,'Loyd List 1-190 - Edit'!$A$2:$B$220,2,FALSE)</f>
        <v>5</v>
      </c>
      <c r="W63" s="155">
        <f t="shared" si="4"/>
        <v>1</v>
      </c>
      <c r="X63" s="105"/>
      <c r="Y63" s="105"/>
      <c r="Z63" s="164" t="s">
        <v>2659</v>
      </c>
      <c r="AA63" s="6">
        <v>225</v>
      </c>
      <c r="AB63" s="5">
        <f t="shared" si="25"/>
        <v>61</v>
      </c>
      <c r="AC63" s="5">
        <f t="shared" si="13"/>
        <v>1061</v>
      </c>
      <c r="AD63" s="97" t="str">
        <f t="shared" si="5"/>
        <v>97c</v>
      </c>
      <c r="AE63" s="5" t="str">
        <f t="shared" si="6"/>
        <v>Charles Robert  SALE (1956 - 1957)</v>
      </c>
      <c r="AF63" s="5" t="str">
        <f t="shared" si="7"/>
        <v>Charles SALE (6th &amp; 97)</v>
      </c>
      <c r="AG63" s="110" t="str">
        <f t="shared" si="8"/>
        <v>Male</v>
      </c>
      <c r="AH63" s="5" t="str">
        <f t="shared" si="9"/>
        <v>6th</v>
      </c>
      <c r="AI63" s="5" t="str">
        <f t="shared" si="21"/>
        <v>Unmarried</v>
      </c>
      <c r="AJ63" s="105" t="str">
        <f t="shared" si="14"/>
        <v>Male. b. 12/09/1956, d. 15/08/1957. Born 12 Sep 1956, died 15 Aug 1957.</v>
      </c>
      <c r="AK63" s="105" t="str">
        <f t="shared" si="11"/>
        <v>b. 12/09/1956, d. 15/08/1957.</v>
      </c>
    </row>
    <row r="64" spans="1:37" s="5" customFormat="1" ht="356">
      <c r="A64" s="5">
        <f>VLOOKUP(B64,'Loyd List 1-190 - Edit'!$P$1:$R$219,3,FALSE)</f>
        <v>53</v>
      </c>
      <c r="B64" s="5">
        <f t="shared" si="26"/>
        <v>97</v>
      </c>
      <c r="C64" s="157" t="s">
        <v>1551</v>
      </c>
      <c r="D64" s="6" t="s">
        <v>1541</v>
      </c>
      <c r="E64" s="156" t="s">
        <v>1549</v>
      </c>
      <c r="F64" s="5" t="s">
        <v>865</v>
      </c>
      <c r="G64" s="5" t="s">
        <v>2972</v>
      </c>
      <c r="H64" s="5" t="s">
        <v>2971</v>
      </c>
      <c r="I64" s="5">
        <f t="shared" si="22"/>
        <v>1959</v>
      </c>
      <c r="J64" s="5" t="str">
        <f t="shared" si="23"/>
        <v/>
      </c>
      <c r="K64" s="152"/>
      <c r="L64" s="7" t="str">
        <f t="shared" si="24"/>
        <v>14/04/1959</v>
      </c>
      <c r="M64" s="8">
        <v>21654</v>
      </c>
      <c r="N64" s="7"/>
      <c r="O64" s="7"/>
      <c r="P64" s="181" t="str">
        <f t="shared" si="0"/>
        <v/>
      </c>
      <c r="Q64" s="153" t="str">
        <f t="shared" si="27"/>
        <v>97</v>
      </c>
      <c r="R64" s="180" t="str">
        <f t="shared" si="18"/>
        <v/>
      </c>
      <c r="S64" s="25" t="s">
        <v>3245</v>
      </c>
      <c r="T64" s="5">
        <f t="shared" si="2"/>
        <v>6</v>
      </c>
      <c r="U64" s="5">
        <f t="shared" si="3"/>
        <v>3</v>
      </c>
      <c r="V64" s="5">
        <f>VLOOKUP(B64,'Loyd List 1-190 - Edit'!$A$2:$B$220,2,FALSE)</f>
        <v>5</v>
      </c>
      <c r="W64" s="155">
        <f t="shared" si="4"/>
        <v>1</v>
      </c>
      <c r="X64" s="105"/>
      <c r="Y64" s="105"/>
      <c r="Z64" s="164" t="s">
        <v>4088</v>
      </c>
      <c r="AA64" s="6">
        <v>226</v>
      </c>
      <c r="AB64" s="5">
        <f t="shared" si="25"/>
        <v>62</v>
      </c>
      <c r="AC64" s="5">
        <f t="shared" si="13"/>
        <v>1062</v>
      </c>
      <c r="AD64" s="97" t="str">
        <f t="shared" si="5"/>
        <v>97d</v>
      </c>
      <c r="AE64" s="5" t="str">
        <f t="shared" si="6"/>
        <v>Roderick Peter Abell SALE (1959 - )</v>
      </c>
      <c r="AF64" s="5" t="str">
        <f t="shared" si="7"/>
        <v>Roddy SALE (6th &amp; 97)</v>
      </c>
      <c r="AG64" s="110" t="str">
        <f t="shared" si="8"/>
        <v>Male</v>
      </c>
      <c r="AH64" s="5" t="str">
        <f t="shared" si="9"/>
        <v>6th</v>
      </c>
      <c r="AI64" s="5" t="str">
        <f t="shared" si="21"/>
        <v>Unmarried</v>
      </c>
      <c r="AJ64" s="105" t="str">
        <f t="shared" si="14"/>
        <v>Male. b. 14/04/1959 Roddy lives in Gloucestershire. Educated Eton 1972-77. Commissioned Welsh Guards 1979. Served Northern Ireland 1979-80. Falklands Islands (Operation Corporate) 1982, 2nd in Command Support Company. Regimental Signals Officer 1982-84. Captain Jan 1985. OC HQ Company 1985. OC Household Division Centralised Courses, Guards Depot 1985. OC Guards Battle Camp, Thetford 1986. Transferred to Regular Army Reserve of Officers 1987. Merrill Lynch Capital Markets 1987-90. Robert Fleming &amp; Co from 1990. Seconded Jardine Fleming from 1993. Head of Investment Banking and Director, Jardine Fleming, India from 1997 to 2002. Consultant in India 2003-2019 Markets. Comd Ven Order of St John 1998. Patron, No. III Maharashtra District, India, St John Ambulance 1997. Head of  Investment Banking and Director of Jardine Fleming, Chase, JP Morgan until 2002. Council Member Royal Commonwealth Ex Services League.  Chairman Ex Services Association Bombay. Co-Owner Ray of Light, winner of Poona Derby 2000. Patron of elephant polo team Bombay Light Horse 2003, 2004. Refounded Old Etonian Association of Indian Sub-Continent - 1998. Publisher of Lord Curzon Speeches in India - 2006. Has safe keeping of old Welsh Bible with entries about LLOYD family in Carmarthenshire in 18th Century and other old family papers, and the blunderbuss belonging to Edward LOYD (1780-1863) for use by his coachman if attacked on the turnpikes. Roddy has Loyd deeds relating to bank and a school grammar book of Latin syntax owned by Edward (1780—1863: #8).</v>
      </c>
      <c r="AK64" s="105" t="str">
        <f t="shared" si="11"/>
        <v>b. 14/04/1959</v>
      </c>
    </row>
    <row r="65" spans="1:37" s="5" customFormat="1" ht="68">
      <c r="A65" s="5">
        <f>VLOOKUP(B65,'Loyd List 1-190 - Edit'!$P$1:$R$219,3,FALSE)</f>
        <v>53</v>
      </c>
      <c r="B65" s="5">
        <f t="shared" si="26"/>
        <v>97</v>
      </c>
      <c r="C65" s="157" t="s">
        <v>1552</v>
      </c>
      <c r="D65" s="6" t="s">
        <v>1541</v>
      </c>
      <c r="E65" s="156" t="s">
        <v>811</v>
      </c>
      <c r="F65" s="5" t="s">
        <v>842</v>
      </c>
      <c r="G65" s="5" t="s">
        <v>885</v>
      </c>
      <c r="I65" s="5">
        <f t="shared" si="22"/>
        <v>1963</v>
      </c>
      <c r="J65" s="5" t="str">
        <f t="shared" si="23"/>
        <v/>
      </c>
      <c r="K65" s="152"/>
      <c r="L65" s="7" t="str">
        <f t="shared" si="24"/>
        <v>02/10/1963</v>
      </c>
      <c r="M65" s="8">
        <v>23286</v>
      </c>
      <c r="N65" s="7"/>
      <c r="O65" s="7"/>
      <c r="P65" s="181" t="str">
        <f t="shared" si="0"/>
        <v/>
      </c>
      <c r="Q65" s="153" t="str">
        <f t="shared" si="27"/>
        <v>97</v>
      </c>
      <c r="R65" s="180" t="str">
        <f t="shared" si="18"/>
        <v/>
      </c>
      <c r="S65" s="25" t="s">
        <v>3245</v>
      </c>
      <c r="T65" s="5">
        <f t="shared" si="2"/>
        <v>6</v>
      </c>
      <c r="U65" s="5">
        <f t="shared" si="3"/>
        <v>3</v>
      </c>
      <c r="V65" s="5">
        <f>VLOOKUP(B65,'Loyd List 1-190 - Edit'!$A$2:$B$220,2,FALSE)</f>
        <v>5</v>
      </c>
      <c r="W65" s="155">
        <f t="shared" si="4"/>
        <v>1</v>
      </c>
      <c r="X65" s="105"/>
      <c r="Y65" s="164" t="s">
        <v>285</v>
      </c>
      <c r="Z65" s="164" t="s">
        <v>2661</v>
      </c>
      <c r="AA65" s="6">
        <v>227</v>
      </c>
      <c r="AB65" s="5">
        <f t="shared" si="25"/>
        <v>63</v>
      </c>
      <c r="AC65" s="5">
        <f t="shared" si="13"/>
        <v>1063</v>
      </c>
      <c r="AD65" s="97" t="str">
        <f t="shared" si="5"/>
        <v>97e</v>
      </c>
      <c r="AE65" s="5" t="str">
        <f t="shared" si="6"/>
        <v>Edward John Andrew SALE (1963 - )</v>
      </c>
      <c r="AF65" s="5" t="str">
        <f t="shared" si="7"/>
        <v>Edward SALE (6th &amp; 97)</v>
      </c>
      <c r="AG65" s="110" t="str">
        <f t="shared" si="8"/>
        <v>Male</v>
      </c>
      <c r="AH65" s="5" t="str">
        <f t="shared" si="9"/>
        <v>6th</v>
      </c>
      <c r="AI65" s="5" t="str">
        <f t="shared" si="21"/>
        <v>Unmarried</v>
      </c>
      <c r="AJ65" s="105" t="str">
        <f t="shared" si="14"/>
        <v>Male. b. 02/10/1963 Edward of Minehill House, Brailes, Banbury, OX15 5BJ. Educated Eton 1977-81. Royal Agricultural College, Cirencester 1983-5. ARCS 1987. Various property and financial services activities 1987-97. Stockbroker, Brewin Dolphin, Birmingham from 1998.</v>
      </c>
      <c r="AK65" s="105" t="str">
        <f t="shared" si="11"/>
        <v>b. 02/10/1963</v>
      </c>
    </row>
    <row r="66" spans="1:37" s="5" customFormat="1" ht="86">
      <c r="A66" s="5">
        <f>VLOOKUP(B66,'Loyd List 1-190 - Edit'!$P$1:$R$219,3,FALSE)</f>
        <v>56</v>
      </c>
      <c r="B66" s="5">
        <f t="shared" ref="B66:B97" si="28">VALUE(LEFT(C66,3))</f>
        <v>101</v>
      </c>
      <c r="C66" s="157" t="s">
        <v>1560</v>
      </c>
      <c r="D66" s="6" t="s">
        <v>1559</v>
      </c>
      <c r="E66" s="156" t="s">
        <v>1558</v>
      </c>
      <c r="F66" s="5" t="s">
        <v>867</v>
      </c>
      <c r="I66" s="5">
        <f t="shared" si="22"/>
        <v>1950</v>
      </c>
      <c r="J66" s="5" t="str">
        <f t="shared" si="23"/>
        <v/>
      </c>
      <c r="K66" s="152"/>
      <c r="L66" s="7" t="str">
        <f t="shared" si="24"/>
        <v>14/03/1950</v>
      </c>
      <c r="M66" s="8">
        <v>18336</v>
      </c>
      <c r="N66" s="7">
        <v>26600</v>
      </c>
      <c r="O66" s="7"/>
      <c r="P66" s="181" t="str">
        <f t="shared" si="0"/>
        <v/>
      </c>
      <c r="Q66" s="153" t="str">
        <f t="shared" si="27"/>
        <v>101</v>
      </c>
      <c r="R66" s="180" t="str">
        <f t="shared" si="18"/>
        <v/>
      </c>
      <c r="S66" s="25" t="s">
        <v>3244</v>
      </c>
      <c r="T66" s="5">
        <f t="shared" si="2"/>
        <v>6</v>
      </c>
      <c r="U66" s="5">
        <f t="shared" si="3"/>
        <v>4</v>
      </c>
      <c r="V66" s="5">
        <f>VLOOKUP(B66,'Loyd List 1-190 - Edit'!$A$2:$B$220,2,FALSE)</f>
        <v>5</v>
      </c>
      <c r="W66" s="155">
        <f t="shared" si="4"/>
        <v>1</v>
      </c>
      <c r="X66" s="105" t="s">
        <v>2667</v>
      </c>
      <c r="Y66" s="164" t="s">
        <v>2668</v>
      </c>
      <c r="Z66" s="164" t="s">
        <v>2666</v>
      </c>
      <c r="AA66" s="6">
        <v>230</v>
      </c>
      <c r="AB66" s="5">
        <f t="shared" si="25"/>
        <v>64</v>
      </c>
      <c r="AC66" s="5">
        <f t="shared" si="13"/>
        <v>1064</v>
      </c>
      <c r="AD66" s="97" t="str">
        <f t="shared" si="5"/>
        <v>101a</v>
      </c>
      <c r="AE66" s="5" t="str">
        <f t="shared" si="6"/>
        <v>Lady Selina Catherine  MEADE (1950 - )</v>
      </c>
      <c r="AF66" s="5" t="str">
        <f t="shared" si="7"/>
        <v>Lady Selina MEADE (6th &amp; 101)</v>
      </c>
      <c r="AG66" s="110" t="str">
        <f t="shared" si="8"/>
        <v>Female</v>
      </c>
      <c r="AH66" s="5" t="str">
        <f t="shared" si="9"/>
        <v>6th</v>
      </c>
      <c r="AI66" s="5" t="str">
        <f t="shared" si="21"/>
        <v>Husband: Nicholas George Lawrence TIMPSON (b. 21/02/1941, d. ). Nicholas of Ardington Croft, Wantage, Oxfordshire, son of Alastair TIMPSON (b. 23 May 1915, d. 18 Dec 1997) of Castle Combe, Wiltshire.</v>
      </c>
      <c r="AJ66" s="105" t="str">
        <f t="shared" si="14"/>
        <v>Female. b. 14/03/1950 Baptised 15 May 1950 at St George’s, Hanover Square, London W1.</v>
      </c>
      <c r="AK66" s="105" t="str">
        <f t="shared" si="11"/>
        <v>b. 14/03/1950</v>
      </c>
    </row>
    <row r="67" spans="1:37" s="5" customFormat="1" ht="69">
      <c r="A67" s="5">
        <f>VLOOKUP(B67,'Loyd List 1-190 - Edit'!$P$1:$R$219,3,FALSE)</f>
        <v>56</v>
      </c>
      <c r="B67" s="5">
        <f t="shared" si="28"/>
        <v>101</v>
      </c>
      <c r="C67" s="157" t="s">
        <v>1567</v>
      </c>
      <c r="D67" s="6" t="s">
        <v>1559</v>
      </c>
      <c r="E67" s="156" t="s">
        <v>1566</v>
      </c>
      <c r="F67" s="5" t="s">
        <v>922</v>
      </c>
      <c r="I67" s="5">
        <f t="shared" si="22"/>
        <v>1952</v>
      </c>
      <c r="J67" s="5" t="str">
        <f t="shared" si="23"/>
        <v/>
      </c>
      <c r="K67" s="152"/>
      <c r="L67" s="7" t="str">
        <f t="shared" si="24"/>
        <v>12/07/1952</v>
      </c>
      <c r="M67" s="8">
        <v>19187</v>
      </c>
      <c r="N67" s="7">
        <v>30933</v>
      </c>
      <c r="O67" s="7"/>
      <c r="P67" s="181" t="str">
        <f t="shared" ref="P67:P130" si="29">R67</f>
        <v/>
      </c>
      <c r="Q67" s="153" t="str">
        <f t="shared" si="27"/>
        <v>101</v>
      </c>
      <c r="R67" s="180" t="str">
        <f t="shared" ref="R67:R130" si="30">IF(LEN(O67)=4,O67,IF(O67="","",TEXT(O67,"dd/mm/yyyy")))</f>
        <v/>
      </c>
      <c r="S67" s="25" t="s">
        <v>3244</v>
      </c>
      <c r="T67" s="5">
        <f t="shared" ref="T67:T130" si="31">IF(B67&lt;10,V67+U67-1,IF(AND(B67&gt;=10,B67&lt;=99),V67+U67-2,V67+U67-3))</f>
        <v>6</v>
      </c>
      <c r="U67" s="5">
        <f t="shared" ref="U67:U130" si="32">LEN(C67)</f>
        <v>4</v>
      </c>
      <c r="V67" s="5">
        <f>VLOOKUP(B67,'Loyd List 1-190 - Edit'!$A$2:$B$220,2,FALSE)</f>
        <v>5</v>
      </c>
      <c r="W67" s="155">
        <f t="shared" ref="W67:W130" si="33">IF(LEN(C67)-IF(B67&lt;10,1,IF(AND(B67&gt;9,B67&lt;100),2,3))=1,1,IF(LEN(C67)-IF(B67&lt;10,1,IF(AND(B67&gt;9,B67&lt;100),2,3))=0,"SELF",LEN(C67)-IF(B67&lt;10,1,IF(AND(B67&gt;9,B67&lt;100),2,3))))</f>
        <v>1</v>
      </c>
      <c r="X67" s="105" t="s">
        <v>2672</v>
      </c>
      <c r="Y67" s="164" t="s">
        <v>2673</v>
      </c>
      <c r="Z67" s="164" t="s">
        <v>2671</v>
      </c>
      <c r="AA67" s="6">
        <v>233</v>
      </c>
      <c r="AB67" s="5">
        <f t="shared" si="25"/>
        <v>65</v>
      </c>
      <c r="AC67" s="5">
        <f t="shared" si="13"/>
        <v>1065</v>
      </c>
      <c r="AD67" s="97" t="str">
        <f t="shared" ref="AD67:AD130" si="34">C67</f>
        <v>101b</v>
      </c>
      <c r="AE67" s="5" t="str">
        <f t="shared" ref="AE67:AE130" si="35">_xlfn.CONCAT(E67," ",F67," ",G67," ",D67," (",I67," - ",J67,")")</f>
        <v>Lady Mary Jane  MEADE (1952 - )</v>
      </c>
      <c r="AF67" s="5" t="str">
        <f t="shared" ref="AF67:AF130" si="36">IF(H67="",_xlfn.CONCAT(E67," ",D67," (",AH67," &amp; ",B67,")"),_xlfn.CONCAT(H67," ",D67," (",AH67," &amp; ",B67,")"))</f>
        <v>Lady Mary MEADE (6th &amp; 101)</v>
      </c>
      <c r="AG67" s="110" t="str">
        <f t="shared" ref="AG67:AG130" si="37">S67</f>
        <v>Female</v>
      </c>
      <c r="AH67" s="5" t="str">
        <f t="shared" ref="AH67:AH130" si="38">VLOOKUP(T67,$AQ$2:$AS$10,3,FALSE)</f>
        <v>6th</v>
      </c>
      <c r="AI67" s="5" t="str">
        <f t="shared" ref="AI67:AI98" si="39">IF(X67="","Unmarried",IF(AG67="Male",_xlfn.CONCAT("Wife: ",X67,". ",Y67),_xlfn.CONCAT("Husband: ",X67,". ",Y67)))</f>
        <v>Husband: John Armar LOWRY-CORRY (b. 04/09/1951, d. ). Married John Armar LOWRY-CORRY, 8th Earl of BELMORE of The Garden House, Castle Coole, Enniskillen, co Fermanagh, BT74 6JY.</v>
      </c>
      <c r="AJ67" s="105" t="str">
        <f t="shared" si="14"/>
        <v>Female. b. 12/07/1952 Baptised Sep 1952 at Magherdroll Parish Church, Ballynahinch, co Down.</v>
      </c>
      <c r="AK67" s="105" t="str">
        <f t="shared" ref="AK67:AK130" si="40">_xlfn.CONCAT(IF(L67="","b &amp; d dates unknown.",_xlfn.CONCAT("b. ",L67)),IF(P67="","",_xlfn.CONCAT(", d. ",P67,".")))</f>
        <v>b. 12/07/1952</v>
      </c>
    </row>
    <row r="68" spans="1:37" s="5" customFormat="1" ht="86">
      <c r="A68" s="5">
        <f>VLOOKUP(B68,'Loyd List 1-190 - Edit'!$P$1:$R$219,3,FALSE)</f>
        <v>56</v>
      </c>
      <c r="B68" s="5">
        <f t="shared" si="28"/>
        <v>101</v>
      </c>
      <c r="C68" s="157" t="s">
        <v>1579</v>
      </c>
      <c r="D68" s="6" t="s">
        <v>1559</v>
      </c>
      <c r="E68" s="156" t="s">
        <v>1578</v>
      </c>
      <c r="F68" s="5" t="s">
        <v>952</v>
      </c>
      <c r="I68" s="5">
        <f t="shared" ref="I68:I99" si="41">IF(L68="","",VALUE(RIGHT(L68,4)))</f>
        <v>1953</v>
      </c>
      <c r="J68" s="5" t="str">
        <f t="shared" ref="J68:J99" si="42">IF(O68="","",VALUE(RIGHT(TEXT(O68,"dd/mm/yyyy"),4)))</f>
        <v/>
      </c>
      <c r="K68" s="152"/>
      <c r="L68" s="7" t="str">
        <f t="shared" ref="L68:L99" si="43">IF(M68="","",TEXT(M68,"dd/mm/yyyy"))</f>
        <v>31/12/1953</v>
      </c>
      <c r="M68" s="8">
        <v>19724</v>
      </c>
      <c r="N68" s="7"/>
      <c r="O68" s="7"/>
      <c r="P68" s="181" t="str">
        <f t="shared" si="29"/>
        <v/>
      </c>
      <c r="Q68" s="153" t="str">
        <f t="shared" si="27"/>
        <v>101</v>
      </c>
      <c r="R68" s="180" t="str">
        <f t="shared" si="30"/>
        <v/>
      </c>
      <c r="S68" s="25" t="s">
        <v>3244</v>
      </c>
      <c r="T68" s="5">
        <f t="shared" si="31"/>
        <v>6</v>
      </c>
      <c r="U68" s="5">
        <f t="shared" si="32"/>
        <v>4</v>
      </c>
      <c r="V68" s="5">
        <f>VLOOKUP(B68,'Loyd List 1-190 - Edit'!$A$2:$B$220,2,FALSE)</f>
        <v>5</v>
      </c>
      <c r="W68" s="155">
        <f t="shared" si="33"/>
        <v>1</v>
      </c>
      <c r="X68" s="105" t="s">
        <v>3785</v>
      </c>
      <c r="Y68" s="164" t="s">
        <v>2678</v>
      </c>
      <c r="Z68" s="164"/>
      <c r="AA68" s="6">
        <v>237</v>
      </c>
      <c r="AB68" s="5">
        <f t="shared" ref="AB68:AB99" si="44">AB67+1</f>
        <v>66</v>
      </c>
      <c r="AC68" s="5">
        <f t="shared" ref="AC68:AC131" si="45">W68*1000+AB68</f>
        <v>1066</v>
      </c>
      <c r="AD68" s="97" t="str">
        <f t="shared" si="34"/>
        <v>101c</v>
      </c>
      <c r="AE68" s="5" t="str">
        <f t="shared" si="35"/>
        <v>Lady Julia Elizabeth  MEADE (1953 - )</v>
      </c>
      <c r="AF68" s="5" t="str">
        <f t="shared" si="36"/>
        <v>Lady Julia MEADE (6th &amp; 101)</v>
      </c>
      <c r="AG68" s="110" t="str">
        <f t="shared" si="37"/>
        <v>Female</v>
      </c>
      <c r="AH68" s="5" t="str">
        <f t="shared" si="38"/>
        <v>6th</v>
      </c>
      <c r="AI68" s="5" t="str">
        <f t="shared" si="39"/>
        <v>Husband: Robert Ralph Scrymgeour HISCOX (b. 04/01/1943, ). Married Robert of Rainscombe Park, Oare, Marlborough, Wiltshire, SN8 4HZ, son of Ralph HISCOX CBE of Scott’s Farm, Chobham, Surrey.</v>
      </c>
      <c r="AJ68" s="105" t="str">
        <f t="shared" ref="AJ68:AJ131" si="46">IF(Z68="",_xlfn.CONCAT(AG68,". ",AK68),_xlfn.CONCAT(AG68,". ",AK68," ",Z68))</f>
        <v>Female. b. 31/12/1953</v>
      </c>
      <c r="AK68" s="105" t="str">
        <f t="shared" si="40"/>
        <v>b. 31/12/1953</v>
      </c>
    </row>
    <row r="69" spans="1:37" s="5" customFormat="1" ht="69">
      <c r="A69" s="5">
        <f>VLOOKUP(B69,'Loyd List 1-190 - Edit'!$P$1:$R$219,3,FALSE)</f>
        <v>56</v>
      </c>
      <c r="B69" s="5">
        <f t="shared" si="28"/>
        <v>101</v>
      </c>
      <c r="C69" s="157" t="s">
        <v>1587</v>
      </c>
      <c r="D69" s="6" t="s">
        <v>1559</v>
      </c>
      <c r="E69" s="156" t="s">
        <v>1586</v>
      </c>
      <c r="F69" s="5" t="s">
        <v>1436</v>
      </c>
      <c r="I69" s="5">
        <f t="shared" si="41"/>
        <v>1957</v>
      </c>
      <c r="J69" s="5" t="str">
        <f t="shared" si="42"/>
        <v/>
      </c>
      <c r="K69" s="152"/>
      <c r="L69" s="7" t="str">
        <f t="shared" si="43"/>
        <v>11/03/1957</v>
      </c>
      <c r="M69" s="8">
        <v>20890</v>
      </c>
      <c r="N69" s="7">
        <v>29701</v>
      </c>
      <c r="O69" s="7"/>
      <c r="P69" s="181" t="str">
        <f t="shared" si="29"/>
        <v/>
      </c>
      <c r="Q69" s="153" t="str">
        <f t="shared" si="27"/>
        <v>101</v>
      </c>
      <c r="R69" s="180" t="str">
        <f t="shared" si="30"/>
        <v/>
      </c>
      <c r="S69" s="25" t="s">
        <v>3244</v>
      </c>
      <c r="T69" s="5">
        <f t="shared" si="31"/>
        <v>6</v>
      </c>
      <c r="U69" s="5">
        <f t="shared" si="32"/>
        <v>4</v>
      </c>
      <c r="V69" s="5">
        <f>VLOOKUP(B69,'Loyd List 1-190 - Edit'!$A$2:$B$220,2,FALSE)</f>
        <v>5</v>
      </c>
      <c r="W69" s="155">
        <f t="shared" si="33"/>
        <v>1</v>
      </c>
      <c r="X69" s="105" t="s">
        <v>3784</v>
      </c>
      <c r="Y69" s="164" t="s">
        <v>2683</v>
      </c>
      <c r="Z69" s="164"/>
      <c r="AA69" s="6">
        <v>241</v>
      </c>
      <c r="AB69" s="5">
        <f t="shared" si="44"/>
        <v>67</v>
      </c>
      <c r="AC69" s="5">
        <f t="shared" si="45"/>
        <v>1067</v>
      </c>
      <c r="AD69" s="97" t="str">
        <f t="shared" si="34"/>
        <v>101d</v>
      </c>
      <c r="AE69" s="5" t="str">
        <f t="shared" si="35"/>
        <v>Lady Laura Louise  MEADE (1957 - )</v>
      </c>
      <c r="AF69" s="5" t="str">
        <f t="shared" si="36"/>
        <v>Lady Laura MEADE (6th &amp; 101)</v>
      </c>
      <c r="AG69" s="110" t="str">
        <f t="shared" si="37"/>
        <v>Female</v>
      </c>
      <c r="AH69" s="5" t="str">
        <f t="shared" si="38"/>
        <v>6th</v>
      </c>
      <c r="AI69" s="5" t="str">
        <f t="shared" si="39"/>
        <v>Husband: Scott Buckingham REID (b. 24/12/1947, ). Married Scott of 524 Purchase Street, Rye, New York, 10580, USA, son of Howard A REID of Bronxville, New York, USA.</v>
      </c>
      <c r="AJ69" s="105" t="str">
        <f t="shared" si="46"/>
        <v>Female. b. 11/03/1957</v>
      </c>
      <c r="AK69" s="105" t="str">
        <f t="shared" si="40"/>
        <v>b. 11/03/1957</v>
      </c>
    </row>
    <row r="70" spans="1:37" s="5" customFormat="1" ht="69">
      <c r="A70" s="5">
        <f>VLOOKUP(B70,'Loyd List 1-190 - Edit'!$P$1:$R$219,3,FALSE)</f>
        <v>56</v>
      </c>
      <c r="B70" s="5">
        <f t="shared" si="28"/>
        <v>101</v>
      </c>
      <c r="C70" s="157" t="s">
        <v>1598</v>
      </c>
      <c r="D70" s="6" t="s">
        <v>1559</v>
      </c>
      <c r="E70" s="156" t="s">
        <v>1597</v>
      </c>
      <c r="F70" s="5" t="s">
        <v>839</v>
      </c>
      <c r="I70" s="5">
        <f t="shared" si="41"/>
        <v>1959</v>
      </c>
      <c r="J70" s="5" t="str">
        <f t="shared" si="42"/>
        <v/>
      </c>
      <c r="K70" s="152"/>
      <c r="L70" s="7" t="str">
        <f t="shared" si="43"/>
        <v>10/08/1959</v>
      </c>
      <c r="M70" s="8">
        <v>21772</v>
      </c>
      <c r="N70" s="7" t="s">
        <v>1600</v>
      </c>
      <c r="O70" s="7"/>
      <c r="P70" s="181" t="str">
        <f t="shared" si="29"/>
        <v/>
      </c>
      <c r="Q70" s="153" t="str">
        <f t="shared" si="27"/>
        <v>101</v>
      </c>
      <c r="R70" s="180" t="str">
        <f t="shared" si="30"/>
        <v/>
      </c>
      <c r="S70" s="25" t="s">
        <v>3244</v>
      </c>
      <c r="T70" s="5">
        <f t="shared" si="31"/>
        <v>6</v>
      </c>
      <c r="U70" s="5">
        <f t="shared" si="32"/>
        <v>4</v>
      </c>
      <c r="V70" s="5">
        <f>VLOOKUP(B70,'Loyd List 1-190 - Edit'!$A$2:$B$220,2,FALSE)</f>
        <v>5</v>
      </c>
      <c r="W70" s="155">
        <f t="shared" si="33"/>
        <v>1</v>
      </c>
      <c r="X70" s="105" t="s">
        <v>3783</v>
      </c>
      <c r="Y70" s="164" t="s">
        <v>2688</v>
      </c>
      <c r="Z70" s="164" t="s">
        <v>2686</v>
      </c>
      <c r="AA70" s="6">
        <v>245</v>
      </c>
      <c r="AB70" s="5">
        <f t="shared" si="44"/>
        <v>68</v>
      </c>
      <c r="AC70" s="5">
        <f t="shared" si="45"/>
        <v>1068</v>
      </c>
      <c r="AD70" s="97" t="str">
        <f t="shared" si="34"/>
        <v>101e</v>
      </c>
      <c r="AE70" s="5" t="str">
        <f t="shared" si="35"/>
        <v>Lady Katherine Anne  MEADE (1959 - )</v>
      </c>
      <c r="AF70" s="5" t="str">
        <f t="shared" si="36"/>
        <v>Lady Katherine MEADE (6th &amp; 101)</v>
      </c>
      <c r="AG70" s="110" t="str">
        <f t="shared" si="37"/>
        <v>Female</v>
      </c>
      <c r="AH70" s="5" t="str">
        <f t="shared" si="38"/>
        <v>6th</v>
      </c>
      <c r="AI70" s="5" t="str">
        <f t="shared" si="39"/>
        <v>Husband: Christopher Aubrey Hamilton WILLS (b.1953, ). Married Christopher of Litchfield Down, Whitchurch, Hampshire, elder son of Hon Victor Patrick Hamilton WILLS.</v>
      </c>
      <c r="AJ70" s="105" t="str">
        <f t="shared" si="46"/>
        <v>Female. b. 10/08/1959 Baptised Dec 1959 at Magherdroll Parish Church, Ballynahinch, co Down.</v>
      </c>
      <c r="AK70" s="105" t="str">
        <f t="shared" si="40"/>
        <v>b. 10/08/1959</v>
      </c>
    </row>
    <row r="71" spans="1:37" s="5" customFormat="1" ht="69">
      <c r="A71" s="5">
        <f>VLOOKUP(B71,'Loyd List 1-190 - Edit'!$P$1:$R$219,3,FALSE)</f>
        <v>56</v>
      </c>
      <c r="B71" s="5">
        <f t="shared" si="28"/>
        <v>101</v>
      </c>
      <c r="C71" s="157" t="s">
        <v>1607</v>
      </c>
      <c r="D71" s="6" t="s">
        <v>1559</v>
      </c>
      <c r="E71" s="156" t="s">
        <v>1605</v>
      </c>
      <c r="F71" s="160" t="s">
        <v>859</v>
      </c>
      <c r="I71" s="5">
        <f t="shared" si="41"/>
        <v>1963</v>
      </c>
      <c r="J71" s="5" t="str">
        <f t="shared" si="42"/>
        <v/>
      </c>
      <c r="K71" s="152"/>
      <c r="L71" s="7" t="str">
        <f t="shared" si="43"/>
        <v>14/10/1963</v>
      </c>
      <c r="M71" s="8">
        <v>23298</v>
      </c>
      <c r="N71" s="7" t="s">
        <v>1606</v>
      </c>
      <c r="O71" s="7"/>
      <c r="P71" s="181" t="str">
        <f t="shared" si="29"/>
        <v/>
      </c>
      <c r="Q71" s="153" t="str">
        <f t="shared" si="27"/>
        <v>101</v>
      </c>
      <c r="R71" s="180" t="str">
        <f t="shared" si="30"/>
        <v/>
      </c>
      <c r="S71" s="25" t="s">
        <v>3244</v>
      </c>
      <c r="T71" s="5">
        <f t="shared" si="31"/>
        <v>6</v>
      </c>
      <c r="U71" s="5">
        <f t="shared" si="32"/>
        <v>4</v>
      </c>
      <c r="V71" s="5">
        <f>VLOOKUP(B71,'Loyd List 1-190 - Edit'!$A$2:$B$220,2,FALSE)</f>
        <v>5</v>
      </c>
      <c r="W71" s="155">
        <f t="shared" si="33"/>
        <v>1</v>
      </c>
      <c r="X71" s="105" t="s">
        <v>1608</v>
      </c>
      <c r="Y71" s="164" t="s">
        <v>2689</v>
      </c>
      <c r="Z71" s="164"/>
      <c r="AA71" s="6">
        <v>249</v>
      </c>
      <c r="AB71" s="5">
        <f t="shared" si="44"/>
        <v>69</v>
      </c>
      <c r="AC71" s="5">
        <f t="shared" si="45"/>
        <v>1069</v>
      </c>
      <c r="AD71" s="97" t="str">
        <f t="shared" si="34"/>
        <v>101f</v>
      </c>
      <c r="AE71" s="5" t="str">
        <f t="shared" si="35"/>
        <v>Lady Sophia Hester  MEADE (1963 - )</v>
      </c>
      <c r="AF71" s="5" t="str">
        <f t="shared" si="36"/>
        <v>Lady Sophia MEADE (6th &amp; 101)</v>
      </c>
      <c r="AG71" s="110" t="str">
        <f t="shared" si="37"/>
        <v>Female</v>
      </c>
      <c r="AH71" s="5" t="str">
        <f t="shared" si="38"/>
        <v>6th</v>
      </c>
      <c r="AI71" s="5" t="str">
        <f t="shared" si="39"/>
        <v>Husband: Jonathan Garnett HEYWOOD. Married Jonathan son of Brigadier Anthony Garnett HEYWOOD of Monkton House, Monkton Deverill, Wiltshire.</v>
      </c>
      <c r="AJ71" s="105" t="str">
        <f t="shared" si="46"/>
        <v>Female. b. 14/10/1963</v>
      </c>
      <c r="AK71" s="105" t="str">
        <f t="shared" si="40"/>
        <v>b. 14/10/1963</v>
      </c>
    </row>
    <row r="72" spans="1:37" s="5" customFormat="1" ht="85">
      <c r="A72" s="5">
        <f>VLOOKUP(B72,'Loyd List 1-190 - Edit'!$P$1:$R$219,3,FALSE)</f>
        <v>62</v>
      </c>
      <c r="B72" s="5">
        <f t="shared" si="28"/>
        <v>102</v>
      </c>
      <c r="C72" s="157" t="s">
        <v>1617</v>
      </c>
      <c r="D72" s="6" t="s">
        <v>1615</v>
      </c>
      <c r="E72" s="156" t="s">
        <v>1616</v>
      </c>
      <c r="F72" s="160" t="s">
        <v>870</v>
      </c>
      <c r="H72" s="5" t="s">
        <v>3681</v>
      </c>
      <c r="I72" s="5">
        <f t="shared" si="41"/>
        <v>1956</v>
      </c>
      <c r="J72" s="5" t="str">
        <f t="shared" si="42"/>
        <v/>
      </c>
      <c r="K72" s="152"/>
      <c r="L72" s="7" t="str">
        <f t="shared" si="43"/>
        <v>09/06/1956</v>
      </c>
      <c r="M72" s="8">
        <v>20615</v>
      </c>
      <c r="N72" s="7"/>
      <c r="O72" s="7"/>
      <c r="P72" s="181" t="str">
        <f t="shared" si="29"/>
        <v/>
      </c>
      <c r="Q72" s="153" t="str">
        <f t="shared" si="27"/>
        <v>102</v>
      </c>
      <c r="R72" s="180" t="str">
        <f t="shared" si="30"/>
        <v/>
      </c>
      <c r="S72" s="25" t="s">
        <v>3244</v>
      </c>
      <c r="T72" s="5">
        <f t="shared" si="31"/>
        <v>6</v>
      </c>
      <c r="U72" s="5">
        <f t="shared" si="32"/>
        <v>4</v>
      </c>
      <c r="V72" s="5">
        <f>VLOOKUP(B72,'Loyd List 1-190 - Edit'!$A$2:$B$220,2,FALSE)</f>
        <v>5</v>
      </c>
      <c r="W72" s="155">
        <f t="shared" si="33"/>
        <v>1</v>
      </c>
      <c r="X72" s="105"/>
      <c r="Y72" s="105"/>
      <c r="Z72" s="164" t="s">
        <v>3788</v>
      </c>
      <c r="AA72" s="6">
        <v>252</v>
      </c>
      <c r="AB72" s="5">
        <f t="shared" si="44"/>
        <v>70</v>
      </c>
      <c r="AC72" s="5">
        <f t="shared" si="45"/>
        <v>1070</v>
      </c>
      <c r="AD72" s="97" t="str">
        <f t="shared" si="34"/>
        <v>102a</v>
      </c>
      <c r="AE72" s="5" t="str">
        <f t="shared" si="35"/>
        <v>Teressa Mary  DUNLOP (1956 - )</v>
      </c>
      <c r="AF72" s="5" t="str">
        <f t="shared" si="36"/>
        <v>Tess DUNLOP (6th &amp; 102)</v>
      </c>
      <c r="AG72" s="110" t="str">
        <f t="shared" si="37"/>
        <v>Female</v>
      </c>
      <c r="AH72" s="5" t="str">
        <f t="shared" si="38"/>
        <v>6th</v>
      </c>
      <c r="AI72" s="5" t="str">
        <f t="shared" si="39"/>
        <v>Unmarried</v>
      </c>
      <c r="AJ72" s="105" t="str">
        <f t="shared" si="46"/>
        <v>Female. b. 09/06/1956 Tess lives in London. Born at Queen Charlotte’s Hospital, London. Baptised 8 Sep 1956 at St Mary and All Saints’, Beaconsfield, Buckinghamshire. Educated St Mary’s, Calne, Wiltshire; Universities of Leeds (1975-79) and Kuwait.  Guildford College of Law 1986-88.  Solicitor of the Supreme Court from 1990. SEN tutor from 2006.</v>
      </c>
      <c r="AK72" s="105" t="str">
        <f t="shared" si="40"/>
        <v>b. 09/06/1956</v>
      </c>
    </row>
    <row r="73" spans="1:37" s="5" customFormat="1" ht="221">
      <c r="A73" s="5">
        <f>VLOOKUP(B73,'Loyd List 1-190 - Edit'!$P$1:$R$219,3,FALSE)</f>
        <v>62</v>
      </c>
      <c r="B73" s="5">
        <f t="shared" si="28"/>
        <v>102</v>
      </c>
      <c r="C73" s="157" t="s">
        <v>1619</v>
      </c>
      <c r="D73" s="6" t="s">
        <v>1615</v>
      </c>
      <c r="E73" s="156" t="s">
        <v>843</v>
      </c>
      <c r="F73" s="160" t="s">
        <v>1618</v>
      </c>
      <c r="H73" s="5" t="s">
        <v>1618</v>
      </c>
      <c r="I73" s="5">
        <f t="shared" si="41"/>
        <v>1958</v>
      </c>
      <c r="J73" s="5" t="str">
        <f t="shared" si="42"/>
        <v/>
      </c>
      <c r="K73" s="152"/>
      <c r="L73" s="7" t="str">
        <f t="shared" si="43"/>
        <v>23/05/1958</v>
      </c>
      <c r="M73" s="8">
        <v>21328</v>
      </c>
      <c r="N73" s="7">
        <v>34930</v>
      </c>
      <c r="O73" s="7"/>
      <c r="P73" s="181" t="str">
        <f t="shared" si="29"/>
        <v/>
      </c>
      <c r="Q73" s="153" t="str">
        <f t="shared" si="27"/>
        <v>102</v>
      </c>
      <c r="R73" s="180" t="str">
        <f t="shared" si="30"/>
        <v/>
      </c>
      <c r="S73" s="25" t="s">
        <v>3245</v>
      </c>
      <c r="T73" s="5">
        <f t="shared" si="31"/>
        <v>6</v>
      </c>
      <c r="U73" s="5">
        <f t="shared" si="32"/>
        <v>4</v>
      </c>
      <c r="V73" s="5">
        <f>VLOOKUP(B73,'Loyd List 1-190 - Edit'!$A$2:$B$220,2,FALSE)</f>
        <v>5</v>
      </c>
      <c r="W73" s="155">
        <f t="shared" si="33"/>
        <v>1</v>
      </c>
      <c r="X73" s="105" t="s">
        <v>1620</v>
      </c>
      <c r="Y73" s="164" t="s">
        <v>2692</v>
      </c>
      <c r="Z73" s="164" t="s">
        <v>4266</v>
      </c>
      <c r="AA73" s="6">
        <v>253</v>
      </c>
      <c r="AB73" s="5">
        <f t="shared" si="44"/>
        <v>71</v>
      </c>
      <c r="AC73" s="5">
        <f t="shared" si="45"/>
        <v>1071</v>
      </c>
      <c r="AD73" s="97" t="str">
        <f t="shared" si="34"/>
        <v>102b</v>
      </c>
      <c r="AE73" s="5" t="str">
        <f t="shared" si="35"/>
        <v>Lindsay Fergus  DUNLOP (1958 - )</v>
      </c>
      <c r="AF73" s="5" t="str">
        <f t="shared" si="36"/>
        <v>Fergus DUNLOP (6th &amp; 102)</v>
      </c>
      <c r="AG73" s="110" t="str">
        <f t="shared" si="37"/>
        <v>Male</v>
      </c>
      <c r="AH73" s="5" t="str">
        <f t="shared" si="38"/>
        <v>6th</v>
      </c>
      <c r="AI73" s="5" t="str">
        <f t="shared" si="39"/>
        <v>Wife: Miranda Grace ELGIN. Married at St Mary Abbots, London, W8, Miranda Grace (b. 14 Oct 1964 at St Mary’s Hospital, Paddington, London W2) only daughter of Robert Warren ELGIN of Brunswick Gardens, London, W8.</v>
      </c>
      <c r="AJ73" s="105" t="str">
        <f t="shared" si="46"/>
        <v>Male. b. 23/05/1958 Lindsay, known as Fergus, of Fosse André, St Peter Port, Guernsey. Born at Queen Charlotte’s Hospital, London. Baptised 9 Aug 1958 at St Mary and All Saints’, Beaconsfield, Buckinghamshire. Educated Eton 1971-76, Bristol 1977-80 (BA Hons History) and St Edmund Hall, Oxford 1980-83 (M Phil, Management Studies). Macmillan Publishers 1983-85. Burton Group 1985-87. Mercury Asset Management (now BlackRock) London 1987-1997, Frankfurt 1997-2001. From 2002, investment company directorships in Munich, Jersey and Guernsey. UK: Fellow, Institute of Directors, 2016. Patron, St Anne’s, Bowden Hill from 2014 (founding Co-ordinator, Friends of St Anne’s from 2021). Guernsey: Founding Co-ordinator, Bus Users Guernsey from 2009. Constable (chair), St Saviour’s Parish, 2010-13, Campaign lead in referendum on electoral reform, 2018, Church Property Management Board, 2018-22. Author of ‘Borderline Pass’ (2020) and ‘The Lady With No Name’ (2021).</v>
      </c>
      <c r="AK73" s="105" t="str">
        <f t="shared" si="40"/>
        <v>b. 23/05/1958</v>
      </c>
    </row>
    <row r="74" spans="1:37" s="5" customFormat="1" ht="102">
      <c r="A74" s="5">
        <f>VLOOKUP(B74,'Loyd List 1-190 - Edit'!$P$1:$R$219,3,FALSE)</f>
        <v>62</v>
      </c>
      <c r="B74" s="5">
        <f t="shared" si="28"/>
        <v>102</v>
      </c>
      <c r="C74" s="157" t="s">
        <v>1626</v>
      </c>
      <c r="D74" s="6" t="s">
        <v>1615</v>
      </c>
      <c r="E74" s="156" t="s">
        <v>1625</v>
      </c>
      <c r="F74" s="160" t="s">
        <v>952</v>
      </c>
      <c r="I74" s="5">
        <f t="shared" si="41"/>
        <v>1960</v>
      </c>
      <c r="J74" s="5" t="str">
        <f t="shared" si="42"/>
        <v/>
      </c>
      <c r="K74" s="152"/>
      <c r="L74" s="7" t="str">
        <f t="shared" si="43"/>
        <v>22/09/1960</v>
      </c>
      <c r="M74" s="8">
        <v>22181</v>
      </c>
      <c r="N74" s="7"/>
      <c r="O74" s="7"/>
      <c r="P74" s="181" t="str">
        <f t="shared" si="29"/>
        <v/>
      </c>
      <c r="Q74" s="153" t="str">
        <f t="shared" si="27"/>
        <v>102</v>
      </c>
      <c r="R74" s="180" t="str">
        <f t="shared" si="30"/>
        <v/>
      </c>
      <c r="S74" s="25" t="s">
        <v>3244</v>
      </c>
      <c r="T74" s="5">
        <f t="shared" si="31"/>
        <v>6</v>
      </c>
      <c r="U74" s="5">
        <f t="shared" si="32"/>
        <v>4</v>
      </c>
      <c r="V74" s="5">
        <f>VLOOKUP(B74,'Loyd List 1-190 - Edit'!$A$2:$B$220,2,FALSE)</f>
        <v>5</v>
      </c>
      <c r="W74" s="155">
        <f t="shared" si="33"/>
        <v>1</v>
      </c>
      <c r="X74" s="105"/>
      <c r="Y74" s="105"/>
      <c r="Z74" s="164" t="s">
        <v>4267</v>
      </c>
      <c r="AA74" s="6">
        <v>255</v>
      </c>
      <c r="AB74" s="5">
        <f t="shared" si="44"/>
        <v>72</v>
      </c>
      <c r="AC74" s="5">
        <f t="shared" si="45"/>
        <v>1072</v>
      </c>
      <c r="AD74" s="97" t="str">
        <f t="shared" si="34"/>
        <v>102c</v>
      </c>
      <c r="AE74" s="5" t="str">
        <f t="shared" si="35"/>
        <v>Celina Elizabeth  DUNLOP (1960 - )</v>
      </c>
      <c r="AF74" s="5" t="str">
        <f t="shared" si="36"/>
        <v>Celina DUNLOP (6th &amp; 102)</v>
      </c>
      <c r="AG74" s="110" t="str">
        <f t="shared" si="37"/>
        <v>Female</v>
      </c>
      <c r="AH74" s="5" t="str">
        <f t="shared" si="38"/>
        <v>6th</v>
      </c>
      <c r="AI74" s="5" t="str">
        <f t="shared" si="39"/>
        <v>Unmarried</v>
      </c>
      <c r="AJ74" s="105" t="str">
        <f t="shared" si="46"/>
        <v>Female. b. 22/09/1960 Celina of 10 St Peter’s Place, London, W9 2EE. Born 22 Sep 1960 at Queen Charlotte’s Hospital, London. Baptised 10 Dec 1960 at St Mary and All Saints’, Beaconsfield, Buckinghamshire. Educated St Mary’s, Calne, Wiltshire 1972-76 and Queen’s Gate School, London 1976-77. Picture Researcher, Octopus Books 1978-86. Picture Editor, Radio Times 1986-90. Picture Editor, The Economist 1990-2019.</v>
      </c>
      <c r="AK74" s="105" t="str">
        <f t="shared" si="40"/>
        <v>b. 22/09/1960</v>
      </c>
    </row>
    <row r="75" spans="1:37" s="5" customFormat="1" ht="52">
      <c r="A75" s="5">
        <f>VLOOKUP(B75,'Loyd List 1-190 - Edit'!$P$1:$R$219,3,FALSE)</f>
        <v>72</v>
      </c>
      <c r="B75" s="5">
        <f t="shared" si="28"/>
        <v>103</v>
      </c>
      <c r="C75" s="157" t="s">
        <v>1629</v>
      </c>
      <c r="D75" s="6" t="s">
        <v>1628</v>
      </c>
      <c r="E75" s="156" t="s">
        <v>918</v>
      </c>
      <c r="F75" s="160" t="s">
        <v>931</v>
      </c>
      <c r="I75" s="5">
        <f t="shared" si="41"/>
        <v>1947</v>
      </c>
      <c r="J75" s="5" t="str">
        <f t="shared" si="42"/>
        <v/>
      </c>
      <c r="K75" s="152"/>
      <c r="L75" s="7" t="str">
        <f t="shared" si="43"/>
        <v>26/03/1947</v>
      </c>
      <c r="M75" s="8">
        <v>17252</v>
      </c>
      <c r="N75" s="7">
        <v>30422</v>
      </c>
      <c r="O75" s="7"/>
      <c r="P75" s="181" t="str">
        <f t="shared" si="29"/>
        <v/>
      </c>
      <c r="Q75" s="153" t="str">
        <f t="shared" si="27"/>
        <v>103</v>
      </c>
      <c r="R75" s="180" t="str">
        <f t="shared" si="30"/>
        <v/>
      </c>
      <c r="S75" s="25" t="s">
        <v>3245</v>
      </c>
      <c r="T75" s="5">
        <f t="shared" si="31"/>
        <v>6</v>
      </c>
      <c r="U75" s="5">
        <f t="shared" si="32"/>
        <v>4</v>
      </c>
      <c r="V75" s="5">
        <f>VLOOKUP(B75,'Loyd List 1-190 - Edit'!$A$2:$B$220,2,FALSE)</f>
        <v>5</v>
      </c>
      <c r="W75" s="155">
        <f t="shared" si="33"/>
        <v>1</v>
      </c>
      <c r="X75" s="105" t="s">
        <v>3781</v>
      </c>
      <c r="Y75" s="164" t="s">
        <v>2698</v>
      </c>
      <c r="Z75" s="164" t="s">
        <v>2696</v>
      </c>
      <c r="AA75" s="6">
        <v>256</v>
      </c>
      <c r="AB75" s="5">
        <f t="shared" si="44"/>
        <v>73</v>
      </c>
      <c r="AC75" s="5">
        <f t="shared" si="45"/>
        <v>1073</v>
      </c>
      <c r="AD75" s="97" t="str">
        <f t="shared" si="34"/>
        <v>103a</v>
      </c>
      <c r="AE75" s="5" t="str">
        <f t="shared" si="35"/>
        <v>James Anthony  GORE-BROWNE (1947 - )</v>
      </c>
      <c r="AF75" s="5" t="str">
        <f t="shared" si="36"/>
        <v>James GORE-BROWNE (6th &amp; 103)</v>
      </c>
      <c r="AG75" s="110" t="str">
        <f t="shared" si="37"/>
        <v>Male</v>
      </c>
      <c r="AH75" s="5" t="str">
        <f t="shared" si="38"/>
        <v>6th</v>
      </c>
      <c r="AI75" s="5" t="str">
        <f t="shared" si="39"/>
        <v>Wife: Jane Ann (b. 05/04/1947, ) DICKSON. Married at Symington, Ayrshire, Jane  eldest daughter of Colonel Seton DICKSON of Field House, Ayrshire.</v>
      </c>
      <c r="AJ75" s="105" t="str">
        <f t="shared" si="46"/>
        <v>Male. b. 26/03/1947 Baptised 3 Jun 1947 in London. Educated Eton 1960-65.</v>
      </c>
      <c r="AK75" s="105" t="str">
        <f t="shared" si="40"/>
        <v>b. 26/03/1947</v>
      </c>
    </row>
    <row r="76" spans="1:37" s="5" customFormat="1" ht="52">
      <c r="A76" s="5">
        <f>VLOOKUP(B76,'Loyd List 1-190 - Edit'!$P$1:$R$219,3,FALSE)</f>
        <v>72</v>
      </c>
      <c r="B76" s="5">
        <f t="shared" si="28"/>
        <v>103</v>
      </c>
      <c r="C76" s="157" t="s">
        <v>1633</v>
      </c>
      <c r="D76" s="6" t="s">
        <v>1628</v>
      </c>
      <c r="E76" s="156" t="s">
        <v>846</v>
      </c>
      <c r="F76" s="160" t="s">
        <v>870</v>
      </c>
      <c r="I76" s="5">
        <f t="shared" si="41"/>
        <v>1949</v>
      </c>
      <c r="J76" s="5" t="str">
        <f t="shared" si="42"/>
        <v/>
      </c>
      <c r="K76" s="152"/>
      <c r="L76" s="7" t="str">
        <f t="shared" si="43"/>
        <v>25/01/1949</v>
      </c>
      <c r="M76" s="8">
        <v>17923</v>
      </c>
      <c r="N76" s="7">
        <v>25603</v>
      </c>
      <c r="O76" s="7"/>
      <c r="P76" s="181" t="str">
        <f t="shared" si="29"/>
        <v/>
      </c>
      <c r="Q76" s="153" t="str">
        <f t="shared" si="27"/>
        <v>103</v>
      </c>
      <c r="R76" s="180" t="str">
        <f t="shared" si="30"/>
        <v/>
      </c>
      <c r="S76" s="25" t="s">
        <v>3244</v>
      </c>
      <c r="T76" s="5">
        <f t="shared" si="31"/>
        <v>6</v>
      </c>
      <c r="U76" s="5">
        <f t="shared" si="32"/>
        <v>4</v>
      </c>
      <c r="V76" s="5">
        <f>VLOOKUP(B76,'Loyd List 1-190 - Edit'!$A$2:$B$220,2,FALSE)</f>
        <v>5</v>
      </c>
      <c r="W76" s="155">
        <f t="shared" si="33"/>
        <v>1</v>
      </c>
      <c r="X76" s="105" t="s">
        <v>3780</v>
      </c>
      <c r="Y76" s="164" t="s">
        <v>2702</v>
      </c>
      <c r="Z76" s="164" t="s">
        <v>2700</v>
      </c>
      <c r="AA76" s="6">
        <v>260</v>
      </c>
      <c r="AB76" s="5">
        <f t="shared" si="44"/>
        <v>74</v>
      </c>
      <c r="AC76" s="5">
        <f t="shared" si="45"/>
        <v>1074</v>
      </c>
      <c r="AD76" s="97" t="str">
        <f t="shared" si="34"/>
        <v>103b</v>
      </c>
      <c r="AE76" s="5" t="str">
        <f t="shared" si="35"/>
        <v>Georgina Mary  GORE-BROWNE (1949 - )</v>
      </c>
      <c r="AF76" s="5" t="str">
        <f t="shared" si="36"/>
        <v>Georgina GORE-BROWNE (6th &amp; 103)</v>
      </c>
      <c r="AG76" s="110" t="str">
        <f t="shared" si="37"/>
        <v>Female</v>
      </c>
      <c r="AH76" s="5" t="str">
        <f t="shared" si="38"/>
        <v>6th</v>
      </c>
      <c r="AI76" s="5" t="str">
        <f t="shared" si="39"/>
        <v>Husband: Christopher PILKINGTON (b. 05/02/1947, ). Married Christopher  2nd son of T.D. PILKINGTON of Hyde Mill, Stow-on-the-Wold, Gloucestershire.</v>
      </c>
      <c r="AJ76" s="105" t="str">
        <f t="shared" si="46"/>
        <v>Female. b. 25/01/1949 Baptised at Fryerning, Essex. Educated Downham, Hertfordshire.</v>
      </c>
      <c r="AK76" s="105" t="str">
        <f t="shared" si="40"/>
        <v>b. 25/01/1949</v>
      </c>
    </row>
    <row r="77" spans="1:37" s="5" customFormat="1" ht="52">
      <c r="A77" s="5">
        <f>VLOOKUP(B77,'Loyd List 1-190 - Edit'!$P$1:$R$219,3,FALSE)</f>
        <v>72</v>
      </c>
      <c r="B77" s="5">
        <f t="shared" si="28"/>
        <v>103</v>
      </c>
      <c r="C77" s="157" t="s">
        <v>1645</v>
      </c>
      <c r="D77" s="6" t="s">
        <v>1628</v>
      </c>
      <c r="E77" s="156" t="s">
        <v>905</v>
      </c>
      <c r="F77" s="160" t="s">
        <v>917</v>
      </c>
      <c r="I77" s="5">
        <f t="shared" si="41"/>
        <v>1952</v>
      </c>
      <c r="J77" s="5">
        <f t="shared" si="42"/>
        <v>2012</v>
      </c>
      <c r="K77" s="152"/>
      <c r="L77" s="7" t="str">
        <f t="shared" si="43"/>
        <v>21/08/1952</v>
      </c>
      <c r="M77" s="8">
        <v>19227</v>
      </c>
      <c r="N77" s="7">
        <v>31752</v>
      </c>
      <c r="O77" s="7">
        <v>41133</v>
      </c>
      <c r="P77" s="181">
        <v>41133</v>
      </c>
      <c r="Q77" s="153" t="str">
        <f t="shared" si="27"/>
        <v>103</v>
      </c>
      <c r="R77" s="180" t="str">
        <f t="shared" si="30"/>
        <v>12/08/2012</v>
      </c>
      <c r="S77" s="25" t="s">
        <v>3245</v>
      </c>
      <c r="T77" s="5">
        <f t="shared" si="31"/>
        <v>6</v>
      </c>
      <c r="U77" s="5">
        <f t="shared" si="32"/>
        <v>4</v>
      </c>
      <c r="V77" s="5">
        <f>VLOOKUP(B77,'Loyd List 1-190 - Edit'!$A$2:$B$220,2,FALSE)</f>
        <v>5</v>
      </c>
      <c r="W77" s="155">
        <f t="shared" si="33"/>
        <v>1</v>
      </c>
      <c r="X77" s="105" t="s">
        <v>3779</v>
      </c>
      <c r="Y77" s="164" t="s">
        <v>2707</v>
      </c>
      <c r="Z77" s="164" t="s">
        <v>2706</v>
      </c>
      <c r="AA77" s="6">
        <v>265</v>
      </c>
      <c r="AB77" s="5">
        <f t="shared" si="44"/>
        <v>75</v>
      </c>
      <c r="AC77" s="5">
        <f t="shared" si="45"/>
        <v>1075</v>
      </c>
      <c r="AD77" s="97" t="str">
        <f t="shared" si="34"/>
        <v>103c</v>
      </c>
      <c r="AE77" s="5" t="str">
        <f t="shared" si="35"/>
        <v>David Charles  GORE-BROWNE (1952 - 2012)</v>
      </c>
      <c r="AF77" s="5" t="str">
        <f t="shared" si="36"/>
        <v>David GORE-BROWNE (6th &amp; 103)</v>
      </c>
      <c r="AG77" s="110" t="str">
        <f t="shared" si="37"/>
        <v>Male</v>
      </c>
      <c r="AH77" s="5" t="str">
        <f t="shared" si="38"/>
        <v>6th</v>
      </c>
      <c r="AI77" s="5" t="str">
        <f t="shared" si="39"/>
        <v>Wife: Diana Jane REES (b. 18/07/1954, ). Married Diana Jane 2nd daughter of J N REES of St Asaph, North Wales.</v>
      </c>
      <c r="AJ77" s="105" t="str">
        <f t="shared" si="46"/>
        <v>Male. b. 21/08/1952, d. 41133. Baptised at Fryerning, Essex. Educated Eton 1964-69.</v>
      </c>
      <c r="AK77" s="105" t="str">
        <f t="shared" si="40"/>
        <v>b. 21/08/1952, d. 41133.</v>
      </c>
    </row>
    <row r="78" spans="1:37" s="5" customFormat="1" ht="69">
      <c r="A78" s="5">
        <f>VLOOKUP(B78,'Loyd List 1-190 - Edit'!$P$1:$R$219,3,FALSE)</f>
        <v>72</v>
      </c>
      <c r="B78" s="5">
        <f t="shared" si="28"/>
        <v>103</v>
      </c>
      <c r="C78" s="157" t="s">
        <v>1652</v>
      </c>
      <c r="D78" s="6" t="s">
        <v>1628</v>
      </c>
      <c r="E78" s="156" t="s">
        <v>896</v>
      </c>
      <c r="F78" s="160" t="s">
        <v>902</v>
      </c>
      <c r="I78" s="5">
        <f t="shared" si="41"/>
        <v>1956</v>
      </c>
      <c r="J78" s="5" t="str">
        <f t="shared" si="42"/>
        <v/>
      </c>
      <c r="K78" s="152"/>
      <c r="L78" s="7" t="str">
        <f t="shared" si="43"/>
        <v>15/02/1956</v>
      </c>
      <c r="M78" s="8">
        <v>20500</v>
      </c>
      <c r="N78" s="7"/>
      <c r="O78" s="7"/>
      <c r="P78" s="181" t="str">
        <f t="shared" si="29"/>
        <v/>
      </c>
      <c r="Q78" s="153" t="str">
        <f t="shared" ref="Q78:Q109" si="47">MID(C78,1,LEN(C78)-1)</f>
        <v>103</v>
      </c>
      <c r="R78" s="180" t="str">
        <f t="shared" si="30"/>
        <v/>
      </c>
      <c r="S78" s="25" t="s">
        <v>3245</v>
      </c>
      <c r="T78" s="5">
        <f t="shared" si="31"/>
        <v>6</v>
      </c>
      <c r="U78" s="5">
        <f t="shared" si="32"/>
        <v>4</v>
      </c>
      <c r="V78" s="5">
        <f>VLOOKUP(B78,'Loyd List 1-190 - Edit'!$A$2:$B$220,2,FALSE)</f>
        <v>5</v>
      </c>
      <c r="W78" s="155">
        <f t="shared" si="33"/>
        <v>1</v>
      </c>
      <c r="X78" s="105" t="s">
        <v>2714</v>
      </c>
      <c r="Y78" s="164" t="s">
        <v>2713</v>
      </c>
      <c r="Z78" s="164" t="s">
        <v>2712</v>
      </c>
      <c r="AA78" s="6">
        <v>269</v>
      </c>
      <c r="AB78" s="5">
        <f t="shared" si="44"/>
        <v>76</v>
      </c>
      <c r="AC78" s="5">
        <f t="shared" si="45"/>
        <v>1076</v>
      </c>
      <c r="AD78" s="97" t="str">
        <f t="shared" si="34"/>
        <v>103d</v>
      </c>
      <c r="AE78" s="5" t="str">
        <f t="shared" si="35"/>
        <v>Patrick Robert  GORE-BROWNE (1956 - )</v>
      </c>
      <c r="AF78" s="5" t="str">
        <f t="shared" si="36"/>
        <v>Patrick GORE-BROWNE (6th &amp; 103)</v>
      </c>
      <c r="AG78" s="110" t="str">
        <f t="shared" si="37"/>
        <v>Male</v>
      </c>
      <c r="AH78" s="5" t="str">
        <f t="shared" si="38"/>
        <v>6th</v>
      </c>
      <c r="AI78" s="5" t="str">
        <f t="shared" si="39"/>
        <v>Wife: Sarah JENKINSON (b. 24/02/1958, ) . Married at Bampton Church, Oxfordshire, Sarah only daughter of Harold A JENKINSON of Burton Abbotts, Black Bourton, Oxfordshire.</v>
      </c>
      <c r="AJ78" s="105" t="str">
        <f t="shared" si="46"/>
        <v>Male. b. 15/02/1956 Baptised at Fryerning, Essex. Educated Eton 1969-73.</v>
      </c>
      <c r="AK78" s="105" t="str">
        <f t="shared" si="40"/>
        <v>b. 15/02/1956</v>
      </c>
    </row>
    <row r="79" spans="1:37" s="5" customFormat="1" ht="103">
      <c r="A79" s="5">
        <f>VLOOKUP(B79,'Loyd List 1-190 - Edit'!$P$1:$R$219,3,FALSE)</f>
        <v>77</v>
      </c>
      <c r="B79" s="5">
        <f t="shared" si="28"/>
        <v>106</v>
      </c>
      <c r="C79" s="157" t="s">
        <v>1661</v>
      </c>
      <c r="D79" s="6" t="s">
        <v>1658</v>
      </c>
      <c r="E79" s="156" t="s">
        <v>1659</v>
      </c>
      <c r="F79" s="160" t="s">
        <v>876</v>
      </c>
      <c r="G79" s="5" t="s">
        <v>903</v>
      </c>
      <c r="I79" s="5">
        <f t="shared" si="41"/>
        <v>1955</v>
      </c>
      <c r="J79" s="5" t="str">
        <f t="shared" si="42"/>
        <v/>
      </c>
      <c r="K79" s="152"/>
      <c r="L79" s="7" t="str">
        <f t="shared" si="43"/>
        <v>15/09/1955</v>
      </c>
      <c r="M79" s="10">
        <v>20347</v>
      </c>
      <c r="N79" s="7">
        <v>31940</v>
      </c>
      <c r="O79" s="7"/>
      <c r="P79" s="181" t="str">
        <f t="shared" si="29"/>
        <v/>
      </c>
      <c r="Q79" s="153" t="str">
        <f t="shared" si="47"/>
        <v>106</v>
      </c>
      <c r="R79" s="180" t="str">
        <f t="shared" si="30"/>
        <v/>
      </c>
      <c r="S79" s="25" t="s">
        <v>3244</v>
      </c>
      <c r="T79" s="5">
        <f t="shared" si="31"/>
        <v>6</v>
      </c>
      <c r="U79" s="5">
        <f t="shared" si="32"/>
        <v>4</v>
      </c>
      <c r="V79" s="5">
        <f>VLOOKUP(B79,'Loyd List 1-190 - Edit'!$A$2:$B$220,2,FALSE)</f>
        <v>5</v>
      </c>
      <c r="W79" s="155">
        <f t="shared" si="33"/>
        <v>1</v>
      </c>
      <c r="X79" s="105" t="s">
        <v>3778</v>
      </c>
      <c r="Y79" s="164" t="s">
        <v>3735</v>
      </c>
      <c r="Z79" s="164" t="s">
        <v>3736</v>
      </c>
      <c r="AA79" s="6">
        <v>273</v>
      </c>
      <c r="AB79" s="5">
        <f t="shared" si="44"/>
        <v>77</v>
      </c>
      <c r="AC79" s="5">
        <f t="shared" si="45"/>
        <v>1077</v>
      </c>
      <c r="AD79" s="97" t="str">
        <f t="shared" si="34"/>
        <v>106a</v>
      </c>
      <c r="AE79" s="5" t="str">
        <f t="shared" si="35"/>
        <v>The Hon Geva Charlotte Caroline WINN (1955 - )</v>
      </c>
      <c r="AF79" s="5" t="str">
        <f t="shared" si="36"/>
        <v>The Hon Geva WINN (6th &amp; 106)</v>
      </c>
      <c r="AG79" s="110" t="str">
        <f t="shared" si="37"/>
        <v>Female</v>
      </c>
      <c r="AH79" s="5" t="str">
        <f t="shared" si="38"/>
        <v>6th</v>
      </c>
      <c r="AI79" s="5" t="str">
        <f t="shared" si="39"/>
        <v>Husband: John Simon BLACKETT (16/09/1954, ). Married Simon at St Michael and Our Lady, Wragby, West Yorkshire, by the Bishop of Wakefield, John elder son of John Harold Booth (Pat) BLACKETT of Whalton, Morpeth, Northumberland.</v>
      </c>
      <c r="AJ79" s="105" t="str">
        <f t="shared" si="46"/>
        <v>Female. b. 15/09/1955 The Hon Geva lives in Braemar, Aberdeenshire. Baptised 14 Jan 1956 at St Margaret’s, Westminster, London.</v>
      </c>
      <c r="AK79" s="105" t="str">
        <f t="shared" si="40"/>
        <v>b. 15/09/1955</v>
      </c>
    </row>
    <row r="80" spans="1:37" s="5" customFormat="1" ht="86">
      <c r="A80" s="5">
        <f>VLOOKUP(B80,'Loyd List 1-190 - Edit'!$P$1:$R$219,3,FALSE)</f>
        <v>77</v>
      </c>
      <c r="B80" s="5">
        <f t="shared" si="28"/>
        <v>106</v>
      </c>
      <c r="C80" s="157" t="s">
        <v>1671</v>
      </c>
      <c r="D80" s="6" t="s">
        <v>1658</v>
      </c>
      <c r="E80" s="156" t="s">
        <v>917</v>
      </c>
      <c r="F80" s="5" t="s">
        <v>1670</v>
      </c>
      <c r="G80" s="5" t="s">
        <v>885</v>
      </c>
      <c r="I80" s="5">
        <f t="shared" si="41"/>
        <v>1959</v>
      </c>
      <c r="J80" s="5" t="str">
        <f t="shared" si="42"/>
        <v/>
      </c>
      <c r="K80" s="152"/>
      <c r="L80" s="7" t="str">
        <f t="shared" si="43"/>
        <v>22/07/1959</v>
      </c>
      <c r="M80" s="10">
        <v>21753</v>
      </c>
      <c r="N80" s="7"/>
      <c r="O80" s="7"/>
      <c r="P80" s="181" t="str">
        <f t="shared" si="29"/>
        <v/>
      </c>
      <c r="Q80" s="153" t="str">
        <f t="shared" si="47"/>
        <v>106</v>
      </c>
      <c r="R80" s="180" t="str">
        <f t="shared" si="30"/>
        <v/>
      </c>
      <c r="S80" s="25" t="s">
        <v>3245</v>
      </c>
      <c r="T80" s="5">
        <f t="shared" si="31"/>
        <v>6</v>
      </c>
      <c r="U80" s="5">
        <f t="shared" si="32"/>
        <v>4</v>
      </c>
      <c r="V80" s="5">
        <f>VLOOKUP(B80,'Loyd List 1-190 - Edit'!$A$2:$B$220,2,FALSE)</f>
        <v>5</v>
      </c>
      <c r="W80" s="155">
        <f t="shared" si="33"/>
        <v>1</v>
      </c>
      <c r="X80" s="105" t="s">
        <v>3782</v>
      </c>
      <c r="Y80" s="164" t="s">
        <v>2727</v>
      </c>
      <c r="Z80" s="164" t="s">
        <v>2725</v>
      </c>
      <c r="AA80" s="6">
        <v>278</v>
      </c>
      <c r="AB80" s="5">
        <f t="shared" si="44"/>
        <v>78</v>
      </c>
      <c r="AC80" s="5">
        <f t="shared" si="45"/>
        <v>1078</v>
      </c>
      <c r="AD80" s="97" t="str">
        <f t="shared" si="34"/>
        <v>106b</v>
      </c>
      <c r="AE80" s="5" t="str">
        <f t="shared" si="35"/>
        <v>Charles Rowland Andrew WINN (1959 - )</v>
      </c>
      <c r="AF80" s="5" t="str">
        <f t="shared" si="36"/>
        <v>Charles WINN (6th &amp; 106)</v>
      </c>
      <c r="AG80" s="110" t="str">
        <f t="shared" si="37"/>
        <v>Male</v>
      </c>
      <c r="AH80" s="5" t="str">
        <f t="shared" si="38"/>
        <v>6th</v>
      </c>
      <c r="AI80" s="5" t="str">
        <f t="shared" si="39"/>
        <v>Wife: Louise Alexandra SCOTT (b. 3 Jan 1958, ). Married at St Michael and Our Lady, Wragby, West Yorkshire by the Bishop of Wakefield, Louise Alexandra, daughter of Stewart SCOTT of Holly Tree House, Thorpe Bassett, Malton, North Yorkshire.</v>
      </c>
      <c r="AJ80" s="105" t="str">
        <f t="shared" si="46"/>
        <v xml:space="preserve">Male. b. 22/07/1959 Charles Rowland Andrew WINN, 6th Baron ST OSWALD of Nostell Priory, Wakefield, West Yorkshire, WF4 1QE and of The Lodge, Terrington, Yorkshire. </v>
      </c>
      <c r="AK80" s="105" t="str">
        <f t="shared" si="40"/>
        <v>b. 22/07/1959</v>
      </c>
    </row>
    <row r="81" spans="1:37" s="5" customFormat="1" ht="86">
      <c r="A81" s="5">
        <f>VLOOKUP(B81,'Loyd List 1-190 - Edit'!$P$1:$R$219,3,FALSE)</f>
        <v>76</v>
      </c>
      <c r="B81" s="5">
        <f t="shared" si="28"/>
        <v>107</v>
      </c>
      <c r="C81" s="157" t="s">
        <v>1684</v>
      </c>
      <c r="D81" s="6" t="s">
        <v>1681</v>
      </c>
      <c r="E81" s="156" t="s">
        <v>1682</v>
      </c>
      <c r="F81" s="5" t="s">
        <v>870</v>
      </c>
      <c r="I81" s="5">
        <f t="shared" si="41"/>
        <v>1951</v>
      </c>
      <c r="J81" s="5" t="str">
        <f t="shared" si="42"/>
        <v/>
      </c>
      <c r="K81" s="152"/>
      <c r="L81" s="7" t="str">
        <f t="shared" si="43"/>
        <v>19/05/1951</v>
      </c>
      <c r="M81" s="8">
        <v>18767</v>
      </c>
      <c r="N81" s="7">
        <v>27439</v>
      </c>
      <c r="O81" s="7"/>
      <c r="P81" s="181" t="str">
        <f t="shared" si="29"/>
        <v/>
      </c>
      <c r="Q81" s="153" t="str">
        <f t="shared" si="47"/>
        <v>107</v>
      </c>
      <c r="R81" s="180" t="str">
        <f t="shared" si="30"/>
        <v/>
      </c>
      <c r="S81" s="25" t="s">
        <v>3244</v>
      </c>
      <c r="T81" s="5">
        <f t="shared" si="31"/>
        <v>6</v>
      </c>
      <c r="U81" s="5">
        <f t="shared" si="32"/>
        <v>4</v>
      </c>
      <c r="V81" s="5">
        <f>VLOOKUP(B81,'Loyd List 1-190 - Edit'!$A$2:$B$220,2,FALSE)</f>
        <v>5</v>
      </c>
      <c r="W81" s="155">
        <f t="shared" si="33"/>
        <v>1</v>
      </c>
      <c r="X81" s="105" t="s">
        <v>2739</v>
      </c>
      <c r="Y81" s="105"/>
      <c r="Z81" s="164" t="s">
        <v>2730</v>
      </c>
      <c r="AA81" s="6">
        <v>281</v>
      </c>
      <c r="AB81" s="5">
        <f t="shared" si="44"/>
        <v>79</v>
      </c>
      <c r="AC81" s="5">
        <f t="shared" si="45"/>
        <v>1079</v>
      </c>
      <c r="AD81" s="97" t="str">
        <f t="shared" si="34"/>
        <v>107a</v>
      </c>
      <c r="AE81" s="5" t="str">
        <f t="shared" si="35"/>
        <v>Lorraine Mary  GRAHAM (1951 - )</v>
      </c>
      <c r="AF81" s="5" t="str">
        <f t="shared" si="36"/>
        <v>Lorraine GRAHAM (6th &amp; 107)</v>
      </c>
      <c r="AG81" s="110" t="str">
        <f t="shared" si="37"/>
        <v>Female</v>
      </c>
      <c r="AH81" s="5" t="str">
        <f t="shared" si="38"/>
        <v>6th</v>
      </c>
      <c r="AI81" s="5" t="str">
        <f t="shared" si="39"/>
        <v xml:space="preserve">Husband: (1) Edward F RUSSELL on 14 Feb 1975. (Divorced). (2) Douglas AMY (b. 02/09/1950, ) on 6 Mar 1979. (3) 17 Aug 1990 Michael Allen (Mike) SEALUND (b. 14/12/1950) of Bellingham, Washington. USA.. </v>
      </c>
      <c r="AJ81" s="105" t="str">
        <f t="shared" si="46"/>
        <v>Female. b. 19/05/1951 Born at Medicine Hat, Alberta USA. Baptised May 1953 at Coeur d’Alene, Idaho, USA.</v>
      </c>
      <c r="AK81" s="105" t="str">
        <f t="shared" si="40"/>
        <v>b. 19/05/1951</v>
      </c>
    </row>
    <row r="82" spans="1:37" s="5" customFormat="1" ht="86">
      <c r="A82" s="5">
        <f>VLOOKUP(B82,'Loyd List 1-190 - Edit'!$P$1:$R$219,3,FALSE)</f>
        <v>76</v>
      </c>
      <c r="B82" s="5">
        <f t="shared" si="28"/>
        <v>107</v>
      </c>
      <c r="C82" s="157" t="s">
        <v>1697</v>
      </c>
      <c r="D82" s="6" t="s">
        <v>1695</v>
      </c>
      <c r="E82" s="156" t="s">
        <v>1696</v>
      </c>
      <c r="F82" s="5" t="s">
        <v>1010</v>
      </c>
      <c r="I82" s="5">
        <f t="shared" si="41"/>
        <v>1955</v>
      </c>
      <c r="J82" s="5" t="str">
        <f t="shared" si="42"/>
        <v/>
      </c>
      <c r="K82" s="152"/>
      <c r="L82" s="7" t="str">
        <f t="shared" si="43"/>
        <v>20/03/1955</v>
      </c>
      <c r="M82" s="8">
        <v>20168</v>
      </c>
      <c r="N82" s="7">
        <v>26625</v>
      </c>
      <c r="O82" s="7"/>
      <c r="P82" s="181" t="str">
        <f t="shared" si="29"/>
        <v/>
      </c>
      <c r="Q82" s="153" t="str">
        <f t="shared" si="47"/>
        <v>107</v>
      </c>
      <c r="R82" s="180" t="str">
        <f t="shared" si="30"/>
        <v/>
      </c>
      <c r="S82" s="25" t="s">
        <v>3244</v>
      </c>
      <c r="T82" s="5">
        <f t="shared" si="31"/>
        <v>6</v>
      </c>
      <c r="U82" s="5">
        <f t="shared" si="32"/>
        <v>4</v>
      </c>
      <c r="V82" s="5">
        <f>VLOOKUP(B82,'Loyd List 1-190 - Edit'!$A$2:$B$220,2,FALSE)</f>
        <v>5</v>
      </c>
      <c r="W82" s="155">
        <f t="shared" si="33"/>
        <v>1</v>
      </c>
      <c r="X82" s="105" t="s">
        <v>2738</v>
      </c>
      <c r="Y82" s="105" t="s">
        <v>2734</v>
      </c>
      <c r="Z82" s="164" t="s">
        <v>2733</v>
      </c>
      <c r="AA82" s="6">
        <v>286</v>
      </c>
      <c r="AB82" s="5">
        <f t="shared" si="44"/>
        <v>80</v>
      </c>
      <c r="AC82" s="5">
        <f t="shared" si="45"/>
        <v>1080</v>
      </c>
      <c r="AD82" s="97" t="str">
        <f t="shared" si="34"/>
        <v>107b</v>
      </c>
      <c r="AE82" s="5" t="str">
        <f t="shared" si="35"/>
        <v>Nora Ann  ORR (1955 - )</v>
      </c>
      <c r="AF82" s="5" t="str">
        <f t="shared" si="36"/>
        <v>Nora ORR (6th &amp; 107)</v>
      </c>
      <c r="AG82" s="110" t="str">
        <f t="shared" si="37"/>
        <v>Female</v>
      </c>
      <c r="AH82" s="5" t="str">
        <f t="shared" si="38"/>
        <v>6th</v>
      </c>
      <c r="AI82" s="5" t="str">
        <f t="shared" si="39"/>
        <v>Husband: (1) Daniel James THOMPSON (b. 08/05/1955, ) (2) Gary BITKER (b. 29 Jul 1954). (Divorced 1982).. Gary BITKER; Michael Allen SEALUND; (1) 22 Nov 1972 Daniel James THOMPSON (b. 08/05/1955). (Div).</v>
      </c>
      <c r="AJ82" s="105" t="str">
        <f t="shared" si="46"/>
        <v>Female. b. 20/03/1955 Baptised 1955 at St Thomas’s Parish Church, Coeur d’Alene, Idaho.</v>
      </c>
      <c r="AK82" s="105" t="str">
        <f t="shared" si="40"/>
        <v>b. 20/03/1955</v>
      </c>
    </row>
    <row r="83" spans="1:37" s="5" customFormat="1" ht="52">
      <c r="A83" s="5">
        <f>VLOOKUP(B83,'Loyd List 1-190 - Edit'!$P$1:$R$219,3,FALSE)</f>
        <v>76</v>
      </c>
      <c r="B83" s="5">
        <f t="shared" si="28"/>
        <v>107</v>
      </c>
      <c r="C83" s="157" t="s">
        <v>1702</v>
      </c>
      <c r="D83" s="6" t="s">
        <v>1695</v>
      </c>
      <c r="E83" s="156" t="s">
        <v>891</v>
      </c>
      <c r="F83" s="5" t="s">
        <v>819</v>
      </c>
      <c r="G83" s="5" t="s">
        <v>1497</v>
      </c>
      <c r="I83" s="5">
        <f t="shared" si="41"/>
        <v>1956</v>
      </c>
      <c r="J83" s="5" t="str">
        <f t="shared" si="42"/>
        <v/>
      </c>
      <c r="K83" s="152"/>
      <c r="L83" s="7" t="str">
        <f t="shared" si="43"/>
        <v>16/02/1956</v>
      </c>
      <c r="M83" s="8">
        <v>20501</v>
      </c>
      <c r="N83" s="7">
        <v>28277</v>
      </c>
      <c r="O83" s="7"/>
      <c r="P83" s="181" t="str">
        <f t="shared" si="29"/>
        <v/>
      </c>
      <c r="Q83" s="153" t="str">
        <f t="shared" si="47"/>
        <v>107</v>
      </c>
      <c r="R83" s="180" t="str">
        <f t="shared" si="30"/>
        <v/>
      </c>
      <c r="S83" s="25" t="s">
        <v>3245</v>
      </c>
      <c r="T83" s="5">
        <f t="shared" si="31"/>
        <v>6</v>
      </c>
      <c r="U83" s="5">
        <f t="shared" si="32"/>
        <v>4</v>
      </c>
      <c r="V83" s="5">
        <f>VLOOKUP(B83,'Loyd List 1-190 - Edit'!$A$2:$B$220,2,FALSE)</f>
        <v>5</v>
      </c>
      <c r="W83" s="155">
        <f t="shared" si="33"/>
        <v>1</v>
      </c>
      <c r="X83" s="164" t="s">
        <v>2741</v>
      </c>
      <c r="Y83" s="105" t="s">
        <v>1706</v>
      </c>
      <c r="Z83" s="164" t="s">
        <v>2740</v>
      </c>
      <c r="AA83" s="6">
        <v>290</v>
      </c>
      <c r="AB83" s="5">
        <f t="shared" si="44"/>
        <v>81</v>
      </c>
      <c r="AC83" s="5">
        <f t="shared" si="45"/>
        <v>1081</v>
      </c>
      <c r="AD83" s="97" t="str">
        <f t="shared" si="34"/>
        <v>107c</v>
      </c>
      <c r="AE83" s="5" t="str">
        <f t="shared" si="35"/>
        <v>Michael Kirkman Loyd ORR (1956 - )</v>
      </c>
      <c r="AF83" s="5" t="str">
        <f t="shared" si="36"/>
        <v>Michael ORR (6th &amp; 107)</v>
      </c>
      <c r="AG83" s="110" t="str">
        <f t="shared" si="37"/>
        <v>Male</v>
      </c>
      <c r="AH83" s="5" t="str">
        <f t="shared" si="38"/>
        <v>6th</v>
      </c>
      <c r="AI83" s="5" t="str">
        <f t="shared" si="39"/>
        <v>Wife: (1) Jun 1977 Marcell Lee WATKINS. (Divorced). (2) 9 Feb 1980 Kim BAKER (b. 22/11/1955).. Kim BAKER</v>
      </c>
      <c r="AJ83" s="105" t="str">
        <f t="shared" si="46"/>
        <v>Male. b. 16/02/1956 Baptised 1956 at St Thomas’s Cathedral Church, Coeur d’Alene, Idaho. USA.</v>
      </c>
      <c r="AK83" s="105" t="str">
        <f t="shared" si="40"/>
        <v>b. 16/02/1956</v>
      </c>
    </row>
    <row r="84" spans="1:37" s="5" customFormat="1" ht="69">
      <c r="A84" s="5">
        <f>VLOOKUP(B84,'Loyd List 1-190 - Edit'!$P$1:$R$219,3,FALSE)</f>
        <v>76</v>
      </c>
      <c r="B84" s="5">
        <f t="shared" si="28"/>
        <v>107</v>
      </c>
      <c r="C84" s="157" t="s">
        <v>1711</v>
      </c>
      <c r="D84" s="6" t="s">
        <v>1695</v>
      </c>
      <c r="E84" s="156" t="s">
        <v>811</v>
      </c>
      <c r="F84" s="5" t="s">
        <v>830</v>
      </c>
      <c r="H84" s="5" t="s">
        <v>1179</v>
      </c>
      <c r="I84" s="5">
        <f t="shared" si="41"/>
        <v>1959</v>
      </c>
      <c r="J84" s="5" t="str">
        <f t="shared" si="42"/>
        <v/>
      </c>
      <c r="K84" s="152"/>
      <c r="L84" s="7" t="str">
        <f t="shared" si="43"/>
        <v>02/09/1959</v>
      </c>
      <c r="M84" s="8">
        <v>21795</v>
      </c>
      <c r="N84" s="7">
        <v>22514</v>
      </c>
      <c r="O84" s="7"/>
      <c r="P84" s="181" t="str">
        <f t="shared" si="29"/>
        <v/>
      </c>
      <c r="Q84" s="153" t="str">
        <f t="shared" si="47"/>
        <v>107</v>
      </c>
      <c r="R84" s="180" t="str">
        <f t="shared" si="30"/>
        <v/>
      </c>
      <c r="S84" s="25" t="s">
        <v>3245</v>
      </c>
      <c r="T84" s="5">
        <f t="shared" si="31"/>
        <v>6</v>
      </c>
      <c r="U84" s="5">
        <f t="shared" si="32"/>
        <v>4</v>
      </c>
      <c r="V84" s="5">
        <f>VLOOKUP(B84,'Loyd List 1-190 - Edit'!$A$2:$B$220,2,FALSE)</f>
        <v>5</v>
      </c>
      <c r="W84" s="155">
        <f t="shared" si="33"/>
        <v>1</v>
      </c>
      <c r="X84" s="164" t="s">
        <v>2743</v>
      </c>
      <c r="Y84" s="105" t="s">
        <v>2744</v>
      </c>
      <c r="Z84" s="164" t="s">
        <v>4101</v>
      </c>
      <c r="AA84" s="6">
        <v>295</v>
      </c>
      <c r="AB84" s="5">
        <f t="shared" si="44"/>
        <v>82</v>
      </c>
      <c r="AC84" s="5">
        <f t="shared" si="45"/>
        <v>1082</v>
      </c>
      <c r="AD84" s="97" t="str">
        <f t="shared" si="34"/>
        <v>107d</v>
      </c>
      <c r="AE84" s="5" t="str">
        <f t="shared" si="35"/>
        <v>Edward William  ORR (1959 - )</v>
      </c>
      <c r="AF84" s="5" t="str">
        <f t="shared" si="36"/>
        <v>Ted ORR (6th &amp; 107)</v>
      </c>
      <c r="AG84" s="110" t="str">
        <f t="shared" si="37"/>
        <v>Male</v>
      </c>
      <c r="AH84" s="5" t="str">
        <f t="shared" si="38"/>
        <v>6th</v>
      </c>
      <c r="AI84" s="5" t="str">
        <f t="shared" si="39"/>
        <v>Wife: (1) Janet SCHRODER (b. 21/08/1961). (Divorced 1995). (2) 16 Aug 1997 Teri TESCH (b. 30/04/1960).. (2) Married  at Fox Island, Washington. USA.</v>
      </c>
      <c r="AJ84" s="105" t="str">
        <f t="shared" si="46"/>
        <v>Male. b. 02/09/1959 Ted born at US Naval Hospital, Portsmouth, Virginia. Baptised 1959 at Portsmouth, Virginia. US Navy, Senior Chief Petty Officer, retired 1998.</v>
      </c>
      <c r="AK84" s="105" t="str">
        <f t="shared" si="40"/>
        <v>b. 02/09/1959</v>
      </c>
    </row>
    <row r="85" spans="1:37" s="5" customFormat="1" ht="35">
      <c r="A85" s="5">
        <f>VLOOKUP(B85,'Loyd List 1-190 - Edit'!$P$1:$R$219,3,FALSE)</f>
        <v>76</v>
      </c>
      <c r="B85" s="5">
        <f t="shared" si="28"/>
        <v>107</v>
      </c>
      <c r="C85" s="157" t="s">
        <v>1718</v>
      </c>
      <c r="D85" s="6" t="s">
        <v>1695</v>
      </c>
      <c r="E85" s="156" t="s">
        <v>1647</v>
      </c>
      <c r="F85" s="5" t="s">
        <v>1716</v>
      </c>
      <c r="I85" s="5">
        <f t="shared" si="41"/>
        <v>1970</v>
      </c>
      <c r="J85" s="5" t="str">
        <f t="shared" si="42"/>
        <v/>
      </c>
      <c r="K85" s="152"/>
      <c r="L85" s="7" t="str">
        <f t="shared" si="43"/>
        <v>29/12/1970</v>
      </c>
      <c r="M85" s="8">
        <v>25931</v>
      </c>
      <c r="N85" s="7"/>
      <c r="O85" s="7"/>
      <c r="P85" s="181" t="str">
        <f t="shared" si="29"/>
        <v/>
      </c>
      <c r="Q85" s="153" t="str">
        <f t="shared" si="47"/>
        <v>107</v>
      </c>
      <c r="R85" s="180" t="str">
        <f t="shared" si="30"/>
        <v/>
      </c>
      <c r="S85" s="25" t="s">
        <v>3244</v>
      </c>
      <c r="T85" s="5">
        <f t="shared" si="31"/>
        <v>6</v>
      </c>
      <c r="U85" s="5">
        <f t="shared" si="32"/>
        <v>4</v>
      </c>
      <c r="V85" s="5">
        <f>VLOOKUP(B85,'Loyd List 1-190 - Edit'!$A$2:$B$220,2,FALSE)</f>
        <v>5</v>
      </c>
      <c r="W85" s="155">
        <f t="shared" si="33"/>
        <v>1</v>
      </c>
      <c r="X85" s="105" t="s">
        <v>1717</v>
      </c>
      <c r="Y85" s="105" t="s">
        <v>2747</v>
      </c>
      <c r="Z85" s="164" t="s">
        <v>2746</v>
      </c>
      <c r="AA85" s="6">
        <v>298</v>
      </c>
      <c r="AB85" s="5">
        <f t="shared" si="44"/>
        <v>83</v>
      </c>
      <c r="AC85" s="5">
        <f t="shared" si="45"/>
        <v>1083</v>
      </c>
      <c r="AD85" s="97" t="str">
        <f t="shared" si="34"/>
        <v>107e</v>
      </c>
      <c r="AE85" s="5" t="str">
        <f t="shared" si="35"/>
        <v>Heather Lynn  ORR (1970 - )</v>
      </c>
      <c r="AF85" s="5" t="str">
        <f t="shared" si="36"/>
        <v>Heather ORR (6th &amp; 107)</v>
      </c>
      <c r="AG85" s="110" t="str">
        <f t="shared" si="37"/>
        <v>Female</v>
      </c>
      <c r="AH85" s="5" t="str">
        <f t="shared" si="38"/>
        <v>6th</v>
      </c>
      <c r="AI85" s="5" t="str">
        <f t="shared" si="39"/>
        <v>Husband: Ronald CLINE. Married Ronald CLINE of Yakima. Later divorced.</v>
      </c>
      <c r="AJ85" s="105" t="str">
        <f t="shared" si="46"/>
        <v>Female. b. 29/12/1970 Baptised 10 Jan 1971 at Holy Mary’s Cathedral Church, Opportunity, Washington. Teacher, Lewis &amp; Clarke Middle School, Yakima, Washington.</v>
      </c>
      <c r="AK85" s="105" t="str">
        <f t="shared" si="40"/>
        <v>b. 29/12/1970</v>
      </c>
    </row>
    <row r="86" spans="1:37" s="5" customFormat="1" ht="35">
      <c r="A86" s="5">
        <f>VLOOKUP(B86,'Loyd List 1-190 - Edit'!$P$1:$R$219,3,FALSE)</f>
        <v>55</v>
      </c>
      <c r="B86" s="5">
        <f t="shared" si="28"/>
        <v>108</v>
      </c>
      <c r="C86" s="157" t="s">
        <v>1721</v>
      </c>
      <c r="D86" s="156" t="s">
        <v>1720</v>
      </c>
      <c r="E86" s="5" t="s">
        <v>1036</v>
      </c>
      <c r="F86" s="5" t="s">
        <v>870</v>
      </c>
      <c r="I86" s="5">
        <f t="shared" si="41"/>
        <v>1953</v>
      </c>
      <c r="J86" s="5" t="str">
        <f t="shared" si="42"/>
        <v/>
      </c>
      <c r="K86" s="152"/>
      <c r="L86" s="7" t="str">
        <f t="shared" si="43"/>
        <v>24/11/1953</v>
      </c>
      <c r="M86" s="8">
        <v>19687</v>
      </c>
      <c r="N86" s="7">
        <v>29860</v>
      </c>
      <c r="O86" s="7"/>
      <c r="P86" s="181" t="str">
        <f t="shared" si="29"/>
        <v/>
      </c>
      <c r="Q86" s="153" t="str">
        <f t="shared" si="47"/>
        <v>108</v>
      </c>
      <c r="R86" s="180" t="str">
        <f t="shared" si="30"/>
        <v/>
      </c>
      <c r="S86" s="25" t="s">
        <v>3244</v>
      </c>
      <c r="T86" s="5">
        <f t="shared" si="31"/>
        <v>6</v>
      </c>
      <c r="U86" s="5">
        <f t="shared" si="32"/>
        <v>4</v>
      </c>
      <c r="V86" s="5">
        <f>VLOOKUP(B86,'Loyd List 1-190 - Edit'!$A$2:$B$220,2,FALSE)</f>
        <v>5</v>
      </c>
      <c r="W86" s="155">
        <f t="shared" si="33"/>
        <v>1</v>
      </c>
      <c r="X86" s="105" t="s">
        <v>2749</v>
      </c>
      <c r="Y86" s="105" t="s">
        <v>2750</v>
      </c>
      <c r="Z86" s="164"/>
      <c r="AA86" s="6">
        <v>299</v>
      </c>
      <c r="AB86" s="5">
        <f t="shared" si="44"/>
        <v>84</v>
      </c>
      <c r="AC86" s="5">
        <f t="shared" si="45"/>
        <v>1084</v>
      </c>
      <c r="AD86" s="97" t="str">
        <f t="shared" si="34"/>
        <v>108a</v>
      </c>
      <c r="AE86" s="5" t="str">
        <f t="shared" si="35"/>
        <v>Frances Mary  HOYLE (1953 - )</v>
      </c>
      <c r="AF86" s="5" t="str">
        <f t="shared" si="36"/>
        <v>Frances HOYLE (6th &amp; 108)</v>
      </c>
      <c r="AG86" s="110" t="str">
        <f t="shared" si="37"/>
        <v>Female</v>
      </c>
      <c r="AH86" s="5" t="str">
        <f t="shared" si="38"/>
        <v>6th</v>
      </c>
      <c r="AI86" s="5" t="str">
        <f t="shared" si="39"/>
        <v>Husband: Nicholas CARTER (b. 25/01/1952, d. ). Divorced 1984</v>
      </c>
      <c r="AJ86" s="105" t="str">
        <f t="shared" si="46"/>
        <v>Female. b. 24/11/1953</v>
      </c>
      <c r="AK86" s="105" t="str">
        <f t="shared" si="40"/>
        <v>b. 24/11/1953</v>
      </c>
    </row>
    <row r="87" spans="1:37" s="5" customFormat="1" ht="20">
      <c r="A87" s="5">
        <f>VLOOKUP(B87,'Loyd List 1-190 - Edit'!$P$1:$R$219,3,FALSE)</f>
        <v>55</v>
      </c>
      <c r="B87" s="5">
        <f t="shared" si="28"/>
        <v>108</v>
      </c>
      <c r="C87" s="157" t="s">
        <v>1727</v>
      </c>
      <c r="D87" s="6" t="s">
        <v>1720</v>
      </c>
      <c r="E87" s="156" t="s">
        <v>928</v>
      </c>
      <c r="F87" s="5" t="s">
        <v>830</v>
      </c>
      <c r="G87" s="5" t="s">
        <v>914</v>
      </c>
      <c r="I87" s="5">
        <f t="shared" si="41"/>
        <v>1956</v>
      </c>
      <c r="J87" s="5" t="str">
        <f t="shared" si="42"/>
        <v/>
      </c>
      <c r="K87" s="152"/>
      <c r="L87" s="7" t="str">
        <f t="shared" si="43"/>
        <v>12/12/1956</v>
      </c>
      <c r="M87" s="8">
        <v>20801</v>
      </c>
      <c r="N87" s="7">
        <v>29533</v>
      </c>
      <c r="O87" s="7"/>
      <c r="P87" s="181" t="str">
        <f t="shared" si="29"/>
        <v/>
      </c>
      <c r="Q87" s="153" t="str">
        <f t="shared" si="47"/>
        <v>108</v>
      </c>
      <c r="R87" s="180" t="str">
        <f t="shared" si="30"/>
        <v/>
      </c>
      <c r="S87" s="25" t="s">
        <v>3245</v>
      </c>
      <c r="T87" s="5">
        <f t="shared" si="31"/>
        <v>6</v>
      </c>
      <c r="U87" s="5">
        <f t="shared" si="32"/>
        <v>4</v>
      </c>
      <c r="V87" s="5">
        <f>VLOOKUP(B87,'Loyd List 1-190 - Edit'!$A$2:$B$220,2,FALSE)</f>
        <v>5</v>
      </c>
      <c r="W87" s="155">
        <f t="shared" si="33"/>
        <v>1</v>
      </c>
      <c r="X87" s="164" t="s">
        <v>2751</v>
      </c>
      <c r="Y87" s="105"/>
      <c r="Z87" s="164"/>
      <c r="AA87" s="6">
        <v>302</v>
      </c>
      <c r="AB87" s="5">
        <f t="shared" si="44"/>
        <v>85</v>
      </c>
      <c r="AC87" s="5">
        <f t="shared" si="45"/>
        <v>1085</v>
      </c>
      <c r="AD87" s="97" t="str">
        <f t="shared" si="34"/>
        <v>108b</v>
      </c>
      <c r="AE87" s="5" t="str">
        <f t="shared" si="35"/>
        <v>Richard William Lewis HOYLE (1956 - )</v>
      </c>
      <c r="AF87" s="5" t="str">
        <f t="shared" si="36"/>
        <v>Richard HOYLE (6th &amp; 108)</v>
      </c>
      <c r="AG87" s="110" t="str">
        <f t="shared" si="37"/>
        <v>Male</v>
      </c>
      <c r="AH87" s="5" t="str">
        <f t="shared" si="38"/>
        <v>6th</v>
      </c>
      <c r="AI87" s="5" t="str">
        <f t="shared" si="39"/>
        <v xml:space="preserve">Wife: Lesley SAXTON (b. 31/05/1955, ). </v>
      </c>
      <c r="AJ87" s="105" t="str">
        <f t="shared" si="46"/>
        <v>Male. b. 12/12/1956</v>
      </c>
      <c r="AK87" s="105" t="str">
        <f t="shared" si="40"/>
        <v>b. 12/12/1956</v>
      </c>
    </row>
    <row r="88" spans="1:37" s="5" customFormat="1" ht="20">
      <c r="A88" s="5">
        <f>VLOOKUP(B88,'Loyd List 1-190 - Edit'!$P$1:$R$219,3,FALSE)</f>
        <v>55</v>
      </c>
      <c r="B88" s="5">
        <f t="shared" si="28"/>
        <v>108</v>
      </c>
      <c r="C88" s="157" t="s">
        <v>1731</v>
      </c>
      <c r="D88" s="6" t="s">
        <v>1720</v>
      </c>
      <c r="E88" s="156" t="s">
        <v>905</v>
      </c>
      <c r="F88" s="5" t="s">
        <v>842</v>
      </c>
      <c r="I88" s="5">
        <f t="shared" si="41"/>
        <v>1961</v>
      </c>
      <c r="J88" s="5" t="str">
        <f t="shared" si="42"/>
        <v/>
      </c>
      <c r="K88" s="152"/>
      <c r="L88" s="7" t="str">
        <f t="shared" si="43"/>
        <v>02/12/1961</v>
      </c>
      <c r="M88" s="8">
        <v>22617</v>
      </c>
      <c r="N88" s="7">
        <v>30086</v>
      </c>
      <c r="O88" s="7"/>
      <c r="P88" s="181" t="str">
        <f t="shared" si="29"/>
        <v/>
      </c>
      <c r="Q88" s="153" t="str">
        <f t="shared" si="47"/>
        <v>108</v>
      </c>
      <c r="R88" s="180" t="str">
        <f t="shared" si="30"/>
        <v/>
      </c>
      <c r="S88" s="25" t="s">
        <v>3245</v>
      </c>
      <c r="T88" s="5">
        <f t="shared" si="31"/>
        <v>6</v>
      </c>
      <c r="U88" s="5">
        <f t="shared" si="32"/>
        <v>4</v>
      </c>
      <c r="V88" s="5">
        <f>VLOOKUP(B88,'Loyd List 1-190 - Edit'!$A$2:$B$220,2,FALSE)</f>
        <v>5</v>
      </c>
      <c r="W88" s="155">
        <f t="shared" si="33"/>
        <v>1</v>
      </c>
      <c r="X88" s="164" t="s">
        <v>2752</v>
      </c>
      <c r="Y88" s="105"/>
      <c r="Z88" s="164"/>
      <c r="AA88" s="6">
        <v>305</v>
      </c>
      <c r="AB88" s="5">
        <f t="shared" si="44"/>
        <v>86</v>
      </c>
      <c r="AC88" s="5">
        <f t="shared" si="45"/>
        <v>1086</v>
      </c>
      <c r="AD88" s="97" t="str">
        <f t="shared" si="34"/>
        <v>108c</v>
      </c>
      <c r="AE88" s="5" t="str">
        <f t="shared" si="35"/>
        <v>David John  HOYLE (1961 - )</v>
      </c>
      <c r="AF88" s="5" t="str">
        <f t="shared" si="36"/>
        <v>David HOYLE (6th &amp; 108)</v>
      </c>
      <c r="AG88" s="110" t="str">
        <f t="shared" si="37"/>
        <v>Male</v>
      </c>
      <c r="AH88" s="5" t="str">
        <f t="shared" si="38"/>
        <v>6th</v>
      </c>
      <c r="AI88" s="5" t="str">
        <f t="shared" si="39"/>
        <v xml:space="preserve">Wife: Karen FULLER (b. 30/05/1961). </v>
      </c>
      <c r="AJ88" s="105" t="str">
        <f t="shared" si="46"/>
        <v>Male. b. 02/12/1961</v>
      </c>
      <c r="AK88" s="105" t="str">
        <f t="shared" si="40"/>
        <v>b. 02/12/1961</v>
      </c>
    </row>
    <row r="89" spans="1:37" s="5" customFormat="1" ht="20">
      <c r="A89" s="5">
        <f>VLOOKUP(B89,'Loyd List 1-190 - Edit'!$P$1:$R$219,3,FALSE)</f>
        <v>55</v>
      </c>
      <c r="B89" s="5">
        <f t="shared" si="28"/>
        <v>108</v>
      </c>
      <c r="C89" s="157" t="s">
        <v>1734</v>
      </c>
      <c r="D89" s="6" t="s">
        <v>1720</v>
      </c>
      <c r="E89" s="156" t="s">
        <v>865</v>
      </c>
      <c r="F89" s="5" t="s">
        <v>918</v>
      </c>
      <c r="I89" s="5">
        <f t="shared" si="41"/>
        <v>1963</v>
      </c>
      <c r="J89" s="5" t="str">
        <f t="shared" si="42"/>
        <v/>
      </c>
      <c r="K89" s="152"/>
      <c r="L89" s="7" t="str">
        <f t="shared" si="43"/>
        <v>09/11/1963</v>
      </c>
      <c r="M89" s="8">
        <v>23324</v>
      </c>
      <c r="N89" s="7">
        <v>31227</v>
      </c>
      <c r="O89" s="7"/>
      <c r="P89" s="181" t="str">
        <f t="shared" si="29"/>
        <v/>
      </c>
      <c r="Q89" s="153" t="str">
        <f t="shared" si="47"/>
        <v>108</v>
      </c>
      <c r="R89" s="180" t="str">
        <f t="shared" si="30"/>
        <v/>
      </c>
      <c r="S89" s="25" t="s">
        <v>3245</v>
      </c>
      <c r="T89" s="5">
        <f t="shared" si="31"/>
        <v>6</v>
      </c>
      <c r="U89" s="5">
        <f t="shared" si="32"/>
        <v>4</v>
      </c>
      <c r="V89" s="5">
        <f>VLOOKUP(B89,'Loyd List 1-190 - Edit'!$A$2:$B$220,2,FALSE)</f>
        <v>5</v>
      </c>
      <c r="W89" s="155">
        <f t="shared" si="33"/>
        <v>1</v>
      </c>
      <c r="X89" s="164" t="s">
        <v>2753</v>
      </c>
      <c r="Y89" s="105"/>
      <c r="Z89" s="164"/>
      <c r="AA89" s="6">
        <v>307</v>
      </c>
      <c r="AB89" s="5">
        <f t="shared" si="44"/>
        <v>87</v>
      </c>
      <c r="AC89" s="5">
        <f t="shared" si="45"/>
        <v>1087</v>
      </c>
      <c r="AD89" s="97" t="str">
        <f t="shared" si="34"/>
        <v>108d</v>
      </c>
      <c r="AE89" s="5" t="str">
        <f t="shared" si="35"/>
        <v>Peter James  HOYLE (1963 - )</v>
      </c>
      <c r="AF89" s="5" t="str">
        <f t="shared" si="36"/>
        <v>Peter HOYLE (6th &amp; 108)</v>
      </c>
      <c r="AG89" s="110" t="str">
        <f t="shared" si="37"/>
        <v>Male</v>
      </c>
      <c r="AH89" s="5" t="str">
        <f t="shared" si="38"/>
        <v>6th</v>
      </c>
      <c r="AI89" s="5" t="str">
        <f t="shared" si="39"/>
        <v xml:space="preserve">Wife: Dianne McCARTHY (b. 16/09/1964, ). </v>
      </c>
      <c r="AJ89" s="105" t="str">
        <f t="shared" si="46"/>
        <v>Male. b. 09/11/1963</v>
      </c>
      <c r="AK89" s="105" t="str">
        <f t="shared" si="40"/>
        <v>b. 09/11/1963</v>
      </c>
    </row>
    <row r="90" spans="1:37" s="5" customFormat="1" ht="34">
      <c r="A90" s="5">
        <f>VLOOKUP(B90,'Loyd List 1-190 - Edit'!$P$1:$R$219,3,FALSE)</f>
        <v>80</v>
      </c>
      <c r="B90" s="5">
        <f t="shared" si="28"/>
        <v>109</v>
      </c>
      <c r="C90" s="157" t="s">
        <v>1739</v>
      </c>
      <c r="D90" s="6" t="s">
        <v>1738</v>
      </c>
      <c r="E90" s="156" t="s">
        <v>2754</v>
      </c>
      <c r="I90" s="5">
        <f t="shared" si="41"/>
        <v>1964</v>
      </c>
      <c r="J90" s="5" t="str">
        <f t="shared" si="42"/>
        <v/>
      </c>
      <c r="K90" s="152"/>
      <c r="L90" s="7" t="str">
        <f t="shared" si="43"/>
        <v>25/11/1964</v>
      </c>
      <c r="M90" s="8">
        <v>23706</v>
      </c>
      <c r="N90" s="7"/>
      <c r="O90" s="7"/>
      <c r="P90" s="181" t="str">
        <f t="shared" si="29"/>
        <v/>
      </c>
      <c r="Q90" s="153" t="str">
        <f t="shared" si="47"/>
        <v>109</v>
      </c>
      <c r="R90" s="180" t="str">
        <f t="shared" si="30"/>
        <v/>
      </c>
      <c r="S90" s="25" t="s">
        <v>3244</v>
      </c>
      <c r="T90" s="5">
        <f t="shared" si="31"/>
        <v>6</v>
      </c>
      <c r="U90" s="5">
        <f t="shared" si="32"/>
        <v>4</v>
      </c>
      <c r="V90" s="5">
        <f>VLOOKUP(B90,'Loyd List 1-190 - Edit'!$A$2:$B$220,2,FALSE)</f>
        <v>5</v>
      </c>
      <c r="W90" s="155">
        <f t="shared" si="33"/>
        <v>1</v>
      </c>
      <c r="X90" s="105"/>
      <c r="Y90" s="105"/>
      <c r="Z90" s="164" t="s">
        <v>2755</v>
      </c>
      <c r="AA90" s="6">
        <v>308</v>
      </c>
      <c r="AB90" s="5">
        <f t="shared" si="44"/>
        <v>88</v>
      </c>
      <c r="AC90" s="5">
        <f t="shared" si="45"/>
        <v>1088</v>
      </c>
      <c r="AD90" s="97" t="str">
        <f t="shared" si="34"/>
        <v>109a</v>
      </c>
      <c r="AE90" s="5" t="str">
        <f t="shared" si="35"/>
        <v>Jennet   WALTON (1964 - )</v>
      </c>
      <c r="AF90" s="5" t="str">
        <f t="shared" si="36"/>
        <v>Jennet WALTON (6th &amp; 109)</v>
      </c>
      <c r="AG90" s="110" t="str">
        <f t="shared" si="37"/>
        <v>Female</v>
      </c>
      <c r="AH90" s="5" t="str">
        <f t="shared" si="38"/>
        <v>6th</v>
      </c>
      <c r="AI90" s="5" t="str">
        <f t="shared" si="39"/>
        <v>Unmarried</v>
      </c>
      <c r="AJ90" s="105" t="str">
        <f t="shared" si="46"/>
        <v>Female. b. 25/11/1964 Baptised 10 Jan 1965 at the Brompton Oratory, London SW7. Educated Mayfield Convent, Sussex.</v>
      </c>
      <c r="AK90" s="105" t="str">
        <f t="shared" si="40"/>
        <v>b. 25/11/1964</v>
      </c>
    </row>
    <row r="91" spans="1:37" s="5" customFormat="1" ht="51">
      <c r="A91" s="5">
        <f>VLOOKUP(B91,'Loyd List 1-190 - Edit'!$P$1:$R$219,3,FALSE)</f>
        <v>80</v>
      </c>
      <c r="B91" s="5">
        <f t="shared" si="28"/>
        <v>109</v>
      </c>
      <c r="C91" s="157" t="s">
        <v>1740</v>
      </c>
      <c r="D91" s="6" t="s">
        <v>1738</v>
      </c>
      <c r="E91" s="156" t="s">
        <v>919</v>
      </c>
      <c r="I91" s="5">
        <f t="shared" si="41"/>
        <v>1967</v>
      </c>
      <c r="J91" s="5" t="str">
        <f t="shared" si="42"/>
        <v/>
      </c>
      <c r="K91" s="152"/>
      <c r="L91" s="7" t="str">
        <f t="shared" si="43"/>
        <v>22/08/1967</v>
      </c>
      <c r="M91" s="8">
        <v>24706</v>
      </c>
      <c r="N91" s="7"/>
      <c r="O91" s="7"/>
      <c r="P91" s="181" t="str">
        <f t="shared" si="29"/>
        <v/>
      </c>
      <c r="Q91" s="153" t="str">
        <f t="shared" si="47"/>
        <v>109</v>
      </c>
      <c r="R91" s="180" t="str">
        <f t="shared" si="30"/>
        <v/>
      </c>
      <c r="S91" s="25" t="s">
        <v>3245</v>
      </c>
      <c r="T91" s="5">
        <f t="shared" si="31"/>
        <v>6</v>
      </c>
      <c r="U91" s="5">
        <f t="shared" si="32"/>
        <v>4</v>
      </c>
      <c r="V91" s="5">
        <f>VLOOKUP(B91,'Loyd List 1-190 - Edit'!$A$2:$B$220,2,FALSE)</f>
        <v>5</v>
      </c>
      <c r="W91" s="155">
        <f t="shared" si="33"/>
        <v>1</v>
      </c>
      <c r="X91" s="105"/>
      <c r="Y91" s="105"/>
      <c r="Z91" s="164" t="s">
        <v>2756</v>
      </c>
      <c r="AA91" s="6">
        <v>309</v>
      </c>
      <c r="AB91" s="5">
        <f t="shared" si="44"/>
        <v>89</v>
      </c>
      <c r="AC91" s="5">
        <f t="shared" si="45"/>
        <v>1089</v>
      </c>
      <c r="AD91" s="97" t="str">
        <f t="shared" si="34"/>
        <v>109b</v>
      </c>
      <c r="AE91" s="5" t="str">
        <f t="shared" si="35"/>
        <v>Timothy   WALTON (1967 - )</v>
      </c>
      <c r="AF91" s="5" t="str">
        <f t="shared" si="36"/>
        <v>Timothy WALTON (6th &amp; 109)</v>
      </c>
      <c r="AG91" s="110" t="str">
        <f t="shared" si="37"/>
        <v>Male</v>
      </c>
      <c r="AH91" s="5" t="str">
        <f t="shared" si="38"/>
        <v>6th</v>
      </c>
      <c r="AI91" s="5" t="s">
        <v>3786</v>
      </c>
      <c r="AJ91" s="105" t="str">
        <f t="shared" si="46"/>
        <v>Male. b. 22/08/1967 Baptised 8 Oct 1967 at St. Teresa’s, Trent Vale, Staffordshire. Educated Ampleforth, Manchester University (BA) and London University, School of Oriental &amp; African Studies (MA).</v>
      </c>
      <c r="AK91" s="105" t="str">
        <f t="shared" si="40"/>
        <v>b. 22/08/1967</v>
      </c>
    </row>
    <row r="92" spans="1:37" s="5" customFormat="1" ht="51">
      <c r="A92" s="5">
        <f>VLOOKUP(B92,'Loyd List 1-190 - Edit'!$P$1:$R$219,3,FALSE)</f>
        <v>80</v>
      </c>
      <c r="B92" s="5">
        <f t="shared" si="28"/>
        <v>110</v>
      </c>
      <c r="C92" s="157" t="s">
        <v>1744</v>
      </c>
      <c r="D92" s="6" t="s">
        <v>1742</v>
      </c>
      <c r="E92" s="5" t="s">
        <v>842</v>
      </c>
      <c r="F92" s="5" t="s">
        <v>1743</v>
      </c>
      <c r="I92" s="5">
        <f t="shared" si="41"/>
        <v>1961</v>
      </c>
      <c r="J92" s="5" t="str">
        <f t="shared" si="42"/>
        <v/>
      </c>
      <c r="K92" s="152"/>
      <c r="L92" s="7" t="str">
        <f t="shared" si="43"/>
        <v>30/07/1961</v>
      </c>
      <c r="M92" s="8">
        <v>22492</v>
      </c>
      <c r="N92" s="7">
        <v>32004</v>
      </c>
      <c r="O92" s="7"/>
      <c r="P92" s="181" t="str">
        <f t="shared" si="29"/>
        <v/>
      </c>
      <c r="Q92" s="153" t="str">
        <f t="shared" si="47"/>
        <v>110</v>
      </c>
      <c r="R92" s="180" t="str">
        <f t="shared" si="30"/>
        <v/>
      </c>
      <c r="S92" s="25" t="s">
        <v>3245</v>
      </c>
      <c r="T92" s="5">
        <f t="shared" si="31"/>
        <v>6</v>
      </c>
      <c r="U92" s="5">
        <f t="shared" si="32"/>
        <v>4</v>
      </c>
      <c r="V92" s="5">
        <f>VLOOKUP(B92,'Loyd List 1-190 - Edit'!$A$2:$B$220,2,FALSE)</f>
        <v>5</v>
      </c>
      <c r="W92" s="155">
        <f t="shared" si="33"/>
        <v>1</v>
      </c>
      <c r="X92" s="164" t="s">
        <v>2758</v>
      </c>
      <c r="Y92" s="105"/>
      <c r="Z92" s="164" t="s">
        <v>3670</v>
      </c>
      <c r="AA92" s="6">
        <v>310</v>
      </c>
      <c r="AB92" s="5">
        <f t="shared" si="44"/>
        <v>90</v>
      </c>
      <c r="AC92" s="5">
        <f t="shared" si="45"/>
        <v>1090</v>
      </c>
      <c r="AD92" s="97" t="str">
        <f t="shared" si="34"/>
        <v>110a</v>
      </c>
      <c r="AE92" s="5" t="str">
        <f t="shared" si="35"/>
        <v>John Drummond  BOYCE (1961 - )</v>
      </c>
      <c r="AF92" s="5" t="str">
        <f t="shared" si="36"/>
        <v>John BOYCE (6th &amp; 110)</v>
      </c>
      <c r="AG92" s="110" t="str">
        <f t="shared" si="37"/>
        <v>Male</v>
      </c>
      <c r="AH92" s="5" t="str">
        <f t="shared" si="38"/>
        <v>6th</v>
      </c>
      <c r="AI92" s="5" t="str">
        <f t="shared" si="39"/>
        <v xml:space="preserve">Wife: Beverley Margaret JOHNSON (b. 04/06/1962, ). </v>
      </c>
      <c r="AJ92" s="105" t="str">
        <f t="shared" si="46"/>
        <v>Male. b. 30/07/1961 Baptised 27 Aug 1961 at St Peter’s, Marlow. Educated Edinburgh Academy, King’s College, London (LLB), and Panthéon-Sorbonne, Paris (Maitrise en Droit). Partner Slaughter and May, London and Brussels.</v>
      </c>
      <c r="AK92" s="105" t="str">
        <f t="shared" si="40"/>
        <v>b. 30/07/1961</v>
      </c>
    </row>
    <row r="93" spans="1:37" s="5" customFormat="1" ht="34">
      <c r="A93" s="5">
        <f>VLOOKUP(B93,'Loyd List 1-190 - Edit'!$P$1:$R$219,3,FALSE)</f>
        <v>80</v>
      </c>
      <c r="B93" s="5">
        <f t="shared" si="28"/>
        <v>110</v>
      </c>
      <c r="C93" s="157" t="s">
        <v>1749</v>
      </c>
      <c r="D93" s="6" t="s">
        <v>1742</v>
      </c>
      <c r="E93" s="5" t="s">
        <v>936</v>
      </c>
      <c r="F93" s="5" t="s">
        <v>870</v>
      </c>
      <c r="I93" s="5">
        <f t="shared" si="41"/>
        <v>1963</v>
      </c>
      <c r="J93" s="5" t="str">
        <f t="shared" si="42"/>
        <v/>
      </c>
      <c r="K93" s="152"/>
      <c r="L93" s="7" t="str">
        <f t="shared" si="43"/>
        <v>18/02/1963</v>
      </c>
      <c r="M93" s="8">
        <v>23060</v>
      </c>
      <c r="N93" s="7"/>
      <c r="O93" s="7"/>
      <c r="P93" s="181" t="str">
        <f t="shared" si="29"/>
        <v/>
      </c>
      <c r="Q93" s="153" t="str">
        <f t="shared" si="47"/>
        <v>110</v>
      </c>
      <c r="R93" s="180" t="str">
        <f t="shared" si="30"/>
        <v/>
      </c>
      <c r="S93" s="25" t="s">
        <v>3244</v>
      </c>
      <c r="T93" s="5">
        <f t="shared" si="31"/>
        <v>6</v>
      </c>
      <c r="U93" s="5">
        <f t="shared" si="32"/>
        <v>4</v>
      </c>
      <c r="V93" s="5">
        <f>VLOOKUP(B93,'Loyd List 1-190 - Edit'!$A$2:$B$220,2,FALSE)</f>
        <v>5</v>
      </c>
      <c r="W93" s="155">
        <f t="shared" si="33"/>
        <v>1</v>
      </c>
      <c r="X93" s="105"/>
      <c r="Y93" s="105"/>
      <c r="Z93" s="164" t="s">
        <v>2760</v>
      </c>
      <c r="AA93" s="6">
        <v>314</v>
      </c>
      <c r="AB93" s="5">
        <f t="shared" si="44"/>
        <v>91</v>
      </c>
      <c r="AC93" s="5">
        <f t="shared" si="45"/>
        <v>1091</v>
      </c>
      <c r="AD93" s="97" t="str">
        <f t="shared" si="34"/>
        <v>110b</v>
      </c>
      <c r="AE93" s="5" t="str">
        <f t="shared" si="35"/>
        <v>Joanna Mary  BOYCE (1963 - )</v>
      </c>
      <c r="AF93" s="5" t="str">
        <f t="shared" si="36"/>
        <v>Joanna BOYCE (6th &amp; 110)</v>
      </c>
      <c r="AG93" s="110" t="str">
        <f t="shared" si="37"/>
        <v>Female</v>
      </c>
      <c r="AH93" s="5" t="str">
        <f t="shared" si="38"/>
        <v>6th</v>
      </c>
      <c r="AI93" s="5" t="str">
        <f t="shared" si="39"/>
        <v>Unmarried</v>
      </c>
      <c r="AJ93" s="105" t="str">
        <f t="shared" si="46"/>
        <v>Female. b. 18/02/1963 Baptised 16 Mar 1963 at St. Mary’s Cathedral, Edinburgh. Educated St Margaret’s Convent, Edinburgh and Brighton Polytechnic (BA).</v>
      </c>
      <c r="AK93" s="105" t="str">
        <f t="shared" si="40"/>
        <v>b. 18/02/1963</v>
      </c>
    </row>
    <row r="94" spans="1:37" s="5" customFormat="1" ht="34">
      <c r="A94" s="5">
        <f>VLOOKUP(B94,'Loyd List 1-190 - Edit'!$P$1:$R$219,3,FALSE)</f>
        <v>80</v>
      </c>
      <c r="B94" s="5">
        <f t="shared" si="28"/>
        <v>110</v>
      </c>
      <c r="C94" s="157" t="s">
        <v>1750</v>
      </c>
      <c r="D94" s="6" t="s">
        <v>1742</v>
      </c>
      <c r="E94" s="5" t="s">
        <v>902</v>
      </c>
      <c r="F94" s="5" t="s">
        <v>810</v>
      </c>
      <c r="I94" s="5">
        <f t="shared" si="41"/>
        <v>1964</v>
      </c>
      <c r="J94" s="5" t="str">
        <f t="shared" si="42"/>
        <v/>
      </c>
      <c r="K94" s="152"/>
      <c r="L94" s="7" t="str">
        <f t="shared" si="43"/>
        <v>20/03/1964</v>
      </c>
      <c r="M94" s="8">
        <v>23456</v>
      </c>
      <c r="N94" s="7"/>
      <c r="O94" s="7"/>
      <c r="P94" s="181" t="str">
        <f t="shared" si="29"/>
        <v/>
      </c>
      <c r="Q94" s="153" t="str">
        <f t="shared" si="47"/>
        <v>110</v>
      </c>
      <c r="R94" s="180" t="str">
        <f t="shared" si="30"/>
        <v/>
      </c>
      <c r="S94" s="25" t="s">
        <v>3245</v>
      </c>
      <c r="T94" s="5">
        <f t="shared" si="31"/>
        <v>6</v>
      </c>
      <c r="U94" s="5">
        <f t="shared" si="32"/>
        <v>4</v>
      </c>
      <c r="V94" s="5">
        <f>VLOOKUP(B94,'Loyd List 1-190 - Edit'!$A$2:$B$220,2,FALSE)</f>
        <v>5</v>
      </c>
      <c r="W94" s="155">
        <f t="shared" si="33"/>
        <v>1</v>
      </c>
      <c r="X94" s="164" t="s">
        <v>3680</v>
      </c>
      <c r="Y94" s="164"/>
      <c r="Z94" s="164" t="s">
        <v>2761</v>
      </c>
      <c r="AA94" s="6">
        <v>315</v>
      </c>
      <c r="AB94" s="5">
        <f t="shared" si="44"/>
        <v>92</v>
      </c>
      <c r="AC94" s="5">
        <f t="shared" si="45"/>
        <v>1092</v>
      </c>
      <c r="AD94" s="97" t="str">
        <f t="shared" si="34"/>
        <v>110c</v>
      </c>
      <c r="AE94" s="5" t="str">
        <f t="shared" si="35"/>
        <v>Robert Eric  BOYCE (1964 - )</v>
      </c>
      <c r="AF94" s="5" t="str">
        <f t="shared" si="36"/>
        <v>Robert BOYCE (6th &amp; 110)</v>
      </c>
      <c r="AG94" s="110" t="str">
        <f t="shared" si="37"/>
        <v>Male</v>
      </c>
      <c r="AH94" s="5" t="str">
        <f t="shared" si="38"/>
        <v>6th</v>
      </c>
      <c r="AI94" s="5" t="str">
        <f t="shared" si="39"/>
        <v xml:space="preserve">Wife: Antonia Catherine WHITE (b. 23/07/1966, ). </v>
      </c>
      <c r="AJ94" s="105" t="str">
        <f t="shared" si="46"/>
        <v>Male. b. 20/03/1964 Baptised 18 Apr 1964 at Holy Cross, Edinburgh. Educated The Edinburgh Academy, Bath University (BSc), and Bristol University (MSc).</v>
      </c>
      <c r="AK94" s="105" t="str">
        <f t="shared" si="40"/>
        <v>b. 20/03/1964</v>
      </c>
    </row>
    <row r="95" spans="1:37" s="5" customFormat="1" ht="52">
      <c r="A95" s="5">
        <f>VLOOKUP(B95,'Loyd List 1-190 - Edit'!$P$1:$R$219,3,FALSE)</f>
        <v>80</v>
      </c>
      <c r="B95" s="5">
        <f t="shared" si="28"/>
        <v>110</v>
      </c>
      <c r="C95" s="157" t="s">
        <v>1751</v>
      </c>
      <c r="D95" s="6" t="s">
        <v>1742</v>
      </c>
      <c r="E95" s="5" t="s">
        <v>1752</v>
      </c>
      <c r="F95" s="5" t="s">
        <v>882</v>
      </c>
      <c r="I95" s="5">
        <f t="shared" si="41"/>
        <v>1966</v>
      </c>
      <c r="J95" s="5" t="str">
        <f t="shared" si="42"/>
        <v/>
      </c>
      <c r="K95" s="152"/>
      <c r="L95" s="7" t="str">
        <f t="shared" si="43"/>
        <v>26/09/1966</v>
      </c>
      <c r="M95" s="8">
        <v>24376</v>
      </c>
      <c r="N95" s="7">
        <v>35276</v>
      </c>
      <c r="O95" s="7"/>
      <c r="P95" s="181" t="str">
        <f t="shared" si="29"/>
        <v/>
      </c>
      <c r="Q95" s="153" t="str">
        <f t="shared" si="47"/>
        <v>110</v>
      </c>
      <c r="R95" s="180" t="str">
        <f t="shared" si="30"/>
        <v/>
      </c>
      <c r="S95" s="25" t="s">
        <v>3244</v>
      </c>
      <c r="T95" s="5">
        <f t="shared" si="31"/>
        <v>6</v>
      </c>
      <c r="U95" s="5">
        <f t="shared" si="32"/>
        <v>4</v>
      </c>
      <c r="V95" s="5">
        <f>VLOOKUP(B95,'Loyd List 1-190 - Edit'!$A$2:$B$220,2,FALSE)</f>
        <v>5</v>
      </c>
      <c r="W95" s="155">
        <f t="shared" si="33"/>
        <v>1</v>
      </c>
      <c r="X95" s="105" t="s">
        <v>2763</v>
      </c>
      <c r="Y95" s="164" t="s">
        <v>2764</v>
      </c>
      <c r="Z95" s="164" t="s">
        <v>2762</v>
      </c>
      <c r="AA95" s="6">
        <v>316</v>
      </c>
      <c r="AB95" s="5">
        <f t="shared" si="44"/>
        <v>93</v>
      </c>
      <c r="AC95" s="5">
        <f t="shared" si="45"/>
        <v>1093</v>
      </c>
      <c r="AD95" s="97" t="str">
        <f t="shared" si="34"/>
        <v>110d</v>
      </c>
      <c r="AE95" s="5" t="str">
        <f t="shared" si="35"/>
        <v>Paula Margaret  BOYCE (1966 - )</v>
      </c>
      <c r="AF95" s="5" t="str">
        <f t="shared" si="36"/>
        <v>Paula BOYCE (6th &amp; 110)</v>
      </c>
      <c r="AG95" s="110" t="str">
        <f t="shared" si="37"/>
        <v>Female</v>
      </c>
      <c r="AH95" s="5" t="str">
        <f t="shared" si="38"/>
        <v>6th</v>
      </c>
      <c r="AI95" s="5" t="str">
        <f t="shared" si="39"/>
        <v>Husband: Rolando Oscar CASTRO (b. 04/12/1965, ). Married at Canterbury Registry Office, Oscar of Rio de Janeiro.</v>
      </c>
      <c r="AJ95" s="105" t="str">
        <f t="shared" si="46"/>
        <v>Female. b. 26/09/1966 Baptised 22 Oct 1966 at Holy Cross, Edinburgh. Educated St George’s, Edinburgh and St Andrew’s University (MA).</v>
      </c>
      <c r="AK95" s="105" t="str">
        <f t="shared" si="40"/>
        <v>b. 26/09/1966</v>
      </c>
    </row>
    <row r="96" spans="1:37" s="5" customFormat="1" ht="20">
      <c r="A96" s="5">
        <f>VLOOKUP(B96,'Loyd List 1-190 - Edit'!$P$1:$R$219,3,FALSE)</f>
        <v>55</v>
      </c>
      <c r="B96" s="5">
        <f t="shared" si="28"/>
        <v>112</v>
      </c>
      <c r="C96" s="157" t="s">
        <v>1760</v>
      </c>
      <c r="D96" s="6" t="s">
        <v>1758</v>
      </c>
      <c r="E96" s="5" t="s">
        <v>1759</v>
      </c>
      <c r="F96" s="5" t="s">
        <v>842</v>
      </c>
      <c r="I96" s="5">
        <f t="shared" si="41"/>
        <v>1958</v>
      </c>
      <c r="J96" s="5" t="str">
        <f t="shared" si="42"/>
        <v/>
      </c>
      <c r="K96" s="152"/>
      <c r="L96" s="7" t="str">
        <f t="shared" si="43"/>
        <v>13/10/1958</v>
      </c>
      <c r="M96" s="8">
        <v>21471</v>
      </c>
      <c r="N96" s="7"/>
      <c r="O96" s="7"/>
      <c r="P96" s="181" t="str">
        <f t="shared" si="29"/>
        <v/>
      </c>
      <c r="Q96" s="153" t="str">
        <f t="shared" si="47"/>
        <v>112</v>
      </c>
      <c r="R96" s="180" t="str">
        <f t="shared" si="30"/>
        <v/>
      </c>
      <c r="S96" s="25" t="s">
        <v>3245</v>
      </c>
      <c r="T96" s="5">
        <f t="shared" si="31"/>
        <v>6</v>
      </c>
      <c r="U96" s="5">
        <f t="shared" si="32"/>
        <v>4</v>
      </c>
      <c r="V96" s="5">
        <f>VLOOKUP(B96,'Loyd List 1-190 - Edit'!$A$2:$B$220,2,FALSE)</f>
        <v>5</v>
      </c>
      <c r="W96" s="155">
        <f t="shared" si="33"/>
        <v>1</v>
      </c>
      <c r="X96" s="105"/>
      <c r="Y96" s="105"/>
      <c r="Z96" s="164" t="s">
        <v>2765</v>
      </c>
      <c r="AA96" s="6">
        <v>318</v>
      </c>
      <c r="AB96" s="5">
        <f t="shared" si="44"/>
        <v>94</v>
      </c>
      <c r="AC96" s="5">
        <f t="shared" si="45"/>
        <v>1094</v>
      </c>
      <c r="AD96" s="97" t="str">
        <f t="shared" si="34"/>
        <v>112a</v>
      </c>
      <c r="AE96" s="5" t="str">
        <f t="shared" si="35"/>
        <v>Kevin John  DOWNES (1958 - )</v>
      </c>
      <c r="AF96" s="5" t="str">
        <f t="shared" si="36"/>
        <v>Kevin DOWNES (6th &amp; 112)</v>
      </c>
      <c r="AG96" s="110" t="str">
        <f t="shared" si="37"/>
        <v>Male</v>
      </c>
      <c r="AH96" s="5" t="str">
        <f t="shared" si="38"/>
        <v>6th</v>
      </c>
      <c r="AI96" s="5" t="str">
        <f t="shared" si="39"/>
        <v>Unmarried</v>
      </c>
      <c r="AJ96" s="105" t="str">
        <f t="shared" si="46"/>
        <v>Male. b. 13/10/1958 Born at Loughborough, Leicestershire.</v>
      </c>
      <c r="AK96" s="105" t="str">
        <f t="shared" si="40"/>
        <v>b. 13/10/1958</v>
      </c>
    </row>
    <row r="97" spans="1:37" s="5" customFormat="1" ht="20">
      <c r="A97" s="5">
        <f>VLOOKUP(B97,'Loyd List 1-190 - Edit'!$P$1:$R$219,3,FALSE)</f>
        <v>55</v>
      </c>
      <c r="B97" s="5">
        <f t="shared" si="28"/>
        <v>112</v>
      </c>
      <c r="C97" s="157" t="s">
        <v>1761</v>
      </c>
      <c r="D97" s="6" t="s">
        <v>1758</v>
      </c>
      <c r="E97" s="5" t="s">
        <v>1764</v>
      </c>
      <c r="F97" s="5" t="s">
        <v>1765</v>
      </c>
      <c r="I97" s="5">
        <f t="shared" si="41"/>
        <v>1960</v>
      </c>
      <c r="J97" s="5" t="str">
        <f t="shared" si="42"/>
        <v/>
      </c>
      <c r="K97" s="152"/>
      <c r="L97" s="7" t="str">
        <f t="shared" si="43"/>
        <v>15/10/1960</v>
      </c>
      <c r="M97" s="8">
        <v>22204</v>
      </c>
      <c r="N97" s="7"/>
      <c r="O97" s="7"/>
      <c r="P97" s="181" t="str">
        <f t="shared" si="29"/>
        <v/>
      </c>
      <c r="Q97" s="153" t="str">
        <f t="shared" si="47"/>
        <v>112</v>
      </c>
      <c r="R97" s="180" t="str">
        <f t="shared" si="30"/>
        <v/>
      </c>
      <c r="S97" s="25" t="s">
        <v>3244</v>
      </c>
      <c r="T97" s="5">
        <f t="shared" si="31"/>
        <v>6</v>
      </c>
      <c r="U97" s="5">
        <f t="shared" si="32"/>
        <v>4</v>
      </c>
      <c r="V97" s="5">
        <f>VLOOKUP(B97,'Loyd List 1-190 - Edit'!$A$2:$B$220,2,FALSE)</f>
        <v>5</v>
      </c>
      <c r="W97" s="155">
        <f t="shared" si="33"/>
        <v>1</v>
      </c>
      <c r="X97" s="105"/>
      <c r="Y97" s="105"/>
      <c r="Z97" s="164" t="s">
        <v>2766</v>
      </c>
      <c r="AA97" s="6">
        <v>319</v>
      </c>
      <c r="AB97" s="5">
        <f t="shared" si="44"/>
        <v>95</v>
      </c>
      <c r="AC97" s="5">
        <f t="shared" si="45"/>
        <v>1095</v>
      </c>
      <c r="AD97" s="97" t="str">
        <f t="shared" si="34"/>
        <v>112b</v>
      </c>
      <c r="AE97" s="5" t="str">
        <f t="shared" si="35"/>
        <v>Lynda Carol  DOWNES (1960 - )</v>
      </c>
      <c r="AF97" s="5" t="str">
        <f t="shared" si="36"/>
        <v>Lynda DOWNES (6th &amp; 112)</v>
      </c>
      <c r="AG97" s="110" t="str">
        <f t="shared" si="37"/>
        <v>Female</v>
      </c>
      <c r="AH97" s="5" t="str">
        <f t="shared" si="38"/>
        <v>6th</v>
      </c>
      <c r="AI97" s="5" t="str">
        <f t="shared" si="39"/>
        <v>Unmarried</v>
      </c>
      <c r="AJ97" s="105" t="str">
        <f t="shared" si="46"/>
        <v>Female. b. 15/10/1960 Born at Kegworth, Leicestershire.</v>
      </c>
      <c r="AK97" s="105" t="str">
        <f t="shared" si="40"/>
        <v>b. 15/10/1960</v>
      </c>
    </row>
    <row r="98" spans="1:37" s="5" customFormat="1" ht="20">
      <c r="A98" s="5">
        <f>VLOOKUP(B98,'Loyd List 1-190 - Edit'!$P$1:$R$219,3,FALSE)</f>
        <v>55</v>
      </c>
      <c r="B98" s="5">
        <f t="shared" ref="B98:B129" si="48">VALUE(LEFT(C98,3))</f>
        <v>112</v>
      </c>
      <c r="C98" s="157" t="s">
        <v>1762</v>
      </c>
      <c r="D98" s="6" t="s">
        <v>1758</v>
      </c>
      <c r="E98" s="5" t="s">
        <v>1766</v>
      </c>
      <c r="F98" s="5" t="s">
        <v>928</v>
      </c>
      <c r="I98" s="5">
        <f t="shared" si="41"/>
        <v>1961</v>
      </c>
      <c r="J98" s="5" t="str">
        <f t="shared" si="42"/>
        <v/>
      </c>
      <c r="K98" s="152"/>
      <c r="L98" s="7" t="str">
        <f t="shared" si="43"/>
        <v>22/10/1961</v>
      </c>
      <c r="M98" s="8">
        <v>22576</v>
      </c>
      <c r="N98" s="7"/>
      <c r="O98" s="7"/>
      <c r="P98" s="181" t="str">
        <f t="shared" si="29"/>
        <v/>
      </c>
      <c r="Q98" s="153" t="str">
        <f t="shared" si="47"/>
        <v>112</v>
      </c>
      <c r="R98" s="180" t="str">
        <f t="shared" si="30"/>
        <v/>
      </c>
      <c r="S98" s="25" t="s">
        <v>3245</v>
      </c>
      <c r="T98" s="5">
        <f t="shared" si="31"/>
        <v>6</v>
      </c>
      <c r="U98" s="5">
        <f t="shared" si="32"/>
        <v>4</v>
      </c>
      <c r="V98" s="5">
        <f>VLOOKUP(B98,'Loyd List 1-190 - Edit'!$A$2:$B$220,2,FALSE)</f>
        <v>5</v>
      </c>
      <c r="W98" s="155">
        <f t="shared" si="33"/>
        <v>1</v>
      </c>
      <c r="X98" s="105"/>
      <c r="Y98" s="105"/>
      <c r="Z98" s="164" t="s">
        <v>2766</v>
      </c>
      <c r="AA98" s="6">
        <v>320</v>
      </c>
      <c r="AB98" s="5">
        <f t="shared" si="44"/>
        <v>96</v>
      </c>
      <c r="AC98" s="5">
        <f t="shared" si="45"/>
        <v>1096</v>
      </c>
      <c r="AD98" s="97" t="str">
        <f t="shared" si="34"/>
        <v>112c</v>
      </c>
      <c r="AE98" s="5" t="str">
        <f t="shared" si="35"/>
        <v>Graeme Richard  DOWNES (1961 - )</v>
      </c>
      <c r="AF98" s="5" t="str">
        <f t="shared" si="36"/>
        <v>Graeme DOWNES (6th &amp; 112)</v>
      </c>
      <c r="AG98" s="110" t="str">
        <f t="shared" si="37"/>
        <v>Male</v>
      </c>
      <c r="AH98" s="5" t="str">
        <f t="shared" si="38"/>
        <v>6th</v>
      </c>
      <c r="AI98" s="5" t="str">
        <f t="shared" si="39"/>
        <v>Unmarried</v>
      </c>
      <c r="AJ98" s="105" t="str">
        <f t="shared" si="46"/>
        <v>Male. b. 22/10/1961 Born at Kegworth, Leicestershire.</v>
      </c>
      <c r="AK98" s="105" t="str">
        <f t="shared" si="40"/>
        <v>b. 22/10/1961</v>
      </c>
    </row>
    <row r="99" spans="1:37" s="5" customFormat="1" ht="20">
      <c r="A99" s="5">
        <f>VLOOKUP(B99,'Loyd List 1-190 - Edit'!$P$1:$R$219,3,FALSE)</f>
        <v>55</v>
      </c>
      <c r="B99" s="5">
        <f t="shared" si="48"/>
        <v>112</v>
      </c>
      <c r="C99" s="157" t="s">
        <v>1763</v>
      </c>
      <c r="D99" s="6" t="s">
        <v>1758</v>
      </c>
      <c r="E99" s="5" t="s">
        <v>1767</v>
      </c>
      <c r="F99" s="5" t="s">
        <v>1768</v>
      </c>
      <c r="I99" s="5">
        <f t="shared" si="41"/>
        <v>1963</v>
      </c>
      <c r="J99" s="5" t="str">
        <f t="shared" si="42"/>
        <v/>
      </c>
      <c r="K99" s="152"/>
      <c r="L99" s="7" t="str">
        <f t="shared" si="43"/>
        <v>21/03/1963</v>
      </c>
      <c r="M99" s="8">
        <v>23091</v>
      </c>
      <c r="N99" s="7"/>
      <c r="O99" s="7"/>
      <c r="P99" s="181" t="str">
        <f t="shared" si="29"/>
        <v/>
      </c>
      <c r="Q99" s="153" t="str">
        <f t="shared" si="47"/>
        <v>112</v>
      </c>
      <c r="R99" s="180" t="str">
        <f t="shared" si="30"/>
        <v/>
      </c>
      <c r="S99" s="25" t="s">
        <v>3244</v>
      </c>
      <c r="T99" s="5">
        <f t="shared" si="31"/>
        <v>6</v>
      </c>
      <c r="U99" s="5">
        <f t="shared" si="32"/>
        <v>4</v>
      </c>
      <c r="V99" s="5">
        <f>VLOOKUP(B99,'Loyd List 1-190 - Edit'!$A$2:$B$220,2,FALSE)</f>
        <v>5</v>
      </c>
      <c r="W99" s="155">
        <f t="shared" si="33"/>
        <v>1</v>
      </c>
      <c r="X99" s="105"/>
      <c r="Y99" s="105"/>
      <c r="Z99" s="164" t="s">
        <v>2766</v>
      </c>
      <c r="AA99" s="6">
        <v>321</v>
      </c>
      <c r="AB99" s="5">
        <f t="shared" si="44"/>
        <v>97</v>
      </c>
      <c r="AC99" s="5">
        <f t="shared" si="45"/>
        <v>1097</v>
      </c>
      <c r="AD99" s="97" t="str">
        <f t="shared" si="34"/>
        <v>112d</v>
      </c>
      <c r="AE99" s="5" t="str">
        <f t="shared" si="35"/>
        <v>Lesley Karen  DOWNES (1963 - )</v>
      </c>
      <c r="AF99" s="5" t="str">
        <f t="shared" si="36"/>
        <v>Lesley DOWNES (6th &amp; 112)</v>
      </c>
      <c r="AG99" s="110" t="str">
        <f t="shared" si="37"/>
        <v>Female</v>
      </c>
      <c r="AH99" s="5" t="str">
        <f t="shared" si="38"/>
        <v>6th</v>
      </c>
      <c r="AI99" s="5" t="str">
        <f t="shared" ref="AI99:AI130" si="49">IF(X99="","Unmarried",IF(AG99="Male",_xlfn.CONCAT("Wife: ",X99,". ",Y99),_xlfn.CONCAT("Husband: ",X99,". ",Y99)))</f>
        <v>Unmarried</v>
      </c>
      <c r="AJ99" s="105" t="str">
        <f t="shared" si="46"/>
        <v>Female. b. 21/03/1963 Born at Kegworth, Leicestershire.</v>
      </c>
      <c r="AK99" s="105" t="str">
        <f t="shared" si="40"/>
        <v>b. 21/03/1963</v>
      </c>
    </row>
    <row r="100" spans="1:37" s="5" customFormat="1" ht="51">
      <c r="A100" s="5">
        <f>VLOOKUP(B100,'Loyd List 1-190 - Edit'!$P$1:$R$219,3,FALSE)</f>
        <v>78</v>
      </c>
      <c r="B100" s="5">
        <f t="shared" si="48"/>
        <v>115</v>
      </c>
      <c r="C100" s="157" t="s">
        <v>1773</v>
      </c>
      <c r="D100" s="6" t="s">
        <v>1770</v>
      </c>
      <c r="E100" s="5" t="s">
        <v>1771</v>
      </c>
      <c r="F100" s="5" t="s">
        <v>1772</v>
      </c>
      <c r="G100" s="5" t="s">
        <v>1654</v>
      </c>
      <c r="I100" s="5">
        <f t="shared" ref="I100:I131" si="50">IF(L100="","",VALUE(RIGHT(L100,4)))</f>
        <v>1964</v>
      </c>
      <c r="J100" s="5" t="str">
        <f t="shared" ref="J100:J131" si="51">IF(O100="","",VALUE(RIGHT(TEXT(O100,"dd/mm/yyyy"),4)))</f>
        <v/>
      </c>
      <c r="K100" s="152"/>
      <c r="L100" s="7" t="str">
        <f t="shared" ref="L100:L131" si="52">IF(M100="","",TEXT(M100,"dd/mm/yyyy"))</f>
        <v>27/09/1964</v>
      </c>
      <c r="M100" s="8">
        <v>23647</v>
      </c>
      <c r="N100" s="7">
        <v>33516</v>
      </c>
      <c r="O100" s="7"/>
      <c r="P100" s="181" t="str">
        <f t="shared" si="29"/>
        <v/>
      </c>
      <c r="Q100" s="153" t="str">
        <f t="shared" si="47"/>
        <v>115</v>
      </c>
      <c r="R100" s="180" t="str">
        <f t="shared" si="30"/>
        <v/>
      </c>
      <c r="S100" s="25" t="s">
        <v>3244</v>
      </c>
      <c r="T100" s="5">
        <f t="shared" si="31"/>
        <v>6</v>
      </c>
      <c r="U100" s="5">
        <f t="shared" si="32"/>
        <v>4</v>
      </c>
      <c r="V100" s="5">
        <f>VLOOKUP(B100,'Loyd List 1-190 - Edit'!$A$2:$B$220,2,FALSE)</f>
        <v>5</v>
      </c>
      <c r="W100" s="155">
        <f t="shared" si="33"/>
        <v>1</v>
      </c>
      <c r="X100" s="105" t="s">
        <v>2768</v>
      </c>
      <c r="Y100" s="164" t="s">
        <v>2769</v>
      </c>
      <c r="Z100" s="164" t="s">
        <v>2767</v>
      </c>
      <c r="AA100" s="6">
        <v>322</v>
      </c>
      <c r="AB100" s="5">
        <f t="shared" ref="AB100:AB131" si="53">AB99+1</f>
        <v>98</v>
      </c>
      <c r="AC100" s="5">
        <f t="shared" si="45"/>
        <v>1098</v>
      </c>
      <c r="AD100" s="97" t="str">
        <f t="shared" si="34"/>
        <v>115a</v>
      </c>
      <c r="AE100" s="5" t="str">
        <f t="shared" si="35"/>
        <v>The Hon Isabel Alicia Clare CROSSLEY (1964 - )</v>
      </c>
      <c r="AF100" s="5" t="str">
        <f t="shared" si="36"/>
        <v>The Hon Isabel CROSSLEY (6th &amp; 115)</v>
      </c>
      <c r="AG100" s="110" t="str">
        <f t="shared" si="37"/>
        <v>Female</v>
      </c>
      <c r="AH100" s="5" t="str">
        <f t="shared" si="38"/>
        <v>6th</v>
      </c>
      <c r="AI100" s="5" t="str">
        <f t="shared" si="49"/>
        <v>Husband: Mark CATOR (b. 30/10/1960, d. ). Mark 2nd son of Francis CATOR of Ranworth, Norfolk.</v>
      </c>
      <c r="AJ100" s="105" t="str">
        <f t="shared" si="46"/>
        <v>Female. b. 27/09/1964 Baptised at St Mary’s, Somerleyton. Educated Felixtowe College, and Cambridge Polytechnic/Anglia University (BA European Philosophy and Spanish).</v>
      </c>
      <c r="AK100" s="105" t="str">
        <f t="shared" si="40"/>
        <v>b. 27/09/1964</v>
      </c>
    </row>
    <row r="101" spans="1:37" s="5" customFormat="1" ht="52">
      <c r="A101" s="5">
        <f>VLOOKUP(B101,'Loyd List 1-190 - Edit'!$P$1:$R$219,3,FALSE)</f>
        <v>78</v>
      </c>
      <c r="B101" s="5">
        <f t="shared" si="48"/>
        <v>115</v>
      </c>
      <c r="C101" s="157" t="s">
        <v>1780</v>
      </c>
      <c r="D101" s="6" t="s">
        <v>1770</v>
      </c>
      <c r="E101" s="5" t="s">
        <v>1779</v>
      </c>
      <c r="F101" s="5" t="s">
        <v>870</v>
      </c>
      <c r="G101" s="5" t="s">
        <v>1775</v>
      </c>
      <c r="I101" s="5">
        <f t="shared" si="50"/>
        <v>1967</v>
      </c>
      <c r="J101" s="5" t="str">
        <f t="shared" si="51"/>
        <v/>
      </c>
      <c r="K101" s="152"/>
      <c r="L101" s="7" t="str">
        <f t="shared" si="52"/>
        <v>27/06/1967</v>
      </c>
      <c r="M101" s="8">
        <v>24650</v>
      </c>
      <c r="N101" s="7">
        <v>34125</v>
      </c>
      <c r="O101" s="7"/>
      <c r="P101" s="181" t="str">
        <f t="shared" si="29"/>
        <v/>
      </c>
      <c r="Q101" s="153" t="str">
        <f t="shared" si="47"/>
        <v>115</v>
      </c>
      <c r="R101" s="180" t="str">
        <f t="shared" si="30"/>
        <v/>
      </c>
      <c r="S101" s="25" t="s">
        <v>3244</v>
      </c>
      <c r="T101" s="5">
        <f t="shared" si="31"/>
        <v>6</v>
      </c>
      <c r="U101" s="5">
        <f t="shared" si="32"/>
        <v>4</v>
      </c>
      <c r="V101" s="5">
        <f>VLOOKUP(B101,'Loyd List 1-190 - Edit'!$A$2:$B$220,2,FALSE)</f>
        <v>5</v>
      </c>
      <c r="W101" s="155">
        <f t="shared" si="33"/>
        <v>1</v>
      </c>
      <c r="X101" s="105" t="s">
        <v>2771</v>
      </c>
      <c r="Y101" s="164" t="s">
        <v>2772</v>
      </c>
      <c r="Z101" s="164" t="s">
        <v>2770</v>
      </c>
      <c r="AA101" s="6">
        <v>326</v>
      </c>
      <c r="AB101" s="5">
        <f t="shared" si="53"/>
        <v>99</v>
      </c>
      <c r="AC101" s="5">
        <f t="shared" si="45"/>
        <v>1099</v>
      </c>
      <c r="AD101" s="97" t="str">
        <f t="shared" si="34"/>
        <v>115b</v>
      </c>
      <c r="AE101" s="5" t="str">
        <f t="shared" si="35"/>
        <v>The Hon Camilla Mary Lara CROSSLEY (1967 - )</v>
      </c>
      <c r="AF101" s="5" t="str">
        <f t="shared" si="36"/>
        <v>The Hon Camilla CROSSLEY (6th &amp; 115)</v>
      </c>
      <c r="AG101" s="110" t="str">
        <f t="shared" si="37"/>
        <v>Female</v>
      </c>
      <c r="AH101" s="5" t="str">
        <f t="shared" si="38"/>
        <v>6th</v>
      </c>
      <c r="AI101" s="5" t="str">
        <f t="shared" si="49"/>
        <v>Husband: William (Sandy) SOAMES (b. 30/01/1960, ). Sandy eldest son of Robin SOAMES of Toppesfield, Essex.</v>
      </c>
      <c r="AJ101" s="105" t="str">
        <f t="shared" si="46"/>
        <v>Female. b. 27/06/1967 Baptised at St Mary’s, Somerleyton. Educated Runton Hill, and abroad.</v>
      </c>
      <c r="AK101" s="105" t="str">
        <f t="shared" si="40"/>
        <v>b. 27/06/1967</v>
      </c>
    </row>
    <row r="102" spans="1:37" s="5" customFormat="1" ht="35">
      <c r="A102" s="5">
        <f>VLOOKUP(B102,'Loyd List 1-190 - Edit'!$P$1:$R$219,3,FALSE)</f>
        <v>78</v>
      </c>
      <c r="B102" s="5">
        <f t="shared" si="48"/>
        <v>115</v>
      </c>
      <c r="C102" s="157" t="s">
        <v>1787</v>
      </c>
      <c r="D102" s="6" t="s">
        <v>1770</v>
      </c>
      <c r="E102" s="5" t="s">
        <v>1785</v>
      </c>
      <c r="F102" s="5" t="s">
        <v>1786</v>
      </c>
      <c r="G102" s="5" t="s">
        <v>892</v>
      </c>
      <c r="I102" s="5">
        <f t="shared" si="50"/>
        <v>1969</v>
      </c>
      <c r="J102" s="5" t="str">
        <f t="shared" si="51"/>
        <v/>
      </c>
      <c r="K102" s="152"/>
      <c r="L102" s="7" t="str">
        <f t="shared" si="52"/>
        <v>09/04/1969</v>
      </c>
      <c r="M102" s="8">
        <v>25302</v>
      </c>
      <c r="N102" s="7">
        <v>36127</v>
      </c>
      <c r="O102" s="7"/>
      <c r="P102" s="181" t="str">
        <f t="shared" si="29"/>
        <v/>
      </c>
      <c r="Q102" s="153" t="str">
        <f t="shared" si="47"/>
        <v>115</v>
      </c>
      <c r="R102" s="180" t="str">
        <f t="shared" si="30"/>
        <v/>
      </c>
      <c r="S102" s="25" t="s">
        <v>3244</v>
      </c>
      <c r="T102" s="5">
        <f t="shared" si="31"/>
        <v>6</v>
      </c>
      <c r="U102" s="5">
        <f t="shared" si="32"/>
        <v>4</v>
      </c>
      <c r="V102" s="5">
        <f>VLOOKUP(B102,'Loyd List 1-190 - Edit'!$A$2:$B$220,2,FALSE)</f>
        <v>5</v>
      </c>
      <c r="W102" s="155">
        <f t="shared" si="33"/>
        <v>1</v>
      </c>
      <c r="X102" s="105" t="s">
        <v>1788</v>
      </c>
      <c r="Y102" s="164" t="s">
        <v>2774</v>
      </c>
      <c r="Z102" s="164" t="s">
        <v>2773</v>
      </c>
      <c r="AA102" s="6">
        <v>330</v>
      </c>
      <c r="AB102" s="5">
        <f t="shared" si="53"/>
        <v>100</v>
      </c>
      <c r="AC102" s="5">
        <f t="shared" si="45"/>
        <v>1100</v>
      </c>
      <c r="AD102" s="97" t="str">
        <f t="shared" si="34"/>
        <v>115c</v>
      </c>
      <c r="AE102" s="5" t="str">
        <f t="shared" si="35"/>
        <v>The Hon Alicia Phyllis Belinda CROSSLEY (1969 - )</v>
      </c>
      <c r="AF102" s="5" t="str">
        <f t="shared" si="36"/>
        <v>The Hon Alicia CROSSLEY (6th &amp; 115)</v>
      </c>
      <c r="AG102" s="110" t="str">
        <f t="shared" si="37"/>
        <v>Female</v>
      </c>
      <c r="AH102" s="5" t="str">
        <f t="shared" si="38"/>
        <v>6th</v>
      </c>
      <c r="AI102" s="5" t="str">
        <f t="shared" si="49"/>
        <v>Husband: Robert (Bobby) PAWSON. Bobby only son of Michael PAWSON</v>
      </c>
      <c r="AJ102" s="105" t="str">
        <f t="shared" si="46"/>
        <v>Female. b. 09/04/1969 Baptised at St Mary’s, Somerleyton. Educated St George’s, Ascot and Newcastle University (BA Geography).</v>
      </c>
      <c r="AK102" s="105" t="str">
        <f t="shared" si="40"/>
        <v>b. 09/04/1969</v>
      </c>
    </row>
    <row r="103" spans="1:37" s="5" customFormat="1" ht="34">
      <c r="A103" s="5">
        <f>VLOOKUP(B103,'Loyd List 1-190 - Edit'!$P$1:$R$219,3,FALSE)</f>
        <v>78</v>
      </c>
      <c r="B103" s="5">
        <f t="shared" si="48"/>
        <v>115</v>
      </c>
      <c r="C103" s="157" t="s">
        <v>1791</v>
      </c>
      <c r="D103" s="6" t="s">
        <v>1770</v>
      </c>
      <c r="E103" s="5" t="s">
        <v>1789</v>
      </c>
      <c r="F103" s="5" t="s">
        <v>848</v>
      </c>
      <c r="G103" s="5" t="s">
        <v>1790</v>
      </c>
      <c r="I103" s="5">
        <f t="shared" si="50"/>
        <v>1971</v>
      </c>
      <c r="J103" s="5" t="str">
        <f t="shared" si="51"/>
        <v/>
      </c>
      <c r="K103" s="152"/>
      <c r="L103" s="7" t="str">
        <f t="shared" si="52"/>
        <v>27/09/1971</v>
      </c>
      <c r="M103" s="8">
        <v>26203</v>
      </c>
      <c r="N103" s="7"/>
      <c r="O103" s="7"/>
      <c r="P103" s="181" t="str">
        <f t="shared" si="29"/>
        <v/>
      </c>
      <c r="Q103" s="153" t="str">
        <f t="shared" si="47"/>
        <v>115</v>
      </c>
      <c r="R103" s="180" t="str">
        <f t="shared" si="30"/>
        <v/>
      </c>
      <c r="S103" s="25" t="s">
        <v>3245</v>
      </c>
      <c r="T103" s="5">
        <f t="shared" si="31"/>
        <v>6</v>
      </c>
      <c r="U103" s="5">
        <f t="shared" si="32"/>
        <v>4</v>
      </c>
      <c r="V103" s="5">
        <f>VLOOKUP(B103,'Loyd List 1-190 - Edit'!$A$2:$B$220,2,FALSE)</f>
        <v>5</v>
      </c>
      <c r="W103" s="155">
        <f t="shared" si="33"/>
        <v>1</v>
      </c>
      <c r="X103" s="105" t="s">
        <v>3685</v>
      </c>
      <c r="Y103" s="105"/>
      <c r="Z103" s="164" t="s">
        <v>2775</v>
      </c>
      <c r="AA103" s="6">
        <v>331</v>
      </c>
      <c r="AB103" s="5">
        <f t="shared" si="53"/>
        <v>101</v>
      </c>
      <c r="AC103" s="5">
        <f t="shared" si="45"/>
        <v>1101</v>
      </c>
      <c r="AD103" s="97" t="str">
        <f t="shared" si="34"/>
        <v>115d</v>
      </c>
      <c r="AE103" s="5" t="str">
        <f t="shared" si="35"/>
        <v>The Hon Hugh Francis Savile CROSSLEY (1971 - )</v>
      </c>
      <c r="AF103" s="5" t="str">
        <f t="shared" si="36"/>
        <v>The Hon Hugh CROSSLEY (6th &amp; 115)</v>
      </c>
      <c r="AG103" s="110" t="str">
        <f t="shared" si="37"/>
        <v>Male</v>
      </c>
      <c r="AH103" s="5" t="str">
        <f t="shared" si="38"/>
        <v>6th</v>
      </c>
      <c r="AI103" s="5" t="str">
        <f t="shared" si="49"/>
        <v xml:space="preserve">Wife: Lara BAILEY. </v>
      </c>
      <c r="AJ103" s="105" t="str">
        <f t="shared" si="46"/>
        <v>Male. b. 27/09/1971 Baptised at St Mary’s, Somerleyton. Educated Eton 1985-89 and Anglia University (BA History).</v>
      </c>
      <c r="AK103" s="105" t="str">
        <f t="shared" si="40"/>
        <v>b. 27/09/1971</v>
      </c>
    </row>
    <row r="104" spans="1:37" s="5" customFormat="1" ht="34">
      <c r="A104" s="5">
        <f>VLOOKUP(B104,'Loyd List 1-190 - Edit'!$P$1:$R$219,3,FALSE)</f>
        <v>78</v>
      </c>
      <c r="B104" s="5">
        <f t="shared" si="48"/>
        <v>115</v>
      </c>
      <c r="C104" s="157" t="s">
        <v>1793</v>
      </c>
      <c r="D104" s="6" t="s">
        <v>1770</v>
      </c>
      <c r="E104" s="5" t="s">
        <v>1792</v>
      </c>
      <c r="F104" s="5" t="s">
        <v>824</v>
      </c>
      <c r="I104" s="5">
        <f t="shared" si="50"/>
        <v>1974</v>
      </c>
      <c r="J104" s="5" t="str">
        <f t="shared" si="51"/>
        <v/>
      </c>
      <c r="K104" s="152"/>
      <c r="L104" s="7" t="str">
        <f t="shared" si="52"/>
        <v>09/02/1974</v>
      </c>
      <c r="M104" s="8">
        <v>27069</v>
      </c>
      <c r="N104" s="7"/>
      <c r="O104" s="7"/>
      <c r="P104" s="181" t="str">
        <f t="shared" si="29"/>
        <v/>
      </c>
      <c r="Q104" s="153" t="str">
        <f t="shared" si="47"/>
        <v>115</v>
      </c>
      <c r="R104" s="180" t="str">
        <f t="shared" si="30"/>
        <v/>
      </c>
      <c r="S104" s="25" t="s">
        <v>3244</v>
      </c>
      <c r="T104" s="5">
        <f t="shared" si="31"/>
        <v>6</v>
      </c>
      <c r="U104" s="5">
        <f t="shared" si="32"/>
        <v>4</v>
      </c>
      <c r="V104" s="5">
        <f>VLOOKUP(B104,'Loyd List 1-190 - Edit'!$A$2:$B$220,2,FALSE)</f>
        <v>5</v>
      </c>
      <c r="W104" s="155">
        <f t="shared" si="33"/>
        <v>1</v>
      </c>
      <c r="X104" s="105"/>
      <c r="Y104" s="105"/>
      <c r="Z104" s="164" t="s">
        <v>2776</v>
      </c>
      <c r="AA104" s="6">
        <v>332</v>
      </c>
      <c r="AB104" s="5">
        <f t="shared" si="53"/>
        <v>102</v>
      </c>
      <c r="AC104" s="5">
        <f t="shared" si="45"/>
        <v>1102</v>
      </c>
      <c r="AD104" s="97" t="str">
        <f t="shared" si="34"/>
        <v>115e</v>
      </c>
      <c r="AE104" s="5" t="str">
        <f t="shared" si="35"/>
        <v>The Hon Bridget Vivian  CROSSLEY (1974 - )</v>
      </c>
      <c r="AF104" s="5" t="str">
        <f t="shared" si="36"/>
        <v>The Hon Bridget CROSSLEY (6th &amp; 115)</v>
      </c>
      <c r="AG104" s="110" t="str">
        <f t="shared" si="37"/>
        <v>Female</v>
      </c>
      <c r="AH104" s="5" t="str">
        <f t="shared" si="38"/>
        <v>6th</v>
      </c>
      <c r="AI104" s="5" t="str">
        <f t="shared" si="49"/>
        <v>Unmarried</v>
      </c>
      <c r="AJ104" s="105" t="str">
        <f t="shared" si="46"/>
        <v>Female. b. 09/02/1974 Baptised at St Mary’s, Somerleyton. Educated Downe House, Newbury and Wimbledon College of Art (BA Theatre Design).</v>
      </c>
      <c r="AK104" s="105" t="str">
        <f t="shared" si="40"/>
        <v>b. 09/02/1974</v>
      </c>
    </row>
    <row r="105" spans="1:37" s="5" customFormat="1" ht="20">
      <c r="A105" s="5">
        <f>VLOOKUP(B105,'Loyd List 1-190 - Edit'!$P$1:$R$219,3,FALSE)</f>
        <v>55</v>
      </c>
      <c r="B105" s="5">
        <f t="shared" si="48"/>
        <v>116</v>
      </c>
      <c r="C105" s="157" t="s">
        <v>1798</v>
      </c>
      <c r="D105" s="6" t="s">
        <v>1795</v>
      </c>
      <c r="E105" s="5" t="s">
        <v>1796</v>
      </c>
      <c r="I105" s="5">
        <f t="shared" si="50"/>
        <v>1970</v>
      </c>
      <c r="J105" s="5">
        <f t="shared" si="51"/>
        <v>1970</v>
      </c>
      <c r="K105" s="152"/>
      <c r="L105" s="7" t="str">
        <f t="shared" si="52"/>
        <v>19/01/1970</v>
      </c>
      <c r="M105" s="8">
        <v>25587</v>
      </c>
      <c r="N105" s="7" t="s">
        <v>1797</v>
      </c>
      <c r="O105" s="7">
        <v>25587</v>
      </c>
      <c r="P105" s="181" t="str">
        <f t="shared" si="29"/>
        <v>19/01/1970</v>
      </c>
      <c r="Q105" s="153" t="str">
        <f t="shared" si="47"/>
        <v>116</v>
      </c>
      <c r="R105" s="180" t="str">
        <f t="shared" si="30"/>
        <v>19/01/1970</v>
      </c>
      <c r="S105" s="25" t="s">
        <v>3245</v>
      </c>
      <c r="T105" s="5">
        <f t="shared" si="31"/>
        <v>6</v>
      </c>
      <c r="U105" s="5">
        <f t="shared" si="32"/>
        <v>4</v>
      </c>
      <c r="V105" s="5">
        <f>VLOOKUP(B105,'Loyd List 1-190 - Edit'!$A$2:$B$220,2,FALSE)</f>
        <v>5</v>
      </c>
      <c r="W105" s="155">
        <f t="shared" si="33"/>
        <v>1</v>
      </c>
      <c r="X105" s="105"/>
      <c r="Y105" s="105"/>
      <c r="Z105" s="164" t="s">
        <v>2777</v>
      </c>
      <c r="AA105" s="6">
        <v>333</v>
      </c>
      <c r="AB105" s="5">
        <f t="shared" si="53"/>
        <v>103</v>
      </c>
      <c r="AC105" s="5">
        <f t="shared" si="45"/>
        <v>1103</v>
      </c>
      <c r="AD105" s="97" t="str">
        <f t="shared" si="34"/>
        <v>116a</v>
      </c>
      <c r="AE105" s="5" t="str">
        <f t="shared" si="35"/>
        <v>Carl   CLULOW (1970 - 1970)</v>
      </c>
      <c r="AF105" s="5" t="str">
        <f t="shared" si="36"/>
        <v>Carl CLULOW (6th &amp; 116)</v>
      </c>
      <c r="AG105" s="110" t="str">
        <f t="shared" si="37"/>
        <v>Male</v>
      </c>
      <c r="AH105" s="5" t="str">
        <f t="shared" si="38"/>
        <v>6th</v>
      </c>
      <c r="AI105" s="5" t="str">
        <f t="shared" si="49"/>
        <v>Unmarried</v>
      </c>
      <c r="AJ105" s="105" t="str">
        <f t="shared" si="46"/>
        <v>Male. b. 19/01/1970, d. 19/01/1970. Born and baptised 19 Jan 1970, died. 19 Jan 1970.</v>
      </c>
      <c r="AK105" s="105" t="str">
        <f t="shared" si="40"/>
        <v>b. 19/01/1970, d. 19/01/1970.</v>
      </c>
    </row>
    <row r="106" spans="1:37" s="5" customFormat="1" ht="34">
      <c r="A106" s="5">
        <f>VLOOKUP(B106,'Loyd List 1-190 - Edit'!$P$1:$R$219,3,FALSE)</f>
        <v>55</v>
      </c>
      <c r="B106" s="5">
        <f t="shared" si="48"/>
        <v>116</v>
      </c>
      <c r="C106" s="157" t="s">
        <v>1799</v>
      </c>
      <c r="D106" s="6" t="s">
        <v>1795</v>
      </c>
      <c r="E106" s="5" t="s">
        <v>985</v>
      </c>
      <c r="I106" s="5">
        <f t="shared" si="50"/>
        <v>1971</v>
      </c>
      <c r="J106" s="5" t="str">
        <f t="shared" si="51"/>
        <v/>
      </c>
      <c r="K106" s="152"/>
      <c r="L106" s="7" t="str">
        <f t="shared" si="52"/>
        <v>12/08/1971</v>
      </c>
      <c r="M106" s="8">
        <v>26157</v>
      </c>
      <c r="N106" s="7"/>
      <c r="O106" s="7"/>
      <c r="P106" s="181" t="str">
        <f t="shared" si="29"/>
        <v/>
      </c>
      <c r="Q106" s="153" t="str">
        <f t="shared" si="47"/>
        <v>116</v>
      </c>
      <c r="R106" s="180" t="str">
        <f t="shared" si="30"/>
        <v/>
      </c>
      <c r="S106" s="25" t="s">
        <v>3244</v>
      </c>
      <c r="T106" s="5">
        <f t="shared" si="31"/>
        <v>6</v>
      </c>
      <c r="U106" s="5">
        <f t="shared" si="32"/>
        <v>4</v>
      </c>
      <c r="V106" s="5">
        <f>VLOOKUP(B106,'Loyd List 1-190 - Edit'!$A$2:$B$220,2,FALSE)</f>
        <v>5</v>
      </c>
      <c r="W106" s="155">
        <f t="shared" si="33"/>
        <v>1</v>
      </c>
      <c r="X106" s="105"/>
      <c r="Y106" s="105"/>
      <c r="Z106" s="164" t="s">
        <v>2778</v>
      </c>
      <c r="AA106" s="6">
        <v>334</v>
      </c>
      <c r="AB106" s="5">
        <f t="shared" si="53"/>
        <v>104</v>
      </c>
      <c r="AC106" s="5">
        <f t="shared" si="45"/>
        <v>1104</v>
      </c>
      <c r="AD106" s="97" t="str">
        <f t="shared" si="34"/>
        <v>116b</v>
      </c>
      <c r="AE106" s="5" t="str">
        <f t="shared" si="35"/>
        <v>Kate   CLULOW (1971 - )</v>
      </c>
      <c r="AF106" s="5" t="str">
        <f t="shared" si="36"/>
        <v>Kate CLULOW (6th &amp; 116)</v>
      </c>
      <c r="AG106" s="110" t="str">
        <f t="shared" si="37"/>
        <v>Female</v>
      </c>
      <c r="AH106" s="5" t="str">
        <f t="shared" si="38"/>
        <v>6th</v>
      </c>
      <c r="AI106" s="5" t="str">
        <f t="shared" si="49"/>
        <v>Unmarried</v>
      </c>
      <c r="AJ106" s="105" t="str">
        <f t="shared" si="46"/>
        <v>Female. b. 12/08/1971 Born at Chichester, Sussex. Baptised 28 Nov 1971 at Cockington, Torquay, Devon.</v>
      </c>
      <c r="AK106" s="105" t="str">
        <f t="shared" si="40"/>
        <v>b. 12/08/1971</v>
      </c>
    </row>
    <row r="107" spans="1:37" s="5" customFormat="1" ht="34">
      <c r="A107" s="5">
        <f>VLOOKUP(B107,'Loyd List 1-190 - Edit'!$P$1:$R$219,3,FALSE)</f>
        <v>55</v>
      </c>
      <c r="B107" s="5">
        <f t="shared" si="48"/>
        <v>116</v>
      </c>
      <c r="C107" s="157" t="s">
        <v>1800</v>
      </c>
      <c r="D107" s="6" t="s">
        <v>1795</v>
      </c>
      <c r="E107" s="5" t="s">
        <v>1654</v>
      </c>
      <c r="I107" s="5">
        <f t="shared" si="50"/>
        <v>1973</v>
      </c>
      <c r="J107" s="5" t="str">
        <f t="shared" si="51"/>
        <v/>
      </c>
      <c r="K107" s="152"/>
      <c r="L107" s="7" t="str">
        <f t="shared" si="52"/>
        <v>30/03/1973</v>
      </c>
      <c r="M107" s="8">
        <v>26753</v>
      </c>
      <c r="N107" s="7"/>
      <c r="O107" s="7"/>
      <c r="P107" s="181" t="str">
        <f t="shared" si="29"/>
        <v/>
      </c>
      <c r="Q107" s="153" t="str">
        <f t="shared" si="47"/>
        <v>116</v>
      </c>
      <c r="R107" s="180" t="str">
        <f t="shared" si="30"/>
        <v/>
      </c>
      <c r="S107" s="25" t="s">
        <v>3244</v>
      </c>
      <c r="T107" s="5">
        <f t="shared" si="31"/>
        <v>6</v>
      </c>
      <c r="U107" s="5">
        <f t="shared" si="32"/>
        <v>4</v>
      </c>
      <c r="V107" s="5">
        <f>VLOOKUP(B107,'Loyd List 1-190 - Edit'!$A$2:$B$220,2,FALSE)</f>
        <v>5</v>
      </c>
      <c r="W107" s="155">
        <f t="shared" si="33"/>
        <v>1</v>
      </c>
      <c r="X107" s="105"/>
      <c r="Y107" s="105"/>
      <c r="Z107" s="164" t="s">
        <v>2779</v>
      </c>
      <c r="AA107" s="6">
        <v>335</v>
      </c>
      <c r="AB107" s="5">
        <f t="shared" si="53"/>
        <v>105</v>
      </c>
      <c r="AC107" s="5">
        <f t="shared" si="45"/>
        <v>1105</v>
      </c>
      <c r="AD107" s="97" t="str">
        <f t="shared" si="34"/>
        <v>116c</v>
      </c>
      <c r="AE107" s="5" t="str">
        <f t="shared" si="35"/>
        <v>Clare   CLULOW (1973 - )</v>
      </c>
      <c r="AF107" s="5" t="str">
        <f t="shared" si="36"/>
        <v>Clare CLULOW (6th &amp; 116)</v>
      </c>
      <c r="AG107" s="110" t="str">
        <f t="shared" si="37"/>
        <v>Female</v>
      </c>
      <c r="AH107" s="5" t="str">
        <f t="shared" si="38"/>
        <v>6th</v>
      </c>
      <c r="AI107" s="5" t="str">
        <f t="shared" si="49"/>
        <v>Unmarried</v>
      </c>
      <c r="AJ107" s="105" t="str">
        <f t="shared" si="46"/>
        <v>Female. b. 30/03/1973 Born at Chichester, Sussex. Baptised 1 Jul 1973 at St Peter’s, Selsey, Sussex.</v>
      </c>
      <c r="AK107" s="105" t="str">
        <f t="shared" si="40"/>
        <v>b. 30/03/1973</v>
      </c>
    </row>
    <row r="108" spans="1:37" s="5" customFormat="1" ht="52">
      <c r="A108" s="5">
        <f>VLOOKUP(B108,'Loyd List 1-190 - Edit'!$P$1:$R$219,3,FALSE)</f>
        <v>89</v>
      </c>
      <c r="B108" s="5">
        <f t="shared" si="48"/>
        <v>123</v>
      </c>
      <c r="C108" s="157" t="s">
        <v>1806</v>
      </c>
      <c r="D108" s="6" t="s">
        <v>1803</v>
      </c>
      <c r="E108" s="5" t="s">
        <v>907</v>
      </c>
      <c r="F108" s="5" t="s">
        <v>922</v>
      </c>
      <c r="G108" s="5" t="s">
        <v>1497</v>
      </c>
      <c r="I108" s="5">
        <f t="shared" si="50"/>
        <v>1978</v>
      </c>
      <c r="J108" s="5" t="str">
        <f t="shared" si="51"/>
        <v/>
      </c>
      <c r="K108" s="152"/>
      <c r="L108" s="7" t="str">
        <f t="shared" si="52"/>
        <v>06/09/1978</v>
      </c>
      <c r="M108" s="8">
        <v>28739</v>
      </c>
      <c r="N108" s="7"/>
      <c r="O108" s="7"/>
      <c r="P108" s="181" t="str">
        <f t="shared" si="29"/>
        <v/>
      </c>
      <c r="Q108" s="153" t="str">
        <f t="shared" si="47"/>
        <v>123</v>
      </c>
      <c r="R108" s="180" t="str">
        <f t="shared" si="30"/>
        <v/>
      </c>
      <c r="S108" s="25" t="s">
        <v>3244</v>
      </c>
      <c r="T108" s="5">
        <f t="shared" si="31"/>
        <v>7</v>
      </c>
      <c r="U108" s="5">
        <f t="shared" si="32"/>
        <v>4</v>
      </c>
      <c r="V108" s="5">
        <f>VLOOKUP(B108,'Loyd List 1-190 - Edit'!$A$2:$B$220,2,FALSE)</f>
        <v>6</v>
      </c>
      <c r="W108" s="155">
        <f t="shared" si="33"/>
        <v>1</v>
      </c>
      <c r="X108" s="105" t="s">
        <v>3684</v>
      </c>
      <c r="Y108" s="164" t="s">
        <v>3695</v>
      </c>
      <c r="Z108" s="164" t="s">
        <v>3682</v>
      </c>
      <c r="AA108" s="6">
        <v>336</v>
      </c>
      <c r="AB108" s="5">
        <f t="shared" si="53"/>
        <v>106</v>
      </c>
      <c r="AC108" s="5">
        <f t="shared" si="45"/>
        <v>1106</v>
      </c>
      <c r="AD108" s="97" t="str">
        <f t="shared" si="34"/>
        <v>123a</v>
      </c>
      <c r="AE108" s="5" t="str">
        <f t="shared" si="35"/>
        <v>Katharine Jane Loyd BOSMAN (1978 - )</v>
      </c>
      <c r="AF108" s="5" t="str">
        <f t="shared" si="36"/>
        <v>Katharine BOSMAN (7th &amp; 123)</v>
      </c>
      <c r="AG108" s="110" t="str">
        <f t="shared" si="37"/>
        <v>Female</v>
      </c>
      <c r="AH108" s="5" t="str">
        <f t="shared" si="38"/>
        <v>7th</v>
      </c>
      <c r="AI108" s="5" t="str">
        <f t="shared" si="49"/>
        <v>Husband: Charles (Charlie) Christopher Stephen TALBOT. Married Charlie on 02/09/2006 at St Mary’s Church, Stoke by Nayland, Suffolk.</v>
      </c>
      <c r="AJ108" s="105" t="str">
        <f t="shared" si="46"/>
        <v>Female. b. 06/09/1978 Born at Ipswich, Suffolk. Lives in East London</v>
      </c>
      <c r="AK108" s="105" t="str">
        <f t="shared" si="40"/>
        <v>b. 06/09/1978</v>
      </c>
    </row>
    <row r="109" spans="1:37" s="5" customFormat="1" ht="52">
      <c r="A109" s="5">
        <f>VLOOKUP(B109,'Loyd List 1-190 - Edit'!$P$1:$R$219,3,FALSE)</f>
        <v>89</v>
      </c>
      <c r="B109" s="5">
        <f t="shared" si="48"/>
        <v>123</v>
      </c>
      <c r="C109" s="157" t="s">
        <v>1807</v>
      </c>
      <c r="D109" s="6" t="s">
        <v>1803</v>
      </c>
      <c r="E109" s="5" t="s">
        <v>1804</v>
      </c>
      <c r="F109" s="5" t="s">
        <v>1805</v>
      </c>
      <c r="G109" s="5" t="s">
        <v>1497</v>
      </c>
      <c r="I109" s="5">
        <f t="shared" si="50"/>
        <v>1980</v>
      </c>
      <c r="J109" s="5" t="str">
        <f t="shared" si="51"/>
        <v/>
      </c>
      <c r="K109" s="152"/>
      <c r="L109" s="7" t="str">
        <f t="shared" si="52"/>
        <v>16/12/1980</v>
      </c>
      <c r="M109" s="8">
        <v>29571</v>
      </c>
      <c r="N109" s="7"/>
      <c r="O109" s="7"/>
      <c r="P109" s="181" t="str">
        <f t="shared" si="29"/>
        <v/>
      </c>
      <c r="Q109" s="153" t="str">
        <f t="shared" si="47"/>
        <v>123</v>
      </c>
      <c r="R109" s="180" t="str">
        <f t="shared" si="30"/>
        <v/>
      </c>
      <c r="S109" s="25" t="s">
        <v>3245</v>
      </c>
      <c r="T109" s="5">
        <f t="shared" si="31"/>
        <v>7</v>
      </c>
      <c r="U109" s="5">
        <f t="shared" si="32"/>
        <v>4</v>
      </c>
      <c r="V109" s="5">
        <f>VLOOKUP(B109,'Loyd List 1-190 - Edit'!$A$2:$B$220,2,FALSE)</f>
        <v>6</v>
      </c>
      <c r="W109" s="155">
        <f t="shared" si="33"/>
        <v>1</v>
      </c>
      <c r="X109" s="105" t="s">
        <v>3693</v>
      </c>
      <c r="Y109" s="164" t="s">
        <v>3694</v>
      </c>
      <c r="Z109" s="164" t="s">
        <v>3683</v>
      </c>
      <c r="AA109" s="6">
        <v>337</v>
      </c>
      <c r="AB109" s="5">
        <f t="shared" si="53"/>
        <v>107</v>
      </c>
      <c r="AC109" s="5">
        <f t="shared" si="45"/>
        <v>1107</v>
      </c>
      <c r="AD109" s="97" t="str">
        <f t="shared" si="34"/>
        <v>123b</v>
      </c>
      <c r="AE109" s="5" t="str">
        <f t="shared" si="35"/>
        <v>Adam Terrence Loyd BOSMAN (1980 - )</v>
      </c>
      <c r="AF109" s="5" t="str">
        <f t="shared" si="36"/>
        <v>Adam BOSMAN (7th &amp; 123)</v>
      </c>
      <c r="AG109" s="110" t="str">
        <f t="shared" si="37"/>
        <v>Male</v>
      </c>
      <c r="AH109" s="5" t="str">
        <f t="shared" si="38"/>
        <v>7th</v>
      </c>
      <c r="AI109" s="5" t="str">
        <f t="shared" si="49"/>
        <v>Wife: Victoria Clare BROWN. Married Victoria on 14 June 2014 at St Mary’s Church, Godmanchester, Cambridgeshire.</v>
      </c>
      <c r="AJ109" s="105" t="str">
        <f t="shared" si="46"/>
        <v>Male. b. 16/12/1980 Born at Ipswich, Suffolk. Lives in Godmanchester.</v>
      </c>
      <c r="AK109" s="105" t="str">
        <f t="shared" si="40"/>
        <v>b. 16/12/1980</v>
      </c>
    </row>
    <row r="110" spans="1:37" s="5" customFormat="1" ht="20">
      <c r="A110" s="5">
        <f>VLOOKUP(B110,'Loyd List 1-190 - Edit'!$P$1:$R$219,3,FALSE)</f>
        <v>86</v>
      </c>
      <c r="B110" s="5">
        <f t="shared" si="48"/>
        <v>125</v>
      </c>
      <c r="C110" s="157" t="s">
        <v>1811</v>
      </c>
      <c r="D110" s="6" t="s">
        <v>1809</v>
      </c>
      <c r="E110" s="5" t="s">
        <v>920</v>
      </c>
      <c r="F110" s="5" t="s">
        <v>896</v>
      </c>
      <c r="I110" s="5">
        <f t="shared" si="50"/>
        <v>1976</v>
      </c>
      <c r="J110" s="5" t="str">
        <f t="shared" si="51"/>
        <v/>
      </c>
      <c r="K110" s="152"/>
      <c r="L110" s="7" t="str">
        <f t="shared" si="52"/>
        <v>23/07/1976</v>
      </c>
      <c r="M110" s="8">
        <v>27964</v>
      </c>
      <c r="N110" s="7"/>
      <c r="O110" s="7"/>
      <c r="P110" s="181" t="str">
        <f t="shared" si="29"/>
        <v/>
      </c>
      <c r="Q110" s="153" t="str">
        <f t="shared" ref="Q110:Q121" si="54">MID(C110,1,LEN(C110)-1)</f>
        <v>125</v>
      </c>
      <c r="R110" s="180" t="str">
        <f t="shared" si="30"/>
        <v/>
      </c>
      <c r="S110" s="25" t="s">
        <v>3245</v>
      </c>
      <c r="T110" s="5">
        <f t="shared" si="31"/>
        <v>7</v>
      </c>
      <c r="U110" s="5">
        <f t="shared" si="32"/>
        <v>4</v>
      </c>
      <c r="V110" s="5">
        <f>VLOOKUP(B110,'Loyd List 1-190 - Edit'!$A$2:$B$220,2,FALSE)</f>
        <v>6</v>
      </c>
      <c r="W110" s="155">
        <f t="shared" si="33"/>
        <v>1</v>
      </c>
      <c r="X110" s="105"/>
      <c r="Y110" s="105"/>
      <c r="Z110" s="164"/>
      <c r="AA110" s="6">
        <v>338</v>
      </c>
      <c r="AB110" s="5">
        <f t="shared" si="53"/>
        <v>108</v>
      </c>
      <c r="AC110" s="5">
        <f t="shared" si="45"/>
        <v>1108</v>
      </c>
      <c r="AD110" s="97" t="str">
        <f t="shared" si="34"/>
        <v>125a</v>
      </c>
      <c r="AE110" s="5" t="str">
        <f t="shared" si="35"/>
        <v>Bryan Patrick  HAWKEY (1976 - )</v>
      </c>
      <c r="AF110" s="5" t="str">
        <f t="shared" si="36"/>
        <v>Bryan HAWKEY (7th &amp; 125)</v>
      </c>
      <c r="AG110" s="110" t="str">
        <f t="shared" si="37"/>
        <v>Male</v>
      </c>
      <c r="AH110" s="5" t="str">
        <f t="shared" si="38"/>
        <v>7th</v>
      </c>
      <c r="AI110" s="5" t="str">
        <f t="shared" si="49"/>
        <v>Unmarried</v>
      </c>
      <c r="AJ110" s="105" t="str">
        <f t="shared" si="46"/>
        <v>Male. b. 23/07/1976</v>
      </c>
      <c r="AK110" s="105" t="str">
        <f t="shared" si="40"/>
        <v>b. 23/07/1976</v>
      </c>
    </row>
    <row r="111" spans="1:37" s="5" customFormat="1" ht="20">
      <c r="A111" s="5">
        <f>VLOOKUP(B111,'Loyd List 1-190 - Edit'!$P$1:$R$219,3,FALSE)</f>
        <v>86</v>
      </c>
      <c r="B111" s="5">
        <f t="shared" si="48"/>
        <v>125</v>
      </c>
      <c r="C111" s="157" t="s">
        <v>1812</v>
      </c>
      <c r="D111" s="6" t="s">
        <v>1809</v>
      </c>
      <c r="E111" s="5" t="s">
        <v>1810</v>
      </c>
      <c r="F111" s="5" t="s">
        <v>870</v>
      </c>
      <c r="I111" s="5">
        <f t="shared" si="50"/>
        <v>1978</v>
      </c>
      <c r="J111" s="5" t="str">
        <f t="shared" si="51"/>
        <v/>
      </c>
      <c r="K111" s="152"/>
      <c r="L111" s="7" t="str">
        <f t="shared" si="52"/>
        <v>23/05/1978</v>
      </c>
      <c r="M111" s="8">
        <v>28633</v>
      </c>
      <c r="N111" s="7"/>
      <c r="O111" s="7"/>
      <c r="P111" s="181" t="str">
        <f t="shared" si="29"/>
        <v/>
      </c>
      <c r="Q111" s="153" t="str">
        <f t="shared" si="54"/>
        <v>125</v>
      </c>
      <c r="R111" s="180" t="str">
        <f t="shared" si="30"/>
        <v/>
      </c>
      <c r="S111" s="25" t="s">
        <v>3244</v>
      </c>
      <c r="T111" s="5">
        <f t="shared" si="31"/>
        <v>7</v>
      </c>
      <c r="U111" s="5">
        <f t="shared" si="32"/>
        <v>4</v>
      </c>
      <c r="V111" s="5">
        <f>VLOOKUP(B111,'Loyd List 1-190 - Edit'!$A$2:$B$220,2,FALSE)</f>
        <v>6</v>
      </c>
      <c r="W111" s="155">
        <f t="shared" si="33"/>
        <v>1</v>
      </c>
      <c r="X111" s="105"/>
      <c r="Y111" s="105"/>
      <c r="Z111" s="164"/>
      <c r="AA111" s="6">
        <v>339</v>
      </c>
      <c r="AB111" s="5">
        <f t="shared" si="53"/>
        <v>109</v>
      </c>
      <c r="AC111" s="5">
        <f t="shared" si="45"/>
        <v>1109</v>
      </c>
      <c r="AD111" s="97" t="str">
        <f t="shared" si="34"/>
        <v>125b</v>
      </c>
      <c r="AE111" s="5" t="str">
        <f t="shared" si="35"/>
        <v>Allison Mary  HAWKEY (1978 - )</v>
      </c>
      <c r="AF111" s="5" t="str">
        <f t="shared" si="36"/>
        <v>Allison HAWKEY (7th &amp; 125)</v>
      </c>
      <c r="AG111" s="110" t="str">
        <f t="shared" si="37"/>
        <v>Female</v>
      </c>
      <c r="AH111" s="5" t="str">
        <f t="shared" si="38"/>
        <v>7th</v>
      </c>
      <c r="AI111" s="5" t="str">
        <f t="shared" si="49"/>
        <v>Unmarried</v>
      </c>
      <c r="AJ111" s="105" t="str">
        <f t="shared" si="46"/>
        <v>Female. b. 23/05/1978</v>
      </c>
      <c r="AK111" s="105" t="str">
        <f t="shared" si="40"/>
        <v>b. 23/05/1978</v>
      </c>
    </row>
    <row r="112" spans="1:37" s="5" customFormat="1" ht="34">
      <c r="A112" s="5">
        <f>VLOOKUP(B112,'Loyd List 1-190 - Edit'!$P$1:$R$219,3,FALSE)</f>
        <v>98</v>
      </c>
      <c r="B112" s="5">
        <f t="shared" si="48"/>
        <v>128</v>
      </c>
      <c r="C112" s="157" t="s">
        <v>1816</v>
      </c>
      <c r="D112" s="6" t="s">
        <v>1814</v>
      </c>
      <c r="E112" s="5" t="s">
        <v>944</v>
      </c>
      <c r="F112" s="5" t="s">
        <v>1436</v>
      </c>
      <c r="I112" s="5">
        <f t="shared" si="50"/>
        <v>1991</v>
      </c>
      <c r="J112" s="5" t="str">
        <f t="shared" si="51"/>
        <v/>
      </c>
      <c r="K112" s="152"/>
      <c r="L112" s="7" t="str">
        <f t="shared" si="52"/>
        <v>04/01/1991</v>
      </c>
      <c r="M112" s="8">
        <v>33242</v>
      </c>
      <c r="N112" s="7"/>
      <c r="O112" s="7"/>
      <c r="P112" s="181" t="str">
        <f t="shared" si="29"/>
        <v/>
      </c>
      <c r="Q112" s="153" t="str">
        <f t="shared" si="54"/>
        <v>128</v>
      </c>
      <c r="R112" s="180" t="str">
        <f t="shared" si="30"/>
        <v/>
      </c>
      <c r="S112" s="25" t="s">
        <v>3244</v>
      </c>
      <c r="T112" s="5">
        <f t="shared" si="31"/>
        <v>7</v>
      </c>
      <c r="U112" s="5">
        <f t="shared" si="32"/>
        <v>4</v>
      </c>
      <c r="V112" s="5">
        <f>VLOOKUP(B112,'Loyd List 1-190 - Edit'!$A$2:$B$220,2,FALSE)</f>
        <v>6</v>
      </c>
      <c r="W112" s="155">
        <f t="shared" si="33"/>
        <v>1</v>
      </c>
      <c r="X112" s="105"/>
      <c r="Y112" s="105"/>
      <c r="Z112" s="164" t="s">
        <v>2782</v>
      </c>
      <c r="AA112" s="6">
        <v>340</v>
      </c>
      <c r="AB112" s="5">
        <f t="shared" si="53"/>
        <v>110</v>
      </c>
      <c r="AC112" s="5">
        <f t="shared" si="45"/>
        <v>1110</v>
      </c>
      <c r="AD112" s="97" t="str">
        <f t="shared" si="34"/>
        <v>128a</v>
      </c>
      <c r="AE112" s="5" t="str">
        <f t="shared" si="35"/>
        <v>Chloe Louise  PEMBERTON (1991 - )</v>
      </c>
      <c r="AF112" s="5" t="str">
        <f t="shared" si="36"/>
        <v>Chloe PEMBERTON (7th &amp; 128)</v>
      </c>
      <c r="AG112" s="110" t="str">
        <f t="shared" si="37"/>
        <v>Female</v>
      </c>
      <c r="AH112" s="5" t="str">
        <f t="shared" si="38"/>
        <v>7th</v>
      </c>
      <c r="AI112" s="5" t="str">
        <f t="shared" si="49"/>
        <v>Unmarried</v>
      </c>
      <c r="AJ112" s="105" t="str">
        <f t="shared" si="46"/>
        <v>Female. b. 04/01/1991 Born at St Albans City Hospital. Baptised 1 Sep 1991 at St Michael’s, St Albans, Hertfordshire.</v>
      </c>
      <c r="AK112" s="105" t="str">
        <f t="shared" si="40"/>
        <v>b. 04/01/1991</v>
      </c>
    </row>
    <row r="113" spans="1:37" s="5" customFormat="1" ht="34">
      <c r="A113" s="5">
        <f>VLOOKUP(B113,'Loyd List 1-190 - Edit'!$P$1:$R$219,3,FALSE)</f>
        <v>98</v>
      </c>
      <c r="B113" s="5">
        <f t="shared" si="48"/>
        <v>128</v>
      </c>
      <c r="C113" s="157" t="s">
        <v>1817</v>
      </c>
      <c r="D113" s="6" t="s">
        <v>1814</v>
      </c>
      <c r="E113" s="5" t="s">
        <v>985</v>
      </c>
      <c r="F113" s="5" t="s">
        <v>1815</v>
      </c>
      <c r="I113" s="5">
        <f t="shared" si="50"/>
        <v>1993</v>
      </c>
      <c r="J113" s="5" t="str">
        <f t="shared" si="51"/>
        <v/>
      </c>
      <c r="K113" s="152"/>
      <c r="L113" s="7" t="str">
        <f t="shared" si="52"/>
        <v>13/08/1993</v>
      </c>
      <c r="M113" s="8">
        <v>34194</v>
      </c>
      <c r="N113" s="7"/>
      <c r="O113" s="7"/>
      <c r="P113" s="181" t="str">
        <f t="shared" si="29"/>
        <v/>
      </c>
      <c r="Q113" s="153" t="str">
        <f t="shared" si="54"/>
        <v>128</v>
      </c>
      <c r="R113" s="180" t="str">
        <f t="shared" si="30"/>
        <v/>
      </c>
      <c r="S113" s="25" t="s">
        <v>3244</v>
      </c>
      <c r="T113" s="5">
        <f t="shared" si="31"/>
        <v>7</v>
      </c>
      <c r="U113" s="5">
        <f t="shared" si="32"/>
        <v>4</v>
      </c>
      <c r="V113" s="5">
        <f>VLOOKUP(B113,'Loyd List 1-190 - Edit'!$A$2:$B$220,2,FALSE)</f>
        <v>6</v>
      </c>
      <c r="W113" s="155">
        <f t="shared" si="33"/>
        <v>1</v>
      </c>
      <c r="X113" s="105"/>
      <c r="Y113" s="105"/>
      <c r="Z113" s="164" t="s">
        <v>2783</v>
      </c>
      <c r="AA113" s="6">
        <v>341</v>
      </c>
      <c r="AB113" s="5">
        <f t="shared" si="53"/>
        <v>111</v>
      </c>
      <c r="AC113" s="5">
        <f t="shared" si="45"/>
        <v>1111</v>
      </c>
      <c r="AD113" s="97" t="str">
        <f t="shared" si="34"/>
        <v>128b</v>
      </c>
      <c r="AE113" s="5" t="str">
        <f t="shared" si="35"/>
        <v>Kate Isobel  PEMBERTON (1993 - )</v>
      </c>
      <c r="AF113" s="5" t="str">
        <f t="shared" si="36"/>
        <v>Kate PEMBERTON (7th &amp; 128)</v>
      </c>
      <c r="AG113" s="110" t="str">
        <f t="shared" si="37"/>
        <v>Female</v>
      </c>
      <c r="AH113" s="5" t="str">
        <f t="shared" si="38"/>
        <v>7th</v>
      </c>
      <c r="AI113" s="5" t="str">
        <f t="shared" si="49"/>
        <v>Unmarried</v>
      </c>
      <c r="AJ113" s="105" t="str">
        <f t="shared" si="46"/>
        <v>Female. b. 13/08/1993 Born at Hemel Hempstead General Hospital. Baptised 6 Nov 1994 at St Michael’s, Hertfordshire</v>
      </c>
      <c r="AK113" s="105" t="str">
        <f t="shared" si="40"/>
        <v>b. 13/08/1993</v>
      </c>
    </row>
    <row r="114" spans="1:37" s="5" customFormat="1" ht="20">
      <c r="A114" s="5">
        <f>VLOOKUP(B114,'Loyd List 1-190 - Edit'!$P$1:$R$219,3,FALSE)</f>
        <v>99</v>
      </c>
      <c r="B114" s="5">
        <f t="shared" si="48"/>
        <v>137</v>
      </c>
      <c r="C114" s="157" t="s">
        <v>1823</v>
      </c>
      <c r="D114" s="6" t="s">
        <v>1820</v>
      </c>
      <c r="E114" s="5" t="s">
        <v>1821</v>
      </c>
      <c r="F114" s="5" t="s">
        <v>1822</v>
      </c>
      <c r="G114" s="5" t="s">
        <v>845</v>
      </c>
      <c r="I114" s="5">
        <f t="shared" si="50"/>
        <v>1998</v>
      </c>
      <c r="J114" s="5" t="str">
        <f t="shared" si="51"/>
        <v/>
      </c>
      <c r="K114" s="152"/>
      <c r="L114" s="7" t="str">
        <f t="shared" si="52"/>
        <v>29/10/1998</v>
      </c>
      <c r="M114" s="8">
        <v>36097</v>
      </c>
      <c r="N114" s="7"/>
      <c r="O114" s="7"/>
      <c r="P114" s="181" t="str">
        <f t="shared" si="29"/>
        <v/>
      </c>
      <c r="Q114" s="153" t="str">
        <f t="shared" si="54"/>
        <v>137</v>
      </c>
      <c r="R114" s="180" t="str">
        <f t="shared" si="30"/>
        <v/>
      </c>
      <c r="S114" s="25" t="s">
        <v>3244</v>
      </c>
      <c r="T114" s="5">
        <f t="shared" si="31"/>
        <v>7</v>
      </c>
      <c r="U114" s="5">
        <f t="shared" si="32"/>
        <v>4</v>
      </c>
      <c r="V114" s="5">
        <f>VLOOKUP(B114,'Loyd List 1-190 - Edit'!$A$2:$B$220,2,FALSE)</f>
        <v>6</v>
      </c>
      <c r="W114" s="155">
        <f t="shared" si="33"/>
        <v>1</v>
      </c>
      <c r="X114" s="105"/>
      <c r="Y114" s="105"/>
      <c r="Z114" s="164" t="s">
        <v>2784</v>
      </c>
      <c r="AA114" s="6">
        <v>342</v>
      </c>
      <c r="AB114" s="5">
        <f t="shared" si="53"/>
        <v>112</v>
      </c>
      <c r="AC114" s="5">
        <f t="shared" si="45"/>
        <v>1112</v>
      </c>
      <c r="AD114" s="97" t="str">
        <f t="shared" si="34"/>
        <v>137a</v>
      </c>
      <c r="AE114" s="5" t="str">
        <f t="shared" si="35"/>
        <v>Honor Constance Virginia GELL (1998 - )</v>
      </c>
      <c r="AF114" s="5" t="str">
        <f t="shared" si="36"/>
        <v>Honor GELL (7th &amp; 137)</v>
      </c>
      <c r="AG114" s="110" t="str">
        <f t="shared" si="37"/>
        <v>Female</v>
      </c>
      <c r="AH114" s="5" t="str">
        <f t="shared" si="38"/>
        <v>7th</v>
      </c>
      <c r="AI114" s="5" t="str">
        <f t="shared" si="49"/>
        <v>Unmarried</v>
      </c>
      <c r="AJ114" s="105" t="str">
        <f t="shared" si="46"/>
        <v>Female. b. 29/10/1998 Baptised 4 Feb 1999 at St Mary Abbots’, London W8.</v>
      </c>
      <c r="AK114" s="105" t="str">
        <f t="shared" si="40"/>
        <v>b. 29/10/1998</v>
      </c>
    </row>
    <row r="115" spans="1:37" s="5" customFormat="1" ht="34">
      <c r="A115" s="5">
        <f>VLOOKUP(B115,'Loyd List 1-190 - Edit'!$P$1:$R$219,3,FALSE)</f>
        <v>78</v>
      </c>
      <c r="B115" s="5">
        <f t="shared" si="48"/>
        <v>140</v>
      </c>
      <c r="C115" s="157" t="s">
        <v>3265</v>
      </c>
      <c r="D115" s="6" t="s">
        <v>1825</v>
      </c>
      <c r="E115" s="5" t="s">
        <v>946</v>
      </c>
      <c r="F115" s="5" t="s">
        <v>952</v>
      </c>
      <c r="I115" s="5">
        <f t="shared" si="50"/>
        <v>1995</v>
      </c>
      <c r="J115" s="5" t="str">
        <f t="shared" si="51"/>
        <v/>
      </c>
      <c r="K115" s="152"/>
      <c r="L115" s="7" t="str">
        <f t="shared" si="52"/>
        <v>03/01/1995</v>
      </c>
      <c r="M115" s="8">
        <v>34702</v>
      </c>
      <c r="N115" s="7"/>
      <c r="O115" s="7"/>
      <c r="P115" s="181" t="str">
        <f t="shared" si="29"/>
        <v/>
      </c>
      <c r="Q115" s="153" t="str">
        <f t="shared" si="54"/>
        <v>140</v>
      </c>
      <c r="R115" s="180" t="str">
        <f t="shared" si="30"/>
        <v/>
      </c>
      <c r="S115" s="25" t="s">
        <v>3244</v>
      </c>
      <c r="T115" s="5">
        <f t="shared" si="31"/>
        <v>6</v>
      </c>
      <c r="U115" s="5">
        <f t="shared" si="32"/>
        <v>4</v>
      </c>
      <c r="V115" s="5">
        <f>VLOOKUP(B115,'Loyd List 1-190 - Edit'!$A$2:$B$220,2,FALSE)</f>
        <v>5</v>
      </c>
      <c r="W115" s="155">
        <f t="shared" si="33"/>
        <v>1</v>
      </c>
      <c r="X115" s="105"/>
      <c r="Y115" s="105"/>
      <c r="Z115" s="164" t="s">
        <v>2785</v>
      </c>
      <c r="AA115" s="6">
        <v>343</v>
      </c>
      <c r="AB115" s="5">
        <f t="shared" si="53"/>
        <v>113</v>
      </c>
      <c r="AC115" s="5">
        <f t="shared" si="45"/>
        <v>1113</v>
      </c>
      <c r="AD115" s="97" t="str">
        <f t="shared" si="34"/>
        <v>140a</v>
      </c>
      <c r="AE115" s="5" t="str">
        <f t="shared" si="35"/>
        <v>Daisy Elizabeth  MILLER (1995 - )</v>
      </c>
      <c r="AF115" s="5" t="str">
        <f t="shared" si="36"/>
        <v>Daisy MILLER (6th &amp; 140)</v>
      </c>
      <c r="AG115" s="110" t="str">
        <f t="shared" si="37"/>
        <v>Female</v>
      </c>
      <c r="AH115" s="5" t="str">
        <f t="shared" si="38"/>
        <v>6th</v>
      </c>
      <c r="AI115" s="5" t="str">
        <f t="shared" si="49"/>
        <v>Unmarried</v>
      </c>
      <c r="AJ115" s="105" t="str">
        <f t="shared" si="46"/>
        <v>Female. b. 03/01/1995 Twin with her sister, Violet. Baptised 22 Oct 1995 at St Peter and St Paul’s, Barkestone Le Vale, Leicestershire.</v>
      </c>
      <c r="AK115" s="105" t="str">
        <f t="shared" si="40"/>
        <v>b. 03/01/1995</v>
      </c>
    </row>
    <row r="116" spans="1:37" s="5" customFormat="1" ht="34">
      <c r="A116" s="5">
        <f>VLOOKUP(B116,'Loyd List 1-190 - Edit'!$P$1:$R$219,3,FALSE)</f>
        <v>78</v>
      </c>
      <c r="B116" s="5">
        <f t="shared" si="48"/>
        <v>140</v>
      </c>
      <c r="C116" s="157" t="s">
        <v>3266</v>
      </c>
      <c r="D116" s="6" t="s">
        <v>1825</v>
      </c>
      <c r="E116" s="5" t="s">
        <v>1826</v>
      </c>
      <c r="F116" s="5" t="s">
        <v>1452</v>
      </c>
      <c r="I116" s="5">
        <f t="shared" si="50"/>
        <v>1995</v>
      </c>
      <c r="J116" s="5" t="str">
        <f t="shared" si="51"/>
        <v/>
      </c>
      <c r="K116" s="152"/>
      <c r="L116" s="7" t="str">
        <f t="shared" si="52"/>
        <v>03/01/1995</v>
      </c>
      <c r="M116" s="8">
        <v>34702</v>
      </c>
      <c r="N116" s="7"/>
      <c r="O116" s="7"/>
      <c r="P116" s="181" t="str">
        <f t="shared" si="29"/>
        <v/>
      </c>
      <c r="Q116" s="153" t="str">
        <f t="shared" si="54"/>
        <v>140</v>
      </c>
      <c r="R116" s="180" t="str">
        <f t="shared" si="30"/>
        <v/>
      </c>
      <c r="S116" s="25" t="s">
        <v>3244</v>
      </c>
      <c r="T116" s="5">
        <f t="shared" si="31"/>
        <v>6</v>
      </c>
      <c r="U116" s="5">
        <f t="shared" si="32"/>
        <v>4</v>
      </c>
      <c r="V116" s="5">
        <f>VLOOKUP(B116,'Loyd List 1-190 - Edit'!$A$2:$B$220,2,FALSE)</f>
        <v>5</v>
      </c>
      <c r="W116" s="155">
        <f t="shared" si="33"/>
        <v>1</v>
      </c>
      <c r="X116" s="105"/>
      <c r="Y116" s="105"/>
      <c r="Z116" s="164" t="s">
        <v>2786</v>
      </c>
      <c r="AA116" s="6">
        <v>344</v>
      </c>
      <c r="AB116" s="5">
        <f t="shared" si="53"/>
        <v>114</v>
      </c>
      <c r="AC116" s="5">
        <f t="shared" si="45"/>
        <v>1114</v>
      </c>
      <c r="AD116" s="97" t="str">
        <f t="shared" si="34"/>
        <v>140b</v>
      </c>
      <c r="AE116" s="5" t="str">
        <f t="shared" si="35"/>
        <v>Violet Emma  MILLER (1995 - )</v>
      </c>
      <c r="AF116" s="5" t="str">
        <f t="shared" si="36"/>
        <v>Violet MILLER (6th &amp; 140)</v>
      </c>
      <c r="AG116" s="110" t="str">
        <f t="shared" si="37"/>
        <v>Female</v>
      </c>
      <c r="AH116" s="5" t="str">
        <f t="shared" si="38"/>
        <v>6th</v>
      </c>
      <c r="AI116" s="5" t="str">
        <f t="shared" si="49"/>
        <v>Unmarried</v>
      </c>
      <c r="AJ116" s="105" t="str">
        <f t="shared" si="46"/>
        <v>Female. b. 03/01/1995 Twin with her sister, Daisy. Baptised 22 Oct 1995 at St Peter and St Paul’s, Barkestone Le Vale, Leicestershire.</v>
      </c>
      <c r="AK116" s="105" t="str">
        <f t="shared" si="40"/>
        <v>b. 03/01/1995</v>
      </c>
    </row>
    <row r="117" spans="1:37" s="5" customFormat="1" ht="34">
      <c r="A117" s="5">
        <f>VLOOKUP(B117,'Loyd List 1-190 - Edit'!$P$1:$R$219,3,FALSE)</f>
        <v>104</v>
      </c>
      <c r="B117" s="5">
        <f t="shared" si="48"/>
        <v>141</v>
      </c>
      <c r="C117" s="157" t="s">
        <v>1833</v>
      </c>
      <c r="D117" s="6" t="s">
        <v>1830</v>
      </c>
      <c r="E117" s="5" t="s">
        <v>1665</v>
      </c>
      <c r="F117" s="5" t="s">
        <v>800</v>
      </c>
      <c r="G117" s="5" t="s">
        <v>3590</v>
      </c>
      <c r="H117" s="5" t="s">
        <v>3589</v>
      </c>
      <c r="I117" s="5">
        <f t="shared" si="50"/>
        <v>1996</v>
      </c>
      <c r="J117" s="5" t="str">
        <f t="shared" si="51"/>
        <v/>
      </c>
      <c r="K117" s="152"/>
      <c r="L117" s="7" t="str">
        <f t="shared" si="52"/>
        <v>03/03/1996</v>
      </c>
      <c r="M117" s="8">
        <v>35127</v>
      </c>
      <c r="N117" s="7"/>
      <c r="O117" s="7"/>
      <c r="P117" s="181" t="str">
        <f t="shared" si="29"/>
        <v/>
      </c>
      <c r="Q117" s="153" t="str">
        <f t="shared" si="54"/>
        <v>141</v>
      </c>
      <c r="R117" s="180" t="str">
        <f t="shared" si="30"/>
        <v/>
      </c>
      <c r="S117" s="25" t="s">
        <v>3244</v>
      </c>
      <c r="T117" s="5">
        <f t="shared" si="31"/>
        <v>7</v>
      </c>
      <c r="U117" s="5">
        <f t="shared" si="32"/>
        <v>4</v>
      </c>
      <c r="V117" s="5">
        <f>VLOOKUP(B117,'Loyd List 1-190 - Edit'!$A$2:$B$220,2,FALSE)</f>
        <v>6</v>
      </c>
      <c r="W117" s="155">
        <f t="shared" si="33"/>
        <v>1</v>
      </c>
      <c r="X117" s="105"/>
      <c r="Y117" s="105"/>
      <c r="Z117" s="164" t="s">
        <v>2788</v>
      </c>
      <c r="AA117" s="6">
        <v>345</v>
      </c>
      <c r="AB117" s="5">
        <f t="shared" si="53"/>
        <v>115</v>
      </c>
      <c r="AC117" s="5">
        <f t="shared" si="45"/>
        <v>1115</v>
      </c>
      <c r="AD117" s="97" t="str">
        <f t="shared" si="34"/>
        <v>141a</v>
      </c>
      <c r="AE117" s="5" t="str">
        <f t="shared" si="35"/>
        <v>Letitia May Rose Campbell BYATT (1996 - )</v>
      </c>
      <c r="AF117" s="5" t="str">
        <f t="shared" si="36"/>
        <v>Letty BYATT (7th &amp; 141)</v>
      </c>
      <c r="AG117" s="110" t="str">
        <f t="shared" si="37"/>
        <v>Female</v>
      </c>
      <c r="AH117" s="5" t="str">
        <f t="shared" si="38"/>
        <v>7th</v>
      </c>
      <c r="AI117" s="5" t="str">
        <f t="shared" si="49"/>
        <v>Unmarried</v>
      </c>
      <c r="AJ117" s="105" t="str">
        <f t="shared" si="46"/>
        <v>Female. b. 03/03/1996 Baptised 16 May 1996 at the Chapel of The Royal Hospital, Chelsea, London.</v>
      </c>
      <c r="AK117" s="105" t="str">
        <f t="shared" si="40"/>
        <v>b. 03/03/1996</v>
      </c>
    </row>
    <row r="118" spans="1:37" s="5" customFormat="1" ht="51">
      <c r="A118" s="5">
        <f>VLOOKUP(B118,'Loyd List 1-190 - Edit'!$P$1:$R$219,3,FALSE)</f>
        <v>104</v>
      </c>
      <c r="B118" s="5">
        <f t="shared" si="48"/>
        <v>141</v>
      </c>
      <c r="C118" s="157" t="s">
        <v>1834</v>
      </c>
      <c r="D118" s="6" t="s">
        <v>1830</v>
      </c>
      <c r="E118" s="5" t="s">
        <v>807</v>
      </c>
      <c r="F118" s="5" t="s">
        <v>1831</v>
      </c>
      <c r="G118" s="5" t="s">
        <v>3591</v>
      </c>
      <c r="H118" s="5" t="s">
        <v>1635</v>
      </c>
      <c r="I118" s="5">
        <f t="shared" si="50"/>
        <v>1998</v>
      </c>
      <c r="J118" s="5">
        <f t="shared" si="51"/>
        <v>2017</v>
      </c>
      <c r="K118" s="152"/>
      <c r="L118" s="7" t="str">
        <f t="shared" si="52"/>
        <v>10/04/1998</v>
      </c>
      <c r="M118" s="8">
        <v>35895</v>
      </c>
      <c r="N118" s="7"/>
      <c r="O118" s="7">
        <v>42953</v>
      </c>
      <c r="P118" s="181" t="str">
        <f t="shared" si="29"/>
        <v>06/08/2017</v>
      </c>
      <c r="Q118" s="153" t="str">
        <f t="shared" si="54"/>
        <v>141</v>
      </c>
      <c r="R118" s="180" t="str">
        <f t="shared" si="30"/>
        <v>06/08/2017</v>
      </c>
      <c r="S118" s="25" t="s">
        <v>3245</v>
      </c>
      <c r="T118" s="5">
        <f t="shared" si="31"/>
        <v>7</v>
      </c>
      <c r="U118" s="5">
        <f t="shared" si="32"/>
        <v>4</v>
      </c>
      <c r="V118" s="5">
        <f>VLOOKUP(B118,'Loyd List 1-190 - Edit'!$A$2:$B$220,2,FALSE)</f>
        <v>6</v>
      </c>
      <c r="W118" s="155">
        <f t="shared" si="33"/>
        <v>1</v>
      </c>
      <c r="X118" s="105"/>
      <c r="Y118" s="105"/>
      <c r="Z118" s="164" t="s">
        <v>3626</v>
      </c>
      <c r="AA118" s="6">
        <v>346</v>
      </c>
      <c r="AB118" s="5">
        <f t="shared" si="53"/>
        <v>116</v>
      </c>
      <c r="AC118" s="5">
        <f t="shared" si="45"/>
        <v>1116</v>
      </c>
      <c r="AD118" s="97" t="str">
        <f t="shared" si="34"/>
        <v>141b</v>
      </c>
      <c r="AE118" s="5" t="str">
        <f t="shared" si="35"/>
        <v>Henry Hew Duncan Campbell BYATT (1998 - 2017)</v>
      </c>
      <c r="AF118" s="5" t="str">
        <f t="shared" si="36"/>
        <v>Harry BYATT (7th &amp; 141)</v>
      </c>
      <c r="AG118" s="110" t="str">
        <f t="shared" si="37"/>
        <v>Male</v>
      </c>
      <c r="AH118" s="5" t="str">
        <f t="shared" si="38"/>
        <v>7th</v>
      </c>
      <c r="AI118" s="5" t="str">
        <f t="shared" si="49"/>
        <v>Unmarried</v>
      </c>
      <c r="AJ118" s="105" t="str">
        <f t="shared" si="46"/>
        <v>Male. b. 10/04/1998, d. 06/08/2017. Baptised 16 Jun 1998 at the Chapel of The Royal Hospital, Chelsea, London. Harry died in a swimming accident whilst working for the summer at the Peligoni Club in Greece on 6 August 2017.</v>
      </c>
      <c r="AK118" s="105" t="str">
        <f t="shared" si="40"/>
        <v>b. 10/04/1998, d. 06/08/2017.</v>
      </c>
    </row>
    <row r="119" spans="1:37" s="5" customFormat="1" ht="20">
      <c r="A119" s="5">
        <f>VLOOKUP(B119,'Loyd List 1-190 - Edit'!$P$1:$R$219,3,FALSE)</f>
        <v>100</v>
      </c>
      <c r="B119" s="5">
        <f t="shared" si="48"/>
        <v>143</v>
      </c>
      <c r="C119" s="157" t="s">
        <v>1838</v>
      </c>
      <c r="D119" s="6" t="s">
        <v>1836</v>
      </c>
      <c r="E119" s="5" t="s">
        <v>1380</v>
      </c>
      <c r="F119" s="5" t="s">
        <v>1630</v>
      </c>
      <c r="I119" s="5">
        <f t="shared" si="50"/>
        <v>1988</v>
      </c>
      <c r="J119" s="5" t="str">
        <f t="shared" si="51"/>
        <v/>
      </c>
      <c r="K119" s="152"/>
      <c r="L119" s="7" t="str">
        <f t="shared" si="52"/>
        <v>08/02/1988</v>
      </c>
      <c r="M119" s="8">
        <v>32181</v>
      </c>
      <c r="N119" s="7">
        <v>42868</v>
      </c>
      <c r="O119" s="7"/>
      <c r="P119" s="181" t="str">
        <f t="shared" si="29"/>
        <v/>
      </c>
      <c r="Q119" s="153" t="str">
        <f t="shared" si="54"/>
        <v>143</v>
      </c>
      <c r="R119" s="180" t="str">
        <f t="shared" si="30"/>
        <v/>
      </c>
      <c r="S119" s="25" t="s">
        <v>3244</v>
      </c>
      <c r="T119" s="5">
        <f t="shared" si="31"/>
        <v>7</v>
      </c>
      <c r="U119" s="5">
        <f t="shared" si="32"/>
        <v>4</v>
      </c>
      <c r="V119" s="5">
        <f>VLOOKUP(B119,'Loyd List 1-190 - Edit'!$A$2:$B$220,2,FALSE)</f>
        <v>6</v>
      </c>
      <c r="W119" s="155">
        <f t="shared" si="33"/>
        <v>1</v>
      </c>
      <c r="X119" s="105" t="s">
        <v>3050</v>
      </c>
      <c r="Y119" s="105"/>
      <c r="Z119" s="164" t="s">
        <v>2789</v>
      </c>
      <c r="AA119" s="6">
        <v>347</v>
      </c>
      <c r="AB119" s="5">
        <f t="shared" si="53"/>
        <v>117</v>
      </c>
      <c r="AC119" s="5">
        <f t="shared" si="45"/>
        <v>1117</v>
      </c>
      <c r="AD119" s="97" t="str">
        <f t="shared" si="34"/>
        <v>143a</v>
      </c>
      <c r="AE119" s="5" t="str">
        <f t="shared" si="35"/>
        <v>Emily Harriert  ASHE (1988 - )</v>
      </c>
      <c r="AF119" s="5" t="str">
        <f t="shared" si="36"/>
        <v>Emily ASHE (7th &amp; 143)</v>
      </c>
      <c r="AG119" s="110" t="str">
        <f t="shared" si="37"/>
        <v>Female</v>
      </c>
      <c r="AH119" s="5" t="str">
        <f t="shared" si="38"/>
        <v>7th</v>
      </c>
      <c r="AI119" s="5" t="str">
        <f t="shared" si="49"/>
        <v xml:space="preserve">Husband: James Edward RUSSELL-STONEHAM. </v>
      </c>
      <c r="AJ119" s="105" t="str">
        <f t="shared" si="46"/>
        <v>Female. b. 08/02/1988 Baptised 15 May 1988 at All Saints’, Lockinge.</v>
      </c>
      <c r="AK119" s="105" t="str">
        <f t="shared" si="40"/>
        <v>b. 08/02/1988</v>
      </c>
    </row>
    <row r="120" spans="1:37" s="5" customFormat="1" ht="20">
      <c r="A120" s="5">
        <f>VLOOKUP(B120,'Loyd List 1-190 - Edit'!$P$1:$R$219,3,FALSE)</f>
        <v>100</v>
      </c>
      <c r="B120" s="5">
        <f t="shared" si="48"/>
        <v>143</v>
      </c>
      <c r="C120" s="157" t="s">
        <v>1839</v>
      </c>
      <c r="D120" s="6" t="s">
        <v>1836</v>
      </c>
      <c r="E120" s="5" t="s">
        <v>917</v>
      </c>
      <c r="F120" s="5" t="s">
        <v>1837</v>
      </c>
      <c r="I120" s="5">
        <f t="shared" si="50"/>
        <v>1990</v>
      </c>
      <c r="J120" s="5" t="str">
        <f t="shared" si="51"/>
        <v/>
      </c>
      <c r="K120" s="152"/>
      <c r="L120" s="7" t="str">
        <f t="shared" si="52"/>
        <v>11/04/1990</v>
      </c>
      <c r="M120" s="8">
        <v>32974</v>
      </c>
      <c r="N120" s="7"/>
      <c r="O120" s="7"/>
      <c r="P120" s="181" t="str">
        <f t="shared" si="29"/>
        <v/>
      </c>
      <c r="Q120" s="153" t="str">
        <f t="shared" si="54"/>
        <v>143</v>
      </c>
      <c r="R120" s="180" t="str">
        <f t="shared" si="30"/>
        <v/>
      </c>
      <c r="S120" s="25" t="s">
        <v>3245</v>
      </c>
      <c r="T120" s="5">
        <f t="shared" si="31"/>
        <v>7</v>
      </c>
      <c r="U120" s="5">
        <f t="shared" si="32"/>
        <v>4</v>
      </c>
      <c r="V120" s="5">
        <f>VLOOKUP(B120,'Loyd List 1-190 - Edit'!$A$2:$B$220,2,FALSE)</f>
        <v>6</v>
      </c>
      <c r="W120" s="155">
        <f t="shared" si="33"/>
        <v>1</v>
      </c>
      <c r="X120" s="105"/>
      <c r="Y120" s="105"/>
      <c r="Z120" s="164" t="s">
        <v>2790</v>
      </c>
      <c r="AA120" s="6">
        <v>348</v>
      </c>
      <c r="AB120" s="5">
        <f t="shared" si="53"/>
        <v>118</v>
      </c>
      <c r="AC120" s="5">
        <f t="shared" si="45"/>
        <v>1118</v>
      </c>
      <c r="AD120" s="97" t="str">
        <f t="shared" si="34"/>
        <v>143b</v>
      </c>
      <c r="AE120" s="5" t="str">
        <f t="shared" si="35"/>
        <v>Charles Windham  ASHE (1990 - )</v>
      </c>
      <c r="AF120" s="5" t="str">
        <f t="shared" si="36"/>
        <v>Charles ASHE (7th &amp; 143)</v>
      </c>
      <c r="AG120" s="110" t="str">
        <f t="shared" si="37"/>
        <v>Male</v>
      </c>
      <c r="AH120" s="5" t="str">
        <f t="shared" si="38"/>
        <v>7th</v>
      </c>
      <c r="AI120" s="5" t="str">
        <f t="shared" si="49"/>
        <v>Unmarried</v>
      </c>
      <c r="AJ120" s="105" t="str">
        <f t="shared" si="46"/>
        <v>Male. b. 11/04/1990 Baptised 19 Aug 1990 at All Saints’, Lockinge.</v>
      </c>
      <c r="AK120" s="105" t="str">
        <f t="shared" si="40"/>
        <v>b. 11/04/1990</v>
      </c>
    </row>
    <row r="121" spans="1:37" s="5" customFormat="1" ht="20">
      <c r="A121" s="5">
        <f>VLOOKUP(B121,'Loyd List 1-190 - Edit'!$P$1:$R$219,3,FALSE)</f>
        <v>104</v>
      </c>
      <c r="B121" s="5">
        <f t="shared" si="48"/>
        <v>152</v>
      </c>
      <c r="C121" s="157" t="s">
        <v>1842</v>
      </c>
      <c r="D121" s="6" t="s">
        <v>1841</v>
      </c>
      <c r="E121" s="5" t="s">
        <v>1595</v>
      </c>
      <c r="I121" s="5">
        <f t="shared" si="50"/>
        <v>1999</v>
      </c>
      <c r="J121" s="5" t="str">
        <f t="shared" si="51"/>
        <v/>
      </c>
      <c r="K121" s="152"/>
      <c r="L121" s="7" t="str">
        <f t="shared" si="52"/>
        <v>11/12/1999</v>
      </c>
      <c r="M121" s="8">
        <v>36505</v>
      </c>
      <c r="N121" s="7"/>
      <c r="O121" s="7"/>
      <c r="P121" s="181" t="str">
        <f t="shared" si="29"/>
        <v/>
      </c>
      <c r="Q121" s="153" t="str">
        <f t="shared" si="54"/>
        <v>152</v>
      </c>
      <c r="R121" s="180" t="str">
        <f t="shared" si="30"/>
        <v/>
      </c>
      <c r="S121" s="25" t="s">
        <v>3244</v>
      </c>
      <c r="T121" s="5">
        <f t="shared" si="31"/>
        <v>7</v>
      </c>
      <c r="U121" s="5">
        <f t="shared" si="32"/>
        <v>4</v>
      </c>
      <c r="V121" s="5">
        <f>VLOOKUP(B121,'Loyd List 1-190 - Edit'!$A$2:$B$220,2,FALSE)</f>
        <v>6</v>
      </c>
      <c r="W121" s="155">
        <f t="shared" si="33"/>
        <v>1</v>
      </c>
      <c r="X121" s="105"/>
      <c r="Y121" s="105"/>
      <c r="Z121" s="164"/>
      <c r="AA121" s="6">
        <v>349</v>
      </c>
      <c r="AB121" s="5">
        <f t="shared" si="53"/>
        <v>119</v>
      </c>
      <c r="AC121" s="5">
        <f t="shared" si="45"/>
        <v>1119</v>
      </c>
      <c r="AD121" s="97" t="str">
        <f t="shared" si="34"/>
        <v>152a</v>
      </c>
      <c r="AE121" s="5" t="str">
        <f t="shared" si="35"/>
        <v>Clementine   WHITCOMB (1999 - )</v>
      </c>
      <c r="AF121" s="5" t="str">
        <f t="shared" si="36"/>
        <v>Clementine WHITCOMB (7th &amp; 152)</v>
      </c>
      <c r="AG121" s="110" t="str">
        <f t="shared" si="37"/>
        <v>Female</v>
      </c>
      <c r="AH121" s="5" t="str">
        <f t="shared" si="38"/>
        <v>7th</v>
      </c>
      <c r="AI121" s="5" t="str">
        <f t="shared" si="49"/>
        <v>Unmarried</v>
      </c>
      <c r="AJ121" s="105" t="str">
        <f t="shared" si="46"/>
        <v>Female. b. 11/12/1999</v>
      </c>
      <c r="AK121" s="105" t="str">
        <f t="shared" si="40"/>
        <v>b. 11/12/1999</v>
      </c>
    </row>
    <row r="122" spans="1:37" s="5" customFormat="1" ht="20">
      <c r="A122" s="5">
        <f>VLOOKUP(B122,'Loyd List 1-190 - Edit'!$P$1:$R$219,3,FALSE)</f>
        <v>104</v>
      </c>
      <c r="B122" s="5">
        <f t="shared" si="48"/>
        <v>152</v>
      </c>
      <c r="C122" s="184" t="s">
        <v>3055</v>
      </c>
      <c r="D122" s="161" t="s">
        <v>1841</v>
      </c>
      <c r="E122" s="137" t="s">
        <v>3764</v>
      </c>
      <c r="F122" s="137"/>
      <c r="G122" s="137"/>
      <c r="H122" s="137"/>
      <c r="I122" s="137">
        <f t="shared" si="50"/>
        <v>2001</v>
      </c>
      <c r="J122" s="137" t="str">
        <f t="shared" si="51"/>
        <v/>
      </c>
      <c r="K122" s="162" t="str">
        <f t="shared" ref="K122:K144" si="55">IF(A122="",_xlfn.CONCAT(E122," (",B122,"): ",I122),_xlfn.CONCAT(A122," (",B122,"): ",I122))</f>
        <v>104 (152): 2001</v>
      </c>
      <c r="L122" s="163" t="str">
        <f t="shared" si="52"/>
        <v>29/01/2001</v>
      </c>
      <c r="M122" s="163">
        <v>36920</v>
      </c>
      <c r="N122" s="137"/>
      <c r="O122" s="163"/>
      <c r="P122" s="181" t="str">
        <f t="shared" si="29"/>
        <v/>
      </c>
      <c r="Q122" s="159">
        <v>152</v>
      </c>
      <c r="R122" s="180" t="str">
        <f t="shared" si="30"/>
        <v/>
      </c>
      <c r="S122" s="154" t="s">
        <v>3245</v>
      </c>
      <c r="T122" s="5">
        <f t="shared" si="31"/>
        <v>7</v>
      </c>
      <c r="U122" s="5">
        <f t="shared" si="32"/>
        <v>4</v>
      </c>
      <c r="V122" s="5">
        <f>VLOOKUP(B122,'Loyd List 1-190 - Edit'!$A$2:$B$220,2,FALSE)</f>
        <v>6</v>
      </c>
      <c r="W122" s="155">
        <f t="shared" si="33"/>
        <v>1</v>
      </c>
      <c r="X122" s="169"/>
      <c r="Y122" s="169"/>
      <c r="Z122" s="169"/>
      <c r="AA122" s="6">
        <v>351</v>
      </c>
      <c r="AB122" s="5">
        <f t="shared" si="53"/>
        <v>120</v>
      </c>
      <c r="AC122" s="5">
        <f t="shared" si="45"/>
        <v>1120</v>
      </c>
      <c r="AD122" s="97" t="str">
        <f t="shared" si="34"/>
        <v>152b</v>
      </c>
      <c r="AE122" s="5" t="str">
        <f t="shared" si="35"/>
        <v>Augustin   WHITCOMB (2001 - )</v>
      </c>
      <c r="AF122" s="5" t="str">
        <f t="shared" si="36"/>
        <v>Augustin WHITCOMB (7th &amp; 152)</v>
      </c>
      <c r="AG122" s="110" t="str">
        <f t="shared" si="37"/>
        <v>Male</v>
      </c>
      <c r="AH122" s="5" t="str">
        <f t="shared" si="38"/>
        <v>7th</v>
      </c>
      <c r="AI122" s="5" t="str">
        <f t="shared" si="49"/>
        <v>Unmarried</v>
      </c>
      <c r="AJ122" s="105" t="str">
        <f t="shared" si="46"/>
        <v>Male. b. 29/01/2001</v>
      </c>
      <c r="AK122" s="105" t="str">
        <f t="shared" si="40"/>
        <v>b. 29/01/2001</v>
      </c>
    </row>
    <row r="123" spans="1:37" s="5" customFormat="1" ht="20">
      <c r="A123" s="5">
        <f>VLOOKUP(B123,'Loyd List 1-190 - Edit'!$P$1:$R$219,3,FALSE)</f>
        <v>98</v>
      </c>
      <c r="B123" s="5">
        <f t="shared" si="48"/>
        <v>154</v>
      </c>
      <c r="C123" s="184" t="s">
        <v>3056</v>
      </c>
      <c r="D123" s="161" t="s">
        <v>3057</v>
      </c>
      <c r="E123" s="137" t="s">
        <v>1632</v>
      </c>
      <c r="F123" s="137" t="s">
        <v>3058</v>
      </c>
      <c r="G123" s="137"/>
      <c r="H123" s="137" t="s">
        <v>3059</v>
      </c>
      <c r="I123" s="137">
        <f t="shared" si="50"/>
        <v>2006</v>
      </c>
      <c r="J123" s="137" t="str">
        <f t="shared" si="51"/>
        <v/>
      </c>
      <c r="K123" s="162" t="str">
        <f t="shared" si="55"/>
        <v>98 (154): 2006</v>
      </c>
      <c r="L123" s="163" t="str">
        <f t="shared" si="52"/>
        <v>20/05/2006</v>
      </c>
      <c r="M123" s="163">
        <v>38857</v>
      </c>
      <c r="N123" s="137"/>
      <c r="O123" s="163"/>
      <c r="P123" s="181" t="str">
        <f t="shared" si="29"/>
        <v/>
      </c>
      <c r="Q123" s="159">
        <v>154</v>
      </c>
      <c r="R123" s="180" t="str">
        <f t="shared" si="30"/>
        <v/>
      </c>
      <c r="S123" s="154" t="s">
        <v>3245</v>
      </c>
      <c r="T123" s="5">
        <f t="shared" si="31"/>
        <v>7</v>
      </c>
      <c r="U123" s="5">
        <f t="shared" si="32"/>
        <v>4</v>
      </c>
      <c r="V123" s="5">
        <f>VLOOKUP(B123,'Loyd List 1-190 - Edit'!$A$2:$B$220,2,FALSE)</f>
        <v>6</v>
      </c>
      <c r="W123" s="155">
        <f t="shared" si="33"/>
        <v>1</v>
      </c>
      <c r="X123" s="169"/>
      <c r="Y123" s="169"/>
      <c r="Z123" s="169"/>
      <c r="AA123" s="6">
        <v>352</v>
      </c>
      <c r="AB123" s="5">
        <f t="shared" si="53"/>
        <v>121</v>
      </c>
      <c r="AC123" s="5">
        <f t="shared" si="45"/>
        <v>1121</v>
      </c>
      <c r="AD123" s="97" t="str">
        <f t="shared" si="34"/>
        <v>154a</v>
      </c>
      <c r="AE123" s="5" t="str">
        <f t="shared" si="35"/>
        <v>Frederick Otto  NEWING (2006 - )</v>
      </c>
      <c r="AF123" s="5" t="str">
        <f t="shared" si="36"/>
        <v>Freddie NEWING (7th &amp; 154)</v>
      </c>
      <c r="AG123" s="110" t="str">
        <f t="shared" si="37"/>
        <v>Male</v>
      </c>
      <c r="AH123" s="5" t="str">
        <f t="shared" si="38"/>
        <v>7th</v>
      </c>
      <c r="AI123" s="5" t="str">
        <f t="shared" si="49"/>
        <v>Unmarried</v>
      </c>
      <c r="AJ123" s="105" t="str">
        <f t="shared" si="46"/>
        <v>Male. b. 20/05/2006</v>
      </c>
      <c r="AK123" s="105" t="str">
        <f t="shared" si="40"/>
        <v>b. 20/05/2006</v>
      </c>
    </row>
    <row r="124" spans="1:37" s="5" customFormat="1" ht="20">
      <c r="A124" s="5">
        <f>VLOOKUP(B124,'Loyd List 1-190 - Edit'!$P$1:$R$219,3,FALSE)</f>
        <v>98</v>
      </c>
      <c r="B124" s="5">
        <f t="shared" si="48"/>
        <v>154</v>
      </c>
      <c r="C124" s="184" t="s">
        <v>3060</v>
      </c>
      <c r="D124" s="161" t="s">
        <v>3057</v>
      </c>
      <c r="E124" s="137" t="s">
        <v>807</v>
      </c>
      <c r="F124" s="137" t="s">
        <v>3062</v>
      </c>
      <c r="G124" s="137"/>
      <c r="H124" s="137" t="s">
        <v>3063</v>
      </c>
      <c r="I124" s="137">
        <f t="shared" si="50"/>
        <v>2008</v>
      </c>
      <c r="J124" s="137" t="str">
        <f t="shared" si="51"/>
        <v/>
      </c>
      <c r="K124" s="162" t="str">
        <f t="shared" si="55"/>
        <v>98 (154): 2008</v>
      </c>
      <c r="L124" s="163" t="str">
        <f t="shared" si="52"/>
        <v>28/09/2008</v>
      </c>
      <c r="M124" s="163">
        <v>39719</v>
      </c>
      <c r="N124" s="137"/>
      <c r="O124" s="163"/>
      <c r="P124" s="181" t="str">
        <f t="shared" si="29"/>
        <v/>
      </c>
      <c r="Q124" s="159">
        <v>154</v>
      </c>
      <c r="R124" s="180" t="str">
        <f t="shared" si="30"/>
        <v/>
      </c>
      <c r="S124" s="154" t="s">
        <v>3245</v>
      </c>
      <c r="T124" s="5">
        <f t="shared" si="31"/>
        <v>7</v>
      </c>
      <c r="U124" s="5">
        <f t="shared" si="32"/>
        <v>4</v>
      </c>
      <c r="V124" s="5">
        <f>VLOOKUP(B124,'Loyd List 1-190 - Edit'!$A$2:$B$220,2,FALSE)</f>
        <v>6</v>
      </c>
      <c r="W124" s="155">
        <f t="shared" si="33"/>
        <v>1</v>
      </c>
      <c r="X124" s="169"/>
      <c r="Y124" s="169"/>
      <c r="Z124" s="169"/>
      <c r="AA124" s="6">
        <v>353</v>
      </c>
      <c r="AB124" s="5">
        <f t="shared" si="53"/>
        <v>122</v>
      </c>
      <c r="AC124" s="5">
        <f t="shared" si="45"/>
        <v>1122</v>
      </c>
      <c r="AD124" s="97" t="str">
        <f t="shared" si="34"/>
        <v>154b</v>
      </c>
      <c r="AE124" s="5" t="str">
        <f t="shared" si="35"/>
        <v>Henry Augustus  NEWING (2008 - )</v>
      </c>
      <c r="AF124" s="5" t="str">
        <f t="shared" si="36"/>
        <v>Gus NEWING (7th &amp; 154)</v>
      </c>
      <c r="AG124" s="110" t="str">
        <f t="shared" si="37"/>
        <v>Male</v>
      </c>
      <c r="AH124" s="5" t="str">
        <f t="shared" si="38"/>
        <v>7th</v>
      </c>
      <c r="AI124" s="5" t="str">
        <f t="shared" si="49"/>
        <v>Unmarried</v>
      </c>
      <c r="AJ124" s="105" t="str">
        <f t="shared" si="46"/>
        <v>Male. b. 28/09/2008</v>
      </c>
      <c r="AK124" s="105" t="str">
        <f t="shared" si="40"/>
        <v>b. 28/09/2008</v>
      </c>
    </row>
    <row r="125" spans="1:37" s="5" customFormat="1" ht="20">
      <c r="A125" s="5">
        <f>VLOOKUP(B125,'Loyd List 1-190 - Edit'!$P$1:$R$219,3,FALSE)</f>
        <v>98</v>
      </c>
      <c r="B125" s="5">
        <f t="shared" si="48"/>
        <v>154</v>
      </c>
      <c r="C125" s="184" t="s">
        <v>3061</v>
      </c>
      <c r="D125" s="161" t="s">
        <v>3057</v>
      </c>
      <c r="E125" s="137" t="s">
        <v>3064</v>
      </c>
      <c r="F125" s="137"/>
      <c r="G125" s="137"/>
      <c r="H125" s="137"/>
      <c r="I125" s="137">
        <f t="shared" si="50"/>
        <v>2015</v>
      </c>
      <c r="J125" s="137">
        <f t="shared" si="51"/>
        <v>2015</v>
      </c>
      <c r="K125" s="162" t="str">
        <f t="shared" si="55"/>
        <v>98 (154): 2015</v>
      </c>
      <c r="L125" s="163" t="str">
        <f t="shared" si="52"/>
        <v>11/06/2015</v>
      </c>
      <c r="M125" s="163">
        <v>42166</v>
      </c>
      <c r="N125" s="137"/>
      <c r="O125" s="163">
        <v>42166</v>
      </c>
      <c r="P125" s="181" t="str">
        <f t="shared" si="29"/>
        <v>11/06/2015</v>
      </c>
      <c r="Q125" s="159">
        <v>154</v>
      </c>
      <c r="R125" s="180" t="str">
        <f t="shared" si="30"/>
        <v>11/06/2015</v>
      </c>
      <c r="S125" s="154" t="s">
        <v>3245</v>
      </c>
      <c r="T125" s="5">
        <f t="shared" si="31"/>
        <v>7</v>
      </c>
      <c r="U125" s="5">
        <f t="shared" si="32"/>
        <v>4</v>
      </c>
      <c r="V125" s="5">
        <f>VLOOKUP(B125,'Loyd List 1-190 - Edit'!$A$2:$B$220,2,FALSE)</f>
        <v>6</v>
      </c>
      <c r="W125" s="155">
        <f t="shared" si="33"/>
        <v>1</v>
      </c>
      <c r="X125" s="169"/>
      <c r="Y125" s="169"/>
      <c r="Z125" s="169"/>
      <c r="AA125" s="6">
        <v>354</v>
      </c>
      <c r="AB125" s="5">
        <f t="shared" si="53"/>
        <v>123</v>
      </c>
      <c r="AC125" s="5">
        <f t="shared" si="45"/>
        <v>1123</v>
      </c>
      <c r="AD125" s="97" t="str">
        <f t="shared" si="34"/>
        <v>154c</v>
      </c>
      <c r="AE125" s="5" t="str">
        <f t="shared" si="35"/>
        <v>Albert   NEWING (2015 - 2015)</v>
      </c>
      <c r="AF125" s="5" t="str">
        <f t="shared" si="36"/>
        <v>Albert NEWING (7th &amp; 154)</v>
      </c>
      <c r="AG125" s="110" t="str">
        <f t="shared" si="37"/>
        <v>Male</v>
      </c>
      <c r="AH125" s="5" t="str">
        <f t="shared" si="38"/>
        <v>7th</v>
      </c>
      <c r="AI125" s="5" t="str">
        <f t="shared" si="49"/>
        <v>Unmarried</v>
      </c>
      <c r="AJ125" s="105" t="str">
        <f t="shared" si="46"/>
        <v>Male. b. 11/06/2015, d. 11/06/2015.</v>
      </c>
      <c r="AK125" s="105" t="str">
        <f t="shared" si="40"/>
        <v>b. 11/06/2015, d. 11/06/2015.</v>
      </c>
    </row>
    <row r="126" spans="1:37" s="5" customFormat="1" ht="20">
      <c r="A126" s="5">
        <f>VLOOKUP(B126,'Loyd List 1-190 - Edit'!$P$1:$R$219,3,FALSE)</f>
        <v>119</v>
      </c>
      <c r="B126" s="5">
        <f t="shared" si="48"/>
        <v>156</v>
      </c>
      <c r="C126" s="184" t="s">
        <v>3067</v>
      </c>
      <c r="D126" s="161" t="s">
        <v>3068</v>
      </c>
      <c r="E126" s="137" t="s">
        <v>891</v>
      </c>
      <c r="F126" s="137" t="s">
        <v>865</v>
      </c>
      <c r="G126" s="137"/>
      <c r="H126" s="137" t="s">
        <v>865</v>
      </c>
      <c r="I126" s="137">
        <f t="shared" si="50"/>
        <v>2014</v>
      </c>
      <c r="J126" s="137" t="str">
        <f t="shared" si="51"/>
        <v/>
      </c>
      <c r="K126" s="162" t="str">
        <f t="shared" si="55"/>
        <v>119 (156): 2014</v>
      </c>
      <c r="L126" s="163" t="str">
        <f t="shared" si="52"/>
        <v>13/10/2014</v>
      </c>
      <c r="M126" s="163">
        <v>41925</v>
      </c>
      <c r="N126" s="137"/>
      <c r="O126" s="163"/>
      <c r="P126" s="181" t="str">
        <f t="shared" si="29"/>
        <v/>
      </c>
      <c r="Q126" s="159">
        <v>156</v>
      </c>
      <c r="R126" s="180" t="str">
        <f t="shared" si="30"/>
        <v/>
      </c>
      <c r="S126" s="154" t="s">
        <v>3245</v>
      </c>
      <c r="T126" s="5">
        <f t="shared" si="31"/>
        <v>7</v>
      </c>
      <c r="U126" s="5">
        <f t="shared" si="32"/>
        <v>4</v>
      </c>
      <c r="V126" s="5">
        <f>VLOOKUP(B126,'Loyd List 1-190 - Edit'!$A$2:$B$220,2,FALSE)</f>
        <v>6</v>
      </c>
      <c r="W126" s="155">
        <f t="shared" si="33"/>
        <v>1</v>
      </c>
      <c r="X126" s="169"/>
      <c r="Y126" s="169"/>
      <c r="Z126" s="169"/>
      <c r="AA126" s="6">
        <v>355</v>
      </c>
      <c r="AB126" s="5">
        <f t="shared" si="53"/>
        <v>124</v>
      </c>
      <c r="AC126" s="5">
        <f t="shared" si="45"/>
        <v>1124</v>
      </c>
      <c r="AD126" s="97" t="str">
        <f t="shared" si="34"/>
        <v>156a</v>
      </c>
      <c r="AE126" s="5" t="str">
        <f t="shared" si="35"/>
        <v>Michael Peter  GRINDAL (2014 - )</v>
      </c>
      <c r="AF126" s="5" t="str">
        <f t="shared" si="36"/>
        <v>Peter GRINDAL (7th &amp; 156)</v>
      </c>
      <c r="AG126" s="110" t="str">
        <f t="shared" si="37"/>
        <v>Male</v>
      </c>
      <c r="AH126" s="5" t="str">
        <f t="shared" si="38"/>
        <v>7th</v>
      </c>
      <c r="AI126" s="5" t="str">
        <f t="shared" si="49"/>
        <v>Unmarried</v>
      </c>
      <c r="AJ126" s="105" t="str">
        <f t="shared" si="46"/>
        <v>Male. b. 13/10/2014</v>
      </c>
      <c r="AK126" s="105" t="str">
        <f t="shared" si="40"/>
        <v>b. 13/10/2014</v>
      </c>
    </row>
    <row r="127" spans="1:37" s="5" customFormat="1" ht="20">
      <c r="A127" s="5">
        <f>VLOOKUP(B127,'Loyd List 1-190 - Edit'!$P$1:$R$219,3,FALSE)</f>
        <v>119</v>
      </c>
      <c r="B127" s="5">
        <f t="shared" si="48"/>
        <v>156</v>
      </c>
      <c r="C127" s="184" t="s">
        <v>3069</v>
      </c>
      <c r="D127" s="161" t="s">
        <v>3068</v>
      </c>
      <c r="E127" s="137" t="s">
        <v>2090</v>
      </c>
      <c r="F127" s="137" t="s">
        <v>870</v>
      </c>
      <c r="G127" s="137" t="s">
        <v>2080</v>
      </c>
      <c r="H127" s="137"/>
      <c r="I127" s="137">
        <f t="shared" si="50"/>
        <v>2016</v>
      </c>
      <c r="J127" s="137" t="str">
        <f t="shared" si="51"/>
        <v/>
      </c>
      <c r="K127" s="162" t="str">
        <f t="shared" si="55"/>
        <v>119 (156): 2016</v>
      </c>
      <c r="L127" s="163" t="str">
        <f t="shared" si="52"/>
        <v>07/04/2016</v>
      </c>
      <c r="M127" s="163">
        <v>42467</v>
      </c>
      <c r="N127" s="137"/>
      <c r="O127" s="163"/>
      <c r="P127" s="181" t="str">
        <f t="shared" si="29"/>
        <v/>
      </c>
      <c r="Q127" s="159">
        <v>156</v>
      </c>
      <c r="R127" s="180" t="str">
        <f t="shared" si="30"/>
        <v/>
      </c>
      <c r="S127" s="154" t="s">
        <v>3244</v>
      </c>
      <c r="T127" s="5">
        <f t="shared" si="31"/>
        <v>7</v>
      </c>
      <c r="U127" s="5">
        <f t="shared" si="32"/>
        <v>4</v>
      </c>
      <c r="V127" s="5">
        <f>VLOOKUP(B127,'Loyd List 1-190 - Edit'!$A$2:$B$220,2,FALSE)</f>
        <v>6</v>
      </c>
      <c r="W127" s="155">
        <f t="shared" si="33"/>
        <v>1</v>
      </c>
      <c r="X127" s="169"/>
      <c r="Y127" s="169"/>
      <c r="Z127" s="169"/>
      <c r="AA127" s="6">
        <v>356</v>
      </c>
      <c r="AB127" s="5">
        <f t="shared" si="53"/>
        <v>125</v>
      </c>
      <c r="AC127" s="5">
        <f t="shared" si="45"/>
        <v>1125</v>
      </c>
      <c r="AD127" s="97" t="str">
        <f t="shared" si="34"/>
        <v>156b</v>
      </c>
      <c r="AE127" s="5" t="str">
        <f t="shared" si="35"/>
        <v>Dorothy Mary Jennifer GRINDAL (2016 - )</v>
      </c>
      <c r="AF127" s="5" t="str">
        <f t="shared" si="36"/>
        <v>Dorothy GRINDAL (7th &amp; 156)</v>
      </c>
      <c r="AG127" s="110" t="str">
        <f t="shared" si="37"/>
        <v>Female</v>
      </c>
      <c r="AH127" s="5" t="str">
        <f t="shared" si="38"/>
        <v>7th</v>
      </c>
      <c r="AI127" s="5" t="str">
        <f t="shared" si="49"/>
        <v>Unmarried</v>
      </c>
      <c r="AJ127" s="105" t="str">
        <f t="shared" si="46"/>
        <v>Female. b. 07/04/2016</v>
      </c>
      <c r="AK127" s="105" t="str">
        <f t="shared" si="40"/>
        <v>b. 07/04/2016</v>
      </c>
    </row>
    <row r="128" spans="1:37" s="5" customFormat="1" ht="20">
      <c r="A128" s="5">
        <f>VLOOKUP(B128,'Loyd List 1-190 - Edit'!$P$1:$R$219,3,FALSE)</f>
        <v>114</v>
      </c>
      <c r="B128" s="5">
        <f t="shared" si="48"/>
        <v>157</v>
      </c>
      <c r="C128" s="184" t="s">
        <v>3070</v>
      </c>
      <c r="D128" s="161" t="s">
        <v>3071</v>
      </c>
      <c r="E128" s="137" t="s">
        <v>807</v>
      </c>
      <c r="F128" s="137" t="s">
        <v>842</v>
      </c>
      <c r="G128" s="137" t="s">
        <v>1497</v>
      </c>
      <c r="H128" s="137"/>
      <c r="I128" s="137">
        <f t="shared" si="50"/>
        <v>2012</v>
      </c>
      <c r="J128" s="137" t="str">
        <f t="shared" si="51"/>
        <v/>
      </c>
      <c r="K128" s="162" t="str">
        <f t="shared" si="55"/>
        <v>114 (157): 2012</v>
      </c>
      <c r="L128" s="163" t="str">
        <f t="shared" si="52"/>
        <v>15/06/2012</v>
      </c>
      <c r="M128" s="163">
        <v>41075</v>
      </c>
      <c r="N128" s="137"/>
      <c r="O128" s="163"/>
      <c r="P128" s="181" t="str">
        <f t="shared" si="29"/>
        <v/>
      </c>
      <c r="Q128" s="159">
        <f t="shared" ref="Q128:Q144" si="56">B128</f>
        <v>157</v>
      </c>
      <c r="R128" s="180" t="str">
        <f t="shared" si="30"/>
        <v/>
      </c>
      <c r="S128" s="154" t="s">
        <v>3245</v>
      </c>
      <c r="T128" s="5">
        <f t="shared" si="31"/>
        <v>7</v>
      </c>
      <c r="U128" s="5">
        <f t="shared" si="32"/>
        <v>4</v>
      </c>
      <c r="V128" s="5">
        <f>VLOOKUP(B128,'Loyd List 1-190 - Edit'!$A$2:$B$220,2,FALSE)</f>
        <v>6</v>
      </c>
      <c r="W128" s="155">
        <f t="shared" si="33"/>
        <v>1</v>
      </c>
      <c r="X128" s="169"/>
      <c r="Y128" s="169"/>
      <c r="Z128" s="169" t="s">
        <v>3074</v>
      </c>
      <c r="AA128" s="6">
        <v>357</v>
      </c>
      <c r="AB128" s="5">
        <f t="shared" si="53"/>
        <v>126</v>
      </c>
      <c r="AC128" s="5">
        <f t="shared" si="45"/>
        <v>1126</v>
      </c>
      <c r="AD128" s="97" t="str">
        <f t="shared" si="34"/>
        <v>157a</v>
      </c>
      <c r="AE128" s="5" t="str">
        <f t="shared" si="35"/>
        <v>Henry John Loyd SIMMONDS (2012 - )</v>
      </c>
      <c r="AF128" s="5" t="str">
        <f t="shared" si="36"/>
        <v>Henry SIMMONDS (7th &amp; 157)</v>
      </c>
      <c r="AG128" s="110" t="str">
        <f t="shared" si="37"/>
        <v>Male</v>
      </c>
      <c r="AH128" s="5" t="str">
        <f t="shared" si="38"/>
        <v>7th</v>
      </c>
      <c r="AI128" s="5" t="str">
        <f t="shared" si="49"/>
        <v>Unmarried</v>
      </c>
      <c r="AJ128" s="105" t="str">
        <f t="shared" si="46"/>
        <v>Male. b. 15/06/2012 Born at St Mary's Paddington. Baptised 17 Sep 2012</v>
      </c>
      <c r="AK128" s="105" t="str">
        <f t="shared" si="40"/>
        <v>b. 15/06/2012</v>
      </c>
    </row>
    <row r="129" spans="1:37" s="5" customFormat="1" ht="34">
      <c r="A129" s="5">
        <f>VLOOKUP(B129,'Loyd List 1-190 - Edit'!$P$1:$R$219,3,FALSE)</f>
        <v>114</v>
      </c>
      <c r="B129" s="5">
        <f t="shared" si="48"/>
        <v>157</v>
      </c>
      <c r="C129" s="184" t="s">
        <v>3072</v>
      </c>
      <c r="D129" s="161" t="s">
        <v>3071</v>
      </c>
      <c r="E129" s="137" t="s">
        <v>1380</v>
      </c>
      <c r="F129" s="137" t="s">
        <v>870</v>
      </c>
      <c r="G129" s="137" t="s">
        <v>1497</v>
      </c>
      <c r="H129" s="137"/>
      <c r="I129" s="137">
        <f t="shared" si="50"/>
        <v>2014</v>
      </c>
      <c r="J129" s="137" t="str">
        <f t="shared" si="51"/>
        <v/>
      </c>
      <c r="K129" s="162" t="str">
        <f t="shared" si="55"/>
        <v>114 (157): 2014</v>
      </c>
      <c r="L129" s="163" t="str">
        <f t="shared" si="52"/>
        <v>27/12/2014</v>
      </c>
      <c r="M129" s="163">
        <v>42000</v>
      </c>
      <c r="N129" s="137"/>
      <c r="O129" s="163"/>
      <c r="P129" s="181" t="str">
        <f t="shared" si="29"/>
        <v/>
      </c>
      <c r="Q129" s="159">
        <f t="shared" si="56"/>
        <v>157</v>
      </c>
      <c r="R129" s="180" t="str">
        <f t="shared" si="30"/>
        <v/>
      </c>
      <c r="S129" s="154" t="s">
        <v>3244</v>
      </c>
      <c r="T129" s="5">
        <f t="shared" si="31"/>
        <v>7</v>
      </c>
      <c r="U129" s="5">
        <f t="shared" si="32"/>
        <v>4</v>
      </c>
      <c r="V129" s="5">
        <f>VLOOKUP(B129,'Loyd List 1-190 - Edit'!$A$2:$B$220,2,FALSE)</f>
        <v>6</v>
      </c>
      <c r="W129" s="155">
        <f t="shared" si="33"/>
        <v>1</v>
      </c>
      <c r="X129" s="169"/>
      <c r="Y129" s="169"/>
      <c r="Z129" s="169" t="s">
        <v>3073</v>
      </c>
      <c r="AA129" s="6">
        <v>358</v>
      </c>
      <c r="AB129" s="5">
        <f t="shared" si="53"/>
        <v>127</v>
      </c>
      <c r="AC129" s="5">
        <f t="shared" si="45"/>
        <v>1127</v>
      </c>
      <c r="AD129" s="97" t="str">
        <f t="shared" si="34"/>
        <v>157b</v>
      </c>
      <c r="AE129" s="5" t="str">
        <f t="shared" si="35"/>
        <v>Emily Mary Loyd SIMMONDS (2014 - )</v>
      </c>
      <c r="AF129" s="5" t="str">
        <f t="shared" si="36"/>
        <v>Emily SIMMONDS (7th &amp; 157)</v>
      </c>
      <c r="AG129" s="110" t="str">
        <f t="shared" si="37"/>
        <v>Female</v>
      </c>
      <c r="AH129" s="5" t="str">
        <f t="shared" si="38"/>
        <v>7th</v>
      </c>
      <c r="AI129" s="5" t="str">
        <f t="shared" si="49"/>
        <v>Unmarried</v>
      </c>
      <c r="AJ129" s="105" t="str">
        <f t="shared" si="46"/>
        <v>Female. b. 27/12/2014 Born at Royal Victoria Infirmary, Newcastle. Baptised 3 May 2014 at Stagshaw Chapel.</v>
      </c>
      <c r="AK129" s="105" t="str">
        <f t="shared" si="40"/>
        <v>b. 27/12/2014</v>
      </c>
    </row>
    <row r="130" spans="1:37" s="5" customFormat="1" ht="20">
      <c r="A130" s="5">
        <f>VLOOKUP(B130,'Loyd List 1-190 - Edit'!$P$1:$R$219,3,FALSE)</f>
        <v>114</v>
      </c>
      <c r="B130" s="5">
        <f t="shared" ref="B130:B144" si="57">VALUE(LEFT(C130,3))</f>
        <v>158</v>
      </c>
      <c r="C130" s="184" t="s">
        <v>3076</v>
      </c>
      <c r="D130" s="161" t="s">
        <v>3075</v>
      </c>
      <c r="E130" s="137" t="s">
        <v>3077</v>
      </c>
      <c r="F130" s="137" t="s">
        <v>928</v>
      </c>
      <c r="G130" s="137"/>
      <c r="H130" s="137"/>
      <c r="I130" s="137">
        <f t="shared" si="50"/>
        <v>2010</v>
      </c>
      <c r="J130" s="137" t="str">
        <f t="shared" si="51"/>
        <v/>
      </c>
      <c r="K130" s="162" t="str">
        <f t="shared" si="55"/>
        <v>114 (158): 2010</v>
      </c>
      <c r="L130" s="163" t="str">
        <f t="shared" si="52"/>
        <v>05/03/2010</v>
      </c>
      <c r="M130" s="163">
        <v>40242</v>
      </c>
      <c r="N130" s="137"/>
      <c r="O130" s="163"/>
      <c r="P130" s="181" t="str">
        <f t="shared" si="29"/>
        <v/>
      </c>
      <c r="Q130" s="159">
        <f t="shared" si="56"/>
        <v>158</v>
      </c>
      <c r="R130" s="180" t="str">
        <f t="shared" si="30"/>
        <v/>
      </c>
      <c r="S130" s="154" t="s">
        <v>3245</v>
      </c>
      <c r="T130" s="5">
        <f t="shared" si="31"/>
        <v>7</v>
      </c>
      <c r="U130" s="5">
        <f t="shared" si="32"/>
        <v>4</v>
      </c>
      <c r="V130" s="5">
        <f>VLOOKUP(B130,'Loyd List 1-190 - Edit'!$A$2:$B$220,2,FALSE)</f>
        <v>6</v>
      </c>
      <c r="W130" s="155">
        <f t="shared" si="33"/>
        <v>1</v>
      </c>
      <c r="X130" s="169"/>
      <c r="Y130" s="169"/>
      <c r="Z130" s="169" t="s">
        <v>3078</v>
      </c>
      <c r="AA130" s="6">
        <v>359</v>
      </c>
      <c r="AB130" s="5">
        <f t="shared" si="53"/>
        <v>128</v>
      </c>
      <c r="AC130" s="5">
        <f t="shared" si="45"/>
        <v>1128</v>
      </c>
      <c r="AD130" s="97" t="str">
        <f t="shared" si="34"/>
        <v>158a</v>
      </c>
      <c r="AE130" s="5" t="str">
        <f t="shared" si="35"/>
        <v>Theodore Richard  KYLE (2010 - )</v>
      </c>
      <c r="AF130" s="5" t="str">
        <f t="shared" si="36"/>
        <v>Theodore KYLE (7th &amp; 158)</v>
      </c>
      <c r="AG130" s="110" t="str">
        <f t="shared" si="37"/>
        <v>Male</v>
      </c>
      <c r="AH130" s="5" t="str">
        <f t="shared" si="38"/>
        <v>7th</v>
      </c>
      <c r="AI130" s="5" t="str">
        <f t="shared" si="49"/>
        <v>Unmarried</v>
      </c>
      <c r="AJ130" s="105" t="str">
        <f t="shared" si="46"/>
        <v>Male. b. 05/03/2010 Born at UCH, London. Baptised March 2011</v>
      </c>
      <c r="AK130" s="105" t="str">
        <f t="shared" si="40"/>
        <v>b. 05/03/2010</v>
      </c>
    </row>
    <row r="131" spans="1:37" s="5" customFormat="1" ht="20">
      <c r="A131" s="5">
        <f>VLOOKUP(B131,'Loyd List 1-190 - Edit'!$P$1:$R$219,3,FALSE)</f>
        <v>114</v>
      </c>
      <c r="B131" s="5">
        <f t="shared" si="57"/>
        <v>159</v>
      </c>
      <c r="C131" s="184" t="s">
        <v>3080</v>
      </c>
      <c r="D131" s="161" t="s">
        <v>3079</v>
      </c>
      <c r="E131" s="137" t="s">
        <v>852</v>
      </c>
      <c r="F131" s="137" t="s">
        <v>977</v>
      </c>
      <c r="G131" s="137" t="s">
        <v>1497</v>
      </c>
      <c r="H131" s="137"/>
      <c r="I131" s="137">
        <f t="shared" si="50"/>
        <v>2010</v>
      </c>
      <c r="J131" s="137" t="str">
        <f t="shared" si="51"/>
        <v/>
      </c>
      <c r="K131" s="162" t="str">
        <f t="shared" si="55"/>
        <v>114 (159): 2010</v>
      </c>
      <c r="L131" s="163" t="str">
        <f t="shared" si="52"/>
        <v>15/05/2010</v>
      </c>
      <c r="M131" s="163">
        <v>40313</v>
      </c>
      <c r="N131" s="137"/>
      <c r="O131" s="163"/>
      <c r="P131" s="181" t="str">
        <f t="shared" ref="P131:P197" si="58">R131</f>
        <v/>
      </c>
      <c r="Q131" s="159">
        <f t="shared" si="56"/>
        <v>159</v>
      </c>
      <c r="R131" s="180" t="str">
        <f t="shared" ref="R131:R197" si="59">IF(LEN(O131)=4,O131,IF(O131="","",TEXT(O131,"dd/mm/yyyy")))</f>
        <v/>
      </c>
      <c r="S131" s="154" t="s">
        <v>3245</v>
      </c>
      <c r="T131" s="5">
        <f t="shared" ref="T131:T197" si="60">IF(B131&lt;10,V131+U131-1,IF(AND(B131&gt;=10,B131&lt;=99),V131+U131-2,V131+U131-3))</f>
        <v>7</v>
      </c>
      <c r="U131" s="5">
        <f t="shared" ref="U131:U197" si="61">LEN(C131)</f>
        <v>4</v>
      </c>
      <c r="V131" s="5">
        <f>VLOOKUP(B131,'Loyd List 1-190 - Edit'!$A$2:$B$220,2,FALSE)</f>
        <v>6</v>
      </c>
      <c r="W131" s="155">
        <f t="shared" ref="W131:W197" si="62">IF(LEN(C131)-IF(B131&lt;10,1,IF(AND(B131&gt;9,B131&lt;100),2,3))=1,1,IF(LEN(C131)-IF(B131&lt;10,1,IF(AND(B131&gt;9,B131&lt;100),2,3))=0,"SELF",LEN(C131)-IF(B131&lt;10,1,IF(AND(B131&gt;9,B131&lt;100),2,3))))</f>
        <v>1</v>
      </c>
      <c r="X131" s="169"/>
      <c r="Y131" s="169"/>
      <c r="Z131" s="169" t="s">
        <v>3083</v>
      </c>
      <c r="AA131" s="6">
        <v>360</v>
      </c>
      <c r="AB131" s="5">
        <f t="shared" si="53"/>
        <v>129</v>
      </c>
      <c r="AC131" s="5">
        <f t="shared" si="45"/>
        <v>1129</v>
      </c>
      <c r="AD131" s="97" t="str">
        <f t="shared" ref="AD131:AD197" si="63">C131</f>
        <v>159a</v>
      </c>
      <c r="AE131" s="5" t="str">
        <f t="shared" ref="AE131:AE197" si="64">_xlfn.CONCAT(E131," ",F131," ",G131," ",D131," (",I131," - ",J131,")")</f>
        <v>Thomas Philip Loyd GARDENER (2010 - )</v>
      </c>
      <c r="AF131" s="5" t="str">
        <f t="shared" ref="AF131:AF197" si="65">IF(H131="",_xlfn.CONCAT(E131," ",D131," (",AH131," &amp; ",B131,")"),_xlfn.CONCAT(H131," ",D131," (",AH131," &amp; ",B131,")"))</f>
        <v>Thomas GARDENER (7th &amp; 159)</v>
      </c>
      <c r="AG131" s="110" t="str">
        <f t="shared" ref="AG131:AG197" si="66">S131</f>
        <v>Male</v>
      </c>
      <c r="AH131" s="5" t="str">
        <f t="shared" ref="AH131:AH197" si="67">VLOOKUP(T131,$AQ$2:$AS$10,3,FALSE)</f>
        <v>7th</v>
      </c>
      <c r="AI131" s="5" t="str">
        <f t="shared" ref="AI131:AI144" si="68">IF(X131="","Unmarried",IF(AG131="Male",_xlfn.CONCAT("Wife: ",X131,". ",Y131),_xlfn.CONCAT("Husband: ",X131,". ",Y131)))</f>
        <v>Unmarried</v>
      </c>
      <c r="AJ131" s="105" t="str">
        <f t="shared" si="46"/>
        <v>Male. b. 15/05/2010 Born in Abu Dhabi.</v>
      </c>
      <c r="AK131" s="105" t="str">
        <f t="shared" ref="AK131:AK197" si="69">_xlfn.CONCAT(IF(L131="","b &amp; d dates unknown.",_xlfn.CONCAT("b. ",L131)),IF(P131="","",_xlfn.CONCAT(", d. ",P131,".")))</f>
        <v>b. 15/05/2010</v>
      </c>
    </row>
    <row r="132" spans="1:37" s="5" customFormat="1" ht="20">
      <c r="A132" s="5">
        <f>VLOOKUP(B132,'Loyd List 1-190 - Edit'!$P$1:$R$219,3,FALSE)</f>
        <v>114</v>
      </c>
      <c r="B132" s="5">
        <f t="shared" si="57"/>
        <v>159</v>
      </c>
      <c r="C132" s="184" t="s">
        <v>3081</v>
      </c>
      <c r="D132" s="161" t="s">
        <v>3079</v>
      </c>
      <c r="E132" s="137" t="s">
        <v>1988</v>
      </c>
      <c r="F132" s="137" t="s">
        <v>853</v>
      </c>
      <c r="G132" s="137" t="s">
        <v>3082</v>
      </c>
      <c r="H132" s="137"/>
      <c r="I132" s="137">
        <f t="shared" ref="I132:I144" si="70">IF(L132="","",VALUE(RIGHT(L132,4)))</f>
        <v>2013</v>
      </c>
      <c r="J132" s="137" t="str">
        <f t="shared" ref="J132:J145" si="71">IF(O132="","",VALUE(RIGHT(TEXT(O132,"dd/mm/yyyy"),4)))</f>
        <v/>
      </c>
      <c r="K132" s="162" t="str">
        <f t="shared" si="55"/>
        <v>114 (159): 2013</v>
      </c>
      <c r="L132" s="163" t="str">
        <f t="shared" ref="L132:L144" si="72">IF(M132="","",TEXT(M132,"dd/mm/yyyy"))</f>
        <v>09/03/2013</v>
      </c>
      <c r="M132" s="163">
        <v>41342</v>
      </c>
      <c r="N132" s="137"/>
      <c r="O132" s="163"/>
      <c r="P132" s="181" t="str">
        <f t="shared" si="58"/>
        <v/>
      </c>
      <c r="Q132" s="159">
        <f t="shared" si="56"/>
        <v>159</v>
      </c>
      <c r="R132" s="180" t="str">
        <f t="shared" si="59"/>
        <v/>
      </c>
      <c r="S132" s="154" t="s">
        <v>3244</v>
      </c>
      <c r="T132" s="5">
        <f t="shared" si="60"/>
        <v>7</v>
      </c>
      <c r="U132" s="5">
        <f t="shared" si="61"/>
        <v>4</v>
      </c>
      <c r="V132" s="5">
        <f>VLOOKUP(B132,'Loyd List 1-190 - Edit'!$A$2:$B$220,2,FALSE)</f>
        <v>6</v>
      </c>
      <c r="W132" s="155">
        <f t="shared" si="62"/>
        <v>1</v>
      </c>
      <c r="X132" s="169"/>
      <c r="Y132" s="169"/>
      <c r="Z132" s="169" t="s">
        <v>3083</v>
      </c>
      <c r="AA132" s="6">
        <v>361</v>
      </c>
      <c r="AB132" s="5">
        <f t="shared" ref="AB132:AB144" si="73">AB131+1</f>
        <v>130</v>
      </c>
      <c r="AC132" s="5">
        <f t="shared" ref="AC132:AC198" si="74">W132*1000+AB132</f>
        <v>1130</v>
      </c>
      <c r="AD132" s="97" t="str">
        <f t="shared" si="63"/>
        <v>159b</v>
      </c>
      <c r="AE132" s="5" t="str">
        <f t="shared" si="64"/>
        <v>Alice Daphne Straker GARDENER (2013 - )</v>
      </c>
      <c r="AF132" s="5" t="str">
        <f t="shared" si="65"/>
        <v>Alice GARDENER (7th &amp; 159)</v>
      </c>
      <c r="AG132" s="110" t="str">
        <f t="shared" si="66"/>
        <v>Female</v>
      </c>
      <c r="AH132" s="5" t="str">
        <f t="shared" si="67"/>
        <v>7th</v>
      </c>
      <c r="AI132" s="5" t="str">
        <f t="shared" si="68"/>
        <v>Unmarried</v>
      </c>
      <c r="AJ132" s="105" t="str">
        <f t="shared" ref="AJ132:AJ198" si="75">IF(Z132="",_xlfn.CONCAT(AG132,". ",AK132),_xlfn.CONCAT(AG132,". ",AK132," ",Z132))</f>
        <v>Female. b. 09/03/2013 Born in Abu Dhabi.</v>
      </c>
      <c r="AK132" s="105" t="str">
        <f t="shared" si="69"/>
        <v>b. 09/03/2013</v>
      </c>
    </row>
    <row r="133" spans="1:37" s="5" customFormat="1" ht="20">
      <c r="A133" s="5">
        <f>VLOOKUP(B133,'Loyd List 1-190 - Edit'!$P$1:$R$219,3,FALSE)</f>
        <v>119</v>
      </c>
      <c r="B133" s="5">
        <f t="shared" si="57"/>
        <v>161</v>
      </c>
      <c r="C133" s="184" t="s">
        <v>3085</v>
      </c>
      <c r="D133" s="161" t="s">
        <v>3084</v>
      </c>
      <c r="E133" s="137" t="s">
        <v>3086</v>
      </c>
      <c r="F133" s="137" t="s">
        <v>876</v>
      </c>
      <c r="G133" s="137"/>
      <c r="H133" s="137"/>
      <c r="I133" s="137">
        <f t="shared" si="70"/>
        <v>2014</v>
      </c>
      <c r="J133" s="137" t="str">
        <f t="shared" si="71"/>
        <v/>
      </c>
      <c r="K133" s="162" t="str">
        <f t="shared" si="55"/>
        <v>119 (161): 2014</v>
      </c>
      <c r="L133" s="163" t="str">
        <f t="shared" si="72"/>
        <v>24/03/2014</v>
      </c>
      <c r="M133" s="163">
        <v>41722</v>
      </c>
      <c r="N133" s="137"/>
      <c r="O133" s="163"/>
      <c r="P133" s="181" t="str">
        <f t="shared" si="58"/>
        <v/>
      </c>
      <c r="Q133" s="159">
        <f t="shared" si="56"/>
        <v>161</v>
      </c>
      <c r="R133" s="180" t="str">
        <f t="shared" si="59"/>
        <v/>
      </c>
      <c r="S133" s="154" t="s">
        <v>3244</v>
      </c>
      <c r="T133" s="5">
        <f t="shared" si="60"/>
        <v>7</v>
      </c>
      <c r="U133" s="5">
        <f t="shared" si="61"/>
        <v>4</v>
      </c>
      <c r="V133" s="5">
        <f>VLOOKUP(B133,'Loyd List 1-190 - Edit'!$A$2:$B$220,2,FALSE)</f>
        <v>6</v>
      </c>
      <c r="W133" s="155">
        <f t="shared" si="62"/>
        <v>1</v>
      </c>
      <c r="X133" s="169"/>
      <c r="Y133" s="169"/>
      <c r="Z133" s="169"/>
      <c r="AA133" s="6">
        <v>362</v>
      </c>
      <c r="AB133" s="5">
        <f t="shared" si="73"/>
        <v>131</v>
      </c>
      <c r="AC133" s="5">
        <f t="shared" si="74"/>
        <v>1131</v>
      </c>
      <c r="AD133" s="97" t="str">
        <f t="shared" si="63"/>
        <v>161a</v>
      </c>
      <c r="AE133" s="5" t="str">
        <f t="shared" si="64"/>
        <v>Alexia Charlotte  HAYNS (2014 - )</v>
      </c>
      <c r="AF133" s="5" t="str">
        <f t="shared" si="65"/>
        <v>Alexia HAYNS (7th &amp; 161)</v>
      </c>
      <c r="AG133" s="110" t="str">
        <f t="shared" si="66"/>
        <v>Female</v>
      </c>
      <c r="AH133" s="5" t="str">
        <f t="shared" si="67"/>
        <v>7th</v>
      </c>
      <c r="AI133" s="5" t="str">
        <f t="shared" si="68"/>
        <v>Unmarried</v>
      </c>
      <c r="AJ133" s="105" t="str">
        <f t="shared" si="75"/>
        <v>Female. b. 24/03/2014</v>
      </c>
      <c r="AK133" s="105" t="str">
        <f t="shared" si="69"/>
        <v>b. 24/03/2014</v>
      </c>
    </row>
    <row r="134" spans="1:37" s="5" customFormat="1" ht="20">
      <c r="A134" s="5">
        <f>VLOOKUP(B134,'Loyd List 1-190 - Edit'!$P$1:$R$219,3,FALSE)</f>
        <v>119</v>
      </c>
      <c r="B134" s="5">
        <f t="shared" si="57"/>
        <v>161</v>
      </c>
      <c r="C134" s="184" t="s">
        <v>3087</v>
      </c>
      <c r="D134" s="161" t="s">
        <v>3084</v>
      </c>
      <c r="E134" s="137" t="s">
        <v>811</v>
      </c>
      <c r="F134" s="137" t="s">
        <v>1497</v>
      </c>
      <c r="G134" s="137" t="s">
        <v>3088</v>
      </c>
      <c r="H134" s="137"/>
      <c r="I134" s="137">
        <f t="shared" si="70"/>
        <v>2016</v>
      </c>
      <c r="J134" s="137" t="str">
        <f t="shared" si="71"/>
        <v/>
      </c>
      <c r="K134" s="162" t="str">
        <f t="shared" si="55"/>
        <v>119 (161): 2016</v>
      </c>
      <c r="L134" s="163" t="str">
        <f t="shared" si="72"/>
        <v>30/09/2016</v>
      </c>
      <c r="M134" s="163">
        <v>42643</v>
      </c>
      <c r="N134" s="137"/>
      <c r="O134" s="163"/>
      <c r="P134" s="181" t="str">
        <f t="shared" si="58"/>
        <v/>
      </c>
      <c r="Q134" s="159">
        <f t="shared" si="56"/>
        <v>161</v>
      </c>
      <c r="R134" s="180" t="str">
        <f t="shared" si="59"/>
        <v/>
      </c>
      <c r="S134" s="154" t="s">
        <v>3245</v>
      </c>
      <c r="T134" s="5">
        <f t="shared" si="60"/>
        <v>7</v>
      </c>
      <c r="U134" s="5">
        <f t="shared" si="61"/>
        <v>4</v>
      </c>
      <c r="V134" s="5">
        <f>VLOOKUP(B134,'Loyd List 1-190 - Edit'!$A$2:$B$220,2,FALSE)</f>
        <v>6</v>
      </c>
      <c r="W134" s="155">
        <f t="shared" si="62"/>
        <v>1</v>
      </c>
      <c r="X134" s="169"/>
      <c r="Y134" s="169"/>
      <c r="Z134" s="169"/>
      <c r="AA134" s="6">
        <v>363</v>
      </c>
      <c r="AB134" s="5">
        <f t="shared" si="73"/>
        <v>132</v>
      </c>
      <c r="AC134" s="5">
        <f t="shared" si="74"/>
        <v>1132</v>
      </c>
      <c r="AD134" s="97" t="str">
        <f t="shared" si="63"/>
        <v>161b</v>
      </c>
      <c r="AE134" s="5" t="str">
        <f t="shared" si="64"/>
        <v>Edward Loyd Bickford HAYNS (2016 - )</v>
      </c>
      <c r="AF134" s="5" t="str">
        <f t="shared" si="65"/>
        <v>Edward HAYNS (7th &amp; 161)</v>
      </c>
      <c r="AG134" s="110" t="str">
        <f t="shared" si="66"/>
        <v>Male</v>
      </c>
      <c r="AH134" s="5" t="str">
        <f t="shared" si="67"/>
        <v>7th</v>
      </c>
      <c r="AI134" s="5" t="str">
        <f t="shared" si="68"/>
        <v>Unmarried</v>
      </c>
      <c r="AJ134" s="105" t="str">
        <f>IF(Z134="",_xlfn.CONCAT(AG134,". ",AK134),_xlfn.CONCAT(AG134,". ",AK134," ",Z134))</f>
        <v>Male. b. 30/09/2016</v>
      </c>
      <c r="AK134" s="105" t="str">
        <f>_xlfn.CONCAT(IF(L134="","b &amp; d dates unknown.",_xlfn.CONCAT("b. ",L134)),IF(P134="","",_xlfn.CONCAT(", d. ",P134,".")))</f>
        <v>b. 30/09/2016</v>
      </c>
    </row>
    <row r="135" spans="1:37" s="5" customFormat="1" ht="35">
      <c r="A135" s="5">
        <f>VLOOKUP(B135,'Loyd List 1-190 - Edit'!$P$1:$R$219,3,FALSE)</f>
        <v>119</v>
      </c>
      <c r="B135" s="5">
        <f t="shared" si="57"/>
        <v>163</v>
      </c>
      <c r="C135" s="184" t="s">
        <v>3654</v>
      </c>
      <c r="D135" s="161" t="s">
        <v>4107</v>
      </c>
      <c r="E135" s="137" t="s">
        <v>3655</v>
      </c>
      <c r="F135" s="137" t="s">
        <v>2170</v>
      </c>
      <c r="G135" s="137"/>
      <c r="H135" s="137"/>
      <c r="I135" s="137">
        <f t="shared" si="70"/>
        <v>2012</v>
      </c>
      <c r="J135" s="137" t="str">
        <f t="shared" si="71"/>
        <v/>
      </c>
      <c r="K135" s="162" t="str">
        <f t="shared" si="55"/>
        <v>119 (163): 2012</v>
      </c>
      <c r="L135" s="163" t="str">
        <f t="shared" si="72"/>
        <v>17/09/2012</v>
      </c>
      <c r="M135" s="163">
        <v>41169</v>
      </c>
      <c r="N135" s="137"/>
      <c r="O135" s="163"/>
      <c r="P135" s="181"/>
      <c r="Q135" s="159">
        <f t="shared" si="56"/>
        <v>163</v>
      </c>
      <c r="R135" s="180"/>
      <c r="S135" s="154" t="s">
        <v>3245</v>
      </c>
      <c r="T135" s="5">
        <f>IF(B135&lt;10,V135+U135-1,IF(AND(B135&gt;=10,B135&lt;=99),V135+U135-2,V135+U135-3))</f>
        <v>7</v>
      </c>
      <c r="U135" s="5">
        <f>LEN(C135)</f>
        <v>4</v>
      </c>
      <c r="V135" s="5">
        <f>VLOOKUP(B135,'Loyd List 1-190 - Edit'!$A$2:$B$220,2,FALSE)</f>
        <v>6</v>
      </c>
      <c r="W135" s="155">
        <f>IF(LEN(C135)-IF(B135&lt;10,1,IF(AND(B135&gt;9,B135&lt;100),2,3))=1,1,IF(LEN(C135)-IF(B135&lt;10,1,IF(AND(B135&gt;9,B135&lt;100),2,3))=0,"SELF",LEN(C135)-IF(B135&lt;10,1,IF(AND(B135&gt;9,B135&lt;100),2,3))))</f>
        <v>1</v>
      </c>
      <c r="X135" s="169"/>
      <c r="Y135" s="169"/>
      <c r="Z135" s="169"/>
      <c r="AA135" s="6"/>
      <c r="AB135" s="5">
        <f t="shared" si="73"/>
        <v>133</v>
      </c>
      <c r="AC135" s="5">
        <f t="shared" si="74"/>
        <v>1133</v>
      </c>
      <c r="AD135" s="97" t="str">
        <f t="shared" si="63"/>
        <v>163a</v>
      </c>
      <c r="AE135" s="5" t="str">
        <f t="shared" si="64"/>
        <v xml:space="preserve">
Thomas Stephen  DINSMORE (2012 - )</v>
      </c>
      <c r="AF135" s="5" t="str">
        <f t="shared" si="65"/>
        <v xml:space="preserve">
Thomas DINSMORE (7th &amp; 163)</v>
      </c>
      <c r="AG135" s="110" t="s">
        <v>3245</v>
      </c>
      <c r="AH135" s="5" t="str">
        <f t="shared" si="67"/>
        <v>7th</v>
      </c>
      <c r="AI135" s="5" t="str">
        <f t="shared" si="68"/>
        <v>Unmarried</v>
      </c>
      <c r="AJ135" s="105" t="str">
        <f>IF(Z135="",_xlfn.CONCAT(AG135,". ",AK135),_xlfn.CONCAT(AG135,". ",AK135," ",Z135))</f>
        <v>Male. b. 17/09/2012</v>
      </c>
      <c r="AK135" s="105" t="str">
        <f>_xlfn.CONCAT(IF(L135="","b &amp; d dates unknown.",_xlfn.CONCAT("b. ",L135)),IF(P135="","",_xlfn.CONCAT(", d. ",P135,".")))</f>
        <v>b. 17/09/2012</v>
      </c>
    </row>
    <row r="136" spans="1:37" s="5" customFormat="1" ht="20">
      <c r="A136" s="5">
        <f>VLOOKUP(B136,'Loyd List 1-190 - Edit'!$P$1:$R$219,3,FALSE)</f>
        <v>119</v>
      </c>
      <c r="B136" s="5">
        <f t="shared" si="57"/>
        <v>163</v>
      </c>
      <c r="C136" s="184" t="s">
        <v>3656</v>
      </c>
      <c r="D136" s="161" t="s">
        <v>4107</v>
      </c>
      <c r="E136" s="137" t="s">
        <v>870</v>
      </c>
      <c r="F136" s="137" t="s">
        <v>3657</v>
      </c>
      <c r="G136" s="137"/>
      <c r="H136" s="137"/>
      <c r="I136" s="137">
        <f t="shared" si="70"/>
        <v>2014</v>
      </c>
      <c r="J136" s="137" t="str">
        <f t="shared" si="71"/>
        <v/>
      </c>
      <c r="K136" s="162" t="str">
        <f t="shared" si="55"/>
        <v>119 (163): 2014</v>
      </c>
      <c r="L136" s="163" t="str">
        <f t="shared" si="72"/>
        <v>20/10/2014</v>
      </c>
      <c r="M136" s="163">
        <v>41932</v>
      </c>
      <c r="N136" s="137"/>
      <c r="O136" s="163"/>
      <c r="P136" s="181"/>
      <c r="Q136" s="159">
        <f t="shared" si="56"/>
        <v>163</v>
      </c>
      <c r="R136" s="180"/>
      <c r="S136" s="154" t="s">
        <v>3244</v>
      </c>
      <c r="T136" s="5">
        <f>IF(B136&lt;10,V136+U136-1,IF(AND(B136&gt;=10,B136&lt;=99),V136+U136-2,V136+U136-3))</f>
        <v>7</v>
      </c>
      <c r="U136" s="5">
        <f>LEN(C136)</f>
        <v>4</v>
      </c>
      <c r="V136" s="5">
        <f>VLOOKUP(B136,'Loyd List 1-190 - Edit'!$A$2:$B$220,2,FALSE)</f>
        <v>6</v>
      </c>
      <c r="W136" s="155">
        <f>IF(LEN(C136)-IF(B136&lt;10,1,IF(AND(B136&gt;9,B136&lt;100),2,3))=1,1,IF(LEN(C136)-IF(B136&lt;10,1,IF(AND(B136&gt;9,B136&lt;100),2,3))=0,"SELF",LEN(C136)-IF(B136&lt;10,1,IF(AND(B136&gt;9,B136&lt;100),2,3))))</f>
        <v>1</v>
      </c>
      <c r="X136" s="169"/>
      <c r="Y136" s="169"/>
      <c r="Z136" s="169"/>
      <c r="AA136" s="6"/>
      <c r="AB136" s="5">
        <f t="shared" si="73"/>
        <v>134</v>
      </c>
      <c r="AC136" s="5">
        <f t="shared" si="74"/>
        <v>1134</v>
      </c>
      <c r="AD136" s="97" t="str">
        <f t="shared" si="63"/>
        <v>163b</v>
      </c>
      <c r="AE136" s="5" t="str">
        <f t="shared" si="64"/>
        <v>Mary Charlotte   DINSMORE (2014 - )</v>
      </c>
      <c r="AF136" s="5" t="str">
        <f t="shared" si="65"/>
        <v>Mary DINSMORE (7th &amp; 163)</v>
      </c>
      <c r="AG136" s="110" t="s">
        <v>3244</v>
      </c>
      <c r="AH136" s="5" t="str">
        <f t="shared" si="67"/>
        <v>7th</v>
      </c>
      <c r="AI136" s="5" t="str">
        <f t="shared" si="68"/>
        <v>Unmarried</v>
      </c>
      <c r="AJ136" s="105" t="str">
        <f t="shared" si="75"/>
        <v>Female. b. 20/10/2014</v>
      </c>
      <c r="AK136" s="105" t="str">
        <f>_xlfn.CONCAT(IF(L136="","b &amp; d dates unknown.",_xlfn.CONCAT("b. ",L136)),IF(P136="","",_xlfn.CONCAT(", d. ",P136,".")))</f>
        <v>b. 20/10/2014</v>
      </c>
    </row>
    <row r="137" spans="1:37" s="5" customFormat="1" ht="20">
      <c r="A137" s="5">
        <f>VLOOKUP(B137,'Loyd List 1-190 - Edit'!$P$1:$R$219,3,FALSE)</f>
        <v>136</v>
      </c>
      <c r="B137" s="5">
        <f t="shared" si="57"/>
        <v>164</v>
      </c>
      <c r="C137" s="184" t="s">
        <v>3094</v>
      </c>
      <c r="D137" s="161" t="s">
        <v>3093</v>
      </c>
      <c r="E137" s="137" t="s">
        <v>3095</v>
      </c>
      <c r="F137" s="137" t="s">
        <v>865</v>
      </c>
      <c r="G137" s="137" t="s">
        <v>1497</v>
      </c>
      <c r="H137" s="137" t="s">
        <v>3059</v>
      </c>
      <c r="I137" s="137">
        <f t="shared" si="70"/>
        <v>2016</v>
      </c>
      <c r="J137" s="137" t="str">
        <f t="shared" si="71"/>
        <v/>
      </c>
      <c r="K137" s="162" t="str">
        <f t="shared" si="55"/>
        <v>136 (164): 2016</v>
      </c>
      <c r="L137" s="163" t="str">
        <f t="shared" si="72"/>
        <v>16/05/2016</v>
      </c>
      <c r="M137" s="163">
        <v>42506</v>
      </c>
      <c r="N137" s="137"/>
      <c r="O137" s="163"/>
      <c r="P137" s="181" t="str">
        <f t="shared" si="58"/>
        <v/>
      </c>
      <c r="Q137" s="159">
        <f t="shared" si="56"/>
        <v>164</v>
      </c>
      <c r="R137" s="180" t="str">
        <f t="shared" si="59"/>
        <v/>
      </c>
      <c r="S137" s="154" t="s">
        <v>3245</v>
      </c>
      <c r="T137" s="5">
        <f t="shared" si="60"/>
        <v>8</v>
      </c>
      <c r="U137" s="5">
        <f t="shared" si="61"/>
        <v>4</v>
      </c>
      <c r="V137" s="5">
        <f>VLOOKUP(B137,'Loyd List 1-190 - Edit'!$A$2:$B$220,2,FALSE)</f>
        <v>7</v>
      </c>
      <c r="W137" s="155">
        <f t="shared" si="62"/>
        <v>1</v>
      </c>
      <c r="X137" s="169"/>
      <c r="Y137" s="169"/>
      <c r="Z137" s="169" t="s">
        <v>3100</v>
      </c>
      <c r="AA137" s="6">
        <v>364</v>
      </c>
      <c r="AB137" s="5">
        <f t="shared" si="73"/>
        <v>135</v>
      </c>
      <c r="AC137" s="5">
        <f t="shared" si="74"/>
        <v>1135</v>
      </c>
      <c r="AD137" s="97" t="str">
        <f t="shared" si="63"/>
        <v>164a</v>
      </c>
      <c r="AE137" s="5" t="str">
        <f t="shared" si="64"/>
        <v>Fredrick Peter Loyd LEASK (2016 - )</v>
      </c>
      <c r="AF137" s="5" t="str">
        <f t="shared" si="65"/>
        <v>Freddie LEASK (8th &amp; 164)</v>
      </c>
      <c r="AG137" s="110" t="str">
        <f t="shared" si="66"/>
        <v>Male</v>
      </c>
      <c r="AH137" s="5" t="str">
        <f t="shared" si="67"/>
        <v>8th</v>
      </c>
      <c r="AI137" s="5" t="str">
        <f t="shared" si="68"/>
        <v>Unmarried</v>
      </c>
      <c r="AJ137" s="105" t="str">
        <f t="shared" si="75"/>
        <v>Male. b. 16/05/2016 Born at Lincoln County Hospital</v>
      </c>
      <c r="AK137" s="105" t="str">
        <f t="shared" si="69"/>
        <v>b. 16/05/2016</v>
      </c>
    </row>
    <row r="138" spans="1:37" s="5" customFormat="1" ht="20">
      <c r="A138" s="5">
        <f>VLOOKUP(B138,'Loyd List 1-190 - Edit'!$P$1:$R$219,3,FALSE)</f>
        <v>136</v>
      </c>
      <c r="B138" s="5">
        <f t="shared" si="57"/>
        <v>164</v>
      </c>
      <c r="C138" s="184" t="s">
        <v>3096</v>
      </c>
      <c r="D138" s="161" t="s">
        <v>3093</v>
      </c>
      <c r="E138" s="137" t="s">
        <v>3098</v>
      </c>
      <c r="F138" s="137" t="s">
        <v>924</v>
      </c>
      <c r="G138" s="137" t="s">
        <v>3099</v>
      </c>
      <c r="H138" s="137"/>
      <c r="I138" s="137">
        <f t="shared" si="70"/>
        <v>2018</v>
      </c>
      <c r="J138" s="137" t="str">
        <f t="shared" si="71"/>
        <v/>
      </c>
      <c r="K138" s="162" t="str">
        <f t="shared" si="55"/>
        <v>136 (164): 2018</v>
      </c>
      <c r="L138" s="163" t="str">
        <f t="shared" si="72"/>
        <v>13/03/2018</v>
      </c>
      <c r="M138" s="163">
        <v>43172</v>
      </c>
      <c r="N138" s="137"/>
      <c r="O138" s="163"/>
      <c r="P138" s="181" t="str">
        <f t="shared" si="58"/>
        <v/>
      </c>
      <c r="Q138" s="159">
        <f t="shared" si="56"/>
        <v>164</v>
      </c>
      <c r="R138" s="180" t="str">
        <f t="shared" si="59"/>
        <v/>
      </c>
      <c r="S138" s="154" t="s">
        <v>3245</v>
      </c>
      <c r="T138" s="5">
        <f t="shared" si="60"/>
        <v>8</v>
      </c>
      <c r="U138" s="5">
        <f t="shared" si="61"/>
        <v>4</v>
      </c>
      <c r="V138" s="5">
        <f>VLOOKUP(B138,'Loyd List 1-190 - Edit'!$A$2:$B$220,2,FALSE)</f>
        <v>7</v>
      </c>
      <c r="W138" s="155">
        <f t="shared" si="62"/>
        <v>1</v>
      </c>
      <c r="X138" s="169"/>
      <c r="Y138" s="169"/>
      <c r="Z138" s="169" t="s">
        <v>3101</v>
      </c>
      <c r="AA138" s="6">
        <v>365</v>
      </c>
      <c r="AB138" s="5">
        <f t="shared" si="73"/>
        <v>136</v>
      </c>
      <c r="AC138" s="5">
        <f t="shared" si="74"/>
        <v>1136</v>
      </c>
      <c r="AD138" s="97" t="str">
        <f t="shared" si="63"/>
        <v>164b</v>
      </c>
      <c r="AE138" s="5" t="str">
        <f t="shared" si="64"/>
        <v>Hamish Alexander Cormack LEASK (2018 - )</v>
      </c>
      <c r="AF138" s="5" t="str">
        <f t="shared" si="65"/>
        <v>Hamish LEASK (8th &amp; 164)</v>
      </c>
      <c r="AG138" s="110" t="str">
        <f t="shared" si="66"/>
        <v>Male</v>
      </c>
      <c r="AH138" s="5" t="str">
        <f t="shared" si="67"/>
        <v>8th</v>
      </c>
      <c r="AI138" s="5" t="str">
        <f t="shared" si="68"/>
        <v>Unmarried</v>
      </c>
      <c r="AJ138" s="105" t="str">
        <f t="shared" si="75"/>
        <v>Male. b. 13/03/2018 Born in Bristol</v>
      </c>
      <c r="AK138" s="105" t="str">
        <f t="shared" si="69"/>
        <v>b. 13/03/2018</v>
      </c>
    </row>
    <row r="139" spans="1:37" s="5" customFormat="1" ht="20">
      <c r="A139" s="5">
        <f>VLOOKUP(B139,'Loyd List 1-190 - Edit'!$P$1:$R$219,3,FALSE)</f>
        <v>136</v>
      </c>
      <c r="B139" s="5">
        <f t="shared" si="57"/>
        <v>164</v>
      </c>
      <c r="C139" s="184" t="s">
        <v>3097</v>
      </c>
      <c r="D139" s="161" t="s">
        <v>3093</v>
      </c>
      <c r="E139" s="137" t="s">
        <v>3058</v>
      </c>
      <c r="F139" s="137" t="s">
        <v>1442</v>
      </c>
      <c r="G139" s="137" t="s">
        <v>3102</v>
      </c>
      <c r="H139" s="137"/>
      <c r="I139" s="137">
        <f t="shared" si="70"/>
        <v>2020</v>
      </c>
      <c r="J139" s="137" t="str">
        <f t="shared" si="71"/>
        <v/>
      </c>
      <c r="K139" s="162" t="str">
        <f t="shared" si="55"/>
        <v>136 (164): 2020</v>
      </c>
      <c r="L139" s="163" t="str">
        <f t="shared" si="72"/>
        <v>25/09/2020</v>
      </c>
      <c r="M139" s="163">
        <v>44099</v>
      </c>
      <c r="N139" s="137"/>
      <c r="O139" s="163"/>
      <c r="P139" s="181" t="str">
        <f t="shared" si="58"/>
        <v/>
      </c>
      <c r="Q139" s="159">
        <f t="shared" si="56"/>
        <v>164</v>
      </c>
      <c r="R139" s="180" t="str">
        <f t="shared" si="59"/>
        <v/>
      </c>
      <c r="S139" s="154" t="s">
        <v>3245</v>
      </c>
      <c r="T139" s="5">
        <f t="shared" si="60"/>
        <v>8</v>
      </c>
      <c r="U139" s="5">
        <f t="shared" si="61"/>
        <v>4</v>
      </c>
      <c r="V139" s="5">
        <f>VLOOKUP(B139,'Loyd List 1-190 - Edit'!$A$2:$B$220,2,FALSE)</f>
        <v>7</v>
      </c>
      <c r="W139" s="155">
        <f t="shared" si="62"/>
        <v>1</v>
      </c>
      <c r="X139" s="169"/>
      <c r="Y139" s="169"/>
      <c r="Z139" s="169" t="s">
        <v>3103</v>
      </c>
      <c r="AA139" s="6">
        <v>366</v>
      </c>
      <c r="AB139" s="5">
        <f t="shared" si="73"/>
        <v>137</v>
      </c>
      <c r="AC139" s="5">
        <f t="shared" si="74"/>
        <v>1137</v>
      </c>
      <c r="AD139" s="97" t="str">
        <f t="shared" si="63"/>
        <v>164c</v>
      </c>
      <c r="AE139" s="5" t="str">
        <f t="shared" si="64"/>
        <v>Otto Angus Davis LEASK (2020 - )</v>
      </c>
      <c r="AF139" s="5" t="str">
        <f t="shared" si="65"/>
        <v>Otto LEASK (8th &amp; 164)</v>
      </c>
      <c r="AG139" s="110" t="str">
        <f t="shared" si="66"/>
        <v>Male</v>
      </c>
      <c r="AH139" s="5" t="str">
        <f t="shared" si="67"/>
        <v>8th</v>
      </c>
      <c r="AI139" s="5" t="str">
        <f t="shared" si="68"/>
        <v>Unmarried</v>
      </c>
      <c r="AJ139" s="105" t="str">
        <f t="shared" si="75"/>
        <v>Male. b. 25/09/2020 Born in Abderdeen</v>
      </c>
      <c r="AK139" s="105" t="str">
        <f t="shared" si="69"/>
        <v>b. 25/09/2020</v>
      </c>
    </row>
    <row r="140" spans="1:37" s="5" customFormat="1" ht="20">
      <c r="A140" s="5">
        <f>VLOOKUP(B140,'Loyd List 1-190 - Edit'!$P$1:$R$219,3,FALSE)</f>
        <v>136</v>
      </c>
      <c r="B140" s="5">
        <f t="shared" si="57"/>
        <v>165</v>
      </c>
      <c r="C140" s="184" t="s">
        <v>3105</v>
      </c>
      <c r="D140" s="161" t="s">
        <v>3106</v>
      </c>
      <c r="E140" s="137" t="s">
        <v>3107</v>
      </c>
      <c r="F140" s="137" t="s">
        <v>3108</v>
      </c>
      <c r="G140" s="137"/>
      <c r="H140" s="137"/>
      <c r="I140" s="137">
        <f t="shared" si="70"/>
        <v>2017</v>
      </c>
      <c r="J140" s="137" t="str">
        <f t="shared" si="71"/>
        <v/>
      </c>
      <c r="K140" s="162" t="str">
        <f t="shared" si="55"/>
        <v>136 (165): 2017</v>
      </c>
      <c r="L140" s="163" t="str">
        <f t="shared" si="72"/>
        <v>16/07/2017</v>
      </c>
      <c r="M140" s="163">
        <v>42932</v>
      </c>
      <c r="N140" s="137"/>
      <c r="O140" s="163"/>
      <c r="P140" s="181" t="str">
        <f t="shared" si="58"/>
        <v/>
      </c>
      <c r="Q140" s="159">
        <f t="shared" si="56"/>
        <v>165</v>
      </c>
      <c r="R140" s="180" t="str">
        <f t="shared" si="59"/>
        <v/>
      </c>
      <c r="S140" s="154" t="s">
        <v>3244</v>
      </c>
      <c r="T140" s="5">
        <f t="shared" si="60"/>
        <v>8</v>
      </c>
      <c r="U140" s="5">
        <f t="shared" si="61"/>
        <v>4</v>
      </c>
      <c r="V140" s="5">
        <f>VLOOKUP(B140,'Loyd List 1-190 - Edit'!$A$2:$B$220,2,FALSE)</f>
        <v>7</v>
      </c>
      <c r="W140" s="155">
        <f t="shared" si="62"/>
        <v>1</v>
      </c>
      <c r="X140" s="169"/>
      <c r="Y140" s="169"/>
      <c r="Z140" s="169" t="s">
        <v>3112</v>
      </c>
      <c r="AA140" s="6">
        <v>367</v>
      </c>
      <c r="AB140" s="5">
        <f t="shared" si="73"/>
        <v>138</v>
      </c>
      <c r="AC140" s="5">
        <f t="shared" si="74"/>
        <v>1138</v>
      </c>
      <c r="AD140" s="97" t="str">
        <f t="shared" si="63"/>
        <v>165a</v>
      </c>
      <c r="AE140" s="5" t="str">
        <f t="shared" si="64"/>
        <v>Leila Cherry  PURI (2017 - )</v>
      </c>
      <c r="AF140" s="5" t="str">
        <f t="shared" si="65"/>
        <v>Leila PURI (8th &amp; 165)</v>
      </c>
      <c r="AG140" s="110" t="str">
        <f t="shared" si="66"/>
        <v>Female</v>
      </c>
      <c r="AH140" s="5" t="str">
        <f t="shared" si="67"/>
        <v>8th</v>
      </c>
      <c r="AI140" s="5" t="str">
        <f t="shared" si="68"/>
        <v>Unmarried</v>
      </c>
      <c r="AJ140" s="105" t="str">
        <f t="shared" si="75"/>
        <v>Female. b. 16/07/2017 Born London.</v>
      </c>
      <c r="AK140" s="105" t="str">
        <f t="shared" si="69"/>
        <v>b. 16/07/2017</v>
      </c>
    </row>
    <row r="141" spans="1:37" s="5" customFormat="1" ht="20">
      <c r="A141" s="5">
        <f>VLOOKUP(B141,'Loyd List 1-190 - Edit'!$P$1:$R$219,3,FALSE)</f>
        <v>136</v>
      </c>
      <c r="B141" s="5">
        <f t="shared" si="57"/>
        <v>165</v>
      </c>
      <c r="C141" s="184" t="s">
        <v>3109</v>
      </c>
      <c r="D141" s="161" t="s">
        <v>3106</v>
      </c>
      <c r="E141" s="137" t="s">
        <v>3110</v>
      </c>
      <c r="F141" s="137" t="s">
        <v>3111</v>
      </c>
      <c r="G141" s="137"/>
      <c r="H141" s="137"/>
      <c r="I141" s="137">
        <f t="shared" si="70"/>
        <v>2019</v>
      </c>
      <c r="J141" s="137" t="str">
        <f t="shared" si="71"/>
        <v/>
      </c>
      <c r="K141" s="162" t="str">
        <f t="shared" si="55"/>
        <v>136 (165): 2019</v>
      </c>
      <c r="L141" s="163" t="str">
        <f t="shared" si="72"/>
        <v>03/04/2019</v>
      </c>
      <c r="M141" s="163">
        <v>43558</v>
      </c>
      <c r="N141" s="137"/>
      <c r="O141" s="163"/>
      <c r="P141" s="181" t="str">
        <f t="shared" si="58"/>
        <v/>
      </c>
      <c r="Q141" s="159">
        <f t="shared" si="56"/>
        <v>165</v>
      </c>
      <c r="R141" s="180" t="str">
        <f t="shared" si="59"/>
        <v/>
      </c>
      <c r="S141" s="154" t="s">
        <v>3244</v>
      </c>
      <c r="T141" s="5">
        <f t="shared" si="60"/>
        <v>8</v>
      </c>
      <c r="U141" s="5">
        <f t="shared" si="61"/>
        <v>4</v>
      </c>
      <c r="V141" s="5">
        <f>VLOOKUP(B141,'Loyd List 1-190 - Edit'!$A$2:$B$220,2,FALSE)</f>
        <v>7</v>
      </c>
      <c r="W141" s="155">
        <f t="shared" si="62"/>
        <v>1</v>
      </c>
      <c r="X141" s="169"/>
      <c r="Y141" s="169"/>
      <c r="Z141" s="169" t="s">
        <v>3112</v>
      </c>
      <c r="AA141" s="6">
        <v>368</v>
      </c>
      <c r="AB141" s="5">
        <f t="shared" si="73"/>
        <v>139</v>
      </c>
      <c r="AC141" s="5">
        <f t="shared" si="74"/>
        <v>1139</v>
      </c>
      <c r="AD141" s="97" t="str">
        <f t="shared" si="63"/>
        <v>165b</v>
      </c>
      <c r="AE141" s="5" t="str">
        <f t="shared" si="64"/>
        <v>Alana Kailash  PURI (2019 - )</v>
      </c>
      <c r="AF141" s="5" t="str">
        <f t="shared" si="65"/>
        <v>Alana PURI (8th &amp; 165)</v>
      </c>
      <c r="AG141" s="110" t="str">
        <f t="shared" si="66"/>
        <v>Female</v>
      </c>
      <c r="AH141" s="5" t="str">
        <f t="shared" si="67"/>
        <v>8th</v>
      </c>
      <c r="AI141" s="5" t="str">
        <f t="shared" si="68"/>
        <v>Unmarried</v>
      </c>
      <c r="AJ141" s="105" t="str">
        <f t="shared" si="75"/>
        <v>Female. b. 03/04/2019 Born London.</v>
      </c>
      <c r="AK141" s="105" t="str">
        <f t="shared" si="69"/>
        <v>b. 03/04/2019</v>
      </c>
    </row>
    <row r="142" spans="1:37" s="5" customFormat="1" ht="20">
      <c r="A142" s="5">
        <f>VLOOKUP(B142,'Loyd List 1-190 - Edit'!$P$1:$R$219,3,FALSE)</f>
        <v>138</v>
      </c>
      <c r="B142" s="5">
        <f t="shared" si="57"/>
        <v>168</v>
      </c>
      <c r="C142" s="184" t="s">
        <v>3114</v>
      </c>
      <c r="D142" s="161" t="s">
        <v>2151</v>
      </c>
      <c r="E142" s="137" t="s">
        <v>1589</v>
      </c>
      <c r="F142" s="137" t="s">
        <v>3115</v>
      </c>
      <c r="G142" s="137" t="s">
        <v>3116</v>
      </c>
      <c r="H142" s="137"/>
      <c r="I142" s="137">
        <f t="shared" si="70"/>
        <v>2020</v>
      </c>
      <c r="J142" s="137" t="str">
        <f t="shared" si="71"/>
        <v/>
      </c>
      <c r="K142" s="162" t="str">
        <f t="shared" si="55"/>
        <v>138 (168): 2020</v>
      </c>
      <c r="L142" s="163" t="str">
        <f t="shared" si="72"/>
        <v>10/12/2020</v>
      </c>
      <c r="M142" s="163">
        <v>44175</v>
      </c>
      <c r="N142" s="137"/>
      <c r="O142" s="163"/>
      <c r="P142" s="181" t="str">
        <f t="shared" si="58"/>
        <v/>
      </c>
      <c r="Q142" s="159">
        <f t="shared" si="56"/>
        <v>168</v>
      </c>
      <c r="R142" s="180" t="str">
        <f t="shared" si="59"/>
        <v/>
      </c>
      <c r="S142" s="154" t="s">
        <v>3245</v>
      </c>
      <c r="T142" s="5">
        <f t="shared" si="60"/>
        <v>8</v>
      </c>
      <c r="U142" s="5">
        <f t="shared" si="61"/>
        <v>4</v>
      </c>
      <c r="V142" s="5">
        <f>VLOOKUP(B142,'Loyd List 1-190 - Edit'!$A$2:$B$220,2,FALSE)</f>
        <v>7</v>
      </c>
      <c r="W142" s="155">
        <f t="shared" si="62"/>
        <v>1</v>
      </c>
      <c r="X142" s="169"/>
      <c r="Y142" s="169"/>
      <c r="Z142" s="169"/>
      <c r="AA142" s="6">
        <v>369</v>
      </c>
      <c r="AB142" s="5">
        <f t="shared" si="73"/>
        <v>140</v>
      </c>
      <c r="AC142" s="5">
        <f t="shared" si="74"/>
        <v>1140</v>
      </c>
      <c r="AD142" s="97" t="str">
        <f t="shared" si="63"/>
        <v>168a</v>
      </c>
      <c r="AE142" s="5" t="str">
        <f t="shared" si="64"/>
        <v>Nicholas Rudyard Wroughton POWELL (2020 - )</v>
      </c>
      <c r="AF142" s="5" t="str">
        <f t="shared" si="65"/>
        <v>Nicholas POWELL (8th &amp; 168)</v>
      </c>
      <c r="AG142" s="110" t="str">
        <f t="shared" si="66"/>
        <v>Male</v>
      </c>
      <c r="AH142" s="5" t="str">
        <f t="shared" si="67"/>
        <v>8th</v>
      </c>
      <c r="AI142" s="5" t="str">
        <f t="shared" si="68"/>
        <v>Unmarried</v>
      </c>
      <c r="AJ142" s="105" t="str">
        <f t="shared" si="75"/>
        <v>Male. b. 10/12/2020</v>
      </c>
      <c r="AK142" s="105" t="str">
        <f t="shared" si="69"/>
        <v>b. 10/12/2020</v>
      </c>
    </row>
    <row r="143" spans="1:37" s="5" customFormat="1" ht="22" customHeight="1">
      <c r="A143" s="5">
        <f>VLOOKUP(B143,'Loyd List 1-190 - Edit'!$P$1:$R$219,3,FALSE)</f>
        <v>138</v>
      </c>
      <c r="B143" s="5">
        <f t="shared" si="57"/>
        <v>168</v>
      </c>
      <c r="C143" s="184" t="s">
        <v>4065</v>
      </c>
      <c r="D143" s="161" t="s">
        <v>4064</v>
      </c>
      <c r="E143" s="137" t="s">
        <v>2211</v>
      </c>
      <c r="F143" s="137" t="s">
        <v>4066</v>
      </c>
      <c r="G143" s="137" t="s">
        <v>4067</v>
      </c>
      <c r="H143" s="137"/>
      <c r="I143" s="137">
        <f t="shared" si="70"/>
        <v>2022</v>
      </c>
      <c r="J143" s="137" t="str">
        <f t="shared" si="71"/>
        <v/>
      </c>
      <c r="K143" s="162" t="str">
        <f t="shared" si="55"/>
        <v>138 (168): 2022</v>
      </c>
      <c r="L143" s="163" t="str">
        <f t="shared" si="72"/>
        <v>31/03/2022</v>
      </c>
      <c r="M143" s="163">
        <v>44651</v>
      </c>
      <c r="N143" s="137"/>
      <c r="O143" s="163"/>
      <c r="P143" s="181"/>
      <c r="Q143" s="159">
        <f t="shared" si="56"/>
        <v>168</v>
      </c>
      <c r="R143" s="180"/>
      <c r="S143" s="154" t="s">
        <v>3244</v>
      </c>
      <c r="T143" s="5">
        <f t="shared" si="60"/>
        <v>8</v>
      </c>
      <c r="U143" s="5">
        <f t="shared" si="61"/>
        <v>4</v>
      </c>
      <c r="V143" s="5">
        <f>VLOOKUP(B143,'Loyd List 1-190 - Edit'!$A$2:$B$220,2,FALSE)</f>
        <v>7</v>
      </c>
      <c r="W143" s="155">
        <f t="shared" si="62"/>
        <v>1</v>
      </c>
      <c r="X143" s="169"/>
      <c r="Y143" s="169"/>
      <c r="Z143" s="169"/>
      <c r="AA143" s="6">
        <v>370</v>
      </c>
      <c r="AB143" s="5">
        <f t="shared" si="73"/>
        <v>141</v>
      </c>
      <c r="AC143" s="5">
        <f t="shared" si="74"/>
        <v>1141</v>
      </c>
      <c r="AD143" s="97" t="str">
        <f t="shared" si="63"/>
        <v>168b</v>
      </c>
      <c r="AE143" s="5" t="str">
        <f t="shared" si="64"/>
        <v>Florence Sofia Berners POWELL  (2022 - )</v>
      </c>
      <c r="AF143" s="5" t="str">
        <f t="shared" si="65"/>
        <v>Florence POWELL  (8th &amp; 168)</v>
      </c>
      <c r="AG143" s="110" t="str">
        <f t="shared" si="66"/>
        <v>Female</v>
      </c>
      <c r="AH143" s="5" t="str">
        <f t="shared" si="67"/>
        <v>8th</v>
      </c>
      <c r="AI143" s="5" t="str">
        <f t="shared" si="68"/>
        <v>Unmarried</v>
      </c>
      <c r="AJ143" s="105" t="str">
        <f t="shared" si="75"/>
        <v>Female. b. 31/03/2022</v>
      </c>
      <c r="AK143" s="105" t="str">
        <f t="shared" si="69"/>
        <v>b. 31/03/2022</v>
      </c>
    </row>
    <row r="144" spans="1:37" s="5" customFormat="1" ht="20">
      <c r="A144" s="5">
        <f>VLOOKUP(B144,'Loyd List 1-190 - Edit'!$P$1:$R$219,3,FALSE)</f>
        <v>138</v>
      </c>
      <c r="B144" s="5">
        <f t="shared" si="57"/>
        <v>170</v>
      </c>
      <c r="C144" s="184" t="s">
        <v>3117</v>
      </c>
      <c r="D144" s="161" t="s">
        <v>2151</v>
      </c>
      <c r="E144" s="137" t="s">
        <v>1442</v>
      </c>
      <c r="F144" s="137" t="s">
        <v>852</v>
      </c>
      <c r="G144" s="137" t="s">
        <v>3118</v>
      </c>
      <c r="H144" s="137"/>
      <c r="I144" s="137">
        <f t="shared" si="70"/>
        <v>2021</v>
      </c>
      <c r="J144" s="137" t="str">
        <f t="shared" si="71"/>
        <v/>
      </c>
      <c r="K144" s="162" t="str">
        <f t="shared" si="55"/>
        <v>138 (170): 2021</v>
      </c>
      <c r="L144" s="163" t="str">
        <f t="shared" si="72"/>
        <v>27/06/2021</v>
      </c>
      <c r="M144" s="163">
        <v>44374</v>
      </c>
      <c r="N144" s="137"/>
      <c r="O144" s="163"/>
      <c r="P144" s="181" t="str">
        <f t="shared" si="58"/>
        <v/>
      </c>
      <c r="Q144" s="159">
        <f t="shared" si="56"/>
        <v>170</v>
      </c>
      <c r="R144" s="180" t="str">
        <f t="shared" si="59"/>
        <v/>
      </c>
      <c r="S144" s="154" t="s">
        <v>3245</v>
      </c>
      <c r="T144" s="5">
        <f t="shared" si="60"/>
        <v>8</v>
      </c>
      <c r="U144" s="5">
        <f t="shared" si="61"/>
        <v>4</v>
      </c>
      <c r="V144" s="5">
        <f>VLOOKUP(B144,'Loyd List 1-190 - Edit'!$A$2:$B$220,2,FALSE)</f>
        <v>7</v>
      </c>
      <c r="W144" s="155">
        <f t="shared" si="62"/>
        <v>1</v>
      </c>
      <c r="X144" s="169"/>
      <c r="Y144" s="169"/>
      <c r="Z144" s="169"/>
      <c r="AA144" s="6">
        <v>371</v>
      </c>
      <c r="AB144" s="5">
        <f t="shared" si="73"/>
        <v>142</v>
      </c>
      <c r="AC144" s="5">
        <f t="shared" si="74"/>
        <v>1142</v>
      </c>
      <c r="AD144" s="97" t="str">
        <f t="shared" si="63"/>
        <v>170a</v>
      </c>
      <c r="AE144" s="5" t="str">
        <f t="shared" si="64"/>
        <v>Angus Thomas Folliott POWELL (2021 - )</v>
      </c>
      <c r="AF144" s="5" t="str">
        <f t="shared" si="65"/>
        <v>Angus POWELL (8th &amp; 170)</v>
      </c>
      <c r="AG144" s="110" t="str">
        <f t="shared" si="66"/>
        <v>Male</v>
      </c>
      <c r="AH144" s="5" t="str">
        <f t="shared" si="67"/>
        <v>8th</v>
      </c>
      <c r="AI144" s="5" t="str">
        <f t="shared" si="68"/>
        <v>Unmarried</v>
      </c>
      <c r="AJ144" s="105" t="str">
        <f t="shared" si="75"/>
        <v>Male. b. 27/06/2021</v>
      </c>
      <c r="AK144" s="105" t="str">
        <f t="shared" si="69"/>
        <v>b. 27/06/2021</v>
      </c>
    </row>
    <row r="145" spans="1:37" s="5" customFormat="1" ht="51">
      <c r="A145" s="5">
        <f>VLOOKUP(B145,'Loyd List 1-190 - Edit'!$P$1:$R$219,3,FALSE)</f>
        <v>1</v>
      </c>
      <c r="B145" s="5">
        <f>VALUE(LEFT(C145,1))</f>
        <v>2</v>
      </c>
      <c r="C145" s="157" t="s">
        <v>1960</v>
      </c>
      <c r="D145" s="6" t="s">
        <v>1948</v>
      </c>
      <c r="E145" s="5" t="s">
        <v>830</v>
      </c>
      <c r="I145" s="189" t="s">
        <v>3284</v>
      </c>
      <c r="J145" s="5">
        <f t="shared" si="71"/>
        <v>1908</v>
      </c>
      <c r="K145" s="152"/>
      <c r="L145" s="189" t="s">
        <v>3284</v>
      </c>
      <c r="M145" s="189" t="str">
        <f>L145</f>
        <v>Date unknown</v>
      </c>
      <c r="O145" s="7">
        <v>2982</v>
      </c>
      <c r="P145" s="181">
        <f t="shared" si="58"/>
        <v>2982</v>
      </c>
      <c r="Q145" s="153" t="str">
        <f t="shared" ref="Q145:Q176" si="76">MID(C145,1,LEN(C145)-1)</f>
        <v>2a</v>
      </c>
      <c r="R145" s="180">
        <f t="shared" si="59"/>
        <v>2982</v>
      </c>
      <c r="S145" s="25" t="s">
        <v>3245</v>
      </c>
      <c r="T145" s="5">
        <f t="shared" si="60"/>
        <v>3</v>
      </c>
      <c r="U145" s="5">
        <f t="shared" si="61"/>
        <v>3</v>
      </c>
      <c r="V145" s="5">
        <f>VLOOKUP(B145,'Loyd List 1-190 - Edit'!$A$2:$B$220,2,FALSE)</f>
        <v>1</v>
      </c>
      <c r="W145" s="155">
        <f t="shared" si="62"/>
        <v>2</v>
      </c>
      <c r="Z145" s="164" t="s">
        <v>2362</v>
      </c>
      <c r="AA145" s="6">
        <v>2</v>
      </c>
      <c r="AB145" s="188">
        <v>1</v>
      </c>
      <c r="AC145" s="5">
        <f t="shared" si="74"/>
        <v>2001</v>
      </c>
      <c r="AD145" s="97" t="str">
        <f t="shared" si="63"/>
        <v>2aa</v>
      </c>
      <c r="AE145" s="5" t="str">
        <f t="shared" si="64"/>
        <v>William   DAVIES (Date unknown - 1908)</v>
      </c>
      <c r="AF145" s="5" t="str">
        <f t="shared" si="65"/>
        <v>William DAVIES (3rd &amp; 2)</v>
      </c>
      <c r="AG145" s="110" t="str">
        <f t="shared" si="66"/>
        <v>Male</v>
      </c>
      <c r="AH145" s="5" t="str">
        <f t="shared" si="67"/>
        <v>3rd</v>
      </c>
      <c r="AI145" s="5" t="str">
        <f>IF(X146="","Unmarried",IF(AG145="Male",_xlfn.CONCAT("Wife: ",X146,". ",Y146),_xlfn.CONCAT("Husband: ",X146,". ",Y146)))</f>
        <v>Wife: Morgan Price PROTHEROE (b. 1816, d. 1882). Wedding at Cilycwm</v>
      </c>
      <c r="AJ145" s="105" t="str">
        <f t="shared" si="75"/>
        <v>Male. b. Date unknown, d. 29/02/1908. William DAVIES of Cwm-y-to fach from before 1865 to after 1874, and then of Garth Farm on Blaenos estate overlooking Llandovery. (In 1910 farm occupied by his widow, 2 sons and 2 daughters).</v>
      </c>
      <c r="AK145" s="149" t="s">
        <v>3715</v>
      </c>
    </row>
    <row r="146" spans="1:37" s="5" customFormat="1" ht="35">
      <c r="A146" s="5">
        <f>VLOOKUP(B146,'Loyd List 1-190 - Edit'!$P$1:$R$219,3,FALSE)</f>
        <v>1</v>
      </c>
      <c r="B146" s="5">
        <f>VALUE(LEFT(C146,1))</f>
        <v>2</v>
      </c>
      <c r="C146" s="157" t="s">
        <v>1970</v>
      </c>
      <c r="D146" s="6" t="s">
        <v>1948</v>
      </c>
      <c r="E146" s="5" t="s">
        <v>867</v>
      </c>
      <c r="I146" s="5">
        <f t="shared" ref="I146:I177" si="77">IF(L146="","",VALUE(RIGHT(L146,4)))</f>
        <v>1829</v>
      </c>
      <c r="J146" s="5">
        <v>1866</v>
      </c>
      <c r="K146" s="152"/>
      <c r="L146" s="7" t="str">
        <f t="shared" ref="L146:L177" si="78">IF(M146="","",TEXT(M146,"dd/mm/yyyy"))</f>
        <v>09/10/1829</v>
      </c>
      <c r="M146" s="5" t="s">
        <v>1967</v>
      </c>
      <c r="N146" s="5" t="s">
        <v>1968</v>
      </c>
      <c r="O146" s="123" t="s">
        <v>1971</v>
      </c>
      <c r="P146" s="181" t="str">
        <f t="shared" si="58"/>
        <v>1866</v>
      </c>
      <c r="Q146" s="153" t="str">
        <f t="shared" si="76"/>
        <v>2c</v>
      </c>
      <c r="R146" s="180" t="str">
        <f t="shared" si="59"/>
        <v>1866</v>
      </c>
      <c r="S146" s="25" t="s">
        <v>3244</v>
      </c>
      <c r="T146" s="5">
        <f t="shared" si="60"/>
        <v>3</v>
      </c>
      <c r="U146" s="5">
        <f t="shared" si="61"/>
        <v>3</v>
      </c>
      <c r="V146" s="5">
        <f>VLOOKUP(B146,'Loyd List 1-190 - Edit'!$A$2:$B$220,2,FALSE)</f>
        <v>1</v>
      </c>
      <c r="W146" s="155">
        <f t="shared" si="62"/>
        <v>2</v>
      </c>
      <c r="X146" s="105" t="s">
        <v>2368</v>
      </c>
      <c r="Y146" s="105" t="s">
        <v>2369</v>
      </c>
      <c r="Z146" s="164" t="s">
        <v>2367</v>
      </c>
      <c r="AA146" s="6">
        <v>7</v>
      </c>
      <c r="AB146" s="5">
        <f t="shared" ref="AB146:AB177" si="79">AB145+1</f>
        <v>2</v>
      </c>
      <c r="AC146" s="5">
        <f t="shared" si="74"/>
        <v>2002</v>
      </c>
      <c r="AD146" s="97" t="str">
        <f t="shared" si="63"/>
        <v>2ca</v>
      </c>
      <c r="AE146" s="5" t="str">
        <f t="shared" si="64"/>
        <v>Catherine   DAVIES (1829 - 1866)</v>
      </c>
      <c r="AF146" s="5" t="str">
        <f t="shared" si="65"/>
        <v>Catherine DAVIES (3rd &amp; 2)</v>
      </c>
      <c r="AG146" s="110" t="str">
        <f t="shared" si="66"/>
        <v>Female</v>
      </c>
      <c r="AH146" s="5" t="str">
        <f t="shared" si="67"/>
        <v>3rd</v>
      </c>
      <c r="AI146" s="5" t="str">
        <f t="shared" ref="AI146:AI177" si="80">IF(X146="","Unmarried",IF(AG146="Male",_xlfn.CONCAT("Wife: ",X146,". ",Y146),_xlfn.CONCAT("Husband: ",X146,". ",Y146)))</f>
        <v>Husband: Morgan Price PROTHEROE (b. 1816, d. 1882). Wedding at Cilycwm</v>
      </c>
      <c r="AJ146" s="105" t="str">
        <f t="shared" si="75"/>
        <v>Female. b. 09/10/1829, d. 1866. Baptised 9 Oct 1829 at Cilycwm.</v>
      </c>
      <c r="AK146" s="105" t="str">
        <f t="shared" si="69"/>
        <v>b. 09/10/1829, d. 1866.</v>
      </c>
    </row>
    <row r="147" spans="1:37" s="5" customFormat="1" ht="20">
      <c r="A147" s="5">
        <f>VLOOKUP(B147,'Loyd List 1-190 - Edit'!$P$1:$R$219,3,FALSE)</f>
        <v>8</v>
      </c>
      <c r="B147" s="5">
        <f t="shared" ref="B147:B178" si="81">VALUE(LEFT(C147,2))</f>
        <v>18</v>
      </c>
      <c r="C147" s="157" t="s">
        <v>2034</v>
      </c>
      <c r="D147" s="6" t="s">
        <v>2022</v>
      </c>
      <c r="E147" s="5" t="s">
        <v>2030</v>
      </c>
      <c r="F147" s="5" t="s">
        <v>830</v>
      </c>
      <c r="G147" s="5" t="s">
        <v>2031</v>
      </c>
      <c r="I147" s="5">
        <f t="shared" si="77"/>
        <v>1879</v>
      </c>
      <c r="J147" s="5">
        <f t="shared" ref="J147:J178" si="82">IF(O147="","",VALUE(RIGHT(TEXT(O147,"dd/mm/yyyy"),4)))</f>
        <v>1891</v>
      </c>
      <c r="K147" s="152"/>
      <c r="L147" s="7" t="str">
        <f t="shared" si="78"/>
        <v>20/04/1879</v>
      </c>
      <c r="M147" s="8" t="s">
        <v>2032</v>
      </c>
      <c r="N147" s="5" t="s">
        <v>1797</v>
      </c>
      <c r="O147" s="7" t="s">
        <v>2033</v>
      </c>
      <c r="P147" s="181" t="str">
        <f t="shared" si="58"/>
        <v>04/04/1891</v>
      </c>
      <c r="Q147" s="153" t="str">
        <f t="shared" si="76"/>
        <v>18b</v>
      </c>
      <c r="R147" s="180" t="str">
        <f t="shared" si="59"/>
        <v>04/04/1891</v>
      </c>
      <c r="S147" s="25" t="s">
        <v>3245</v>
      </c>
      <c r="T147" s="5">
        <f t="shared" si="60"/>
        <v>4</v>
      </c>
      <c r="U147" s="5">
        <f t="shared" si="61"/>
        <v>4</v>
      </c>
      <c r="V147" s="5">
        <f>VLOOKUP(B147,'Loyd List 1-190 - Edit'!$A$2:$B$220,2,FALSE)</f>
        <v>2</v>
      </c>
      <c r="W147" s="155">
        <f t="shared" si="62"/>
        <v>2</v>
      </c>
      <c r="X147" s="105"/>
      <c r="Y147" s="105"/>
      <c r="Z147" s="164" t="s">
        <v>2399</v>
      </c>
      <c r="AA147" s="6">
        <v>25</v>
      </c>
      <c r="AB147" s="5">
        <f t="shared" si="79"/>
        <v>3</v>
      </c>
      <c r="AC147" s="5">
        <f t="shared" si="74"/>
        <v>2003</v>
      </c>
      <c r="AD147" s="97" t="str">
        <f t="shared" si="63"/>
        <v>18ba</v>
      </c>
      <c r="AE147" s="5" t="str">
        <f t="shared" si="64"/>
        <v>Malcolm William Prout NICOL (1879 - 1891)</v>
      </c>
      <c r="AF147" s="5" t="str">
        <f t="shared" si="65"/>
        <v>Malcolm NICOL (4th &amp; 18)</v>
      </c>
      <c r="AG147" s="110" t="str">
        <f t="shared" si="66"/>
        <v>Male</v>
      </c>
      <c r="AH147" s="5" t="str">
        <f t="shared" si="67"/>
        <v>4th</v>
      </c>
      <c r="AI147" s="5" t="str">
        <f t="shared" si="80"/>
        <v>Unmarried</v>
      </c>
      <c r="AJ147" s="105" t="str">
        <f t="shared" si="75"/>
        <v>Male. b. 20/04/1879, d. 04/04/1891. Buried at Willesden.</v>
      </c>
      <c r="AK147" s="105" t="str">
        <f t="shared" si="69"/>
        <v>b. 20/04/1879, d. 04/04/1891.</v>
      </c>
    </row>
    <row r="148" spans="1:37" s="5" customFormat="1" ht="52">
      <c r="A148" s="5">
        <f>VLOOKUP(B148,'Loyd List 1-190 - Edit'!$P$1:$R$219,3,FALSE)</f>
        <v>8</v>
      </c>
      <c r="B148" s="5">
        <f t="shared" si="81"/>
        <v>18</v>
      </c>
      <c r="C148" s="157" t="s">
        <v>2035</v>
      </c>
      <c r="D148" s="6" t="s">
        <v>2022</v>
      </c>
      <c r="E148" s="5" t="s">
        <v>2036</v>
      </c>
      <c r="F148" s="5" t="s">
        <v>867</v>
      </c>
      <c r="I148" s="5">
        <f t="shared" si="77"/>
        <v>1880</v>
      </c>
      <c r="J148" s="5">
        <f t="shared" si="82"/>
        <v>1963</v>
      </c>
      <c r="K148" s="152"/>
      <c r="L148" s="7" t="str">
        <f t="shared" si="78"/>
        <v>08/05/1880</v>
      </c>
      <c r="M148" s="8" t="s">
        <v>2037</v>
      </c>
      <c r="N148" s="7">
        <v>3764</v>
      </c>
      <c r="O148" s="7">
        <v>23101</v>
      </c>
      <c r="P148" s="181" t="str">
        <f t="shared" si="58"/>
        <v>31/03/1963</v>
      </c>
      <c r="Q148" s="153" t="str">
        <f t="shared" si="76"/>
        <v>18b</v>
      </c>
      <c r="R148" s="180" t="str">
        <f t="shared" si="59"/>
        <v>31/03/1963</v>
      </c>
      <c r="S148" s="25" t="s">
        <v>3244</v>
      </c>
      <c r="T148" s="5">
        <f t="shared" si="60"/>
        <v>4</v>
      </c>
      <c r="U148" s="5">
        <f t="shared" si="61"/>
        <v>4</v>
      </c>
      <c r="V148" s="5">
        <f>VLOOKUP(B148,'Loyd List 1-190 - Edit'!$A$2:$B$220,2,FALSE)</f>
        <v>2</v>
      </c>
      <c r="W148" s="155">
        <f t="shared" si="62"/>
        <v>2</v>
      </c>
      <c r="X148" s="105" t="s">
        <v>2043</v>
      </c>
      <c r="Y148" s="105" t="s">
        <v>2400</v>
      </c>
      <c r="Z148" s="105" t="s">
        <v>3713</v>
      </c>
      <c r="AA148" s="6">
        <v>26</v>
      </c>
      <c r="AB148" s="5">
        <f t="shared" si="79"/>
        <v>4</v>
      </c>
      <c r="AC148" s="5">
        <f t="shared" si="74"/>
        <v>2004</v>
      </c>
      <c r="AD148" s="97" t="str">
        <f t="shared" si="63"/>
        <v>18bb</v>
      </c>
      <c r="AE148" s="5" t="str">
        <f t="shared" si="64"/>
        <v>Margery Catherine  NICOL (1880 - 1963)</v>
      </c>
      <c r="AF148" s="5" t="str">
        <f t="shared" si="65"/>
        <v>Margery NICOL (4th &amp; 18)</v>
      </c>
      <c r="AG148" s="110" t="str">
        <f t="shared" si="66"/>
        <v>Female</v>
      </c>
      <c r="AH148" s="5" t="str">
        <f t="shared" si="67"/>
        <v>4th</v>
      </c>
      <c r="AI148" s="5" t="str">
        <f t="shared" si="80"/>
        <v>Husband: Sir George Redston WARNER (b. 18/07/1879, d. 23 Jun 1978) KCVO, CMG. Sir George, elder son of Sir Joseph Henry WARNER.</v>
      </c>
      <c r="AJ148" s="105" t="str">
        <f t="shared" si="75"/>
        <v>Female. b. 08/05/1880, d. 31/03/1963. Buried at Compton, Winchester.</v>
      </c>
      <c r="AK148" s="105" t="str">
        <f t="shared" si="69"/>
        <v>b. 08/05/1880, d. 31/03/1963.</v>
      </c>
    </row>
    <row r="149" spans="1:37" s="5" customFormat="1" ht="51">
      <c r="A149" s="5">
        <f>VLOOKUP(B149,'Loyd List 1-190 - Edit'!$P$1:$R$219,3,FALSE)</f>
        <v>8</v>
      </c>
      <c r="B149" s="5">
        <f t="shared" si="81"/>
        <v>18</v>
      </c>
      <c r="C149" s="157" t="s">
        <v>2089</v>
      </c>
      <c r="D149" s="6" t="s">
        <v>2022</v>
      </c>
      <c r="E149" s="5" t="s">
        <v>2068</v>
      </c>
      <c r="F149" s="5" t="s">
        <v>918</v>
      </c>
      <c r="I149" s="5">
        <f t="shared" si="77"/>
        <v>1882</v>
      </c>
      <c r="J149" s="5">
        <f t="shared" si="82"/>
        <v>1941</v>
      </c>
      <c r="K149" s="152"/>
      <c r="L149" s="7" t="str">
        <f t="shared" si="78"/>
        <v>19/08/1882</v>
      </c>
      <c r="M149" s="8" t="s">
        <v>2088</v>
      </c>
      <c r="O149" s="7">
        <v>15298</v>
      </c>
      <c r="P149" s="181" t="str">
        <f t="shared" si="58"/>
        <v>18/11/1941</v>
      </c>
      <c r="Q149" s="153" t="str">
        <f t="shared" si="76"/>
        <v>18b</v>
      </c>
      <c r="R149" s="180" t="str">
        <f t="shared" si="59"/>
        <v>18/11/1941</v>
      </c>
      <c r="S149" s="25" t="s">
        <v>3245</v>
      </c>
      <c r="T149" s="5">
        <f t="shared" si="60"/>
        <v>4</v>
      </c>
      <c r="U149" s="5">
        <f t="shared" si="61"/>
        <v>4</v>
      </c>
      <c r="V149" s="5">
        <f>VLOOKUP(B149,'Loyd List 1-190 - Edit'!$A$2:$B$220,2,FALSE)</f>
        <v>2</v>
      </c>
      <c r="W149" s="155">
        <f t="shared" si="62"/>
        <v>2</v>
      </c>
      <c r="X149" s="105"/>
      <c r="Y149" s="105"/>
      <c r="Z149" s="105" t="s">
        <v>3714</v>
      </c>
      <c r="AA149" s="6">
        <v>56</v>
      </c>
      <c r="AB149" s="5">
        <f t="shared" si="79"/>
        <v>5</v>
      </c>
      <c r="AC149" s="5">
        <f t="shared" si="74"/>
        <v>2005</v>
      </c>
      <c r="AD149" s="97" t="str">
        <f t="shared" si="63"/>
        <v>18bc</v>
      </c>
      <c r="AE149" s="5" t="str">
        <f t="shared" si="64"/>
        <v>Randall James  NICOL (1882 - 1941)</v>
      </c>
      <c r="AF149" s="5" t="str">
        <f t="shared" si="65"/>
        <v>Randall NICOL (4th &amp; 18)</v>
      </c>
      <c r="AG149" s="110" t="str">
        <f t="shared" si="66"/>
        <v>Male</v>
      </c>
      <c r="AH149" s="5" t="str">
        <f t="shared" si="67"/>
        <v>4th</v>
      </c>
      <c r="AI149" s="5" t="str">
        <f t="shared" si="80"/>
        <v>Unmarried</v>
      </c>
      <c r="AJ149" s="105" t="str">
        <f t="shared" si="75"/>
        <v>Male. b. 19/08/1882, d. 18/11/1941. Aberdeenshire. Educated Eton and Christ Church Oxford. Served WW1 with Argyll and Sutherland Highlanders. Awarded OBE. Died at Ballogie. Buried at Christ Church, Kincardine O’Neil.</v>
      </c>
      <c r="AK149" s="105" t="str">
        <f t="shared" si="69"/>
        <v>b. 19/08/1882, d. 18/11/1941.</v>
      </c>
    </row>
    <row r="150" spans="1:37" s="5" customFormat="1" ht="34">
      <c r="A150" s="5">
        <f>VLOOKUP(B150,'Loyd List 1-190 - Edit'!$P$1:$R$219,3,FALSE)</f>
        <v>8</v>
      </c>
      <c r="B150" s="5">
        <f t="shared" si="81"/>
        <v>18</v>
      </c>
      <c r="C150" s="157" t="s">
        <v>2093</v>
      </c>
      <c r="D150" s="6" t="s">
        <v>2022</v>
      </c>
      <c r="E150" s="5" t="s">
        <v>2090</v>
      </c>
      <c r="F150" s="5" t="s">
        <v>2091</v>
      </c>
      <c r="I150" s="5">
        <f t="shared" si="77"/>
        <v>1885</v>
      </c>
      <c r="J150" s="5">
        <f t="shared" si="82"/>
        <v>1964</v>
      </c>
      <c r="K150" s="152"/>
      <c r="L150" s="7" t="str">
        <f t="shared" si="78"/>
        <v>20/08/1885</v>
      </c>
      <c r="M150" s="8" t="s">
        <v>2092</v>
      </c>
      <c r="O150" s="7">
        <v>23410</v>
      </c>
      <c r="P150" s="181" t="str">
        <f t="shared" si="58"/>
        <v>03/02/1964</v>
      </c>
      <c r="Q150" s="153" t="str">
        <f t="shared" si="76"/>
        <v>18b</v>
      </c>
      <c r="R150" s="180" t="str">
        <f t="shared" si="59"/>
        <v>03/02/1964</v>
      </c>
      <c r="S150" s="25" t="s">
        <v>3244</v>
      </c>
      <c r="T150" s="5">
        <f t="shared" si="60"/>
        <v>4</v>
      </c>
      <c r="U150" s="5">
        <f t="shared" si="61"/>
        <v>4</v>
      </c>
      <c r="V150" s="5">
        <f>VLOOKUP(B150,'Loyd List 1-190 - Edit'!$A$2:$B$220,2,FALSE)</f>
        <v>2</v>
      </c>
      <c r="W150" s="155">
        <f t="shared" si="62"/>
        <v>2</v>
      </c>
      <c r="X150" s="105"/>
      <c r="Y150" s="105"/>
      <c r="Z150" s="105" t="s">
        <v>2435</v>
      </c>
      <c r="AA150" s="6">
        <v>57</v>
      </c>
      <c r="AB150" s="5">
        <f t="shared" si="79"/>
        <v>6</v>
      </c>
      <c r="AC150" s="5">
        <f t="shared" si="74"/>
        <v>2006</v>
      </c>
      <c r="AD150" s="97" t="str">
        <f t="shared" si="63"/>
        <v>18bd</v>
      </c>
      <c r="AE150" s="5" t="str">
        <f t="shared" si="64"/>
        <v>Dorothy Ada  NICOL (1885 - 1964)</v>
      </c>
      <c r="AF150" s="5" t="str">
        <f t="shared" si="65"/>
        <v>Dorothy NICOL (4th &amp; 18)</v>
      </c>
      <c r="AG150" s="110" t="str">
        <f t="shared" si="66"/>
        <v>Female</v>
      </c>
      <c r="AH150" s="5" t="str">
        <f t="shared" si="67"/>
        <v>4th</v>
      </c>
      <c r="AI150" s="5" t="str">
        <f t="shared" si="80"/>
        <v>Unmarried</v>
      </c>
      <c r="AJ150" s="105" t="str">
        <f t="shared" si="75"/>
        <v>Female. b. 20/08/1885, d. 03/02/1964. Buried at Christ Church, Kincardine O’Neil, Aberdeenshire.</v>
      </c>
      <c r="AK150" s="105" t="str">
        <f t="shared" si="69"/>
        <v>b. 20/08/1885, d. 03/02/1964.</v>
      </c>
    </row>
    <row r="151" spans="1:37" s="5" customFormat="1" ht="35">
      <c r="A151" s="5">
        <f>VLOOKUP(B151,'Loyd List 1-190 - Edit'!$P$1:$R$219,3,FALSE)</f>
        <v>8</v>
      </c>
      <c r="B151" s="5">
        <f t="shared" si="81"/>
        <v>18</v>
      </c>
      <c r="C151" s="157" t="s">
        <v>2103</v>
      </c>
      <c r="D151" s="6" t="s">
        <v>2022</v>
      </c>
      <c r="E151" s="5" t="s">
        <v>1826</v>
      </c>
      <c r="F151" s="5" t="s">
        <v>2023</v>
      </c>
      <c r="G151" s="5" t="s">
        <v>2003</v>
      </c>
      <c r="I151" s="5">
        <f t="shared" si="77"/>
        <v>1887</v>
      </c>
      <c r="J151" s="5">
        <f t="shared" si="82"/>
        <v>1957</v>
      </c>
      <c r="K151" s="152"/>
      <c r="L151" s="7" t="str">
        <f t="shared" si="78"/>
        <v>12/09/1887</v>
      </c>
      <c r="M151" s="8" t="s">
        <v>2104</v>
      </c>
      <c r="N151" s="7">
        <v>3686</v>
      </c>
      <c r="O151" s="7">
        <v>21048</v>
      </c>
      <c r="P151" s="181" t="str">
        <f t="shared" si="58"/>
        <v>16/08/1957</v>
      </c>
      <c r="Q151" s="153" t="str">
        <f t="shared" si="76"/>
        <v>18e</v>
      </c>
      <c r="R151" s="180" t="str">
        <f t="shared" si="59"/>
        <v>16/08/1957</v>
      </c>
      <c r="S151" s="25" t="s">
        <v>3244</v>
      </c>
      <c r="T151" s="5">
        <f t="shared" si="60"/>
        <v>4</v>
      </c>
      <c r="U151" s="5">
        <f t="shared" si="61"/>
        <v>4</v>
      </c>
      <c r="V151" s="5">
        <f>VLOOKUP(B151,'Loyd List 1-190 - Edit'!$A$2:$B$220,2,FALSE)</f>
        <v>2</v>
      </c>
      <c r="W151" s="155">
        <f t="shared" si="62"/>
        <v>2</v>
      </c>
      <c r="X151" s="105" t="s">
        <v>2105</v>
      </c>
      <c r="Y151" s="105" t="s">
        <v>2441</v>
      </c>
      <c r="Z151" s="164"/>
      <c r="AA151" s="6">
        <v>61</v>
      </c>
      <c r="AB151" s="5">
        <f t="shared" si="79"/>
        <v>7</v>
      </c>
      <c r="AC151" s="5">
        <f t="shared" si="74"/>
        <v>2007</v>
      </c>
      <c r="AD151" s="97" t="str">
        <f t="shared" si="63"/>
        <v>18ea</v>
      </c>
      <c r="AE151" s="5" t="str">
        <f t="shared" si="64"/>
        <v>Violet Dyce Norah NICOL (1887 - 1957)</v>
      </c>
      <c r="AF151" s="5" t="str">
        <f t="shared" si="65"/>
        <v>Violet NICOL (4th &amp; 18)</v>
      </c>
      <c r="AG151" s="110" t="str">
        <f t="shared" si="66"/>
        <v>Female</v>
      </c>
      <c r="AH151" s="5" t="str">
        <f t="shared" si="67"/>
        <v>4th</v>
      </c>
      <c r="AI151" s="5" t="str">
        <f t="shared" si="80"/>
        <v>Husband: Gerald DUGDALE (b. 19/03/1884, d. 13/06/1941). Divorced 1926.</v>
      </c>
      <c r="AJ151" s="105" t="str">
        <f t="shared" si="75"/>
        <v>Female. b. 12/09/1887, d. 16/08/1957.</v>
      </c>
      <c r="AK151" s="105" t="str">
        <f t="shared" si="69"/>
        <v>b. 12/09/1887, d. 16/08/1957.</v>
      </c>
    </row>
    <row r="152" spans="1:37" s="5" customFormat="1" ht="51">
      <c r="A152" s="5">
        <f>VLOOKUP(B152,'Loyd List 1-190 - Edit'!$P$1:$R$219,3,FALSE)</f>
        <v>22</v>
      </c>
      <c r="B152" s="5">
        <f t="shared" si="81"/>
        <v>36</v>
      </c>
      <c r="C152" s="157" t="s">
        <v>2138</v>
      </c>
      <c r="D152" s="5" t="s">
        <v>2133</v>
      </c>
      <c r="E152" s="5" t="s">
        <v>2137</v>
      </c>
      <c r="F152" s="5" t="s">
        <v>1993</v>
      </c>
      <c r="H152" s="5" t="s">
        <v>1993</v>
      </c>
      <c r="I152" s="5">
        <f t="shared" si="77"/>
        <v>1900</v>
      </c>
      <c r="J152" s="5">
        <f t="shared" si="82"/>
        <v>1974</v>
      </c>
      <c r="K152" s="152"/>
      <c r="L152" s="7" t="str">
        <f t="shared" si="78"/>
        <v>02/11/1900</v>
      </c>
      <c r="M152" s="10" t="s">
        <v>2974</v>
      </c>
      <c r="O152" s="7">
        <v>27246</v>
      </c>
      <c r="P152" s="181" t="str">
        <f t="shared" si="58"/>
        <v>05/08/1974</v>
      </c>
      <c r="Q152" s="153" t="str">
        <f t="shared" si="76"/>
        <v>36a</v>
      </c>
      <c r="R152" s="180" t="str">
        <f t="shared" si="59"/>
        <v>05/08/1974</v>
      </c>
      <c r="S152" s="25" t="s">
        <v>3244</v>
      </c>
      <c r="T152" s="5">
        <f t="shared" si="60"/>
        <v>5</v>
      </c>
      <c r="U152" s="5">
        <f t="shared" si="61"/>
        <v>4</v>
      </c>
      <c r="V152" s="5">
        <f>VLOOKUP(B152,'Loyd List 1-190 - Edit'!$A$2:$B$220,2,FALSE)</f>
        <v>3</v>
      </c>
      <c r="W152" s="155">
        <f t="shared" si="62"/>
        <v>2</v>
      </c>
      <c r="X152" s="105"/>
      <c r="Y152" s="105"/>
      <c r="Z152" s="164" t="s">
        <v>2447</v>
      </c>
      <c r="AA152" s="6">
        <v>69</v>
      </c>
      <c r="AB152" s="5">
        <f t="shared" si="79"/>
        <v>8</v>
      </c>
      <c r="AC152" s="5">
        <f t="shared" si="74"/>
        <v>2008</v>
      </c>
      <c r="AD152" s="97" t="str">
        <f t="shared" si="63"/>
        <v>36aa</v>
      </c>
      <c r="AE152" s="5" t="str">
        <f t="shared" si="64"/>
        <v>The Hon Hilda Beryl  COURTHOPE (1900 - 1974)</v>
      </c>
      <c r="AF152" s="5" t="str">
        <f t="shared" si="65"/>
        <v>Beryl COURTHOPE (5th &amp; 36)</v>
      </c>
      <c r="AG152" s="110" t="str">
        <f t="shared" si="66"/>
        <v>Female</v>
      </c>
      <c r="AH152" s="5" t="str">
        <f t="shared" si="67"/>
        <v>5th</v>
      </c>
      <c r="AI152" s="5" t="str">
        <f t="shared" si="80"/>
        <v>Unmarried</v>
      </c>
      <c r="AJ152" s="105" t="str">
        <f t="shared" si="75"/>
        <v>Female. b. 02/11/1900, d. 05/08/1974. Buried at Ticehurst, Sussex 9 Aug 1974. Left the Whiligh estate, on the death of her sister, to Edward John Brierly HARDCASTLE (1923- ), grandson of Caroline Foster LOYD (1864-1940).</v>
      </c>
      <c r="AK152" s="105" t="str">
        <f t="shared" si="69"/>
        <v>b. 02/11/1900, d. 05/08/1974.</v>
      </c>
    </row>
    <row r="153" spans="1:37" s="5" customFormat="1" ht="51">
      <c r="A153" s="5">
        <f>VLOOKUP(B153,'Loyd List 1-190 - Edit'!$P$1:$R$219,3,FALSE)</f>
        <v>22</v>
      </c>
      <c r="B153" s="5">
        <f t="shared" si="81"/>
        <v>36</v>
      </c>
      <c r="C153" s="157" t="s">
        <v>2139</v>
      </c>
      <c r="D153" s="5" t="s">
        <v>2133</v>
      </c>
      <c r="E153" s="5" t="s">
        <v>2140</v>
      </c>
      <c r="F153" s="5" t="s">
        <v>853</v>
      </c>
      <c r="H153" s="5" t="s">
        <v>853</v>
      </c>
      <c r="I153" s="5">
        <f t="shared" si="77"/>
        <v>1902</v>
      </c>
      <c r="J153" s="5">
        <f t="shared" si="82"/>
        <v>1980</v>
      </c>
      <c r="K153" s="152"/>
      <c r="L153" s="7" t="str">
        <f t="shared" si="78"/>
        <v>11/10/1902</v>
      </c>
      <c r="M153" s="10" t="s">
        <v>2975</v>
      </c>
      <c r="O153" s="7">
        <v>29387</v>
      </c>
      <c r="P153" s="181" t="str">
        <f t="shared" si="58"/>
        <v>15/06/1980</v>
      </c>
      <c r="Q153" s="153" t="str">
        <f t="shared" si="76"/>
        <v>36a</v>
      </c>
      <c r="R153" s="180" t="str">
        <f t="shared" si="59"/>
        <v>15/06/1980</v>
      </c>
      <c r="S153" s="25" t="s">
        <v>3244</v>
      </c>
      <c r="T153" s="5">
        <f t="shared" si="60"/>
        <v>5</v>
      </c>
      <c r="U153" s="5">
        <f t="shared" si="61"/>
        <v>4</v>
      </c>
      <c r="V153" s="5">
        <f>VLOOKUP(B153,'Loyd List 1-190 - Edit'!$A$2:$B$220,2,FALSE)</f>
        <v>3</v>
      </c>
      <c r="W153" s="155">
        <f t="shared" si="62"/>
        <v>2</v>
      </c>
      <c r="X153" s="105"/>
      <c r="Y153" s="105"/>
      <c r="Z153" s="164" t="s">
        <v>4260</v>
      </c>
      <c r="AA153" s="6">
        <v>70</v>
      </c>
      <c r="AB153" s="5">
        <f t="shared" si="79"/>
        <v>9</v>
      </c>
      <c r="AC153" s="5">
        <f t="shared" si="74"/>
        <v>2009</v>
      </c>
      <c r="AD153" s="97" t="str">
        <f t="shared" si="63"/>
        <v>36ab</v>
      </c>
      <c r="AE153" s="5" t="str">
        <f t="shared" si="64"/>
        <v>The Hon Elinor Daphne  COURTHOPE (1902 - 1980)</v>
      </c>
      <c r="AF153" s="5" t="str">
        <f t="shared" si="65"/>
        <v>Daphne COURTHOPE (5th &amp; 36)</v>
      </c>
      <c r="AG153" s="110" t="str">
        <f t="shared" si="66"/>
        <v>Female</v>
      </c>
      <c r="AH153" s="5" t="str">
        <f t="shared" si="67"/>
        <v>5th</v>
      </c>
      <c r="AI153" s="5" t="str">
        <f t="shared" si="80"/>
        <v>Unmarried</v>
      </c>
      <c r="AJ153" s="105" t="str">
        <f t="shared" si="75"/>
        <v>Female. b. 11/10/1902, d. 15/06/1980. Buried at Ticehurst, Sussex 23 Jun 1980. OBE 1963. DL East Sussex. Chairman East Sussex CC 1967-70. One time Joint Master of Eridge hunt. Last of the Whiligh COURTHOPES who owned the estate for 467 years 1513-1980.</v>
      </c>
      <c r="AK153" s="105" t="str">
        <f t="shared" si="69"/>
        <v>b. 11/10/1902, d. 15/06/1980.</v>
      </c>
    </row>
    <row r="154" spans="1:37" s="5" customFormat="1" ht="34">
      <c r="A154" s="5">
        <f>VLOOKUP(B154,'Loyd List 1-190 - Edit'!$P$1:$R$219,3,FALSE)</f>
        <v>22</v>
      </c>
      <c r="B154" s="5">
        <f t="shared" si="81"/>
        <v>36</v>
      </c>
      <c r="C154" s="157" t="s">
        <v>2152</v>
      </c>
      <c r="D154" s="5" t="s">
        <v>2151</v>
      </c>
      <c r="E154" s="5" t="s">
        <v>1071</v>
      </c>
      <c r="F154" s="5" t="s">
        <v>870</v>
      </c>
      <c r="I154" s="5">
        <f t="shared" si="77"/>
        <v>1911</v>
      </c>
      <c r="J154" s="5">
        <f t="shared" si="82"/>
        <v>1997</v>
      </c>
      <c r="K154" s="152"/>
      <c r="L154" s="7" t="str">
        <f t="shared" si="78"/>
        <v>19/08/1911</v>
      </c>
      <c r="M154" s="8">
        <v>4249</v>
      </c>
      <c r="N154" s="7"/>
      <c r="O154" s="7">
        <v>35631</v>
      </c>
      <c r="P154" s="181" t="str">
        <f t="shared" si="58"/>
        <v>20/07/1997</v>
      </c>
      <c r="Q154" s="153" t="str">
        <f t="shared" si="76"/>
        <v>36d</v>
      </c>
      <c r="R154" s="180" t="str">
        <f t="shared" si="59"/>
        <v>20/07/1997</v>
      </c>
      <c r="S154" s="25" t="s">
        <v>3244</v>
      </c>
      <c r="T154" s="5">
        <f t="shared" si="60"/>
        <v>5</v>
      </c>
      <c r="U154" s="5">
        <f t="shared" si="61"/>
        <v>4</v>
      </c>
      <c r="V154" s="5">
        <f>VLOOKUP(B154,'Loyd List 1-190 - Edit'!$A$2:$B$220,2,FALSE)</f>
        <v>3</v>
      </c>
      <c r="W154" s="155">
        <f t="shared" si="62"/>
        <v>2</v>
      </c>
      <c r="X154" s="105"/>
      <c r="Y154" s="105"/>
      <c r="Z154" s="164" t="s">
        <v>2455</v>
      </c>
      <c r="AA154" s="6">
        <v>74</v>
      </c>
      <c r="AB154" s="5">
        <f t="shared" si="79"/>
        <v>10</v>
      </c>
      <c r="AC154" s="5">
        <f t="shared" si="74"/>
        <v>2010</v>
      </c>
      <c r="AD154" s="97" t="str">
        <f t="shared" si="63"/>
        <v>36da</v>
      </c>
      <c r="AE154" s="5" t="str">
        <f t="shared" si="64"/>
        <v>Elinor Mary  POWELL (1911 - 1997)</v>
      </c>
      <c r="AF154" s="5" t="str">
        <f t="shared" si="65"/>
        <v>Elinor POWELL (5th &amp; 36)</v>
      </c>
      <c r="AG154" s="110" t="str">
        <f t="shared" si="66"/>
        <v>Female</v>
      </c>
      <c r="AH154" s="5" t="str">
        <f t="shared" si="67"/>
        <v>5th</v>
      </c>
      <c r="AI154" s="5" t="str">
        <f t="shared" si="80"/>
        <v>Unmarried</v>
      </c>
      <c r="AJ154" s="105" t="str">
        <f t="shared" si="75"/>
        <v>Female. b. 19/08/1911, d. 20/07/1997. Died at Wadhurst, Sussex, buried in her mother’s grave at Wadhurst.</v>
      </c>
      <c r="AK154" s="105" t="str">
        <f t="shared" si="69"/>
        <v>b. 19/08/1911, d. 20/07/1997.</v>
      </c>
    </row>
    <row r="155" spans="1:37" s="5" customFormat="1" ht="69">
      <c r="A155" s="5">
        <f>VLOOKUP(B155,'Loyd List 1-190 - Edit'!$P$1:$R$219,3,FALSE)</f>
        <v>22</v>
      </c>
      <c r="B155" s="5">
        <f t="shared" si="81"/>
        <v>36</v>
      </c>
      <c r="C155" s="157" t="s">
        <v>2154</v>
      </c>
      <c r="D155" s="5" t="s">
        <v>2151</v>
      </c>
      <c r="E155" s="5" t="s">
        <v>842</v>
      </c>
      <c r="F155" s="5" t="s">
        <v>807</v>
      </c>
      <c r="G155" s="5" t="s">
        <v>2153</v>
      </c>
      <c r="I155" s="5">
        <f t="shared" si="77"/>
        <v>1913</v>
      </c>
      <c r="J155" s="5">
        <f t="shared" si="82"/>
        <v>1944</v>
      </c>
      <c r="K155" s="152"/>
      <c r="L155" s="7" t="str">
        <f t="shared" si="78"/>
        <v>03/03/1913</v>
      </c>
      <c r="M155" s="8">
        <v>4811</v>
      </c>
      <c r="N155" s="7">
        <v>14347</v>
      </c>
      <c r="O155" s="7">
        <v>16272</v>
      </c>
      <c r="P155" s="181" t="str">
        <f t="shared" si="58"/>
        <v>19/07/1944</v>
      </c>
      <c r="Q155" s="153" t="str">
        <f t="shared" si="76"/>
        <v>36d</v>
      </c>
      <c r="R155" s="180" t="str">
        <f t="shared" si="59"/>
        <v>19/07/1944</v>
      </c>
      <c r="S155" s="25" t="s">
        <v>3245</v>
      </c>
      <c r="T155" s="5">
        <f t="shared" si="60"/>
        <v>5</v>
      </c>
      <c r="U155" s="5">
        <f t="shared" si="61"/>
        <v>4</v>
      </c>
      <c r="V155" s="5">
        <f>VLOOKUP(B155,'Loyd List 1-190 - Edit'!$A$2:$B$220,2,FALSE)</f>
        <v>3</v>
      </c>
      <c r="W155" s="155">
        <f t="shared" si="62"/>
        <v>2</v>
      </c>
      <c r="X155" s="105" t="s">
        <v>2155</v>
      </c>
      <c r="Y155" s="105" t="s">
        <v>2456</v>
      </c>
      <c r="Z155" s="164" t="s">
        <v>2457</v>
      </c>
      <c r="AA155" s="6">
        <v>75</v>
      </c>
      <c r="AB155" s="5">
        <f t="shared" si="79"/>
        <v>11</v>
      </c>
      <c r="AC155" s="5">
        <f t="shared" si="74"/>
        <v>2011</v>
      </c>
      <c r="AD155" s="97" t="str">
        <f t="shared" si="63"/>
        <v>36db</v>
      </c>
      <c r="AE155" s="5" t="str">
        <f t="shared" si="64"/>
        <v>John Henry Courthope POWELL (1913 - 1944)</v>
      </c>
      <c r="AF155" s="5" t="str">
        <f t="shared" si="65"/>
        <v>John POWELL (5th &amp; 36)</v>
      </c>
      <c r="AG155" s="110" t="str">
        <f t="shared" si="66"/>
        <v>Male</v>
      </c>
      <c r="AH155" s="5" t="str">
        <f t="shared" si="67"/>
        <v>5th</v>
      </c>
      <c r="AI155" s="5" t="str">
        <f t="shared" si="80"/>
        <v>Wife: Helen Clare SPENCER-NAIRN (b. 30/04/1917, d.?). Married at Christ Kirk on the Green, Leslie, Fife, Helen daughter of Sir Robert SPENCER-NAIRN Bart: Major, Fife and Forfar Yeomanry.</v>
      </c>
      <c r="AJ155" s="105" t="str">
        <f t="shared" si="75"/>
        <v>Male. b. 03/03/1913, d. 19/07/1944. Killed in action, 19 Jul 1944 in Normandy, buried in Military cemetery, Banneville-la-Campagne, Nr Caen.</v>
      </c>
      <c r="AK155" s="105" t="str">
        <f t="shared" si="69"/>
        <v>b. 03/03/1913, d. 19/07/1944.</v>
      </c>
    </row>
    <row r="156" spans="1:37" s="5" customFormat="1" ht="69">
      <c r="A156" s="5">
        <f>VLOOKUP(B156,'Loyd List 1-190 - Edit'!$P$1:$R$219,3,FALSE)</f>
        <v>22</v>
      </c>
      <c r="B156" s="5">
        <f t="shared" si="81"/>
        <v>47</v>
      </c>
      <c r="C156" s="157" t="s">
        <v>2207</v>
      </c>
      <c r="D156" s="6" t="s">
        <v>2200</v>
      </c>
      <c r="E156" s="5" t="s">
        <v>811</v>
      </c>
      <c r="F156" s="5" t="s">
        <v>842</v>
      </c>
      <c r="G156" s="5" t="s">
        <v>2204</v>
      </c>
      <c r="H156" s="5" t="s">
        <v>842</v>
      </c>
      <c r="I156" s="5">
        <f t="shared" si="77"/>
        <v>1923</v>
      </c>
      <c r="J156" s="5" t="str">
        <f t="shared" si="82"/>
        <v/>
      </c>
      <c r="K156" s="152"/>
      <c r="L156" s="7" t="str">
        <f t="shared" si="78"/>
        <v>27/03/1923</v>
      </c>
      <c r="M156" s="8">
        <v>8487</v>
      </c>
      <c r="N156" s="7">
        <v>18485</v>
      </c>
      <c r="O156" s="7"/>
      <c r="P156" s="181" t="str">
        <f t="shared" si="58"/>
        <v/>
      </c>
      <c r="Q156" s="153" t="str">
        <f t="shared" si="76"/>
        <v>47a</v>
      </c>
      <c r="R156" s="180" t="str">
        <f t="shared" si="59"/>
        <v/>
      </c>
      <c r="S156" s="25" t="s">
        <v>3245</v>
      </c>
      <c r="T156" s="5">
        <f t="shared" si="60"/>
        <v>5</v>
      </c>
      <c r="U156" s="5">
        <f t="shared" si="61"/>
        <v>4</v>
      </c>
      <c r="V156" s="5">
        <f>VLOOKUP(B156,'Loyd List 1-190 - Edit'!$A$2:$B$220,2,FALSE)</f>
        <v>3</v>
      </c>
      <c r="W156" s="155">
        <f t="shared" si="62"/>
        <v>2</v>
      </c>
      <c r="X156" s="105" t="s">
        <v>2206</v>
      </c>
      <c r="Y156" s="105" t="s">
        <v>2483</v>
      </c>
      <c r="Z156" s="164" t="s">
        <v>2484</v>
      </c>
      <c r="AA156" s="6">
        <v>95</v>
      </c>
      <c r="AB156" s="5">
        <f t="shared" si="79"/>
        <v>12</v>
      </c>
      <c r="AC156" s="5">
        <f t="shared" si="74"/>
        <v>2012</v>
      </c>
      <c r="AD156" s="97" t="str">
        <f t="shared" si="63"/>
        <v>47aa</v>
      </c>
      <c r="AE156" s="5" t="str">
        <f t="shared" si="64"/>
        <v>Edward John Brierly HARDCASTLE (1923 - )</v>
      </c>
      <c r="AF156" s="5" t="str">
        <f t="shared" si="65"/>
        <v>John HARDCASTLE (5th &amp; 47)</v>
      </c>
      <c r="AG156" s="110" t="str">
        <f t="shared" si="66"/>
        <v>Male</v>
      </c>
      <c r="AH156" s="5" t="str">
        <f t="shared" si="67"/>
        <v>5th</v>
      </c>
      <c r="AI156" s="5" t="str">
        <f t="shared" si="80"/>
        <v>Wife: Elizabeth Ann Dodds SIMPSON (b. 25/08/1929, d. ? ). Married St Augustine’s, Hull, Elizabeth Ann Dodds,  elder daughter of R.R. SIMPSON FRCS of Hull.</v>
      </c>
      <c r="AJ156" s="105" t="str">
        <f t="shared" si="75"/>
        <v>Male. b. 27/03/1923 Edward John Brierly HARDCASTLE of Whiligh, Shovers Green, Wadhurst, East Sussex, TN5 7JU. Inherited Whiligh in 1980. (see #36).</v>
      </c>
      <c r="AK156" s="105" t="str">
        <f t="shared" si="69"/>
        <v>b. 27/03/1923</v>
      </c>
    </row>
    <row r="157" spans="1:37" s="5" customFormat="1" ht="103">
      <c r="A157" s="5">
        <f>VLOOKUP(B157,'Loyd List 1-190 - Edit'!$P$1:$R$219,3,FALSE)</f>
        <v>22</v>
      </c>
      <c r="B157" s="5">
        <f t="shared" si="81"/>
        <v>47</v>
      </c>
      <c r="C157" s="157" t="s">
        <v>2226</v>
      </c>
      <c r="D157" s="6" t="s">
        <v>2200</v>
      </c>
      <c r="E157" s="5" t="s">
        <v>2225</v>
      </c>
      <c r="F157" s="5" t="s">
        <v>2204</v>
      </c>
      <c r="I157" s="5">
        <f t="shared" si="77"/>
        <v>1954</v>
      </c>
      <c r="J157" s="5" t="str">
        <f t="shared" si="82"/>
        <v/>
      </c>
      <c r="K157" s="152"/>
      <c r="L157" s="7" t="str">
        <f t="shared" si="78"/>
        <v>07/06/1954</v>
      </c>
      <c r="M157" s="8">
        <v>19882</v>
      </c>
      <c r="N157" s="7">
        <v>18361</v>
      </c>
      <c r="O157" s="7"/>
      <c r="P157" s="181" t="str">
        <f t="shared" si="58"/>
        <v/>
      </c>
      <c r="Q157" s="153" t="str">
        <f t="shared" si="76"/>
        <v>47a</v>
      </c>
      <c r="R157" s="180" t="str">
        <f t="shared" si="59"/>
        <v/>
      </c>
      <c r="S157" s="25" t="s">
        <v>3244</v>
      </c>
      <c r="T157" s="5">
        <f t="shared" si="60"/>
        <v>5</v>
      </c>
      <c r="U157" s="5">
        <f t="shared" si="61"/>
        <v>4</v>
      </c>
      <c r="V157" s="5">
        <f>VLOOKUP(B157,'Loyd List 1-190 - Edit'!$A$2:$B$220,2,FALSE)</f>
        <v>3</v>
      </c>
      <c r="W157" s="155">
        <f t="shared" si="62"/>
        <v>2</v>
      </c>
      <c r="X157" s="105" t="s">
        <v>2227</v>
      </c>
      <c r="Y157" s="166" t="s">
        <v>2495</v>
      </c>
      <c r="Z157" s="164" t="s">
        <v>2496</v>
      </c>
      <c r="AA157" s="6">
        <v>104</v>
      </c>
      <c r="AB157" s="5">
        <f t="shared" si="79"/>
        <v>13</v>
      </c>
      <c r="AC157" s="5">
        <f t="shared" si="74"/>
        <v>2013</v>
      </c>
      <c r="AD157" s="97" t="str">
        <f t="shared" si="63"/>
        <v>47ab</v>
      </c>
      <c r="AE157" s="5" t="str">
        <f t="shared" si="64"/>
        <v>Priscilla Brierly  HARDCASTLE (1954 - )</v>
      </c>
      <c r="AF157" s="5" t="str">
        <f t="shared" si="65"/>
        <v>Priscilla HARDCASTLE (5th &amp; 47)</v>
      </c>
      <c r="AG157" s="110" t="str">
        <f t="shared" si="66"/>
        <v>Female</v>
      </c>
      <c r="AH157" s="5" t="str">
        <f t="shared" si="67"/>
        <v>5th</v>
      </c>
      <c r="AI157" s="5" t="str">
        <f t="shared" si="80"/>
        <v>Husband: Alwyn Cedric DREW (b. 11/11/1924, d. 17/03/1972). Married at St Mary’s, Ticehurst, Sussex, Alwyn, Lieutenant, Royal Navy and younger son of Sir Cedric DREWE KCVO of Broadhembury House, Broadhembury, Devon. MP for South Molton 1924-29 and Honiton 1931-52. WHO WAS THE MP?</v>
      </c>
      <c r="AJ157" s="105" t="str">
        <f t="shared" si="75"/>
        <v>Female. b. 07/06/1954 Born at Tenterden, Kent. Priscilla of PO Box 2023, Voelklip, Hermanus 7200, Western Province, South Africa. Died in Rhodesia.</v>
      </c>
      <c r="AK157" s="105" t="str">
        <f t="shared" si="69"/>
        <v>b. 07/06/1954</v>
      </c>
    </row>
    <row r="158" spans="1:37" s="5" customFormat="1" ht="68">
      <c r="A158" s="5">
        <f>VLOOKUP(B158,'Loyd List 1-190 - Edit'!$P$1:$R$219,3,FALSE)</f>
        <v>41</v>
      </c>
      <c r="B158" s="5">
        <f t="shared" si="81"/>
        <v>63</v>
      </c>
      <c r="C158" s="157" t="s">
        <v>2250</v>
      </c>
      <c r="D158" s="6" t="s">
        <v>2246</v>
      </c>
      <c r="E158" s="5" t="s">
        <v>804</v>
      </c>
      <c r="F158" s="5" t="s">
        <v>830</v>
      </c>
      <c r="I158" s="5">
        <f t="shared" si="77"/>
        <v>1950</v>
      </c>
      <c r="J158" s="5" t="str">
        <f t="shared" si="82"/>
        <v/>
      </c>
      <c r="K158" s="152"/>
      <c r="L158" s="7" t="str">
        <f t="shared" si="78"/>
        <v>26/06/1950</v>
      </c>
      <c r="M158" s="7">
        <v>18440</v>
      </c>
      <c r="N158" s="7"/>
      <c r="O158" s="7"/>
      <c r="P158" s="181" t="str">
        <f t="shared" si="58"/>
        <v/>
      </c>
      <c r="Q158" s="153" t="str">
        <f t="shared" si="76"/>
        <v>63a</v>
      </c>
      <c r="R158" s="180" t="str">
        <f t="shared" si="59"/>
        <v/>
      </c>
      <c r="S158" s="25" t="s">
        <v>3245</v>
      </c>
      <c r="T158" s="5">
        <f t="shared" si="60"/>
        <v>6</v>
      </c>
      <c r="U158" s="5">
        <f t="shared" si="61"/>
        <v>4</v>
      </c>
      <c r="V158" s="5">
        <f>VLOOKUP(B158,'Loyd List 1-190 - Edit'!$A$2:$B$220,2,FALSE)</f>
        <v>4</v>
      </c>
      <c r="W158" s="155">
        <f t="shared" si="62"/>
        <v>2</v>
      </c>
      <c r="X158" s="105"/>
      <c r="Y158" s="105"/>
      <c r="Z158" s="164" t="s">
        <v>2511</v>
      </c>
      <c r="AA158" s="6">
        <v>112</v>
      </c>
      <c r="AB158" s="5">
        <f t="shared" si="79"/>
        <v>14</v>
      </c>
      <c r="AC158" s="5">
        <f t="shared" si="74"/>
        <v>2014</v>
      </c>
      <c r="AD158" s="97" t="str">
        <f t="shared" si="63"/>
        <v>63aa</v>
      </c>
      <c r="AE158" s="5" t="str">
        <f t="shared" si="64"/>
        <v>Arthur William  MOORE (1950 - )</v>
      </c>
      <c r="AF158" s="5" t="str">
        <f t="shared" si="65"/>
        <v>Arthur MOORE (6th &amp; 63)</v>
      </c>
      <c r="AG158" s="110" t="str">
        <f t="shared" si="66"/>
        <v>Male</v>
      </c>
      <c r="AH158" s="5" t="str">
        <f t="shared" si="67"/>
        <v>6th</v>
      </c>
      <c r="AI158" s="5" t="str">
        <f t="shared" si="80"/>
        <v>Unmarried</v>
      </c>
      <c r="AJ158" s="105" t="str">
        <f t="shared" si="75"/>
        <v>Male. b. 26/06/1950 Baptised 17 Sep 1950 at St Alban’s, Westbury Park, Bristol. Educated Lower Canada College, Montreal and Dartmouth, New England, USA (AB 1972). Sheffield University (MA). Open University (BA Maths). Systems analyst, Scottish Office, Edinburgh.</v>
      </c>
      <c r="AK158" s="105" t="str">
        <f t="shared" si="69"/>
        <v>b. 26/06/1950</v>
      </c>
    </row>
    <row r="159" spans="1:37" s="5" customFormat="1" ht="102">
      <c r="A159" s="5">
        <f>VLOOKUP(B159,'Loyd List 1-190 - Edit'!$P$1:$R$219,3,FALSE)</f>
        <v>41</v>
      </c>
      <c r="B159" s="5">
        <f t="shared" si="81"/>
        <v>63</v>
      </c>
      <c r="C159" s="157" t="s">
        <v>2251</v>
      </c>
      <c r="D159" s="6" t="s">
        <v>2246</v>
      </c>
      <c r="E159" s="5" t="s">
        <v>953</v>
      </c>
      <c r="F159" s="5" t="s">
        <v>1687</v>
      </c>
      <c r="I159" s="5">
        <f t="shared" si="77"/>
        <v>1985</v>
      </c>
      <c r="J159" s="5" t="str">
        <f t="shared" si="82"/>
        <v/>
      </c>
      <c r="K159" s="152"/>
      <c r="L159" s="7" t="str">
        <f t="shared" si="78"/>
        <v>24/08/1985</v>
      </c>
      <c r="M159" s="8">
        <v>31283</v>
      </c>
      <c r="N159" s="7"/>
      <c r="O159" s="7"/>
      <c r="P159" s="181" t="str">
        <f t="shared" si="58"/>
        <v/>
      </c>
      <c r="Q159" s="153" t="str">
        <f t="shared" si="76"/>
        <v>63a</v>
      </c>
      <c r="R159" s="180" t="str">
        <f t="shared" si="59"/>
        <v/>
      </c>
      <c r="S159" s="25" t="s">
        <v>3245</v>
      </c>
      <c r="T159" s="5">
        <f t="shared" si="60"/>
        <v>6</v>
      </c>
      <c r="U159" s="5">
        <f t="shared" si="61"/>
        <v>4</v>
      </c>
      <c r="V159" s="5">
        <f>VLOOKUP(B159,'Loyd List 1-190 - Edit'!$A$2:$B$220,2,FALSE)</f>
        <v>4</v>
      </c>
      <c r="W159" s="155">
        <f t="shared" si="62"/>
        <v>2</v>
      </c>
      <c r="X159" s="105" t="s">
        <v>2252</v>
      </c>
      <c r="Y159" s="105" t="s">
        <v>2512</v>
      </c>
      <c r="Z159" s="164" t="s">
        <v>2513</v>
      </c>
      <c r="AA159" s="6">
        <v>113</v>
      </c>
      <c r="AB159" s="5">
        <f t="shared" si="79"/>
        <v>15</v>
      </c>
      <c r="AC159" s="5">
        <f t="shared" si="74"/>
        <v>2015</v>
      </c>
      <c r="AD159" s="97" t="str">
        <f t="shared" si="63"/>
        <v>63ab</v>
      </c>
      <c r="AE159" s="5" t="str">
        <f t="shared" si="64"/>
        <v>Gareth Allen  MOORE (1985 - )</v>
      </c>
      <c r="AF159" s="5" t="str">
        <f t="shared" si="65"/>
        <v>Gareth MOORE (6th &amp; 63)</v>
      </c>
      <c r="AG159" s="110" t="str">
        <f t="shared" si="66"/>
        <v>Male</v>
      </c>
      <c r="AH159" s="5" t="str">
        <f t="shared" si="67"/>
        <v>6th</v>
      </c>
      <c r="AI159" s="5" t="str">
        <f t="shared" si="80"/>
        <v>Wife: Anne Marrei ZAJAC (b. 22/05/1950, d. ). Married at St Paul’s Episcopal, Lansing, Michigan, Anne Marie eldest daughter of Robert ZAJAC of Lansing, Michigan, USA.</v>
      </c>
      <c r="AJ159" s="105" t="str">
        <f t="shared" si="75"/>
        <v>Male. b. 24/08/1985 Baptised 17 Sep 1954 at St Alban’s, Westbury Park, Bristol. Educated Lower Canada College, Montreal and Dartmouth, New England, USA (AB 1975). University of Guelph (DVM). Ohio State (MS 1987). Educated University of Michigan (BS 1973). Michigan State (MS DVM 1979). Ohio State (PhD 1986). Associate Professor of Parasitology, Virginia/Maryland College of Veterinary Medicine.</v>
      </c>
      <c r="AK159" s="105" t="str">
        <f t="shared" si="69"/>
        <v>b. 24/08/1985</v>
      </c>
    </row>
    <row r="160" spans="1:37" s="5" customFormat="1" ht="51">
      <c r="A160" s="5">
        <f>VLOOKUP(B160,'Loyd List 1-190 - Edit'!$P$1:$R$219,3,FALSE)</f>
        <v>34</v>
      </c>
      <c r="B160" s="5">
        <f t="shared" si="81"/>
        <v>65</v>
      </c>
      <c r="C160" s="157" t="s">
        <v>2273</v>
      </c>
      <c r="D160" s="6" t="s">
        <v>2264</v>
      </c>
      <c r="E160" s="5" t="s">
        <v>2271</v>
      </c>
      <c r="F160" s="5" t="s">
        <v>2272</v>
      </c>
      <c r="I160" s="5">
        <f t="shared" si="77"/>
        <v>1971</v>
      </c>
      <c r="J160" s="5" t="str">
        <f t="shared" si="82"/>
        <v/>
      </c>
      <c r="K160" s="152"/>
      <c r="L160" s="7" t="str">
        <f t="shared" si="78"/>
        <v>01/06/1971</v>
      </c>
      <c r="M160" s="8">
        <v>26085</v>
      </c>
      <c r="N160" s="7"/>
      <c r="O160" s="7"/>
      <c r="P160" s="181" t="str">
        <f t="shared" si="58"/>
        <v/>
      </c>
      <c r="Q160" s="153" t="str">
        <f t="shared" si="76"/>
        <v>65c</v>
      </c>
      <c r="R160" s="180" t="str">
        <f t="shared" si="59"/>
        <v/>
      </c>
      <c r="S160" s="25" t="s">
        <v>3244</v>
      </c>
      <c r="T160" s="5">
        <f t="shared" si="60"/>
        <v>6</v>
      </c>
      <c r="U160" s="5">
        <f t="shared" si="61"/>
        <v>4</v>
      </c>
      <c r="V160" s="5">
        <f>VLOOKUP(B160,'Loyd List 1-190 - Edit'!$A$2:$B$220,2,FALSE)</f>
        <v>4</v>
      </c>
      <c r="W160" s="155">
        <f t="shared" si="62"/>
        <v>2</v>
      </c>
      <c r="X160" s="105"/>
      <c r="Y160" s="105"/>
      <c r="Z160" s="164" t="s">
        <v>2524</v>
      </c>
      <c r="AA160" s="6">
        <v>121</v>
      </c>
      <c r="AB160" s="5">
        <f t="shared" si="79"/>
        <v>16</v>
      </c>
      <c r="AC160" s="5">
        <f t="shared" si="74"/>
        <v>2016</v>
      </c>
      <c r="AD160" s="97" t="str">
        <f t="shared" si="63"/>
        <v>65ca</v>
      </c>
      <c r="AE160" s="5" t="str">
        <f t="shared" si="64"/>
        <v>Vanessa Chantal  WHEELER (1971 - )</v>
      </c>
      <c r="AF160" s="5" t="str">
        <f t="shared" si="65"/>
        <v>Vanessa WHEELER (6th &amp; 65)</v>
      </c>
      <c r="AG160" s="110" t="str">
        <f t="shared" si="66"/>
        <v>Female</v>
      </c>
      <c r="AH160" s="5" t="str">
        <f t="shared" si="67"/>
        <v>6th</v>
      </c>
      <c r="AI160" s="5" t="str">
        <f t="shared" si="80"/>
        <v>Unmarried</v>
      </c>
      <c r="AJ160" s="105" t="str">
        <f t="shared" si="75"/>
        <v>Female. b. 01/06/1971 Educated Henrietta Barnett 1982-89 and Sidney Sussex, Cambridge1989-92 (BA). London University (PhD 1996). Research Fellow in Neurogenetics, Massachusetts General Hospital, Boston</v>
      </c>
      <c r="AK160" s="105" t="str">
        <f t="shared" si="69"/>
        <v>b. 01/06/1971</v>
      </c>
    </row>
    <row r="161" spans="1:37" s="5" customFormat="1" ht="51">
      <c r="A161" s="5">
        <f>VLOOKUP(B161,'Loyd List 1-190 - Edit'!$P$1:$R$219,3,FALSE)</f>
        <v>34</v>
      </c>
      <c r="B161" s="5">
        <f t="shared" si="81"/>
        <v>65</v>
      </c>
      <c r="C161" s="157" t="s">
        <v>2275</v>
      </c>
      <c r="D161" s="6" t="s">
        <v>2264</v>
      </c>
      <c r="E161" s="5" t="s">
        <v>1768</v>
      </c>
      <c r="F161" s="5" t="s">
        <v>2274</v>
      </c>
      <c r="I161" s="5">
        <f t="shared" si="77"/>
        <v>1973</v>
      </c>
      <c r="J161" s="5" t="str">
        <f t="shared" si="82"/>
        <v/>
      </c>
      <c r="K161" s="152"/>
      <c r="L161" s="7" t="str">
        <f t="shared" si="78"/>
        <v>09/07/1973</v>
      </c>
      <c r="M161" s="8">
        <v>26854</v>
      </c>
      <c r="N161" s="7"/>
      <c r="O161" s="7"/>
      <c r="P161" s="181" t="str">
        <f t="shared" si="58"/>
        <v/>
      </c>
      <c r="Q161" s="153" t="str">
        <f t="shared" si="76"/>
        <v>65c</v>
      </c>
      <c r="R161" s="180" t="str">
        <f t="shared" si="59"/>
        <v/>
      </c>
      <c r="S161" s="25" t="s">
        <v>3244</v>
      </c>
      <c r="T161" s="5">
        <f t="shared" si="60"/>
        <v>6</v>
      </c>
      <c r="U161" s="5">
        <f t="shared" si="61"/>
        <v>4</v>
      </c>
      <c r="V161" s="5">
        <f>VLOOKUP(B161,'Loyd List 1-190 - Edit'!$A$2:$B$220,2,FALSE)</f>
        <v>4</v>
      </c>
      <c r="W161" s="155">
        <f t="shared" si="62"/>
        <v>2</v>
      </c>
      <c r="X161" s="105"/>
      <c r="Y161" s="105"/>
      <c r="Z161" s="164" t="s">
        <v>3794</v>
      </c>
      <c r="AA161" s="6">
        <v>122</v>
      </c>
      <c r="AB161" s="5">
        <f t="shared" si="79"/>
        <v>17</v>
      </c>
      <c r="AC161" s="5">
        <f t="shared" si="74"/>
        <v>2017</v>
      </c>
      <c r="AD161" s="97" t="str">
        <f t="shared" si="63"/>
        <v>65cb</v>
      </c>
      <c r="AE161" s="5" t="str">
        <f t="shared" si="64"/>
        <v>Karen Natalie  WHEELER (1973 - )</v>
      </c>
      <c r="AF161" s="5" t="str">
        <f t="shared" si="65"/>
        <v>Karen WHEELER (6th &amp; 65)</v>
      </c>
      <c r="AG161" s="110" t="str">
        <f t="shared" si="66"/>
        <v>Female</v>
      </c>
      <c r="AH161" s="5" t="str">
        <f t="shared" si="67"/>
        <v>6th</v>
      </c>
      <c r="AI161" s="5" t="str">
        <f t="shared" si="80"/>
        <v>Unmarried</v>
      </c>
      <c r="AJ161" s="105" t="str">
        <f t="shared" si="75"/>
        <v>Female. b. 09/07/1973 Educated Henrietta Barnett 1984-91 and Nottingham University 1991-95 (BA).  Assistant Supervisor Ground Staff, Air France 1995-98. Sales Manager, Lagrange Holidays from 1998.</v>
      </c>
      <c r="AK161" s="105" t="str">
        <f t="shared" si="69"/>
        <v>b. 09/07/1973</v>
      </c>
    </row>
    <row r="162" spans="1:37" s="5" customFormat="1" ht="34">
      <c r="A162" s="5">
        <f>VLOOKUP(B162,'Loyd List 1-190 - Edit'!$P$1:$R$219,3,FALSE)</f>
        <v>46</v>
      </c>
      <c r="B162" s="5">
        <f t="shared" si="81"/>
        <v>70</v>
      </c>
      <c r="C162" s="157" t="s">
        <v>2282</v>
      </c>
      <c r="D162" s="6" t="s">
        <v>2281</v>
      </c>
      <c r="E162" s="5" t="s">
        <v>830</v>
      </c>
      <c r="F162" s="5" t="s">
        <v>928</v>
      </c>
      <c r="G162" s="5" t="s">
        <v>917</v>
      </c>
      <c r="I162" s="5">
        <f t="shared" si="77"/>
        <v>1951</v>
      </c>
      <c r="J162" s="5" t="str">
        <f t="shared" si="82"/>
        <v/>
      </c>
      <c r="K162" s="152"/>
      <c r="L162" s="7" t="str">
        <f t="shared" si="78"/>
        <v>31/01/1951</v>
      </c>
      <c r="M162" s="7">
        <v>18659</v>
      </c>
      <c r="N162" s="8">
        <v>29477</v>
      </c>
      <c r="O162" s="7"/>
      <c r="P162" s="181" t="str">
        <f t="shared" si="58"/>
        <v/>
      </c>
      <c r="Q162" s="153" t="str">
        <f t="shared" si="76"/>
        <v>70a</v>
      </c>
      <c r="R162" s="180" t="str">
        <f t="shared" si="59"/>
        <v/>
      </c>
      <c r="S162" s="25" t="s">
        <v>3245</v>
      </c>
      <c r="T162" s="5">
        <f t="shared" si="60"/>
        <v>6</v>
      </c>
      <c r="U162" s="5">
        <f t="shared" si="61"/>
        <v>4</v>
      </c>
      <c r="V162" s="5">
        <f>VLOOKUP(B162,'Loyd List 1-190 - Edit'!$A$2:$B$220,2,FALSE)</f>
        <v>4</v>
      </c>
      <c r="W162" s="155">
        <f t="shared" si="62"/>
        <v>2</v>
      </c>
      <c r="X162" s="105" t="s">
        <v>2283</v>
      </c>
      <c r="Y162" s="105"/>
      <c r="Z162" s="164" t="s">
        <v>2526</v>
      </c>
      <c r="AA162" s="6">
        <v>124</v>
      </c>
      <c r="AB162" s="5">
        <f t="shared" si="79"/>
        <v>18</v>
      </c>
      <c r="AC162" s="5">
        <f t="shared" si="74"/>
        <v>2018</v>
      </c>
      <c r="AD162" s="97" t="str">
        <f t="shared" si="63"/>
        <v>70aa</v>
      </c>
      <c r="AE162" s="5" t="str">
        <f t="shared" si="64"/>
        <v>William Richard Charles SHEARER (1951 - )</v>
      </c>
      <c r="AF162" s="5" t="str">
        <f t="shared" si="65"/>
        <v>William SHEARER (6th &amp; 70)</v>
      </c>
      <c r="AG162" s="110" t="str">
        <f t="shared" si="66"/>
        <v>Male</v>
      </c>
      <c r="AH162" s="5" t="str">
        <f t="shared" si="67"/>
        <v>6th</v>
      </c>
      <c r="AI162" s="5" t="str">
        <f t="shared" si="80"/>
        <v xml:space="preserve">Wife: Jane Monica JEFFERSON (b. 22/03/1951, d. ). </v>
      </c>
      <c r="AJ162" s="105" t="str">
        <f t="shared" si="75"/>
        <v>Male. b. 31/01/1951 William SHEARER of Holly House, Walkers Lane, Church Brampton, Northamptonshire NN6 8DZ.</v>
      </c>
      <c r="AK162" s="105" t="str">
        <f t="shared" si="69"/>
        <v>b. 31/01/1951</v>
      </c>
    </row>
    <row r="163" spans="1:37" s="5" customFormat="1" ht="20">
      <c r="A163" s="5">
        <f>VLOOKUP(B163,'Loyd List 1-190 - Edit'!$P$1:$R$219,3,FALSE)</f>
        <v>46</v>
      </c>
      <c r="B163" s="5">
        <f t="shared" si="81"/>
        <v>70</v>
      </c>
      <c r="C163" s="157" t="s">
        <v>2287</v>
      </c>
      <c r="D163" s="6" t="s">
        <v>2281</v>
      </c>
      <c r="E163" s="5" t="s">
        <v>1391</v>
      </c>
      <c r="F163" s="5" t="s">
        <v>798</v>
      </c>
      <c r="G163" s="5" t="s">
        <v>2286</v>
      </c>
      <c r="I163" s="5">
        <f t="shared" si="77"/>
        <v>1952</v>
      </c>
      <c r="J163" s="5" t="str">
        <f t="shared" si="82"/>
        <v/>
      </c>
      <c r="K163" s="152"/>
      <c r="L163" s="7" t="str">
        <f t="shared" si="78"/>
        <v>22/11/1952</v>
      </c>
      <c r="M163" s="7">
        <v>19320</v>
      </c>
      <c r="N163" s="8">
        <v>29052</v>
      </c>
      <c r="O163" s="7"/>
      <c r="P163" s="181" t="str">
        <f t="shared" si="58"/>
        <v/>
      </c>
      <c r="Q163" s="153" t="str">
        <f t="shared" si="76"/>
        <v>70a</v>
      </c>
      <c r="R163" s="180" t="str">
        <f t="shared" si="59"/>
        <v/>
      </c>
      <c r="S163" s="25" t="s">
        <v>3244</v>
      </c>
      <c r="T163" s="5">
        <f t="shared" si="60"/>
        <v>6</v>
      </c>
      <c r="U163" s="5">
        <f t="shared" si="61"/>
        <v>4</v>
      </c>
      <c r="V163" s="5">
        <f>VLOOKUP(B163,'Loyd List 1-190 - Edit'!$A$2:$B$220,2,FALSE)</f>
        <v>4</v>
      </c>
      <c r="W163" s="155">
        <f t="shared" si="62"/>
        <v>2</v>
      </c>
      <c r="X163" s="105" t="s">
        <v>2288</v>
      </c>
      <c r="Y163" s="105"/>
      <c r="Z163" s="164"/>
      <c r="AA163" s="6">
        <v>127</v>
      </c>
      <c r="AB163" s="5">
        <f t="shared" si="79"/>
        <v>19</v>
      </c>
      <c r="AC163" s="5">
        <f t="shared" si="74"/>
        <v>2019</v>
      </c>
      <c r="AD163" s="97" t="str">
        <f t="shared" si="63"/>
        <v>70ab</v>
      </c>
      <c r="AE163" s="5" t="str">
        <f t="shared" si="64"/>
        <v>Rosemary Diana Esther SHEARER (1952 - )</v>
      </c>
      <c r="AF163" s="5" t="str">
        <f t="shared" si="65"/>
        <v>Rosemary SHEARER (6th &amp; 70)</v>
      </c>
      <c r="AG163" s="110" t="str">
        <f t="shared" si="66"/>
        <v>Female</v>
      </c>
      <c r="AH163" s="5" t="str">
        <f t="shared" si="67"/>
        <v>6th</v>
      </c>
      <c r="AI163" s="5" t="str">
        <f t="shared" si="80"/>
        <v xml:space="preserve">Husband: Pierre Robert ANDREY. </v>
      </c>
      <c r="AJ163" s="105" t="str">
        <f t="shared" si="75"/>
        <v>Female. b. 22/11/1952</v>
      </c>
      <c r="AK163" s="105" t="str">
        <f t="shared" si="69"/>
        <v>b. 22/11/1952</v>
      </c>
    </row>
    <row r="164" spans="1:37" s="5" customFormat="1" ht="34">
      <c r="A164" s="5">
        <f>VLOOKUP(B164,'Loyd List 1-190 - Edit'!$P$1:$R$219,3,FALSE)</f>
        <v>46</v>
      </c>
      <c r="B164" s="5">
        <f t="shared" si="81"/>
        <v>70</v>
      </c>
      <c r="C164" s="157" t="s">
        <v>2294</v>
      </c>
      <c r="D164" s="6" t="s">
        <v>2281</v>
      </c>
      <c r="E164" s="5" t="s">
        <v>885</v>
      </c>
      <c r="F164" s="5" t="s">
        <v>842</v>
      </c>
      <c r="G164" s="5" t="s">
        <v>2293</v>
      </c>
      <c r="I164" s="5">
        <f t="shared" si="77"/>
        <v>1960</v>
      </c>
      <c r="J164" s="5" t="str">
        <f t="shared" si="82"/>
        <v/>
      </c>
      <c r="K164" s="152"/>
      <c r="L164" s="7" t="str">
        <f t="shared" si="78"/>
        <v>01/06/1960</v>
      </c>
      <c r="M164" s="7">
        <v>22068</v>
      </c>
      <c r="N164" s="8"/>
      <c r="O164" s="7"/>
      <c r="P164" s="181" t="str">
        <f t="shared" si="58"/>
        <v/>
      </c>
      <c r="Q164" s="153" t="str">
        <f t="shared" si="76"/>
        <v>70a</v>
      </c>
      <c r="R164" s="180" t="str">
        <f t="shared" si="59"/>
        <v/>
      </c>
      <c r="S164" s="25" t="s">
        <v>3245</v>
      </c>
      <c r="T164" s="5">
        <f t="shared" si="60"/>
        <v>6</v>
      </c>
      <c r="U164" s="5">
        <f t="shared" si="61"/>
        <v>4</v>
      </c>
      <c r="V164" s="5">
        <f>VLOOKUP(B164,'Loyd List 1-190 - Edit'!$A$2:$B$220,2,FALSE)</f>
        <v>4</v>
      </c>
      <c r="W164" s="155">
        <f t="shared" si="62"/>
        <v>2</v>
      </c>
      <c r="X164" s="105"/>
      <c r="Y164" s="105"/>
      <c r="Z164" s="164" t="s">
        <v>2527</v>
      </c>
      <c r="AA164" s="6">
        <v>130</v>
      </c>
      <c r="AB164" s="5">
        <f t="shared" si="79"/>
        <v>20</v>
      </c>
      <c r="AC164" s="5">
        <f t="shared" si="74"/>
        <v>2020</v>
      </c>
      <c r="AD164" s="97" t="str">
        <f t="shared" si="63"/>
        <v>70ac</v>
      </c>
      <c r="AE164" s="5" t="str">
        <f t="shared" si="64"/>
        <v>Andrew John Micklem SHEARER (1960 - )</v>
      </c>
      <c r="AF164" s="5" t="str">
        <f t="shared" si="65"/>
        <v>Andrew SHEARER (6th &amp; 70)</v>
      </c>
      <c r="AG164" s="110" t="str">
        <f t="shared" si="66"/>
        <v>Male</v>
      </c>
      <c r="AH164" s="5" t="str">
        <f t="shared" si="67"/>
        <v>6th</v>
      </c>
      <c r="AI164" s="5" t="str">
        <f t="shared" si="80"/>
        <v>Unmarried</v>
      </c>
      <c r="AJ164" s="105" t="str">
        <f t="shared" si="75"/>
        <v xml:space="preserve">Male. b. 01/06/1960 Andrew SHEARER of The Old Farmhouse, Alderley, Wooton-under-Edge, Gloucestershire GL12 7QT. </v>
      </c>
      <c r="AK164" s="105" t="str">
        <f t="shared" si="69"/>
        <v>b. 01/06/1960</v>
      </c>
    </row>
    <row r="165" spans="1:37" s="5" customFormat="1" ht="20">
      <c r="A165" s="5">
        <f>VLOOKUP(B165,'Loyd List 1-190 - Edit'!$P$1:$R$219,3,FALSE)</f>
        <v>46</v>
      </c>
      <c r="B165" s="5">
        <f t="shared" si="81"/>
        <v>70</v>
      </c>
      <c r="C165" s="157" t="s">
        <v>2299</v>
      </c>
      <c r="D165" s="6" t="s">
        <v>2296</v>
      </c>
      <c r="E165" s="5" t="s">
        <v>917</v>
      </c>
      <c r="F165" s="5" t="s">
        <v>865</v>
      </c>
      <c r="H165" s="5" t="s">
        <v>865</v>
      </c>
      <c r="I165" s="5">
        <f t="shared" si="77"/>
        <v>1955</v>
      </c>
      <c r="J165" s="5" t="str">
        <f t="shared" si="82"/>
        <v/>
      </c>
      <c r="K165" s="152"/>
      <c r="L165" s="7" t="str">
        <f t="shared" si="78"/>
        <v>10/08/1955</v>
      </c>
      <c r="M165" s="123" t="s">
        <v>2983</v>
      </c>
      <c r="N165" s="8">
        <v>30526</v>
      </c>
      <c r="O165" s="7"/>
      <c r="P165" s="181" t="str">
        <f t="shared" si="58"/>
        <v/>
      </c>
      <c r="Q165" s="153" t="str">
        <f t="shared" si="76"/>
        <v>70b</v>
      </c>
      <c r="R165" s="180" t="str">
        <f t="shared" si="59"/>
        <v/>
      </c>
      <c r="S165" s="25" t="s">
        <v>3245</v>
      </c>
      <c r="T165" s="5">
        <f t="shared" si="60"/>
        <v>6</v>
      </c>
      <c r="U165" s="5">
        <f t="shared" si="61"/>
        <v>4</v>
      </c>
      <c r="V165" s="5">
        <f>VLOOKUP(B165,'Loyd List 1-190 - Edit'!$A$2:$B$220,2,FALSE)</f>
        <v>4</v>
      </c>
      <c r="W165" s="155">
        <f t="shared" si="62"/>
        <v>2</v>
      </c>
      <c r="X165" s="105" t="s">
        <v>2300</v>
      </c>
      <c r="Y165" s="105"/>
      <c r="Z165" s="164"/>
      <c r="AA165" s="6">
        <v>132</v>
      </c>
      <c r="AB165" s="5">
        <f t="shared" si="79"/>
        <v>21</v>
      </c>
      <c r="AC165" s="5">
        <f t="shared" si="74"/>
        <v>2021</v>
      </c>
      <c r="AD165" s="97" t="str">
        <f t="shared" si="63"/>
        <v>70ba</v>
      </c>
      <c r="AE165" s="5" t="str">
        <f t="shared" si="64"/>
        <v>Charles Peter  MELITUS (1955 - )</v>
      </c>
      <c r="AF165" s="5" t="str">
        <f t="shared" si="65"/>
        <v>Peter MELITUS (6th &amp; 70)</v>
      </c>
      <c r="AG165" s="110" t="str">
        <f t="shared" si="66"/>
        <v>Male</v>
      </c>
      <c r="AH165" s="5" t="str">
        <f t="shared" si="67"/>
        <v>6th</v>
      </c>
      <c r="AI165" s="5" t="str">
        <f t="shared" si="80"/>
        <v xml:space="preserve">Wife: Susan Adele WRIGHT (b. 16/05/1952, d. ?). </v>
      </c>
      <c r="AJ165" s="105" t="str">
        <f t="shared" si="75"/>
        <v>Male. b. 10/08/1955</v>
      </c>
      <c r="AK165" s="105" t="str">
        <f t="shared" si="69"/>
        <v>b. 10/08/1955</v>
      </c>
    </row>
    <row r="166" spans="1:37" s="5" customFormat="1" ht="69">
      <c r="A166" s="5">
        <f>VLOOKUP(B166,'Loyd List 1-190 - Edit'!$P$1:$R$219,3,FALSE)</f>
        <v>46</v>
      </c>
      <c r="B166" s="5">
        <f t="shared" si="81"/>
        <v>70</v>
      </c>
      <c r="C166" s="157" t="s">
        <v>2305</v>
      </c>
      <c r="D166" s="6" t="s">
        <v>2296</v>
      </c>
      <c r="E166" s="5" t="s">
        <v>903</v>
      </c>
      <c r="F166" s="5" t="s">
        <v>882</v>
      </c>
      <c r="G166" s="5" t="s">
        <v>1752</v>
      </c>
      <c r="I166" s="5">
        <f t="shared" si="77"/>
        <v>1959</v>
      </c>
      <c r="J166" s="5" t="str">
        <f t="shared" si="82"/>
        <v/>
      </c>
      <c r="K166" s="152"/>
      <c r="L166" s="7" t="str">
        <f t="shared" si="78"/>
        <v>14/09/1959</v>
      </c>
      <c r="M166" s="10" t="s">
        <v>2990</v>
      </c>
      <c r="N166" s="7">
        <v>31759</v>
      </c>
      <c r="O166" s="7"/>
      <c r="P166" s="181" t="str">
        <f t="shared" si="58"/>
        <v/>
      </c>
      <c r="Q166" s="153" t="str">
        <f t="shared" si="76"/>
        <v>70b</v>
      </c>
      <c r="R166" s="180" t="str">
        <f t="shared" si="59"/>
        <v/>
      </c>
      <c r="S166" s="25" t="s">
        <v>3244</v>
      </c>
      <c r="T166" s="5">
        <f t="shared" si="60"/>
        <v>6</v>
      </c>
      <c r="U166" s="5">
        <f t="shared" si="61"/>
        <v>4</v>
      </c>
      <c r="V166" s="5">
        <f>VLOOKUP(B166,'Loyd List 1-190 - Edit'!$A$2:$B$220,2,FALSE)</f>
        <v>4</v>
      </c>
      <c r="W166" s="155">
        <f t="shared" si="62"/>
        <v>2</v>
      </c>
      <c r="X166" s="105" t="s">
        <v>2306</v>
      </c>
      <c r="Y166" s="164" t="s">
        <v>2531</v>
      </c>
      <c r="Z166" s="164" t="s">
        <v>2530</v>
      </c>
      <c r="AA166" s="6">
        <v>135</v>
      </c>
      <c r="AB166" s="5">
        <f t="shared" si="79"/>
        <v>22</v>
      </c>
      <c r="AC166" s="5">
        <f t="shared" si="74"/>
        <v>2022</v>
      </c>
      <c r="AD166" s="97" t="str">
        <f t="shared" si="63"/>
        <v>70bb</v>
      </c>
      <c r="AE166" s="5" t="str">
        <f t="shared" si="64"/>
        <v>Caroline Margaret Paula MELITUS (1959 - )</v>
      </c>
      <c r="AF166" s="5" t="str">
        <f t="shared" si="65"/>
        <v>Caroline MELITUS (6th &amp; 70)</v>
      </c>
      <c r="AG166" s="110" t="str">
        <f t="shared" si="66"/>
        <v>Female</v>
      </c>
      <c r="AH166" s="5" t="str">
        <f t="shared" si="67"/>
        <v>6th</v>
      </c>
      <c r="AI166" s="5" t="str">
        <f t="shared" si="80"/>
        <v>Husband: Owen Arthur Wilfred CHALDECOTT (b. 08/01/1961, ). Married Owen Arthur Wilfred CHALDECOTT (b. 8 Jan 1961) of 62 Herringston Road, Dorchester, Dorset, DT1 2BT</v>
      </c>
      <c r="AJ166" s="105" t="str">
        <f t="shared" si="75"/>
        <v>Female. b. 14/09/1959 Baptised 14 Apr 1960 at St Andrew’s, Grafham, Surrey.</v>
      </c>
      <c r="AK166" s="105" t="str">
        <f t="shared" si="69"/>
        <v>b. 14/09/1959</v>
      </c>
    </row>
    <row r="167" spans="1:37" s="5" customFormat="1" ht="52">
      <c r="A167" s="5">
        <f>VLOOKUP(B167,'Loyd List 1-190 - Edit'!$P$1:$R$219,3,FALSE)</f>
        <v>46</v>
      </c>
      <c r="B167" s="5">
        <f t="shared" si="81"/>
        <v>70</v>
      </c>
      <c r="C167" s="157" t="s">
        <v>2317</v>
      </c>
      <c r="D167" s="6" t="s">
        <v>2314</v>
      </c>
      <c r="E167" s="5" t="s">
        <v>804</v>
      </c>
      <c r="F167" s="5" t="s">
        <v>2315</v>
      </c>
      <c r="G167" s="5" t="s">
        <v>2293</v>
      </c>
      <c r="H167" s="5" t="s">
        <v>2315</v>
      </c>
      <c r="I167" s="5">
        <f t="shared" si="77"/>
        <v>1951</v>
      </c>
      <c r="J167" s="5" t="str">
        <f t="shared" si="82"/>
        <v/>
      </c>
      <c r="K167" s="152"/>
      <c r="L167" s="7" t="str">
        <f t="shared" si="78"/>
        <v>16/09/1951</v>
      </c>
      <c r="M167" s="8">
        <v>18887</v>
      </c>
      <c r="N167" s="7" t="s">
        <v>2316</v>
      </c>
      <c r="O167" s="7"/>
      <c r="P167" s="181" t="str">
        <f t="shared" si="58"/>
        <v/>
      </c>
      <c r="Q167" s="153" t="str">
        <f t="shared" si="76"/>
        <v>70c</v>
      </c>
      <c r="R167" s="180" t="str">
        <f t="shared" si="59"/>
        <v/>
      </c>
      <c r="S167" s="25" t="s">
        <v>3245</v>
      </c>
      <c r="T167" s="5">
        <f t="shared" si="60"/>
        <v>6</v>
      </c>
      <c r="U167" s="5">
        <f t="shared" si="61"/>
        <v>4</v>
      </c>
      <c r="V167" s="5">
        <f>VLOOKUP(B167,'Loyd List 1-190 - Edit'!$A$2:$B$220,2,FALSE)</f>
        <v>4</v>
      </c>
      <c r="W167" s="155">
        <f t="shared" si="62"/>
        <v>2</v>
      </c>
      <c r="X167" s="105" t="s">
        <v>2318</v>
      </c>
      <c r="Y167" s="105" t="s">
        <v>2537</v>
      </c>
      <c r="Z167" s="164" t="s">
        <v>2538</v>
      </c>
      <c r="AA167" s="6">
        <v>140</v>
      </c>
      <c r="AB167" s="5">
        <f t="shared" si="79"/>
        <v>23</v>
      </c>
      <c r="AC167" s="5">
        <f t="shared" si="74"/>
        <v>2023</v>
      </c>
      <c r="AD167" s="97" t="str">
        <f t="shared" si="63"/>
        <v>70ca</v>
      </c>
      <c r="AE167" s="5" t="str">
        <f t="shared" si="64"/>
        <v>Arthur Hugo Micklem PAGE (1951 - )</v>
      </c>
      <c r="AF167" s="5" t="str">
        <f t="shared" si="65"/>
        <v>Hugo PAGE (6th &amp; 70)</v>
      </c>
      <c r="AG167" s="110" t="str">
        <f t="shared" si="66"/>
        <v>Male</v>
      </c>
      <c r="AH167" s="5" t="str">
        <f t="shared" si="67"/>
        <v>6th</v>
      </c>
      <c r="AI167" s="5" t="str">
        <f t="shared" si="80"/>
        <v>Wife: Angelique DE FOLIN (b. 09/04/1968, ). Married  in Venice, Angelique  daughter of Le Marquis DE FOLIN of Paris.</v>
      </c>
      <c r="AJ167" s="105" t="str">
        <f t="shared" si="75"/>
        <v>Male. b. 16/09/1951 Arthur of 20 Brechin Place, London SW7 4QA. Educated Harrow and Magdalene College, Cambridge (Engineering &amp; Philosophy). Barrister-at-law.</v>
      </c>
      <c r="AK167" s="105" t="str">
        <f t="shared" si="69"/>
        <v>b. 16/09/1951</v>
      </c>
    </row>
    <row r="168" spans="1:37" s="5" customFormat="1" ht="52">
      <c r="A168" s="5">
        <f>VLOOKUP(B168,'Loyd List 1-190 - Edit'!$P$1:$R$219,3,FALSE)</f>
        <v>46</v>
      </c>
      <c r="B168" s="5">
        <f t="shared" si="81"/>
        <v>70</v>
      </c>
      <c r="C168" s="157" t="s">
        <v>3296</v>
      </c>
      <c r="D168" s="6" t="s">
        <v>2314</v>
      </c>
      <c r="E168" s="5" t="s">
        <v>842</v>
      </c>
      <c r="F168" s="5" t="s">
        <v>2319</v>
      </c>
      <c r="G168" s="5" t="s">
        <v>2293</v>
      </c>
      <c r="H168" s="5" t="s">
        <v>3295</v>
      </c>
      <c r="I168" s="5">
        <f t="shared" si="77"/>
        <v>1953</v>
      </c>
      <c r="J168" s="5" t="str">
        <f t="shared" si="82"/>
        <v/>
      </c>
      <c r="K168" s="152"/>
      <c r="L168" s="7" t="str">
        <f t="shared" si="78"/>
        <v>16/12/1953</v>
      </c>
      <c r="M168" s="8">
        <v>19709</v>
      </c>
      <c r="N168" s="7">
        <v>31094</v>
      </c>
      <c r="O168" s="7"/>
      <c r="P168" s="181" t="str">
        <f t="shared" si="58"/>
        <v/>
      </c>
      <c r="Q168" s="153" t="str">
        <f t="shared" si="76"/>
        <v>70c</v>
      </c>
      <c r="R168" s="180" t="str">
        <f t="shared" si="59"/>
        <v/>
      </c>
      <c r="S168" s="25" t="s">
        <v>3245</v>
      </c>
      <c r="T168" s="5">
        <f t="shared" si="60"/>
        <v>6</v>
      </c>
      <c r="U168" s="5">
        <f t="shared" si="61"/>
        <v>4</v>
      </c>
      <c r="V168" s="5">
        <f>VLOOKUP(B168,'Loyd List 1-190 - Edit'!$A$2:$B$220,2,FALSE)</f>
        <v>4</v>
      </c>
      <c r="W168" s="155">
        <f t="shared" si="62"/>
        <v>2</v>
      </c>
      <c r="X168" s="105" t="s">
        <v>2541</v>
      </c>
      <c r="Y168" s="105" t="s">
        <v>2542</v>
      </c>
      <c r="Z168" s="164" t="s">
        <v>2540</v>
      </c>
      <c r="AA168" s="6">
        <v>141</v>
      </c>
      <c r="AB168" s="5">
        <f t="shared" si="79"/>
        <v>24</v>
      </c>
      <c r="AC168" s="5">
        <f t="shared" si="74"/>
        <v>2024</v>
      </c>
      <c r="AD168" s="97" t="str">
        <f t="shared" si="63"/>
        <v>70cb</v>
      </c>
      <c r="AE168" s="5" t="str">
        <f t="shared" si="64"/>
        <v>John Nathaniel Micklem PAGE (1953 - )</v>
      </c>
      <c r="AF168" s="5" t="str">
        <f t="shared" si="65"/>
        <v>Nat PAGE (6th &amp; 70)</v>
      </c>
      <c r="AG168" s="110" t="str">
        <f t="shared" si="66"/>
        <v>Male</v>
      </c>
      <c r="AH168" s="5" t="str">
        <f t="shared" si="67"/>
        <v>6th</v>
      </c>
      <c r="AI168" s="5" t="str">
        <f t="shared" si="80"/>
        <v>Wife: Lady Katharine Rose Celestine (Kate) ASQUITH (b. 16/10/1949, ). Kate 2nd daughter of the Earl of OXFORD and ASQUITH.</v>
      </c>
      <c r="AJ168" s="105" t="str">
        <f t="shared" si="75"/>
        <v>Male. b. 16/12/1953 Nat of Upper Leigh Farm, East Knoyle, Salisbry, Wiltshire SP3 6AP. Twin with his brother (Henry). Educated Harrow and New Colege, Oxford (Biology).</v>
      </c>
      <c r="AK168" s="105" t="str">
        <f t="shared" si="69"/>
        <v>b. 16/12/1953</v>
      </c>
    </row>
    <row r="169" spans="1:37" s="5" customFormat="1" ht="52">
      <c r="A169" s="5">
        <f>VLOOKUP(B169,'Loyd List 1-190 - Edit'!$P$1:$R$219,3,FALSE)</f>
        <v>46</v>
      </c>
      <c r="B169" s="5">
        <f t="shared" si="81"/>
        <v>70</v>
      </c>
      <c r="C169" s="157" t="s">
        <v>3297</v>
      </c>
      <c r="D169" s="6" t="s">
        <v>2314</v>
      </c>
      <c r="E169" s="5" t="s">
        <v>807</v>
      </c>
      <c r="F169" s="5" t="s">
        <v>917</v>
      </c>
      <c r="G169" s="5" t="s">
        <v>2293</v>
      </c>
      <c r="I169" s="5">
        <f t="shared" si="77"/>
        <v>1953</v>
      </c>
      <c r="J169" s="5" t="str">
        <f t="shared" si="82"/>
        <v/>
      </c>
      <c r="K169" s="152"/>
      <c r="L169" s="7" t="str">
        <f t="shared" si="78"/>
        <v>16/12/1953</v>
      </c>
      <c r="M169" s="8">
        <v>19709</v>
      </c>
      <c r="N169" s="7">
        <v>30536</v>
      </c>
      <c r="O169" s="7"/>
      <c r="P169" s="181" t="str">
        <f t="shared" si="58"/>
        <v/>
      </c>
      <c r="Q169" s="153" t="str">
        <f t="shared" si="76"/>
        <v>70c</v>
      </c>
      <c r="R169" s="180" t="str">
        <f t="shared" si="59"/>
        <v/>
      </c>
      <c r="S169" s="25" t="s">
        <v>3245</v>
      </c>
      <c r="T169" s="5">
        <f t="shared" si="60"/>
        <v>6</v>
      </c>
      <c r="U169" s="5">
        <f t="shared" si="61"/>
        <v>4</v>
      </c>
      <c r="V169" s="5">
        <f>VLOOKUP(B169,'Loyd List 1-190 - Edit'!$A$2:$B$220,2,FALSE)</f>
        <v>4</v>
      </c>
      <c r="W169" s="155">
        <f t="shared" si="62"/>
        <v>2</v>
      </c>
      <c r="X169" s="105" t="s">
        <v>2323</v>
      </c>
      <c r="Y169" s="105" t="s">
        <v>2544</v>
      </c>
      <c r="Z169" s="164" t="s">
        <v>2543</v>
      </c>
      <c r="AA169" s="6">
        <v>142</v>
      </c>
      <c r="AB169" s="5">
        <f t="shared" si="79"/>
        <v>25</v>
      </c>
      <c r="AC169" s="5">
        <f t="shared" si="74"/>
        <v>2025</v>
      </c>
      <c r="AD169" s="97" t="str">
        <f t="shared" si="63"/>
        <v>70cc</v>
      </c>
      <c r="AE169" s="5" t="str">
        <f t="shared" si="64"/>
        <v>Henry Charles Micklem PAGE (1953 - )</v>
      </c>
      <c r="AF169" s="5" t="str">
        <f t="shared" si="65"/>
        <v>Henry PAGE (6th &amp; 70)</v>
      </c>
      <c r="AG169" s="110" t="str">
        <f t="shared" si="66"/>
        <v>Male</v>
      </c>
      <c r="AH169" s="5" t="str">
        <f t="shared" si="67"/>
        <v>6th</v>
      </c>
      <c r="AI169" s="5" t="str">
        <f t="shared" si="80"/>
        <v>Wife: Isabelle ANTHOT (b. 1960). Married at St Anthot, Dijon, daughter of Le Viscompte DE SAINT ANTHOT</v>
      </c>
      <c r="AJ169" s="105" t="str">
        <f t="shared" si="75"/>
        <v>Male. b. 16/12/1953 Henry of of Penningtons, 23 Rue d' Anjou 75008, paris. Educated Gordonstoun. Solicitor.</v>
      </c>
      <c r="AK169" s="105" t="str">
        <f t="shared" si="69"/>
        <v>b. 16/12/1953</v>
      </c>
    </row>
    <row r="170" spans="1:37" s="5" customFormat="1" ht="34">
      <c r="A170" s="5">
        <f>VLOOKUP(B170,'Loyd List 1-190 - Edit'!$P$1:$R$219,3,FALSE)</f>
        <v>46</v>
      </c>
      <c r="B170" s="5">
        <f t="shared" si="81"/>
        <v>70</v>
      </c>
      <c r="C170" s="157" t="s">
        <v>2320</v>
      </c>
      <c r="D170" s="6" t="s">
        <v>2314</v>
      </c>
      <c r="E170" s="5" t="s">
        <v>971</v>
      </c>
      <c r="F170" s="5" t="s">
        <v>918</v>
      </c>
      <c r="G170" s="5" t="s">
        <v>1369</v>
      </c>
      <c r="I170" s="5">
        <f t="shared" si="77"/>
        <v>1963</v>
      </c>
      <c r="J170" s="5" t="str">
        <f t="shared" si="82"/>
        <v/>
      </c>
      <c r="K170" s="152"/>
      <c r="L170" s="7" t="str">
        <f t="shared" si="78"/>
        <v>06/08/1963</v>
      </c>
      <c r="M170" s="8">
        <v>23229</v>
      </c>
      <c r="N170" s="7"/>
      <c r="O170" s="7"/>
      <c r="P170" s="181" t="str">
        <f t="shared" si="58"/>
        <v/>
      </c>
      <c r="Q170" s="153" t="str">
        <f t="shared" si="76"/>
        <v>70c</v>
      </c>
      <c r="R170" s="180" t="str">
        <f t="shared" si="59"/>
        <v/>
      </c>
      <c r="S170" s="25" t="s">
        <v>3245</v>
      </c>
      <c r="T170" s="5">
        <f t="shared" si="60"/>
        <v>6</v>
      </c>
      <c r="U170" s="5">
        <f t="shared" si="61"/>
        <v>4</v>
      </c>
      <c r="V170" s="5">
        <f>VLOOKUP(B170,'Loyd List 1-190 - Edit'!$A$2:$B$220,2,FALSE)</f>
        <v>4</v>
      </c>
      <c r="W170" s="155">
        <f t="shared" si="62"/>
        <v>2</v>
      </c>
      <c r="X170" s="105" t="s">
        <v>2325</v>
      </c>
      <c r="Y170" s="105"/>
      <c r="Z170" s="164" t="s">
        <v>2545</v>
      </c>
      <c r="AA170" s="6">
        <v>144</v>
      </c>
      <c r="AB170" s="5">
        <f t="shared" si="79"/>
        <v>26</v>
      </c>
      <c r="AC170" s="5">
        <f t="shared" si="74"/>
        <v>2026</v>
      </c>
      <c r="AD170" s="97" t="str">
        <f t="shared" si="63"/>
        <v>70cd</v>
      </c>
      <c r="AE170" s="5" t="str">
        <f t="shared" si="64"/>
        <v>Rupert James Oliver PAGE (1963 - )</v>
      </c>
      <c r="AF170" s="5" t="str">
        <f t="shared" si="65"/>
        <v>Rupert PAGE (6th &amp; 70)</v>
      </c>
      <c r="AG170" s="110" t="str">
        <f t="shared" si="66"/>
        <v>Male</v>
      </c>
      <c r="AH170" s="5" t="str">
        <f t="shared" si="67"/>
        <v>6th</v>
      </c>
      <c r="AI170" s="5" t="str">
        <f t="shared" si="80"/>
        <v xml:space="preserve">Wife: Philippa Clare DOWDESWELL (b. 1974). </v>
      </c>
      <c r="AJ170" s="105" t="str">
        <f t="shared" si="75"/>
        <v>Male. b. 06/08/1963 Rupert of Old Manor Cottage, Waddesdon, Aylesbury, Buckinghamshire  HP18 0LG. Educated Eton 1977-81 and Kings College, London.</v>
      </c>
      <c r="AK170" s="105" t="str">
        <f t="shared" si="69"/>
        <v>b. 06/08/1963</v>
      </c>
    </row>
    <row r="171" spans="1:37" s="5" customFormat="1" ht="52">
      <c r="A171" s="5">
        <f>VLOOKUP(B171,'Loyd List 1-190 - Edit'!$P$1:$R$219,3,FALSE)</f>
        <v>46</v>
      </c>
      <c r="B171" s="5">
        <f t="shared" si="81"/>
        <v>70</v>
      </c>
      <c r="C171" s="157" t="s">
        <v>2332</v>
      </c>
      <c r="D171" s="6" t="s">
        <v>2278</v>
      </c>
      <c r="E171" s="5" t="s">
        <v>1490</v>
      </c>
      <c r="F171" s="5" t="s">
        <v>2330</v>
      </c>
      <c r="I171" s="5">
        <f t="shared" si="77"/>
        <v>1958</v>
      </c>
      <c r="J171" s="5" t="str">
        <f t="shared" si="82"/>
        <v/>
      </c>
      <c r="K171" s="152"/>
      <c r="L171" s="7" t="str">
        <f t="shared" si="78"/>
        <v>24/09/1958</v>
      </c>
      <c r="M171" s="10" t="s">
        <v>2991</v>
      </c>
      <c r="N171" s="7">
        <v>31494</v>
      </c>
      <c r="O171" s="7"/>
      <c r="P171" s="181" t="str">
        <f t="shared" si="58"/>
        <v/>
      </c>
      <c r="Q171" s="153" t="str">
        <f t="shared" si="76"/>
        <v>70d</v>
      </c>
      <c r="R171" s="180" t="str">
        <f t="shared" si="59"/>
        <v/>
      </c>
      <c r="S171" s="25" t="s">
        <v>3244</v>
      </c>
      <c r="T171" s="5">
        <f t="shared" si="60"/>
        <v>6</v>
      </c>
      <c r="U171" s="5">
        <f t="shared" si="61"/>
        <v>4</v>
      </c>
      <c r="V171" s="5">
        <f>VLOOKUP(B171,'Loyd List 1-190 - Edit'!$A$2:$B$220,2,FALSE)</f>
        <v>4</v>
      </c>
      <c r="W171" s="155">
        <f t="shared" si="62"/>
        <v>2</v>
      </c>
      <c r="X171" s="105" t="s">
        <v>2331</v>
      </c>
      <c r="Y171" s="105"/>
      <c r="Z171" s="164"/>
      <c r="AA171" s="6">
        <v>146</v>
      </c>
      <c r="AB171" s="5">
        <f t="shared" si="79"/>
        <v>27</v>
      </c>
      <c r="AC171" s="5">
        <f t="shared" si="74"/>
        <v>2027</v>
      </c>
      <c r="AD171" s="97" t="str">
        <f t="shared" si="63"/>
        <v>70da</v>
      </c>
      <c r="AE171" s="5" t="str">
        <f t="shared" si="64"/>
        <v>Philippa Rhona  MICKLEM (1958 - )</v>
      </c>
      <c r="AF171" s="5" t="str">
        <f t="shared" si="65"/>
        <v>Philippa MICKLEM (6th &amp; 70)</v>
      </c>
      <c r="AG171" s="110" t="str">
        <f t="shared" si="66"/>
        <v>Female</v>
      </c>
      <c r="AH171" s="5" t="str">
        <f t="shared" si="67"/>
        <v>6th</v>
      </c>
      <c r="AI171" s="5" t="str">
        <f t="shared" si="80"/>
        <v xml:space="preserve">Husband: (1) Gary Maxwell WEILEY (Divorced 1992); (2) 03/06/2000 Colin John GILLANDERS (b. 17/07/1954). </v>
      </c>
      <c r="AJ171" s="105" t="str">
        <f t="shared" si="75"/>
        <v>Female. b. 24/09/1958</v>
      </c>
      <c r="AK171" s="105" t="str">
        <f t="shared" si="69"/>
        <v>b. 24/09/1958</v>
      </c>
    </row>
    <row r="172" spans="1:37" s="5" customFormat="1" ht="20">
      <c r="A172" s="5">
        <f>VLOOKUP(B172,'Loyd List 1-190 - Edit'!$P$1:$R$219,3,FALSE)</f>
        <v>46</v>
      </c>
      <c r="B172" s="5">
        <f t="shared" si="81"/>
        <v>70</v>
      </c>
      <c r="C172" s="157" t="s">
        <v>2334</v>
      </c>
      <c r="D172" s="6" t="s">
        <v>2278</v>
      </c>
      <c r="E172" s="5" t="s">
        <v>916</v>
      </c>
      <c r="F172" s="5" t="s">
        <v>917</v>
      </c>
      <c r="G172" s="5" t="s">
        <v>2333</v>
      </c>
      <c r="I172" s="5">
        <f t="shared" si="77"/>
        <v>1961</v>
      </c>
      <c r="J172" s="5" t="str">
        <f t="shared" si="82"/>
        <v/>
      </c>
      <c r="K172" s="152"/>
      <c r="L172" s="7" t="str">
        <f t="shared" si="78"/>
        <v>06/02/1961</v>
      </c>
      <c r="M172" s="8">
        <v>22318</v>
      </c>
      <c r="N172" s="7"/>
      <c r="O172" s="7"/>
      <c r="P172" s="181" t="str">
        <f t="shared" si="58"/>
        <v/>
      </c>
      <c r="Q172" s="153" t="str">
        <f t="shared" si="76"/>
        <v>70d</v>
      </c>
      <c r="R172" s="180" t="str">
        <f t="shared" si="59"/>
        <v/>
      </c>
      <c r="S172" s="25" t="s">
        <v>3245</v>
      </c>
      <c r="T172" s="5">
        <f t="shared" si="60"/>
        <v>6</v>
      </c>
      <c r="U172" s="5">
        <f t="shared" si="61"/>
        <v>4</v>
      </c>
      <c r="V172" s="5">
        <f>VLOOKUP(B172,'Loyd List 1-190 - Edit'!$A$2:$B$220,2,FALSE)</f>
        <v>4</v>
      </c>
      <c r="W172" s="155">
        <f t="shared" si="62"/>
        <v>2</v>
      </c>
      <c r="X172" s="105"/>
      <c r="Y172" s="105"/>
      <c r="Z172" s="164"/>
      <c r="AA172" s="6">
        <v>147</v>
      </c>
      <c r="AB172" s="5">
        <f t="shared" si="79"/>
        <v>28</v>
      </c>
      <c r="AC172" s="5">
        <f t="shared" si="74"/>
        <v>2028</v>
      </c>
      <c r="AD172" s="97" t="str">
        <f t="shared" si="63"/>
        <v>70db</v>
      </c>
      <c r="AE172" s="5" t="str">
        <f t="shared" si="64"/>
        <v>Jeremy Charles Cracroft MICKLEM (1961 - )</v>
      </c>
      <c r="AF172" s="5" t="str">
        <f t="shared" si="65"/>
        <v>Jeremy MICKLEM (6th &amp; 70)</v>
      </c>
      <c r="AG172" s="110" t="str">
        <f t="shared" si="66"/>
        <v>Male</v>
      </c>
      <c r="AH172" s="5" t="str">
        <f t="shared" si="67"/>
        <v>6th</v>
      </c>
      <c r="AI172" s="5" t="str">
        <f t="shared" si="80"/>
        <v>Unmarried</v>
      </c>
      <c r="AJ172" s="105" t="str">
        <f t="shared" si="75"/>
        <v>Male. b. 06/02/1961</v>
      </c>
      <c r="AK172" s="105" t="str">
        <f t="shared" si="69"/>
        <v>b. 06/02/1961</v>
      </c>
    </row>
    <row r="173" spans="1:37" s="5" customFormat="1" ht="35">
      <c r="A173" s="5">
        <f>VLOOKUP(B173,'Loyd List 1-190 - Edit'!$P$1:$R$219,3,FALSE)</f>
        <v>46</v>
      </c>
      <c r="B173" s="5">
        <f t="shared" si="81"/>
        <v>70</v>
      </c>
      <c r="C173" s="157" t="s">
        <v>2338</v>
      </c>
      <c r="D173" s="6" t="s">
        <v>2278</v>
      </c>
      <c r="E173" s="5" t="s">
        <v>2335</v>
      </c>
      <c r="F173" s="5" t="s">
        <v>798</v>
      </c>
      <c r="H173" s="5" t="s">
        <v>2337</v>
      </c>
      <c r="I173" s="5">
        <f t="shared" si="77"/>
        <v>1964</v>
      </c>
      <c r="J173" s="5" t="str">
        <f t="shared" si="82"/>
        <v/>
      </c>
      <c r="K173" s="152"/>
      <c r="L173" s="7" t="str">
        <f t="shared" si="78"/>
        <v>09/07/1964</v>
      </c>
      <c r="M173" s="8">
        <v>23567</v>
      </c>
      <c r="N173" s="7">
        <v>31724</v>
      </c>
      <c r="O173" s="7"/>
      <c r="P173" s="181" t="str">
        <f t="shared" si="58"/>
        <v/>
      </c>
      <c r="Q173" s="153" t="str">
        <f t="shared" si="76"/>
        <v>70d</v>
      </c>
      <c r="R173" s="180" t="str">
        <f t="shared" si="59"/>
        <v/>
      </c>
      <c r="S173" s="25" t="s">
        <v>3244</v>
      </c>
      <c r="T173" s="5">
        <f t="shared" si="60"/>
        <v>6</v>
      </c>
      <c r="U173" s="5">
        <f t="shared" si="61"/>
        <v>4</v>
      </c>
      <c r="V173" s="5">
        <f>VLOOKUP(B173,'Loyd List 1-190 - Edit'!$A$2:$B$220,2,FALSE)</f>
        <v>4</v>
      </c>
      <c r="W173" s="155">
        <f t="shared" si="62"/>
        <v>2</v>
      </c>
      <c r="X173" s="105" t="s">
        <v>2339</v>
      </c>
      <c r="Y173" s="105"/>
      <c r="Z173" s="164"/>
      <c r="AA173" s="6">
        <v>148</v>
      </c>
      <c r="AB173" s="5">
        <f t="shared" si="79"/>
        <v>29</v>
      </c>
      <c r="AC173" s="5">
        <f t="shared" si="74"/>
        <v>2029</v>
      </c>
      <c r="AD173" s="97" t="str">
        <f t="shared" si="63"/>
        <v>70dc</v>
      </c>
      <c r="AE173" s="5" t="str">
        <f t="shared" si="64"/>
        <v>Sylvia Diana  MICKLEM (1964 - )</v>
      </c>
      <c r="AF173" s="5" t="str">
        <f t="shared" si="65"/>
        <v>Sylvie MICKLEM (6th &amp; 70)</v>
      </c>
      <c r="AG173" s="110" t="str">
        <f t="shared" si="66"/>
        <v>Female</v>
      </c>
      <c r="AH173" s="5" t="str">
        <f t="shared" si="67"/>
        <v>6th</v>
      </c>
      <c r="AI173" s="5" t="str">
        <f t="shared" si="80"/>
        <v xml:space="preserve">Husband: Andrew Alistair Gavin GOW (b. 03/01/1965, ). </v>
      </c>
      <c r="AJ173" s="105" t="str">
        <f t="shared" si="75"/>
        <v>Female. b. 09/07/1964</v>
      </c>
      <c r="AK173" s="105" t="str">
        <f t="shared" si="69"/>
        <v>b. 09/07/1964</v>
      </c>
    </row>
    <row r="174" spans="1:37" s="5" customFormat="1" ht="20">
      <c r="A174" s="5">
        <f>VLOOKUP(B174,'Loyd List 1-190 - Edit'!$P$1:$R$219,3,FALSE)</f>
        <v>56</v>
      </c>
      <c r="B174" s="5">
        <f t="shared" si="81"/>
        <v>85</v>
      </c>
      <c r="C174" s="157" t="s">
        <v>1360</v>
      </c>
      <c r="D174" s="6" t="s">
        <v>1357</v>
      </c>
      <c r="E174" s="156" t="s">
        <v>876</v>
      </c>
      <c r="F174" s="5" t="s">
        <v>870</v>
      </c>
      <c r="I174" s="5">
        <f t="shared" si="77"/>
        <v>1967</v>
      </c>
      <c r="J174" s="5" t="str">
        <f t="shared" si="82"/>
        <v/>
      </c>
      <c r="K174" s="152"/>
      <c r="L174" s="7" t="str">
        <f t="shared" si="78"/>
        <v>18/04/1967</v>
      </c>
      <c r="M174" s="8">
        <v>24580</v>
      </c>
      <c r="N174" s="7">
        <v>33950</v>
      </c>
      <c r="O174" s="7"/>
      <c r="P174" s="181" t="str">
        <f t="shared" si="58"/>
        <v/>
      </c>
      <c r="Q174" s="153" t="str">
        <f t="shared" si="76"/>
        <v>85a</v>
      </c>
      <c r="R174" s="180" t="str">
        <f t="shared" si="59"/>
        <v/>
      </c>
      <c r="S174" s="25" t="s">
        <v>3244</v>
      </c>
      <c r="T174" s="5">
        <f t="shared" si="60"/>
        <v>7</v>
      </c>
      <c r="U174" s="5">
        <f t="shared" si="61"/>
        <v>4</v>
      </c>
      <c r="V174" s="5">
        <f>VLOOKUP(B174,'Loyd List 1-190 - Edit'!$A$2:$B$220,2,FALSE)</f>
        <v>5</v>
      </c>
      <c r="W174" s="155">
        <f t="shared" si="62"/>
        <v>2</v>
      </c>
      <c r="X174" s="105" t="s">
        <v>2565</v>
      </c>
      <c r="Y174" s="105"/>
      <c r="Z174" s="164" t="s">
        <v>2566</v>
      </c>
      <c r="AA174" s="6">
        <v>155</v>
      </c>
      <c r="AB174" s="5">
        <f t="shared" si="79"/>
        <v>30</v>
      </c>
      <c r="AC174" s="5">
        <f t="shared" si="74"/>
        <v>2030</v>
      </c>
      <c r="AD174" s="97" t="str">
        <f t="shared" si="63"/>
        <v>85aa</v>
      </c>
      <c r="AE174" s="5" t="str">
        <f t="shared" si="64"/>
        <v>Charlotte Mary  LANE FOX (1967 - )</v>
      </c>
      <c r="AF174" s="5" t="str">
        <f t="shared" si="65"/>
        <v>Charlotte LANE FOX (7th &amp; 85)</v>
      </c>
      <c r="AG174" s="110" t="str">
        <f t="shared" si="66"/>
        <v>Female</v>
      </c>
      <c r="AH174" s="5" t="str">
        <f t="shared" si="67"/>
        <v>7th</v>
      </c>
      <c r="AI174" s="5" t="str">
        <f t="shared" si="80"/>
        <v xml:space="preserve">Husband: Bruce J ELLIS (b. , ). </v>
      </c>
      <c r="AJ174" s="105" t="str">
        <f t="shared" si="75"/>
        <v>Female. b. 18/04/1967 Baptised 6 July 1967 at St James’s, Piccadilly, London W1.</v>
      </c>
      <c r="AK174" s="105" t="str">
        <f t="shared" si="69"/>
        <v>b. 18/04/1967</v>
      </c>
    </row>
    <row r="175" spans="1:37" s="5" customFormat="1" ht="20">
      <c r="A175" s="5">
        <f>VLOOKUP(B175,'Loyd List 1-190 - Edit'!$P$1:$R$219,3,FALSE)</f>
        <v>56</v>
      </c>
      <c r="B175" s="5">
        <f t="shared" si="81"/>
        <v>85</v>
      </c>
      <c r="C175" s="157" t="s">
        <v>1366</v>
      </c>
      <c r="D175" s="6" t="s">
        <v>1357</v>
      </c>
      <c r="E175" s="156" t="s">
        <v>1369</v>
      </c>
      <c r="F175" s="5" t="s">
        <v>918</v>
      </c>
      <c r="I175" s="5">
        <f t="shared" si="77"/>
        <v>1968</v>
      </c>
      <c r="J175" s="5" t="str">
        <f t="shared" si="82"/>
        <v/>
      </c>
      <c r="K175" s="152"/>
      <c r="L175" s="7" t="str">
        <f t="shared" si="78"/>
        <v>03/09/1968</v>
      </c>
      <c r="M175" s="8">
        <v>25084</v>
      </c>
      <c r="N175" s="7">
        <v>36337</v>
      </c>
      <c r="O175" s="7"/>
      <c r="P175" s="181" t="str">
        <f t="shared" si="58"/>
        <v/>
      </c>
      <c r="Q175" s="153" t="str">
        <f t="shared" si="76"/>
        <v>85a</v>
      </c>
      <c r="R175" s="180" t="str">
        <f t="shared" si="59"/>
        <v/>
      </c>
      <c r="S175" s="25" t="s">
        <v>3245</v>
      </c>
      <c r="T175" s="5">
        <f t="shared" si="60"/>
        <v>7</v>
      </c>
      <c r="U175" s="5">
        <f t="shared" si="61"/>
        <v>4</v>
      </c>
      <c r="V175" s="5">
        <f>VLOOKUP(B175,'Loyd List 1-190 - Edit'!$A$2:$B$220,2,FALSE)</f>
        <v>5</v>
      </c>
      <c r="W175" s="155">
        <f t="shared" si="62"/>
        <v>2</v>
      </c>
      <c r="X175" s="105" t="s">
        <v>2567</v>
      </c>
      <c r="Y175" s="105"/>
      <c r="Z175" s="164" t="s">
        <v>2563</v>
      </c>
      <c r="AA175" s="6">
        <v>158</v>
      </c>
      <c r="AB175" s="5">
        <f t="shared" si="79"/>
        <v>31</v>
      </c>
      <c r="AC175" s="5">
        <f t="shared" si="74"/>
        <v>2031</v>
      </c>
      <c r="AD175" s="97" t="str">
        <f t="shared" si="63"/>
        <v>85ab</v>
      </c>
      <c r="AE175" s="5" t="str">
        <f t="shared" si="64"/>
        <v>Oliver James  LANE FOX (1968 - )</v>
      </c>
      <c r="AF175" s="5" t="str">
        <f t="shared" si="65"/>
        <v>Oliver LANE FOX (7th &amp; 85)</v>
      </c>
      <c r="AG175" s="110" t="str">
        <f t="shared" si="66"/>
        <v>Male</v>
      </c>
      <c r="AH175" s="5" t="str">
        <f t="shared" si="67"/>
        <v>7th</v>
      </c>
      <c r="AI175" s="5" t="str">
        <f t="shared" si="80"/>
        <v xml:space="preserve">Wife: Harriet (Hatty) MADDEN.. </v>
      </c>
      <c r="AJ175" s="105" t="str">
        <f t="shared" si="75"/>
        <v>Male. b. 03/09/1968 Educated Eton.</v>
      </c>
      <c r="AK175" s="105" t="str">
        <f t="shared" si="69"/>
        <v>b. 03/09/1968</v>
      </c>
    </row>
    <row r="176" spans="1:37" s="5" customFormat="1" ht="20">
      <c r="A176" s="5">
        <f>VLOOKUP(B176,'Loyd List 1-190 - Edit'!$P$1:$R$219,3,FALSE)</f>
        <v>56</v>
      </c>
      <c r="B176" s="5">
        <f t="shared" si="81"/>
        <v>85</v>
      </c>
      <c r="C176" s="157" t="s">
        <v>1375</v>
      </c>
      <c r="D176" s="6" t="s">
        <v>1357</v>
      </c>
      <c r="E176" s="156" t="s">
        <v>938</v>
      </c>
      <c r="F176" s="5" t="s">
        <v>839</v>
      </c>
      <c r="I176" s="5">
        <f t="shared" si="77"/>
        <v>1972</v>
      </c>
      <c r="J176" s="5" t="str">
        <f t="shared" si="82"/>
        <v/>
      </c>
      <c r="K176" s="152"/>
      <c r="L176" s="7" t="str">
        <f t="shared" si="78"/>
        <v>21/07/1972</v>
      </c>
      <c r="M176" s="8">
        <v>26501</v>
      </c>
      <c r="N176" s="7"/>
      <c r="O176" s="7"/>
      <c r="P176" s="181" t="str">
        <f t="shared" si="58"/>
        <v/>
      </c>
      <c r="Q176" s="153" t="str">
        <f t="shared" si="76"/>
        <v>85a</v>
      </c>
      <c r="R176" s="180" t="str">
        <f t="shared" si="59"/>
        <v/>
      </c>
      <c r="S176" s="25" t="s">
        <v>3244</v>
      </c>
      <c r="T176" s="5">
        <f t="shared" si="60"/>
        <v>7</v>
      </c>
      <c r="U176" s="5">
        <f t="shared" si="61"/>
        <v>4</v>
      </c>
      <c r="V176" s="5">
        <f>VLOOKUP(B176,'Loyd List 1-190 - Edit'!$A$2:$B$220,2,FALSE)</f>
        <v>5</v>
      </c>
      <c r="W176" s="155">
        <f t="shared" si="62"/>
        <v>2</v>
      </c>
      <c r="X176" s="105"/>
      <c r="Y176" s="105"/>
      <c r="Z176" s="164" t="s">
        <v>2568</v>
      </c>
      <c r="AA176" s="6">
        <v>161</v>
      </c>
      <c r="AB176" s="5">
        <f t="shared" si="79"/>
        <v>32</v>
      </c>
      <c r="AC176" s="5">
        <f t="shared" si="74"/>
        <v>2032</v>
      </c>
      <c r="AD176" s="97" t="str">
        <f t="shared" si="63"/>
        <v>85ac</v>
      </c>
      <c r="AE176" s="5" t="str">
        <f t="shared" si="64"/>
        <v>Sophie Anne  LANE FOX (1972 - )</v>
      </c>
      <c r="AF176" s="5" t="str">
        <f t="shared" si="65"/>
        <v>Sophie LANE FOX (7th &amp; 85)</v>
      </c>
      <c r="AG176" s="110" t="str">
        <f t="shared" si="66"/>
        <v>Female</v>
      </c>
      <c r="AH176" s="5" t="str">
        <f t="shared" si="67"/>
        <v>7th</v>
      </c>
      <c r="AI176" s="5" t="str">
        <f t="shared" si="80"/>
        <v>Unmarried</v>
      </c>
      <c r="AJ176" s="105" t="str">
        <f t="shared" si="75"/>
        <v>Female. b. 21/07/1972 Baptised 31 Oct 1972 at St John’s Wood Church, London NW8.</v>
      </c>
      <c r="AK176" s="105" t="str">
        <f t="shared" si="69"/>
        <v>b. 21/07/1972</v>
      </c>
    </row>
    <row r="177" spans="1:37" s="5" customFormat="1" ht="52">
      <c r="A177" s="5">
        <f>VLOOKUP(B177,'Loyd List 1-190 - Edit'!$P$1:$R$219,3,FALSE)</f>
        <v>56</v>
      </c>
      <c r="B177" s="5">
        <f t="shared" si="81"/>
        <v>85</v>
      </c>
      <c r="C177" s="157" t="s">
        <v>1378</v>
      </c>
      <c r="D177" s="6" t="s">
        <v>1357</v>
      </c>
      <c r="E177" s="156" t="s">
        <v>1376</v>
      </c>
      <c r="F177" s="5" t="s">
        <v>922</v>
      </c>
      <c r="I177" s="5">
        <f t="shared" si="77"/>
        <v>1965</v>
      </c>
      <c r="J177" s="5" t="str">
        <f t="shared" si="82"/>
        <v/>
      </c>
      <c r="K177" s="152"/>
      <c r="L177" s="7" t="str">
        <f t="shared" si="78"/>
        <v>25/09/1965</v>
      </c>
      <c r="M177" s="8">
        <v>24010</v>
      </c>
      <c r="N177" s="7">
        <v>32774</v>
      </c>
      <c r="O177" s="7"/>
      <c r="P177" s="181" t="str">
        <f t="shared" si="58"/>
        <v/>
      </c>
      <c r="Q177" s="153" t="str">
        <f t="shared" ref="Q177:Q208" si="83">MID(C177,1,LEN(C177)-1)</f>
        <v>85b</v>
      </c>
      <c r="R177" s="180" t="str">
        <f t="shared" si="59"/>
        <v/>
      </c>
      <c r="S177" s="25" t="s">
        <v>3244</v>
      </c>
      <c r="T177" s="5">
        <f t="shared" si="60"/>
        <v>7</v>
      </c>
      <c r="U177" s="5">
        <f t="shared" si="61"/>
        <v>4</v>
      </c>
      <c r="V177" s="5">
        <f>VLOOKUP(B177,'Loyd List 1-190 - Edit'!$A$2:$B$220,2,FALSE)</f>
        <v>5</v>
      </c>
      <c r="W177" s="155">
        <f t="shared" si="62"/>
        <v>2</v>
      </c>
      <c r="X177" s="105" t="s">
        <v>2572</v>
      </c>
      <c r="Y177" s="105" t="s">
        <v>2573</v>
      </c>
      <c r="Z177" s="164" t="s">
        <v>2571</v>
      </c>
      <c r="AA177" s="6">
        <v>163</v>
      </c>
      <c r="AB177" s="5">
        <f t="shared" si="79"/>
        <v>33</v>
      </c>
      <c r="AC177" s="5">
        <f t="shared" si="74"/>
        <v>2033</v>
      </c>
      <c r="AD177" s="97" t="str">
        <f t="shared" si="63"/>
        <v>85ba</v>
      </c>
      <c r="AE177" s="5" t="str">
        <f t="shared" si="64"/>
        <v>Lucy Jane  LANE FOX (1965 - )</v>
      </c>
      <c r="AF177" s="5" t="str">
        <f t="shared" si="65"/>
        <v>Lucy LANE FOX (7th &amp; 85)</v>
      </c>
      <c r="AG177" s="110" t="str">
        <f t="shared" si="66"/>
        <v>Female</v>
      </c>
      <c r="AH177" s="5" t="str">
        <f t="shared" si="67"/>
        <v>7th</v>
      </c>
      <c r="AI177" s="5" t="str">
        <f t="shared" si="80"/>
        <v>Husband: Giles B. TRENTHAM (b. 1958, d. 1988). Giles, son of David TRENTHAM, Captain Royal Navy. Divorced 1996</v>
      </c>
      <c r="AJ177" s="105" t="str">
        <f t="shared" si="75"/>
        <v>Female. b. 25/09/1965 Baptised 21 Nov 1965 at All Saints’, Middleton Cheney, Banbury, Oxfordshire. Educated Wycombe Abbey and Bristol University.</v>
      </c>
      <c r="AK177" s="105" t="str">
        <f t="shared" si="69"/>
        <v>b. 25/09/1965</v>
      </c>
    </row>
    <row r="178" spans="1:37" s="5" customFormat="1" ht="52">
      <c r="A178" s="5">
        <f>VLOOKUP(B178,'Loyd List 1-190 - Edit'!$P$1:$R$219,3,FALSE)</f>
        <v>56</v>
      </c>
      <c r="B178" s="5">
        <f t="shared" si="81"/>
        <v>85</v>
      </c>
      <c r="C178" s="157" t="s">
        <v>1379</v>
      </c>
      <c r="D178" s="6" t="s">
        <v>1357</v>
      </c>
      <c r="E178" s="156" t="s">
        <v>1377</v>
      </c>
      <c r="F178" s="5" t="s">
        <v>870</v>
      </c>
      <c r="I178" s="5">
        <f t="shared" ref="I178:I209" si="84">IF(L178="","",VALUE(RIGHT(L178,4)))</f>
        <v>1967</v>
      </c>
      <c r="J178" s="5" t="str">
        <f t="shared" si="82"/>
        <v/>
      </c>
      <c r="K178" s="152"/>
      <c r="L178" s="7" t="str">
        <f t="shared" ref="L178:L209" si="85">IF(M178="","",TEXT(M178,"dd/mm/yyyy"))</f>
        <v>19/02/1967</v>
      </c>
      <c r="M178" s="8">
        <v>24522</v>
      </c>
      <c r="N178" s="7">
        <v>35944</v>
      </c>
      <c r="O178" s="7"/>
      <c r="P178" s="181" t="str">
        <f t="shared" si="58"/>
        <v/>
      </c>
      <c r="Q178" s="153" t="str">
        <f t="shared" si="83"/>
        <v>85b</v>
      </c>
      <c r="R178" s="180" t="str">
        <f t="shared" si="59"/>
        <v/>
      </c>
      <c r="S178" s="25" t="s">
        <v>3244</v>
      </c>
      <c r="T178" s="5">
        <f t="shared" si="60"/>
        <v>7</v>
      </c>
      <c r="U178" s="5">
        <f t="shared" si="61"/>
        <v>4</v>
      </c>
      <c r="V178" s="5">
        <f>VLOOKUP(B178,'Loyd List 1-190 - Edit'!$A$2:$B$220,2,FALSE)</f>
        <v>5</v>
      </c>
      <c r="W178" s="155">
        <f t="shared" si="62"/>
        <v>2</v>
      </c>
      <c r="X178" s="105" t="s">
        <v>2575</v>
      </c>
      <c r="Y178" s="105" t="s">
        <v>2576</v>
      </c>
      <c r="Z178" s="164" t="s">
        <v>2574</v>
      </c>
      <c r="AA178" s="6">
        <v>164</v>
      </c>
      <c r="AB178" s="5">
        <f t="shared" ref="AB178:AB209" si="86">AB177+1</f>
        <v>34</v>
      </c>
      <c r="AC178" s="5">
        <f t="shared" si="74"/>
        <v>2034</v>
      </c>
      <c r="AD178" s="97" t="str">
        <f t="shared" si="63"/>
        <v>85bb</v>
      </c>
      <c r="AE178" s="5" t="str">
        <f t="shared" si="64"/>
        <v>Serena Mary  LANE FOX (1967 - )</v>
      </c>
      <c r="AF178" s="5" t="str">
        <f t="shared" si="65"/>
        <v>Serena LANE FOX (7th &amp; 85)</v>
      </c>
      <c r="AG178" s="110" t="str">
        <f t="shared" si="66"/>
        <v>Female</v>
      </c>
      <c r="AH178" s="5" t="str">
        <f t="shared" si="67"/>
        <v>7th</v>
      </c>
      <c r="AI178" s="5" t="str">
        <f t="shared" ref="AI178:AI209" si="87">IF(X178="","Unmarried",IF(AG178="Male",_xlfn.CONCAT("Wife: ",X178,". ",Y178),_xlfn.CONCAT("Husband: ",X178,". ",Y178)))</f>
        <v>Husband: Duncan Paul Brendan MAILE (b. 29/05/1998, ). Duncan  son of Donald George MAILE of Norwich, Norfolk.</v>
      </c>
      <c r="AJ178" s="105" t="str">
        <f t="shared" si="75"/>
        <v>Female. b. 19/02/1967 Baptised 14 May 1967 at St Mary’s, Lower Heyford, Oxfordshire. Educated Hatherop Castle, Gloucestershire and in Paris.</v>
      </c>
      <c r="AK178" s="105" t="str">
        <f t="shared" si="69"/>
        <v>b. 19/02/1967</v>
      </c>
    </row>
    <row r="179" spans="1:37" s="5" customFormat="1" ht="52">
      <c r="A179" s="5">
        <f>VLOOKUP(B179,'Loyd List 1-190 - Edit'!$P$1:$R$219,3,FALSE)</f>
        <v>56</v>
      </c>
      <c r="B179" s="5">
        <f t="shared" ref="B179:B210" si="88">VALUE(LEFT(C179,2))</f>
        <v>85</v>
      </c>
      <c r="C179" s="157" t="s">
        <v>1385</v>
      </c>
      <c r="D179" s="6" t="s">
        <v>1357</v>
      </c>
      <c r="E179" s="156" t="s">
        <v>1380</v>
      </c>
      <c r="F179" s="5" t="s">
        <v>976</v>
      </c>
      <c r="I179" s="5">
        <f t="shared" si="84"/>
        <v>1969</v>
      </c>
      <c r="J179" s="5" t="str">
        <f t="shared" ref="J179:J210" si="89">IF(O179="","",VALUE(RIGHT(TEXT(O179,"dd/mm/yyyy"),4)))</f>
        <v/>
      </c>
      <c r="K179" s="152"/>
      <c r="L179" s="7" t="str">
        <f t="shared" si="85"/>
        <v>02/10/1969</v>
      </c>
      <c r="M179" s="8">
        <v>25478</v>
      </c>
      <c r="N179" s="7">
        <v>33852</v>
      </c>
      <c r="O179" s="7"/>
      <c r="P179" s="181" t="str">
        <f t="shared" si="58"/>
        <v/>
      </c>
      <c r="Q179" s="153" t="str">
        <f t="shared" si="83"/>
        <v>85b</v>
      </c>
      <c r="R179" s="180" t="str">
        <f t="shared" si="59"/>
        <v/>
      </c>
      <c r="S179" s="25" t="s">
        <v>3244</v>
      </c>
      <c r="T179" s="5">
        <f t="shared" si="60"/>
        <v>7</v>
      </c>
      <c r="U179" s="5">
        <f t="shared" si="61"/>
        <v>4</v>
      </c>
      <c r="V179" s="5">
        <f>VLOOKUP(B179,'Loyd List 1-190 - Edit'!$A$2:$B$220,2,FALSE)</f>
        <v>5</v>
      </c>
      <c r="W179" s="155">
        <f t="shared" si="62"/>
        <v>2</v>
      </c>
      <c r="X179" s="105" t="s">
        <v>2578</v>
      </c>
      <c r="Y179" s="164" t="s">
        <v>2579</v>
      </c>
      <c r="Z179" s="164" t="s">
        <v>2577</v>
      </c>
      <c r="AA179" s="6">
        <v>165</v>
      </c>
      <c r="AB179" s="5">
        <f t="shared" si="86"/>
        <v>35</v>
      </c>
      <c r="AC179" s="5">
        <f t="shared" si="74"/>
        <v>2035</v>
      </c>
      <c r="AD179" s="97" t="str">
        <f t="shared" si="63"/>
        <v>85bc</v>
      </c>
      <c r="AE179" s="5" t="str">
        <f t="shared" si="64"/>
        <v>Emily Laura  LANE FOX (1969 - )</v>
      </c>
      <c r="AF179" s="5" t="str">
        <f t="shared" si="65"/>
        <v>Emily LANE FOX (7th &amp; 85)</v>
      </c>
      <c r="AG179" s="110" t="str">
        <f t="shared" si="66"/>
        <v>Female</v>
      </c>
      <c r="AH179" s="5" t="str">
        <f t="shared" si="67"/>
        <v>7th</v>
      </c>
      <c r="AI179" s="5" t="str">
        <f t="shared" si="87"/>
        <v>Husband: Cyril Benoit Gabriel GASZTOWTT (b. 26/03/1965, ). Cyril son of Benoit Leon Marie GASZTOWTT of Paris.</v>
      </c>
      <c r="AJ179" s="105" t="str">
        <f t="shared" si="75"/>
        <v>Female. b. 02/10/1969 Baptised. 30 Nov 1969 at St Mary’s, Lower Heyford, Oxfordshire.</v>
      </c>
      <c r="AK179" s="105" t="str">
        <f t="shared" si="69"/>
        <v>b. 02/10/1969</v>
      </c>
    </row>
    <row r="180" spans="1:37" s="5" customFormat="1" ht="34">
      <c r="A180" s="5">
        <f>VLOOKUP(B180,'Loyd List 1-190 - Edit'!$P$1:$R$219,3,FALSE)</f>
        <v>56</v>
      </c>
      <c r="B180" s="5">
        <f t="shared" si="88"/>
        <v>85</v>
      </c>
      <c r="C180" s="157" t="s">
        <v>1386</v>
      </c>
      <c r="D180" s="6" t="s">
        <v>1357</v>
      </c>
      <c r="E180" s="156" t="s">
        <v>917</v>
      </c>
      <c r="F180" s="5" t="s">
        <v>918</v>
      </c>
      <c r="I180" s="5">
        <f t="shared" si="84"/>
        <v>1977</v>
      </c>
      <c r="J180" s="5" t="str">
        <f t="shared" si="89"/>
        <v/>
      </c>
      <c r="K180" s="152"/>
      <c r="L180" s="7" t="str">
        <f t="shared" si="85"/>
        <v>03/04/1977</v>
      </c>
      <c r="M180" s="8">
        <v>28218</v>
      </c>
      <c r="N180" s="7"/>
      <c r="O180" s="7"/>
      <c r="P180" s="181" t="str">
        <f t="shared" si="58"/>
        <v/>
      </c>
      <c r="Q180" s="153" t="str">
        <f t="shared" si="83"/>
        <v>85b</v>
      </c>
      <c r="R180" s="180" t="str">
        <f t="shared" si="59"/>
        <v/>
      </c>
      <c r="S180" s="25" t="s">
        <v>3245</v>
      </c>
      <c r="T180" s="5">
        <f t="shared" si="60"/>
        <v>7</v>
      </c>
      <c r="U180" s="5">
        <f t="shared" si="61"/>
        <v>4</v>
      </c>
      <c r="V180" s="5">
        <f>VLOOKUP(B180,'Loyd List 1-190 - Edit'!$A$2:$B$220,2,FALSE)</f>
        <v>5</v>
      </c>
      <c r="W180" s="155">
        <f t="shared" si="62"/>
        <v>2</v>
      </c>
      <c r="X180" s="105"/>
      <c r="Y180" s="105"/>
      <c r="Z180" s="164" t="s">
        <v>2581</v>
      </c>
      <c r="AA180" s="6">
        <v>167</v>
      </c>
      <c r="AB180" s="5">
        <f t="shared" si="86"/>
        <v>36</v>
      </c>
      <c r="AC180" s="5">
        <f t="shared" si="74"/>
        <v>2036</v>
      </c>
      <c r="AD180" s="97" t="str">
        <f t="shared" si="63"/>
        <v>85bd</v>
      </c>
      <c r="AE180" s="5" t="str">
        <f t="shared" si="64"/>
        <v>Charles James  LANE FOX (1977 - )</v>
      </c>
      <c r="AF180" s="5" t="str">
        <f t="shared" si="65"/>
        <v>Charles LANE FOX (7th &amp; 85)</v>
      </c>
      <c r="AG180" s="110" t="str">
        <f t="shared" si="66"/>
        <v>Male</v>
      </c>
      <c r="AH180" s="5" t="str">
        <f t="shared" si="67"/>
        <v>7th</v>
      </c>
      <c r="AI180" s="5" t="str">
        <f t="shared" si="87"/>
        <v>Unmarried</v>
      </c>
      <c r="AJ180" s="105" t="str">
        <f t="shared" si="75"/>
        <v>Male. b. 03/04/1977 Baptised 10 Jul 1977 at St Mary’s, Lower Heyford, Oxfordshire. Educated Eton and St Andrews University.</v>
      </c>
      <c r="AK180" s="105" t="str">
        <f t="shared" si="69"/>
        <v>b. 03/04/1977</v>
      </c>
    </row>
    <row r="181" spans="1:37" s="5" customFormat="1" ht="34">
      <c r="A181" s="5">
        <f>VLOOKUP(B181,'Loyd List 1-190 - Edit'!$P$1:$R$219,3,FALSE)</f>
        <v>56</v>
      </c>
      <c r="B181" s="5">
        <f t="shared" si="88"/>
        <v>85</v>
      </c>
      <c r="C181" s="157" t="s">
        <v>1393</v>
      </c>
      <c r="D181" s="6" t="s">
        <v>1389</v>
      </c>
      <c r="E181" s="156" t="s">
        <v>918</v>
      </c>
      <c r="F181" s="5" t="s">
        <v>1063</v>
      </c>
      <c r="G181" s="5" t="s">
        <v>1390</v>
      </c>
      <c r="I181" s="5">
        <f t="shared" si="84"/>
        <v>1978</v>
      </c>
      <c r="J181" s="5" t="str">
        <f t="shared" si="89"/>
        <v/>
      </c>
      <c r="K181" s="152"/>
      <c r="L181" s="7" t="str">
        <f t="shared" si="85"/>
        <v>11/06/1978</v>
      </c>
      <c r="M181" s="8">
        <v>28652</v>
      </c>
      <c r="N181" s="7"/>
      <c r="O181" s="7"/>
      <c r="P181" s="181" t="str">
        <f t="shared" si="58"/>
        <v/>
      </c>
      <c r="Q181" s="153" t="str">
        <f t="shared" si="83"/>
        <v>85c</v>
      </c>
      <c r="R181" s="180" t="str">
        <f t="shared" si="59"/>
        <v/>
      </c>
      <c r="S181" s="25" t="s">
        <v>3245</v>
      </c>
      <c r="T181" s="5">
        <f t="shared" si="60"/>
        <v>7</v>
      </c>
      <c r="U181" s="5">
        <f t="shared" si="61"/>
        <v>4</v>
      </c>
      <c r="V181" s="5">
        <f>VLOOKUP(B181,'Loyd List 1-190 - Edit'!$A$2:$B$220,2,FALSE)</f>
        <v>5</v>
      </c>
      <c r="W181" s="155">
        <f t="shared" si="62"/>
        <v>2</v>
      </c>
      <c r="X181" s="105"/>
      <c r="Y181" s="105"/>
      <c r="Z181" s="164" t="s">
        <v>2582</v>
      </c>
      <c r="AA181" s="6">
        <v>169</v>
      </c>
      <c r="AB181" s="5">
        <f t="shared" si="86"/>
        <v>37</v>
      </c>
      <c r="AC181" s="5">
        <f t="shared" si="74"/>
        <v>2037</v>
      </c>
      <c r="AD181" s="97" t="str">
        <f t="shared" si="63"/>
        <v>85ca</v>
      </c>
      <c r="AE181" s="5" t="str">
        <f t="shared" si="64"/>
        <v>James Alfred Louis TENNYSON d'EYNCOURT (1978 - )</v>
      </c>
      <c r="AF181" s="5" t="str">
        <f t="shared" si="65"/>
        <v>James TENNYSON d'EYNCOURT (7th &amp; 85)</v>
      </c>
      <c r="AG181" s="110" t="str">
        <f t="shared" si="66"/>
        <v>Male</v>
      </c>
      <c r="AH181" s="5" t="str">
        <f t="shared" si="67"/>
        <v>7th</v>
      </c>
      <c r="AI181" s="5" t="str">
        <f t="shared" si="87"/>
        <v>Unmarried</v>
      </c>
      <c r="AJ181" s="105" t="str">
        <f t="shared" si="75"/>
        <v>Male. b. 11/06/1978 Baptised Oct 1978 at the Queen’s Chapel of the Savoy, London WC2. Educated Eton and Taunton.</v>
      </c>
      <c r="AK181" s="105" t="str">
        <f t="shared" si="69"/>
        <v>b. 11/06/1978</v>
      </c>
    </row>
    <row r="182" spans="1:37" s="5" customFormat="1" ht="35">
      <c r="A182" s="5">
        <f>VLOOKUP(B182,'Loyd List 1-190 - Edit'!$P$1:$R$219,3,FALSE)</f>
        <v>56</v>
      </c>
      <c r="B182" s="5">
        <f t="shared" si="88"/>
        <v>85</v>
      </c>
      <c r="C182" s="157" t="s">
        <v>1394</v>
      </c>
      <c r="D182" s="6" t="s">
        <v>1389</v>
      </c>
      <c r="E182" s="156" t="s">
        <v>1036</v>
      </c>
      <c r="F182" s="5" t="s">
        <v>1391</v>
      </c>
      <c r="G182" s="5" t="s">
        <v>1392</v>
      </c>
      <c r="I182" s="5">
        <f t="shared" si="84"/>
        <v>1980</v>
      </c>
      <c r="J182" s="5" t="str">
        <f t="shared" si="89"/>
        <v/>
      </c>
      <c r="K182" s="152"/>
      <c r="L182" s="7" t="str">
        <f t="shared" si="85"/>
        <v>22/03/1980</v>
      </c>
      <c r="M182" s="8">
        <v>29302</v>
      </c>
      <c r="N182" s="7"/>
      <c r="O182" s="7"/>
      <c r="P182" s="181" t="str">
        <f t="shared" si="58"/>
        <v/>
      </c>
      <c r="Q182" s="153" t="str">
        <f t="shared" si="83"/>
        <v>85c</v>
      </c>
      <c r="R182" s="180" t="str">
        <f t="shared" si="59"/>
        <v/>
      </c>
      <c r="S182" s="25" t="s">
        <v>3244</v>
      </c>
      <c r="T182" s="5">
        <f t="shared" si="60"/>
        <v>7</v>
      </c>
      <c r="U182" s="5">
        <f t="shared" si="61"/>
        <v>4</v>
      </c>
      <c r="V182" s="5">
        <f>VLOOKUP(B182,'Loyd List 1-190 - Edit'!$A$2:$B$220,2,FALSE)</f>
        <v>5</v>
      </c>
      <c r="W182" s="155">
        <f t="shared" si="62"/>
        <v>2</v>
      </c>
      <c r="X182" s="105"/>
      <c r="Y182" s="105"/>
      <c r="Z182" s="164" t="s">
        <v>2583</v>
      </c>
      <c r="AA182" s="6">
        <v>170</v>
      </c>
      <c r="AB182" s="5">
        <f t="shared" si="86"/>
        <v>38</v>
      </c>
      <c r="AC182" s="5">
        <f t="shared" si="74"/>
        <v>2038</v>
      </c>
      <c r="AD182" s="97" t="str">
        <f t="shared" si="63"/>
        <v>85cb</v>
      </c>
      <c r="AE182" s="5" t="str">
        <f t="shared" si="64"/>
        <v>Frances Rosemary Amaryllis TENNYSON d'EYNCOURT (1980 - )</v>
      </c>
      <c r="AF182" s="5" t="str">
        <f t="shared" si="65"/>
        <v>Frances TENNYSON d'EYNCOURT (7th &amp; 85)</v>
      </c>
      <c r="AG182" s="110" t="str">
        <f t="shared" si="66"/>
        <v>Female</v>
      </c>
      <c r="AH182" s="5" t="str">
        <f t="shared" si="67"/>
        <v>7th</v>
      </c>
      <c r="AI182" s="5" t="str">
        <f t="shared" si="87"/>
        <v>Unmarried</v>
      </c>
      <c r="AJ182" s="105" t="str">
        <f t="shared" si="75"/>
        <v>Female. b. 22/03/1980 Baptised 13 Jul 1980 at the Queen’s Chapel of the Savoy, London WC2. Educated Godolphin &amp; Latymer.</v>
      </c>
      <c r="AK182" s="105" t="str">
        <f t="shared" si="69"/>
        <v>b. 22/03/1980</v>
      </c>
    </row>
    <row r="183" spans="1:37" s="5" customFormat="1" ht="68">
      <c r="A183" s="5">
        <f>VLOOKUP(B183,'Loyd List 1-190 - Edit'!$P$1:$R$219,3,FALSE)</f>
        <v>56</v>
      </c>
      <c r="B183" s="5">
        <f t="shared" si="88"/>
        <v>85</v>
      </c>
      <c r="C183" s="157" t="s">
        <v>1427</v>
      </c>
      <c r="D183" s="6" t="s">
        <v>1357</v>
      </c>
      <c r="E183" s="156" t="s">
        <v>1396</v>
      </c>
      <c r="I183" s="5">
        <f t="shared" si="84"/>
        <v>1973</v>
      </c>
      <c r="J183" s="5" t="str">
        <f t="shared" si="89"/>
        <v/>
      </c>
      <c r="K183" s="152"/>
      <c r="L183" s="7" t="str">
        <f t="shared" si="85"/>
        <v>10/02/1973</v>
      </c>
      <c r="M183" s="8">
        <v>26705</v>
      </c>
      <c r="N183" s="7"/>
      <c r="O183" s="7"/>
      <c r="P183" s="181" t="str">
        <f t="shared" si="58"/>
        <v/>
      </c>
      <c r="Q183" s="153" t="str">
        <f t="shared" si="83"/>
        <v>85d</v>
      </c>
      <c r="R183" s="180" t="str">
        <f t="shared" si="59"/>
        <v/>
      </c>
      <c r="S183" s="25" t="s">
        <v>3244</v>
      </c>
      <c r="T183" s="5">
        <f t="shared" si="60"/>
        <v>7</v>
      </c>
      <c r="U183" s="5">
        <f t="shared" si="61"/>
        <v>4</v>
      </c>
      <c r="V183" s="5">
        <f>VLOOKUP(B183,'Loyd List 1-190 - Edit'!$A$2:$B$220,2,FALSE)</f>
        <v>5</v>
      </c>
      <c r="W183" s="155">
        <f t="shared" si="62"/>
        <v>2</v>
      </c>
      <c r="X183" s="105"/>
      <c r="Y183" s="105"/>
      <c r="Z183" s="164" t="s">
        <v>3452</v>
      </c>
      <c r="AA183" s="6">
        <v>172</v>
      </c>
      <c r="AB183" s="5">
        <f t="shared" si="86"/>
        <v>39</v>
      </c>
      <c r="AC183" s="5">
        <f t="shared" si="74"/>
        <v>2039</v>
      </c>
      <c r="AD183" s="97" t="str">
        <f t="shared" si="63"/>
        <v>85da</v>
      </c>
      <c r="AE183" s="5" t="str">
        <f t="shared" si="64"/>
        <v>Martha   LANE FOX (1973 - )</v>
      </c>
      <c r="AF183" s="5" t="str">
        <f t="shared" si="65"/>
        <v>Martha LANE FOX (7th &amp; 85)</v>
      </c>
      <c r="AG183" s="110" t="str">
        <f t="shared" si="66"/>
        <v>Female</v>
      </c>
      <c r="AH183" s="5" t="str">
        <f t="shared" si="67"/>
        <v>7th</v>
      </c>
      <c r="AI183" s="5" t="str">
        <f t="shared" si="87"/>
        <v>Unmarried</v>
      </c>
      <c r="AJ183" s="105" t="str">
        <f t="shared" si="75"/>
        <v>Female. b. 10/02/1973 Baptised 10 Aug 1973 at Hatley St George, Cambridgeshire. Educated Oxford High 1983-89, Westminster 1989-91 and Magdalen College, Oxford 1991-94. Joint Founder e-business ‘lastminute.com’ 1998. Martha created CBE in 2013 and created a Life Baroness.</v>
      </c>
      <c r="AK183" s="105" t="str">
        <f t="shared" si="69"/>
        <v>b. 10/02/1973</v>
      </c>
    </row>
    <row r="184" spans="1:37" s="5" customFormat="1" ht="34">
      <c r="A184" s="5">
        <f>VLOOKUP(B184,'Loyd List 1-190 - Edit'!$P$1:$R$219,3,FALSE)</f>
        <v>56</v>
      </c>
      <c r="B184" s="5">
        <f t="shared" si="88"/>
        <v>85</v>
      </c>
      <c r="C184" s="157" t="s">
        <v>1428</v>
      </c>
      <c r="D184" s="6" t="s">
        <v>1357</v>
      </c>
      <c r="E184" s="156" t="s">
        <v>807</v>
      </c>
      <c r="F184" s="5" t="s">
        <v>918</v>
      </c>
      <c r="I184" s="5">
        <f t="shared" si="84"/>
        <v>1974</v>
      </c>
      <c r="J184" s="5" t="str">
        <f t="shared" si="89"/>
        <v/>
      </c>
      <c r="K184" s="152"/>
      <c r="L184" s="7" t="str">
        <f t="shared" si="85"/>
        <v>19/10/1974</v>
      </c>
      <c r="M184" s="8">
        <v>27321</v>
      </c>
      <c r="N184" s="7"/>
      <c r="O184" s="7"/>
      <c r="P184" s="181" t="str">
        <f t="shared" si="58"/>
        <v/>
      </c>
      <c r="Q184" s="153" t="str">
        <f t="shared" si="83"/>
        <v>85d</v>
      </c>
      <c r="R184" s="180" t="str">
        <f t="shared" si="59"/>
        <v/>
      </c>
      <c r="S184" s="25" t="s">
        <v>3245</v>
      </c>
      <c r="T184" s="5">
        <f t="shared" si="60"/>
        <v>7</v>
      </c>
      <c r="U184" s="5">
        <f t="shared" si="61"/>
        <v>4</v>
      </c>
      <c r="V184" s="5">
        <f>VLOOKUP(B184,'Loyd List 1-190 - Edit'!$A$2:$B$220,2,FALSE)</f>
        <v>5</v>
      </c>
      <c r="W184" s="155">
        <f t="shared" si="62"/>
        <v>2</v>
      </c>
      <c r="X184" s="105"/>
      <c r="Y184" s="105"/>
      <c r="Z184" s="164" t="s">
        <v>2588</v>
      </c>
      <c r="AA184" s="6">
        <v>173</v>
      </c>
      <c r="AB184" s="5">
        <f t="shared" si="86"/>
        <v>40</v>
      </c>
      <c r="AC184" s="5">
        <f t="shared" si="74"/>
        <v>2040</v>
      </c>
      <c r="AD184" s="97" t="str">
        <f t="shared" si="63"/>
        <v>85db</v>
      </c>
      <c r="AE184" s="5" t="str">
        <f t="shared" si="64"/>
        <v>Henry James  LANE FOX (1974 - )</v>
      </c>
      <c r="AF184" s="5" t="str">
        <f t="shared" si="65"/>
        <v>Henry LANE FOX (7th &amp; 85)</v>
      </c>
      <c r="AG184" s="110" t="str">
        <f t="shared" si="66"/>
        <v>Male</v>
      </c>
      <c r="AH184" s="5" t="str">
        <f t="shared" si="67"/>
        <v>7th</v>
      </c>
      <c r="AI184" s="5" t="str">
        <f t="shared" si="87"/>
        <v>Unmarried</v>
      </c>
      <c r="AJ184" s="105" t="str">
        <f t="shared" si="75"/>
        <v>Male. b. 19/10/1974 Baptised 20 Feb 1975 at Beckley, Oxfordshire. Educated Eton 1987-92 and Wadham College, Oxford 1992-96.</v>
      </c>
      <c r="AK184" s="105" t="str">
        <f t="shared" si="69"/>
        <v>b. 19/10/1974</v>
      </c>
    </row>
    <row r="185" spans="1:37" s="5" customFormat="1" ht="103">
      <c r="A185" s="5">
        <f>VLOOKUP(B185,'Loyd List 1-190 - Edit'!$P$1:$R$219,3,FALSE)</f>
        <v>66</v>
      </c>
      <c r="B185" s="5">
        <f t="shared" si="88"/>
        <v>88</v>
      </c>
      <c r="C185" s="157" t="s">
        <v>1437</v>
      </c>
      <c r="D185" s="6" t="s">
        <v>1445</v>
      </c>
      <c r="E185" s="156" t="s">
        <v>928</v>
      </c>
      <c r="F185" s="5" t="s">
        <v>1434</v>
      </c>
      <c r="I185" s="5">
        <f t="shared" si="84"/>
        <v>1958</v>
      </c>
      <c r="J185" s="5" t="str">
        <f t="shared" si="89"/>
        <v/>
      </c>
      <c r="K185" s="152"/>
      <c r="L185" s="7" t="str">
        <f t="shared" si="85"/>
        <v>02/09/1958</v>
      </c>
      <c r="M185" s="10" t="s">
        <v>2993</v>
      </c>
      <c r="N185" s="7">
        <v>31157</v>
      </c>
      <c r="O185" s="7"/>
      <c r="P185" s="181" t="str">
        <f t="shared" si="58"/>
        <v/>
      </c>
      <c r="Q185" s="153" t="str">
        <f t="shared" si="83"/>
        <v>88a</v>
      </c>
      <c r="R185" s="180" t="str">
        <f t="shared" si="59"/>
        <v/>
      </c>
      <c r="S185" s="25" t="s">
        <v>3245</v>
      </c>
      <c r="T185" s="5">
        <f t="shared" si="60"/>
        <v>7</v>
      </c>
      <c r="U185" s="5">
        <f t="shared" si="61"/>
        <v>4</v>
      </c>
      <c r="V185" s="5">
        <f>VLOOKUP(B185,'Loyd List 1-190 - Edit'!$A$2:$B$220,2,FALSE)</f>
        <v>5</v>
      </c>
      <c r="W185" s="155">
        <f t="shared" si="62"/>
        <v>2</v>
      </c>
      <c r="X185" s="105" t="s">
        <v>2594</v>
      </c>
      <c r="Y185" s="168" t="s">
        <v>3246</v>
      </c>
      <c r="Z185" s="164" t="s">
        <v>2593</v>
      </c>
      <c r="AA185" s="6">
        <v>175</v>
      </c>
      <c r="AB185" s="5">
        <f t="shared" si="86"/>
        <v>41</v>
      </c>
      <c r="AC185" s="5">
        <f t="shared" si="74"/>
        <v>2041</v>
      </c>
      <c r="AD185" s="97" t="str">
        <f t="shared" si="63"/>
        <v>88aa</v>
      </c>
      <c r="AE185" s="5" t="str">
        <f t="shared" si="64"/>
        <v>Richard Ian  HOLMAN (1958 - )</v>
      </c>
      <c r="AF185" s="194" t="str">
        <f>IF(H185="",_xlfn.CONCAT(E185," BAIRD"," (",AH185," &amp; ",B185,")"),_xlfn.CONCAT(H185," ",D185," (",AH185," &amp; ",B185,")"))</f>
        <v>Richard BAIRD (7th &amp; 88)</v>
      </c>
      <c r="AG185" s="110" t="str">
        <f t="shared" si="66"/>
        <v>Male</v>
      </c>
      <c r="AH185" s="5" t="str">
        <f t="shared" si="67"/>
        <v>7th</v>
      </c>
      <c r="AI185" s="5" t="str">
        <f t="shared" si="87"/>
        <v>Wife: (1) 20 Apr 1985 Saragh Evelyn WOOD (b. 25 Jul 1958, d. 7 May 1987, buried at Banchory). (2) 13 Apr 1996 Polly Sophia (b. 27/07/1958). (1) Married Saragh at Kirkoswald; (2) Married Poly THOMPSON at Longparish, Hampshire, only daughter of Angus THOMSON.</v>
      </c>
      <c r="AJ185" s="105" t="str">
        <f t="shared" si="75"/>
        <v>Male. b. 02/09/1958 Richard of Ury and Lockwood, of Glenton House, Rickarton, Stonehaven, Kincardinshire. Baptised at Rudgwick, Sussex. Educated Gordonstoun.</v>
      </c>
      <c r="AK185" s="105" t="str">
        <f t="shared" si="69"/>
        <v>b. 02/09/1958</v>
      </c>
    </row>
    <row r="186" spans="1:37" s="5" customFormat="1" ht="20">
      <c r="A186" s="5">
        <f>VLOOKUP(B186,'Loyd List 1-190 - Edit'!$P$1:$R$219,3,FALSE)</f>
        <v>66</v>
      </c>
      <c r="B186" s="5">
        <f t="shared" si="88"/>
        <v>88</v>
      </c>
      <c r="C186" s="157" t="s">
        <v>1438</v>
      </c>
      <c r="D186" s="6" t="s">
        <v>1445</v>
      </c>
      <c r="E186" s="156" t="s">
        <v>811</v>
      </c>
      <c r="I186" s="5">
        <f t="shared" si="84"/>
        <v>1960</v>
      </c>
      <c r="J186" s="5" t="str">
        <f t="shared" si="89"/>
        <v/>
      </c>
      <c r="K186" s="152"/>
      <c r="L186" s="7" t="str">
        <f t="shared" si="85"/>
        <v>15/02/1960</v>
      </c>
      <c r="M186" s="8">
        <v>21961</v>
      </c>
      <c r="N186" s="7"/>
      <c r="O186" s="7"/>
      <c r="P186" s="181" t="str">
        <f t="shared" si="58"/>
        <v/>
      </c>
      <c r="Q186" s="153" t="str">
        <f t="shared" si="83"/>
        <v>88a</v>
      </c>
      <c r="R186" s="180" t="str">
        <f t="shared" si="59"/>
        <v/>
      </c>
      <c r="S186" s="25" t="s">
        <v>3245</v>
      </c>
      <c r="T186" s="5">
        <f t="shared" si="60"/>
        <v>7</v>
      </c>
      <c r="U186" s="5">
        <f t="shared" si="61"/>
        <v>4</v>
      </c>
      <c r="V186" s="5">
        <f>VLOOKUP(B186,'Loyd List 1-190 - Edit'!$A$2:$B$220,2,FALSE)</f>
        <v>5</v>
      </c>
      <c r="W186" s="155">
        <f t="shared" si="62"/>
        <v>2</v>
      </c>
      <c r="X186" s="105"/>
      <c r="Y186" s="105"/>
      <c r="Z186" s="164" t="s">
        <v>2592</v>
      </c>
      <c r="AA186" s="6">
        <v>179</v>
      </c>
      <c r="AB186" s="5">
        <f t="shared" si="86"/>
        <v>42</v>
      </c>
      <c r="AC186" s="5">
        <f t="shared" si="74"/>
        <v>2042</v>
      </c>
      <c r="AD186" s="97" t="str">
        <f t="shared" si="63"/>
        <v>88ab</v>
      </c>
      <c r="AE186" s="5" t="str">
        <f t="shared" si="64"/>
        <v>Edward   HOLMAN (1960 - )</v>
      </c>
      <c r="AF186" s="5" t="str">
        <f t="shared" si="65"/>
        <v>Edward HOLMAN (7th &amp; 88)</v>
      </c>
      <c r="AG186" s="110" t="str">
        <f t="shared" si="66"/>
        <v>Male</v>
      </c>
      <c r="AH186" s="5" t="str">
        <f t="shared" si="67"/>
        <v>7th</v>
      </c>
      <c r="AI186" s="5" t="str">
        <f t="shared" si="87"/>
        <v>Unmarried</v>
      </c>
      <c r="AJ186" s="105" t="str">
        <f t="shared" si="75"/>
        <v>Male. b. 15/02/1960 Baptised at Rudgwick, Sussex. Educated Gordonstoun.</v>
      </c>
      <c r="AK186" s="105" t="str">
        <f t="shared" si="69"/>
        <v>b. 15/02/1960</v>
      </c>
    </row>
    <row r="187" spans="1:37" s="5" customFormat="1" ht="86">
      <c r="A187" s="5">
        <f>VLOOKUP(B187,'Loyd List 1-190 - Edit'!$P$1:$R$219,3,FALSE)</f>
        <v>66</v>
      </c>
      <c r="B187" s="5">
        <f t="shared" si="88"/>
        <v>88</v>
      </c>
      <c r="C187" s="157" t="s">
        <v>1446</v>
      </c>
      <c r="D187" s="6" t="s">
        <v>1445</v>
      </c>
      <c r="E187" s="156" t="s">
        <v>846</v>
      </c>
      <c r="F187" s="5" t="s">
        <v>870</v>
      </c>
      <c r="I187" s="5">
        <f t="shared" si="84"/>
        <v>1964</v>
      </c>
      <c r="J187" s="5" t="str">
        <f t="shared" si="89"/>
        <v/>
      </c>
      <c r="K187" s="152"/>
      <c r="L187" s="7" t="str">
        <f t="shared" si="85"/>
        <v>04/10/1964</v>
      </c>
      <c r="M187" s="8">
        <v>23654</v>
      </c>
      <c r="N187" s="7">
        <v>32344</v>
      </c>
      <c r="O187" s="7"/>
      <c r="P187" s="181" t="str">
        <f t="shared" si="58"/>
        <v/>
      </c>
      <c r="Q187" s="153" t="str">
        <f t="shared" si="83"/>
        <v>88a</v>
      </c>
      <c r="R187" s="180" t="str">
        <f t="shared" si="59"/>
        <v/>
      </c>
      <c r="S187" s="25" t="s">
        <v>3244</v>
      </c>
      <c r="T187" s="5">
        <f t="shared" si="60"/>
        <v>7</v>
      </c>
      <c r="U187" s="5">
        <f t="shared" si="61"/>
        <v>4</v>
      </c>
      <c r="V187" s="5">
        <f>VLOOKUP(B187,'Loyd List 1-190 - Edit'!$A$2:$B$220,2,FALSE)</f>
        <v>5</v>
      </c>
      <c r="W187" s="155">
        <f t="shared" si="62"/>
        <v>2</v>
      </c>
      <c r="X187" s="105" t="s">
        <v>2599</v>
      </c>
      <c r="Y187" s="164" t="s">
        <v>2600</v>
      </c>
      <c r="Z187" s="164" t="s">
        <v>2598</v>
      </c>
      <c r="AA187" s="6">
        <v>180</v>
      </c>
      <c r="AB187" s="5">
        <f t="shared" si="86"/>
        <v>43</v>
      </c>
      <c r="AC187" s="5">
        <f t="shared" si="74"/>
        <v>2043</v>
      </c>
      <c r="AD187" s="97" t="str">
        <f t="shared" si="63"/>
        <v>88ac</v>
      </c>
      <c r="AE187" s="5" t="str">
        <f t="shared" si="64"/>
        <v>Georgina Mary  HOLMAN (1964 - )</v>
      </c>
      <c r="AF187" s="5" t="str">
        <f t="shared" si="65"/>
        <v>Georgina HOLMAN (7th &amp; 88)</v>
      </c>
      <c r="AG187" s="110" t="str">
        <f t="shared" si="66"/>
        <v>Female</v>
      </c>
      <c r="AH187" s="5" t="str">
        <f t="shared" si="67"/>
        <v>7th</v>
      </c>
      <c r="AI187" s="5" t="str">
        <f t="shared" si="87"/>
        <v>Husband: Charles STIRRUP (b. 06/02/1961, d.). Married at Kincardine-O-Neil, Charles (b. 6 Feb 1961) of 6 St Luke’s Street, London SW3, only son of John Hayward STIRRUP of Christmas Cottage, Simon’s Town, Cape, South Africa.</v>
      </c>
      <c r="AJ187" s="105" t="str">
        <f t="shared" si="75"/>
        <v>Female. b. 04/10/1964 Baptised at Rudgwick, Sussex. Educated North Foreland Lodge, Basingstoke 1972-78.</v>
      </c>
      <c r="AK187" s="105" t="str">
        <f t="shared" si="69"/>
        <v>b. 04/10/1964</v>
      </c>
    </row>
    <row r="188" spans="1:37" s="5" customFormat="1" ht="35">
      <c r="A188" s="5">
        <f>VLOOKUP(B188,'Loyd List 1-190 - Edit'!$P$1:$R$219,3,FALSE)</f>
        <v>66</v>
      </c>
      <c r="B188" s="5">
        <f t="shared" si="88"/>
        <v>88</v>
      </c>
      <c r="C188" s="157" t="s">
        <v>1453</v>
      </c>
      <c r="D188" s="6" t="s">
        <v>1445</v>
      </c>
      <c r="E188" s="156" t="s">
        <v>1452</v>
      </c>
      <c r="F188" s="5" t="s">
        <v>876</v>
      </c>
      <c r="I188" s="5">
        <f t="shared" si="84"/>
        <v>1966</v>
      </c>
      <c r="J188" s="5" t="str">
        <f t="shared" si="89"/>
        <v/>
      </c>
      <c r="K188" s="152"/>
      <c r="L188" s="7" t="str">
        <f t="shared" si="85"/>
        <v>11/04/1966</v>
      </c>
      <c r="M188" s="8">
        <v>24208</v>
      </c>
      <c r="N188" s="7">
        <v>32984</v>
      </c>
      <c r="O188" s="7"/>
      <c r="P188" s="181" t="str">
        <f t="shared" si="58"/>
        <v/>
      </c>
      <c r="Q188" s="153" t="str">
        <f t="shared" si="83"/>
        <v>88a</v>
      </c>
      <c r="R188" s="180" t="str">
        <f t="shared" si="59"/>
        <v/>
      </c>
      <c r="S188" s="25" t="s">
        <v>3244</v>
      </c>
      <c r="T188" s="5">
        <f t="shared" si="60"/>
        <v>7</v>
      </c>
      <c r="U188" s="5">
        <f t="shared" si="61"/>
        <v>4</v>
      </c>
      <c r="V188" s="5">
        <f>VLOOKUP(B188,'Loyd List 1-190 - Edit'!$A$2:$B$220,2,FALSE)</f>
        <v>5</v>
      </c>
      <c r="W188" s="155">
        <f t="shared" si="62"/>
        <v>2</v>
      </c>
      <c r="X188" s="105" t="s">
        <v>2603</v>
      </c>
      <c r="Y188" s="105" t="s">
        <v>2604</v>
      </c>
      <c r="Z188" s="164" t="s">
        <v>2602</v>
      </c>
      <c r="AA188" s="6">
        <v>184</v>
      </c>
      <c r="AB188" s="5">
        <f t="shared" si="86"/>
        <v>44</v>
      </c>
      <c r="AC188" s="5">
        <f t="shared" si="74"/>
        <v>2044</v>
      </c>
      <c r="AD188" s="97" t="str">
        <f t="shared" si="63"/>
        <v>88ad</v>
      </c>
      <c r="AE188" s="5" t="str">
        <f t="shared" si="64"/>
        <v>Emma Charlotte  HOLMAN (1966 - )</v>
      </c>
      <c r="AF188" s="5" t="str">
        <f t="shared" si="65"/>
        <v>Emma HOLMAN (7th &amp; 88)</v>
      </c>
      <c r="AG188" s="110" t="str">
        <f t="shared" si="66"/>
        <v>Female</v>
      </c>
      <c r="AH188" s="5" t="str">
        <f t="shared" si="67"/>
        <v>7th</v>
      </c>
      <c r="AI188" s="5" t="str">
        <f t="shared" si="87"/>
        <v>Husband: Benjamin (Ben) COLE (b. 16/03/1963, ). Married  at Banchory. Ben of Staplecross, Sussex.</v>
      </c>
      <c r="AJ188" s="105" t="str">
        <f t="shared" si="75"/>
        <v>Female. b. 11/04/1966 Emma of Easter Friarton, Newport on Tay, Fife, DD6 8RB. Baptised at Rudgwick, Sussex. Educated Southover.</v>
      </c>
      <c r="AK188" s="105" t="str">
        <f t="shared" si="69"/>
        <v>b. 11/04/1966</v>
      </c>
    </row>
    <row r="189" spans="1:37" s="5" customFormat="1" ht="20">
      <c r="A189" s="5">
        <f>VLOOKUP(B189,'Loyd List 1-190 - Edit'!$P$1:$R$219,3,FALSE)</f>
        <v>66</v>
      </c>
      <c r="B189" s="5">
        <f t="shared" si="88"/>
        <v>88</v>
      </c>
      <c r="C189" s="157" t="s">
        <v>1460</v>
      </c>
      <c r="D189" s="6" t="s">
        <v>1457</v>
      </c>
      <c r="E189" s="156" t="s">
        <v>918</v>
      </c>
      <c r="F189" s="5" t="s">
        <v>830</v>
      </c>
      <c r="G189" s="5" t="s">
        <v>1462</v>
      </c>
      <c r="I189" s="5">
        <f t="shared" si="84"/>
        <v>1976</v>
      </c>
      <c r="J189" s="5" t="str">
        <f t="shared" si="89"/>
        <v/>
      </c>
      <c r="K189" s="152"/>
      <c r="L189" s="7" t="str">
        <f t="shared" si="85"/>
        <v>15/04/1976</v>
      </c>
      <c r="M189" s="8">
        <v>27865</v>
      </c>
      <c r="N189" s="7"/>
      <c r="O189" s="7"/>
      <c r="P189" s="181" t="str">
        <f t="shared" si="58"/>
        <v/>
      </c>
      <c r="Q189" s="153" t="str">
        <f t="shared" si="83"/>
        <v>88b</v>
      </c>
      <c r="R189" s="180" t="str">
        <f t="shared" si="59"/>
        <v/>
      </c>
      <c r="S189" s="25" t="s">
        <v>3245</v>
      </c>
      <c r="T189" s="5">
        <f t="shared" si="60"/>
        <v>7</v>
      </c>
      <c r="U189" s="5">
        <f t="shared" si="61"/>
        <v>4</v>
      </c>
      <c r="V189" s="5">
        <f>VLOOKUP(B189,'Loyd List 1-190 - Edit'!$A$2:$B$220,2,FALSE)</f>
        <v>5</v>
      </c>
      <c r="W189" s="155">
        <f t="shared" si="62"/>
        <v>2</v>
      </c>
      <c r="X189" s="105" t="s">
        <v>4327</v>
      </c>
      <c r="Y189" s="105"/>
      <c r="Z189" s="164" t="s">
        <v>2610</v>
      </c>
      <c r="AA189" s="6">
        <v>188</v>
      </c>
      <c r="AB189" s="5">
        <f t="shared" si="86"/>
        <v>45</v>
      </c>
      <c r="AC189" s="5">
        <f t="shared" si="74"/>
        <v>2045</v>
      </c>
      <c r="AD189" s="97" t="str">
        <f t="shared" si="63"/>
        <v>88ba</v>
      </c>
      <c r="AE189" s="5" t="str">
        <f t="shared" si="64"/>
        <v>James William Falconer KEITH (1976 - )</v>
      </c>
      <c r="AF189" s="5" t="str">
        <f t="shared" si="65"/>
        <v>James KEITH (7th &amp; 88)</v>
      </c>
      <c r="AG189" s="110" t="str">
        <f t="shared" si="66"/>
        <v>Male</v>
      </c>
      <c r="AH189" s="5" t="str">
        <f t="shared" si="67"/>
        <v>7th</v>
      </c>
      <c r="AI189" s="5" t="str">
        <f t="shared" si="87"/>
        <v xml:space="preserve">Wife: Carrie. </v>
      </c>
      <c r="AJ189" s="105" t="str">
        <f t="shared" si="75"/>
        <v>Male. b. 15/04/1976 James William Falconer KEITH, Lord INVERURIE, Master of KINTORE.</v>
      </c>
      <c r="AK189" s="105" t="str">
        <f t="shared" si="69"/>
        <v>b. 15/04/1976</v>
      </c>
    </row>
    <row r="190" spans="1:37" s="5" customFormat="1" ht="35">
      <c r="A190" s="5">
        <f>VLOOKUP(B190,'Loyd List 1-190 - Edit'!$P$1:$R$219,3,FALSE)</f>
        <v>66</v>
      </c>
      <c r="B190" s="5">
        <f t="shared" si="88"/>
        <v>88</v>
      </c>
      <c r="C190" s="157" t="s">
        <v>1461</v>
      </c>
      <c r="D190" s="6" t="s">
        <v>1457</v>
      </c>
      <c r="E190" s="156" t="s">
        <v>1463</v>
      </c>
      <c r="F190" s="5" t="s">
        <v>1464</v>
      </c>
      <c r="G190" s="5" t="s">
        <v>1465</v>
      </c>
      <c r="I190" s="5">
        <f t="shared" si="84"/>
        <v>1978</v>
      </c>
      <c r="J190" s="5" t="str">
        <f t="shared" si="89"/>
        <v/>
      </c>
      <c r="K190" s="152"/>
      <c r="L190" s="7" t="str">
        <f t="shared" si="85"/>
        <v>01/01/1978</v>
      </c>
      <c r="M190" s="8">
        <v>28491</v>
      </c>
      <c r="N190" s="7"/>
      <c r="O190" s="7"/>
      <c r="P190" s="181" t="str">
        <f t="shared" si="58"/>
        <v/>
      </c>
      <c r="Q190" s="153" t="str">
        <f t="shared" si="83"/>
        <v>88c</v>
      </c>
      <c r="R190" s="180" t="str">
        <f t="shared" si="59"/>
        <v/>
      </c>
      <c r="S190" s="25" t="s">
        <v>3244</v>
      </c>
      <c r="T190" s="5">
        <f t="shared" si="60"/>
        <v>7</v>
      </c>
      <c r="U190" s="5">
        <f t="shared" si="61"/>
        <v>4</v>
      </c>
      <c r="V190" s="5">
        <f>VLOOKUP(B190,'Loyd List 1-190 - Edit'!$A$2:$B$220,2,FALSE)</f>
        <v>5</v>
      </c>
      <c r="W190" s="155">
        <f t="shared" si="62"/>
        <v>2</v>
      </c>
      <c r="X190" s="105" t="s">
        <v>4328</v>
      </c>
      <c r="Y190" s="105"/>
      <c r="Z190" s="164" t="s">
        <v>2612</v>
      </c>
      <c r="AA190" s="6">
        <v>189</v>
      </c>
      <c r="AB190" s="5">
        <f t="shared" si="86"/>
        <v>46</v>
      </c>
      <c r="AC190" s="5">
        <f t="shared" si="74"/>
        <v>2046</v>
      </c>
      <c r="AD190" s="97" t="str">
        <f t="shared" si="63"/>
        <v>88ca</v>
      </c>
      <c r="AE190" s="5" t="str">
        <f t="shared" si="64"/>
        <v>The Honourable Iona Delia Mary Gaddis KEITH (1978 - )</v>
      </c>
      <c r="AF190" s="5" t="str">
        <f t="shared" si="65"/>
        <v>The Honourable Iona KEITH (7th &amp; 88)</v>
      </c>
      <c r="AG190" s="110" t="str">
        <f t="shared" si="66"/>
        <v>Female</v>
      </c>
      <c r="AH190" s="5" t="str">
        <f t="shared" si="67"/>
        <v>7th</v>
      </c>
      <c r="AI190" s="5" t="str">
        <f t="shared" si="87"/>
        <v xml:space="preserve">Husband: Mark HOPKINS. </v>
      </c>
      <c r="AJ190" s="105" t="str">
        <f t="shared" si="75"/>
        <v>Female. b. 01/01/1978 The Hon Iona Delia Mary Gaddis KEITH. Baptised at Keith Hall Church.</v>
      </c>
      <c r="AK190" s="105" t="str">
        <f t="shared" si="69"/>
        <v>b. 01/01/1978</v>
      </c>
    </row>
    <row r="191" spans="1:37" s="5" customFormat="1" ht="34">
      <c r="A191" s="5">
        <f>VLOOKUP(B191,'Loyd List 1-190 - Edit'!$P$1:$R$219,3,FALSE)</f>
        <v>52</v>
      </c>
      <c r="B191" s="5">
        <f t="shared" si="88"/>
        <v>90</v>
      </c>
      <c r="C191" s="157" t="s">
        <v>2551</v>
      </c>
      <c r="D191" s="6" t="s">
        <v>1472</v>
      </c>
      <c r="E191" s="156" t="s">
        <v>1380</v>
      </c>
      <c r="F191" s="5" t="s">
        <v>985</v>
      </c>
      <c r="I191" s="5">
        <f t="shared" si="84"/>
        <v>1975</v>
      </c>
      <c r="J191" s="5" t="str">
        <f t="shared" si="89"/>
        <v/>
      </c>
      <c r="K191" s="152"/>
      <c r="L191" s="7" t="str">
        <f t="shared" si="85"/>
        <v>24/09/1975</v>
      </c>
      <c r="M191" s="8">
        <v>27661</v>
      </c>
      <c r="N191" s="7"/>
      <c r="O191" s="7"/>
      <c r="P191" s="181" t="str">
        <f t="shared" si="58"/>
        <v/>
      </c>
      <c r="Q191" s="153" t="str">
        <f t="shared" si="83"/>
        <v>90a</v>
      </c>
      <c r="R191" s="180" t="str">
        <f t="shared" si="59"/>
        <v/>
      </c>
      <c r="S191" s="25" t="s">
        <v>3244</v>
      </c>
      <c r="T191" s="5">
        <f t="shared" si="60"/>
        <v>7</v>
      </c>
      <c r="U191" s="5">
        <f t="shared" si="61"/>
        <v>4</v>
      </c>
      <c r="V191" s="5">
        <f>VLOOKUP(B191,'Loyd List 1-190 - Edit'!$A$2:$B$220,2,FALSE)</f>
        <v>5</v>
      </c>
      <c r="W191" s="155">
        <f t="shared" si="62"/>
        <v>2</v>
      </c>
      <c r="X191" s="105"/>
      <c r="Y191" s="105"/>
      <c r="Z191" s="164" t="s">
        <v>2615</v>
      </c>
      <c r="AA191" s="6">
        <v>192</v>
      </c>
      <c r="AB191" s="5">
        <f t="shared" si="86"/>
        <v>47</v>
      </c>
      <c r="AC191" s="5">
        <f t="shared" si="74"/>
        <v>2047</v>
      </c>
      <c r="AD191" s="97" t="str">
        <f t="shared" si="63"/>
        <v>90aa</v>
      </c>
      <c r="AE191" s="5" t="str">
        <f t="shared" si="64"/>
        <v>Emily Kate  NORMAN (1975 - )</v>
      </c>
      <c r="AF191" s="5" t="str">
        <f t="shared" si="65"/>
        <v>Emily NORMAN (7th &amp; 90)</v>
      </c>
      <c r="AG191" s="110" t="str">
        <f t="shared" si="66"/>
        <v>Female</v>
      </c>
      <c r="AH191" s="5" t="str">
        <f t="shared" si="67"/>
        <v>7th</v>
      </c>
      <c r="AI191" s="5" t="str">
        <f t="shared" si="87"/>
        <v>Unmarried</v>
      </c>
      <c r="AJ191" s="105" t="str">
        <f t="shared" si="75"/>
        <v>Female. b. 24/09/1975 Adopted Emily Kate NORMAN. Educated North Foreland Lodge and Manchester University (BA Hons 1998).</v>
      </c>
      <c r="AK191" s="105" t="str">
        <f t="shared" si="69"/>
        <v>b. 24/09/1975</v>
      </c>
    </row>
    <row r="192" spans="1:37" s="5" customFormat="1" ht="34">
      <c r="A192" s="5">
        <f>VLOOKUP(B192,'Loyd List 1-190 - Edit'!$P$1:$R$219,3,FALSE)</f>
        <v>52</v>
      </c>
      <c r="B192" s="5">
        <f t="shared" si="88"/>
        <v>90</v>
      </c>
      <c r="C192" s="157" t="s">
        <v>2555</v>
      </c>
      <c r="D192" s="6" t="s">
        <v>2552</v>
      </c>
      <c r="E192" s="156" t="s">
        <v>2554</v>
      </c>
      <c r="F192" s="5" t="s">
        <v>842</v>
      </c>
      <c r="I192" s="5">
        <f t="shared" si="84"/>
        <v>1980</v>
      </c>
      <c r="J192" s="5" t="str">
        <f t="shared" si="89"/>
        <v/>
      </c>
      <c r="K192" s="152"/>
      <c r="L192" s="7" t="str">
        <f t="shared" si="85"/>
        <v>27/04/1980</v>
      </c>
      <c r="M192" s="8">
        <v>29338</v>
      </c>
      <c r="N192" s="7"/>
      <c r="O192" s="7"/>
      <c r="P192" s="181" t="str">
        <f t="shared" si="58"/>
        <v/>
      </c>
      <c r="Q192" s="153" t="str">
        <f t="shared" si="83"/>
        <v>90a</v>
      </c>
      <c r="R192" s="180" t="str">
        <f t="shared" si="59"/>
        <v/>
      </c>
      <c r="S192" s="25" t="s">
        <v>3245</v>
      </c>
      <c r="T192" s="5">
        <f t="shared" si="60"/>
        <v>7</v>
      </c>
      <c r="U192" s="5">
        <f t="shared" si="61"/>
        <v>4</v>
      </c>
      <c r="V192" s="5">
        <f>VLOOKUP(B192,'Loyd List 1-190 - Edit'!$A$2:$B$220,2,FALSE)</f>
        <v>5</v>
      </c>
      <c r="W192" s="155">
        <f t="shared" si="62"/>
        <v>2</v>
      </c>
      <c r="X192" s="105"/>
      <c r="Y192" s="105"/>
      <c r="Z192" s="164" t="s">
        <v>2618</v>
      </c>
      <c r="AA192" s="6">
        <v>193</v>
      </c>
      <c r="AB192" s="5">
        <f t="shared" si="86"/>
        <v>48</v>
      </c>
      <c r="AC192" s="5">
        <f t="shared" si="74"/>
        <v>2048</v>
      </c>
      <c r="AD192" s="97" t="str">
        <f t="shared" si="63"/>
        <v>90ab</v>
      </c>
      <c r="AE192" s="5" t="str">
        <f t="shared" si="64"/>
        <v>Lachlan John  RANKIN (1980 - )</v>
      </c>
      <c r="AF192" s="5" t="str">
        <f t="shared" si="65"/>
        <v>Lachlan RANKIN (7th &amp; 90)</v>
      </c>
      <c r="AG192" s="110" t="str">
        <f t="shared" si="66"/>
        <v>Male</v>
      </c>
      <c r="AH192" s="5" t="str">
        <f t="shared" si="67"/>
        <v>7th</v>
      </c>
      <c r="AI192" s="5" t="str">
        <f t="shared" si="87"/>
        <v>Unmarried</v>
      </c>
      <c r="AJ192" s="105" t="str">
        <f t="shared" si="75"/>
        <v>Male. b. 27/04/1980 Born at Queen Charlotte’s Hospital, London. Educated Eton and Manchester University.</v>
      </c>
      <c r="AK192" s="105" t="str">
        <f t="shared" si="69"/>
        <v>b. 27/04/1980</v>
      </c>
    </row>
    <row r="193" spans="1:37" s="5" customFormat="1" ht="20">
      <c r="A193" s="5">
        <f>VLOOKUP(B193,'Loyd List 1-190 - Edit'!$P$1:$R$219,3,FALSE)</f>
        <v>52</v>
      </c>
      <c r="B193" s="5">
        <f t="shared" si="88"/>
        <v>90</v>
      </c>
      <c r="C193" s="157" t="s">
        <v>1478</v>
      </c>
      <c r="D193" s="6" t="s">
        <v>1475</v>
      </c>
      <c r="E193" s="156" t="s">
        <v>1476</v>
      </c>
      <c r="I193" s="5">
        <f t="shared" si="84"/>
        <v>1972</v>
      </c>
      <c r="J193" s="5" t="str">
        <f t="shared" si="89"/>
        <v/>
      </c>
      <c r="K193" s="152"/>
      <c r="L193" s="7" t="str">
        <f t="shared" si="85"/>
        <v>07/09/1972</v>
      </c>
      <c r="M193" s="8">
        <v>26549</v>
      </c>
      <c r="N193" s="7"/>
      <c r="O193" s="7"/>
      <c r="P193" s="181" t="str">
        <f t="shared" si="58"/>
        <v/>
      </c>
      <c r="Q193" s="153" t="str">
        <f t="shared" si="83"/>
        <v>90b</v>
      </c>
      <c r="R193" s="180" t="str">
        <f t="shared" si="59"/>
        <v/>
      </c>
      <c r="S193" s="25" t="s">
        <v>3244</v>
      </c>
      <c r="T193" s="5">
        <f t="shared" si="60"/>
        <v>7</v>
      </c>
      <c r="U193" s="5">
        <f t="shared" si="61"/>
        <v>4</v>
      </c>
      <c r="V193" s="5">
        <f>VLOOKUP(B193,'Loyd List 1-190 - Edit'!$A$2:$B$220,2,FALSE)</f>
        <v>5</v>
      </c>
      <c r="W193" s="155">
        <f t="shared" si="62"/>
        <v>2</v>
      </c>
      <c r="X193" s="105"/>
      <c r="Y193" s="105"/>
      <c r="Z193" s="164" t="s">
        <v>226</v>
      </c>
      <c r="AA193" s="6">
        <v>195</v>
      </c>
      <c r="AB193" s="5">
        <f t="shared" si="86"/>
        <v>49</v>
      </c>
      <c r="AC193" s="5">
        <f t="shared" si="74"/>
        <v>2049</v>
      </c>
      <c r="AD193" s="97" t="str">
        <f t="shared" si="63"/>
        <v>90ba</v>
      </c>
      <c r="AE193" s="5" t="str">
        <f t="shared" si="64"/>
        <v>Cesare   STUDIATI BERNI (1972 - )</v>
      </c>
      <c r="AF193" s="5" t="str">
        <f t="shared" si="65"/>
        <v>Cesare STUDIATI BERNI (7th &amp; 90)</v>
      </c>
      <c r="AG193" s="110" t="str">
        <f t="shared" si="66"/>
        <v>Female</v>
      </c>
      <c r="AH193" s="5" t="str">
        <f t="shared" si="67"/>
        <v>7th</v>
      </c>
      <c r="AI193" s="5" t="str">
        <f t="shared" si="87"/>
        <v>Unmarried</v>
      </c>
      <c r="AJ193" s="105" t="str">
        <f t="shared" si="75"/>
        <v>Female. b. 07/09/1972 Farm Manager, Pisa, Italy.</v>
      </c>
      <c r="AK193" s="105" t="str">
        <f t="shared" si="69"/>
        <v>b. 07/09/1972</v>
      </c>
    </row>
    <row r="194" spans="1:37" s="5" customFormat="1" ht="20">
      <c r="A194" s="5">
        <f>VLOOKUP(B194,'Loyd List 1-190 - Edit'!$P$1:$R$219,3,FALSE)</f>
        <v>52</v>
      </c>
      <c r="B194" s="5">
        <f t="shared" si="88"/>
        <v>90</v>
      </c>
      <c r="C194" s="157" t="s">
        <v>1479</v>
      </c>
      <c r="D194" s="6" t="s">
        <v>1475</v>
      </c>
      <c r="E194" s="156" t="s">
        <v>1477</v>
      </c>
      <c r="I194" s="5">
        <f t="shared" si="84"/>
        <v>1975</v>
      </c>
      <c r="J194" s="5" t="str">
        <f t="shared" si="89"/>
        <v/>
      </c>
      <c r="K194" s="152"/>
      <c r="L194" s="7" t="str">
        <f t="shared" si="85"/>
        <v>30/07/1975</v>
      </c>
      <c r="M194" s="8">
        <v>27605</v>
      </c>
      <c r="N194" s="7"/>
      <c r="O194" s="7"/>
      <c r="P194" s="181" t="str">
        <f t="shared" si="58"/>
        <v/>
      </c>
      <c r="Q194" s="153" t="str">
        <f t="shared" si="83"/>
        <v>90b</v>
      </c>
      <c r="R194" s="180" t="str">
        <f t="shared" si="59"/>
        <v/>
      </c>
      <c r="S194" s="25" t="s">
        <v>3244</v>
      </c>
      <c r="T194" s="5">
        <f t="shared" si="60"/>
        <v>7</v>
      </c>
      <c r="U194" s="5">
        <f t="shared" si="61"/>
        <v>4</v>
      </c>
      <c r="V194" s="5">
        <f>VLOOKUP(B194,'Loyd List 1-190 - Edit'!$A$2:$B$220,2,FALSE)</f>
        <v>5</v>
      </c>
      <c r="W194" s="155">
        <f t="shared" si="62"/>
        <v>2</v>
      </c>
      <c r="X194" s="105"/>
      <c r="Y194" s="105"/>
      <c r="Z194" s="164"/>
      <c r="AA194" s="6">
        <v>196</v>
      </c>
      <c r="AB194" s="5">
        <f t="shared" si="86"/>
        <v>50</v>
      </c>
      <c r="AC194" s="5">
        <f t="shared" si="74"/>
        <v>2050</v>
      </c>
      <c r="AD194" s="97" t="str">
        <f t="shared" si="63"/>
        <v>90bb</v>
      </c>
      <c r="AE194" s="5" t="str">
        <f t="shared" si="64"/>
        <v>Viola   STUDIATI BERNI (1975 - )</v>
      </c>
      <c r="AF194" s="5" t="str">
        <f t="shared" si="65"/>
        <v>Viola STUDIATI BERNI (7th &amp; 90)</v>
      </c>
      <c r="AG194" s="110" t="str">
        <f t="shared" si="66"/>
        <v>Female</v>
      </c>
      <c r="AH194" s="5" t="str">
        <f t="shared" si="67"/>
        <v>7th</v>
      </c>
      <c r="AI194" s="5" t="str">
        <f t="shared" si="87"/>
        <v>Unmarried</v>
      </c>
      <c r="AJ194" s="105" t="str">
        <f t="shared" si="75"/>
        <v>Female. b. 30/07/1975</v>
      </c>
      <c r="AK194" s="105" t="str">
        <f t="shared" si="69"/>
        <v>b. 30/07/1975</v>
      </c>
    </row>
    <row r="195" spans="1:37" s="5" customFormat="1" ht="51">
      <c r="A195" s="5">
        <f>VLOOKUP(B195,'Loyd List 1-190 - Edit'!$P$1:$R$219,3,FALSE)</f>
        <v>52</v>
      </c>
      <c r="B195" s="5">
        <f t="shared" si="88"/>
        <v>90</v>
      </c>
      <c r="C195" s="157" t="s">
        <v>1486</v>
      </c>
      <c r="D195" s="6" t="s">
        <v>1480</v>
      </c>
      <c r="E195" s="156" t="s">
        <v>1489</v>
      </c>
      <c r="F195" s="5" t="s">
        <v>1436</v>
      </c>
      <c r="G195" s="5" t="s">
        <v>1482</v>
      </c>
      <c r="I195" s="5">
        <f t="shared" si="84"/>
        <v>1976</v>
      </c>
      <c r="J195" s="5" t="str">
        <f t="shared" si="89"/>
        <v/>
      </c>
      <c r="K195" s="152"/>
      <c r="L195" s="7" t="str">
        <f t="shared" si="85"/>
        <v>21/02/1976</v>
      </c>
      <c r="M195" s="8">
        <v>27811</v>
      </c>
      <c r="N195" s="7"/>
      <c r="O195" s="7"/>
      <c r="P195" s="181" t="str">
        <f t="shared" si="58"/>
        <v/>
      </c>
      <c r="Q195" s="153" t="str">
        <f t="shared" si="83"/>
        <v>90c</v>
      </c>
      <c r="R195" s="180" t="str">
        <f t="shared" si="59"/>
        <v/>
      </c>
      <c r="S195" s="25" t="s">
        <v>3244</v>
      </c>
      <c r="T195" s="5">
        <f t="shared" si="60"/>
        <v>7</v>
      </c>
      <c r="U195" s="5">
        <f t="shared" si="61"/>
        <v>4</v>
      </c>
      <c r="V195" s="5">
        <f>VLOOKUP(B195,'Loyd List 1-190 - Edit'!$A$2:$B$220,2,FALSE)</f>
        <v>5</v>
      </c>
      <c r="W195" s="155">
        <f t="shared" si="62"/>
        <v>2</v>
      </c>
      <c r="X195" s="105"/>
      <c r="Y195" s="105"/>
      <c r="Z195" s="164" t="s">
        <v>2625</v>
      </c>
      <c r="AA195" s="6">
        <v>198</v>
      </c>
      <c r="AB195" s="5">
        <f t="shared" si="86"/>
        <v>51</v>
      </c>
      <c r="AC195" s="5">
        <f t="shared" si="74"/>
        <v>2051</v>
      </c>
      <c r="AD195" s="97" t="str">
        <f t="shared" si="63"/>
        <v>90ca</v>
      </c>
      <c r="AE195" s="5" t="str">
        <f t="shared" si="64"/>
        <v>Georgina  Louise Stephenson CLARKE (1976 - )</v>
      </c>
      <c r="AF195" s="5" t="str">
        <f t="shared" si="65"/>
        <v>Georgina  CLARKE (7th &amp; 90)</v>
      </c>
      <c r="AG195" s="110" t="str">
        <f t="shared" si="66"/>
        <v>Female</v>
      </c>
      <c r="AH195" s="5" t="str">
        <f t="shared" si="67"/>
        <v>7th</v>
      </c>
      <c r="AI195" s="5" t="str">
        <f t="shared" si="87"/>
        <v>Unmarried</v>
      </c>
      <c r="AJ195" s="105" t="str">
        <f t="shared" si="75"/>
        <v xml:space="preserve">Female. b. 21/02/1976 Born at St. Mary’s Hospital, Roehampton. Baptised Highbrook Church,West Sussex. Educated Downe House, Newbury and Newcastle University (BA Hons 1998). </v>
      </c>
      <c r="AK195" s="105" t="str">
        <f t="shared" si="69"/>
        <v>b. 21/02/1976</v>
      </c>
    </row>
    <row r="196" spans="1:37" s="5" customFormat="1" ht="34">
      <c r="A196" s="5">
        <f>VLOOKUP(B196,'Loyd List 1-190 - Edit'!$P$1:$R$219,3,FALSE)</f>
        <v>52</v>
      </c>
      <c r="B196" s="5">
        <f t="shared" si="88"/>
        <v>90</v>
      </c>
      <c r="C196" s="157" t="s">
        <v>1487</v>
      </c>
      <c r="D196" s="6" t="s">
        <v>1480</v>
      </c>
      <c r="E196" s="156" t="s">
        <v>1490</v>
      </c>
      <c r="F196" s="5" t="s">
        <v>1491</v>
      </c>
      <c r="G196" s="5" t="s">
        <v>1482</v>
      </c>
      <c r="I196" s="5">
        <f t="shared" si="84"/>
        <v>1980</v>
      </c>
      <c r="J196" s="5">
        <f t="shared" si="89"/>
        <v>1980</v>
      </c>
      <c r="K196" s="152"/>
      <c r="L196" s="7" t="str">
        <f t="shared" si="85"/>
        <v>15/01/1980</v>
      </c>
      <c r="M196" s="8">
        <v>29235</v>
      </c>
      <c r="N196" s="7"/>
      <c r="O196" s="7">
        <v>29320</v>
      </c>
      <c r="P196" s="181" t="str">
        <f t="shared" si="58"/>
        <v>09/04/1980</v>
      </c>
      <c r="Q196" s="153" t="str">
        <f t="shared" si="83"/>
        <v>90c</v>
      </c>
      <c r="R196" s="180" t="str">
        <f t="shared" si="59"/>
        <v>09/04/1980</v>
      </c>
      <c r="S196" s="25" t="s">
        <v>3244</v>
      </c>
      <c r="T196" s="5">
        <f t="shared" si="60"/>
        <v>7</v>
      </c>
      <c r="U196" s="5">
        <f t="shared" si="61"/>
        <v>4</v>
      </c>
      <c r="V196" s="5">
        <f>VLOOKUP(B196,'Loyd List 1-190 - Edit'!$A$2:$B$220,2,FALSE)</f>
        <v>5</v>
      </c>
      <c r="W196" s="155">
        <f t="shared" si="62"/>
        <v>2</v>
      </c>
      <c r="X196" s="105"/>
      <c r="Y196" s="105"/>
      <c r="Z196" s="164" t="s">
        <v>3796</v>
      </c>
      <c r="AA196" s="6">
        <v>199</v>
      </c>
      <c r="AB196" s="5">
        <f t="shared" si="86"/>
        <v>52</v>
      </c>
      <c r="AC196" s="5">
        <f t="shared" si="74"/>
        <v>2052</v>
      </c>
      <c r="AD196" s="97" t="str">
        <f t="shared" si="63"/>
        <v>90cb</v>
      </c>
      <c r="AE196" s="5" t="str">
        <f t="shared" si="64"/>
        <v>Philippa Francesca Stephenson CLARKE (1980 - 1980)</v>
      </c>
      <c r="AF196" s="5" t="str">
        <f t="shared" si="65"/>
        <v>Philippa CLARKE (7th &amp; 90)</v>
      </c>
      <c r="AG196" s="110" t="str">
        <f t="shared" si="66"/>
        <v>Female</v>
      </c>
      <c r="AH196" s="5" t="str">
        <f t="shared" si="67"/>
        <v>7th</v>
      </c>
      <c r="AI196" s="5" t="str">
        <f t="shared" si="87"/>
        <v>Unmarried</v>
      </c>
      <c r="AJ196" s="105" t="str">
        <f t="shared" si="75"/>
        <v>Female. b. 15/01/1980, d. 09/04/1980. Born at St. Mary’s Hospital, Roehampton, baptised  Highbrook Church, West Sussex. Died 9 Apr 1980, buried at Highbrook Church, West Sussex.</v>
      </c>
      <c r="AK196" s="105" t="str">
        <f t="shared" si="69"/>
        <v>b. 15/01/1980, d. 09/04/1980.</v>
      </c>
    </row>
    <row r="197" spans="1:37" s="5" customFormat="1" ht="34">
      <c r="A197" s="5">
        <f>VLOOKUP(B197,'Loyd List 1-190 - Edit'!$P$1:$R$219,3,FALSE)</f>
        <v>52</v>
      </c>
      <c r="B197" s="5">
        <f t="shared" si="88"/>
        <v>90</v>
      </c>
      <c r="C197" s="157" t="s">
        <v>1488</v>
      </c>
      <c r="D197" s="6" t="s">
        <v>1480</v>
      </c>
      <c r="E197" s="156" t="s">
        <v>1492</v>
      </c>
      <c r="F197" s="5" t="s">
        <v>937</v>
      </c>
      <c r="G197" s="5" t="s">
        <v>1482</v>
      </c>
      <c r="I197" s="5">
        <f t="shared" si="84"/>
        <v>1982</v>
      </c>
      <c r="J197" s="5" t="str">
        <f t="shared" si="89"/>
        <v/>
      </c>
      <c r="K197" s="152"/>
      <c r="L197" s="7" t="str">
        <f t="shared" si="85"/>
        <v>20/03/1982</v>
      </c>
      <c r="M197" s="8">
        <v>30030</v>
      </c>
      <c r="N197" s="7"/>
      <c r="O197" s="7"/>
      <c r="P197" s="181" t="str">
        <f t="shared" si="58"/>
        <v/>
      </c>
      <c r="Q197" s="153" t="str">
        <f t="shared" si="83"/>
        <v>90c</v>
      </c>
      <c r="R197" s="180" t="str">
        <f t="shared" si="59"/>
        <v/>
      </c>
      <c r="S197" s="25" t="s">
        <v>3245</v>
      </c>
      <c r="T197" s="5">
        <f t="shared" si="60"/>
        <v>7</v>
      </c>
      <c r="U197" s="5">
        <f t="shared" si="61"/>
        <v>4</v>
      </c>
      <c r="V197" s="5">
        <f>VLOOKUP(B197,'Loyd List 1-190 - Edit'!$A$2:$B$220,2,FALSE)</f>
        <v>5</v>
      </c>
      <c r="W197" s="155">
        <f t="shared" si="62"/>
        <v>2</v>
      </c>
      <c r="X197" s="105"/>
      <c r="Y197" s="105"/>
      <c r="Z197" s="164" t="s">
        <v>2627</v>
      </c>
      <c r="AA197" s="6">
        <v>200</v>
      </c>
      <c r="AB197" s="5">
        <f t="shared" si="86"/>
        <v>53</v>
      </c>
      <c r="AC197" s="5">
        <f t="shared" si="74"/>
        <v>2053</v>
      </c>
      <c r="AD197" s="97" t="str">
        <f t="shared" si="63"/>
        <v>90cc</v>
      </c>
      <c r="AE197" s="5" t="str">
        <f t="shared" si="64"/>
        <v>Marina Rose Stephenson CLARKE (1982 - )</v>
      </c>
      <c r="AF197" s="5" t="str">
        <f t="shared" si="65"/>
        <v>Marina CLARKE (7th &amp; 90)</v>
      </c>
      <c r="AG197" s="110" t="str">
        <f t="shared" si="66"/>
        <v>Male</v>
      </c>
      <c r="AH197" s="5" t="str">
        <f t="shared" si="67"/>
        <v>7th</v>
      </c>
      <c r="AI197" s="5" t="str">
        <f t="shared" si="87"/>
        <v>Unmarried</v>
      </c>
      <c r="AJ197" s="105" t="str">
        <f t="shared" si="75"/>
        <v>Male. b. 20/03/1982 Born at St Mary’s Hospital, Roehampton. Baptised at Highbrook Church, West Sussex. Educated Downe House, Newbury.</v>
      </c>
      <c r="AK197" s="105" t="str">
        <f t="shared" si="69"/>
        <v>b. 20/03/1982</v>
      </c>
    </row>
    <row r="198" spans="1:37" s="5" customFormat="1" ht="35">
      <c r="A198" s="5">
        <f>VLOOKUP(B198,'Loyd List 1-190 - Edit'!$P$1:$R$219,3,FALSE)</f>
        <v>54</v>
      </c>
      <c r="B198" s="5">
        <f t="shared" si="88"/>
        <v>92</v>
      </c>
      <c r="C198" s="157" t="s">
        <v>1499</v>
      </c>
      <c r="D198" s="6" t="s">
        <v>1494</v>
      </c>
      <c r="E198" s="156" t="s">
        <v>1495</v>
      </c>
      <c r="F198" s="5" t="s">
        <v>855</v>
      </c>
      <c r="I198" s="5">
        <f t="shared" si="84"/>
        <v>1980</v>
      </c>
      <c r="J198" s="5" t="str">
        <f t="shared" si="89"/>
        <v/>
      </c>
      <c r="K198" s="152"/>
      <c r="L198" s="7" t="str">
        <f t="shared" si="85"/>
        <v>22/07/1980</v>
      </c>
      <c r="M198" s="8">
        <v>29424</v>
      </c>
      <c r="N198" s="7"/>
      <c r="O198" s="7"/>
      <c r="P198" s="181" t="str">
        <f t="shared" ref="P198:P263" si="90">R198</f>
        <v/>
      </c>
      <c r="Q198" s="153" t="str">
        <f t="shared" si="83"/>
        <v>92a</v>
      </c>
      <c r="R198" s="180" t="str">
        <f t="shared" ref="R198:R263" si="91">IF(LEN(O198)=4,O198,IF(O198="","",TEXT(O198,"dd/mm/yyyy")))</f>
        <v/>
      </c>
      <c r="S198" s="25" t="s">
        <v>3245</v>
      </c>
      <c r="T198" s="5">
        <f t="shared" ref="T198:T263" si="92">IF(B198&lt;10,V198+U198-1,IF(AND(B198&gt;=10,B198&lt;=99),V198+U198-2,V198+U198-3))</f>
        <v>7</v>
      </c>
      <c r="U198" s="5">
        <f t="shared" ref="U198:U263" si="93">LEN(C198)</f>
        <v>4</v>
      </c>
      <c r="V198" s="5">
        <f>VLOOKUP(B198,'Loyd List 1-190 - Edit'!$A$2:$B$220,2,FALSE)</f>
        <v>5</v>
      </c>
      <c r="W198" s="155">
        <f t="shared" ref="W198:W263" si="94">IF(LEN(C198)-IF(B198&lt;10,1,IF(AND(B198&gt;9,B198&lt;100),2,3))=1,1,IF(LEN(C198)-IF(B198&lt;10,1,IF(AND(B198&gt;9,B198&lt;100),2,3))=0,"SELF",LEN(C198)-IF(B198&lt;10,1,IF(AND(B198&gt;9,B198&lt;100),2,3))))</f>
        <v>2</v>
      </c>
      <c r="X198" s="105" t="s">
        <v>3746</v>
      </c>
      <c r="Y198" s="105" t="s">
        <v>3747</v>
      </c>
      <c r="Z198" s="164" t="s">
        <v>2631</v>
      </c>
      <c r="AA198" s="6">
        <v>202</v>
      </c>
      <c r="AB198" s="5">
        <f t="shared" si="86"/>
        <v>54</v>
      </c>
      <c r="AC198" s="5">
        <f t="shared" si="74"/>
        <v>2054</v>
      </c>
      <c r="AD198" s="97" t="str">
        <f t="shared" ref="AD198:AD263" si="95">C198</f>
        <v>92aa</v>
      </c>
      <c r="AE198" s="5" t="str">
        <f t="shared" ref="AE198:AE263" si="96">_xlfn.CONCAT(E198," ",F198," ",G198," ",D198," (",I198," - ",J198,")")</f>
        <v>Hugh Trelawny  TATTON-BROWN (1980 - )</v>
      </c>
      <c r="AF198" s="5" t="str">
        <f t="shared" ref="AF198:AF263" si="97">IF(H198="",_xlfn.CONCAT(E198," ",D198," (",AH198," &amp; ",B198,")"),_xlfn.CONCAT(H198," ",D198," (",AH198," &amp; ",B198,")"))</f>
        <v>Hugh TATTON-BROWN (7th &amp; 92)</v>
      </c>
      <c r="AG198" s="110" t="str">
        <f t="shared" ref="AG198:AG263" si="98">S198</f>
        <v>Male</v>
      </c>
      <c r="AH198" s="5" t="str">
        <f t="shared" ref="AH198:AH262" si="99">VLOOKUP(T198,$AQ$2:$AS$10,3,FALSE)</f>
        <v>7th</v>
      </c>
      <c r="AI198" s="5" t="str">
        <f t="shared" si="87"/>
        <v>Wife: Anna MASON (b. 17/01/1981, ). Married in Salisbury Cathedral, Wiltshire on 20/05/2006.</v>
      </c>
      <c r="AJ198" s="105" t="str">
        <f t="shared" si="75"/>
        <v>Male. b. 22/07/1980 Baptised 28 Sep 1980 at Canterbury Cathedral.</v>
      </c>
      <c r="AK198" s="105" t="str">
        <f t="shared" ref="AK198:AK263" si="100">_xlfn.CONCAT(IF(L198="","b &amp; d dates unknown.",_xlfn.CONCAT("b. ",L198)),IF(P198="","",_xlfn.CONCAT(", d. ",P198,".")))</f>
        <v>b. 22/07/1980</v>
      </c>
    </row>
    <row r="199" spans="1:37" s="5" customFormat="1" ht="20">
      <c r="A199" s="5">
        <f>VLOOKUP(B199,'Loyd List 1-190 - Edit'!$P$1:$R$219,3,FALSE)</f>
        <v>54</v>
      </c>
      <c r="B199" s="5">
        <f t="shared" si="88"/>
        <v>92</v>
      </c>
      <c r="C199" s="157" t="s">
        <v>1500</v>
      </c>
      <c r="D199" s="6" t="s">
        <v>1494</v>
      </c>
      <c r="E199" s="156" t="s">
        <v>1496</v>
      </c>
      <c r="F199" s="5" t="s">
        <v>1380</v>
      </c>
      <c r="G199" s="5" t="s">
        <v>884</v>
      </c>
      <c r="I199" s="5">
        <f t="shared" si="84"/>
        <v>1983</v>
      </c>
      <c r="J199" s="5" t="str">
        <f t="shared" si="89"/>
        <v/>
      </c>
      <c r="K199" s="152"/>
      <c r="L199" s="7" t="str">
        <f t="shared" si="85"/>
        <v>24/01/1983</v>
      </c>
      <c r="M199" s="10" t="s">
        <v>2984</v>
      </c>
      <c r="N199" s="7"/>
      <c r="O199" s="7"/>
      <c r="P199" s="181" t="str">
        <f t="shared" si="90"/>
        <v/>
      </c>
      <c r="Q199" s="153" t="str">
        <f t="shared" si="83"/>
        <v>92a</v>
      </c>
      <c r="R199" s="180" t="str">
        <f t="shared" si="91"/>
        <v/>
      </c>
      <c r="S199" s="25" t="s">
        <v>3244</v>
      </c>
      <c r="T199" s="5">
        <f t="shared" si="92"/>
        <v>7</v>
      </c>
      <c r="U199" s="5">
        <f t="shared" si="93"/>
        <v>4</v>
      </c>
      <c r="V199" s="5">
        <f>VLOOKUP(B199,'Loyd List 1-190 - Edit'!$A$2:$B$220,2,FALSE)</f>
        <v>5</v>
      </c>
      <c r="W199" s="155">
        <f t="shared" si="94"/>
        <v>2</v>
      </c>
      <c r="X199" s="105"/>
      <c r="Y199" s="105"/>
      <c r="Z199" s="164" t="s">
        <v>2632</v>
      </c>
      <c r="AA199" s="6">
        <v>203</v>
      </c>
      <c r="AB199" s="5">
        <f t="shared" si="86"/>
        <v>55</v>
      </c>
      <c r="AC199" s="5">
        <f t="shared" ref="AC199:AC264" si="101">W199*1000+AB199</f>
        <v>2055</v>
      </c>
      <c r="AD199" s="97" t="str">
        <f t="shared" si="95"/>
        <v>92ab</v>
      </c>
      <c r="AE199" s="5" t="str">
        <f t="shared" si="96"/>
        <v>Miranda Emily Jean TATTON-BROWN (1983 - )</v>
      </c>
      <c r="AF199" s="5" t="str">
        <f t="shared" si="97"/>
        <v>Miranda TATTON-BROWN (7th &amp; 92)</v>
      </c>
      <c r="AG199" s="110" t="str">
        <f t="shared" si="98"/>
        <v>Female</v>
      </c>
      <c r="AH199" s="5" t="str">
        <f t="shared" si="99"/>
        <v>7th</v>
      </c>
      <c r="AI199" s="5" t="str">
        <f t="shared" si="87"/>
        <v>Unmarried</v>
      </c>
      <c r="AJ199" s="105" t="str">
        <f t="shared" ref="AJ199:AJ264" si="102">IF(Z199="",_xlfn.CONCAT(AG199,". ",AK199),_xlfn.CONCAT(AG199,". ",AK199," ",Z199))</f>
        <v>Female. b. 24/01/1983 Baptised 17 Apr 1983, at Canterbury Cathedral.</v>
      </c>
      <c r="AK199" s="105" t="str">
        <f t="shared" si="100"/>
        <v>b. 24/01/1983</v>
      </c>
    </row>
    <row r="200" spans="1:37" s="5" customFormat="1" ht="35">
      <c r="A200" s="5">
        <f>VLOOKUP(B200,'Loyd List 1-190 - Edit'!$P$1:$R$219,3,FALSE)</f>
        <v>54</v>
      </c>
      <c r="B200" s="5">
        <f t="shared" si="88"/>
        <v>92</v>
      </c>
      <c r="C200" s="157" t="s">
        <v>1501</v>
      </c>
      <c r="D200" s="6" t="s">
        <v>1494</v>
      </c>
      <c r="E200" s="156" t="s">
        <v>1376</v>
      </c>
      <c r="F200" s="5" t="s">
        <v>1010</v>
      </c>
      <c r="I200" s="5">
        <f t="shared" si="84"/>
        <v>1984</v>
      </c>
      <c r="J200" s="5" t="str">
        <f t="shared" si="89"/>
        <v/>
      </c>
      <c r="K200" s="152"/>
      <c r="L200" s="7" t="str">
        <f t="shared" si="85"/>
        <v>15/10/1984</v>
      </c>
      <c r="M200" s="8">
        <v>30970</v>
      </c>
      <c r="N200" s="7"/>
      <c r="O200" s="7"/>
      <c r="P200" s="181" t="str">
        <f t="shared" si="90"/>
        <v/>
      </c>
      <c r="Q200" s="153" t="str">
        <f t="shared" si="83"/>
        <v>92a</v>
      </c>
      <c r="R200" s="180" t="str">
        <f t="shared" si="91"/>
        <v/>
      </c>
      <c r="S200" s="25" t="s">
        <v>3244</v>
      </c>
      <c r="T200" s="5">
        <f t="shared" si="92"/>
        <v>7</v>
      </c>
      <c r="U200" s="5">
        <f t="shared" si="93"/>
        <v>4</v>
      </c>
      <c r="V200" s="5">
        <f>VLOOKUP(B200,'Loyd List 1-190 - Edit'!$A$2:$B$220,2,FALSE)</f>
        <v>5</v>
      </c>
      <c r="W200" s="155">
        <f t="shared" si="94"/>
        <v>2</v>
      </c>
      <c r="X200" s="105" t="s">
        <v>3753</v>
      </c>
      <c r="Y200" s="105" t="s">
        <v>3754</v>
      </c>
      <c r="Z200" s="164" t="s">
        <v>2633</v>
      </c>
      <c r="AA200" s="6">
        <v>204</v>
      </c>
      <c r="AB200" s="5">
        <f t="shared" si="86"/>
        <v>56</v>
      </c>
      <c r="AC200" s="5">
        <f t="shared" si="101"/>
        <v>2056</v>
      </c>
      <c r="AD200" s="97" t="str">
        <f t="shared" si="95"/>
        <v>92ac</v>
      </c>
      <c r="AE200" s="5" t="str">
        <f t="shared" si="96"/>
        <v>Lucy Ann  TATTON-BROWN (1984 - )</v>
      </c>
      <c r="AF200" s="5" t="str">
        <f t="shared" si="97"/>
        <v>Lucy TATTON-BROWN (7th &amp; 92)</v>
      </c>
      <c r="AG200" s="110" t="str">
        <f t="shared" si="98"/>
        <v>Female</v>
      </c>
      <c r="AH200" s="5" t="str">
        <f t="shared" si="99"/>
        <v>7th</v>
      </c>
      <c r="AI200" s="5" t="str">
        <f t="shared" si="87"/>
        <v>Husband: David BATTEY (b. 24/06/1980, ). Married in Salisbury Cathedral, Wiltshire on 03/09/2011.</v>
      </c>
      <c r="AJ200" s="105" t="str">
        <f t="shared" si="102"/>
        <v>Female. b. 15/10/1984 Baptised 20 Jan 1985 at Canterbury Cathedral.</v>
      </c>
      <c r="AK200" s="105" t="str">
        <f t="shared" si="100"/>
        <v>b. 15/10/1984</v>
      </c>
    </row>
    <row r="201" spans="1:37" s="5" customFormat="1" ht="20">
      <c r="A201" s="5">
        <f>VLOOKUP(B201,'Loyd List 1-190 - Edit'!$P$1:$R$219,3,FALSE)</f>
        <v>54</v>
      </c>
      <c r="B201" s="5">
        <f t="shared" si="88"/>
        <v>92</v>
      </c>
      <c r="C201" s="157" t="s">
        <v>1502</v>
      </c>
      <c r="D201" s="6" t="s">
        <v>1494</v>
      </c>
      <c r="E201" s="156" t="s">
        <v>902</v>
      </c>
      <c r="F201" s="5" t="s">
        <v>830</v>
      </c>
      <c r="G201" s="5" t="s">
        <v>1497</v>
      </c>
      <c r="I201" s="5">
        <f t="shared" si="84"/>
        <v>1993</v>
      </c>
      <c r="J201" s="5" t="str">
        <f t="shared" si="89"/>
        <v/>
      </c>
      <c r="K201" s="152"/>
      <c r="L201" s="7" t="str">
        <f t="shared" si="85"/>
        <v>25/02/1993</v>
      </c>
      <c r="M201" s="8">
        <v>34025</v>
      </c>
      <c r="N201" s="7"/>
      <c r="O201" s="7"/>
      <c r="P201" s="181" t="str">
        <f t="shared" si="90"/>
        <v/>
      </c>
      <c r="Q201" s="153" t="str">
        <f t="shared" si="83"/>
        <v>92a</v>
      </c>
      <c r="R201" s="180" t="str">
        <f t="shared" si="91"/>
        <v/>
      </c>
      <c r="S201" s="25" t="s">
        <v>3245</v>
      </c>
      <c r="T201" s="5">
        <f t="shared" si="92"/>
        <v>7</v>
      </c>
      <c r="U201" s="5">
        <f t="shared" si="93"/>
        <v>4</v>
      </c>
      <c r="V201" s="5">
        <f>VLOOKUP(B201,'Loyd List 1-190 - Edit'!$A$2:$B$220,2,FALSE)</f>
        <v>5</v>
      </c>
      <c r="W201" s="155">
        <f t="shared" si="94"/>
        <v>2</v>
      </c>
      <c r="X201" s="105"/>
      <c r="Y201" s="105"/>
      <c r="Z201" s="164" t="s">
        <v>2634</v>
      </c>
      <c r="AA201" s="6">
        <v>205</v>
      </c>
      <c r="AB201" s="5">
        <f t="shared" si="86"/>
        <v>57</v>
      </c>
      <c r="AC201" s="5">
        <f t="shared" si="101"/>
        <v>2057</v>
      </c>
      <c r="AD201" s="97" t="str">
        <f t="shared" si="95"/>
        <v>92ad</v>
      </c>
      <c r="AE201" s="5" t="str">
        <f t="shared" si="96"/>
        <v>Robert William Loyd TATTON-BROWN (1993 - )</v>
      </c>
      <c r="AF201" s="5" t="str">
        <f t="shared" si="97"/>
        <v>Robert TATTON-BROWN (7th &amp; 92)</v>
      </c>
      <c r="AG201" s="110" t="str">
        <f t="shared" si="98"/>
        <v>Male</v>
      </c>
      <c r="AH201" s="5" t="str">
        <f t="shared" si="99"/>
        <v>7th</v>
      </c>
      <c r="AI201" s="5" t="str">
        <f t="shared" si="87"/>
        <v>Unmarried</v>
      </c>
      <c r="AJ201" s="105" t="str">
        <f t="shared" si="102"/>
        <v>Male. b. 25/02/1993 Baptised 18 Apr 1993 at St Martin’s, Canterbury.</v>
      </c>
      <c r="AK201" s="105" t="str">
        <f t="shared" si="100"/>
        <v>b. 25/02/1993</v>
      </c>
    </row>
    <row r="202" spans="1:37" s="5" customFormat="1" ht="103" customHeight="1">
      <c r="A202" s="5">
        <f>VLOOKUP(B202,'Loyd List 1-190 - Edit'!$P$1:$R$219,3,FALSE)</f>
        <v>54</v>
      </c>
      <c r="B202" s="5">
        <f t="shared" si="88"/>
        <v>92</v>
      </c>
      <c r="C202" s="157" t="s">
        <v>1506</v>
      </c>
      <c r="D202" s="6" t="s">
        <v>1494</v>
      </c>
      <c r="E202" s="156" t="s">
        <v>1510</v>
      </c>
      <c r="F202" s="5" t="s">
        <v>853</v>
      </c>
      <c r="G202" s="5" t="s">
        <v>1511</v>
      </c>
      <c r="I202" s="5">
        <f t="shared" si="84"/>
        <v>1971</v>
      </c>
      <c r="J202" s="5" t="str">
        <f t="shared" si="89"/>
        <v/>
      </c>
      <c r="K202" s="152"/>
      <c r="L202" s="7" t="str">
        <f t="shared" si="85"/>
        <v>13/05/1971</v>
      </c>
      <c r="M202" s="8">
        <v>26066</v>
      </c>
      <c r="N202" s="7" t="s">
        <v>1512</v>
      </c>
      <c r="O202" s="7"/>
      <c r="P202" s="181" t="str">
        <f t="shared" si="90"/>
        <v/>
      </c>
      <c r="Q202" s="153" t="str">
        <f t="shared" si="83"/>
        <v>92b</v>
      </c>
      <c r="R202" s="180" t="str">
        <f t="shared" si="91"/>
        <v/>
      </c>
      <c r="S202" s="25" t="s">
        <v>3244</v>
      </c>
      <c r="T202" s="5">
        <f t="shared" si="92"/>
        <v>7</v>
      </c>
      <c r="U202" s="5">
        <f t="shared" si="93"/>
        <v>4</v>
      </c>
      <c r="V202" s="5">
        <f>VLOOKUP(B202,'Loyd List 1-190 - Edit'!$A$2:$B$220,2,FALSE)</f>
        <v>5</v>
      </c>
      <c r="W202" s="155">
        <f t="shared" si="94"/>
        <v>2</v>
      </c>
      <c r="X202" s="105" t="s">
        <v>2644</v>
      </c>
      <c r="Y202" s="105"/>
      <c r="Z202" s="164" t="s">
        <v>3629</v>
      </c>
      <c r="AA202" s="6">
        <v>207</v>
      </c>
      <c r="AB202" s="5">
        <f t="shared" si="86"/>
        <v>58</v>
      </c>
      <c r="AC202" s="5">
        <f t="shared" si="101"/>
        <v>2058</v>
      </c>
      <c r="AD202" s="97" t="str">
        <f t="shared" si="95"/>
        <v>92ba</v>
      </c>
      <c r="AE202" s="5" t="str">
        <f t="shared" si="96"/>
        <v>Olivia Daphne Noelle TATTON-BROWN (1971 - )</v>
      </c>
      <c r="AF202" s="5" t="str">
        <f t="shared" si="97"/>
        <v>Olivia TATTON-BROWN (7th &amp; 92)</v>
      </c>
      <c r="AG202" s="110" t="str">
        <f t="shared" si="98"/>
        <v>Female</v>
      </c>
      <c r="AH202" s="5" t="str">
        <f t="shared" si="99"/>
        <v>7th</v>
      </c>
      <c r="AI202" s="5" t="str">
        <f t="shared" si="87"/>
        <v xml:space="preserve">Husband: Robert McGegor ANDERSEN (b. 19/12/1965, ). </v>
      </c>
      <c r="AJ202" s="105" t="str">
        <f t="shared" si="102"/>
        <v>Female. b. 13/05/1971 Baptised 17 Jul 1971 at the Roman Catholic Church, Farnham. Olivia &amp; Robert never married. Robert is the father of Octavia Kenya (11.3.1999) and Augustus Eden (22.6.2003).</v>
      </c>
      <c r="AK202" s="105" t="str">
        <f t="shared" si="100"/>
        <v>b. 13/05/1971</v>
      </c>
    </row>
    <row r="203" spans="1:37" s="5" customFormat="1" ht="97" customHeight="1">
      <c r="A203" s="5">
        <f>VLOOKUP(B203,'Loyd List 1-190 - Edit'!$P$1:$R$219,3,FALSE)</f>
        <v>54</v>
      </c>
      <c r="B203" s="5">
        <f t="shared" si="88"/>
        <v>92</v>
      </c>
      <c r="C203" s="157" t="s">
        <v>1507</v>
      </c>
      <c r="D203" s="6" t="s">
        <v>1494</v>
      </c>
      <c r="E203" s="156" t="s">
        <v>925</v>
      </c>
      <c r="F203" s="5" t="s">
        <v>902</v>
      </c>
      <c r="G203" s="5" t="s">
        <v>1390</v>
      </c>
      <c r="H203" s="5" t="s">
        <v>1196</v>
      </c>
      <c r="I203" s="5">
        <f t="shared" si="84"/>
        <v>1973</v>
      </c>
      <c r="J203" s="5" t="str">
        <f t="shared" si="89"/>
        <v/>
      </c>
      <c r="K203" s="152"/>
      <c r="L203" s="7" t="str">
        <f t="shared" si="85"/>
        <v>23/06/1973</v>
      </c>
      <c r="M203" s="8">
        <v>26838</v>
      </c>
      <c r="N203" s="7"/>
      <c r="O203" s="7"/>
      <c r="P203" s="181" t="str">
        <f t="shared" si="90"/>
        <v/>
      </c>
      <c r="Q203" s="153" t="str">
        <f t="shared" si="83"/>
        <v>92b</v>
      </c>
      <c r="R203" s="180" t="str">
        <f t="shared" si="91"/>
        <v/>
      </c>
      <c r="S203" s="25" t="s">
        <v>3245</v>
      </c>
      <c r="T203" s="5">
        <f t="shared" si="92"/>
        <v>7</v>
      </c>
      <c r="U203" s="5">
        <f t="shared" si="93"/>
        <v>4</v>
      </c>
      <c r="V203" s="5">
        <f>VLOOKUP(B203,'Loyd List 1-190 - Edit'!$A$2:$B$220,2,FALSE)</f>
        <v>5</v>
      </c>
      <c r="W203" s="155">
        <f t="shared" si="94"/>
        <v>2</v>
      </c>
      <c r="X203" s="105" t="s">
        <v>4100</v>
      </c>
      <c r="Y203" s="105"/>
      <c r="Z203" s="164" t="s">
        <v>4102</v>
      </c>
      <c r="AA203" s="6">
        <v>209</v>
      </c>
      <c r="AB203" s="5">
        <f t="shared" si="86"/>
        <v>59</v>
      </c>
      <c r="AC203" s="5">
        <f t="shared" si="101"/>
        <v>2059</v>
      </c>
      <c r="AD203" s="97" t="str">
        <f t="shared" si="95"/>
        <v>92bb</v>
      </c>
      <c r="AE203" s="5" t="str">
        <f t="shared" si="96"/>
        <v>Benjamin Robert Louis TATTON-BROWN (1973 - )</v>
      </c>
      <c r="AF203" s="5" t="str">
        <f t="shared" si="97"/>
        <v>Ben TATTON-BROWN (7th &amp; 92)</v>
      </c>
      <c r="AG203" s="110" t="str">
        <f t="shared" si="98"/>
        <v>Male</v>
      </c>
      <c r="AH203" s="5" t="str">
        <f t="shared" si="99"/>
        <v>7th</v>
      </c>
      <c r="AI203" s="5" t="str">
        <f t="shared" si="87"/>
        <v xml:space="preserve">Wife: Elfi Helene Artero (b. 19/12/1974, ). </v>
      </c>
      <c r="AJ203" s="105" t="str">
        <f t="shared" si="102"/>
        <v>Male. b. 23/06/1973 Baptised Jul 1973 at the Cathedral, Aix en Provence. Ben married Elfi on10.08.2002 at St Jean Baptiste church, St Jean de Luz, France. Children: Twins Felix Edgar Oliver and Marius Cesar Fabien TATTON-BROWN born 07/10/2004 and Poppy May TATTON-BROWN 12/09/2008.</v>
      </c>
      <c r="AK203" s="105" t="str">
        <f t="shared" si="100"/>
        <v>b. 23/06/1973</v>
      </c>
    </row>
    <row r="204" spans="1:37" s="5" customFormat="1" ht="68">
      <c r="A204" s="5">
        <f>VLOOKUP(B204,'Loyd List 1-190 - Edit'!$P$1:$R$219,3,FALSE)</f>
        <v>54</v>
      </c>
      <c r="B204" s="5">
        <f t="shared" si="88"/>
        <v>92</v>
      </c>
      <c r="C204" s="157" t="s">
        <v>1508</v>
      </c>
      <c r="D204" s="6" t="s">
        <v>1494</v>
      </c>
      <c r="E204" s="156" t="s">
        <v>946</v>
      </c>
      <c r="F204" s="5" t="s">
        <v>854</v>
      </c>
      <c r="I204" s="5">
        <f t="shared" si="84"/>
        <v>1983</v>
      </c>
      <c r="J204" s="5" t="str">
        <f t="shared" si="89"/>
        <v/>
      </c>
      <c r="K204" s="152"/>
      <c r="L204" s="7" t="str">
        <f t="shared" si="85"/>
        <v>10/04/1983</v>
      </c>
      <c r="M204" s="8">
        <v>30416</v>
      </c>
      <c r="N204" s="7"/>
      <c r="O204" s="7"/>
      <c r="P204" s="181" t="str">
        <f t="shared" si="90"/>
        <v/>
      </c>
      <c r="Q204" s="153" t="str">
        <f t="shared" si="83"/>
        <v>92b</v>
      </c>
      <c r="R204" s="180" t="str">
        <f t="shared" si="91"/>
        <v/>
      </c>
      <c r="S204" s="25" t="s">
        <v>3244</v>
      </c>
      <c r="T204" s="5">
        <f t="shared" si="92"/>
        <v>7</v>
      </c>
      <c r="U204" s="5">
        <f t="shared" si="93"/>
        <v>4</v>
      </c>
      <c r="V204" s="5">
        <f>VLOOKUP(B204,'Loyd List 1-190 - Edit'!$A$2:$B$220,2,FALSE)</f>
        <v>5</v>
      </c>
      <c r="W204" s="155">
        <f t="shared" si="94"/>
        <v>2</v>
      </c>
      <c r="X204" s="105" t="s">
        <v>3639</v>
      </c>
      <c r="Y204" s="105" t="s">
        <v>3640</v>
      </c>
      <c r="Z204" s="164" t="s">
        <v>3641</v>
      </c>
      <c r="AA204" s="6">
        <v>210</v>
      </c>
      <c r="AB204" s="5">
        <f t="shared" si="86"/>
        <v>60</v>
      </c>
      <c r="AC204" s="5">
        <f t="shared" si="101"/>
        <v>2060</v>
      </c>
      <c r="AD204" s="97" t="str">
        <f t="shared" si="95"/>
        <v>92bc</v>
      </c>
      <c r="AE204" s="5" t="str">
        <f t="shared" si="96"/>
        <v>Daisy Maud  TATTON-BROWN (1983 - )</v>
      </c>
      <c r="AF204" s="5" t="str">
        <f t="shared" si="97"/>
        <v>Daisy TATTON-BROWN (7th &amp; 92)</v>
      </c>
      <c r="AG204" s="110" t="str">
        <f t="shared" si="98"/>
        <v>Female</v>
      </c>
      <c r="AH204" s="5" t="str">
        <f t="shared" si="99"/>
        <v>7th</v>
      </c>
      <c r="AI204" s="5" t="str">
        <f t="shared" si="87"/>
        <v>Husband: Oliver BOURNE (born 19/06/1980, ) . Married Oliver on 19/06/2010 at St Jean de Malte church, Aix en Provence, France.</v>
      </c>
      <c r="AJ204" s="105" t="str">
        <f t="shared" si="102"/>
        <v>Female. b. 10/04/1983 Baptised 15 Aug 1983 at the Parish Church, St Jean de Luz, France. 
Children: Rose Henrietta BOURNE (b. 18/04/2014, ), Basil Louis BOURNE (b. 30/01/2016, ), Stanley Eden (b. 04/07/2018, ), Montague Alfred BOURNE (b. 23/11/2020, ).</v>
      </c>
      <c r="AK204" s="105" t="str">
        <f t="shared" si="100"/>
        <v>b. 10/04/1983</v>
      </c>
    </row>
    <row r="205" spans="1:37" s="5" customFormat="1" ht="69">
      <c r="A205" s="5">
        <f>VLOOKUP(B205,'Loyd List 1-190 - Edit'!$P$1:$R$219,3,FALSE)</f>
        <v>54</v>
      </c>
      <c r="B205" s="5">
        <f t="shared" si="88"/>
        <v>92</v>
      </c>
      <c r="C205" s="157" t="s">
        <v>1509</v>
      </c>
      <c r="D205" s="6" t="s">
        <v>1494</v>
      </c>
      <c r="E205" s="156" t="s">
        <v>1517</v>
      </c>
      <c r="F205" s="5" t="s">
        <v>1518</v>
      </c>
      <c r="G205" s="5" t="s">
        <v>1505</v>
      </c>
      <c r="I205" s="5">
        <f t="shared" si="84"/>
        <v>1985</v>
      </c>
      <c r="J205" s="5" t="str">
        <f t="shared" si="89"/>
        <v/>
      </c>
      <c r="K205" s="152"/>
      <c r="L205" s="7" t="str">
        <f t="shared" si="85"/>
        <v>06/07/1985</v>
      </c>
      <c r="M205" s="8">
        <v>31234</v>
      </c>
      <c r="N205" s="7"/>
      <c r="O205" s="7"/>
      <c r="P205" s="181" t="str">
        <f t="shared" si="90"/>
        <v/>
      </c>
      <c r="Q205" s="153" t="str">
        <f t="shared" si="83"/>
        <v>92b</v>
      </c>
      <c r="R205" s="180" t="str">
        <f t="shared" si="91"/>
        <v/>
      </c>
      <c r="S205" s="25" t="s">
        <v>3245</v>
      </c>
      <c r="T205" s="5">
        <f t="shared" si="92"/>
        <v>7</v>
      </c>
      <c r="U205" s="5">
        <f t="shared" si="93"/>
        <v>4</v>
      </c>
      <c r="V205" s="5">
        <f>VLOOKUP(B205,'Loyd List 1-190 - Edit'!$A$2:$B$220,2,FALSE)</f>
        <v>5</v>
      </c>
      <c r="W205" s="155">
        <f t="shared" si="94"/>
        <v>2</v>
      </c>
      <c r="X205" s="105" t="s">
        <v>3646</v>
      </c>
      <c r="Y205" s="105" t="s">
        <v>3647</v>
      </c>
      <c r="Z205" s="164" t="s">
        <v>3648</v>
      </c>
      <c r="AA205" s="6">
        <v>211</v>
      </c>
      <c r="AB205" s="5">
        <f t="shared" si="86"/>
        <v>61</v>
      </c>
      <c r="AC205" s="5">
        <f t="shared" si="101"/>
        <v>2061</v>
      </c>
      <c r="AD205" s="97" t="str">
        <f t="shared" si="95"/>
        <v>92bd</v>
      </c>
      <c r="AE205" s="5" t="str">
        <f t="shared" si="96"/>
        <v>Gregory Mark Eden TATTON-BROWN (1985 - )</v>
      </c>
      <c r="AF205" s="5" t="str">
        <f t="shared" si="97"/>
        <v>Gregory TATTON-BROWN (7th &amp; 92)</v>
      </c>
      <c r="AG205" s="110" t="str">
        <f t="shared" si="98"/>
        <v>Male</v>
      </c>
      <c r="AH205" s="5" t="str">
        <f t="shared" si="99"/>
        <v>7th</v>
      </c>
      <c r="AI205" s="5" t="str">
        <f t="shared" si="87"/>
        <v>Wife: Solene Claire Monique Marie de Rancourt de Mimerand (b. 17/10/1984, ). Marrid Solene on 02/07/2011 at at St Jean de Malte church, Aix en Provence, France.</v>
      </c>
      <c r="AJ205" s="105" t="str">
        <f t="shared" si="102"/>
        <v>Male. b. 06/07/1985 Baptised 15 Aug 1985 at the Parish Church, St Jean de Luz, France. 
Children: Alice Clementine Mary TATTON-BROWN (b. 20.10.2013, ), 
Théodore Eden Louis TATTON-BROWN (b. 09/06/2018, ), 
Oscar Arthur Alexandre TATTON-BROWN (b. 12/02/2021, )</v>
      </c>
      <c r="AK205" s="105" t="str">
        <f t="shared" si="100"/>
        <v>b. 06/07/1985</v>
      </c>
    </row>
    <row r="206" spans="1:37" s="5" customFormat="1" ht="20">
      <c r="A206" s="5">
        <f>VLOOKUP(B206,'Loyd List 1-190 - Edit'!$P$1:$R$219,3,FALSE)</f>
        <v>54</v>
      </c>
      <c r="B206" s="5">
        <f t="shared" si="88"/>
        <v>92</v>
      </c>
      <c r="C206" s="157" t="s">
        <v>1524</v>
      </c>
      <c r="D206" s="6" t="s">
        <v>1523</v>
      </c>
      <c r="E206" s="156" t="s">
        <v>1483</v>
      </c>
      <c r="F206" s="5" t="s">
        <v>830</v>
      </c>
      <c r="G206" s="5" t="s">
        <v>902</v>
      </c>
      <c r="I206" s="5">
        <f t="shared" si="84"/>
        <v>1982</v>
      </c>
      <c r="J206" s="5" t="str">
        <f t="shared" si="89"/>
        <v/>
      </c>
      <c r="K206" s="152"/>
      <c r="L206" s="7" t="str">
        <f t="shared" si="85"/>
        <v>20/02/1982</v>
      </c>
      <c r="M206" s="8">
        <v>30002</v>
      </c>
      <c r="N206" s="7"/>
      <c r="O206" s="7"/>
      <c r="P206" s="181" t="str">
        <f t="shared" si="90"/>
        <v/>
      </c>
      <c r="Q206" s="153" t="str">
        <f t="shared" si="83"/>
        <v>92d</v>
      </c>
      <c r="R206" s="180" t="str">
        <f t="shared" si="91"/>
        <v/>
      </c>
      <c r="S206" s="25" t="s">
        <v>3245</v>
      </c>
      <c r="T206" s="5">
        <f t="shared" si="92"/>
        <v>7</v>
      </c>
      <c r="U206" s="5">
        <f t="shared" si="93"/>
        <v>4</v>
      </c>
      <c r="V206" s="5">
        <f>VLOOKUP(B206,'Loyd List 1-190 - Edit'!$A$2:$B$220,2,FALSE)</f>
        <v>5</v>
      </c>
      <c r="W206" s="155">
        <f t="shared" si="94"/>
        <v>2</v>
      </c>
      <c r="X206" s="105"/>
      <c r="Y206" s="105"/>
      <c r="Z206" s="164" t="s">
        <v>2645</v>
      </c>
      <c r="AA206" s="6">
        <v>214</v>
      </c>
      <c r="AB206" s="5">
        <f t="shared" si="86"/>
        <v>62</v>
      </c>
      <c r="AC206" s="5">
        <f t="shared" si="101"/>
        <v>2062</v>
      </c>
      <c r="AD206" s="97" t="str">
        <f t="shared" si="95"/>
        <v>92da</v>
      </c>
      <c r="AE206" s="5" t="str">
        <f t="shared" si="96"/>
        <v>Jonathan William Robert SURTEES (1982 - )</v>
      </c>
      <c r="AF206" s="5" t="str">
        <f t="shared" si="97"/>
        <v>Jonathan SURTEES (7th &amp; 92)</v>
      </c>
      <c r="AG206" s="110" t="str">
        <f t="shared" si="98"/>
        <v>Male</v>
      </c>
      <c r="AH206" s="5" t="str">
        <f t="shared" si="99"/>
        <v>7th</v>
      </c>
      <c r="AI206" s="5" t="str">
        <f t="shared" si="87"/>
        <v>Unmarried</v>
      </c>
      <c r="AJ206" s="105" t="str">
        <f t="shared" si="102"/>
        <v>Male. b. 20/02/1982 Baptised 16 May 1982 at Clyst St. George Church, Nr. Exeter, Devon.</v>
      </c>
      <c r="AK206" s="105" t="str">
        <f t="shared" si="100"/>
        <v>b. 20/02/1982</v>
      </c>
    </row>
    <row r="207" spans="1:37" s="5" customFormat="1" ht="20">
      <c r="A207" s="5">
        <f>VLOOKUP(B207,'Loyd List 1-190 - Edit'!$P$1:$R$219,3,FALSE)</f>
        <v>54</v>
      </c>
      <c r="B207" s="5">
        <f t="shared" si="88"/>
        <v>92</v>
      </c>
      <c r="C207" s="157" t="s">
        <v>1525</v>
      </c>
      <c r="D207" s="6" t="s">
        <v>1523</v>
      </c>
      <c r="E207" s="156" t="s">
        <v>1526</v>
      </c>
      <c r="F207" s="5" t="s">
        <v>853</v>
      </c>
      <c r="G207" s="5" t="s">
        <v>899</v>
      </c>
      <c r="I207" s="5">
        <f t="shared" si="84"/>
        <v>1987</v>
      </c>
      <c r="J207" s="5" t="str">
        <f t="shared" si="89"/>
        <v/>
      </c>
      <c r="K207" s="152"/>
      <c r="L207" s="7" t="str">
        <f t="shared" si="85"/>
        <v>08/02/1987</v>
      </c>
      <c r="M207" s="8">
        <v>31816</v>
      </c>
      <c r="N207" s="7"/>
      <c r="O207" s="7"/>
      <c r="P207" s="181" t="str">
        <f t="shared" si="90"/>
        <v/>
      </c>
      <c r="Q207" s="153" t="str">
        <f t="shared" si="83"/>
        <v>92d</v>
      </c>
      <c r="R207" s="180" t="str">
        <f t="shared" si="91"/>
        <v/>
      </c>
      <c r="S207" s="25" t="s">
        <v>3244</v>
      </c>
      <c r="T207" s="5">
        <f t="shared" si="92"/>
        <v>7</v>
      </c>
      <c r="U207" s="5">
        <f t="shared" si="93"/>
        <v>4</v>
      </c>
      <c r="V207" s="5">
        <f>VLOOKUP(B207,'Loyd List 1-190 - Edit'!$A$2:$B$220,2,FALSE)</f>
        <v>5</v>
      </c>
      <c r="W207" s="155">
        <f t="shared" si="94"/>
        <v>2</v>
      </c>
      <c r="X207" s="105"/>
      <c r="Y207" s="105"/>
      <c r="Z207" s="164" t="s">
        <v>2646</v>
      </c>
      <c r="AA207" s="6">
        <v>215</v>
      </c>
      <c r="AB207" s="5">
        <f t="shared" si="86"/>
        <v>63</v>
      </c>
      <c r="AC207" s="5">
        <f t="shared" si="101"/>
        <v>2063</v>
      </c>
      <c r="AD207" s="97" t="str">
        <f t="shared" si="95"/>
        <v>92db</v>
      </c>
      <c r="AE207" s="5" t="str">
        <f t="shared" si="96"/>
        <v>Rosamund Daphne Patricia SURTEES (1987 - )</v>
      </c>
      <c r="AF207" s="5" t="str">
        <f t="shared" si="97"/>
        <v>Rosamund SURTEES (7th &amp; 92)</v>
      </c>
      <c r="AG207" s="110" t="str">
        <f t="shared" si="98"/>
        <v>Female</v>
      </c>
      <c r="AH207" s="5" t="str">
        <f t="shared" si="99"/>
        <v>7th</v>
      </c>
      <c r="AI207" s="5" t="str">
        <f t="shared" si="87"/>
        <v>Unmarried</v>
      </c>
      <c r="AJ207" s="105" t="str">
        <f t="shared" si="102"/>
        <v>Female. b. 08/02/1987 Baptised 24 May 1987 at Salisbury Cathedral.</v>
      </c>
      <c r="AK207" s="105" t="str">
        <f t="shared" si="100"/>
        <v>b. 08/02/1987</v>
      </c>
    </row>
    <row r="208" spans="1:37" s="5" customFormat="1" ht="35">
      <c r="A208" s="5">
        <f>VLOOKUP(B208,'Loyd List 1-190 - Edit'!$P$1:$R$219,3,FALSE)</f>
        <v>56</v>
      </c>
      <c r="B208" s="5">
        <f t="shared" si="88"/>
        <v>95</v>
      </c>
      <c r="C208" s="157" t="s">
        <v>1537</v>
      </c>
      <c r="D208" s="156" t="s">
        <v>1532</v>
      </c>
      <c r="E208" s="156" t="s">
        <v>1536</v>
      </c>
      <c r="F208" s="5" t="s">
        <v>1533</v>
      </c>
      <c r="I208" s="5">
        <f t="shared" si="84"/>
        <v>1983</v>
      </c>
      <c r="J208" s="5" t="str">
        <f t="shared" si="89"/>
        <v/>
      </c>
      <c r="K208" s="152"/>
      <c r="L208" s="7" t="str">
        <f t="shared" si="85"/>
        <v>27/08/1983</v>
      </c>
      <c r="M208" s="8">
        <v>30555</v>
      </c>
      <c r="N208" s="7">
        <v>41181</v>
      </c>
      <c r="O208" s="7"/>
      <c r="P208" s="181" t="str">
        <f t="shared" si="90"/>
        <v/>
      </c>
      <c r="Q208" s="153" t="str">
        <f t="shared" si="83"/>
        <v>95b</v>
      </c>
      <c r="R208" s="180" t="str">
        <f t="shared" si="91"/>
        <v/>
      </c>
      <c r="S208" s="25" t="s">
        <v>3245</v>
      </c>
      <c r="T208" s="5">
        <f t="shared" si="92"/>
        <v>7</v>
      </c>
      <c r="U208" s="5">
        <f t="shared" si="93"/>
        <v>4</v>
      </c>
      <c r="V208" s="5">
        <f>VLOOKUP(B208,'Loyd List 1-190 - Edit'!$A$2:$B$220,2,FALSE)</f>
        <v>5</v>
      </c>
      <c r="W208" s="155">
        <f t="shared" si="94"/>
        <v>2</v>
      </c>
      <c r="X208" s="105" t="s">
        <v>3593</v>
      </c>
      <c r="Y208" s="105" t="s">
        <v>3724</v>
      </c>
      <c r="Z208" s="164" t="s">
        <v>2653</v>
      </c>
      <c r="AA208" s="6">
        <v>218</v>
      </c>
      <c r="AB208" s="5">
        <f t="shared" si="86"/>
        <v>64</v>
      </c>
      <c r="AC208" s="5">
        <f t="shared" si="101"/>
        <v>2064</v>
      </c>
      <c r="AD208" s="97" t="str">
        <f t="shared" si="95"/>
        <v>95ba</v>
      </c>
      <c r="AE208" s="5" t="str">
        <f t="shared" si="96"/>
        <v>THE Hon William Guy  VESTEY (1983 - )</v>
      </c>
      <c r="AF208" s="5" t="str">
        <f t="shared" si="97"/>
        <v>THE Hon William VESTEY (7th &amp; 95)</v>
      </c>
      <c r="AG208" s="110" t="str">
        <f t="shared" si="98"/>
        <v>Male</v>
      </c>
      <c r="AH208" s="5" t="str">
        <f t="shared" si="99"/>
        <v>7th</v>
      </c>
      <c r="AI208" s="5" t="str">
        <f t="shared" si="87"/>
        <v>Wife: Violet Gweneth Henderson. Married 29/09/2012.</v>
      </c>
      <c r="AJ208" s="105" t="str">
        <f t="shared" si="102"/>
        <v>Male. b. 27/08/1983 Baptised at St Leonard’s, Stowell Park.</v>
      </c>
      <c r="AK208" s="105" t="str">
        <f t="shared" si="100"/>
        <v>b. 27/08/1983</v>
      </c>
    </row>
    <row r="209" spans="1:37" s="5" customFormat="1" ht="35">
      <c r="A209" s="5">
        <f>VLOOKUP(B209,'Loyd List 1-190 - Edit'!$P$1:$R$219,3,FALSE)</f>
        <v>56</v>
      </c>
      <c r="B209" s="5">
        <f t="shared" si="88"/>
        <v>95</v>
      </c>
      <c r="C209" s="157" t="s">
        <v>1538</v>
      </c>
      <c r="D209" s="156" t="s">
        <v>1532</v>
      </c>
      <c r="E209" s="156" t="s">
        <v>1535</v>
      </c>
      <c r="F209" s="5" t="s">
        <v>913</v>
      </c>
      <c r="I209" s="5">
        <f t="shared" si="84"/>
        <v>1985</v>
      </c>
      <c r="J209" s="5" t="str">
        <f t="shared" si="89"/>
        <v/>
      </c>
      <c r="K209" s="152"/>
      <c r="L209" s="7" t="str">
        <f t="shared" si="85"/>
        <v>11/07/1985</v>
      </c>
      <c r="M209" s="8">
        <v>31239</v>
      </c>
      <c r="N209" s="7"/>
      <c r="O209" s="7"/>
      <c r="P209" s="181" t="str">
        <f t="shared" si="90"/>
        <v/>
      </c>
      <c r="Q209" s="153" t="str">
        <f t="shared" ref="Q209:Q242" si="103">MID(C209,1,LEN(C209)-1)</f>
        <v>95b</v>
      </c>
      <c r="R209" s="180" t="str">
        <f t="shared" si="91"/>
        <v/>
      </c>
      <c r="S209" s="25" t="s">
        <v>3245</v>
      </c>
      <c r="T209" s="5">
        <f t="shared" si="92"/>
        <v>7</v>
      </c>
      <c r="U209" s="5">
        <f t="shared" si="93"/>
        <v>4</v>
      </c>
      <c r="V209" s="5">
        <f>VLOOKUP(B209,'Loyd List 1-190 - Edit'!$A$2:$B$220,2,FALSE)</f>
        <v>5</v>
      </c>
      <c r="W209" s="155">
        <f t="shared" si="94"/>
        <v>2</v>
      </c>
      <c r="X209" s="105" t="s">
        <v>3453</v>
      </c>
      <c r="Y209" s="105" t="s">
        <v>3733</v>
      </c>
      <c r="Z209" s="164" t="s">
        <v>2653</v>
      </c>
      <c r="AA209" s="6">
        <v>219</v>
      </c>
      <c r="AB209" s="5">
        <f t="shared" si="86"/>
        <v>65</v>
      </c>
      <c r="AC209" s="5">
        <f t="shared" si="101"/>
        <v>2065</v>
      </c>
      <c r="AD209" s="97" t="str">
        <f t="shared" si="95"/>
        <v>95bb</v>
      </c>
      <c r="AE209" s="5" t="str">
        <f t="shared" si="96"/>
        <v>THE Hon Arthur George  VESTEY (1985 - )</v>
      </c>
      <c r="AF209" s="5" t="str">
        <f t="shared" si="97"/>
        <v>THE Hon Arthur VESTEY (7th &amp; 95)</v>
      </c>
      <c r="AG209" s="110" t="str">
        <f t="shared" si="98"/>
        <v>Male</v>
      </c>
      <c r="AH209" s="5" t="str">
        <f t="shared" si="99"/>
        <v>7th</v>
      </c>
      <c r="AI209" s="5" t="str">
        <f t="shared" si="87"/>
        <v>Wife: The Honourable Martha A. Beaumont.. Married 12/02/1986.</v>
      </c>
      <c r="AJ209" s="105" t="str">
        <f t="shared" si="102"/>
        <v>Male. b. 11/07/1985 Baptised at St Leonard’s, Stowell Park.</v>
      </c>
      <c r="AK209" s="105" t="str">
        <f t="shared" si="100"/>
        <v>b. 11/07/1985</v>
      </c>
    </row>
    <row r="210" spans="1:37" s="5" customFormat="1" ht="19">
      <c r="A210" s="5">
        <f>VLOOKUP(B210,'Loyd List 1-190 - Edit'!$P$1:$R$219,3,FALSE)</f>
        <v>56</v>
      </c>
      <c r="B210" s="5">
        <f t="shared" si="88"/>
        <v>95</v>
      </c>
      <c r="C210" s="157" t="s">
        <v>1539</v>
      </c>
      <c r="D210" s="156" t="s">
        <v>1532</v>
      </c>
      <c r="E210" s="156" t="s">
        <v>1534</v>
      </c>
      <c r="F210" s="5" t="s">
        <v>921</v>
      </c>
      <c r="I210" s="5">
        <f t="shared" ref="I210:I243" si="104">IF(L210="","",VALUE(RIGHT(L210,4)))</f>
        <v>1992</v>
      </c>
      <c r="J210" s="5" t="str">
        <f t="shared" si="89"/>
        <v/>
      </c>
      <c r="K210" s="152"/>
      <c r="L210" s="7" t="str">
        <f t="shared" ref="L210:L243" si="105">IF(M210="","",TEXT(M210,"dd/mm/yyyy"))</f>
        <v>27/04/1992</v>
      </c>
      <c r="M210" s="8">
        <v>33721</v>
      </c>
      <c r="N210" s="7"/>
      <c r="O210" s="7"/>
      <c r="P210" s="181" t="str">
        <f t="shared" si="90"/>
        <v/>
      </c>
      <c r="Q210" s="153" t="str">
        <f t="shared" si="103"/>
        <v>95b</v>
      </c>
      <c r="R210" s="180" t="str">
        <f t="shared" si="91"/>
        <v/>
      </c>
      <c r="S210" s="25" t="s">
        <v>3244</v>
      </c>
      <c r="T210" s="5">
        <f t="shared" si="92"/>
        <v>7</v>
      </c>
      <c r="U210" s="5">
        <f t="shared" si="93"/>
        <v>4</v>
      </c>
      <c r="V210" s="5">
        <f>VLOOKUP(B210,'Loyd List 1-190 - Edit'!$A$2:$B$220,2,FALSE)</f>
        <v>5</v>
      </c>
      <c r="W210" s="155">
        <f t="shared" si="94"/>
        <v>2</v>
      </c>
      <c r="X210" s="105" t="s">
        <v>3725</v>
      </c>
      <c r="Y210" s="105" t="s">
        <v>3734</v>
      </c>
      <c r="Z210" s="164" t="s">
        <v>2653</v>
      </c>
      <c r="AA210" s="6">
        <v>220</v>
      </c>
      <c r="AB210" s="5">
        <f t="shared" ref="AB210:AB274" si="106">AB209+1</f>
        <v>66</v>
      </c>
      <c r="AC210" s="5">
        <f t="shared" si="101"/>
        <v>2066</v>
      </c>
      <c r="AD210" s="97" t="str">
        <f t="shared" si="95"/>
        <v>95bc</v>
      </c>
      <c r="AE210" s="5" t="str">
        <f t="shared" si="96"/>
        <v>The Hon Mary Henrietta  VESTEY (1992 - )</v>
      </c>
      <c r="AF210" s="5" t="str">
        <f t="shared" si="97"/>
        <v>The Hon Mary VESTEY (7th &amp; 95)</v>
      </c>
      <c r="AG210" s="110" t="str">
        <f t="shared" si="98"/>
        <v>Female</v>
      </c>
      <c r="AH210" s="5" t="str">
        <f t="shared" si="99"/>
        <v>7th</v>
      </c>
      <c r="AI210" s="5" t="str">
        <f t="shared" ref="AI210:AI243" si="107">IF(X210="","Unmarried",IF(AG210="Male",_xlfn.CONCAT("Wife: ",X210,". ",Y210),_xlfn.CONCAT("Husband: ",X210,". ",Y210)))</f>
        <v>Husband: Edward Cookson. Married 01/05/1988.</v>
      </c>
      <c r="AJ210" s="105" t="str">
        <f t="shared" si="102"/>
        <v>Female. b. 27/04/1992 Baptised at St Leonard’s, Stowell Park.</v>
      </c>
      <c r="AK210" s="105" t="str">
        <f t="shared" si="100"/>
        <v>b. 27/04/1992</v>
      </c>
    </row>
    <row r="211" spans="1:37" s="5" customFormat="1" ht="51">
      <c r="A211" s="5">
        <f>VLOOKUP(B211,'Loyd List 1-190 - Edit'!$P$1:$R$219,3,FALSE)</f>
        <v>53</v>
      </c>
      <c r="B211" s="5">
        <f>VALUE(LEFT(C211,2))</f>
        <v>97</v>
      </c>
      <c r="C211" s="157" t="s">
        <v>1545</v>
      </c>
      <c r="D211" s="6" t="s">
        <v>1541</v>
      </c>
      <c r="E211" s="156" t="s">
        <v>924</v>
      </c>
      <c r="F211" s="5" t="s">
        <v>902</v>
      </c>
      <c r="G211" s="5" t="s">
        <v>1497</v>
      </c>
      <c r="I211" s="5">
        <f t="shared" si="104"/>
        <v>1991</v>
      </c>
      <c r="J211" s="5" t="str">
        <f t="shared" ref="J211:J244" si="108">IF(O211="","",VALUE(RIGHT(TEXT(O211,"dd/mm/yyyy"),4)))</f>
        <v/>
      </c>
      <c r="K211" s="152"/>
      <c r="L211" s="7" t="str">
        <f t="shared" si="105"/>
        <v>17/03/1991</v>
      </c>
      <c r="M211" s="8">
        <v>33314</v>
      </c>
      <c r="N211" s="7"/>
      <c r="O211" s="7"/>
      <c r="P211" s="181" t="str">
        <f t="shared" si="90"/>
        <v/>
      </c>
      <c r="Q211" s="153" t="str">
        <f t="shared" si="103"/>
        <v>97a</v>
      </c>
      <c r="R211" s="180" t="str">
        <f t="shared" si="91"/>
        <v/>
      </c>
      <c r="S211" s="25" t="s">
        <v>3245</v>
      </c>
      <c r="T211" s="5">
        <f t="shared" si="92"/>
        <v>7</v>
      </c>
      <c r="U211" s="5">
        <f t="shared" si="93"/>
        <v>4</v>
      </c>
      <c r="V211" s="5">
        <f>VLOOKUP(B211,'Loyd List 1-190 - Edit'!$A$2:$B$220,2,FALSE)</f>
        <v>5</v>
      </c>
      <c r="W211" s="155">
        <f t="shared" si="94"/>
        <v>2</v>
      </c>
      <c r="X211" s="105"/>
      <c r="Y211" s="105"/>
      <c r="Z211" s="164" t="s">
        <v>4085</v>
      </c>
      <c r="AA211" s="6">
        <v>222</v>
      </c>
      <c r="AB211" s="5">
        <f t="shared" si="106"/>
        <v>67</v>
      </c>
      <c r="AC211" s="5">
        <f t="shared" si="101"/>
        <v>2067</v>
      </c>
      <c r="AD211" s="97" t="str">
        <f t="shared" si="95"/>
        <v>97aa</v>
      </c>
      <c r="AE211" s="5" t="str">
        <f t="shared" si="96"/>
        <v>Alexander Robert Loyd SALE (1991 - )</v>
      </c>
      <c r="AF211" s="5" t="str">
        <f t="shared" si="97"/>
        <v>Alexander SALE (7th &amp; 97)</v>
      </c>
      <c r="AG211" s="110" t="str">
        <f t="shared" si="98"/>
        <v>Male</v>
      </c>
      <c r="AH211" s="5" t="str">
        <f t="shared" si="99"/>
        <v>7th</v>
      </c>
      <c r="AI211" s="5" t="str">
        <f t="shared" si="107"/>
        <v>Unmarried</v>
      </c>
      <c r="AJ211" s="105" t="str">
        <f t="shared" si="102"/>
        <v>Male. b. 17/03/1991 Baptised Sep 1991 at St Michael’s, Withington. Educated: Shrewsbury School 2004 - 2009; and Exeter (BSc, Human Bioscience, 2010 - 2013). Career: EY, Chartered accountant 2013 - 2018; UBS, healthcare M&amp;A 2018 onwards.</v>
      </c>
      <c r="AK211" s="105" t="str">
        <f t="shared" si="100"/>
        <v>b. 17/03/1991</v>
      </c>
    </row>
    <row r="212" spans="1:37" s="5" customFormat="1" ht="51">
      <c r="A212" s="5">
        <f>VLOOKUP(B212,'Loyd List 1-190 - Edit'!$P$1:$R$219,3,FALSE)</f>
        <v>53</v>
      </c>
      <c r="B212" s="5">
        <f>VALUE(LEFT(C212,2))</f>
        <v>97</v>
      </c>
      <c r="C212" s="157" t="s">
        <v>1546</v>
      </c>
      <c r="D212" s="6" t="s">
        <v>1541</v>
      </c>
      <c r="E212" s="156" t="s">
        <v>1369</v>
      </c>
      <c r="F212" s="5" t="s">
        <v>811</v>
      </c>
      <c r="G212" s="5" t="s">
        <v>905</v>
      </c>
      <c r="I212" s="5">
        <f t="shared" si="104"/>
        <v>1995</v>
      </c>
      <c r="J212" s="5" t="str">
        <f t="shared" si="108"/>
        <v/>
      </c>
      <c r="K212" s="152"/>
      <c r="L212" s="7" t="str">
        <f t="shared" si="105"/>
        <v>15/09/1995</v>
      </c>
      <c r="M212" s="8">
        <v>34957</v>
      </c>
      <c r="N212" s="7"/>
      <c r="O212" s="7"/>
      <c r="P212" s="181" t="str">
        <f t="shared" si="90"/>
        <v/>
      </c>
      <c r="Q212" s="153" t="str">
        <f t="shared" si="103"/>
        <v>97a</v>
      </c>
      <c r="R212" s="180" t="str">
        <f t="shared" si="91"/>
        <v/>
      </c>
      <c r="S212" s="25" t="s">
        <v>3245</v>
      </c>
      <c r="T212" s="5">
        <f t="shared" si="92"/>
        <v>7</v>
      </c>
      <c r="U212" s="5">
        <f t="shared" si="93"/>
        <v>4</v>
      </c>
      <c r="V212" s="5">
        <f>VLOOKUP(B212,'Loyd List 1-190 - Edit'!$A$2:$B$220,2,FALSE)</f>
        <v>5</v>
      </c>
      <c r="W212" s="155">
        <f t="shared" si="94"/>
        <v>2</v>
      </c>
      <c r="X212" s="105"/>
      <c r="Y212" s="105"/>
      <c r="Z212" s="164" t="s">
        <v>4086</v>
      </c>
      <c r="AA212" s="6">
        <v>223</v>
      </c>
      <c r="AB212" s="5">
        <f t="shared" si="106"/>
        <v>68</v>
      </c>
      <c r="AC212" s="5">
        <f t="shared" si="101"/>
        <v>2068</v>
      </c>
      <c r="AD212" s="97" t="str">
        <f t="shared" si="95"/>
        <v>97ab</v>
      </c>
      <c r="AE212" s="5" t="str">
        <f t="shared" si="96"/>
        <v>Oliver Edward David SALE (1995 - )</v>
      </c>
      <c r="AF212" s="5" t="str">
        <f t="shared" si="97"/>
        <v>Oliver SALE (7th &amp; 97)</v>
      </c>
      <c r="AG212" s="110" t="str">
        <f t="shared" si="98"/>
        <v>Male</v>
      </c>
      <c r="AH212" s="5" t="str">
        <f t="shared" si="99"/>
        <v>7th</v>
      </c>
      <c r="AI212" s="5" t="str">
        <f t="shared" si="107"/>
        <v>Unmarried</v>
      </c>
      <c r="AJ212" s="105" t="str">
        <f t="shared" si="102"/>
        <v>Male. b. 15/09/1995 Baptised Mar 1996 at St Michael’s, Withington. Educated: Eton College 2009 - 2014; &amp; Oxford (MSc, Physics, 2014 - 2018). Tsing Hua University in Beijing, Mandarin 2018 - 2019. Lazard, investment banking, 2019 to present</v>
      </c>
      <c r="AK212" s="105" t="str">
        <f t="shared" si="100"/>
        <v>b. 15/09/1995</v>
      </c>
    </row>
    <row r="213" spans="1:37" s="5" customFormat="1" ht="85">
      <c r="A213" s="5">
        <f>VLOOKUP(B213,'Loyd List 1-190 - Edit'!$P$1:$R$219,3,FALSE)</f>
        <v>53</v>
      </c>
      <c r="B213" s="5">
        <f>VALUE(LEFT(C213,2))</f>
        <v>97</v>
      </c>
      <c r="C213" s="157" t="s">
        <v>1555</v>
      </c>
      <c r="D213" s="6" t="s">
        <v>1541</v>
      </c>
      <c r="E213" s="156" t="s">
        <v>1060</v>
      </c>
      <c r="F213" s="5" t="s">
        <v>852</v>
      </c>
      <c r="G213" s="5" t="s">
        <v>804</v>
      </c>
      <c r="I213" s="5">
        <f t="shared" si="104"/>
        <v>1995</v>
      </c>
      <c r="J213" s="5" t="str">
        <f t="shared" si="108"/>
        <v/>
      </c>
      <c r="K213" s="152"/>
      <c r="L213" s="7" t="str">
        <f t="shared" si="105"/>
        <v>21/08/1995</v>
      </c>
      <c r="M213" s="8">
        <v>34932</v>
      </c>
      <c r="N213" s="7"/>
      <c r="O213" s="7"/>
      <c r="P213" s="181" t="str">
        <f t="shared" si="90"/>
        <v/>
      </c>
      <c r="Q213" s="153" t="str">
        <f t="shared" si="103"/>
        <v>97e</v>
      </c>
      <c r="R213" s="180" t="str">
        <f t="shared" si="91"/>
        <v/>
      </c>
      <c r="S213" s="25" t="s">
        <v>3245</v>
      </c>
      <c r="T213" s="5">
        <f t="shared" si="92"/>
        <v>7</v>
      </c>
      <c r="U213" s="5">
        <f t="shared" si="93"/>
        <v>4</v>
      </c>
      <c r="V213" s="5">
        <f>VLOOKUP(B213,'Loyd List 1-190 - Edit'!$A$2:$B$220,2,FALSE)</f>
        <v>5</v>
      </c>
      <c r="W213" s="155">
        <f t="shared" si="94"/>
        <v>2</v>
      </c>
      <c r="X213" s="105"/>
      <c r="Y213" s="105"/>
      <c r="Z213" s="164" t="s">
        <v>3946</v>
      </c>
      <c r="AA213" s="6">
        <v>228</v>
      </c>
      <c r="AB213" s="5">
        <f t="shared" si="106"/>
        <v>69</v>
      </c>
      <c r="AC213" s="5">
        <f t="shared" si="101"/>
        <v>2069</v>
      </c>
      <c r="AD213" s="97" t="str">
        <f t="shared" si="95"/>
        <v>97ea</v>
      </c>
      <c r="AE213" s="5" t="str">
        <f t="shared" si="96"/>
        <v>Frank Thomas Arthur SALE (1995 - )</v>
      </c>
      <c r="AF213" s="5" t="str">
        <f t="shared" si="97"/>
        <v>Frank SALE (7th &amp; 97)</v>
      </c>
      <c r="AG213" s="110" t="str">
        <f t="shared" si="98"/>
        <v>Male</v>
      </c>
      <c r="AH213" s="5" t="str">
        <f t="shared" si="99"/>
        <v>7th</v>
      </c>
      <c r="AI213" s="5" t="str">
        <f t="shared" si="107"/>
        <v>Unmarried</v>
      </c>
      <c r="AJ213" s="105" t="str">
        <f t="shared" si="102"/>
        <v>Male. b. 21/08/1995 Baptised 5 Jan 1996 at St George’s, Brailes, Warwickshire. Educated: Maidwell Hall 2003-2008; Harrow School 2008-2013; University of Manchester (BA Politics) 2014-2017. Joined HBA Media in 2017. Managing Director of HBA Media 2020 to date. HBA Media is the leading owner of media rights for the world's top international flat horse races.</v>
      </c>
      <c r="AK213" s="105" t="str">
        <f t="shared" si="100"/>
        <v>b. 21/08/1995</v>
      </c>
    </row>
    <row r="214" spans="1:37" s="5" customFormat="1" ht="51">
      <c r="A214" s="5">
        <f>VLOOKUP(B214,'Loyd List 1-190 - Edit'!$P$1:$R$219,3,FALSE)</f>
        <v>53</v>
      </c>
      <c r="B214" s="5">
        <f>VALUE(LEFT(C214,2))</f>
        <v>97</v>
      </c>
      <c r="C214" s="157" t="s">
        <v>1556</v>
      </c>
      <c r="D214" s="6" t="s">
        <v>1541</v>
      </c>
      <c r="E214" s="156" t="s">
        <v>1553</v>
      </c>
      <c r="F214" s="5" t="s">
        <v>1554</v>
      </c>
      <c r="H214" s="5" t="s">
        <v>4090</v>
      </c>
      <c r="I214" s="5">
        <f t="shared" si="104"/>
        <v>1997</v>
      </c>
      <c r="J214" s="5" t="str">
        <f t="shared" si="108"/>
        <v/>
      </c>
      <c r="K214" s="152"/>
      <c r="L214" s="7" t="str">
        <f t="shared" si="105"/>
        <v>31/12/1997</v>
      </c>
      <c r="M214" s="8">
        <v>35795</v>
      </c>
      <c r="N214" s="7"/>
      <c r="O214" s="7"/>
      <c r="P214" s="181" t="str">
        <f t="shared" si="90"/>
        <v/>
      </c>
      <c r="Q214" s="153" t="str">
        <f t="shared" si="103"/>
        <v>97e</v>
      </c>
      <c r="R214" s="180" t="str">
        <f t="shared" si="91"/>
        <v/>
      </c>
      <c r="S214" s="25" t="s">
        <v>3244</v>
      </c>
      <c r="T214" s="5">
        <f t="shared" si="92"/>
        <v>7</v>
      </c>
      <c r="U214" s="5">
        <f t="shared" si="93"/>
        <v>4</v>
      </c>
      <c r="V214" s="5">
        <f>VLOOKUP(B214,'Loyd List 1-190 - Edit'!$A$2:$B$220,2,FALSE)</f>
        <v>5</v>
      </c>
      <c r="W214" s="155">
        <f t="shared" si="94"/>
        <v>2</v>
      </c>
      <c r="X214" s="105"/>
      <c r="Y214" s="105"/>
      <c r="Z214" s="164" t="s">
        <v>3944</v>
      </c>
      <c r="AA214" s="6">
        <v>229</v>
      </c>
      <c r="AB214" s="5">
        <f t="shared" si="106"/>
        <v>70</v>
      </c>
      <c r="AC214" s="5">
        <f t="shared" si="101"/>
        <v>2070</v>
      </c>
      <c r="AD214" s="97" t="str">
        <f t="shared" si="95"/>
        <v>97eb</v>
      </c>
      <c r="AE214" s="5" t="str">
        <f t="shared" si="96"/>
        <v>Constancy Nancy  SALE (1997 - )</v>
      </c>
      <c r="AF214" s="5" t="str">
        <f t="shared" si="97"/>
        <v>Connie SALE (7th &amp; 97)</v>
      </c>
      <c r="AG214" s="110" t="str">
        <f t="shared" si="98"/>
        <v>Female</v>
      </c>
      <c r="AH214" s="5" t="str">
        <f t="shared" si="99"/>
        <v>7th</v>
      </c>
      <c r="AI214" s="5" t="str">
        <f t="shared" si="107"/>
        <v>Unmarried</v>
      </c>
      <c r="AJ214" s="105" t="str">
        <f t="shared" si="102"/>
        <v>Female. b. 31/12/1997 Baptised 19 Apr 1998 at St George’s, Brailes, Warwickshire. Educated Tudor Hall School, 2010-16 (Head Girl). Nursery School teacher 2017-18; Interior Designer 2019-21, Executive Assistant at Key4Life Charity 2022 to date.</v>
      </c>
      <c r="AK214" s="105" t="str">
        <f t="shared" si="100"/>
        <v>b. 31/12/1997</v>
      </c>
    </row>
    <row r="215" spans="1:37" s="5" customFormat="1" ht="34">
      <c r="A215" s="5">
        <f>VLOOKUP(B215,'Loyd List 1-190 - Edit'!$P$1:$R$219,3,FALSE)</f>
        <v>53</v>
      </c>
      <c r="B215" s="5">
        <f>VALUE(LEFT(C215,2))</f>
        <v>97</v>
      </c>
      <c r="C215" s="157" t="s">
        <v>3945</v>
      </c>
      <c r="D215" s="6" t="s">
        <v>1541</v>
      </c>
      <c r="E215" s="156" t="s">
        <v>3609</v>
      </c>
      <c r="F215" s="5" t="s">
        <v>1988</v>
      </c>
      <c r="I215" s="5">
        <f t="shared" si="104"/>
        <v>2002</v>
      </c>
      <c r="K215" s="152"/>
      <c r="L215" s="7" t="str">
        <f t="shared" si="105"/>
        <v>24/01/2002</v>
      </c>
      <c r="M215" s="8">
        <v>37280</v>
      </c>
      <c r="N215" s="7"/>
      <c r="O215" s="7"/>
      <c r="P215" s="181"/>
      <c r="Q215" s="153" t="str">
        <f t="shared" si="103"/>
        <v>97e</v>
      </c>
      <c r="R215" s="180"/>
      <c r="S215" s="25" t="s">
        <v>3244</v>
      </c>
      <c r="T215" s="5">
        <f t="shared" si="92"/>
        <v>7</v>
      </c>
      <c r="U215" s="5">
        <f t="shared" si="93"/>
        <v>4</v>
      </c>
      <c r="V215" s="5">
        <f>VLOOKUP(B215,'Loyd List 1-190 - Edit'!$A$2:$B$220,2,FALSE)</f>
        <v>5</v>
      </c>
      <c r="W215" s="155">
        <f t="shared" si="94"/>
        <v>2</v>
      </c>
      <c r="X215" s="105"/>
      <c r="Y215" s="105"/>
      <c r="Z215" s="164" t="s">
        <v>4089</v>
      </c>
      <c r="AA215" s="6">
        <v>230</v>
      </c>
      <c r="AB215" s="5">
        <f t="shared" si="106"/>
        <v>71</v>
      </c>
      <c r="AC215" s="5">
        <f t="shared" si="101"/>
        <v>2071</v>
      </c>
      <c r="AD215" s="97" t="str">
        <f t="shared" si="95"/>
        <v>97ec</v>
      </c>
      <c r="AE215" s="5" t="str">
        <f t="shared" si="96"/>
        <v>Grace Alice  SALE (2002 - )</v>
      </c>
      <c r="AF215" s="5" t="str">
        <f t="shared" si="97"/>
        <v>Grace SALE (7th &amp; 97)</v>
      </c>
      <c r="AG215" s="110" t="str">
        <f t="shared" si="98"/>
        <v>Female</v>
      </c>
      <c r="AH215" s="5" t="str">
        <f t="shared" si="99"/>
        <v>7th</v>
      </c>
      <c r="AI215" s="5" t="str">
        <f t="shared" si="107"/>
        <v>Unmarried</v>
      </c>
      <c r="AJ215" s="105" t="str">
        <f t="shared" si="102"/>
        <v>Female. b. 24/01/2002 Educated: Tudor Hall School 2014-2020, University of Edinburgh 2020 to date reading English Literature.</v>
      </c>
      <c r="AK215" s="105" t="str">
        <f t="shared" si="100"/>
        <v>b. 24/01/2002</v>
      </c>
    </row>
    <row r="216" spans="1:37" s="5" customFormat="1" ht="20">
      <c r="A216" s="5">
        <f>VLOOKUP(B216,'Loyd List 1-190 - Edit'!$P$1:$R$219,3,FALSE)</f>
        <v>56</v>
      </c>
      <c r="B216" s="5">
        <f t="shared" ref="B216:B248" si="109">VALUE(LEFT(C216,3))</f>
        <v>101</v>
      </c>
      <c r="C216" s="157" t="s">
        <v>1564</v>
      </c>
      <c r="D216" s="6" t="s">
        <v>1561</v>
      </c>
      <c r="E216" s="156" t="s">
        <v>1562</v>
      </c>
      <c r="F216" s="5" t="s">
        <v>971</v>
      </c>
      <c r="G216" s="5" t="s">
        <v>842</v>
      </c>
      <c r="I216" s="5">
        <f t="shared" si="104"/>
        <v>1974</v>
      </c>
      <c r="J216" s="5" t="str">
        <f t="shared" si="108"/>
        <v/>
      </c>
      <c r="K216" s="152"/>
      <c r="L216" s="7" t="str">
        <f t="shared" si="105"/>
        <v>05/07/1974</v>
      </c>
      <c r="M216" s="8">
        <v>27215</v>
      </c>
      <c r="N216" s="7"/>
      <c r="O216" s="7"/>
      <c r="P216" s="181" t="str">
        <f t="shared" si="90"/>
        <v/>
      </c>
      <c r="Q216" s="153" t="str">
        <f t="shared" si="103"/>
        <v>101a</v>
      </c>
      <c r="R216" s="180" t="str">
        <f t="shared" si="91"/>
        <v/>
      </c>
      <c r="S216" s="25" t="s">
        <v>3245</v>
      </c>
      <c r="T216" s="5">
        <f t="shared" si="92"/>
        <v>7</v>
      </c>
      <c r="U216" s="5">
        <f t="shared" si="93"/>
        <v>5</v>
      </c>
      <c r="V216" s="5">
        <f>VLOOKUP(B216,'Loyd List 1-190 - Edit'!$A$2:$B$220,2,FALSE)</f>
        <v>5</v>
      </c>
      <c r="W216" s="155">
        <f t="shared" si="94"/>
        <v>2</v>
      </c>
      <c r="X216" s="105"/>
      <c r="Y216" s="105"/>
      <c r="Z216" s="164" t="s">
        <v>2669</v>
      </c>
      <c r="AA216" s="6">
        <v>231</v>
      </c>
      <c r="AB216" s="5">
        <f t="shared" si="106"/>
        <v>72</v>
      </c>
      <c r="AC216" s="5">
        <f t="shared" si="101"/>
        <v>2072</v>
      </c>
      <c r="AD216" s="97" t="str">
        <f t="shared" si="95"/>
        <v>101aa</v>
      </c>
      <c r="AE216" s="5" t="str">
        <f t="shared" si="96"/>
        <v>Lawrence Rupert John TIMPSON (1974 - )</v>
      </c>
      <c r="AF216" s="5" t="str">
        <f t="shared" si="97"/>
        <v>Lawrence TIMPSON (7th &amp; 101)</v>
      </c>
      <c r="AG216" s="110" t="str">
        <f t="shared" si="98"/>
        <v>Male</v>
      </c>
      <c r="AH216" s="5" t="str">
        <f t="shared" si="99"/>
        <v>7th</v>
      </c>
      <c r="AI216" s="5" t="str">
        <f t="shared" si="107"/>
        <v>Unmarried</v>
      </c>
      <c r="AJ216" s="105" t="str">
        <f t="shared" si="102"/>
        <v>Male. b. 05/07/1974 Baptised 28 Oct 1974 at the Guards’ Chapel. Birdcage Walk, London.</v>
      </c>
      <c r="AK216" s="105" t="str">
        <f t="shared" si="100"/>
        <v>b. 05/07/1974</v>
      </c>
    </row>
    <row r="217" spans="1:37" s="5" customFormat="1" ht="20">
      <c r="A217" s="5">
        <f>VLOOKUP(B217,'Loyd List 1-190 - Edit'!$P$1:$R$219,3,FALSE)</f>
        <v>56</v>
      </c>
      <c r="B217" s="5">
        <f t="shared" si="109"/>
        <v>101</v>
      </c>
      <c r="C217" s="157" t="s">
        <v>1565</v>
      </c>
      <c r="D217" s="6" t="s">
        <v>1561</v>
      </c>
      <c r="E217" s="156" t="s">
        <v>867</v>
      </c>
      <c r="F217" s="5" t="s">
        <v>1563</v>
      </c>
      <c r="G217" s="5" t="s">
        <v>927</v>
      </c>
      <c r="I217" s="5">
        <f t="shared" si="104"/>
        <v>1979</v>
      </c>
      <c r="J217" s="5" t="str">
        <f t="shared" si="108"/>
        <v/>
      </c>
      <c r="K217" s="152"/>
      <c r="L217" s="7" t="str">
        <f t="shared" si="105"/>
        <v>13/01/1979</v>
      </c>
      <c r="M217" s="8">
        <v>28868</v>
      </c>
      <c r="N217" s="7"/>
      <c r="O217" s="7"/>
      <c r="P217" s="181" t="str">
        <f t="shared" si="90"/>
        <v/>
      </c>
      <c r="Q217" s="153" t="str">
        <f t="shared" si="103"/>
        <v>101a</v>
      </c>
      <c r="R217" s="180" t="str">
        <f t="shared" si="91"/>
        <v/>
      </c>
      <c r="S217" s="25" t="s">
        <v>3244</v>
      </c>
      <c r="T217" s="5">
        <f t="shared" si="92"/>
        <v>7</v>
      </c>
      <c r="U217" s="5">
        <f t="shared" si="93"/>
        <v>5</v>
      </c>
      <c r="V217" s="5">
        <f>VLOOKUP(B217,'Loyd List 1-190 - Edit'!$A$2:$B$220,2,FALSE)</f>
        <v>5</v>
      </c>
      <c r="W217" s="155">
        <f t="shared" si="94"/>
        <v>2</v>
      </c>
      <c r="X217" s="105"/>
      <c r="Y217" s="105"/>
      <c r="Z217" s="164" t="s">
        <v>2670</v>
      </c>
      <c r="AA217" s="6">
        <v>232</v>
      </c>
      <c r="AB217" s="5">
        <f t="shared" si="106"/>
        <v>73</v>
      </c>
      <c r="AC217" s="5">
        <f t="shared" si="101"/>
        <v>2073</v>
      </c>
      <c r="AD217" s="97" t="str">
        <f t="shared" si="95"/>
        <v>101ab</v>
      </c>
      <c r="AE217" s="5" t="str">
        <f t="shared" si="96"/>
        <v>Catherine Selina Alexandra TIMPSON (1979 - )</v>
      </c>
      <c r="AF217" s="5" t="str">
        <f t="shared" si="97"/>
        <v>Catherine TIMPSON (7th &amp; 101)</v>
      </c>
      <c r="AG217" s="110" t="str">
        <f t="shared" si="98"/>
        <v>Female</v>
      </c>
      <c r="AH217" s="5" t="str">
        <f t="shared" si="99"/>
        <v>7th</v>
      </c>
      <c r="AI217" s="5" t="str">
        <f t="shared" si="107"/>
        <v>Unmarried</v>
      </c>
      <c r="AJ217" s="105" t="str">
        <f t="shared" si="102"/>
        <v>Female. b. 13/01/1979 Baptised 27 Jul 1979 at All Saints’, Lockinge.</v>
      </c>
      <c r="AK217" s="105" t="str">
        <f t="shared" si="100"/>
        <v>b. 13/01/1979</v>
      </c>
    </row>
    <row r="218" spans="1:37" s="5" customFormat="1" ht="35">
      <c r="A218" s="5">
        <f>VLOOKUP(B218,'Loyd List 1-190 - Edit'!$P$1:$R$219,3,FALSE)</f>
        <v>56</v>
      </c>
      <c r="B218" s="5">
        <f t="shared" si="109"/>
        <v>101</v>
      </c>
      <c r="C218" s="157" t="s">
        <v>1574</v>
      </c>
      <c r="D218" s="6" t="s">
        <v>1568</v>
      </c>
      <c r="E218" s="156" t="s">
        <v>1571</v>
      </c>
      <c r="F218" s="5" t="s">
        <v>1569</v>
      </c>
      <c r="G218" s="5" t="s">
        <v>1570</v>
      </c>
      <c r="I218" s="5">
        <f t="shared" si="104"/>
        <v>1985</v>
      </c>
      <c r="J218" s="5" t="str">
        <f t="shared" si="108"/>
        <v/>
      </c>
      <c r="K218" s="152"/>
      <c r="L218" s="7" t="str">
        <f t="shared" si="105"/>
        <v>02/11/1985</v>
      </c>
      <c r="M218" s="8">
        <v>31353</v>
      </c>
      <c r="N218" s="7"/>
      <c r="O218" s="7"/>
      <c r="P218" s="181" t="str">
        <f t="shared" si="90"/>
        <v/>
      </c>
      <c r="Q218" s="153" t="str">
        <f t="shared" si="103"/>
        <v>101b</v>
      </c>
      <c r="R218" s="180" t="str">
        <f t="shared" si="91"/>
        <v/>
      </c>
      <c r="S218" s="25" t="s">
        <v>3245</v>
      </c>
      <c r="T218" s="5">
        <f t="shared" si="92"/>
        <v>7</v>
      </c>
      <c r="U218" s="5">
        <f t="shared" si="93"/>
        <v>5</v>
      </c>
      <c r="V218" s="5">
        <f>VLOOKUP(B218,'Loyd List 1-190 - Edit'!$A$2:$B$220,2,FALSE)</f>
        <v>5</v>
      </c>
      <c r="W218" s="155">
        <f t="shared" si="94"/>
        <v>2</v>
      </c>
      <c r="X218" s="105"/>
      <c r="Y218" s="105"/>
      <c r="Z218" s="164" t="s">
        <v>2674</v>
      </c>
      <c r="AA218" s="6">
        <v>234</v>
      </c>
      <c r="AB218" s="5">
        <f t="shared" si="106"/>
        <v>74</v>
      </c>
      <c r="AC218" s="5">
        <f t="shared" si="101"/>
        <v>2074</v>
      </c>
      <c r="AD218" s="97" t="str">
        <f t="shared" si="95"/>
        <v>101ba</v>
      </c>
      <c r="AE218" s="5" t="str">
        <f t="shared" si="96"/>
        <v>Viscount John Armar Galbraith LOWRY-CORRY (1985 - )</v>
      </c>
      <c r="AF218" s="5" t="str">
        <f t="shared" si="97"/>
        <v>Viscount John LOWRY-CORRY (7th &amp; 101)</v>
      </c>
      <c r="AG218" s="110" t="str">
        <f t="shared" si="98"/>
        <v>Male</v>
      </c>
      <c r="AH218" s="5" t="str">
        <f t="shared" si="99"/>
        <v>7th</v>
      </c>
      <c r="AI218" s="5" t="str">
        <f t="shared" si="107"/>
        <v>Unmarried</v>
      </c>
      <c r="AJ218" s="105" t="str">
        <f t="shared" si="102"/>
        <v>Male. b. 02/11/1985 Baptised Feb 1986 at Derryvullen Church, Enniskillen.</v>
      </c>
      <c r="AK218" s="105" t="str">
        <f t="shared" si="100"/>
        <v>b. 02/11/1985</v>
      </c>
    </row>
    <row r="219" spans="1:37" s="5" customFormat="1" ht="35">
      <c r="A219" s="5">
        <f>VLOOKUP(B219,'Loyd List 1-190 - Edit'!$P$1:$R$219,3,FALSE)</f>
        <v>56</v>
      </c>
      <c r="B219" s="5">
        <f t="shared" si="109"/>
        <v>101</v>
      </c>
      <c r="C219" s="157" t="s">
        <v>1575</v>
      </c>
      <c r="D219" s="6" t="s">
        <v>1568</v>
      </c>
      <c r="E219" s="156" t="s">
        <v>1572</v>
      </c>
      <c r="F219" s="5" t="s">
        <v>1573</v>
      </c>
      <c r="G219" s="5" t="s">
        <v>913</v>
      </c>
      <c r="I219" s="5">
        <f t="shared" si="104"/>
        <v>1989</v>
      </c>
      <c r="J219" s="5" t="str">
        <f t="shared" si="108"/>
        <v/>
      </c>
      <c r="K219" s="152"/>
      <c r="L219" s="7" t="str">
        <f t="shared" si="105"/>
        <v>30/03/1989</v>
      </c>
      <c r="M219" s="8">
        <v>32597</v>
      </c>
      <c r="N219" s="7"/>
      <c r="O219" s="7"/>
      <c r="P219" s="181" t="str">
        <f t="shared" si="90"/>
        <v/>
      </c>
      <c r="Q219" s="153" t="str">
        <f t="shared" si="103"/>
        <v>101b</v>
      </c>
      <c r="R219" s="180" t="str">
        <f t="shared" si="91"/>
        <v/>
      </c>
      <c r="S219" s="25" t="s">
        <v>3245</v>
      </c>
      <c r="T219" s="5">
        <f t="shared" si="92"/>
        <v>7</v>
      </c>
      <c r="U219" s="5">
        <f t="shared" si="93"/>
        <v>5</v>
      </c>
      <c r="V219" s="5">
        <f>VLOOKUP(B219,'Loyd List 1-190 - Edit'!$A$2:$B$220,2,FALSE)</f>
        <v>5</v>
      </c>
      <c r="W219" s="155">
        <f t="shared" si="94"/>
        <v>2</v>
      </c>
      <c r="X219" s="105"/>
      <c r="Y219" s="105"/>
      <c r="Z219" s="164" t="s">
        <v>2675</v>
      </c>
      <c r="AA219" s="6">
        <v>235</v>
      </c>
      <c r="AB219" s="5">
        <f t="shared" si="106"/>
        <v>75</v>
      </c>
      <c r="AC219" s="5">
        <f t="shared" si="101"/>
        <v>2075</v>
      </c>
      <c r="AD219" s="97" t="str">
        <f t="shared" si="95"/>
        <v>101bb</v>
      </c>
      <c r="AE219" s="5" t="str">
        <f t="shared" si="96"/>
        <v>The Hon Montagu Gilford George LOWRY-CORRY (1989 - )</v>
      </c>
      <c r="AF219" s="5" t="str">
        <f t="shared" si="97"/>
        <v>The Hon Montagu LOWRY-CORRY (7th &amp; 101)</v>
      </c>
      <c r="AG219" s="110" t="str">
        <f t="shared" si="98"/>
        <v>Male</v>
      </c>
      <c r="AH219" s="5" t="str">
        <f t="shared" si="99"/>
        <v>7th</v>
      </c>
      <c r="AI219" s="5" t="str">
        <f t="shared" si="107"/>
        <v>Unmarried</v>
      </c>
      <c r="AJ219" s="105" t="str">
        <f t="shared" si="102"/>
        <v>Male. b. 30/03/1989 Baptised Jul 1989 at Derryvullen Church, Enniskillen.</v>
      </c>
      <c r="AK219" s="105" t="str">
        <f t="shared" si="100"/>
        <v>b. 30/03/1989</v>
      </c>
    </row>
    <row r="220" spans="1:37" s="5" customFormat="1" ht="20">
      <c r="A220" s="5">
        <f>VLOOKUP(B220,'Loyd List 1-190 - Edit'!$P$1:$R$219,3,FALSE)</f>
        <v>56</v>
      </c>
      <c r="B220" s="5">
        <f t="shared" si="109"/>
        <v>101</v>
      </c>
      <c r="C220" s="157" t="s">
        <v>1577</v>
      </c>
      <c r="D220" s="6" t="s">
        <v>1568</v>
      </c>
      <c r="E220" s="156" t="s">
        <v>1576</v>
      </c>
      <c r="F220" s="5" t="s">
        <v>867</v>
      </c>
      <c r="I220" s="5">
        <f t="shared" si="104"/>
        <v>1992</v>
      </c>
      <c r="J220" s="5" t="str">
        <f t="shared" si="108"/>
        <v/>
      </c>
      <c r="K220" s="152"/>
      <c r="L220" s="7" t="str">
        <f t="shared" si="105"/>
        <v>27/05/1992</v>
      </c>
      <c r="M220" s="8">
        <v>33751</v>
      </c>
      <c r="N220" s="7"/>
      <c r="O220" s="7"/>
      <c r="P220" s="181" t="str">
        <f t="shared" si="90"/>
        <v/>
      </c>
      <c r="Q220" s="153" t="str">
        <f t="shared" si="103"/>
        <v>101b</v>
      </c>
      <c r="R220" s="180" t="str">
        <f t="shared" si="91"/>
        <v/>
      </c>
      <c r="S220" s="25" t="s">
        <v>3244</v>
      </c>
      <c r="T220" s="5">
        <f t="shared" si="92"/>
        <v>7</v>
      </c>
      <c r="U220" s="5">
        <f t="shared" si="93"/>
        <v>5</v>
      </c>
      <c r="V220" s="5">
        <f>VLOOKUP(B220,'Loyd List 1-190 - Edit'!$A$2:$B$220,2,FALSE)</f>
        <v>5</v>
      </c>
      <c r="W220" s="155">
        <f t="shared" si="94"/>
        <v>2</v>
      </c>
      <c r="X220" s="105"/>
      <c r="Y220" s="105"/>
      <c r="Z220" s="164" t="s">
        <v>2676</v>
      </c>
      <c r="AA220" s="6">
        <v>236</v>
      </c>
      <c r="AB220" s="5">
        <f t="shared" si="106"/>
        <v>76</v>
      </c>
      <c r="AC220" s="5">
        <f t="shared" si="101"/>
        <v>2076</v>
      </c>
      <c r="AD220" s="97" t="str">
        <f t="shared" si="95"/>
        <v>101bc</v>
      </c>
      <c r="AE220" s="5" t="str">
        <f t="shared" si="96"/>
        <v>Lady Martha Catherine  LOWRY-CORRY (1992 - )</v>
      </c>
      <c r="AF220" s="5" t="str">
        <f t="shared" si="97"/>
        <v>Lady Martha LOWRY-CORRY (7th &amp; 101)</v>
      </c>
      <c r="AG220" s="110" t="str">
        <f t="shared" si="98"/>
        <v>Female</v>
      </c>
      <c r="AH220" s="5" t="str">
        <f t="shared" si="99"/>
        <v>7th</v>
      </c>
      <c r="AI220" s="5" t="str">
        <f t="shared" si="107"/>
        <v>Unmarried</v>
      </c>
      <c r="AJ220" s="105" t="str">
        <f t="shared" si="102"/>
        <v>Female. b. 27/05/1992 Baptised Oct 1992 at Derryvullen Church, Enniskillen.</v>
      </c>
      <c r="AK220" s="105" t="str">
        <f t="shared" si="100"/>
        <v>b. 27/05/1992</v>
      </c>
    </row>
    <row r="221" spans="1:37" s="5" customFormat="1" ht="34">
      <c r="A221" s="5">
        <f>VLOOKUP(B221,'Loyd List 1-190 - Edit'!$P$1:$R$219,3,FALSE)</f>
        <v>56</v>
      </c>
      <c r="B221" s="5">
        <f t="shared" si="109"/>
        <v>101</v>
      </c>
      <c r="C221" s="157" t="s">
        <v>1582</v>
      </c>
      <c r="D221" s="6" t="s">
        <v>1580</v>
      </c>
      <c r="E221" s="156" t="s">
        <v>1581</v>
      </c>
      <c r="F221" s="5" t="s">
        <v>1481</v>
      </c>
      <c r="I221" s="5">
        <f t="shared" si="104"/>
        <v>1987</v>
      </c>
      <c r="J221" s="5" t="str">
        <f t="shared" si="108"/>
        <v/>
      </c>
      <c r="K221" s="152"/>
      <c r="L221" s="7" t="str">
        <f t="shared" si="105"/>
        <v>04/01/1987</v>
      </c>
      <c r="M221" s="8">
        <v>31781</v>
      </c>
      <c r="N221" s="7"/>
      <c r="O221" s="7"/>
      <c r="P221" s="181" t="str">
        <f t="shared" si="90"/>
        <v/>
      </c>
      <c r="Q221" s="153" t="str">
        <f t="shared" si="103"/>
        <v>101c</v>
      </c>
      <c r="R221" s="180" t="str">
        <f t="shared" si="91"/>
        <v/>
      </c>
      <c r="S221" s="25" t="s">
        <v>3245</v>
      </c>
      <c r="T221" s="5">
        <f t="shared" si="92"/>
        <v>7</v>
      </c>
      <c r="U221" s="5">
        <f t="shared" si="93"/>
        <v>5</v>
      </c>
      <c r="V221" s="5">
        <f>VLOOKUP(B221,'Loyd List 1-190 - Edit'!$A$2:$B$220,2,FALSE)</f>
        <v>5</v>
      </c>
      <c r="W221" s="155">
        <f t="shared" si="94"/>
        <v>2</v>
      </c>
      <c r="X221" s="105"/>
      <c r="Y221" s="105"/>
      <c r="Z221" s="164" t="s">
        <v>2679</v>
      </c>
      <c r="AA221" s="6">
        <v>238</v>
      </c>
      <c r="AB221" s="5">
        <f t="shared" si="106"/>
        <v>77</v>
      </c>
      <c r="AC221" s="5">
        <f t="shared" si="101"/>
        <v>2077</v>
      </c>
      <c r="AD221" s="97" t="str">
        <f t="shared" si="95"/>
        <v>101ca</v>
      </c>
      <c r="AE221" s="5" t="str">
        <f t="shared" si="96"/>
        <v>Milo Edmund  HISCOX (1987 - )</v>
      </c>
      <c r="AF221" s="5" t="str">
        <f t="shared" si="97"/>
        <v>Milo HISCOX (7th &amp; 101)</v>
      </c>
      <c r="AG221" s="110" t="str">
        <f t="shared" si="98"/>
        <v>Male</v>
      </c>
      <c r="AH221" s="5" t="str">
        <f t="shared" si="99"/>
        <v>7th</v>
      </c>
      <c r="AI221" s="5" t="str">
        <f t="shared" si="107"/>
        <v>Unmarried</v>
      </c>
      <c r="AJ221" s="105" t="str">
        <f t="shared" si="102"/>
        <v>Male. b. 04/01/1987 Baptised 17 May 1987 at St George’s, Preschute, Marlborough,Wiltshire.</v>
      </c>
      <c r="AK221" s="105" t="str">
        <f t="shared" si="100"/>
        <v>b. 04/01/1987</v>
      </c>
    </row>
    <row r="222" spans="1:37" s="5" customFormat="1" ht="34">
      <c r="A222" s="5">
        <f>VLOOKUP(B222,'Loyd List 1-190 - Edit'!$P$1:$R$219,3,FALSE)</f>
        <v>56</v>
      </c>
      <c r="B222" s="5">
        <f t="shared" si="109"/>
        <v>101</v>
      </c>
      <c r="C222" s="157" t="s">
        <v>1584</v>
      </c>
      <c r="D222" s="6" t="s">
        <v>1580</v>
      </c>
      <c r="E222" s="156" t="s">
        <v>807</v>
      </c>
      <c r="F222" s="5" t="s">
        <v>917</v>
      </c>
      <c r="I222" s="5">
        <f t="shared" si="104"/>
        <v>1989</v>
      </c>
      <c r="J222" s="5" t="str">
        <f t="shared" si="108"/>
        <v/>
      </c>
      <c r="K222" s="152"/>
      <c r="L222" s="7" t="str">
        <f t="shared" si="105"/>
        <v>23/09/1989</v>
      </c>
      <c r="M222" s="8">
        <v>32774</v>
      </c>
      <c r="N222" s="7"/>
      <c r="O222" s="7"/>
      <c r="P222" s="181" t="str">
        <f t="shared" si="90"/>
        <v/>
      </c>
      <c r="Q222" s="153" t="str">
        <f t="shared" si="103"/>
        <v>101c</v>
      </c>
      <c r="R222" s="180" t="str">
        <f t="shared" si="91"/>
        <v/>
      </c>
      <c r="S222" s="25" t="s">
        <v>3245</v>
      </c>
      <c r="T222" s="5">
        <f t="shared" si="92"/>
        <v>7</v>
      </c>
      <c r="U222" s="5">
        <f t="shared" si="93"/>
        <v>5</v>
      </c>
      <c r="V222" s="5">
        <f>VLOOKUP(B222,'Loyd List 1-190 - Edit'!$A$2:$B$220,2,FALSE)</f>
        <v>5</v>
      </c>
      <c r="W222" s="155">
        <f t="shared" si="94"/>
        <v>2</v>
      </c>
      <c r="X222" s="105"/>
      <c r="Y222" s="105"/>
      <c r="Z222" s="164" t="s">
        <v>2680</v>
      </c>
      <c r="AA222" s="6">
        <v>239</v>
      </c>
      <c r="AB222" s="5">
        <f t="shared" si="106"/>
        <v>78</v>
      </c>
      <c r="AC222" s="5">
        <f t="shared" si="101"/>
        <v>2078</v>
      </c>
      <c r="AD222" s="97" t="str">
        <f t="shared" si="95"/>
        <v>101cb</v>
      </c>
      <c r="AE222" s="5" t="str">
        <f t="shared" si="96"/>
        <v>Henry Charles  HISCOX (1989 - )</v>
      </c>
      <c r="AF222" s="5" t="str">
        <f t="shared" si="97"/>
        <v>Henry HISCOX (7th &amp; 101)</v>
      </c>
      <c r="AG222" s="110" t="str">
        <f t="shared" si="98"/>
        <v>Male</v>
      </c>
      <c r="AH222" s="5" t="str">
        <f t="shared" si="99"/>
        <v>7th</v>
      </c>
      <c r="AI222" s="5" t="str">
        <f t="shared" si="107"/>
        <v>Unmarried</v>
      </c>
      <c r="AJ222" s="105" t="str">
        <f t="shared" si="102"/>
        <v>Male. b. 23/09/1989 Baptised 11 Mar 1990 at St George’s, Preschute, Marlborough, Wiltshire.</v>
      </c>
      <c r="AK222" s="105" t="str">
        <f t="shared" si="100"/>
        <v>b. 23/09/1989</v>
      </c>
    </row>
    <row r="223" spans="1:37" s="5" customFormat="1" ht="34">
      <c r="A223" s="5">
        <f>VLOOKUP(B223,'Loyd List 1-190 - Edit'!$P$1:$R$219,3,FALSE)</f>
        <v>56</v>
      </c>
      <c r="B223" s="5">
        <f t="shared" si="109"/>
        <v>101</v>
      </c>
      <c r="C223" s="157" t="s">
        <v>1585</v>
      </c>
      <c r="D223" s="6" t="s">
        <v>1580</v>
      </c>
      <c r="E223" s="156" t="s">
        <v>1583</v>
      </c>
      <c r="F223" s="5" t="s">
        <v>842</v>
      </c>
      <c r="I223" s="5">
        <f t="shared" si="104"/>
        <v>1993</v>
      </c>
      <c r="J223" s="5" t="str">
        <f t="shared" si="108"/>
        <v/>
      </c>
      <c r="K223" s="152"/>
      <c r="L223" s="7" t="str">
        <f t="shared" si="105"/>
        <v>24/01/1993</v>
      </c>
      <c r="M223" s="8">
        <v>33993</v>
      </c>
      <c r="N223" s="7"/>
      <c r="O223" s="7"/>
      <c r="P223" s="181" t="str">
        <f t="shared" si="90"/>
        <v/>
      </c>
      <c r="Q223" s="153" t="str">
        <f t="shared" si="103"/>
        <v>101c</v>
      </c>
      <c r="R223" s="180" t="str">
        <f t="shared" si="91"/>
        <v/>
      </c>
      <c r="S223" s="25" t="s">
        <v>3245</v>
      </c>
      <c r="T223" s="5">
        <f t="shared" si="92"/>
        <v>7</v>
      </c>
      <c r="U223" s="5">
        <f t="shared" si="93"/>
        <v>5</v>
      </c>
      <c r="V223" s="5">
        <f>VLOOKUP(B223,'Loyd List 1-190 - Edit'!$A$2:$B$220,2,FALSE)</f>
        <v>5</v>
      </c>
      <c r="W223" s="155">
        <f t="shared" si="94"/>
        <v>2</v>
      </c>
      <c r="X223" s="105"/>
      <c r="Y223" s="105"/>
      <c r="Z223" s="164" t="s">
        <v>2681</v>
      </c>
      <c r="AA223" s="6">
        <v>240</v>
      </c>
      <c r="AB223" s="5">
        <f t="shared" si="106"/>
        <v>79</v>
      </c>
      <c r="AC223" s="5">
        <f t="shared" si="101"/>
        <v>2079</v>
      </c>
      <c r="AD223" s="97" t="str">
        <f t="shared" si="95"/>
        <v>101cc</v>
      </c>
      <c r="AE223" s="5" t="str">
        <f t="shared" si="96"/>
        <v>Sydney John  HISCOX (1993 - )</v>
      </c>
      <c r="AF223" s="5" t="str">
        <f t="shared" si="97"/>
        <v>Sydney HISCOX (7th &amp; 101)</v>
      </c>
      <c r="AG223" s="110" t="str">
        <f t="shared" si="98"/>
        <v>Male</v>
      </c>
      <c r="AH223" s="5" t="str">
        <f t="shared" si="99"/>
        <v>7th</v>
      </c>
      <c r="AI223" s="5" t="str">
        <f t="shared" si="107"/>
        <v>Unmarried</v>
      </c>
      <c r="AJ223" s="105" t="str">
        <f t="shared" si="102"/>
        <v>Male. b. 24/01/1993 Baptised 27 Jun 1993 at St George’s, Preschute, Marlborough, Wiltshire.</v>
      </c>
      <c r="AK223" s="105" t="str">
        <f t="shared" si="100"/>
        <v>b. 24/01/1993</v>
      </c>
    </row>
    <row r="224" spans="1:37" s="5" customFormat="1" ht="20">
      <c r="A224" s="5">
        <f>VLOOKUP(B224,'Loyd List 1-190 - Edit'!$P$1:$R$219,3,FALSE)</f>
        <v>56</v>
      </c>
      <c r="B224" s="5">
        <f t="shared" si="109"/>
        <v>101</v>
      </c>
      <c r="C224" s="157" t="s">
        <v>1592</v>
      </c>
      <c r="D224" s="6" t="s">
        <v>1588</v>
      </c>
      <c r="E224" s="156" t="s">
        <v>1589</v>
      </c>
      <c r="F224" s="5" t="s">
        <v>842</v>
      </c>
      <c r="G224" s="5" t="s">
        <v>1590</v>
      </c>
      <c r="I224" s="5">
        <f t="shared" si="104"/>
        <v>1982</v>
      </c>
      <c r="J224" s="5" t="str">
        <f t="shared" si="108"/>
        <v/>
      </c>
      <c r="K224" s="152"/>
      <c r="L224" s="7" t="str">
        <f t="shared" si="105"/>
        <v>30/12/1982</v>
      </c>
      <c r="M224" s="10" t="s">
        <v>2985</v>
      </c>
      <c r="N224" s="7"/>
      <c r="O224" s="7"/>
      <c r="P224" s="181" t="str">
        <f t="shared" si="90"/>
        <v/>
      </c>
      <c r="Q224" s="153" t="str">
        <f t="shared" si="103"/>
        <v>101d</v>
      </c>
      <c r="R224" s="180" t="str">
        <f t="shared" si="91"/>
        <v/>
      </c>
      <c r="S224" s="25" t="s">
        <v>3245</v>
      </c>
      <c r="T224" s="5">
        <f t="shared" si="92"/>
        <v>7</v>
      </c>
      <c r="U224" s="5">
        <f t="shared" si="93"/>
        <v>5</v>
      </c>
      <c r="V224" s="5">
        <f>VLOOKUP(B224,'Loyd List 1-190 - Edit'!$A$2:$B$220,2,FALSE)</f>
        <v>5</v>
      </c>
      <c r="W224" s="155">
        <f t="shared" si="94"/>
        <v>2</v>
      </c>
      <c r="X224" s="105"/>
      <c r="Y224" s="105"/>
      <c r="Z224" s="164" t="s">
        <v>2684</v>
      </c>
      <c r="AA224" s="6">
        <v>242</v>
      </c>
      <c r="AB224" s="5">
        <f t="shared" si="106"/>
        <v>80</v>
      </c>
      <c r="AC224" s="5">
        <f t="shared" si="101"/>
        <v>2080</v>
      </c>
      <c r="AD224" s="97" t="str">
        <f t="shared" si="95"/>
        <v>101da</v>
      </c>
      <c r="AE224" s="5" t="str">
        <f t="shared" si="96"/>
        <v>Nicholas John Howard REID (1982 - )</v>
      </c>
      <c r="AF224" s="5" t="str">
        <f t="shared" si="97"/>
        <v>Nicholas REID (7th &amp; 101)</v>
      </c>
      <c r="AG224" s="110" t="str">
        <f t="shared" si="98"/>
        <v>Male</v>
      </c>
      <c r="AH224" s="5" t="str">
        <f t="shared" si="99"/>
        <v>7th</v>
      </c>
      <c r="AI224" s="5" t="str">
        <f t="shared" si="107"/>
        <v>Unmarried</v>
      </c>
      <c r="AJ224" s="105" t="str">
        <f t="shared" si="102"/>
        <v>Male. b. 30/12/1982 Baptised at St George’s, Preschute, Marlborough, Wiltshire.</v>
      </c>
      <c r="AK224" s="105" t="str">
        <f t="shared" si="100"/>
        <v>b. 30/12/1982</v>
      </c>
    </row>
    <row r="225" spans="1:37" s="5" customFormat="1" ht="20">
      <c r="A225" s="5">
        <f>VLOOKUP(B225,'Loyd List 1-190 - Edit'!$P$1:$R$219,3,FALSE)</f>
        <v>56</v>
      </c>
      <c r="B225" s="5">
        <f t="shared" si="109"/>
        <v>101</v>
      </c>
      <c r="C225" s="157" t="s">
        <v>1593</v>
      </c>
      <c r="D225" s="6" t="s">
        <v>1588</v>
      </c>
      <c r="E225" s="156" t="s">
        <v>1591</v>
      </c>
      <c r="F225" s="5" t="s">
        <v>1436</v>
      </c>
      <c r="G225" s="5" t="s">
        <v>867</v>
      </c>
      <c r="I225" s="5">
        <f t="shared" si="104"/>
        <v>1984</v>
      </c>
      <c r="J225" s="5" t="str">
        <f t="shared" si="108"/>
        <v/>
      </c>
      <c r="K225" s="152"/>
      <c r="L225" s="7" t="str">
        <f t="shared" si="105"/>
        <v>24/12/1984</v>
      </c>
      <c r="M225" s="8">
        <v>31040</v>
      </c>
      <c r="N225" s="7"/>
      <c r="O225" s="7"/>
      <c r="P225" s="181" t="str">
        <f t="shared" si="90"/>
        <v/>
      </c>
      <c r="Q225" s="153" t="str">
        <f t="shared" si="103"/>
        <v>101d</v>
      </c>
      <c r="R225" s="180" t="str">
        <f t="shared" si="91"/>
        <v/>
      </c>
      <c r="S225" s="25" t="s">
        <v>3244</v>
      </c>
      <c r="T225" s="5">
        <f t="shared" si="92"/>
        <v>7</v>
      </c>
      <c r="U225" s="5">
        <f t="shared" si="93"/>
        <v>5</v>
      </c>
      <c r="V225" s="5">
        <f>VLOOKUP(B225,'Loyd List 1-190 - Edit'!$A$2:$B$220,2,FALSE)</f>
        <v>5</v>
      </c>
      <c r="W225" s="155">
        <f t="shared" si="94"/>
        <v>2</v>
      </c>
      <c r="X225" s="105"/>
      <c r="Y225" s="105"/>
      <c r="Z225" s="164" t="s">
        <v>2685</v>
      </c>
      <c r="AA225" s="6">
        <v>243</v>
      </c>
      <c r="AB225" s="5">
        <f t="shared" si="106"/>
        <v>81</v>
      </c>
      <c r="AC225" s="5">
        <f t="shared" si="101"/>
        <v>2081</v>
      </c>
      <c r="AD225" s="97" t="str">
        <f t="shared" si="95"/>
        <v>101db</v>
      </c>
      <c r="AE225" s="5" t="str">
        <f t="shared" si="96"/>
        <v>Amelia Louise Catherine REID (1984 - )</v>
      </c>
      <c r="AF225" s="5" t="str">
        <f t="shared" si="97"/>
        <v>Amelia REID (7th &amp; 101)</v>
      </c>
      <c r="AG225" s="110" t="str">
        <f t="shared" si="98"/>
        <v>Female</v>
      </c>
      <c r="AH225" s="5" t="str">
        <f t="shared" si="99"/>
        <v>7th</v>
      </c>
      <c r="AI225" s="5" t="str">
        <f t="shared" si="107"/>
        <v>Unmarried</v>
      </c>
      <c r="AJ225" s="105" t="str">
        <f t="shared" si="102"/>
        <v>Female. b. 24/12/1984 Baptised at Christ Church, Rye, New York.</v>
      </c>
      <c r="AK225" s="105" t="str">
        <f t="shared" si="100"/>
        <v>b. 24/12/1984</v>
      </c>
    </row>
    <row r="226" spans="1:37" s="5" customFormat="1" ht="20">
      <c r="A226" s="5">
        <f>VLOOKUP(B226,'Loyd List 1-190 - Edit'!$P$1:$R$219,3,FALSE)</f>
        <v>56</v>
      </c>
      <c r="B226" s="5">
        <f t="shared" si="109"/>
        <v>101</v>
      </c>
      <c r="C226" s="157" t="s">
        <v>1596</v>
      </c>
      <c r="D226" s="6" t="s">
        <v>1588</v>
      </c>
      <c r="E226" s="156" t="s">
        <v>1595</v>
      </c>
      <c r="F226" s="5" t="s">
        <v>1594</v>
      </c>
      <c r="I226" s="5">
        <f t="shared" si="104"/>
        <v>1988</v>
      </c>
      <c r="J226" s="5" t="str">
        <f t="shared" si="108"/>
        <v/>
      </c>
      <c r="K226" s="152"/>
      <c r="L226" s="7" t="str">
        <f t="shared" si="105"/>
        <v>09/09/1988</v>
      </c>
      <c r="M226" s="8">
        <v>32395</v>
      </c>
      <c r="N226" s="7"/>
      <c r="O226" s="7"/>
      <c r="P226" s="181" t="str">
        <f t="shared" si="90"/>
        <v/>
      </c>
      <c r="Q226" s="153" t="str">
        <f t="shared" si="103"/>
        <v>101d</v>
      </c>
      <c r="R226" s="180" t="str">
        <f t="shared" si="91"/>
        <v/>
      </c>
      <c r="S226" s="25" t="s">
        <v>3244</v>
      </c>
      <c r="T226" s="5">
        <f t="shared" si="92"/>
        <v>7</v>
      </c>
      <c r="U226" s="5">
        <f t="shared" si="93"/>
        <v>5</v>
      </c>
      <c r="V226" s="5">
        <f>VLOOKUP(B226,'Loyd List 1-190 - Edit'!$A$2:$B$220,2,FALSE)</f>
        <v>5</v>
      </c>
      <c r="W226" s="155">
        <f t="shared" si="94"/>
        <v>2</v>
      </c>
      <c r="X226" s="105"/>
      <c r="Y226" s="105"/>
      <c r="Z226" s="164" t="s">
        <v>2685</v>
      </c>
      <c r="AA226" s="6">
        <v>244</v>
      </c>
      <c r="AB226" s="5">
        <f t="shared" si="106"/>
        <v>82</v>
      </c>
      <c r="AC226" s="5">
        <f t="shared" si="101"/>
        <v>2082</v>
      </c>
      <c r="AD226" s="97" t="str">
        <f t="shared" si="95"/>
        <v>101dc</v>
      </c>
      <c r="AE226" s="5" t="str">
        <f t="shared" si="96"/>
        <v>Clementine Julia  REID (1988 - )</v>
      </c>
      <c r="AF226" s="5" t="str">
        <f t="shared" si="97"/>
        <v>Clementine REID (7th &amp; 101)</v>
      </c>
      <c r="AG226" s="110" t="str">
        <f t="shared" si="98"/>
        <v>Female</v>
      </c>
      <c r="AH226" s="5" t="str">
        <f t="shared" si="99"/>
        <v>7th</v>
      </c>
      <c r="AI226" s="5" t="str">
        <f t="shared" si="107"/>
        <v>Unmarried</v>
      </c>
      <c r="AJ226" s="105" t="str">
        <f t="shared" si="102"/>
        <v>Female. b. 09/09/1988 Baptised at Christ Church, Rye, New York.</v>
      </c>
      <c r="AK226" s="105" t="str">
        <f t="shared" si="100"/>
        <v>b. 09/09/1988</v>
      </c>
    </row>
    <row r="227" spans="1:37" s="5" customFormat="1" ht="20">
      <c r="A227" s="5">
        <f>VLOOKUP(B227,'Loyd List 1-190 - Edit'!$P$1:$R$219,3,FALSE)</f>
        <v>56</v>
      </c>
      <c r="B227" s="5">
        <f t="shared" si="109"/>
        <v>101</v>
      </c>
      <c r="C227" s="157" t="s">
        <v>1601</v>
      </c>
      <c r="D227" s="6" t="s">
        <v>1599</v>
      </c>
      <c r="E227" s="156" t="s">
        <v>852</v>
      </c>
      <c r="F227" s="5" t="s">
        <v>902</v>
      </c>
      <c r="G227" s="5" t="s">
        <v>979</v>
      </c>
      <c r="I227" s="5">
        <f t="shared" si="104"/>
        <v>1991</v>
      </c>
      <c r="J227" s="5" t="str">
        <f t="shared" si="108"/>
        <v/>
      </c>
      <c r="K227" s="152"/>
      <c r="L227" s="7" t="str">
        <f t="shared" si="105"/>
        <v>04/07/1991</v>
      </c>
      <c r="M227" s="8">
        <v>33423</v>
      </c>
      <c r="N227" s="7"/>
      <c r="O227" s="7"/>
      <c r="P227" s="181" t="str">
        <f t="shared" si="90"/>
        <v/>
      </c>
      <c r="Q227" s="153" t="str">
        <f t="shared" si="103"/>
        <v>101e</v>
      </c>
      <c r="R227" s="180" t="str">
        <f t="shared" si="91"/>
        <v/>
      </c>
      <c r="S227" s="25" t="s">
        <v>3245</v>
      </c>
      <c r="T227" s="5">
        <f t="shared" si="92"/>
        <v>7</v>
      </c>
      <c r="U227" s="5">
        <f t="shared" si="93"/>
        <v>5</v>
      </c>
      <c r="V227" s="5">
        <f>VLOOKUP(B227,'Loyd List 1-190 - Edit'!$A$2:$B$220,2,FALSE)</f>
        <v>5</v>
      </c>
      <c r="W227" s="155">
        <f t="shared" si="94"/>
        <v>2</v>
      </c>
      <c r="X227" s="105"/>
      <c r="Y227" s="105"/>
      <c r="Z227" s="164"/>
      <c r="AA227" s="6">
        <v>246</v>
      </c>
      <c r="AB227" s="5">
        <f t="shared" si="106"/>
        <v>83</v>
      </c>
      <c r="AC227" s="5">
        <f t="shared" si="101"/>
        <v>2083</v>
      </c>
      <c r="AD227" s="97" t="str">
        <f t="shared" si="95"/>
        <v>101ea</v>
      </c>
      <c r="AE227" s="5" t="str">
        <f t="shared" si="96"/>
        <v>Thomas Robert Hamilton WILLS (1991 - )</v>
      </c>
      <c r="AF227" s="5" t="str">
        <f t="shared" si="97"/>
        <v>Thomas WILLS (7th &amp; 101)</v>
      </c>
      <c r="AG227" s="110" t="str">
        <f t="shared" si="98"/>
        <v>Male</v>
      </c>
      <c r="AH227" s="5" t="str">
        <f t="shared" si="99"/>
        <v>7th</v>
      </c>
      <c r="AI227" s="5" t="str">
        <f t="shared" si="107"/>
        <v>Unmarried</v>
      </c>
      <c r="AJ227" s="105" t="str">
        <f t="shared" si="102"/>
        <v>Male. b. 04/07/1991</v>
      </c>
      <c r="AK227" s="105" t="str">
        <f t="shared" si="100"/>
        <v>b. 04/07/1991</v>
      </c>
    </row>
    <row r="228" spans="1:37" s="5" customFormat="1" ht="20">
      <c r="A228" s="5">
        <f>VLOOKUP(B228,'Loyd List 1-190 - Edit'!$P$1:$R$219,3,FALSE)</f>
        <v>56</v>
      </c>
      <c r="B228" s="5">
        <f t="shared" si="109"/>
        <v>101</v>
      </c>
      <c r="C228" s="157" t="s">
        <v>1602</v>
      </c>
      <c r="D228" s="6" t="s">
        <v>1599</v>
      </c>
      <c r="E228" s="156" t="s">
        <v>913</v>
      </c>
      <c r="F228" s="160" t="s">
        <v>1481</v>
      </c>
      <c r="G228" s="5" t="s">
        <v>979</v>
      </c>
      <c r="I228" s="5">
        <f t="shared" si="104"/>
        <v>1993</v>
      </c>
      <c r="J228" s="5" t="str">
        <f t="shared" si="108"/>
        <v/>
      </c>
      <c r="K228" s="152"/>
      <c r="L228" s="7" t="str">
        <f t="shared" si="105"/>
        <v>29/08/1993</v>
      </c>
      <c r="M228" s="8">
        <v>34210</v>
      </c>
      <c r="N228" s="7"/>
      <c r="O228" s="7"/>
      <c r="P228" s="181" t="str">
        <f t="shared" si="90"/>
        <v/>
      </c>
      <c r="Q228" s="153" t="str">
        <f t="shared" si="103"/>
        <v>101e</v>
      </c>
      <c r="R228" s="180" t="str">
        <f t="shared" si="91"/>
        <v/>
      </c>
      <c r="S228" s="25" t="s">
        <v>3245</v>
      </c>
      <c r="T228" s="5">
        <f t="shared" si="92"/>
        <v>7</v>
      </c>
      <c r="U228" s="5">
        <f t="shared" si="93"/>
        <v>5</v>
      </c>
      <c r="V228" s="5">
        <f>VLOOKUP(B228,'Loyd List 1-190 - Edit'!$A$2:$B$220,2,FALSE)</f>
        <v>5</v>
      </c>
      <c r="W228" s="155">
        <f t="shared" si="94"/>
        <v>2</v>
      </c>
      <c r="X228" s="105"/>
      <c r="Y228" s="105"/>
      <c r="Z228" s="164"/>
      <c r="AA228" s="6">
        <v>247</v>
      </c>
      <c r="AB228" s="5">
        <f t="shared" si="106"/>
        <v>84</v>
      </c>
      <c r="AC228" s="5">
        <f t="shared" si="101"/>
        <v>2084</v>
      </c>
      <c r="AD228" s="97" t="str">
        <f t="shared" si="95"/>
        <v>101eb</v>
      </c>
      <c r="AE228" s="5" t="str">
        <f t="shared" si="96"/>
        <v>George Edmund Hamilton WILLS (1993 - )</v>
      </c>
      <c r="AF228" s="5" t="str">
        <f t="shared" si="97"/>
        <v>George WILLS (7th &amp; 101)</v>
      </c>
      <c r="AG228" s="110" t="str">
        <f t="shared" si="98"/>
        <v>Male</v>
      </c>
      <c r="AH228" s="5" t="str">
        <f t="shared" si="99"/>
        <v>7th</v>
      </c>
      <c r="AI228" s="5" t="str">
        <f t="shared" si="107"/>
        <v>Unmarried</v>
      </c>
      <c r="AJ228" s="105" t="str">
        <f t="shared" si="102"/>
        <v>Male. b. 29/08/1993</v>
      </c>
      <c r="AK228" s="105" t="str">
        <f t="shared" si="100"/>
        <v>b. 29/08/1993</v>
      </c>
    </row>
    <row r="229" spans="1:37" s="5" customFormat="1" ht="20">
      <c r="A229" s="5">
        <f>VLOOKUP(B229,'Loyd List 1-190 - Edit'!$P$1:$R$219,3,FALSE)</f>
        <v>56</v>
      </c>
      <c r="B229" s="5">
        <f t="shared" si="109"/>
        <v>101</v>
      </c>
      <c r="C229" s="157" t="s">
        <v>1604</v>
      </c>
      <c r="D229" s="6" t="s">
        <v>1599</v>
      </c>
      <c r="E229" s="156" t="s">
        <v>976</v>
      </c>
      <c r="F229" s="160" t="s">
        <v>1603</v>
      </c>
      <c r="G229" s="5" t="s">
        <v>979</v>
      </c>
      <c r="I229" s="5">
        <f t="shared" si="104"/>
        <v>1996</v>
      </c>
      <c r="J229" s="5" t="str">
        <f t="shared" si="108"/>
        <v/>
      </c>
      <c r="K229" s="152"/>
      <c r="L229" s="7" t="str">
        <f t="shared" si="105"/>
        <v>14/02/1996</v>
      </c>
      <c r="M229" s="8">
        <v>35109</v>
      </c>
      <c r="N229" s="7"/>
      <c r="O229" s="7"/>
      <c r="P229" s="181" t="str">
        <f t="shared" si="90"/>
        <v/>
      </c>
      <c r="Q229" s="153" t="str">
        <f t="shared" si="103"/>
        <v>101e</v>
      </c>
      <c r="R229" s="180" t="str">
        <f t="shared" si="91"/>
        <v/>
      </c>
      <c r="S229" s="25" t="s">
        <v>3244</v>
      </c>
      <c r="T229" s="5">
        <f t="shared" si="92"/>
        <v>7</v>
      </c>
      <c r="U229" s="5">
        <f t="shared" si="93"/>
        <v>5</v>
      </c>
      <c r="V229" s="5">
        <f>VLOOKUP(B229,'Loyd List 1-190 - Edit'!$A$2:$B$220,2,FALSE)</f>
        <v>5</v>
      </c>
      <c r="W229" s="155">
        <f t="shared" si="94"/>
        <v>2</v>
      </c>
      <c r="X229" s="105"/>
      <c r="Y229" s="105"/>
      <c r="Z229" s="164"/>
      <c r="AA229" s="6">
        <v>248</v>
      </c>
      <c r="AB229" s="5">
        <f t="shared" si="106"/>
        <v>85</v>
      </c>
      <c r="AC229" s="5">
        <f t="shared" si="101"/>
        <v>2085</v>
      </c>
      <c r="AD229" s="97" t="str">
        <f t="shared" si="95"/>
        <v>101ec</v>
      </c>
      <c r="AE229" s="5" t="str">
        <f t="shared" si="96"/>
        <v>Laura Felicity Hamilton WILLS (1996 - )</v>
      </c>
      <c r="AF229" s="5" t="str">
        <f t="shared" si="97"/>
        <v>Laura WILLS (7th &amp; 101)</v>
      </c>
      <c r="AG229" s="110" t="str">
        <f t="shared" si="98"/>
        <v>Female</v>
      </c>
      <c r="AH229" s="5" t="str">
        <f t="shared" si="99"/>
        <v>7th</v>
      </c>
      <c r="AI229" s="5" t="str">
        <f t="shared" si="107"/>
        <v>Unmarried</v>
      </c>
      <c r="AJ229" s="105" t="str">
        <f t="shared" si="102"/>
        <v>Female. b. 14/02/1996</v>
      </c>
      <c r="AK229" s="105" t="str">
        <f t="shared" si="100"/>
        <v>b. 14/02/1996</v>
      </c>
    </row>
    <row r="230" spans="1:37" s="5" customFormat="1" ht="20">
      <c r="A230" s="5">
        <f>VLOOKUP(B230,'Loyd List 1-190 - Edit'!$P$1:$R$219,3,FALSE)</f>
        <v>56</v>
      </c>
      <c r="B230" s="5">
        <f t="shared" si="109"/>
        <v>101</v>
      </c>
      <c r="C230" s="157" t="s">
        <v>1611</v>
      </c>
      <c r="D230" s="6" t="s">
        <v>1609</v>
      </c>
      <c r="E230" s="160" t="s">
        <v>928</v>
      </c>
      <c r="F230" s="5" t="s">
        <v>1610</v>
      </c>
      <c r="I230" s="5">
        <f t="shared" si="104"/>
        <v>1993</v>
      </c>
      <c r="J230" s="5" t="str">
        <f t="shared" si="108"/>
        <v/>
      </c>
      <c r="K230" s="152"/>
      <c r="L230" s="7" t="str">
        <f t="shared" si="105"/>
        <v>13/12/1993</v>
      </c>
      <c r="M230" s="8">
        <v>34316</v>
      </c>
      <c r="N230" s="7"/>
      <c r="O230" s="7"/>
      <c r="P230" s="181" t="str">
        <f t="shared" si="90"/>
        <v/>
      </c>
      <c r="Q230" s="153" t="str">
        <f t="shared" si="103"/>
        <v>101f</v>
      </c>
      <c r="R230" s="180" t="str">
        <f t="shared" si="91"/>
        <v/>
      </c>
      <c r="S230" s="25" t="s">
        <v>3245</v>
      </c>
      <c r="T230" s="5">
        <f t="shared" si="92"/>
        <v>7</v>
      </c>
      <c r="U230" s="5">
        <f t="shared" si="93"/>
        <v>5</v>
      </c>
      <c r="V230" s="5">
        <f>VLOOKUP(B230,'Loyd List 1-190 - Edit'!$A$2:$B$220,2,FALSE)</f>
        <v>5</v>
      </c>
      <c r="W230" s="155">
        <f t="shared" si="94"/>
        <v>2</v>
      </c>
      <c r="X230" s="105"/>
      <c r="Y230" s="105"/>
      <c r="Z230" s="164" t="s">
        <v>2690</v>
      </c>
      <c r="AA230" s="6">
        <v>250</v>
      </c>
      <c r="AB230" s="5">
        <f t="shared" si="106"/>
        <v>86</v>
      </c>
      <c r="AC230" s="5">
        <f t="shared" si="101"/>
        <v>2086</v>
      </c>
      <c r="AD230" s="97" t="str">
        <f t="shared" si="95"/>
        <v>101fa</v>
      </c>
      <c r="AE230" s="5" t="str">
        <f t="shared" si="96"/>
        <v>Richard Garnett  HEYWOOD (1993 - )</v>
      </c>
      <c r="AF230" s="5" t="str">
        <f t="shared" si="97"/>
        <v>Richard HEYWOOD (7th &amp; 101)</v>
      </c>
      <c r="AG230" s="110" t="str">
        <f t="shared" si="98"/>
        <v>Male</v>
      </c>
      <c r="AH230" s="5" t="str">
        <f t="shared" si="99"/>
        <v>7th</v>
      </c>
      <c r="AI230" s="5" t="str">
        <f t="shared" si="107"/>
        <v>Unmarried</v>
      </c>
      <c r="AJ230" s="105" t="str">
        <f t="shared" si="102"/>
        <v>Male. b. 13/12/1993 Baptised at St John’s, Pewsey, Wiltshire.</v>
      </c>
      <c r="AK230" s="105" t="str">
        <f t="shared" si="100"/>
        <v>b. 13/12/1993</v>
      </c>
    </row>
    <row r="231" spans="1:37" s="5" customFormat="1" ht="20">
      <c r="A231" s="5">
        <f>VLOOKUP(B231,'Loyd List 1-190 - Edit'!$P$1:$R$219,3,FALSE)</f>
        <v>56</v>
      </c>
      <c r="B231" s="5">
        <f t="shared" si="109"/>
        <v>101</v>
      </c>
      <c r="C231" s="157" t="s">
        <v>1613</v>
      </c>
      <c r="D231" s="6" t="s">
        <v>1609</v>
      </c>
      <c r="E231" s="160" t="s">
        <v>1612</v>
      </c>
      <c r="F231" s="5" t="s">
        <v>1610</v>
      </c>
      <c r="I231" s="5">
        <f t="shared" si="104"/>
        <v>1996</v>
      </c>
      <c r="J231" s="5" t="str">
        <f t="shared" si="108"/>
        <v/>
      </c>
      <c r="K231" s="152"/>
      <c r="L231" s="7" t="str">
        <f t="shared" si="105"/>
        <v>22/02/1996</v>
      </c>
      <c r="M231" s="8">
        <v>35117</v>
      </c>
      <c r="N231" s="7"/>
      <c r="O231" s="7"/>
      <c r="P231" s="181" t="str">
        <f t="shared" si="90"/>
        <v/>
      </c>
      <c r="Q231" s="153" t="str">
        <f t="shared" si="103"/>
        <v>101f</v>
      </c>
      <c r="R231" s="180" t="str">
        <f t="shared" si="91"/>
        <v/>
      </c>
      <c r="S231" s="25" t="s">
        <v>3245</v>
      </c>
      <c r="T231" s="5">
        <f t="shared" si="92"/>
        <v>7</v>
      </c>
      <c r="U231" s="5">
        <f t="shared" si="93"/>
        <v>5</v>
      </c>
      <c r="V231" s="5">
        <f>VLOOKUP(B231,'Loyd List 1-190 - Edit'!$A$2:$B$220,2,FALSE)</f>
        <v>5</v>
      </c>
      <c r="W231" s="155">
        <f t="shared" si="94"/>
        <v>2</v>
      </c>
      <c r="X231" s="105"/>
      <c r="Y231" s="105"/>
      <c r="Z231" s="164" t="s">
        <v>2690</v>
      </c>
      <c r="AA231" s="6">
        <v>251</v>
      </c>
      <c r="AB231" s="5">
        <f t="shared" si="106"/>
        <v>87</v>
      </c>
      <c r="AC231" s="5">
        <f t="shared" si="101"/>
        <v>2087</v>
      </c>
      <c r="AD231" s="97" t="str">
        <f t="shared" si="95"/>
        <v>101fb</v>
      </c>
      <c r="AE231" s="5" t="str">
        <f t="shared" si="96"/>
        <v>Alec Garnett  HEYWOOD (1996 - )</v>
      </c>
      <c r="AF231" s="5" t="str">
        <f t="shared" si="97"/>
        <v>Alec HEYWOOD (7th &amp; 101)</v>
      </c>
      <c r="AG231" s="110" t="str">
        <f t="shared" si="98"/>
        <v>Male</v>
      </c>
      <c r="AH231" s="5" t="str">
        <f t="shared" si="99"/>
        <v>7th</v>
      </c>
      <c r="AI231" s="5" t="str">
        <f t="shared" si="107"/>
        <v>Unmarried</v>
      </c>
      <c r="AJ231" s="105" t="str">
        <f t="shared" si="102"/>
        <v>Male. b. 22/02/1996 Baptised at St John’s, Pewsey, Wiltshire.</v>
      </c>
      <c r="AK231" s="105" t="str">
        <f t="shared" si="100"/>
        <v>b. 22/02/1996</v>
      </c>
    </row>
    <row r="232" spans="1:37" s="5" customFormat="1" ht="102">
      <c r="A232" s="5">
        <f>VLOOKUP(B232,'Loyd List 1-190 - Edit'!$P$1:$R$219,3,FALSE)</f>
        <v>62</v>
      </c>
      <c r="B232" s="5">
        <f t="shared" si="109"/>
        <v>102</v>
      </c>
      <c r="C232" s="157" t="s">
        <v>1624</v>
      </c>
      <c r="D232" s="6" t="s">
        <v>1615</v>
      </c>
      <c r="E232" s="156" t="s">
        <v>1621</v>
      </c>
      <c r="F232" s="160" t="s">
        <v>1622</v>
      </c>
      <c r="G232" s="5" t="s">
        <v>1623</v>
      </c>
      <c r="I232" s="5">
        <f t="shared" si="104"/>
        <v>1998</v>
      </c>
      <c r="J232" s="5" t="str">
        <f t="shared" si="108"/>
        <v/>
      </c>
      <c r="K232" s="152"/>
      <c r="L232" s="7" t="str">
        <f t="shared" si="105"/>
        <v>25/03/1998</v>
      </c>
      <c r="M232" s="8">
        <v>35879</v>
      </c>
      <c r="N232" s="7"/>
      <c r="O232" s="7"/>
      <c r="P232" s="181" t="str">
        <f t="shared" si="90"/>
        <v/>
      </c>
      <c r="Q232" s="153" t="str">
        <f t="shared" si="103"/>
        <v>102b</v>
      </c>
      <c r="R232" s="180" t="str">
        <f t="shared" si="91"/>
        <v/>
      </c>
      <c r="S232" s="25" t="s">
        <v>3244</v>
      </c>
      <c r="T232" s="5">
        <f t="shared" si="92"/>
        <v>7</v>
      </c>
      <c r="U232" s="5">
        <f t="shared" si="93"/>
        <v>5</v>
      </c>
      <c r="V232" s="5">
        <f>VLOOKUP(B232,'Loyd List 1-190 - Edit'!$A$2:$B$220,2,FALSE)</f>
        <v>5</v>
      </c>
      <c r="W232" s="155">
        <f t="shared" si="94"/>
        <v>2</v>
      </c>
      <c r="X232" s="105"/>
      <c r="Y232" s="105"/>
      <c r="Z232" s="164" t="s">
        <v>3859</v>
      </c>
      <c r="AA232" s="6">
        <v>254</v>
      </c>
      <c r="AB232" s="5">
        <f t="shared" si="106"/>
        <v>88</v>
      </c>
      <c r="AC232" s="5">
        <f t="shared" si="101"/>
        <v>2088</v>
      </c>
      <c r="AD232" s="97" t="str">
        <f t="shared" si="95"/>
        <v>102ba</v>
      </c>
      <c r="AE232" s="5" t="str">
        <f t="shared" si="96"/>
        <v>Ella Genevieve Elgin DUNLOP (1998 - )</v>
      </c>
      <c r="AF232" s="5" t="str">
        <f t="shared" si="97"/>
        <v>Ella DUNLOP (7th &amp; 102)</v>
      </c>
      <c r="AG232" s="110" t="str">
        <f t="shared" si="98"/>
        <v>Female</v>
      </c>
      <c r="AH232" s="5" t="str">
        <f t="shared" si="99"/>
        <v>7th</v>
      </c>
      <c r="AI232" s="5" t="str">
        <f t="shared" si="107"/>
        <v>Unmarried</v>
      </c>
      <c r="AJ232" s="105" t="str">
        <f t="shared" si="102"/>
        <v>Female. b. 25/03/1998 Born at Hoechst General Hospital, Frankfurt am Main, Germany. Baptised 11 Oct 1998 at St Mary
Abbots, London W8. Educated: Ladies College, Guernsey 2011-14; Canford School, Dorset (scholar) 2014-16; Brasenose, Oxford 2016-2019, (BA Hons Med Science); Green Templeton, Oxford from 2020 (for BM BCh), various papers published.</v>
      </c>
      <c r="AK232" s="105" t="str">
        <f t="shared" si="100"/>
        <v>b. 25/03/1998</v>
      </c>
    </row>
    <row r="233" spans="1:37" s="5" customFormat="1" ht="51">
      <c r="A233" s="5">
        <f>VLOOKUP(B233,'Loyd List 1-190 - Edit'!$P$1:$R$219,3,FALSE)</f>
        <v>62</v>
      </c>
      <c r="B233" s="5">
        <f t="shared" si="109"/>
        <v>102</v>
      </c>
      <c r="C233" s="157" t="s">
        <v>3858</v>
      </c>
      <c r="D233" s="6" t="s">
        <v>1615</v>
      </c>
      <c r="E233" s="156" t="s">
        <v>842</v>
      </c>
      <c r="F233" s="160" t="s">
        <v>1618</v>
      </c>
      <c r="G233" s="5" t="s">
        <v>1623</v>
      </c>
      <c r="I233" s="5">
        <f t="shared" si="104"/>
        <v>2000</v>
      </c>
      <c r="K233" s="152"/>
      <c r="L233" s="7" t="str">
        <f t="shared" si="105"/>
        <v>04/07/2000</v>
      </c>
      <c r="M233" s="8">
        <v>36711</v>
      </c>
      <c r="N233" s="7"/>
      <c r="O233" s="7"/>
      <c r="P233" s="181"/>
      <c r="Q233" s="153" t="str">
        <f t="shared" si="103"/>
        <v>102b</v>
      </c>
      <c r="R233" s="180"/>
      <c r="S233" s="25" t="s">
        <v>3245</v>
      </c>
      <c r="T233" s="5">
        <f t="shared" si="92"/>
        <v>7</v>
      </c>
      <c r="U233" s="5">
        <f t="shared" si="93"/>
        <v>5</v>
      </c>
      <c r="V233" s="5">
        <f>VLOOKUP(B233,'Loyd List 1-190 - Edit'!$A$2:$B$220,2,FALSE)</f>
        <v>5</v>
      </c>
      <c r="W233" s="155">
        <f t="shared" si="94"/>
        <v>2</v>
      </c>
      <c r="X233" s="105"/>
      <c r="Y233" s="105"/>
      <c r="Z233" s="164" t="s">
        <v>3860</v>
      </c>
      <c r="AA233" s="6"/>
      <c r="AB233" s="5">
        <f t="shared" si="106"/>
        <v>89</v>
      </c>
      <c r="AC233" s="5">
        <f t="shared" si="101"/>
        <v>2089</v>
      </c>
      <c r="AD233" s="97" t="str">
        <f t="shared" si="95"/>
        <v>102bb</v>
      </c>
      <c r="AE233" s="5" t="str">
        <f t="shared" si="96"/>
        <v>John Fergus Elgin DUNLOP (2000 - )</v>
      </c>
      <c r="AF233" s="5" t="str">
        <f t="shared" si="97"/>
        <v>John DUNLOP (7th &amp; 102)</v>
      </c>
      <c r="AG233" s="110" t="str">
        <f t="shared" si="98"/>
        <v>Male</v>
      </c>
      <c r="AH233" s="5" t="str">
        <f t="shared" si="99"/>
        <v>7th</v>
      </c>
      <c r="AI233" s="5" t="str">
        <f t="shared" si="107"/>
        <v>Unmarried</v>
      </c>
      <c r="AJ233" s="105" t="str">
        <f t="shared" si="102"/>
        <v>Male. b. 04/07/2000 Born at Portland Hospital, London W1. Baptised 05/11/2000 at St Mary Abbots, London W8. Educated: Eton 2013-2018; Durham 2018-2022 (M Eng Hons). Jaguar Land Rover (drivetrains) from 2022.</v>
      </c>
      <c r="AK233" s="105" t="str">
        <f t="shared" si="100"/>
        <v>b. 04/07/2000</v>
      </c>
    </row>
    <row r="234" spans="1:37" s="5" customFormat="1" ht="20">
      <c r="A234" s="5">
        <f>VLOOKUP(B234,'Loyd List 1-190 - Edit'!$P$1:$R$219,3,FALSE)</f>
        <v>72</v>
      </c>
      <c r="B234" s="5">
        <f t="shared" si="109"/>
        <v>103</v>
      </c>
      <c r="C234" s="157" t="s">
        <v>1631</v>
      </c>
      <c r="D234" s="6" t="s">
        <v>1628</v>
      </c>
      <c r="E234" s="156" t="s">
        <v>1492</v>
      </c>
      <c r="F234" s="160" t="s">
        <v>929</v>
      </c>
      <c r="I234" s="5">
        <f t="shared" si="104"/>
        <v>1984</v>
      </c>
      <c r="J234" s="5" t="str">
        <f t="shared" si="108"/>
        <v/>
      </c>
      <c r="K234" s="152"/>
      <c r="L234" s="7" t="str">
        <f t="shared" si="105"/>
        <v>19/12/1984</v>
      </c>
      <c r="M234" s="8">
        <v>31035</v>
      </c>
      <c r="N234" s="7"/>
      <c r="O234" s="7"/>
      <c r="P234" s="181" t="str">
        <f t="shared" si="90"/>
        <v/>
      </c>
      <c r="Q234" s="153" t="str">
        <f t="shared" si="103"/>
        <v>103a</v>
      </c>
      <c r="R234" s="180" t="str">
        <f t="shared" si="91"/>
        <v/>
      </c>
      <c r="S234" s="25" t="s">
        <v>3244</v>
      </c>
      <c r="T234" s="5">
        <f t="shared" si="92"/>
        <v>7</v>
      </c>
      <c r="U234" s="5">
        <f t="shared" si="93"/>
        <v>5</v>
      </c>
      <c r="V234" s="5">
        <f>VLOOKUP(B234,'Loyd List 1-190 - Edit'!$A$2:$B$220,2,FALSE)</f>
        <v>5</v>
      </c>
      <c r="W234" s="155">
        <f t="shared" si="94"/>
        <v>2</v>
      </c>
      <c r="X234" s="105"/>
      <c r="Y234" s="105"/>
      <c r="Z234" s="164" t="s">
        <v>2699</v>
      </c>
      <c r="AA234" s="6">
        <v>257</v>
      </c>
      <c r="AB234" s="5">
        <f t="shared" si="106"/>
        <v>90</v>
      </c>
      <c r="AC234" s="5">
        <f t="shared" si="101"/>
        <v>2090</v>
      </c>
      <c r="AD234" s="97" t="str">
        <f t="shared" si="95"/>
        <v>103aa</v>
      </c>
      <c r="AE234" s="5" t="str">
        <f t="shared" si="96"/>
        <v>Marina Harriet  GORE-BROWNE (1984 - )</v>
      </c>
      <c r="AF234" s="5" t="str">
        <f t="shared" si="97"/>
        <v>Marina GORE-BROWNE (7th &amp; 103)</v>
      </c>
      <c r="AG234" s="110" t="str">
        <f t="shared" si="98"/>
        <v>Female</v>
      </c>
      <c r="AH234" s="5" t="str">
        <f t="shared" si="99"/>
        <v>7th</v>
      </c>
      <c r="AI234" s="5" t="str">
        <f t="shared" si="107"/>
        <v>Unmarried</v>
      </c>
      <c r="AJ234" s="105" t="str">
        <f t="shared" si="102"/>
        <v>Female. b. 19/12/1984 Baptised at Holy Trinity, Clapham Common, London.</v>
      </c>
      <c r="AK234" s="105" t="str">
        <f t="shared" si="100"/>
        <v>b. 19/12/1984</v>
      </c>
    </row>
    <row r="235" spans="1:37" s="5" customFormat="1" ht="20">
      <c r="A235" s="5">
        <f>VLOOKUP(B235,'Loyd List 1-190 - Edit'!$P$1:$R$219,3,FALSE)</f>
        <v>72</v>
      </c>
      <c r="B235" s="5">
        <f t="shared" si="109"/>
        <v>103</v>
      </c>
      <c r="C235" s="157" t="s">
        <v>1634</v>
      </c>
      <c r="D235" s="6" t="s">
        <v>1628</v>
      </c>
      <c r="E235" s="156" t="s">
        <v>1632</v>
      </c>
      <c r="F235" s="160" t="s">
        <v>807</v>
      </c>
      <c r="I235" s="5">
        <f t="shared" si="104"/>
        <v>1987</v>
      </c>
      <c r="J235" s="5" t="str">
        <f t="shared" si="108"/>
        <v/>
      </c>
      <c r="K235" s="152"/>
      <c r="L235" s="7" t="str">
        <f t="shared" si="105"/>
        <v>21/01/1987</v>
      </c>
      <c r="M235" s="8">
        <v>31798</v>
      </c>
      <c r="N235" s="7"/>
      <c r="O235" s="7"/>
      <c r="P235" s="181" t="str">
        <f t="shared" si="90"/>
        <v/>
      </c>
      <c r="Q235" s="153" t="str">
        <f t="shared" si="103"/>
        <v>103a</v>
      </c>
      <c r="R235" s="180" t="str">
        <f t="shared" si="91"/>
        <v/>
      </c>
      <c r="S235" s="25" t="s">
        <v>3245</v>
      </c>
      <c r="T235" s="5">
        <f t="shared" si="92"/>
        <v>7</v>
      </c>
      <c r="U235" s="5">
        <f t="shared" si="93"/>
        <v>5</v>
      </c>
      <c r="V235" s="5">
        <f>VLOOKUP(B235,'Loyd List 1-190 - Edit'!$A$2:$B$220,2,FALSE)</f>
        <v>5</v>
      </c>
      <c r="W235" s="155">
        <f t="shared" si="94"/>
        <v>2</v>
      </c>
      <c r="X235" s="105"/>
      <c r="Y235" s="105"/>
      <c r="Z235" s="164" t="s">
        <v>2699</v>
      </c>
      <c r="AA235" s="6">
        <v>258</v>
      </c>
      <c r="AB235" s="5">
        <f t="shared" si="106"/>
        <v>91</v>
      </c>
      <c r="AC235" s="5">
        <f t="shared" si="101"/>
        <v>2091</v>
      </c>
      <c r="AD235" s="97" t="str">
        <f t="shared" si="95"/>
        <v>103ab</v>
      </c>
      <c r="AE235" s="5" t="str">
        <f t="shared" si="96"/>
        <v>Frederick Henry  GORE-BROWNE (1987 - )</v>
      </c>
      <c r="AF235" s="5" t="str">
        <f t="shared" si="97"/>
        <v>Frederick GORE-BROWNE (7th &amp; 103)</v>
      </c>
      <c r="AG235" s="110" t="str">
        <f t="shared" si="98"/>
        <v>Male</v>
      </c>
      <c r="AH235" s="5" t="str">
        <f t="shared" si="99"/>
        <v>7th</v>
      </c>
      <c r="AI235" s="5" t="str">
        <f t="shared" si="107"/>
        <v>Unmarried</v>
      </c>
      <c r="AJ235" s="105" t="str">
        <f t="shared" si="102"/>
        <v>Male. b. 21/01/1987 Baptised at Holy Trinity, Clapham Common, London.</v>
      </c>
      <c r="AK235" s="105" t="str">
        <f t="shared" si="100"/>
        <v>b. 21/01/1987</v>
      </c>
    </row>
    <row r="236" spans="1:37" s="5" customFormat="1" ht="20">
      <c r="A236" s="5">
        <f>VLOOKUP(B236,'Loyd List 1-190 - Edit'!$P$1:$R$219,3,FALSE)</f>
        <v>72</v>
      </c>
      <c r="B236" s="5">
        <f t="shared" si="109"/>
        <v>103</v>
      </c>
      <c r="C236" s="157" t="s">
        <v>1637</v>
      </c>
      <c r="D236" s="6" t="s">
        <v>1628</v>
      </c>
      <c r="E236" s="156" t="s">
        <v>1635</v>
      </c>
      <c r="F236" s="160" t="s">
        <v>1636</v>
      </c>
      <c r="I236" s="5">
        <f t="shared" si="104"/>
        <v>1988</v>
      </c>
      <c r="J236" s="5" t="str">
        <f t="shared" si="108"/>
        <v/>
      </c>
      <c r="K236" s="152"/>
      <c r="L236" s="7" t="str">
        <f t="shared" si="105"/>
        <v>20/04/1988</v>
      </c>
      <c r="M236" s="8">
        <v>32253</v>
      </c>
      <c r="N236" s="7"/>
      <c r="O236" s="7"/>
      <c r="P236" s="181" t="str">
        <f t="shared" si="90"/>
        <v/>
      </c>
      <c r="Q236" s="153" t="str">
        <f t="shared" si="103"/>
        <v>103a</v>
      </c>
      <c r="R236" s="180" t="str">
        <f t="shared" si="91"/>
        <v/>
      </c>
      <c r="S236" s="25" t="s">
        <v>3245</v>
      </c>
      <c r="T236" s="5">
        <f t="shared" si="92"/>
        <v>7</v>
      </c>
      <c r="U236" s="5">
        <f t="shared" si="93"/>
        <v>5</v>
      </c>
      <c r="V236" s="5">
        <f>VLOOKUP(B236,'Loyd List 1-190 - Edit'!$A$2:$B$220,2,FALSE)</f>
        <v>5</v>
      </c>
      <c r="W236" s="155">
        <f t="shared" si="94"/>
        <v>2</v>
      </c>
      <c r="X236" s="105"/>
      <c r="Y236" s="105"/>
      <c r="Z236" s="164" t="s">
        <v>2699</v>
      </c>
      <c r="AA236" s="6">
        <v>259</v>
      </c>
      <c r="AB236" s="5">
        <f t="shared" si="106"/>
        <v>92</v>
      </c>
      <c r="AC236" s="5">
        <f t="shared" si="101"/>
        <v>2092</v>
      </c>
      <c r="AD236" s="97" t="str">
        <f t="shared" si="95"/>
        <v>103ac</v>
      </c>
      <c r="AE236" s="5" t="str">
        <f t="shared" si="96"/>
        <v>Harry Alastair  GORE-BROWNE (1988 - )</v>
      </c>
      <c r="AF236" s="5" t="str">
        <f t="shared" si="97"/>
        <v>Harry GORE-BROWNE (7th &amp; 103)</v>
      </c>
      <c r="AG236" s="110" t="str">
        <f t="shared" si="98"/>
        <v>Male</v>
      </c>
      <c r="AH236" s="5" t="str">
        <f t="shared" si="99"/>
        <v>7th</v>
      </c>
      <c r="AI236" s="5" t="str">
        <f t="shared" si="107"/>
        <v>Unmarried</v>
      </c>
      <c r="AJ236" s="105" t="str">
        <f t="shared" si="102"/>
        <v>Male. b. 20/04/1988 Baptised at Holy Trinity, Clapham Common, London.</v>
      </c>
      <c r="AK236" s="105" t="str">
        <f t="shared" si="100"/>
        <v>b. 20/04/1988</v>
      </c>
    </row>
    <row r="237" spans="1:37" s="5" customFormat="1" ht="20">
      <c r="A237" s="5">
        <f>VLOOKUP(B237,'Loyd List 1-190 - Edit'!$P$1:$R$219,3,FALSE)</f>
        <v>72</v>
      </c>
      <c r="B237" s="5">
        <f t="shared" si="109"/>
        <v>103</v>
      </c>
      <c r="C237" s="157" t="s">
        <v>1639</v>
      </c>
      <c r="D237" s="6" t="s">
        <v>1638</v>
      </c>
      <c r="E237" s="156" t="s">
        <v>811</v>
      </c>
      <c r="F237" s="160" t="s">
        <v>852</v>
      </c>
      <c r="I237" s="5">
        <f t="shared" si="104"/>
        <v>1971</v>
      </c>
      <c r="J237" s="5" t="str">
        <f t="shared" si="108"/>
        <v/>
      </c>
      <c r="K237" s="152"/>
      <c r="L237" s="7" t="str">
        <f t="shared" si="105"/>
        <v>15/09/1971</v>
      </c>
      <c r="M237" s="8">
        <v>26191</v>
      </c>
      <c r="N237" s="7"/>
      <c r="O237" s="7"/>
      <c r="P237" s="181" t="str">
        <f t="shared" si="90"/>
        <v/>
      </c>
      <c r="Q237" s="153" t="str">
        <f t="shared" si="103"/>
        <v>103b</v>
      </c>
      <c r="R237" s="180" t="str">
        <f t="shared" si="91"/>
        <v/>
      </c>
      <c r="S237" s="25" t="s">
        <v>3245</v>
      </c>
      <c r="T237" s="5">
        <f t="shared" si="92"/>
        <v>7</v>
      </c>
      <c r="U237" s="5">
        <f t="shared" si="93"/>
        <v>5</v>
      </c>
      <c r="V237" s="5">
        <f>VLOOKUP(B237,'Loyd List 1-190 - Edit'!$A$2:$B$220,2,FALSE)</f>
        <v>5</v>
      </c>
      <c r="W237" s="155">
        <f t="shared" si="94"/>
        <v>2</v>
      </c>
      <c r="X237" s="105"/>
      <c r="Y237" s="105"/>
      <c r="Z237" s="164" t="s">
        <v>2703</v>
      </c>
      <c r="AA237" s="6">
        <v>261</v>
      </c>
      <c r="AB237" s="5">
        <f t="shared" si="106"/>
        <v>93</v>
      </c>
      <c r="AC237" s="5">
        <f t="shared" si="101"/>
        <v>2093</v>
      </c>
      <c r="AD237" s="97" t="str">
        <f t="shared" si="95"/>
        <v>103ba</v>
      </c>
      <c r="AE237" s="5" t="str">
        <f t="shared" si="96"/>
        <v>Edward Thomas  PILKINGTON (1971 - )</v>
      </c>
      <c r="AF237" s="5" t="str">
        <f t="shared" si="97"/>
        <v>Edward PILKINGTON (7th &amp; 103)</v>
      </c>
      <c r="AG237" s="110" t="str">
        <f t="shared" si="98"/>
        <v>Male</v>
      </c>
      <c r="AH237" s="5" t="str">
        <f t="shared" si="99"/>
        <v>7th</v>
      </c>
      <c r="AI237" s="5" t="str">
        <f t="shared" si="107"/>
        <v>Unmarried</v>
      </c>
      <c r="AJ237" s="105" t="str">
        <f t="shared" si="102"/>
        <v>Male. b. 15/09/1971 Born in London. Baptised at St Michael’s, Chester Square, London.</v>
      </c>
      <c r="AK237" s="105" t="str">
        <f t="shared" si="100"/>
        <v>b. 15/09/1971</v>
      </c>
    </row>
    <row r="238" spans="1:37" s="5" customFormat="1" ht="20">
      <c r="A238" s="5">
        <f>VLOOKUP(B238,'Loyd List 1-190 - Edit'!$P$1:$R$219,3,FALSE)</f>
        <v>72</v>
      </c>
      <c r="B238" s="5">
        <f t="shared" si="109"/>
        <v>103</v>
      </c>
      <c r="C238" s="157" t="s">
        <v>1641</v>
      </c>
      <c r="D238" s="6" t="s">
        <v>1638</v>
      </c>
      <c r="E238" s="156" t="s">
        <v>1640</v>
      </c>
      <c r="F238" s="160" t="s">
        <v>870</v>
      </c>
      <c r="H238" s="5" t="s">
        <v>1376</v>
      </c>
      <c r="I238" s="5">
        <f t="shared" si="104"/>
        <v>1973</v>
      </c>
      <c r="J238" s="5" t="str">
        <f t="shared" si="108"/>
        <v/>
      </c>
      <c r="K238" s="152"/>
      <c r="L238" s="7" t="str">
        <f t="shared" si="105"/>
        <v>24/05/1973</v>
      </c>
      <c r="M238" s="8">
        <v>26808</v>
      </c>
      <c r="N238" s="7"/>
      <c r="O238" s="7"/>
      <c r="P238" s="181" t="str">
        <f t="shared" si="90"/>
        <v/>
      </c>
      <c r="Q238" s="153" t="str">
        <f t="shared" si="103"/>
        <v>103b</v>
      </c>
      <c r="R238" s="180" t="str">
        <f t="shared" si="91"/>
        <v/>
      </c>
      <c r="S238" s="25" t="s">
        <v>3244</v>
      </c>
      <c r="T238" s="5">
        <f t="shared" si="92"/>
        <v>7</v>
      </c>
      <c r="U238" s="5">
        <f t="shared" si="93"/>
        <v>5</v>
      </c>
      <c r="V238" s="5">
        <f>VLOOKUP(B238,'Loyd List 1-190 - Edit'!$A$2:$B$220,2,FALSE)</f>
        <v>5</v>
      </c>
      <c r="W238" s="155">
        <f t="shared" si="94"/>
        <v>2</v>
      </c>
      <c r="X238" s="105"/>
      <c r="Y238" s="105"/>
      <c r="Z238" s="164" t="s">
        <v>2704</v>
      </c>
      <c r="AA238" s="6">
        <v>262</v>
      </c>
      <c r="AB238" s="5">
        <f t="shared" si="106"/>
        <v>94</v>
      </c>
      <c r="AC238" s="5">
        <f t="shared" si="101"/>
        <v>2094</v>
      </c>
      <c r="AD238" s="97" t="str">
        <f t="shared" si="95"/>
        <v>103bb</v>
      </c>
      <c r="AE238" s="5" t="str">
        <f t="shared" si="96"/>
        <v>Lucinda Mary  PILKINGTON (1973 - )</v>
      </c>
      <c r="AF238" s="5" t="str">
        <f t="shared" si="97"/>
        <v>Lucy PILKINGTON (7th &amp; 103)</v>
      </c>
      <c r="AG238" s="110" t="str">
        <f t="shared" si="98"/>
        <v>Female</v>
      </c>
      <c r="AH238" s="5" t="str">
        <f t="shared" si="99"/>
        <v>7th</v>
      </c>
      <c r="AI238" s="5" t="str">
        <f t="shared" si="107"/>
        <v>Unmarried</v>
      </c>
      <c r="AJ238" s="105" t="str">
        <f t="shared" si="102"/>
        <v>Female. b. 24/05/1973 Born in London. Baptised 3 Dec 1973 at Cirencester Parish Church.</v>
      </c>
      <c r="AK238" s="105" t="str">
        <f t="shared" si="100"/>
        <v>b. 24/05/1973</v>
      </c>
    </row>
    <row r="239" spans="1:37" s="5" customFormat="1" ht="20">
      <c r="A239" s="5">
        <f>VLOOKUP(B239,'Loyd List 1-190 - Edit'!$P$1:$R$219,3,FALSE)</f>
        <v>72</v>
      </c>
      <c r="B239" s="5">
        <f t="shared" si="109"/>
        <v>103</v>
      </c>
      <c r="C239" s="157" t="s">
        <v>1642</v>
      </c>
      <c r="D239" s="6" t="s">
        <v>1638</v>
      </c>
      <c r="E239" s="156" t="s">
        <v>1589</v>
      </c>
      <c r="F239" s="160" t="s">
        <v>918</v>
      </c>
      <c r="I239" s="5">
        <f t="shared" si="104"/>
        <v>1976</v>
      </c>
      <c r="J239" s="5" t="str">
        <f t="shared" si="108"/>
        <v/>
      </c>
      <c r="K239" s="152"/>
      <c r="L239" s="7" t="str">
        <f t="shared" si="105"/>
        <v>29/04/1976</v>
      </c>
      <c r="M239" s="8">
        <v>27879</v>
      </c>
      <c r="N239" s="7"/>
      <c r="O239" s="7"/>
      <c r="P239" s="181" t="str">
        <f t="shared" si="90"/>
        <v/>
      </c>
      <c r="Q239" s="153" t="str">
        <f t="shared" si="103"/>
        <v>103b</v>
      </c>
      <c r="R239" s="180" t="str">
        <f t="shared" si="91"/>
        <v/>
      </c>
      <c r="S239" s="25" t="s">
        <v>3245</v>
      </c>
      <c r="T239" s="5">
        <f t="shared" si="92"/>
        <v>7</v>
      </c>
      <c r="U239" s="5">
        <f t="shared" si="93"/>
        <v>5</v>
      </c>
      <c r="V239" s="5">
        <f>VLOOKUP(B239,'Loyd List 1-190 - Edit'!$A$2:$B$220,2,FALSE)</f>
        <v>5</v>
      </c>
      <c r="W239" s="155">
        <f t="shared" si="94"/>
        <v>2</v>
      </c>
      <c r="X239" s="105"/>
      <c r="Y239" s="105"/>
      <c r="Z239" s="164" t="s">
        <v>2705</v>
      </c>
      <c r="AA239" s="6">
        <v>263</v>
      </c>
      <c r="AB239" s="5">
        <f t="shared" si="106"/>
        <v>95</v>
      </c>
      <c r="AC239" s="5">
        <f t="shared" si="101"/>
        <v>2095</v>
      </c>
      <c r="AD239" s="97" t="str">
        <f t="shared" si="95"/>
        <v>103bc</v>
      </c>
      <c r="AE239" s="5" t="str">
        <f t="shared" si="96"/>
        <v>Nicholas James  PILKINGTON (1976 - )</v>
      </c>
      <c r="AF239" s="5" t="str">
        <f t="shared" si="97"/>
        <v>Nicholas PILKINGTON (7th &amp; 103)</v>
      </c>
      <c r="AG239" s="110" t="str">
        <f t="shared" si="98"/>
        <v>Male</v>
      </c>
      <c r="AH239" s="5" t="str">
        <f t="shared" si="99"/>
        <v>7th</v>
      </c>
      <c r="AI239" s="5" t="str">
        <f t="shared" si="107"/>
        <v>Unmarried</v>
      </c>
      <c r="AJ239" s="105" t="str">
        <f t="shared" si="102"/>
        <v>Male. b. 29/04/1976 Born in Salisbury. Baptised at St Andrew’s, Landford, Salisbury.</v>
      </c>
      <c r="AK239" s="105" t="str">
        <f t="shared" si="100"/>
        <v>b. 29/04/1976</v>
      </c>
    </row>
    <row r="240" spans="1:37" s="5" customFormat="1" ht="20">
      <c r="A240" s="5">
        <f>VLOOKUP(B240,'Loyd List 1-190 - Edit'!$P$1:$R$219,3,FALSE)</f>
        <v>72</v>
      </c>
      <c r="B240" s="5">
        <f t="shared" si="109"/>
        <v>103</v>
      </c>
      <c r="C240" s="157" t="s">
        <v>1651</v>
      </c>
      <c r="D240" s="6" t="s">
        <v>1638</v>
      </c>
      <c r="E240" s="156" t="s">
        <v>1644</v>
      </c>
      <c r="F240" s="160" t="s">
        <v>846</v>
      </c>
      <c r="I240" s="5">
        <f t="shared" si="104"/>
        <v>1979</v>
      </c>
      <c r="J240" s="5" t="str">
        <f t="shared" si="108"/>
        <v/>
      </c>
      <c r="K240" s="152"/>
      <c r="L240" s="7" t="str">
        <f t="shared" si="105"/>
        <v>03/01/1979</v>
      </c>
      <c r="M240" s="8">
        <v>28858</v>
      </c>
      <c r="N240" s="7"/>
      <c r="O240" s="7"/>
      <c r="P240" s="181" t="str">
        <f t="shared" si="90"/>
        <v/>
      </c>
      <c r="Q240" s="153" t="str">
        <f t="shared" si="103"/>
        <v>103b</v>
      </c>
      <c r="R240" s="180" t="str">
        <f t="shared" si="91"/>
        <v/>
      </c>
      <c r="S240" s="25" t="s">
        <v>3244</v>
      </c>
      <c r="T240" s="5">
        <f t="shared" si="92"/>
        <v>7</v>
      </c>
      <c r="U240" s="5">
        <f t="shared" si="93"/>
        <v>5</v>
      </c>
      <c r="V240" s="5">
        <f>VLOOKUP(B240,'Loyd List 1-190 - Edit'!$A$2:$B$220,2,FALSE)</f>
        <v>5</v>
      </c>
      <c r="W240" s="155">
        <f t="shared" si="94"/>
        <v>2</v>
      </c>
      <c r="X240" s="105"/>
      <c r="Y240" s="105"/>
      <c r="Z240" s="164" t="s">
        <v>2705</v>
      </c>
      <c r="AA240" s="6">
        <v>264</v>
      </c>
      <c r="AB240" s="5">
        <f t="shared" si="106"/>
        <v>96</v>
      </c>
      <c r="AC240" s="5">
        <f t="shared" si="101"/>
        <v>2096</v>
      </c>
      <c r="AD240" s="97" t="str">
        <f t="shared" si="95"/>
        <v>103bd</v>
      </c>
      <c r="AE240" s="5" t="str">
        <f t="shared" si="96"/>
        <v>Claire Georgina  PILKINGTON (1979 - )</v>
      </c>
      <c r="AF240" s="5" t="str">
        <f t="shared" si="97"/>
        <v>Claire PILKINGTON (7th &amp; 103)</v>
      </c>
      <c r="AG240" s="110" t="str">
        <f t="shared" si="98"/>
        <v>Female</v>
      </c>
      <c r="AH240" s="5" t="str">
        <f t="shared" si="99"/>
        <v>7th</v>
      </c>
      <c r="AI240" s="5" t="str">
        <f t="shared" si="107"/>
        <v>Unmarried</v>
      </c>
      <c r="AJ240" s="105" t="str">
        <f t="shared" si="102"/>
        <v>Female. b. 03/01/1979 Born in Salisbury. Baptised at St Andrew’s, Landford, Salisbury.</v>
      </c>
      <c r="AK240" s="105" t="str">
        <f t="shared" si="100"/>
        <v>b. 03/01/1979</v>
      </c>
    </row>
    <row r="241" spans="1:37" s="5" customFormat="1" ht="34">
      <c r="A241" s="5">
        <f>VLOOKUP(B241,'Loyd List 1-190 - Edit'!$P$1:$R$219,3,FALSE)</f>
        <v>72</v>
      </c>
      <c r="B241" s="5">
        <f t="shared" si="109"/>
        <v>103</v>
      </c>
      <c r="C241" s="157" t="s">
        <v>1646</v>
      </c>
      <c r="D241" s="6" t="s">
        <v>1628</v>
      </c>
      <c r="E241" s="156" t="s">
        <v>830</v>
      </c>
      <c r="F241" s="160" t="s">
        <v>852</v>
      </c>
      <c r="I241" s="5">
        <f t="shared" si="104"/>
        <v>1988</v>
      </c>
      <c r="J241" s="5" t="str">
        <f t="shared" si="108"/>
        <v/>
      </c>
      <c r="K241" s="152"/>
      <c r="L241" s="7" t="str">
        <f t="shared" si="105"/>
        <v>28/05/1988</v>
      </c>
      <c r="M241" s="8">
        <v>32291</v>
      </c>
      <c r="N241" s="7"/>
      <c r="O241" s="7"/>
      <c r="P241" s="181" t="str">
        <f t="shared" si="90"/>
        <v/>
      </c>
      <c r="Q241" s="153" t="str">
        <f t="shared" si="103"/>
        <v>103c</v>
      </c>
      <c r="R241" s="180" t="str">
        <f t="shared" si="91"/>
        <v/>
      </c>
      <c r="S241" s="25" t="s">
        <v>3245</v>
      </c>
      <c r="T241" s="5">
        <f t="shared" si="92"/>
        <v>7</v>
      </c>
      <c r="U241" s="5">
        <f t="shared" si="93"/>
        <v>5</v>
      </c>
      <c r="V241" s="5">
        <f>VLOOKUP(B241,'Loyd List 1-190 - Edit'!$A$2:$B$220,2,FALSE)</f>
        <v>5</v>
      </c>
      <c r="W241" s="155">
        <f t="shared" si="94"/>
        <v>2</v>
      </c>
      <c r="X241" s="105"/>
      <c r="Y241" s="105"/>
      <c r="Z241" s="164" t="s">
        <v>2709</v>
      </c>
      <c r="AA241" s="6">
        <v>266</v>
      </c>
      <c r="AB241" s="5">
        <f t="shared" si="106"/>
        <v>97</v>
      </c>
      <c r="AC241" s="5">
        <f t="shared" si="101"/>
        <v>2097</v>
      </c>
      <c r="AD241" s="97" t="str">
        <f t="shared" si="95"/>
        <v>103ca</v>
      </c>
      <c r="AE241" s="5" t="str">
        <f t="shared" si="96"/>
        <v>William Thomas  GORE-BROWNE (1988 - )</v>
      </c>
      <c r="AF241" s="5" t="str">
        <f t="shared" si="97"/>
        <v>William GORE-BROWNE (7th &amp; 103)</v>
      </c>
      <c r="AG241" s="110" t="str">
        <f t="shared" si="98"/>
        <v>Male</v>
      </c>
      <c r="AH241" s="5" t="str">
        <f t="shared" si="99"/>
        <v>7th</v>
      </c>
      <c r="AI241" s="5" t="str">
        <f t="shared" si="107"/>
        <v>Unmarried</v>
      </c>
      <c r="AJ241" s="105" t="str">
        <f t="shared" si="102"/>
        <v>Male. b. 28/05/1988 Born at Salisbury. Baptised at Damerham Parish Church, Fordingbridge.</v>
      </c>
      <c r="AK241" s="105" t="str">
        <f t="shared" si="100"/>
        <v>b. 28/05/1988</v>
      </c>
    </row>
    <row r="242" spans="1:37" s="5" customFormat="1" ht="20">
      <c r="A242" s="5">
        <f>VLOOKUP(B242,'Loyd List 1-190 - Edit'!$P$1:$R$219,3,FALSE)</f>
        <v>72</v>
      </c>
      <c r="B242" s="5">
        <f t="shared" si="109"/>
        <v>103</v>
      </c>
      <c r="C242" s="157" t="s">
        <v>1649</v>
      </c>
      <c r="D242" s="6" t="s">
        <v>1628</v>
      </c>
      <c r="E242" s="156" t="s">
        <v>1647</v>
      </c>
      <c r="F242" s="160" t="s">
        <v>903</v>
      </c>
      <c r="G242" s="5" t="s">
        <v>1648</v>
      </c>
      <c r="I242" s="5">
        <f t="shared" si="104"/>
        <v>1990</v>
      </c>
      <c r="J242" s="5" t="str">
        <f t="shared" si="108"/>
        <v/>
      </c>
      <c r="K242" s="152"/>
      <c r="L242" s="7" t="str">
        <f t="shared" si="105"/>
        <v>17/02/1990</v>
      </c>
      <c r="M242" s="8">
        <v>32921</v>
      </c>
      <c r="N242" s="7"/>
      <c r="O242" s="7"/>
      <c r="P242" s="181" t="str">
        <f t="shared" si="90"/>
        <v/>
      </c>
      <c r="Q242" s="153" t="str">
        <f t="shared" si="103"/>
        <v>103c</v>
      </c>
      <c r="R242" s="180" t="str">
        <f t="shared" si="91"/>
        <v/>
      </c>
      <c r="S242" s="25" t="s">
        <v>3244</v>
      </c>
      <c r="T242" s="5">
        <f t="shared" si="92"/>
        <v>7</v>
      </c>
      <c r="U242" s="5">
        <f t="shared" si="93"/>
        <v>5</v>
      </c>
      <c r="V242" s="5">
        <f>VLOOKUP(B242,'Loyd List 1-190 - Edit'!$A$2:$B$220,2,FALSE)</f>
        <v>5</v>
      </c>
      <c r="W242" s="155">
        <f t="shared" si="94"/>
        <v>2</v>
      </c>
      <c r="X242" s="105"/>
      <c r="Y242" s="105"/>
      <c r="Z242" s="164" t="s">
        <v>2710</v>
      </c>
      <c r="AA242" s="6">
        <v>267</v>
      </c>
      <c r="AB242" s="5">
        <f t="shared" si="106"/>
        <v>98</v>
      </c>
      <c r="AC242" s="5">
        <f t="shared" si="101"/>
        <v>2098</v>
      </c>
      <c r="AD242" s="97" t="str">
        <f t="shared" si="95"/>
        <v>103cb</v>
      </c>
      <c r="AE242" s="5" t="str">
        <f t="shared" si="96"/>
        <v>Heather Caroline Mona GORE-BROWNE (1990 - )</v>
      </c>
      <c r="AF242" s="5" t="str">
        <f t="shared" si="97"/>
        <v>Heather GORE-BROWNE (7th &amp; 103)</v>
      </c>
      <c r="AG242" s="110" t="str">
        <f t="shared" si="98"/>
        <v>Female</v>
      </c>
      <c r="AH242" s="5" t="str">
        <f t="shared" si="99"/>
        <v>7th</v>
      </c>
      <c r="AI242" s="5" t="str">
        <f t="shared" si="107"/>
        <v>Unmarried</v>
      </c>
      <c r="AJ242" s="105" t="str">
        <f t="shared" si="102"/>
        <v>Female. b. 17/02/1990 Born at Salisbury. Baptised at Hale Parish Church, Fordingbridge.</v>
      </c>
      <c r="AK242" s="105" t="str">
        <f t="shared" si="100"/>
        <v>b. 17/02/1990</v>
      </c>
    </row>
    <row r="243" spans="1:37" s="5" customFormat="1" ht="20">
      <c r="A243" s="5">
        <f>VLOOKUP(B243,'Loyd List 1-190 - Edit'!$P$1:$R$219,3,FALSE)</f>
        <v>72</v>
      </c>
      <c r="B243" s="5">
        <f t="shared" si="109"/>
        <v>103</v>
      </c>
      <c r="C243" s="157" t="s">
        <v>1650</v>
      </c>
      <c r="D243" s="6" t="s">
        <v>1628</v>
      </c>
      <c r="E243" s="156" t="s">
        <v>937</v>
      </c>
      <c r="F243" s="160" t="s">
        <v>952</v>
      </c>
      <c r="G243" s="5" t="s">
        <v>871</v>
      </c>
      <c r="I243" s="5">
        <f t="shared" si="104"/>
        <v>1991</v>
      </c>
      <c r="J243" s="5" t="str">
        <f t="shared" si="108"/>
        <v/>
      </c>
      <c r="K243" s="152"/>
      <c r="L243" s="7" t="str">
        <f t="shared" si="105"/>
        <v>27/10/1991</v>
      </c>
      <c r="M243" s="8">
        <v>33538</v>
      </c>
      <c r="N243" s="7"/>
      <c r="O243" s="7"/>
      <c r="P243" s="181" t="str">
        <f t="shared" si="90"/>
        <v/>
      </c>
      <c r="Q243" s="153" t="str">
        <f t="shared" ref="Q243:Q280" si="110">MID(C243,1,LEN(C243)-1)</f>
        <v>103c</v>
      </c>
      <c r="R243" s="180" t="str">
        <f t="shared" si="91"/>
        <v/>
      </c>
      <c r="S243" s="25" t="s">
        <v>3244</v>
      </c>
      <c r="T243" s="5">
        <f t="shared" si="92"/>
        <v>7</v>
      </c>
      <c r="U243" s="5">
        <f t="shared" si="93"/>
        <v>5</v>
      </c>
      <c r="V243" s="5">
        <f>VLOOKUP(B243,'Loyd List 1-190 - Edit'!$A$2:$B$220,2,FALSE)</f>
        <v>5</v>
      </c>
      <c r="W243" s="155">
        <f t="shared" si="94"/>
        <v>2</v>
      </c>
      <c r="X243" s="105"/>
      <c r="Y243" s="105"/>
      <c r="Z243" s="164" t="s">
        <v>2711</v>
      </c>
      <c r="AA243" s="6">
        <v>268</v>
      </c>
      <c r="AB243" s="5">
        <f t="shared" si="106"/>
        <v>99</v>
      </c>
      <c r="AC243" s="5">
        <f t="shared" si="101"/>
        <v>2099</v>
      </c>
      <c r="AD243" s="97" t="str">
        <f t="shared" si="95"/>
        <v>103cc</v>
      </c>
      <c r="AE243" s="5" t="str">
        <f t="shared" si="96"/>
        <v>Rose Elizabeth Lavinia GORE-BROWNE (1991 - )</v>
      </c>
      <c r="AF243" s="5" t="str">
        <f t="shared" si="97"/>
        <v>Rose GORE-BROWNE (7th &amp; 103)</v>
      </c>
      <c r="AG243" s="110" t="str">
        <f t="shared" si="98"/>
        <v>Female</v>
      </c>
      <c r="AH243" s="5" t="str">
        <f t="shared" si="99"/>
        <v>7th</v>
      </c>
      <c r="AI243" s="5" t="str">
        <f t="shared" si="107"/>
        <v>Unmarried</v>
      </c>
      <c r="AJ243" s="105" t="str">
        <f t="shared" si="102"/>
        <v>Female. b. 27/10/1991 Born at Salisbury. Baptised at Hale Parish Church, Fordingbridge.</v>
      </c>
      <c r="AK243" s="105" t="str">
        <f t="shared" si="100"/>
        <v>b. 27/10/1991</v>
      </c>
    </row>
    <row r="244" spans="1:37" s="5" customFormat="1" ht="34">
      <c r="A244" s="5">
        <f>VLOOKUP(B244,'Loyd List 1-190 - Edit'!$P$1:$R$219,3,FALSE)</f>
        <v>72</v>
      </c>
      <c r="B244" s="5">
        <f t="shared" si="109"/>
        <v>103</v>
      </c>
      <c r="C244" s="157" t="s">
        <v>1653</v>
      </c>
      <c r="D244" s="6" t="s">
        <v>1628</v>
      </c>
      <c r="E244" s="156" t="s">
        <v>938</v>
      </c>
      <c r="F244" s="160" t="s">
        <v>870</v>
      </c>
      <c r="I244" s="5">
        <f t="shared" ref="I244:I281" si="111">IF(L244="","",VALUE(RIGHT(L244,4)))</f>
        <v>1985</v>
      </c>
      <c r="J244" s="5" t="str">
        <f t="shared" si="108"/>
        <v/>
      </c>
      <c r="K244" s="152"/>
      <c r="L244" s="7" t="str">
        <f t="shared" ref="L244:L281" si="112">IF(M244="","",TEXT(M244,"dd/mm/yyyy"))</f>
        <v>28/03/1985</v>
      </c>
      <c r="M244" s="8">
        <v>31134</v>
      </c>
      <c r="N244" s="7"/>
      <c r="O244" s="7"/>
      <c r="P244" s="181" t="str">
        <f t="shared" si="90"/>
        <v/>
      </c>
      <c r="Q244" s="153" t="str">
        <f t="shared" si="110"/>
        <v>103d</v>
      </c>
      <c r="R244" s="180" t="str">
        <f t="shared" si="91"/>
        <v/>
      </c>
      <c r="S244" s="25" t="s">
        <v>3244</v>
      </c>
      <c r="T244" s="5">
        <f t="shared" si="92"/>
        <v>7</v>
      </c>
      <c r="U244" s="5">
        <f t="shared" si="93"/>
        <v>5</v>
      </c>
      <c r="V244" s="5">
        <f>VLOOKUP(B244,'Loyd List 1-190 - Edit'!$A$2:$B$220,2,FALSE)</f>
        <v>5</v>
      </c>
      <c r="W244" s="155">
        <f t="shared" si="94"/>
        <v>2</v>
      </c>
      <c r="X244" s="105"/>
      <c r="Y244" s="105"/>
      <c r="Z244" s="164" t="s">
        <v>2715</v>
      </c>
      <c r="AA244" s="6">
        <v>270</v>
      </c>
      <c r="AB244" s="5">
        <f t="shared" si="106"/>
        <v>100</v>
      </c>
      <c r="AC244" s="5">
        <f t="shared" si="101"/>
        <v>2100</v>
      </c>
      <c r="AD244" s="97" t="str">
        <f t="shared" si="95"/>
        <v>103da</v>
      </c>
      <c r="AE244" s="5" t="str">
        <f t="shared" si="96"/>
        <v>Sophie Mary  GORE-BROWNE (1985 - )</v>
      </c>
      <c r="AF244" s="5" t="str">
        <f t="shared" si="97"/>
        <v>Sophie GORE-BROWNE (7th &amp; 103)</v>
      </c>
      <c r="AG244" s="110" t="str">
        <f t="shared" si="98"/>
        <v>Female</v>
      </c>
      <c r="AH244" s="5" t="str">
        <f t="shared" si="99"/>
        <v>7th</v>
      </c>
      <c r="AI244" s="5" t="str">
        <f t="shared" ref="AI244:AI281" si="113">IF(X244="","Unmarried",IF(AG244="Male",_xlfn.CONCAT("Wife: ",X244,". ",Y244),_xlfn.CONCAT("Husband: ",X244,". ",Y244)))</f>
        <v>Unmarried</v>
      </c>
      <c r="AJ244" s="105" t="str">
        <f t="shared" si="102"/>
        <v>Female. b. 28/03/1985 Born at Winchester. Baptised 7 Jul 1985 at St Mary’s, Bentworth, Alton, Hampshire.</v>
      </c>
      <c r="AK244" s="105" t="str">
        <f t="shared" si="100"/>
        <v>b. 28/03/1985</v>
      </c>
    </row>
    <row r="245" spans="1:37" s="5" customFormat="1" ht="34">
      <c r="A245" s="5">
        <f>VLOOKUP(B245,'Loyd List 1-190 - Edit'!$P$1:$R$219,3,FALSE)</f>
        <v>72</v>
      </c>
      <c r="B245" s="5">
        <f t="shared" si="109"/>
        <v>103</v>
      </c>
      <c r="C245" s="157" t="s">
        <v>1643</v>
      </c>
      <c r="D245" s="6" t="s">
        <v>1628</v>
      </c>
      <c r="E245" s="156" t="s">
        <v>952</v>
      </c>
      <c r="F245" s="160" t="s">
        <v>1654</v>
      </c>
      <c r="I245" s="5">
        <f t="shared" si="111"/>
        <v>1988</v>
      </c>
      <c r="J245" s="5" t="str">
        <f t="shared" ref="J245:J264" si="114">IF(O245="","",VALUE(RIGHT(TEXT(O245,"dd/mm/yyyy"),4)))</f>
        <v/>
      </c>
      <c r="K245" s="152"/>
      <c r="L245" s="7" t="str">
        <f t="shared" si="112"/>
        <v>18/05/1988</v>
      </c>
      <c r="M245" s="8">
        <v>32281</v>
      </c>
      <c r="N245" s="7"/>
      <c r="O245" s="7"/>
      <c r="P245" s="181" t="str">
        <f t="shared" si="90"/>
        <v/>
      </c>
      <c r="Q245" s="153" t="str">
        <f t="shared" si="110"/>
        <v>103d</v>
      </c>
      <c r="R245" s="180" t="str">
        <f t="shared" si="91"/>
        <v/>
      </c>
      <c r="S245" s="25" t="s">
        <v>3244</v>
      </c>
      <c r="T245" s="5">
        <f t="shared" si="92"/>
        <v>7</v>
      </c>
      <c r="U245" s="5">
        <f t="shared" si="93"/>
        <v>5</v>
      </c>
      <c r="V245" s="5">
        <f>VLOOKUP(B245,'Loyd List 1-190 - Edit'!$A$2:$B$220,2,FALSE)</f>
        <v>5</v>
      </c>
      <c r="W245" s="155">
        <f t="shared" si="94"/>
        <v>2</v>
      </c>
      <c r="X245" s="105"/>
      <c r="Y245" s="105"/>
      <c r="Z245" s="164" t="s">
        <v>2716</v>
      </c>
      <c r="AA245" s="6">
        <v>271</v>
      </c>
      <c r="AB245" s="5">
        <f t="shared" si="106"/>
        <v>101</v>
      </c>
      <c r="AC245" s="5">
        <f t="shared" si="101"/>
        <v>2101</v>
      </c>
      <c r="AD245" s="97" t="str">
        <f t="shared" si="95"/>
        <v>103db</v>
      </c>
      <c r="AE245" s="5" t="str">
        <f t="shared" si="96"/>
        <v>Elizabeth Clare  GORE-BROWNE (1988 - )</v>
      </c>
      <c r="AF245" s="5" t="str">
        <f t="shared" si="97"/>
        <v>Elizabeth GORE-BROWNE (7th &amp; 103)</v>
      </c>
      <c r="AG245" s="110" t="str">
        <f t="shared" si="98"/>
        <v>Female</v>
      </c>
      <c r="AH245" s="5" t="str">
        <f t="shared" si="99"/>
        <v>7th</v>
      </c>
      <c r="AI245" s="5" t="str">
        <f t="shared" si="113"/>
        <v>Unmarried</v>
      </c>
      <c r="AJ245" s="105" t="str">
        <f t="shared" si="102"/>
        <v>Female. b. 18/05/1988 Born at Winchester.  Baptised 12 Apr 1989 at St Mary’s. Bentworth, Alton, Hampshire.</v>
      </c>
      <c r="AK245" s="105" t="str">
        <f t="shared" si="100"/>
        <v>b. 18/05/1988</v>
      </c>
    </row>
    <row r="246" spans="1:37" s="5" customFormat="1" ht="34">
      <c r="A246" s="5">
        <f>VLOOKUP(B246,'Loyd List 1-190 - Edit'!$P$1:$R$219,3,FALSE)</f>
        <v>72</v>
      </c>
      <c r="B246" s="5">
        <f t="shared" si="109"/>
        <v>103</v>
      </c>
      <c r="C246" s="157" t="s">
        <v>1655</v>
      </c>
      <c r="D246" s="6" t="s">
        <v>1628</v>
      </c>
      <c r="E246" s="156" t="s">
        <v>846</v>
      </c>
      <c r="F246" s="160" t="s">
        <v>998</v>
      </c>
      <c r="I246" s="5">
        <f t="shared" si="111"/>
        <v>1992</v>
      </c>
      <c r="J246" s="5" t="str">
        <f t="shared" si="114"/>
        <v/>
      </c>
      <c r="K246" s="152"/>
      <c r="L246" s="7" t="str">
        <f t="shared" si="112"/>
        <v>14/03/1992</v>
      </c>
      <c r="M246" s="8">
        <v>33677</v>
      </c>
      <c r="N246" s="7"/>
      <c r="O246" s="7"/>
      <c r="P246" s="181" t="str">
        <f t="shared" si="90"/>
        <v/>
      </c>
      <c r="Q246" s="153" t="str">
        <f t="shared" si="110"/>
        <v>103d</v>
      </c>
      <c r="R246" s="180" t="str">
        <f t="shared" si="91"/>
        <v/>
      </c>
      <c r="S246" s="25" t="s">
        <v>3244</v>
      </c>
      <c r="T246" s="5">
        <f t="shared" si="92"/>
        <v>7</v>
      </c>
      <c r="U246" s="5">
        <f t="shared" si="93"/>
        <v>5</v>
      </c>
      <c r="V246" s="5">
        <f>VLOOKUP(B246,'Loyd List 1-190 - Edit'!$A$2:$B$220,2,FALSE)</f>
        <v>5</v>
      </c>
      <c r="W246" s="155">
        <f t="shared" si="94"/>
        <v>2</v>
      </c>
      <c r="X246" s="105"/>
      <c r="Y246" s="105"/>
      <c r="Z246" s="164" t="s">
        <v>2717</v>
      </c>
      <c r="AA246" s="6">
        <v>272</v>
      </c>
      <c r="AB246" s="5">
        <f t="shared" si="106"/>
        <v>102</v>
      </c>
      <c r="AC246" s="5">
        <f t="shared" si="101"/>
        <v>2102</v>
      </c>
      <c r="AD246" s="97" t="str">
        <f t="shared" si="95"/>
        <v>103dc</v>
      </c>
      <c r="AE246" s="5" t="str">
        <f t="shared" si="96"/>
        <v>Georgina Sarah  GORE-BROWNE (1992 - )</v>
      </c>
      <c r="AF246" s="5" t="str">
        <f t="shared" si="97"/>
        <v>Georgina GORE-BROWNE (7th &amp; 103)</v>
      </c>
      <c r="AG246" s="110" t="str">
        <f t="shared" si="98"/>
        <v>Female</v>
      </c>
      <c r="AH246" s="5" t="str">
        <f t="shared" si="99"/>
        <v>7th</v>
      </c>
      <c r="AI246" s="5" t="str">
        <f t="shared" si="113"/>
        <v>Unmarried</v>
      </c>
      <c r="AJ246" s="105" t="str">
        <f t="shared" si="102"/>
        <v>Female. b. 14/03/1992 Born at Winchester. Baptised 20 Sep 1992 at St Mary’s, Bentworth, Alton, Hampshire.</v>
      </c>
      <c r="AK246" s="105" t="str">
        <f t="shared" si="100"/>
        <v>b. 14/03/1992</v>
      </c>
    </row>
    <row r="247" spans="1:37" s="5" customFormat="1" ht="52">
      <c r="A247" s="5">
        <f>VLOOKUP(B247,'Loyd List 1-190 - Edit'!$P$1:$R$219,3,FALSE)</f>
        <v>77</v>
      </c>
      <c r="B247" s="5">
        <f t="shared" si="109"/>
        <v>106</v>
      </c>
      <c r="C247" s="157" t="s">
        <v>1662</v>
      </c>
      <c r="D247" s="6" t="s">
        <v>1660</v>
      </c>
      <c r="E247" s="156" t="s">
        <v>3803</v>
      </c>
      <c r="F247" s="156" t="s">
        <v>876</v>
      </c>
      <c r="G247" s="5" t="s">
        <v>937</v>
      </c>
      <c r="H247" s="5" t="s">
        <v>876</v>
      </c>
      <c r="I247" s="5">
        <f t="shared" si="111"/>
        <v>1988</v>
      </c>
      <c r="J247" s="5" t="str">
        <f t="shared" si="114"/>
        <v/>
      </c>
      <c r="K247" s="152"/>
      <c r="L247" s="7" t="str">
        <f t="shared" si="112"/>
        <v>22/09/1988</v>
      </c>
      <c r="M247" s="10">
        <v>32408</v>
      </c>
      <c r="N247" s="7"/>
      <c r="O247" s="7"/>
      <c r="P247" s="181" t="str">
        <f t="shared" si="90"/>
        <v/>
      </c>
      <c r="Q247" s="153" t="str">
        <f t="shared" si="110"/>
        <v>106a</v>
      </c>
      <c r="R247" s="180" t="str">
        <f t="shared" si="91"/>
        <v/>
      </c>
      <c r="S247" s="25" t="s">
        <v>3244</v>
      </c>
      <c r="T247" s="5">
        <f t="shared" si="92"/>
        <v>7</v>
      </c>
      <c r="U247" s="5">
        <f t="shared" si="93"/>
        <v>5</v>
      </c>
      <c r="V247" s="5">
        <f>VLOOKUP(B247,'Loyd List 1-190 - Edit'!$A$2:$B$220,2,FALSE)</f>
        <v>5</v>
      </c>
      <c r="W247" s="155">
        <f t="shared" si="94"/>
        <v>2</v>
      </c>
      <c r="X247" s="105" t="s">
        <v>3737</v>
      </c>
      <c r="Y247" s="105" t="s">
        <v>3739</v>
      </c>
      <c r="Z247" s="164" t="s">
        <v>2721</v>
      </c>
      <c r="AA247" s="6">
        <v>274</v>
      </c>
      <c r="AB247" s="5">
        <f t="shared" si="106"/>
        <v>103</v>
      </c>
      <c r="AC247" s="5">
        <f t="shared" si="101"/>
        <v>2103</v>
      </c>
      <c r="AD247" s="97" t="str">
        <f t="shared" si="95"/>
        <v>106aa</v>
      </c>
      <c r="AE247" s="5" t="str">
        <f t="shared" si="96"/>
        <v>Helena Charlotte Rose BLACKETT (1988 - )</v>
      </c>
      <c r="AF247" s="5" t="str">
        <f t="shared" si="97"/>
        <v>Charlotte BLACKETT (7th &amp; 106)</v>
      </c>
      <c r="AG247" s="110" t="str">
        <f t="shared" si="98"/>
        <v>Female</v>
      </c>
      <c r="AH247" s="5" t="str">
        <f t="shared" si="99"/>
        <v>7th</v>
      </c>
      <c r="AI247" s="5" t="str">
        <f t="shared" si="113"/>
        <v>Husband: Edward John HOLLAND (b. , d.). Married Edward, 2nd son of Liam Holland of Co. Laois, Ireland, 14/05/2016.</v>
      </c>
      <c r="AJ247" s="105" t="str">
        <f t="shared" si="102"/>
        <v>Female. b. 22/09/1988 Born at Grantham General Hospital. Baptised 4 Dec 1988 at St Dennis’s, Aswarby, Lincolnshire.</v>
      </c>
      <c r="AK247" s="105" t="str">
        <f t="shared" si="100"/>
        <v>b. 22/09/1988</v>
      </c>
    </row>
    <row r="248" spans="1:37" s="5" customFormat="1" ht="52">
      <c r="A248" s="5">
        <f>VLOOKUP(B248,'Loyd List 1-190 - Edit'!$P$1:$R$219,3,FALSE)</f>
        <v>77</v>
      </c>
      <c r="B248" s="5">
        <f t="shared" si="109"/>
        <v>106</v>
      </c>
      <c r="C248" s="157" t="s">
        <v>1664</v>
      </c>
      <c r="D248" s="6" t="s">
        <v>1660</v>
      </c>
      <c r="E248" s="156" t="s">
        <v>954</v>
      </c>
      <c r="F248" s="5" t="s">
        <v>929</v>
      </c>
      <c r="G248" s="5" t="s">
        <v>1663</v>
      </c>
      <c r="H248" s="5" t="s">
        <v>1663</v>
      </c>
      <c r="I248" s="5">
        <f t="shared" si="111"/>
        <v>1989</v>
      </c>
      <c r="J248" s="5" t="str">
        <f t="shared" si="114"/>
        <v/>
      </c>
      <c r="K248" s="152"/>
      <c r="L248" s="7" t="str">
        <f t="shared" si="112"/>
        <v>23/11/1989</v>
      </c>
      <c r="M248" s="10">
        <v>32835</v>
      </c>
      <c r="N248" s="7"/>
      <c r="O248" s="7"/>
      <c r="P248" s="181" t="str">
        <f t="shared" si="90"/>
        <v/>
      </c>
      <c r="Q248" s="153" t="str">
        <f t="shared" si="110"/>
        <v>106a</v>
      </c>
      <c r="R248" s="180" t="str">
        <f t="shared" si="91"/>
        <v/>
      </c>
      <c r="S248" s="25" t="s">
        <v>3244</v>
      </c>
      <c r="T248" s="5">
        <f t="shared" si="92"/>
        <v>7</v>
      </c>
      <c r="U248" s="5">
        <f t="shared" si="93"/>
        <v>5</v>
      </c>
      <c r="V248" s="5">
        <f>VLOOKUP(B248,'Loyd List 1-190 - Edit'!$A$2:$B$220,2,FALSE)</f>
        <v>5</v>
      </c>
      <c r="W248" s="155">
        <f t="shared" si="94"/>
        <v>2</v>
      </c>
      <c r="X248" s="105" t="s">
        <v>3740</v>
      </c>
      <c r="Y248" s="195" t="s">
        <v>3741</v>
      </c>
      <c r="Z248" s="164" t="s">
        <v>2724</v>
      </c>
      <c r="AA248" s="6">
        <v>275</v>
      </c>
      <c r="AB248" s="5">
        <f t="shared" si="106"/>
        <v>104</v>
      </c>
      <c r="AC248" s="5">
        <f t="shared" si="101"/>
        <v>2104</v>
      </c>
      <c r="AD248" s="97" t="str">
        <f t="shared" si="95"/>
        <v>106ab</v>
      </c>
      <c r="AE248" s="5" t="str">
        <f t="shared" si="96"/>
        <v>Camilla Harriet Eve BLACKETT (1989 - )</v>
      </c>
      <c r="AF248" s="5" t="str">
        <f t="shared" si="97"/>
        <v>Eve BLACKETT (7th &amp; 106)</v>
      </c>
      <c r="AG248" s="110" t="str">
        <f t="shared" si="98"/>
        <v>Female</v>
      </c>
      <c r="AH248" s="5" t="str">
        <f t="shared" si="99"/>
        <v>7th</v>
      </c>
      <c r="AI248" s="5" t="str">
        <f t="shared" si="113"/>
        <v>Husband: Jonathan George Mercer TELFORD. Married Jonathan, eldest son of Richard Telford of Exton, Devon, 23/07/2021.</v>
      </c>
      <c r="AJ248" s="105" t="str">
        <f t="shared" si="102"/>
        <v>Female. b. 23/11/1989 Eve born at Grantham General Hospital. Baptised 14 Apr 1990 at St Dennis’s, Aswarby, Lincolnshire.</v>
      </c>
      <c r="AK248" s="105" t="str">
        <f t="shared" si="100"/>
        <v>b. 23/11/1989</v>
      </c>
    </row>
    <row r="249" spans="1:37" s="5" customFormat="1" ht="52">
      <c r="A249" s="5">
        <f>VLOOKUP(B249,'Loyd List 1-190 - Edit'!$P$1:$R$219,3,FALSE)</f>
        <v>77</v>
      </c>
      <c r="B249" s="5">
        <f t="shared" ref="B249:B291" si="115">VALUE(LEFT(C249,3))</f>
        <v>106</v>
      </c>
      <c r="C249" s="157" t="s">
        <v>1667</v>
      </c>
      <c r="D249" s="6" t="s">
        <v>1660</v>
      </c>
      <c r="E249" s="156" t="s">
        <v>1665</v>
      </c>
      <c r="F249" s="5" t="s">
        <v>998</v>
      </c>
      <c r="G249" s="5" t="s">
        <v>1988</v>
      </c>
      <c r="H249" s="5" t="s">
        <v>1666</v>
      </c>
      <c r="I249" s="5">
        <f t="shared" si="111"/>
        <v>1991</v>
      </c>
      <c r="J249" s="5" t="str">
        <f t="shared" si="114"/>
        <v/>
      </c>
      <c r="K249" s="152"/>
      <c r="L249" s="7" t="str">
        <f t="shared" si="112"/>
        <v>06/08/1991</v>
      </c>
      <c r="M249" s="10">
        <v>33456</v>
      </c>
      <c r="N249" s="7"/>
      <c r="O249" s="7"/>
      <c r="P249" s="181" t="str">
        <f t="shared" si="90"/>
        <v/>
      </c>
      <c r="Q249" s="153" t="str">
        <f t="shared" si="110"/>
        <v>106a</v>
      </c>
      <c r="R249" s="180" t="str">
        <f t="shared" si="91"/>
        <v/>
      </c>
      <c r="S249" s="25" t="s">
        <v>3244</v>
      </c>
      <c r="T249" s="5">
        <f t="shared" si="92"/>
        <v>7</v>
      </c>
      <c r="U249" s="5">
        <f t="shared" si="93"/>
        <v>5</v>
      </c>
      <c r="V249" s="5">
        <f>VLOOKUP(B249,'Loyd List 1-190 - Edit'!$A$2:$B$220,2,FALSE)</f>
        <v>5</v>
      </c>
      <c r="W249" s="155">
        <f t="shared" si="94"/>
        <v>2</v>
      </c>
      <c r="X249" s="105" t="s">
        <v>3742</v>
      </c>
      <c r="Y249" s="195" t="s">
        <v>3743</v>
      </c>
      <c r="Z249" s="164" t="s">
        <v>2722</v>
      </c>
      <c r="AA249" s="6">
        <v>276</v>
      </c>
      <c r="AB249" s="5">
        <f t="shared" si="106"/>
        <v>105</v>
      </c>
      <c r="AC249" s="5">
        <f t="shared" si="101"/>
        <v>2105</v>
      </c>
      <c r="AD249" s="97" t="str">
        <f t="shared" si="95"/>
        <v>106ac</v>
      </c>
      <c r="AE249" s="5" t="str">
        <f t="shared" si="96"/>
        <v>Letitia Sarah Alice BLACKETT (1991 - )</v>
      </c>
      <c r="AF249" s="5" t="str">
        <f t="shared" si="97"/>
        <v>Lettie BLACKETT (7th &amp; 106)</v>
      </c>
      <c r="AG249" s="110" t="str">
        <f t="shared" si="98"/>
        <v>Female</v>
      </c>
      <c r="AH249" s="5" t="str">
        <f t="shared" si="99"/>
        <v>7th</v>
      </c>
      <c r="AI249" s="5" t="str">
        <f t="shared" si="113"/>
        <v>Husband: Richard WEST. Married Richard,  eldest son of Murray West of West Sussex, on 10/10/2020.</v>
      </c>
      <c r="AJ249" s="105" t="str">
        <f t="shared" si="102"/>
        <v>Female. b. 06/08/1991 Lettie baptised 24 Nov 1991 at St Dennis’s, Aswarby, Lincolnshire.</v>
      </c>
      <c r="AK249" s="105" t="str">
        <f t="shared" si="100"/>
        <v>b. 06/08/1991</v>
      </c>
    </row>
    <row r="250" spans="1:37" s="5" customFormat="1" ht="20">
      <c r="A250" s="5">
        <f>VLOOKUP(B250,'Loyd List 1-190 - Edit'!$P$1:$R$219,3,FALSE)</f>
        <v>77</v>
      </c>
      <c r="B250" s="5">
        <f t="shared" si="115"/>
        <v>106</v>
      </c>
      <c r="C250" s="157" t="s">
        <v>1668</v>
      </c>
      <c r="D250" s="6" t="s">
        <v>1660</v>
      </c>
      <c r="E250" s="156" t="s">
        <v>1669</v>
      </c>
      <c r="F250" s="5" t="s">
        <v>945</v>
      </c>
      <c r="G250" s="5" t="s">
        <v>1058</v>
      </c>
      <c r="I250" s="5">
        <f t="shared" si="111"/>
        <v>1993</v>
      </c>
      <c r="J250" s="5" t="str">
        <f t="shared" si="114"/>
        <v/>
      </c>
      <c r="K250" s="152"/>
      <c r="L250" s="7" t="str">
        <f t="shared" si="112"/>
        <v>24/03/1993</v>
      </c>
      <c r="M250" s="10">
        <v>34052</v>
      </c>
      <c r="N250" s="7"/>
      <c r="O250" s="7"/>
      <c r="P250" s="181" t="str">
        <f t="shared" si="90"/>
        <v/>
      </c>
      <c r="Q250" s="153" t="str">
        <f t="shared" si="110"/>
        <v>106a</v>
      </c>
      <c r="R250" s="180" t="str">
        <f t="shared" si="91"/>
        <v/>
      </c>
      <c r="S250" s="25" t="s">
        <v>3244</v>
      </c>
      <c r="T250" s="5">
        <f t="shared" si="92"/>
        <v>7</v>
      </c>
      <c r="U250" s="5">
        <f t="shared" si="93"/>
        <v>5</v>
      </c>
      <c r="V250" s="5">
        <f>VLOOKUP(B250,'Loyd List 1-190 - Edit'!$A$2:$B$220,2,FALSE)</f>
        <v>5</v>
      </c>
      <c r="W250" s="155">
        <f t="shared" si="94"/>
        <v>2</v>
      </c>
      <c r="X250" s="105"/>
      <c r="Y250" s="105"/>
      <c r="Z250" s="164" t="s">
        <v>2723</v>
      </c>
      <c r="AA250" s="6">
        <v>277</v>
      </c>
      <c r="AB250" s="5">
        <f t="shared" si="106"/>
        <v>106</v>
      </c>
      <c r="AC250" s="5">
        <f t="shared" si="101"/>
        <v>2106</v>
      </c>
      <c r="AD250" s="97" t="str">
        <f t="shared" si="95"/>
        <v>106ad</v>
      </c>
      <c r="AE250" s="5" t="str">
        <f t="shared" si="96"/>
        <v>Annabel Victoria Louisa BLACKETT (1993 - )</v>
      </c>
      <c r="AF250" s="5" t="str">
        <f t="shared" si="97"/>
        <v>Annabel BLACKETT (7th &amp; 106)</v>
      </c>
      <c r="AG250" s="110" t="str">
        <f t="shared" si="98"/>
        <v>Female</v>
      </c>
      <c r="AH250" s="5" t="str">
        <f t="shared" si="99"/>
        <v>7th</v>
      </c>
      <c r="AI250" s="5" t="str">
        <f t="shared" si="113"/>
        <v>Unmarried</v>
      </c>
      <c r="AJ250" s="105" t="str">
        <f t="shared" si="102"/>
        <v>Female. b. 24/03/1993 Baptised 13 Jun 1993 at St Dennis’s, Aswarby, Lincolnshire.</v>
      </c>
      <c r="AK250" s="105" t="str">
        <f t="shared" si="100"/>
        <v>b. 24/03/1993</v>
      </c>
    </row>
    <row r="251" spans="1:37" s="5" customFormat="1" ht="51">
      <c r="A251" s="5">
        <f>VLOOKUP(B251,'Loyd List 1-190 - Edit'!$P$1:$R$219,3,FALSE)</f>
        <v>77</v>
      </c>
      <c r="B251" s="5">
        <f t="shared" si="115"/>
        <v>106</v>
      </c>
      <c r="C251" s="157" t="s">
        <v>1675</v>
      </c>
      <c r="D251" s="6" t="s">
        <v>1658</v>
      </c>
      <c r="E251" s="156" t="s">
        <v>1672</v>
      </c>
      <c r="F251" s="5" t="s">
        <v>917</v>
      </c>
      <c r="G251" s="5" t="s">
        <v>1673</v>
      </c>
      <c r="I251" s="5">
        <f t="shared" si="111"/>
        <v>1986</v>
      </c>
      <c r="J251" s="5" t="str">
        <f t="shared" si="114"/>
        <v/>
      </c>
      <c r="K251" s="152"/>
      <c r="L251" s="7" t="str">
        <f t="shared" si="112"/>
        <v>15/04/1986</v>
      </c>
      <c r="M251" s="10">
        <v>31517</v>
      </c>
      <c r="N251" s="7"/>
      <c r="O251" s="7"/>
      <c r="P251" s="181" t="str">
        <f t="shared" si="90"/>
        <v/>
      </c>
      <c r="Q251" s="153" t="str">
        <f t="shared" si="110"/>
        <v>106b</v>
      </c>
      <c r="R251" s="180" t="str">
        <f t="shared" si="91"/>
        <v/>
      </c>
      <c r="S251" s="25" t="s">
        <v>3245</v>
      </c>
      <c r="T251" s="5">
        <f t="shared" si="92"/>
        <v>7</v>
      </c>
      <c r="U251" s="5">
        <f t="shared" si="93"/>
        <v>5</v>
      </c>
      <c r="V251" s="5">
        <f>VLOOKUP(B251,'Loyd List 1-190 - Edit'!$A$2:$B$220,2,FALSE)</f>
        <v>5</v>
      </c>
      <c r="W251" s="155">
        <f t="shared" si="94"/>
        <v>2</v>
      </c>
      <c r="X251" s="105"/>
      <c r="Y251" s="105"/>
      <c r="Z251" s="164" t="s">
        <v>2728</v>
      </c>
      <c r="AA251" s="6">
        <v>279</v>
      </c>
      <c r="AB251" s="5">
        <f t="shared" si="106"/>
        <v>107</v>
      </c>
      <c r="AC251" s="5">
        <f t="shared" si="101"/>
        <v>2107</v>
      </c>
      <c r="AD251" s="97" t="str">
        <f t="shared" si="95"/>
        <v>106ba</v>
      </c>
      <c r="AE251" s="5" t="str">
        <f t="shared" si="96"/>
        <v>The Hon Rowland Charles Sebastian Henry WINN (1986 - )</v>
      </c>
      <c r="AF251" s="5" t="str">
        <f t="shared" si="97"/>
        <v>The Hon Rowland WINN (7th &amp; 106)</v>
      </c>
      <c r="AG251" s="110" t="str">
        <f t="shared" si="98"/>
        <v>Male</v>
      </c>
      <c r="AH251" s="5" t="str">
        <f t="shared" si="99"/>
        <v>7th</v>
      </c>
      <c r="AI251" s="5" t="str">
        <f t="shared" si="113"/>
        <v>Unmarried</v>
      </c>
      <c r="AJ251" s="105" t="str">
        <f t="shared" si="102"/>
        <v>Male. b. 15/04/1986 The Hon Rowland Charles Sebastian Henry (Rowley) WINN. Born at Harrogate, Yorkshire. Baptised 23 Nov 1986 at St Michael and Our Lady, Wragby, West Yorkshire by the Bishop of Wakefield.</v>
      </c>
      <c r="AK251" s="105" t="str">
        <f t="shared" si="100"/>
        <v>b. 15/04/1986</v>
      </c>
    </row>
    <row r="252" spans="1:37" s="5" customFormat="1" ht="34">
      <c r="A252" s="5">
        <f>VLOOKUP(B252,'Loyd List 1-190 - Edit'!$P$1:$R$219,3,FALSE)</f>
        <v>77</v>
      </c>
      <c r="B252" s="5">
        <f t="shared" si="115"/>
        <v>106</v>
      </c>
      <c r="C252" s="157" t="s">
        <v>1678</v>
      </c>
      <c r="D252" s="6" t="s">
        <v>1658</v>
      </c>
      <c r="E252" s="156" t="s">
        <v>1676</v>
      </c>
      <c r="F252" s="5" t="s">
        <v>1677</v>
      </c>
      <c r="G252" s="5" t="s">
        <v>927</v>
      </c>
      <c r="I252" s="5">
        <f t="shared" si="111"/>
        <v>1993</v>
      </c>
      <c r="J252" s="5" t="str">
        <f t="shared" si="114"/>
        <v/>
      </c>
      <c r="K252" s="152"/>
      <c r="L252" s="7" t="str">
        <f t="shared" si="112"/>
        <v>22/04/1993</v>
      </c>
      <c r="M252" s="10">
        <v>34081</v>
      </c>
      <c r="N252" s="7"/>
      <c r="O252" s="7"/>
      <c r="P252" s="181" t="str">
        <f t="shared" si="90"/>
        <v/>
      </c>
      <c r="Q252" s="153" t="str">
        <f t="shared" si="110"/>
        <v>106b</v>
      </c>
      <c r="R252" s="180" t="str">
        <f t="shared" si="91"/>
        <v/>
      </c>
      <c r="S252" s="25" t="s">
        <v>3244</v>
      </c>
      <c r="T252" s="5">
        <f t="shared" si="92"/>
        <v>7</v>
      </c>
      <c r="U252" s="5">
        <f t="shared" si="93"/>
        <v>5</v>
      </c>
      <c r="V252" s="5">
        <f>VLOOKUP(B252,'Loyd List 1-190 - Edit'!$A$2:$B$220,2,FALSE)</f>
        <v>5</v>
      </c>
      <c r="W252" s="155">
        <f t="shared" si="94"/>
        <v>2</v>
      </c>
      <c r="X252" s="105"/>
      <c r="Y252" s="105"/>
      <c r="Z252" s="164" t="s">
        <v>2729</v>
      </c>
      <c r="AA252" s="6">
        <v>280</v>
      </c>
      <c r="AB252" s="5">
        <f t="shared" si="106"/>
        <v>108</v>
      </c>
      <c r="AC252" s="5">
        <f t="shared" si="101"/>
        <v>2108</v>
      </c>
      <c r="AD252" s="97" t="str">
        <f t="shared" si="95"/>
        <v>106bb</v>
      </c>
      <c r="AE252" s="5" t="str">
        <f t="shared" si="96"/>
        <v>The Hon Henrietta Sophia Alexandra WINN (1993 - )</v>
      </c>
      <c r="AF252" s="5" t="str">
        <f t="shared" si="97"/>
        <v>The Hon Henrietta WINN (7th &amp; 106)</v>
      </c>
      <c r="AG252" s="110" t="str">
        <f t="shared" si="98"/>
        <v>Female</v>
      </c>
      <c r="AH252" s="5" t="str">
        <f t="shared" si="99"/>
        <v>7th</v>
      </c>
      <c r="AI252" s="5" t="str">
        <f t="shared" si="113"/>
        <v>Unmarried</v>
      </c>
      <c r="AJ252" s="105" t="str">
        <f t="shared" si="102"/>
        <v>Female. b. 22/04/1993 The Hon Henrietta Sophia Alexandra WINN baptised 19 Dec 1993 at St Michael and Our Lady, Wragby, West Yorkshire by the Bishop of Wakefield.</v>
      </c>
      <c r="AK252" s="105" t="str">
        <f t="shared" si="100"/>
        <v>b. 22/04/1993</v>
      </c>
    </row>
    <row r="253" spans="1:37" s="5" customFormat="1" ht="20">
      <c r="A253" s="5">
        <f>VLOOKUP(B253,'Loyd List 1-190 - Edit'!$P$1:$R$219,3,FALSE)</f>
        <v>76</v>
      </c>
      <c r="B253" s="5">
        <f t="shared" si="115"/>
        <v>107</v>
      </c>
      <c r="C253" s="157" t="s">
        <v>1686</v>
      </c>
      <c r="D253" s="6" t="s">
        <v>1685</v>
      </c>
      <c r="E253" s="156" t="s">
        <v>811</v>
      </c>
      <c r="F253" s="5" t="s">
        <v>1687</v>
      </c>
      <c r="I253" s="5">
        <f t="shared" si="111"/>
        <v>1976</v>
      </c>
      <c r="J253" s="5" t="str">
        <f t="shared" si="114"/>
        <v/>
      </c>
      <c r="K253" s="152"/>
      <c r="L253" s="7" t="str">
        <f t="shared" si="112"/>
        <v>09/09/1976</v>
      </c>
      <c r="M253" s="8">
        <v>28012</v>
      </c>
      <c r="N253" s="7"/>
      <c r="O253" s="7"/>
      <c r="P253" s="181" t="str">
        <f t="shared" si="90"/>
        <v/>
      </c>
      <c r="Q253" s="153" t="str">
        <f t="shared" si="110"/>
        <v>107a</v>
      </c>
      <c r="R253" s="180" t="str">
        <f t="shared" si="91"/>
        <v/>
      </c>
      <c r="S253" s="25" t="s">
        <v>3245</v>
      </c>
      <c r="T253" s="5">
        <f t="shared" si="92"/>
        <v>7</v>
      </c>
      <c r="U253" s="5">
        <f t="shared" si="93"/>
        <v>5</v>
      </c>
      <c r="V253" s="5">
        <f>VLOOKUP(B253,'Loyd List 1-190 - Edit'!$A$2:$B$220,2,FALSE)</f>
        <v>5</v>
      </c>
      <c r="W253" s="155">
        <f t="shared" si="94"/>
        <v>2</v>
      </c>
      <c r="X253" s="105"/>
      <c r="Y253" s="105"/>
      <c r="Z253" s="164" t="s">
        <v>492</v>
      </c>
      <c r="AA253" s="6">
        <v>282</v>
      </c>
      <c r="AB253" s="5">
        <f t="shared" si="106"/>
        <v>109</v>
      </c>
      <c r="AC253" s="5">
        <f t="shared" si="101"/>
        <v>2109</v>
      </c>
      <c r="AD253" s="97" t="str">
        <f t="shared" si="95"/>
        <v>107aa</v>
      </c>
      <c r="AE253" s="5" t="str">
        <f t="shared" si="96"/>
        <v>Edward Allen  RUSSELL (1976 - )</v>
      </c>
      <c r="AF253" s="5" t="str">
        <f t="shared" si="97"/>
        <v>Edward RUSSELL (7th &amp; 107)</v>
      </c>
      <c r="AG253" s="110" t="str">
        <f t="shared" si="98"/>
        <v>Male</v>
      </c>
      <c r="AH253" s="5" t="str">
        <f t="shared" si="99"/>
        <v>7th</v>
      </c>
      <c r="AI253" s="5" t="str">
        <f t="shared" si="113"/>
        <v>Unmarried</v>
      </c>
      <c r="AJ253" s="105" t="str">
        <f t="shared" si="102"/>
        <v>Male. b. 09/09/1976 Issue: (a) Edward Allen RUSSELL</v>
      </c>
      <c r="AK253" s="105" t="str">
        <f t="shared" si="100"/>
        <v>b. 09/09/1976</v>
      </c>
    </row>
    <row r="254" spans="1:37" s="5" customFormat="1" ht="20">
      <c r="A254" s="5">
        <f>VLOOKUP(B254,'Loyd List 1-190 - Edit'!$P$1:$R$219,3,FALSE)</f>
        <v>76</v>
      </c>
      <c r="B254" s="5">
        <f t="shared" si="115"/>
        <v>107</v>
      </c>
      <c r="C254" s="157" t="s">
        <v>3263</v>
      </c>
      <c r="D254" s="6" t="s">
        <v>1688</v>
      </c>
      <c r="E254" s="156" t="s">
        <v>1689</v>
      </c>
      <c r="F254" s="5" t="s">
        <v>1590</v>
      </c>
      <c r="I254" s="5">
        <f t="shared" si="111"/>
        <v>1981</v>
      </c>
      <c r="J254" s="5" t="str">
        <f t="shared" si="114"/>
        <v/>
      </c>
      <c r="K254" s="152"/>
      <c r="L254" s="7" t="str">
        <f t="shared" si="112"/>
        <v>06/06/1981</v>
      </c>
      <c r="M254" s="8">
        <v>29743</v>
      </c>
      <c r="N254" s="7"/>
      <c r="O254" s="7"/>
      <c r="P254" s="181" t="str">
        <f t="shared" si="90"/>
        <v/>
      </c>
      <c r="Q254" s="153" t="str">
        <f t="shared" si="110"/>
        <v>107a</v>
      </c>
      <c r="R254" s="180" t="str">
        <f t="shared" si="91"/>
        <v/>
      </c>
      <c r="S254" s="25" t="s">
        <v>3245</v>
      </c>
      <c r="T254" s="5">
        <f t="shared" si="92"/>
        <v>7</v>
      </c>
      <c r="U254" s="5">
        <f t="shared" si="93"/>
        <v>5</v>
      </c>
      <c r="V254" s="5">
        <f>VLOOKUP(B254,'Loyd List 1-190 - Edit'!$A$2:$B$220,2,FALSE)</f>
        <v>5</v>
      </c>
      <c r="W254" s="155">
        <f t="shared" si="94"/>
        <v>2</v>
      </c>
      <c r="X254" s="105"/>
      <c r="Y254" s="105"/>
      <c r="Z254" s="164" t="s">
        <v>2731</v>
      </c>
      <c r="AA254" s="6">
        <v>283</v>
      </c>
      <c r="AB254" s="5">
        <f t="shared" si="106"/>
        <v>110</v>
      </c>
      <c r="AC254" s="5">
        <f t="shared" si="101"/>
        <v>2110</v>
      </c>
      <c r="AD254" s="97" t="str">
        <f t="shared" si="95"/>
        <v>107ab</v>
      </c>
      <c r="AE254" s="5" t="str">
        <f t="shared" si="96"/>
        <v>Mathew Howard  AMY (1981 - )</v>
      </c>
      <c r="AF254" s="5" t="str">
        <f t="shared" si="97"/>
        <v>Mathew AMY (7th &amp; 107)</v>
      </c>
      <c r="AG254" s="110" t="str">
        <f t="shared" si="98"/>
        <v>Male</v>
      </c>
      <c r="AH254" s="5" t="str">
        <f t="shared" si="99"/>
        <v>7th</v>
      </c>
      <c r="AI254" s="5" t="str">
        <f t="shared" si="113"/>
        <v>Unmarried</v>
      </c>
      <c r="AJ254" s="105" t="str">
        <f t="shared" si="102"/>
        <v>Male. b. 06/06/1981 Twin with his brother Michael</v>
      </c>
      <c r="AK254" s="105" t="str">
        <f t="shared" si="100"/>
        <v>b. 06/06/1981</v>
      </c>
    </row>
    <row r="255" spans="1:37" s="5" customFormat="1" ht="20">
      <c r="A255" s="5">
        <f>VLOOKUP(B255,'Loyd List 1-190 - Edit'!$P$1:$R$219,3,FALSE)</f>
        <v>76</v>
      </c>
      <c r="B255" s="5">
        <f t="shared" si="115"/>
        <v>107</v>
      </c>
      <c r="C255" s="157" t="s">
        <v>3264</v>
      </c>
      <c r="D255" s="6" t="s">
        <v>1688</v>
      </c>
      <c r="E255" s="156" t="s">
        <v>891</v>
      </c>
      <c r="F255" s="5" t="s">
        <v>830</v>
      </c>
      <c r="I255" s="5">
        <f t="shared" si="111"/>
        <v>1981</v>
      </c>
      <c r="J255" s="5" t="str">
        <f t="shared" si="114"/>
        <v/>
      </c>
      <c r="K255" s="152"/>
      <c r="L255" s="7" t="str">
        <f t="shared" si="112"/>
        <v>06/06/1981</v>
      </c>
      <c r="M255" s="8">
        <v>29743</v>
      </c>
      <c r="N255" s="7"/>
      <c r="O255" s="7"/>
      <c r="P255" s="181" t="str">
        <f t="shared" si="90"/>
        <v/>
      </c>
      <c r="Q255" s="153" t="str">
        <f t="shared" si="110"/>
        <v>107a</v>
      </c>
      <c r="R255" s="180" t="str">
        <f t="shared" si="91"/>
        <v/>
      </c>
      <c r="S255" s="25" t="s">
        <v>3245</v>
      </c>
      <c r="T255" s="5">
        <f t="shared" si="92"/>
        <v>7</v>
      </c>
      <c r="U255" s="5">
        <f t="shared" si="93"/>
        <v>5</v>
      </c>
      <c r="V255" s="5">
        <f>VLOOKUP(B255,'Loyd List 1-190 - Edit'!$A$2:$B$220,2,FALSE)</f>
        <v>5</v>
      </c>
      <c r="W255" s="155">
        <f t="shared" si="94"/>
        <v>2</v>
      </c>
      <c r="X255" s="105"/>
      <c r="Y255" s="105"/>
      <c r="Z255" s="164" t="s">
        <v>2732</v>
      </c>
      <c r="AA255" s="6">
        <v>284</v>
      </c>
      <c r="AB255" s="5">
        <f t="shared" si="106"/>
        <v>111</v>
      </c>
      <c r="AC255" s="5">
        <f t="shared" si="101"/>
        <v>2111</v>
      </c>
      <c r="AD255" s="97" t="str">
        <f t="shared" si="95"/>
        <v>107ac</v>
      </c>
      <c r="AE255" s="5" t="str">
        <f t="shared" si="96"/>
        <v>Michael William  AMY (1981 - )</v>
      </c>
      <c r="AF255" s="5" t="str">
        <f t="shared" si="97"/>
        <v>Michael AMY (7th &amp; 107)</v>
      </c>
      <c r="AG255" s="110" t="str">
        <f t="shared" si="98"/>
        <v>Male</v>
      </c>
      <c r="AH255" s="5" t="str">
        <f t="shared" si="99"/>
        <v>7th</v>
      </c>
      <c r="AI255" s="5" t="str">
        <f t="shared" si="113"/>
        <v>Unmarried</v>
      </c>
      <c r="AJ255" s="105" t="str">
        <f t="shared" si="102"/>
        <v>Male. b. 06/06/1981 Twin with his brother Mathew</v>
      </c>
      <c r="AK255" s="105" t="str">
        <f t="shared" si="100"/>
        <v>b. 06/06/1981</v>
      </c>
    </row>
    <row r="256" spans="1:37" s="5" customFormat="1" ht="20">
      <c r="A256" s="5">
        <f>VLOOKUP(B256,'Loyd List 1-190 - Edit'!$P$1:$R$219,3,FALSE)</f>
        <v>76</v>
      </c>
      <c r="B256" s="5">
        <f t="shared" si="115"/>
        <v>107</v>
      </c>
      <c r="C256" s="157" t="s">
        <v>1694</v>
      </c>
      <c r="D256" s="6" t="s">
        <v>1688</v>
      </c>
      <c r="E256" s="156" t="s">
        <v>1692</v>
      </c>
      <c r="F256" s="5" t="s">
        <v>1693</v>
      </c>
      <c r="I256" s="5">
        <f t="shared" si="111"/>
        <v>1983</v>
      </c>
      <c r="J256" s="5" t="str">
        <f t="shared" si="114"/>
        <v/>
      </c>
      <c r="K256" s="152"/>
      <c r="L256" s="7" t="str">
        <f t="shared" si="112"/>
        <v>31/07/1983</v>
      </c>
      <c r="M256" s="8">
        <v>30528</v>
      </c>
      <c r="N256" s="7"/>
      <c r="O256" s="7"/>
      <c r="P256" s="181" t="str">
        <f t="shared" si="90"/>
        <v/>
      </c>
      <c r="Q256" s="153" t="str">
        <f t="shared" si="110"/>
        <v>107a</v>
      </c>
      <c r="R256" s="180" t="str">
        <f t="shared" si="91"/>
        <v/>
      </c>
      <c r="S256" s="25" t="s">
        <v>3245</v>
      </c>
      <c r="T256" s="5">
        <f t="shared" si="92"/>
        <v>7</v>
      </c>
      <c r="U256" s="5">
        <f t="shared" si="93"/>
        <v>5</v>
      </c>
      <c r="V256" s="5">
        <f>VLOOKUP(B256,'Loyd List 1-190 - Edit'!$A$2:$B$220,2,FALSE)</f>
        <v>5</v>
      </c>
      <c r="W256" s="155">
        <f t="shared" si="94"/>
        <v>2</v>
      </c>
      <c r="X256" s="105"/>
      <c r="Y256" s="105"/>
      <c r="Z256" s="164"/>
      <c r="AA256" s="6">
        <v>285</v>
      </c>
      <c r="AB256" s="5">
        <f t="shared" si="106"/>
        <v>112</v>
      </c>
      <c r="AC256" s="5">
        <f t="shared" si="101"/>
        <v>2112</v>
      </c>
      <c r="AD256" s="97" t="str">
        <f t="shared" si="95"/>
        <v>107ad</v>
      </c>
      <c r="AE256" s="5" t="str">
        <f t="shared" si="96"/>
        <v>Jonathon Glen  AMY (1983 - )</v>
      </c>
      <c r="AF256" s="5" t="str">
        <f t="shared" si="97"/>
        <v>Jonathon AMY (7th &amp; 107)</v>
      </c>
      <c r="AG256" s="110" t="str">
        <f t="shared" si="98"/>
        <v>Male</v>
      </c>
      <c r="AH256" s="5" t="str">
        <f t="shared" si="99"/>
        <v>7th</v>
      </c>
      <c r="AI256" s="5" t="str">
        <f t="shared" si="113"/>
        <v>Unmarried</v>
      </c>
      <c r="AJ256" s="105" t="str">
        <f t="shared" si="102"/>
        <v>Male. b. 31/07/1983</v>
      </c>
      <c r="AK256" s="105" t="str">
        <f t="shared" si="100"/>
        <v>b. 31/07/1983</v>
      </c>
    </row>
    <row r="257" spans="1:37" s="5" customFormat="1" ht="34">
      <c r="A257" s="5">
        <f>VLOOKUP(B257,'Loyd List 1-190 - Edit'!$P$1:$R$219,3,FALSE)</f>
        <v>76</v>
      </c>
      <c r="B257" s="5">
        <f t="shared" si="115"/>
        <v>107</v>
      </c>
      <c r="C257" s="157" t="s">
        <v>1699</v>
      </c>
      <c r="D257" s="6" t="s">
        <v>1698</v>
      </c>
      <c r="E257" s="156" t="s">
        <v>866</v>
      </c>
      <c r="F257" s="5" t="s">
        <v>1687</v>
      </c>
      <c r="I257" s="5">
        <f t="shared" si="111"/>
        <v>1973</v>
      </c>
      <c r="J257" s="5" t="str">
        <f t="shared" si="114"/>
        <v/>
      </c>
      <c r="K257" s="152"/>
      <c r="L257" s="7" t="str">
        <f t="shared" si="112"/>
        <v>14/10/1973</v>
      </c>
      <c r="M257" s="8">
        <v>26951</v>
      </c>
      <c r="N257" s="7"/>
      <c r="O257" s="7"/>
      <c r="P257" s="181" t="str">
        <f t="shared" si="90"/>
        <v/>
      </c>
      <c r="Q257" s="153" t="str">
        <f t="shared" si="110"/>
        <v>107b</v>
      </c>
      <c r="R257" s="180" t="str">
        <f t="shared" si="91"/>
        <v/>
      </c>
      <c r="S257" s="25" t="s">
        <v>3245</v>
      </c>
      <c r="T257" s="5">
        <f t="shared" si="92"/>
        <v>7</v>
      </c>
      <c r="U257" s="5">
        <f t="shared" si="93"/>
        <v>5</v>
      </c>
      <c r="V257" s="5">
        <f>VLOOKUP(B257,'Loyd List 1-190 - Edit'!$A$2:$B$220,2,FALSE)</f>
        <v>5</v>
      </c>
      <c r="W257" s="155">
        <f t="shared" si="94"/>
        <v>2</v>
      </c>
      <c r="X257" s="105"/>
      <c r="Y257" s="105"/>
      <c r="Z257" s="164" t="s">
        <v>2736</v>
      </c>
      <c r="AA257" s="6">
        <v>287</v>
      </c>
      <c r="AB257" s="5">
        <f t="shared" si="106"/>
        <v>113</v>
      </c>
      <c r="AC257" s="5">
        <f t="shared" si="101"/>
        <v>2113</v>
      </c>
      <c r="AD257" s="97" t="str">
        <f t="shared" si="95"/>
        <v>107ba</v>
      </c>
      <c r="AE257" s="5" t="str">
        <f t="shared" si="96"/>
        <v>Christopher Allen  THOMPSON (1973 - )</v>
      </c>
      <c r="AF257" s="5" t="str">
        <f t="shared" si="97"/>
        <v>Christopher THOMPSON (7th &amp; 107)</v>
      </c>
      <c r="AG257" s="110" t="str">
        <f t="shared" si="98"/>
        <v>Male</v>
      </c>
      <c r="AH257" s="5" t="str">
        <f t="shared" si="99"/>
        <v>7th</v>
      </c>
      <c r="AI257" s="5" t="str">
        <f t="shared" si="113"/>
        <v>Unmarried</v>
      </c>
      <c r="AJ257" s="105" t="str">
        <f t="shared" si="102"/>
        <v>Male. b. 14/10/1973 Baptised 1973 at St Joseph’s Cathedral Church, Otis Orchards, Washington. USA.</v>
      </c>
      <c r="AK257" s="105" t="str">
        <f t="shared" si="100"/>
        <v>b. 14/10/1973</v>
      </c>
    </row>
    <row r="258" spans="1:37" s="5" customFormat="1" ht="34">
      <c r="A258" s="5">
        <f>VLOOKUP(B258,'Loyd List 1-190 - Edit'!$P$1:$R$219,3,FALSE)</f>
        <v>76</v>
      </c>
      <c r="B258" s="5">
        <f t="shared" si="115"/>
        <v>107</v>
      </c>
      <c r="C258" s="157" t="s">
        <v>1700</v>
      </c>
      <c r="D258" s="6" t="s">
        <v>1698</v>
      </c>
      <c r="E258" s="156" t="s">
        <v>913</v>
      </c>
      <c r="F258" s="5" t="s">
        <v>830</v>
      </c>
      <c r="I258" s="5">
        <f t="shared" si="111"/>
        <v>1976</v>
      </c>
      <c r="J258" s="5" t="str">
        <f t="shared" si="114"/>
        <v/>
      </c>
      <c r="K258" s="152"/>
      <c r="L258" s="7" t="str">
        <f t="shared" si="112"/>
        <v>26/09/1976</v>
      </c>
      <c r="M258" s="8">
        <v>28029</v>
      </c>
      <c r="N258" s="7"/>
      <c r="O258" s="7"/>
      <c r="P258" s="181" t="str">
        <f t="shared" si="90"/>
        <v/>
      </c>
      <c r="Q258" s="153" t="str">
        <f t="shared" si="110"/>
        <v>107b</v>
      </c>
      <c r="R258" s="180" t="str">
        <f t="shared" si="91"/>
        <v/>
      </c>
      <c r="S258" s="25" t="s">
        <v>3245</v>
      </c>
      <c r="T258" s="5">
        <f t="shared" si="92"/>
        <v>7</v>
      </c>
      <c r="U258" s="5">
        <f t="shared" si="93"/>
        <v>5</v>
      </c>
      <c r="V258" s="5">
        <f>VLOOKUP(B258,'Loyd List 1-190 - Edit'!$A$2:$B$220,2,FALSE)</f>
        <v>5</v>
      </c>
      <c r="W258" s="155">
        <f t="shared" si="94"/>
        <v>2</v>
      </c>
      <c r="X258" s="105"/>
      <c r="Y258" s="105"/>
      <c r="Z258" s="164" t="s">
        <v>2735</v>
      </c>
      <c r="AA258" s="6">
        <v>288</v>
      </c>
      <c r="AB258" s="5">
        <f t="shared" si="106"/>
        <v>114</v>
      </c>
      <c r="AC258" s="5">
        <f t="shared" si="101"/>
        <v>2114</v>
      </c>
      <c r="AD258" s="97" t="str">
        <f t="shared" si="95"/>
        <v>107bb</v>
      </c>
      <c r="AE258" s="5" t="str">
        <f t="shared" si="96"/>
        <v>George William  THOMPSON (1976 - )</v>
      </c>
      <c r="AF258" s="5" t="str">
        <f t="shared" si="97"/>
        <v>George THOMPSON (7th &amp; 107)</v>
      </c>
      <c r="AG258" s="110" t="str">
        <f t="shared" si="98"/>
        <v>Male</v>
      </c>
      <c r="AH258" s="5" t="str">
        <f t="shared" si="99"/>
        <v>7th</v>
      </c>
      <c r="AI258" s="5" t="str">
        <f t="shared" si="113"/>
        <v>Unmarried</v>
      </c>
      <c r="AJ258" s="105" t="str">
        <f t="shared" si="102"/>
        <v>Male. b. 26/09/1976 Baptised 1976 at St Joseph’s Cathedral Church, Otis Orchards, Washington. USA.</v>
      </c>
      <c r="AK258" s="105" t="str">
        <f t="shared" si="100"/>
        <v>b. 26/09/1976</v>
      </c>
    </row>
    <row r="259" spans="1:37" s="5" customFormat="1" ht="20">
      <c r="A259" s="5">
        <f>VLOOKUP(B259,'Loyd List 1-190 - Edit'!$P$1:$R$219,3,FALSE)</f>
        <v>76</v>
      </c>
      <c r="B259" s="5">
        <f t="shared" si="115"/>
        <v>107</v>
      </c>
      <c r="C259" s="157" t="s">
        <v>1701</v>
      </c>
      <c r="D259" s="6" t="s">
        <v>1698</v>
      </c>
      <c r="E259" s="156" t="s">
        <v>916</v>
      </c>
      <c r="F259" s="5" t="s">
        <v>918</v>
      </c>
      <c r="I259" s="5">
        <f t="shared" si="111"/>
        <v>1979</v>
      </c>
      <c r="J259" s="5" t="str">
        <f t="shared" si="114"/>
        <v/>
      </c>
      <c r="K259" s="152"/>
      <c r="L259" s="7" t="str">
        <f t="shared" si="112"/>
        <v>18/04/1979</v>
      </c>
      <c r="M259" s="8">
        <v>28963</v>
      </c>
      <c r="N259" s="7"/>
      <c r="O259" s="7"/>
      <c r="P259" s="181" t="str">
        <f t="shared" si="90"/>
        <v/>
      </c>
      <c r="Q259" s="153" t="str">
        <f t="shared" si="110"/>
        <v>107b</v>
      </c>
      <c r="R259" s="180" t="str">
        <f t="shared" si="91"/>
        <v/>
      </c>
      <c r="S259" s="25" t="s">
        <v>3245</v>
      </c>
      <c r="T259" s="5">
        <f t="shared" si="92"/>
        <v>7</v>
      </c>
      <c r="U259" s="5">
        <f t="shared" si="93"/>
        <v>5</v>
      </c>
      <c r="V259" s="5">
        <f>VLOOKUP(B259,'Loyd List 1-190 - Edit'!$A$2:$B$220,2,FALSE)</f>
        <v>5</v>
      </c>
      <c r="W259" s="155">
        <f t="shared" si="94"/>
        <v>2</v>
      </c>
      <c r="X259" s="105"/>
      <c r="Y259" s="105"/>
      <c r="Z259" s="164" t="s">
        <v>2737</v>
      </c>
      <c r="AA259" s="6">
        <v>289</v>
      </c>
      <c r="AB259" s="5">
        <f t="shared" si="106"/>
        <v>115</v>
      </c>
      <c r="AC259" s="5">
        <f t="shared" si="101"/>
        <v>2115</v>
      </c>
      <c r="AD259" s="97" t="str">
        <f t="shared" si="95"/>
        <v>107bc</v>
      </c>
      <c r="AE259" s="5" t="str">
        <f t="shared" si="96"/>
        <v>Jeremy James  THOMPSON (1979 - )</v>
      </c>
      <c r="AF259" s="5" t="str">
        <f t="shared" si="97"/>
        <v>Jeremy THOMPSON (7th &amp; 107)</v>
      </c>
      <c r="AG259" s="110" t="str">
        <f t="shared" si="98"/>
        <v>Male</v>
      </c>
      <c r="AH259" s="5" t="str">
        <f t="shared" si="99"/>
        <v>7th</v>
      </c>
      <c r="AI259" s="5" t="str">
        <f t="shared" si="113"/>
        <v>Unmarried</v>
      </c>
      <c r="AJ259" s="105" t="str">
        <f t="shared" si="102"/>
        <v>Male. b. 18/04/1979 Baptised 1979 at Holy Family Church, Yakima, Washington. USA</v>
      </c>
      <c r="AK259" s="105" t="str">
        <f t="shared" si="100"/>
        <v>b. 18/04/1979</v>
      </c>
    </row>
    <row r="260" spans="1:37" s="5" customFormat="1" ht="20">
      <c r="A260" s="5">
        <f>VLOOKUP(B260,'Loyd List 1-190 - Edit'!$P$1:$R$219,3,FALSE)</f>
        <v>76</v>
      </c>
      <c r="B260" s="5">
        <f t="shared" si="115"/>
        <v>107</v>
      </c>
      <c r="C260" s="157" t="s">
        <v>1705</v>
      </c>
      <c r="D260" s="6" t="s">
        <v>1695</v>
      </c>
      <c r="E260" s="156" t="s">
        <v>1703</v>
      </c>
      <c r="F260" s="5" t="s">
        <v>1704</v>
      </c>
      <c r="I260" s="5">
        <f t="shared" si="111"/>
        <v>1978</v>
      </c>
      <c r="J260" s="5" t="str">
        <f t="shared" si="114"/>
        <v/>
      </c>
      <c r="K260" s="152"/>
      <c r="L260" s="7" t="str">
        <f t="shared" si="112"/>
        <v>24/07/1978</v>
      </c>
      <c r="M260" s="8">
        <v>28695</v>
      </c>
      <c r="N260" s="7"/>
      <c r="O260" s="7"/>
      <c r="P260" s="181" t="str">
        <f t="shared" si="90"/>
        <v/>
      </c>
      <c r="Q260" s="153" t="str">
        <f t="shared" si="110"/>
        <v>107c</v>
      </c>
      <c r="R260" s="180" t="str">
        <f t="shared" si="91"/>
        <v/>
      </c>
      <c r="S260" s="25" t="s">
        <v>3244</v>
      </c>
      <c r="T260" s="5">
        <f t="shared" si="92"/>
        <v>7</v>
      </c>
      <c r="U260" s="5">
        <f t="shared" si="93"/>
        <v>5</v>
      </c>
      <c r="V260" s="5">
        <f>VLOOKUP(B260,'Loyd List 1-190 - Edit'!$A$2:$B$220,2,FALSE)</f>
        <v>5</v>
      </c>
      <c r="W260" s="155">
        <f t="shared" si="94"/>
        <v>2</v>
      </c>
      <c r="X260" s="105"/>
      <c r="Y260" s="105"/>
      <c r="Z260" s="164"/>
      <c r="AA260" s="6">
        <v>291</v>
      </c>
      <c r="AB260" s="5">
        <f t="shared" si="106"/>
        <v>116</v>
      </c>
      <c r="AC260" s="5">
        <f t="shared" si="101"/>
        <v>2116</v>
      </c>
      <c r="AD260" s="97" t="str">
        <f t="shared" si="95"/>
        <v>107ca</v>
      </c>
      <c r="AE260" s="5" t="str">
        <f t="shared" si="96"/>
        <v>Charitie Lee  ORR (1978 - )</v>
      </c>
      <c r="AF260" s="5" t="str">
        <f t="shared" si="97"/>
        <v>Charitie ORR (7th &amp; 107)</v>
      </c>
      <c r="AG260" s="110" t="str">
        <f t="shared" si="98"/>
        <v>Female</v>
      </c>
      <c r="AH260" s="5" t="str">
        <f t="shared" si="99"/>
        <v>7th</v>
      </c>
      <c r="AI260" s="5" t="str">
        <f t="shared" si="113"/>
        <v>Unmarried</v>
      </c>
      <c r="AJ260" s="105" t="str">
        <f t="shared" si="102"/>
        <v>Female. b. 24/07/1978</v>
      </c>
      <c r="AK260" s="105" t="str">
        <f t="shared" si="100"/>
        <v>b. 24/07/1978</v>
      </c>
    </row>
    <row r="261" spans="1:37" s="5" customFormat="1" ht="20">
      <c r="A261" s="5">
        <f>VLOOKUP(B261,'Loyd List 1-190 - Edit'!$P$1:$R$219,3,FALSE)</f>
        <v>76</v>
      </c>
      <c r="B261" s="5">
        <f t="shared" si="115"/>
        <v>107</v>
      </c>
      <c r="C261" s="157" t="s">
        <v>1709</v>
      </c>
      <c r="D261" s="6" t="s">
        <v>1695</v>
      </c>
      <c r="E261" s="156" t="s">
        <v>861</v>
      </c>
      <c r="F261" s="5" t="s">
        <v>1707</v>
      </c>
      <c r="I261" s="5">
        <f t="shared" si="111"/>
        <v>1980</v>
      </c>
      <c r="J261" s="5" t="str">
        <f t="shared" si="114"/>
        <v/>
      </c>
      <c r="K261" s="152"/>
      <c r="L261" s="7" t="str">
        <f t="shared" si="112"/>
        <v>12/07/1980</v>
      </c>
      <c r="M261" s="8">
        <v>29414</v>
      </c>
      <c r="N261" s="7"/>
      <c r="O261" s="7"/>
      <c r="P261" s="181" t="str">
        <f t="shared" si="90"/>
        <v/>
      </c>
      <c r="Q261" s="153" t="str">
        <f t="shared" si="110"/>
        <v>107c</v>
      </c>
      <c r="R261" s="180" t="str">
        <f t="shared" si="91"/>
        <v/>
      </c>
      <c r="S261" s="25" t="s">
        <v>3245</v>
      </c>
      <c r="T261" s="5">
        <f t="shared" si="92"/>
        <v>7</v>
      </c>
      <c r="U261" s="5">
        <f t="shared" si="93"/>
        <v>5</v>
      </c>
      <c r="V261" s="5">
        <f>VLOOKUP(B261,'Loyd List 1-190 - Edit'!$A$2:$B$220,2,FALSE)</f>
        <v>5</v>
      </c>
      <c r="W261" s="155">
        <f t="shared" si="94"/>
        <v>2</v>
      </c>
      <c r="X261" s="105"/>
      <c r="Y261" s="105"/>
      <c r="Z261" s="164"/>
      <c r="AA261" s="6">
        <v>292</v>
      </c>
      <c r="AB261" s="5">
        <f t="shared" si="106"/>
        <v>117</v>
      </c>
      <c r="AC261" s="5">
        <f t="shared" si="101"/>
        <v>2117</v>
      </c>
      <c r="AD261" s="97" t="str">
        <f t="shared" si="95"/>
        <v>107cb</v>
      </c>
      <c r="AE261" s="5" t="str">
        <f t="shared" si="96"/>
        <v>Audrey Dawn  ORR (1980 - )</v>
      </c>
      <c r="AF261" s="5" t="str">
        <f t="shared" si="97"/>
        <v>Audrey ORR (7th &amp; 107)</v>
      </c>
      <c r="AG261" s="110" t="str">
        <f t="shared" si="98"/>
        <v>Male</v>
      </c>
      <c r="AH261" s="5" t="str">
        <f t="shared" si="99"/>
        <v>7th</v>
      </c>
      <c r="AI261" s="5" t="str">
        <f t="shared" si="113"/>
        <v>Unmarried</v>
      </c>
      <c r="AJ261" s="105" t="str">
        <f t="shared" si="102"/>
        <v>Male. b. 12/07/1980</v>
      </c>
      <c r="AK261" s="105" t="str">
        <f t="shared" si="100"/>
        <v>b. 12/07/1980</v>
      </c>
    </row>
    <row r="262" spans="1:37" s="5" customFormat="1" ht="20">
      <c r="A262" s="5">
        <f>VLOOKUP(B262,'Loyd List 1-190 - Edit'!$P$1:$R$219,3,FALSE)</f>
        <v>76</v>
      </c>
      <c r="B262" s="5">
        <f t="shared" si="115"/>
        <v>107</v>
      </c>
      <c r="C262" s="157" t="s">
        <v>1710</v>
      </c>
      <c r="D262" s="6" t="s">
        <v>1695</v>
      </c>
      <c r="E262" s="156" t="s">
        <v>891</v>
      </c>
      <c r="F262" s="5" t="s">
        <v>1708</v>
      </c>
      <c r="G262" s="5" t="s">
        <v>819</v>
      </c>
      <c r="I262" s="5">
        <f t="shared" si="111"/>
        <v>1984</v>
      </c>
      <c r="J262" s="5" t="str">
        <f t="shared" si="114"/>
        <v/>
      </c>
      <c r="K262" s="152"/>
      <c r="L262" s="7" t="str">
        <f t="shared" si="112"/>
        <v>12/04/1984</v>
      </c>
      <c r="M262" s="8">
        <v>30784</v>
      </c>
      <c r="N262" s="7"/>
      <c r="O262" s="7"/>
      <c r="P262" s="181" t="str">
        <f t="shared" si="90"/>
        <v/>
      </c>
      <c r="Q262" s="153" t="str">
        <f t="shared" si="110"/>
        <v>107c</v>
      </c>
      <c r="R262" s="180" t="str">
        <f t="shared" si="91"/>
        <v/>
      </c>
      <c r="S262" s="25" t="s">
        <v>3244</v>
      </c>
      <c r="T262" s="5">
        <f t="shared" si="92"/>
        <v>7</v>
      </c>
      <c r="U262" s="5">
        <f t="shared" si="93"/>
        <v>5</v>
      </c>
      <c r="V262" s="5">
        <f>VLOOKUP(B262,'Loyd List 1-190 - Edit'!$A$2:$B$220,2,FALSE)</f>
        <v>5</v>
      </c>
      <c r="W262" s="155">
        <f t="shared" si="94"/>
        <v>2</v>
      </c>
      <c r="X262" s="105"/>
      <c r="Y262" s="105"/>
      <c r="Z262" s="164"/>
      <c r="AA262" s="6">
        <v>293</v>
      </c>
      <c r="AB262" s="5">
        <f t="shared" si="106"/>
        <v>118</v>
      </c>
      <c r="AC262" s="5">
        <f t="shared" si="101"/>
        <v>2118</v>
      </c>
      <c r="AD262" s="97" t="str">
        <f t="shared" si="95"/>
        <v>107cc</v>
      </c>
      <c r="AE262" s="5" t="str">
        <f t="shared" si="96"/>
        <v>Michael Travis Kirkman ORR (1984 - )</v>
      </c>
      <c r="AF262" s="5" t="str">
        <f t="shared" si="97"/>
        <v>Michael ORR (7th &amp; 107)</v>
      </c>
      <c r="AG262" s="110" t="str">
        <f t="shared" si="98"/>
        <v>Female</v>
      </c>
      <c r="AH262" s="5" t="str">
        <f t="shared" si="99"/>
        <v>7th</v>
      </c>
      <c r="AI262" s="5" t="str">
        <f t="shared" si="113"/>
        <v>Unmarried</v>
      </c>
      <c r="AJ262" s="105" t="str">
        <f t="shared" si="102"/>
        <v>Female. b. 12/04/1984</v>
      </c>
      <c r="AK262" s="105" t="str">
        <f t="shared" si="100"/>
        <v>b. 12/04/1984</v>
      </c>
    </row>
    <row r="263" spans="1:37" s="5" customFormat="1" ht="20">
      <c r="A263" s="5">
        <f>VLOOKUP(B263,'Loyd List 1-190 - Edit'!$P$1:$R$219,3,FALSE)</f>
        <v>76</v>
      </c>
      <c r="B263" s="5">
        <f t="shared" si="115"/>
        <v>107</v>
      </c>
      <c r="C263" s="157" t="s">
        <v>3299</v>
      </c>
      <c r="D263" s="6" t="s">
        <v>1695</v>
      </c>
      <c r="E263" s="156" t="s">
        <v>3300</v>
      </c>
      <c r="F263" s="5" t="s">
        <v>811</v>
      </c>
      <c r="I263" s="5">
        <f t="shared" si="111"/>
        <v>1986</v>
      </c>
      <c r="J263" s="5" t="str">
        <f t="shared" si="114"/>
        <v/>
      </c>
      <c r="K263" s="152"/>
      <c r="L263" s="7" t="str">
        <f t="shared" si="112"/>
        <v>26/10/1986</v>
      </c>
      <c r="M263" s="8">
        <v>31711</v>
      </c>
      <c r="N263" s="7"/>
      <c r="O263" s="7"/>
      <c r="P263" s="181" t="str">
        <f t="shared" si="90"/>
        <v/>
      </c>
      <c r="Q263" s="153" t="str">
        <f t="shared" si="110"/>
        <v>107c</v>
      </c>
      <c r="R263" s="180" t="str">
        <f t="shared" si="91"/>
        <v/>
      </c>
      <c r="S263" s="25" t="s">
        <v>3245</v>
      </c>
      <c r="T263" s="5">
        <f t="shared" si="92"/>
        <v>7</v>
      </c>
      <c r="U263" s="5">
        <f t="shared" si="93"/>
        <v>5</v>
      </c>
      <c r="V263" s="5">
        <f>VLOOKUP(B263,'Loyd List 1-190 - Edit'!$A$2:$B$220,2,FALSE)</f>
        <v>5</v>
      </c>
      <c r="W263" s="155">
        <f t="shared" si="94"/>
        <v>2</v>
      </c>
      <c r="X263" s="105"/>
      <c r="Y263" s="105"/>
      <c r="Z263" s="164"/>
      <c r="AA263" s="6">
        <v>294</v>
      </c>
      <c r="AB263" s="5">
        <f t="shared" si="106"/>
        <v>119</v>
      </c>
      <c r="AC263" s="5">
        <f t="shared" si="101"/>
        <v>2119</v>
      </c>
      <c r="AD263" s="97" t="str">
        <f t="shared" si="95"/>
        <v>107cd</v>
      </c>
      <c r="AE263" s="5" t="str">
        <f t="shared" si="96"/>
        <v>Seth Edward  ORR (1986 - )</v>
      </c>
      <c r="AF263" s="5" t="str">
        <f t="shared" si="97"/>
        <v>Seth ORR ( &amp; 107)</v>
      </c>
      <c r="AG263" s="110" t="str">
        <f t="shared" si="98"/>
        <v>Male</v>
      </c>
      <c r="AI263" s="5" t="str">
        <f t="shared" si="113"/>
        <v>Unmarried</v>
      </c>
      <c r="AJ263" s="105" t="str">
        <f t="shared" si="102"/>
        <v>Male. b. 26/10/1986</v>
      </c>
      <c r="AK263" s="105" t="str">
        <f t="shared" si="100"/>
        <v>b. 26/10/1986</v>
      </c>
    </row>
    <row r="264" spans="1:37" s="5" customFormat="1" ht="20">
      <c r="A264" s="5">
        <f>VLOOKUP(B264,'Loyd List 1-190 - Edit'!$P$1:$R$219,3,FALSE)</f>
        <v>76</v>
      </c>
      <c r="B264" s="5">
        <f t="shared" si="115"/>
        <v>107</v>
      </c>
      <c r="C264" s="157" t="s">
        <v>1714</v>
      </c>
      <c r="D264" s="6" t="s">
        <v>1695</v>
      </c>
      <c r="E264" s="156" t="s">
        <v>1712</v>
      </c>
      <c r="F264" s="5" t="s">
        <v>1713</v>
      </c>
      <c r="I264" s="5">
        <f t="shared" si="111"/>
        <v>1979</v>
      </c>
      <c r="J264" s="5" t="str">
        <f t="shared" si="114"/>
        <v/>
      </c>
      <c r="K264" s="152"/>
      <c r="L264" s="7" t="str">
        <f t="shared" si="112"/>
        <v>13/03/1979</v>
      </c>
      <c r="M264" s="8">
        <v>28927</v>
      </c>
      <c r="O264" s="7"/>
      <c r="P264" s="181" t="str">
        <f t="shared" ref="P264:P362" si="116">R264</f>
        <v/>
      </c>
      <c r="Q264" s="153" t="str">
        <f t="shared" si="110"/>
        <v>107d</v>
      </c>
      <c r="R264" s="180" t="str">
        <f t="shared" ref="R264:R362" si="117">IF(LEN(O264)=4,O264,IF(O264="","",TEXT(O264,"dd/mm/yyyy")))</f>
        <v/>
      </c>
      <c r="S264" s="25" t="s">
        <v>3245</v>
      </c>
      <c r="T264" s="5">
        <f t="shared" ref="T264:T362" si="118">IF(B264&lt;10,V264+U264-1,IF(AND(B264&gt;=10,B264&lt;=99),V264+U264-2,V264+U264-3))</f>
        <v>7</v>
      </c>
      <c r="U264" s="5">
        <f t="shared" ref="U264:U362" si="119">LEN(C264)</f>
        <v>5</v>
      </c>
      <c r="V264" s="5">
        <f>VLOOKUP(B264,'Loyd List 1-190 - Edit'!$A$2:$B$220,2,FALSE)</f>
        <v>5</v>
      </c>
      <c r="W264" s="155">
        <f t="shared" ref="W264:W362" si="120">IF(LEN(C264)-IF(B264&lt;10,1,IF(AND(B264&gt;9,B264&lt;100),2,3))=1,1,IF(LEN(C264)-IF(B264&lt;10,1,IF(AND(B264&gt;9,B264&lt;100),2,3))=0,"SELF",LEN(C264)-IF(B264&lt;10,1,IF(AND(B264&gt;9,B264&lt;100),2,3))))</f>
        <v>2</v>
      </c>
      <c r="X264" s="105"/>
      <c r="Y264" s="105"/>
      <c r="Z264" s="164"/>
      <c r="AA264" s="6">
        <v>296</v>
      </c>
      <c r="AB264" s="5">
        <f t="shared" si="106"/>
        <v>120</v>
      </c>
      <c r="AC264" s="5">
        <f t="shared" si="101"/>
        <v>2120</v>
      </c>
      <c r="AD264" s="97" t="str">
        <f t="shared" ref="AD264:AD362" si="121">C264</f>
        <v>107da</v>
      </c>
      <c r="AE264" s="5" t="str">
        <f t="shared" ref="AE264:AE362" si="122">_xlfn.CONCAT(E264," ",F264," ",G264," ",D264," (",I264," - ",J264,")")</f>
        <v>Brandy Marie  ORR (1979 - )</v>
      </c>
      <c r="AF264" s="5" t="str">
        <f t="shared" ref="AF264:AF362" si="123">IF(H264="",_xlfn.CONCAT(E264," ",D264," (",AH264," &amp; ",B264,")"),_xlfn.CONCAT(H264," ",D264," (",AH264," &amp; ",B264,")"))</f>
        <v>Brandy ORR (7th &amp; 107)</v>
      </c>
      <c r="AG264" s="110" t="str">
        <f t="shared" ref="AG264:AG362" si="124">S264</f>
        <v>Male</v>
      </c>
      <c r="AH264" s="5" t="str">
        <f t="shared" ref="AH264:AH306" si="125">VLOOKUP(T264,$AQ$2:$AS$10,3,FALSE)</f>
        <v>7th</v>
      </c>
      <c r="AI264" s="5" t="str">
        <f t="shared" si="113"/>
        <v>Unmarried</v>
      </c>
      <c r="AJ264" s="105" t="str">
        <f t="shared" si="102"/>
        <v>Male. b. 13/03/1979</v>
      </c>
      <c r="AK264" s="105" t="str">
        <f t="shared" ref="AK264:AK362" si="126">_xlfn.CONCAT(IF(L264="","b &amp; d dates unknown.",_xlfn.CONCAT("b. ",L264)),IF(P264="","",_xlfn.CONCAT(", d. ",P264,".")))</f>
        <v>b. 13/03/1979</v>
      </c>
    </row>
    <row r="265" spans="1:37" s="5" customFormat="1" ht="20">
      <c r="A265" s="5">
        <f>VLOOKUP(B265,'Loyd List 1-190 - Edit'!$P$1:$R$219,3,FALSE)</f>
        <v>76</v>
      </c>
      <c r="B265" s="5">
        <f t="shared" si="115"/>
        <v>107</v>
      </c>
      <c r="C265" s="157" t="s">
        <v>1715</v>
      </c>
      <c r="D265" s="6" t="s">
        <v>1695</v>
      </c>
      <c r="E265" s="156" t="s">
        <v>919</v>
      </c>
      <c r="F265" s="5" t="s">
        <v>918</v>
      </c>
      <c r="I265" s="5">
        <f t="shared" si="111"/>
        <v>1980</v>
      </c>
      <c r="J265" s="5" t="str">
        <f t="shared" ref="J265:J294" si="127">IF(O265="","",VALUE(RIGHT(TEXT(O265,"dd/mm/yyyy"),4)))</f>
        <v/>
      </c>
      <c r="K265" s="152"/>
      <c r="L265" s="7" t="str">
        <f t="shared" si="112"/>
        <v>26/05/1980</v>
      </c>
      <c r="M265" s="8">
        <v>29367</v>
      </c>
      <c r="N265" s="7"/>
      <c r="O265" s="7"/>
      <c r="P265" s="181" t="str">
        <f t="shared" si="116"/>
        <v/>
      </c>
      <c r="Q265" s="153" t="str">
        <f t="shared" si="110"/>
        <v>107d</v>
      </c>
      <c r="R265" s="180" t="str">
        <f t="shared" si="117"/>
        <v/>
      </c>
      <c r="S265" s="25" t="s">
        <v>3244</v>
      </c>
      <c r="T265" s="5">
        <f t="shared" si="118"/>
        <v>7</v>
      </c>
      <c r="U265" s="5">
        <f t="shared" si="119"/>
        <v>5</v>
      </c>
      <c r="V265" s="5">
        <f>VLOOKUP(B265,'Loyd List 1-190 - Edit'!$A$2:$B$220,2,FALSE)</f>
        <v>5</v>
      </c>
      <c r="W265" s="155">
        <f t="shared" si="120"/>
        <v>2</v>
      </c>
      <c r="X265" s="105"/>
      <c r="Y265" s="105"/>
      <c r="Z265" s="164" t="s">
        <v>2745</v>
      </c>
      <c r="AA265" s="6">
        <v>297</v>
      </c>
      <c r="AB265" s="5">
        <f t="shared" si="106"/>
        <v>121</v>
      </c>
      <c r="AC265" s="5">
        <f t="shared" ref="AC265:AC363" si="128">W265*1000+AB265</f>
        <v>2121</v>
      </c>
      <c r="AD265" s="97" t="str">
        <f t="shared" si="121"/>
        <v>107db</v>
      </c>
      <c r="AE265" s="5" t="str">
        <f t="shared" si="122"/>
        <v>Timothy James  ORR (1980 - )</v>
      </c>
      <c r="AF265" s="5" t="str">
        <f t="shared" si="123"/>
        <v>Timothy ORR (7th &amp; 107)</v>
      </c>
      <c r="AG265" s="110" t="str">
        <f t="shared" si="124"/>
        <v>Female</v>
      </c>
      <c r="AH265" s="5" t="str">
        <f t="shared" si="125"/>
        <v>7th</v>
      </c>
      <c r="AI265" s="5" t="str">
        <f t="shared" si="113"/>
        <v>Unmarried</v>
      </c>
      <c r="AJ265" s="105" t="str">
        <f t="shared" ref="AJ265:AJ363" si="129">IF(Z265="",_xlfn.CONCAT(AG265,". ",AK265),_xlfn.CONCAT(AG265,". ",AK265," ",Z265))</f>
        <v>Female. b. 26/05/1980 Born  at US Naval Hospital, San Diego, California. USA.</v>
      </c>
      <c r="AK265" s="105" t="str">
        <f t="shared" si="126"/>
        <v>b. 26/05/1980</v>
      </c>
    </row>
    <row r="266" spans="1:37" s="5" customFormat="1" ht="20">
      <c r="A266" s="5">
        <f>VLOOKUP(B266,'Loyd List 1-190 - Edit'!$P$1:$R$219,3,FALSE)</f>
        <v>55</v>
      </c>
      <c r="B266" s="5">
        <f t="shared" si="115"/>
        <v>108</v>
      </c>
      <c r="C266" s="157" t="s">
        <v>1723</v>
      </c>
      <c r="D266" s="6" t="s">
        <v>1722</v>
      </c>
      <c r="E266" s="156" t="s">
        <v>1725</v>
      </c>
      <c r="F266" s="5" t="s">
        <v>842</v>
      </c>
      <c r="I266" s="5">
        <f t="shared" si="111"/>
        <v>1976</v>
      </c>
      <c r="J266" s="5" t="str">
        <f t="shared" si="127"/>
        <v/>
      </c>
      <c r="K266" s="152"/>
      <c r="L266" s="7" t="str">
        <f t="shared" si="112"/>
        <v>22/09/1976</v>
      </c>
      <c r="M266" s="8">
        <v>28025</v>
      </c>
      <c r="N266" s="7"/>
      <c r="O266" s="7"/>
      <c r="P266" s="181" t="str">
        <f t="shared" si="116"/>
        <v/>
      </c>
      <c r="Q266" s="153" t="str">
        <f t="shared" si="110"/>
        <v>108a</v>
      </c>
      <c r="R266" s="180" t="str">
        <f t="shared" si="117"/>
        <v/>
      </c>
      <c r="S266" s="25" t="s">
        <v>3245</v>
      </c>
      <c r="T266" s="5">
        <f t="shared" si="118"/>
        <v>7</v>
      </c>
      <c r="U266" s="5">
        <f t="shared" si="119"/>
        <v>5</v>
      </c>
      <c r="V266" s="5">
        <f>VLOOKUP(B266,'Loyd List 1-190 - Edit'!$A$2:$B$220,2,FALSE)</f>
        <v>5</v>
      </c>
      <c r="W266" s="155">
        <f t="shared" si="120"/>
        <v>2</v>
      </c>
      <c r="X266" s="105"/>
      <c r="Y266" s="105"/>
      <c r="Z266" s="164"/>
      <c r="AA266" s="6">
        <v>300</v>
      </c>
      <c r="AB266" s="5">
        <f t="shared" si="106"/>
        <v>122</v>
      </c>
      <c r="AC266" s="5">
        <f t="shared" si="128"/>
        <v>2122</v>
      </c>
      <c r="AD266" s="97" t="str">
        <f t="shared" si="121"/>
        <v>108aa</v>
      </c>
      <c r="AE266" s="5" t="str">
        <f t="shared" si="122"/>
        <v>Daniel John  CARTER (1976 - )</v>
      </c>
      <c r="AF266" s="5" t="str">
        <f t="shared" si="123"/>
        <v>Daniel CARTER (7th &amp; 108)</v>
      </c>
      <c r="AG266" s="110" t="str">
        <f t="shared" si="124"/>
        <v>Male</v>
      </c>
      <c r="AH266" s="5" t="str">
        <f t="shared" si="125"/>
        <v>7th</v>
      </c>
      <c r="AI266" s="5" t="str">
        <f t="shared" si="113"/>
        <v>Unmarried</v>
      </c>
      <c r="AJ266" s="105" t="str">
        <f t="shared" si="129"/>
        <v>Male. b. 22/09/1976</v>
      </c>
      <c r="AK266" s="105" t="str">
        <f t="shared" si="126"/>
        <v>b. 22/09/1976</v>
      </c>
    </row>
    <row r="267" spans="1:37" s="5" customFormat="1" ht="20">
      <c r="A267" s="5">
        <f>VLOOKUP(B267,'Loyd List 1-190 - Edit'!$P$1:$R$219,3,FALSE)</f>
        <v>55</v>
      </c>
      <c r="B267" s="5">
        <f t="shared" si="115"/>
        <v>108</v>
      </c>
      <c r="C267" s="157" t="s">
        <v>1724</v>
      </c>
      <c r="D267" s="6" t="s">
        <v>1722</v>
      </c>
      <c r="E267" s="156" t="s">
        <v>932</v>
      </c>
      <c r="F267" s="5" t="s">
        <v>865</v>
      </c>
      <c r="I267" s="5">
        <f t="shared" si="111"/>
        <v>1982</v>
      </c>
      <c r="J267" s="5" t="str">
        <f t="shared" si="127"/>
        <v/>
      </c>
      <c r="K267" s="152"/>
      <c r="L267" s="7" t="str">
        <f t="shared" si="112"/>
        <v>28/05/1982</v>
      </c>
      <c r="M267" s="8">
        <v>30099</v>
      </c>
      <c r="N267" s="7"/>
      <c r="O267" s="7"/>
      <c r="P267" s="181" t="str">
        <f t="shared" si="116"/>
        <v/>
      </c>
      <c r="Q267" s="153" t="str">
        <f t="shared" si="110"/>
        <v>108a</v>
      </c>
      <c r="R267" s="180" t="str">
        <f t="shared" si="117"/>
        <v/>
      </c>
      <c r="S267" s="25" t="s">
        <v>3245</v>
      </c>
      <c r="T267" s="5">
        <f t="shared" si="118"/>
        <v>7</v>
      </c>
      <c r="U267" s="5">
        <f t="shared" si="119"/>
        <v>5</v>
      </c>
      <c r="V267" s="5">
        <f>VLOOKUP(B267,'Loyd List 1-190 - Edit'!$A$2:$B$220,2,FALSE)</f>
        <v>5</v>
      </c>
      <c r="W267" s="155">
        <f t="shared" si="120"/>
        <v>2</v>
      </c>
      <c r="X267" s="105"/>
      <c r="Y267" s="105"/>
      <c r="Z267" s="164"/>
      <c r="AA267" s="6">
        <v>301</v>
      </c>
      <c r="AB267" s="5">
        <f t="shared" si="106"/>
        <v>123</v>
      </c>
      <c r="AC267" s="5">
        <f t="shared" si="128"/>
        <v>2123</v>
      </c>
      <c r="AD267" s="97" t="str">
        <f t="shared" si="121"/>
        <v>108ab</v>
      </c>
      <c r="AE267" s="5" t="str">
        <f t="shared" si="122"/>
        <v>Simon Peter  CARTER (1982 - )</v>
      </c>
      <c r="AF267" s="5" t="str">
        <f t="shared" si="123"/>
        <v>Simon CARTER (7th &amp; 108)</v>
      </c>
      <c r="AG267" s="110" t="str">
        <f t="shared" si="124"/>
        <v>Male</v>
      </c>
      <c r="AH267" s="5" t="str">
        <f t="shared" si="125"/>
        <v>7th</v>
      </c>
      <c r="AI267" s="5" t="str">
        <f t="shared" si="113"/>
        <v>Unmarried</v>
      </c>
      <c r="AJ267" s="105" t="str">
        <f t="shared" si="129"/>
        <v>Male. b. 28/05/1982</v>
      </c>
      <c r="AK267" s="105" t="str">
        <f t="shared" si="126"/>
        <v>b. 28/05/1982</v>
      </c>
    </row>
    <row r="268" spans="1:37" s="5" customFormat="1" ht="20">
      <c r="A268" s="5">
        <f>VLOOKUP(B268,'Loyd List 1-190 - Edit'!$P$1:$R$219,3,FALSE)</f>
        <v>55</v>
      </c>
      <c r="B268" s="5">
        <f t="shared" si="115"/>
        <v>108</v>
      </c>
      <c r="C268" s="157" t="s">
        <v>1728</v>
      </c>
      <c r="D268" s="6" t="s">
        <v>1720</v>
      </c>
      <c r="E268" s="156" t="s">
        <v>1726</v>
      </c>
      <c r="F268" s="5" t="s">
        <v>866</v>
      </c>
      <c r="G268" s="5" t="s">
        <v>928</v>
      </c>
      <c r="I268" s="5">
        <f t="shared" si="111"/>
        <v>1982</v>
      </c>
      <c r="J268" s="5" t="str">
        <f t="shared" si="127"/>
        <v/>
      </c>
      <c r="K268" s="152"/>
      <c r="L268" s="7" t="str">
        <f t="shared" si="112"/>
        <v>31/05/1982</v>
      </c>
      <c r="M268" s="8">
        <v>30102</v>
      </c>
      <c r="N268" s="7"/>
      <c r="O268" s="7"/>
      <c r="P268" s="181" t="str">
        <f t="shared" si="116"/>
        <v/>
      </c>
      <c r="Q268" s="153" t="str">
        <f t="shared" si="110"/>
        <v>108b</v>
      </c>
      <c r="R268" s="180" t="str">
        <f t="shared" si="117"/>
        <v/>
      </c>
      <c r="S268" s="25" t="s">
        <v>3245</v>
      </c>
      <c r="T268" s="5">
        <f t="shared" si="118"/>
        <v>7</v>
      </c>
      <c r="U268" s="5">
        <f t="shared" si="119"/>
        <v>5</v>
      </c>
      <c r="V268" s="5">
        <f>VLOOKUP(B268,'Loyd List 1-190 - Edit'!$A$2:$B$220,2,FALSE)</f>
        <v>5</v>
      </c>
      <c r="W268" s="155">
        <f t="shared" si="120"/>
        <v>2</v>
      </c>
      <c r="X268" s="105"/>
      <c r="Y268" s="105"/>
      <c r="Z268" s="164"/>
      <c r="AA268" s="6">
        <v>303</v>
      </c>
      <c r="AB268" s="5">
        <f t="shared" si="106"/>
        <v>124</v>
      </c>
      <c r="AC268" s="5">
        <f t="shared" si="128"/>
        <v>2124</v>
      </c>
      <c r="AD268" s="97" t="str">
        <f t="shared" si="121"/>
        <v>108ba</v>
      </c>
      <c r="AE268" s="5" t="str">
        <f t="shared" si="122"/>
        <v>Matthew Christopher Richard HOYLE (1982 - )</v>
      </c>
      <c r="AF268" s="5" t="str">
        <f t="shared" si="123"/>
        <v>Matthew HOYLE (7th &amp; 108)</v>
      </c>
      <c r="AG268" s="110" t="str">
        <f t="shared" si="124"/>
        <v>Male</v>
      </c>
      <c r="AH268" s="5" t="str">
        <f t="shared" si="125"/>
        <v>7th</v>
      </c>
      <c r="AI268" s="5" t="str">
        <f t="shared" si="113"/>
        <v>Unmarried</v>
      </c>
      <c r="AJ268" s="105" t="str">
        <f t="shared" si="129"/>
        <v>Male. b. 31/05/1982</v>
      </c>
      <c r="AK268" s="105" t="str">
        <f t="shared" si="126"/>
        <v>b. 31/05/1982</v>
      </c>
    </row>
    <row r="269" spans="1:37" s="5" customFormat="1" ht="20">
      <c r="A269" s="5">
        <f>VLOOKUP(B269,'Loyd List 1-190 - Edit'!$P$1:$R$219,3,FALSE)</f>
        <v>55</v>
      </c>
      <c r="B269" s="5">
        <f t="shared" si="115"/>
        <v>108</v>
      </c>
      <c r="C269" s="157" t="s">
        <v>1730</v>
      </c>
      <c r="D269" s="6" t="s">
        <v>1720</v>
      </c>
      <c r="E269" s="156" t="s">
        <v>1729</v>
      </c>
      <c r="F269" s="5" t="s">
        <v>885</v>
      </c>
      <c r="I269" s="5">
        <f t="shared" si="111"/>
        <v>1985</v>
      </c>
      <c r="J269" s="5" t="str">
        <f t="shared" si="127"/>
        <v/>
      </c>
      <c r="K269" s="152"/>
      <c r="L269" s="7" t="str">
        <f t="shared" si="112"/>
        <v>28/08/1985</v>
      </c>
      <c r="M269" s="8">
        <v>31287</v>
      </c>
      <c r="N269" s="7"/>
      <c r="O269" s="7"/>
      <c r="P269" s="181" t="str">
        <f t="shared" si="116"/>
        <v/>
      </c>
      <c r="Q269" s="153" t="str">
        <f t="shared" si="110"/>
        <v>108b</v>
      </c>
      <c r="R269" s="180" t="str">
        <f t="shared" si="117"/>
        <v/>
      </c>
      <c r="S269" s="25" t="s">
        <v>3245</v>
      </c>
      <c r="T269" s="5">
        <f t="shared" si="118"/>
        <v>7</v>
      </c>
      <c r="U269" s="5">
        <f t="shared" si="119"/>
        <v>5</v>
      </c>
      <c r="V269" s="5">
        <f>VLOOKUP(B269,'Loyd List 1-190 - Edit'!$A$2:$B$220,2,FALSE)</f>
        <v>5</v>
      </c>
      <c r="W269" s="155">
        <f t="shared" si="120"/>
        <v>2</v>
      </c>
      <c r="X269" s="105"/>
      <c r="Y269" s="105"/>
      <c r="Z269" s="164"/>
      <c r="AA269" s="6">
        <v>304</v>
      </c>
      <c r="AB269" s="5">
        <f t="shared" si="106"/>
        <v>125</v>
      </c>
      <c r="AC269" s="5">
        <f t="shared" si="128"/>
        <v>2125</v>
      </c>
      <c r="AD269" s="97" t="str">
        <f t="shared" si="121"/>
        <v>108bb</v>
      </c>
      <c r="AE269" s="5" t="str">
        <f t="shared" si="122"/>
        <v>Darren Andrew  HOYLE (1985 - )</v>
      </c>
      <c r="AF269" s="5" t="str">
        <f t="shared" si="123"/>
        <v>Darren HOYLE (7th &amp; 108)</v>
      </c>
      <c r="AG269" s="110" t="str">
        <f t="shared" si="124"/>
        <v>Male</v>
      </c>
      <c r="AH269" s="5" t="str">
        <f t="shared" si="125"/>
        <v>7th</v>
      </c>
      <c r="AI269" s="5" t="str">
        <f t="shared" si="113"/>
        <v>Unmarried</v>
      </c>
      <c r="AJ269" s="105" t="str">
        <f t="shared" si="129"/>
        <v>Male. b. 28/08/1985</v>
      </c>
      <c r="AK269" s="105" t="str">
        <f t="shared" si="126"/>
        <v>b. 28/08/1985</v>
      </c>
    </row>
    <row r="270" spans="1:37" s="5" customFormat="1" ht="20">
      <c r="A270" s="5">
        <f>VLOOKUP(B270,'Loyd List 1-190 - Edit'!$P$1:$R$219,3,FALSE)</f>
        <v>55</v>
      </c>
      <c r="B270" s="5">
        <f t="shared" si="115"/>
        <v>108</v>
      </c>
      <c r="C270" s="157" t="s">
        <v>1733</v>
      </c>
      <c r="D270" s="6" t="s">
        <v>1720</v>
      </c>
      <c r="E270" s="156" t="s">
        <v>1732</v>
      </c>
      <c r="F270" s="5" t="s">
        <v>1436</v>
      </c>
      <c r="I270" s="5">
        <f t="shared" si="111"/>
        <v>1985</v>
      </c>
      <c r="J270" s="5" t="str">
        <f t="shared" si="127"/>
        <v/>
      </c>
      <c r="K270" s="152"/>
      <c r="L270" s="7" t="str">
        <f t="shared" si="112"/>
        <v>14/11/1985</v>
      </c>
      <c r="M270" s="8">
        <v>31365</v>
      </c>
      <c r="N270" s="7"/>
      <c r="O270" s="7"/>
      <c r="P270" s="181" t="str">
        <f t="shared" si="116"/>
        <v/>
      </c>
      <c r="Q270" s="153" t="str">
        <f t="shared" si="110"/>
        <v>108c</v>
      </c>
      <c r="R270" s="180" t="str">
        <f t="shared" si="117"/>
        <v/>
      </c>
      <c r="S270" s="25" t="s">
        <v>3244</v>
      </c>
      <c r="T270" s="5">
        <f t="shared" si="118"/>
        <v>7</v>
      </c>
      <c r="U270" s="5">
        <f t="shared" si="119"/>
        <v>5</v>
      </c>
      <c r="V270" s="5">
        <f>VLOOKUP(B270,'Loyd List 1-190 - Edit'!$A$2:$B$220,2,FALSE)</f>
        <v>5</v>
      </c>
      <c r="W270" s="155">
        <f t="shared" si="120"/>
        <v>2</v>
      </c>
      <c r="X270" s="105"/>
      <c r="Y270" s="105"/>
      <c r="Z270" s="164"/>
      <c r="AA270" s="6">
        <v>306</v>
      </c>
      <c r="AB270" s="5">
        <f t="shared" si="106"/>
        <v>126</v>
      </c>
      <c r="AC270" s="5">
        <f t="shared" si="128"/>
        <v>2126</v>
      </c>
      <c r="AD270" s="97" t="str">
        <f t="shared" si="121"/>
        <v>108ca</v>
      </c>
      <c r="AE270" s="5" t="str">
        <f t="shared" si="122"/>
        <v>Tanya Louise  HOYLE (1985 - )</v>
      </c>
      <c r="AF270" s="5" t="str">
        <f t="shared" si="123"/>
        <v>Tanya HOYLE (7th &amp; 108)</v>
      </c>
      <c r="AG270" s="110" t="str">
        <f t="shared" si="124"/>
        <v>Female</v>
      </c>
      <c r="AH270" s="5" t="str">
        <f t="shared" si="125"/>
        <v>7th</v>
      </c>
      <c r="AI270" s="5" t="str">
        <f t="shared" si="113"/>
        <v>Unmarried</v>
      </c>
      <c r="AJ270" s="105" t="str">
        <f t="shared" si="129"/>
        <v>Female. b. 14/11/1985</v>
      </c>
      <c r="AK270" s="105" t="str">
        <f t="shared" si="126"/>
        <v>b. 14/11/1985</v>
      </c>
    </row>
    <row r="271" spans="1:37" s="5" customFormat="1" ht="20">
      <c r="A271" s="5">
        <f>VLOOKUP(B271,'Loyd List 1-190 - Edit'!$P$1:$R$219,3,FALSE)</f>
        <v>80</v>
      </c>
      <c r="B271" s="5">
        <f t="shared" si="115"/>
        <v>109</v>
      </c>
      <c r="C271" s="157" t="s">
        <v>3658</v>
      </c>
      <c r="D271" s="6" t="s">
        <v>1738</v>
      </c>
      <c r="E271" s="156" t="s">
        <v>934</v>
      </c>
      <c r="F271" s="5" t="s">
        <v>3661</v>
      </c>
      <c r="G271" s="5" t="s">
        <v>3662</v>
      </c>
      <c r="I271" s="5">
        <f t="shared" si="111"/>
        <v>2008</v>
      </c>
      <c r="J271" s="5" t="str">
        <f t="shared" si="127"/>
        <v/>
      </c>
      <c r="K271" s="152"/>
      <c r="L271" s="7" t="str">
        <f t="shared" si="112"/>
        <v>29/03/2008</v>
      </c>
      <c r="M271" s="8">
        <v>39536</v>
      </c>
      <c r="N271" s="7"/>
      <c r="O271" s="7"/>
      <c r="P271" s="181"/>
      <c r="Q271" s="153" t="str">
        <f t="shared" si="110"/>
        <v>109b</v>
      </c>
      <c r="R271" s="180"/>
      <c r="S271" s="25" t="s">
        <v>3245</v>
      </c>
      <c r="T271" s="5">
        <f>IF(B271&lt;10,V271+U271-1,IF(AND(B271&gt;=10,B271&lt;=99),V271+U271-2,V271+U271-3))</f>
        <v>7</v>
      </c>
      <c r="U271" s="5">
        <f>LEN(C271)</f>
        <v>5</v>
      </c>
      <c r="V271" s="5">
        <f>VLOOKUP(B271,'Loyd List 1-190 - Edit'!$A$2:$B$220,2,FALSE)</f>
        <v>5</v>
      </c>
      <c r="W271" s="155">
        <f>IF(LEN(C271)-IF(B271&lt;10,1,IF(AND(B271&gt;9,B271&lt;100),2,3))=1,1,IF(LEN(C271)-IF(B271&lt;10,1,IF(AND(B271&gt;9,B271&lt;100),2,3))=0,"SELF",LEN(C271)-IF(B271&lt;10,1,IF(AND(B271&gt;9,B271&lt;100),2,3))))</f>
        <v>2</v>
      </c>
      <c r="X271" s="105"/>
      <c r="Y271" s="105"/>
      <c r="Z271" s="164"/>
      <c r="AA271" s="6"/>
      <c r="AB271" s="5">
        <f t="shared" si="106"/>
        <v>127</v>
      </c>
      <c r="AC271" s="5">
        <f t="shared" si="128"/>
        <v>2127</v>
      </c>
      <c r="AD271" s="97" t="str">
        <f t="shared" si="121"/>
        <v>109ba</v>
      </c>
      <c r="AE271" s="5" t="str">
        <f t="shared" si="122"/>
        <v>Toby Chui Bao  WALTON (2008 - )</v>
      </c>
      <c r="AF271" s="5" t="str">
        <f t="shared" si="123"/>
        <v>Toby WALTON (7th &amp; 109)</v>
      </c>
      <c r="AG271" s="110" t="str">
        <f t="shared" si="124"/>
        <v>Male</v>
      </c>
      <c r="AH271" s="5" t="str">
        <f t="shared" si="125"/>
        <v>7th</v>
      </c>
      <c r="AI271" s="5" t="str">
        <f t="shared" si="113"/>
        <v>Unmarried</v>
      </c>
      <c r="AJ271" s="105" t="str">
        <f t="shared" si="129"/>
        <v>Male. b. 29/03/2008</v>
      </c>
      <c r="AK271" s="105" t="str">
        <f t="shared" si="126"/>
        <v>b. 29/03/2008</v>
      </c>
    </row>
    <row r="272" spans="1:37" s="5" customFormat="1" ht="20">
      <c r="A272" s="5">
        <f>VLOOKUP(B272,'Loyd List 1-190 - Edit'!$P$1:$R$219,3,FALSE)</f>
        <v>80</v>
      </c>
      <c r="B272" s="5">
        <f t="shared" si="115"/>
        <v>109</v>
      </c>
      <c r="C272" s="157" t="s">
        <v>3665</v>
      </c>
      <c r="D272" s="6" t="s">
        <v>1738</v>
      </c>
      <c r="E272" s="156" t="s">
        <v>3659</v>
      </c>
      <c r="F272" s="5" t="s">
        <v>3660</v>
      </c>
      <c r="I272" s="5">
        <f t="shared" si="111"/>
        <v>2012</v>
      </c>
      <c r="J272" s="5" t="str">
        <f t="shared" si="127"/>
        <v/>
      </c>
      <c r="K272" s="152"/>
      <c r="L272" s="7" t="str">
        <f t="shared" si="112"/>
        <v>30/04/2012</v>
      </c>
      <c r="M272" s="8">
        <v>41029</v>
      </c>
      <c r="N272" s="7"/>
      <c r="O272" s="7"/>
      <c r="P272" s="181"/>
      <c r="Q272" s="153" t="str">
        <f t="shared" si="110"/>
        <v>109b</v>
      </c>
      <c r="R272" s="180"/>
      <c r="S272" s="25" t="s">
        <v>3245</v>
      </c>
      <c r="T272" s="5">
        <f>IF(B272&lt;10,V272+U272-1,IF(AND(B272&gt;=10,B272&lt;=99),V272+U272-2,V272+U272-3))</f>
        <v>7</v>
      </c>
      <c r="U272" s="5">
        <f>LEN(C272)</f>
        <v>5</v>
      </c>
      <c r="V272" s="5">
        <f>VLOOKUP(B272,'Loyd List 1-190 - Edit'!$A$2:$B$220,2,FALSE)</f>
        <v>5</v>
      </c>
      <c r="W272" s="155">
        <f>IF(LEN(C272)-IF(B272&lt;10,1,IF(AND(B272&gt;9,B272&lt;100),2,3))=1,1,IF(LEN(C272)-IF(B272&lt;10,1,IF(AND(B272&gt;9,B272&lt;100),2,3))=0,"SELF",LEN(C272)-IF(B272&lt;10,1,IF(AND(B272&gt;9,B272&lt;100),2,3))))</f>
        <v>2</v>
      </c>
      <c r="X272" s="105"/>
      <c r="Y272" s="105"/>
      <c r="Z272" s="164"/>
      <c r="AA272" s="6"/>
      <c r="AB272" s="5">
        <f t="shared" si="106"/>
        <v>128</v>
      </c>
      <c r="AC272" s="5">
        <f t="shared" si="128"/>
        <v>2128</v>
      </c>
      <c r="AD272" s="97" t="str">
        <f t="shared" si="121"/>
        <v>109bb</v>
      </c>
      <c r="AE272" s="5" t="str">
        <f t="shared" si="122"/>
        <v>Leo Giap  WALTON (2012 - )</v>
      </c>
      <c r="AF272" s="5" t="str">
        <f t="shared" si="123"/>
        <v>Leo WALTON (7th &amp; 109)</v>
      </c>
      <c r="AG272" s="110" t="str">
        <f t="shared" si="124"/>
        <v>Male</v>
      </c>
      <c r="AH272" s="5" t="str">
        <f t="shared" si="125"/>
        <v>7th</v>
      </c>
      <c r="AI272" s="5" t="str">
        <f t="shared" si="113"/>
        <v>Unmarried</v>
      </c>
      <c r="AJ272" s="105" t="str">
        <f t="shared" si="129"/>
        <v>Male. b. 30/04/2012</v>
      </c>
      <c r="AK272" s="105" t="str">
        <f t="shared" si="126"/>
        <v>b. 30/04/2012</v>
      </c>
    </row>
    <row r="273" spans="1:37" s="5" customFormat="1" ht="20">
      <c r="A273" s="5">
        <f>VLOOKUP(B273,'Loyd List 1-190 - Edit'!$P$1:$R$219,3,FALSE)</f>
        <v>80</v>
      </c>
      <c r="B273" s="5">
        <f t="shared" si="115"/>
        <v>109</v>
      </c>
      <c r="C273" s="157" t="s">
        <v>3666</v>
      </c>
      <c r="D273" s="6" t="s">
        <v>1738</v>
      </c>
      <c r="E273" s="156" t="s">
        <v>925</v>
      </c>
      <c r="F273" s="5" t="s">
        <v>3663</v>
      </c>
      <c r="G273" s="5" t="s">
        <v>3664</v>
      </c>
      <c r="I273" s="5">
        <f t="shared" si="111"/>
        <v>2013</v>
      </c>
      <c r="J273" s="5" t="str">
        <f t="shared" si="127"/>
        <v/>
      </c>
      <c r="K273" s="152"/>
      <c r="L273" s="7" t="str">
        <f t="shared" si="112"/>
        <v>17/10/2013</v>
      </c>
      <c r="M273" s="8">
        <v>41564</v>
      </c>
      <c r="N273" s="7"/>
      <c r="O273" s="7"/>
      <c r="P273" s="181"/>
      <c r="Q273" s="153" t="str">
        <f t="shared" si="110"/>
        <v>109b</v>
      </c>
      <c r="R273" s="180"/>
      <c r="S273" s="25" t="s">
        <v>3245</v>
      </c>
      <c r="T273" s="5">
        <f>IF(B273&lt;10,V273+U273-1,IF(AND(B273&gt;=10,B273&lt;=99),V273+U273-2,V273+U273-3))</f>
        <v>7</v>
      </c>
      <c r="U273" s="5">
        <f>LEN(C273)</f>
        <v>5</v>
      </c>
      <c r="V273" s="5">
        <f>VLOOKUP(B273,'Loyd List 1-190 - Edit'!$A$2:$B$220,2,FALSE)</f>
        <v>5</v>
      </c>
      <c r="W273" s="155">
        <f>IF(LEN(C273)-IF(B273&lt;10,1,IF(AND(B273&gt;9,B273&lt;100),2,3))=1,1,IF(LEN(C273)-IF(B273&lt;10,1,IF(AND(B273&gt;9,B273&lt;100),2,3))=0,"SELF",LEN(C273)-IF(B273&lt;10,1,IF(AND(B273&gt;9,B273&lt;100),2,3))))</f>
        <v>2</v>
      </c>
      <c r="X273" s="105"/>
      <c r="Y273" s="105"/>
      <c r="Z273" s="164"/>
      <c r="AA273" s="6"/>
      <c r="AB273" s="5">
        <f t="shared" si="106"/>
        <v>129</v>
      </c>
      <c r="AC273" s="5">
        <f t="shared" si="128"/>
        <v>2129</v>
      </c>
      <c r="AD273" s="97" t="str">
        <f t="shared" si="121"/>
        <v>109bc</v>
      </c>
      <c r="AE273" s="5" t="str">
        <f t="shared" si="122"/>
        <v>Benjamin Hai Nam WALTON (2013 - )</v>
      </c>
      <c r="AF273" s="5" t="str">
        <f t="shared" si="123"/>
        <v>Benjamin WALTON (7th &amp; 109)</v>
      </c>
      <c r="AG273" s="110" t="str">
        <f t="shared" si="124"/>
        <v>Male</v>
      </c>
      <c r="AH273" s="5" t="str">
        <f t="shared" si="125"/>
        <v>7th</v>
      </c>
      <c r="AI273" s="5" t="str">
        <f t="shared" si="113"/>
        <v>Unmarried</v>
      </c>
      <c r="AJ273" s="105" t="str">
        <f t="shared" si="129"/>
        <v>Male. b. 17/10/2013</v>
      </c>
      <c r="AK273" s="105" t="str">
        <f t="shared" si="126"/>
        <v>b. 17/10/2013</v>
      </c>
    </row>
    <row r="274" spans="1:37" s="5" customFormat="1" ht="20">
      <c r="A274" s="5">
        <f>VLOOKUP(B274,'Loyd List 1-190 - Edit'!$P$1:$R$219,3,FALSE)</f>
        <v>80</v>
      </c>
      <c r="B274" s="5">
        <f t="shared" si="115"/>
        <v>109</v>
      </c>
      <c r="C274" s="157" t="s">
        <v>3667</v>
      </c>
      <c r="D274" s="6" t="s">
        <v>1738</v>
      </c>
      <c r="E274" s="156" t="s">
        <v>863</v>
      </c>
      <c r="F274" s="5" t="s">
        <v>3668</v>
      </c>
      <c r="G274" s="5" t="s">
        <v>3669</v>
      </c>
      <c r="I274" s="5">
        <f t="shared" si="111"/>
        <v>2016</v>
      </c>
      <c r="J274" s="5" t="str">
        <f t="shared" si="127"/>
        <v/>
      </c>
      <c r="K274" s="152"/>
      <c r="L274" s="7" t="str">
        <f t="shared" si="112"/>
        <v>25/01/2016</v>
      </c>
      <c r="M274" s="8">
        <v>42394</v>
      </c>
      <c r="N274" s="7"/>
      <c r="O274" s="7"/>
      <c r="P274" s="181"/>
      <c r="Q274" s="153" t="str">
        <f t="shared" si="110"/>
        <v>109b</v>
      </c>
      <c r="R274" s="180"/>
      <c r="S274" s="25" t="s">
        <v>3244</v>
      </c>
      <c r="T274" s="5">
        <f>IF(B274&lt;10,V274+U274-1,IF(AND(B274&gt;=10,B274&lt;=99),V274+U274-2,V274+U274-3))</f>
        <v>7</v>
      </c>
      <c r="U274" s="5">
        <f>LEN(C274)</f>
        <v>5</v>
      </c>
      <c r="V274" s="5">
        <f>VLOOKUP(B274,'Loyd List 1-190 - Edit'!$A$2:$B$220,2,FALSE)</f>
        <v>5</v>
      </c>
      <c r="W274" s="155">
        <f>IF(LEN(C274)-IF(B274&lt;10,1,IF(AND(B274&gt;9,B274&lt;100),2,3))=1,1,IF(LEN(C274)-IF(B274&lt;10,1,IF(AND(B274&gt;9,B274&lt;100),2,3))=0,"SELF",LEN(C274)-IF(B274&lt;10,1,IF(AND(B274&gt;9,B274&lt;100),2,3))))</f>
        <v>2</v>
      </c>
      <c r="X274" s="105"/>
      <c r="Y274" s="105"/>
      <c r="Z274" s="164"/>
      <c r="AA274" s="6"/>
      <c r="AB274" s="5">
        <f t="shared" si="106"/>
        <v>130</v>
      </c>
      <c r="AC274" s="5">
        <f t="shared" si="128"/>
        <v>2130</v>
      </c>
      <c r="AD274" s="97" t="str">
        <f t="shared" si="121"/>
        <v>109bd</v>
      </c>
      <c r="AE274" s="5" t="str">
        <f t="shared" si="122"/>
        <v>Isabel Xuyen Mai WALTON (2016 - )</v>
      </c>
      <c r="AF274" s="5" t="str">
        <f t="shared" si="123"/>
        <v>Isabel WALTON (7th &amp; 109)</v>
      </c>
      <c r="AG274" s="110" t="str">
        <f t="shared" si="124"/>
        <v>Female</v>
      </c>
      <c r="AH274" s="5" t="str">
        <f t="shared" si="125"/>
        <v>7th</v>
      </c>
      <c r="AI274" s="5" t="str">
        <f t="shared" si="113"/>
        <v>Unmarried</v>
      </c>
      <c r="AJ274" s="105" t="str">
        <f t="shared" si="129"/>
        <v>Female. b. 25/01/2016</v>
      </c>
      <c r="AK274" s="105" t="str">
        <f t="shared" si="126"/>
        <v>b. 25/01/2016</v>
      </c>
    </row>
    <row r="275" spans="1:37" s="5" customFormat="1" ht="20">
      <c r="A275" s="5">
        <f>VLOOKUP(B275,'Loyd List 1-190 - Edit'!$P$1:$R$219,3,FALSE)</f>
        <v>80</v>
      </c>
      <c r="B275" s="5">
        <f t="shared" si="115"/>
        <v>110</v>
      </c>
      <c r="C275" s="157" t="s">
        <v>1745</v>
      </c>
      <c r="D275" s="6" t="s">
        <v>1742</v>
      </c>
      <c r="E275" s="5" t="s">
        <v>866</v>
      </c>
      <c r="F275" s="5" t="s">
        <v>1743</v>
      </c>
      <c r="I275" s="5">
        <f t="shared" si="111"/>
        <v>1990</v>
      </c>
      <c r="J275" s="5" t="str">
        <f t="shared" si="127"/>
        <v/>
      </c>
      <c r="K275" s="152"/>
      <c r="L275" s="7" t="str">
        <f t="shared" si="112"/>
        <v>08/01/1990</v>
      </c>
      <c r="M275" s="8">
        <v>32881</v>
      </c>
      <c r="N275" s="7"/>
      <c r="O275" s="7"/>
      <c r="P275" s="181" t="str">
        <f t="shared" si="116"/>
        <v/>
      </c>
      <c r="Q275" s="153" t="str">
        <f t="shared" si="110"/>
        <v>110a</v>
      </c>
      <c r="R275" s="180" t="str">
        <f t="shared" si="117"/>
        <v/>
      </c>
      <c r="S275" s="25" t="s">
        <v>3245</v>
      </c>
      <c r="T275" s="5">
        <f t="shared" si="118"/>
        <v>7</v>
      </c>
      <c r="U275" s="5">
        <f t="shared" si="119"/>
        <v>5</v>
      </c>
      <c r="V275" s="5">
        <f>VLOOKUP(B275,'Loyd List 1-190 - Edit'!$A$2:$B$220,2,FALSE)</f>
        <v>5</v>
      </c>
      <c r="W275" s="155">
        <f t="shared" si="120"/>
        <v>2</v>
      </c>
      <c r="X275" s="164" t="s">
        <v>3671</v>
      </c>
      <c r="Y275" s="105"/>
      <c r="Z275" s="164" t="s">
        <v>2759</v>
      </c>
      <c r="AA275" s="6">
        <v>311</v>
      </c>
      <c r="AB275" s="5">
        <f t="shared" ref="AB275:AB292" si="130">AB274+1</f>
        <v>131</v>
      </c>
      <c r="AC275" s="5">
        <f t="shared" si="128"/>
        <v>2131</v>
      </c>
      <c r="AD275" s="97" t="str">
        <f t="shared" si="121"/>
        <v>110aa</v>
      </c>
      <c r="AE275" s="5" t="str">
        <f t="shared" si="122"/>
        <v>Christopher Drummond  BOYCE (1990 - )</v>
      </c>
      <c r="AF275" s="5" t="str">
        <f t="shared" si="123"/>
        <v>Christopher BOYCE (7th &amp; 110)</v>
      </c>
      <c r="AG275" s="110" t="str">
        <f t="shared" si="124"/>
        <v>Male</v>
      </c>
      <c r="AH275" s="5" t="str">
        <f t="shared" si="125"/>
        <v>7th</v>
      </c>
      <c r="AI275" s="5" t="str">
        <f t="shared" si="113"/>
        <v xml:space="preserve">Wife: Laura Jane MIDDLETON (b. ,). </v>
      </c>
      <c r="AJ275" s="105" t="str">
        <f t="shared" si="129"/>
        <v>Male. b. 08/01/1990 Born in Brussels.</v>
      </c>
      <c r="AK275" s="105" t="str">
        <f t="shared" si="126"/>
        <v>b. 08/01/1990</v>
      </c>
    </row>
    <row r="276" spans="1:37" s="5" customFormat="1" ht="20">
      <c r="A276" s="5">
        <f>VLOOKUP(B276,'Loyd List 1-190 - Edit'!$P$1:$R$219,3,FALSE)</f>
        <v>80</v>
      </c>
      <c r="B276" s="5">
        <f t="shared" si="115"/>
        <v>110</v>
      </c>
      <c r="C276" s="157" t="s">
        <v>1746</v>
      </c>
      <c r="D276" s="6" t="s">
        <v>1742</v>
      </c>
      <c r="E276" s="5" t="s">
        <v>885</v>
      </c>
      <c r="F276" s="5" t="s">
        <v>924</v>
      </c>
      <c r="I276" s="5">
        <f t="shared" si="111"/>
        <v>1991</v>
      </c>
      <c r="J276" s="5" t="str">
        <f t="shared" si="127"/>
        <v/>
      </c>
      <c r="K276" s="152"/>
      <c r="L276" s="7" t="str">
        <f t="shared" si="112"/>
        <v>07/08/1991</v>
      </c>
      <c r="M276" s="8">
        <v>33457</v>
      </c>
      <c r="N276" s="7"/>
      <c r="O276" s="7"/>
      <c r="P276" s="181" t="str">
        <f t="shared" si="116"/>
        <v/>
      </c>
      <c r="Q276" s="153" t="str">
        <f t="shared" si="110"/>
        <v>110a</v>
      </c>
      <c r="R276" s="180" t="str">
        <f t="shared" si="117"/>
        <v/>
      </c>
      <c r="S276" s="25" t="s">
        <v>3245</v>
      </c>
      <c r="T276" s="5">
        <f t="shared" si="118"/>
        <v>7</v>
      </c>
      <c r="U276" s="5">
        <f t="shared" si="119"/>
        <v>5</v>
      </c>
      <c r="V276" s="5">
        <f>VLOOKUP(B276,'Loyd List 1-190 - Edit'!$A$2:$B$220,2,FALSE)</f>
        <v>5</v>
      </c>
      <c r="W276" s="155">
        <f t="shared" si="120"/>
        <v>2</v>
      </c>
      <c r="X276" s="105"/>
      <c r="Y276" s="105"/>
      <c r="Z276" s="164" t="s">
        <v>2759</v>
      </c>
      <c r="AA276" s="6">
        <v>312</v>
      </c>
      <c r="AB276" s="5">
        <f t="shared" si="130"/>
        <v>132</v>
      </c>
      <c r="AC276" s="5">
        <f t="shared" si="128"/>
        <v>2132</v>
      </c>
      <c r="AD276" s="97" t="str">
        <f t="shared" si="121"/>
        <v>110ab</v>
      </c>
      <c r="AE276" s="5" t="str">
        <f t="shared" si="122"/>
        <v>Andrew Alexander  BOYCE (1991 - )</v>
      </c>
      <c r="AF276" s="5" t="str">
        <f t="shared" si="123"/>
        <v>Andrew BOYCE (7th &amp; 110)</v>
      </c>
      <c r="AG276" s="110" t="str">
        <f t="shared" si="124"/>
        <v>Male</v>
      </c>
      <c r="AH276" s="5" t="str">
        <f t="shared" si="125"/>
        <v>7th</v>
      </c>
      <c r="AI276" s="5" t="str">
        <f t="shared" si="113"/>
        <v>Unmarried</v>
      </c>
      <c r="AJ276" s="105" t="str">
        <f t="shared" si="129"/>
        <v>Male. b. 07/08/1991 Born in Brussels.</v>
      </c>
      <c r="AK276" s="105" t="str">
        <f t="shared" si="126"/>
        <v>b. 07/08/1991</v>
      </c>
    </row>
    <row r="277" spans="1:37" s="5" customFormat="1" ht="20">
      <c r="A277" s="5">
        <f>VLOOKUP(B277,'Loyd List 1-190 - Edit'!$P$1:$R$219,3,FALSE)</f>
        <v>80</v>
      </c>
      <c r="B277" s="5">
        <f t="shared" si="115"/>
        <v>110</v>
      </c>
      <c r="C277" s="157" t="s">
        <v>1748</v>
      </c>
      <c r="D277" s="6" t="s">
        <v>1742</v>
      </c>
      <c r="E277" s="5" t="s">
        <v>897</v>
      </c>
      <c r="F277" s="5" t="s">
        <v>1747</v>
      </c>
      <c r="I277" s="5">
        <f t="shared" si="111"/>
        <v>1997</v>
      </c>
      <c r="J277" s="5">
        <f t="shared" si="127"/>
        <v>2019</v>
      </c>
      <c r="K277" s="152"/>
      <c r="L277" s="7" t="str">
        <f t="shared" si="112"/>
        <v>24/09/1997</v>
      </c>
      <c r="M277" s="8">
        <v>35697</v>
      </c>
      <c r="N277" s="7"/>
      <c r="O277" s="7">
        <v>43623</v>
      </c>
      <c r="P277" s="181" t="str">
        <f t="shared" si="116"/>
        <v>07/06/2019</v>
      </c>
      <c r="Q277" s="153" t="str">
        <f t="shared" si="110"/>
        <v>110a</v>
      </c>
      <c r="R277" s="180" t="str">
        <f t="shared" si="117"/>
        <v>07/06/2019</v>
      </c>
      <c r="S277" s="25" t="s">
        <v>3245</v>
      </c>
      <c r="T277" s="5">
        <f t="shared" si="118"/>
        <v>7</v>
      </c>
      <c r="U277" s="5">
        <f t="shared" si="119"/>
        <v>5</v>
      </c>
      <c r="V277" s="5">
        <f>VLOOKUP(B277,'Loyd List 1-190 - Edit'!$A$2:$B$220,2,FALSE)</f>
        <v>5</v>
      </c>
      <c r="W277" s="155">
        <f t="shared" si="120"/>
        <v>2</v>
      </c>
      <c r="X277" s="105"/>
      <c r="Y277" s="105"/>
      <c r="Z277" s="164" t="s">
        <v>2759</v>
      </c>
      <c r="AA277" s="6">
        <v>313</v>
      </c>
      <c r="AB277" s="5">
        <f t="shared" si="130"/>
        <v>133</v>
      </c>
      <c r="AC277" s="5">
        <f t="shared" si="128"/>
        <v>2133</v>
      </c>
      <c r="AD277" s="97" t="str">
        <f t="shared" si="121"/>
        <v>110ac</v>
      </c>
      <c r="AE277" s="5" t="str">
        <f t="shared" si="122"/>
        <v>Robin Oscar  BOYCE (1997 - 2019)</v>
      </c>
      <c r="AF277" s="5" t="str">
        <f t="shared" si="123"/>
        <v>Robin BOYCE (7th &amp; 110)</v>
      </c>
      <c r="AG277" s="110" t="str">
        <f t="shared" si="124"/>
        <v>Male</v>
      </c>
      <c r="AH277" s="5" t="str">
        <f t="shared" si="125"/>
        <v>7th</v>
      </c>
      <c r="AI277" s="5" t="str">
        <f t="shared" si="113"/>
        <v>Unmarried</v>
      </c>
      <c r="AJ277" s="105" t="str">
        <f t="shared" si="129"/>
        <v>Male. b. 24/09/1997, d. 07/06/2019. Born in Brussels.</v>
      </c>
      <c r="AK277" s="105" t="str">
        <f t="shared" si="126"/>
        <v>b. 24/09/1997, d. 07/06/2019.</v>
      </c>
    </row>
    <row r="278" spans="1:37" s="5" customFormat="1" ht="20">
      <c r="A278" s="5">
        <f>VLOOKUP(B278,'Loyd List 1-190 - Edit'!$P$1:$R$219,3,FALSE)</f>
        <v>80</v>
      </c>
      <c r="B278" s="5">
        <f>VALUE(LEFT(C278,3))</f>
        <v>110</v>
      </c>
      <c r="C278" s="157" t="s">
        <v>3674</v>
      </c>
      <c r="D278" s="6" t="s">
        <v>1742</v>
      </c>
      <c r="E278" s="5" t="s">
        <v>1022</v>
      </c>
      <c r="F278" s="5" t="s">
        <v>867</v>
      </c>
      <c r="I278" s="5">
        <f t="shared" si="111"/>
        <v>2011</v>
      </c>
      <c r="J278" s="5" t="str">
        <f t="shared" si="127"/>
        <v/>
      </c>
      <c r="K278" s="152"/>
      <c r="L278" s="7" t="str">
        <f t="shared" si="112"/>
        <v>15/10/2011</v>
      </c>
      <c r="M278" s="8">
        <v>40831</v>
      </c>
      <c r="N278" s="7"/>
      <c r="O278" s="7"/>
      <c r="P278" s="181"/>
      <c r="Q278" s="153" t="str">
        <f t="shared" si="110"/>
        <v>110c</v>
      </c>
      <c r="R278" s="180"/>
      <c r="S278" s="25" t="s">
        <v>3244</v>
      </c>
      <c r="T278" s="5">
        <f>IF(B278&lt;10,V278+U278-1,IF(AND(B278&gt;=10,B278&lt;=99),V278+U278-2,V278+U278-3))</f>
        <v>7</v>
      </c>
      <c r="U278" s="5">
        <f>LEN(C278)</f>
        <v>5</v>
      </c>
      <c r="V278" s="5">
        <f>VLOOKUP(B278,'Loyd List 1-190 - Edit'!$A$2:$B$220,2,FALSE)</f>
        <v>5</v>
      </c>
      <c r="W278" s="155">
        <f>IF(LEN(C278)-IF(B278&lt;10,1,IF(AND(B278&gt;9,B278&lt;100),2,3))=1,1,IF(LEN(C278)-IF(B278&lt;10,1,IF(AND(B278&gt;9,B278&lt;100),2,3))=0,"SELF",LEN(C278)-IF(B278&lt;10,1,IF(AND(B278&gt;9,B278&lt;100),2,3))))</f>
        <v>2</v>
      </c>
      <c r="X278" s="105"/>
      <c r="Y278" s="105"/>
      <c r="Z278" s="164"/>
      <c r="AA278" s="6"/>
      <c r="AB278" s="5">
        <f t="shared" si="130"/>
        <v>134</v>
      </c>
      <c r="AC278" s="5">
        <f t="shared" si="128"/>
        <v>2134</v>
      </c>
      <c r="AD278" s="97" t="str">
        <f t="shared" si="121"/>
        <v>110ca</v>
      </c>
      <c r="AE278" s="5" t="str">
        <f t="shared" si="122"/>
        <v>Hannah Catherine  BOYCE (2011 - )</v>
      </c>
      <c r="AF278" s="5" t="str">
        <f t="shared" si="123"/>
        <v>Hannah BOYCE (7th &amp; 110)</v>
      </c>
      <c r="AG278" s="110" t="str">
        <f t="shared" si="124"/>
        <v>Female</v>
      </c>
      <c r="AH278" s="5" t="str">
        <f t="shared" si="125"/>
        <v>7th</v>
      </c>
      <c r="AI278" s="5" t="str">
        <f t="shared" si="113"/>
        <v>Unmarried</v>
      </c>
      <c r="AJ278" s="105" t="str">
        <f t="shared" si="129"/>
        <v>Female. b. 15/10/2011</v>
      </c>
      <c r="AK278" s="105" t="str">
        <f t="shared" si="126"/>
        <v>b. 15/10/2011</v>
      </c>
    </row>
    <row r="279" spans="1:37" s="5" customFormat="1" ht="20">
      <c r="A279" s="5">
        <f>VLOOKUP(B279,'Loyd List 1-190 - Edit'!$P$1:$R$219,3,FALSE)</f>
        <v>80</v>
      </c>
      <c r="B279" s="5">
        <f t="shared" si="115"/>
        <v>110</v>
      </c>
      <c r="C279" s="157" t="s">
        <v>1756</v>
      </c>
      <c r="D279" s="6" t="s">
        <v>3677</v>
      </c>
      <c r="E279" s="5" t="s">
        <v>1754</v>
      </c>
      <c r="F279" s="5" t="s">
        <v>1755</v>
      </c>
      <c r="I279" s="5">
        <f t="shared" si="111"/>
        <v>1999</v>
      </c>
      <c r="J279" s="5" t="str">
        <f t="shared" si="127"/>
        <v/>
      </c>
      <c r="K279" s="152"/>
      <c r="L279" s="7" t="str">
        <f t="shared" si="112"/>
        <v>11/02/1999</v>
      </c>
      <c r="M279" s="8">
        <v>36202</v>
      </c>
      <c r="N279" s="7"/>
      <c r="O279" s="7"/>
      <c r="P279" s="181" t="str">
        <f t="shared" si="116"/>
        <v/>
      </c>
      <c r="Q279" s="153" t="str">
        <f t="shared" si="110"/>
        <v>110d</v>
      </c>
      <c r="R279" s="180" t="str">
        <f t="shared" si="117"/>
        <v/>
      </c>
      <c r="S279" s="25" t="s">
        <v>3244</v>
      </c>
      <c r="T279" s="5">
        <f t="shared" si="118"/>
        <v>7</v>
      </c>
      <c r="U279" s="5">
        <f t="shared" si="119"/>
        <v>5</v>
      </c>
      <c r="V279" s="5">
        <f>VLOOKUP(B279,'Loyd List 1-190 - Edit'!$A$2:$B$220,2,FALSE)</f>
        <v>5</v>
      </c>
      <c r="W279" s="155">
        <f t="shared" si="120"/>
        <v>2</v>
      </c>
      <c r="X279" s="105"/>
      <c r="Y279" s="105"/>
      <c r="Z279" s="164" t="s">
        <v>3675</v>
      </c>
      <c r="AA279" s="6">
        <v>317</v>
      </c>
      <c r="AB279" s="5">
        <f t="shared" si="130"/>
        <v>135</v>
      </c>
      <c r="AC279" s="5">
        <f t="shared" si="128"/>
        <v>2135</v>
      </c>
      <c r="AD279" s="97" t="str">
        <f t="shared" si="121"/>
        <v>110da</v>
      </c>
      <c r="AE279" s="5" t="str">
        <f t="shared" si="122"/>
        <v>Karina Boyce  BOYCE de CASTRO (1999 - )</v>
      </c>
      <c r="AF279" s="5" t="str">
        <f t="shared" si="123"/>
        <v>Karina BOYCE de CASTRO (7th &amp; 110)</v>
      </c>
      <c r="AG279" s="110" t="str">
        <f t="shared" si="124"/>
        <v>Female</v>
      </c>
      <c r="AH279" s="5" t="str">
        <f t="shared" si="125"/>
        <v>7th</v>
      </c>
      <c r="AI279" s="5" t="str">
        <f t="shared" si="113"/>
        <v>Unmarried</v>
      </c>
      <c r="AJ279" s="105" t="str">
        <f t="shared" si="129"/>
        <v>Female. b. 11/02/1999 Born in Rio de Janerio</v>
      </c>
      <c r="AK279" s="105" t="str">
        <f t="shared" si="126"/>
        <v>b. 11/02/1999</v>
      </c>
    </row>
    <row r="280" spans="1:37" s="5" customFormat="1" ht="20">
      <c r="A280" s="5">
        <f>VLOOKUP(B280,'Loyd List 1-190 - Edit'!$P$1:$R$219,3,FALSE)</f>
        <v>80</v>
      </c>
      <c r="B280" s="5">
        <f t="shared" si="115"/>
        <v>110</v>
      </c>
      <c r="C280" s="157" t="s">
        <v>3676</v>
      </c>
      <c r="D280" s="6" t="s">
        <v>3677</v>
      </c>
      <c r="E280" s="5" t="s">
        <v>3678</v>
      </c>
      <c r="F280" s="5" t="s">
        <v>1743</v>
      </c>
      <c r="I280" s="5">
        <f t="shared" si="111"/>
        <v>2002</v>
      </c>
      <c r="K280" s="152"/>
      <c r="L280" s="7" t="str">
        <f t="shared" si="112"/>
        <v>18/10/2002</v>
      </c>
      <c r="M280" s="8">
        <v>37547</v>
      </c>
      <c r="N280" s="7"/>
      <c r="O280" s="7"/>
      <c r="P280" s="181"/>
      <c r="Q280" s="153" t="str">
        <f t="shared" si="110"/>
        <v>110d</v>
      </c>
      <c r="R280" s="180"/>
      <c r="S280" s="25" t="s">
        <v>3245</v>
      </c>
      <c r="T280" s="5">
        <f>IF(B280&lt;10,V280+U280-1,IF(AND(B280&gt;=10,B280&lt;=99),V280+U280-2,V280+U280-3))</f>
        <v>7</v>
      </c>
      <c r="U280" s="5">
        <f>LEN(C280)</f>
        <v>5</v>
      </c>
      <c r="V280" s="5">
        <f>VLOOKUP(B280,'Loyd List 1-190 - Edit'!$A$2:$B$220,2,FALSE)</f>
        <v>5</v>
      </c>
      <c r="W280" s="155">
        <f>IF(LEN(C280)-IF(B280&lt;10,1,IF(AND(B280&gt;9,B280&lt;100),2,3))=1,1,IF(LEN(C280)-IF(B280&lt;10,1,IF(AND(B280&gt;9,B280&lt;100),2,3))=0,"SELF",LEN(C280)-IF(B280&lt;10,1,IF(AND(B280&gt;9,B280&lt;100),2,3))))</f>
        <v>2</v>
      </c>
      <c r="X280" s="105"/>
      <c r="Y280" s="105"/>
      <c r="Z280" s="164" t="s">
        <v>3675</v>
      </c>
      <c r="AA280" s="6"/>
      <c r="AB280" s="5">
        <f t="shared" si="130"/>
        <v>136</v>
      </c>
      <c r="AC280" s="5">
        <f t="shared" si="128"/>
        <v>2136</v>
      </c>
      <c r="AD280" s="97" t="str">
        <f t="shared" si="121"/>
        <v>110db</v>
      </c>
      <c r="AE280" s="5" t="str">
        <f t="shared" si="122"/>
        <v>Matheus Drummond  BOYCE de CASTRO (2002 - )</v>
      </c>
      <c r="AF280" s="5" t="str">
        <f t="shared" si="123"/>
        <v>Matheus BOYCE de CASTRO (7th &amp; 110)</v>
      </c>
      <c r="AG280" s="110" t="str">
        <f t="shared" si="124"/>
        <v>Male</v>
      </c>
      <c r="AH280" s="5" t="str">
        <f t="shared" si="125"/>
        <v>7th</v>
      </c>
      <c r="AI280" s="5" t="str">
        <f t="shared" si="113"/>
        <v>Unmarried</v>
      </c>
      <c r="AJ280" s="105" t="str">
        <f t="shared" si="129"/>
        <v>Male. b. 18/10/2002 Born in Rio de Janerio</v>
      </c>
      <c r="AK280" s="105" t="str">
        <f t="shared" si="126"/>
        <v>b. 18/10/2002</v>
      </c>
    </row>
    <row r="281" spans="1:37" s="5" customFormat="1" ht="20">
      <c r="A281" s="5">
        <f>VLOOKUP(B281,'Loyd List 1-190 - Edit'!$P$1:$R$219,3,FALSE)</f>
        <v>78</v>
      </c>
      <c r="B281" s="5">
        <f t="shared" si="115"/>
        <v>115</v>
      </c>
      <c r="C281" s="157" t="s">
        <v>1776</v>
      </c>
      <c r="D281" s="6" t="s">
        <v>1774</v>
      </c>
      <c r="E281" s="5" t="s">
        <v>925</v>
      </c>
      <c r="I281" s="5">
        <f t="shared" si="111"/>
        <v>1988</v>
      </c>
      <c r="J281" s="5" t="str">
        <f t="shared" si="127"/>
        <v/>
      </c>
      <c r="K281" s="152"/>
      <c r="L281" s="7" t="str">
        <f t="shared" si="112"/>
        <v>17/10/1988</v>
      </c>
      <c r="M281" s="8">
        <v>32433</v>
      </c>
      <c r="N281" s="7"/>
      <c r="O281" s="7"/>
      <c r="P281" s="181" t="str">
        <f t="shared" si="116"/>
        <v/>
      </c>
      <c r="Q281" s="153" t="str">
        <f t="shared" ref="Q281:Q291" si="131">MID(C281,1,LEN(C281)-1)</f>
        <v>115a</v>
      </c>
      <c r="R281" s="180" t="str">
        <f t="shared" si="117"/>
        <v/>
      </c>
      <c r="S281" s="25" t="s">
        <v>3245</v>
      </c>
      <c r="T281" s="5">
        <f t="shared" si="118"/>
        <v>7</v>
      </c>
      <c r="U281" s="5">
        <f t="shared" si="119"/>
        <v>5</v>
      </c>
      <c r="V281" s="5">
        <f>VLOOKUP(B281,'Loyd List 1-190 - Edit'!$A$2:$B$220,2,FALSE)</f>
        <v>5</v>
      </c>
      <c r="W281" s="155">
        <f t="shared" si="120"/>
        <v>2</v>
      </c>
      <c r="X281" s="105"/>
      <c r="Y281" s="105"/>
      <c r="Z281" s="164"/>
      <c r="AA281" s="6">
        <v>323</v>
      </c>
      <c r="AB281" s="5">
        <f t="shared" si="130"/>
        <v>137</v>
      </c>
      <c r="AC281" s="5">
        <f t="shared" si="128"/>
        <v>2137</v>
      </c>
      <c r="AD281" s="97" t="str">
        <f t="shared" si="121"/>
        <v>115aa</v>
      </c>
      <c r="AE281" s="5" t="str">
        <f t="shared" si="122"/>
        <v>Benjamin   CATOR (1988 - )</v>
      </c>
      <c r="AF281" s="5" t="str">
        <f t="shared" si="123"/>
        <v>Benjamin CATOR (7th &amp; 115)</v>
      </c>
      <c r="AG281" s="110" t="str">
        <f t="shared" si="124"/>
        <v>Male</v>
      </c>
      <c r="AH281" s="5" t="str">
        <f t="shared" si="125"/>
        <v>7th</v>
      </c>
      <c r="AI281" s="5" t="str">
        <f t="shared" si="113"/>
        <v>Unmarried</v>
      </c>
      <c r="AJ281" s="105" t="str">
        <f t="shared" si="129"/>
        <v>Male. b. 17/10/1988</v>
      </c>
      <c r="AK281" s="105" t="str">
        <f t="shared" si="126"/>
        <v>b. 17/10/1988</v>
      </c>
    </row>
    <row r="282" spans="1:37" s="5" customFormat="1" ht="20">
      <c r="A282" s="5">
        <f>VLOOKUP(B282,'Loyd List 1-190 - Edit'!$P$1:$R$219,3,FALSE)</f>
        <v>78</v>
      </c>
      <c r="B282" s="5">
        <f t="shared" si="115"/>
        <v>115</v>
      </c>
      <c r="C282" s="157" t="s">
        <v>1777</v>
      </c>
      <c r="D282" s="6" t="s">
        <v>1774</v>
      </c>
      <c r="E282" s="5" t="s">
        <v>1775</v>
      </c>
      <c r="I282" s="5">
        <f t="shared" ref="I282:I292" si="132">IF(L282="","",VALUE(RIGHT(L282,4)))</f>
        <v>1992</v>
      </c>
      <c r="J282" s="5" t="str">
        <f t="shared" si="127"/>
        <v/>
      </c>
      <c r="K282" s="152"/>
      <c r="L282" s="7" t="str">
        <f t="shared" ref="L282:L293" si="133">IF(M282="","",TEXT(M282,"dd/mm/yyyy"))</f>
        <v>11/09/1992</v>
      </c>
      <c r="M282" s="8">
        <v>33858</v>
      </c>
      <c r="N282" s="7"/>
      <c r="O282" s="7"/>
      <c r="P282" s="181" t="str">
        <f t="shared" si="116"/>
        <v/>
      </c>
      <c r="Q282" s="153" t="str">
        <f t="shared" si="131"/>
        <v>115a</v>
      </c>
      <c r="R282" s="180" t="str">
        <f t="shared" si="117"/>
        <v/>
      </c>
      <c r="S282" s="25" t="s">
        <v>3244</v>
      </c>
      <c r="T282" s="5">
        <f t="shared" si="118"/>
        <v>7</v>
      </c>
      <c r="U282" s="5">
        <f t="shared" si="119"/>
        <v>5</v>
      </c>
      <c r="V282" s="5">
        <f>VLOOKUP(B282,'Loyd List 1-190 - Edit'!$A$2:$B$220,2,FALSE)</f>
        <v>5</v>
      </c>
      <c r="W282" s="155">
        <f t="shared" si="120"/>
        <v>2</v>
      </c>
      <c r="X282" s="105"/>
      <c r="Y282" s="105"/>
      <c r="Z282" s="164"/>
      <c r="AA282" s="6">
        <v>324</v>
      </c>
      <c r="AB282" s="5">
        <f t="shared" si="130"/>
        <v>138</v>
      </c>
      <c r="AC282" s="5">
        <f t="shared" si="128"/>
        <v>2138</v>
      </c>
      <c r="AD282" s="97" t="str">
        <f t="shared" si="121"/>
        <v>115ab</v>
      </c>
      <c r="AE282" s="5" t="str">
        <f t="shared" si="122"/>
        <v>Lara   CATOR (1992 - )</v>
      </c>
      <c r="AF282" s="5" t="str">
        <f t="shared" si="123"/>
        <v>Lara CATOR (7th &amp; 115)</v>
      </c>
      <c r="AG282" s="110" t="str">
        <f t="shared" si="124"/>
        <v>Female</v>
      </c>
      <c r="AH282" s="5" t="str">
        <f t="shared" si="125"/>
        <v>7th</v>
      </c>
      <c r="AI282" s="5" t="str">
        <f t="shared" ref="AI282:AI292" si="134">IF(X282="","Unmarried",IF(AG282="Male",_xlfn.CONCAT("Wife: ",X282,". ",Y282),_xlfn.CONCAT("Husband: ",X282,". ",Y282)))</f>
        <v>Unmarried</v>
      </c>
      <c r="AJ282" s="105" t="str">
        <f t="shared" si="129"/>
        <v>Female. b. 11/09/1992</v>
      </c>
      <c r="AK282" s="105" t="str">
        <f t="shared" si="126"/>
        <v>b. 11/09/1992</v>
      </c>
    </row>
    <row r="283" spans="1:37" s="5" customFormat="1" ht="20">
      <c r="A283" s="5">
        <f>VLOOKUP(B283,'Loyd List 1-190 - Edit'!$P$1:$R$219,3,FALSE)</f>
        <v>78</v>
      </c>
      <c r="B283" s="5">
        <f t="shared" si="115"/>
        <v>115</v>
      </c>
      <c r="C283" s="157" t="s">
        <v>1778</v>
      </c>
      <c r="D283" s="6" t="s">
        <v>1774</v>
      </c>
      <c r="E283" s="5" t="s">
        <v>1747</v>
      </c>
      <c r="I283" s="5">
        <f t="shared" si="132"/>
        <v>1996</v>
      </c>
      <c r="J283" s="5" t="str">
        <f t="shared" si="127"/>
        <v/>
      </c>
      <c r="K283" s="152"/>
      <c r="L283" s="7" t="str">
        <f t="shared" si="133"/>
        <v>28/02/1996</v>
      </c>
      <c r="M283" s="8">
        <v>35123</v>
      </c>
      <c r="N283" s="7"/>
      <c r="O283" s="7"/>
      <c r="P283" s="181" t="str">
        <f t="shared" si="116"/>
        <v/>
      </c>
      <c r="Q283" s="153" t="str">
        <f t="shared" si="131"/>
        <v>115a</v>
      </c>
      <c r="R283" s="180" t="str">
        <f t="shared" si="117"/>
        <v/>
      </c>
      <c r="S283" s="25" t="s">
        <v>3245</v>
      </c>
      <c r="T283" s="5">
        <f t="shared" si="118"/>
        <v>7</v>
      </c>
      <c r="U283" s="5">
        <f t="shared" si="119"/>
        <v>5</v>
      </c>
      <c r="V283" s="5">
        <f>VLOOKUP(B283,'Loyd List 1-190 - Edit'!$A$2:$B$220,2,FALSE)</f>
        <v>5</v>
      </c>
      <c r="W283" s="155">
        <f t="shared" si="120"/>
        <v>2</v>
      </c>
      <c r="X283" s="105"/>
      <c r="Y283" s="105"/>
      <c r="Z283" s="164"/>
      <c r="AA283" s="6">
        <v>325</v>
      </c>
      <c r="AB283" s="5">
        <f t="shared" si="130"/>
        <v>139</v>
      </c>
      <c r="AC283" s="5">
        <f t="shared" si="128"/>
        <v>2139</v>
      </c>
      <c r="AD283" s="97" t="str">
        <f t="shared" si="121"/>
        <v>115ac</v>
      </c>
      <c r="AE283" s="5" t="str">
        <f t="shared" si="122"/>
        <v>Oscar   CATOR (1996 - )</v>
      </c>
      <c r="AF283" s="5" t="str">
        <f t="shared" si="123"/>
        <v>Oscar CATOR (7th &amp; 115)</v>
      </c>
      <c r="AG283" s="110" t="str">
        <f t="shared" si="124"/>
        <v>Male</v>
      </c>
      <c r="AH283" s="5" t="str">
        <f t="shared" si="125"/>
        <v>7th</v>
      </c>
      <c r="AI283" s="5" t="str">
        <f t="shared" si="134"/>
        <v>Unmarried</v>
      </c>
      <c r="AJ283" s="105" t="str">
        <f t="shared" si="129"/>
        <v>Male. b. 28/02/1996</v>
      </c>
      <c r="AK283" s="105" t="str">
        <f t="shared" si="126"/>
        <v>b. 28/02/1996</v>
      </c>
    </row>
    <row r="284" spans="1:37" s="5" customFormat="1" ht="20">
      <c r="A284" s="5">
        <f>VLOOKUP(B284,'Loyd List 1-190 - Edit'!$P$1:$R$219,3,FALSE)</f>
        <v>78</v>
      </c>
      <c r="B284" s="5">
        <f t="shared" si="115"/>
        <v>115</v>
      </c>
      <c r="C284" s="157" t="s">
        <v>1782</v>
      </c>
      <c r="D284" s="6" t="s">
        <v>1781</v>
      </c>
      <c r="E284" s="5" t="s">
        <v>1581</v>
      </c>
      <c r="I284" s="5">
        <f t="shared" si="132"/>
        <v>1995</v>
      </c>
      <c r="J284" s="5" t="str">
        <f t="shared" si="127"/>
        <v/>
      </c>
      <c r="K284" s="152"/>
      <c r="L284" s="7" t="str">
        <f t="shared" si="133"/>
        <v>21/12/1995</v>
      </c>
      <c r="M284" s="8">
        <v>35054</v>
      </c>
      <c r="N284" s="7"/>
      <c r="O284" s="7"/>
      <c r="P284" s="181" t="str">
        <f t="shared" si="116"/>
        <v/>
      </c>
      <c r="Q284" s="153" t="str">
        <f t="shared" si="131"/>
        <v>115b</v>
      </c>
      <c r="R284" s="180" t="str">
        <f t="shared" si="117"/>
        <v/>
      </c>
      <c r="S284" s="25" t="s">
        <v>3245</v>
      </c>
      <c r="T284" s="5">
        <f t="shared" si="118"/>
        <v>7</v>
      </c>
      <c r="U284" s="5">
        <f t="shared" si="119"/>
        <v>5</v>
      </c>
      <c r="V284" s="5">
        <f>VLOOKUP(B284,'Loyd List 1-190 - Edit'!$A$2:$B$220,2,FALSE)</f>
        <v>5</v>
      </c>
      <c r="W284" s="155">
        <f t="shared" si="120"/>
        <v>2</v>
      </c>
      <c r="X284" s="105"/>
      <c r="Y284" s="105"/>
      <c r="Z284" s="164"/>
      <c r="AA284" s="6">
        <v>327</v>
      </c>
      <c r="AB284" s="5">
        <f t="shared" si="130"/>
        <v>140</v>
      </c>
      <c r="AC284" s="5">
        <f t="shared" si="128"/>
        <v>2140</v>
      </c>
      <c r="AD284" s="97" t="str">
        <f t="shared" si="121"/>
        <v>115ba</v>
      </c>
      <c r="AE284" s="5" t="str">
        <f t="shared" si="122"/>
        <v>Milo   SOAMES (1995 - )</v>
      </c>
      <c r="AF284" s="5" t="str">
        <f t="shared" si="123"/>
        <v>Milo SOAMES (7th &amp; 115)</v>
      </c>
      <c r="AG284" s="110" t="str">
        <f t="shared" si="124"/>
        <v>Male</v>
      </c>
      <c r="AH284" s="5" t="str">
        <f t="shared" si="125"/>
        <v>7th</v>
      </c>
      <c r="AI284" s="5" t="str">
        <f t="shared" si="134"/>
        <v>Unmarried</v>
      </c>
      <c r="AJ284" s="105" t="str">
        <f t="shared" si="129"/>
        <v>Male. b. 21/12/1995</v>
      </c>
      <c r="AK284" s="105" t="str">
        <f t="shared" si="126"/>
        <v>b. 21/12/1995</v>
      </c>
    </row>
    <row r="285" spans="1:37" s="5" customFormat="1" ht="20">
      <c r="A285" s="5">
        <f>VLOOKUP(B285,'Loyd List 1-190 - Edit'!$P$1:$R$219,3,FALSE)</f>
        <v>78</v>
      </c>
      <c r="B285" s="5">
        <f t="shared" si="115"/>
        <v>115</v>
      </c>
      <c r="C285" s="157" t="s">
        <v>1783</v>
      </c>
      <c r="D285" s="6" t="s">
        <v>1781</v>
      </c>
      <c r="E285" s="5" t="s">
        <v>1181</v>
      </c>
      <c r="I285" s="5">
        <f t="shared" si="132"/>
        <v>1997</v>
      </c>
      <c r="J285" s="5" t="str">
        <f t="shared" si="127"/>
        <v/>
      </c>
      <c r="K285" s="152"/>
      <c r="L285" s="7" t="str">
        <f t="shared" si="133"/>
        <v>21/08/1997</v>
      </c>
      <c r="M285" s="8">
        <v>35663</v>
      </c>
      <c r="N285" s="7"/>
      <c r="O285" s="7"/>
      <c r="P285" s="181" t="str">
        <f t="shared" si="116"/>
        <v/>
      </c>
      <c r="Q285" s="153" t="str">
        <f t="shared" si="131"/>
        <v>115b</v>
      </c>
      <c r="R285" s="180" t="str">
        <f t="shared" si="117"/>
        <v/>
      </c>
      <c r="S285" s="25" t="s">
        <v>3245</v>
      </c>
      <c r="T285" s="5">
        <f t="shared" si="118"/>
        <v>7</v>
      </c>
      <c r="U285" s="5">
        <f t="shared" si="119"/>
        <v>5</v>
      </c>
      <c r="V285" s="5">
        <f>VLOOKUP(B285,'Loyd List 1-190 - Edit'!$A$2:$B$220,2,FALSE)</f>
        <v>5</v>
      </c>
      <c r="W285" s="155">
        <f t="shared" si="120"/>
        <v>2</v>
      </c>
      <c r="X285" s="105"/>
      <c r="Y285" s="105"/>
      <c r="Z285" s="164"/>
      <c r="AA285" s="6">
        <v>328</v>
      </c>
      <c r="AB285" s="5">
        <f t="shared" si="130"/>
        <v>141</v>
      </c>
      <c r="AC285" s="5">
        <f t="shared" si="128"/>
        <v>2141</v>
      </c>
      <c r="AD285" s="97" t="str">
        <f t="shared" si="121"/>
        <v>115bb</v>
      </c>
      <c r="AE285" s="5" t="str">
        <f t="shared" si="122"/>
        <v>Tommy   SOAMES (1997 - )</v>
      </c>
      <c r="AF285" s="5" t="str">
        <f t="shared" si="123"/>
        <v>Tommy SOAMES (7th &amp; 115)</v>
      </c>
      <c r="AG285" s="110" t="str">
        <f t="shared" si="124"/>
        <v>Male</v>
      </c>
      <c r="AH285" s="5" t="str">
        <f t="shared" si="125"/>
        <v>7th</v>
      </c>
      <c r="AI285" s="5" t="str">
        <f t="shared" si="134"/>
        <v>Unmarried</v>
      </c>
      <c r="AJ285" s="105" t="str">
        <f t="shared" si="129"/>
        <v>Male. b. 21/08/1997</v>
      </c>
      <c r="AK285" s="105" t="str">
        <f t="shared" si="126"/>
        <v>b. 21/08/1997</v>
      </c>
    </row>
    <row r="286" spans="1:37" s="5" customFormat="1" ht="20">
      <c r="A286" s="5">
        <f>VLOOKUP(B286,'Loyd List 1-190 - Edit'!$P$1:$R$219,3,FALSE)</f>
        <v>78</v>
      </c>
      <c r="B286" s="5">
        <f t="shared" si="115"/>
        <v>115</v>
      </c>
      <c r="C286" s="157" t="s">
        <v>1784</v>
      </c>
      <c r="D286" s="6" t="s">
        <v>1781</v>
      </c>
      <c r="E286" s="5" t="s">
        <v>870</v>
      </c>
      <c r="F286" s="5" t="s">
        <v>1772</v>
      </c>
      <c r="G286" s="5" t="s">
        <v>1644</v>
      </c>
      <c r="I286" s="5">
        <f t="shared" si="132"/>
        <v>1999</v>
      </c>
      <c r="J286" s="5" t="str">
        <f t="shared" si="127"/>
        <v/>
      </c>
      <c r="K286" s="152"/>
      <c r="L286" s="7" t="str">
        <f t="shared" si="133"/>
        <v>10/05/1999</v>
      </c>
      <c r="M286" s="8">
        <v>36290</v>
      </c>
      <c r="N286" s="7"/>
      <c r="O286" s="7"/>
      <c r="P286" s="181" t="str">
        <f t="shared" si="116"/>
        <v/>
      </c>
      <c r="Q286" s="153" t="str">
        <f t="shared" si="131"/>
        <v>115b</v>
      </c>
      <c r="R286" s="180" t="str">
        <f t="shared" si="117"/>
        <v/>
      </c>
      <c r="S286" s="25" t="s">
        <v>3244</v>
      </c>
      <c r="T286" s="5">
        <f t="shared" si="118"/>
        <v>7</v>
      </c>
      <c r="U286" s="5">
        <f t="shared" si="119"/>
        <v>5</v>
      </c>
      <c r="V286" s="5">
        <f>VLOOKUP(B286,'Loyd List 1-190 - Edit'!$A$2:$B$220,2,FALSE)</f>
        <v>5</v>
      </c>
      <c r="W286" s="155">
        <f t="shared" si="120"/>
        <v>2</v>
      </c>
      <c r="X286" s="105"/>
      <c r="Y286" s="105"/>
      <c r="Z286" s="164"/>
      <c r="AA286" s="6">
        <v>329</v>
      </c>
      <c r="AB286" s="5">
        <f t="shared" si="130"/>
        <v>142</v>
      </c>
      <c r="AC286" s="5">
        <f t="shared" si="128"/>
        <v>2142</v>
      </c>
      <c r="AD286" s="97" t="str">
        <f t="shared" si="121"/>
        <v>115bc</v>
      </c>
      <c r="AE286" s="5" t="str">
        <f t="shared" si="122"/>
        <v>Mary Alicia Claire SOAMES (1999 - )</v>
      </c>
      <c r="AF286" s="5" t="str">
        <f t="shared" si="123"/>
        <v>Mary SOAMES (7th &amp; 115)</v>
      </c>
      <c r="AG286" s="110" t="str">
        <f t="shared" si="124"/>
        <v>Female</v>
      </c>
      <c r="AH286" s="5" t="str">
        <f t="shared" si="125"/>
        <v>7th</v>
      </c>
      <c r="AI286" s="5" t="str">
        <f t="shared" si="134"/>
        <v>Unmarried</v>
      </c>
      <c r="AJ286" s="105" t="str">
        <f>IF(Z286="",_xlfn.CONCAT(AG286,". ",AK286),_xlfn.CONCAT(AG286,". ",AK286," ",Z286))</f>
        <v>Female. b. 10/05/1999</v>
      </c>
      <c r="AK286" s="105" t="str">
        <f t="shared" si="126"/>
        <v>b. 10/05/1999</v>
      </c>
    </row>
    <row r="287" spans="1:37" s="5" customFormat="1" ht="20">
      <c r="A287" s="5">
        <f>VLOOKUP(B287,'Loyd List 1-190 - Edit'!$P$1:$R$219,3,FALSE)</f>
        <v>89</v>
      </c>
      <c r="B287" s="5">
        <f t="shared" si="115"/>
        <v>123</v>
      </c>
      <c r="C287" s="157" t="s">
        <v>3686</v>
      </c>
      <c r="D287" s="6" t="s">
        <v>3687</v>
      </c>
      <c r="E287" s="5" t="s">
        <v>3688</v>
      </c>
      <c r="F287" s="5" t="s">
        <v>876</v>
      </c>
      <c r="G287" s="5" t="s">
        <v>1497</v>
      </c>
      <c r="H287" s="5" t="s">
        <v>3689</v>
      </c>
      <c r="I287" s="5">
        <f t="shared" si="132"/>
        <v>2012</v>
      </c>
      <c r="J287" s="5" t="str">
        <f t="shared" si="127"/>
        <v/>
      </c>
      <c r="K287" s="152"/>
      <c r="L287" s="7" t="str">
        <f t="shared" si="133"/>
        <v>20/10/2012</v>
      </c>
      <c r="M287" s="8">
        <v>41202</v>
      </c>
      <c r="N287" s="7"/>
      <c r="O287" s="7"/>
      <c r="P287" s="181"/>
      <c r="Q287" s="153" t="str">
        <f t="shared" si="131"/>
        <v>123a</v>
      </c>
      <c r="R287" s="180"/>
      <c r="S287" s="25" t="s">
        <v>3244</v>
      </c>
      <c r="T287" s="5">
        <f>IF(B287&lt;10,V287+U287-1,IF(AND(B287&gt;=10,B287&lt;=99),V287+U287-2,V287+U287-3))</f>
        <v>8</v>
      </c>
      <c r="U287" s="5">
        <f>LEN(C287)</f>
        <v>5</v>
      </c>
      <c r="V287" s="5">
        <f>VLOOKUP(B287,'Loyd List 1-190 - Edit'!$A$2:$B$220,2,FALSE)</f>
        <v>6</v>
      </c>
      <c r="W287" s="155">
        <f>IF(LEN(C287)-IF(B287&lt;10,1,IF(AND(B287&gt;9,B287&lt;100),2,3))=1,1,IF(LEN(C287)-IF(B287&lt;10,1,IF(AND(B287&gt;9,B287&lt;100),2,3))=0,"SELF",LEN(C287)-IF(B287&lt;10,1,IF(AND(B287&gt;9,B287&lt;100),2,3))))</f>
        <v>2</v>
      </c>
      <c r="X287" s="105"/>
      <c r="Y287" s="105"/>
      <c r="Z287" s="105" t="s">
        <v>3690</v>
      </c>
      <c r="AA287" s="6"/>
      <c r="AB287" s="5">
        <f t="shared" si="130"/>
        <v>143</v>
      </c>
      <c r="AC287" s="5">
        <f t="shared" si="128"/>
        <v>2143</v>
      </c>
      <c r="AD287" s="97" t="str">
        <f t="shared" si="121"/>
        <v>123aa</v>
      </c>
      <c r="AE287" s="5" t="str">
        <f t="shared" si="122"/>
        <v>Eva Charlotte Loyd TALBOT (2012 - )</v>
      </c>
      <c r="AF287" s="5" t="str">
        <f t="shared" si="123"/>
        <v>Evie TALBOT (8th &amp; 123)</v>
      </c>
      <c r="AG287" s="110" t="str">
        <f t="shared" si="124"/>
        <v>Female</v>
      </c>
      <c r="AH287" s="5" t="str">
        <f t="shared" si="125"/>
        <v>8th</v>
      </c>
      <c r="AI287" s="5" t="str">
        <f t="shared" si="134"/>
        <v>Unmarried</v>
      </c>
      <c r="AJ287" s="105" t="str">
        <f t="shared" si="129"/>
        <v>Female. b. 20/10/2012 Born at Homerton Hospital, London.</v>
      </c>
      <c r="AK287" s="105" t="str">
        <f t="shared" si="126"/>
        <v>b. 20/10/2012</v>
      </c>
    </row>
    <row r="288" spans="1:37" s="5" customFormat="1" ht="20">
      <c r="A288" s="5">
        <f>VLOOKUP(B288,'Loyd List 1-190 - Edit'!$P$1:$R$219,3,FALSE)</f>
        <v>89</v>
      </c>
      <c r="B288" s="5">
        <f t="shared" si="115"/>
        <v>123</v>
      </c>
      <c r="C288" s="157" t="s">
        <v>3691</v>
      </c>
      <c r="D288" s="6" t="s">
        <v>3687</v>
      </c>
      <c r="E288" s="5" t="s">
        <v>3692</v>
      </c>
      <c r="F288" s="5" t="s">
        <v>1805</v>
      </c>
      <c r="G288" s="5" t="s">
        <v>865</v>
      </c>
      <c r="I288" s="5">
        <f t="shared" si="132"/>
        <v>2015</v>
      </c>
      <c r="J288" s="5" t="str">
        <f t="shared" si="127"/>
        <v/>
      </c>
      <c r="K288" s="152"/>
      <c r="L288" s="7" t="str">
        <f t="shared" si="133"/>
        <v>19/03/2015</v>
      </c>
      <c r="M288" s="8">
        <v>42082</v>
      </c>
      <c r="N288" s="7"/>
      <c r="O288" s="7"/>
      <c r="P288" s="181"/>
      <c r="Q288" s="153" t="str">
        <f t="shared" si="131"/>
        <v>123a</v>
      </c>
      <c r="R288" s="180"/>
      <c r="S288" s="25" t="s">
        <v>3245</v>
      </c>
      <c r="T288" s="5">
        <f>IF(B288&lt;10,V288+U288-1,IF(AND(B288&gt;=10,B288&lt;=99),V288+U288-2,V288+U288-3))</f>
        <v>8</v>
      </c>
      <c r="U288" s="5">
        <f>LEN(C288)</f>
        <v>5</v>
      </c>
      <c r="V288" s="5">
        <f>VLOOKUP(B288,'Loyd List 1-190 - Edit'!$A$2:$B$220,2,FALSE)</f>
        <v>6</v>
      </c>
      <c r="W288" s="155">
        <f>IF(LEN(C288)-IF(B288&lt;10,1,IF(AND(B288&gt;9,B288&lt;100),2,3))=1,1,IF(LEN(C288)-IF(B288&lt;10,1,IF(AND(B288&gt;9,B288&lt;100),2,3))=0,"SELF",LEN(C288)-IF(B288&lt;10,1,IF(AND(B288&gt;9,B288&lt;100),2,3))))</f>
        <v>2</v>
      </c>
      <c r="X288" s="105"/>
      <c r="Y288" s="105"/>
      <c r="Z288" s="105" t="s">
        <v>3690</v>
      </c>
      <c r="AA288" s="6"/>
      <c r="AB288" s="5">
        <f t="shared" si="130"/>
        <v>144</v>
      </c>
      <c r="AC288" s="5">
        <f t="shared" si="128"/>
        <v>2144</v>
      </c>
      <c r="AD288" s="97" t="str">
        <f t="shared" si="121"/>
        <v>123ab</v>
      </c>
      <c r="AE288" s="5" t="str">
        <f t="shared" si="122"/>
        <v>Arlo Terrence Peter TALBOT (2015 - )</v>
      </c>
      <c r="AF288" s="5" t="str">
        <f t="shared" si="123"/>
        <v>Arlo TALBOT (8th &amp; 123)</v>
      </c>
      <c r="AG288" s="110" t="str">
        <f t="shared" si="124"/>
        <v>Male</v>
      </c>
      <c r="AH288" s="5" t="str">
        <f t="shared" si="125"/>
        <v>8th</v>
      </c>
      <c r="AI288" s="5" t="str">
        <f t="shared" si="134"/>
        <v>Unmarried</v>
      </c>
      <c r="AJ288" s="105" t="str">
        <f t="shared" si="129"/>
        <v>Male. b. 19/03/2015 Born at Homerton Hospital, London.</v>
      </c>
      <c r="AK288" s="105" t="str">
        <f t="shared" si="126"/>
        <v>b. 19/03/2015</v>
      </c>
    </row>
    <row r="289" spans="1:37" s="5" customFormat="1" ht="23" customHeight="1">
      <c r="A289" s="5">
        <f>VLOOKUP(B289,'Loyd List 1-190 - Edit'!$P$1:$R$219,3,FALSE)</f>
        <v>89</v>
      </c>
      <c r="B289" s="5">
        <f t="shared" si="115"/>
        <v>123</v>
      </c>
      <c r="C289" s="157" t="s">
        <v>3696</v>
      </c>
      <c r="D289" s="6" t="s">
        <v>3707</v>
      </c>
      <c r="E289" s="5" t="s">
        <v>3699</v>
      </c>
      <c r="F289" s="5" t="s">
        <v>3700</v>
      </c>
      <c r="I289" s="5">
        <f t="shared" si="132"/>
        <v>2005</v>
      </c>
      <c r="J289" s="5" t="str">
        <f t="shared" si="127"/>
        <v/>
      </c>
      <c r="K289" s="152"/>
      <c r="L289" s="7" t="str">
        <f t="shared" si="133"/>
        <v>24/04/2005</v>
      </c>
      <c r="M289" s="8">
        <v>38466</v>
      </c>
      <c r="N289" s="7"/>
      <c r="O289" s="7"/>
      <c r="P289" s="181"/>
      <c r="Q289" s="153" t="str">
        <f t="shared" si="131"/>
        <v>123b</v>
      </c>
      <c r="R289" s="180"/>
      <c r="S289" s="25" t="s">
        <v>3245</v>
      </c>
      <c r="T289" s="5">
        <f>IF(B289&lt;10,V289+U289-1,IF(AND(B289&gt;=10,B289&lt;=99),V289+U289-2,V289+U289-3))</f>
        <v>8</v>
      </c>
      <c r="U289" s="5">
        <f>LEN(C289)</f>
        <v>5</v>
      </c>
      <c r="V289" s="5">
        <f>VLOOKUP(B289,'Loyd List 1-190 - Edit'!$A$2:$B$220,2,FALSE)</f>
        <v>6</v>
      </c>
      <c r="W289" s="155">
        <f>IF(LEN(C289)-IF(B289&lt;10,1,IF(AND(B289&gt;9,B289&lt;100),2,3))=1,1,IF(LEN(C289)-IF(B289&lt;10,1,IF(AND(B289&gt;9,B289&lt;100),2,3))=0,"SELF",LEN(C289)-IF(B289&lt;10,1,IF(AND(B289&gt;9,B289&lt;100),2,3))))</f>
        <v>2</v>
      </c>
      <c r="X289" s="105"/>
      <c r="Y289" s="105"/>
      <c r="Z289" s="105" t="s">
        <v>3701</v>
      </c>
      <c r="AA289" s="6"/>
      <c r="AB289" s="5">
        <f t="shared" si="130"/>
        <v>145</v>
      </c>
      <c r="AC289" s="5">
        <f t="shared" si="128"/>
        <v>2145</v>
      </c>
      <c r="AD289" s="97" t="str">
        <f t="shared" si="121"/>
        <v>123ba</v>
      </c>
      <c r="AE289" s="5" t="str">
        <f t="shared" si="122"/>
        <v>Rufus Mali  CORVINO (2005 - )</v>
      </c>
      <c r="AF289" s="5" t="str">
        <f t="shared" si="123"/>
        <v>Rufus CORVINO (8th &amp; 123)</v>
      </c>
      <c r="AG289" s="110" t="str">
        <f t="shared" si="124"/>
        <v>Male</v>
      </c>
      <c r="AH289" s="5" t="str">
        <f t="shared" si="125"/>
        <v>8th</v>
      </c>
      <c r="AJ289" s="105" t="str">
        <f t="shared" si="129"/>
        <v>Male. b. 24/04/2005 Born at Stratford-upon-Avon. Lives in Portugal.</v>
      </c>
      <c r="AK289" s="105" t="str">
        <f t="shared" si="126"/>
        <v>b. 24/04/2005</v>
      </c>
    </row>
    <row r="290" spans="1:37" s="5" customFormat="1" ht="20">
      <c r="A290" s="5">
        <f>VLOOKUP(B290,'Loyd List 1-190 - Edit'!$P$1:$R$219,3,FALSE)</f>
        <v>89</v>
      </c>
      <c r="B290" s="5">
        <f t="shared" si="115"/>
        <v>123</v>
      </c>
      <c r="C290" s="157" t="s">
        <v>3697</v>
      </c>
      <c r="D290" s="6" t="s">
        <v>1803</v>
      </c>
      <c r="E290" s="5" t="s">
        <v>3703</v>
      </c>
      <c r="F290" s="5" t="s">
        <v>1063</v>
      </c>
      <c r="G290" s="5" t="s">
        <v>3704</v>
      </c>
      <c r="I290" s="5">
        <f t="shared" si="132"/>
        <v>2017</v>
      </c>
      <c r="J290" s="5" t="str">
        <f t="shared" si="127"/>
        <v/>
      </c>
      <c r="K290" s="152"/>
      <c r="L290" s="7" t="str">
        <f t="shared" si="133"/>
        <v>29/01/2017</v>
      </c>
      <c r="M290" s="8">
        <v>42764</v>
      </c>
      <c r="N290" s="7"/>
      <c r="O290" s="7"/>
      <c r="P290" s="181"/>
      <c r="Q290" s="153" t="str">
        <f t="shared" si="131"/>
        <v>123b</v>
      </c>
      <c r="R290" s="180"/>
      <c r="S290" s="25" t="s">
        <v>3245</v>
      </c>
      <c r="T290" s="5">
        <f>IF(B290&lt;10,V290+U290-1,IF(AND(B290&gt;=10,B290&lt;=99),V290+U290-2,V290+U290-3))</f>
        <v>8</v>
      </c>
      <c r="U290" s="5">
        <f>LEN(C290)</f>
        <v>5</v>
      </c>
      <c r="V290" s="5">
        <f>VLOOKUP(B290,'Loyd List 1-190 - Edit'!$A$2:$B$220,2,FALSE)</f>
        <v>6</v>
      </c>
      <c r="W290" s="155">
        <f>IF(LEN(C290)-IF(B290&lt;10,1,IF(AND(B290&gt;9,B290&lt;100),2,3))=1,1,IF(LEN(C290)-IF(B290&lt;10,1,IF(AND(B290&gt;9,B290&lt;100),2,3))=0,"SELF",LEN(C290)-IF(B290&lt;10,1,IF(AND(B290&gt;9,B290&lt;100),2,3))))</f>
        <v>2</v>
      </c>
      <c r="X290" s="105"/>
      <c r="Y290" s="105"/>
      <c r="Z290" s="164" t="s">
        <v>3702</v>
      </c>
      <c r="AA290" s="6"/>
      <c r="AB290" s="5">
        <f t="shared" si="130"/>
        <v>146</v>
      </c>
      <c r="AC290" s="5">
        <f t="shared" si="128"/>
        <v>2146</v>
      </c>
      <c r="AD290" s="97" t="str">
        <f t="shared" si="121"/>
        <v>123bb</v>
      </c>
      <c r="AE290" s="5" t="str">
        <f t="shared" si="122"/>
        <v>Hal Alfred Layzell BOSMAN (2017 - )</v>
      </c>
      <c r="AF290" s="5" t="str">
        <f t="shared" si="123"/>
        <v>Hal BOSMAN (8th &amp; 123)</v>
      </c>
      <c r="AG290" s="110" t="str">
        <f t="shared" si="124"/>
        <v>Male</v>
      </c>
      <c r="AH290" s="5" t="str">
        <f t="shared" si="125"/>
        <v>8th</v>
      </c>
      <c r="AJ290" s="105" t="str">
        <f t="shared" si="129"/>
        <v>Male. b. 29/01/2017 Born at Chelsea &amp; Westminster Hospital, London.</v>
      </c>
      <c r="AK290" s="105" t="str">
        <f t="shared" si="126"/>
        <v>b. 29/01/2017</v>
      </c>
    </row>
    <row r="291" spans="1:37" s="5" customFormat="1" ht="20">
      <c r="A291" s="5">
        <f>VLOOKUP(B291,'Loyd List 1-190 - Edit'!$P$1:$R$219,3,FALSE)</f>
        <v>89</v>
      </c>
      <c r="B291" s="5">
        <f t="shared" si="115"/>
        <v>123</v>
      </c>
      <c r="C291" s="157" t="s">
        <v>3698</v>
      </c>
      <c r="D291" s="6" t="s">
        <v>1803</v>
      </c>
      <c r="E291" s="5" t="s">
        <v>3706</v>
      </c>
      <c r="F291" s="5" t="s">
        <v>1805</v>
      </c>
      <c r="I291" s="5">
        <f t="shared" si="132"/>
        <v>2020</v>
      </c>
      <c r="J291" s="5" t="str">
        <f t="shared" si="127"/>
        <v/>
      </c>
      <c r="K291" s="152"/>
      <c r="L291" s="7" t="str">
        <f t="shared" si="133"/>
        <v>11/04/2020</v>
      </c>
      <c r="M291" s="8">
        <v>43932</v>
      </c>
      <c r="N291" s="7"/>
      <c r="O291" s="7"/>
      <c r="P291" s="181"/>
      <c r="Q291" s="153" t="str">
        <f t="shared" si="131"/>
        <v>123b</v>
      </c>
      <c r="R291" s="180"/>
      <c r="S291" s="25" t="s">
        <v>3245</v>
      </c>
      <c r="T291" s="5">
        <f>IF(B291&lt;10,V291+U291-1,IF(AND(B291&gt;=10,B291&lt;=99),V291+U291-2,V291+U291-3))</f>
        <v>8</v>
      </c>
      <c r="U291" s="5">
        <f>LEN(C291)</f>
        <v>5</v>
      </c>
      <c r="V291" s="5">
        <f>VLOOKUP(B291,'Loyd List 1-190 - Edit'!$A$2:$B$220,2,FALSE)</f>
        <v>6</v>
      </c>
      <c r="W291" s="155">
        <f>IF(LEN(C291)-IF(B291&lt;10,1,IF(AND(B291&gt;9,B291&lt;100),2,3))=1,1,IF(LEN(C291)-IF(B291&lt;10,1,IF(AND(B291&gt;9,B291&lt;100),2,3))=0,"SELF",LEN(C291)-IF(B291&lt;10,1,IF(AND(B291&gt;9,B291&lt;100),2,3))))</f>
        <v>2</v>
      </c>
      <c r="X291" s="105"/>
      <c r="Y291" s="105"/>
      <c r="Z291" s="164" t="s">
        <v>3705</v>
      </c>
      <c r="AA291" s="6"/>
      <c r="AB291" s="5">
        <f t="shared" si="130"/>
        <v>147</v>
      </c>
      <c r="AC291" s="5">
        <f t="shared" si="128"/>
        <v>2147</v>
      </c>
      <c r="AD291" s="97" t="str">
        <f t="shared" si="121"/>
        <v>123bc</v>
      </c>
      <c r="AE291" s="5" t="str">
        <f t="shared" si="122"/>
        <v>Rocky Terrence  BOSMAN (2020 - )</v>
      </c>
      <c r="AF291" s="5" t="str">
        <f t="shared" si="123"/>
        <v>Rocky BOSMAN (8th &amp; 123)</v>
      </c>
      <c r="AG291" s="110" t="str">
        <f t="shared" si="124"/>
        <v>Male</v>
      </c>
      <c r="AH291" s="5" t="str">
        <f t="shared" si="125"/>
        <v>8th</v>
      </c>
      <c r="AJ291" s="105" t="str">
        <f t="shared" si="129"/>
        <v>Male. b. 11/04/2020 Born at Porch Farmhouse, Godmanchester.</v>
      </c>
      <c r="AK291" s="105" t="str">
        <f t="shared" si="126"/>
        <v>b. 11/04/2020</v>
      </c>
    </row>
    <row r="292" spans="1:37" s="5" customFormat="1" ht="20">
      <c r="A292" s="137">
        <v>100</v>
      </c>
      <c r="B292" s="5">
        <f>VALUE(LEFT(C292,3))</f>
        <v>143</v>
      </c>
      <c r="C292" s="184" t="s">
        <v>3051</v>
      </c>
      <c r="D292" s="161" t="s">
        <v>3052</v>
      </c>
      <c r="E292" s="137" t="s">
        <v>1988</v>
      </c>
      <c r="F292" s="137" t="s">
        <v>3053</v>
      </c>
      <c r="G292" s="137"/>
      <c r="H292" s="137"/>
      <c r="I292" s="137">
        <f t="shared" si="132"/>
        <v>2020</v>
      </c>
      <c r="J292" s="137" t="str">
        <f t="shared" si="127"/>
        <v/>
      </c>
      <c r="K292" s="162" t="str">
        <f>IF(A292="",_xlfn.CONCAT(E292," (",B292,"): ",I292),_xlfn.CONCAT(A292," (",B292,"): ",I292))</f>
        <v>100 (143): 2020</v>
      </c>
      <c r="L292" s="163" t="str">
        <f t="shared" si="133"/>
        <v>21/10/2020</v>
      </c>
      <c r="M292" s="163">
        <v>44125</v>
      </c>
      <c r="N292" s="137"/>
      <c r="O292" s="163"/>
      <c r="P292" s="181" t="str">
        <f t="shared" si="116"/>
        <v/>
      </c>
      <c r="Q292" s="159" t="s">
        <v>1838</v>
      </c>
      <c r="R292" s="180" t="str">
        <f t="shared" si="117"/>
        <v/>
      </c>
      <c r="S292" s="154" t="s">
        <v>3244</v>
      </c>
      <c r="T292" s="5">
        <f t="shared" si="118"/>
        <v>8</v>
      </c>
      <c r="U292" s="5">
        <f t="shared" si="119"/>
        <v>5</v>
      </c>
      <c r="V292" s="5">
        <f>VLOOKUP(B292,'Loyd List 1-190 - Edit'!$A$2:$B$220,2,FALSE)</f>
        <v>6</v>
      </c>
      <c r="W292" s="155">
        <f t="shared" si="120"/>
        <v>2</v>
      </c>
      <c r="X292" s="169"/>
      <c r="Y292" s="169"/>
      <c r="Z292" s="169"/>
      <c r="AA292" s="6">
        <v>350</v>
      </c>
      <c r="AB292" s="5">
        <f t="shared" si="130"/>
        <v>148</v>
      </c>
      <c r="AC292" s="5">
        <f t="shared" si="128"/>
        <v>2148</v>
      </c>
      <c r="AD292" s="97" t="str">
        <f t="shared" si="121"/>
        <v>143aa</v>
      </c>
      <c r="AE292" s="5" t="str">
        <f t="shared" si="122"/>
        <v>Alice Isla  RUSSELL-STONEHAM (2020 - )</v>
      </c>
      <c r="AF292" s="5" t="str">
        <f t="shared" si="123"/>
        <v>Alice RUSSELL-STONEHAM (8th &amp; 143)</v>
      </c>
      <c r="AG292" s="110" t="str">
        <f t="shared" si="124"/>
        <v>Female</v>
      </c>
      <c r="AH292" s="5" t="str">
        <f t="shared" si="125"/>
        <v>8th</v>
      </c>
      <c r="AI292" s="5" t="str">
        <f t="shared" si="134"/>
        <v>Unmarried</v>
      </c>
      <c r="AJ292" s="105" t="str">
        <f t="shared" si="129"/>
        <v>Female. b. 21/10/2020</v>
      </c>
      <c r="AK292" s="105" t="str">
        <f t="shared" si="126"/>
        <v>b. 21/10/2020</v>
      </c>
    </row>
    <row r="293" spans="1:37" s="5" customFormat="1" ht="34">
      <c r="A293" s="5">
        <f>VLOOKUP(B293,'Loyd List 1-190 - Edit'!$P$1:$R$219,3,FALSE)</f>
        <v>1</v>
      </c>
      <c r="B293" s="5">
        <f>VALUE(LEFT(C293,1))</f>
        <v>2</v>
      </c>
      <c r="C293" s="157" t="s">
        <v>1961</v>
      </c>
      <c r="D293" s="6" t="s">
        <v>1948</v>
      </c>
      <c r="E293" s="5" t="s">
        <v>830</v>
      </c>
      <c r="I293" s="189" t="s">
        <v>1950</v>
      </c>
      <c r="J293" s="5">
        <f t="shared" si="127"/>
        <v>1943</v>
      </c>
      <c r="K293" s="152"/>
      <c r="L293" s="7" t="str">
        <f t="shared" si="133"/>
        <v>1860 or 61</v>
      </c>
      <c r="M293" s="8" t="s">
        <v>3285</v>
      </c>
      <c r="O293" s="7">
        <v>15847</v>
      </c>
      <c r="P293" s="181" t="str">
        <f t="shared" si="116"/>
        <v>21/05/1943</v>
      </c>
      <c r="Q293" s="153" t="str">
        <f t="shared" ref="Q293:Q324" si="135">MID(C293,1,LEN(C293)-1)</f>
        <v>2aa</v>
      </c>
      <c r="R293" s="180" t="str">
        <f t="shared" si="117"/>
        <v>21/05/1943</v>
      </c>
      <c r="S293" s="25" t="s">
        <v>3245</v>
      </c>
      <c r="T293" s="5">
        <f t="shared" si="118"/>
        <v>4</v>
      </c>
      <c r="U293" s="5">
        <f t="shared" si="119"/>
        <v>4</v>
      </c>
      <c r="V293" s="5">
        <f>VLOOKUP(B293,'Loyd List 1-190 - Edit'!$A$2:$B$220,2,FALSE)</f>
        <v>1</v>
      </c>
      <c r="W293" s="155">
        <f t="shared" si="120"/>
        <v>3</v>
      </c>
      <c r="X293" s="105" t="s">
        <v>2378</v>
      </c>
      <c r="Y293" s="105" t="s">
        <v>2364</v>
      </c>
      <c r="Z293" s="164" t="s">
        <v>2363</v>
      </c>
      <c r="AA293" s="6">
        <v>3</v>
      </c>
      <c r="AB293" s="5">
        <v>1</v>
      </c>
      <c r="AC293" s="5">
        <f t="shared" si="128"/>
        <v>3001</v>
      </c>
      <c r="AD293" s="97" t="str">
        <f t="shared" si="121"/>
        <v>2aaa</v>
      </c>
      <c r="AE293" s="5" t="str">
        <f t="shared" si="122"/>
        <v>William   DAVIES (1860/61 - 1943)</v>
      </c>
      <c r="AF293" s="5" t="str">
        <f t="shared" si="123"/>
        <v>William DAVIES (4th &amp; 2)</v>
      </c>
      <c r="AG293" s="110" t="str">
        <f t="shared" si="124"/>
        <v>Male</v>
      </c>
      <c r="AH293" s="5" t="str">
        <f t="shared" si="125"/>
        <v>4th</v>
      </c>
      <c r="AI293" s="5" t="str">
        <f>IF(X294="","Unmarried",IF(AG293="Male",_xlfn.CONCAT("Wife: ",X294,". ",Y294),_xlfn.CONCAT("Husband: ",X294,". ",Y294)))</f>
        <v>Unmarried</v>
      </c>
      <c r="AJ293" s="105" t="str">
        <f t="shared" si="129"/>
        <v>Male. b. 1860 or 61, d. 21/05/1943. William DAVIES (another son), tenant of Glangwenlais Farm, Cilycwm, and later of Bryngwenlais Farm, Cilycwm.</v>
      </c>
      <c r="AK293" s="105" t="str">
        <f t="shared" si="126"/>
        <v>b. 1860 or 61, d. 21/05/1943.</v>
      </c>
    </row>
    <row r="294" spans="1:37" s="5" customFormat="1" ht="102">
      <c r="A294" s="5">
        <f>VLOOKUP(B294,'Loyd List 1-190 - Edit'!$P$1:$R$219,3,FALSE)</f>
        <v>1</v>
      </c>
      <c r="B294" s="5">
        <f>VALUE(LEFT(C294,1))</f>
        <v>2</v>
      </c>
      <c r="C294" s="157" t="s">
        <v>1978</v>
      </c>
      <c r="D294" s="6" t="s">
        <v>1973</v>
      </c>
      <c r="E294" s="5" t="s">
        <v>1972</v>
      </c>
      <c r="F294" s="5" t="s">
        <v>1497</v>
      </c>
      <c r="I294" s="5">
        <f t="shared" ref="I294:I325" si="136">IF(L294="","",VALUE(RIGHT(L294,4)))</f>
        <v>1852</v>
      </c>
      <c r="J294" s="5">
        <f t="shared" si="127"/>
        <v>1905</v>
      </c>
      <c r="K294" s="152"/>
      <c r="L294" s="7">
        <v>1852</v>
      </c>
      <c r="M294" s="10" t="s">
        <v>3283</v>
      </c>
      <c r="O294" s="123" t="s">
        <v>1974</v>
      </c>
      <c r="P294" s="181" t="str">
        <f t="shared" si="116"/>
        <v>1894</v>
      </c>
      <c r="Q294" s="153" t="str">
        <f t="shared" si="135"/>
        <v>2ca</v>
      </c>
      <c r="R294" s="180" t="str">
        <f t="shared" si="117"/>
        <v>1894</v>
      </c>
      <c r="S294" s="25" t="s">
        <v>3245</v>
      </c>
      <c r="T294" s="5">
        <f t="shared" si="118"/>
        <v>4</v>
      </c>
      <c r="U294" s="5">
        <f t="shared" si="119"/>
        <v>4</v>
      </c>
      <c r="V294" s="5">
        <f>VLOOKUP(B294,'Loyd List 1-190 - Edit'!$A$2:$B$220,2,FALSE)</f>
        <v>1</v>
      </c>
      <c r="W294" s="155">
        <f t="shared" si="120"/>
        <v>3</v>
      </c>
      <c r="X294" s="105"/>
      <c r="Y294" s="105"/>
      <c r="Z294" s="164" t="s">
        <v>2374</v>
      </c>
      <c r="AA294" s="6">
        <v>8</v>
      </c>
      <c r="AB294" s="5">
        <f>AB293+1</f>
        <v>2</v>
      </c>
      <c r="AC294" s="5">
        <f t="shared" si="128"/>
        <v>3002</v>
      </c>
      <c r="AD294" s="97" t="str">
        <f t="shared" si="121"/>
        <v>2caa</v>
      </c>
      <c r="AE294" s="5" t="str">
        <f t="shared" si="122"/>
        <v>The REV Roderick Loyd  PROTHEROE (1852 - 1905)</v>
      </c>
      <c r="AF294" s="5" t="str">
        <f t="shared" si="123"/>
        <v>The REV Roderick PROTHEROE (4th &amp; 2)</v>
      </c>
      <c r="AG294" s="110" t="str">
        <f t="shared" si="124"/>
        <v>Male</v>
      </c>
      <c r="AH294" s="5" t="str">
        <f t="shared" si="125"/>
        <v>4th</v>
      </c>
      <c r="AI294" s="5" t="str">
        <f t="shared" ref="AI294:AI325" si="137">IF(X294="","Unmarried",IF(AG294="Male",_xlfn.CONCAT("Wife: ",X294,". ",Y294),_xlfn.CONCAT("Husband: ",X294,". ",Y294)))</f>
        <v>Unmarried</v>
      </c>
      <c r="AJ294" s="105" t="str">
        <f t="shared" si="129"/>
        <v>Male. b. 1852, d. 1894. Educated Society of the Divine Passion, Lampeter (BA Theology 1875). Deacon 1875. Priest 1876. Curate of Penmorfa 1875-77. Curate of Machynlleth, Montgomeryshire 1877-89. Rector of Penstrowed 1889-94. d. 1894. The inclusion of the name ‘Loyd’ as a Christian name was probably in recognition of the money left by Thomas LOYD (1775-1853) in his will to the issue of his sister, Jane, which enabled the two brothers to be educated for the Church.</v>
      </c>
      <c r="AK294" s="105" t="str">
        <f t="shared" si="126"/>
        <v>b. 1852, d. 1894.</v>
      </c>
    </row>
    <row r="295" spans="1:37" s="5" customFormat="1" ht="119">
      <c r="A295" s="5">
        <f>VLOOKUP(B295,'Loyd List 1-190 - Edit'!$P$1:$R$219,3,FALSE)</f>
        <v>1</v>
      </c>
      <c r="B295" s="5">
        <f>VALUE(LEFT(C295,1))</f>
        <v>2</v>
      </c>
      <c r="C295" s="157" t="s">
        <v>1979</v>
      </c>
      <c r="D295" s="6" t="s">
        <v>1973</v>
      </c>
      <c r="E295" s="5" t="s">
        <v>1975</v>
      </c>
      <c r="F295" s="5" t="s">
        <v>1497</v>
      </c>
      <c r="I295" s="5">
        <f t="shared" si="136"/>
        <v>1855</v>
      </c>
      <c r="J295" s="7" t="str">
        <f>O295</f>
        <v>1915</v>
      </c>
      <c r="K295" s="152"/>
      <c r="L295" s="7" t="str">
        <f t="shared" ref="L295:L361" si="138">IF(M295="","",TEXT(M295,"dd/mm/yyyy"))</f>
        <v>10/03/1855</v>
      </c>
      <c r="M295" s="5" t="s">
        <v>1976</v>
      </c>
      <c r="N295" s="5" t="s">
        <v>2370</v>
      </c>
      <c r="O295" s="123" t="s">
        <v>1977</v>
      </c>
      <c r="P295" s="181" t="str">
        <f t="shared" si="116"/>
        <v>1915</v>
      </c>
      <c r="Q295" s="153" t="str">
        <f t="shared" si="135"/>
        <v>2ca</v>
      </c>
      <c r="R295" s="180" t="str">
        <f t="shared" si="117"/>
        <v>1915</v>
      </c>
      <c r="S295" s="25" t="s">
        <v>3245</v>
      </c>
      <c r="T295" s="5">
        <f t="shared" si="118"/>
        <v>4</v>
      </c>
      <c r="U295" s="5">
        <f t="shared" si="119"/>
        <v>4</v>
      </c>
      <c r="V295" s="5">
        <f>VLOOKUP(B295,'Loyd List 1-190 - Edit'!$A$2:$B$220,2,FALSE)</f>
        <v>1</v>
      </c>
      <c r="W295" s="155">
        <f t="shared" si="120"/>
        <v>3</v>
      </c>
      <c r="X295" s="105" t="s">
        <v>2371</v>
      </c>
      <c r="Y295" s="105" t="s">
        <v>2372</v>
      </c>
      <c r="Z295" s="164" t="s">
        <v>2373</v>
      </c>
      <c r="AA295" s="6">
        <v>9</v>
      </c>
      <c r="AB295" s="5">
        <f t="shared" ref="AB295:AB382" si="139">AB294+1</f>
        <v>3</v>
      </c>
      <c r="AC295" s="5">
        <f t="shared" si="128"/>
        <v>3003</v>
      </c>
      <c r="AD295" s="97" t="str">
        <f t="shared" si="121"/>
        <v>2cab</v>
      </c>
      <c r="AE295" s="5" t="str">
        <f t="shared" si="122"/>
        <v>The REV William Loyd  PROTHEROE (1855 - 1915)</v>
      </c>
      <c r="AF295" s="5" t="str">
        <f t="shared" si="123"/>
        <v>The REV William PROTHEROE (4th &amp; 2)</v>
      </c>
      <c r="AG295" s="110" t="str">
        <f t="shared" si="124"/>
        <v>Male</v>
      </c>
      <c r="AH295" s="5" t="str">
        <f t="shared" si="125"/>
        <v>4th</v>
      </c>
      <c r="AI295" s="5" t="str">
        <f t="shared" si="137"/>
        <v>Wife: Alice Laura MUSGRAVE (b. 23/12/1861, d. 1928). Alice daughter of Francis MUSGRAVE. Married at Mold, Flint.</v>
      </c>
      <c r="AJ295" s="105" t="str">
        <f t="shared" si="129"/>
        <v>Male. b. 10/03/1855, d. 1915. Born at Stone Street, Llandovery. Educated Society of the Divine Passion, Lampeter (Scholar and Exhibitioner, BA 1879). Deacon 1879. Priest 1881. Curate of Mold 1879-84. Vicar of Pont-Bleiddyn, Mold 1884-89. Vicar of Llanasa, Holywell 1889-1915. The inclusion of the name ‘Loyd’ as a Christian name was probably in recognition of the money left by Thomas LOYD (1775-1853) in his will to the issue of his sister, Jane, which enabled the two brothers to be educated for the Church.</v>
      </c>
      <c r="AK295" s="105" t="str">
        <f t="shared" si="126"/>
        <v>b. 10/03/1855, d. 1915.</v>
      </c>
    </row>
    <row r="296" spans="1:37" s="5" customFormat="1" ht="102">
      <c r="A296" s="5">
        <f>VLOOKUP(B296,'Loyd List 1-190 - Edit'!$P$1:$R$219,3,FALSE)</f>
        <v>8</v>
      </c>
      <c r="B296" s="5">
        <f t="shared" ref="B296:B356" si="140">VALUE(LEFT(C296,2))</f>
        <v>18</v>
      </c>
      <c r="C296" s="157" t="s">
        <v>2042</v>
      </c>
      <c r="D296" s="6" t="s">
        <v>2038</v>
      </c>
      <c r="E296" s="5" t="s">
        <v>2040</v>
      </c>
      <c r="F296" s="5" t="s">
        <v>2041</v>
      </c>
      <c r="I296" s="5">
        <f t="shared" si="136"/>
        <v>1991</v>
      </c>
      <c r="J296" s="5">
        <f t="shared" ref="J296:J363" si="141">IF(O296="","",VALUE(RIGHT(TEXT(O296,"dd/mm/yyyy"),4)))</f>
        <v>2002</v>
      </c>
      <c r="K296" s="152"/>
      <c r="L296" s="7" t="str">
        <f t="shared" si="138"/>
        <v>23/03/1991</v>
      </c>
      <c r="M296" s="8">
        <v>33320</v>
      </c>
      <c r="N296" s="7">
        <v>15845</v>
      </c>
      <c r="O296" s="7">
        <v>37295</v>
      </c>
      <c r="P296" s="181" t="str">
        <f t="shared" si="116"/>
        <v>08/02/2002</v>
      </c>
      <c r="Q296" s="153" t="str">
        <f t="shared" si="135"/>
        <v>18bb</v>
      </c>
      <c r="R296" s="180" t="str">
        <f t="shared" si="117"/>
        <v>08/02/2002</v>
      </c>
      <c r="S296" s="25" t="s">
        <v>3245</v>
      </c>
      <c r="T296" s="5">
        <f t="shared" si="118"/>
        <v>5</v>
      </c>
      <c r="U296" s="5">
        <f t="shared" si="119"/>
        <v>5</v>
      </c>
      <c r="V296" s="5">
        <f>VLOOKUP(B296,'Loyd List 1-190 - Edit'!$A$2:$B$220,2,FALSE)</f>
        <v>2</v>
      </c>
      <c r="W296" s="155">
        <f t="shared" si="120"/>
        <v>3</v>
      </c>
      <c r="X296" s="105" t="s">
        <v>3613</v>
      </c>
      <c r="Y296" s="105" t="s">
        <v>2402</v>
      </c>
      <c r="Z296" s="164" t="s">
        <v>3612</v>
      </c>
      <c r="AA296" s="6">
        <v>27</v>
      </c>
      <c r="AB296" s="5">
        <f t="shared" si="139"/>
        <v>4</v>
      </c>
      <c r="AC296" s="5">
        <f t="shared" si="128"/>
        <v>3004</v>
      </c>
      <c r="AD296" s="97" t="str">
        <f t="shared" si="121"/>
        <v>18bba</v>
      </c>
      <c r="AE296" s="5" t="str">
        <f t="shared" si="122"/>
        <v>Sir Edward Redston  WARNER (1991 - 2002)</v>
      </c>
      <c r="AF296" s="5" t="str">
        <f t="shared" si="123"/>
        <v>Sir Edward WARNER (5th &amp; 18)</v>
      </c>
      <c r="AG296" s="110" t="str">
        <f t="shared" si="124"/>
        <v>Male</v>
      </c>
      <c r="AH296" s="5" t="str">
        <f t="shared" si="125"/>
        <v>5th</v>
      </c>
      <c r="AI296" s="5" t="str">
        <f t="shared" si="137"/>
        <v>Wife: Grizel Margaret CLERK RATTRAY (b. 09/06/1913, d. 04/11/2003). Married Margaret elder daughter of Colonel Paul CLERK RATTRAY of Craighall, Rattray, Perthshire at Cairo Cathedral, Grizel</v>
      </c>
      <c r="AJ296" s="105" t="str">
        <f t="shared" si="129"/>
        <v xml:space="preserve">Male. b. 23/03/1991, d. 08/02/2002. Educated Oundle and King’s College, Cambridge. Entered Foreign Office and Diplomatic Service 1935. UK Delegation to OEEC, Paris 1956-59. Minister at HM Embassy, Tokyo 1959-62. HM Ambassador, Cameroon 1963-66. UK Rep, Econ and Social Council, United Nations 1966-68. HM Ambassador, Tunisia 1968-70. OBE 1948. CMG 1955. KCMG 1965. Ashes interred St Peter &amp; St Paul, Blockley, Gloucestershire. </v>
      </c>
      <c r="AK296" s="105" t="str">
        <f t="shared" si="126"/>
        <v>b. 23/03/1991, d. 08/02/2002.</v>
      </c>
    </row>
    <row r="297" spans="1:37" s="5" customFormat="1" ht="68">
      <c r="A297" s="5">
        <f>VLOOKUP(B297,'Loyd List 1-190 - Edit'!$P$1:$R$219,3,FALSE)</f>
        <v>8</v>
      </c>
      <c r="B297" s="5">
        <f t="shared" si="140"/>
        <v>18</v>
      </c>
      <c r="C297" s="157" t="s">
        <v>2039</v>
      </c>
      <c r="D297" s="6" t="s">
        <v>2067</v>
      </c>
      <c r="E297" s="5" t="s">
        <v>842</v>
      </c>
      <c r="F297" s="5" t="s">
        <v>2064</v>
      </c>
      <c r="I297" s="5">
        <f t="shared" si="136"/>
        <v>1912</v>
      </c>
      <c r="J297" s="5">
        <f t="shared" si="141"/>
        <v>2008</v>
      </c>
      <c r="K297" s="152"/>
      <c r="L297" s="7" t="str">
        <f t="shared" si="138"/>
        <v>13/06/1912</v>
      </c>
      <c r="M297" s="8">
        <v>4548</v>
      </c>
      <c r="N297" s="7">
        <v>16968</v>
      </c>
      <c r="O297" s="7">
        <v>39720</v>
      </c>
      <c r="P297" s="181" t="str">
        <f t="shared" si="116"/>
        <v>29/09/2008</v>
      </c>
      <c r="Q297" s="153" t="str">
        <f t="shared" si="135"/>
        <v>18bb</v>
      </c>
      <c r="R297" s="180" t="str">
        <f t="shared" si="117"/>
        <v>29/09/2008</v>
      </c>
      <c r="S297" s="25" t="s">
        <v>3245</v>
      </c>
      <c r="T297" s="5">
        <f t="shared" si="118"/>
        <v>5</v>
      </c>
      <c r="U297" s="5">
        <f t="shared" si="119"/>
        <v>5</v>
      </c>
      <c r="V297" s="5">
        <f>VLOOKUP(B297,'Loyd List 1-190 - Edit'!$A$2:$B$220,2,FALSE)</f>
        <v>2</v>
      </c>
      <c r="W297" s="155">
        <f t="shared" si="120"/>
        <v>3</v>
      </c>
      <c r="X297" s="105" t="s">
        <v>3716</v>
      </c>
      <c r="Y297" s="105" t="s">
        <v>2425</v>
      </c>
      <c r="Z297" s="105" t="s">
        <v>3717</v>
      </c>
      <c r="AA297" s="6">
        <v>40</v>
      </c>
      <c r="AB297" s="5">
        <f t="shared" si="139"/>
        <v>5</v>
      </c>
      <c r="AC297" s="5">
        <f t="shared" si="128"/>
        <v>3005</v>
      </c>
      <c r="AD297" s="97" t="str">
        <f t="shared" si="121"/>
        <v>18bbb</v>
      </c>
      <c r="AE297" s="5" t="str">
        <f t="shared" si="122"/>
        <v>John Wilmot  WARNER (later NICOL) (1912 - 2008)</v>
      </c>
      <c r="AF297" s="5" t="str">
        <f t="shared" si="123"/>
        <v>John WARNER (later NICOL) (5th &amp; 18)</v>
      </c>
      <c r="AG297" s="110" t="str">
        <f t="shared" si="124"/>
        <v>Male</v>
      </c>
      <c r="AH297" s="5" t="str">
        <f t="shared" si="125"/>
        <v>5th</v>
      </c>
      <c r="AI297" s="5" t="str">
        <f t="shared" si="137"/>
        <v>Wife: Diana Neame FINN (b. 13/03/1914, d. 18/02/1991). Eldest daughter of Lewis FINN of Lorenden, Faversham, Kent.</v>
      </c>
      <c r="AJ297" s="105" t="str">
        <f t="shared" si="129"/>
        <v>Male. b. 13/06/1912, d. 29/09/2008. Educated Oundle and RMC Sandhurst. Changed name to NICOL on inheriting Ballogie Nov 1941. 18bbb John Nicol. Commissioned 1931, Oxfordshire and Buckinghamshire Light Infantry. Retired as Lieutenant Colonel 1946. DSO, MBE. Died  at Ballogie. Buried at Christ Church, Kincardine O’Neil.</v>
      </c>
      <c r="AK297" s="105" t="str">
        <f t="shared" si="126"/>
        <v>b. 13/06/1912, d. 29/09/2008.</v>
      </c>
    </row>
    <row r="298" spans="1:37" s="5" customFormat="1" ht="34">
      <c r="A298" s="5">
        <f>VLOOKUP(B298,'Loyd List 1-190 - Edit'!$P$1:$R$219,3,FALSE)</f>
        <v>8</v>
      </c>
      <c r="B298" s="5">
        <f t="shared" si="140"/>
        <v>18</v>
      </c>
      <c r="C298" s="157" t="s">
        <v>2087</v>
      </c>
      <c r="D298" s="6" t="s">
        <v>2038</v>
      </c>
      <c r="E298" s="5" t="s">
        <v>865</v>
      </c>
      <c r="F298" s="5" t="s">
        <v>810</v>
      </c>
      <c r="G298" s="5" t="s">
        <v>807</v>
      </c>
      <c r="I298" s="5">
        <f t="shared" si="136"/>
        <v>1915</v>
      </c>
      <c r="J298" s="5">
        <f t="shared" si="141"/>
        <v>2003</v>
      </c>
      <c r="K298" s="152"/>
      <c r="L298" s="7" t="str">
        <f t="shared" si="138"/>
        <v>30/03/1915</v>
      </c>
      <c r="M298" s="8">
        <v>5568</v>
      </c>
      <c r="O298" s="7">
        <v>37929</v>
      </c>
      <c r="P298" s="181" t="str">
        <f t="shared" si="116"/>
        <v>04/11/2003</v>
      </c>
      <c r="Q298" s="153" t="str">
        <f t="shared" si="135"/>
        <v>18bb</v>
      </c>
      <c r="R298" s="180" t="str">
        <f t="shared" si="117"/>
        <v>04/11/2003</v>
      </c>
      <c r="S298" s="25" t="s">
        <v>3245</v>
      </c>
      <c r="T298" s="5">
        <f t="shared" si="118"/>
        <v>5</v>
      </c>
      <c r="U298" s="5">
        <f t="shared" si="119"/>
        <v>5</v>
      </c>
      <c r="V298" s="5">
        <f>VLOOKUP(B298,'Loyd List 1-190 - Edit'!$A$2:$B$220,2,FALSE)</f>
        <v>2</v>
      </c>
      <c r="W298" s="155">
        <f t="shared" si="120"/>
        <v>3</v>
      </c>
      <c r="X298" s="105"/>
      <c r="Y298" s="105"/>
      <c r="Z298" s="164" t="s">
        <v>3718</v>
      </c>
      <c r="AA298" s="6">
        <v>55</v>
      </c>
      <c r="AB298" s="5">
        <f t="shared" si="139"/>
        <v>6</v>
      </c>
      <c r="AC298" s="5">
        <f t="shared" si="128"/>
        <v>3006</v>
      </c>
      <c r="AD298" s="97" t="str">
        <f t="shared" si="121"/>
        <v>18bbc</v>
      </c>
      <c r="AE298" s="5" t="str">
        <f t="shared" si="122"/>
        <v>Peter Eric Henry WARNER (1915 - 2003)</v>
      </c>
      <c r="AF298" s="5" t="str">
        <f t="shared" si="123"/>
        <v>Peter WARNER (5th &amp; 18)</v>
      </c>
      <c r="AG298" s="110" t="str">
        <f t="shared" si="124"/>
        <v>Male</v>
      </c>
      <c r="AH298" s="5" t="str">
        <f t="shared" si="125"/>
        <v>5th</v>
      </c>
      <c r="AI298" s="5" t="str">
        <f t="shared" si="137"/>
        <v>Unmarried</v>
      </c>
      <c r="AJ298" s="105" t="str">
        <f t="shared" si="129"/>
        <v>Male. b. 30/03/1915, d. 04/11/2003. Educated Oundle and RMC Sandhurst. Lieut Colonel, Royal Fusiliers. MBE 1942. MC 1944. Died in London 2008. Ashes scattered at Ballogie.</v>
      </c>
      <c r="AK298" s="105" t="str">
        <f t="shared" si="126"/>
        <v>b. 30/03/1915, d. 04/11/2003.</v>
      </c>
    </row>
    <row r="299" spans="1:37" s="5" customFormat="1" ht="20">
      <c r="A299" s="5">
        <f>VLOOKUP(B299,'Loyd List 1-190 - Edit'!$P$1:$R$219,3,FALSE)</f>
        <v>8</v>
      </c>
      <c r="B299" s="5">
        <f t="shared" si="140"/>
        <v>18</v>
      </c>
      <c r="C299" s="157" t="s">
        <v>2107</v>
      </c>
      <c r="D299" s="6" t="s">
        <v>2106</v>
      </c>
      <c r="E299" s="5" t="s">
        <v>877</v>
      </c>
      <c r="I299" s="5">
        <f t="shared" si="136"/>
        <v>1911</v>
      </c>
      <c r="J299" s="5">
        <f t="shared" si="141"/>
        <v>1987</v>
      </c>
      <c r="K299" s="152"/>
      <c r="L299" s="7" t="str">
        <f t="shared" si="138"/>
        <v>09/09/1911</v>
      </c>
      <c r="M299" s="8">
        <v>4270</v>
      </c>
      <c r="O299" s="7">
        <v>31997</v>
      </c>
      <c r="P299" s="181" t="str">
        <f t="shared" si="116"/>
        <v>08/08/1987</v>
      </c>
      <c r="Q299" s="153" t="str">
        <f t="shared" si="135"/>
        <v>18ea</v>
      </c>
      <c r="R299" s="180" t="str">
        <f t="shared" si="117"/>
        <v>08/08/1987</v>
      </c>
      <c r="S299" s="25" t="s">
        <v>3244</v>
      </c>
      <c r="T299" s="5">
        <f t="shared" si="118"/>
        <v>5</v>
      </c>
      <c r="U299" s="5">
        <f t="shared" si="119"/>
        <v>5</v>
      </c>
      <c r="V299" s="5">
        <f>VLOOKUP(B299,'Loyd List 1-190 - Edit'!$A$2:$B$220,2,FALSE)</f>
        <v>2</v>
      </c>
      <c r="W299" s="155">
        <f t="shared" si="120"/>
        <v>3</v>
      </c>
      <c r="X299" s="105"/>
      <c r="Y299" s="105"/>
      <c r="Z299" s="164" t="s">
        <v>2442</v>
      </c>
      <c r="AA299" s="6">
        <v>62</v>
      </c>
      <c r="AB299" s="5">
        <f t="shared" si="139"/>
        <v>7</v>
      </c>
      <c r="AC299" s="5">
        <f t="shared" si="128"/>
        <v>3007</v>
      </c>
      <c r="AD299" s="97" t="str">
        <f t="shared" si="121"/>
        <v>18eaa</v>
      </c>
      <c r="AE299" s="5" t="str">
        <f t="shared" si="122"/>
        <v>Brenda   DUGDALE (1911 - 1987)</v>
      </c>
      <c r="AF299" s="5" t="str">
        <f t="shared" si="123"/>
        <v>Brenda DUGDALE (5th &amp; 18)</v>
      </c>
      <c r="AG299" s="110" t="str">
        <f t="shared" si="124"/>
        <v>Female</v>
      </c>
      <c r="AH299" s="5" t="str">
        <f t="shared" si="125"/>
        <v>5th</v>
      </c>
      <c r="AI299" s="5" t="str">
        <f t="shared" si="137"/>
        <v>Unmarried</v>
      </c>
      <c r="AJ299" s="105" t="str">
        <f t="shared" si="129"/>
        <v>Female. b. 09/09/1911, d. 08/08/1987. Died at 93 Ebury Street, London SW1.</v>
      </c>
      <c r="AK299" s="105" t="str">
        <f t="shared" si="126"/>
        <v>b. 09/09/1911, d. 08/08/1987.</v>
      </c>
    </row>
    <row r="300" spans="1:37" s="5" customFormat="1" ht="222">
      <c r="A300" s="5">
        <f>VLOOKUP(B300,'Loyd List 1-190 - Edit'!$P$1:$R$219,3,FALSE)</f>
        <v>22</v>
      </c>
      <c r="B300" s="5">
        <f t="shared" si="140"/>
        <v>36</v>
      </c>
      <c r="C300" s="157" t="s">
        <v>2157</v>
      </c>
      <c r="D300" s="5" t="s">
        <v>2151</v>
      </c>
      <c r="E300" s="5" t="s">
        <v>952</v>
      </c>
      <c r="F300" s="5" t="s">
        <v>1654</v>
      </c>
      <c r="H300" s="5" t="s">
        <v>2459</v>
      </c>
      <c r="I300" s="5">
        <f t="shared" si="136"/>
        <v>1942</v>
      </c>
      <c r="J300" s="5" t="str">
        <f t="shared" si="141"/>
        <v/>
      </c>
      <c r="K300" s="152"/>
      <c r="L300" s="7" t="str">
        <f t="shared" si="138"/>
        <v>30/05/1942</v>
      </c>
      <c r="M300" s="8">
        <v>15491</v>
      </c>
      <c r="N300" s="7">
        <v>24016</v>
      </c>
      <c r="O300" s="7"/>
      <c r="P300" s="181" t="str">
        <f t="shared" si="116"/>
        <v/>
      </c>
      <c r="Q300" s="153" t="str">
        <f t="shared" si="135"/>
        <v>36db</v>
      </c>
      <c r="R300" s="180" t="str">
        <f t="shared" si="117"/>
        <v/>
      </c>
      <c r="S300" s="25" t="s">
        <v>3244</v>
      </c>
      <c r="T300" s="5">
        <f t="shared" si="118"/>
        <v>6</v>
      </c>
      <c r="U300" s="5">
        <f t="shared" si="119"/>
        <v>5</v>
      </c>
      <c r="V300" s="5">
        <f>VLOOKUP(B300,'Loyd List 1-190 - Edit'!$A$2:$B$220,2,FALSE)</f>
        <v>3</v>
      </c>
      <c r="W300" s="155">
        <f t="shared" si="120"/>
        <v>3</v>
      </c>
      <c r="X300" s="105" t="s">
        <v>2458</v>
      </c>
      <c r="Y300" s="110" t="s">
        <v>2460</v>
      </c>
      <c r="Z300" s="164" t="s">
        <v>2461</v>
      </c>
      <c r="AA300" s="6">
        <v>76</v>
      </c>
      <c r="AB300" s="5">
        <f t="shared" si="139"/>
        <v>8</v>
      </c>
      <c r="AC300" s="5">
        <f t="shared" si="128"/>
        <v>3008</v>
      </c>
      <c r="AD300" s="97" t="str">
        <f t="shared" si="121"/>
        <v>36dba</v>
      </c>
      <c r="AE300" s="5" t="str">
        <f t="shared" si="122"/>
        <v>Elizabeth Clare  POWELL (1942 - )</v>
      </c>
      <c r="AF300" s="5" t="str">
        <f t="shared" si="123"/>
        <v>Toodie POWELL (6th &amp; 36)</v>
      </c>
      <c r="AG300" s="110" t="str">
        <f t="shared" si="124"/>
        <v>Female</v>
      </c>
      <c r="AH300" s="5" t="str">
        <f t="shared" si="125"/>
        <v>6th</v>
      </c>
      <c r="AI300" s="5" t="str">
        <f t="shared" si="137"/>
        <v>Husband: Canon Colin Thomas SCOTT-DEMPSTER (b. 22/04/1937, d.). Married at the Episcopal Church of St John, Princes Street, Edinburgh, Canon Colin of The Vicarage, Chieveley, Newbury, Berkshire, RG20 8UT. Deacon, Christ Church Cathedral, Oxford, Sep 1966. Priest, Christ Church Cathedral, Oxford, Sep 1967. Curate, St Peter’s, Caversham 1966-69. Chaplain, Teacher Training College of St Mark &amp; St John, Chelsea, London 1969-73. Vicar of Chieveley, Winterbourne &amp; Oare, Oxford Diocese from 1973. Rural Dean of Newbury 1977-98. Hon Canon, Christ Church Cathedral, Oxford 1990.</v>
      </c>
      <c r="AJ300" s="105" t="str">
        <f t="shared" si="129"/>
        <v>Female. b. 30/05/1942 Born at Collessie, Fife.</v>
      </c>
      <c r="AK300" s="105" t="str">
        <f t="shared" si="126"/>
        <v>b. 30/05/1942</v>
      </c>
    </row>
    <row r="301" spans="1:37" s="5" customFormat="1" ht="86">
      <c r="A301" s="5">
        <f>VLOOKUP(B301,'Loyd List 1-190 - Edit'!$P$1:$R$219,3,FALSE)</f>
        <v>22</v>
      </c>
      <c r="B301" s="5">
        <f t="shared" si="140"/>
        <v>36</v>
      </c>
      <c r="C301" s="157" t="s">
        <v>2165</v>
      </c>
      <c r="D301" s="5" t="s">
        <v>2151</v>
      </c>
      <c r="E301" s="5" t="s">
        <v>882</v>
      </c>
      <c r="F301" s="5" t="s">
        <v>1010</v>
      </c>
      <c r="I301" s="5">
        <f t="shared" si="136"/>
        <v>1944</v>
      </c>
      <c r="J301" s="5" t="str">
        <f t="shared" si="141"/>
        <v/>
      </c>
      <c r="K301" s="152"/>
      <c r="L301" s="7" t="str">
        <f t="shared" si="138"/>
        <v>09/07/1944</v>
      </c>
      <c r="M301" s="8">
        <v>16262</v>
      </c>
      <c r="N301" s="7">
        <v>24115</v>
      </c>
      <c r="O301" s="7"/>
      <c r="P301" s="181" t="str">
        <f t="shared" si="116"/>
        <v/>
      </c>
      <c r="Q301" s="153" t="str">
        <f t="shared" si="135"/>
        <v>36db</v>
      </c>
      <c r="R301" s="180" t="str">
        <f t="shared" si="117"/>
        <v/>
      </c>
      <c r="S301" s="25" t="s">
        <v>3244</v>
      </c>
      <c r="T301" s="5">
        <f t="shared" si="118"/>
        <v>6</v>
      </c>
      <c r="U301" s="5">
        <f t="shared" si="119"/>
        <v>5</v>
      </c>
      <c r="V301" s="5">
        <f>VLOOKUP(B301,'Loyd List 1-190 - Edit'!$A$2:$B$220,2,FALSE)</f>
        <v>3</v>
      </c>
      <c r="W301" s="155">
        <f t="shared" si="120"/>
        <v>3</v>
      </c>
      <c r="X301" s="105" t="s">
        <v>2166</v>
      </c>
      <c r="Y301" s="105" t="s">
        <v>2469</v>
      </c>
      <c r="Z301" s="164" t="s">
        <v>2468</v>
      </c>
      <c r="AA301" s="6">
        <v>81</v>
      </c>
      <c r="AB301" s="5">
        <f t="shared" si="139"/>
        <v>9</v>
      </c>
      <c r="AC301" s="5">
        <f t="shared" si="128"/>
        <v>3009</v>
      </c>
      <c r="AD301" s="97" t="str">
        <f t="shared" si="121"/>
        <v>36dbb</v>
      </c>
      <c r="AE301" s="5" t="str">
        <f t="shared" si="122"/>
        <v>Margaret Ann  POWELL (1944 - )</v>
      </c>
      <c r="AF301" s="5" t="str">
        <f t="shared" si="123"/>
        <v>Margaret POWELL (6th &amp; 36)</v>
      </c>
      <c r="AG301" s="110" t="str">
        <f t="shared" si="124"/>
        <v>Female</v>
      </c>
      <c r="AH301" s="5" t="str">
        <f t="shared" si="125"/>
        <v>6th</v>
      </c>
      <c r="AI301" s="5" t="str">
        <f t="shared" si="137"/>
        <v>Husband: Stephen James LINDSAY (b. 02/03/1940, d.?). Married at St Cuthbert’s, Edinburgh, to Stephen Lieut Colonel, The Black Watch. Regimental Secretary, Balhousie Castle, Perth from 1997.</v>
      </c>
      <c r="AJ301" s="105" t="str">
        <f t="shared" si="129"/>
        <v>Female. b. 09/07/1944 Born  at Collessie, Fife.</v>
      </c>
      <c r="AK301" s="105" t="str">
        <f t="shared" si="126"/>
        <v>b. 09/07/1944</v>
      </c>
    </row>
    <row r="302" spans="1:37" s="5" customFormat="1" ht="52">
      <c r="A302" s="5">
        <f>VLOOKUP(B302,'Loyd List 1-190 - Edit'!$P$1:$R$219,3,FALSE)</f>
        <v>22</v>
      </c>
      <c r="B302" s="5">
        <f t="shared" si="140"/>
        <v>47</v>
      </c>
      <c r="C302" s="157" t="s">
        <v>2208</v>
      </c>
      <c r="D302" s="6" t="s">
        <v>2200</v>
      </c>
      <c r="E302" s="5" t="s">
        <v>870</v>
      </c>
      <c r="F302" s="5" t="s">
        <v>884</v>
      </c>
      <c r="I302" s="5">
        <f t="shared" si="136"/>
        <v>1951</v>
      </c>
      <c r="J302" s="5" t="str">
        <f t="shared" si="141"/>
        <v/>
      </c>
      <c r="K302" s="152"/>
      <c r="L302" s="7" t="str">
        <f t="shared" si="138"/>
        <v>06/08/1951</v>
      </c>
      <c r="M302" s="8">
        <v>18846</v>
      </c>
      <c r="N302" s="7">
        <v>27901</v>
      </c>
      <c r="O302" s="7"/>
      <c r="P302" s="181" t="str">
        <f t="shared" si="116"/>
        <v/>
      </c>
      <c r="Q302" s="153" t="str">
        <f t="shared" si="135"/>
        <v>47aa</v>
      </c>
      <c r="R302" s="180" t="str">
        <f t="shared" si="117"/>
        <v/>
      </c>
      <c r="S302" s="25" t="s">
        <v>3244</v>
      </c>
      <c r="T302" s="5">
        <f t="shared" si="118"/>
        <v>6</v>
      </c>
      <c r="U302" s="5">
        <f t="shared" si="119"/>
        <v>5</v>
      </c>
      <c r="V302" s="5">
        <f>VLOOKUP(B302,'Loyd List 1-190 - Edit'!$A$2:$B$220,2,FALSE)</f>
        <v>3</v>
      </c>
      <c r="W302" s="155">
        <f t="shared" si="120"/>
        <v>3</v>
      </c>
      <c r="X302" s="105" t="s">
        <v>2209</v>
      </c>
      <c r="Y302" s="105" t="s">
        <v>2486</v>
      </c>
      <c r="Z302" s="164" t="s">
        <v>2485</v>
      </c>
      <c r="AA302" s="6">
        <v>96</v>
      </c>
      <c r="AB302" s="5">
        <f t="shared" si="139"/>
        <v>10</v>
      </c>
      <c r="AC302" s="5">
        <f t="shared" si="128"/>
        <v>3010</v>
      </c>
      <c r="AD302" s="97" t="str">
        <f t="shared" si="121"/>
        <v>47aaa</v>
      </c>
      <c r="AE302" s="5" t="str">
        <f t="shared" si="122"/>
        <v>Mary Jean  HARDCASTLE (1951 - )</v>
      </c>
      <c r="AF302" s="5" t="str">
        <f t="shared" si="123"/>
        <v>Mary HARDCASTLE (6th &amp; 47)</v>
      </c>
      <c r="AG302" s="110" t="str">
        <f t="shared" si="124"/>
        <v>Female</v>
      </c>
      <c r="AH302" s="5" t="str">
        <f t="shared" si="125"/>
        <v>6th</v>
      </c>
      <c r="AI302" s="5" t="str">
        <f t="shared" si="137"/>
        <v>Husband: Raymond Hubert HALLET (b. 11/10/1934, d. ?). Married at Chelsea, London, Raymond Hubert HALLETT.</v>
      </c>
      <c r="AJ302" s="105" t="str">
        <f t="shared" si="129"/>
        <v>Female. b. 06/08/1951 Mary HARDCASTLE of Keepers Cottage, Whiligh, Shovers Green, Wadhurst, East Sussex, TN5 7JU. Educated St. Mary’s, Wantage.</v>
      </c>
      <c r="AK302" s="105" t="str">
        <f t="shared" si="126"/>
        <v>b. 06/08/1951</v>
      </c>
    </row>
    <row r="303" spans="1:37" s="5" customFormat="1" ht="51">
      <c r="A303" s="5">
        <f>VLOOKUP(B303,'Loyd List 1-190 - Edit'!$P$1:$R$219,3,FALSE)</f>
        <v>22</v>
      </c>
      <c r="B303" s="5">
        <f t="shared" si="140"/>
        <v>47</v>
      </c>
      <c r="C303" s="157" t="s">
        <v>2215</v>
      </c>
      <c r="D303" s="6" t="s">
        <v>2200</v>
      </c>
      <c r="E303" s="5" t="s">
        <v>842</v>
      </c>
      <c r="F303" s="5" t="s">
        <v>891</v>
      </c>
      <c r="H303" s="5" t="s">
        <v>891</v>
      </c>
      <c r="I303" s="5">
        <f t="shared" si="136"/>
        <v>1953</v>
      </c>
      <c r="J303" s="5" t="str">
        <f t="shared" si="141"/>
        <v/>
      </c>
      <c r="K303" s="152"/>
      <c r="L303" s="7" t="str">
        <f t="shared" si="138"/>
        <v>27/01/1953</v>
      </c>
      <c r="M303" s="8">
        <v>19386</v>
      </c>
      <c r="N303" s="7">
        <v>29365</v>
      </c>
      <c r="O303" s="7"/>
      <c r="P303" s="181" t="str">
        <f t="shared" si="116"/>
        <v/>
      </c>
      <c r="Q303" s="153" t="str">
        <f t="shared" si="135"/>
        <v>47aa</v>
      </c>
      <c r="R303" s="180" t="str">
        <f t="shared" si="117"/>
        <v/>
      </c>
      <c r="S303" s="25" t="s">
        <v>3245</v>
      </c>
      <c r="T303" s="5">
        <f t="shared" si="118"/>
        <v>6</v>
      </c>
      <c r="U303" s="5">
        <f t="shared" si="119"/>
        <v>5</v>
      </c>
      <c r="V303" s="5">
        <f>VLOOKUP(B303,'Loyd List 1-190 - Edit'!$A$2:$B$220,2,FALSE)</f>
        <v>3</v>
      </c>
      <c r="W303" s="155">
        <f t="shared" si="120"/>
        <v>3</v>
      </c>
      <c r="X303" s="105" t="s">
        <v>2216</v>
      </c>
      <c r="Y303" s="105" t="s">
        <v>2490</v>
      </c>
      <c r="Z303" s="164" t="s">
        <v>2489</v>
      </c>
      <c r="AA303" s="6">
        <v>99</v>
      </c>
      <c r="AB303" s="5">
        <f t="shared" si="139"/>
        <v>11</v>
      </c>
      <c r="AC303" s="5">
        <f t="shared" si="128"/>
        <v>3011</v>
      </c>
      <c r="AD303" s="97" t="str">
        <f t="shared" si="121"/>
        <v>47aab</v>
      </c>
      <c r="AE303" s="5" t="str">
        <f t="shared" si="122"/>
        <v>John Michael  HARDCASTLE (1953 - )</v>
      </c>
      <c r="AF303" s="5" t="str">
        <f t="shared" si="123"/>
        <v>Michael HARDCASTLE (6th &amp; 47)</v>
      </c>
      <c r="AG303" s="110" t="str">
        <f t="shared" si="124"/>
        <v>Male</v>
      </c>
      <c r="AH303" s="5" t="str">
        <f t="shared" si="125"/>
        <v>6th</v>
      </c>
      <c r="AI303" s="5" t="str">
        <f t="shared" si="137"/>
        <v xml:space="preserve">Wife: Jean Elizabeth AMOS (b. 21/05/1949, d. ?). Married Jean at Great Bowden, Leicestershire. </v>
      </c>
      <c r="AJ303" s="105" t="str">
        <f t="shared" si="129"/>
        <v>Male. b. 27/01/1953 John Michael HARDCASTLE of Home Farm, Whiligh, Shovers Green, East Sussex, TN5 7JX. Educated Bradfield and Reading University (BSc Estate Management).</v>
      </c>
      <c r="AK303" s="105" t="str">
        <f t="shared" si="126"/>
        <v>b. 27/01/1953</v>
      </c>
    </row>
    <row r="304" spans="1:37" s="5" customFormat="1" ht="35">
      <c r="A304" s="5">
        <f>VLOOKUP(B304,'Loyd List 1-190 - Edit'!$P$1:$R$219,3,FALSE)</f>
        <v>22</v>
      </c>
      <c r="B304" s="5">
        <f t="shared" si="140"/>
        <v>47</v>
      </c>
      <c r="C304" s="157" t="s">
        <v>2224</v>
      </c>
      <c r="D304" s="6" t="s">
        <v>2200</v>
      </c>
      <c r="E304" s="5" t="s">
        <v>931</v>
      </c>
      <c r="F304" s="5" t="s">
        <v>905</v>
      </c>
      <c r="H304" s="5" t="s">
        <v>905</v>
      </c>
      <c r="I304" s="5">
        <f t="shared" si="136"/>
        <v>1954</v>
      </c>
      <c r="J304" s="5" t="str">
        <f t="shared" si="141"/>
        <v/>
      </c>
      <c r="K304" s="152"/>
      <c r="L304" s="7" t="str">
        <f t="shared" si="138"/>
        <v>07/06/1954</v>
      </c>
      <c r="M304" s="8">
        <v>19882</v>
      </c>
      <c r="N304" s="7">
        <v>29799</v>
      </c>
      <c r="O304" s="7"/>
      <c r="P304" s="181" t="str">
        <f t="shared" si="116"/>
        <v/>
      </c>
      <c r="Q304" s="153" t="str">
        <f t="shared" si="135"/>
        <v>47aa</v>
      </c>
      <c r="R304" s="180" t="str">
        <f t="shared" si="117"/>
        <v/>
      </c>
      <c r="S304" s="25" t="s">
        <v>3245</v>
      </c>
      <c r="T304" s="5">
        <f t="shared" si="118"/>
        <v>6</v>
      </c>
      <c r="U304" s="5">
        <f t="shared" si="119"/>
        <v>5</v>
      </c>
      <c r="V304" s="5">
        <f>VLOOKUP(B304,'Loyd List 1-190 - Edit'!$A$2:$B$220,2,FALSE)</f>
        <v>3</v>
      </c>
      <c r="W304" s="155">
        <f t="shared" si="120"/>
        <v>3</v>
      </c>
      <c r="X304" s="105" t="s">
        <v>2493</v>
      </c>
      <c r="Y304" s="105" t="s">
        <v>2494</v>
      </c>
      <c r="Z304" s="164" t="s">
        <v>2492</v>
      </c>
      <c r="AA304" s="6">
        <v>103</v>
      </c>
      <c r="AB304" s="5">
        <f t="shared" si="139"/>
        <v>12</v>
      </c>
      <c r="AC304" s="5">
        <f t="shared" si="128"/>
        <v>3012</v>
      </c>
      <c r="AD304" s="97" t="str">
        <f t="shared" si="121"/>
        <v>47aac</v>
      </c>
      <c r="AE304" s="5" t="str">
        <f t="shared" si="122"/>
        <v>Anthony David  HARDCASTLE (1954 - )</v>
      </c>
      <c r="AF304" s="5" t="str">
        <f t="shared" si="123"/>
        <v>David HARDCASTLE (6th &amp; 47)</v>
      </c>
      <c r="AG304" s="110" t="str">
        <f t="shared" si="124"/>
        <v>Male</v>
      </c>
      <c r="AH304" s="5" t="str">
        <f t="shared" si="125"/>
        <v>6th</v>
      </c>
      <c r="AI304" s="5" t="str">
        <f t="shared" si="137"/>
        <v>Wife: Judith Anne LEWINGTON (b. 26/06/1948, d. ?). Divorced 1987.</v>
      </c>
      <c r="AJ304" s="105" t="str">
        <f t="shared" si="129"/>
        <v>Male. b. 07/06/1954 Educated Bradfield and Canterbury College of Art.</v>
      </c>
      <c r="AK304" s="105" t="str">
        <f t="shared" si="126"/>
        <v>b. 07/06/1954</v>
      </c>
    </row>
    <row r="305" spans="1:37" s="5" customFormat="1" ht="69">
      <c r="A305" s="5">
        <f>VLOOKUP(B305,'Loyd List 1-190 - Edit'!$P$1:$R$219,3,FALSE)</f>
        <v>22</v>
      </c>
      <c r="B305" s="5">
        <f t="shared" si="140"/>
        <v>47</v>
      </c>
      <c r="C305" s="157" t="s">
        <v>2230</v>
      </c>
      <c r="D305" s="6" t="s">
        <v>2228</v>
      </c>
      <c r="E305" s="5" t="s">
        <v>851</v>
      </c>
      <c r="F305" s="5" t="s">
        <v>866</v>
      </c>
      <c r="I305" s="5">
        <f t="shared" si="136"/>
        <v>1951</v>
      </c>
      <c r="J305" s="5" t="str">
        <f t="shared" si="141"/>
        <v/>
      </c>
      <c r="K305" s="152"/>
      <c r="L305" s="7" t="str">
        <f t="shared" si="138"/>
        <v>27/05/1951</v>
      </c>
      <c r="M305" s="8">
        <v>18775</v>
      </c>
      <c r="N305" s="7">
        <v>35096</v>
      </c>
      <c r="O305" s="7"/>
      <c r="P305" s="181" t="str">
        <f t="shared" si="116"/>
        <v/>
      </c>
      <c r="Q305" s="153" t="str">
        <f t="shared" si="135"/>
        <v>47ab</v>
      </c>
      <c r="R305" s="180" t="str">
        <f t="shared" si="117"/>
        <v/>
      </c>
      <c r="S305" s="25" t="s">
        <v>3245</v>
      </c>
      <c r="T305" s="5">
        <f t="shared" si="118"/>
        <v>6</v>
      </c>
      <c r="U305" s="5">
        <f t="shared" si="119"/>
        <v>5</v>
      </c>
      <c r="V305" s="5">
        <f>VLOOKUP(B305,'Loyd List 1-190 - Edit'!$A$2:$B$220,2,FALSE)</f>
        <v>3</v>
      </c>
      <c r="W305" s="155">
        <f t="shared" si="120"/>
        <v>3</v>
      </c>
      <c r="X305" s="105" t="s">
        <v>2229</v>
      </c>
      <c r="Y305" s="105" t="s">
        <v>2498</v>
      </c>
      <c r="Z305" s="164" t="s">
        <v>2497</v>
      </c>
      <c r="AA305" s="6">
        <v>105</v>
      </c>
      <c r="AB305" s="5">
        <f t="shared" si="139"/>
        <v>13</v>
      </c>
      <c r="AC305" s="5">
        <f t="shared" si="128"/>
        <v>3013</v>
      </c>
      <c r="AD305" s="97" t="str">
        <f t="shared" si="121"/>
        <v>47aba</v>
      </c>
      <c r="AE305" s="5" t="str">
        <f t="shared" si="122"/>
        <v>Martin Christopher  DREWE (1951 - )</v>
      </c>
      <c r="AF305" s="5" t="str">
        <f t="shared" si="123"/>
        <v>Martin DREWE (6th &amp; 47)</v>
      </c>
      <c r="AG305" s="110" t="str">
        <f t="shared" si="124"/>
        <v>Male</v>
      </c>
      <c r="AH305" s="5" t="str">
        <f t="shared" si="125"/>
        <v>6th</v>
      </c>
      <c r="AI305" s="5" t="str">
        <f t="shared" si="137"/>
        <v>Wife: Stella Eleanor FRANCIS (b. 05/03/1948, d. ?). Married at Hermanus, South Africa, Stella Eleanor, younger daughter of Charles Henry FRANCIS of Sheffield, Yorkshire.</v>
      </c>
      <c r="AJ305" s="105" t="str">
        <f t="shared" si="129"/>
        <v>Male. b. 27/05/1951 Born at Winchester, Hampshire. Martin Christopher DREWE of 65 Elgin Crescent, London, W11.</v>
      </c>
      <c r="AK305" s="105" t="str">
        <f t="shared" si="126"/>
        <v>b. 27/05/1951</v>
      </c>
    </row>
    <row r="306" spans="1:37" s="5" customFormat="1" ht="86">
      <c r="A306" s="5">
        <f>VLOOKUP(B306,'Loyd List 1-190 - Edit'!$P$1:$R$219,3,FALSE)</f>
        <v>22</v>
      </c>
      <c r="B306" s="5">
        <f t="shared" si="140"/>
        <v>47</v>
      </c>
      <c r="C306" s="157" t="s">
        <v>2232</v>
      </c>
      <c r="D306" s="6" t="s">
        <v>2228</v>
      </c>
      <c r="E306" s="5" t="s">
        <v>2231</v>
      </c>
      <c r="F306" s="5" t="s">
        <v>1036</v>
      </c>
      <c r="I306" s="5">
        <f t="shared" si="136"/>
        <v>1953</v>
      </c>
      <c r="J306" s="5" t="str">
        <f t="shared" si="141"/>
        <v/>
      </c>
      <c r="K306" s="152"/>
      <c r="L306" s="7" t="str">
        <f t="shared" si="138"/>
        <v>20/07/1953</v>
      </c>
      <c r="M306" s="8">
        <v>19560</v>
      </c>
      <c r="N306" s="7">
        <v>29666</v>
      </c>
      <c r="O306" s="7"/>
      <c r="P306" s="181" t="str">
        <f t="shared" si="116"/>
        <v/>
      </c>
      <c r="Q306" s="153" t="str">
        <f t="shared" si="135"/>
        <v>47ab</v>
      </c>
      <c r="R306" s="180" t="str">
        <f t="shared" si="117"/>
        <v/>
      </c>
      <c r="S306" s="25" t="s">
        <v>3244</v>
      </c>
      <c r="T306" s="5">
        <f t="shared" si="118"/>
        <v>6</v>
      </c>
      <c r="U306" s="5">
        <f t="shared" si="119"/>
        <v>5</v>
      </c>
      <c r="V306" s="5">
        <f>VLOOKUP(B306,'Loyd List 1-190 - Edit'!$A$2:$B$220,2,FALSE)</f>
        <v>3</v>
      </c>
      <c r="W306" s="155">
        <f t="shared" si="120"/>
        <v>3</v>
      </c>
      <c r="X306" s="105" t="s">
        <v>2233</v>
      </c>
      <c r="Y306" s="105" t="s">
        <v>2500</v>
      </c>
      <c r="Z306" s="164" t="s">
        <v>2499</v>
      </c>
      <c r="AA306" s="6">
        <v>106</v>
      </c>
      <c r="AB306" s="5">
        <f t="shared" si="139"/>
        <v>14</v>
      </c>
      <c r="AC306" s="5">
        <f t="shared" si="128"/>
        <v>3014</v>
      </c>
      <c r="AD306" s="97" t="str">
        <f t="shared" si="121"/>
        <v>47abb</v>
      </c>
      <c r="AE306" s="5" t="str">
        <f t="shared" si="122"/>
        <v>Gillian Frances  DREWE (1953 - )</v>
      </c>
      <c r="AF306" s="5" t="str">
        <f t="shared" si="123"/>
        <v>Gillian DREWE (6th &amp; 47)</v>
      </c>
      <c r="AG306" s="110" t="str">
        <f t="shared" si="124"/>
        <v>Female</v>
      </c>
      <c r="AH306" s="5" t="str">
        <f t="shared" si="125"/>
        <v>6th</v>
      </c>
      <c r="AI306" s="5" t="str">
        <f t="shared" si="137"/>
        <v>Husband: Johannes Zacharis ELOFF (b. 16/03/1952, d. ?). Married at Full Gospel Church, Cambridge, East London, South Africa, Johannes Zacharias, son of Johannes Zacharias ELOFF of East London, South Africa.</v>
      </c>
      <c r="AJ306" s="105" t="str">
        <f t="shared" si="129"/>
        <v>Female. b. 20/07/1953 Born at Tonbridge, Kent.</v>
      </c>
      <c r="AK306" s="105" t="str">
        <f t="shared" si="126"/>
        <v>b. 20/07/1953</v>
      </c>
    </row>
    <row r="307" spans="1:37" s="5" customFormat="1" ht="69">
      <c r="A307" s="5">
        <f>VLOOKUP(B307,'Loyd List 1-190 - Edit'!$P$1:$R$219,3,FALSE)</f>
        <v>22</v>
      </c>
      <c r="B307" s="5">
        <f t="shared" si="140"/>
        <v>47</v>
      </c>
      <c r="C307" s="157" t="s">
        <v>2234</v>
      </c>
      <c r="D307" s="6" t="s">
        <v>2228</v>
      </c>
      <c r="E307" s="5" t="s">
        <v>917</v>
      </c>
      <c r="F307" s="5" t="s">
        <v>1497</v>
      </c>
      <c r="I307" s="5">
        <f t="shared" si="136"/>
        <v>1957</v>
      </c>
      <c r="J307" s="5" t="str">
        <f t="shared" si="141"/>
        <v/>
      </c>
      <c r="K307" s="152"/>
      <c r="L307" s="7" t="str">
        <f t="shared" si="138"/>
        <v>24/10/1957</v>
      </c>
      <c r="M307" s="10" t="s">
        <v>2982</v>
      </c>
      <c r="N307" s="7">
        <v>31765</v>
      </c>
      <c r="O307" s="7"/>
      <c r="P307" s="181" t="str">
        <f t="shared" si="116"/>
        <v/>
      </c>
      <c r="Q307" s="153" t="str">
        <f t="shared" si="135"/>
        <v>47ab</v>
      </c>
      <c r="R307" s="180" t="str">
        <f t="shared" si="117"/>
        <v/>
      </c>
      <c r="S307" s="25" t="s">
        <v>3245</v>
      </c>
      <c r="T307" s="5">
        <f t="shared" si="118"/>
        <v>6</v>
      </c>
      <c r="U307" s="5">
        <f t="shared" si="119"/>
        <v>5</v>
      </c>
      <c r="V307" s="5">
        <f>VLOOKUP(B307,'Loyd List 1-190 - Edit'!$A$2:$B$220,2,FALSE)</f>
        <v>3</v>
      </c>
      <c r="W307" s="155">
        <f t="shared" si="120"/>
        <v>3</v>
      </c>
      <c r="X307" s="105" t="s">
        <v>2235</v>
      </c>
      <c r="Y307" s="105" t="s">
        <v>2502</v>
      </c>
      <c r="Z307" s="164" t="s">
        <v>2501</v>
      </c>
      <c r="AA307" s="6">
        <v>107</v>
      </c>
      <c r="AB307" s="5">
        <f t="shared" si="139"/>
        <v>15</v>
      </c>
      <c r="AC307" s="5">
        <f t="shared" si="128"/>
        <v>3015</v>
      </c>
      <c r="AD307" s="97" t="str">
        <f t="shared" si="121"/>
        <v>47abc</v>
      </c>
      <c r="AE307" s="5" t="str">
        <f t="shared" si="122"/>
        <v>Charles Loyd  DREWE (1957 - )</v>
      </c>
      <c r="AF307" s="5" t="str">
        <f t="shared" si="123"/>
        <v>Charles DREWE (6th &amp; 47)</v>
      </c>
      <c r="AG307" s="110" t="str">
        <f t="shared" si="124"/>
        <v>Male</v>
      </c>
      <c r="AH307" s="5" t="str">
        <f t="shared" ref="AH307:AH372" si="142">VLOOKUP(T307,$AQ$2:$AS$10,3,FALSE)</f>
        <v>6th</v>
      </c>
      <c r="AI307" s="5" t="str">
        <f t="shared" si="137"/>
        <v>Wife: Hana MATUSKOVA (b. 18/01/1964, d. ?). Married at Brno, Czechoslovakia, Hana MATUSKOVA, daughter of Osvald MATUSKA of Ratiskovice, Czechoslovakia.</v>
      </c>
      <c r="AJ307" s="105" t="str">
        <f t="shared" si="129"/>
        <v>Male. b. 24/10/1957 Born at Salisbury, Rhodesia.</v>
      </c>
      <c r="AK307" s="105" t="str">
        <f t="shared" si="126"/>
        <v>b. 24/10/1957</v>
      </c>
    </row>
    <row r="308" spans="1:37" s="5" customFormat="1" ht="20">
      <c r="A308" s="5">
        <f>VLOOKUP(B308,'Loyd List 1-190 - Edit'!$P$1:$R$219,3,FALSE)</f>
        <v>41</v>
      </c>
      <c r="B308" s="5">
        <f t="shared" si="140"/>
        <v>63</v>
      </c>
      <c r="C308" s="157" t="s">
        <v>2255</v>
      </c>
      <c r="D308" s="6" t="s">
        <v>2246</v>
      </c>
      <c r="E308" s="5" t="s">
        <v>863</v>
      </c>
      <c r="F308" s="5" t="s">
        <v>2253</v>
      </c>
      <c r="I308" s="5">
        <f t="shared" si="136"/>
        <v>1989</v>
      </c>
      <c r="J308" s="5">
        <f t="shared" si="141"/>
        <v>2021</v>
      </c>
      <c r="K308" s="152"/>
      <c r="L308" s="7" t="str">
        <f t="shared" si="138"/>
        <v>26/04/1989</v>
      </c>
      <c r="M308" s="7">
        <v>32624</v>
      </c>
      <c r="N308" s="7"/>
      <c r="O308" s="7">
        <v>44468</v>
      </c>
      <c r="P308" s="181" t="str">
        <f t="shared" si="116"/>
        <v>29/09/2021</v>
      </c>
      <c r="Q308" s="153" t="str">
        <f t="shared" si="135"/>
        <v>63ab</v>
      </c>
      <c r="R308" s="180" t="str">
        <f t="shared" si="117"/>
        <v>29/09/2021</v>
      </c>
      <c r="S308" s="25" t="s">
        <v>3244</v>
      </c>
      <c r="T308" s="5">
        <f t="shared" si="118"/>
        <v>7</v>
      </c>
      <c r="U308" s="5">
        <f t="shared" si="119"/>
        <v>5</v>
      </c>
      <c r="V308" s="5">
        <f>VLOOKUP(B308,'Loyd List 1-190 - Edit'!$A$2:$B$220,2,FALSE)</f>
        <v>4</v>
      </c>
      <c r="W308" s="155">
        <f t="shared" si="120"/>
        <v>3</v>
      </c>
      <c r="X308" s="105"/>
      <c r="Y308" s="105"/>
      <c r="Z308" s="164"/>
      <c r="AA308" s="6">
        <v>114</v>
      </c>
      <c r="AB308" s="5">
        <f t="shared" si="139"/>
        <v>16</v>
      </c>
      <c r="AC308" s="5">
        <f t="shared" si="128"/>
        <v>3016</v>
      </c>
      <c r="AD308" s="97" t="str">
        <f t="shared" si="121"/>
        <v>63aba</v>
      </c>
      <c r="AE308" s="5" t="str">
        <f t="shared" si="122"/>
        <v>Isabel Eleanor  MOORE (1989 - 2021)</v>
      </c>
      <c r="AF308" s="5" t="str">
        <f t="shared" si="123"/>
        <v>Isabel MOORE (7th &amp; 63)</v>
      </c>
      <c r="AG308" s="110" t="str">
        <f t="shared" si="124"/>
        <v>Female</v>
      </c>
      <c r="AH308" s="5" t="str">
        <f t="shared" si="142"/>
        <v>7th</v>
      </c>
      <c r="AI308" s="5" t="str">
        <f t="shared" si="137"/>
        <v>Unmarried</v>
      </c>
      <c r="AJ308" s="105" t="str">
        <f t="shared" si="129"/>
        <v>Female. b. 26/04/1989, d. 29/09/2021.</v>
      </c>
      <c r="AK308" s="105" t="str">
        <f t="shared" si="126"/>
        <v>b. 26/04/1989, d. 29/09/2021.</v>
      </c>
    </row>
    <row r="309" spans="1:37" s="5" customFormat="1" ht="20">
      <c r="A309" s="5">
        <f>VLOOKUP(B309,'Loyd List 1-190 - Edit'!$P$1:$R$219,3,FALSE)</f>
        <v>41</v>
      </c>
      <c r="B309" s="5">
        <f t="shared" si="140"/>
        <v>63</v>
      </c>
      <c r="C309" s="157" t="s">
        <v>2256</v>
      </c>
      <c r="D309" s="6" t="s">
        <v>2246</v>
      </c>
      <c r="E309" s="5" t="s">
        <v>2254</v>
      </c>
      <c r="F309" s="5" t="s">
        <v>830</v>
      </c>
      <c r="I309" s="5">
        <f t="shared" si="136"/>
        <v>1991</v>
      </c>
      <c r="J309" s="5" t="str">
        <f t="shared" si="141"/>
        <v/>
      </c>
      <c r="K309" s="152"/>
      <c r="L309" s="7" t="str">
        <f t="shared" si="138"/>
        <v>21/04/1991</v>
      </c>
      <c r="M309" s="7">
        <v>33349</v>
      </c>
      <c r="N309" s="7"/>
      <c r="O309" s="7"/>
      <c r="P309" s="181" t="str">
        <f t="shared" si="116"/>
        <v/>
      </c>
      <c r="Q309" s="153" t="str">
        <f t="shared" si="135"/>
        <v>63ab</v>
      </c>
      <c r="R309" s="180" t="str">
        <f t="shared" si="117"/>
        <v/>
      </c>
      <c r="S309" s="25" t="s">
        <v>3245</v>
      </c>
      <c r="T309" s="5">
        <f t="shared" si="118"/>
        <v>7</v>
      </c>
      <c r="U309" s="5">
        <f t="shared" si="119"/>
        <v>5</v>
      </c>
      <c r="V309" s="5">
        <f>VLOOKUP(B309,'Loyd List 1-190 - Edit'!$A$2:$B$220,2,FALSE)</f>
        <v>4</v>
      </c>
      <c r="W309" s="155">
        <f t="shared" si="120"/>
        <v>3</v>
      </c>
      <c r="X309" s="105"/>
      <c r="Y309" s="105"/>
      <c r="Z309" s="164"/>
      <c r="AA309" s="6">
        <v>115</v>
      </c>
      <c r="AB309" s="5">
        <f t="shared" si="139"/>
        <v>17</v>
      </c>
      <c r="AC309" s="5">
        <f t="shared" si="128"/>
        <v>3017</v>
      </c>
      <c r="AD309" s="97" t="str">
        <f t="shared" si="121"/>
        <v>63abb</v>
      </c>
      <c r="AE309" s="5" t="str">
        <f t="shared" si="122"/>
        <v>Alistair William  MOORE (1991 - )</v>
      </c>
      <c r="AF309" s="5" t="str">
        <f t="shared" si="123"/>
        <v>Alistair MOORE (7th &amp; 63)</v>
      </c>
      <c r="AG309" s="110" t="str">
        <f t="shared" si="124"/>
        <v>Male</v>
      </c>
      <c r="AH309" s="5" t="str">
        <f t="shared" si="142"/>
        <v>7th</v>
      </c>
      <c r="AI309" s="5" t="str">
        <f t="shared" si="137"/>
        <v>Unmarried</v>
      </c>
      <c r="AJ309" s="105" t="str">
        <f t="shared" si="129"/>
        <v>Male. b. 21/04/1991</v>
      </c>
      <c r="AK309" s="105" t="str">
        <f t="shared" si="126"/>
        <v>b. 21/04/1991</v>
      </c>
    </row>
    <row r="310" spans="1:37" s="5" customFormat="1" ht="20">
      <c r="A310" s="5">
        <f>VLOOKUP(B310,'Loyd List 1-190 - Edit'!$P$1:$R$219,3,FALSE)</f>
        <v>46</v>
      </c>
      <c r="B310" s="5">
        <f t="shared" si="140"/>
        <v>70</v>
      </c>
      <c r="C310" s="157" t="s">
        <v>2284</v>
      </c>
      <c r="D310" s="6" t="s">
        <v>2281</v>
      </c>
      <c r="E310" s="5" t="s">
        <v>807</v>
      </c>
      <c r="F310" s="5" t="s">
        <v>917</v>
      </c>
      <c r="G310" s="5" t="s">
        <v>931</v>
      </c>
      <c r="I310" s="5">
        <f t="shared" si="136"/>
        <v>1981</v>
      </c>
      <c r="J310" s="5" t="str">
        <f t="shared" si="141"/>
        <v/>
      </c>
      <c r="K310" s="152"/>
      <c r="L310" s="7" t="str">
        <f t="shared" si="138"/>
        <v>07/11/1981</v>
      </c>
      <c r="M310" s="7">
        <v>29897</v>
      </c>
      <c r="N310" s="8"/>
      <c r="O310" s="7"/>
      <c r="P310" s="181" t="str">
        <f t="shared" si="116"/>
        <v/>
      </c>
      <c r="Q310" s="153" t="str">
        <f t="shared" si="135"/>
        <v>70aa</v>
      </c>
      <c r="R310" s="180" t="str">
        <f t="shared" si="117"/>
        <v/>
      </c>
      <c r="S310" s="25" t="s">
        <v>3245</v>
      </c>
      <c r="T310" s="5">
        <f t="shared" si="118"/>
        <v>7</v>
      </c>
      <c r="U310" s="5">
        <f t="shared" si="119"/>
        <v>5</v>
      </c>
      <c r="V310" s="5">
        <f>VLOOKUP(B310,'Loyd List 1-190 - Edit'!$A$2:$B$220,2,FALSE)</f>
        <v>4</v>
      </c>
      <c r="W310" s="155">
        <f t="shared" si="120"/>
        <v>3</v>
      </c>
      <c r="X310" s="105"/>
      <c r="Y310" s="105"/>
      <c r="Z310" s="164"/>
      <c r="AA310" s="6">
        <v>125</v>
      </c>
      <c r="AB310" s="5">
        <f t="shared" si="139"/>
        <v>18</v>
      </c>
      <c r="AC310" s="5">
        <f t="shared" si="128"/>
        <v>3018</v>
      </c>
      <c r="AD310" s="97" t="str">
        <f t="shared" si="121"/>
        <v>70aaa</v>
      </c>
      <c r="AE310" s="5" t="str">
        <f t="shared" si="122"/>
        <v>Henry Charles Anthony SHEARER (1981 - )</v>
      </c>
      <c r="AF310" s="5" t="str">
        <f t="shared" si="123"/>
        <v>Henry SHEARER (7th &amp; 70)</v>
      </c>
      <c r="AG310" s="110" t="str">
        <f t="shared" si="124"/>
        <v>Male</v>
      </c>
      <c r="AH310" s="5" t="str">
        <f t="shared" si="142"/>
        <v>7th</v>
      </c>
      <c r="AI310" s="5" t="str">
        <f t="shared" si="137"/>
        <v>Unmarried</v>
      </c>
      <c r="AJ310" s="105" t="str">
        <f t="shared" si="129"/>
        <v>Male. b. 07/11/1981</v>
      </c>
      <c r="AK310" s="105" t="str">
        <f t="shared" si="126"/>
        <v>b. 07/11/1981</v>
      </c>
    </row>
    <row r="311" spans="1:37" s="5" customFormat="1" ht="20">
      <c r="A311" s="5">
        <f>VLOOKUP(B311,'Loyd List 1-190 - Edit'!$P$1:$R$219,3,FALSE)</f>
        <v>46</v>
      </c>
      <c r="B311" s="5">
        <f t="shared" si="140"/>
        <v>70</v>
      </c>
      <c r="C311" s="157" t="s">
        <v>2285</v>
      </c>
      <c r="D311" s="6" t="s">
        <v>2281</v>
      </c>
      <c r="E311" s="5" t="s">
        <v>1452</v>
      </c>
      <c r="F311" s="5" t="s">
        <v>922</v>
      </c>
      <c r="I311" s="5">
        <f t="shared" si="136"/>
        <v>1986</v>
      </c>
      <c r="J311" s="5" t="str">
        <f t="shared" si="141"/>
        <v/>
      </c>
      <c r="K311" s="152"/>
      <c r="L311" s="7" t="str">
        <f t="shared" si="138"/>
        <v>12/09/1986</v>
      </c>
      <c r="M311" s="123" t="s">
        <v>2986</v>
      </c>
      <c r="N311" s="8"/>
      <c r="O311" s="7"/>
      <c r="P311" s="181" t="str">
        <f t="shared" si="116"/>
        <v/>
      </c>
      <c r="Q311" s="153" t="str">
        <f t="shared" si="135"/>
        <v>70aa</v>
      </c>
      <c r="R311" s="180" t="str">
        <f t="shared" si="117"/>
        <v/>
      </c>
      <c r="S311" s="25" t="s">
        <v>3244</v>
      </c>
      <c r="T311" s="5">
        <f t="shared" si="118"/>
        <v>7</v>
      </c>
      <c r="U311" s="5">
        <f t="shared" si="119"/>
        <v>5</v>
      </c>
      <c r="V311" s="5">
        <f>VLOOKUP(B311,'Loyd List 1-190 - Edit'!$A$2:$B$220,2,FALSE)</f>
        <v>4</v>
      </c>
      <c r="W311" s="155">
        <f t="shared" si="120"/>
        <v>3</v>
      </c>
      <c r="X311" s="105"/>
      <c r="Y311" s="105"/>
      <c r="Z311" s="164"/>
      <c r="AA311" s="6">
        <v>126</v>
      </c>
      <c r="AB311" s="5">
        <f t="shared" si="139"/>
        <v>19</v>
      </c>
      <c r="AC311" s="5">
        <f t="shared" si="128"/>
        <v>3019</v>
      </c>
      <c r="AD311" s="97" t="str">
        <f t="shared" si="121"/>
        <v>70aab</v>
      </c>
      <c r="AE311" s="5" t="str">
        <f t="shared" si="122"/>
        <v>Emma Jane  SHEARER (1986 - )</v>
      </c>
      <c r="AF311" s="5" t="str">
        <f t="shared" si="123"/>
        <v>Emma SHEARER (7th &amp; 70)</v>
      </c>
      <c r="AG311" s="110" t="str">
        <f t="shared" si="124"/>
        <v>Female</v>
      </c>
      <c r="AH311" s="5" t="str">
        <f t="shared" si="142"/>
        <v>7th</v>
      </c>
      <c r="AI311" s="5" t="str">
        <f t="shared" si="137"/>
        <v>Unmarried</v>
      </c>
      <c r="AJ311" s="105" t="str">
        <f t="shared" si="129"/>
        <v>Female. b. 12/09/1986</v>
      </c>
      <c r="AK311" s="105" t="str">
        <f t="shared" si="126"/>
        <v>b. 12/09/1986</v>
      </c>
    </row>
    <row r="312" spans="1:37" s="5" customFormat="1" ht="20">
      <c r="A312" s="5">
        <f>VLOOKUP(B312,'Loyd List 1-190 - Edit'!$P$1:$R$219,3,FALSE)</f>
        <v>46</v>
      </c>
      <c r="B312" s="5">
        <f t="shared" si="140"/>
        <v>70</v>
      </c>
      <c r="C312" s="157" t="s">
        <v>2291</v>
      </c>
      <c r="D312" s="6" t="s">
        <v>2289</v>
      </c>
      <c r="E312" s="5" t="s">
        <v>866</v>
      </c>
      <c r="F312" s="5" t="s">
        <v>842</v>
      </c>
      <c r="I312" s="5">
        <f t="shared" si="136"/>
        <v>1982</v>
      </c>
      <c r="J312" s="5" t="str">
        <f t="shared" si="141"/>
        <v/>
      </c>
      <c r="K312" s="152"/>
      <c r="L312" s="7" t="str">
        <f t="shared" si="138"/>
        <v>14/10/1982</v>
      </c>
      <c r="M312" s="123" t="s">
        <v>2987</v>
      </c>
      <c r="N312" s="8"/>
      <c r="O312" s="7"/>
      <c r="P312" s="181" t="str">
        <f t="shared" si="116"/>
        <v/>
      </c>
      <c r="Q312" s="153" t="str">
        <f t="shared" si="135"/>
        <v>70ab</v>
      </c>
      <c r="R312" s="180" t="str">
        <f t="shared" si="117"/>
        <v/>
      </c>
      <c r="S312" s="25" t="s">
        <v>3245</v>
      </c>
      <c r="T312" s="5">
        <f t="shared" si="118"/>
        <v>7</v>
      </c>
      <c r="U312" s="5">
        <f t="shared" si="119"/>
        <v>5</v>
      </c>
      <c r="V312" s="5">
        <f>VLOOKUP(B312,'Loyd List 1-190 - Edit'!$A$2:$B$220,2,FALSE)</f>
        <v>4</v>
      </c>
      <c r="W312" s="155">
        <f t="shared" si="120"/>
        <v>3</v>
      </c>
      <c r="X312" s="105"/>
      <c r="Y312" s="105"/>
      <c r="Z312" s="164"/>
      <c r="AA312" s="6">
        <v>128</v>
      </c>
      <c r="AB312" s="5">
        <f t="shared" si="139"/>
        <v>20</v>
      </c>
      <c r="AC312" s="5">
        <f t="shared" si="128"/>
        <v>3020</v>
      </c>
      <c r="AD312" s="97" t="str">
        <f t="shared" si="121"/>
        <v>70aba</v>
      </c>
      <c r="AE312" s="5" t="str">
        <f t="shared" si="122"/>
        <v>Christopher John  ANDREY (1982 - )</v>
      </c>
      <c r="AF312" s="5" t="str">
        <f t="shared" si="123"/>
        <v>Christopher ANDREY (7th &amp; 70)</v>
      </c>
      <c r="AG312" s="110" t="str">
        <f t="shared" si="124"/>
        <v>Male</v>
      </c>
      <c r="AH312" s="5" t="str">
        <f t="shared" si="142"/>
        <v>7th</v>
      </c>
      <c r="AI312" s="5" t="str">
        <f t="shared" si="137"/>
        <v>Unmarried</v>
      </c>
      <c r="AJ312" s="105" t="str">
        <f t="shared" si="129"/>
        <v>Male. b. 14/10/1982</v>
      </c>
      <c r="AK312" s="105" t="str">
        <f t="shared" si="126"/>
        <v>b. 14/10/1982</v>
      </c>
    </row>
    <row r="313" spans="1:37" s="5" customFormat="1" ht="20">
      <c r="A313" s="5">
        <f>VLOOKUP(B313,'Loyd List 1-190 - Edit'!$P$1:$R$219,3,FALSE)</f>
        <v>46</v>
      </c>
      <c r="B313" s="5">
        <f t="shared" si="140"/>
        <v>70</v>
      </c>
      <c r="C313" s="157" t="s">
        <v>2292</v>
      </c>
      <c r="D313" s="6" t="s">
        <v>2289</v>
      </c>
      <c r="E313" s="5" t="s">
        <v>2290</v>
      </c>
      <c r="F313" s="5" t="s">
        <v>876</v>
      </c>
      <c r="I313" s="5">
        <f t="shared" si="136"/>
        <v>1987</v>
      </c>
      <c r="J313" s="5" t="str">
        <f t="shared" si="141"/>
        <v/>
      </c>
      <c r="K313" s="152"/>
      <c r="L313" s="7" t="str">
        <f t="shared" si="138"/>
        <v>18/02/1987</v>
      </c>
      <c r="M313" s="123" t="s">
        <v>2988</v>
      </c>
      <c r="N313" s="8"/>
      <c r="O313" s="7"/>
      <c r="P313" s="181" t="str">
        <f t="shared" si="116"/>
        <v/>
      </c>
      <c r="Q313" s="153" t="str">
        <f t="shared" si="135"/>
        <v>70ab</v>
      </c>
      <c r="R313" s="180" t="str">
        <f t="shared" si="117"/>
        <v/>
      </c>
      <c r="S313" s="25" t="s">
        <v>3244</v>
      </c>
      <c r="T313" s="5">
        <f t="shared" si="118"/>
        <v>7</v>
      </c>
      <c r="U313" s="5">
        <f t="shared" si="119"/>
        <v>5</v>
      </c>
      <c r="V313" s="5">
        <f>VLOOKUP(B313,'Loyd List 1-190 - Edit'!$A$2:$B$220,2,FALSE)</f>
        <v>4</v>
      </c>
      <c r="W313" s="155">
        <f t="shared" si="120"/>
        <v>3</v>
      </c>
      <c r="X313" s="105"/>
      <c r="Y313" s="105"/>
      <c r="Z313" s="164"/>
      <c r="AA313" s="6">
        <v>129</v>
      </c>
      <c r="AB313" s="5">
        <f t="shared" si="139"/>
        <v>21</v>
      </c>
      <c r="AC313" s="5">
        <f t="shared" si="128"/>
        <v>3021</v>
      </c>
      <c r="AD313" s="97" t="str">
        <f t="shared" si="121"/>
        <v>70abb</v>
      </c>
      <c r="AE313" s="5" t="str">
        <f t="shared" si="122"/>
        <v>Amanda Charlotte  ANDREY (1987 - )</v>
      </c>
      <c r="AF313" s="5" t="str">
        <f t="shared" si="123"/>
        <v>Amanda ANDREY (7th &amp; 70)</v>
      </c>
      <c r="AG313" s="110" t="str">
        <f t="shared" si="124"/>
        <v>Female</v>
      </c>
      <c r="AH313" s="5" t="str">
        <f t="shared" si="142"/>
        <v>7th</v>
      </c>
      <c r="AI313" s="5" t="str">
        <f t="shared" si="137"/>
        <v>Unmarried</v>
      </c>
      <c r="AJ313" s="105" t="str">
        <f t="shared" si="129"/>
        <v>Female. b. 18/02/1987</v>
      </c>
      <c r="AK313" s="105" t="str">
        <f t="shared" si="126"/>
        <v>b. 18/02/1987</v>
      </c>
    </row>
    <row r="314" spans="1:37" s="5" customFormat="1" ht="20">
      <c r="A314" s="5">
        <f>VLOOKUP(B314,'Loyd List 1-190 - Edit'!$P$1:$R$219,3,FALSE)</f>
        <v>46</v>
      </c>
      <c r="B314" s="5">
        <f t="shared" si="140"/>
        <v>70</v>
      </c>
      <c r="C314" s="157" t="s">
        <v>2303</v>
      </c>
      <c r="D314" s="6" t="s">
        <v>2296</v>
      </c>
      <c r="E314" s="5" t="s">
        <v>2301</v>
      </c>
      <c r="F314" s="5" t="s">
        <v>2302</v>
      </c>
      <c r="I314" s="5">
        <f t="shared" si="136"/>
        <v>1979</v>
      </c>
      <c r="J314" s="5" t="str">
        <f t="shared" si="141"/>
        <v/>
      </c>
      <c r="K314" s="152"/>
      <c r="L314" s="7" t="str">
        <f t="shared" si="138"/>
        <v>30/10/1979</v>
      </c>
      <c r="M314" s="7">
        <v>29158</v>
      </c>
      <c r="N314" s="8"/>
      <c r="O314" s="7"/>
      <c r="P314" s="181" t="str">
        <f t="shared" si="116"/>
        <v/>
      </c>
      <c r="Q314" s="153" t="str">
        <f t="shared" si="135"/>
        <v>70ba</v>
      </c>
      <c r="R314" s="180" t="str">
        <f t="shared" si="117"/>
        <v/>
      </c>
      <c r="S314" s="25" t="s">
        <v>3244</v>
      </c>
      <c r="T314" s="5">
        <f t="shared" si="118"/>
        <v>7</v>
      </c>
      <c r="U314" s="5">
        <f t="shared" si="119"/>
        <v>5</v>
      </c>
      <c r="V314" s="5">
        <f>VLOOKUP(B314,'Loyd List 1-190 - Edit'!$A$2:$B$220,2,FALSE)</f>
        <v>4</v>
      </c>
      <c r="W314" s="155">
        <f t="shared" si="120"/>
        <v>3</v>
      </c>
      <c r="X314" s="105"/>
      <c r="Y314" s="105"/>
      <c r="Z314" s="105"/>
      <c r="AA314" s="6">
        <v>133</v>
      </c>
      <c r="AB314" s="5">
        <f t="shared" si="139"/>
        <v>22</v>
      </c>
      <c r="AC314" s="5">
        <f t="shared" si="128"/>
        <v>3022</v>
      </c>
      <c r="AD314" s="97" t="str">
        <f t="shared" si="121"/>
        <v>70baa</v>
      </c>
      <c r="AE314" s="5" t="str">
        <f t="shared" si="122"/>
        <v>Zoe Adele  MELITUS (1979 - )</v>
      </c>
      <c r="AF314" s="5" t="str">
        <f t="shared" si="123"/>
        <v>Zoe MELITUS (7th &amp; 70)</v>
      </c>
      <c r="AG314" s="110" t="str">
        <f t="shared" si="124"/>
        <v>Female</v>
      </c>
      <c r="AH314" s="5" t="str">
        <f t="shared" si="142"/>
        <v>7th</v>
      </c>
      <c r="AI314" s="5" t="str">
        <f t="shared" si="137"/>
        <v>Unmarried</v>
      </c>
      <c r="AJ314" s="105" t="str">
        <f t="shared" si="129"/>
        <v>Female. b. 30/10/1979</v>
      </c>
      <c r="AK314" s="105" t="str">
        <f t="shared" si="126"/>
        <v>b. 30/10/1979</v>
      </c>
    </row>
    <row r="315" spans="1:37" s="5" customFormat="1" ht="20">
      <c r="A315" s="5">
        <f>VLOOKUP(B315,'Loyd List 1-190 - Edit'!$P$1:$R$219,3,FALSE)</f>
        <v>46</v>
      </c>
      <c r="B315" s="5">
        <f t="shared" si="140"/>
        <v>70</v>
      </c>
      <c r="C315" s="157" t="s">
        <v>2304</v>
      </c>
      <c r="D315" s="6" t="s">
        <v>2296</v>
      </c>
      <c r="E315" s="5" t="s">
        <v>1483</v>
      </c>
      <c r="F315" s="5" t="s">
        <v>865</v>
      </c>
      <c r="H315" s="5" t="s">
        <v>865</v>
      </c>
      <c r="I315" s="5">
        <f t="shared" si="136"/>
        <v>1988</v>
      </c>
      <c r="J315" s="5" t="str">
        <f t="shared" si="141"/>
        <v/>
      </c>
      <c r="K315" s="152"/>
      <c r="L315" s="7" t="str">
        <f t="shared" si="138"/>
        <v>25/06/1988</v>
      </c>
      <c r="M315" s="8">
        <v>32319</v>
      </c>
      <c r="N315" s="7"/>
      <c r="O315" s="7"/>
      <c r="P315" s="181" t="str">
        <f t="shared" si="116"/>
        <v/>
      </c>
      <c r="Q315" s="153" t="str">
        <f t="shared" si="135"/>
        <v>70ba</v>
      </c>
      <c r="R315" s="180" t="str">
        <f t="shared" si="117"/>
        <v/>
      </c>
      <c r="S315" s="25" t="s">
        <v>3245</v>
      </c>
      <c r="T315" s="5">
        <f t="shared" si="118"/>
        <v>7</v>
      </c>
      <c r="U315" s="5">
        <f t="shared" si="119"/>
        <v>5</v>
      </c>
      <c r="V315" s="5">
        <f>VLOOKUP(B315,'Loyd List 1-190 - Edit'!$A$2:$B$220,2,FALSE)</f>
        <v>4</v>
      </c>
      <c r="W315" s="155">
        <f t="shared" si="120"/>
        <v>3</v>
      </c>
      <c r="X315" s="105"/>
      <c r="Y315" s="105"/>
      <c r="Z315" s="164"/>
      <c r="AA315" s="6">
        <v>134</v>
      </c>
      <c r="AB315" s="5">
        <f t="shared" si="139"/>
        <v>23</v>
      </c>
      <c r="AC315" s="5">
        <f t="shared" si="128"/>
        <v>3023</v>
      </c>
      <c r="AD315" s="97" t="str">
        <f t="shared" si="121"/>
        <v>70bab</v>
      </c>
      <c r="AE315" s="5" t="str">
        <f t="shared" si="122"/>
        <v>Jonathan Peter  MELITUS (1988 - )</v>
      </c>
      <c r="AF315" s="5" t="str">
        <f t="shared" si="123"/>
        <v>Peter MELITUS (7th &amp; 70)</v>
      </c>
      <c r="AG315" s="110" t="str">
        <f t="shared" si="124"/>
        <v>Male</v>
      </c>
      <c r="AH315" s="5" t="str">
        <f t="shared" si="142"/>
        <v>7th</v>
      </c>
      <c r="AI315" s="5" t="str">
        <f t="shared" si="137"/>
        <v>Unmarried</v>
      </c>
      <c r="AJ315" s="105" t="str">
        <f t="shared" si="129"/>
        <v>Male. b. 25/06/1988</v>
      </c>
      <c r="AK315" s="105" t="str">
        <f t="shared" si="126"/>
        <v>b. 25/06/1988</v>
      </c>
    </row>
    <row r="316" spans="1:37" s="5" customFormat="1" ht="34">
      <c r="A316" s="5">
        <f>VLOOKUP(B316,'Loyd List 1-190 - Edit'!$P$1:$R$219,3,FALSE)</f>
        <v>46</v>
      </c>
      <c r="B316" s="5">
        <f t="shared" si="140"/>
        <v>70</v>
      </c>
      <c r="C316" s="157" t="s">
        <v>2308</v>
      </c>
      <c r="D316" s="6" t="s">
        <v>2307</v>
      </c>
      <c r="E316" s="5" t="s">
        <v>1677</v>
      </c>
      <c r="F316" s="5" t="s">
        <v>903</v>
      </c>
      <c r="I316" s="5">
        <f t="shared" si="136"/>
        <v>1989</v>
      </c>
      <c r="J316" s="5" t="str">
        <f t="shared" si="141"/>
        <v/>
      </c>
      <c r="K316" s="152"/>
      <c r="L316" s="7" t="str">
        <f t="shared" si="138"/>
        <v>26/01/1989</v>
      </c>
      <c r="M316" s="8">
        <v>32534</v>
      </c>
      <c r="N316" s="7"/>
      <c r="O316" s="7"/>
      <c r="P316" s="181" t="str">
        <f t="shared" si="116"/>
        <v/>
      </c>
      <c r="Q316" s="153" t="str">
        <f t="shared" si="135"/>
        <v>70bb</v>
      </c>
      <c r="R316" s="180" t="str">
        <f t="shared" si="117"/>
        <v/>
      </c>
      <c r="S316" s="25" t="s">
        <v>3244</v>
      </c>
      <c r="T316" s="5">
        <f t="shared" si="118"/>
        <v>7</v>
      </c>
      <c r="U316" s="5">
        <f t="shared" si="119"/>
        <v>5</v>
      </c>
      <c r="V316" s="5">
        <f>VLOOKUP(B316,'Loyd List 1-190 - Edit'!$A$2:$B$220,2,FALSE)</f>
        <v>4</v>
      </c>
      <c r="W316" s="155">
        <f t="shared" si="120"/>
        <v>3</v>
      </c>
      <c r="X316" s="105"/>
      <c r="Y316" s="105"/>
      <c r="Z316" s="164" t="s">
        <v>2532</v>
      </c>
      <c r="AA316" s="6">
        <v>136</v>
      </c>
      <c r="AB316" s="5">
        <f t="shared" si="139"/>
        <v>24</v>
      </c>
      <c r="AC316" s="5">
        <f t="shared" si="128"/>
        <v>3024</v>
      </c>
      <c r="AD316" s="97" t="str">
        <f t="shared" si="121"/>
        <v>70bba</v>
      </c>
      <c r="AE316" s="5" t="str">
        <f t="shared" si="122"/>
        <v>Sophia Caroline  CHALDECOTT (1989 - )</v>
      </c>
      <c r="AF316" s="5" t="str">
        <f t="shared" si="123"/>
        <v>Sophia CHALDECOTT (7th &amp; 70)</v>
      </c>
      <c r="AG316" s="110" t="str">
        <f t="shared" si="124"/>
        <v>Female</v>
      </c>
      <c r="AH316" s="5" t="str">
        <f t="shared" si="142"/>
        <v>7th</v>
      </c>
      <c r="AI316" s="5" t="str">
        <f t="shared" si="137"/>
        <v>Unmarried</v>
      </c>
      <c r="AJ316" s="105" t="str">
        <f t="shared" si="129"/>
        <v>Female. b. 26/01/1989 Baptised 21 May 1989 at St Mary’s, Bradford Peverell, Dorchester, Dorset.</v>
      </c>
      <c r="AK316" s="105" t="str">
        <f t="shared" si="126"/>
        <v>b. 26/01/1989</v>
      </c>
    </row>
    <row r="317" spans="1:37" s="5" customFormat="1" ht="20">
      <c r="A317" s="5">
        <f>VLOOKUP(B317,'Loyd List 1-190 - Edit'!$P$1:$R$219,3,FALSE)</f>
        <v>46</v>
      </c>
      <c r="B317" s="5">
        <f t="shared" si="140"/>
        <v>70</v>
      </c>
      <c r="C317" s="157" t="s">
        <v>2309</v>
      </c>
      <c r="D317" s="6" t="s">
        <v>2307</v>
      </c>
      <c r="E317" s="5" t="s">
        <v>1376</v>
      </c>
      <c r="F317" s="5" t="s">
        <v>1014</v>
      </c>
      <c r="I317" s="5">
        <f t="shared" si="136"/>
        <v>1992</v>
      </c>
      <c r="J317" s="5" t="str">
        <f t="shared" si="141"/>
        <v/>
      </c>
      <c r="K317" s="152"/>
      <c r="L317" s="7" t="str">
        <f t="shared" si="138"/>
        <v>05/03/1992</v>
      </c>
      <c r="M317" s="8">
        <v>33668</v>
      </c>
      <c r="N317" s="7"/>
      <c r="O317" s="7"/>
      <c r="P317" s="181" t="str">
        <f t="shared" si="116"/>
        <v/>
      </c>
      <c r="Q317" s="153" t="str">
        <f t="shared" si="135"/>
        <v>70bb</v>
      </c>
      <c r="R317" s="180" t="str">
        <f t="shared" si="117"/>
        <v/>
      </c>
      <c r="S317" s="25" t="s">
        <v>3244</v>
      </c>
      <c r="T317" s="5">
        <f t="shared" si="118"/>
        <v>7</v>
      </c>
      <c r="U317" s="5">
        <f t="shared" si="119"/>
        <v>5</v>
      </c>
      <c r="V317" s="5">
        <f>VLOOKUP(B317,'Loyd List 1-190 - Edit'!$A$2:$B$220,2,FALSE)</f>
        <v>4</v>
      </c>
      <c r="W317" s="155">
        <f t="shared" si="120"/>
        <v>3</v>
      </c>
      <c r="X317" s="105"/>
      <c r="Y317" s="105"/>
      <c r="Z317" s="164" t="s">
        <v>2533</v>
      </c>
      <c r="AA317" s="6">
        <v>137</v>
      </c>
      <c r="AB317" s="5">
        <f t="shared" si="139"/>
        <v>25</v>
      </c>
      <c r="AC317" s="5">
        <f t="shared" si="128"/>
        <v>3025</v>
      </c>
      <c r="AD317" s="97" t="str">
        <f t="shared" si="121"/>
        <v>70bbb</v>
      </c>
      <c r="AE317" s="5" t="str">
        <f t="shared" si="122"/>
        <v>Lucy Maria  CHALDECOTT (1992 - )</v>
      </c>
      <c r="AF317" s="5" t="str">
        <f t="shared" si="123"/>
        <v>Lucy CHALDECOTT (7th &amp; 70)</v>
      </c>
      <c r="AG317" s="110" t="str">
        <f t="shared" si="124"/>
        <v>Female</v>
      </c>
      <c r="AH317" s="5" t="str">
        <f t="shared" si="142"/>
        <v>7th</v>
      </c>
      <c r="AI317" s="5" t="str">
        <f t="shared" si="137"/>
        <v>Unmarried</v>
      </c>
      <c r="AJ317" s="105" t="str">
        <f t="shared" si="129"/>
        <v>Female. b. 05/03/1992 Baptised 13 Dec 1992 at St Peter’s, Dorchester, Dorset.</v>
      </c>
      <c r="AK317" s="105" t="str">
        <f t="shared" si="126"/>
        <v>b. 05/03/1992</v>
      </c>
    </row>
    <row r="318" spans="1:37" s="5" customFormat="1" ht="20">
      <c r="A318" s="5">
        <f>VLOOKUP(B318,'Loyd List 1-190 - Edit'!$P$1:$R$219,3,FALSE)</f>
        <v>46</v>
      </c>
      <c r="B318" s="5">
        <f t="shared" si="140"/>
        <v>70</v>
      </c>
      <c r="C318" s="157" t="s">
        <v>2310</v>
      </c>
      <c r="D318" s="6" t="s">
        <v>2307</v>
      </c>
      <c r="E318" s="5" t="s">
        <v>852</v>
      </c>
      <c r="F318" s="5" t="s">
        <v>2311</v>
      </c>
      <c r="I318" s="5">
        <f t="shared" si="136"/>
        <v>1999</v>
      </c>
      <c r="J318" s="5" t="str">
        <f t="shared" si="141"/>
        <v/>
      </c>
      <c r="K318" s="152"/>
      <c r="L318" s="7" t="str">
        <f t="shared" si="138"/>
        <v>31/10/1999</v>
      </c>
      <c r="M318" s="8">
        <v>36464</v>
      </c>
      <c r="N318" s="7"/>
      <c r="O318" s="7"/>
      <c r="P318" s="181" t="str">
        <f t="shared" si="116"/>
        <v/>
      </c>
      <c r="Q318" s="153" t="str">
        <f t="shared" si="135"/>
        <v>70bb</v>
      </c>
      <c r="R318" s="180" t="str">
        <f t="shared" si="117"/>
        <v/>
      </c>
      <c r="S318" s="25" t="s">
        <v>3245</v>
      </c>
      <c r="T318" s="5">
        <f t="shared" si="118"/>
        <v>7</v>
      </c>
      <c r="U318" s="5">
        <f t="shared" si="119"/>
        <v>5</v>
      </c>
      <c r="V318" s="5">
        <f>VLOOKUP(B318,'Loyd List 1-190 - Edit'!$A$2:$B$220,2,FALSE)</f>
        <v>4</v>
      </c>
      <c r="W318" s="155">
        <f t="shared" si="120"/>
        <v>3</v>
      </c>
      <c r="X318" s="105"/>
      <c r="Y318" s="105"/>
      <c r="Z318" s="164" t="s">
        <v>2534</v>
      </c>
      <c r="AA318" s="6">
        <v>138</v>
      </c>
      <c r="AB318" s="5">
        <f t="shared" si="139"/>
        <v>26</v>
      </c>
      <c r="AC318" s="5">
        <f t="shared" si="128"/>
        <v>3026</v>
      </c>
      <c r="AD318" s="97" t="str">
        <f t="shared" si="121"/>
        <v>70bbc</v>
      </c>
      <c r="AE318" s="5" t="str">
        <f t="shared" si="122"/>
        <v>Thomas Owen  CHALDECOTT (1999 - )</v>
      </c>
      <c r="AF318" s="5" t="str">
        <f t="shared" si="123"/>
        <v>Thomas CHALDECOTT (7th &amp; 70)</v>
      </c>
      <c r="AG318" s="110" t="str">
        <f t="shared" si="124"/>
        <v>Male</v>
      </c>
      <c r="AH318" s="5" t="str">
        <f t="shared" si="142"/>
        <v>7th</v>
      </c>
      <c r="AI318" s="5" t="str">
        <f t="shared" si="137"/>
        <v>Unmarried</v>
      </c>
      <c r="AJ318" s="105" t="str">
        <f t="shared" si="129"/>
        <v>Male. b. 31/10/1999 Baptised 21 Dec 1999 at St Pater’s, Dorchester, Dorset.</v>
      </c>
      <c r="AK318" s="105" t="str">
        <f t="shared" si="126"/>
        <v>b. 31/10/1999</v>
      </c>
    </row>
    <row r="319" spans="1:37" s="5" customFormat="1" ht="20">
      <c r="A319" s="5">
        <f>VLOOKUP(B319,'Loyd List 1-190 - Edit'!$P$1:$R$219,3,FALSE)</f>
        <v>46</v>
      </c>
      <c r="B319" s="5">
        <f t="shared" si="140"/>
        <v>70</v>
      </c>
      <c r="C319" s="157" t="s">
        <v>3298</v>
      </c>
      <c r="D319" s="6" t="s">
        <v>2314</v>
      </c>
      <c r="E319" s="5" t="s">
        <v>913</v>
      </c>
      <c r="F319" s="5" t="s">
        <v>804</v>
      </c>
      <c r="G319" s="5" t="s">
        <v>1390</v>
      </c>
      <c r="I319" s="5">
        <f t="shared" si="136"/>
        <v>1998</v>
      </c>
      <c r="J319" s="5" t="str">
        <f t="shared" si="141"/>
        <v/>
      </c>
      <c r="K319" s="152"/>
      <c r="L319" s="7" t="str">
        <f t="shared" si="138"/>
        <v>28/03/1998</v>
      </c>
      <c r="M319" s="8">
        <v>35882</v>
      </c>
      <c r="N319" s="7"/>
      <c r="O319" s="7"/>
      <c r="P319" s="181" t="str">
        <f t="shared" si="116"/>
        <v/>
      </c>
      <c r="Q319" s="153" t="str">
        <f t="shared" si="135"/>
        <v>70cc</v>
      </c>
      <c r="R319" s="180" t="str">
        <f t="shared" si="117"/>
        <v/>
      </c>
      <c r="S319" s="25" t="s">
        <v>3245</v>
      </c>
      <c r="T319" s="5">
        <f t="shared" si="118"/>
        <v>7</v>
      </c>
      <c r="U319" s="5">
        <f t="shared" si="119"/>
        <v>5</v>
      </c>
      <c r="V319" s="5">
        <f>VLOOKUP(B319,'Loyd List 1-190 - Edit'!$A$2:$B$220,2,FALSE)</f>
        <v>4</v>
      </c>
      <c r="W319" s="155">
        <f t="shared" si="120"/>
        <v>3</v>
      </c>
      <c r="X319" s="105"/>
      <c r="Y319" s="105"/>
      <c r="Z319" s="164"/>
      <c r="AA319" s="6">
        <v>143</v>
      </c>
      <c r="AB319" s="5">
        <f t="shared" si="139"/>
        <v>27</v>
      </c>
      <c r="AC319" s="5">
        <f t="shared" si="128"/>
        <v>3027</v>
      </c>
      <c r="AD319" s="97" t="str">
        <f t="shared" si="121"/>
        <v>70cca</v>
      </c>
      <c r="AE319" s="5" t="str">
        <f t="shared" si="122"/>
        <v>George Arthur Louis PAGE (1998 - )</v>
      </c>
      <c r="AF319" s="5" t="str">
        <f t="shared" si="123"/>
        <v>George PAGE (7th &amp; 70)</v>
      </c>
      <c r="AG319" s="110" t="str">
        <f t="shared" si="124"/>
        <v>Male</v>
      </c>
      <c r="AH319" s="5" t="str">
        <f t="shared" si="142"/>
        <v>7th</v>
      </c>
      <c r="AI319" s="5" t="str">
        <f t="shared" si="137"/>
        <v>Unmarried</v>
      </c>
      <c r="AJ319" s="105" t="str">
        <f t="shared" si="129"/>
        <v>Male. b. 28/03/1998</v>
      </c>
      <c r="AK319" s="105" t="str">
        <f t="shared" si="126"/>
        <v>b. 28/03/1998</v>
      </c>
    </row>
    <row r="320" spans="1:37" s="5" customFormat="1" ht="20">
      <c r="A320" s="5">
        <f>VLOOKUP(B320,'Loyd List 1-190 - Edit'!$P$1:$R$219,3,FALSE)</f>
        <v>46</v>
      </c>
      <c r="B320" s="5">
        <f t="shared" si="140"/>
        <v>70</v>
      </c>
      <c r="C320" s="157" t="s">
        <v>2343</v>
      </c>
      <c r="D320" s="6" t="s">
        <v>2340</v>
      </c>
      <c r="E320" s="5" t="s">
        <v>2341</v>
      </c>
      <c r="F320" s="5" t="s">
        <v>2319</v>
      </c>
      <c r="G320" s="5" t="s">
        <v>925</v>
      </c>
      <c r="I320" s="5">
        <f t="shared" si="136"/>
        <v>1990</v>
      </c>
      <c r="J320" s="5" t="str">
        <f t="shared" si="141"/>
        <v/>
      </c>
      <c r="K320" s="152"/>
      <c r="L320" s="7" t="str">
        <f t="shared" si="138"/>
        <v>23/10/1990</v>
      </c>
      <c r="M320" s="8">
        <v>33169</v>
      </c>
      <c r="N320" s="7"/>
      <c r="O320" s="7"/>
      <c r="P320" s="181" t="str">
        <f t="shared" si="116"/>
        <v/>
      </c>
      <c r="Q320" s="153" t="str">
        <f t="shared" si="135"/>
        <v>70dc</v>
      </c>
      <c r="R320" s="180" t="str">
        <f t="shared" si="117"/>
        <v/>
      </c>
      <c r="S320" s="25" t="s">
        <v>3245</v>
      </c>
      <c r="T320" s="5">
        <f t="shared" si="118"/>
        <v>7</v>
      </c>
      <c r="U320" s="5">
        <f t="shared" si="119"/>
        <v>5</v>
      </c>
      <c r="V320" s="5">
        <f>VLOOKUP(B320,'Loyd List 1-190 - Edit'!$A$2:$B$220,2,FALSE)</f>
        <v>4</v>
      </c>
      <c r="W320" s="155">
        <f t="shared" si="120"/>
        <v>3</v>
      </c>
      <c r="X320" s="105"/>
      <c r="Y320" s="105"/>
      <c r="Z320" s="164"/>
      <c r="AA320" s="6">
        <v>149</v>
      </c>
      <c r="AB320" s="5">
        <f t="shared" si="139"/>
        <v>28</v>
      </c>
      <c r="AC320" s="5">
        <f t="shared" si="128"/>
        <v>3028</v>
      </c>
      <c r="AD320" s="97" t="str">
        <f t="shared" si="121"/>
        <v>70dca</v>
      </c>
      <c r="AE320" s="5" t="str">
        <f t="shared" si="122"/>
        <v>Simeon Nathaniel Benjamin GOW (1990 - )</v>
      </c>
      <c r="AF320" s="5" t="str">
        <f t="shared" si="123"/>
        <v>Simeon GOW (7th &amp; 70)</v>
      </c>
      <c r="AG320" s="110" t="str">
        <f t="shared" si="124"/>
        <v>Male</v>
      </c>
      <c r="AH320" s="5" t="str">
        <f t="shared" si="142"/>
        <v>7th</v>
      </c>
      <c r="AI320" s="5" t="str">
        <f t="shared" si="137"/>
        <v>Unmarried</v>
      </c>
      <c r="AJ320" s="105" t="str">
        <f t="shared" si="129"/>
        <v>Male. b. 23/10/1990</v>
      </c>
      <c r="AK320" s="105" t="str">
        <f t="shared" si="126"/>
        <v>b. 23/10/1990</v>
      </c>
    </row>
    <row r="321" spans="1:37" s="5" customFormat="1" ht="20">
      <c r="A321" s="5">
        <f>VLOOKUP(B321,'Loyd List 1-190 - Edit'!$P$1:$R$219,3,FALSE)</f>
        <v>46</v>
      </c>
      <c r="B321" s="5">
        <f t="shared" si="140"/>
        <v>70</v>
      </c>
      <c r="C321" s="157" t="s">
        <v>2344</v>
      </c>
      <c r="D321" s="6" t="s">
        <v>2340</v>
      </c>
      <c r="E321" s="5" t="s">
        <v>866</v>
      </c>
      <c r="F321" s="5" t="s">
        <v>2342</v>
      </c>
      <c r="G321" s="5" t="s">
        <v>852</v>
      </c>
      <c r="I321" s="5">
        <f t="shared" si="136"/>
        <v>1996</v>
      </c>
      <c r="J321" s="5" t="str">
        <f t="shared" si="141"/>
        <v/>
      </c>
      <c r="K321" s="152"/>
      <c r="L321" s="7" t="str">
        <f t="shared" si="138"/>
        <v>19/04/1996</v>
      </c>
      <c r="M321" s="8">
        <v>35174</v>
      </c>
      <c r="N321" s="7"/>
      <c r="O321" s="7"/>
      <c r="P321" s="181" t="str">
        <f t="shared" si="116"/>
        <v/>
      </c>
      <c r="Q321" s="153" t="str">
        <f t="shared" si="135"/>
        <v>70dc</v>
      </c>
      <c r="R321" s="180" t="str">
        <f t="shared" si="117"/>
        <v/>
      </c>
      <c r="S321" s="25" t="s">
        <v>3245</v>
      </c>
      <c r="T321" s="5">
        <f t="shared" si="118"/>
        <v>7</v>
      </c>
      <c r="U321" s="5">
        <f t="shared" si="119"/>
        <v>5</v>
      </c>
      <c r="V321" s="5">
        <f>VLOOKUP(B321,'Loyd List 1-190 - Edit'!$A$2:$B$220,2,FALSE)</f>
        <v>4</v>
      </c>
      <c r="W321" s="155">
        <f t="shared" si="120"/>
        <v>3</v>
      </c>
      <c r="X321" s="105"/>
      <c r="Y321" s="105"/>
      <c r="Z321" s="164"/>
      <c r="AA321" s="6">
        <v>150</v>
      </c>
      <c r="AB321" s="5">
        <f t="shared" si="139"/>
        <v>29</v>
      </c>
      <c r="AC321" s="5">
        <f t="shared" si="128"/>
        <v>3029</v>
      </c>
      <c r="AD321" s="97" t="str">
        <f t="shared" si="121"/>
        <v>70dcb</v>
      </c>
      <c r="AE321" s="5" t="str">
        <f t="shared" si="122"/>
        <v>Christopher Gavin Thomas GOW (1996 - )</v>
      </c>
      <c r="AF321" s="5" t="str">
        <f t="shared" si="123"/>
        <v>Christopher GOW (7th &amp; 70)</v>
      </c>
      <c r="AG321" s="110" t="str">
        <f t="shared" si="124"/>
        <v>Male</v>
      </c>
      <c r="AH321" s="5" t="str">
        <f t="shared" si="142"/>
        <v>7th</v>
      </c>
      <c r="AI321" s="5" t="str">
        <f t="shared" si="137"/>
        <v>Unmarried</v>
      </c>
      <c r="AJ321" s="105" t="str">
        <f t="shared" si="129"/>
        <v>Male. b. 19/04/1996</v>
      </c>
      <c r="AK321" s="105" t="str">
        <f t="shared" si="126"/>
        <v>b. 19/04/1996</v>
      </c>
    </row>
    <row r="322" spans="1:37" s="5" customFormat="1" ht="20">
      <c r="A322" s="5">
        <f>VLOOKUP(B322,'Loyd List 1-190 - Edit'!$P$1:$R$219,3,FALSE)</f>
        <v>46</v>
      </c>
      <c r="B322" s="5">
        <f t="shared" si="140"/>
        <v>70</v>
      </c>
      <c r="C322" s="157" t="s">
        <v>2345</v>
      </c>
      <c r="D322" s="6" t="s">
        <v>2340</v>
      </c>
      <c r="E322" s="5" t="s">
        <v>936</v>
      </c>
      <c r="F322" s="5" t="s">
        <v>1436</v>
      </c>
      <c r="I322" s="5">
        <f t="shared" si="136"/>
        <v>1998</v>
      </c>
      <c r="J322" s="5" t="str">
        <f t="shared" si="141"/>
        <v/>
      </c>
      <c r="K322" s="152"/>
      <c r="L322" s="7" t="str">
        <f t="shared" si="138"/>
        <v>14/05/1998</v>
      </c>
      <c r="M322" s="8">
        <v>35929</v>
      </c>
      <c r="N322" s="7"/>
      <c r="O322" s="7"/>
      <c r="P322" s="181" t="str">
        <f t="shared" si="116"/>
        <v/>
      </c>
      <c r="Q322" s="153" t="str">
        <f t="shared" si="135"/>
        <v>70dc</v>
      </c>
      <c r="R322" s="180" t="str">
        <f t="shared" si="117"/>
        <v/>
      </c>
      <c r="S322" s="25" t="s">
        <v>3244</v>
      </c>
      <c r="T322" s="5">
        <f t="shared" si="118"/>
        <v>7</v>
      </c>
      <c r="U322" s="5">
        <f t="shared" si="119"/>
        <v>5</v>
      </c>
      <c r="V322" s="5">
        <f>VLOOKUP(B322,'Loyd List 1-190 - Edit'!$A$2:$B$220,2,FALSE)</f>
        <v>4</v>
      </c>
      <c r="W322" s="155">
        <f t="shared" si="120"/>
        <v>3</v>
      </c>
      <c r="X322" s="105"/>
      <c r="Y322" s="105"/>
      <c r="Z322" s="167"/>
      <c r="AA322" s="6">
        <v>151</v>
      </c>
      <c r="AB322" s="5">
        <f t="shared" si="139"/>
        <v>30</v>
      </c>
      <c r="AC322" s="5">
        <f t="shared" si="128"/>
        <v>3030</v>
      </c>
      <c r="AD322" s="97" t="str">
        <f t="shared" si="121"/>
        <v>70dcc</v>
      </c>
      <c r="AE322" s="5" t="str">
        <f t="shared" si="122"/>
        <v>Joanna Louise  GOW (1998 - )</v>
      </c>
      <c r="AF322" s="5" t="str">
        <f t="shared" si="123"/>
        <v>Joanna GOW (7th &amp; 70)</v>
      </c>
      <c r="AG322" s="110" t="str">
        <f t="shared" si="124"/>
        <v>Female</v>
      </c>
      <c r="AH322" s="5" t="str">
        <f t="shared" si="142"/>
        <v>7th</v>
      </c>
      <c r="AI322" s="5" t="str">
        <f t="shared" si="137"/>
        <v>Unmarried</v>
      </c>
      <c r="AJ322" s="105" t="str">
        <f t="shared" si="129"/>
        <v>Female. b. 14/05/1998</v>
      </c>
      <c r="AK322" s="105" t="str">
        <f t="shared" si="126"/>
        <v>b. 14/05/1998</v>
      </c>
    </row>
    <row r="323" spans="1:37" s="5" customFormat="1" ht="20">
      <c r="A323" s="5">
        <f>VLOOKUP(B323,'Loyd List 1-190 - Edit'!$P$1:$R$219,3,FALSE)</f>
        <v>56</v>
      </c>
      <c r="B323" s="5">
        <f t="shared" si="140"/>
        <v>85</v>
      </c>
      <c r="C323" s="157" t="s">
        <v>1367</v>
      </c>
      <c r="D323" s="6" t="s">
        <v>1361</v>
      </c>
      <c r="E323" s="156" t="s">
        <v>1362</v>
      </c>
      <c r="F323" s="5" t="s">
        <v>1363</v>
      </c>
      <c r="I323" s="5">
        <f t="shared" si="136"/>
        <v>1995</v>
      </c>
      <c r="J323" s="5" t="str">
        <f t="shared" si="141"/>
        <v/>
      </c>
      <c r="K323" s="152"/>
      <c r="L323" s="7" t="str">
        <f t="shared" si="138"/>
        <v>25/07/1995</v>
      </c>
      <c r="M323" s="8">
        <v>34905</v>
      </c>
      <c r="N323" s="7"/>
      <c r="O323" s="7"/>
      <c r="P323" s="181" t="str">
        <f t="shared" si="116"/>
        <v/>
      </c>
      <c r="Q323" s="153" t="str">
        <f t="shared" si="135"/>
        <v>85aa</v>
      </c>
      <c r="R323" s="180" t="str">
        <f t="shared" si="117"/>
        <v/>
      </c>
      <c r="S323" s="25" t="s">
        <v>3244</v>
      </c>
      <c r="T323" s="5">
        <f t="shared" si="118"/>
        <v>8</v>
      </c>
      <c r="U323" s="5">
        <f t="shared" si="119"/>
        <v>5</v>
      </c>
      <c r="V323" s="5">
        <f>VLOOKUP(B323,'Loyd List 1-190 - Edit'!$A$2:$B$220,2,FALSE)</f>
        <v>5</v>
      </c>
      <c r="W323" s="155">
        <f t="shared" si="120"/>
        <v>3</v>
      </c>
      <c r="X323" s="105"/>
      <c r="Y323" s="105"/>
      <c r="Z323" s="164"/>
      <c r="AA323" s="6">
        <v>156</v>
      </c>
      <c r="AB323" s="5">
        <f t="shared" si="139"/>
        <v>31</v>
      </c>
      <c r="AC323" s="5">
        <f t="shared" si="128"/>
        <v>3031</v>
      </c>
      <c r="AD323" s="97" t="str">
        <f t="shared" si="121"/>
        <v>85aaa</v>
      </c>
      <c r="AE323" s="5" t="str">
        <f t="shared" si="122"/>
        <v>Matilda Prudence  ELLIS (1995 - )</v>
      </c>
      <c r="AF323" s="5" t="str">
        <f t="shared" si="123"/>
        <v>Matilda ELLIS (8th &amp; 85)</v>
      </c>
      <c r="AG323" s="110" t="str">
        <f t="shared" si="124"/>
        <v>Female</v>
      </c>
      <c r="AH323" s="5" t="str">
        <f t="shared" si="142"/>
        <v>8th</v>
      </c>
      <c r="AI323" s="5" t="str">
        <f t="shared" si="137"/>
        <v>Unmarried</v>
      </c>
      <c r="AJ323" s="105" t="str">
        <f t="shared" si="129"/>
        <v>Female. b. 25/07/1995</v>
      </c>
      <c r="AK323" s="105" t="str">
        <f t="shared" si="126"/>
        <v>b. 25/07/1995</v>
      </c>
    </row>
    <row r="324" spans="1:37" s="5" customFormat="1" ht="20">
      <c r="A324" s="5">
        <f>VLOOKUP(B324,'Loyd List 1-190 - Edit'!$P$1:$R$219,3,FALSE)</f>
        <v>56</v>
      </c>
      <c r="B324" s="5">
        <f t="shared" si="140"/>
        <v>85</v>
      </c>
      <c r="C324" s="157" t="s">
        <v>1368</v>
      </c>
      <c r="D324" s="6" t="s">
        <v>1361</v>
      </c>
      <c r="E324" s="156" t="s">
        <v>975</v>
      </c>
      <c r="F324" s="5" t="s">
        <v>1364</v>
      </c>
      <c r="I324" s="5">
        <f t="shared" si="136"/>
        <v>1997</v>
      </c>
      <c r="J324" s="5" t="str">
        <f t="shared" si="141"/>
        <v/>
      </c>
      <c r="K324" s="152"/>
      <c r="L324" s="7" t="str">
        <f t="shared" si="138"/>
        <v>03/10/1997</v>
      </c>
      <c r="M324" s="8">
        <v>35706</v>
      </c>
      <c r="N324" s="7"/>
      <c r="O324" s="7"/>
      <c r="P324" s="181" t="str">
        <f t="shared" si="116"/>
        <v/>
      </c>
      <c r="Q324" s="153" t="str">
        <f t="shared" si="135"/>
        <v>85aa</v>
      </c>
      <c r="R324" s="180" t="str">
        <f t="shared" si="117"/>
        <v/>
      </c>
      <c r="S324" s="25" t="s">
        <v>3244</v>
      </c>
      <c r="T324" s="5">
        <f t="shared" si="118"/>
        <v>8</v>
      </c>
      <c r="U324" s="5">
        <f t="shared" si="119"/>
        <v>5</v>
      </c>
      <c r="V324" s="5">
        <f>VLOOKUP(B324,'Loyd List 1-190 - Edit'!$A$2:$B$220,2,FALSE)</f>
        <v>5</v>
      </c>
      <c r="W324" s="155">
        <f t="shared" si="120"/>
        <v>3</v>
      </c>
      <c r="X324" s="105"/>
      <c r="Y324" s="105"/>
      <c r="Z324" s="164"/>
      <c r="AA324" s="6">
        <v>157</v>
      </c>
      <c r="AB324" s="5">
        <f t="shared" si="139"/>
        <v>32</v>
      </c>
      <c r="AC324" s="5">
        <f t="shared" si="128"/>
        <v>3032</v>
      </c>
      <c r="AD324" s="97" t="str">
        <f t="shared" si="121"/>
        <v>85aab</v>
      </c>
      <c r="AE324" s="5" t="str">
        <f t="shared" si="122"/>
        <v>Tabitha Hope  ELLIS (1997 - )</v>
      </c>
      <c r="AF324" s="5" t="str">
        <f t="shared" si="123"/>
        <v>Tabitha ELLIS (8th &amp; 85)</v>
      </c>
      <c r="AG324" s="110" t="str">
        <f t="shared" si="124"/>
        <v>Female</v>
      </c>
      <c r="AH324" s="5" t="str">
        <f t="shared" si="142"/>
        <v>8th</v>
      </c>
      <c r="AI324" s="5" t="str">
        <f t="shared" si="137"/>
        <v>Unmarried</v>
      </c>
      <c r="AJ324" s="105" t="str">
        <f t="shared" si="129"/>
        <v>Female. b. 03/10/1997</v>
      </c>
      <c r="AK324" s="105" t="str">
        <f t="shared" si="126"/>
        <v>b. 03/10/1997</v>
      </c>
    </row>
    <row r="325" spans="1:37" s="5" customFormat="1" ht="20">
      <c r="A325" s="5">
        <f>VLOOKUP(B325,'Loyd List 1-190 - Edit'!$P$1:$R$219,3,FALSE)</f>
        <v>56</v>
      </c>
      <c r="B325" s="5">
        <f t="shared" si="140"/>
        <v>85</v>
      </c>
      <c r="C325" s="157" t="s">
        <v>1372</v>
      </c>
      <c r="D325" s="6" t="s">
        <v>1357</v>
      </c>
      <c r="E325" s="5" t="s">
        <v>1370</v>
      </c>
      <c r="F325" s="5" t="s">
        <v>1371</v>
      </c>
      <c r="I325" s="5">
        <f t="shared" si="136"/>
        <v>1998</v>
      </c>
      <c r="J325" s="5" t="str">
        <f t="shared" si="141"/>
        <v/>
      </c>
      <c r="K325" s="152"/>
      <c r="L325" s="7" t="str">
        <f t="shared" si="138"/>
        <v>24/07/1998</v>
      </c>
      <c r="M325" s="8">
        <v>36000</v>
      </c>
      <c r="N325" s="7"/>
      <c r="O325" s="7"/>
      <c r="P325" s="181" t="str">
        <f t="shared" si="116"/>
        <v/>
      </c>
      <c r="Q325" s="153" t="str">
        <f t="shared" ref="Q325:Q380" si="143">MID(C325,1,LEN(C325)-1)</f>
        <v>85ab</v>
      </c>
      <c r="R325" s="180" t="str">
        <f t="shared" si="117"/>
        <v/>
      </c>
      <c r="S325" s="25" t="s">
        <v>3244</v>
      </c>
      <c r="T325" s="5">
        <f t="shared" si="118"/>
        <v>8</v>
      </c>
      <c r="U325" s="5">
        <f t="shared" si="119"/>
        <v>5</v>
      </c>
      <c r="V325" s="5">
        <f>VLOOKUP(B325,'Loyd List 1-190 - Edit'!$A$2:$B$220,2,FALSE)</f>
        <v>5</v>
      </c>
      <c r="W325" s="155">
        <f t="shared" si="120"/>
        <v>3</v>
      </c>
      <c r="X325" s="105"/>
      <c r="Y325" s="105"/>
      <c r="Z325" s="164"/>
      <c r="AA325" s="6">
        <v>159</v>
      </c>
      <c r="AB325" s="5">
        <f t="shared" si="139"/>
        <v>33</v>
      </c>
      <c r="AC325" s="5">
        <f t="shared" si="128"/>
        <v>3033</v>
      </c>
      <c r="AD325" s="97" t="str">
        <f t="shared" si="121"/>
        <v>85aba</v>
      </c>
      <c r="AE325" s="5" t="str">
        <f t="shared" si="122"/>
        <v>Esme Grace G  LANE FOX (1998 - )</v>
      </c>
      <c r="AF325" s="5" t="str">
        <f t="shared" si="123"/>
        <v>Esme LANE FOX (8th &amp; 85)</v>
      </c>
      <c r="AG325" s="110" t="str">
        <f t="shared" si="124"/>
        <v>Female</v>
      </c>
      <c r="AH325" s="5" t="str">
        <f t="shared" si="142"/>
        <v>8th</v>
      </c>
      <c r="AI325" s="5" t="str">
        <f t="shared" si="137"/>
        <v>Unmarried</v>
      </c>
      <c r="AJ325" s="105" t="str">
        <f t="shared" si="129"/>
        <v>Female. b. 24/07/1998</v>
      </c>
      <c r="AK325" s="105" t="str">
        <f t="shared" si="126"/>
        <v>b. 24/07/1998</v>
      </c>
    </row>
    <row r="326" spans="1:37" s="5" customFormat="1" ht="20">
      <c r="A326" s="5">
        <f>VLOOKUP(B326,'Loyd List 1-190 - Edit'!$P$1:$R$219,3,FALSE)</f>
        <v>56</v>
      </c>
      <c r="B326" s="5">
        <f t="shared" si="140"/>
        <v>85</v>
      </c>
      <c r="C326" s="157" t="s">
        <v>1374</v>
      </c>
      <c r="D326" s="6" t="s">
        <v>1357</v>
      </c>
      <c r="E326" s="156" t="s">
        <v>1373</v>
      </c>
      <c r="F326" s="5" t="s">
        <v>937</v>
      </c>
      <c r="I326" s="5">
        <f t="shared" ref="I326:I381" si="144">IF(L326="","",VALUE(RIGHT(L326,4)))</f>
        <v>2000</v>
      </c>
      <c r="J326" s="5" t="str">
        <f t="shared" si="141"/>
        <v/>
      </c>
      <c r="K326" s="152"/>
      <c r="L326" s="7" t="str">
        <f t="shared" si="138"/>
        <v>23/06/2000</v>
      </c>
      <c r="M326" s="8">
        <v>36700</v>
      </c>
      <c r="N326" s="7"/>
      <c r="O326" s="7"/>
      <c r="P326" s="181" t="str">
        <f t="shared" si="116"/>
        <v/>
      </c>
      <c r="Q326" s="153" t="str">
        <f t="shared" si="143"/>
        <v>85ab</v>
      </c>
      <c r="R326" s="180" t="str">
        <f t="shared" si="117"/>
        <v/>
      </c>
      <c r="S326" s="25" t="s">
        <v>3244</v>
      </c>
      <c r="T326" s="5">
        <f t="shared" si="118"/>
        <v>8</v>
      </c>
      <c r="U326" s="5">
        <f t="shared" si="119"/>
        <v>5</v>
      </c>
      <c r="V326" s="5">
        <f>VLOOKUP(B326,'Loyd List 1-190 - Edit'!$A$2:$B$220,2,FALSE)</f>
        <v>5</v>
      </c>
      <c r="W326" s="155">
        <f t="shared" si="120"/>
        <v>3</v>
      </c>
      <c r="X326" s="105"/>
      <c r="Y326" s="105"/>
      <c r="Z326" s="164"/>
      <c r="AA326" s="6">
        <v>160</v>
      </c>
      <c r="AB326" s="5">
        <f t="shared" si="139"/>
        <v>34</v>
      </c>
      <c r="AC326" s="5">
        <f t="shared" si="128"/>
        <v>3034</v>
      </c>
      <c r="AD326" s="97" t="str">
        <f t="shared" si="121"/>
        <v>85abb</v>
      </c>
      <c r="AE326" s="5" t="str">
        <f t="shared" si="122"/>
        <v>Georgia Rose  LANE FOX (2000 - )</v>
      </c>
      <c r="AF326" s="5" t="str">
        <f t="shared" si="123"/>
        <v>Georgia LANE FOX (8th &amp; 85)</v>
      </c>
      <c r="AG326" s="110" t="str">
        <f t="shared" si="124"/>
        <v>Female</v>
      </c>
      <c r="AH326" s="5" t="str">
        <f t="shared" si="142"/>
        <v>8th</v>
      </c>
      <c r="AI326" s="5" t="str">
        <f t="shared" ref="AI326:AI381" si="145">IF(X326="","Unmarried",IF(AG326="Male",_xlfn.CONCAT("Wife: ",X326,". ",Y326),_xlfn.CONCAT("Husband: ",X326,". ",Y326)))</f>
        <v>Unmarried</v>
      </c>
      <c r="AJ326" s="105" t="str">
        <f t="shared" si="129"/>
        <v>Female. b. 23/06/2000</v>
      </c>
      <c r="AK326" s="105" t="str">
        <f t="shared" si="126"/>
        <v>b. 23/06/2000</v>
      </c>
    </row>
    <row r="327" spans="1:37" s="5" customFormat="1" ht="20">
      <c r="A327" s="5">
        <f>VLOOKUP(B327,'Loyd List 1-190 - Edit'!$P$1:$R$219,3,FALSE)</f>
        <v>56</v>
      </c>
      <c r="B327" s="5">
        <f t="shared" si="140"/>
        <v>85</v>
      </c>
      <c r="C327" s="157" t="s">
        <v>1384</v>
      </c>
      <c r="D327" s="6" t="s">
        <v>1382</v>
      </c>
      <c r="E327" s="156" t="s">
        <v>1383</v>
      </c>
      <c r="F327" s="5" t="s">
        <v>936</v>
      </c>
      <c r="I327" s="5">
        <f t="shared" si="144"/>
        <v>1997</v>
      </c>
      <c r="J327" s="5" t="str">
        <f t="shared" si="141"/>
        <v/>
      </c>
      <c r="K327" s="152"/>
      <c r="L327" s="7" t="str">
        <f t="shared" si="138"/>
        <v>01/07/1997</v>
      </c>
      <c r="M327" s="8">
        <v>35612</v>
      </c>
      <c r="N327" s="7"/>
      <c r="O327" s="7"/>
      <c r="P327" s="181" t="str">
        <f t="shared" si="116"/>
        <v/>
      </c>
      <c r="Q327" s="153" t="str">
        <f t="shared" si="143"/>
        <v>85bc</v>
      </c>
      <c r="R327" s="180" t="str">
        <f t="shared" si="117"/>
        <v/>
      </c>
      <c r="S327" s="25" t="s">
        <v>3244</v>
      </c>
      <c r="T327" s="5">
        <f t="shared" si="118"/>
        <v>8</v>
      </c>
      <c r="U327" s="5">
        <f t="shared" si="119"/>
        <v>5</v>
      </c>
      <c r="V327" s="5">
        <f>VLOOKUP(B327,'Loyd List 1-190 - Edit'!$A$2:$B$220,2,FALSE)</f>
        <v>5</v>
      </c>
      <c r="W327" s="155">
        <f t="shared" si="120"/>
        <v>3</v>
      </c>
      <c r="X327" s="105"/>
      <c r="Y327" s="105"/>
      <c r="Z327" s="164"/>
      <c r="AA327" s="6">
        <v>166</v>
      </c>
      <c r="AB327" s="5">
        <f t="shared" si="139"/>
        <v>35</v>
      </c>
      <c r="AC327" s="5">
        <f t="shared" si="128"/>
        <v>3035</v>
      </c>
      <c r="AD327" s="97" t="str">
        <f t="shared" si="121"/>
        <v>85bca</v>
      </c>
      <c r="AE327" s="5" t="str">
        <f t="shared" si="122"/>
        <v>Lily Joanna  GASZTOWTT (1997 - )</v>
      </c>
      <c r="AF327" s="5" t="str">
        <f t="shared" si="123"/>
        <v>Lily GASZTOWTT (8th &amp; 85)</v>
      </c>
      <c r="AG327" s="110" t="str">
        <f t="shared" si="124"/>
        <v>Female</v>
      </c>
      <c r="AH327" s="5" t="str">
        <f t="shared" si="142"/>
        <v>8th</v>
      </c>
      <c r="AI327" s="5" t="str">
        <f t="shared" si="145"/>
        <v>Unmarried</v>
      </c>
      <c r="AJ327" s="105" t="str">
        <f t="shared" si="129"/>
        <v>Female. b. 01/07/1997</v>
      </c>
      <c r="AK327" s="105" t="str">
        <f t="shared" si="126"/>
        <v>b. 01/07/1997</v>
      </c>
    </row>
    <row r="328" spans="1:37" s="5" customFormat="1" ht="35">
      <c r="A328" s="5">
        <f>VLOOKUP(B328,'Loyd List 1-190 - Edit'!$P$1:$R$219,3,FALSE)</f>
        <v>66</v>
      </c>
      <c r="B328" s="5">
        <f t="shared" si="140"/>
        <v>88</v>
      </c>
      <c r="C328" s="157" t="s">
        <v>1439</v>
      </c>
      <c r="D328" s="6" t="s">
        <v>1435</v>
      </c>
      <c r="E328" s="156" t="s">
        <v>1436</v>
      </c>
      <c r="F328" s="5" t="s">
        <v>4330</v>
      </c>
      <c r="I328" s="5">
        <f t="shared" si="144"/>
        <v>1986</v>
      </c>
      <c r="J328" s="5" t="str">
        <f t="shared" si="141"/>
        <v/>
      </c>
      <c r="K328" s="152"/>
      <c r="L328" s="7" t="str">
        <f t="shared" si="138"/>
        <v>31/12/1986</v>
      </c>
      <c r="M328" s="10" t="s">
        <v>2994</v>
      </c>
      <c r="N328" s="7"/>
      <c r="O328" s="7"/>
      <c r="P328" s="181" t="str">
        <f t="shared" si="116"/>
        <v/>
      </c>
      <c r="Q328" s="153" t="str">
        <f t="shared" si="143"/>
        <v>88aa</v>
      </c>
      <c r="R328" s="180" t="str">
        <f t="shared" si="117"/>
        <v/>
      </c>
      <c r="S328" s="25" t="s">
        <v>3244</v>
      </c>
      <c r="T328" s="5">
        <f t="shared" si="118"/>
        <v>8</v>
      </c>
      <c r="U328" s="5">
        <f t="shared" si="119"/>
        <v>5</v>
      </c>
      <c r="V328" s="5">
        <f>VLOOKUP(B328,'Loyd List 1-190 - Edit'!$A$2:$B$220,2,FALSE)</f>
        <v>5</v>
      </c>
      <c r="W328" s="155">
        <f t="shared" si="120"/>
        <v>3</v>
      </c>
      <c r="X328" s="105" t="s">
        <v>4329</v>
      </c>
      <c r="Y328" s="105" t="s">
        <v>4331</v>
      </c>
      <c r="Z328" s="164" t="s">
        <v>3797</v>
      </c>
      <c r="AA328" s="6">
        <v>176</v>
      </c>
      <c r="AB328" s="5">
        <f t="shared" si="139"/>
        <v>36</v>
      </c>
      <c r="AC328" s="5">
        <f t="shared" si="128"/>
        <v>3036</v>
      </c>
      <c r="AD328" s="97" t="str">
        <f t="shared" si="121"/>
        <v>88aaa</v>
      </c>
      <c r="AE328" s="5" t="str">
        <f t="shared" si="122"/>
        <v>Louise Saragh  HOLMAN-BAIRD (1986 - )</v>
      </c>
      <c r="AF328" s="5" t="str">
        <f t="shared" si="123"/>
        <v>Louise HOLMAN-BAIRD (8th &amp; 88)</v>
      </c>
      <c r="AG328" s="110" t="str">
        <f t="shared" si="124"/>
        <v>Female</v>
      </c>
      <c r="AH328" s="5" t="str">
        <f t="shared" si="142"/>
        <v>8th</v>
      </c>
      <c r="AI328" s="5" t="str">
        <f t="shared" si="145"/>
        <v>Husband: Christopher MURRAY. Married Christopher at Nanyki, Kenya.</v>
      </c>
      <c r="AJ328" s="105" t="str">
        <f t="shared" si="129"/>
        <v>Female. b. 31/12/1986 Born in Aberdeen, baptised  at Banchory.</v>
      </c>
      <c r="AK328" s="105" t="str">
        <f t="shared" si="126"/>
        <v>b. 31/12/1986</v>
      </c>
    </row>
    <row r="329" spans="1:37" s="5" customFormat="1" ht="20">
      <c r="A329" s="5">
        <f>VLOOKUP(B329,'Loyd List 1-190 - Edit'!$P$1:$R$219,3,FALSE)</f>
        <v>66</v>
      </c>
      <c r="B329" s="5">
        <f t="shared" si="140"/>
        <v>88</v>
      </c>
      <c r="C329" s="157" t="s">
        <v>1440</v>
      </c>
      <c r="D329" s="6" t="s">
        <v>1435</v>
      </c>
      <c r="E329" s="156" t="s">
        <v>1442</v>
      </c>
      <c r="F329" s="5" t="s">
        <v>842</v>
      </c>
      <c r="I329" s="5">
        <f t="shared" si="144"/>
        <v>1997</v>
      </c>
      <c r="J329" s="5" t="str">
        <f t="shared" si="141"/>
        <v/>
      </c>
      <c r="K329" s="152"/>
      <c r="L329" s="7" t="str">
        <f t="shared" si="138"/>
        <v>14/01/1997</v>
      </c>
      <c r="M329" s="8">
        <v>35444</v>
      </c>
      <c r="N329" s="7"/>
      <c r="O329" s="7"/>
      <c r="P329" s="181" t="str">
        <f t="shared" si="116"/>
        <v/>
      </c>
      <c r="Q329" s="153" t="str">
        <f t="shared" si="143"/>
        <v>88aa</v>
      </c>
      <c r="R329" s="180" t="str">
        <f t="shared" si="117"/>
        <v/>
      </c>
      <c r="S329" s="25" t="s">
        <v>3245</v>
      </c>
      <c r="T329" s="5">
        <f t="shared" si="118"/>
        <v>8</v>
      </c>
      <c r="U329" s="5">
        <f t="shared" si="119"/>
        <v>5</v>
      </c>
      <c r="V329" s="5">
        <f>VLOOKUP(B329,'Loyd List 1-190 - Edit'!$A$2:$B$220,2,FALSE)</f>
        <v>5</v>
      </c>
      <c r="W329" s="155">
        <f t="shared" si="120"/>
        <v>3</v>
      </c>
      <c r="X329" s="105"/>
      <c r="Y329" s="105"/>
      <c r="Z329" s="164" t="s">
        <v>2597</v>
      </c>
      <c r="AA329" s="6">
        <v>177</v>
      </c>
      <c r="AB329" s="5">
        <f t="shared" si="139"/>
        <v>37</v>
      </c>
      <c r="AC329" s="5">
        <f t="shared" si="128"/>
        <v>3037</v>
      </c>
      <c r="AD329" s="97" t="str">
        <f t="shared" si="121"/>
        <v>88aab</v>
      </c>
      <c r="AE329" s="5" t="str">
        <f t="shared" si="122"/>
        <v>Angus John  HOLMAN-BAIRD (1997 - )</v>
      </c>
      <c r="AF329" s="5" t="str">
        <f t="shared" si="123"/>
        <v>Angus HOLMAN-BAIRD (8th &amp; 88)</v>
      </c>
      <c r="AG329" s="110" t="str">
        <f t="shared" si="124"/>
        <v>Male</v>
      </c>
      <c r="AH329" s="5" t="str">
        <f t="shared" si="142"/>
        <v>8th</v>
      </c>
      <c r="AI329" s="5" t="str">
        <f t="shared" si="145"/>
        <v>Unmarried</v>
      </c>
      <c r="AJ329" s="105" t="str">
        <f t="shared" si="129"/>
        <v>Male. b. 14/01/1997 Baptised at Banchory.</v>
      </c>
      <c r="AK329" s="105" t="str">
        <f t="shared" si="126"/>
        <v>b. 14/01/1997</v>
      </c>
    </row>
    <row r="330" spans="1:37" s="5" customFormat="1" ht="20">
      <c r="A330" s="5">
        <f>VLOOKUP(B330,'Loyd List 1-190 - Edit'!$P$1:$R$219,3,FALSE)</f>
        <v>66</v>
      </c>
      <c r="B330" s="5">
        <f t="shared" si="140"/>
        <v>88</v>
      </c>
      <c r="C330" s="157" t="s">
        <v>1441</v>
      </c>
      <c r="D330" s="6" t="s">
        <v>1435</v>
      </c>
      <c r="E330" s="156" t="s">
        <v>1591</v>
      </c>
      <c r="F330" s="5" t="s">
        <v>1444</v>
      </c>
      <c r="I330" s="5">
        <f t="shared" si="144"/>
        <v>1998</v>
      </c>
      <c r="J330" s="5" t="str">
        <f t="shared" si="141"/>
        <v/>
      </c>
      <c r="K330" s="152"/>
      <c r="L330" s="7" t="str">
        <f t="shared" si="138"/>
        <v>29/12/1998</v>
      </c>
      <c r="M330" s="8">
        <v>36158</v>
      </c>
      <c r="N330" s="7"/>
      <c r="O330" s="7"/>
      <c r="P330" s="181" t="str">
        <f t="shared" si="116"/>
        <v/>
      </c>
      <c r="Q330" s="153" t="str">
        <f t="shared" si="143"/>
        <v>88aa</v>
      </c>
      <c r="R330" s="180" t="str">
        <f t="shared" si="117"/>
        <v/>
      </c>
      <c r="S330" s="25" t="s">
        <v>3244</v>
      </c>
      <c r="T330" s="5">
        <f t="shared" si="118"/>
        <v>8</v>
      </c>
      <c r="U330" s="5">
        <f t="shared" si="119"/>
        <v>5</v>
      </c>
      <c r="V330" s="5">
        <f>VLOOKUP(B330,'Loyd List 1-190 - Edit'!$A$2:$B$220,2,FALSE)</f>
        <v>5</v>
      </c>
      <c r="W330" s="155">
        <f t="shared" si="120"/>
        <v>3</v>
      </c>
      <c r="X330" s="105"/>
      <c r="Y330" s="105"/>
      <c r="Z330" s="164" t="s">
        <v>2597</v>
      </c>
      <c r="AA330" s="6">
        <v>178</v>
      </c>
      <c r="AB330" s="5">
        <f t="shared" si="139"/>
        <v>38</v>
      </c>
      <c r="AC330" s="5">
        <f t="shared" si="128"/>
        <v>3038</v>
      </c>
      <c r="AD330" s="97" t="str">
        <f t="shared" si="121"/>
        <v>88aac</v>
      </c>
      <c r="AE330" s="5" t="str">
        <f t="shared" si="122"/>
        <v>Amelia Jo  HOLMAN-BAIRD (1998 - )</v>
      </c>
      <c r="AF330" s="5" t="str">
        <f t="shared" si="123"/>
        <v>Amelia HOLMAN-BAIRD (8th &amp; 88)</v>
      </c>
      <c r="AG330" s="110" t="str">
        <f t="shared" si="124"/>
        <v>Female</v>
      </c>
      <c r="AH330" s="5" t="str">
        <f t="shared" si="142"/>
        <v>8th</v>
      </c>
      <c r="AI330" s="5" t="str">
        <f t="shared" si="145"/>
        <v>Unmarried</v>
      </c>
      <c r="AJ330" s="105" t="str">
        <f t="shared" si="129"/>
        <v>Female. b. 29/12/1998 Baptised at Banchory.</v>
      </c>
      <c r="AK330" s="105" t="str">
        <f t="shared" si="126"/>
        <v>b. 29/12/1998</v>
      </c>
    </row>
    <row r="331" spans="1:37" s="5" customFormat="1" ht="20">
      <c r="A331" s="5">
        <f>VLOOKUP(B331,'Loyd List 1-190 - Edit'!$P$1:$R$219,3,FALSE)</f>
        <v>66</v>
      </c>
      <c r="B331" s="5">
        <f t="shared" si="140"/>
        <v>88</v>
      </c>
      <c r="C331" s="157" t="s">
        <v>1449</v>
      </c>
      <c r="D331" s="6" t="s">
        <v>1447</v>
      </c>
      <c r="E331" s="156" t="s">
        <v>830</v>
      </c>
      <c r="F331" s="5" t="s">
        <v>842</v>
      </c>
      <c r="I331" s="5">
        <f t="shared" si="144"/>
        <v>1992</v>
      </c>
      <c r="J331" s="5" t="str">
        <f t="shared" si="141"/>
        <v/>
      </c>
      <c r="K331" s="152"/>
      <c r="L331" s="7" t="str">
        <f t="shared" si="138"/>
        <v>10/09/1992</v>
      </c>
      <c r="M331" s="8">
        <v>33857</v>
      </c>
      <c r="N331" s="7"/>
      <c r="O331" s="7"/>
      <c r="P331" s="181" t="str">
        <f t="shared" si="116"/>
        <v/>
      </c>
      <c r="Q331" s="153" t="str">
        <f t="shared" si="143"/>
        <v>88ac</v>
      </c>
      <c r="R331" s="180" t="str">
        <f t="shared" si="117"/>
        <v/>
      </c>
      <c r="S331" s="25" t="s">
        <v>3245</v>
      </c>
      <c r="T331" s="5">
        <f t="shared" si="118"/>
        <v>8</v>
      </c>
      <c r="U331" s="5">
        <f t="shared" si="119"/>
        <v>5</v>
      </c>
      <c r="V331" s="5">
        <f>VLOOKUP(B331,'Loyd List 1-190 - Edit'!$A$2:$B$220,2,FALSE)</f>
        <v>5</v>
      </c>
      <c r="W331" s="155">
        <f t="shared" si="120"/>
        <v>3</v>
      </c>
      <c r="X331" s="105"/>
      <c r="Y331" s="105"/>
      <c r="Z331" s="164" t="s">
        <v>2601</v>
      </c>
      <c r="AA331" s="6">
        <v>181</v>
      </c>
      <c r="AB331" s="5">
        <f t="shared" si="139"/>
        <v>39</v>
      </c>
      <c r="AC331" s="5">
        <f t="shared" si="128"/>
        <v>3039</v>
      </c>
      <c r="AD331" s="97" t="str">
        <f t="shared" si="121"/>
        <v>88aca</v>
      </c>
      <c r="AE331" s="5" t="str">
        <f t="shared" si="122"/>
        <v>William John  STIRRUP (1992 - )</v>
      </c>
      <c r="AF331" s="5" t="str">
        <f t="shared" si="123"/>
        <v>William STIRRUP (8th &amp; 88)</v>
      </c>
      <c r="AG331" s="110" t="str">
        <f t="shared" si="124"/>
        <v>Male</v>
      </c>
      <c r="AH331" s="5" t="str">
        <f t="shared" si="142"/>
        <v>8th</v>
      </c>
      <c r="AI331" s="5" t="str">
        <f t="shared" si="145"/>
        <v>Unmarried</v>
      </c>
      <c r="AJ331" s="105" t="str">
        <f t="shared" si="129"/>
        <v>Male. b. 10/09/1992 Baptised at St Luke’s, Sydney Street, London SW3.</v>
      </c>
      <c r="AK331" s="105" t="str">
        <f t="shared" si="126"/>
        <v>b. 10/09/1992</v>
      </c>
    </row>
    <row r="332" spans="1:37" s="5" customFormat="1" ht="20">
      <c r="A332" s="5">
        <f>VLOOKUP(B332,'Loyd List 1-190 - Edit'!$P$1:$R$219,3,FALSE)</f>
        <v>66</v>
      </c>
      <c r="B332" s="5">
        <f t="shared" si="140"/>
        <v>88</v>
      </c>
      <c r="C332" s="157" t="s">
        <v>1450</v>
      </c>
      <c r="D332" s="6" t="s">
        <v>1447</v>
      </c>
      <c r="E332" s="156" t="s">
        <v>919</v>
      </c>
      <c r="F332" s="5" t="s">
        <v>917</v>
      </c>
      <c r="I332" s="5">
        <f t="shared" si="144"/>
        <v>1994</v>
      </c>
      <c r="J332" s="5" t="str">
        <f t="shared" si="141"/>
        <v/>
      </c>
      <c r="K332" s="152"/>
      <c r="L332" s="7" t="str">
        <f t="shared" si="138"/>
        <v>06/06/1994</v>
      </c>
      <c r="M332" s="8">
        <v>34491</v>
      </c>
      <c r="N332" s="7"/>
      <c r="O332" s="7"/>
      <c r="P332" s="181" t="str">
        <f t="shared" si="116"/>
        <v/>
      </c>
      <c r="Q332" s="153" t="str">
        <f t="shared" si="143"/>
        <v>88ac</v>
      </c>
      <c r="R332" s="180" t="str">
        <f t="shared" si="117"/>
        <v/>
      </c>
      <c r="S332" s="25" t="s">
        <v>3245</v>
      </c>
      <c r="T332" s="5">
        <f t="shared" si="118"/>
        <v>8</v>
      </c>
      <c r="U332" s="5">
        <f t="shared" si="119"/>
        <v>5</v>
      </c>
      <c r="V332" s="5">
        <f>VLOOKUP(B332,'Loyd List 1-190 - Edit'!$A$2:$B$220,2,FALSE)</f>
        <v>5</v>
      </c>
      <c r="W332" s="155">
        <f t="shared" si="120"/>
        <v>3</v>
      </c>
      <c r="X332" s="105"/>
      <c r="Y332" s="105"/>
      <c r="Z332" s="164" t="s">
        <v>2601</v>
      </c>
      <c r="AA332" s="6">
        <v>182</v>
      </c>
      <c r="AB332" s="5">
        <f t="shared" si="139"/>
        <v>40</v>
      </c>
      <c r="AC332" s="5">
        <f t="shared" si="128"/>
        <v>3040</v>
      </c>
      <c r="AD332" s="97" t="str">
        <f t="shared" si="121"/>
        <v>88acb</v>
      </c>
      <c r="AE332" s="5" t="str">
        <f t="shared" si="122"/>
        <v>Timothy Charles  STIRRUP (1994 - )</v>
      </c>
      <c r="AF332" s="5" t="str">
        <f t="shared" si="123"/>
        <v>Timothy STIRRUP (8th &amp; 88)</v>
      </c>
      <c r="AG332" s="110" t="str">
        <f t="shared" si="124"/>
        <v>Male</v>
      </c>
      <c r="AH332" s="5" t="str">
        <f t="shared" si="142"/>
        <v>8th</v>
      </c>
      <c r="AI332" s="5" t="str">
        <f t="shared" si="145"/>
        <v>Unmarried</v>
      </c>
      <c r="AJ332" s="105" t="str">
        <f t="shared" si="129"/>
        <v>Male. b. 06/06/1994 Baptised at St Luke’s, Sydney Street, London SW3.</v>
      </c>
      <c r="AK332" s="105" t="str">
        <f t="shared" si="126"/>
        <v>b. 06/06/1994</v>
      </c>
    </row>
    <row r="333" spans="1:37" s="5" customFormat="1" ht="20">
      <c r="A333" s="5">
        <f>VLOOKUP(B333,'Loyd List 1-190 - Edit'!$P$1:$R$219,3,FALSE)</f>
        <v>66</v>
      </c>
      <c r="B333" s="5">
        <f t="shared" si="140"/>
        <v>88</v>
      </c>
      <c r="C333" s="157" t="s">
        <v>1451</v>
      </c>
      <c r="D333" s="6" t="s">
        <v>1447</v>
      </c>
      <c r="E333" s="156" t="s">
        <v>1448</v>
      </c>
      <c r="F333" s="5" t="s">
        <v>798</v>
      </c>
      <c r="I333" s="5">
        <f t="shared" si="144"/>
        <v>1997</v>
      </c>
      <c r="J333" s="5" t="str">
        <f t="shared" si="141"/>
        <v/>
      </c>
      <c r="K333" s="152"/>
      <c r="L333" s="7" t="str">
        <f t="shared" si="138"/>
        <v>14/04/1997</v>
      </c>
      <c r="M333" s="8">
        <v>35534</v>
      </c>
      <c r="N333" s="7"/>
      <c r="O333" s="7"/>
      <c r="P333" s="181" t="str">
        <f t="shared" si="116"/>
        <v/>
      </c>
      <c r="Q333" s="153" t="str">
        <f t="shared" si="143"/>
        <v>88ac</v>
      </c>
      <c r="R333" s="180" t="str">
        <f t="shared" si="117"/>
        <v/>
      </c>
      <c r="S333" s="25" t="s">
        <v>3244</v>
      </c>
      <c r="T333" s="5">
        <f t="shared" si="118"/>
        <v>8</v>
      </c>
      <c r="U333" s="5">
        <f t="shared" si="119"/>
        <v>5</v>
      </c>
      <c r="V333" s="5">
        <f>VLOOKUP(B333,'Loyd List 1-190 - Edit'!$A$2:$B$220,2,FALSE)</f>
        <v>5</v>
      </c>
      <c r="W333" s="155">
        <f t="shared" si="120"/>
        <v>3</v>
      </c>
      <c r="X333" s="105"/>
      <c r="Y333" s="105"/>
      <c r="Z333" s="164" t="s">
        <v>2601</v>
      </c>
      <c r="AA333" s="6">
        <v>183</v>
      </c>
      <c r="AB333" s="5">
        <f t="shared" si="139"/>
        <v>41</v>
      </c>
      <c r="AC333" s="5">
        <f t="shared" si="128"/>
        <v>3041</v>
      </c>
      <c r="AD333" s="97" t="str">
        <f t="shared" si="121"/>
        <v>88acc</v>
      </c>
      <c r="AE333" s="5" t="str">
        <f t="shared" si="122"/>
        <v>Isabelle Diana  STIRRUP (1997 - )</v>
      </c>
      <c r="AF333" s="5" t="str">
        <f t="shared" si="123"/>
        <v>Isabelle STIRRUP (8th &amp; 88)</v>
      </c>
      <c r="AG333" s="110" t="str">
        <f t="shared" si="124"/>
        <v>Female</v>
      </c>
      <c r="AH333" s="5" t="str">
        <f t="shared" si="142"/>
        <v>8th</v>
      </c>
      <c r="AI333" s="5" t="str">
        <f t="shared" si="145"/>
        <v>Unmarried</v>
      </c>
      <c r="AJ333" s="105" t="str">
        <f t="shared" si="129"/>
        <v>Female. b. 14/04/1997 Baptised at St Luke’s, Sydney Street, London SW3.</v>
      </c>
      <c r="AK333" s="105" t="str">
        <f t="shared" si="126"/>
        <v>b. 14/04/1997</v>
      </c>
    </row>
    <row r="334" spans="1:37" s="5" customFormat="1" ht="20">
      <c r="A334" s="5">
        <f>VLOOKUP(B334,'Loyd List 1-190 - Edit'!$P$1:$R$219,3,FALSE)</f>
        <v>66</v>
      </c>
      <c r="B334" s="5">
        <f t="shared" si="140"/>
        <v>88</v>
      </c>
      <c r="C334" s="157" t="s">
        <v>1455</v>
      </c>
      <c r="D334" s="6" t="s">
        <v>1454</v>
      </c>
      <c r="E334" s="156" t="s">
        <v>938</v>
      </c>
      <c r="F334" s="5" t="s">
        <v>876</v>
      </c>
      <c r="I334" s="5">
        <f t="shared" si="144"/>
        <v>1992</v>
      </c>
      <c r="J334" s="5" t="str">
        <f t="shared" si="141"/>
        <v/>
      </c>
      <c r="K334" s="152"/>
      <c r="L334" s="7" t="str">
        <f t="shared" si="138"/>
        <v>04/08/1992</v>
      </c>
      <c r="M334" s="8">
        <v>33820</v>
      </c>
      <c r="N334" s="7"/>
      <c r="O334" s="7"/>
      <c r="P334" s="181" t="str">
        <f t="shared" si="116"/>
        <v/>
      </c>
      <c r="Q334" s="153" t="str">
        <f t="shared" si="143"/>
        <v>88ad</v>
      </c>
      <c r="R334" s="180" t="str">
        <f t="shared" si="117"/>
        <v/>
      </c>
      <c r="S334" s="25" t="s">
        <v>3245</v>
      </c>
      <c r="T334" s="5">
        <f t="shared" si="118"/>
        <v>8</v>
      </c>
      <c r="U334" s="5">
        <f t="shared" si="119"/>
        <v>5</v>
      </c>
      <c r="V334" s="5">
        <f>VLOOKUP(B334,'Loyd List 1-190 - Edit'!$A$2:$B$220,2,FALSE)</f>
        <v>5</v>
      </c>
      <c r="W334" s="155">
        <f t="shared" si="120"/>
        <v>3</v>
      </c>
      <c r="X334" s="105"/>
      <c r="Y334" s="105"/>
      <c r="Z334" s="164" t="s">
        <v>2605</v>
      </c>
      <c r="AA334" s="6">
        <v>185</v>
      </c>
      <c r="AB334" s="5">
        <f t="shared" si="139"/>
        <v>42</v>
      </c>
      <c r="AC334" s="5">
        <f t="shared" si="128"/>
        <v>3042</v>
      </c>
      <c r="AD334" s="97" t="str">
        <f t="shared" si="121"/>
        <v>88ada</v>
      </c>
      <c r="AE334" s="5" t="str">
        <f t="shared" si="122"/>
        <v>Sophie Charlotte  COLE (1992 - )</v>
      </c>
      <c r="AF334" s="5" t="str">
        <f t="shared" si="123"/>
        <v>Sophie COLE (8th &amp; 88)</v>
      </c>
      <c r="AG334" s="110" t="str">
        <f t="shared" si="124"/>
        <v>Male</v>
      </c>
      <c r="AH334" s="5" t="str">
        <f t="shared" si="142"/>
        <v>8th</v>
      </c>
      <c r="AI334" s="5" t="str">
        <f t="shared" si="145"/>
        <v>Unmarried</v>
      </c>
      <c r="AJ334" s="105" t="str">
        <f t="shared" si="129"/>
        <v>Male. b. 04/08/1992 Baptised May 1993 in Edinburgh.</v>
      </c>
      <c r="AK334" s="105" t="str">
        <f t="shared" si="126"/>
        <v>b. 04/08/1992</v>
      </c>
    </row>
    <row r="335" spans="1:37" s="5" customFormat="1" ht="20">
      <c r="A335" s="5">
        <f>VLOOKUP(B335,'Loyd List 1-190 - Edit'!$P$1:$R$219,3,FALSE)</f>
        <v>66</v>
      </c>
      <c r="B335" s="5">
        <f t="shared" si="140"/>
        <v>88</v>
      </c>
      <c r="C335" s="157" t="s">
        <v>1456</v>
      </c>
      <c r="D335" s="6" t="s">
        <v>1454</v>
      </c>
      <c r="E335" s="156" t="s">
        <v>896</v>
      </c>
      <c r="F335" s="5" t="s">
        <v>918</v>
      </c>
      <c r="I335" s="5">
        <f t="shared" si="144"/>
        <v>1994</v>
      </c>
      <c r="J335" s="5" t="str">
        <f t="shared" si="141"/>
        <v/>
      </c>
      <c r="K335" s="152"/>
      <c r="L335" s="7" t="str">
        <f t="shared" si="138"/>
        <v>15/03/1994</v>
      </c>
      <c r="M335" s="8">
        <v>34408</v>
      </c>
      <c r="N335" s="7"/>
      <c r="O335" s="7"/>
      <c r="P335" s="181" t="str">
        <f t="shared" si="116"/>
        <v/>
      </c>
      <c r="Q335" s="153" t="str">
        <f t="shared" si="143"/>
        <v>88ad</v>
      </c>
      <c r="R335" s="180" t="str">
        <f t="shared" si="117"/>
        <v/>
      </c>
      <c r="S335" s="25" t="s">
        <v>3244</v>
      </c>
      <c r="T335" s="5">
        <f t="shared" si="118"/>
        <v>8</v>
      </c>
      <c r="U335" s="5">
        <f t="shared" si="119"/>
        <v>5</v>
      </c>
      <c r="V335" s="5">
        <f>VLOOKUP(B335,'Loyd List 1-190 - Edit'!$A$2:$B$220,2,FALSE)</f>
        <v>5</v>
      </c>
      <c r="W335" s="155">
        <f t="shared" si="120"/>
        <v>3</v>
      </c>
      <c r="X335" s="105"/>
      <c r="Y335" s="105"/>
      <c r="Z335" s="164" t="s">
        <v>2606</v>
      </c>
      <c r="AA335" s="6">
        <v>186</v>
      </c>
      <c r="AB335" s="5">
        <f t="shared" si="139"/>
        <v>43</v>
      </c>
      <c r="AC335" s="5">
        <f t="shared" si="128"/>
        <v>3043</v>
      </c>
      <c r="AD335" s="97" t="str">
        <f t="shared" si="121"/>
        <v>88adb</v>
      </c>
      <c r="AE335" s="5" t="str">
        <f t="shared" si="122"/>
        <v>Patrick James  COLE (1994 - )</v>
      </c>
      <c r="AF335" s="5" t="str">
        <f t="shared" si="123"/>
        <v>Patrick COLE (8th &amp; 88)</v>
      </c>
      <c r="AG335" s="110" t="str">
        <f t="shared" si="124"/>
        <v>Female</v>
      </c>
      <c r="AH335" s="5" t="str">
        <f t="shared" si="142"/>
        <v>8th</v>
      </c>
      <c r="AI335" s="5" t="str">
        <f t="shared" si="145"/>
        <v>Unmarried</v>
      </c>
      <c r="AJ335" s="105" t="str">
        <f t="shared" si="129"/>
        <v>Female. b. 15/03/1994 Baptised Jan 1995 in Edinburgh.</v>
      </c>
      <c r="AK335" s="105" t="str">
        <f t="shared" si="126"/>
        <v>b. 15/03/1994</v>
      </c>
    </row>
    <row r="336" spans="1:37" s="5" customFormat="1" ht="20">
      <c r="A336" s="5">
        <f>VLOOKUP(B336,'Loyd List 1-190 - Edit'!$P$1:$R$219,3,FALSE)</f>
        <v>54</v>
      </c>
      <c r="B336" s="5">
        <f t="shared" si="140"/>
        <v>92</v>
      </c>
      <c r="C336" s="157" t="s">
        <v>3748</v>
      </c>
      <c r="D336" s="6" t="s">
        <v>1494</v>
      </c>
      <c r="E336" s="156" t="s">
        <v>3750</v>
      </c>
      <c r="F336" s="5" t="s">
        <v>891</v>
      </c>
      <c r="I336" s="5">
        <f t="shared" si="144"/>
        <v>2016</v>
      </c>
      <c r="J336" s="5" t="str">
        <f t="shared" si="141"/>
        <v/>
      </c>
      <c r="K336" s="152"/>
      <c r="L336" s="7" t="str">
        <f t="shared" si="138"/>
        <v>02/07/2016</v>
      </c>
      <c r="M336" s="8">
        <v>42553</v>
      </c>
      <c r="N336" s="7"/>
      <c r="O336" s="7"/>
      <c r="P336" s="181"/>
      <c r="Q336" s="153" t="str">
        <f t="shared" si="143"/>
        <v>92aa</v>
      </c>
      <c r="R336" s="180"/>
      <c r="S336" s="25" t="s">
        <v>3245</v>
      </c>
      <c r="T336" s="5">
        <f>IF(B336&lt;10,V336+U336-1,IF(AND(B336&gt;=10,B336&lt;=99),V336+U336-2,V336+U336-3))</f>
        <v>8</v>
      </c>
      <c r="U336" s="5">
        <f>LEN(C336)</f>
        <v>5</v>
      </c>
      <c r="V336" s="5">
        <f>VLOOKUP(B336,'Loyd List 1-190 - Edit'!$A$2:$B$220,2,FALSE)</f>
        <v>5</v>
      </c>
      <c r="W336" s="155">
        <f>IF(LEN(C336)-IF(B336&lt;10,1,IF(AND(B336&gt;9,B336&lt;100),2,3))=1,1,IF(LEN(C336)-IF(B336&lt;10,1,IF(AND(B336&gt;9,B336&lt;100),2,3))=0,"SELF",LEN(C336)-IF(B336&lt;10,1,IF(AND(B336&gt;9,B336&lt;100),2,3))))</f>
        <v>3</v>
      </c>
      <c r="X336" s="105"/>
      <c r="Y336" s="105"/>
      <c r="Z336" s="164"/>
      <c r="AA336" s="6"/>
      <c r="AB336" s="5">
        <f t="shared" si="139"/>
        <v>44</v>
      </c>
      <c r="AC336" s="5">
        <f t="shared" si="128"/>
        <v>3044</v>
      </c>
      <c r="AD336" s="97" t="str">
        <f t="shared" si="121"/>
        <v>92aaa</v>
      </c>
      <c r="AE336" s="5" t="str">
        <f>_xlfn.CONCAT(E336," ",F336," ",G336," ",D336," (",I336," - ",J336,")")</f>
        <v>Jake Michael  TATTON-BROWN (2016 - )</v>
      </c>
      <c r="AF336" s="5" t="str">
        <f>IF(H336="",_xlfn.CONCAT(E336," ",D336," (",AH336," &amp; ",B336,")"),_xlfn.CONCAT(H336," ",D336," (",AH336," &amp; ",B336,")"))</f>
        <v>Jake TATTON-BROWN (8th &amp; 92)</v>
      </c>
      <c r="AG336" s="110" t="str">
        <f>S336</f>
        <v>Male</v>
      </c>
      <c r="AH336" s="5" t="str">
        <f>VLOOKUP(T336,$AQ$2:$AS$10,3,FALSE)</f>
        <v>8th</v>
      </c>
      <c r="AI336" s="5" t="str">
        <f>IF(X336="","Unmarried",IF(AG336="Male",_xlfn.CONCAT("Wife: ",X336,". ",Y336),_xlfn.CONCAT("Husband: ",X336,". ",Y336)))</f>
        <v>Unmarried</v>
      </c>
      <c r="AJ336" s="105" t="str">
        <f>IF(Z336="",_xlfn.CONCAT(AG336,". ",AK336),_xlfn.CONCAT(AG336,". ",AK336," ",Z336))</f>
        <v>Male. b. 02/07/2016</v>
      </c>
      <c r="AK336" s="105" t="str">
        <f>_xlfn.CONCAT(IF(L336="","b &amp; d dates unknown.",_xlfn.CONCAT("b. ",L336)),IF(P336="","",_xlfn.CONCAT(", d. ",P336,".")))</f>
        <v>b. 02/07/2016</v>
      </c>
    </row>
    <row r="337" spans="1:37" s="5" customFormat="1" ht="20">
      <c r="A337" s="5">
        <f>VLOOKUP(B337,'Loyd List 1-190 - Edit'!$P$1:$R$219,3,FALSE)</f>
        <v>54</v>
      </c>
      <c r="B337" s="5">
        <f t="shared" si="140"/>
        <v>92</v>
      </c>
      <c r="C337" s="157" t="s">
        <v>3749</v>
      </c>
      <c r="D337" s="6" t="s">
        <v>1494</v>
      </c>
      <c r="E337" s="156" t="s">
        <v>3751</v>
      </c>
      <c r="F337" s="5" t="s">
        <v>3752</v>
      </c>
      <c r="I337" s="5">
        <f t="shared" si="144"/>
        <v>2016</v>
      </c>
      <c r="J337" s="5" t="str">
        <f t="shared" si="141"/>
        <v/>
      </c>
      <c r="K337" s="152"/>
      <c r="L337" s="7" t="str">
        <f t="shared" si="138"/>
        <v>08/07/2016</v>
      </c>
      <c r="M337" s="8">
        <v>42559</v>
      </c>
      <c r="N337" s="7"/>
      <c r="O337" s="7"/>
      <c r="P337" s="181"/>
      <c r="Q337" s="153" t="str">
        <f t="shared" si="143"/>
        <v>92aa</v>
      </c>
      <c r="R337" s="180"/>
      <c r="S337" s="25" t="s">
        <v>3245</v>
      </c>
      <c r="T337" s="5">
        <f>IF(B337&lt;10,V337+U337-1,IF(AND(B337&gt;=10,B337&lt;=99),V337+U337-2,V337+U337-3))</f>
        <v>8</v>
      </c>
      <c r="U337" s="5">
        <f>LEN(C337)</f>
        <v>5</v>
      </c>
      <c r="V337" s="5">
        <f>VLOOKUP(B337,'Loyd List 1-190 - Edit'!$A$2:$B$220,2,FALSE)</f>
        <v>5</v>
      </c>
      <c r="W337" s="155">
        <f>IF(LEN(C337)-IF(B337&lt;10,1,IF(AND(B337&gt;9,B337&lt;100),2,3))=1,1,IF(LEN(C337)-IF(B337&lt;10,1,IF(AND(B337&gt;9,B337&lt;100),2,3))=0,"SELF",LEN(C337)-IF(B337&lt;10,1,IF(AND(B337&gt;9,B337&lt;100),2,3))))</f>
        <v>3</v>
      </c>
      <c r="X337" s="105"/>
      <c r="Y337" s="105"/>
      <c r="Z337" s="164"/>
      <c r="AA337" s="6"/>
      <c r="AB337" s="5">
        <f t="shared" si="139"/>
        <v>45</v>
      </c>
      <c r="AC337" s="5">
        <f t="shared" si="128"/>
        <v>3045</v>
      </c>
      <c r="AD337" s="97" t="str">
        <f t="shared" si="121"/>
        <v>92aab</v>
      </c>
      <c r="AE337" s="5" t="str">
        <f>_xlfn.CONCAT(E337," ",F337," ",G337," ",D337," (",I337," - ",J337,")")</f>
        <v>Zachery Finn  TATTON-BROWN (2016 - )</v>
      </c>
      <c r="AF337" s="5" t="str">
        <f>IF(H337="",_xlfn.CONCAT(E337," ",D337," (",AH337," &amp; ",B337,")"),_xlfn.CONCAT(H337," ",D337," (",AH337," &amp; ",B337,")"))</f>
        <v>Zachery TATTON-BROWN (8th &amp; 92)</v>
      </c>
      <c r="AG337" s="110" t="str">
        <f>S337</f>
        <v>Male</v>
      </c>
      <c r="AH337" s="5" t="str">
        <f>VLOOKUP(T337,$AQ$2:$AS$10,3,FALSE)</f>
        <v>8th</v>
      </c>
      <c r="AI337" s="5" t="str">
        <f>IF(X337="","Unmarried",IF(AG337="Male",_xlfn.CONCAT("Wife: ",X337,". ",Y337),_xlfn.CONCAT("Husband: ",X337,". ",Y337)))</f>
        <v>Unmarried</v>
      </c>
      <c r="AJ337" s="105" t="str">
        <f>IF(Z337="",_xlfn.CONCAT(AG337,". ",AK337),_xlfn.CONCAT(AG337,". ",AK337," ",Z337))</f>
        <v>Male. b. 08/07/2016</v>
      </c>
      <c r="AK337" s="105" t="str">
        <f>_xlfn.CONCAT(IF(L337="","b &amp; d dates unknown.",_xlfn.CONCAT("b. ",L337)),IF(P337="","",_xlfn.CONCAT(", d. ",P337,".")))</f>
        <v>b. 08/07/2016</v>
      </c>
    </row>
    <row r="338" spans="1:37" s="5" customFormat="1" ht="20">
      <c r="A338" s="5">
        <f>VLOOKUP(B338,'Loyd List 1-190 - Edit'!$P$1:$R$219,3,FALSE)</f>
        <v>54</v>
      </c>
      <c r="B338" s="5">
        <f t="shared" si="140"/>
        <v>92</v>
      </c>
      <c r="C338" s="157" t="s">
        <v>3756</v>
      </c>
      <c r="D338" s="6" t="s">
        <v>3755</v>
      </c>
      <c r="E338" s="156" t="s">
        <v>3758</v>
      </c>
      <c r="F338" s="5" t="s">
        <v>2257</v>
      </c>
      <c r="G338" s="5" t="s">
        <v>3760</v>
      </c>
      <c r="I338" s="5">
        <f t="shared" si="144"/>
        <v>2014</v>
      </c>
      <c r="J338" s="5" t="str">
        <f t="shared" si="141"/>
        <v/>
      </c>
      <c r="K338" s="152"/>
      <c r="L338" s="7" t="str">
        <f t="shared" si="138"/>
        <v>10/12/2014</v>
      </c>
      <c r="M338" s="8">
        <v>41983</v>
      </c>
      <c r="N338" s="7"/>
      <c r="O338" s="7"/>
      <c r="P338" s="181"/>
      <c r="Q338" s="153" t="str">
        <f t="shared" si="143"/>
        <v>92ac</v>
      </c>
      <c r="R338" s="180"/>
      <c r="S338" s="25" t="s">
        <v>3244</v>
      </c>
      <c r="T338" s="5">
        <f>IF(B338&lt;10,V338+U338-1,IF(AND(B338&gt;=10,B338&lt;=99),V338+U338-2,V338+U338-3))</f>
        <v>8</v>
      </c>
      <c r="U338" s="5">
        <f>LEN(C338)</f>
        <v>5</v>
      </c>
      <c r="V338" s="5">
        <f>VLOOKUP(B338,'Loyd List 1-190 - Edit'!$A$2:$B$220,2,FALSE)</f>
        <v>5</v>
      </c>
      <c r="W338" s="155">
        <f>IF(LEN(C338)-IF(B338&lt;10,1,IF(AND(B338&gt;9,B338&lt;100),2,3))=1,1,IF(LEN(C338)-IF(B338&lt;10,1,IF(AND(B338&gt;9,B338&lt;100),2,3))=0,"SELF",LEN(C338)-IF(B338&lt;10,1,IF(AND(B338&gt;9,B338&lt;100),2,3))))</f>
        <v>3</v>
      </c>
      <c r="X338" s="105"/>
      <c r="Y338" s="105"/>
      <c r="Z338" s="164"/>
      <c r="AA338" s="6"/>
      <c r="AB338" s="5">
        <f t="shared" si="139"/>
        <v>46</v>
      </c>
      <c r="AC338" s="5">
        <f t="shared" si="128"/>
        <v>3046</v>
      </c>
      <c r="AD338" s="97" t="str">
        <f t="shared" si="121"/>
        <v>92aca</v>
      </c>
      <c r="AE338" s="5" t="str">
        <f>_xlfn.CONCAT(E338," ",F338," ",G338," ",D338," (",I338," - ",J338,")")</f>
        <v>Maia Veronica Kaur BATTEY (2014 - )</v>
      </c>
      <c r="AF338" s="5" t="str">
        <f>IF(H338="",_xlfn.CONCAT(E338," ",D338," (",AH338," &amp; ",B338,")"),_xlfn.CONCAT(H338," ",D338," (",AH338," &amp; ",B338,")"))</f>
        <v>Maia BATTEY (8th &amp; 92)</v>
      </c>
      <c r="AG338" s="110" t="str">
        <f>S338</f>
        <v>Female</v>
      </c>
      <c r="AH338" s="5" t="str">
        <f>VLOOKUP(T338,$AQ$2:$AS$10,3,FALSE)</f>
        <v>8th</v>
      </c>
      <c r="AI338" s="5" t="str">
        <f>IF(X338="","Unmarried",IF(AG338="Male",_xlfn.CONCAT("Wife: ",X338,". ",Y338),_xlfn.CONCAT("Husband: ",X338,". ",Y338)))</f>
        <v>Unmarried</v>
      </c>
      <c r="AJ338" s="105" t="str">
        <f>IF(Z338="",_xlfn.CONCAT(AG338,". ",AK338),_xlfn.CONCAT(AG338,". ",AK338," ",Z338))</f>
        <v>Female. b. 10/12/2014</v>
      </c>
      <c r="AK338" s="105" t="str">
        <f>_xlfn.CONCAT(IF(L338="","b &amp; d dates unknown.",_xlfn.CONCAT("b. ",L338)),IF(P338="","",_xlfn.CONCAT(", d. ",P338,".")))</f>
        <v>b. 10/12/2014</v>
      </c>
    </row>
    <row r="339" spans="1:37" s="5" customFormat="1" ht="20">
      <c r="A339" s="5">
        <f>VLOOKUP(B339,'Loyd List 1-190 - Edit'!$P$1:$R$219,3,FALSE)</f>
        <v>54</v>
      </c>
      <c r="B339" s="5">
        <f t="shared" si="140"/>
        <v>92</v>
      </c>
      <c r="C339" s="157" t="s">
        <v>3757</v>
      </c>
      <c r="D339" s="6" t="s">
        <v>3755</v>
      </c>
      <c r="E339" s="156" t="s">
        <v>3759</v>
      </c>
      <c r="F339" s="5" t="s">
        <v>1010</v>
      </c>
      <c r="G339" s="5" t="s">
        <v>937</v>
      </c>
      <c r="I339" s="5">
        <f t="shared" si="144"/>
        <v>2017</v>
      </c>
      <c r="J339" s="5" t="str">
        <f t="shared" si="141"/>
        <v/>
      </c>
      <c r="K339" s="152"/>
      <c r="L339" s="7" t="str">
        <f t="shared" si="138"/>
        <v>21/02/2017</v>
      </c>
      <c r="M339" s="8">
        <v>42787</v>
      </c>
      <c r="N339" s="7"/>
      <c r="O339" s="7"/>
      <c r="P339" s="181"/>
      <c r="Q339" s="153" t="str">
        <f t="shared" si="143"/>
        <v>92ac</v>
      </c>
      <c r="R339" s="180"/>
      <c r="S339" s="25" t="s">
        <v>3244</v>
      </c>
      <c r="T339" s="5">
        <f>IF(B339&lt;10,V339+U339-1,IF(AND(B339&gt;=10,B339&lt;=99),V339+U339-2,V339+U339-3))</f>
        <v>8</v>
      </c>
      <c r="U339" s="5">
        <f>LEN(C339)</f>
        <v>5</v>
      </c>
      <c r="V339" s="5">
        <f>VLOOKUP(B339,'Loyd List 1-190 - Edit'!$A$2:$B$220,2,FALSE)</f>
        <v>5</v>
      </c>
      <c r="W339" s="155">
        <f>IF(LEN(C339)-IF(B339&lt;10,1,IF(AND(B339&gt;9,B339&lt;100),2,3))=1,1,IF(LEN(C339)-IF(B339&lt;10,1,IF(AND(B339&gt;9,B339&lt;100),2,3))=0,"SELF",LEN(C339)-IF(B339&lt;10,1,IF(AND(B339&gt;9,B339&lt;100),2,3))))</f>
        <v>3</v>
      </c>
      <c r="X339" s="105"/>
      <c r="Y339" s="105"/>
      <c r="Z339" s="164"/>
      <c r="AA339" s="6"/>
      <c r="AB339" s="5">
        <f t="shared" si="139"/>
        <v>47</v>
      </c>
      <c r="AC339" s="5">
        <f t="shared" si="128"/>
        <v>3047</v>
      </c>
      <c r="AD339" s="97" t="str">
        <f t="shared" si="121"/>
        <v>92acb</v>
      </c>
      <c r="AE339" s="5" t="str">
        <f>_xlfn.CONCAT(E339," ",F339," ",G339," ",D339," (",I339," - ",J339,")")</f>
        <v>Cara Ann Rose BATTEY (2017 - )</v>
      </c>
      <c r="AF339" s="5" t="str">
        <f>IF(H339="",_xlfn.CONCAT(E339," ",D339," (",AH339," &amp; ",B339,")"),_xlfn.CONCAT(H339," ",D339," (",AH339," &amp; ",B339,")"))</f>
        <v>Cara BATTEY (8th &amp; 92)</v>
      </c>
      <c r="AG339" s="110" t="str">
        <f>S339</f>
        <v>Female</v>
      </c>
      <c r="AH339" s="5" t="str">
        <f>VLOOKUP(T339,$AQ$2:$AS$10,3,FALSE)</f>
        <v>8th</v>
      </c>
      <c r="AI339" s="5" t="str">
        <f>IF(X339="","Unmarried",IF(AG339="Male",_xlfn.CONCAT("Wife: ",X339,". ",Y339),_xlfn.CONCAT("Husband: ",X339,". ",Y339)))</f>
        <v>Unmarried</v>
      </c>
      <c r="AJ339" s="105" t="str">
        <f>IF(Z339="",_xlfn.CONCAT(AG339,". ",AK339),_xlfn.CONCAT(AG339,". ",AK339," ",Z339))</f>
        <v>Female. b. 21/02/2017</v>
      </c>
      <c r="AK339" s="105" t="str">
        <f>_xlfn.CONCAT(IF(L339="","b &amp; d dates unknown.",_xlfn.CONCAT("b. ",L339)),IF(P339="","",_xlfn.CONCAT(", d. ",P339,".")))</f>
        <v>b. 21/02/2017</v>
      </c>
    </row>
    <row r="340" spans="1:37" s="5" customFormat="1" ht="20">
      <c r="A340" s="5">
        <f>VLOOKUP(B340,'Loyd List 1-190 - Edit'!$P$1:$R$219,3,FALSE)</f>
        <v>54</v>
      </c>
      <c r="B340" s="5">
        <f t="shared" si="140"/>
        <v>92</v>
      </c>
      <c r="C340" s="157" t="s">
        <v>1516</v>
      </c>
      <c r="D340" s="6" t="s">
        <v>1513</v>
      </c>
      <c r="E340" s="156" t="s">
        <v>1514</v>
      </c>
      <c r="F340" s="5" t="s">
        <v>1515</v>
      </c>
      <c r="I340" s="5">
        <f t="shared" si="144"/>
        <v>1999</v>
      </c>
      <c r="J340" s="5" t="str">
        <f t="shared" si="141"/>
        <v/>
      </c>
      <c r="K340" s="152"/>
      <c r="L340" s="7" t="str">
        <f t="shared" si="138"/>
        <v>11/03/1999</v>
      </c>
      <c r="M340" s="8">
        <v>36230</v>
      </c>
      <c r="N340" s="7"/>
      <c r="O340" s="7"/>
      <c r="P340" s="181" t="str">
        <f t="shared" si="116"/>
        <v/>
      </c>
      <c r="Q340" s="153" t="str">
        <f t="shared" si="143"/>
        <v>92ba</v>
      </c>
      <c r="R340" s="180" t="str">
        <f t="shared" si="117"/>
        <v/>
      </c>
      <c r="S340" s="25" t="s">
        <v>3244</v>
      </c>
      <c r="T340" s="5">
        <f t="shared" si="118"/>
        <v>8</v>
      </c>
      <c r="U340" s="5">
        <f t="shared" si="119"/>
        <v>5</v>
      </c>
      <c r="V340" s="5">
        <f>VLOOKUP(B340,'Loyd List 1-190 - Edit'!$A$2:$B$220,2,FALSE)</f>
        <v>5</v>
      </c>
      <c r="W340" s="155">
        <f t="shared" si="120"/>
        <v>3</v>
      </c>
      <c r="X340" s="105"/>
      <c r="Y340" s="105"/>
      <c r="Z340" s="164"/>
      <c r="AA340" s="6">
        <v>208</v>
      </c>
      <c r="AB340" s="5">
        <f t="shared" si="139"/>
        <v>48</v>
      </c>
      <c r="AC340" s="5">
        <f t="shared" si="128"/>
        <v>3048</v>
      </c>
      <c r="AD340" s="97" t="str">
        <f t="shared" si="121"/>
        <v>92baa</v>
      </c>
      <c r="AE340" s="5" t="str">
        <f t="shared" si="122"/>
        <v>Octavia Kenya  ANDERSEN (1999 - )</v>
      </c>
      <c r="AF340" s="5" t="str">
        <f t="shared" si="123"/>
        <v>Octavia ANDERSEN (8th &amp; 92)</v>
      </c>
      <c r="AG340" s="110" t="str">
        <f t="shared" si="124"/>
        <v>Female</v>
      </c>
      <c r="AH340" s="5" t="str">
        <f t="shared" si="142"/>
        <v>8th</v>
      </c>
      <c r="AI340" s="5" t="str">
        <f t="shared" si="145"/>
        <v>Unmarried</v>
      </c>
      <c r="AJ340" s="105" t="str">
        <f t="shared" si="129"/>
        <v>Female. b. 11/03/1999</v>
      </c>
      <c r="AK340" s="105" t="str">
        <f t="shared" si="126"/>
        <v>b. 11/03/1999</v>
      </c>
    </row>
    <row r="341" spans="1:37" s="5" customFormat="1" ht="20">
      <c r="A341" s="5">
        <f>VLOOKUP(B341,'Loyd List 1-190 - Edit'!$P$1:$R$219,3,FALSE)</f>
        <v>54</v>
      </c>
      <c r="B341" s="5">
        <f t="shared" si="140"/>
        <v>92</v>
      </c>
      <c r="C341" s="157" t="s">
        <v>3630</v>
      </c>
      <c r="D341" s="6" t="s">
        <v>1513</v>
      </c>
      <c r="E341" s="156" t="s">
        <v>3062</v>
      </c>
      <c r="F341" s="5" t="s">
        <v>1505</v>
      </c>
      <c r="I341" s="5">
        <f t="shared" si="144"/>
        <v>2003</v>
      </c>
      <c r="J341" s="5" t="str">
        <f t="shared" si="141"/>
        <v/>
      </c>
      <c r="K341" s="152"/>
      <c r="L341" s="7" t="str">
        <f t="shared" si="138"/>
        <v>22/06/2003</v>
      </c>
      <c r="M341" s="8">
        <v>37794</v>
      </c>
      <c r="N341" s="7"/>
      <c r="O341" s="7"/>
      <c r="P341" s="181"/>
      <c r="Q341" s="153" t="str">
        <f t="shared" si="143"/>
        <v>92ba</v>
      </c>
      <c r="R341" s="180"/>
      <c r="S341" s="25" t="s">
        <v>3245</v>
      </c>
      <c r="T341" s="5">
        <f t="shared" si="118"/>
        <v>8</v>
      </c>
      <c r="U341" s="5">
        <f t="shared" si="119"/>
        <v>5</v>
      </c>
      <c r="V341" s="5">
        <f>VLOOKUP(B341,'Loyd List 1-190 - Edit'!$A$2:$B$220,2,FALSE)</f>
        <v>5</v>
      </c>
      <c r="W341" s="155">
        <f t="shared" si="120"/>
        <v>3</v>
      </c>
      <c r="X341" s="105"/>
      <c r="Y341" s="105"/>
      <c r="Z341" s="164"/>
      <c r="AA341" s="6"/>
      <c r="AB341" s="5">
        <f t="shared" si="139"/>
        <v>49</v>
      </c>
      <c r="AC341" s="5">
        <f t="shared" si="128"/>
        <v>3049</v>
      </c>
      <c r="AD341" s="97" t="str">
        <f t="shared" si="121"/>
        <v>92bab</v>
      </c>
      <c r="AE341" s="5" t="str">
        <f t="shared" si="122"/>
        <v>Augustus Eden  ANDERSEN (2003 - )</v>
      </c>
      <c r="AF341" s="5" t="str">
        <f t="shared" si="123"/>
        <v>Augustus ANDERSEN (8th &amp; 92)</v>
      </c>
      <c r="AG341" s="110" t="str">
        <f t="shared" si="124"/>
        <v>Male</v>
      </c>
      <c r="AH341" s="5" t="str">
        <f t="shared" si="142"/>
        <v>8th</v>
      </c>
      <c r="AI341" s="5" t="str">
        <f t="shared" si="145"/>
        <v>Unmarried</v>
      </c>
      <c r="AJ341" s="105" t="str">
        <f t="shared" si="129"/>
        <v>Male. b. 22/06/2003</v>
      </c>
      <c r="AK341" s="105" t="str">
        <f t="shared" si="126"/>
        <v>b. 22/06/2003</v>
      </c>
    </row>
    <row r="342" spans="1:37" s="5" customFormat="1" ht="47" customHeight="1">
      <c r="A342" s="5">
        <f>VLOOKUP(B342,'Loyd List 1-190 - Edit'!$P$1:$R$219,3,FALSE)</f>
        <v>54</v>
      </c>
      <c r="B342" s="5">
        <f t="shared" si="140"/>
        <v>92</v>
      </c>
      <c r="C342" s="157" t="s">
        <v>3631</v>
      </c>
      <c r="D342" s="6" t="s">
        <v>1494</v>
      </c>
      <c r="E342" s="156" t="s">
        <v>3634</v>
      </c>
      <c r="F342" s="5" t="s">
        <v>3635</v>
      </c>
      <c r="G342" s="5" t="s">
        <v>1369</v>
      </c>
      <c r="I342" s="5">
        <f t="shared" si="144"/>
        <v>2004</v>
      </c>
      <c r="J342" s="5" t="str">
        <f t="shared" si="141"/>
        <v/>
      </c>
      <c r="K342" s="152"/>
      <c r="L342" s="7" t="str">
        <f t="shared" si="138"/>
        <v>07/10/2004</v>
      </c>
      <c r="M342" s="8">
        <v>38267</v>
      </c>
      <c r="N342" s="7"/>
      <c r="O342" s="7"/>
      <c r="P342" s="181"/>
      <c r="Q342" s="153" t="str">
        <f t="shared" si="143"/>
        <v>92bb</v>
      </c>
      <c r="R342" s="180"/>
      <c r="S342" s="25" t="s">
        <v>3245</v>
      </c>
      <c r="T342" s="5">
        <f t="shared" si="118"/>
        <v>8</v>
      </c>
      <c r="U342" s="5">
        <f t="shared" si="119"/>
        <v>5</v>
      </c>
      <c r="V342" s="5">
        <f>VLOOKUP(B342,'Loyd List 1-190 - Edit'!$A$2:$B$220,2,FALSE)</f>
        <v>5</v>
      </c>
      <c r="W342" s="155">
        <f t="shared" si="120"/>
        <v>3</v>
      </c>
      <c r="X342" s="105"/>
      <c r="Y342" s="105"/>
      <c r="Z342" s="164"/>
      <c r="AA342" s="6"/>
      <c r="AB342" s="5">
        <f t="shared" si="139"/>
        <v>50</v>
      </c>
      <c r="AC342" s="5">
        <f t="shared" si="128"/>
        <v>3050</v>
      </c>
      <c r="AD342" s="97" t="str">
        <f t="shared" si="121"/>
        <v>92bba</v>
      </c>
      <c r="AE342" s="5" t="str">
        <f t="shared" si="122"/>
        <v>Felix Edgar Oliver TATTON-BROWN (2004 - )</v>
      </c>
      <c r="AF342" s="5" t="str">
        <f t="shared" si="123"/>
        <v>Felix TATTON-BROWN (8th &amp; 92)</v>
      </c>
      <c r="AG342" s="110" t="str">
        <f t="shared" si="124"/>
        <v>Male</v>
      </c>
      <c r="AH342" s="5" t="str">
        <f t="shared" si="142"/>
        <v>8th</v>
      </c>
      <c r="AI342" s="5" t="str">
        <f t="shared" si="145"/>
        <v>Unmarried</v>
      </c>
      <c r="AJ342" s="105" t="str">
        <f t="shared" si="129"/>
        <v>Male. b. 07/10/2004</v>
      </c>
      <c r="AK342" s="105" t="str">
        <f t="shared" si="126"/>
        <v>b. 07/10/2004</v>
      </c>
    </row>
    <row r="343" spans="1:37" s="5" customFormat="1" ht="20">
      <c r="A343" s="5">
        <f>VLOOKUP(B343,'Loyd List 1-190 - Edit'!$P$1:$R$219,3,FALSE)</f>
        <v>54</v>
      </c>
      <c r="B343" s="5">
        <f t="shared" si="140"/>
        <v>92</v>
      </c>
      <c r="C343" s="157" t="s">
        <v>3632</v>
      </c>
      <c r="D343" s="6" t="s">
        <v>1494</v>
      </c>
      <c r="E343" s="156" t="s">
        <v>3636</v>
      </c>
      <c r="F343" s="5" t="s">
        <v>3637</v>
      </c>
      <c r="G343" s="5" t="s">
        <v>3638</v>
      </c>
      <c r="I343" s="5">
        <f t="shared" si="144"/>
        <v>2004</v>
      </c>
      <c r="J343" s="5" t="str">
        <f t="shared" si="141"/>
        <v/>
      </c>
      <c r="K343" s="152"/>
      <c r="L343" s="7" t="str">
        <f t="shared" si="138"/>
        <v>07/10/2004</v>
      </c>
      <c r="M343" s="8">
        <v>38267</v>
      </c>
      <c r="N343" s="7"/>
      <c r="O343" s="7"/>
      <c r="P343" s="181"/>
      <c r="Q343" s="153" t="str">
        <f t="shared" si="143"/>
        <v>92bb</v>
      </c>
      <c r="R343" s="180"/>
      <c r="S343" s="25" t="s">
        <v>3245</v>
      </c>
      <c r="T343" s="5">
        <f t="shared" ref="T343:T360" si="146">IF(B343&lt;10,V343+U343-1,IF(AND(B343&gt;=10,B343&lt;=99),V343+U343-2,V343+U343-3))</f>
        <v>8</v>
      </c>
      <c r="U343" s="5">
        <f t="shared" ref="U343:U360" si="147">LEN(C343)</f>
        <v>5</v>
      </c>
      <c r="V343" s="5">
        <f>VLOOKUP(B343,'Loyd List 1-190 - Edit'!$A$2:$B$220,2,FALSE)</f>
        <v>5</v>
      </c>
      <c r="W343" s="155">
        <f t="shared" ref="W343:W360" si="148">IF(LEN(C343)-IF(B343&lt;10,1,IF(AND(B343&gt;9,B343&lt;100),2,3))=1,1,IF(LEN(C343)-IF(B343&lt;10,1,IF(AND(B343&gt;9,B343&lt;100),2,3))=0,"SELF",LEN(C343)-IF(B343&lt;10,1,IF(AND(B343&gt;9,B343&lt;100),2,3))))</f>
        <v>3</v>
      </c>
      <c r="X343" s="105"/>
      <c r="Y343" s="105"/>
      <c r="Z343" s="164"/>
      <c r="AA343" s="6"/>
      <c r="AB343" s="5">
        <f t="shared" si="139"/>
        <v>51</v>
      </c>
      <c r="AC343" s="5">
        <f t="shared" si="128"/>
        <v>3051</v>
      </c>
      <c r="AD343" s="97" t="str">
        <f t="shared" si="121"/>
        <v>92bbb</v>
      </c>
      <c r="AE343" s="5" t="str">
        <f t="shared" si="122"/>
        <v>Marius Cesar Fabien TATTON-BROWN (2004 - )</v>
      </c>
      <c r="AF343" s="5" t="str">
        <f t="shared" si="123"/>
        <v>Marius TATTON-BROWN (8th &amp; 92)</v>
      </c>
      <c r="AG343" s="110" t="str">
        <f t="shared" si="124"/>
        <v>Male</v>
      </c>
      <c r="AH343" s="5" t="str">
        <f t="shared" si="142"/>
        <v>8th</v>
      </c>
      <c r="AI343" s="5" t="str">
        <f t="shared" si="145"/>
        <v>Unmarried</v>
      </c>
      <c r="AJ343" s="105" t="str">
        <f t="shared" si="129"/>
        <v>Male. b. 07/10/2004</v>
      </c>
      <c r="AK343" s="105" t="str">
        <f t="shared" si="126"/>
        <v>b. 07/10/2004</v>
      </c>
    </row>
    <row r="344" spans="1:37" s="5" customFormat="1" ht="20">
      <c r="A344" s="5">
        <f>VLOOKUP(B344,'Loyd List 1-190 - Edit'!$P$1:$R$219,3,FALSE)</f>
        <v>54</v>
      </c>
      <c r="B344" s="5">
        <f t="shared" si="140"/>
        <v>92</v>
      </c>
      <c r="C344" s="157" t="s">
        <v>3633</v>
      </c>
      <c r="D344" s="6" t="s">
        <v>1494</v>
      </c>
      <c r="E344" s="156" t="s">
        <v>951</v>
      </c>
      <c r="F344" s="5" t="s">
        <v>800</v>
      </c>
      <c r="I344" s="5">
        <f t="shared" si="144"/>
        <v>2008</v>
      </c>
      <c r="J344" s="5" t="str">
        <f t="shared" si="141"/>
        <v/>
      </c>
      <c r="K344" s="152"/>
      <c r="L344" s="7" t="str">
        <f t="shared" si="138"/>
        <v>12/09/2008</v>
      </c>
      <c r="M344" s="8">
        <v>39703</v>
      </c>
      <c r="N344" s="7"/>
      <c r="O344" s="7"/>
      <c r="P344" s="181"/>
      <c r="Q344" s="153" t="str">
        <f t="shared" si="143"/>
        <v>92bb</v>
      </c>
      <c r="R344" s="180"/>
      <c r="S344" s="25" t="s">
        <v>3244</v>
      </c>
      <c r="T344" s="5">
        <f t="shared" si="146"/>
        <v>8</v>
      </c>
      <c r="U344" s="5">
        <f t="shared" si="147"/>
        <v>5</v>
      </c>
      <c r="V344" s="5">
        <f>VLOOKUP(B344,'Loyd List 1-190 - Edit'!$A$2:$B$220,2,FALSE)</f>
        <v>5</v>
      </c>
      <c r="W344" s="155">
        <f t="shared" si="148"/>
        <v>3</v>
      </c>
      <c r="X344" s="105"/>
      <c r="Y344" s="105"/>
      <c r="Z344" s="164"/>
      <c r="AA344" s="6"/>
      <c r="AB344" s="5">
        <f t="shared" si="139"/>
        <v>52</v>
      </c>
      <c r="AC344" s="5">
        <f t="shared" si="128"/>
        <v>3052</v>
      </c>
      <c r="AD344" s="97" t="str">
        <f t="shared" si="121"/>
        <v>92bbc</v>
      </c>
      <c r="AE344" s="5" t="str">
        <f t="shared" si="122"/>
        <v>Poppy May  TATTON-BROWN (2008 - )</v>
      </c>
      <c r="AF344" s="5" t="str">
        <f t="shared" si="123"/>
        <v>Poppy TATTON-BROWN (8th &amp; 92)</v>
      </c>
      <c r="AG344" s="110" t="str">
        <f t="shared" si="124"/>
        <v>Female</v>
      </c>
      <c r="AH344" s="5" t="str">
        <f t="shared" si="142"/>
        <v>8th</v>
      </c>
      <c r="AI344" s="5" t="str">
        <f t="shared" si="145"/>
        <v>Unmarried</v>
      </c>
      <c r="AJ344" s="105" t="str">
        <f t="shared" si="129"/>
        <v>Female. b. 12/09/2008</v>
      </c>
      <c r="AK344" s="105" t="str">
        <f t="shared" si="126"/>
        <v>b. 12/09/2008</v>
      </c>
    </row>
    <row r="345" spans="1:37" s="5" customFormat="1" ht="57" customHeight="1">
      <c r="A345" s="5">
        <f>VLOOKUP(B345,'Loyd List 1-190 - Edit'!$P$1:$R$219,3,FALSE)</f>
        <v>54</v>
      </c>
      <c r="B345" s="5">
        <f t="shared" si="140"/>
        <v>92</v>
      </c>
      <c r="C345" s="157" t="s">
        <v>3642</v>
      </c>
      <c r="D345" s="6" t="s">
        <v>3643</v>
      </c>
      <c r="E345" s="156" t="s">
        <v>937</v>
      </c>
      <c r="F345" s="5" t="s">
        <v>921</v>
      </c>
      <c r="I345" s="5">
        <f t="shared" si="144"/>
        <v>2014</v>
      </c>
      <c r="J345" s="5" t="str">
        <f t="shared" si="141"/>
        <v/>
      </c>
      <c r="K345" s="152"/>
      <c r="L345" s="7" t="str">
        <f t="shared" si="138"/>
        <v>18/04/2014</v>
      </c>
      <c r="M345" s="8">
        <v>41747</v>
      </c>
      <c r="N345" s="7"/>
      <c r="O345" s="7"/>
      <c r="P345" s="181"/>
      <c r="Q345" s="153" t="str">
        <f t="shared" si="143"/>
        <v>92bc</v>
      </c>
      <c r="R345" s="180"/>
      <c r="S345" s="25" t="s">
        <v>3244</v>
      </c>
      <c r="T345" s="5">
        <f t="shared" si="146"/>
        <v>8</v>
      </c>
      <c r="U345" s="5">
        <f t="shared" si="147"/>
        <v>5</v>
      </c>
      <c r="V345" s="5">
        <f>VLOOKUP(B345,'Loyd List 1-190 - Edit'!$A$2:$B$220,2,FALSE)</f>
        <v>5</v>
      </c>
      <c r="W345" s="155">
        <f t="shared" si="148"/>
        <v>3</v>
      </c>
      <c r="X345" s="105"/>
      <c r="Y345" s="105"/>
      <c r="Z345" s="164"/>
      <c r="AA345" s="6"/>
      <c r="AB345" s="5">
        <f t="shared" si="139"/>
        <v>53</v>
      </c>
      <c r="AC345" s="5">
        <f t="shared" si="128"/>
        <v>3053</v>
      </c>
      <c r="AD345" s="97" t="str">
        <f t="shared" si="121"/>
        <v>92bca</v>
      </c>
      <c r="AE345" s="5" t="str">
        <f t="shared" si="122"/>
        <v>Rose Henrietta  BOURNE (2014 - )</v>
      </c>
      <c r="AF345" s="5" t="str">
        <f t="shared" si="123"/>
        <v>Rose BOURNE (8th &amp; 92)</v>
      </c>
      <c r="AG345" s="110" t="str">
        <f t="shared" si="124"/>
        <v>Female</v>
      </c>
      <c r="AH345" s="5" t="str">
        <f t="shared" si="142"/>
        <v>8th</v>
      </c>
      <c r="AI345" s="5" t="str">
        <f t="shared" si="145"/>
        <v>Unmarried</v>
      </c>
      <c r="AJ345" s="105" t="str">
        <f t="shared" si="129"/>
        <v>Female. b. 18/04/2014</v>
      </c>
      <c r="AK345" s="105" t="str">
        <f t="shared" si="126"/>
        <v>b. 18/04/2014</v>
      </c>
    </row>
    <row r="346" spans="1:37" s="5" customFormat="1" ht="20">
      <c r="A346" s="5">
        <f>VLOOKUP(B346,'Loyd List 1-190 - Edit'!$P$1:$R$219,3,FALSE)</f>
        <v>54</v>
      </c>
      <c r="B346" s="5">
        <f t="shared" si="140"/>
        <v>92</v>
      </c>
      <c r="C346" s="157" t="s">
        <v>3644</v>
      </c>
      <c r="D346" s="6" t="s">
        <v>3643</v>
      </c>
      <c r="E346" s="156" t="s">
        <v>818</v>
      </c>
      <c r="F346" s="5" t="s">
        <v>1390</v>
      </c>
      <c r="I346" s="5">
        <f t="shared" si="144"/>
        <v>2016</v>
      </c>
      <c r="J346" s="5" t="str">
        <f t="shared" si="141"/>
        <v/>
      </c>
      <c r="K346" s="152"/>
      <c r="L346" s="7" t="str">
        <f t="shared" si="138"/>
        <v>30/01/2016</v>
      </c>
      <c r="M346" s="8">
        <v>42399</v>
      </c>
      <c r="N346" s="7"/>
      <c r="O346" s="7"/>
      <c r="P346" s="181"/>
      <c r="Q346" s="153" t="str">
        <f t="shared" si="143"/>
        <v>92bc</v>
      </c>
      <c r="R346" s="180"/>
      <c r="S346" s="25" t="s">
        <v>3245</v>
      </c>
      <c r="T346" s="5">
        <f t="shared" si="146"/>
        <v>8</v>
      </c>
      <c r="U346" s="5">
        <f t="shared" si="147"/>
        <v>5</v>
      </c>
      <c r="V346" s="5">
        <f>VLOOKUP(B346,'Loyd List 1-190 - Edit'!$A$2:$B$220,2,FALSE)</f>
        <v>5</v>
      </c>
      <c r="W346" s="155">
        <f t="shared" si="148"/>
        <v>3</v>
      </c>
      <c r="X346" s="105"/>
      <c r="Y346" s="105"/>
      <c r="Z346" s="164"/>
      <c r="AA346" s="6"/>
      <c r="AB346" s="5">
        <f t="shared" si="139"/>
        <v>54</v>
      </c>
      <c r="AC346" s="5">
        <f t="shared" si="128"/>
        <v>3054</v>
      </c>
      <c r="AD346" s="97" t="str">
        <f t="shared" si="121"/>
        <v>92bcb</v>
      </c>
      <c r="AE346" s="5" t="str">
        <f t="shared" si="122"/>
        <v>Basil Louis  BOURNE (2016 - )</v>
      </c>
      <c r="AF346" s="5" t="str">
        <f t="shared" si="123"/>
        <v>Basil BOURNE (8th &amp; 92)</v>
      </c>
      <c r="AG346" s="110" t="str">
        <f t="shared" si="124"/>
        <v>Male</v>
      </c>
      <c r="AH346" s="5" t="str">
        <f t="shared" si="142"/>
        <v>8th</v>
      </c>
      <c r="AI346" s="5" t="str">
        <f t="shared" si="145"/>
        <v>Unmarried</v>
      </c>
      <c r="AJ346" s="105" t="str">
        <f t="shared" si="129"/>
        <v>Male. b. 30/01/2016</v>
      </c>
      <c r="AK346" s="105" t="str">
        <f t="shared" si="126"/>
        <v>b. 30/01/2016</v>
      </c>
    </row>
    <row r="347" spans="1:37" s="5" customFormat="1" ht="20">
      <c r="A347" s="5">
        <f>VLOOKUP(B347,'Loyd List 1-190 - Edit'!$P$1:$R$219,3,FALSE)</f>
        <v>54</v>
      </c>
      <c r="B347" s="5">
        <f t="shared" si="140"/>
        <v>92</v>
      </c>
      <c r="C347" s="157" t="s">
        <v>3645</v>
      </c>
      <c r="D347" s="6" t="s">
        <v>3643</v>
      </c>
      <c r="E347" s="156" t="s">
        <v>2177</v>
      </c>
      <c r="F347" s="5" t="s">
        <v>1063</v>
      </c>
      <c r="I347" s="5">
        <f t="shared" si="144"/>
        <v>2020</v>
      </c>
      <c r="J347" s="5" t="str">
        <f t="shared" si="141"/>
        <v/>
      </c>
      <c r="K347" s="152"/>
      <c r="L347" s="7" t="str">
        <f t="shared" si="138"/>
        <v>23/11/2020</v>
      </c>
      <c r="M347" s="8">
        <v>44158</v>
      </c>
      <c r="N347" s="7"/>
      <c r="O347" s="7"/>
      <c r="P347" s="181"/>
      <c r="Q347" s="153" t="str">
        <f t="shared" si="143"/>
        <v>92bc</v>
      </c>
      <c r="R347" s="180"/>
      <c r="S347" s="25" t="s">
        <v>3245</v>
      </c>
      <c r="T347" s="5">
        <f t="shared" si="146"/>
        <v>8</v>
      </c>
      <c r="U347" s="5">
        <f t="shared" si="147"/>
        <v>5</v>
      </c>
      <c r="V347" s="5">
        <f>VLOOKUP(B347,'Loyd List 1-190 - Edit'!$A$2:$B$220,2,FALSE)</f>
        <v>5</v>
      </c>
      <c r="W347" s="155">
        <f t="shared" si="148"/>
        <v>3</v>
      </c>
      <c r="X347" s="105"/>
      <c r="Y347" s="105"/>
      <c r="Z347" s="164"/>
      <c r="AA347" s="6"/>
      <c r="AB347" s="5">
        <f t="shared" si="139"/>
        <v>55</v>
      </c>
      <c r="AC347" s="5">
        <f t="shared" si="128"/>
        <v>3055</v>
      </c>
      <c r="AD347" s="97" t="str">
        <f t="shared" si="121"/>
        <v>92bcc</v>
      </c>
      <c r="AE347" s="5" t="str">
        <f t="shared" si="122"/>
        <v>Montague Alfred  BOURNE (2020 - )</v>
      </c>
      <c r="AF347" s="5" t="str">
        <f t="shared" si="123"/>
        <v>Montague BOURNE (8th &amp; 92)</v>
      </c>
      <c r="AG347" s="110" t="str">
        <f t="shared" si="124"/>
        <v>Male</v>
      </c>
      <c r="AH347" s="5" t="str">
        <f t="shared" si="142"/>
        <v>8th</v>
      </c>
      <c r="AI347" s="5" t="str">
        <f t="shared" si="145"/>
        <v>Unmarried</v>
      </c>
      <c r="AJ347" s="105" t="str">
        <f t="shared" si="129"/>
        <v>Male. b. 23/11/2020</v>
      </c>
      <c r="AK347" s="105" t="str">
        <f t="shared" si="126"/>
        <v>b. 23/11/2020</v>
      </c>
    </row>
    <row r="348" spans="1:37" s="5" customFormat="1" ht="20">
      <c r="A348" s="5">
        <f>VLOOKUP(B348,'Loyd List 1-190 - Edit'!$P$1:$R$219,3,FALSE)</f>
        <v>54</v>
      </c>
      <c r="B348" s="5">
        <f t="shared" si="140"/>
        <v>92</v>
      </c>
      <c r="C348" s="157" t="s">
        <v>3649</v>
      </c>
      <c r="D348" s="6" t="s">
        <v>1494</v>
      </c>
      <c r="E348" s="156" t="s">
        <v>1988</v>
      </c>
      <c r="F348" s="5" t="s">
        <v>1595</v>
      </c>
      <c r="G348" s="5" t="s">
        <v>870</v>
      </c>
      <c r="I348" s="5">
        <f t="shared" si="144"/>
        <v>2013</v>
      </c>
      <c r="J348" s="5" t="str">
        <f t="shared" si="141"/>
        <v/>
      </c>
      <c r="K348" s="152"/>
      <c r="L348" s="7" t="str">
        <f t="shared" si="138"/>
        <v>20/10/2013</v>
      </c>
      <c r="M348" s="8">
        <v>41567</v>
      </c>
      <c r="N348" s="7"/>
      <c r="O348" s="7"/>
      <c r="P348" s="181"/>
      <c r="Q348" s="153" t="str">
        <f t="shared" si="143"/>
        <v>92bd</v>
      </c>
      <c r="R348" s="180"/>
      <c r="S348" s="25" t="s">
        <v>3244</v>
      </c>
      <c r="T348" s="5">
        <f t="shared" si="146"/>
        <v>8</v>
      </c>
      <c r="U348" s="5">
        <f t="shared" si="147"/>
        <v>5</v>
      </c>
      <c r="V348" s="5">
        <f>VLOOKUP(B348,'Loyd List 1-190 - Edit'!$A$2:$B$220,2,FALSE)</f>
        <v>5</v>
      </c>
      <c r="W348" s="155">
        <f t="shared" si="148"/>
        <v>3</v>
      </c>
      <c r="X348" s="105"/>
      <c r="Y348" s="105"/>
      <c r="Z348" s="164"/>
      <c r="AA348" s="6"/>
      <c r="AB348" s="5">
        <f t="shared" si="139"/>
        <v>56</v>
      </c>
      <c r="AC348" s="5">
        <f t="shared" si="128"/>
        <v>3056</v>
      </c>
      <c r="AD348" s="97" t="str">
        <f t="shared" si="121"/>
        <v>92bda</v>
      </c>
      <c r="AE348" s="5" t="str">
        <f t="shared" si="122"/>
        <v>Alice Clementine Mary TATTON-BROWN (2013 - )</v>
      </c>
      <c r="AF348" s="5" t="str">
        <f t="shared" si="123"/>
        <v>Alice TATTON-BROWN (8th &amp; 92)</v>
      </c>
      <c r="AG348" s="110" t="str">
        <f t="shared" si="124"/>
        <v>Female</v>
      </c>
      <c r="AH348" s="5" t="str">
        <f t="shared" si="142"/>
        <v>8th</v>
      </c>
      <c r="AI348" s="5" t="str">
        <f t="shared" si="145"/>
        <v>Unmarried</v>
      </c>
      <c r="AJ348" s="105" t="str">
        <f t="shared" si="129"/>
        <v>Female. b. 20/10/2013</v>
      </c>
      <c r="AK348" s="105" t="str">
        <f t="shared" si="126"/>
        <v>b. 20/10/2013</v>
      </c>
    </row>
    <row r="349" spans="1:37" s="5" customFormat="1" ht="20">
      <c r="A349" s="5">
        <f>VLOOKUP(B349,'Loyd List 1-190 - Edit'!$P$1:$R$219,3,FALSE)</f>
        <v>54</v>
      </c>
      <c r="B349" s="5">
        <f t="shared" si="140"/>
        <v>92</v>
      </c>
      <c r="C349" s="157" t="s">
        <v>3650</v>
      </c>
      <c r="D349" s="6" t="s">
        <v>1494</v>
      </c>
      <c r="E349" s="156" t="s">
        <v>3652</v>
      </c>
      <c r="F349" s="5" t="s">
        <v>1505</v>
      </c>
      <c r="G349" s="5" t="s">
        <v>1390</v>
      </c>
      <c r="I349" s="5">
        <f t="shared" si="144"/>
        <v>2018</v>
      </c>
      <c r="J349" s="5" t="str">
        <f t="shared" si="141"/>
        <v/>
      </c>
      <c r="K349" s="152"/>
      <c r="L349" s="7" t="str">
        <f t="shared" si="138"/>
        <v>09/06/2018</v>
      </c>
      <c r="M349" s="8">
        <v>43260</v>
      </c>
      <c r="N349" s="7"/>
      <c r="O349" s="7"/>
      <c r="P349" s="181"/>
      <c r="Q349" s="153" t="str">
        <f t="shared" si="143"/>
        <v>92bd</v>
      </c>
      <c r="R349" s="180"/>
      <c r="S349" s="25" t="s">
        <v>3245</v>
      </c>
      <c r="T349" s="5">
        <f t="shared" si="146"/>
        <v>8</v>
      </c>
      <c r="U349" s="5">
        <f t="shared" si="147"/>
        <v>5</v>
      </c>
      <c r="V349" s="5">
        <f>VLOOKUP(B349,'Loyd List 1-190 - Edit'!$A$2:$B$220,2,FALSE)</f>
        <v>5</v>
      </c>
      <c r="W349" s="155">
        <f t="shared" si="148"/>
        <v>3</v>
      </c>
      <c r="X349" s="105"/>
      <c r="Y349" s="105"/>
      <c r="Z349" s="164"/>
      <c r="AA349" s="6"/>
      <c r="AB349" s="5">
        <f t="shared" si="139"/>
        <v>57</v>
      </c>
      <c r="AC349" s="5">
        <f t="shared" si="128"/>
        <v>3057</v>
      </c>
      <c r="AD349" s="97" t="str">
        <f t="shared" si="121"/>
        <v>92bdb</v>
      </c>
      <c r="AE349" s="5" t="str">
        <f t="shared" si="122"/>
        <v>Théodore Eden Louis TATTON-BROWN (2018 - )</v>
      </c>
      <c r="AF349" s="5" t="str">
        <f t="shared" si="123"/>
        <v>Théodore TATTON-BROWN (8th &amp; 92)</v>
      </c>
      <c r="AG349" s="110" t="str">
        <f t="shared" si="124"/>
        <v>Male</v>
      </c>
      <c r="AH349" s="5" t="str">
        <f t="shared" si="142"/>
        <v>8th</v>
      </c>
      <c r="AI349" s="5" t="str">
        <f t="shared" si="145"/>
        <v>Unmarried</v>
      </c>
      <c r="AJ349" s="105" t="str">
        <f t="shared" si="129"/>
        <v>Male. b. 09/06/2018</v>
      </c>
      <c r="AK349" s="105" t="str">
        <f t="shared" si="126"/>
        <v>b. 09/06/2018</v>
      </c>
    </row>
    <row r="350" spans="1:37" s="5" customFormat="1" ht="20">
      <c r="A350" s="5">
        <f>VLOOKUP(B350,'Loyd List 1-190 - Edit'!$P$1:$R$219,3,FALSE)</f>
        <v>54</v>
      </c>
      <c r="B350" s="194">
        <f t="shared" si="140"/>
        <v>92</v>
      </c>
      <c r="C350" s="157" t="s">
        <v>3651</v>
      </c>
      <c r="D350" s="6" t="s">
        <v>1494</v>
      </c>
      <c r="E350" s="156" t="s">
        <v>1747</v>
      </c>
      <c r="F350" s="5" t="s">
        <v>804</v>
      </c>
      <c r="G350" s="5" t="s">
        <v>3653</v>
      </c>
      <c r="I350" s="5">
        <f t="shared" si="144"/>
        <v>2021</v>
      </c>
      <c r="J350" s="5" t="str">
        <f t="shared" si="141"/>
        <v/>
      </c>
      <c r="K350" s="152"/>
      <c r="L350" s="7" t="str">
        <f t="shared" si="138"/>
        <v>12/02/2021</v>
      </c>
      <c r="M350" s="8">
        <v>44239</v>
      </c>
      <c r="N350" s="7"/>
      <c r="O350" s="7"/>
      <c r="P350" s="181"/>
      <c r="Q350" s="153" t="str">
        <f t="shared" si="143"/>
        <v>92bd</v>
      </c>
      <c r="R350" s="180"/>
      <c r="S350" s="25" t="s">
        <v>3245</v>
      </c>
      <c r="T350" s="5">
        <f t="shared" si="146"/>
        <v>8</v>
      </c>
      <c r="U350" s="5">
        <f t="shared" si="147"/>
        <v>5</v>
      </c>
      <c r="V350" s="5">
        <f>VLOOKUP(B350,'Loyd List 1-190 - Edit'!$A$2:$B$220,2,FALSE)</f>
        <v>5</v>
      </c>
      <c r="W350" s="155">
        <f t="shared" si="148"/>
        <v>3</v>
      </c>
      <c r="X350" s="105"/>
      <c r="Y350" s="105"/>
      <c r="Z350" s="164"/>
      <c r="AA350" s="6"/>
      <c r="AB350" s="5">
        <f t="shared" si="139"/>
        <v>58</v>
      </c>
      <c r="AC350" s="5">
        <f t="shared" si="128"/>
        <v>3058</v>
      </c>
      <c r="AD350" s="97" t="str">
        <f t="shared" si="121"/>
        <v>92bdc</v>
      </c>
      <c r="AE350" s="5" t="str">
        <f t="shared" si="122"/>
        <v>Oscar Arthur Alexandre TATTON-BROWN (2021 - )</v>
      </c>
      <c r="AF350" s="5" t="str">
        <f t="shared" si="123"/>
        <v>Oscar TATTON-BROWN (8th &amp; 92)</v>
      </c>
      <c r="AG350" s="110" t="str">
        <f t="shared" si="124"/>
        <v>Male</v>
      </c>
      <c r="AH350" s="5" t="str">
        <f t="shared" si="142"/>
        <v>8th</v>
      </c>
      <c r="AI350" s="5" t="str">
        <f t="shared" si="145"/>
        <v>Unmarried</v>
      </c>
      <c r="AJ350" s="105" t="str">
        <f t="shared" si="129"/>
        <v>Male. b. 12/02/2021</v>
      </c>
      <c r="AK350" s="105" t="str">
        <f t="shared" si="126"/>
        <v>b. 12/02/2021</v>
      </c>
    </row>
    <row r="351" spans="1:37" s="5" customFormat="1" ht="20">
      <c r="A351" s="5">
        <f>VLOOKUP(B351,'Loyd List 1-190 - Edit'!$P$1:$R$219,3,FALSE)</f>
        <v>56</v>
      </c>
      <c r="B351" s="194">
        <f t="shared" si="140"/>
        <v>95</v>
      </c>
      <c r="C351" s="157" t="s">
        <v>3722</v>
      </c>
      <c r="D351" s="6" t="s">
        <v>1532</v>
      </c>
      <c r="E351" s="156" t="s">
        <v>1621</v>
      </c>
      <c r="F351" s="5" t="s">
        <v>945</v>
      </c>
      <c r="I351" s="5">
        <f t="shared" si="144"/>
        <v>2015</v>
      </c>
      <c r="J351" s="5" t="str">
        <f t="shared" si="141"/>
        <v/>
      </c>
      <c r="K351" s="152"/>
      <c r="L351" s="7" t="str">
        <f t="shared" si="138"/>
        <v>13/07/2015</v>
      </c>
      <c r="M351" s="8">
        <v>42198</v>
      </c>
      <c r="N351" s="7"/>
      <c r="O351" s="7"/>
      <c r="P351" s="181"/>
      <c r="Q351" s="153" t="str">
        <f t="shared" si="143"/>
        <v>95ba</v>
      </c>
      <c r="R351" s="180"/>
      <c r="S351" s="25" t="s">
        <v>3244</v>
      </c>
      <c r="T351" s="5">
        <f t="shared" si="146"/>
        <v>8</v>
      </c>
      <c r="U351" s="5">
        <f t="shared" si="147"/>
        <v>5</v>
      </c>
      <c r="V351" s="5">
        <f>VLOOKUP(B351,'Loyd List 1-190 - Edit'!$A$2:$B$220,2,FALSE)</f>
        <v>5</v>
      </c>
      <c r="W351" s="155">
        <f t="shared" si="148"/>
        <v>3</v>
      </c>
      <c r="X351" s="105"/>
      <c r="Y351" s="105"/>
      <c r="Z351" s="164"/>
      <c r="AA351" s="6"/>
      <c r="AB351" s="5">
        <f t="shared" si="139"/>
        <v>59</v>
      </c>
      <c r="AC351" s="5">
        <f t="shared" si="128"/>
        <v>3059</v>
      </c>
      <c r="AD351" s="97" t="str">
        <f t="shared" si="121"/>
        <v>95baa</v>
      </c>
      <c r="AE351" s="5" t="str">
        <f t="shared" si="122"/>
        <v>Ella Victoria  VESTEY (2015 - )</v>
      </c>
      <c r="AF351" s="5" t="str">
        <f t="shared" si="123"/>
        <v>Ella VESTEY (8th &amp; 95)</v>
      </c>
      <c r="AG351" s="110" t="str">
        <f t="shared" si="124"/>
        <v>Female</v>
      </c>
      <c r="AH351" s="5" t="str">
        <f t="shared" si="142"/>
        <v>8th</v>
      </c>
      <c r="AI351" s="5" t="str">
        <f t="shared" si="145"/>
        <v>Unmarried</v>
      </c>
      <c r="AJ351" s="105" t="str">
        <f t="shared" si="129"/>
        <v>Female. b. 13/07/2015</v>
      </c>
      <c r="AK351" s="105" t="str">
        <f t="shared" si="126"/>
        <v>b. 13/07/2015</v>
      </c>
    </row>
    <row r="352" spans="1:37" s="5" customFormat="1" ht="20">
      <c r="A352" s="5">
        <f>VLOOKUP(B352,'Loyd List 1-190 - Edit'!$P$1:$R$219,3,FALSE)</f>
        <v>56</v>
      </c>
      <c r="B352" s="194">
        <f t="shared" si="140"/>
        <v>95</v>
      </c>
      <c r="C352" s="157" t="s">
        <v>3723</v>
      </c>
      <c r="D352" s="6" t="s">
        <v>1532</v>
      </c>
      <c r="E352" s="156" t="s">
        <v>978</v>
      </c>
      <c r="F352" s="5" t="s">
        <v>1747</v>
      </c>
      <c r="G352" s="5" t="s">
        <v>1518</v>
      </c>
      <c r="I352" s="5">
        <f t="shared" si="144"/>
        <v>2018</v>
      </c>
      <c r="J352" s="5" t="str">
        <f t="shared" si="141"/>
        <v/>
      </c>
      <c r="K352" s="152"/>
      <c r="L352" s="7" t="str">
        <f t="shared" si="138"/>
        <v>07/11/2018</v>
      </c>
      <c r="M352" s="8">
        <v>43411</v>
      </c>
      <c r="N352" s="7"/>
      <c r="O352" s="7"/>
      <c r="P352" s="181"/>
      <c r="Q352" s="153" t="str">
        <f t="shared" si="143"/>
        <v>95ba</v>
      </c>
      <c r="R352" s="180"/>
      <c r="S352" s="25" t="s">
        <v>3245</v>
      </c>
      <c r="T352" s="5">
        <f t="shared" si="146"/>
        <v>8</v>
      </c>
      <c r="U352" s="5">
        <f t="shared" si="147"/>
        <v>5</v>
      </c>
      <c r="V352" s="5">
        <f>VLOOKUP(B352,'Loyd List 1-190 - Edit'!$A$2:$B$220,2,FALSE)</f>
        <v>5</v>
      </c>
      <c r="W352" s="155">
        <f t="shared" si="148"/>
        <v>3</v>
      </c>
      <c r="X352" s="105"/>
      <c r="Y352" s="105"/>
      <c r="Z352" s="164"/>
      <c r="AA352" s="6"/>
      <c r="AB352" s="5">
        <f t="shared" si="139"/>
        <v>60</v>
      </c>
      <c r="AC352" s="5">
        <f t="shared" si="128"/>
        <v>3060</v>
      </c>
      <c r="AD352" s="97" t="str">
        <f t="shared" si="121"/>
        <v>95bab</v>
      </c>
      <c r="AE352" s="5" t="str">
        <f t="shared" si="122"/>
        <v>Samuel Oscar Mark VESTEY (2018 - )</v>
      </c>
      <c r="AF352" s="5" t="str">
        <f t="shared" si="123"/>
        <v>Samuel VESTEY (8th &amp; 95)</v>
      </c>
      <c r="AG352" s="110" t="str">
        <f t="shared" si="124"/>
        <v>Male</v>
      </c>
      <c r="AH352" s="5" t="str">
        <f t="shared" si="142"/>
        <v>8th</v>
      </c>
      <c r="AI352" s="5" t="str">
        <f t="shared" si="145"/>
        <v>Unmarried</v>
      </c>
      <c r="AJ352" s="105" t="str">
        <f t="shared" si="129"/>
        <v>Male. b. 07/11/2018</v>
      </c>
      <c r="AK352" s="105" t="str">
        <f t="shared" si="126"/>
        <v>b. 07/11/2018</v>
      </c>
    </row>
    <row r="353" spans="1:37" s="5" customFormat="1" ht="20">
      <c r="A353" s="5">
        <f>VLOOKUP(B353,'Loyd List 1-190 - Edit'!$P$1:$R$219,3,FALSE)</f>
        <v>56</v>
      </c>
      <c r="B353" s="194">
        <f t="shared" si="140"/>
        <v>95</v>
      </c>
      <c r="C353" s="157" t="s">
        <v>3726</v>
      </c>
      <c r="D353" s="6" t="s">
        <v>1532</v>
      </c>
      <c r="E353" s="156" t="s">
        <v>1060</v>
      </c>
      <c r="F353" s="5" t="s">
        <v>830</v>
      </c>
      <c r="I353" s="5">
        <f t="shared" si="144"/>
        <v>2016</v>
      </c>
      <c r="J353" s="5" t="str">
        <f t="shared" si="141"/>
        <v/>
      </c>
      <c r="K353" s="152"/>
      <c r="L353" s="7" t="str">
        <f t="shared" si="138"/>
        <v>25/07/2016</v>
      </c>
      <c r="M353" s="8">
        <v>42576</v>
      </c>
      <c r="N353" s="7"/>
      <c r="O353" s="7"/>
      <c r="P353" s="181"/>
      <c r="Q353" s="153" t="str">
        <f t="shared" si="143"/>
        <v>95bb</v>
      </c>
      <c r="R353" s="180"/>
      <c r="S353" s="25" t="s">
        <v>3245</v>
      </c>
      <c r="T353" s="5">
        <f t="shared" si="146"/>
        <v>8</v>
      </c>
      <c r="U353" s="5">
        <f t="shared" si="147"/>
        <v>5</v>
      </c>
      <c r="V353" s="5">
        <f>VLOOKUP(B353,'Loyd List 1-190 - Edit'!$A$2:$B$220,2,FALSE)</f>
        <v>5</v>
      </c>
      <c r="W353" s="155">
        <f t="shared" si="148"/>
        <v>3</v>
      </c>
      <c r="X353" s="105"/>
      <c r="Y353" s="105"/>
      <c r="Z353" s="164"/>
      <c r="AA353" s="6"/>
      <c r="AB353" s="5">
        <f t="shared" si="139"/>
        <v>61</v>
      </c>
      <c r="AC353" s="5">
        <f t="shared" si="128"/>
        <v>3061</v>
      </c>
      <c r="AD353" s="97" t="str">
        <f t="shared" si="121"/>
        <v>95bba</v>
      </c>
      <c r="AE353" s="5" t="str">
        <f t="shared" si="122"/>
        <v>Frank William  VESTEY (2016 - )</v>
      </c>
      <c r="AF353" s="5" t="str">
        <f t="shared" si="123"/>
        <v>Frank VESTEY (8th &amp; 95)</v>
      </c>
      <c r="AG353" s="110" t="str">
        <f t="shared" si="124"/>
        <v>Male</v>
      </c>
      <c r="AH353" s="5" t="str">
        <f t="shared" si="142"/>
        <v>8th</v>
      </c>
      <c r="AI353" s="5" t="str">
        <f t="shared" si="145"/>
        <v>Unmarried</v>
      </c>
      <c r="AJ353" s="105" t="str">
        <f t="shared" si="129"/>
        <v>Male. b. 25/07/2016</v>
      </c>
      <c r="AK353" s="105" t="str">
        <f t="shared" si="126"/>
        <v>b. 25/07/2016</v>
      </c>
    </row>
    <row r="354" spans="1:37" s="5" customFormat="1" ht="20">
      <c r="A354" s="5">
        <f>VLOOKUP(B354,'Loyd List 1-190 - Edit'!$P$1:$R$219,3,FALSE)</f>
        <v>56</v>
      </c>
      <c r="B354" s="194">
        <f t="shared" si="140"/>
        <v>95</v>
      </c>
      <c r="C354" s="157" t="s">
        <v>3729</v>
      </c>
      <c r="D354" s="6" t="s">
        <v>1532</v>
      </c>
      <c r="E354" s="156" t="s">
        <v>3728</v>
      </c>
      <c r="F354" s="5" t="s">
        <v>2295</v>
      </c>
      <c r="I354" s="5">
        <f t="shared" si="144"/>
        <v>2018</v>
      </c>
      <c r="J354" s="5" t="str">
        <f t="shared" si="141"/>
        <v/>
      </c>
      <c r="K354" s="152"/>
      <c r="L354" s="7" t="str">
        <f t="shared" si="138"/>
        <v>30/11/2018</v>
      </c>
      <c r="M354" s="8">
        <v>43434</v>
      </c>
      <c r="N354" s="7"/>
      <c r="O354" s="7"/>
      <c r="P354" s="181"/>
      <c r="Q354" s="153" t="str">
        <f t="shared" si="143"/>
        <v>95bb</v>
      </c>
      <c r="R354" s="180"/>
      <c r="S354" s="25" t="s">
        <v>3244</v>
      </c>
      <c r="T354" s="5">
        <f t="shared" si="146"/>
        <v>8</v>
      </c>
      <c r="U354" s="5">
        <f t="shared" si="147"/>
        <v>5</v>
      </c>
      <c r="V354" s="5">
        <f>VLOOKUP(B354,'Loyd List 1-190 - Edit'!$A$2:$B$220,2,FALSE)</f>
        <v>5</v>
      </c>
      <c r="W354" s="155">
        <f t="shared" si="148"/>
        <v>3</v>
      </c>
      <c r="X354" s="105"/>
      <c r="Y354" s="105"/>
      <c r="Z354" s="164"/>
      <c r="AA354" s="6"/>
      <c r="AB354" s="5">
        <f t="shared" si="139"/>
        <v>62</v>
      </c>
      <c r="AC354" s="5">
        <f t="shared" si="128"/>
        <v>3062</v>
      </c>
      <c r="AD354" s="97" t="str">
        <f t="shared" si="121"/>
        <v>95bbb</v>
      </c>
      <c r="AE354" s="5" t="str">
        <f t="shared" si="122"/>
        <v>Cosima  Dora  VESTEY (2018 - )</v>
      </c>
      <c r="AF354" s="5" t="str">
        <f t="shared" si="123"/>
        <v>Cosima  VESTEY (8th &amp; 95)</v>
      </c>
      <c r="AG354" s="110" t="str">
        <f t="shared" si="124"/>
        <v>Female</v>
      </c>
      <c r="AH354" s="5" t="str">
        <f t="shared" si="142"/>
        <v>8th</v>
      </c>
      <c r="AI354" s="5" t="str">
        <f t="shared" si="145"/>
        <v>Unmarried</v>
      </c>
      <c r="AJ354" s="105" t="str">
        <f t="shared" si="129"/>
        <v>Female. b. 30/11/2018</v>
      </c>
      <c r="AK354" s="105" t="str">
        <f t="shared" si="126"/>
        <v>b. 30/11/2018</v>
      </c>
    </row>
    <row r="355" spans="1:37" s="5" customFormat="1" ht="20">
      <c r="A355" s="5">
        <f>VLOOKUP(B355,'Loyd List 1-190 - Edit'!$P$1:$R$219,3,FALSE)</f>
        <v>56</v>
      </c>
      <c r="B355" s="194">
        <f t="shared" si="140"/>
        <v>95</v>
      </c>
      <c r="C355" s="157" t="s">
        <v>3727</v>
      </c>
      <c r="D355" s="6" t="s">
        <v>1532</v>
      </c>
      <c r="E355" s="156" t="s">
        <v>946</v>
      </c>
      <c r="F355" s="156" t="s">
        <v>1531</v>
      </c>
      <c r="I355" s="5">
        <f t="shared" si="144"/>
        <v>2021</v>
      </c>
      <c r="J355" s="5" t="str">
        <f t="shared" si="141"/>
        <v/>
      </c>
      <c r="K355" s="152"/>
      <c r="L355" s="7" t="str">
        <f t="shared" si="138"/>
        <v>12/01/2021</v>
      </c>
      <c r="M355" s="8">
        <v>44208</v>
      </c>
      <c r="N355" s="7"/>
      <c r="O355" s="7"/>
      <c r="P355" s="181"/>
      <c r="Q355" s="153" t="str">
        <f t="shared" si="143"/>
        <v>95bb</v>
      </c>
      <c r="R355" s="180"/>
      <c r="S355" s="25" t="s">
        <v>3245</v>
      </c>
      <c r="T355" s="5">
        <f t="shared" si="146"/>
        <v>8</v>
      </c>
      <c r="U355" s="5">
        <f t="shared" si="147"/>
        <v>5</v>
      </c>
      <c r="V355" s="5">
        <f>VLOOKUP(B355,'Loyd List 1-190 - Edit'!$A$2:$B$220,2,FALSE)</f>
        <v>5</v>
      </c>
      <c r="W355" s="155">
        <f t="shared" si="148"/>
        <v>3</v>
      </c>
      <c r="X355" s="105"/>
      <c r="Y355" s="105"/>
      <c r="Z355" s="164"/>
      <c r="AA355" s="6"/>
      <c r="AB355" s="5">
        <f t="shared" si="139"/>
        <v>63</v>
      </c>
      <c r="AC355" s="5">
        <f t="shared" si="128"/>
        <v>3063</v>
      </c>
      <c r="AD355" s="97" t="str">
        <f t="shared" si="121"/>
        <v>95bbc</v>
      </c>
      <c r="AE355" s="5" t="str">
        <f t="shared" si="122"/>
        <v>Daisy Celia  VESTEY (2021 - )</v>
      </c>
      <c r="AF355" s="5" t="str">
        <f t="shared" si="123"/>
        <v>Daisy VESTEY (8th &amp; 95)</v>
      </c>
      <c r="AG355" s="110" t="str">
        <f t="shared" si="124"/>
        <v>Male</v>
      </c>
      <c r="AH355" s="5" t="str">
        <f t="shared" si="142"/>
        <v>8th</v>
      </c>
      <c r="AI355" s="5" t="str">
        <f t="shared" si="145"/>
        <v>Unmarried</v>
      </c>
      <c r="AJ355" s="105" t="str">
        <f t="shared" si="129"/>
        <v>Male. b. 12/01/2021</v>
      </c>
      <c r="AK355" s="105" t="str">
        <f t="shared" si="126"/>
        <v>b. 12/01/2021</v>
      </c>
    </row>
    <row r="356" spans="1:37" s="5" customFormat="1" ht="20">
      <c r="A356" s="5">
        <f>VLOOKUP(B356,'Loyd List 1-190 - Edit'!$P$1:$R$219,3,FALSE)</f>
        <v>56</v>
      </c>
      <c r="B356" s="194">
        <f t="shared" si="140"/>
        <v>95</v>
      </c>
      <c r="C356" s="157" t="s">
        <v>3730</v>
      </c>
      <c r="D356" s="6" t="s">
        <v>1532</v>
      </c>
      <c r="E356" s="156" t="s">
        <v>3731</v>
      </c>
      <c r="F356" s="156" t="s">
        <v>1531</v>
      </c>
      <c r="I356" s="5">
        <f t="shared" si="144"/>
        <v>2021</v>
      </c>
      <c r="J356" s="5" t="str">
        <f t="shared" si="141"/>
        <v/>
      </c>
      <c r="K356" s="152"/>
      <c r="L356" s="7" t="str">
        <f t="shared" si="138"/>
        <v>18/11/2021</v>
      </c>
      <c r="M356" s="8">
        <v>44518</v>
      </c>
      <c r="N356" s="7"/>
      <c r="O356" s="7"/>
      <c r="P356" s="181"/>
      <c r="Q356" s="153" t="str">
        <f t="shared" si="143"/>
        <v>95bc</v>
      </c>
      <c r="R356" s="180"/>
      <c r="S356" s="25" t="s">
        <v>3244</v>
      </c>
      <c r="T356" s="5">
        <f t="shared" si="146"/>
        <v>8</v>
      </c>
      <c r="U356" s="5">
        <f t="shared" si="147"/>
        <v>5</v>
      </c>
      <c r="V356" s="5">
        <f>VLOOKUP(B356,'Loyd List 1-190 - Edit'!$A$2:$B$220,2,FALSE)</f>
        <v>5</v>
      </c>
      <c r="W356" s="155">
        <f t="shared" si="148"/>
        <v>3</v>
      </c>
      <c r="X356" s="105"/>
      <c r="Y356" s="105"/>
      <c r="Z356" s="164"/>
      <c r="AA356" s="6"/>
      <c r="AB356" s="5">
        <f t="shared" si="139"/>
        <v>64</v>
      </c>
      <c r="AC356" s="5">
        <f t="shared" si="128"/>
        <v>3064</v>
      </c>
      <c r="AD356" s="97" t="str">
        <f t="shared" si="121"/>
        <v>95bca</v>
      </c>
      <c r="AE356" s="5" t="str">
        <f t="shared" si="122"/>
        <v>Lyra Celia  VESTEY (2021 - )</v>
      </c>
      <c r="AF356" s="5" t="str">
        <f t="shared" si="123"/>
        <v>Lyra VESTEY (8th &amp; 95)</v>
      </c>
      <c r="AG356" s="110" t="str">
        <f t="shared" si="124"/>
        <v>Female</v>
      </c>
      <c r="AH356" s="5" t="str">
        <f t="shared" si="142"/>
        <v>8th</v>
      </c>
      <c r="AI356" s="5" t="str">
        <f t="shared" si="145"/>
        <v>Unmarried</v>
      </c>
      <c r="AJ356" s="105" t="str">
        <f t="shared" si="129"/>
        <v>Female. b. 18/11/2021</v>
      </c>
      <c r="AK356" s="105" t="str">
        <f t="shared" si="126"/>
        <v>b. 18/11/2021</v>
      </c>
    </row>
    <row r="357" spans="1:37" s="5" customFormat="1" ht="19">
      <c r="A357" s="5">
        <f>VLOOKUP(B357,'Loyd List 1-190 - Edit'!$P$1:$R$219,3,FALSE)</f>
        <v>77</v>
      </c>
      <c r="B357" s="189">
        <f>VALUE(LEFT(C357,3))</f>
        <v>106</v>
      </c>
      <c r="C357" s="157" t="s">
        <v>3738</v>
      </c>
      <c r="D357" s="5" t="s">
        <v>3821</v>
      </c>
      <c r="E357" s="156" t="s">
        <v>1632</v>
      </c>
      <c r="F357" s="156" t="s">
        <v>842</v>
      </c>
      <c r="G357" s="156" t="s">
        <v>834</v>
      </c>
      <c r="I357" s="5">
        <f t="shared" si="144"/>
        <v>2019</v>
      </c>
      <c r="J357" s="5" t="str">
        <f t="shared" si="141"/>
        <v/>
      </c>
      <c r="K357" s="152"/>
      <c r="L357" s="7" t="str">
        <f t="shared" si="138"/>
        <v>04/08/2019</v>
      </c>
      <c r="M357" s="8">
        <v>43681</v>
      </c>
      <c r="N357" s="7"/>
      <c r="O357" s="7"/>
      <c r="P357" s="181"/>
      <c r="Q357" s="153" t="str">
        <f t="shared" si="143"/>
        <v>106aa</v>
      </c>
      <c r="R357" s="180"/>
      <c r="S357" s="25" t="s">
        <v>3245</v>
      </c>
      <c r="T357" s="5">
        <f t="shared" si="146"/>
        <v>8</v>
      </c>
      <c r="U357" s="5">
        <f t="shared" si="147"/>
        <v>6</v>
      </c>
      <c r="V357" s="5">
        <f>VLOOKUP(B357,'Loyd List 1-190 - Edit'!$A$2:$B$220,2,FALSE)</f>
        <v>5</v>
      </c>
      <c r="W357" s="155">
        <f t="shared" si="148"/>
        <v>3</v>
      </c>
      <c r="X357" s="105"/>
      <c r="Y357" s="105"/>
      <c r="Z357" s="164"/>
      <c r="AA357" s="6"/>
      <c r="AB357" s="5">
        <f t="shared" si="139"/>
        <v>65</v>
      </c>
      <c r="AC357" s="5">
        <f t="shared" si="128"/>
        <v>3065</v>
      </c>
      <c r="AD357" s="97" t="str">
        <f t="shared" si="121"/>
        <v>106aaa</v>
      </c>
      <c r="AE357" s="5" t="str">
        <f t="shared" si="122"/>
        <v>Frederick John Wilfred HOLLAND (2019 - )</v>
      </c>
      <c r="AF357" s="5" t="str">
        <f t="shared" si="123"/>
        <v>Frederick HOLLAND (8th &amp; 106)</v>
      </c>
      <c r="AG357" s="110" t="str">
        <f t="shared" si="124"/>
        <v>Male</v>
      </c>
      <c r="AH357" s="5" t="str">
        <f t="shared" si="142"/>
        <v>8th</v>
      </c>
      <c r="AI357" s="5" t="str">
        <f t="shared" si="145"/>
        <v>Unmarried</v>
      </c>
      <c r="AJ357" s="105" t="str">
        <f t="shared" si="129"/>
        <v>Male. b. 04/08/2019</v>
      </c>
      <c r="AK357" s="105" t="str">
        <f t="shared" si="126"/>
        <v>b. 04/08/2019</v>
      </c>
    </row>
    <row r="358" spans="1:37" s="5" customFormat="1" ht="19">
      <c r="A358" s="5">
        <v>106</v>
      </c>
      <c r="B358" s="189">
        <f>VALUE(LEFT(C358,3))</f>
        <v>106</v>
      </c>
      <c r="C358" s="157" t="s">
        <v>3822</v>
      </c>
      <c r="D358" s="5" t="s">
        <v>3821</v>
      </c>
      <c r="E358" s="156" t="s">
        <v>4445</v>
      </c>
      <c r="F358" s="156" t="s">
        <v>811</v>
      </c>
      <c r="G358" s="156" t="s">
        <v>830</v>
      </c>
      <c r="I358" s="5">
        <f t="shared" si="144"/>
        <v>2022</v>
      </c>
      <c r="J358" s="5">
        <f t="shared" si="141"/>
        <v>2022</v>
      </c>
      <c r="K358" s="152"/>
      <c r="L358" s="7" t="str">
        <f t="shared" si="138"/>
        <v>15/05/2022</v>
      </c>
      <c r="M358" s="8">
        <v>44696</v>
      </c>
      <c r="N358" s="7"/>
      <c r="O358" s="7">
        <v>44696</v>
      </c>
      <c r="P358" s="181" t="str">
        <f t="shared" si="116"/>
        <v>15/05/2022</v>
      </c>
      <c r="Q358" s="153" t="str">
        <f t="shared" si="143"/>
        <v>106aa</v>
      </c>
      <c r="R358" s="180" t="str">
        <f t="shared" si="117"/>
        <v>15/05/2022</v>
      </c>
      <c r="S358" s="25" t="s">
        <v>3245</v>
      </c>
      <c r="T358" s="5">
        <f t="shared" si="146"/>
        <v>8</v>
      </c>
      <c r="U358" s="5">
        <f t="shared" si="147"/>
        <v>6</v>
      </c>
      <c r="V358" s="5">
        <f>VLOOKUP(B358,'Loyd List 1-190 - Edit'!$A$2:$B$220,2,FALSE)</f>
        <v>5</v>
      </c>
      <c r="W358" s="155">
        <f t="shared" si="148"/>
        <v>3</v>
      </c>
      <c r="X358" s="105"/>
      <c r="Y358" s="105"/>
      <c r="Z358" s="164"/>
      <c r="AA358" s="6"/>
      <c r="AB358" s="5">
        <f t="shared" si="139"/>
        <v>66</v>
      </c>
      <c r="AC358" s="5">
        <f t="shared" si="128"/>
        <v>3066</v>
      </c>
      <c r="AD358" s="97" t="str">
        <f t="shared" si="121"/>
        <v>106aab</v>
      </c>
      <c r="AE358" s="5" t="str">
        <f>_xlfn.CONCAT(E358," ",F358," ",G358," ",D358," (",I358," - ",J358,")")</f>
        <v>Zander Edward William HOLLAND (2022 - 2022)</v>
      </c>
      <c r="AF358" s="5" t="str">
        <f>IF(H358="",_xlfn.CONCAT(E358," ",D358," (",AH358," &amp; ",B358,")"),_xlfn.CONCAT(H358," ",D358," (",AH358," &amp; ",B358,")"))</f>
        <v>Zander HOLLAND (8th &amp; 106)</v>
      </c>
      <c r="AG358" s="110" t="str">
        <f t="shared" si="124"/>
        <v>Male</v>
      </c>
      <c r="AH358" s="5" t="str">
        <f t="shared" si="142"/>
        <v>8th</v>
      </c>
      <c r="AI358" s="5" t="s">
        <v>4446</v>
      </c>
      <c r="AJ358" s="105" t="str">
        <f t="shared" si="129"/>
        <v>Male. b. 15/05/2022, d. 15/05/2022.</v>
      </c>
      <c r="AK358" s="105" t="str">
        <f t="shared" si="126"/>
        <v>b. 15/05/2022, d. 15/05/2022.</v>
      </c>
    </row>
    <row r="359" spans="1:37" s="5" customFormat="1" ht="19">
      <c r="A359" s="5">
        <v>106</v>
      </c>
      <c r="B359" s="189">
        <f>VALUE(LEFT(C359,3))</f>
        <v>106</v>
      </c>
      <c r="C359" s="157" t="s">
        <v>3823</v>
      </c>
      <c r="D359" s="5" t="s">
        <v>3824</v>
      </c>
      <c r="E359" s="156" t="s">
        <v>971</v>
      </c>
      <c r="F359" s="156" t="s">
        <v>3659</v>
      </c>
      <c r="G359" s="156" t="s">
        <v>918</v>
      </c>
      <c r="I359" s="5">
        <f t="shared" si="144"/>
        <v>2022</v>
      </c>
      <c r="K359" s="152"/>
      <c r="L359" s="7" t="str">
        <f t="shared" si="138"/>
        <v>16/05/2022</v>
      </c>
      <c r="M359" s="8">
        <v>44697</v>
      </c>
      <c r="N359" s="7"/>
      <c r="O359" s="7"/>
      <c r="P359" s="181"/>
      <c r="Q359" s="153" t="str">
        <f t="shared" si="143"/>
        <v>106ab</v>
      </c>
      <c r="R359" s="180"/>
      <c r="S359" s="25" t="s">
        <v>3245</v>
      </c>
      <c r="T359" s="5">
        <f t="shared" si="146"/>
        <v>8</v>
      </c>
      <c r="U359" s="5">
        <f t="shared" si="147"/>
        <v>6</v>
      </c>
      <c r="V359" s="5">
        <f>VLOOKUP(B359,'Loyd List 1-190 - Edit'!$A$2:$B$220,2,FALSE)</f>
        <v>5</v>
      </c>
      <c r="W359" s="155">
        <f t="shared" si="148"/>
        <v>3</v>
      </c>
      <c r="X359" s="105"/>
      <c r="Y359" s="105"/>
      <c r="Z359" s="164"/>
      <c r="AA359" s="6"/>
      <c r="AB359" s="5">
        <f t="shared" si="139"/>
        <v>67</v>
      </c>
      <c r="AC359" s="5">
        <f t="shared" si="128"/>
        <v>3067</v>
      </c>
      <c r="AD359" s="97" t="str">
        <f t="shared" si="121"/>
        <v>106aba</v>
      </c>
      <c r="AE359" s="5" t="str">
        <f>_xlfn.CONCAT(E359," ",F359," ",G359," ",D359," (",I359," - ",J359,")")</f>
        <v>Rupert Leo James TELFORD (2022 - )</v>
      </c>
      <c r="AF359" s="5" t="str">
        <f>IF(H359="",_xlfn.CONCAT(E359," ",D359," (",AH359," &amp; ",B359,")"),_xlfn.CONCAT(H359," ",D359," (",AH359," &amp; ",B359,")"))</f>
        <v>Rupert TELFORD (8th &amp; 106)</v>
      </c>
      <c r="AG359" s="110" t="str">
        <f t="shared" si="124"/>
        <v>Male</v>
      </c>
      <c r="AH359" s="5" t="str">
        <f t="shared" si="142"/>
        <v>8th</v>
      </c>
      <c r="AI359" s="5" t="str">
        <f t="shared" si="145"/>
        <v>Unmarried</v>
      </c>
      <c r="AJ359" s="105" t="str">
        <f t="shared" si="129"/>
        <v>Male. b. 16/05/2022</v>
      </c>
      <c r="AK359" s="105" t="str">
        <f t="shared" si="126"/>
        <v>b. 16/05/2022</v>
      </c>
    </row>
    <row r="360" spans="1:37" s="5" customFormat="1" ht="20">
      <c r="A360" s="5">
        <f>VLOOKUP(B360,'Loyd List 1-190 - Edit'!$P$1:$R$219,3,FALSE)</f>
        <v>80</v>
      </c>
      <c r="B360" s="137">
        <f>VALUE(LEFT(C360,3))</f>
        <v>110</v>
      </c>
      <c r="C360" s="157" t="s">
        <v>3672</v>
      </c>
      <c r="D360" s="6" t="s">
        <v>1742</v>
      </c>
      <c r="E360" s="156" t="s">
        <v>3673</v>
      </c>
      <c r="F360" s="5" t="s">
        <v>1380</v>
      </c>
      <c r="I360" s="5">
        <f t="shared" si="144"/>
        <v>2021</v>
      </c>
      <c r="J360" s="5" t="str">
        <f t="shared" si="141"/>
        <v/>
      </c>
      <c r="K360" s="152"/>
      <c r="L360" s="7" t="str">
        <f t="shared" si="138"/>
        <v>20/03/2021</v>
      </c>
      <c r="M360" s="8">
        <v>44275</v>
      </c>
      <c r="N360" s="7"/>
      <c r="O360" s="7"/>
      <c r="P360" s="181"/>
      <c r="Q360" s="153" t="str">
        <f t="shared" si="143"/>
        <v>110aa</v>
      </c>
      <c r="R360" s="180"/>
      <c r="S360" s="25" t="s">
        <v>3244</v>
      </c>
      <c r="T360" s="5">
        <f t="shared" si="146"/>
        <v>8</v>
      </c>
      <c r="U360" s="5">
        <f t="shared" si="147"/>
        <v>6</v>
      </c>
      <c r="V360" s="5">
        <f>VLOOKUP(B360,'Loyd List 1-190 - Edit'!$A$2:$B$220,2,FALSE)</f>
        <v>5</v>
      </c>
      <c r="W360" s="155">
        <f t="shared" si="148"/>
        <v>3</v>
      </c>
      <c r="X360" s="105"/>
      <c r="Y360" s="105"/>
      <c r="Z360" s="164"/>
      <c r="AA360" s="6"/>
      <c r="AB360" s="5">
        <f t="shared" si="139"/>
        <v>68</v>
      </c>
      <c r="AC360" s="5">
        <f t="shared" si="128"/>
        <v>3068</v>
      </c>
      <c r="AD360" s="97" t="str">
        <f t="shared" si="121"/>
        <v>110aaa</v>
      </c>
      <c r="AE360" s="5" t="str">
        <f t="shared" si="122"/>
        <v>Rowan Emily  BOYCE (2021 - )</v>
      </c>
      <c r="AF360" s="5" t="str">
        <f t="shared" si="123"/>
        <v>Rowan BOYCE (8th &amp; 110)</v>
      </c>
      <c r="AG360" s="110" t="str">
        <f t="shared" si="124"/>
        <v>Female</v>
      </c>
      <c r="AH360" s="5" t="str">
        <f t="shared" si="142"/>
        <v>8th</v>
      </c>
      <c r="AI360" s="5" t="str">
        <f t="shared" si="145"/>
        <v>Unmarried</v>
      </c>
      <c r="AJ360" s="105" t="str">
        <f t="shared" si="129"/>
        <v>Female. b. 20/03/2021</v>
      </c>
      <c r="AK360" s="105" t="str">
        <f t="shared" si="126"/>
        <v>b. 20/03/2021</v>
      </c>
    </row>
    <row r="361" spans="1:37" s="5" customFormat="1" ht="51">
      <c r="A361" s="5">
        <f>VLOOKUP(B361,'Loyd List 1-190 - Edit'!$P$1:$R$219,3,FALSE)</f>
        <v>1</v>
      </c>
      <c r="B361" s="5">
        <f t="shared" ref="B361:B366" si="149">VALUE(LEFT(C361,1))</f>
        <v>2</v>
      </c>
      <c r="C361" s="157" t="s">
        <v>1963</v>
      </c>
      <c r="D361" s="6" t="s">
        <v>1948</v>
      </c>
      <c r="E361" s="5" t="s">
        <v>882</v>
      </c>
      <c r="F361" s="5" t="s">
        <v>952</v>
      </c>
      <c r="I361" s="5">
        <f t="shared" si="144"/>
        <v>1897</v>
      </c>
      <c r="J361" s="5">
        <f t="shared" si="141"/>
        <v>1982</v>
      </c>
      <c r="K361" s="152"/>
      <c r="L361" s="7" t="str">
        <f t="shared" si="138"/>
        <v>05/09/1897</v>
      </c>
      <c r="M361" s="8" t="s">
        <v>1959</v>
      </c>
      <c r="O361" s="7">
        <v>30297</v>
      </c>
      <c r="P361" s="181" t="str">
        <f t="shared" si="116"/>
        <v>12/12/1982</v>
      </c>
      <c r="Q361" s="153" t="str">
        <f t="shared" si="143"/>
        <v>2aaa</v>
      </c>
      <c r="R361" s="180" t="str">
        <f t="shared" si="117"/>
        <v>12/12/1982</v>
      </c>
      <c r="S361" s="25" t="s">
        <v>3244</v>
      </c>
      <c r="T361" s="5">
        <f t="shared" si="118"/>
        <v>5</v>
      </c>
      <c r="U361" s="5">
        <f t="shared" si="119"/>
        <v>5</v>
      </c>
      <c r="V361" s="5">
        <f>VLOOKUP(B361,'Loyd List 1-190 - Edit'!$A$2:$B$220,2,FALSE)</f>
        <v>1</v>
      </c>
      <c r="W361" s="155">
        <f t="shared" si="120"/>
        <v>4</v>
      </c>
      <c r="X361" s="105"/>
      <c r="Y361" s="105"/>
      <c r="Z361" s="164" t="s">
        <v>3282</v>
      </c>
      <c r="AA361" s="6">
        <v>4</v>
      </c>
      <c r="AB361" s="5">
        <v>1</v>
      </c>
      <c r="AC361" s="5">
        <f t="shared" si="128"/>
        <v>4001</v>
      </c>
      <c r="AD361" s="97" t="str">
        <f t="shared" si="121"/>
        <v>2aaaa</v>
      </c>
      <c r="AE361" s="5" t="str">
        <f t="shared" si="122"/>
        <v>Margaret Elizabeth  DAVIES (1897 - 1982)</v>
      </c>
      <c r="AF361" s="5" t="str">
        <f t="shared" si="123"/>
        <v>Margaret DAVIES (5th &amp; 2)</v>
      </c>
      <c r="AG361" s="110" t="str">
        <f t="shared" si="124"/>
        <v>Female</v>
      </c>
      <c r="AH361" s="5" t="str">
        <f t="shared" si="142"/>
        <v>5th</v>
      </c>
      <c r="AI361" s="5" t="str">
        <f t="shared" si="145"/>
        <v>Unmarried</v>
      </c>
      <c r="AJ361" s="105" t="str">
        <f t="shared" si="129"/>
        <v>Female. b. 05/09/1897, d. 12/12/1982. Margaret of Bryngwenlais Cottage, Cilycwm. Died 1982  at Llandovery Hospital buried in Cilycwm cemetery in her parents’ grave. Tombstone in Welsh.</v>
      </c>
      <c r="AK361" s="105" t="str">
        <f t="shared" si="126"/>
        <v>b. 05/09/1897, d. 12/12/1982.</v>
      </c>
    </row>
    <row r="362" spans="1:37" s="5" customFormat="1" ht="153">
      <c r="A362" s="5">
        <f>VLOOKUP(B362,'Loyd List 1-190 - Edit'!$P$1:$R$219,3,FALSE)</f>
        <v>1</v>
      </c>
      <c r="B362" s="5">
        <f t="shared" si="149"/>
        <v>2</v>
      </c>
      <c r="C362" s="157" t="s">
        <v>1982</v>
      </c>
      <c r="D362" s="6" t="s">
        <v>1973</v>
      </c>
      <c r="E362" s="5" t="s">
        <v>1980</v>
      </c>
      <c r="F362" s="5" t="s">
        <v>1497</v>
      </c>
      <c r="G362" s="5" t="s">
        <v>1981</v>
      </c>
      <c r="I362" s="5">
        <f t="shared" si="144"/>
        <v>1885</v>
      </c>
      <c r="J362" s="5">
        <f t="shared" si="141"/>
        <v>1962</v>
      </c>
      <c r="K362" s="152"/>
      <c r="L362" s="7" t="str">
        <f>M362</f>
        <v>1885</v>
      </c>
      <c r="M362" s="10" t="s">
        <v>1920</v>
      </c>
      <c r="N362" s="8">
        <v>7507</v>
      </c>
      <c r="O362" s="7">
        <v>22919</v>
      </c>
      <c r="P362" s="181" t="str">
        <f t="shared" si="116"/>
        <v>30/09/1962</v>
      </c>
      <c r="Q362" s="153" t="str">
        <f t="shared" si="143"/>
        <v>2cab</v>
      </c>
      <c r="R362" s="180" t="str">
        <f t="shared" si="117"/>
        <v>30/09/1962</v>
      </c>
      <c r="S362" s="25" t="s">
        <v>3245</v>
      </c>
      <c r="T362" s="5">
        <f t="shared" si="118"/>
        <v>5</v>
      </c>
      <c r="U362" s="5">
        <f t="shared" si="119"/>
        <v>5</v>
      </c>
      <c r="V362" s="5">
        <f>VLOOKUP(B362,'Loyd List 1-190 - Edit'!$A$2:$B$220,2,FALSE)</f>
        <v>1</v>
      </c>
      <c r="W362" s="155">
        <f t="shared" si="120"/>
        <v>4</v>
      </c>
      <c r="X362" s="105" t="s">
        <v>2377</v>
      </c>
      <c r="Y362" s="165" t="s">
        <v>2376</v>
      </c>
      <c r="Z362" s="164" t="s">
        <v>2375</v>
      </c>
      <c r="AA362" s="6">
        <v>10</v>
      </c>
      <c r="AB362" s="5">
        <f t="shared" si="139"/>
        <v>2</v>
      </c>
      <c r="AC362" s="5">
        <f t="shared" si="128"/>
        <v>4002</v>
      </c>
      <c r="AD362" s="97" t="str">
        <f t="shared" si="121"/>
        <v>2caba</v>
      </c>
      <c r="AE362" s="5" t="str">
        <f t="shared" si="122"/>
        <v>Canon William Loyd Musgrave PROTHEROE (1885 - 1962)</v>
      </c>
      <c r="AF362" s="5" t="str">
        <f t="shared" si="123"/>
        <v>Canon William PROTHEROE (5th &amp; 2)</v>
      </c>
      <c r="AG362" s="110" t="str">
        <f t="shared" si="124"/>
        <v>Male</v>
      </c>
      <c r="AH362" s="5" t="str">
        <f t="shared" si="142"/>
        <v>5th</v>
      </c>
      <c r="AI362" s="5" t="str">
        <f t="shared" si="145"/>
        <v>Wife: Ida Wozencroft MORGAN (b. 1894, d. 1976). m. 20 Jul 1920 at The Parish Church, Colwyn Bay, Ida Wozencroft , daughter of William Hugh Wozencroft MORGAN of The Woodlands, Colwyn Bay.</v>
      </c>
      <c r="AJ362" s="105" t="str">
        <f t="shared" si="129"/>
        <v>Male. b. 1885, d. 30/09/1962. Educated Keble College, Oxford (BA 1907, MA 1911). Bishop’s Hostel, Liverpool 1907. Deacon 1908. Priest 1909. Curate of Garston, Lancashire 1908-11. Curate of St Anne’s, Aigburth 1911-12. Temporary Chaplain to the Forces 1916-19. MC and Croix de Guerre with star 1919. Vicar of St John’s, Bootle 1920-25. All Saints’, Newton-le-Willows 1925-28. St Peter’s, Warrington 1928-35. Rector of Halewood 1936-38. Vicar of Daresbury, Cheshire 1938-56. Rural Dean of Great Budworth 1947-55. Canon of Chester 1953-55. (Left £500 in the will of his godmother Mary Louisa LOYD (1848-1930). Died at Uplyme.</v>
      </c>
      <c r="AK362" s="105" t="str">
        <f t="shared" si="126"/>
        <v>b. 1885, d. 30/09/1962.</v>
      </c>
    </row>
    <row r="363" spans="1:37" s="5" customFormat="1" ht="35">
      <c r="A363" s="5">
        <f>VLOOKUP(B363,'Loyd List 1-190 - Edit'!$P$1:$R$219,3,FALSE)</f>
        <v>1</v>
      </c>
      <c r="B363" s="5">
        <f t="shared" si="149"/>
        <v>2</v>
      </c>
      <c r="C363" s="157" t="s">
        <v>1991</v>
      </c>
      <c r="D363" s="6" t="s">
        <v>1973</v>
      </c>
      <c r="E363" s="5" t="s">
        <v>1988</v>
      </c>
      <c r="F363" s="5" t="s">
        <v>1989</v>
      </c>
      <c r="G363" s="5" t="s">
        <v>1497</v>
      </c>
      <c r="I363" s="5">
        <f t="shared" si="144"/>
        <v>1886</v>
      </c>
      <c r="J363" s="5" t="str">
        <f t="shared" si="141"/>
        <v/>
      </c>
      <c r="K363" s="152"/>
      <c r="L363" s="7" t="str">
        <f>M363</f>
        <v>1886</v>
      </c>
      <c r="M363" s="10" t="s">
        <v>3288</v>
      </c>
      <c r="N363" s="10" t="s">
        <v>1992</v>
      </c>
      <c r="O363" s="7"/>
      <c r="P363" s="181" t="str">
        <f t="shared" ref="P363:P412" si="150">R363</f>
        <v/>
      </c>
      <c r="Q363" s="153" t="str">
        <f t="shared" si="143"/>
        <v>2cab</v>
      </c>
      <c r="R363" s="180" t="str">
        <f t="shared" ref="R363:R412" si="151">IF(LEN(O363)=4,O363,IF(O363="","",TEXT(O363,"dd/mm/yyyy")))</f>
        <v/>
      </c>
      <c r="S363" s="25" t="s">
        <v>3244</v>
      </c>
      <c r="T363" s="5">
        <f t="shared" ref="T363:T413" si="152">IF(B363&lt;10,V363+U363-1,IF(AND(B363&gt;=10,B363&lt;=99),V363+U363-2,V363+U363-3))</f>
        <v>5</v>
      </c>
      <c r="U363" s="5">
        <f t="shared" ref="U363:U413" si="153">LEN(C363)</f>
        <v>5</v>
      </c>
      <c r="V363" s="5">
        <f>VLOOKUP(B363,'Loyd List 1-190 - Edit'!$A$2:$B$220,2,FALSE)</f>
        <v>1</v>
      </c>
      <c r="W363" s="155">
        <f t="shared" ref="W363:W413" si="154">IF(LEN(C363)-IF(B363&lt;10,1,IF(AND(B363&gt;9,B363&lt;100),2,3))=1,1,IF(LEN(C363)-IF(B363&lt;10,1,IF(AND(B363&gt;9,B363&lt;100),2,3))=0,"SELF",LEN(C363)-IF(B363&lt;10,1,IF(AND(B363&gt;9,B363&lt;100),2,3))))</f>
        <v>4</v>
      </c>
      <c r="X363" s="105" t="s">
        <v>1990</v>
      </c>
      <c r="Y363" s="105" t="s">
        <v>2383</v>
      </c>
      <c r="Z363" s="164"/>
      <c r="AA363" s="6">
        <v>13</v>
      </c>
      <c r="AB363" s="5">
        <f t="shared" si="139"/>
        <v>3</v>
      </c>
      <c r="AC363" s="5">
        <f t="shared" si="128"/>
        <v>4003</v>
      </c>
      <c r="AD363" s="97" t="str">
        <f t="shared" ref="AD363:AD413" si="155">C363</f>
        <v>2cabb</v>
      </c>
      <c r="AE363" s="5" t="str">
        <f t="shared" ref="AE363:AE419" si="156">_xlfn.CONCAT(E363," ",F363," ",G363," ",D363," (",I363," - ",J363,")")</f>
        <v>Alice Muriel Loyd PROTHEROE (1886 - )</v>
      </c>
      <c r="AF363" s="5" t="str">
        <f t="shared" ref="AF363:AF419" si="157">IF(H363="",_xlfn.CONCAT(E363," ",D363," (",AH363," &amp; ",B363,")"),_xlfn.CONCAT(H363," ",D363," (",AH363," &amp; ",B363,")"))</f>
        <v>Alice PROTHEROE (5th &amp; 2)</v>
      </c>
      <c r="AG363" s="110" t="str">
        <f t="shared" ref="AG363:AG419" si="158">S363</f>
        <v>Female</v>
      </c>
      <c r="AH363" s="5" t="str">
        <f t="shared" si="142"/>
        <v>5th</v>
      </c>
      <c r="AI363" s="5" t="str">
        <f t="shared" si="145"/>
        <v>Husband: Edgar Stephen APPS. Edgar APPS, Lieut Commander, Royal Navy.</v>
      </c>
      <c r="AJ363" s="105" t="str">
        <f t="shared" si="129"/>
        <v>Female. b. 1886</v>
      </c>
      <c r="AK363" s="105" t="str">
        <f t="shared" ref="AK363:AK411" si="159">_xlfn.CONCAT(IF(L363="","b &amp; d dates unknown.",_xlfn.CONCAT("b. ",L363)),IF(P363="","",_xlfn.CONCAT(", d. ",P363,".")))</f>
        <v>b. 1886</v>
      </c>
    </row>
    <row r="364" spans="1:37" s="5" customFormat="1" ht="35">
      <c r="A364" s="5">
        <f>VLOOKUP(B364,'Loyd List 1-190 - Edit'!$P$1:$R$219,3,FALSE)</f>
        <v>1</v>
      </c>
      <c r="B364" s="5">
        <f t="shared" si="149"/>
        <v>2</v>
      </c>
      <c r="C364" s="157" t="s">
        <v>3289</v>
      </c>
      <c r="D364" s="6" t="s">
        <v>1973</v>
      </c>
      <c r="E364" s="5" t="s">
        <v>811</v>
      </c>
      <c r="F364" s="5" t="s">
        <v>1497</v>
      </c>
      <c r="G364" s="5" t="s">
        <v>1981</v>
      </c>
      <c r="I364" s="5">
        <f t="shared" si="144"/>
        <v>1888</v>
      </c>
      <c r="J364" s="5">
        <f>IF(O364="","",VALUE(RIGHT(TEXT(O364,"dd/mm/yyyy"),4)))</f>
        <v>1905</v>
      </c>
      <c r="K364" s="152"/>
      <c r="L364" s="7" t="str">
        <f>M364</f>
        <v>1888</v>
      </c>
      <c r="M364" s="10" t="s">
        <v>3292</v>
      </c>
      <c r="N364" s="10" t="s">
        <v>1998</v>
      </c>
      <c r="O364" s="123" t="s">
        <v>1997</v>
      </c>
      <c r="P364" s="181" t="str">
        <f t="shared" si="150"/>
        <v>1970</v>
      </c>
      <c r="Q364" s="153" t="str">
        <f t="shared" si="143"/>
        <v>2cab</v>
      </c>
      <c r="R364" s="180" t="str">
        <f t="shared" si="151"/>
        <v>1970</v>
      </c>
      <c r="S364" s="25" t="s">
        <v>3245</v>
      </c>
      <c r="T364" s="5">
        <f t="shared" si="152"/>
        <v>5</v>
      </c>
      <c r="U364" s="5">
        <f t="shared" si="153"/>
        <v>5</v>
      </c>
      <c r="V364" s="5">
        <f>VLOOKUP(B364,'Loyd List 1-190 - Edit'!$A$2:$B$220,2,FALSE)</f>
        <v>1</v>
      </c>
      <c r="W364" s="155">
        <f t="shared" si="154"/>
        <v>4</v>
      </c>
      <c r="X364" s="105" t="s">
        <v>2379</v>
      </c>
      <c r="Y364" s="105" t="s">
        <v>2385</v>
      </c>
      <c r="Z364" s="164"/>
      <c r="AA364" s="6">
        <v>15</v>
      </c>
      <c r="AB364" s="5">
        <f t="shared" si="139"/>
        <v>4</v>
      </c>
      <c r="AC364" s="5">
        <f t="shared" ref="AC364:AC413" si="160">W364*1000+AB364</f>
        <v>4004</v>
      </c>
      <c r="AD364" s="97" t="str">
        <f t="shared" si="155"/>
        <v>2cabc</v>
      </c>
      <c r="AE364" s="5" t="str">
        <f t="shared" si="156"/>
        <v>Edward Loyd Musgrave PROTHEROE (1888 - 1905)</v>
      </c>
      <c r="AF364" s="5" t="str">
        <f t="shared" si="157"/>
        <v>Edward PROTHEROE (5th &amp; 2)</v>
      </c>
      <c r="AG364" s="110" t="str">
        <f t="shared" si="158"/>
        <v>Male</v>
      </c>
      <c r="AH364" s="5" t="str">
        <f t="shared" si="142"/>
        <v>5th</v>
      </c>
      <c r="AI364" s="5" t="str">
        <f t="shared" si="145"/>
        <v>Wife: Nancy D WALTER (b.1902, d. 1985). Married at Uckfield</v>
      </c>
      <c r="AJ364" s="105" t="str">
        <f t="shared" ref="AJ364:AJ419" si="161">IF(Z364="",_xlfn.CONCAT(AG364,". ",AK364),_xlfn.CONCAT(AG364,". ",AK364," ",Z364))</f>
        <v>Male. b. 1888, d. 1970.</v>
      </c>
      <c r="AK364" s="105" t="str">
        <f t="shared" si="159"/>
        <v>b. 1888, d. 1970.</v>
      </c>
    </row>
    <row r="365" spans="1:37" s="5" customFormat="1" ht="35">
      <c r="A365" s="5">
        <f>VLOOKUP(B365,'Loyd List 1-190 - Edit'!$P$1:$R$219,3,FALSE)</f>
        <v>1</v>
      </c>
      <c r="B365" s="5">
        <f t="shared" si="149"/>
        <v>2</v>
      </c>
      <c r="C365" s="157" t="s">
        <v>3290</v>
      </c>
      <c r="D365" s="6" t="s">
        <v>1973</v>
      </c>
      <c r="E365" s="5" t="s">
        <v>1549</v>
      </c>
      <c r="F365" s="5" t="s">
        <v>841</v>
      </c>
      <c r="G365" s="5" t="s">
        <v>1497</v>
      </c>
      <c r="I365" s="5">
        <f t="shared" si="144"/>
        <v>1890</v>
      </c>
      <c r="J365" s="5">
        <f>IF(O365="","",VALUE(RIGHT(TEXT(O365,"dd/mm/yyyy"),4)))</f>
        <v>1905</v>
      </c>
      <c r="K365" s="152"/>
      <c r="L365" s="7" t="str">
        <f>M365</f>
        <v>1890</v>
      </c>
      <c r="M365" s="10" t="s">
        <v>1936</v>
      </c>
      <c r="N365" s="8"/>
      <c r="O365" s="123" t="s">
        <v>2001</v>
      </c>
      <c r="P365" s="181" t="str">
        <f t="shared" si="150"/>
        <v>1948</v>
      </c>
      <c r="Q365" s="153" t="str">
        <f t="shared" si="143"/>
        <v>2cab</v>
      </c>
      <c r="R365" s="180" t="str">
        <f t="shared" si="151"/>
        <v>1948</v>
      </c>
      <c r="S365" s="25" t="s">
        <v>3245</v>
      </c>
      <c r="T365" s="5">
        <f t="shared" si="152"/>
        <v>5</v>
      </c>
      <c r="U365" s="5">
        <f t="shared" si="153"/>
        <v>5</v>
      </c>
      <c r="V365" s="5">
        <f>VLOOKUP(B365,'Loyd List 1-190 - Edit'!$A$2:$B$220,2,FALSE)</f>
        <v>1</v>
      </c>
      <c r="W365" s="155">
        <f t="shared" si="154"/>
        <v>4</v>
      </c>
      <c r="X365" s="105" t="s">
        <v>2380</v>
      </c>
      <c r="Y365" s="105" t="s">
        <v>2386</v>
      </c>
      <c r="Z365" s="164"/>
      <c r="AA365" s="6">
        <v>16</v>
      </c>
      <c r="AB365" s="5">
        <f t="shared" si="139"/>
        <v>5</v>
      </c>
      <c r="AC365" s="5">
        <f t="shared" si="160"/>
        <v>4005</v>
      </c>
      <c r="AD365" s="97" t="str">
        <f t="shared" si="155"/>
        <v>2cabd</v>
      </c>
      <c r="AE365" s="5" t="str">
        <f t="shared" si="156"/>
        <v>Roderick Norman Loyd PROTHEROE (1890 - 1905)</v>
      </c>
      <c r="AF365" s="5" t="str">
        <f t="shared" si="157"/>
        <v>Roderick PROTHEROE (5th &amp; 2)</v>
      </c>
      <c r="AG365" s="110" t="str">
        <f t="shared" si="158"/>
        <v>Male</v>
      </c>
      <c r="AH365" s="5" t="str">
        <f t="shared" si="142"/>
        <v>5th</v>
      </c>
      <c r="AI365" s="5" t="str">
        <f t="shared" si="145"/>
        <v>Wife: Alice J CHAMBEL (b. ?, d. 1975). Married at Paddington</v>
      </c>
      <c r="AJ365" s="105" t="str">
        <f t="shared" si="161"/>
        <v>Male. b. 1890, d. 1948.</v>
      </c>
      <c r="AK365" s="105" t="str">
        <f t="shared" si="159"/>
        <v>b. 1890, d. 1948.</v>
      </c>
    </row>
    <row r="366" spans="1:37" s="5" customFormat="1" ht="20">
      <c r="A366" s="5">
        <f>VLOOKUP(B366,'Loyd List 1-190 - Edit'!$P$1:$R$219,3,FALSE)</f>
        <v>1</v>
      </c>
      <c r="B366" s="5">
        <f t="shared" si="149"/>
        <v>2</v>
      </c>
      <c r="C366" s="157" t="s">
        <v>3291</v>
      </c>
      <c r="D366" s="6" t="s">
        <v>1973</v>
      </c>
      <c r="E366" s="5" t="s">
        <v>2003</v>
      </c>
      <c r="F366" s="5" t="s">
        <v>904</v>
      </c>
      <c r="G366" s="5" t="s">
        <v>1497</v>
      </c>
      <c r="I366" s="5">
        <f t="shared" si="144"/>
        <v>1899</v>
      </c>
      <c r="J366" s="5">
        <f>IF(O366="","",VALUE(RIGHT(TEXT(O366,"dd/mm/yyyy"),4)))</f>
        <v>1905</v>
      </c>
      <c r="K366" s="152"/>
      <c r="L366" s="7" t="str">
        <f>M366</f>
        <v>1899</v>
      </c>
      <c r="M366" s="10" t="s">
        <v>3293</v>
      </c>
      <c r="N366" s="5" t="s">
        <v>1797</v>
      </c>
      <c r="O366" s="123" t="s">
        <v>2004</v>
      </c>
      <c r="P366" s="181" t="str">
        <f t="shared" si="150"/>
        <v>1945</v>
      </c>
      <c r="Q366" s="153" t="str">
        <f t="shared" si="143"/>
        <v>2cab</v>
      </c>
      <c r="R366" s="180" t="str">
        <f t="shared" si="151"/>
        <v>1945</v>
      </c>
      <c r="S366" s="25" t="s">
        <v>3244</v>
      </c>
      <c r="T366" s="5">
        <f t="shared" si="152"/>
        <v>5</v>
      </c>
      <c r="U366" s="5">
        <f t="shared" si="153"/>
        <v>5</v>
      </c>
      <c r="V366" s="5">
        <f>VLOOKUP(B366,'Loyd List 1-190 - Edit'!$A$2:$B$220,2,FALSE)</f>
        <v>1</v>
      </c>
      <c r="W366" s="155">
        <f t="shared" si="154"/>
        <v>4</v>
      </c>
      <c r="X366" s="105"/>
      <c r="Y366" s="105"/>
      <c r="Z366" s="164"/>
      <c r="AA366" s="6">
        <v>17</v>
      </c>
      <c r="AB366" s="5">
        <f t="shared" si="139"/>
        <v>6</v>
      </c>
      <c r="AC366" s="5">
        <f t="shared" si="160"/>
        <v>4006</v>
      </c>
      <c r="AD366" s="97" t="str">
        <f t="shared" si="155"/>
        <v>2cabe</v>
      </c>
      <c r="AE366" s="5" t="str">
        <f t="shared" si="156"/>
        <v>Norah Evelyn Loyd PROTHEROE (1899 - 1905)</v>
      </c>
      <c r="AF366" s="5" t="str">
        <f t="shared" si="157"/>
        <v>Norah PROTHEROE (5th &amp; 2)</v>
      </c>
      <c r="AG366" s="110" t="str">
        <f t="shared" si="158"/>
        <v>Female</v>
      </c>
      <c r="AH366" s="5" t="str">
        <f t="shared" si="142"/>
        <v>5th</v>
      </c>
      <c r="AI366" s="5" t="str">
        <f t="shared" si="145"/>
        <v>Unmarried</v>
      </c>
      <c r="AJ366" s="105" t="str">
        <f t="shared" si="161"/>
        <v>Female. b. 1899, d. 1945.</v>
      </c>
      <c r="AK366" s="105" t="str">
        <f t="shared" si="159"/>
        <v>b. 1899, d. 1945.</v>
      </c>
    </row>
    <row r="367" spans="1:37" s="5" customFormat="1" ht="69">
      <c r="A367" s="5">
        <f>VLOOKUP(B367,'Loyd List 1-190 - Edit'!$P$1:$R$219,3,FALSE)</f>
        <v>8</v>
      </c>
      <c r="B367" s="5">
        <f t="shared" ref="B367:B386" si="162">VALUE(LEFT(C367,2))</f>
        <v>18</v>
      </c>
      <c r="C367" s="157" t="s">
        <v>2046</v>
      </c>
      <c r="D367" s="6" t="s">
        <v>2048</v>
      </c>
      <c r="E367" s="5" t="s">
        <v>902</v>
      </c>
      <c r="F367" s="5" t="s">
        <v>2045</v>
      </c>
      <c r="G367" s="5" t="s">
        <v>2041</v>
      </c>
      <c r="I367" s="5">
        <f t="shared" si="144"/>
        <v>1945</v>
      </c>
      <c r="J367" s="5" t="str">
        <f t="shared" ref="J367:J419" si="163">IF(O367="","",VALUE(RIGHT(TEXT(O367,"dd/mm/yyyy"),4)))</f>
        <v/>
      </c>
      <c r="K367" s="152"/>
      <c r="L367" s="7" t="str">
        <f t="shared" ref="L367:L386" si="164">IF(M367="","",TEXT(M367,"dd/mm/yyyy"))</f>
        <v>30/10/1945</v>
      </c>
      <c r="M367" s="8">
        <v>16740</v>
      </c>
      <c r="N367" s="7">
        <v>28938</v>
      </c>
      <c r="O367" s="7"/>
      <c r="P367" s="181" t="str">
        <f t="shared" si="150"/>
        <v/>
      </c>
      <c r="Q367" s="153" t="str">
        <f t="shared" si="143"/>
        <v>18bba</v>
      </c>
      <c r="R367" s="180" t="str">
        <f t="shared" si="151"/>
        <v/>
      </c>
      <c r="S367" s="25" t="s">
        <v>3245</v>
      </c>
      <c r="T367" s="5">
        <f t="shared" si="152"/>
        <v>6</v>
      </c>
      <c r="U367" s="5">
        <f t="shared" si="153"/>
        <v>6</v>
      </c>
      <c r="V367" s="5">
        <f>VLOOKUP(B367,'Loyd List 1-190 - Edit'!$A$2:$B$220,2,FALSE)</f>
        <v>2</v>
      </c>
      <c r="W367" s="155">
        <f t="shared" si="154"/>
        <v>4</v>
      </c>
      <c r="X367" s="105" t="s">
        <v>2047</v>
      </c>
      <c r="Y367" s="105" t="s">
        <v>2403</v>
      </c>
      <c r="Z367" s="164" t="s">
        <v>2404</v>
      </c>
      <c r="AA367" s="6">
        <v>28</v>
      </c>
      <c r="AB367" s="5">
        <f t="shared" si="139"/>
        <v>7</v>
      </c>
      <c r="AC367" s="5">
        <f t="shared" si="160"/>
        <v>4007</v>
      </c>
      <c r="AD367" s="97" t="str">
        <f t="shared" si="155"/>
        <v>18bbaa</v>
      </c>
      <c r="AE367" s="5" t="str">
        <f t="shared" si="156"/>
        <v>Robert Paul Redston WARNER (later RAMSAY) (1945 - )</v>
      </c>
      <c r="AF367" s="5" t="str">
        <f t="shared" si="157"/>
        <v>Robert WARNER (later RAMSAY) (6th &amp; 18)</v>
      </c>
      <c r="AG367" s="110" t="str">
        <f t="shared" si="158"/>
        <v>Male</v>
      </c>
      <c r="AH367" s="5" t="str">
        <f t="shared" si="142"/>
        <v>6th</v>
      </c>
      <c r="AI367" s="5" t="str">
        <f t="shared" si="145"/>
        <v>Wife: Helen Louise GIBBON (b. 20/12/1952, ). Married at St Peter’s, Lutton Place, Edinburgh, Helen daughter of Colonel GIBBON of West Mayfield, Edinburgh.</v>
      </c>
      <c r="AJ367" s="105" t="str">
        <f t="shared" si="161"/>
        <v>Male. b. 30/10/1945 Educated Eton, Edinburgh University (MA) and University College, London (MSc). Changed name to RAMSAY on inheriting Bamff, Alyth, Perthshire. Environmentalist, Landowner and Writer. Council of National Trust for Scotland.</v>
      </c>
      <c r="AK367" s="105" t="str">
        <f t="shared" si="159"/>
        <v>b. 30/10/1945</v>
      </c>
    </row>
    <row r="368" spans="1:37" s="5" customFormat="1" ht="86">
      <c r="A368" s="5">
        <f>VLOOKUP(B368,'Loyd List 1-190 - Edit'!$P$1:$R$219,3,FALSE)</f>
        <v>8</v>
      </c>
      <c r="B368" s="5">
        <f t="shared" si="162"/>
        <v>18</v>
      </c>
      <c r="C368" s="157" t="s">
        <v>2407</v>
      </c>
      <c r="D368" s="6" t="s">
        <v>2038</v>
      </c>
      <c r="E368" s="5" t="s">
        <v>952</v>
      </c>
      <c r="F368" s="5" t="s">
        <v>2036</v>
      </c>
      <c r="I368" s="5">
        <f t="shared" si="144"/>
        <v>1947</v>
      </c>
      <c r="J368" s="5" t="str">
        <f t="shared" si="163"/>
        <v/>
      </c>
      <c r="K368" s="152"/>
      <c r="L368" s="7" t="str">
        <f t="shared" si="164"/>
        <v>14/12/1947</v>
      </c>
      <c r="M368" s="8">
        <v>17515</v>
      </c>
      <c r="N368" s="7">
        <v>27013</v>
      </c>
      <c r="O368" s="7"/>
      <c r="P368" s="181" t="str">
        <f t="shared" si="150"/>
        <v/>
      </c>
      <c r="Q368" s="153" t="str">
        <f t="shared" si="143"/>
        <v>18bba</v>
      </c>
      <c r="R368" s="180" t="str">
        <f t="shared" si="151"/>
        <v/>
      </c>
      <c r="S368" s="25" t="s">
        <v>3244</v>
      </c>
      <c r="T368" s="5">
        <f t="shared" si="152"/>
        <v>6</v>
      </c>
      <c r="U368" s="5">
        <f t="shared" si="153"/>
        <v>6</v>
      </c>
      <c r="V368" s="5">
        <f>VLOOKUP(B368,'Loyd List 1-190 - Edit'!$A$2:$B$220,2,FALSE)</f>
        <v>2</v>
      </c>
      <c r="W368" s="155">
        <f t="shared" si="154"/>
        <v>4</v>
      </c>
      <c r="X368" s="105" t="s">
        <v>2415</v>
      </c>
      <c r="Y368" s="105" t="s">
        <v>3595</v>
      </c>
      <c r="Z368" s="164" t="s">
        <v>3596</v>
      </c>
      <c r="AA368" s="6">
        <v>33</v>
      </c>
      <c r="AB368" s="5">
        <f t="shared" si="139"/>
        <v>8</v>
      </c>
      <c r="AC368" s="5">
        <f t="shared" si="160"/>
        <v>4008</v>
      </c>
      <c r="AD368" s="97" t="str">
        <f t="shared" si="155"/>
        <v>18bbab</v>
      </c>
      <c r="AE368" s="5" t="str">
        <f t="shared" si="156"/>
        <v>Elizabeth Margery  WARNER (1947 - )</v>
      </c>
      <c r="AF368" s="5" t="str">
        <f t="shared" si="157"/>
        <v>Elizabeth WARNER (6th &amp; 18)</v>
      </c>
      <c r="AG368" s="110" t="str">
        <f t="shared" si="158"/>
        <v>Female</v>
      </c>
      <c r="AH368" s="5" t="str">
        <f t="shared" si="142"/>
        <v>6th</v>
      </c>
      <c r="AI368" s="5" t="str">
        <f t="shared" si="145"/>
        <v>Husband: William BERRY (b. 26/09/1939, ). Married at St Giles’ Cathedral, Edinburgh, William elder son of Dr John BERRY CBE &amp; the Hon. Bride (née Fremantle) Berry of Tayfield, Newport-on-Tay, Fife.</v>
      </c>
      <c r="AJ368" s="105" t="str">
        <f t="shared" si="161"/>
        <v>Female. b. 14/12/1947 Twin with her brother Nigel. Educated Godolphin, Salisbury and Edinburgh and Aberdeen Universities.</v>
      </c>
      <c r="AK368" s="105" t="str">
        <f t="shared" si="159"/>
        <v>b. 14/12/1947</v>
      </c>
    </row>
    <row r="369" spans="1:37" s="5" customFormat="1" ht="68">
      <c r="A369" s="5">
        <f>VLOOKUP(B369,'Loyd List 1-190 - Edit'!$P$1:$R$219,3,FALSE)</f>
        <v>8</v>
      </c>
      <c r="B369" s="5">
        <f t="shared" si="162"/>
        <v>18</v>
      </c>
      <c r="C369" s="157" t="s">
        <v>2062</v>
      </c>
      <c r="D369" s="6" t="s">
        <v>2038</v>
      </c>
      <c r="E369" s="5" t="s">
        <v>2059</v>
      </c>
      <c r="F369" s="5" t="s">
        <v>913</v>
      </c>
      <c r="I369" s="5">
        <f t="shared" si="144"/>
        <v>1947</v>
      </c>
      <c r="J369" s="5" t="str">
        <f t="shared" si="163"/>
        <v/>
      </c>
      <c r="K369" s="152"/>
      <c r="L369" s="7" t="str">
        <f t="shared" si="164"/>
        <v>14/12/1947</v>
      </c>
      <c r="M369" s="8">
        <v>17515</v>
      </c>
      <c r="O369" s="7"/>
      <c r="P369" s="181" t="str">
        <f t="shared" si="150"/>
        <v/>
      </c>
      <c r="Q369" s="153" t="str">
        <f t="shared" si="143"/>
        <v>18bba</v>
      </c>
      <c r="R369" s="180" t="str">
        <f t="shared" si="151"/>
        <v/>
      </c>
      <c r="S369" s="25" t="s">
        <v>3245</v>
      </c>
      <c r="T369" s="5">
        <f t="shared" si="152"/>
        <v>6</v>
      </c>
      <c r="U369" s="5">
        <f t="shared" si="153"/>
        <v>6</v>
      </c>
      <c r="V369" s="5">
        <f>VLOOKUP(B369,'Loyd List 1-190 - Edit'!$A$2:$B$220,2,FALSE)</f>
        <v>2</v>
      </c>
      <c r="W369" s="155">
        <f t="shared" si="154"/>
        <v>4</v>
      </c>
      <c r="X369" s="105" t="s">
        <v>3776</v>
      </c>
      <c r="Y369" s="105"/>
      <c r="Z369" s="164" t="s">
        <v>3777</v>
      </c>
      <c r="AA369" s="6">
        <v>36</v>
      </c>
      <c r="AB369" s="5">
        <f t="shared" si="139"/>
        <v>9</v>
      </c>
      <c r="AC369" s="5">
        <f t="shared" si="160"/>
        <v>4009</v>
      </c>
      <c r="AD369" s="97" t="str">
        <f t="shared" si="155"/>
        <v>18bbac</v>
      </c>
      <c r="AE369" s="5" t="str">
        <f t="shared" si="156"/>
        <v>Nigel George  WARNER (1947 - )</v>
      </c>
      <c r="AF369" s="5" t="str">
        <f t="shared" si="157"/>
        <v>Nigel WARNER (6th &amp; 18)</v>
      </c>
      <c r="AG369" s="110" t="str">
        <f t="shared" si="158"/>
        <v>Male</v>
      </c>
      <c r="AH369" s="5" t="str">
        <f t="shared" si="142"/>
        <v>6th</v>
      </c>
      <c r="AI369" s="5" t="str">
        <f t="shared" si="145"/>
        <v xml:space="preserve">Wife: Civil partner  -  Kuei Lin HSU (Male, b 26/07/1965, ). </v>
      </c>
      <c r="AJ369" s="105" t="str">
        <f t="shared" si="161"/>
        <v>Male. b. 14/12/1947 Twin with his sister Elizabeth. Educated Rugby and Clare College, Cambridge. Chartered Accountant. Peat, Marwick &amp; Mitchell. Shell UK. Retired 1997. Awarded MBE in 2015 for services to the Internationals Lesbian and Gay Rights' movement.</v>
      </c>
      <c r="AK369" s="105" t="str">
        <f t="shared" si="159"/>
        <v>b. 14/12/1947</v>
      </c>
    </row>
    <row r="370" spans="1:37" s="5" customFormat="1" ht="69">
      <c r="A370" s="5">
        <f>VLOOKUP(B370,'Loyd List 1-190 - Edit'!$P$1:$R$219,3,FALSE)</f>
        <v>8</v>
      </c>
      <c r="B370" s="5">
        <f t="shared" si="162"/>
        <v>18</v>
      </c>
      <c r="C370" s="157" t="s">
        <v>2410</v>
      </c>
      <c r="D370" s="6" t="s">
        <v>2038</v>
      </c>
      <c r="E370" s="5" t="s">
        <v>2060</v>
      </c>
      <c r="F370" s="5" t="s">
        <v>2061</v>
      </c>
      <c r="G370" s="5" t="s">
        <v>1589</v>
      </c>
      <c r="I370" s="5">
        <f t="shared" si="144"/>
        <v>1949</v>
      </c>
      <c r="J370" s="5" t="str">
        <f t="shared" si="163"/>
        <v/>
      </c>
      <c r="K370" s="152"/>
      <c r="L370" s="7" t="str">
        <f t="shared" si="164"/>
        <v>18/10/1949</v>
      </c>
      <c r="M370" s="8">
        <v>18189</v>
      </c>
      <c r="N370" s="7">
        <v>30688</v>
      </c>
      <c r="O370" s="7"/>
      <c r="P370" s="181" t="str">
        <f t="shared" si="150"/>
        <v/>
      </c>
      <c r="Q370" s="153" t="str">
        <f t="shared" si="143"/>
        <v>18bba</v>
      </c>
      <c r="R370" s="180" t="str">
        <f t="shared" si="151"/>
        <v/>
      </c>
      <c r="S370" s="25" t="s">
        <v>3245</v>
      </c>
      <c r="T370" s="5">
        <f t="shared" si="152"/>
        <v>6</v>
      </c>
      <c r="U370" s="5">
        <f t="shared" si="153"/>
        <v>6</v>
      </c>
      <c r="V370" s="5">
        <f>VLOOKUP(B370,'Loyd List 1-190 - Edit'!$A$2:$B$220,2,FALSE)</f>
        <v>2</v>
      </c>
      <c r="W370" s="155">
        <f t="shared" si="154"/>
        <v>4</v>
      </c>
      <c r="X370" s="105" t="s">
        <v>3614</v>
      </c>
      <c r="Y370" s="105" t="s">
        <v>2421</v>
      </c>
      <c r="Z370" s="164" t="s">
        <v>3615</v>
      </c>
      <c r="AA370" s="6">
        <v>37</v>
      </c>
      <c r="AB370" s="5">
        <f t="shared" si="139"/>
        <v>10</v>
      </c>
      <c r="AC370" s="5">
        <f t="shared" si="160"/>
        <v>4010</v>
      </c>
      <c r="AD370" s="97" t="str">
        <f t="shared" si="155"/>
        <v>18bbad</v>
      </c>
      <c r="AE370" s="5" t="str">
        <f t="shared" si="156"/>
        <v>Alan Tristram Nicholas WARNER (1949 - )</v>
      </c>
      <c r="AF370" s="5" t="str">
        <f t="shared" si="157"/>
        <v>Alan WARNER (6th &amp; 18)</v>
      </c>
      <c r="AG370" s="110" t="str">
        <f t="shared" si="158"/>
        <v>Male</v>
      </c>
      <c r="AH370" s="5" t="str">
        <f t="shared" si="142"/>
        <v>6th</v>
      </c>
      <c r="AI370" s="5" t="str">
        <f t="shared" si="145"/>
        <v>Wife: Susan Voase ADDERLEY (b. 05/08/1949, ). Married Susan, at St Peter &amp; St Paul’s, Pickering, North Yorskhire, eldest daughter of RB ADDERLEY MBE of Pickering North Yorkshire</v>
      </c>
      <c r="AJ370" s="105" t="str">
        <f t="shared" si="161"/>
        <v xml:space="preserve">Male. b. 18/10/1949 Alan lives in Perthshire. Educated Rugby and St Andrews. Chartered Accountant, Touche Ross. Director Douglas Deakin Young 1980-2005, Director Duncan Lawrie Asset Management 2005-2017. </v>
      </c>
      <c r="AK370" s="105" t="str">
        <f t="shared" si="159"/>
        <v>b. 18/10/1949</v>
      </c>
    </row>
    <row r="371" spans="1:37" s="5" customFormat="1" ht="68">
      <c r="A371" s="5">
        <f>VLOOKUP(B371,'Loyd List 1-190 - Edit'!$P$1:$R$219,3,FALSE)</f>
        <v>8</v>
      </c>
      <c r="B371" s="5">
        <f t="shared" si="162"/>
        <v>18</v>
      </c>
      <c r="C371" s="157" t="s">
        <v>2069</v>
      </c>
      <c r="D371" s="6" t="s">
        <v>2022</v>
      </c>
      <c r="E371" s="5" t="s">
        <v>2068</v>
      </c>
      <c r="F371" s="5" t="s">
        <v>914</v>
      </c>
      <c r="I371" s="5">
        <f t="shared" si="144"/>
        <v>1947</v>
      </c>
      <c r="J371" s="5" t="str">
        <f t="shared" si="163"/>
        <v/>
      </c>
      <c r="K371" s="152"/>
      <c r="L371" s="7" t="str">
        <f t="shared" si="164"/>
        <v>22/05/1947</v>
      </c>
      <c r="M371" s="8">
        <v>17309</v>
      </c>
      <c r="N371" s="7"/>
      <c r="O371" s="7"/>
      <c r="P371" s="181" t="str">
        <f t="shared" si="150"/>
        <v/>
      </c>
      <c r="Q371" s="153" t="str">
        <f t="shared" si="143"/>
        <v>18bbb</v>
      </c>
      <c r="R371" s="180" t="str">
        <f t="shared" si="151"/>
        <v/>
      </c>
      <c r="S371" s="25" t="s">
        <v>3245</v>
      </c>
      <c r="T371" s="5">
        <f t="shared" si="152"/>
        <v>6</v>
      </c>
      <c r="U371" s="5">
        <f t="shared" si="153"/>
        <v>6</v>
      </c>
      <c r="V371" s="5">
        <f>VLOOKUP(B371,'Loyd List 1-190 - Edit'!$A$2:$B$220,2,FALSE)</f>
        <v>2</v>
      </c>
      <c r="W371" s="155">
        <f t="shared" si="154"/>
        <v>4</v>
      </c>
      <c r="X371" s="105" t="s">
        <v>3719</v>
      </c>
      <c r="Y371" s="105"/>
      <c r="Z371" s="164" t="s">
        <v>3720</v>
      </c>
      <c r="AA371" s="6">
        <v>41</v>
      </c>
      <c r="AB371" s="5">
        <f t="shared" si="139"/>
        <v>11</v>
      </c>
      <c r="AC371" s="5">
        <f t="shared" si="160"/>
        <v>4011</v>
      </c>
      <c r="AD371" s="97" t="str">
        <f t="shared" si="155"/>
        <v>18bbba</v>
      </c>
      <c r="AE371" s="5" t="str">
        <f t="shared" si="156"/>
        <v>Randall Lewis  NICOL (1947 - )</v>
      </c>
      <c r="AF371" s="5" t="str">
        <f t="shared" si="157"/>
        <v>Randall NICOL (6th &amp; 18)</v>
      </c>
      <c r="AG371" s="110" t="str">
        <f t="shared" si="158"/>
        <v>Male</v>
      </c>
      <c r="AH371" s="5" t="str">
        <f t="shared" si="142"/>
        <v>6th</v>
      </c>
      <c r="AI371" s="5" t="str">
        <f t="shared" si="145"/>
        <v xml:space="preserve">Wife: (1) Wendy Grace Isabel WHITESIDE (b. 25/11/1957, d 02/04/1987). (2) 26/08/1993 Felicity WARLOW-HARRY (b. 06/05/1950, ). </v>
      </c>
      <c r="AJ371" s="105" t="str">
        <f t="shared" si="161"/>
        <v>Male. b. 22/05/1947 Educated Rugby, Magdalene College, Cambridge, and Edinburgh University. Commissioned 1966, Scots Guards. Retired as Major 1979. Solicitor. Author of Till The Trumpet Sounds Again – The Scots Guards 1914-1919 in their Own words [2016] and Miles Barne’s Diary – A Suffolk Countryman at War [2017].</v>
      </c>
      <c r="AK371" s="105" t="str">
        <f t="shared" si="159"/>
        <v>b. 22/05/1947</v>
      </c>
    </row>
    <row r="372" spans="1:37" s="5" customFormat="1" ht="20">
      <c r="A372" s="5">
        <f>VLOOKUP(B372,'Loyd List 1-190 - Edit'!$P$1:$R$219,3,FALSE)</f>
        <v>8</v>
      </c>
      <c r="B372" s="5">
        <f t="shared" si="162"/>
        <v>18</v>
      </c>
      <c r="C372" s="157" t="s">
        <v>2070</v>
      </c>
      <c r="D372" s="6" t="s">
        <v>2022</v>
      </c>
      <c r="E372" s="5" t="s">
        <v>885</v>
      </c>
      <c r="F372" s="5" t="s">
        <v>1635</v>
      </c>
      <c r="I372" s="5">
        <f t="shared" si="144"/>
        <v>1949</v>
      </c>
      <c r="J372" s="5" t="str">
        <f t="shared" si="163"/>
        <v/>
      </c>
      <c r="K372" s="152"/>
      <c r="L372" s="7" t="str">
        <f t="shared" si="164"/>
        <v>31/07/1949</v>
      </c>
      <c r="M372" s="8">
        <v>18110</v>
      </c>
      <c r="N372" s="7">
        <v>28756</v>
      </c>
      <c r="O372" s="7"/>
      <c r="P372" s="181" t="str">
        <f t="shared" si="150"/>
        <v/>
      </c>
      <c r="Q372" s="153" t="str">
        <f t="shared" si="143"/>
        <v>18bbb</v>
      </c>
      <c r="R372" s="180" t="str">
        <f t="shared" si="151"/>
        <v/>
      </c>
      <c r="S372" s="25" t="s">
        <v>3245</v>
      </c>
      <c r="T372" s="5">
        <f t="shared" si="152"/>
        <v>6</v>
      </c>
      <c r="U372" s="5">
        <f t="shared" si="153"/>
        <v>6</v>
      </c>
      <c r="V372" s="5">
        <f>VLOOKUP(B372,'Loyd List 1-190 - Edit'!$A$2:$B$220,2,FALSE)</f>
        <v>2</v>
      </c>
      <c r="W372" s="155">
        <f t="shared" si="154"/>
        <v>4</v>
      </c>
      <c r="X372" s="105" t="s">
        <v>2071</v>
      </c>
      <c r="Y372" s="105"/>
      <c r="Z372" s="164" t="s">
        <v>2429</v>
      </c>
      <c r="AA372" s="6">
        <v>42</v>
      </c>
      <c r="AB372" s="5">
        <f t="shared" si="139"/>
        <v>12</v>
      </c>
      <c r="AC372" s="5">
        <f t="shared" si="160"/>
        <v>4012</v>
      </c>
      <c r="AD372" s="97" t="str">
        <f t="shared" si="155"/>
        <v>18bbbb</v>
      </c>
      <c r="AE372" s="5" t="str">
        <f t="shared" si="156"/>
        <v>Andrew Harry  NICOL (1949 - )</v>
      </c>
      <c r="AF372" s="5" t="str">
        <f t="shared" si="157"/>
        <v>Andrew NICOL (6th &amp; 18)</v>
      </c>
      <c r="AG372" s="110" t="str">
        <f t="shared" si="158"/>
        <v>Male</v>
      </c>
      <c r="AH372" s="5" t="str">
        <f t="shared" si="142"/>
        <v>6th</v>
      </c>
      <c r="AI372" s="5" t="str">
        <f t="shared" si="145"/>
        <v xml:space="preserve">Wife: Julie Helena EICHHORN (b. 07/02/1954, ). </v>
      </c>
      <c r="AJ372" s="105" t="str">
        <f t="shared" si="161"/>
        <v>Male. b. 31/07/1949 Educated Rugby and Aberdeen University.</v>
      </c>
      <c r="AK372" s="105" t="str">
        <f t="shared" si="159"/>
        <v>b. 31/07/1949</v>
      </c>
    </row>
    <row r="373" spans="1:37" s="5" customFormat="1" ht="35">
      <c r="A373" s="5">
        <f>VLOOKUP(B373,'Loyd List 1-190 - Edit'!$P$1:$R$219,3,FALSE)</f>
        <v>8</v>
      </c>
      <c r="B373" s="5">
        <f t="shared" si="162"/>
        <v>18</v>
      </c>
      <c r="C373" s="157" t="s">
        <v>2077</v>
      </c>
      <c r="D373" s="6" t="s">
        <v>2022</v>
      </c>
      <c r="E373" s="5" t="s">
        <v>2030</v>
      </c>
      <c r="F373" s="5" t="s">
        <v>918</v>
      </c>
      <c r="I373" s="5">
        <f t="shared" si="144"/>
        <v>1953</v>
      </c>
      <c r="J373" s="5" t="str">
        <f t="shared" si="163"/>
        <v/>
      </c>
      <c r="K373" s="152"/>
      <c r="L373" s="7" t="str">
        <f t="shared" si="164"/>
        <v>02/04/1953</v>
      </c>
      <c r="M373" s="8">
        <v>19451</v>
      </c>
      <c r="N373" s="7">
        <v>31017</v>
      </c>
      <c r="O373" s="7"/>
      <c r="P373" s="181" t="str">
        <f t="shared" si="150"/>
        <v/>
      </c>
      <c r="Q373" s="153" t="str">
        <f t="shared" si="143"/>
        <v>18bbb</v>
      </c>
      <c r="R373" s="180" t="str">
        <f t="shared" si="151"/>
        <v/>
      </c>
      <c r="S373" s="25" t="s">
        <v>3245</v>
      </c>
      <c r="T373" s="5">
        <f t="shared" si="152"/>
        <v>6</v>
      </c>
      <c r="U373" s="5">
        <f t="shared" si="153"/>
        <v>6</v>
      </c>
      <c r="V373" s="5">
        <f>VLOOKUP(B373,'Loyd List 1-190 - Edit'!$A$2:$B$220,2,FALSE)</f>
        <v>2</v>
      </c>
      <c r="W373" s="155">
        <f t="shared" si="154"/>
        <v>4</v>
      </c>
      <c r="X373" s="105" t="s">
        <v>2078</v>
      </c>
      <c r="Y373" s="105" t="s">
        <v>2430</v>
      </c>
      <c r="Z373" s="164" t="s">
        <v>3721</v>
      </c>
      <c r="AA373" s="6">
        <v>47</v>
      </c>
      <c r="AB373" s="5">
        <f t="shared" si="139"/>
        <v>13</v>
      </c>
      <c r="AC373" s="5">
        <f t="shared" si="160"/>
        <v>4013</v>
      </c>
      <c r="AD373" s="97" t="str">
        <f t="shared" si="155"/>
        <v>18bbbc</v>
      </c>
      <c r="AE373" s="5" t="str">
        <f t="shared" si="156"/>
        <v>Malcolm James  NICOL (1953 - )</v>
      </c>
      <c r="AF373" s="5" t="str">
        <f t="shared" si="157"/>
        <v>Malcolm NICOL (6th &amp; 18)</v>
      </c>
      <c r="AG373" s="110" t="str">
        <f t="shared" si="158"/>
        <v>Male</v>
      </c>
      <c r="AH373" s="5" t="str">
        <f t="shared" ref="AH373:AH419" si="165">VLOOKUP(T373,$AQ$2:$AS$10,3,FALSE)</f>
        <v>6th</v>
      </c>
      <c r="AI373" s="5" t="str">
        <f t="shared" si="145"/>
        <v>Wife: Christina Barbara PETRY (b. 04/05/1954, ). Eldest daughter of John PETRY.</v>
      </c>
      <c r="AJ373" s="105" t="str">
        <f t="shared" si="161"/>
        <v>Male. b. 02/04/1953 Malcolm lives in Ballogie, Aboyne, Aberdeenshire. Educated Rugby &amp; Durham University. Estate Manager, Ballogie Estate.</v>
      </c>
      <c r="AK373" s="105" t="str">
        <f t="shared" si="159"/>
        <v>b. 02/04/1953</v>
      </c>
    </row>
    <row r="374" spans="1:37" s="5" customFormat="1" ht="52">
      <c r="A374" s="5">
        <f>VLOOKUP(B374,'Loyd List 1-190 - Edit'!$P$1:$R$219,3,FALSE)</f>
        <v>22</v>
      </c>
      <c r="B374" s="5">
        <f t="shared" si="162"/>
        <v>36</v>
      </c>
      <c r="C374" s="157" t="s">
        <v>2159</v>
      </c>
      <c r="D374" s="5" t="s">
        <v>2158</v>
      </c>
      <c r="E374" s="5" t="s">
        <v>902</v>
      </c>
      <c r="F374" s="5" t="s">
        <v>885</v>
      </c>
      <c r="I374" s="5">
        <f t="shared" si="144"/>
        <v>1967</v>
      </c>
      <c r="J374" s="5" t="str">
        <f t="shared" si="163"/>
        <v/>
      </c>
      <c r="K374" s="152"/>
      <c r="L374" s="7" t="str">
        <f t="shared" si="164"/>
        <v>30/04/1967</v>
      </c>
      <c r="M374" s="8">
        <v>24592</v>
      </c>
      <c r="N374" s="7">
        <v>34776</v>
      </c>
      <c r="O374" s="7"/>
      <c r="P374" s="181" t="str">
        <f t="shared" si="150"/>
        <v/>
      </c>
      <c r="Q374" s="153" t="str">
        <f t="shared" si="143"/>
        <v>36dba</v>
      </c>
      <c r="R374" s="180" t="str">
        <f t="shared" si="151"/>
        <v/>
      </c>
      <c r="S374" s="25" t="s">
        <v>3245</v>
      </c>
      <c r="T374" s="5">
        <f t="shared" si="152"/>
        <v>7</v>
      </c>
      <c r="U374" s="5">
        <f t="shared" si="153"/>
        <v>6</v>
      </c>
      <c r="V374" s="5">
        <f>VLOOKUP(B374,'Loyd List 1-190 - Edit'!$A$2:$B$220,2,FALSE)</f>
        <v>3</v>
      </c>
      <c r="W374" s="155">
        <f t="shared" si="154"/>
        <v>4</v>
      </c>
      <c r="X374" s="105" t="s">
        <v>2463</v>
      </c>
      <c r="Y374" s="105" t="s">
        <v>2462</v>
      </c>
      <c r="Z374" s="164" t="s">
        <v>2466</v>
      </c>
      <c r="AA374" s="6">
        <v>77</v>
      </c>
      <c r="AB374" s="5">
        <f t="shared" si="139"/>
        <v>14</v>
      </c>
      <c r="AC374" s="5">
        <f t="shared" si="160"/>
        <v>4014</v>
      </c>
      <c r="AD374" s="97" t="str">
        <f t="shared" si="155"/>
        <v>36dbaa</v>
      </c>
      <c r="AE374" s="5" t="str">
        <f t="shared" si="156"/>
        <v>Robert Andrew  SCOTT-DEMPSTER (1967 - )</v>
      </c>
      <c r="AF374" s="5" t="str">
        <f t="shared" si="157"/>
        <v>Robert SCOTT-DEMPSTER (7th &amp; 36)</v>
      </c>
      <c r="AG374" s="110" t="str">
        <f t="shared" si="158"/>
        <v>Male</v>
      </c>
      <c r="AH374" s="5" t="str">
        <f t="shared" si="165"/>
        <v>7th</v>
      </c>
      <c r="AI374" s="5" t="str">
        <f t="shared" si="145"/>
        <v>Wife: Camilla Helen LOCKHART SMITH (b. 06/10/1969, d. ). Married at Southwell Minster. Camilla daughter of Peter LOCKHART SMITH.</v>
      </c>
      <c r="AJ374" s="105" t="str">
        <f t="shared" si="161"/>
        <v>Male. b. 30/04/1967 Born in Reading.</v>
      </c>
      <c r="AK374" s="105" t="str">
        <f t="shared" si="159"/>
        <v>b. 30/04/1967</v>
      </c>
    </row>
    <row r="375" spans="1:37" s="5" customFormat="1" ht="19">
      <c r="A375" s="5">
        <f>VLOOKUP(B375,'Loyd List 1-190 - Edit'!$P$1:$R$219,3,FALSE)</f>
        <v>22</v>
      </c>
      <c r="B375" s="5">
        <f t="shared" si="162"/>
        <v>36</v>
      </c>
      <c r="C375" s="157" t="s">
        <v>2163</v>
      </c>
      <c r="D375" s="5" t="s">
        <v>2158</v>
      </c>
      <c r="E375" s="5" t="s">
        <v>1654</v>
      </c>
      <c r="F375" s="5" t="s">
        <v>1010</v>
      </c>
      <c r="I375" s="5">
        <f t="shared" si="144"/>
        <v>1969</v>
      </c>
      <c r="J375" s="5" t="str">
        <f t="shared" si="163"/>
        <v/>
      </c>
      <c r="K375" s="152"/>
      <c r="L375" s="7" t="str">
        <f t="shared" si="164"/>
        <v>07/06/1969</v>
      </c>
      <c r="M375" s="8">
        <v>25361</v>
      </c>
      <c r="N375" s="7"/>
      <c r="O375" s="7"/>
      <c r="P375" s="181" t="str">
        <f t="shared" si="150"/>
        <v/>
      </c>
      <c r="Q375" s="153" t="str">
        <f t="shared" si="143"/>
        <v>36dba</v>
      </c>
      <c r="R375" s="180" t="str">
        <f t="shared" si="151"/>
        <v/>
      </c>
      <c r="S375" s="25" t="s">
        <v>3244</v>
      </c>
      <c r="T375" s="5">
        <f t="shared" si="152"/>
        <v>7</v>
      </c>
      <c r="U375" s="5">
        <f t="shared" si="153"/>
        <v>6</v>
      </c>
      <c r="V375" s="5">
        <f>VLOOKUP(B375,'Loyd List 1-190 - Edit'!$A$2:$B$220,2,FALSE)</f>
        <v>3</v>
      </c>
      <c r="W375" s="155">
        <f t="shared" si="154"/>
        <v>4</v>
      </c>
      <c r="X375" s="105"/>
      <c r="Y375" s="105"/>
      <c r="Z375" s="164" t="s">
        <v>2465</v>
      </c>
      <c r="AA375" s="6">
        <v>79</v>
      </c>
      <c r="AB375" s="5">
        <f t="shared" si="139"/>
        <v>15</v>
      </c>
      <c r="AC375" s="5">
        <f t="shared" si="160"/>
        <v>4015</v>
      </c>
      <c r="AD375" s="97" t="str">
        <f t="shared" si="155"/>
        <v>36dbab</v>
      </c>
      <c r="AE375" s="5" t="str">
        <f t="shared" si="156"/>
        <v>Clare Ann  SCOTT-DEMPSTER (1969 - )</v>
      </c>
      <c r="AF375" s="5" t="str">
        <f t="shared" si="157"/>
        <v>Clare SCOTT-DEMPSTER (7th &amp; 36)</v>
      </c>
      <c r="AG375" s="110" t="str">
        <f t="shared" si="158"/>
        <v>Female</v>
      </c>
      <c r="AH375" s="5" t="str">
        <f t="shared" si="165"/>
        <v>7th</v>
      </c>
      <c r="AI375" s="5" t="str">
        <f t="shared" si="145"/>
        <v>Unmarried</v>
      </c>
      <c r="AJ375" s="105" t="str">
        <f t="shared" si="161"/>
        <v>Female. b. 07/06/1969 Born in Reading</v>
      </c>
      <c r="AK375" s="105" t="str">
        <f t="shared" si="159"/>
        <v>b. 07/06/1969</v>
      </c>
    </row>
    <row r="376" spans="1:37" s="5" customFormat="1" ht="19">
      <c r="A376" s="5">
        <f>VLOOKUP(B376,'Loyd List 1-190 - Edit'!$P$1:$R$219,3,FALSE)</f>
        <v>22</v>
      </c>
      <c r="B376" s="5">
        <f t="shared" si="162"/>
        <v>36</v>
      </c>
      <c r="C376" s="157" t="s">
        <v>2164</v>
      </c>
      <c r="D376" s="5" t="s">
        <v>2158</v>
      </c>
      <c r="E376" s="5" t="s">
        <v>1635</v>
      </c>
      <c r="F376" s="5" t="s">
        <v>2162</v>
      </c>
      <c r="H376" s="5" t="s">
        <v>1010</v>
      </c>
      <c r="I376" s="5">
        <f t="shared" si="144"/>
        <v>1985</v>
      </c>
      <c r="J376" s="5" t="str">
        <f t="shared" si="163"/>
        <v/>
      </c>
      <c r="K376" s="152"/>
      <c r="L376" s="7" t="str">
        <f t="shared" si="164"/>
        <v>28/08/1985</v>
      </c>
      <c r="M376" s="10" t="s">
        <v>2973</v>
      </c>
      <c r="N376" s="7"/>
      <c r="O376" s="7"/>
      <c r="P376" s="181" t="str">
        <f t="shared" si="150"/>
        <v/>
      </c>
      <c r="Q376" s="153" t="str">
        <f t="shared" si="143"/>
        <v>36dba</v>
      </c>
      <c r="R376" s="180" t="str">
        <f t="shared" si="151"/>
        <v/>
      </c>
      <c r="S376" s="25" t="s">
        <v>3245</v>
      </c>
      <c r="T376" s="5">
        <f t="shared" si="152"/>
        <v>7</v>
      </c>
      <c r="U376" s="5">
        <f t="shared" si="153"/>
        <v>6</v>
      </c>
      <c r="V376" s="5">
        <f>VLOOKUP(B376,'Loyd List 1-190 - Edit'!$A$2:$B$220,2,FALSE)</f>
        <v>3</v>
      </c>
      <c r="W376" s="155">
        <f t="shared" si="154"/>
        <v>4</v>
      </c>
      <c r="X376" s="105"/>
      <c r="Y376" s="105"/>
      <c r="Z376" s="164" t="s">
        <v>2467</v>
      </c>
      <c r="AA376" s="6">
        <v>80</v>
      </c>
      <c r="AB376" s="5">
        <f t="shared" si="139"/>
        <v>16</v>
      </c>
      <c r="AC376" s="5">
        <f t="shared" si="160"/>
        <v>4016</v>
      </c>
      <c r="AD376" s="97" t="str">
        <f t="shared" si="155"/>
        <v>36dbac</v>
      </c>
      <c r="AE376" s="5" t="str">
        <f t="shared" si="156"/>
        <v>Harry Colin  SCOTT-DEMPSTER (1985 - )</v>
      </c>
      <c r="AF376" s="5" t="str">
        <f t="shared" si="157"/>
        <v>Ann SCOTT-DEMPSTER (7th &amp; 36)</v>
      </c>
      <c r="AG376" s="110" t="str">
        <f t="shared" si="158"/>
        <v>Male</v>
      </c>
      <c r="AH376" s="5" t="str">
        <f t="shared" si="165"/>
        <v>7th</v>
      </c>
      <c r="AI376" s="5" t="str">
        <f t="shared" si="145"/>
        <v>Unmarried</v>
      </c>
      <c r="AJ376" s="105" t="str">
        <f t="shared" si="161"/>
        <v>Male. b. 28/08/1985 Born in Oxford</v>
      </c>
      <c r="AK376" s="105" t="str">
        <f t="shared" si="159"/>
        <v>b. 28/08/1985</v>
      </c>
    </row>
    <row r="377" spans="1:37" s="5" customFormat="1" ht="52">
      <c r="A377" s="5">
        <f>VLOOKUP(B377,'Loyd List 1-190 - Edit'!$P$1:$R$219,3,FALSE)</f>
        <v>22</v>
      </c>
      <c r="B377" s="5">
        <f t="shared" si="162"/>
        <v>36</v>
      </c>
      <c r="C377" s="157" t="s">
        <v>2168</v>
      </c>
      <c r="D377" s="5" t="s">
        <v>2167</v>
      </c>
      <c r="E377" s="5" t="s">
        <v>922</v>
      </c>
      <c r="F377" s="5" t="s">
        <v>882</v>
      </c>
      <c r="I377" s="5">
        <f t="shared" si="144"/>
        <v>1966</v>
      </c>
      <c r="J377" s="5" t="str">
        <f t="shared" si="163"/>
        <v/>
      </c>
      <c r="K377" s="152"/>
      <c r="L377" s="7" t="str">
        <f t="shared" si="164"/>
        <v>17/12/1966</v>
      </c>
      <c r="M377" s="8">
        <v>24458</v>
      </c>
      <c r="N377" s="7"/>
      <c r="O377" s="7"/>
      <c r="P377" s="181" t="str">
        <f t="shared" si="150"/>
        <v/>
      </c>
      <c r="Q377" s="153" t="str">
        <f t="shared" si="143"/>
        <v>36dbb</v>
      </c>
      <c r="R377" s="180" t="str">
        <f t="shared" si="151"/>
        <v/>
      </c>
      <c r="S377" s="25" t="s">
        <v>3244</v>
      </c>
      <c r="T377" s="5">
        <f t="shared" si="152"/>
        <v>7</v>
      </c>
      <c r="U377" s="5">
        <f t="shared" si="153"/>
        <v>6</v>
      </c>
      <c r="V377" s="5">
        <f>VLOOKUP(B377,'Loyd List 1-190 - Edit'!$A$2:$B$220,2,FALSE)</f>
        <v>3</v>
      </c>
      <c r="W377" s="155">
        <f t="shared" si="154"/>
        <v>4</v>
      </c>
      <c r="X377" s="105" t="s">
        <v>2205</v>
      </c>
      <c r="Y377" s="105" t="s">
        <v>2471</v>
      </c>
      <c r="Z377" s="164" t="s">
        <v>2470</v>
      </c>
      <c r="AA377" s="6">
        <v>82</v>
      </c>
      <c r="AB377" s="5">
        <f t="shared" si="139"/>
        <v>17</v>
      </c>
      <c r="AC377" s="5">
        <f t="shared" si="160"/>
        <v>4017</v>
      </c>
      <c r="AD377" s="97" t="str">
        <f t="shared" si="155"/>
        <v>36dbba</v>
      </c>
      <c r="AE377" s="5" t="str">
        <f t="shared" si="156"/>
        <v>Jane Margaret  LINDSAY (1966 - )</v>
      </c>
      <c r="AF377" s="5" t="str">
        <f t="shared" si="157"/>
        <v>Jane LINDSAY (7th &amp; 36)</v>
      </c>
      <c r="AG377" s="110" t="str">
        <f t="shared" si="158"/>
        <v>Female</v>
      </c>
      <c r="AH377" s="5" t="str">
        <f t="shared" si="165"/>
        <v>7th</v>
      </c>
      <c r="AI377" s="5" t="str">
        <f t="shared" si="145"/>
        <v>Husband: Charles Robert Stephen GRAHAM (b. 01/04/1961, d.). Married at St Cuthbert’s. Edinburgh,</v>
      </c>
      <c r="AJ377" s="105" t="str">
        <f t="shared" si="161"/>
        <v>Female. b. 17/12/1966 Born in Edinburgh.</v>
      </c>
      <c r="AK377" s="105" t="str">
        <f t="shared" si="159"/>
        <v>b. 17/12/1966</v>
      </c>
    </row>
    <row r="378" spans="1:37" s="5" customFormat="1" ht="52">
      <c r="A378" s="5">
        <f>VLOOKUP(B378,'Loyd List 1-190 - Edit'!$P$1:$R$219,3,FALSE)</f>
        <v>22</v>
      </c>
      <c r="B378" s="5">
        <f t="shared" si="162"/>
        <v>36</v>
      </c>
      <c r="C378" s="157" t="s">
        <v>2175</v>
      </c>
      <c r="D378" s="5" t="s">
        <v>2167</v>
      </c>
      <c r="E378" s="5" t="s">
        <v>928</v>
      </c>
      <c r="F378" s="5" t="s">
        <v>2170</v>
      </c>
      <c r="I378" s="5">
        <f t="shared" si="144"/>
        <v>1969</v>
      </c>
      <c r="J378" s="5" t="str">
        <f t="shared" si="163"/>
        <v/>
      </c>
      <c r="K378" s="152"/>
      <c r="L378" s="7" t="str">
        <f t="shared" si="164"/>
        <v>18/02/1969</v>
      </c>
      <c r="M378" s="8">
        <v>25252</v>
      </c>
      <c r="N378" s="7"/>
      <c r="O378" s="7"/>
      <c r="P378" s="181" t="str">
        <f t="shared" si="150"/>
        <v/>
      </c>
      <c r="Q378" s="153" t="str">
        <f t="shared" si="143"/>
        <v>36dbb</v>
      </c>
      <c r="R378" s="180" t="str">
        <f t="shared" si="151"/>
        <v/>
      </c>
      <c r="S378" s="25" t="s">
        <v>3245</v>
      </c>
      <c r="T378" s="5">
        <f t="shared" si="152"/>
        <v>7</v>
      </c>
      <c r="U378" s="5">
        <f t="shared" si="153"/>
        <v>6</v>
      </c>
      <c r="V378" s="5">
        <f>VLOOKUP(B378,'Loyd List 1-190 - Edit'!$A$2:$B$220,2,FALSE)</f>
        <v>3</v>
      </c>
      <c r="W378" s="155">
        <f t="shared" si="154"/>
        <v>4</v>
      </c>
      <c r="X378" s="105" t="s">
        <v>2176</v>
      </c>
      <c r="Y378" s="105" t="s">
        <v>2474</v>
      </c>
      <c r="Z378" s="164" t="s">
        <v>2473</v>
      </c>
      <c r="AA378" s="6">
        <v>85</v>
      </c>
      <c r="AB378" s="5">
        <f t="shared" si="139"/>
        <v>18</v>
      </c>
      <c r="AC378" s="5">
        <f t="shared" si="160"/>
        <v>4018</v>
      </c>
      <c r="AD378" s="97" t="str">
        <f t="shared" si="155"/>
        <v>36dbbb</v>
      </c>
      <c r="AE378" s="5" t="str">
        <f t="shared" si="156"/>
        <v>Richard Stephen  LINDSAY (1969 - )</v>
      </c>
      <c r="AF378" s="5" t="str">
        <f t="shared" si="157"/>
        <v>Richard LINDSAY (7th &amp; 36)</v>
      </c>
      <c r="AG378" s="110" t="str">
        <f t="shared" si="158"/>
        <v>Male</v>
      </c>
      <c r="AH378" s="5" t="str">
        <f t="shared" si="165"/>
        <v>7th</v>
      </c>
      <c r="AI378" s="5" t="str">
        <f t="shared" si="145"/>
        <v>Wife: Xanthe CRITCHETT (b. 13/02/1968, d. ?). Married at St Peter’s, Limpsfield Xanthe daughter of Sir Ian CRITCHETT.</v>
      </c>
      <c r="AJ378" s="105" t="str">
        <f t="shared" si="161"/>
        <v>Male. b. 18/02/1969 Born in Salisbury.</v>
      </c>
      <c r="AK378" s="105" t="str">
        <f t="shared" si="159"/>
        <v>b. 18/02/1969</v>
      </c>
    </row>
    <row r="379" spans="1:37" s="5" customFormat="1" ht="19">
      <c r="A379" s="5">
        <f>VLOOKUP(B379,'Loyd List 1-190 - Edit'!$P$1:$R$219,3,FALSE)</f>
        <v>22</v>
      </c>
      <c r="B379" s="5">
        <f t="shared" si="162"/>
        <v>36</v>
      </c>
      <c r="C379" s="157" t="s">
        <v>2180</v>
      </c>
      <c r="D379" s="5" t="s">
        <v>2167</v>
      </c>
      <c r="E379" s="5" t="s">
        <v>917</v>
      </c>
      <c r="F379" s="5" t="s">
        <v>2173</v>
      </c>
      <c r="I379" s="5">
        <f t="shared" si="144"/>
        <v>1974</v>
      </c>
      <c r="J379" s="5" t="str">
        <f t="shared" si="163"/>
        <v/>
      </c>
      <c r="K379" s="152"/>
      <c r="L379" s="7" t="str">
        <f t="shared" si="164"/>
        <v>24/04/1974</v>
      </c>
      <c r="M379" s="8">
        <v>27143</v>
      </c>
      <c r="N379" s="7"/>
      <c r="O379" s="7"/>
      <c r="P379" s="181" t="str">
        <f t="shared" si="150"/>
        <v/>
      </c>
      <c r="Q379" s="153" t="str">
        <f t="shared" si="143"/>
        <v>36dbb</v>
      </c>
      <c r="R379" s="180" t="str">
        <f t="shared" si="151"/>
        <v/>
      </c>
      <c r="S379" s="25" t="s">
        <v>3245</v>
      </c>
      <c r="T379" s="5">
        <f t="shared" si="152"/>
        <v>7</v>
      </c>
      <c r="U379" s="5">
        <f t="shared" si="153"/>
        <v>6</v>
      </c>
      <c r="V379" s="5">
        <f>VLOOKUP(B379,'Loyd List 1-190 - Edit'!$A$2:$B$220,2,FALSE)</f>
        <v>3</v>
      </c>
      <c r="W379" s="155">
        <f t="shared" si="154"/>
        <v>4</v>
      </c>
      <c r="X379" s="105"/>
      <c r="Y379" s="105"/>
      <c r="Z379" s="164" t="s">
        <v>2470</v>
      </c>
      <c r="AA379" s="6">
        <v>87</v>
      </c>
      <c r="AB379" s="5">
        <f t="shared" si="139"/>
        <v>19</v>
      </c>
      <c r="AC379" s="5">
        <f t="shared" si="160"/>
        <v>4019</v>
      </c>
      <c r="AD379" s="97" t="str">
        <f t="shared" si="155"/>
        <v>36dbbc</v>
      </c>
      <c r="AE379" s="5" t="str">
        <f t="shared" si="156"/>
        <v>Charles Ludovic  LINDSAY (1974 - )</v>
      </c>
      <c r="AF379" s="5" t="str">
        <f t="shared" si="157"/>
        <v>Charles LINDSAY (7th &amp; 36)</v>
      </c>
      <c r="AG379" s="110" t="str">
        <f t="shared" si="158"/>
        <v>Male</v>
      </c>
      <c r="AH379" s="5" t="str">
        <f t="shared" si="165"/>
        <v>7th</v>
      </c>
      <c r="AI379" s="5" t="str">
        <f t="shared" si="145"/>
        <v>Unmarried</v>
      </c>
      <c r="AJ379" s="105" t="str">
        <f t="shared" si="161"/>
        <v>Male. b. 24/04/1974 Born in Edinburgh.</v>
      </c>
      <c r="AK379" s="105" t="str">
        <f t="shared" si="159"/>
        <v>b. 24/04/1974</v>
      </c>
    </row>
    <row r="380" spans="1:37" s="5" customFormat="1" ht="19">
      <c r="A380" s="5">
        <f>VLOOKUP(B380,'Loyd List 1-190 - Edit'!$P$1:$R$219,3,FALSE)</f>
        <v>22</v>
      </c>
      <c r="B380" s="5">
        <f t="shared" si="162"/>
        <v>36</v>
      </c>
      <c r="C380" s="157" t="s">
        <v>2181</v>
      </c>
      <c r="D380" s="5" t="s">
        <v>2167</v>
      </c>
      <c r="E380" s="5" t="s">
        <v>885</v>
      </c>
      <c r="F380" s="5" t="s">
        <v>918</v>
      </c>
      <c r="G380" s="5" t="s">
        <v>2179</v>
      </c>
      <c r="I380" s="5">
        <f t="shared" si="144"/>
        <v>1977</v>
      </c>
      <c r="J380" s="5" t="str">
        <f t="shared" si="163"/>
        <v/>
      </c>
      <c r="K380" s="152"/>
      <c r="L380" s="7" t="str">
        <f t="shared" si="164"/>
        <v>25/03/1977</v>
      </c>
      <c r="M380" s="8">
        <v>28209</v>
      </c>
      <c r="N380" s="7"/>
      <c r="O380" s="7"/>
      <c r="P380" s="181" t="str">
        <f t="shared" si="150"/>
        <v/>
      </c>
      <c r="Q380" s="153" t="str">
        <f t="shared" si="143"/>
        <v>36dbb</v>
      </c>
      <c r="R380" s="180" t="str">
        <f t="shared" si="151"/>
        <v/>
      </c>
      <c r="S380" s="25" t="s">
        <v>3245</v>
      </c>
      <c r="T380" s="5">
        <f t="shared" si="152"/>
        <v>7</v>
      </c>
      <c r="U380" s="5">
        <f t="shared" si="153"/>
        <v>6</v>
      </c>
      <c r="V380" s="5">
        <f>VLOOKUP(B380,'Loyd List 1-190 - Edit'!$A$2:$B$220,2,FALSE)</f>
        <v>3</v>
      </c>
      <c r="W380" s="155">
        <f t="shared" si="154"/>
        <v>4</v>
      </c>
      <c r="X380" s="105"/>
      <c r="Y380" s="105"/>
      <c r="Z380" s="164" t="s">
        <v>4340</v>
      </c>
      <c r="AA380" s="6">
        <v>88</v>
      </c>
      <c r="AB380" s="5">
        <f t="shared" si="139"/>
        <v>20</v>
      </c>
      <c r="AC380" s="5">
        <f t="shared" si="160"/>
        <v>4020</v>
      </c>
      <c r="AD380" s="97" t="str">
        <f t="shared" si="155"/>
        <v>36dbbd</v>
      </c>
      <c r="AE380" s="5" t="str">
        <f t="shared" si="156"/>
        <v>Andrew James Ronald LINDSAY (1977 - )</v>
      </c>
      <c r="AF380" s="5" t="str">
        <f t="shared" si="157"/>
        <v>Andrew LINDSAY (7th &amp; 36)</v>
      </c>
      <c r="AG380" s="110" t="str">
        <f t="shared" si="158"/>
        <v>Male</v>
      </c>
      <c r="AH380" s="5" t="str">
        <f t="shared" si="165"/>
        <v>7th</v>
      </c>
      <c r="AI380" s="5" t="str">
        <f t="shared" si="145"/>
        <v>Unmarried</v>
      </c>
      <c r="AJ380" s="105" t="str">
        <f t="shared" si="161"/>
        <v>Male. b. 25/03/1977 Born in Perth. Gold Medal at Sydney 2000 in Men's Rowing Eight.</v>
      </c>
      <c r="AK380" s="105" t="str">
        <f t="shared" si="159"/>
        <v>b. 25/03/1977</v>
      </c>
    </row>
    <row r="381" spans="1:37" s="5" customFormat="1" ht="20">
      <c r="A381" s="5">
        <f>VLOOKUP(B381,'Loyd List 1-190 - Edit'!$P$1:$R$219,3,FALSE)</f>
        <v>22</v>
      </c>
      <c r="B381" s="5">
        <f t="shared" si="162"/>
        <v>47</v>
      </c>
      <c r="C381" s="157" t="s">
        <v>2212</v>
      </c>
      <c r="D381" s="6" t="s">
        <v>2210</v>
      </c>
      <c r="E381" s="5" t="s">
        <v>2211</v>
      </c>
      <c r="F381" s="5" t="s">
        <v>870</v>
      </c>
      <c r="I381" s="5">
        <f t="shared" si="144"/>
        <v>1977</v>
      </c>
      <c r="J381" s="5" t="str">
        <f t="shared" si="163"/>
        <v/>
      </c>
      <c r="K381" s="152"/>
      <c r="L381" s="7" t="str">
        <f t="shared" si="164"/>
        <v>18/07/1977</v>
      </c>
      <c r="M381" s="8">
        <v>28324</v>
      </c>
      <c r="N381" s="7"/>
      <c r="O381" s="7"/>
      <c r="P381" s="181" t="str">
        <f t="shared" si="150"/>
        <v/>
      </c>
      <c r="Q381" s="153" t="str">
        <f t="shared" ref="Q381:Q419" si="166">MID(C381,1,LEN(C381)-1)</f>
        <v>47aaa</v>
      </c>
      <c r="R381" s="180" t="str">
        <f t="shared" si="151"/>
        <v/>
      </c>
      <c r="S381" s="25" t="s">
        <v>3244</v>
      </c>
      <c r="T381" s="5">
        <f t="shared" si="152"/>
        <v>7</v>
      </c>
      <c r="U381" s="5">
        <f t="shared" si="153"/>
        <v>6</v>
      </c>
      <c r="V381" s="5">
        <f>VLOOKUP(B381,'Loyd List 1-190 - Edit'!$A$2:$B$220,2,FALSE)</f>
        <v>3</v>
      </c>
      <c r="W381" s="155">
        <f t="shared" si="154"/>
        <v>4</v>
      </c>
      <c r="X381" s="105"/>
      <c r="Y381" s="105"/>
      <c r="Z381" s="164" t="s">
        <v>2487</v>
      </c>
      <c r="AA381" s="6">
        <v>97</v>
      </c>
      <c r="AB381" s="5">
        <f t="shared" si="139"/>
        <v>21</v>
      </c>
      <c r="AC381" s="5">
        <f t="shared" si="160"/>
        <v>4021</v>
      </c>
      <c r="AD381" s="97" t="str">
        <f t="shared" si="155"/>
        <v>47aaaa</v>
      </c>
      <c r="AE381" s="5" t="str">
        <f t="shared" si="156"/>
        <v>Florence Mary  HALLETT (1977 - )</v>
      </c>
      <c r="AF381" s="5" t="str">
        <f t="shared" si="157"/>
        <v>Florence HALLETT (7th &amp; 47)</v>
      </c>
      <c r="AG381" s="110" t="str">
        <f t="shared" si="158"/>
        <v>Female</v>
      </c>
      <c r="AH381" s="5" t="str">
        <f t="shared" si="165"/>
        <v>7th</v>
      </c>
      <c r="AI381" s="5" t="str">
        <f t="shared" si="145"/>
        <v>Unmarried</v>
      </c>
      <c r="AJ381" s="105" t="str">
        <f t="shared" si="161"/>
        <v>Female. b. 18/07/1977 Educated University College, London (BA History of Art 1998).</v>
      </c>
      <c r="AK381" s="105" t="str">
        <f t="shared" si="159"/>
        <v>b. 18/07/1977</v>
      </c>
    </row>
    <row r="382" spans="1:37" s="5" customFormat="1" ht="20">
      <c r="A382" s="5">
        <f>VLOOKUP(B382,'Loyd List 1-190 - Edit'!$P$1:$R$219,3,FALSE)</f>
        <v>22</v>
      </c>
      <c r="B382" s="5">
        <f t="shared" si="162"/>
        <v>47</v>
      </c>
      <c r="C382" s="157" t="s">
        <v>2214</v>
      </c>
      <c r="D382" s="6" t="s">
        <v>2210</v>
      </c>
      <c r="E382" s="5" t="s">
        <v>2213</v>
      </c>
      <c r="F382" s="5" t="s">
        <v>1988</v>
      </c>
      <c r="I382" s="5">
        <f t="shared" ref="I382:I419" si="167">IF(L382="","",VALUE(RIGHT(L382,4)))</f>
        <v>1980</v>
      </c>
      <c r="J382" s="5" t="str">
        <f t="shared" si="163"/>
        <v/>
      </c>
      <c r="K382" s="152"/>
      <c r="L382" s="7" t="str">
        <f t="shared" si="164"/>
        <v>02/08/1980</v>
      </c>
      <c r="M382" s="8">
        <v>29435</v>
      </c>
      <c r="N382" s="7"/>
      <c r="O382" s="7"/>
      <c r="P382" s="181" t="str">
        <f t="shared" si="150"/>
        <v/>
      </c>
      <c r="Q382" s="153" t="str">
        <f t="shared" si="166"/>
        <v>47aaa</v>
      </c>
      <c r="R382" s="180" t="str">
        <f t="shared" si="151"/>
        <v/>
      </c>
      <c r="S382" s="25" t="s">
        <v>3244</v>
      </c>
      <c r="T382" s="5">
        <f t="shared" si="152"/>
        <v>7</v>
      </c>
      <c r="U382" s="5">
        <f t="shared" si="153"/>
        <v>6</v>
      </c>
      <c r="V382" s="5">
        <f>VLOOKUP(B382,'Loyd List 1-190 - Edit'!$A$2:$B$220,2,FALSE)</f>
        <v>3</v>
      </c>
      <c r="W382" s="155">
        <f t="shared" si="154"/>
        <v>4</v>
      </c>
      <c r="X382" s="105"/>
      <c r="Y382" s="105"/>
      <c r="Z382" s="164" t="s">
        <v>2488</v>
      </c>
      <c r="AA382" s="6">
        <v>98</v>
      </c>
      <c r="AB382" s="5">
        <f t="shared" si="139"/>
        <v>22</v>
      </c>
      <c r="AC382" s="5">
        <f t="shared" si="160"/>
        <v>4022</v>
      </c>
      <c r="AD382" s="97" t="str">
        <f t="shared" si="155"/>
        <v>47aaab</v>
      </c>
      <c r="AE382" s="5" t="str">
        <f t="shared" si="156"/>
        <v>Lillian Alice  HALLETT (1980 - )</v>
      </c>
      <c r="AF382" s="5" t="str">
        <f t="shared" si="157"/>
        <v>Lillian HALLETT (7th &amp; 47)</v>
      </c>
      <c r="AG382" s="110" t="str">
        <f t="shared" si="158"/>
        <v>Female</v>
      </c>
      <c r="AH382" s="5" t="str">
        <f t="shared" si="165"/>
        <v>7th</v>
      </c>
      <c r="AI382" s="5" t="str">
        <f t="shared" ref="AI382:AI419" si="168">IF(X382="","Unmarried",IF(AG382="Male",_xlfn.CONCAT("Wife: ",X382,". ",Y382),_xlfn.CONCAT("Husband: ",X382,". ",Y382)))</f>
        <v>Unmarried</v>
      </c>
      <c r="AJ382" s="105" t="str">
        <f t="shared" si="161"/>
        <v>Female. b. 02/08/1980 Educated Kings College, London.</v>
      </c>
      <c r="AK382" s="105" t="str">
        <f t="shared" si="159"/>
        <v>b. 02/08/1980</v>
      </c>
    </row>
    <row r="383" spans="1:37" s="5" customFormat="1" ht="20">
      <c r="A383" s="5">
        <f>VLOOKUP(B383,'Loyd List 1-190 - Edit'!$P$1:$R$219,3,FALSE)</f>
        <v>22</v>
      </c>
      <c r="B383" s="5">
        <f t="shared" si="162"/>
        <v>47</v>
      </c>
      <c r="C383" s="157" t="s">
        <v>2414</v>
      </c>
      <c r="D383" s="6" t="s">
        <v>2200</v>
      </c>
      <c r="E383" s="5" t="s">
        <v>2217</v>
      </c>
      <c r="F383" s="105" t="s">
        <v>1822</v>
      </c>
      <c r="G383" s="5" t="s">
        <v>952</v>
      </c>
      <c r="I383" s="5">
        <f t="shared" si="167"/>
        <v>1979</v>
      </c>
      <c r="J383" s="5" t="str">
        <f t="shared" si="163"/>
        <v/>
      </c>
      <c r="K383" s="152"/>
      <c r="L383" s="7" t="str">
        <f t="shared" si="164"/>
        <v>12/03/1979</v>
      </c>
      <c r="M383" s="8">
        <v>28926</v>
      </c>
      <c r="N383" s="7" t="s">
        <v>2218</v>
      </c>
      <c r="O383" s="7"/>
      <c r="P383" s="181" t="str">
        <f t="shared" si="150"/>
        <v/>
      </c>
      <c r="Q383" s="153" t="str">
        <f t="shared" si="166"/>
        <v>47aab</v>
      </c>
      <c r="R383" s="180" t="str">
        <f t="shared" si="151"/>
        <v/>
      </c>
      <c r="S383" s="25" t="s">
        <v>3244</v>
      </c>
      <c r="T383" s="5">
        <f t="shared" si="152"/>
        <v>7</v>
      </c>
      <c r="U383" s="5">
        <f t="shared" si="153"/>
        <v>6</v>
      </c>
      <c r="V383" s="5">
        <f>VLOOKUP(B383,'Loyd List 1-190 - Edit'!$A$2:$B$220,2,FALSE)</f>
        <v>3</v>
      </c>
      <c r="W383" s="155">
        <f t="shared" si="154"/>
        <v>4</v>
      </c>
      <c r="X383" s="105" t="s">
        <v>2219</v>
      </c>
      <c r="Y383" s="105"/>
      <c r="Z383" s="164" t="s">
        <v>2491</v>
      </c>
      <c r="AA383" s="6">
        <v>100</v>
      </c>
      <c r="AB383" s="5">
        <f t="shared" ref="AB383:AB416" si="169">AB382+1</f>
        <v>23</v>
      </c>
      <c r="AC383" s="5">
        <f t="shared" si="160"/>
        <v>4023</v>
      </c>
      <c r="AD383" s="97" t="str">
        <f t="shared" si="155"/>
        <v>47aaba</v>
      </c>
      <c r="AE383" s="5" t="str">
        <f t="shared" si="156"/>
        <v>Linda Constance Elizabeth HARDCASTLE (1979 - )</v>
      </c>
      <c r="AF383" s="5" t="str">
        <f t="shared" si="157"/>
        <v>Linda HARDCASTLE (7th &amp; 47)</v>
      </c>
      <c r="AG383" s="110" t="str">
        <f t="shared" si="158"/>
        <v>Female</v>
      </c>
      <c r="AH383" s="5" t="str">
        <f t="shared" si="165"/>
        <v>7th</v>
      </c>
      <c r="AI383" s="5" t="str">
        <f t="shared" si="168"/>
        <v xml:space="preserve">Husband: Andrew PURVES (b. 27/01/1973, d. ?). </v>
      </c>
      <c r="AJ383" s="105" t="str">
        <f t="shared" si="161"/>
        <v>Female. b. 12/03/1979 Adopted: Linda Constance Elizabeth HARDCASTLE</v>
      </c>
      <c r="AK383" s="105" t="str">
        <f t="shared" si="159"/>
        <v>b. 12/03/1979</v>
      </c>
    </row>
    <row r="384" spans="1:37" s="5" customFormat="1" ht="20">
      <c r="A384" s="5">
        <f>VLOOKUP(B384,'Loyd List 1-190 - Edit'!$P$1:$R$219,3,FALSE)</f>
        <v>22</v>
      </c>
      <c r="B384" s="5">
        <f t="shared" si="162"/>
        <v>47</v>
      </c>
      <c r="C384" s="157" t="s">
        <v>2222</v>
      </c>
      <c r="D384" s="6" t="s">
        <v>2200</v>
      </c>
      <c r="E384" s="5" t="s">
        <v>2220</v>
      </c>
      <c r="F384" s="5" t="s">
        <v>884</v>
      </c>
      <c r="G384" s="5" t="s">
        <v>927</v>
      </c>
      <c r="I384" s="5">
        <f t="shared" si="167"/>
        <v>1980</v>
      </c>
      <c r="J384" s="5" t="str">
        <f t="shared" si="163"/>
        <v/>
      </c>
      <c r="K384" s="152"/>
      <c r="L384" s="7" t="str">
        <f t="shared" si="164"/>
        <v>19/08/1980</v>
      </c>
      <c r="M384" s="8">
        <v>29452</v>
      </c>
      <c r="N384" s="7"/>
      <c r="O384" s="7"/>
      <c r="P384" s="181" t="str">
        <f t="shared" si="150"/>
        <v/>
      </c>
      <c r="Q384" s="153" t="str">
        <f t="shared" si="166"/>
        <v>47aab</v>
      </c>
      <c r="R384" s="180" t="str">
        <f t="shared" si="151"/>
        <v/>
      </c>
      <c r="S384" s="25" t="s">
        <v>3244</v>
      </c>
      <c r="T384" s="5">
        <f t="shared" si="152"/>
        <v>7</v>
      </c>
      <c r="U384" s="5">
        <f t="shared" si="153"/>
        <v>6</v>
      </c>
      <c r="V384" s="5">
        <f>VLOOKUP(B384,'Loyd List 1-190 - Edit'!$A$2:$B$220,2,FALSE)</f>
        <v>3</v>
      </c>
      <c r="W384" s="155">
        <f t="shared" si="154"/>
        <v>4</v>
      </c>
      <c r="X384" s="105"/>
      <c r="Y384" s="105"/>
      <c r="Z384" s="164"/>
      <c r="AA384" s="6">
        <v>101</v>
      </c>
      <c r="AB384" s="5">
        <f t="shared" si="169"/>
        <v>24</v>
      </c>
      <c r="AC384" s="5">
        <f t="shared" si="160"/>
        <v>4024</v>
      </c>
      <c r="AD384" s="97" t="str">
        <f t="shared" si="155"/>
        <v>47aabb</v>
      </c>
      <c r="AE384" s="5" t="str">
        <f t="shared" si="156"/>
        <v>Susan Jean Alexandra HARDCASTLE (1980 - )</v>
      </c>
      <c r="AF384" s="5" t="str">
        <f t="shared" si="157"/>
        <v>Susan HARDCASTLE (7th &amp; 47)</v>
      </c>
      <c r="AG384" s="110" t="str">
        <f t="shared" si="158"/>
        <v>Female</v>
      </c>
      <c r="AH384" s="5" t="str">
        <f t="shared" si="165"/>
        <v>7th</v>
      </c>
      <c r="AI384" s="5" t="str">
        <f t="shared" si="168"/>
        <v>Unmarried</v>
      </c>
      <c r="AJ384" s="105" t="str">
        <f t="shared" si="161"/>
        <v>Female. b. 19/08/1980</v>
      </c>
      <c r="AK384" s="105" t="str">
        <f t="shared" si="159"/>
        <v>b. 19/08/1980</v>
      </c>
    </row>
    <row r="385" spans="1:37" s="5" customFormat="1" ht="20">
      <c r="A385" s="5">
        <f>VLOOKUP(B385,'Loyd List 1-190 - Edit'!$P$1:$R$219,3,FALSE)</f>
        <v>22</v>
      </c>
      <c r="B385" s="5">
        <f t="shared" si="162"/>
        <v>47</v>
      </c>
      <c r="C385" s="157" t="s">
        <v>2223</v>
      </c>
      <c r="D385" s="6" t="s">
        <v>2200</v>
      </c>
      <c r="E385" s="5" t="s">
        <v>905</v>
      </c>
      <c r="F385" s="5" t="s">
        <v>902</v>
      </c>
      <c r="G385" s="5" t="s">
        <v>2221</v>
      </c>
      <c r="I385" s="5">
        <f t="shared" si="167"/>
        <v>1982</v>
      </c>
      <c r="J385" s="5" t="str">
        <f t="shared" si="163"/>
        <v/>
      </c>
      <c r="K385" s="152"/>
      <c r="L385" s="7" t="str">
        <f t="shared" si="164"/>
        <v>26/10/1982</v>
      </c>
      <c r="M385" s="10" t="s">
        <v>2976</v>
      </c>
      <c r="N385" s="7"/>
      <c r="O385" s="7"/>
      <c r="P385" s="181" t="str">
        <f t="shared" si="150"/>
        <v/>
      </c>
      <c r="Q385" s="153" t="str">
        <f t="shared" si="166"/>
        <v>47aab</v>
      </c>
      <c r="R385" s="180" t="str">
        <f t="shared" si="151"/>
        <v/>
      </c>
      <c r="S385" s="25" t="s">
        <v>3245</v>
      </c>
      <c r="T385" s="5">
        <f t="shared" si="152"/>
        <v>7</v>
      </c>
      <c r="U385" s="5">
        <f t="shared" si="153"/>
        <v>6</v>
      </c>
      <c r="V385" s="5">
        <f>VLOOKUP(B385,'Loyd List 1-190 - Edit'!$A$2:$B$220,2,FALSE)</f>
        <v>3</v>
      </c>
      <c r="W385" s="155">
        <f t="shared" si="154"/>
        <v>4</v>
      </c>
      <c r="X385" s="105"/>
      <c r="Y385" s="105"/>
      <c r="Z385" s="164"/>
      <c r="AA385" s="6">
        <v>102</v>
      </c>
      <c r="AB385" s="5">
        <f t="shared" si="169"/>
        <v>25</v>
      </c>
      <c r="AC385" s="5">
        <f t="shared" si="160"/>
        <v>4025</v>
      </c>
      <c r="AD385" s="97" t="str">
        <f t="shared" si="155"/>
        <v>47aabc</v>
      </c>
      <c r="AE385" s="5" t="str">
        <f t="shared" si="156"/>
        <v>David Robert Edwin HARDCASTLE (1982 - )</v>
      </c>
      <c r="AF385" s="5" t="str">
        <f t="shared" si="157"/>
        <v>David HARDCASTLE (7th &amp; 47)</v>
      </c>
      <c r="AG385" s="110" t="str">
        <f t="shared" si="158"/>
        <v>Male</v>
      </c>
      <c r="AH385" s="5" t="str">
        <f t="shared" si="165"/>
        <v>7th</v>
      </c>
      <c r="AI385" s="5" t="str">
        <f t="shared" si="168"/>
        <v>Unmarried</v>
      </c>
      <c r="AJ385" s="105" t="str">
        <f t="shared" si="161"/>
        <v>Male. b. 26/10/1982</v>
      </c>
      <c r="AK385" s="105" t="str">
        <f t="shared" si="159"/>
        <v>b. 26/10/1982</v>
      </c>
    </row>
    <row r="386" spans="1:37" s="5" customFormat="1" ht="20">
      <c r="A386" s="5">
        <f>VLOOKUP(B386,'Loyd List 1-190 - Edit'!$P$1:$R$219,3,FALSE)</f>
        <v>22</v>
      </c>
      <c r="B386" s="5">
        <f t="shared" si="162"/>
        <v>47</v>
      </c>
      <c r="C386" s="157" t="s">
        <v>2238</v>
      </c>
      <c r="D386" s="6" t="s">
        <v>2228</v>
      </c>
      <c r="E386" s="5" t="s">
        <v>891</v>
      </c>
      <c r="F386" s="5" t="s">
        <v>2236</v>
      </c>
      <c r="G386" s="5" t="s">
        <v>2237</v>
      </c>
      <c r="I386" s="5">
        <f t="shared" si="167"/>
        <v>1987</v>
      </c>
      <c r="J386" s="5" t="str">
        <f t="shared" si="163"/>
        <v/>
      </c>
      <c r="K386" s="152"/>
      <c r="L386" s="7" t="str">
        <f t="shared" si="164"/>
        <v>03/10/1987</v>
      </c>
      <c r="M386" s="8">
        <v>32053</v>
      </c>
      <c r="N386" s="7"/>
      <c r="O386" s="7"/>
      <c r="P386" s="181" t="str">
        <f t="shared" si="150"/>
        <v/>
      </c>
      <c r="Q386" s="153" t="str">
        <f t="shared" si="166"/>
        <v>47abc</v>
      </c>
      <c r="R386" s="180" t="str">
        <f t="shared" si="151"/>
        <v/>
      </c>
      <c r="S386" s="25" t="s">
        <v>3245</v>
      </c>
      <c r="T386" s="5">
        <f t="shared" si="152"/>
        <v>7</v>
      </c>
      <c r="U386" s="5">
        <f t="shared" si="153"/>
        <v>6</v>
      </c>
      <c r="V386" s="5">
        <f>VLOOKUP(B386,'Loyd List 1-190 - Edit'!$A$2:$B$220,2,FALSE)</f>
        <v>3</v>
      </c>
      <c r="W386" s="155">
        <f t="shared" si="154"/>
        <v>4</v>
      </c>
      <c r="X386" s="105"/>
      <c r="Y386" s="105"/>
      <c r="Z386" s="164" t="s">
        <v>3248</v>
      </c>
      <c r="AA386" s="6">
        <v>108</v>
      </c>
      <c r="AB386" s="5">
        <f t="shared" si="169"/>
        <v>26</v>
      </c>
      <c r="AC386" s="5">
        <f t="shared" si="160"/>
        <v>4026</v>
      </c>
      <c r="AD386" s="97" t="str">
        <f t="shared" si="155"/>
        <v>47abca</v>
      </c>
      <c r="AE386" s="5" t="str">
        <f t="shared" si="156"/>
        <v>Michael Alwyn Karel DREWE (1987 - )</v>
      </c>
      <c r="AF386" s="5" t="str">
        <f t="shared" si="157"/>
        <v>Michael DREWE (7th &amp; 47)</v>
      </c>
      <c r="AG386" s="110" t="str">
        <f t="shared" si="158"/>
        <v>Male</v>
      </c>
      <c r="AH386" s="5" t="str">
        <f t="shared" si="165"/>
        <v>7th</v>
      </c>
      <c r="AI386" s="5" t="str">
        <f t="shared" si="168"/>
        <v>Unmarried</v>
      </c>
      <c r="AJ386" s="105" t="str">
        <f t="shared" si="161"/>
        <v>Male. b. 03/10/1987 Born at Winchester, Hampshire. Issue: Michael Alwyn Karel DREWE</v>
      </c>
      <c r="AK386" s="105" t="str">
        <f t="shared" si="159"/>
        <v>b. 03/10/1987</v>
      </c>
    </row>
    <row r="387" spans="1:37" s="5" customFormat="1" ht="51">
      <c r="A387" s="5">
        <f>VLOOKUP(B387,'Loyd List 1-190 - Edit'!$P$1:$R$219,3,FALSE)</f>
        <v>1</v>
      </c>
      <c r="B387" s="5">
        <f>VALUE(LEFT(C387,1))</f>
        <v>2</v>
      </c>
      <c r="C387" s="157" t="s">
        <v>1984</v>
      </c>
      <c r="D387" s="6" t="s">
        <v>1973</v>
      </c>
      <c r="E387" s="5" t="s">
        <v>830</v>
      </c>
      <c r="F387" s="5" t="s">
        <v>1497</v>
      </c>
      <c r="I387" s="5">
        <f t="shared" si="167"/>
        <v>1921</v>
      </c>
      <c r="J387" s="5">
        <f t="shared" si="163"/>
        <v>1942</v>
      </c>
      <c r="K387" s="152"/>
      <c r="L387" s="7" t="str">
        <f>M387</f>
        <v>1921</v>
      </c>
      <c r="M387" s="10" t="s">
        <v>3286</v>
      </c>
      <c r="N387" s="8"/>
      <c r="O387" s="123">
        <v>15565</v>
      </c>
      <c r="P387" s="181" t="str">
        <f t="shared" si="150"/>
        <v>12/08/1942</v>
      </c>
      <c r="Q387" s="153" t="str">
        <f t="shared" si="166"/>
        <v>2caba</v>
      </c>
      <c r="R387" s="180" t="str">
        <f t="shared" si="151"/>
        <v>12/08/1942</v>
      </c>
      <c r="S387" s="25" t="s">
        <v>3245</v>
      </c>
      <c r="T387" s="5">
        <f t="shared" si="152"/>
        <v>6</v>
      </c>
      <c r="U387" s="5">
        <f t="shared" si="153"/>
        <v>6</v>
      </c>
      <c r="V387" s="5">
        <f>VLOOKUP(B387,'Loyd List 1-190 - Edit'!$A$2:$B$220,2,FALSE)</f>
        <v>1</v>
      </c>
      <c r="W387" s="155">
        <f t="shared" si="154"/>
        <v>5</v>
      </c>
      <c r="X387" s="105"/>
      <c r="Y387" s="105"/>
      <c r="Z387" s="105" t="s">
        <v>4342</v>
      </c>
      <c r="AA387" s="6">
        <v>11</v>
      </c>
      <c r="AB387" s="5">
        <v>1</v>
      </c>
      <c r="AC387" s="5">
        <f t="shared" si="160"/>
        <v>5001</v>
      </c>
      <c r="AD387" s="97" t="str">
        <f t="shared" si="155"/>
        <v>2cabaa</v>
      </c>
      <c r="AE387" s="5" t="str">
        <f t="shared" si="156"/>
        <v>William Loyd  PROTHEROE (1921 - 1942)</v>
      </c>
      <c r="AF387" s="5" t="str">
        <f t="shared" si="157"/>
        <v>William PROTHEROE (6th &amp; 2)</v>
      </c>
      <c r="AG387" s="110" t="str">
        <f t="shared" si="158"/>
        <v>Male</v>
      </c>
      <c r="AH387" s="5" t="str">
        <f t="shared" si="165"/>
        <v>6th</v>
      </c>
      <c r="AI387" s="5" t="str">
        <f t="shared" si="168"/>
        <v>Unmarried</v>
      </c>
      <c r="AJ387" s="105" t="str">
        <f>IF(Z387="",_xlfn.CONCAT(AG387,". ",AK387),_xlfn.CONCAT(AG387,". ",AK387," ",Z387))</f>
        <v>Male. b. 1921, d. 12/08/1942. Killed in action aboard the seriously damaged HMS Indomitable on operation Pedestal. Commemoration: Bay 4, Panel 1 LEE-ON-SOLENT MEMORIAL Hampshire United Kingdom.</v>
      </c>
      <c r="AK387" s="105" t="str">
        <f t="shared" si="159"/>
        <v>b. 1921, d. 12/08/1942.</v>
      </c>
    </row>
    <row r="388" spans="1:37" s="5" customFormat="1" ht="35">
      <c r="A388" s="5">
        <f>VLOOKUP(B388,'Loyd List 1-190 - Edit'!$P$1:$R$219,3,FALSE)</f>
        <v>1</v>
      </c>
      <c r="B388" s="5">
        <f>VALUE(LEFT(C388,1))</f>
        <v>2</v>
      </c>
      <c r="C388" s="157" t="s">
        <v>1985</v>
      </c>
      <c r="D388" s="6" t="s">
        <v>1973</v>
      </c>
      <c r="E388" s="5" t="s">
        <v>894</v>
      </c>
      <c r="F388" s="5" t="s">
        <v>904</v>
      </c>
      <c r="I388" s="5">
        <f t="shared" si="167"/>
        <v>1924</v>
      </c>
      <c r="J388" s="5" t="str">
        <f t="shared" si="163"/>
        <v/>
      </c>
      <c r="K388" s="152"/>
      <c r="L388" s="7" t="str">
        <f>M388</f>
        <v>1924</v>
      </c>
      <c r="M388" s="10" t="s">
        <v>3287</v>
      </c>
      <c r="N388" s="10" t="s">
        <v>1987</v>
      </c>
      <c r="O388" s="7"/>
      <c r="P388" s="181" t="str">
        <f t="shared" si="150"/>
        <v/>
      </c>
      <c r="Q388" s="153" t="str">
        <f t="shared" si="166"/>
        <v>2caba</v>
      </c>
      <c r="R388" s="180" t="str">
        <f t="shared" si="151"/>
        <v/>
      </c>
      <c r="S388" s="25" t="s">
        <v>3244</v>
      </c>
      <c r="T388" s="5">
        <f t="shared" si="152"/>
        <v>6</v>
      </c>
      <c r="U388" s="5">
        <f t="shared" si="153"/>
        <v>6</v>
      </c>
      <c r="V388" s="5">
        <f>VLOOKUP(B388,'Loyd List 1-190 - Edit'!$A$2:$B$220,2,FALSE)</f>
        <v>1</v>
      </c>
      <c r="W388" s="155">
        <f t="shared" si="154"/>
        <v>5</v>
      </c>
      <c r="X388" s="105" t="s">
        <v>1986</v>
      </c>
      <c r="Y388" s="105" t="s">
        <v>2382</v>
      </c>
      <c r="Z388" s="253"/>
      <c r="AA388" s="6">
        <v>12</v>
      </c>
      <c r="AB388" s="5">
        <f t="shared" si="169"/>
        <v>2</v>
      </c>
      <c r="AC388" s="5">
        <f t="shared" si="160"/>
        <v>5002</v>
      </c>
      <c r="AD388" s="97" t="str">
        <f t="shared" si="155"/>
        <v>2cabab</v>
      </c>
      <c r="AE388" s="5" t="str">
        <f t="shared" si="156"/>
        <v>Sheila Evelyn  PROTHEROE (1924 - )</v>
      </c>
      <c r="AF388" s="5" t="str">
        <f t="shared" si="157"/>
        <v>Sheila PROTHEROE (6th &amp; 2)</v>
      </c>
      <c r="AG388" s="110" t="str">
        <f t="shared" si="158"/>
        <v>Female</v>
      </c>
      <c r="AH388" s="5" t="str">
        <f t="shared" si="165"/>
        <v>6th</v>
      </c>
      <c r="AI388" s="5" t="str">
        <f t="shared" si="168"/>
        <v>Husband: Peter B B GILL. Married at Runcorn. Peter GILL Commander in the Royal Navy.</v>
      </c>
      <c r="AJ388" s="105" t="str">
        <f t="shared" si="161"/>
        <v>Female. b. 1924</v>
      </c>
      <c r="AK388" s="105" t="str">
        <f t="shared" si="159"/>
        <v>b. 1924</v>
      </c>
    </row>
    <row r="389" spans="1:37" s="5" customFormat="1" ht="52">
      <c r="A389" s="5">
        <f>VLOOKUP(B389,'Loyd List 1-190 - Edit'!$P$1:$R$219,3,FALSE)</f>
        <v>1</v>
      </c>
      <c r="B389" s="5">
        <f>VALUE(LEFT(C389,1))</f>
        <v>2</v>
      </c>
      <c r="C389" s="157" t="s">
        <v>1995</v>
      </c>
      <c r="D389" s="6" t="s">
        <v>1994</v>
      </c>
      <c r="E389" s="5" t="s">
        <v>1993</v>
      </c>
      <c r="F389" s="5" t="s">
        <v>870</v>
      </c>
      <c r="G389" s="5" t="s">
        <v>1497</v>
      </c>
      <c r="I389" s="5">
        <f t="shared" si="167"/>
        <v>1925</v>
      </c>
      <c r="J389" s="5" t="str">
        <f t="shared" si="163"/>
        <v/>
      </c>
      <c r="K389" s="152"/>
      <c r="L389" s="7" t="str">
        <f t="shared" ref="L389:L419" si="170">IF(M389="","",TEXT(M389,"dd/mm/yyyy"))</f>
        <v>20/12/1925</v>
      </c>
      <c r="M389" s="8">
        <v>9486</v>
      </c>
      <c r="N389" s="10">
        <v>18683</v>
      </c>
      <c r="O389" s="7"/>
      <c r="P389" s="181" t="str">
        <f t="shared" si="150"/>
        <v/>
      </c>
      <c r="Q389" s="153" t="str">
        <f t="shared" si="166"/>
        <v>2cabb</v>
      </c>
      <c r="R389" s="180" t="str">
        <f t="shared" si="151"/>
        <v/>
      </c>
      <c r="S389" s="25" t="s">
        <v>3244</v>
      </c>
      <c r="T389" s="5">
        <f t="shared" si="152"/>
        <v>6</v>
      </c>
      <c r="U389" s="5">
        <f t="shared" si="153"/>
        <v>6</v>
      </c>
      <c r="V389" s="5">
        <f>VLOOKUP(B389,'Loyd List 1-190 - Edit'!$A$2:$B$220,2,FALSE)</f>
        <v>1</v>
      </c>
      <c r="W389" s="155">
        <f t="shared" si="154"/>
        <v>5</v>
      </c>
      <c r="X389" s="105" t="s">
        <v>1996</v>
      </c>
      <c r="Y389" s="105" t="s">
        <v>2384</v>
      </c>
      <c r="Z389" s="164"/>
      <c r="AA389" s="6">
        <v>14</v>
      </c>
      <c r="AB389" s="5">
        <f t="shared" si="169"/>
        <v>3</v>
      </c>
      <c r="AC389" s="5">
        <f t="shared" si="160"/>
        <v>5003</v>
      </c>
      <c r="AD389" s="97" t="str">
        <f t="shared" si="155"/>
        <v>2cabba</v>
      </c>
      <c r="AE389" s="5" t="str">
        <f t="shared" si="156"/>
        <v>Beryl Mary Loyd APPS (1925 - )</v>
      </c>
      <c r="AF389" s="5" t="str">
        <f t="shared" si="157"/>
        <v>Beryl APPS (6th &amp; 2)</v>
      </c>
      <c r="AG389" s="110" t="str">
        <f t="shared" si="158"/>
        <v>Female</v>
      </c>
      <c r="AH389" s="5" t="str">
        <f t="shared" si="165"/>
        <v>6th</v>
      </c>
      <c r="AI389" s="5" t="str">
        <f t="shared" si="168"/>
        <v>Husband: Ian George Greensmith RANDERSON (b.1930). Married at St Jude's, Portsea, Hampshire. Ian son of George Oswald RANDERSON.</v>
      </c>
      <c r="AJ389" s="105" t="str">
        <f t="shared" si="161"/>
        <v>Female. b. 20/12/1925</v>
      </c>
      <c r="AK389" s="105" t="str">
        <f t="shared" si="159"/>
        <v>b. 20/12/1925</v>
      </c>
    </row>
    <row r="390" spans="1:37" s="5" customFormat="1" ht="20">
      <c r="A390" s="5">
        <f>VLOOKUP(B390,'Loyd List 1-190 - Edit'!$P$1:$R$219,3,FALSE)</f>
        <v>8</v>
      </c>
      <c r="B390" s="5">
        <f t="shared" ref="B390:B419" si="171">VALUE(LEFT(C390,2))</f>
        <v>18</v>
      </c>
      <c r="C390" s="157" t="s">
        <v>2049</v>
      </c>
      <c r="D390" s="6" t="s">
        <v>2053</v>
      </c>
      <c r="E390" s="5" t="s">
        <v>2054</v>
      </c>
      <c r="F390" s="5" t="s">
        <v>2055</v>
      </c>
      <c r="G390" s="5" t="s">
        <v>2056</v>
      </c>
      <c r="I390" s="5">
        <f t="shared" si="167"/>
        <v>1980</v>
      </c>
      <c r="J390" s="5" t="str">
        <f t="shared" si="163"/>
        <v/>
      </c>
      <c r="K390" s="152"/>
      <c r="L390" s="7" t="str">
        <f t="shared" si="170"/>
        <v>24/09/1980</v>
      </c>
      <c r="M390" s="8">
        <v>29488</v>
      </c>
      <c r="N390" s="7"/>
      <c r="O390" s="7"/>
      <c r="P390" s="181" t="str">
        <f t="shared" si="150"/>
        <v/>
      </c>
      <c r="Q390" s="153" t="str">
        <f t="shared" si="166"/>
        <v>18bbaa</v>
      </c>
      <c r="R390" s="180" t="str">
        <f t="shared" si="151"/>
        <v/>
      </c>
      <c r="S390" s="25" t="s">
        <v>3245</v>
      </c>
      <c r="T390" s="5">
        <f t="shared" si="152"/>
        <v>7</v>
      </c>
      <c r="U390" s="5">
        <f t="shared" si="153"/>
        <v>7</v>
      </c>
      <c r="V390" s="5">
        <f>VLOOKUP(B390,'Loyd List 1-190 - Edit'!$A$2:$B$220,2,FALSE)</f>
        <v>2</v>
      </c>
      <c r="W390" s="155">
        <f t="shared" si="154"/>
        <v>5</v>
      </c>
      <c r="X390" s="105"/>
      <c r="Y390" s="105"/>
      <c r="Z390" s="164" t="s">
        <v>2405</v>
      </c>
      <c r="AA390" s="6">
        <v>29</v>
      </c>
      <c r="AB390" s="5">
        <f t="shared" si="169"/>
        <v>4</v>
      </c>
      <c r="AC390" s="5">
        <f t="shared" si="160"/>
        <v>5004</v>
      </c>
      <c r="AD390" s="97" t="str">
        <f t="shared" si="155"/>
        <v>18bbaaa</v>
      </c>
      <c r="AE390" s="5" t="str">
        <f t="shared" si="156"/>
        <v>Gilbert Aubrey Warner RAMSAY (1980 - )</v>
      </c>
      <c r="AF390" s="5" t="str">
        <f t="shared" si="157"/>
        <v>Gilbert RAMSAY (7th &amp; 18)</v>
      </c>
      <c r="AG390" s="110" t="str">
        <f t="shared" si="158"/>
        <v>Male</v>
      </c>
      <c r="AH390" s="5" t="str">
        <f t="shared" si="165"/>
        <v>7th</v>
      </c>
      <c r="AI390" s="5" t="str">
        <f t="shared" si="168"/>
        <v>Unmarried</v>
      </c>
      <c r="AJ390" s="105" t="str">
        <f t="shared" si="161"/>
        <v>Male. b. 24/09/1980 Educated Trinity College, Glenalmond and Christchurch, Oxford.</v>
      </c>
      <c r="AK390" s="105" t="str">
        <f t="shared" si="159"/>
        <v>b. 24/09/1980</v>
      </c>
    </row>
    <row r="391" spans="1:37" s="5" customFormat="1" ht="20">
      <c r="A391" s="5">
        <f>VLOOKUP(B391,'Loyd List 1-190 - Edit'!$P$1:$R$219,3,FALSE)</f>
        <v>8</v>
      </c>
      <c r="B391" s="5">
        <f t="shared" si="171"/>
        <v>18</v>
      </c>
      <c r="C391" s="157" t="s">
        <v>2050</v>
      </c>
      <c r="D391" s="6" t="s">
        <v>2053</v>
      </c>
      <c r="E391" s="5" t="s">
        <v>938</v>
      </c>
      <c r="F391" s="5" t="s">
        <v>876</v>
      </c>
      <c r="I391" s="5">
        <f t="shared" si="167"/>
        <v>1982</v>
      </c>
      <c r="J391" s="5" t="str">
        <f t="shared" si="163"/>
        <v/>
      </c>
      <c r="K391" s="152"/>
      <c r="L391" s="7" t="str">
        <f t="shared" si="170"/>
        <v>30/11/1982</v>
      </c>
      <c r="M391" s="10" t="s">
        <v>2977</v>
      </c>
      <c r="N391" s="7"/>
      <c r="O391" s="7"/>
      <c r="P391" s="181" t="str">
        <f t="shared" si="150"/>
        <v/>
      </c>
      <c r="Q391" s="153" t="str">
        <f t="shared" si="166"/>
        <v>18bbaa</v>
      </c>
      <c r="R391" s="180" t="str">
        <f t="shared" si="151"/>
        <v/>
      </c>
      <c r="S391" s="25" t="s">
        <v>3244</v>
      </c>
      <c r="T391" s="5">
        <f t="shared" si="152"/>
        <v>7</v>
      </c>
      <c r="U391" s="5">
        <f t="shared" si="153"/>
        <v>7</v>
      </c>
      <c r="V391" s="5">
        <f>VLOOKUP(B391,'Loyd List 1-190 - Edit'!$A$2:$B$220,2,FALSE)</f>
        <v>2</v>
      </c>
      <c r="W391" s="155">
        <f t="shared" si="154"/>
        <v>5</v>
      </c>
      <c r="X391" s="105"/>
      <c r="Y391" s="105"/>
      <c r="Z391" s="164" t="s">
        <v>2406</v>
      </c>
      <c r="AA391" s="6">
        <v>30</v>
      </c>
      <c r="AB391" s="5">
        <f t="shared" si="169"/>
        <v>5</v>
      </c>
      <c r="AC391" s="5">
        <f t="shared" si="160"/>
        <v>5005</v>
      </c>
      <c r="AD391" s="97" t="str">
        <f t="shared" si="155"/>
        <v>18bbaab</v>
      </c>
      <c r="AE391" s="5" t="str">
        <f t="shared" si="156"/>
        <v>Sophie Charlotte  RAMSAY (1982 - )</v>
      </c>
      <c r="AF391" s="5" t="str">
        <f t="shared" si="157"/>
        <v>Sophie RAMSAY (7th &amp; 18)</v>
      </c>
      <c r="AG391" s="110" t="str">
        <f t="shared" si="158"/>
        <v>Female</v>
      </c>
      <c r="AH391" s="5" t="str">
        <f t="shared" si="165"/>
        <v>7th</v>
      </c>
      <c r="AI391" s="5" t="str">
        <f t="shared" si="168"/>
        <v>Unmarried</v>
      </c>
      <c r="AJ391" s="105" t="str">
        <f t="shared" si="161"/>
        <v>Female. b. 30/11/1982 Educated Trinity College, Glenalmond.</v>
      </c>
      <c r="AK391" s="105" t="str">
        <f t="shared" si="159"/>
        <v>b. 30/11/1982</v>
      </c>
    </row>
    <row r="392" spans="1:37" s="137" customFormat="1" ht="20">
      <c r="A392" s="5">
        <f>VLOOKUP(B392,'Loyd List 1-190 - Edit'!$P$1:$R$219,3,FALSE)</f>
        <v>8</v>
      </c>
      <c r="B392" s="5">
        <f t="shared" si="171"/>
        <v>18</v>
      </c>
      <c r="C392" s="185" t="s">
        <v>2051</v>
      </c>
      <c r="D392" s="6" t="s">
        <v>2053</v>
      </c>
      <c r="E392" s="5" t="s">
        <v>1804</v>
      </c>
      <c r="F392" s="5" t="s">
        <v>924</v>
      </c>
      <c r="G392" s="5"/>
      <c r="H392" s="5"/>
      <c r="I392" s="5">
        <f t="shared" si="167"/>
        <v>1985</v>
      </c>
      <c r="J392" s="5" t="str">
        <f t="shared" si="163"/>
        <v/>
      </c>
      <c r="K392" s="152"/>
      <c r="L392" s="7" t="str">
        <f t="shared" si="170"/>
        <v>09/07/1985</v>
      </c>
      <c r="M392" s="10" t="s">
        <v>2978</v>
      </c>
      <c r="N392" s="7"/>
      <c r="O392" s="7"/>
      <c r="P392" s="181" t="str">
        <f t="shared" si="150"/>
        <v/>
      </c>
      <c r="Q392" s="187" t="str">
        <f t="shared" si="166"/>
        <v>18bbaa</v>
      </c>
      <c r="R392" s="180" t="str">
        <f t="shared" si="151"/>
        <v/>
      </c>
      <c r="S392" s="25" t="s">
        <v>3245</v>
      </c>
      <c r="T392" s="5">
        <f t="shared" si="152"/>
        <v>7</v>
      </c>
      <c r="U392" s="5">
        <f t="shared" si="153"/>
        <v>7</v>
      </c>
      <c r="V392" s="5">
        <f>VLOOKUP(B392,'Loyd List 1-190 - Edit'!$A$2:$B$220,2,FALSE)</f>
        <v>2</v>
      </c>
      <c r="W392" s="155">
        <f t="shared" si="154"/>
        <v>5</v>
      </c>
      <c r="X392" s="105"/>
      <c r="Y392" s="105"/>
      <c r="Z392" s="164" t="s">
        <v>2406</v>
      </c>
      <c r="AA392" s="6">
        <v>31</v>
      </c>
      <c r="AB392" s="5">
        <f t="shared" si="169"/>
        <v>6</v>
      </c>
      <c r="AC392" s="5">
        <f t="shared" si="160"/>
        <v>5006</v>
      </c>
      <c r="AD392" s="97" t="str">
        <f t="shared" si="155"/>
        <v>18bbaac</v>
      </c>
      <c r="AE392" s="5" t="str">
        <f t="shared" si="156"/>
        <v>Adam Alexander  RAMSAY (1985 - )</v>
      </c>
      <c r="AF392" s="5" t="str">
        <f t="shared" si="157"/>
        <v>Adam RAMSAY (7th &amp; 18)</v>
      </c>
      <c r="AG392" s="110" t="str">
        <f t="shared" si="158"/>
        <v>Male</v>
      </c>
      <c r="AH392" s="5" t="str">
        <f t="shared" si="165"/>
        <v>7th</v>
      </c>
      <c r="AI392" s="5" t="str">
        <f t="shared" si="168"/>
        <v>Unmarried</v>
      </c>
      <c r="AJ392" s="105" t="str">
        <f t="shared" si="161"/>
        <v>Male. b. 09/07/1985 Educated Trinity College, Glenalmond.</v>
      </c>
      <c r="AK392" s="105" t="str">
        <f t="shared" si="159"/>
        <v>b. 09/07/1985</v>
      </c>
    </row>
    <row r="393" spans="1:37" s="137" customFormat="1" ht="20">
      <c r="A393" s="5">
        <f>VLOOKUP(B393,'Loyd List 1-190 - Edit'!$P$1:$R$219,3,FALSE)</f>
        <v>8</v>
      </c>
      <c r="B393" s="5">
        <f t="shared" si="171"/>
        <v>18</v>
      </c>
      <c r="C393" s="185" t="s">
        <v>2052</v>
      </c>
      <c r="D393" s="6" t="s">
        <v>2053</v>
      </c>
      <c r="E393" s="5" t="s">
        <v>913</v>
      </c>
      <c r="F393" s="5" t="s">
        <v>2057</v>
      </c>
      <c r="G393" s="5"/>
      <c r="H393" s="5"/>
      <c r="I393" s="5">
        <f t="shared" si="167"/>
        <v>1988</v>
      </c>
      <c r="J393" s="5" t="str">
        <f t="shared" si="163"/>
        <v/>
      </c>
      <c r="K393" s="152"/>
      <c r="L393" s="7" t="str">
        <f t="shared" si="170"/>
        <v>30/10/1988</v>
      </c>
      <c r="M393" s="8">
        <v>32446</v>
      </c>
      <c r="N393" s="5"/>
      <c r="O393" s="7"/>
      <c r="P393" s="181" t="str">
        <f t="shared" si="150"/>
        <v/>
      </c>
      <c r="Q393" s="187" t="str">
        <f t="shared" si="166"/>
        <v>18bbaa</v>
      </c>
      <c r="R393" s="180" t="str">
        <f t="shared" si="151"/>
        <v/>
      </c>
      <c r="S393" s="5" t="s">
        <v>3245</v>
      </c>
      <c r="T393" s="5">
        <f t="shared" si="152"/>
        <v>7</v>
      </c>
      <c r="U393" s="5">
        <f t="shared" si="153"/>
        <v>7</v>
      </c>
      <c r="V393" s="5">
        <f>VLOOKUP(B393,'Loyd List 1-190 - Edit'!$A$2:$B$220,2,FALSE)</f>
        <v>2</v>
      </c>
      <c r="W393" s="155">
        <f t="shared" si="154"/>
        <v>5</v>
      </c>
      <c r="X393" s="105"/>
      <c r="Y393" s="105"/>
      <c r="Z393" s="164"/>
      <c r="AA393" s="6">
        <v>32</v>
      </c>
      <c r="AB393" s="5">
        <f t="shared" si="169"/>
        <v>7</v>
      </c>
      <c r="AC393" s="5">
        <f t="shared" si="160"/>
        <v>5007</v>
      </c>
      <c r="AD393" s="97" t="str">
        <f t="shared" si="155"/>
        <v>18bbaad</v>
      </c>
      <c r="AE393" s="5" t="str">
        <f t="shared" si="156"/>
        <v>George Finlay  RAMSAY (1988 - )</v>
      </c>
      <c r="AF393" s="5" t="str">
        <f t="shared" si="157"/>
        <v>George RAMSAY (7th &amp; 18)</v>
      </c>
      <c r="AG393" s="110" t="str">
        <f t="shared" si="158"/>
        <v>Male</v>
      </c>
      <c r="AH393" s="5" t="str">
        <f t="shared" si="165"/>
        <v>7th</v>
      </c>
      <c r="AI393" s="5" t="str">
        <f t="shared" si="168"/>
        <v>Unmarried</v>
      </c>
      <c r="AJ393" s="105" t="str">
        <f t="shared" si="161"/>
        <v>Male. b. 30/10/1988</v>
      </c>
      <c r="AK393" s="105" t="str">
        <f t="shared" si="159"/>
        <v>b. 30/10/1988</v>
      </c>
    </row>
    <row r="394" spans="1:37" s="137" customFormat="1" ht="52">
      <c r="A394" s="5">
        <f>VLOOKUP(B394,'Loyd List 1-190 - Edit'!$P$1:$R$219,3,FALSE)</f>
        <v>8</v>
      </c>
      <c r="B394" s="5">
        <f t="shared" si="171"/>
        <v>18</v>
      </c>
      <c r="C394" s="185" t="s">
        <v>2408</v>
      </c>
      <c r="D394" s="6" t="s">
        <v>2058</v>
      </c>
      <c r="E394" s="5" t="s">
        <v>842</v>
      </c>
      <c r="F394" s="5"/>
      <c r="G394" s="5"/>
      <c r="H394" s="5"/>
      <c r="I394" s="5">
        <f t="shared" si="167"/>
        <v>1976</v>
      </c>
      <c r="J394" s="5" t="str">
        <f t="shared" si="163"/>
        <v/>
      </c>
      <c r="K394" s="152"/>
      <c r="L394" s="7" t="str">
        <f t="shared" si="170"/>
        <v>22/02/1976</v>
      </c>
      <c r="M394" s="10" t="s">
        <v>2981</v>
      </c>
      <c r="N394" s="5"/>
      <c r="O394" s="7"/>
      <c r="P394" s="181" t="str">
        <f t="shared" si="150"/>
        <v/>
      </c>
      <c r="Q394" s="187" t="str">
        <f t="shared" si="166"/>
        <v>18bbab</v>
      </c>
      <c r="R394" s="180" t="str">
        <f t="shared" si="151"/>
        <v/>
      </c>
      <c r="S394" s="5" t="s">
        <v>3245</v>
      </c>
      <c r="T394" s="5">
        <f t="shared" si="152"/>
        <v>7</v>
      </c>
      <c r="U394" s="5">
        <f t="shared" si="153"/>
        <v>7</v>
      </c>
      <c r="V394" s="5">
        <f>VLOOKUP(B394,'Loyd List 1-190 - Edit'!$A$2:$B$220,2,FALSE)</f>
        <v>2</v>
      </c>
      <c r="W394" s="155">
        <f t="shared" si="154"/>
        <v>5</v>
      </c>
      <c r="X394" s="105" t="s">
        <v>3597</v>
      </c>
      <c r="Y394" s="105" t="s">
        <v>3598</v>
      </c>
      <c r="Z394" s="164" t="s">
        <v>3679</v>
      </c>
      <c r="AA394" s="6">
        <v>34</v>
      </c>
      <c r="AB394" s="5">
        <f t="shared" si="169"/>
        <v>8</v>
      </c>
      <c r="AC394" s="5">
        <f t="shared" si="160"/>
        <v>5008</v>
      </c>
      <c r="AD394" s="97" t="str">
        <f t="shared" si="155"/>
        <v>18bbaba</v>
      </c>
      <c r="AE394" s="5" t="str">
        <f t="shared" si="156"/>
        <v>John   BERRY (1976 - )</v>
      </c>
      <c r="AF394" s="5" t="str">
        <f t="shared" si="157"/>
        <v>John BERRY (7th &amp; 18)</v>
      </c>
      <c r="AG394" s="110" t="str">
        <f t="shared" si="158"/>
        <v>Male</v>
      </c>
      <c r="AH394" s="5" t="str">
        <f t="shared" si="165"/>
        <v>7th</v>
      </c>
      <c r="AI394" s="5" t="str">
        <f t="shared" si="168"/>
        <v>Wife: Dr Megan Louise BASTICK PhD.. Married Megan on 29/12/2007 at Yellow Point, Tasmania, Australia.</v>
      </c>
      <c r="AJ394" s="105" t="str">
        <f t="shared" si="161"/>
        <v>Male. b. 22/02/1976 Educated Eton and Edinburgh University (MA Hons 1st class) and Oxford Brookes (MSc in Development Practice).</v>
      </c>
      <c r="AK394" s="105" t="str">
        <f t="shared" si="159"/>
        <v>b. 22/02/1976</v>
      </c>
    </row>
    <row r="395" spans="1:37" s="137" customFormat="1" ht="35">
      <c r="A395" s="5">
        <f>VLOOKUP(B395,'Loyd List 1-190 - Edit'!$P$1:$R$219,3,FALSE)</f>
        <v>8</v>
      </c>
      <c r="B395" s="5">
        <f t="shared" si="171"/>
        <v>18</v>
      </c>
      <c r="C395" s="185" t="s">
        <v>2409</v>
      </c>
      <c r="D395" s="6" t="s">
        <v>2058</v>
      </c>
      <c r="E395" s="5" t="s">
        <v>902</v>
      </c>
      <c r="F395" s="5"/>
      <c r="G395" s="5"/>
      <c r="H395" s="5"/>
      <c r="I395" s="5">
        <f t="shared" si="167"/>
        <v>1978</v>
      </c>
      <c r="J395" s="5" t="str">
        <f t="shared" si="163"/>
        <v/>
      </c>
      <c r="K395" s="152"/>
      <c r="L395" s="7" t="str">
        <f t="shared" si="170"/>
        <v>15/07/1978</v>
      </c>
      <c r="M395" s="10" t="s">
        <v>2980</v>
      </c>
      <c r="N395" s="5"/>
      <c r="O395" s="7"/>
      <c r="P395" s="181" t="str">
        <f t="shared" si="150"/>
        <v/>
      </c>
      <c r="Q395" s="187" t="str">
        <f t="shared" si="166"/>
        <v>18bbab</v>
      </c>
      <c r="R395" s="180" t="str">
        <f t="shared" si="151"/>
        <v/>
      </c>
      <c r="S395" s="5" t="s">
        <v>3245</v>
      </c>
      <c r="T395" s="5">
        <f t="shared" si="152"/>
        <v>7</v>
      </c>
      <c r="U395" s="5">
        <f t="shared" si="153"/>
        <v>7</v>
      </c>
      <c r="V395" s="5">
        <f>VLOOKUP(B395,'Loyd List 1-190 - Edit'!$A$2:$B$220,2,FALSE)</f>
        <v>2</v>
      </c>
      <c r="W395" s="155">
        <f t="shared" si="154"/>
        <v>5</v>
      </c>
      <c r="X395" s="105" t="s">
        <v>3599</v>
      </c>
      <c r="Y395" s="105" t="s">
        <v>3600</v>
      </c>
      <c r="Z395" s="164" t="s">
        <v>3601</v>
      </c>
      <c r="AA395" s="6">
        <v>35</v>
      </c>
      <c r="AB395" s="5">
        <f t="shared" si="169"/>
        <v>9</v>
      </c>
      <c r="AC395" s="5">
        <f t="shared" si="160"/>
        <v>5009</v>
      </c>
      <c r="AD395" s="97" t="str">
        <f t="shared" si="155"/>
        <v>18bbabb</v>
      </c>
      <c r="AE395" s="5" t="str">
        <f t="shared" si="156"/>
        <v>Robert   BERRY (1978 - )</v>
      </c>
      <c r="AF395" s="5" t="str">
        <f t="shared" si="157"/>
        <v>Robert BERRY (7th &amp; 18)</v>
      </c>
      <c r="AG395" s="110" t="str">
        <f t="shared" si="158"/>
        <v>Male</v>
      </c>
      <c r="AH395" s="5" t="str">
        <f t="shared" si="165"/>
        <v>7th</v>
      </c>
      <c r="AI395" s="5" t="str">
        <f t="shared" si="168"/>
        <v>Wife: Catriona Hermione CAMPBELL.. Married Catriona 12/04/2008 in Oban Argyll.</v>
      </c>
      <c r="AJ395" s="105" t="str">
        <f t="shared" si="161"/>
        <v>Male. b. 15/07/1978 Educated Fettes and Bristol University (BA Hons Music).</v>
      </c>
      <c r="AK395" s="105" t="str">
        <f t="shared" si="159"/>
        <v>b. 15/07/1978</v>
      </c>
    </row>
    <row r="396" spans="1:37" s="137" customFormat="1" ht="69">
      <c r="A396" s="5">
        <f>VLOOKUP(B396,'Loyd List 1-190 - Edit'!$P$1:$R$219,3,FALSE)</f>
        <v>8</v>
      </c>
      <c r="B396" s="5">
        <f t="shared" si="171"/>
        <v>18</v>
      </c>
      <c r="C396" s="185" t="s">
        <v>2411</v>
      </c>
      <c r="D396" s="6" t="s">
        <v>2038</v>
      </c>
      <c r="E396" s="5" t="s">
        <v>1589</v>
      </c>
      <c r="F396" s="5" t="s">
        <v>2041</v>
      </c>
      <c r="G396" s="5"/>
      <c r="H396" s="5" t="s">
        <v>3616</v>
      </c>
      <c r="I396" s="5">
        <f t="shared" si="167"/>
        <v>1985</v>
      </c>
      <c r="J396" s="5" t="str">
        <f t="shared" si="163"/>
        <v/>
      </c>
      <c r="K396" s="152"/>
      <c r="L396" s="7" t="str">
        <f t="shared" si="170"/>
        <v>15/04/1985</v>
      </c>
      <c r="M396" s="10" t="s">
        <v>2979</v>
      </c>
      <c r="N396" s="7">
        <v>41769</v>
      </c>
      <c r="O396" s="7"/>
      <c r="P396" s="181" t="str">
        <f t="shared" si="150"/>
        <v/>
      </c>
      <c r="Q396" s="187" t="str">
        <f t="shared" si="166"/>
        <v>18bbad</v>
      </c>
      <c r="R396" s="180" t="str">
        <f t="shared" si="151"/>
        <v/>
      </c>
      <c r="S396" s="5" t="s">
        <v>3245</v>
      </c>
      <c r="T396" s="5">
        <f t="shared" si="152"/>
        <v>7</v>
      </c>
      <c r="U396" s="5">
        <f t="shared" si="153"/>
        <v>7</v>
      </c>
      <c r="V396" s="5">
        <f>VLOOKUP(B396,'Loyd List 1-190 - Edit'!$A$2:$B$220,2,FALSE)</f>
        <v>2</v>
      </c>
      <c r="W396" s="155">
        <f t="shared" si="154"/>
        <v>5</v>
      </c>
      <c r="X396" s="105" t="s">
        <v>3617</v>
      </c>
      <c r="Y396" s="105" t="s">
        <v>3618</v>
      </c>
      <c r="Z396" s="164" t="s">
        <v>3619</v>
      </c>
      <c r="AA396" s="6">
        <v>38</v>
      </c>
      <c r="AB396" s="5">
        <f t="shared" si="169"/>
        <v>10</v>
      </c>
      <c r="AC396" s="5">
        <f t="shared" si="160"/>
        <v>5010</v>
      </c>
      <c r="AD396" s="97" t="str">
        <f t="shared" si="155"/>
        <v>18bbada</v>
      </c>
      <c r="AE396" s="5" t="str">
        <f t="shared" si="156"/>
        <v>Nicholas Redston  WARNER (1985 - )</v>
      </c>
      <c r="AF396" s="5" t="str">
        <f t="shared" si="157"/>
        <v>Nick WARNER (7th &amp; 18)</v>
      </c>
      <c r="AG396" s="110" t="str">
        <f t="shared" si="158"/>
        <v>Male</v>
      </c>
      <c r="AH396" s="5" t="str">
        <f t="shared" si="165"/>
        <v>7th</v>
      </c>
      <c r="AI396" s="5" t="str">
        <f t="shared" si="168"/>
        <v>Wife: Aimee Fiona Ann BAIRD (b04/12/1985, ). Aimee only daughter of James Baird of Southon House, Marden, Kent. Married St Michael &amp; All Angels, Marden.</v>
      </c>
      <c r="AJ396" s="105" t="str">
        <f t="shared" si="161"/>
        <v xml:space="preserve">Male. b. 15/04/1985 Nick lives SW London. Educated at Rugby (scholar) and Edinburgh University. Chartered Accountant PwC. </v>
      </c>
      <c r="AK396" s="105" t="str">
        <f t="shared" si="159"/>
        <v>b. 15/04/1985</v>
      </c>
    </row>
    <row r="397" spans="1:37" s="137" customFormat="1" ht="34">
      <c r="A397" s="5">
        <f>VLOOKUP(B397,'Loyd List 1-190 - Edit'!$P$1:$R$219,3,FALSE)</f>
        <v>8</v>
      </c>
      <c r="B397" s="5">
        <f t="shared" si="171"/>
        <v>18</v>
      </c>
      <c r="C397" s="185" t="s">
        <v>2412</v>
      </c>
      <c r="D397" s="6" t="s">
        <v>2038</v>
      </c>
      <c r="E397" s="5" t="s">
        <v>929</v>
      </c>
      <c r="F397" s="5" t="s">
        <v>2063</v>
      </c>
      <c r="G397" s="5"/>
      <c r="H397" s="5"/>
      <c r="I397" s="5">
        <f t="shared" si="167"/>
        <v>1988</v>
      </c>
      <c r="J397" s="5" t="str">
        <f t="shared" si="163"/>
        <v/>
      </c>
      <c r="K397" s="152"/>
      <c r="L397" s="7" t="str">
        <f t="shared" si="170"/>
        <v>09/02/1988</v>
      </c>
      <c r="M397" s="8">
        <v>32182</v>
      </c>
      <c r="N397" s="5"/>
      <c r="O397" s="7"/>
      <c r="P397" s="181" t="str">
        <f t="shared" si="150"/>
        <v/>
      </c>
      <c r="Q397" s="187" t="str">
        <f t="shared" si="166"/>
        <v>18bbad</v>
      </c>
      <c r="R397" s="180" t="str">
        <f t="shared" si="151"/>
        <v/>
      </c>
      <c r="S397" s="5" t="s">
        <v>3244</v>
      </c>
      <c r="T397" s="5">
        <f t="shared" si="152"/>
        <v>7</v>
      </c>
      <c r="U397" s="5">
        <f t="shared" si="153"/>
        <v>7</v>
      </c>
      <c r="V397" s="5">
        <f>VLOOKUP(B397,'Loyd List 1-190 - Edit'!$A$2:$B$220,2,FALSE)</f>
        <v>2</v>
      </c>
      <c r="W397" s="155">
        <f t="shared" si="154"/>
        <v>5</v>
      </c>
      <c r="X397" s="105"/>
      <c r="Y397" s="105"/>
      <c r="Z397" s="2" t="s">
        <v>3620</v>
      </c>
      <c r="AA397" s="6">
        <v>39</v>
      </c>
      <c r="AB397" s="5">
        <f t="shared" si="169"/>
        <v>11</v>
      </c>
      <c r="AC397" s="5">
        <f t="shared" si="160"/>
        <v>5011</v>
      </c>
      <c r="AD397" s="97" t="str">
        <f t="shared" si="155"/>
        <v>18bbadb</v>
      </c>
      <c r="AE397" s="5" t="str">
        <f t="shared" si="156"/>
        <v>Harriet Voase  WARNER (1988 - )</v>
      </c>
      <c r="AF397" s="5" t="str">
        <f t="shared" si="157"/>
        <v>Harriet WARNER (7th &amp; 18)</v>
      </c>
      <c r="AG397" s="110" t="str">
        <f t="shared" si="158"/>
        <v>Female</v>
      </c>
      <c r="AH397" s="5" t="str">
        <f t="shared" si="165"/>
        <v>7th</v>
      </c>
      <c r="AI397" s="5" t="str">
        <f t="shared" si="168"/>
        <v>Unmarried</v>
      </c>
      <c r="AJ397" s="105" t="str">
        <f t="shared" si="161"/>
        <v>Female. b. 09/02/1988 Harriet lives in SW London. Educated Rugby and Edinburgh Napier. Nursery School Teacher.</v>
      </c>
      <c r="AK397" s="105" t="str">
        <f t="shared" si="159"/>
        <v>b. 09/02/1988</v>
      </c>
    </row>
    <row r="398" spans="1:37" s="137" customFormat="1" ht="20">
      <c r="A398" s="5">
        <f>VLOOKUP(B398,'Loyd List 1-190 - Edit'!$P$1:$R$219,3,FALSE)</f>
        <v>8</v>
      </c>
      <c r="B398" s="5">
        <f t="shared" si="171"/>
        <v>18</v>
      </c>
      <c r="C398" s="185" t="s">
        <v>2072</v>
      </c>
      <c r="D398" s="6" t="s">
        <v>2022</v>
      </c>
      <c r="E398" s="5" t="s">
        <v>973</v>
      </c>
      <c r="F398" s="5" t="s">
        <v>1436</v>
      </c>
      <c r="G398" s="5"/>
      <c r="H398" s="5"/>
      <c r="I398" s="5">
        <f t="shared" si="167"/>
        <v>1982</v>
      </c>
      <c r="J398" s="5" t="str">
        <f t="shared" si="163"/>
        <v/>
      </c>
      <c r="K398" s="152"/>
      <c r="L398" s="7" t="str">
        <f t="shared" si="170"/>
        <v>23/03/1982</v>
      </c>
      <c r="M398" s="8">
        <v>30033</v>
      </c>
      <c r="N398" s="7"/>
      <c r="O398" s="7"/>
      <c r="P398" s="181" t="str">
        <f t="shared" si="150"/>
        <v/>
      </c>
      <c r="Q398" s="187" t="str">
        <f t="shared" si="166"/>
        <v>18bbbb</v>
      </c>
      <c r="R398" s="180" t="str">
        <f t="shared" si="151"/>
        <v/>
      </c>
      <c r="S398" s="5" t="s">
        <v>3244</v>
      </c>
      <c r="T398" s="5">
        <f t="shared" si="152"/>
        <v>7</v>
      </c>
      <c r="U398" s="5">
        <f t="shared" si="153"/>
        <v>7</v>
      </c>
      <c r="V398" s="5">
        <f>VLOOKUP(B398,'Loyd List 1-190 - Edit'!$A$2:$B$220,2,FALSE)</f>
        <v>2</v>
      </c>
      <c r="W398" s="155">
        <f t="shared" si="154"/>
        <v>5</v>
      </c>
      <c r="X398" s="105"/>
      <c r="Y398" s="105"/>
      <c r="Z398" s="164"/>
      <c r="AA398" s="6">
        <v>43</v>
      </c>
      <c r="AB398" s="5">
        <f t="shared" si="169"/>
        <v>12</v>
      </c>
      <c r="AC398" s="5">
        <f t="shared" si="160"/>
        <v>5012</v>
      </c>
      <c r="AD398" s="97" t="str">
        <f t="shared" si="155"/>
        <v>18bbbba</v>
      </c>
      <c r="AE398" s="5" t="str">
        <f t="shared" si="156"/>
        <v>Helen Louise  NICOL (1982 - )</v>
      </c>
      <c r="AF398" s="5" t="str">
        <f t="shared" si="157"/>
        <v>Helen NICOL (7th &amp; 18)</v>
      </c>
      <c r="AG398" s="110" t="str">
        <f t="shared" si="158"/>
        <v>Female</v>
      </c>
      <c r="AH398" s="5" t="str">
        <f t="shared" si="165"/>
        <v>7th</v>
      </c>
      <c r="AI398" s="5" t="str">
        <f t="shared" si="168"/>
        <v>Unmarried</v>
      </c>
      <c r="AJ398" s="105" t="str">
        <f t="shared" si="161"/>
        <v>Female. b. 23/03/1982</v>
      </c>
      <c r="AK398" s="105" t="str">
        <f t="shared" si="159"/>
        <v>b. 23/03/1982</v>
      </c>
    </row>
    <row r="399" spans="1:37" s="137" customFormat="1" ht="20">
      <c r="A399" s="5">
        <f>VLOOKUP(B399,'Loyd List 1-190 - Edit'!$P$1:$R$219,3,FALSE)</f>
        <v>8</v>
      </c>
      <c r="B399" s="5">
        <f t="shared" si="171"/>
        <v>18</v>
      </c>
      <c r="C399" s="185" t="s">
        <v>2073</v>
      </c>
      <c r="D399" s="6" t="s">
        <v>2022</v>
      </c>
      <c r="E399" s="5" t="s">
        <v>1640</v>
      </c>
      <c r="F399" s="5" t="s">
        <v>923</v>
      </c>
      <c r="G399" s="5"/>
      <c r="H399" s="5" t="s">
        <v>1376</v>
      </c>
      <c r="I399" s="5">
        <f t="shared" si="167"/>
        <v>1984</v>
      </c>
      <c r="J399" s="5" t="str">
        <f t="shared" si="163"/>
        <v/>
      </c>
      <c r="K399" s="152"/>
      <c r="L399" s="7" t="str">
        <f t="shared" si="170"/>
        <v>24/02/1984</v>
      </c>
      <c r="M399" s="8">
        <v>30736</v>
      </c>
      <c r="N399" s="5"/>
      <c r="O399" s="7"/>
      <c r="P399" s="181" t="str">
        <f t="shared" si="150"/>
        <v/>
      </c>
      <c r="Q399" s="187" t="str">
        <f t="shared" si="166"/>
        <v>18bbbb</v>
      </c>
      <c r="R399" s="180" t="str">
        <f t="shared" si="151"/>
        <v/>
      </c>
      <c r="S399" s="5" t="s">
        <v>3244</v>
      </c>
      <c r="T399" s="5">
        <f t="shared" si="152"/>
        <v>7</v>
      </c>
      <c r="U399" s="5">
        <f t="shared" si="153"/>
        <v>7</v>
      </c>
      <c r="V399" s="5">
        <f>VLOOKUP(B399,'Loyd List 1-190 - Edit'!$A$2:$B$220,2,FALSE)</f>
        <v>2</v>
      </c>
      <c r="W399" s="155">
        <f t="shared" si="154"/>
        <v>5</v>
      </c>
      <c r="X399" s="105"/>
      <c r="Y399" s="105"/>
      <c r="Z399" s="164"/>
      <c r="AA399" s="6">
        <v>44</v>
      </c>
      <c r="AB399" s="5">
        <f t="shared" si="169"/>
        <v>13</v>
      </c>
      <c r="AC399" s="5">
        <f t="shared" si="160"/>
        <v>5013</v>
      </c>
      <c r="AD399" s="97" t="str">
        <f t="shared" si="155"/>
        <v>18bbbbb</v>
      </c>
      <c r="AE399" s="5" t="str">
        <f t="shared" si="156"/>
        <v>Lucinda Rachel  NICOL (1984 - )</v>
      </c>
      <c r="AF399" s="5" t="str">
        <f t="shared" si="157"/>
        <v>Lucy NICOL (7th &amp; 18)</v>
      </c>
      <c r="AG399" s="110" t="str">
        <f t="shared" si="158"/>
        <v>Female</v>
      </c>
      <c r="AH399" s="5" t="str">
        <f t="shared" si="165"/>
        <v>7th</v>
      </c>
      <c r="AI399" s="5" t="str">
        <f t="shared" si="168"/>
        <v>Unmarried</v>
      </c>
      <c r="AJ399" s="105" t="str">
        <f t="shared" si="161"/>
        <v>Female. b. 24/02/1984</v>
      </c>
      <c r="AK399" s="105" t="str">
        <f t="shared" si="159"/>
        <v>b. 24/02/1984</v>
      </c>
    </row>
    <row r="400" spans="1:37" s="137" customFormat="1" ht="20">
      <c r="A400" s="5">
        <f>VLOOKUP(B400,'Loyd List 1-190 - Edit'!$P$1:$R$219,3,FALSE)</f>
        <v>8</v>
      </c>
      <c r="B400" s="5">
        <f t="shared" si="171"/>
        <v>18</v>
      </c>
      <c r="C400" s="185" t="s">
        <v>2075</v>
      </c>
      <c r="D400" s="6" t="s">
        <v>2022</v>
      </c>
      <c r="E400" s="5" t="s">
        <v>2074</v>
      </c>
      <c r="F400" s="5" t="s">
        <v>891</v>
      </c>
      <c r="G400" s="5"/>
      <c r="H400" s="5"/>
      <c r="I400" s="5">
        <f t="shared" si="167"/>
        <v>1987</v>
      </c>
      <c r="J400" s="5">
        <f t="shared" si="163"/>
        <v>1988</v>
      </c>
      <c r="K400" s="152"/>
      <c r="L400" s="7" t="str">
        <f t="shared" si="170"/>
        <v>08/11/1987</v>
      </c>
      <c r="M400" s="8">
        <v>32089</v>
      </c>
      <c r="N400" s="5"/>
      <c r="O400" s="7">
        <v>32188</v>
      </c>
      <c r="P400" s="181" t="str">
        <f t="shared" si="150"/>
        <v>15/02/1988</v>
      </c>
      <c r="Q400" s="187" t="str">
        <f t="shared" si="166"/>
        <v>18bbbb</v>
      </c>
      <c r="R400" s="180" t="str">
        <f t="shared" si="151"/>
        <v>15/02/1988</v>
      </c>
      <c r="S400" s="5" t="s">
        <v>3245</v>
      </c>
      <c r="T400" s="5">
        <f t="shared" si="152"/>
        <v>7</v>
      </c>
      <c r="U400" s="5">
        <f t="shared" si="153"/>
        <v>7</v>
      </c>
      <c r="V400" s="5">
        <f>VLOOKUP(B400,'Loyd List 1-190 - Edit'!$A$2:$B$220,2,FALSE)</f>
        <v>2</v>
      </c>
      <c r="W400" s="155">
        <f t="shared" si="154"/>
        <v>5</v>
      </c>
      <c r="X400" s="105"/>
      <c r="Y400" s="105"/>
      <c r="Z400" s="164"/>
      <c r="AA400" s="6">
        <v>45</v>
      </c>
      <c r="AB400" s="5">
        <f t="shared" si="169"/>
        <v>14</v>
      </c>
      <c r="AC400" s="5">
        <f t="shared" si="160"/>
        <v>5014</v>
      </c>
      <c r="AD400" s="97" t="str">
        <f t="shared" si="155"/>
        <v>18bbbbc</v>
      </c>
      <c r="AE400" s="5" t="str">
        <f t="shared" si="156"/>
        <v>Johnathan Michael  NICOL (1987 - 1988)</v>
      </c>
      <c r="AF400" s="5" t="str">
        <f t="shared" si="157"/>
        <v>Johnathan NICOL (7th &amp; 18)</v>
      </c>
      <c r="AG400" s="110" t="str">
        <f t="shared" si="158"/>
        <v>Male</v>
      </c>
      <c r="AH400" s="5" t="str">
        <f t="shared" si="165"/>
        <v>7th</v>
      </c>
      <c r="AI400" s="5" t="str">
        <f t="shared" si="168"/>
        <v>Unmarried</v>
      </c>
      <c r="AJ400" s="105" t="str">
        <f t="shared" si="161"/>
        <v>Male. b. 08/11/1987, d. 15/02/1988.</v>
      </c>
      <c r="AK400" s="105" t="str">
        <f t="shared" si="159"/>
        <v>b. 08/11/1987, d. 15/02/1988.</v>
      </c>
    </row>
    <row r="401" spans="1:37" s="137" customFormat="1" ht="20">
      <c r="A401" s="5">
        <f>VLOOKUP(B401,'Loyd List 1-190 - Edit'!$P$1:$R$219,3,FALSE)</f>
        <v>8</v>
      </c>
      <c r="B401" s="5">
        <f t="shared" si="171"/>
        <v>18</v>
      </c>
      <c r="C401" s="185" t="s">
        <v>2076</v>
      </c>
      <c r="D401" s="6" t="s">
        <v>2022</v>
      </c>
      <c r="E401" s="5" t="s">
        <v>918</v>
      </c>
      <c r="F401" s="5" t="s">
        <v>865</v>
      </c>
      <c r="G401" s="5" t="s">
        <v>902</v>
      </c>
      <c r="H401" s="5"/>
      <c r="I401" s="5">
        <f t="shared" si="167"/>
        <v>1991</v>
      </c>
      <c r="J401" s="5" t="str">
        <f t="shared" si="163"/>
        <v/>
      </c>
      <c r="K401" s="152"/>
      <c r="L401" s="7" t="str">
        <f t="shared" si="170"/>
        <v>23/01/1991</v>
      </c>
      <c r="M401" s="8">
        <v>33261</v>
      </c>
      <c r="N401" s="5"/>
      <c r="O401" s="7"/>
      <c r="P401" s="181" t="str">
        <f t="shared" si="150"/>
        <v/>
      </c>
      <c r="Q401" s="187" t="str">
        <f t="shared" si="166"/>
        <v>18bbbb</v>
      </c>
      <c r="R401" s="180" t="str">
        <f t="shared" si="151"/>
        <v/>
      </c>
      <c r="S401" s="5" t="s">
        <v>3245</v>
      </c>
      <c r="T401" s="5">
        <f t="shared" si="152"/>
        <v>7</v>
      </c>
      <c r="U401" s="5">
        <f t="shared" si="153"/>
        <v>7</v>
      </c>
      <c r="V401" s="5">
        <f>VLOOKUP(B401,'Loyd List 1-190 - Edit'!$A$2:$B$220,2,FALSE)</f>
        <v>2</v>
      </c>
      <c r="W401" s="155">
        <f t="shared" si="154"/>
        <v>5</v>
      </c>
      <c r="X401" s="105"/>
      <c r="Y401" s="105"/>
      <c r="Z401" s="164"/>
      <c r="AA401" s="6">
        <v>46</v>
      </c>
      <c r="AB401" s="5">
        <f t="shared" si="169"/>
        <v>15</v>
      </c>
      <c r="AC401" s="5">
        <f t="shared" si="160"/>
        <v>5015</v>
      </c>
      <c r="AD401" s="97" t="str">
        <f t="shared" si="155"/>
        <v>18bbbbd</v>
      </c>
      <c r="AE401" s="5" t="str">
        <f t="shared" si="156"/>
        <v>James Peter Robert NICOL (1991 - )</v>
      </c>
      <c r="AF401" s="5" t="str">
        <f t="shared" si="157"/>
        <v>James NICOL (7th &amp; 18)</v>
      </c>
      <c r="AG401" s="110" t="str">
        <f t="shared" si="158"/>
        <v>Male</v>
      </c>
      <c r="AH401" s="5" t="str">
        <f t="shared" si="165"/>
        <v>7th</v>
      </c>
      <c r="AI401" s="5" t="str">
        <f t="shared" si="168"/>
        <v>Unmarried</v>
      </c>
      <c r="AJ401" s="105" t="str">
        <f t="shared" si="161"/>
        <v>Male. b. 23/01/1991</v>
      </c>
      <c r="AK401" s="105" t="str">
        <f t="shared" si="159"/>
        <v>b. 23/01/1991</v>
      </c>
    </row>
    <row r="402" spans="1:37" s="137" customFormat="1" ht="20">
      <c r="A402" s="5">
        <f>VLOOKUP(B402,'Loyd List 1-190 - Edit'!$P$1:$R$219,3,FALSE)</f>
        <v>8</v>
      </c>
      <c r="B402" s="5">
        <f t="shared" si="171"/>
        <v>18</v>
      </c>
      <c r="C402" s="186" t="s">
        <v>2356</v>
      </c>
      <c r="D402" s="6" t="s">
        <v>2022</v>
      </c>
      <c r="E402" s="5" t="s">
        <v>2079</v>
      </c>
      <c r="F402" s="5" t="s">
        <v>952</v>
      </c>
      <c r="G402" s="5"/>
      <c r="H402" s="5"/>
      <c r="I402" s="5">
        <f t="shared" si="167"/>
        <v>1985</v>
      </c>
      <c r="J402" s="5" t="str">
        <f t="shared" si="163"/>
        <v/>
      </c>
      <c r="K402" s="152"/>
      <c r="L402" s="7" t="str">
        <f t="shared" si="170"/>
        <v>24/11/1985</v>
      </c>
      <c r="M402" s="8">
        <v>31375</v>
      </c>
      <c r="N402" s="5"/>
      <c r="O402" s="7"/>
      <c r="P402" s="181" t="str">
        <f t="shared" si="150"/>
        <v/>
      </c>
      <c r="Q402" s="187" t="str">
        <f t="shared" si="166"/>
        <v>18bbbc</v>
      </c>
      <c r="R402" s="180" t="str">
        <f t="shared" si="151"/>
        <v/>
      </c>
      <c r="S402" s="5" t="s">
        <v>3244</v>
      </c>
      <c r="T402" s="5">
        <f t="shared" si="152"/>
        <v>7</v>
      </c>
      <c r="U402" s="5">
        <f t="shared" si="153"/>
        <v>7</v>
      </c>
      <c r="V402" s="5">
        <f>VLOOKUP(B402,'Loyd List 1-190 - Edit'!$A$2:$B$220,2,FALSE)</f>
        <v>2</v>
      </c>
      <c r="W402" s="155">
        <f t="shared" si="154"/>
        <v>5</v>
      </c>
      <c r="X402" s="105"/>
      <c r="Y402" s="105"/>
      <c r="Z402" s="164" t="s">
        <v>2432</v>
      </c>
      <c r="AA402" s="6">
        <v>48</v>
      </c>
      <c r="AB402" s="5">
        <f t="shared" si="169"/>
        <v>16</v>
      </c>
      <c r="AC402" s="5">
        <f t="shared" si="160"/>
        <v>5016</v>
      </c>
      <c r="AD402" s="97" t="str">
        <f t="shared" si="155"/>
        <v>18bbbca</v>
      </c>
      <c r="AE402" s="5" t="str">
        <f t="shared" si="156"/>
        <v>Abigail Elizabeth  NICOL (1985 - )</v>
      </c>
      <c r="AF402" s="5" t="str">
        <f t="shared" si="157"/>
        <v>Abigail NICOL (7th &amp; 18)</v>
      </c>
      <c r="AG402" s="110" t="str">
        <f t="shared" si="158"/>
        <v>Female</v>
      </c>
      <c r="AH402" s="5" t="str">
        <f t="shared" si="165"/>
        <v>7th</v>
      </c>
      <c r="AI402" s="5" t="str">
        <f t="shared" si="168"/>
        <v>Unmarried</v>
      </c>
      <c r="AJ402" s="105" t="str">
        <f t="shared" si="161"/>
        <v>Female. b. 24/11/1985 Twin with her sister Jennifer.</v>
      </c>
      <c r="AK402" s="105" t="str">
        <f t="shared" si="159"/>
        <v>b. 24/11/1985</v>
      </c>
    </row>
    <row r="403" spans="1:37" s="137" customFormat="1" ht="20">
      <c r="A403" s="5">
        <f>VLOOKUP(B403,'Loyd List 1-190 - Edit'!$P$1:$R$219,3,FALSE)</f>
        <v>8</v>
      </c>
      <c r="B403" s="5">
        <f t="shared" si="171"/>
        <v>18</v>
      </c>
      <c r="C403" s="186" t="s">
        <v>3267</v>
      </c>
      <c r="D403" s="6" t="s">
        <v>2022</v>
      </c>
      <c r="E403" s="5" t="s">
        <v>2080</v>
      </c>
      <c r="F403" s="5" t="s">
        <v>867</v>
      </c>
      <c r="G403" s="5"/>
      <c r="H403" s="5"/>
      <c r="I403" s="5">
        <f t="shared" si="167"/>
        <v>1985</v>
      </c>
      <c r="J403" s="5" t="str">
        <f t="shared" si="163"/>
        <v/>
      </c>
      <c r="K403" s="152"/>
      <c r="L403" s="7" t="str">
        <f t="shared" si="170"/>
        <v>24/11/1985</v>
      </c>
      <c r="M403" s="8">
        <v>31375</v>
      </c>
      <c r="N403" s="5"/>
      <c r="O403" s="7"/>
      <c r="P403" s="181" t="str">
        <f t="shared" si="150"/>
        <v/>
      </c>
      <c r="Q403" s="187" t="str">
        <f t="shared" si="166"/>
        <v>18bbbc</v>
      </c>
      <c r="R403" s="180" t="str">
        <f t="shared" si="151"/>
        <v/>
      </c>
      <c r="S403" s="5" t="s">
        <v>3244</v>
      </c>
      <c r="T403" s="5">
        <f t="shared" si="152"/>
        <v>7</v>
      </c>
      <c r="U403" s="5">
        <f t="shared" si="153"/>
        <v>7</v>
      </c>
      <c r="V403" s="5">
        <f>VLOOKUP(B403,'Loyd List 1-190 - Edit'!$A$2:$B$220,2,FALSE)</f>
        <v>2</v>
      </c>
      <c r="W403" s="155">
        <f t="shared" si="154"/>
        <v>5</v>
      </c>
      <c r="X403" s="105"/>
      <c r="Y403" s="105"/>
      <c r="Z403" s="105" t="s">
        <v>2433</v>
      </c>
      <c r="AA403" s="6">
        <v>49</v>
      </c>
      <c r="AB403" s="5">
        <f t="shared" si="169"/>
        <v>17</v>
      </c>
      <c r="AC403" s="5">
        <f t="shared" si="160"/>
        <v>5017</v>
      </c>
      <c r="AD403" s="97" t="str">
        <f t="shared" si="155"/>
        <v>18bbbcb</v>
      </c>
      <c r="AE403" s="5" t="str">
        <f t="shared" si="156"/>
        <v>Jennifer Catherine  NICOL (1985 - )</v>
      </c>
      <c r="AF403" s="5" t="str">
        <f t="shared" si="157"/>
        <v>Jennifer NICOL (7th &amp; 18)</v>
      </c>
      <c r="AG403" s="110" t="str">
        <f t="shared" si="158"/>
        <v>Female</v>
      </c>
      <c r="AH403" s="5" t="str">
        <f t="shared" si="165"/>
        <v>7th</v>
      </c>
      <c r="AI403" s="5" t="str">
        <f t="shared" si="168"/>
        <v>Unmarried</v>
      </c>
      <c r="AJ403" s="105" t="str">
        <f t="shared" si="161"/>
        <v>Female. b. 24/11/1985 Twin with her sister, Abigail</v>
      </c>
      <c r="AK403" s="105" t="str">
        <f t="shared" si="159"/>
        <v>b. 24/11/1985</v>
      </c>
    </row>
    <row r="404" spans="1:37" s="137" customFormat="1" ht="20">
      <c r="A404" s="5">
        <f>VLOOKUP(B404,'Loyd List 1-190 - Edit'!$P$1:$R$219,3,FALSE)</f>
        <v>8</v>
      </c>
      <c r="B404" s="5">
        <f t="shared" si="171"/>
        <v>18</v>
      </c>
      <c r="C404" s="186" t="s">
        <v>2081</v>
      </c>
      <c r="D404" s="6" t="s">
        <v>2022</v>
      </c>
      <c r="E404" s="5" t="s">
        <v>1988</v>
      </c>
      <c r="F404" s="5" t="s">
        <v>870</v>
      </c>
      <c r="G404" s="5" t="s">
        <v>937</v>
      </c>
      <c r="H404" s="5"/>
      <c r="I404" s="5">
        <f t="shared" si="167"/>
        <v>1988</v>
      </c>
      <c r="J404" s="5" t="str">
        <f t="shared" si="163"/>
        <v/>
      </c>
      <c r="K404" s="152"/>
      <c r="L404" s="7" t="str">
        <f t="shared" si="170"/>
        <v>21/01/1988</v>
      </c>
      <c r="M404" s="8">
        <v>32163</v>
      </c>
      <c r="N404" s="5"/>
      <c r="O404" s="7"/>
      <c r="P404" s="181" t="str">
        <f t="shared" si="150"/>
        <v/>
      </c>
      <c r="Q404" s="187" t="str">
        <f t="shared" si="166"/>
        <v>18bbbc</v>
      </c>
      <c r="R404" s="180" t="str">
        <f t="shared" si="151"/>
        <v/>
      </c>
      <c r="S404" s="5" t="s">
        <v>3244</v>
      </c>
      <c r="T404" s="5">
        <f t="shared" si="152"/>
        <v>7</v>
      </c>
      <c r="U404" s="5">
        <f t="shared" si="153"/>
        <v>7</v>
      </c>
      <c r="V404" s="5">
        <f>VLOOKUP(B404,'Loyd List 1-190 - Edit'!$A$2:$B$220,2,FALSE)</f>
        <v>2</v>
      </c>
      <c r="W404" s="155">
        <f t="shared" si="154"/>
        <v>5</v>
      </c>
      <c r="X404" s="105"/>
      <c r="Y404" s="105"/>
      <c r="Z404" s="164"/>
      <c r="AA404" s="6">
        <v>50</v>
      </c>
      <c r="AB404" s="5">
        <f t="shared" si="169"/>
        <v>18</v>
      </c>
      <c r="AC404" s="5">
        <f t="shared" si="160"/>
        <v>5018</v>
      </c>
      <c r="AD404" s="97" t="str">
        <f t="shared" si="155"/>
        <v>18bbbcc</v>
      </c>
      <c r="AE404" s="5" t="str">
        <f t="shared" si="156"/>
        <v>Alice Mary Rose NICOL (1988 - )</v>
      </c>
      <c r="AF404" s="5" t="str">
        <f t="shared" si="157"/>
        <v>Alice NICOL (7th &amp; 18)</v>
      </c>
      <c r="AG404" s="110" t="str">
        <f t="shared" si="158"/>
        <v>Female</v>
      </c>
      <c r="AH404" s="5" t="str">
        <f t="shared" si="165"/>
        <v>7th</v>
      </c>
      <c r="AI404" s="5" t="str">
        <f t="shared" si="168"/>
        <v>Unmarried</v>
      </c>
      <c r="AJ404" s="105" t="str">
        <f t="shared" si="161"/>
        <v>Female. b. 21/01/1988</v>
      </c>
      <c r="AK404" s="105" t="str">
        <f t="shared" si="159"/>
        <v>b. 21/01/1988</v>
      </c>
    </row>
    <row r="405" spans="1:37" s="137" customFormat="1" ht="20">
      <c r="A405" s="5">
        <f>VLOOKUP(B405,'Loyd List 1-190 - Edit'!$P$1:$R$219,3,FALSE)</f>
        <v>8</v>
      </c>
      <c r="B405" s="5">
        <f t="shared" si="171"/>
        <v>18</v>
      </c>
      <c r="C405" s="186" t="s">
        <v>2357</v>
      </c>
      <c r="D405" s="6" t="s">
        <v>2022</v>
      </c>
      <c r="E405" s="5" t="s">
        <v>867</v>
      </c>
      <c r="F405" s="5" t="s">
        <v>882</v>
      </c>
      <c r="G405" s="5"/>
      <c r="H405" s="5"/>
      <c r="I405" s="5">
        <f t="shared" si="167"/>
        <v>1990</v>
      </c>
      <c r="J405" s="5" t="str">
        <f t="shared" si="163"/>
        <v/>
      </c>
      <c r="K405" s="152"/>
      <c r="L405" s="7" t="str">
        <f t="shared" si="170"/>
        <v>24/04/1990</v>
      </c>
      <c r="M405" s="8">
        <v>32987</v>
      </c>
      <c r="N405" s="5"/>
      <c r="O405" s="7"/>
      <c r="P405" s="181" t="str">
        <f t="shared" si="150"/>
        <v/>
      </c>
      <c r="Q405" s="187" t="str">
        <f t="shared" si="166"/>
        <v>18bbbc</v>
      </c>
      <c r="R405" s="180" t="str">
        <f t="shared" si="151"/>
        <v/>
      </c>
      <c r="S405" s="5" t="s">
        <v>3244</v>
      </c>
      <c r="T405" s="5">
        <f t="shared" si="152"/>
        <v>7</v>
      </c>
      <c r="U405" s="5">
        <f t="shared" si="153"/>
        <v>7</v>
      </c>
      <c r="V405" s="5">
        <f>VLOOKUP(B405,'Loyd List 1-190 - Edit'!$A$2:$B$220,2,FALSE)</f>
        <v>2</v>
      </c>
      <c r="W405" s="155">
        <f t="shared" si="154"/>
        <v>5</v>
      </c>
      <c r="X405" s="105"/>
      <c r="Y405" s="105"/>
      <c r="Z405" s="164"/>
      <c r="AA405" s="6">
        <v>51</v>
      </c>
      <c r="AB405" s="5">
        <f t="shared" si="169"/>
        <v>19</v>
      </c>
      <c r="AC405" s="5">
        <f t="shared" si="160"/>
        <v>5019</v>
      </c>
      <c r="AD405" s="97" t="str">
        <f t="shared" si="155"/>
        <v>18bbbcd</v>
      </c>
      <c r="AE405" s="5" t="str">
        <f t="shared" si="156"/>
        <v>Catherine Margaret  NICOL (1990 - )</v>
      </c>
      <c r="AF405" s="5" t="str">
        <f t="shared" si="157"/>
        <v>Catherine NICOL (7th &amp; 18)</v>
      </c>
      <c r="AG405" s="110" t="str">
        <f t="shared" si="158"/>
        <v>Female</v>
      </c>
      <c r="AH405" s="5" t="str">
        <f t="shared" si="165"/>
        <v>7th</v>
      </c>
      <c r="AI405" s="5" t="str">
        <f t="shared" si="168"/>
        <v>Unmarried</v>
      </c>
      <c r="AJ405" s="105" t="str">
        <f t="shared" si="161"/>
        <v>Female. b. 24/04/1990</v>
      </c>
      <c r="AK405" s="105" t="str">
        <f t="shared" si="159"/>
        <v>b. 24/04/1990</v>
      </c>
    </row>
    <row r="406" spans="1:37" s="137" customFormat="1" ht="20">
      <c r="A406" s="5">
        <f>VLOOKUP(B406,'Loyd List 1-190 - Edit'!$P$1:$R$219,3,FALSE)</f>
        <v>8</v>
      </c>
      <c r="B406" s="5">
        <f t="shared" si="171"/>
        <v>18</v>
      </c>
      <c r="C406" s="186" t="s">
        <v>2084</v>
      </c>
      <c r="D406" s="6" t="s">
        <v>2022</v>
      </c>
      <c r="E406" s="5" t="s">
        <v>2082</v>
      </c>
      <c r="F406" s="5" t="s">
        <v>1543</v>
      </c>
      <c r="G406" s="5"/>
      <c r="H406" s="5"/>
      <c r="I406" s="5">
        <f t="shared" si="167"/>
        <v>1990</v>
      </c>
      <c r="J406" s="5" t="str">
        <f t="shared" si="163"/>
        <v/>
      </c>
      <c r="K406" s="152"/>
      <c r="L406" s="7" t="str">
        <f t="shared" si="170"/>
        <v>25/04/1990</v>
      </c>
      <c r="M406" s="8">
        <v>32988</v>
      </c>
      <c r="N406" s="5"/>
      <c r="O406" s="7"/>
      <c r="P406" s="181" t="str">
        <f t="shared" si="150"/>
        <v/>
      </c>
      <c r="Q406" s="187" t="str">
        <f t="shared" si="166"/>
        <v>18bbbc</v>
      </c>
      <c r="R406" s="180" t="str">
        <f t="shared" si="151"/>
        <v/>
      </c>
      <c r="S406" s="5" t="s">
        <v>3244</v>
      </c>
      <c r="T406" s="5">
        <f t="shared" si="152"/>
        <v>7</v>
      </c>
      <c r="U406" s="5">
        <f t="shared" si="153"/>
        <v>7</v>
      </c>
      <c r="V406" s="5">
        <f>VLOOKUP(B406,'Loyd List 1-190 - Edit'!$A$2:$B$220,2,FALSE)</f>
        <v>2</v>
      </c>
      <c r="W406" s="155">
        <f t="shared" si="154"/>
        <v>5</v>
      </c>
      <c r="X406" s="105"/>
      <c r="Y406" s="105"/>
      <c r="Z406" s="164"/>
      <c r="AA406" s="6">
        <v>52</v>
      </c>
      <c r="AB406" s="5">
        <f t="shared" si="169"/>
        <v>20</v>
      </c>
      <c r="AC406" s="5">
        <f t="shared" si="160"/>
        <v>5020</v>
      </c>
      <c r="AD406" s="97" t="str">
        <f t="shared" si="155"/>
        <v>18bbbce</v>
      </c>
      <c r="AE406" s="5" t="str">
        <f t="shared" si="156"/>
        <v>Elisabeth Iona  NICOL (1990 - )</v>
      </c>
      <c r="AF406" s="5" t="str">
        <f t="shared" si="157"/>
        <v>Elisabeth NICOL (7th &amp; 18)</v>
      </c>
      <c r="AG406" s="110" t="str">
        <f t="shared" si="158"/>
        <v>Female</v>
      </c>
      <c r="AH406" s="5" t="str">
        <f t="shared" si="165"/>
        <v>7th</v>
      </c>
      <c r="AI406" s="5" t="str">
        <f t="shared" si="168"/>
        <v>Unmarried</v>
      </c>
      <c r="AJ406" s="105" t="str">
        <f t="shared" si="161"/>
        <v>Female. b. 25/04/1990</v>
      </c>
      <c r="AK406" s="105" t="str">
        <f t="shared" si="159"/>
        <v>b. 25/04/1990</v>
      </c>
    </row>
    <row r="407" spans="1:37" s="137" customFormat="1" ht="20">
      <c r="A407" s="5">
        <f>VLOOKUP(B407,'Loyd List 1-190 - Edit'!$P$1:$R$219,3,FALSE)</f>
        <v>8</v>
      </c>
      <c r="B407" s="5">
        <f t="shared" si="171"/>
        <v>18</v>
      </c>
      <c r="C407" s="186" t="s">
        <v>2085</v>
      </c>
      <c r="D407" s="6" t="s">
        <v>2022</v>
      </c>
      <c r="E407" s="5" t="s">
        <v>2083</v>
      </c>
      <c r="F407" s="5" t="s">
        <v>1654</v>
      </c>
      <c r="G407" s="5" t="s">
        <v>798</v>
      </c>
      <c r="H407" s="5"/>
      <c r="I407" s="5">
        <f t="shared" si="167"/>
        <v>1992</v>
      </c>
      <c r="J407" s="5" t="str">
        <f t="shared" si="163"/>
        <v/>
      </c>
      <c r="K407" s="152"/>
      <c r="L407" s="7" t="str">
        <f t="shared" si="170"/>
        <v>19/03/1992</v>
      </c>
      <c r="M407" s="8">
        <v>33682</v>
      </c>
      <c r="N407" s="5"/>
      <c r="O407" s="7"/>
      <c r="P407" s="181" t="str">
        <f t="shared" si="150"/>
        <v/>
      </c>
      <c r="Q407" s="187" t="str">
        <f t="shared" si="166"/>
        <v>18bbbc</v>
      </c>
      <c r="R407" s="180" t="str">
        <f t="shared" si="151"/>
        <v/>
      </c>
      <c r="S407" s="5" t="s">
        <v>3244</v>
      </c>
      <c r="T407" s="5">
        <f t="shared" si="152"/>
        <v>7</v>
      </c>
      <c r="U407" s="5">
        <f t="shared" si="153"/>
        <v>7</v>
      </c>
      <c r="V407" s="5">
        <f>VLOOKUP(B407,'Loyd List 1-190 - Edit'!$A$2:$B$220,2,FALSE)</f>
        <v>2</v>
      </c>
      <c r="W407" s="155">
        <f t="shared" si="154"/>
        <v>5</v>
      </c>
      <c r="X407" s="105"/>
      <c r="Y407" s="105"/>
      <c r="Z407" s="164"/>
      <c r="AA407" s="6">
        <v>53</v>
      </c>
      <c r="AB407" s="5">
        <f t="shared" si="169"/>
        <v>21</v>
      </c>
      <c r="AC407" s="5">
        <f t="shared" si="160"/>
        <v>5021</v>
      </c>
      <c r="AD407" s="97" t="str">
        <f t="shared" si="155"/>
        <v>18bbbcf</v>
      </c>
      <c r="AE407" s="5" t="str">
        <f t="shared" si="156"/>
        <v>Lydia Clare Diana NICOL (1992 - )</v>
      </c>
      <c r="AF407" s="5" t="str">
        <f t="shared" si="157"/>
        <v>Lydia NICOL (7th &amp; 18)</v>
      </c>
      <c r="AG407" s="110" t="str">
        <f t="shared" si="158"/>
        <v>Female</v>
      </c>
      <c r="AH407" s="5" t="str">
        <f t="shared" si="165"/>
        <v>7th</v>
      </c>
      <c r="AI407" s="5" t="str">
        <f t="shared" si="168"/>
        <v>Unmarried</v>
      </c>
      <c r="AJ407" s="105" t="str">
        <f t="shared" si="161"/>
        <v>Female. b. 19/03/1992</v>
      </c>
      <c r="AK407" s="105" t="str">
        <f t="shared" si="159"/>
        <v>b. 19/03/1992</v>
      </c>
    </row>
    <row r="408" spans="1:37" s="137" customFormat="1" ht="20">
      <c r="A408" s="5">
        <f>VLOOKUP(B408,'Loyd List 1-190 - Edit'!$P$1:$R$219,3,FALSE)</f>
        <v>8</v>
      </c>
      <c r="B408" s="5">
        <f t="shared" si="171"/>
        <v>18</v>
      </c>
      <c r="C408" s="186" t="s">
        <v>3268</v>
      </c>
      <c r="D408" s="6" t="s">
        <v>2022</v>
      </c>
      <c r="E408" s="5" t="s">
        <v>896</v>
      </c>
      <c r="F408" s="5" t="s">
        <v>830</v>
      </c>
      <c r="G408" s="5" t="s">
        <v>2086</v>
      </c>
      <c r="H408" s="5"/>
      <c r="I408" s="5">
        <f t="shared" si="167"/>
        <v>1995</v>
      </c>
      <c r="J408" s="5" t="str">
        <f t="shared" si="163"/>
        <v/>
      </c>
      <c r="K408" s="152"/>
      <c r="L408" s="7" t="str">
        <f t="shared" si="170"/>
        <v>28/12/1995</v>
      </c>
      <c r="M408" s="8">
        <v>35061</v>
      </c>
      <c r="N408" s="5"/>
      <c r="O408" s="7"/>
      <c r="P408" s="181" t="str">
        <f t="shared" si="150"/>
        <v/>
      </c>
      <c r="Q408" s="187" t="str">
        <f t="shared" si="166"/>
        <v>18bbbc</v>
      </c>
      <c r="R408" s="180" t="str">
        <f t="shared" si="151"/>
        <v/>
      </c>
      <c r="S408" s="5" t="s">
        <v>3245</v>
      </c>
      <c r="T408" s="5">
        <f t="shared" si="152"/>
        <v>7</v>
      </c>
      <c r="U408" s="5">
        <f t="shared" si="153"/>
        <v>7</v>
      </c>
      <c r="V408" s="5">
        <f>VLOOKUP(B408,'Loyd List 1-190 - Edit'!$A$2:$B$220,2,FALSE)</f>
        <v>2</v>
      </c>
      <c r="W408" s="155">
        <f t="shared" si="154"/>
        <v>5</v>
      </c>
      <c r="X408" s="105"/>
      <c r="Y408" s="105"/>
      <c r="Z408" s="164"/>
      <c r="AA408" s="6">
        <v>54</v>
      </c>
      <c r="AB408" s="5">
        <f t="shared" si="169"/>
        <v>22</v>
      </c>
      <c r="AC408" s="5">
        <f t="shared" si="160"/>
        <v>5022</v>
      </c>
      <c r="AD408" s="97" t="str">
        <f t="shared" si="155"/>
        <v>18bbbcg</v>
      </c>
      <c r="AE408" s="5" t="str">
        <f t="shared" si="156"/>
        <v>Patrick William John Perry NICOL (1995 - )</v>
      </c>
      <c r="AF408" s="5" t="str">
        <f t="shared" si="157"/>
        <v>Patrick NICOL (7th &amp; 18)</v>
      </c>
      <c r="AG408" s="110" t="str">
        <f t="shared" si="158"/>
        <v>Male</v>
      </c>
      <c r="AH408" s="5" t="str">
        <f t="shared" si="165"/>
        <v>7th</v>
      </c>
      <c r="AI408" s="5" t="str">
        <f t="shared" si="168"/>
        <v>Unmarried</v>
      </c>
      <c r="AJ408" s="105" t="str">
        <f t="shared" si="161"/>
        <v>Male. b. 28/12/1995</v>
      </c>
      <c r="AK408" s="105" t="str">
        <f t="shared" si="159"/>
        <v>b. 28/12/1995</v>
      </c>
    </row>
    <row r="409" spans="1:37" s="137" customFormat="1" ht="19">
      <c r="A409" s="5">
        <f>VLOOKUP(B409,'Loyd List 1-190 - Edit'!$P$1:$R$219,3,FALSE)</f>
        <v>22</v>
      </c>
      <c r="B409" s="5">
        <f t="shared" si="171"/>
        <v>36</v>
      </c>
      <c r="C409" s="185" t="s">
        <v>2161</v>
      </c>
      <c r="D409" s="5" t="s">
        <v>2158</v>
      </c>
      <c r="E409" s="5" t="s">
        <v>2160</v>
      </c>
      <c r="F409" s="5" t="s">
        <v>902</v>
      </c>
      <c r="G409" s="5"/>
      <c r="H409" s="5"/>
      <c r="I409" s="5">
        <f t="shared" si="167"/>
        <v>1998</v>
      </c>
      <c r="J409" s="5" t="str">
        <f t="shared" si="163"/>
        <v/>
      </c>
      <c r="K409" s="152"/>
      <c r="L409" s="7" t="str">
        <f t="shared" si="170"/>
        <v>06/12/1998</v>
      </c>
      <c r="M409" s="8">
        <v>36135</v>
      </c>
      <c r="N409" s="7"/>
      <c r="O409" s="7"/>
      <c r="P409" s="181" t="str">
        <f t="shared" si="150"/>
        <v/>
      </c>
      <c r="Q409" s="187" t="str">
        <f t="shared" si="166"/>
        <v>36dbaa</v>
      </c>
      <c r="R409" s="180" t="str">
        <f t="shared" si="151"/>
        <v/>
      </c>
      <c r="S409" s="5" t="s">
        <v>3245</v>
      </c>
      <c r="T409" s="5">
        <f t="shared" si="152"/>
        <v>8</v>
      </c>
      <c r="U409" s="5">
        <f t="shared" si="153"/>
        <v>7</v>
      </c>
      <c r="V409" s="5">
        <f>VLOOKUP(B409,'Loyd List 1-190 - Edit'!$A$2:$B$220,2,FALSE)</f>
        <v>3</v>
      </c>
      <c r="W409" s="155">
        <f t="shared" si="154"/>
        <v>5</v>
      </c>
      <c r="X409" s="105"/>
      <c r="Y409" s="105"/>
      <c r="Z409" s="164" t="s">
        <v>2464</v>
      </c>
      <c r="AA409" s="6">
        <v>78</v>
      </c>
      <c r="AB409" s="5">
        <f t="shared" si="169"/>
        <v>23</v>
      </c>
      <c r="AC409" s="5">
        <f t="shared" si="160"/>
        <v>5023</v>
      </c>
      <c r="AD409" s="97" t="str">
        <f t="shared" si="155"/>
        <v>36dbaaa</v>
      </c>
      <c r="AE409" s="5" t="str">
        <f t="shared" si="156"/>
        <v>Lorne Robert  SCOTT-DEMPSTER (1998 - )</v>
      </c>
      <c r="AF409" s="5" t="str">
        <f t="shared" si="157"/>
        <v>Lorne SCOTT-DEMPSTER (8th &amp; 36)</v>
      </c>
      <c r="AG409" s="110" t="str">
        <f t="shared" si="158"/>
        <v>Male</v>
      </c>
      <c r="AH409" s="5" t="str">
        <f t="shared" si="165"/>
        <v>8th</v>
      </c>
      <c r="AI409" s="5" t="str">
        <f t="shared" si="168"/>
        <v>Unmarried</v>
      </c>
      <c r="AJ409" s="105" t="str">
        <f t="shared" si="161"/>
        <v>Male. b. 06/12/1998 Born in Edinburgh.</v>
      </c>
      <c r="AK409" s="105" t="str">
        <f t="shared" si="159"/>
        <v>b. 06/12/1998</v>
      </c>
    </row>
    <row r="410" spans="1:37" s="137" customFormat="1" ht="19">
      <c r="A410" s="5">
        <f>VLOOKUP(B410,'Loyd List 1-190 - Edit'!$P$1:$R$219,3,FALSE)</f>
        <v>22</v>
      </c>
      <c r="B410" s="5">
        <f t="shared" si="171"/>
        <v>36</v>
      </c>
      <c r="C410" s="185" t="s">
        <v>2172</v>
      </c>
      <c r="D410" s="5" t="s">
        <v>1681</v>
      </c>
      <c r="E410" s="5" t="s">
        <v>2169</v>
      </c>
      <c r="F410" s="5" t="s">
        <v>2170</v>
      </c>
      <c r="G410" s="5" t="s">
        <v>2171</v>
      </c>
      <c r="H410" s="5"/>
      <c r="I410" s="5">
        <f t="shared" si="167"/>
        <v>1995</v>
      </c>
      <c r="J410" s="5" t="str">
        <f t="shared" si="163"/>
        <v/>
      </c>
      <c r="K410" s="152"/>
      <c r="L410" s="7" t="str">
        <f t="shared" si="170"/>
        <v>05/09/1995</v>
      </c>
      <c r="M410" s="8">
        <v>34947</v>
      </c>
      <c r="N410" s="7"/>
      <c r="O410" s="7"/>
      <c r="P410" s="181" t="str">
        <f t="shared" si="150"/>
        <v/>
      </c>
      <c r="Q410" s="187" t="str">
        <f t="shared" si="166"/>
        <v>36dbba</v>
      </c>
      <c r="R410" s="180" t="str">
        <f t="shared" si="151"/>
        <v/>
      </c>
      <c r="S410" s="5" t="s">
        <v>3245</v>
      </c>
      <c r="T410" s="5">
        <f t="shared" si="152"/>
        <v>8</v>
      </c>
      <c r="U410" s="5">
        <f t="shared" si="153"/>
        <v>7</v>
      </c>
      <c r="V410" s="5">
        <f>VLOOKUP(B410,'Loyd List 1-190 - Edit'!$A$2:$B$220,2,FALSE)</f>
        <v>3</v>
      </c>
      <c r="W410" s="155">
        <f t="shared" si="154"/>
        <v>5</v>
      </c>
      <c r="X410" s="105"/>
      <c r="Y410" s="105"/>
      <c r="Z410" s="164" t="s">
        <v>2472</v>
      </c>
      <c r="AA410" s="6">
        <v>83</v>
      </c>
      <c r="AB410" s="5">
        <f t="shared" si="169"/>
        <v>24</v>
      </c>
      <c r="AC410" s="5">
        <f t="shared" si="160"/>
        <v>5024</v>
      </c>
      <c r="AD410" s="97" t="str">
        <f t="shared" si="155"/>
        <v>36dbbaa</v>
      </c>
      <c r="AE410" s="5" t="str">
        <f t="shared" si="156"/>
        <v>Cosmo Stephen Buckle GRAHAM (1995 - )</v>
      </c>
      <c r="AF410" s="5" t="str">
        <f t="shared" si="157"/>
        <v>Cosmo GRAHAM (8th &amp; 36)</v>
      </c>
      <c r="AG410" s="110" t="str">
        <f t="shared" si="158"/>
        <v>Male</v>
      </c>
      <c r="AH410" s="5" t="str">
        <f t="shared" si="165"/>
        <v>8th</v>
      </c>
      <c r="AI410" s="5" t="str">
        <f t="shared" si="168"/>
        <v>Unmarried</v>
      </c>
      <c r="AJ410" s="105" t="str">
        <f t="shared" si="161"/>
        <v>Male. b. 05/09/1995 Born in London.</v>
      </c>
      <c r="AK410" s="105" t="str">
        <f t="shared" si="159"/>
        <v>b. 05/09/1995</v>
      </c>
    </row>
    <row r="411" spans="1:37" s="137" customFormat="1" ht="19">
      <c r="A411" s="5">
        <f>VLOOKUP(B411,'Loyd List 1-190 - Edit'!$P$1:$R$219,3,FALSE)</f>
        <v>22</v>
      </c>
      <c r="B411" s="5">
        <f t="shared" si="171"/>
        <v>36</v>
      </c>
      <c r="C411" s="185" t="s">
        <v>2174</v>
      </c>
      <c r="D411" s="5" t="s">
        <v>1681</v>
      </c>
      <c r="E411" s="5" t="s">
        <v>2173</v>
      </c>
      <c r="F411" s="5" t="s">
        <v>918</v>
      </c>
      <c r="G411" s="5" t="s">
        <v>2171</v>
      </c>
      <c r="H411" s="5"/>
      <c r="I411" s="5">
        <f t="shared" si="167"/>
        <v>1997</v>
      </c>
      <c r="J411" s="5" t="str">
        <f t="shared" si="163"/>
        <v/>
      </c>
      <c r="K411" s="152"/>
      <c r="L411" s="7" t="str">
        <f t="shared" si="170"/>
        <v>18/08/1997</v>
      </c>
      <c r="M411" s="8">
        <v>35660</v>
      </c>
      <c r="N411" s="7"/>
      <c r="O411" s="7"/>
      <c r="P411" s="181" t="str">
        <f t="shared" si="150"/>
        <v/>
      </c>
      <c r="Q411" s="187" t="str">
        <f t="shared" si="166"/>
        <v>36dbba</v>
      </c>
      <c r="R411" s="180" t="str">
        <f t="shared" si="151"/>
        <v/>
      </c>
      <c r="S411" s="5" t="s">
        <v>3244</v>
      </c>
      <c r="T411" s="5">
        <f t="shared" si="152"/>
        <v>8</v>
      </c>
      <c r="U411" s="5">
        <f t="shared" si="153"/>
        <v>7</v>
      </c>
      <c r="V411" s="5">
        <f>VLOOKUP(B411,'Loyd List 1-190 - Edit'!$A$2:$B$220,2,FALSE)</f>
        <v>3</v>
      </c>
      <c r="W411" s="155">
        <f t="shared" si="154"/>
        <v>5</v>
      </c>
      <c r="X411" s="105"/>
      <c r="Y411" s="105"/>
      <c r="Z411" s="164" t="s">
        <v>2472</v>
      </c>
      <c r="AA411" s="6">
        <v>84</v>
      </c>
      <c r="AB411" s="5">
        <f t="shared" si="169"/>
        <v>25</v>
      </c>
      <c r="AC411" s="5">
        <f t="shared" si="160"/>
        <v>5025</v>
      </c>
      <c r="AD411" s="97" t="str">
        <f t="shared" si="155"/>
        <v>36dbbab</v>
      </c>
      <c r="AE411" s="5" t="str">
        <f t="shared" si="156"/>
        <v>Ludovic James Buckle GRAHAM (1997 - )</v>
      </c>
      <c r="AF411" s="5" t="str">
        <f t="shared" si="157"/>
        <v>Ludovic GRAHAM (8th &amp; 36)</v>
      </c>
      <c r="AG411" s="110" t="str">
        <f t="shared" si="158"/>
        <v>Female</v>
      </c>
      <c r="AH411" s="5" t="str">
        <f t="shared" si="165"/>
        <v>8th</v>
      </c>
      <c r="AI411" s="5" t="str">
        <f t="shared" si="168"/>
        <v>Unmarried</v>
      </c>
      <c r="AJ411" s="105" t="str">
        <f t="shared" si="161"/>
        <v>Female. b. 18/08/1997 Born in London.</v>
      </c>
      <c r="AK411" s="105" t="str">
        <f t="shared" si="159"/>
        <v>b. 18/08/1997</v>
      </c>
    </row>
    <row r="412" spans="1:37" s="137" customFormat="1" ht="19">
      <c r="A412" s="5">
        <f>VLOOKUP(B412,'Loyd List 1-190 - Edit'!$P$1:$R$219,3,FALSE)</f>
        <v>22</v>
      </c>
      <c r="B412" s="5">
        <f t="shared" si="171"/>
        <v>36</v>
      </c>
      <c r="C412" s="185" t="s">
        <v>2178</v>
      </c>
      <c r="D412" s="5" t="s">
        <v>2167</v>
      </c>
      <c r="E412" s="5" t="s">
        <v>1747</v>
      </c>
      <c r="F412" s="5" t="s">
        <v>918</v>
      </c>
      <c r="G412" s="5" t="s">
        <v>2177</v>
      </c>
      <c r="H412" s="5"/>
      <c r="I412" s="5">
        <f t="shared" si="167"/>
        <v>1998</v>
      </c>
      <c r="J412" s="5" t="str">
        <f t="shared" si="163"/>
        <v/>
      </c>
      <c r="K412" s="152"/>
      <c r="L412" s="7" t="str">
        <f t="shared" si="170"/>
        <v>02/07/1998</v>
      </c>
      <c r="M412" s="8">
        <v>35978</v>
      </c>
      <c r="N412" s="7"/>
      <c r="O412" s="7"/>
      <c r="P412" s="181" t="str">
        <f t="shared" si="150"/>
        <v/>
      </c>
      <c r="Q412" s="187" t="str">
        <f t="shared" si="166"/>
        <v>36dbbb</v>
      </c>
      <c r="R412" s="180" t="str">
        <f t="shared" si="151"/>
        <v/>
      </c>
      <c r="S412" s="5" t="s">
        <v>3245</v>
      </c>
      <c r="T412" s="5">
        <f t="shared" si="152"/>
        <v>8</v>
      </c>
      <c r="U412" s="5">
        <f t="shared" si="153"/>
        <v>7</v>
      </c>
      <c r="V412" s="5">
        <f>VLOOKUP(B412,'Loyd List 1-190 - Edit'!$A$2:$B$220,2,FALSE)</f>
        <v>3</v>
      </c>
      <c r="W412" s="155">
        <f t="shared" si="154"/>
        <v>5</v>
      </c>
      <c r="X412" s="105"/>
      <c r="Y412" s="105"/>
      <c r="Z412" s="164" t="s">
        <v>2472</v>
      </c>
      <c r="AA412" s="6">
        <v>86</v>
      </c>
      <c r="AB412" s="5">
        <f t="shared" si="169"/>
        <v>26</v>
      </c>
      <c r="AC412" s="5">
        <f t="shared" si="160"/>
        <v>5026</v>
      </c>
      <c r="AD412" s="97" t="str">
        <f t="shared" si="155"/>
        <v>36dbbba</v>
      </c>
      <c r="AE412" s="5" t="str">
        <f t="shared" si="156"/>
        <v>Oscar James Montague LINDSAY (1998 - )</v>
      </c>
      <c r="AF412" s="5" t="str">
        <f t="shared" si="157"/>
        <v>Oscar LINDSAY (8th &amp; 36)</v>
      </c>
      <c r="AG412" s="110" t="str">
        <f t="shared" si="158"/>
        <v>Male</v>
      </c>
      <c r="AH412" s="5" t="str">
        <f t="shared" si="165"/>
        <v>8th</v>
      </c>
      <c r="AI412" s="5" t="str">
        <f t="shared" si="168"/>
        <v>Unmarried</v>
      </c>
      <c r="AJ412" s="105" t="str">
        <f>IF(Z412="",_xlfn.CONCAT(AG412,". ",AK412),_xlfn.CONCAT(AG412,". ",AK412," ",Z412))</f>
        <v>Male. b. 02/07/1998 Born in London.</v>
      </c>
      <c r="AK412" s="105" t="str">
        <f>_xlfn.CONCAT(IF(L412="","b &amp; d dates unknown.",_xlfn.CONCAT("b. ",L412)),IF(P412="","",_xlfn.CONCAT(", d. ",P412,".")))</f>
        <v>b. 02/07/1998</v>
      </c>
    </row>
    <row r="413" spans="1:37" ht="17">
      <c r="A413" s="5">
        <f>VLOOKUP(B413,'Loyd List 1-190 - Edit'!$P$1:$R$219,3,FALSE)</f>
        <v>8</v>
      </c>
      <c r="B413" s="5">
        <f t="shared" si="171"/>
        <v>18</v>
      </c>
      <c r="C413" s="185" t="s">
        <v>3602</v>
      </c>
      <c r="D413" s="5" t="s">
        <v>2058</v>
      </c>
      <c r="E413" s="5" t="s">
        <v>830</v>
      </c>
      <c r="I413" s="5">
        <f t="shared" si="167"/>
        <v>2008</v>
      </c>
      <c r="J413" s="5" t="str">
        <f t="shared" si="163"/>
        <v/>
      </c>
      <c r="L413" s="7" t="str">
        <f t="shared" si="170"/>
        <v>29/06/2008</v>
      </c>
      <c r="M413" s="3">
        <v>39628</v>
      </c>
      <c r="Q413" s="187" t="str">
        <f t="shared" si="166"/>
        <v>18bbaba</v>
      </c>
      <c r="S413" s="5" t="s">
        <v>3245</v>
      </c>
      <c r="T413" s="5">
        <f t="shared" si="152"/>
        <v>8</v>
      </c>
      <c r="U413" s="5">
        <f t="shared" si="153"/>
        <v>8</v>
      </c>
      <c r="V413" s="5">
        <f>VLOOKUP(B413,'Loyd List 1-190 - Edit'!$A$2:$B$220,2,FALSE)</f>
        <v>2</v>
      </c>
      <c r="W413" s="155">
        <f t="shared" si="154"/>
        <v>6</v>
      </c>
      <c r="Z413" s="99" t="s">
        <v>3603</v>
      </c>
      <c r="AB413" s="5">
        <v>1</v>
      </c>
      <c r="AC413" s="5">
        <f t="shared" si="160"/>
        <v>6001</v>
      </c>
      <c r="AD413" s="97" t="str">
        <f t="shared" si="155"/>
        <v>18bbabaa</v>
      </c>
      <c r="AE413" s="5" t="str">
        <f t="shared" si="156"/>
        <v>William   BERRY (2008 - )</v>
      </c>
      <c r="AF413" s="5" t="str">
        <f t="shared" si="157"/>
        <v>William BERRY (8th &amp; 18)</v>
      </c>
      <c r="AG413" s="110" t="str">
        <f t="shared" si="158"/>
        <v>Male</v>
      </c>
      <c r="AH413" s="5" t="str">
        <f t="shared" si="165"/>
        <v>8th</v>
      </c>
      <c r="AI413" s="5" t="str">
        <f t="shared" si="168"/>
        <v>Unmarried</v>
      </c>
      <c r="AJ413" s="105" t="str">
        <f t="shared" si="161"/>
        <v>Male. b. 29/06/2008 Born in Geneva.</v>
      </c>
      <c r="AK413" s="105" t="str">
        <f t="shared" ref="AK413:AK419" si="172">_xlfn.CONCAT(IF(L413="","b &amp; d dates unknown.",_xlfn.CONCAT("b. ",L413)),IF(P413="","",_xlfn.CONCAT(", d. ",P413,".")))</f>
        <v>b. 29/06/2008</v>
      </c>
    </row>
    <row r="414" spans="1:37" ht="17">
      <c r="A414" s="5">
        <f>VLOOKUP(B414,'Loyd List 1-190 - Edit'!$P$1:$R$219,3,FALSE)</f>
        <v>8</v>
      </c>
      <c r="B414" s="5">
        <f t="shared" si="171"/>
        <v>18</v>
      </c>
      <c r="C414" s="185" t="s">
        <v>3604</v>
      </c>
      <c r="D414" s="5" t="s">
        <v>2058</v>
      </c>
      <c r="E414" s="5" t="s">
        <v>3605</v>
      </c>
      <c r="F414" s="5" t="s">
        <v>918</v>
      </c>
      <c r="I414" s="5">
        <f t="shared" si="167"/>
        <v>2010</v>
      </c>
      <c r="J414" s="5" t="str">
        <f t="shared" si="163"/>
        <v/>
      </c>
      <c r="L414" s="7" t="str">
        <f t="shared" si="170"/>
        <v>19/03/2010</v>
      </c>
      <c r="M414" s="3">
        <v>40256</v>
      </c>
      <c r="Q414" s="187" t="str">
        <f t="shared" si="166"/>
        <v>18bbaba</v>
      </c>
      <c r="S414" s="5" t="s">
        <v>3245</v>
      </c>
      <c r="T414" s="5">
        <f t="shared" ref="T414:T419" si="173">IF(B414&lt;10,V414+U414-1,IF(AND(B414&gt;=10,B414&lt;=99),V414+U414-2,V414+U414-3))</f>
        <v>8</v>
      </c>
      <c r="U414" s="5">
        <f t="shared" ref="U414:U419" si="174">LEN(C414)</f>
        <v>8</v>
      </c>
      <c r="V414" s="5">
        <f>VLOOKUP(B414,'Loyd List 1-190 - Edit'!$A$2:$B$220,2,FALSE)</f>
        <v>2</v>
      </c>
      <c r="W414" s="155">
        <f t="shared" ref="W414:W419" si="175">IF(LEN(C414)-IF(B414&lt;10,1,IF(AND(B414&gt;9,B414&lt;100),2,3))=1,1,IF(LEN(C414)-IF(B414&lt;10,1,IF(AND(B414&gt;9,B414&lt;100),2,3))=0,"SELF",LEN(C414)-IF(B414&lt;10,1,IF(AND(B414&gt;9,B414&lt;100),2,3))))</f>
        <v>6</v>
      </c>
      <c r="Z414" s="99" t="s">
        <v>2470</v>
      </c>
      <c r="AB414" s="5">
        <f t="shared" si="169"/>
        <v>2</v>
      </c>
      <c r="AC414" s="5">
        <f t="shared" ref="AC414:AC419" si="176">W414*1000+AB414</f>
        <v>6002</v>
      </c>
      <c r="AD414" s="97" t="str">
        <f t="shared" ref="AD414:AD419" si="177">C414</f>
        <v>18bbabab</v>
      </c>
      <c r="AE414" s="5" t="str">
        <f t="shared" si="156"/>
        <v>Mungo James  BERRY (2010 - )</v>
      </c>
      <c r="AF414" s="5" t="str">
        <f t="shared" si="157"/>
        <v>Mungo BERRY (8th &amp; 18)</v>
      </c>
      <c r="AG414" s="110" t="str">
        <f t="shared" si="158"/>
        <v>Male</v>
      </c>
      <c r="AH414" s="5" t="str">
        <f t="shared" si="165"/>
        <v>8th</v>
      </c>
      <c r="AI414" s="5" t="str">
        <f t="shared" si="168"/>
        <v>Unmarried</v>
      </c>
      <c r="AJ414" s="105" t="str">
        <f t="shared" si="161"/>
        <v>Male. b. 19/03/2010 Born in Edinburgh.</v>
      </c>
      <c r="AK414" s="105" t="str">
        <f t="shared" si="172"/>
        <v>b. 19/03/2010</v>
      </c>
    </row>
    <row r="415" spans="1:37" ht="17">
      <c r="A415" s="5">
        <f>VLOOKUP(B415,'Loyd List 1-190 - Edit'!$P$1:$R$219,3,FALSE)</f>
        <v>8</v>
      </c>
      <c r="B415" s="5">
        <f t="shared" si="171"/>
        <v>18</v>
      </c>
      <c r="C415" s="185" t="s">
        <v>3606</v>
      </c>
      <c r="D415" s="5" t="s">
        <v>2058</v>
      </c>
      <c r="E415" s="5" t="s">
        <v>3607</v>
      </c>
      <c r="F415" s="5" t="s">
        <v>3608</v>
      </c>
      <c r="G415" s="5" t="s">
        <v>3609</v>
      </c>
      <c r="I415" s="5">
        <f t="shared" si="167"/>
        <v>2010</v>
      </c>
      <c r="J415" s="5" t="str">
        <f t="shared" si="163"/>
        <v/>
      </c>
      <c r="L415" s="7" t="str">
        <f t="shared" si="170"/>
        <v>29/05/2010</v>
      </c>
      <c r="M415" s="3">
        <v>40327</v>
      </c>
      <c r="Q415" s="187" t="str">
        <f t="shared" si="166"/>
        <v>18bbabb</v>
      </c>
      <c r="S415" s="5" t="s">
        <v>3244</v>
      </c>
      <c r="T415" s="5">
        <f t="shared" si="173"/>
        <v>8</v>
      </c>
      <c r="U415" s="5">
        <f t="shared" si="174"/>
        <v>8</v>
      </c>
      <c r="V415" s="5">
        <f>VLOOKUP(B415,'Loyd List 1-190 - Edit'!$A$2:$B$220,2,FALSE)</f>
        <v>2</v>
      </c>
      <c r="W415" s="155">
        <f t="shared" si="175"/>
        <v>6</v>
      </c>
      <c r="Z415" s="99" t="s">
        <v>2472</v>
      </c>
      <c r="AB415" s="5">
        <f t="shared" si="169"/>
        <v>3</v>
      </c>
      <c r="AC415" s="5">
        <f t="shared" si="176"/>
        <v>6003</v>
      </c>
      <c r="AD415" s="97" t="str">
        <f t="shared" si="177"/>
        <v>18bbabba</v>
      </c>
      <c r="AE415" s="5" t="str">
        <f t="shared" si="156"/>
        <v>Ursula Hermione Grace BERRY (2010 - )</v>
      </c>
      <c r="AF415" s="5" t="str">
        <f t="shared" si="157"/>
        <v>Ursula BERRY (8th &amp; 18)</v>
      </c>
      <c r="AG415" s="110" t="str">
        <f t="shared" si="158"/>
        <v>Female</v>
      </c>
      <c r="AH415" s="5" t="str">
        <f t="shared" si="165"/>
        <v>8th</v>
      </c>
      <c r="AI415" s="5" t="str">
        <f t="shared" si="168"/>
        <v>Unmarried</v>
      </c>
      <c r="AJ415" s="105" t="str">
        <f t="shared" si="161"/>
        <v>Female. b. 29/05/2010 Born in London.</v>
      </c>
      <c r="AK415" s="105" t="str">
        <f t="shared" si="172"/>
        <v>b. 29/05/2010</v>
      </c>
    </row>
    <row r="416" spans="1:37" ht="17">
      <c r="A416" s="5">
        <f>VLOOKUP(B416,'Loyd List 1-190 - Edit'!$P$1:$R$219,3,FALSE)</f>
        <v>8</v>
      </c>
      <c r="B416" s="5">
        <f t="shared" si="171"/>
        <v>18</v>
      </c>
      <c r="C416" s="185" t="s">
        <v>3610</v>
      </c>
      <c r="D416" s="5" t="s">
        <v>2058</v>
      </c>
      <c r="E416" s="5" t="s">
        <v>804</v>
      </c>
      <c r="F416" s="5" t="s">
        <v>3611</v>
      </c>
      <c r="G416" s="5" t="s">
        <v>918</v>
      </c>
      <c r="I416" s="5">
        <f t="shared" si="167"/>
        <v>2013</v>
      </c>
      <c r="J416" s="5" t="str">
        <f t="shared" si="163"/>
        <v/>
      </c>
      <c r="L416" s="7" t="str">
        <f t="shared" si="170"/>
        <v>28/10/2013</v>
      </c>
      <c r="M416" s="3">
        <v>41575</v>
      </c>
      <c r="Q416" s="187" t="str">
        <f t="shared" si="166"/>
        <v>18bbabb</v>
      </c>
      <c r="S416" s="5" t="s">
        <v>3245</v>
      </c>
      <c r="T416" s="5">
        <f t="shared" si="173"/>
        <v>8</v>
      </c>
      <c r="U416" s="5">
        <f t="shared" si="174"/>
        <v>8</v>
      </c>
      <c r="V416" s="5">
        <f>VLOOKUP(B416,'Loyd List 1-190 - Edit'!$A$2:$B$220,2,FALSE)</f>
        <v>2</v>
      </c>
      <c r="W416" s="155">
        <f t="shared" si="175"/>
        <v>6</v>
      </c>
      <c r="Z416" s="99" t="s">
        <v>2472</v>
      </c>
      <c r="AB416" s="5">
        <f t="shared" si="169"/>
        <v>4</v>
      </c>
      <c r="AC416" s="5">
        <f t="shared" si="176"/>
        <v>6004</v>
      </c>
      <c r="AD416" s="97" t="str">
        <f t="shared" si="177"/>
        <v>18bbabbb</v>
      </c>
      <c r="AE416" s="5" t="str">
        <f t="shared" si="156"/>
        <v>Arthur Oran James BERRY (2013 - )</v>
      </c>
      <c r="AF416" s="5" t="str">
        <f t="shared" si="157"/>
        <v>Arthur BERRY (8th &amp; 18)</v>
      </c>
      <c r="AG416" s="110" t="str">
        <f t="shared" si="158"/>
        <v>Male</v>
      </c>
      <c r="AH416" s="5" t="str">
        <f t="shared" si="165"/>
        <v>8th</v>
      </c>
      <c r="AI416" s="5" t="str">
        <f t="shared" si="168"/>
        <v>Unmarried</v>
      </c>
      <c r="AJ416" s="105" t="str">
        <f t="shared" si="161"/>
        <v>Male. b. 28/10/2013 Born in London.</v>
      </c>
      <c r="AK416" s="105" t="str">
        <f t="shared" si="172"/>
        <v>b. 28/10/2013</v>
      </c>
    </row>
    <row r="417" spans="1:37" ht="17">
      <c r="A417" s="5">
        <f>VLOOKUP(B417,'Loyd List 1-190 - Edit'!$P$1:$R$219,3,FALSE)</f>
        <v>8</v>
      </c>
      <c r="B417" s="5">
        <f t="shared" si="171"/>
        <v>18</v>
      </c>
      <c r="C417" s="185" t="s">
        <v>3621</v>
      </c>
      <c r="D417" s="5" t="s">
        <v>2038</v>
      </c>
      <c r="E417" s="5" t="s">
        <v>954</v>
      </c>
      <c r="F417" t="s">
        <v>937</v>
      </c>
      <c r="G417" s="5" t="s">
        <v>3622</v>
      </c>
      <c r="I417" s="5">
        <f t="shared" si="167"/>
        <v>2017</v>
      </c>
      <c r="J417" s="5" t="str">
        <f t="shared" si="163"/>
        <v/>
      </c>
      <c r="L417" s="7" t="str">
        <f t="shared" si="170"/>
        <v>18/04/2017</v>
      </c>
      <c r="M417" s="3">
        <v>42843</v>
      </c>
      <c r="Q417" s="187" t="str">
        <f t="shared" si="166"/>
        <v>18bbada</v>
      </c>
      <c r="S417" s="5" t="s">
        <v>3244</v>
      </c>
      <c r="T417" s="5">
        <f t="shared" si="173"/>
        <v>8</v>
      </c>
      <c r="U417" s="5">
        <f t="shared" si="174"/>
        <v>8</v>
      </c>
      <c r="V417" s="5">
        <f>VLOOKUP(B417,'Loyd List 1-190 - Edit'!$A$2:$B$220,2,FALSE)</f>
        <v>2</v>
      </c>
      <c r="W417" s="155">
        <f t="shared" si="175"/>
        <v>6</v>
      </c>
      <c r="AB417">
        <v>5</v>
      </c>
      <c r="AC417" s="5">
        <f t="shared" si="176"/>
        <v>6005</v>
      </c>
      <c r="AD417" s="97" t="str">
        <f t="shared" si="177"/>
        <v>18bbadaa</v>
      </c>
      <c r="AE417" s="5" t="str">
        <f t="shared" si="156"/>
        <v>Camilla Rose Aimee WARNER (2017 - )</v>
      </c>
      <c r="AF417" s="5" t="str">
        <f t="shared" si="157"/>
        <v>Camilla WARNER (8th &amp; 18)</v>
      </c>
      <c r="AG417" s="110" t="str">
        <f t="shared" si="158"/>
        <v>Female</v>
      </c>
      <c r="AH417" s="5" t="str">
        <f t="shared" si="165"/>
        <v>8th</v>
      </c>
      <c r="AI417" s="5" t="str">
        <f t="shared" si="168"/>
        <v>Unmarried</v>
      </c>
      <c r="AJ417" s="105" t="str">
        <f t="shared" si="161"/>
        <v>Female. b. 18/04/2017</v>
      </c>
      <c r="AK417" s="99" t="str">
        <f t="shared" si="172"/>
        <v>b. 18/04/2017</v>
      </c>
    </row>
    <row r="418" spans="1:37" ht="17">
      <c r="A418" s="5">
        <f>VLOOKUP(B418,'Loyd List 1-190 - Edit'!$P$1:$R$219,3,FALSE)</f>
        <v>8</v>
      </c>
      <c r="B418" s="5">
        <f t="shared" si="171"/>
        <v>18</v>
      </c>
      <c r="C418" s="185" t="s">
        <v>3623</v>
      </c>
      <c r="D418" s="5" t="s">
        <v>2038</v>
      </c>
      <c r="E418" s="5" t="s">
        <v>830</v>
      </c>
      <c r="F418" s="5" t="s">
        <v>865</v>
      </c>
      <c r="G418" s="5" t="s">
        <v>2041</v>
      </c>
      <c r="I418" s="5">
        <f t="shared" si="167"/>
        <v>2018</v>
      </c>
      <c r="J418" s="5" t="str">
        <f t="shared" si="163"/>
        <v/>
      </c>
      <c r="L418" s="7" t="str">
        <f t="shared" si="170"/>
        <v>18/12/2018</v>
      </c>
      <c r="M418" s="3">
        <v>43452</v>
      </c>
      <c r="Q418" s="187" t="str">
        <f t="shared" si="166"/>
        <v>18bbada</v>
      </c>
      <c r="S418" s="5" t="s">
        <v>3245</v>
      </c>
      <c r="T418" s="5">
        <f t="shared" si="173"/>
        <v>8</v>
      </c>
      <c r="U418" s="5">
        <f t="shared" si="174"/>
        <v>8</v>
      </c>
      <c r="V418" s="5">
        <f>VLOOKUP(B418,'Loyd List 1-190 - Edit'!$A$2:$B$220,2,FALSE)</f>
        <v>2</v>
      </c>
      <c r="W418" s="155">
        <f t="shared" si="175"/>
        <v>6</v>
      </c>
      <c r="AB418">
        <v>6</v>
      </c>
      <c r="AC418" s="5">
        <f t="shared" si="176"/>
        <v>6006</v>
      </c>
      <c r="AD418" s="97" t="str">
        <f t="shared" si="177"/>
        <v>18bbadab</v>
      </c>
      <c r="AE418" s="5" t="str">
        <f t="shared" si="156"/>
        <v>William Peter Redston WARNER (2018 - )</v>
      </c>
      <c r="AF418" s="5" t="str">
        <f t="shared" si="157"/>
        <v>William WARNER (8th &amp; 18)</v>
      </c>
      <c r="AG418" s="110" t="str">
        <f t="shared" si="158"/>
        <v>Male</v>
      </c>
      <c r="AH418" s="5" t="str">
        <f t="shared" si="165"/>
        <v>8th</v>
      </c>
      <c r="AI418" s="5" t="str">
        <f t="shared" si="168"/>
        <v>Unmarried</v>
      </c>
      <c r="AJ418" s="105" t="str">
        <f t="shared" si="161"/>
        <v>Male. b. 18/12/2018</v>
      </c>
      <c r="AK418" s="99" t="str">
        <f t="shared" si="172"/>
        <v>b. 18/12/2018</v>
      </c>
    </row>
    <row r="419" spans="1:37" ht="17">
      <c r="A419" s="5">
        <f>VLOOKUP(B419,'Loyd List 1-190 - Edit'!$P$1:$R$219,3,FALSE)</f>
        <v>8</v>
      </c>
      <c r="B419" s="5">
        <f t="shared" si="171"/>
        <v>18</v>
      </c>
      <c r="C419" s="185" t="s">
        <v>3624</v>
      </c>
      <c r="D419" s="5" t="s">
        <v>2038</v>
      </c>
      <c r="E419" s="5" t="s">
        <v>1369</v>
      </c>
      <c r="F419" s="5" t="s">
        <v>918</v>
      </c>
      <c r="G419" s="5" t="s">
        <v>902</v>
      </c>
      <c r="I419" s="5">
        <f t="shared" si="167"/>
        <v>2020</v>
      </c>
      <c r="J419" s="5" t="str">
        <f t="shared" si="163"/>
        <v/>
      </c>
      <c r="L419" s="7" t="str">
        <f t="shared" si="170"/>
        <v>22/12/2020</v>
      </c>
      <c r="M419" s="3">
        <v>44187</v>
      </c>
      <c r="Q419" s="187" t="str">
        <f t="shared" si="166"/>
        <v>18bbada</v>
      </c>
      <c r="S419" s="5" t="s">
        <v>3245</v>
      </c>
      <c r="T419" s="5">
        <f t="shared" si="173"/>
        <v>8</v>
      </c>
      <c r="U419" s="5">
        <f t="shared" si="174"/>
        <v>8</v>
      </c>
      <c r="V419" s="5">
        <f>VLOOKUP(B419,'Loyd List 1-190 - Edit'!$A$2:$B$220,2,FALSE)</f>
        <v>2</v>
      </c>
      <c r="W419" s="155">
        <f t="shared" si="175"/>
        <v>6</v>
      </c>
      <c r="AB419">
        <v>7</v>
      </c>
      <c r="AC419" s="5">
        <f t="shared" si="176"/>
        <v>6007</v>
      </c>
      <c r="AD419" s="97" t="str">
        <f t="shared" si="177"/>
        <v>18bbadac</v>
      </c>
      <c r="AE419" s="5" t="str">
        <f t="shared" si="156"/>
        <v>Oliver James Robert WARNER (2020 - )</v>
      </c>
      <c r="AF419" s="5" t="str">
        <f t="shared" si="157"/>
        <v>Oliver WARNER (8th &amp; 18)</v>
      </c>
      <c r="AG419" s="110" t="str">
        <f t="shared" si="158"/>
        <v>Male</v>
      </c>
      <c r="AH419" s="5" t="str">
        <f t="shared" si="165"/>
        <v>8th</v>
      </c>
      <c r="AI419" s="5" t="str">
        <f t="shared" si="168"/>
        <v>Unmarried</v>
      </c>
      <c r="AJ419" s="105" t="str">
        <f t="shared" si="161"/>
        <v>Male. b. 22/12/2020</v>
      </c>
      <c r="AK419" s="99" t="str">
        <f t="shared" si="172"/>
        <v>b. 22/12/2020</v>
      </c>
    </row>
    <row r="420" spans="1:37">
      <c r="C420" s="185"/>
    </row>
    <row r="421" spans="1:37">
      <c r="C421" s="185"/>
    </row>
    <row r="422" spans="1:37">
      <c r="C422" s="185"/>
    </row>
  </sheetData>
  <autoFilter ref="A2:AA419" xr:uid="{33A1BB2F-76BF-FF43-B524-0925B7F32EA9}">
    <sortState xmlns:xlrd2="http://schemas.microsoft.com/office/spreadsheetml/2017/richdata2" ref="A3:AA412">
      <sortCondition ref="W3:W412"/>
      <sortCondition ref="AA3:AA412"/>
    </sortState>
  </autoFilter>
  <sortState xmlns:xlrd2="http://schemas.microsoft.com/office/spreadsheetml/2017/richdata2" ref="A3:AK412">
    <sortCondition ref="W3:W412"/>
    <sortCondition ref="AA3:AA412"/>
  </sortState>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780E-30CE-0242-AC1E-3020235A603A}">
  <dimension ref="A1:F426"/>
  <sheetViews>
    <sheetView workbookViewId="0">
      <pane ySplit="1" topLeftCell="A2" activePane="bottomLeft" state="frozen"/>
      <selection pane="bottomLeft" activeCell="F381" sqref="F381"/>
    </sheetView>
  </sheetViews>
  <sheetFormatPr baseColWidth="10" defaultRowHeight="16"/>
  <cols>
    <col min="1" max="1" width="49.1640625" style="99" customWidth="1"/>
    <col min="2" max="2" width="10.83203125" customWidth="1"/>
    <col min="3" max="3" width="37.6640625" customWidth="1"/>
    <col min="4" max="4" width="42.83203125" bestFit="1" customWidth="1"/>
    <col min="5" max="5" width="44.1640625" customWidth="1"/>
    <col min="6" max="6" width="56.6640625" style="99" customWidth="1"/>
  </cols>
  <sheetData>
    <row r="1" spans="1:6" s="100" customFormat="1">
      <c r="B1" s="193" t="str">
        <f>'All Girls &amp; Descendants - Edit'!AD2</f>
        <v>Loyd ##</v>
      </c>
      <c r="C1" s="193" t="str">
        <f>'All Girls &amp; Descendants - Edit'!AE2</f>
        <v>Birth Name</v>
      </c>
      <c r="D1" s="193" t="str">
        <f>'All Girls &amp; Descendants - Edit'!AF2</f>
        <v xml:space="preserve">Known as (generation from William #1 and ascendant Loyd #) </v>
      </c>
      <c r="E1" s="193" t="str">
        <f>'All Girls &amp; Descendants - Edit'!AI2</f>
        <v>Marriage</v>
      </c>
      <c r="F1" s="193" t="str">
        <f>'All Girls &amp; Descendants - Edit'!AJ2</f>
        <v>Additional Information (inc M/F, DoB &amp; Other information)</v>
      </c>
    </row>
    <row r="2" spans="1:6" s="5" customFormat="1" ht="30">
      <c r="A2" s="149">
        <v>1001</v>
      </c>
      <c r="B2" s="150" t="str">
        <f>VLOOKUP($A2,'All Girls &amp; Descendants - Edit'!$AC$2:$AJ$438,2,FALSE)</f>
        <v>2a</v>
      </c>
      <c r="C2" s="150" t="str">
        <f>VLOOKUP($A2,'All Girls &amp; Descendants - Edit'!$AC$2:$AJ$438,3,FALSE)</f>
        <v>Lewis   DAVIES or DANIEL (Unknown - Unknown)</v>
      </c>
      <c r="D2" s="150" t="str">
        <f>VLOOKUP($A2,'All Girls &amp; Descendants - Edit'!$AC$2:$AJ$438,4,FALSE)</f>
        <v>Lewis DAVIES or DANIEL (2nd &amp; 2)</v>
      </c>
      <c r="E2" s="150" t="str">
        <f>VLOOKUP($A2,'All Girls &amp; Descendants - Edit'!$AC$2:$AJ$438,7,FALSE)</f>
        <v>Unmarried</v>
      </c>
      <c r="F2" s="150" t="str">
        <f>VLOOKUP($A2,'All Girls &amp; Descendants - Edit'!$AC$2:$AJ$438,8,FALSE)</f>
        <v>Male. b. Unknown, d. Unknown. Left 50 shillings in his grandfather's will as was sister Ann (#2b).</v>
      </c>
    </row>
    <row r="3" spans="1:6" s="5" customFormat="1" ht="30">
      <c r="A3" s="149">
        <f>A2+1</f>
        <v>1002</v>
      </c>
      <c r="B3" s="150" t="str">
        <f>VLOOKUP($A3,'All Girls &amp; Descendants - Edit'!$AC$2:$AJ$438,2,FALSE)</f>
        <v>2b</v>
      </c>
      <c r="C3" s="150" t="str">
        <f>VLOOKUP($A3,'All Girls &amp; Descendants - Edit'!$AC$2:$AJ$438,3,FALSE)</f>
        <v>Ann   DAVIES or DANIEL (Unknown - Unknown)</v>
      </c>
      <c r="D3" s="150" t="str">
        <f>VLOOKUP($A3,'All Girls &amp; Descendants - Edit'!$AC$2:$AJ$438,4,FALSE)</f>
        <v>Ann DAVIES or DANIEL (2nd &amp; 2)</v>
      </c>
      <c r="E3" s="150" t="str">
        <f>VLOOKUP($A3,'All Girls &amp; Descendants - Edit'!$AC$2:$AJ$438,7,FALSE)</f>
        <v>Unmarried</v>
      </c>
      <c r="F3" s="150" t="str">
        <f>VLOOKUP($A3,'All Girls &amp; Descendants - Edit'!$AC$2:$AJ$438,8,FALSE)</f>
        <v>Female. b. Unknown, d. Unknown. Left 50 shillings in her  grandfather's will as was brother Lewis (#2a).</v>
      </c>
    </row>
    <row r="4" spans="1:6" s="5" customFormat="1">
      <c r="A4" s="149">
        <f t="shared" ref="A4:A67" si="0">A3+1</f>
        <v>1003</v>
      </c>
      <c r="B4" s="150" t="str">
        <f>VLOOKUP($A4,'All Girls &amp; Descendants - Edit'!$AC$2:$AJ$438,2,FALSE)</f>
        <v>2c</v>
      </c>
      <c r="C4" s="150" t="str">
        <f>VLOOKUP($A4,'All Girls &amp; Descendants - Edit'!$AC$2:$AJ$438,3,FALSE)</f>
        <v>William   DAVIES or DANIEL (1800 - 1832)</v>
      </c>
      <c r="D4" s="150" t="str">
        <f>VLOOKUP($A4,'All Girls &amp; Descendants - Edit'!$AC$2:$AJ$438,4,FALSE)</f>
        <v>William DAVIES or DANIEL (2nd &amp; 2)</v>
      </c>
      <c r="E4" s="150" t="str">
        <f>VLOOKUP($A4,'All Girls &amp; Descendants - Edit'!$AC$2:$AJ$438,7,FALSE)</f>
        <v xml:space="preserve">Wife: Elizabeth. </v>
      </c>
      <c r="F4" s="150" t="str">
        <f>VLOOKUP($A4,'All Girls &amp; Descendants - Edit'!$AC$2:$AJ$438,8,FALSE)</f>
        <v>Male. b. 04/05/1800, d. 11/05/1832. Baptised 4 May 1800 at Cilycwm.</v>
      </c>
    </row>
    <row r="5" spans="1:6" s="5" customFormat="1">
      <c r="A5" s="149">
        <f t="shared" si="0"/>
        <v>1004</v>
      </c>
      <c r="B5" s="150" t="str">
        <f>VLOOKUP($A5,'All Girls &amp; Descendants - Edit'!$AC$2:$AJ$438,2,FALSE)</f>
        <v>11a</v>
      </c>
      <c r="C5" s="150" t="str">
        <f>VLOOKUP($A5,'All Girls &amp; Descendants - Edit'!$AC$2:$AJ$438,3,FALSE)</f>
        <v>Emma   BENYON (1838 - 1913)</v>
      </c>
      <c r="D5" s="150" t="str">
        <f>VLOOKUP($A5,'All Girls &amp; Descendants - Edit'!$AC$2:$AJ$438,4,FALSE)</f>
        <v>Emma BENYON (3rd &amp; 11)</v>
      </c>
      <c r="E5" s="150" t="str">
        <f>VLOOKUP($A5,'All Girls &amp; Descendants - Edit'!$AC$2:$AJ$438,7,FALSE)</f>
        <v>Unmarried</v>
      </c>
      <c r="F5" s="150" t="str">
        <f>VLOOKUP($A5,'All Girls &amp; Descendants - Edit'!$AC$2:$AJ$438,8,FALSE)</f>
        <v>Female. b. 09/03/1838, d. 24/09/1913. Buried at St Peter’s, Bournemouth.</v>
      </c>
    </row>
    <row r="6" spans="1:6" s="5" customFormat="1">
      <c r="A6" s="149">
        <f t="shared" si="0"/>
        <v>1005</v>
      </c>
      <c r="B6" s="150" t="str">
        <f>VLOOKUP($A6,'All Girls &amp; Descendants - Edit'!$AC$2:$AJ$438,2,FALSE)</f>
        <v>11b</v>
      </c>
      <c r="C6" s="150" t="str">
        <f>VLOOKUP($A6,'All Girls &amp; Descendants - Edit'!$AC$2:$AJ$438,3,FALSE)</f>
        <v>Sarah   BENYON (1839 - 1863)</v>
      </c>
      <c r="D6" s="150" t="str">
        <f>VLOOKUP($A6,'All Girls &amp; Descendants - Edit'!$AC$2:$AJ$438,4,FALSE)</f>
        <v>Sarah BENYON (3rd &amp; 11)</v>
      </c>
      <c r="E6" s="150" t="str">
        <f>VLOOKUP($A6,'All Girls &amp; Descendants - Edit'!$AC$2:$AJ$438,7,FALSE)</f>
        <v>Unmarried</v>
      </c>
      <c r="F6" s="150" t="str">
        <f>VLOOKUP($A6,'All Girls &amp; Descendants - Edit'!$AC$2:$AJ$438,8,FALSE)</f>
        <v>Female. b. 02/09/1839, d. 01/05/1863. Buried in Willesden Cemetery.</v>
      </c>
    </row>
    <row r="7" spans="1:6" s="5" customFormat="1">
      <c r="A7" s="149">
        <f t="shared" si="0"/>
        <v>1006</v>
      </c>
      <c r="B7" s="150" t="str">
        <f>VLOOKUP($A7,'All Girls &amp; Descendants - Edit'!$AC$2:$AJ$438,2,FALSE)</f>
        <v>11c</v>
      </c>
      <c r="C7" s="150" t="str">
        <f>VLOOKUP($A7,'All Girls &amp; Descendants - Edit'!$AC$2:$AJ$438,3,FALSE)</f>
        <v>Henry   BENYON (1841 - 1861)</v>
      </c>
      <c r="D7" s="150" t="str">
        <f>VLOOKUP($A7,'All Girls &amp; Descendants - Edit'!$AC$2:$AJ$438,4,FALSE)</f>
        <v>Henry BENYON (3rd &amp; 11)</v>
      </c>
      <c r="E7" s="150" t="str">
        <f>VLOOKUP($A7,'All Girls &amp; Descendants - Edit'!$AC$2:$AJ$438,7,FALSE)</f>
        <v>Unmarried</v>
      </c>
      <c r="F7" s="150" t="str">
        <f>VLOOKUP($A7,'All Girls &amp; Descendants - Edit'!$AC$2:$AJ$438,8,FALSE)</f>
        <v>Male. b. 15/01/1841, d. 01/03/1861. Buried at St Peter’s, Bournemouth.</v>
      </c>
    </row>
    <row r="8" spans="1:6" s="5" customFormat="1">
      <c r="A8" s="149">
        <f t="shared" si="0"/>
        <v>1007</v>
      </c>
      <c r="B8" s="150" t="str">
        <f>VLOOKUP($A8,'All Girls &amp; Descendants - Edit'!$AC$2:$AJ$438,2,FALSE)</f>
        <v>11d</v>
      </c>
      <c r="C8" s="150" t="str">
        <f>VLOOKUP($A8,'All Girls &amp; Descendants - Edit'!$AC$2:$AJ$438,3,FALSE)</f>
        <v>Fanny   BENYON (1842 - 1845)</v>
      </c>
      <c r="D8" s="150" t="str">
        <f>VLOOKUP($A8,'All Girls &amp; Descendants - Edit'!$AC$2:$AJ$438,4,FALSE)</f>
        <v>Fanny BENYON (3rd &amp; 11)</v>
      </c>
      <c r="E8" s="150" t="str">
        <f>VLOOKUP($A8,'All Girls &amp; Descendants - Edit'!$AC$2:$AJ$438,7,FALSE)</f>
        <v>Unmarried</v>
      </c>
      <c r="F8" s="150" t="str">
        <f>VLOOKUP($A8,'All Girls &amp; Descendants - Edit'!$AC$2:$AJ$438,8,FALSE)</f>
        <v>Female. b. 02/02/1842, d. 30/01/1845. Buried in a vault at Roundhay Church.</v>
      </c>
    </row>
    <row r="9" spans="1:6" s="5" customFormat="1" ht="45">
      <c r="A9" s="149">
        <f t="shared" si="0"/>
        <v>1008</v>
      </c>
      <c r="B9" s="150" t="str">
        <f>VLOOKUP($A9,'All Girls &amp; Descendants - Edit'!$AC$2:$AJ$438,2,FALSE)</f>
        <v>11e</v>
      </c>
      <c r="C9" s="150" t="str">
        <f>VLOOKUP($A9,'All Girls &amp; Descendants - Edit'!$AC$2:$AJ$438,3,FALSE)</f>
        <v>Edward Loyd  BENYON (1845 - 1903)</v>
      </c>
      <c r="D9" s="150" t="str">
        <f>VLOOKUP($A9,'All Girls &amp; Descendants - Edit'!$AC$2:$AJ$438,4,FALSE)</f>
        <v>Edward BENYON (3rd &amp; 11)</v>
      </c>
      <c r="E9" s="150" t="str">
        <f>VLOOKUP($A9,'All Girls &amp; Descendants - Edit'!$AC$2:$AJ$438,7,FALSE)</f>
        <v>Wife: Mrs Sarah Amelia PARFITT (b. 11/11/1837, 08/03/1906) widow of William PARFITT. Sarah Parfitt was the widow of William Parfitt</v>
      </c>
      <c r="F9" s="150" t="str">
        <f>VLOOKUP($A9,'All Girls &amp; Descendants - Edit'!$AC$2:$AJ$438,8,FALSE)</f>
        <v>Male. b. 25/11/1845, d. 07/01/1903. Edward and Sarah buried together in Feltham Cemetery. d. 8 Mar 1906.</v>
      </c>
    </row>
    <row r="10" spans="1:6" s="5" customFormat="1">
      <c r="A10" s="149">
        <f t="shared" si="0"/>
        <v>1009</v>
      </c>
      <c r="B10" s="150" t="str">
        <f>VLOOKUP($A10,'All Girls &amp; Descendants - Edit'!$AC$2:$AJ$438,2,FALSE)</f>
        <v>18a</v>
      </c>
      <c r="C10" s="150" t="str">
        <f>VLOOKUP($A10,'All Girls &amp; Descendants - Edit'!$AC$2:$AJ$438,3,FALSE)</f>
        <v>Margaret Dyce  NICOL (1844 - 1927)</v>
      </c>
      <c r="D10" s="150" t="str">
        <f>VLOOKUP($A10,'All Girls &amp; Descendants - Edit'!$AC$2:$AJ$438,4,FALSE)</f>
        <v>Margaret NICOL (3rd &amp; 18)</v>
      </c>
      <c r="E10" s="150" t="str">
        <f>VLOOKUP($A10,'All Girls &amp; Descendants - Edit'!$AC$2:$AJ$438,7,FALSE)</f>
        <v>Unmarried</v>
      </c>
      <c r="F10" s="150" t="str">
        <f>VLOOKUP($A10,'All Girls &amp; Descendants - Edit'!$AC$2:$AJ$438,8,FALSE)</f>
        <v>Female. b. 15/12/1844, d. 07/11/1927. Buried at Brookwood.</v>
      </c>
    </row>
    <row r="11" spans="1:6" s="5" customFormat="1" ht="30">
      <c r="A11" s="149">
        <f t="shared" si="0"/>
        <v>1010</v>
      </c>
      <c r="B11" s="150" t="str">
        <f>VLOOKUP($A11,'All Girls &amp; Descendants - Edit'!$AC$2:$AJ$438,2,FALSE)</f>
        <v>18b</v>
      </c>
      <c r="C11" s="150" t="str">
        <f>VLOOKUP($A11,'All Girls &amp; Descendants - Edit'!$AC$2:$AJ$438,3,FALSE)</f>
        <v>William Edward  NICOL (1846 - 1914)</v>
      </c>
      <c r="D11" s="150" t="str">
        <f>VLOOKUP($A11,'All Girls &amp; Descendants - Edit'!$AC$2:$AJ$438,4,FALSE)</f>
        <v>William NICOL (3rd &amp; 18)</v>
      </c>
      <c r="E11" s="150" t="str">
        <f>VLOOKUP($A11,'All Girls &amp; Descendants - Edit'!$AC$2:$AJ$438,7,FALSE)</f>
        <v>Wife: Catherine Nicol Lewis PROUT (b. 04/03/1848, d. 18/12/1914). Catherine born in London.</v>
      </c>
      <c r="F11" s="150" t="str">
        <f>VLOOKUP($A11,'All Girls &amp; Descendants - Edit'!$AC$2:$AJ$438,8,FALSE)</f>
        <v>Male. b. 02/11/1846, d. 19/08/1914. Died at Ballogie. Buried at Christ Church, Kincardine O’Neil. Aberdeenshire.</v>
      </c>
    </row>
    <row r="12" spans="1:6" s="5" customFormat="1" ht="45">
      <c r="A12" s="149">
        <f t="shared" si="0"/>
        <v>1011</v>
      </c>
      <c r="B12" s="150" t="str">
        <f>VLOOKUP($A12,'All Girls &amp; Descendants - Edit'!$AC$2:$AJ$438,2,FALSE)</f>
        <v>18c</v>
      </c>
      <c r="C12" s="150" t="str">
        <f>VLOOKUP($A12,'All Girls &amp; Descendants - Edit'!$AC$2:$AJ$438,3,FALSE)</f>
        <v>James Dyce  NICOL (1848 - 1938)</v>
      </c>
      <c r="D12" s="150" t="str">
        <f>VLOOKUP($A12,'All Girls &amp; Descendants - Edit'!$AC$2:$AJ$438,4,FALSE)</f>
        <v>James NICOL (3rd &amp; 18)</v>
      </c>
      <c r="E12" s="150" t="str">
        <f>VLOOKUP($A12,'All Girls &amp; Descendants - Edit'!$AC$2:$AJ$438,7,FALSE)</f>
        <v>Wife: (1) Alice Maud WARDEN (d. 27/01/1930 buried at Aboyne).. (2) Eveleyn May MITCHELL of Sauchrie (d. 07/04/1945).</v>
      </c>
      <c r="F12" s="150" t="str">
        <f>VLOOKUP($A12,'All Girls &amp; Descendants - Edit'!$AC$2:$AJ$438,8,FALSE)</f>
        <v>Male. b. 30/06/1848, d. 05/10/1938. DSP 5 Oct 1938, buried at St Thomas’s, Aboyne, Aberdeenshire.</v>
      </c>
    </row>
    <row r="13" spans="1:6" s="5" customFormat="1" ht="34" customHeight="1">
      <c r="A13" s="149">
        <f t="shared" si="0"/>
        <v>1012</v>
      </c>
      <c r="B13" s="150" t="str">
        <f>VLOOKUP($A13,'All Girls &amp; Descendants - Edit'!$AC$2:$AJ$438,2,FALSE)</f>
        <v>18d</v>
      </c>
      <c r="C13" s="150" t="str">
        <f>VLOOKUP($A13,'All Girls &amp; Descendants - Edit'!$AC$2:$AJ$438,3,FALSE)</f>
        <v>Sarah Loyd  NICOL (1854 - 1943)</v>
      </c>
      <c r="D13" s="150" t="str">
        <f>VLOOKUP($A13,'All Girls &amp; Descendants - Edit'!$AC$2:$AJ$438,4,FALSE)</f>
        <v>Sarah NICOL (3rd &amp; 18)</v>
      </c>
      <c r="E13" s="150" t="str">
        <f>VLOOKUP($A13,'All Girls &amp; Descendants - Edit'!$AC$2:$AJ$438,7,FALSE)</f>
        <v>Unmarried</v>
      </c>
      <c r="F13" s="150" t="str">
        <f>VLOOKUP($A13,'All Girls &amp; Descendants - Edit'!$AC$2:$AJ$438,8,FALSE)</f>
        <v>Female. b. 23/05/1854, d. 18/06/1943. Died at Tunbridge Wells, Kent. Buried at Brookwood.</v>
      </c>
    </row>
    <row r="14" spans="1:6" s="5" customFormat="1" ht="60">
      <c r="A14" s="149">
        <f t="shared" si="0"/>
        <v>1013</v>
      </c>
      <c r="B14" s="150" t="str">
        <f>VLOOKUP($A14,'All Girls &amp; Descendants - Edit'!$AC$2:$AJ$438,2,FALSE)</f>
        <v>18e</v>
      </c>
      <c r="C14" s="150" t="str">
        <f>VLOOKUP($A14,'All Girls &amp; Descendants - Edit'!$AC$2:$AJ$438,3,FALSE)</f>
        <v>Lewis Loyd  NICOL (1858 - 1935)</v>
      </c>
      <c r="D14" s="150" t="str">
        <f>VLOOKUP($A14,'All Girls &amp; Descendants - Edit'!$AC$2:$AJ$438,4,FALSE)</f>
        <v>Lewis NICOL (3rd &amp; 18)</v>
      </c>
      <c r="E14" s="150" t="str">
        <f>VLOOKUP($A14,'All Girls &amp; Descendants - Edit'!$AC$2:$AJ$438,7,FALSE)</f>
        <v>Wife: Agnes FREELING (d. 18/12/1914). Eldest daughter of Sir Sandford FREELING KCMG.</v>
      </c>
      <c r="F14" s="150" t="str">
        <f>VLOOKUP($A14,'All Girls &amp; Descendants - Edit'!$AC$2:$AJ$438,8,FALSE)</f>
        <v>Male. b. 10/04/1858, d. 21/05/1935. Educated Harrow. Served in World War I 1915-16. Served Gallipoli and Salonika. Commanded 30th Brigade, 10th [Irish Division]. Colonel 3 Bn The Rifle Bde. CBE 1916. Brig General. Died at St Jean de Luz.</v>
      </c>
    </row>
    <row r="15" spans="1:6" s="5" customFormat="1">
      <c r="A15" s="149">
        <f t="shared" si="0"/>
        <v>1014</v>
      </c>
      <c r="B15" s="150" t="str">
        <f>VLOOKUP($A15,'All Girls &amp; Descendants - Edit'!$AC$2:$AJ$438,2,FALSE)</f>
        <v>19a</v>
      </c>
      <c r="C15" s="150" t="str">
        <f>VLOOKUP($A15,'All Girls &amp; Descendants - Edit'!$AC$2:$AJ$438,3,FALSE)</f>
        <v>William   ENTWISLE (1839 - 1860)</v>
      </c>
      <c r="D15" s="150" t="str">
        <f>VLOOKUP($A15,'All Girls &amp; Descendants - Edit'!$AC$2:$AJ$438,4,FALSE)</f>
        <v>William ENTWISLE (3rd &amp; 19)</v>
      </c>
      <c r="E15" s="150" t="str">
        <f>VLOOKUP($A15,'All Girls &amp; Descendants - Edit'!$AC$2:$AJ$438,7,FALSE)</f>
        <v>Unmarried</v>
      </c>
      <c r="F15" s="150" t="str">
        <f>VLOOKUP($A15,'All Girls &amp; Descendants - Edit'!$AC$2:$AJ$438,8,FALSE)</f>
        <v>Male. b. 14/05/1839, d. 27/08/1860.</v>
      </c>
    </row>
    <row r="16" spans="1:6" s="5" customFormat="1">
      <c r="A16" s="149">
        <f t="shared" si="0"/>
        <v>1015</v>
      </c>
      <c r="B16" s="150" t="str">
        <f>VLOOKUP($A16,'All Girls &amp; Descendants - Edit'!$AC$2:$AJ$438,2,FALSE)</f>
        <v>19b</v>
      </c>
      <c r="C16" s="150" t="str">
        <f>VLOOKUP($A16,'All Girls &amp; Descendants - Edit'!$AC$2:$AJ$438,3,FALSE)</f>
        <v>Richard   ENTWISLE (1840 - 1894)</v>
      </c>
      <c r="D16" s="150" t="str">
        <f>VLOOKUP($A16,'All Girls &amp; Descendants - Edit'!$AC$2:$AJ$438,4,FALSE)</f>
        <v>Richard ENTWISLE (3rd &amp; 19)</v>
      </c>
      <c r="E16" s="150" t="str">
        <f>VLOOKUP($A16,'All Girls &amp; Descendants - Edit'!$AC$2:$AJ$438,7,FALSE)</f>
        <v>Unmarried</v>
      </c>
      <c r="F16" s="150" t="str">
        <f>VLOOKUP($A16,'All Girls &amp; Descendants - Edit'!$AC$2:$AJ$438,8,FALSE)</f>
        <v>Male. b. 02/10/1840, d. 04/10/1894.</v>
      </c>
    </row>
    <row r="17" spans="1:6" s="5" customFormat="1">
      <c r="A17" s="149">
        <f t="shared" si="0"/>
        <v>1016</v>
      </c>
      <c r="B17" s="150" t="str">
        <f>VLOOKUP($A17,'All Girls &amp; Descendants - Edit'!$AC$2:$AJ$438,2,FALSE)</f>
        <v>19c</v>
      </c>
      <c r="C17" s="150" t="str">
        <f>VLOOKUP($A17,'All Girls &amp; Descendants - Edit'!$AC$2:$AJ$438,3,FALSE)</f>
        <v>Frederica Frances  ENTWISLE (1842 - 1916)</v>
      </c>
      <c r="D17" s="150" t="str">
        <f>VLOOKUP($A17,'All Girls &amp; Descendants - Edit'!$AC$2:$AJ$438,4,FALSE)</f>
        <v>Frederica ENTWISLE (3rd &amp; 19)</v>
      </c>
      <c r="E17" s="150" t="str">
        <f>VLOOKUP($A17,'All Girls &amp; Descendants - Edit'!$AC$2:$AJ$438,7,FALSE)</f>
        <v>Unmarried</v>
      </c>
      <c r="F17" s="150" t="str">
        <f>VLOOKUP($A17,'All Girls &amp; Descendants - Edit'!$AC$2:$AJ$438,8,FALSE)</f>
        <v>Female. b. 24/09/1842, d. 14/04/1916.</v>
      </c>
    </row>
    <row r="18" spans="1:6" s="5" customFormat="1">
      <c r="A18" s="149">
        <f t="shared" si="0"/>
        <v>1017</v>
      </c>
      <c r="B18" s="150" t="str">
        <f>VLOOKUP($A18,'All Girls &amp; Descendants - Edit'!$AC$2:$AJ$438,2,FALSE)</f>
        <v>19d</v>
      </c>
      <c r="C18" s="150" t="str">
        <f>VLOOKUP($A18,'All Girls &amp; Descendants - Edit'!$AC$2:$AJ$438,3,FALSE)</f>
        <v>Bernard Henry  ENTWISLE (1847 - 1877)</v>
      </c>
      <c r="D18" s="150" t="str">
        <f>VLOOKUP($A18,'All Girls &amp; Descendants - Edit'!$AC$2:$AJ$438,4,FALSE)</f>
        <v>Bernard ENTWISLE (3rd &amp; 19)</v>
      </c>
      <c r="E18" s="150" t="str">
        <f>VLOOKUP($A18,'All Girls &amp; Descendants - Edit'!$AC$2:$AJ$438,7,FALSE)</f>
        <v>Unmarried</v>
      </c>
      <c r="F18" s="150" t="str">
        <f>VLOOKUP($A18,'All Girls &amp; Descendants - Edit'!$AC$2:$AJ$438,8,FALSE)</f>
        <v>Male. b. 25/02/1847, d. 22/09/1877.</v>
      </c>
    </row>
    <row r="19" spans="1:6" s="5" customFormat="1">
      <c r="A19" s="149">
        <f t="shared" si="0"/>
        <v>1018</v>
      </c>
      <c r="B19" s="150" t="str">
        <f>VLOOKUP($A19,'All Girls &amp; Descendants - Edit'!$AC$2:$AJ$438,2,FALSE)</f>
        <v>19e</v>
      </c>
      <c r="C19" s="150" t="str">
        <f>VLOOKUP($A19,'All Girls &amp; Descendants - Edit'!$AC$2:$AJ$438,3,FALSE)</f>
        <v>Edward Loyd  ENTWISLE (1852 - 1881)</v>
      </c>
      <c r="D19" s="150" t="str">
        <f>VLOOKUP($A19,'All Girls &amp; Descendants - Edit'!$AC$2:$AJ$438,4,FALSE)</f>
        <v>Edward ENTWISLE (3rd &amp; 19)</v>
      </c>
      <c r="E19" s="150" t="str">
        <f>VLOOKUP($A19,'All Girls &amp; Descendants - Edit'!$AC$2:$AJ$438,7,FALSE)</f>
        <v xml:space="preserve">Wife: Anne Marie Hyde CLARKE. </v>
      </c>
      <c r="F19" s="150" t="str">
        <f>VLOOKUP($A19,'All Girls &amp; Descendants - Edit'!$AC$2:$AJ$438,8,FALSE)</f>
        <v>Male. b. 13/02/1852, d. 16/01/1881.</v>
      </c>
    </row>
    <row r="20" spans="1:6" s="5" customFormat="1" ht="120">
      <c r="A20" s="149">
        <f t="shared" si="0"/>
        <v>1019</v>
      </c>
      <c r="B20" s="150" t="str">
        <f>VLOOKUP($A20,'All Girls &amp; Descendants - Edit'!$AC$2:$AJ$438,2,FALSE)</f>
        <v>36a</v>
      </c>
      <c r="C20" s="150" t="str">
        <f>VLOOKUP($A20,'All Girls &amp; Descendants - Edit'!$AC$2:$AJ$438,3,FALSE)</f>
        <v>George Loyd  COURTHOPE (1877 - 1955)</v>
      </c>
      <c r="D20" s="150" t="str">
        <f>VLOOKUP($A20,'All Girls &amp; Descendants - Edit'!$AC$2:$AJ$438,4,FALSE)</f>
        <v>George COURTHOPE (4th &amp; 36)</v>
      </c>
      <c r="E20" s="150" t="str">
        <f>VLOOKUP($A20,'All Girls &amp; Descendants - Edit'!$AC$2:$AJ$438,7,FALSE)</f>
        <v>Wife: (1) Hilda Gertrude CLOSE (b. 08/06/1870, d. 11/11/1940) (2) 05/09/1944 Margaret Blance BARRY (b. 23/02 1884, d. 30/09/1972). (1) Hilda, baptised at Muree, Punjab, India, daughter of Major General Henry Pelham CLOSE.  (2) Married 5 Sep 1944 in Crypt of House of Commons, Margaret daughter of Frederick BARRY of Westbury, Wiltshire. Roddy SALE (97d) has a portrait of Hilda, in March 1890, aged 16 by Russian artist Leon Spink. Portrait at Whiligh until 1980.</v>
      </c>
      <c r="F20" s="150" t="str">
        <f>VLOOKUP($A20,'All Girls &amp; Descendants - Edit'!$AC$2:$AJ$438,8,FALSE)</f>
        <v xml:space="preserve">Male. b. 12/06/1877, d. 02/09/1955. Served in World War I, Lieut Colonel Royal Sussex Regiment, wounded, despatches, MC. MP for Rye, Sussex (C) 1906-45. DL and JP for Sussex. Bart: 1925. Privy Counsellor 1937. Raised to Peerage 1945 as (1st &amp; last) Baron COURTHOPE of WHILIGH. </v>
      </c>
    </row>
    <row r="21" spans="1:6" s="5" customFormat="1">
      <c r="A21" s="149">
        <f t="shared" si="0"/>
        <v>1020</v>
      </c>
      <c r="B21" s="150" t="str">
        <f>VLOOKUP($A21,'All Girls &amp; Descendants - Edit'!$AC$2:$AJ$438,2,FALSE)</f>
        <v>36b</v>
      </c>
      <c r="C21" s="150" t="str">
        <f>VLOOKUP($A21,'All Girls &amp; Descendants - Edit'!$AC$2:$AJ$438,3,FALSE)</f>
        <v>Alexander   COURTHOPE (1878 - 1892)</v>
      </c>
      <c r="D21" s="150" t="str">
        <f>VLOOKUP($A21,'All Girls &amp; Descendants - Edit'!$AC$2:$AJ$438,4,FALSE)</f>
        <v>Alexander COURTHOPE (4th &amp; 36)</v>
      </c>
      <c r="E21" s="150" t="str">
        <f>VLOOKUP($A21,'All Girls &amp; Descendants - Edit'!$AC$2:$AJ$438,7,FALSE)</f>
        <v>Unmarried</v>
      </c>
      <c r="F21" s="150" t="str">
        <f>VLOOKUP($A21,'All Girls &amp; Descendants - Edit'!$AC$2:$AJ$438,8,FALSE)</f>
        <v>Male. b. 14/09/1878, d. 29/07/1892. Buried at Horsmonden, Kent.</v>
      </c>
    </row>
    <row r="22" spans="1:6" s="5" customFormat="1" ht="30">
      <c r="A22" s="149">
        <f t="shared" si="0"/>
        <v>1021</v>
      </c>
      <c r="B22" s="150" t="str">
        <f>VLOOKUP($A22,'All Girls &amp; Descendants - Edit'!$AC$2:$AJ$438,2,FALSE)</f>
        <v>36c</v>
      </c>
      <c r="C22" s="150" t="str">
        <f>VLOOKUP($A22,'All Girls &amp; Descendants - Edit'!$AC$2:$AJ$438,3,FALSE)</f>
        <v>John Edward  COURTHOPE (1882 - 1954)</v>
      </c>
      <c r="D22" s="150" t="str">
        <f>VLOOKUP($A22,'All Girls &amp; Descendants - Edit'!$AC$2:$AJ$438,4,FALSE)</f>
        <v>John COURTHOPE (4th &amp; 36)</v>
      </c>
      <c r="E22" s="150" t="str">
        <f>VLOOKUP($A22,'All Girls &amp; Descendants - Edit'!$AC$2:$AJ$438,7,FALSE)</f>
        <v>Unmarried</v>
      </c>
      <c r="F22" s="150" t="str">
        <f>VLOOKUP($A22,'All Girls &amp; Descendants - Edit'!$AC$2:$AJ$438,8,FALSE)</f>
        <v>Male. b. 28/01/1882, d. 02/04/1954. Died at Lonsdale Nursing Home, Tunbridge Wells.</v>
      </c>
    </row>
    <row r="23" spans="1:6" s="5" customFormat="1" ht="45">
      <c r="A23" s="149">
        <f t="shared" si="0"/>
        <v>1022</v>
      </c>
      <c r="B23" s="150" t="str">
        <f>VLOOKUP($A23,'All Girls &amp; Descendants - Edit'!$AC$2:$AJ$438,2,FALSE)</f>
        <v>36d</v>
      </c>
      <c r="C23" s="150" t="str">
        <f>VLOOKUP($A23,'All Girls &amp; Descendants - Edit'!$AC$2:$AJ$438,3,FALSE)</f>
        <v>Barbara Frances  COURTHOPE (1883 - 1972)</v>
      </c>
      <c r="D23" s="150" t="str">
        <f>VLOOKUP($A23,'All Girls &amp; Descendants - Edit'!$AC$2:$AJ$438,4,FALSE)</f>
        <v>Barbara COURTHOPE (4th &amp; 36)</v>
      </c>
      <c r="E23" s="150" t="str">
        <f>VLOOKUP($A23,'All Girls &amp; Descendants - Edit'!$AC$2:$AJ$438,7,FALSE)</f>
        <v>Husband: Richard Henry POWELL (b. 15/03/1884, d. 09/05/1915). Richard 3rd son of Henry Pryor POWELL of Hale House, Ockley, Surrey.</v>
      </c>
      <c r="F23" s="150" t="str">
        <f>VLOOKUP($A23,'All Girls &amp; Descendants - Edit'!$AC$2:$AJ$438,8,FALSE)</f>
        <v>Female. b. 23/12/1883, d. 15/03/1972. Died at Broad Ford, Horsmonden, Kent, buried 20 Mar 1972 at Wadhurst, Sussex.</v>
      </c>
    </row>
    <row r="24" spans="1:6" s="5" customFormat="1" ht="30">
      <c r="A24" s="149">
        <f t="shared" si="0"/>
        <v>1023</v>
      </c>
      <c r="B24" s="150" t="str">
        <f>VLOOKUP($A24,'All Girls &amp; Descendants - Edit'!$AC$2:$AJ$438,2,FALSE)</f>
        <v>36e</v>
      </c>
      <c r="C24" s="150" t="str">
        <f>VLOOKUP($A24,'All Girls &amp; Descendants - Edit'!$AC$2:$AJ$438,3,FALSE)</f>
        <v>Elinor Joan  COURTHOPE (1886 - 1974)</v>
      </c>
      <c r="D24" s="150" t="str">
        <f>VLOOKUP($A24,'All Girls &amp; Descendants - Edit'!$AC$2:$AJ$438,4,FALSE)</f>
        <v>Elinor COURTHOPE (4th &amp; 36)</v>
      </c>
      <c r="E24" s="150" t="str">
        <f>VLOOKUP($A24,'All Girls &amp; Descendants - Edit'!$AC$2:$AJ$438,7,FALSE)</f>
        <v>Unmarried</v>
      </c>
      <c r="F24" s="150" t="str">
        <f>VLOOKUP($A24,'All Girls &amp; Descendants - Edit'!$AC$2:$AJ$438,8,FALSE)</f>
        <v>Female. b. 03/06/1886, d. 12/02/1974. Born at Lillesden, Hawkhurst, Kent. Died at Sprivers, Horsmonden, Kent, buried 18 Feb 1974 at Wadhurst, Sussex.</v>
      </c>
    </row>
    <row r="25" spans="1:6" s="5" customFormat="1">
      <c r="A25" s="149">
        <f t="shared" si="0"/>
        <v>1024</v>
      </c>
      <c r="B25" s="150" t="str">
        <f>VLOOKUP($A25,'All Girls &amp; Descendants - Edit'!$AC$2:$AJ$438,2,FALSE)</f>
        <v>36f</v>
      </c>
      <c r="C25" s="150" t="str">
        <f>VLOOKUP($A25,'All Girls &amp; Descendants - Edit'!$AC$2:$AJ$438,3,FALSE)</f>
        <v>Richard Foster  COURTHOPE (1888 - 1889)</v>
      </c>
      <c r="D25" s="150" t="str">
        <f>VLOOKUP($A25,'All Girls &amp; Descendants - Edit'!$AC$2:$AJ$438,4,FALSE)</f>
        <v>Richard COURTHOPE (4th &amp; 36)</v>
      </c>
      <c r="E25" s="150" t="str">
        <f>VLOOKUP($A25,'All Girls &amp; Descendants - Edit'!$AC$2:$AJ$438,7,FALSE)</f>
        <v>Unmarried</v>
      </c>
      <c r="F25" s="150" t="str">
        <f>VLOOKUP($A25,'All Girls &amp; Descendants - Edit'!$AC$2:$AJ$438,8,FALSE)</f>
        <v>Male. b. 21/10/1888, d. 28/05/1889. Buried at Horsmonden, Kent.</v>
      </c>
    </row>
    <row r="26" spans="1:6" s="5" customFormat="1" ht="90">
      <c r="A26" s="149">
        <f t="shared" si="0"/>
        <v>1025</v>
      </c>
      <c r="B26" s="150" t="str">
        <f>VLOOKUP($A26,'All Girls &amp; Descendants - Edit'!$AC$2:$AJ$438,2,FALSE)</f>
        <v>36g</v>
      </c>
      <c r="C26" s="150" t="str">
        <f>VLOOKUP($A26,'All Girls &amp; Descendants - Edit'!$AC$2:$AJ$438,3,FALSE)</f>
        <v>Robert   COURTHOPE (1891 - 1966)</v>
      </c>
      <c r="D26" s="150" t="str">
        <f>VLOOKUP($A26,'All Girls &amp; Descendants - Edit'!$AC$2:$AJ$438,4,FALSE)</f>
        <v>Robert COURTHOPE (4th &amp; 36)</v>
      </c>
      <c r="E26" s="150" t="str">
        <f>VLOOKUP($A26,'All Girls &amp; Descendants - Edit'!$AC$2:$AJ$438,7,FALSE)</f>
        <v>Unmarried</v>
      </c>
      <c r="F26" s="150" t="str">
        <f>VLOOKUP($A26,'All Girls &amp; Descendants - Edit'!$AC$2:$AJ$438,8,FALSE)</f>
        <v xml:space="preserve">Male. b. 15/03/1891, d. 01/04/1966. Born at Lillesden, Hawkhurst, Kent. Died at Sprivers, Horsmonden, Kent, buried 5 Apr 1966 at Wadhurst, Sussex. Left house and hundred acres surrounding it to the National Trust in his will. Roddy SALE (97d) has Robert’s diaries and a copy of a portrait of Mary Foster which was left to the NT at Sprivers.
</v>
      </c>
    </row>
    <row r="27" spans="1:6" s="5" customFormat="1">
      <c r="A27" s="149">
        <f t="shared" si="0"/>
        <v>1026</v>
      </c>
      <c r="B27" s="150" t="str">
        <f>VLOOKUP($A27,'All Girls &amp; Descendants - Edit'!$AC$2:$AJ$438,2,FALSE)</f>
        <v>36h</v>
      </c>
      <c r="C27" s="150" t="str">
        <f>VLOOKUP($A27,'All Girls &amp; Descendants - Edit'!$AC$2:$AJ$438,3,FALSE)</f>
        <v>Margery   COURTHOPE (1893 - 1901)</v>
      </c>
      <c r="D27" s="150" t="str">
        <f>VLOOKUP($A27,'All Girls &amp; Descendants - Edit'!$AC$2:$AJ$438,4,FALSE)</f>
        <v>Margery COURTHOPE (4th &amp; 36)</v>
      </c>
      <c r="E27" s="150" t="str">
        <f>VLOOKUP($A27,'All Girls &amp; Descendants - Edit'!$AC$2:$AJ$438,7,FALSE)</f>
        <v>Unmarried</v>
      </c>
      <c r="F27" s="150" t="str">
        <f>VLOOKUP($A27,'All Girls &amp; Descendants - Edit'!$AC$2:$AJ$438,8,FALSE)</f>
        <v>Female. b. 29/03/1893, d. 10/12/1901. Buried at Ticehurst, Sussex.</v>
      </c>
    </row>
    <row r="28" spans="1:6" s="5" customFormat="1">
      <c r="A28" s="149">
        <f t="shared" si="0"/>
        <v>1027</v>
      </c>
      <c r="B28" s="150" t="str">
        <f>VLOOKUP($A28,'All Girls &amp; Descendants - Edit'!$AC$2:$AJ$438,2,FALSE)</f>
        <v>42a</v>
      </c>
      <c r="C28" s="150" t="str">
        <f>VLOOKUP($A28,'All Girls &amp; Descendants - Edit'!$AC$2:$AJ$438,3,FALSE)</f>
        <v>Ambrose William  GODDARD (1892 - )</v>
      </c>
      <c r="D28" s="150" t="str">
        <f>VLOOKUP($A28,'All Girls &amp; Descendants - Edit'!$AC$2:$AJ$438,4,FALSE)</f>
        <v>Ambrose GODDARD (4th &amp; 42)</v>
      </c>
      <c r="E28" s="150" t="str">
        <f>VLOOKUP($A28,'All Girls &amp; Descendants - Edit'!$AC$2:$AJ$438,7,FALSE)</f>
        <v>Wife: Ursula WOOD. Ursula daughter of Andrew WOOD</v>
      </c>
      <c r="F28" s="150" t="str">
        <f>VLOOKUP($A28,'All Girls &amp; Descendants - Edit'!$AC$2:$AJ$438,8,FALSE)</f>
        <v>Male. b. 13/03/1892</v>
      </c>
    </row>
    <row r="29" spans="1:6" s="5" customFormat="1" ht="45">
      <c r="A29" s="149">
        <f t="shared" si="0"/>
        <v>1028</v>
      </c>
      <c r="B29" s="150" t="str">
        <f>VLOOKUP($A29,'All Girls &amp; Descendants - Edit'!$AC$2:$AJ$438,2,FALSE)</f>
        <v>47a</v>
      </c>
      <c r="C29" s="150" t="str">
        <f>VLOOKUP($A29,'All Girls &amp; Descendants - Edit'!$AC$2:$AJ$438,3,FALSE)</f>
        <v>Alfred Edward Loyd HARDCASTLE (1893 - 1955)</v>
      </c>
      <c r="D29" s="150" t="str">
        <f>VLOOKUP($A29,'All Girls &amp; Descendants - Edit'!$AC$2:$AJ$438,4,FALSE)</f>
        <v>Loyd HARDCASTLE (4th &amp; 47)</v>
      </c>
      <c r="E29" s="150" t="str">
        <f>VLOOKUP($A29,'All Girls &amp; Descendants - Edit'!$AC$2:$AJ$438,7,FALSE)</f>
        <v>Wife: Leila Mary Arden BRIERLY (b. 18/12/1894, d. 11/04/1979). Married Leila, at Tunbridge Wells, daughter of J.S. BRIERLY of Aldenham, Hertfordshire.</v>
      </c>
      <c r="F29" s="150" t="str">
        <f>VLOOKUP($A29,'All Girls &amp; Descendants - Edit'!$AC$2:$AJ$438,8,FALSE)</f>
        <v>Male. b. 06/06/1893, d. 22/01/1955. Educated Repton. Died at Little Pell Farm, Wadhurst.</v>
      </c>
    </row>
    <row r="30" spans="1:6" s="5" customFormat="1" ht="90">
      <c r="A30" s="149">
        <f t="shared" si="0"/>
        <v>1029</v>
      </c>
      <c r="B30" s="150" t="str">
        <f>VLOOKUP($A30,'All Girls &amp; Descendants - Edit'!$AC$2:$AJ$438,2,FALSE)</f>
        <v>47b</v>
      </c>
      <c r="C30" s="150" t="str">
        <f>VLOOKUP($A30,'All Girls &amp; Descendants - Edit'!$AC$2:$AJ$438,3,FALSE)</f>
        <v>Canon Joseph Anthony Loyd HARDCASTLE (1899 - 1972)</v>
      </c>
      <c r="D30" s="150" t="str">
        <f>VLOOKUP($A30,'All Girls &amp; Descendants - Edit'!$AC$2:$AJ$438,4,FALSE)</f>
        <v>Canon Joseph HARDCASTLE (4th &amp; 47)</v>
      </c>
      <c r="E30" s="150" t="str">
        <f>VLOOKUP($A30,'All Girls &amp; Descendants - Edit'!$AC$2:$AJ$438,7,FALSE)</f>
        <v>Wife: Ruth Mary  SETH-SMITH FRZS (b. 27 Nov 1907, d. 14 Aug 1997). m. 16 Jan 1940 Ruth Mary (b. 27 Nov 1907, d. 14 Aug 1997) daughter of David SETH-SMITH FRZS.</v>
      </c>
      <c r="F30" s="150" t="str">
        <f>VLOOKUP($A30,'All Girls &amp; Descendants - Edit'!$AC$2:$AJ$438,8,FALSE)</f>
        <v>Male. b. 19/07/1899, d. 13/12/1972. Educated Sherborne and Jesus College, Cambridge 1917. Wells Theological College 1919. Deacon 1922. Priest 1924. Curate St Mary’s, Southampton 1922-24. St John Evangelist, Holborn 1924-27. St John the Divine, Kennington 1927-29. Hawarden (in charge of St Francis’ Sandicroft) 1929-34. Vicar of St Mary the Virgin, Primrose Hill 1934-1946. Canon Carlisle Cathedral 1947-52. Died at Farnham Hospital, Surrey.</v>
      </c>
    </row>
    <row r="31" spans="1:6" s="5" customFormat="1">
      <c r="A31" s="149">
        <f t="shared" si="0"/>
        <v>1030</v>
      </c>
      <c r="B31" s="150" t="str">
        <f>VLOOKUP($A31,'All Girls &amp; Descendants - Edit'!$AC$2:$AJ$438,2,FALSE)</f>
        <v>48a</v>
      </c>
      <c r="C31" s="150" t="str">
        <f>VLOOKUP($A31,'All Girls &amp; Descendants - Edit'!$AC$2:$AJ$438,3,FALSE)</f>
        <v>Louisa Mabell  D'OYLY (1904 - 1983)</v>
      </c>
      <c r="D31" s="150" t="str">
        <f>VLOOKUP($A31,'All Girls &amp; Descendants - Edit'!$AC$2:$AJ$438,4,FALSE)</f>
        <v>Mabell D'OYLY (4th &amp; 48)</v>
      </c>
      <c r="E31" s="150" t="str">
        <f>VLOOKUP($A31,'All Girls &amp; Descendants - Edit'!$AC$2:$AJ$438,7,FALSE)</f>
        <v>Unmarried</v>
      </c>
      <c r="F31" s="150" t="str">
        <f>VLOOKUP($A31,'All Girls &amp; Descendants - Edit'!$AC$2:$AJ$438,8,FALSE)</f>
        <v>Female. b. 15/06/1904, d. 11/05/1983.</v>
      </c>
    </row>
    <row r="32" spans="1:6" s="5" customFormat="1" ht="105">
      <c r="A32" s="149">
        <f t="shared" si="0"/>
        <v>1031</v>
      </c>
      <c r="B32" s="150" t="str">
        <f>VLOOKUP($A32,'All Girls &amp; Descendants - Edit'!$AC$2:$AJ$438,2,FALSE)</f>
        <v>63a</v>
      </c>
      <c r="C32" s="150" t="str">
        <f>VLOOKUP($A32,'All Girls &amp; Descendants - Edit'!$AC$2:$AJ$438,3,FALSE)</f>
        <v>Frederic Withers Loyd MOORE (1926 - 2019)</v>
      </c>
      <c r="D32" s="150" t="str">
        <f>VLOOKUP($A32,'All Girls &amp; Descendants - Edit'!$AC$2:$AJ$438,4,FALSE)</f>
        <v>Loyd MOORE (5th &amp; 63)</v>
      </c>
      <c r="E32" s="150" t="str">
        <f>VLOOKUP($A32,'All Girls &amp; Descendants - Edit'!$AC$2:$AJ$438,7,FALSE)</f>
        <v xml:space="preserve">Wife: Priscilla Mary MELLIS (b. 26/04/1925, d. ?). </v>
      </c>
      <c r="F32" s="150" t="str">
        <f>VLOOKUP($A32,'All Girls &amp; Descendants - Edit'!$AC$2:$AJ$438,8,FALSE)</f>
        <v xml:space="preserve">Male. b. 19/11/1926, d. 29/09/2019. of 61 St Clair Avenue, West Apt. 507, Toronto, Ontario, Canada, M4V 2Y8. Baptised 20 Dec 1926 at St Peter &amp; St Paul (The Abbey) Bath. Educated Cheltenham, and Imperial College of Science and Technology (BSc Eng 1949), ACG I, C. Eng, M I Mech E. Liveryman, Clothworkers’ Company 21 Jul 1948. Engine Division of Bristol Aeroplane Company in UK, satellite development with Radio Experimental Stress Engineer with Aero Corporation of America in Canada, Bell Telephone Company of Canada 1966-86. </v>
      </c>
    </row>
    <row r="33" spans="1:6" s="5" customFormat="1" ht="30">
      <c r="A33" s="149">
        <f t="shared" si="0"/>
        <v>1032</v>
      </c>
      <c r="B33" s="150" t="str">
        <f>VLOOKUP($A33,'All Girls &amp; Descendants - Edit'!$AC$2:$AJ$438,2,FALSE)</f>
        <v>63b</v>
      </c>
      <c r="C33" s="150" t="str">
        <f>VLOOKUP($A33,'All Girls &amp; Descendants - Edit'!$AC$2:$AJ$438,3,FALSE)</f>
        <v>Emma Isabel  MOORE (1929 - 2020)</v>
      </c>
      <c r="D33" s="150" t="str">
        <f>VLOOKUP($A33,'All Girls &amp; Descendants - Edit'!$AC$2:$AJ$438,4,FALSE)</f>
        <v>Isabel MOORE (5th &amp; 63)</v>
      </c>
      <c r="E33" s="150" t="str">
        <f>VLOOKUP($A33,'All Girls &amp; Descendants - Edit'!$AC$2:$AJ$438,7,FALSE)</f>
        <v>Unmarried</v>
      </c>
      <c r="F33" s="150" t="str">
        <f>VLOOKUP($A33,'All Girls &amp; Descendants - Edit'!$AC$2:$AJ$438,8,FALSE)</f>
        <v>Female. b. 28/06/1929 Isabel of Tormore, Ardvasar, Isle of Skye, IV45 8RP. Baptsied 1 Aug 1929 at St Peter &amp; St Paul (The Abbey) Bath.</v>
      </c>
    </row>
    <row r="34" spans="1:6" s="5" customFormat="1" ht="30">
      <c r="A34" s="149">
        <f t="shared" si="0"/>
        <v>1033</v>
      </c>
      <c r="B34" s="150" t="str">
        <f>VLOOKUP($A34,'All Girls &amp; Descendants - Edit'!$AC$2:$AJ$438,2,FALSE)</f>
        <v>63c</v>
      </c>
      <c r="C34" s="150" t="str">
        <f>VLOOKUP($A34,'All Girls &amp; Descendants - Edit'!$AC$2:$AJ$438,3,FALSE)</f>
        <v>Veronica Ashwell  MOORE (1930 - 1934)</v>
      </c>
      <c r="D34" s="150" t="str">
        <f>VLOOKUP($A34,'All Girls &amp; Descendants - Edit'!$AC$2:$AJ$438,4,FALSE)</f>
        <v>Veronica MOORE (5th &amp; 63)</v>
      </c>
      <c r="E34" s="150" t="str">
        <f>VLOOKUP($A34,'All Girls &amp; Descendants - Edit'!$AC$2:$AJ$438,7,FALSE)</f>
        <v>Unmarried</v>
      </c>
      <c r="F34" s="150" t="str">
        <f>VLOOKUP($A34,'All Girls &amp; Descendants - Edit'!$AC$2:$AJ$438,8,FALSE)</f>
        <v>Female. b. 29/09/1930, d. 14/10/1934. Baptised 1 Aug 1929 at St Peter &amp; St Paul (The Abbey) Bath. Died 15 Sep 1968 in Skye, buried in Lansdown Cemetery, Bath.</v>
      </c>
    </row>
    <row r="35" spans="1:6" s="5" customFormat="1" ht="30">
      <c r="A35" s="149">
        <f t="shared" si="0"/>
        <v>1034</v>
      </c>
      <c r="B35" s="150" t="str">
        <f>VLOOKUP($A35,'All Girls &amp; Descendants - Edit'!$AC$2:$AJ$438,2,FALSE)</f>
        <v>65a</v>
      </c>
      <c r="C35" s="150" t="str">
        <f>VLOOKUP($A35,'All Girls &amp; Descendants - Edit'!$AC$2:$AJ$438,3,FALSE)</f>
        <v>Audrey Haig  WHEELER (1913 - )</v>
      </c>
      <c r="D35" s="150" t="str">
        <f>VLOOKUP($A35,'All Girls &amp; Descendants - Edit'!$AC$2:$AJ$438,4,FALSE)</f>
        <v>Audrey WHEELER (5th &amp; 65)</v>
      </c>
      <c r="E35" s="150" t="str">
        <f>VLOOKUP($A35,'All Girls &amp; Descendants - Edit'!$AC$2:$AJ$438,7,FALSE)</f>
        <v>Unmarried</v>
      </c>
      <c r="F35" s="150" t="str">
        <f>VLOOKUP($A35,'All Girls &amp; Descendants - Edit'!$AC$2:$AJ$438,8,FALSE)</f>
        <v>Female. b. 05/04/1913 Audrey WHEELER of Spinnakers, 1 Pedn Moran, St Mawes, Cornwall, TR2 5BA.</v>
      </c>
    </row>
    <row r="36" spans="1:6" s="5" customFormat="1" ht="135">
      <c r="A36" s="149">
        <f t="shared" si="0"/>
        <v>1035</v>
      </c>
      <c r="B36" s="150" t="str">
        <f>VLOOKUP($A36,'All Girls &amp; Descendants - Edit'!$AC$2:$AJ$438,2,FALSE)</f>
        <v>65b</v>
      </c>
      <c r="C36" s="150" t="str">
        <f>VLOOKUP($A36,'All Girls &amp; Descendants - Edit'!$AC$2:$AJ$438,3,FALSE)</f>
        <v>Norma Monica Haig WHEELER (1924 - )</v>
      </c>
      <c r="D36" s="150" t="str">
        <f>VLOOKUP($A36,'All Girls &amp; Descendants - Edit'!$AC$2:$AJ$438,4,FALSE)</f>
        <v>Norma WHEELER (5th &amp; 65)</v>
      </c>
      <c r="E36" s="150" t="str">
        <f>VLOOKUP($A36,'All Girls &amp; Descendants - Edit'!$AC$2:$AJ$438,7,FALSE)</f>
        <v>Unmarried</v>
      </c>
      <c r="F36" s="150" t="str">
        <f>VLOOKUP($A36,'All Girls &amp; Descendants - Edit'!$AC$2:$AJ$438,8,FALSE)</f>
        <v>Female. b. 04/02/1924 Norma WHEELER of 7 Enys Quay, Truro, Cornwall, TR1 2HH. Baptised 17 Apr 1924 at St Andrew’s, Rugby. Educated Moreton Hall, Shropshire 1934-41, London Chamber of Commerce, Higher French (Gold Medalist) 1943, Archbishop’s (Lambeth) Dip in Theology 1954, Reading University, Inst of Education. (Cert in Ed) 1965 and London University, Teaching of Music (adv Dip) 1972. Government Communications 1943-45. Private Secretary to Bishop of Truro (Rt Rev J W Hunkin) 1948-50. Church trg &amp; voc work 1950-59. British Council 1960-63. Reading LEA, teaching 1965-79. Reading University, Dep of Russian 1980-84.</v>
      </c>
    </row>
    <row r="37" spans="1:6" s="5" customFormat="1" ht="90">
      <c r="A37" s="149">
        <f t="shared" si="0"/>
        <v>1036</v>
      </c>
      <c r="B37" s="150" t="str">
        <f>VLOOKUP($A37,'All Girls &amp; Descendants - Edit'!$AC$2:$AJ$438,2,FALSE)</f>
        <v>65c</v>
      </c>
      <c r="C37" s="150" t="str">
        <f>VLOOKUP($A37,'All Girls &amp; Descendants - Edit'!$AC$2:$AJ$438,3,FALSE)</f>
        <v>Basil Norman Haig WHEELER (1926 - )</v>
      </c>
      <c r="D37" s="150" t="str">
        <f>VLOOKUP($A37,'All Girls &amp; Descendants - Edit'!$AC$2:$AJ$438,4,FALSE)</f>
        <v>Basil WHEELER (5th &amp; 65)</v>
      </c>
      <c r="E37" s="150" t="str">
        <f>VLOOKUP($A37,'All Girls &amp; Descendants - Edit'!$AC$2:$AJ$438,7,FALSE)</f>
        <v>Wife: Pierrette CORCOS (b. 10/10/1944, d. ?). Married Pierrette (b. 10 Oct 1944) 3rd daughter of Salomon CORCOS of Safi, Morocco.</v>
      </c>
      <c r="F37" s="150" t="str">
        <f>VLOOKUP($A37,'All Girls &amp; Descendants - Edit'!$AC$2:$AJ$438,8,FALSE)</f>
        <v>Male. b. 03/09/1926 Basil WHEELER of 3 Blandford Close, London, N2 0DH. Baptised 25 Nov 1926 at St Andrew’s, Rugby. Educated Marlborough 1940-44 and Christ’s College, Cambridge 1948-50 (BA). Oversea Civil Service, Uganda (Administration) 1951-62. Inter-Univ Council for Higher Education Overseas 1964-69. International African Institute 1972-76. Rand Medical Recruitment International from 1977, Proprietor from 1990.</v>
      </c>
    </row>
    <row r="38" spans="1:6" s="5" customFormat="1" ht="60">
      <c r="A38" s="149">
        <f t="shared" si="0"/>
        <v>1037</v>
      </c>
      <c r="B38" s="150" t="str">
        <f>VLOOKUP($A38,'All Girls &amp; Descendants - Edit'!$AC$2:$AJ$438,2,FALSE)</f>
        <v>70a</v>
      </c>
      <c r="C38" s="150" t="str">
        <f>VLOOKUP($A38,'All Girls &amp; Descendants - Edit'!$AC$2:$AJ$438,3,FALSE)</f>
        <v>Cynthia Violet  MICKLEM (1921 - 1990)</v>
      </c>
      <c r="D38" s="150" t="str">
        <f>VLOOKUP($A38,'All Girls &amp; Descendants - Edit'!$AC$2:$AJ$438,4,FALSE)</f>
        <v>Cynthia MICKLEM (5th &amp; 70)</v>
      </c>
      <c r="E38" s="150" t="str">
        <f>VLOOKUP($A38,'All Girls &amp; Descendants - Edit'!$AC$2:$AJ$438,7,FALSE)</f>
        <v>Husband: William Alan Watson SAHEARER (b. 13/08/1917, d. 09/07/1995). William SHEARER of Poplars Farm, Wollaston, Wellingborough, Northamptonshire. Died at Poplars Farm, buried in Wollaston Cemetery.</v>
      </c>
      <c r="F38" s="150" t="str">
        <f>VLOOKUP($A38,'All Girls &amp; Descendants - Edit'!$AC$2:$AJ$438,8,FALSE)</f>
        <v>Female. b. 11/10/1921, d. 30/03/1990. SRN. Died at Poplars Farm, buried in Wollaston Cemetery.</v>
      </c>
    </row>
    <row r="39" spans="1:6" s="5" customFormat="1" ht="45">
      <c r="A39" s="149">
        <f t="shared" si="0"/>
        <v>1038</v>
      </c>
      <c r="B39" s="150" t="str">
        <f>VLOOKUP($A39,'All Girls &amp; Descendants - Edit'!$AC$2:$AJ$438,2,FALSE)</f>
        <v>70b</v>
      </c>
      <c r="C39" s="150" t="str">
        <f>VLOOKUP($A39,'All Girls &amp; Descendants - Edit'!$AC$2:$AJ$438,3,FALSE)</f>
        <v>Dora Margaret  MICKLEM (1924 - )</v>
      </c>
      <c r="D39" s="150" t="str">
        <f>VLOOKUP($A39,'All Girls &amp; Descendants - Edit'!$AC$2:$AJ$438,4,FALSE)</f>
        <v>Dora MICKLEM (5th &amp; 70)</v>
      </c>
      <c r="E39" s="150" t="str">
        <f>VLOOKUP($A39,'All Girls &amp; Descendants - Edit'!$AC$2:$AJ$438,7,FALSE)</f>
        <v>Husband: Peter MELITUS (b. 24/09/1922, d. ?). Married Peter MELITUS Captain, King’s Hussars, of 72 Manor Road, Dorchester, Dorset DT1 2AZ.</v>
      </c>
      <c r="F39" s="150" t="str">
        <f>VLOOKUP($A39,'All Girls &amp; Descendants - Edit'!$AC$2:$AJ$438,8,FALSE)</f>
        <v>Female. b. 06/04/1924</v>
      </c>
    </row>
    <row r="40" spans="1:6" s="5" customFormat="1" ht="60">
      <c r="A40" s="149">
        <f t="shared" si="0"/>
        <v>1039</v>
      </c>
      <c r="B40" s="150" t="str">
        <f>VLOOKUP($A40,'All Girls &amp; Descendants - Edit'!$AC$2:$AJ$438,2,FALSE)</f>
        <v>70c</v>
      </c>
      <c r="C40" s="150" t="str">
        <f>VLOOKUP($A40,'All Girls &amp; Descendants - Edit'!$AC$2:$AJ$438,3,FALSE)</f>
        <v>Anne Gertrude  MICKLEM (1925 - )</v>
      </c>
      <c r="D40" s="150" t="str">
        <f>VLOOKUP($A40,'All Girls &amp; Descendants - Edit'!$AC$2:$AJ$438,4,FALSE)</f>
        <v>Anne MICKLEM (5th &amp; 70)</v>
      </c>
      <c r="E40" s="150" t="str">
        <f>VLOOKUP($A40,'All Girls &amp; Descendants - Edit'!$AC$2:$AJ$438,7,FALSE)</f>
        <v>Husband: Sir Arthur John (Jack) PAGE (b. 16/09/1919, d.?). Married  Sir Arthur John (Jack) of Hitcham Lodge, Taplow, Maidenhead, Berkshire, SL6 0HG. MP for Harrow West 1960-87.</v>
      </c>
      <c r="F40" s="150" t="str">
        <f>VLOOKUP($A40,'All Girls &amp; Descendants - Edit'!$AC$2:$AJ$438,8,FALSE)</f>
        <v>Female. b. 24/09/1925 Educated Cambridge (MA).</v>
      </c>
    </row>
    <row r="41" spans="1:6" s="5" customFormat="1" ht="30">
      <c r="A41" s="149">
        <f t="shared" si="0"/>
        <v>1040</v>
      </c>
      <c r="B41" s="150" t="str">
        <f>VLOOKUP($A41,'All Girls &amp; Descendants - Edit'!$AC$2:$AJ$438,2,FALSE)</f>
        <v>70d</v>
      </c>
      <c r="C41" s="150" t="str">
        <f>VLOOKUP($A41,'All Girls &amp; Descendants - Edit'!$AC$2:$AJ$438,3,FALSE)</f>
        <v>Thomas Charles Weguelin MICKLEM (1926 - )</v>
      </c>
      <c r="D41" s="150" t="str">
        <f>VLOOKUP($A41,'All Girls &amp; Descendants - Edit'!$AC$2:$AJ$438,4,FALSE)</f>
        <v>Tom MICKLEM (5th &amp; 70)</v>
      </c>
      <c r="E41" s="150" t="str">
        <f>VLOOKUP($A41,'All Girls &amp; Descendants - Edit'!$AC$2:$AJ$438,7,FALSE)</f>
        <v xml:space="preserve">Wife: Marian Cicely CRACROFT-AMCOTTS (b. 13/09/1931, d. ). </v>
      </c>
      <c r="F41" s="150" t="str">
        <f>VLOOKUP($A41,'All Girls &amp; Descendants - Edit'!$AC$2:$AJ$438,8,FALSE)</f>
        <v xml:space="preserve">Male. b. 04/11/1926 Tom of Foxbridge Farm, Kirdford, Billinghurst, Sussex. RH14 0LB. Educated Eton. </v>
      </c>
    </row>
    <row r="42" spans="1:6" s="5" customFormat="1" ht="30">
      <c r="A42" s="149">
        <f t="shared" si="0"/>
        <v>1041</v>
      </c>
      <c r="B42" s="150" t="str">
        <f>VLOOKUP($A42,'All Girls &amp; Descendants - Edit'!$AC$2:$AJ$438,2,FALSE)</f>
        <v>70e</v>
      </c>
      <c r="C42" s="150" t="str">
        <f>VLOOKUP($A42,'All Girls &amp; Descendants - Edit'!$AC$2:$AJ$438,3,FALSE)</f>
        <v>Elizabeth Paula  MICKLEM (1929 - )</v>
      </c>
      <c r="D42" s="150" t="str">
        <f>VLOOKUP($A42,'All Girls &amp; Descendants - Edit'!$AC$2:$AJ$438,4,FALSE)</f>
        <v>Elizabeth MICKLEM (5th &amp; 70)</v>
      </c>
      <c r="E42" s="150" t="str">
        <f>VLOOKUP($A42,'All Girls &amp; Descendants - Edit'!$AC$2:$AJ$438,7,FALSE)</f>
        <v>Husband: Peter RAINSFORD (b. 26/05/1921) (Divorced). Peter of Whealspeed House, Corbis Bay, St. Ives, Cornwall.</v>
      </c>
      <c r="F42" s="150" t="str">
        <f>VLOOKUP($A42,'All Girls &amp; Descendants - Edit'!$AC$2:$AJ$438,8,FALSE)</f>
        <v>Female. b. 16/02/1929</v>
      </c>
    </row>
    <row r="43" spans="1:6" s="5" customFormat="1" ht="30">
      <c r="A43" s="149">
        <f t="shared" si="0"/>
        <v>1042</v>
      </c>
      <c r="B43" s="150" t="str">
        <f>VLOOKUP($A43,'All Girls &amp; Descendants - Edit'!$AC$2:$AJ$438,2,FALSE)</f>
        <v>70f</v>
      </c>
      <c r="C43" s="150" t="str">
        <f>VLOOKUP($A43,'All Girls &amp; Descendants - Edit'!$AC$2:$AJ$438,3,FALSE)</f>
        <v>Nathaniel Henry Stirling MICKLEM (1931 - 1950)</v>
      </c>
      <c r="D43" s="150" t="str">
        <f>VLOOKUP($A43,'All Girls &amp; Descendants - Edit'!$AC$2:$AJ$438,4,FALSE)</f>
        <v>Nathaniel MICKLEM (5th &amp; 70)</v>
      </c>
      <c r="E43" s="150" t="str">
        <f>VLOOKUP($A43,'All Girls &amp; Descendants - Edit'!$AC$2:$AJ$438,7,FALSE)</f>
        <v>Unmarried</v>
      </c>
      <c r="F43" s="150" t="str">
        <f>VLOOKUP($A43,'All Girls &amp; Descendants - Edit'!$AC$2:$AJ$438,8,FALSE)</f>
        <v>Male. b. 21/09/1931, d. 10/10/1950. Officer Cadet Royal Air Force. Killed in flying accident.</v>
      </c>
    </row>
    <row r="44" spans="1:6" s="5" customFormat="1" ht="30">
      <c r="A44" s="149">
        <f t="shared" si="0"/>
        <v>1043</v>
      </c>
      <c r="B44" s="150" t="str">
        <f>VLOOKUP($A44,'All Girls &amp; Descendants - Edit'!$AC$2:$AJ$438,2,FALSE)</f>
        <v>85a</v>
      </c>
      <c r="C44" s="150" t="str">
        <f>VLOOKUP($A44,'All Girls &amp; Descendants - Edit'!$AC$2:$AJ$438,3,FALSE)</f>
        <v>Martin James  LANE FOX (1938 - 2016)</v>
      </c>
      <c r="D44" s="150" t="str">
        <f>VLOOKUP($A44,'All Girls &amp; Descendants - Edit'!$AC$2:$AJ$438,4,FALSE)</f>
        <v>Martin LANE FOX (6th &amp; 85)</v>
      </c>
      <c r="E44" s="150" t="str">
        <f>VLOOKUP($A44,'All Girls &amp; Descendants - Edit'!$AC$2:$AJ$438,7,FALSE)</f>
        <v>Wife: Prudence Mary SPORBORG (b. 22/07/1942, d. ). Divorced</v>
      </c>
      <c r="F44" s="150" t="str">
        <f>VLOOKUP($A44,'All Girls &amp; Descendants - Edit'!$AC$2:$AJ$438,8,FALSE)</f>
        <v>Male. b. 11/04/1938, d. 14/07/2016. Educated Eton. Gardens &amp; Landscape designer.</v>
      </c>
    </row>
    <row r="45" spans="1:6" s="5" customFormat="1" ht="30">
      <c r="A45" s="149">
        <f t="shared" si="0"/>
        <v>1044</v>
      </c>
      <c r="B45" s="150" t="str">
        <f>VLOOKUP($A45,'All Girls &amp; Descendants - Edit'!$AC$2:$AJ$438,2,FALSE)</f>
        <v>85b</v>
      </c>
      <c r="C45" s="150" t="str">
        <f>VLOOKUP($A45,'All Girls &amp; Descendants - Edit'!$AC$2:$AJ$438,3,FALSE)</f>
        <v>Edward James  LANE FOX (1939 - )</v>
      </c>
      <c r="D45" s="150" t="str">
        <f>VLOOKUP($A45,'All Girls &amp; Descendants - Edit'!$AC$2:$AJ$438,4,FALSE)</f>
        <v>Edward LANE FOX (6th &amp; 85)</v>
      </c>
      <c r="E45" s="150" t="str">
        <f>VLOOKUP($A45,'All Girls &amp; Descendants - Edit'!$AC$2:$AJ$438,7,FALSE)</f>
        <v xml:space="preserve">Wife: Janet Mary (Wendy) (b. 19/07/1941) only daughter of Commander Basil Edward Malcolm BALL DSC, Royal Navy.. </v>
      </c>
      <c r="F45" s="150" t="str">
        <f>VLOOKUP($A45,'All Girls &amp; Descendants - Edit'!$AC$2:$AJ$438,8,FALSE)</f>
        <v>Male. b. 13/10/1939 Edward of Calcott Lodge, Heyford, Oxfordshire. Educated Eton.</v>
      </c>
    </row>
    <row r="46" spans="1:6" s="5" customFormat="1" ht="30">
      <c r="A46" s="149">
        <f t="shared" si="0"/>
        <v>1045</v>
      </c>
      <c r="B46" s="150" t="str">
        <f>VLOOKUP($A46,'All Girls &amp; Descendants - Edit'!$AC$2:$AJ$438,2,FALSE)</f>
        <v>85c</v>
      </c>
      <c r="C46" s="150" t="str">
        <f>VLOOKUP($A46,'All Girls &amp; Descendants - Edit'!$AC$2:$AJ$438,3,FALSE)</f>
        <v>Jenny   LANE FOX (1944 - )</v>
      </c>
      <c r="D46" s="150" t="str">
        <f>VLOOKUP($A46,'All Girls &amp; Descendants - Edit'!$AC$2:$AJ$438,4,FALSE)</f>
        <v>Jenny LANE FOX (6th &amp; 85)</v>
      </c>
      <c r="E46" s="150" t="str">
        <f>VLOOKUP($A46,'All Girls &amp; Descendants - Edit'!$AC$2:$AJ$438,7,FALSE)</f>
        <v xml:space="preserve">Husband: Mark Alfred TENNYSON d'EYNCOURT (b. 16/04/1940, d. ). </v>
      </c>
      <c r="F46" s="150" t="str">
        <f>VLOOKUP($A46,'All Girls &amp; Descendants - Edit'!$AC$2:$AJ$438,8,FALSE)</f>
        <v>Female. b. 29/12/1944</v>
      </c>
    </row>
    <row r="47" spans="1:6" s="5" customFormat="1" ht="90">
      <c r="A47" s="149">
        <f t="shared" si="0"/>
        <v>1046</v>
      </c>
      <c r="B47" s="150" t="str">
        <f>VLOOKUP($A47,'All Girls &amp; Descendants - Edit'!$AC$2:$AJ$438,2,FALSE)</f>
        <v>85d</v>
      </c>
      <c r="C47" s="150" t="str">
        <f>VLOOKUP($A47,'All Girls &amp; Descendants - Edit'!$AC$2:$AJ$438,3,FALSE)</f>
        <v>Robin James  LANE FOX (1946 - )</v>
      </c>
      <c r="D47" s="150" t="str">
        <f>VLOOKUP($A47,'All Girls &amp; Descendants - Edit'!$AC$2:$AJ$438,4,FALSE)</f>
        <v>Robin LANE FOX (6th &amp; 85)</v>
      </c>
      <c r="E47" s="150" t="str">
        <f>VLOOKUP($A47,'All Girls &amp; Descendants - Edit'!$AC$2:$AJ$438,7,FALSE)</f>
        <v>Wife: LouIsa Caroline Mary FARRELL (b. 14/07/1949, d.). Louisa, daughter of Charles FARRELL.</v>
      </c>
      <c r="F47" s="150" t="str">
        <f>VLOOKUP($A47,'All Girls &amp; Descendants - Edit'!$AC$2:$AJ$438,8,FALSE)</f>
        <v xml:space="preserve">Male. b. 05/10/1946 Educated Eton 1959-64 and Magdalen College, Oxford 1964-69. Weekly gardening correspondent, Financial Times from 1970. Fellow, New College, Oxford from 1977. Reader in Ancient History, Oxford from 1990. Publications: “Alexander the Great” 1973; “Variations on a Garden” 1974; “Search for Alexander” 1980; “Better Gardening” 1982; “Pagans and Christians” 1986; “The Unauthorised Version” 1991. </v>
      </c>
    </row>
    <row r="48" spans="1:6" s="5" customFormat="1" ht="60">
      <c r="A48" s="149">
        <f t="shared" si="0"/>
        <v>1047</v>
      </c>
      <c r="B48" s="150" t="str">
        <f>VLOOKUP($A48,'All Girls &amp; Descendants - Edit'!$AC$2:$AJ$438,2,FALSE)</f>
        <v>88a</v>
      </c>
      <c r="C48" s="150" t="str">
        <f>VLOOKUP($A48,'All Girls &amp; Descendants - Edit'!$AC$2:$AJ$438,3,FALSE)</f>
        <v>Lady Diana Elizabeth Virginia Sydney BAIRD (1937 - )</v>
      </c>
      <c r="D48" s="150" t="str">
        <f>VLOOKUP($A48,'All Girls &amp; Descendants - Edit'!$AC$2:$AJ$438,4,FALSE)</f>
        <v>Lady Diana BAIRD (6th &amp; 88)</v>
      </c>
      <c r="E48" s="150" t="str">
        <f>VLOOKUP($A48,'All Girls &amp; Descendants - Edit'!$AC$2:$AJ$438,7,FALSE)</f>
        <v>Husband: John Frances HOLMAN (b. 25/05/1924, d. ). Married at Rudgwick, Sussex, John OBE of Rickarton House, Stonehaven, Kincardinshire and of 6A St Luke’s Street, London SW3, eldest son of Max HOLMAN of Hyes, Rudgwick, Sussex.</v>
      </c>
      <c r="F48" s="150" t="str">
        <f>VLOOKUP($A48,'All Girls &amp; Descendants - Edit'!$AC$2:$AJ$438,8,FALSE)</f>
        <v>Female. b. 22/06/1937 Baptised at Stonehaven. Educated Downham. Diana now lives in Kincardine O’Neill.</v>
      </c>
    </row>
    <row r="49" spans="1:6" s="5" customFormat="1" ht="45">
      <c r="A49" s="149">
        <f t="shared" si="0"/>
        <v>1048</v>
      </c>
      <c r="B49" s="150" t="str">
        <f>VLOOKUP($A49,'All Girls &amp; Descendants - Edit'!$AC$2:$AJ$438,2,FALSE)</f>
        <v>88b</v>
      </c>
      <c r="C49" s="150" t="str">
        <f>VLOOKUP($A49,'All Girls &amp; Descendants - Edit'!$AC$2:$AJ$438,3,FALSE)</f>
        <v>Michael Canning William John KEITH (1939 - 2004)</v>
      </c>
      <c r="D49" s="150" t="str">
        <f>VLOOKUP($A49,'All Girls &amp; Descendants - Edit'!$AC$2:$AJ$438,4,FALSE)</f>
        <v>Michael KEITH (6th &amp; 88)</v>
      </c>
      <c r="E49" s="150" t="str">
        <f>VLOOKUP($A49,'All Girls &amp; Descendants - Edit'!$AC$2:$AJ$438,7,FALSE)</f>
        <v>Wife: Mary Gaddis PLUM (b. 17/09/1943, d. c2006). Married at the Guards’ Chapel, London SW1, Mary only daughter of the late Squadron Leader E.G. PLUM of Rumson, New Jersey, USA.</v>
      </c>
      <c r="F49" s="150" t="str">
        <f>VLOOKUP($A49,'All Girls &amp; Descendants - Edit'!$AC$2:$AJ$438,8,FALSE)</f>
        <v>Male. b. 22/02/1939 Michael Canning William John KEITH, 13th Earl of KINTORE. Baptised at St Columba’s, Pont Street, London SW1. Educated Eton 1952-56. Late Coldstream Guards. Died 2004.</v>
      </c>
    </row>
    <row r="50" spans="1:6" s="5" customFormat="1" ht="30">
      <c r="A50" s="149">
        <f t="shared" si="0"/>
        <v>1049</v>
      </c>
      <c r="B50" s="150" t="str">
        <f>VLOOKUP($A50,'All Girls &amp; Descendants - Edit'!$AC$2:$AJ$438,2,FALSE)</f>
        <v>88c</v>
      </c>
      <c r="C50" s="150" t="str">
        <f>VLOOKUP($A50,'All Girls &amp; Descendants - Edit'!$AC$2:$AJ$438,3,FALSE)</f>
        <v>The Hon Alexander David  BAIRD (1946 - )</v>
      </c>
      <c r="D50" s="150" t="str">
        <f>VLOOKUP($A50,'All Girls &amp; Descendants - Edit'!$AC$2:$AJ$438,4,FALSE)</f>
        <v>The Hon Alexander BAIRD (6th &amp; 88)</v>
      </c>
      <c r="E50" s="150" t="str">
        <f>VLOOKUP($A50,'All Girls &amp; Descendants - Edit'!$AC$2:$AJ$438,7,FALSE)</f>
        <v>Unmarried</v>
      </c>
      <c r="F50" s="150" t="str">
        <f>VLOOKUP($A50,'All Girls &amp; Descendants - Edit'!$AC$2:$AJ$438,8,FALSE)</f>
        <v>Male. b. 21/04/1946 The Hon Alexander David BAIRD. Baptised at Shamley Green, Surrey. Educated Tabley House, Cheshire.</v>
      </c>
    </row>
    <row r="51" spans="1:6" s="5" customFormat="1" ht="105">
      <c r="A51" s="149">
        <f t="shared" si="0"/>
        <v>1050</v>
      </c>
      <c r="B51" s="150" t="str">
        <f>VLOOKUP($A51,'All Girls &amp; Descendants - Edit'!$AC$2:$AJ$438,2,FALSE)</f>
        <v>90a</v>
      </c>
      <c r="C51" s="150" t="str">
        <f>VLOOKUP($A51,'All Girls &amp; Descendants - Edit'!$AC$2:$AJ$438,3,FALSE)</f>
        <v>June   MARSHAM-TOWNHEND (1942 - )</v>
      </c>
      <c r="D51" s="150" t="str">
        <f>VLOOKUP($A51,'All Girls &amp; Descendants - Edit'!$AC$2:$AJ$438,4,FALSE)</f>
        <v>June MARSHAM-TOWNHEND (6th &amp; 90)</v>
      </c>
      <c r="E51" s="150" t="str">
        <f>VLOOKUP($A51,'All Girls &amp; Descendants - Edit'!$AC$2:$AJ$438,7,FALSE)</f>
        <v>Husband: (1) Bryan Montagu NORMAN (b. 08/01/1939, d. ) (2) Feb 1980 Ian RANKIN (b. 19/12/1932, d. ). (1) Married at St Paul’s Knightsbridge, London, Bryan Montagu elder son of Lieut Colonel Mark Richard NORMAN OBE, Hertfordshire Yeomanry of Moor Place, Much Hadham, Hertfordshire. (Divorced). (2) Married Ian RANKIN of 63 Marlborough Place, London, NW8. (Divorced).</v>
      </c>
      <c r="F51" s="150" t="str">
        <f>VLOOKUP($A51,'All Girls &amp; Descendants - Edit'!$AC$2:$AJ$438,8,FALSE)</f>
        <v>Female. b. 30/06/1942 Born in Alexandria, Egypt. Educated Southover Manor, East Sussex.</v>
      </c>
    </row>
    <row r="52" spans="1:6" s="5" customFormat="1" ht="135">
      <c r="A52" s="149">
        <f t="shared" si="0"/>
        <v>1051</v>
      </c>
      <c r="B52" s="150" t="str">
        <f>VLOOKUP($A52,'All Girls &amp; Descendants - Edit'!$AC$2:$AJ$438,2,FALSE)</f>
        <v>90b</v>
      </c>
      <c r="C52" s="150" t="str">
        <f>VLOOKUP($A52,'All Girls &amp; Descendants - Edit'!$AC$2:$AJ$438,3,FALSE)</f>
        <v>Susan   MARSHAM-TOWNHEND (1944 - )</v>
      </c>
      <c r="D52" s="150" t="str">
        <f>VLOOKUP($A52,'All Girls &amp; Descendants - Edit'!$AC$2:$AJ$438,4,FALSE)</f>
        <v>Suki MARSHAM-TOWNHEND (6th &amp; 90)</v>
      </c>
      <c r="E52" s="150" t="str">
        <f>VLOOKUP($A52,'All Girls &amp; Descendants - Edit'!$AC$2:$AJ$438,7,FALSE)</f>
        <v>Husband: (1) Piero STUDIATI BERNI (b. 22/02/1936, d.) (2) John Robert Stephenson CLARKE (b. 05/04/1918, d. 28/08/1993). (1) Married  in Switzerland, Piero STUDIATI BERNI of Molina di Quosa, Pisa, Italy. (2) 08/08/1945 at St Paul’s, Knightsbridge, London, John Robert Stephenson buried Highbrook Church, West Sussex) OBE, MC, Yugoslav Order of Service to the People with Silver Rays, Lieut Colonel, Scots Guards, Liveryman of Clothworkers’ Company, eldest son of Edmund Stephenson CLARKE of Pickwell, Bolney, West Sussex, RH17 5RE.</v>
      </c>
      <c r="F52" s="150" t="str">
        <f>VLOOKUP($A52,'All Girls &amp; Descendants - Edit'!$AC$2:$AJ$438,8,FALSE)</f>
        <v>Female. b. 13/05/1944 Born in Alexandria, Egypt. Educated Southover Manor, East Sussex and Farlington, West Sussex.</v>
      </c>
    </row>
    <row r="53" spans="1:6" s="5" customFormat="1" ht="30">
      <c r="A53" s="149">
        <f t="shared" si="0"/>
        <v>1052</v>
      </c>
      <c r="B53" s="150" t="str">
        <f>VLOOKUP($A53,'All Girls &amp; Descendants - Edit'!$AC$2:$AJ$438,2,FALSE)</f>
        <v>90c</v>
      </c>
      <c r="C53" s="150" t="str">
        <f>VLOOKUP($A53,'All Girls &amp; Descendants - Edit'!$AC$2:$AJ$438,3,FALSE)</f>
        <v>Jonathan Edmund Stephenson CLARKE (1950 - )</v>
      </c>
      <c r="D53" s="150" t="str">
        <f>VLOOKUP($A53,'All Girls &amp; Descendants - Edit'!$AC$2:$AJ$438,4,FALSE)</f>
        <v>Jonathan CLARKE (6th &amp; 90)</v>
      </c>
      <c r="E53" s="150" t="str">
        <f>VLOOKUP($A53,'All Girls &amp; Descendants - Edit'!$AC$2:$AJ$438,7,FALSE)</f>
        <v>Wife: Esme Lavinia Louise RENNIE (b. 07/04/1950, d. ). Married at the Guards’ Chapel, Birdcage Walk, London, (Divorced 2000).</v>
      </c>
      <c r="F53" s="150" t="str">
        <f>VLOOKUP($A53,'All Girls &amp; Descendants - Edit'!$AC$2:$AJ$438,8,FALSE)</f>
        <v>Male. b. 18/01/1950 Born at the Westminster Hospital, London. Educated Tabley House, Cheshire. Liveryman of Clothworkers’ Company.</v>
      </c>
    </row>
    <row r="54" spans="1:6" s="5" customFormat="1" ht="45">
      <c r="A54" s="149">
        <f t="shared" si="0"/>
        <v>1053</v>
      </c>
      <c r="B54" s="150" t="str">
        <f>VLOOKUP($A54,'All Girls &amp; Descendants - Edit'!$AC$2:$AJ$438,2,FALSE)</f>
        <v>92a</v>
      </c>
      <c r="C54" s="150" t="str">
        <f>VLOOKUP($A54,'All Girls &amp; Descendants - Edit'!$AC$2:$AJ$438,3,FALSE)</f>
        <v>Timothy William Trelawny TATTON-BROWN (1947 - )</v>
      </c>
      <c r="D54" s="150" t="str">
        <f>VLOOKUP($A54,'All Girls &amp; Descendants - Edit'!$AC$2:$AJ$438,4,FALSE)</f>
        <v>Tim TATTON-BROWN (6th &amp; 92)</v>
      </c>
      <c r="E54" s="150" t="str">
        <f>VLOOKUP($A54,'All Girls &amp; Descendants - Edit'!$AC$2:$AJ$438,7,FALSE)</f>
        <v>Wife: Veronica Ann WILSON (b. 30/11/1944, d. 02/03/2012).  Veronica daughter of Captain Thomas Hugh Peter WILSON Royal Navy.</v>
      </c>
      <c r="F54" s="150" t="str">
        <f>VLOOKUP($A54,'All Girls &amp; Descendants - Edit'!$AC$2:$AJ$438,8,FALSE)</f>
        <v>Male. b. 03/02/1947 Born in Nairobi, Kenya. Baptised 3 Mar 1947 at Nairobi Cathedral by the Bishop of Mombasa.</v>
      </c>
    </row>
    <row r="55" spans="1:6" s="5" customFormat="1" ht="45">
      <c r="A55" s="149">
        <f t="shared" si="0"/>
        <v>1054</v>
      </c>
      <c r="B55" s="150" t="str">
        <f>VLOOKUP($A55,'All Girls &amp; Descendants - Edit'!$AC$2:$AJ$438,2,FALSE)</f>
        <v>92b</v>
      </c>
      <c r="C55" s="150" t="str">
        <f>VLOOKUP($A55,'All Girls &amp; Descendants - Edit'!$AC$2:$AJ$438,3,FALSE)</f>
        <v>Giles Eden  TATTON-BROWN (1948 - )</v>
      </c>
      <c r="D55" s="150" t="str">
        <f>VLOOKUP($A55,'All Girls &amp; Descendants - Edit'!$AC$2:$AJ$438,4,FALSE)</f>
        <v>Giles TATTON-BROWN (6th &amp; 92)</v>
      </c>
      <c r="E55" s="150" t="str">
        <f>VLOOKUP($A55,'All Girls &amp; Descendants - Edit'!$AC$2:$AJ$438,7,FALSE)</f>
        <v>Wife: Monique Marie-Noelle MENU (b. 29/12/1947, d. ) . Married Sep 1970 at St. Jean do Malte, Monique, daughter of Louis MENU of Aix en Provence, France.</v>
      </c>
      <c r="F55" s="150" t="str">
        <f>VLOOKUP($A55,'All Girls &amp; Descendants - Edit'!$AC$2:$AJ$438,8,FALSE)</f>
        <v>Male. b. 21/10/1948 Born at Woking. Baptised Nov 1948 at St Mary’s, Horsell, Woking.</v>
      </c>
    </row>
    <row r="56" spans="1:6" s="5" customFormat="1" ht="30">
      <c r="A56" s="149">
        <f t="shared" si="0"/>
        <v>1055</v>
      </c>
      <c r="B56" s="150" t="str">
        <f>VLOOKUP($A56,'All Girls &amp; Descendants - Edit'!$AC$2:$AJ$438,2,FALSE)</f>
        <v>92c</v>
      </c>
      <c r="C56" s="150" t="str">
        <f>VLOOKUP($A56,'All Girls &amp; Descendants - Edit'!$AC$2:$AJ$438,3,FALSE)</f>
        <v>Anthea Mary  TATTON-BROWN (1951 - )</v>
      </c>
      <c r="D56" s="150" t="str">
        <f>VLOOKUP($A56,'All Girls &amp; Descendants - Edit'!$AC$2:$AJ$438,4,FALSE)</f>
        <v>Anthea TATTON-BROWN (6th &amp; 92)</v>
      </c>
      <c r="E56" s="150" t="str">
        <f>VLOOKUP($A56,'All Girls &amp; Descendants - Edit'!$AC$2:$AJ$438,7,FALSE)</f>
        <v>Unmarried</v>
      </c>
      <c r="F56" s="150" t="str">
        <f>VLOOKUP($A56,'All Girls &amp; Descendants - Edit'!$AC$2:$AJ$438,8,FALSE)</f>
        <v>Female. b. 26/11/1951 Born in Aden, South Arabia. Baptised 3 Jan 1952 at the Garrison Church, Aden.</v>
      </c>
    </row>
    <row r="57" spans="1:6" s="5" customFormat="1" ht="45">
      <c r="A57" s="149">
        <f t="shared" si="0"/>
        <v>1056</v>
      </c>
      <c r="B57" s="150" t="str">
        <f>VLOOKUP($A57,'All Girls &amp; Descendants - Edit'!$AC$2:$AJ$438,2,FALSE)</f>
        <v>92d</v>
      </c>
      <c r="C57" s="150" t="str">
        <f>VLOOKUP($A57,'All Girls &amp; Descendants - Edit'!$AC$2:$AJ$438,3,FALSE)</f>
        <v>Frances Maud  TATTON-BROWN (1954 - )</v>
      </c>
      <c r="D57" s="150" t="str">
        <f>VLOOKUP($A57,'All Girls &amp; Descendants - Edit'!$AC$2:$AJ$438,4,FALSE)</f>
        <v>Fanny TATTON-BROWN (6th &amp; 92)</v>
      </c>
      <c r="E57" s="150" t="str">
        <f>VLOOKUP($A57,'All Girls &amp; Descendants - Edit'!$AC$2:$AJ$438,7,FALSE)</f>
        <v>Husband: David SURTEES. m. 30 Sep 1979 in Salisbury Cathedral, David (b. 12 Jan 1952) son of Charles William SURTEES of Durham. (Div Jul 1988).</v>
      </c>
      <c r="F57" s="150" t="str">
        <f>VLOOKUP($A57,'All Girls &amp; Descendants - Edit'!$AC$2:$AJ$438,8,FALSE)</f>
        <v>Female. b. 01/01/1954 Born in Aden, South Arabia, baptised 10 Feb 1954 at the Garrison Church, Aden.</v>
      </c>
    </row>
    <row r="58" spans="1:6" s="5" customFormat="1" ht="75">
      <c r="A58" s="149">
        <f t="shared" si="0"/>
        <v>1057</v>
      </c>
      <c r="B58" s="150" t="str">
        <f>VLOOKUP($A58,'All Girls &amp; Descendants - Edit'!$AC$2:$AJ$438,2,FALSE)</f>
        <v>95a</v>
      </c>
      <c r="C58" s="150" t="str">
        <f>VLOOKUP($A58,'All Girls &amp; Descendants - Edit'!$AC$2:$AJ$438,3,FALSE)</f>
        <v>Henrietta Catherine  KNIGHT (1946 - )</v>
      </c>
      <c r="D58" s="150" t="str">
        <f>VLOOKUP($A58,'All Girls &amp; Descendants - Edit'!$AC$2:$AJ$438,4,FALSE)</f>
        <v>Henrietta KNIGHT (6th &amp; 95)</v>
      </c>
      <c r="E58" s="150" t="str">
        <f>VLOOKUP($A58,'All Girls &amp; Descendants - Edit'!$AC$2:$AJ$438,7,FALSE)</f>
        <v>Husband: Major Hubert Guy Broughton KNIGHT (b. 09/04/1917, d.01/11/1993). Married at Lockinge by her uncle, the Rt Rev Philip LOYD, Major Hubert Guy Broughton KNIGHT, MC, late Coldstream Guards of Lockinge Manor, Wantage - Educated Eton and RMC Sandhurst.</v>
      </c>
      <c r="F58" s="150" t="str">
        <f>VLOOKUP($A58,'All Girls &amp; Descendants - Edit'!$AC$2:$AJ$438,8,FALSE)</f>
        <v>Female. b. 15/12/1946 Henrietta of West Lockinge Farm, Wantage.</v>
      </c>
    </row>
    <row r="59" spans="1:6" s="5" customFormat="1" ht="120">
      <c r="A59" s="149">
        <f t="shared" si="0"/>
        <v>1058</v>
      </c>
      <c r="B59" s="150" t="str">
        <f>VLOOKUP($A59,'All Girls &amp; Descendants - Edit'!$AC$2:$AJ$438,2,FALSE)</f>
        <v>95b</v>
      </c>
      <c r="C59" s="150" t="str">
        <f>VLOOKUP($A59,'All Girls &amp; Descendants - Edit'!$AC$2:$AJ$438,3,FALSE)</f>
        <v>Celia Elizabeth  KNIGHT (1949 - 2020)</v>
      </c>
      <c r="D59" s="150" t="str">
        <f>VLOOKUP($A59,'All Girls &amp; Descendants - Edit'!$AC$2:$AJ$438,4,FALSE)</f>
        <v>Ce-Ce KNIGHT (6th &amp; 95)</v>
      </c>
      <c r="E59" s="150" t="str">
        <f>VLOOKUP($A59,'All Girls &amp; Descendants - Edit'!$AC$2:$AJ$438,7,FALSE)</f>
        <v>Husband: Sir Samuel George Armstrong VESTEY (b. 19 Mar 1941, d. 04 Feb 2021). Samuel Vestey Master of the Horse and Lord-in Waiting and was award the GCVO and GCStJ (Lord Prior of St John) medals. Married  Sir Samuel George Armstrong VESTEY, 3rd Baron VESTEY  of Stowell Park, Northleach, Gloucestershire. Educated Eton 1954-59.Lieutenant, Scots Guards 1960-63. Dir. Union International and other companies. Died 4 Feb 2021.</v>
      </c>
      <c r="F59" s="150" t="str">
        <f>VLOOKUP($A59,'All Girls &amp; Descendants - Edit'!$AC$2:$AJ$438,8,FALSE)</f>
        <v>Female. b. 11/10/1949, d. 28/11/2020.</v>
      </c>
    </row>
    <row r="60" spans="1:6" s="5" customFormat="1" ht="90">
      <c r="A60" s="149">
        <f t="shared" si="0"/>
        <v>1059</v>
      </c>
      <c r="B60" s="150" t="str">
        <f>VLOOKUP($A60,'All Girls &amp; Descendants - Edit'!$AC$2:$AJ$438,2,FALSE)</f>
        <v>97a</v>
      </c>
      <c r="C60" s="150" t="str">
        <f>VLOOKUP($A60,'All Girls &amp; Descendants - Edit'!$AC$2:$AJ$438,3,FALSE)</f>
        <v>Julian Edward Loyd SALE (1951 - )</v>
      </c>
      <c r="D60" s="150" t="str">
        <f>VLOOKUP($A60,'All Girls &amp; Descendants - Edit'!$AC$2:$AJ$438,4,FALSE)</f>
        <v>Julian SALE (6th &amp; 97)</v>
      </c>
      <c r="E60" s="150" t="str">
        <f>VLOOKUP($A60,'All Girls &amp; Descendants - Edit'!$AC$2:$AJ$438,7,FALSE)</f>
        <v>Wife: Fiona TAYLOR (b. 23 Aug 1955, ). Married in London, Fiona younger daughter of David TAYLOR of Haywards Heath, Sussex and formerly of Hong Kong. Educated Southampton (BSc Geography). Asia: Esprit International and Strait Approach. Non-executive director, Royal Collection Trust. Retail consultant to country houses and museums.</v>
      </c>
      <c r="F60" s="150" t="str">
        <f>VLOOKUP($A60,'All Girls &amp; Descendants - Edit'!$AC$2:$AJ$438,8,FALSE)</f>
        <v xml:space="preserve">Male. b. 17/12/1951 Julian of D’Anvers house, Culworth, Northamptonshire. Educated Eton College 1965 - 1969. Welsh Guards 1970 – 1974. Asia 1978 – 1996: Commercial director, Newsweek, Harvard Business Review. UK 1996 to present: financial advisory at Lancea Partners London and arranging funding for litigation – access to justice for claimants.
</v>
      </c>
    </row>
    <row r="61" spans="1:6" s="5" customFormat="1" ht="75">
      <c r="A61" s="149">
        <f t="shared" si="0"/>
        <v>1060</v>
      </c>
      <c r="B61" s="150" t="str">
        <f>VLOOKUP($A61,'All Girls &amp; Descendants - Edit'!$AC$2:$AJ$438,2,FALSE)</f>
        <v>97b</v>
      </c>
      <c r="C61" s="150" t="str">
        <f>VLOOKUP($A61,'All Girls &amp; Descendants - Edit'!$AC$2:$AJ$438,3,FALSE)</f>
        <v>Iona Marian  SALE (1954 - )</v>
      </c>
      <c r="D61" s="150" t="str">
        <f>VLOOKUP($A61,'All Girls &amp; Descendants - Edit'!$AC$2:$AJ$438,4,FALSE)</f>
        <v>Iona SALE (6th &amp; 97)</v>
      </c>
      <c r="E61" s="150" t="str">
        <f>VLOOKUP($A61,'All Girls &amp; Descendants - Edit'!$AC$2:$AJ$438,7,FALSE)</f>
        <v>Unmarried</v>
      </c>
      <c r="F61" s="150" t="str">
        <f>VLOOKUP($A61,'All Girls &amp; Descendants - Edit'!$AC$2:$AJ$438,8,FALSE)</f>
        <v xml:space="preserve">Female. b. 22/03/1954 Iona  of 70 Morrison Street, London SW11.  Educated Lawnside, Malvern. Secretary to the Rt Hon Jeremy Thorpe MP. Manageress, Tiger Tops Hotel, Nepal 1981-82. Travel industry 1983-89. Public relations 1989-91. Press Officer, Spink &amp; Sons 1991-98. MD Iona PR from 1998 for artists, galleries and exhibitions. </v>
      </c>
    </row>
    <row r="62" spans="1:6" s="5" customFormat="1">
      <c r="A62" s="149">
        <f t="shared" si="0"/>
        <v>1061</v>
      </c>
      <c r="B62" s="150" t="str">
        <f>VLOOKUP($A62,'All Girls &amp; Descendants - Edit'!$AC$2:$AJ$438,2,FALSE)</f>
        <v>97c</v>
      </c>
      <c r="C62" s="150" t="str">
        <f>VLOOKUP($A62,'All Girls &amp; Descendants - Edit'!$AC$2:$AJ$438,3,FALSE)</f>
        <v>Charles Robert  SALE (1956 - 1957)</v>
      </c>
      <c r="D62" s="150" t="str">
        <f>VLOOKUP($A62,'All Girls &amp; Descendants - Edit'!$AC$2:$AJ$438,4,FALSE)</f>
        <v>Charles SALE (6th &amp; 97)</v>
      </c>
      <c r="E62" s="150" t="str">
        <f>VLOOKUP($A62,'All Girls &amp; Descendants - Edit'!$AC$2:$AJ$438,7,FALSE)</f>
        <v>Unmarried</v>
      </c>
      <c r="F62" s="150" t="str">
        <f>VLOOKUP($A62,'All Girls &amp; Descendants - Edit'!$AC$2:$AJ$438,8,FALSE)</f>
        <v>Male. b. 12/09/1956, d. 15/08/1957. Born 12 Sep 1956, died 15 Aug 1957.</v>
      </c>
    </row>
    <row r="63" spans="1:6" s="5" customFormat="1" ht="314">
      <c r="A63" s="149">
        <f t="shared" si="0"/>
        <v>1062</v>
      </c>
      <c r="B63" s="150" t="str">
        <f>VLOOKUP($A63,'All Girls &amp; Descendants - Edit'!$AC$2:$AJ$438,2,FALSE)</f>
        <v>97d</v>
      </c>
      <c r="C63" s="150" t="str">
        <f>VLOOKUP($A63,'All Girls &amp; Descendants - Edit'!$AC$2:$AJ$438,3,FALSE)</f>
        <v>Roderick Peter Abell SALE (1959 - )</v>
      </c>
      <c r="D63" s="150" t="str">
        <f>VLOOKUP($A63,'All Girls &amp; Descendants - Edit'!$AC$2:$AJ$438,4,FALSE)</f>
        <v>Roddy SALE (6th &amp; 97)</v>
      </c>
      <c r="E63" s="150" t="str">
        <f>VLOOKUP($A63,'All Girls &amp; Descendants - Edit'!$AC$2:$AJ$438,7,FALSE)</f>
        <v>Unmarried</v>
      </c>
      <c r="F63" s="150" t="str">
        <f>VLOOKUP($A63,'All Girls &amp; Descendants - Edit'!$AC$2:$AJ$438,8,FALSE)</f>
        <v>Male. b. 14/04/1959 Roddy lives in Gloucestershire. Educated Eton 1972-77. Commissioned Welsh Guards 1979. Served Northern Ireland 1979-80. Falklands Islands (Operation Corporate) 1982, 2nd in Command Support Company. Regimental Signals Officer 1982-84. Captain Jan 1985. OC HQ Company 1985. OC Household Division Centralised Courses, Guards Depot 1985. OC Guards Battle Camp, Thetford 1986. Transferred to Regular Army Reserve of Officers 1987. Merrill Lynch Capital Markets 1987-90. Robert Fleming &amp; Co from 1990. Seconded Jardine Fleming from 1993. Head of Investment Banking and Director, Jardine Fleming, India from 1997 to 2002. Consultant in India 2003-2019 Markets. Comd Ven Order of St John 1998. Patron, No. III Maharashtra District, India, St John Ambulance 1997. Head of  Investment Banking and Director of Jardine Fleming, Chase, JP Morgan until 2002. Council Member Royal Commonwealth Ex Services League.  Chairman Ex Services Association Bombay. Co-Owner Ray of Light, winner of Poona Derby 2000. Patron of elephant polo team Bombay Light Horse 2003, 2004. Refounded Old Etonian Association of Indian Sub-Continent - 1998. Publisher of Lord Curzon Speeches in India - 2006. Has safe keeping of old Welsh Bible with entries about LLOYD family in Carmarthenshire in 18th Century and other old family papers, and the blunderbuss belonging to Edward LOYD (1780-1863) for use by his coachman if attacked on the turnpikes. Roddy has Loyd deeds relating to bank and a school grammar book of Latin syntax owned by Edward (1780—1863: #8).</v>
      </c>
    </row>
    <row r="64" spans="1:6" s="5" customFormat="1" ht="60">
      <c r="A64" s="149">
        <f t="shared" si="0"/>
        <v>1063</v>
      </c>
      <c r="B64" s="150" t="str">
        <f>VLOOKUP($A64,'All Girls &amp; Descendants - Edit'!$AC$2:$AJ$438,2,FALSE)</f>
        <v>97e</v>
      </c>
      <c r="C64" s="150" t="str">
        <f>VLOOKUP($A64,'All Girls &amp; Descendants - Edit'!$AC$2:$AJ$438,3,FALSE)</f>
        <v>Edward John Andrew SALE (1963 - )</v>
      </c>
      <c r="D64" s="150" t="str">
        <f>VLOOKUP($A64,'All Girls &amp; Descendants - Edit'!$AC$2:$AJ$438,4,FALSE)</f>
        <v>Edward SALE (6th &amp; 97)</v>
      </c>
      <c r="E64" s="150" t="str">
        <f>VLOOKUP($A64,'All Girls &amp; Descendants - Edit'!$AC$2:$AJ$438,7,FALSE)</f>
        <v>Unmarried</v>
      </c>
      <c r="F64" s="150" t="str">
        <f>VLOOKUP($A64,'All Girls &amp; Descendants - Edit'!$AC$2:$AJ$438,8,FALSE)</f>
        <v>Male. b. 02/10/1963 Edward of Minehill House, Brailes, Banbury, OX15 5BJ. Educated Eton 1977-81. Royal Agricultural College, Cirencester 1983-5. ARCS 1987. Various property and financial services activities 1987-97. Stockbroker, Brewin Dolphin, Birmingham from 1998.</v>
      </c>
    </row>
    <row r="65" spans="1:6" s="5" customFormat="1" ht="60">
      <c r="A65" s="149">
        <f t="shared" si="0"/>
        <v>1064</v>
      </c>
      <c r="B65" s="150" t="str">
        <f>VLOOKUP($A65,'All Girls &amp; Descendants - Edit'!$AC$2:$AJ$438,2,FALSE)</f>
        <v>101a</v>
      </c>
      <c r="C65" s="150" t="str">
        <f>VLOOKUP($A65,'All Girls &amp; Descendants - Edit'!$AC$2:$AJ$438,3,FALSE)</f>
        <v>Lady Selina Catherine  MEADE (1950 - )</v>
      </c>
      <c r="D65" s="150" t="str">
        <f>VLOOKUP($A65,'All Girls &amp; Descendants - Edit'!$AC$2:$AJ$438,4,FALSE)</f>
        <v>Lady Selina MEADE (6th &amp; 101)</v>
      </c>
      <c r="E65" s="150" t="str">
        <f>VLOOKUP($A65,'All Girls &amp; Descendants - Edit'!$AC$2:$AJ$438,7,FALSE)</f>
        <v>Husband: Nicholas George Lawrence TIMPSON (b. 21/02/1941, d. ). Nicholas of Ardington Croft, Wantage, Oxfordshire, son of Alastair TIMPSON (b. 23 May 1915, d. 18 Dec 1997) of Castle Combe, Wiltshire.</v>
      </c>
      <c r="F65" s="150" t="str">
        <f>VLOOKUP($A65,'All Girls &amp; Descendants - Edit'!$AC$2:$AJ$438,8,FALSE)</f>
        <v>Female. b. 14/03/1950 Baptised 15 May 1950 at St George’s, Hanover Square, London W1.</v>
      </c>
    </row>
    <row r="66" spans="1:6" s="5" customFormat="1" ht="60">
      <c r="A66" s="149">
        <f t="shared" si="0"/>
        <v>1065</v>
      </c>
      <c r="B66" s="150" t="str">
        <f>VLOOKUP($A66,'All Girls &amp; Descendants - Edit'!$AC$2:$AJ$438,2,FALSE)</f>
        <v>101b</v>
      </c>
      <c r="C66" s="150" t="str">
        <f>VLOOKUP($A66,'All Girls &amp; Descendants - Edit'!$AC$2:$AJ$438,3,FALSE)</f>
        <v>Lady Mary Jane  MEADE (1952 - )</v>
      </c>
      <c r="D66" s="150" t="str">
        <f>VLOOKUP($A66,'All Girls &amp; Descendants - Edit'!$AC$2:$AJ$438,4,FALSE)</f>
        <v>Lady Mary MEADE (6th &amp; 101)</v>
      </c>
      <c r="E66" s="150" t="str">
        <f>VLOOKUP($A66,'All Girls &amp; Descendants - Edit'!$AC$2:$AJ$438,7,FALSE)</f>
        <v>Husband: John Armar LOWRY-CORRY (b. 04/09/1951, d. ). Married John Armar LOWRY-CORRY, 8th Earl of BELMORE of The Garden House, Castle Coole, Enniskillen, co Fermanagh, BT74 6JY.</v>
      </c>
      <c r="F66" s="150" t="str">
        <f>VLOOKUP($A66,'All Girls &amp; Descendants - Edit'!$AC$2:$AJ$438,8,FALSE)</f>
        <v>Female. b. 12/07/1952 Baptised Sep 1952 at Magherdroll Parish Church, Ballynahinch, co Down.</v>
      </c>
    </row>
    <row r="67" spans="1:6" s="5" customFormat="1" ht="60">
      <c r="A67" s="149">
        <f t="shared" si="0"/>
        <v>1066</v>
      </c>
      <c r="B67" s="150" t="str">
        <f>VLOOKUP($A67,'All Girls &amp; Descendants - Edit'!$AC$2:$AJ$438,2,FALSE)</f>
        <v>101c</v>
      </c>
      <c r="C67" s="150" t="str">
        <f>VLOOKUP($A67,'All Girls &amp; Descendants - Edit'!$AC$2:$AJ$438,3,FALSE)</f>
        <v>Lady Julia Elizabeth  MEADE (1953 - )</v>
      </c>
      <c r="D67" s="150" t="str">
        <f>VLOOKUP($A67,'All Girls &amp; Descendants - Edit'!$AC$2:$AJ$438,4,FALSE)</f>
        <v>Lady Julia MEADE (6th &amp; 101)</v>
      </c>
      <c r="E67" s="150" t="str">
        <f>VLOOKUP($A67,'All Girls &amp; Descendants - Edit'!$AC$2:$AJ$438,7,FALSE)</f>
        <v>Husband: Robert Ralph Scrymgeour HISCOX (b. 04/01/1943, ). Married Robert of Rainscombe Park, Oare, Marlborough, Wiltshire, SN8 4HZ, son of Ralph HISCOX CBE of Scott’s Farm, Chobham, Surrey.</v>
      </c>
      <c r="F67" s="150" t="str">
        <f>VLOOKUP($A67,'All Girls &amp; Descendants - Edit'!$AC$2:$AJ$438,8,FALSE)</f>
        <v>Female. b. 31/12/1953</v>
      </c>
    </row>
    <row r="68" spans="1:6" s="5" customFormat="1" ht="45">
      <c r="A68" s="149">
        <f t="shared" ref="A68:A131" si="1">A67+1</f>
        <v>1067</v>
      </c>
      <c r="B68" s="150" t="str">
        <f>VLOOKUP($A68,'All Girls &amp; Descendants - Edit'!$AC$2:$AJ$438,2,FALSE)</f>
        <v>101d</v>
      </c>
      <c r="C68" s="150" t="str">
        <f>VLOOKUP($A68,'All Girls &amp; Descendants - Edit'!$AC$2:$AJ$438,3,FALSE)</f>
        <v>Lady Laura Louise  MEADE (1957 - )</v>
      </c>
      <c r="D68" s="150" t="str">
        <f>VLOOKUP($A68,'All Girls &amp; Descendants - Edit'!$AC$2:$AJ$438,4,FALSE)</f>
        <v>Lady Laura MEADE (6th &amp; 101)</v>
      </c>
      <c r="E68" s="150" t="str">
        <f>VLOOKUP($A68,'All Girls &amp; Descendants - Edit'!$AC$2:$AJ$438,7,FALSE)</f>
        <v>Husband: Scott Buckingham REID (b. 24/12/1947, ). Married Scott of 524 Purchase Street, Rye, New York, 10580, USA, son of Howard A REID of Bronxville, New York, USA.</v>
      </c>
      <c r="F68" s="150" t="str">
        <f>VLOOKUP($A68,'All Girls &amp; Descendants - Edit'!$AC$2:$AJ$438,8,FALSE)</f>
        <v>Female. b. 11/03/1957</v>
      </c>
    </row>
    <row r="69" spans="1:6" s="5" customFormat="1" ht="45">
      <c r="A69" s="149">
        <f t="shared" si="1"/>
        <v>1068</v>
      </c>
      <c r="B69" s="150" t="str">
        <f>VLOOKUP($A69,'All Girls &amp; Descendants - Edit'!$AC$2:$AJ$438,2,FALSE)</f>
        <v>101e</v>
      </c>
      <c r="C69" s="150" t="str">
        <f>VLOOKUP($A69,'All Girls &amp; Descendants - Edit'!$AC$2:$AJ$438,3,FALSE)</f>
        <v>Lady Katherine Anne  MEADE (1959 - )</v>
      </c>
      <c r="D69" s="150" t="str">
        <f>VLOOKUP($A69,'All Girls &amp; Descendants - Edit'!$AC$2:$AJ$438,4,FALSE)</f>
        <v>Lady Katherine MEADE (6th &amp; 101)</v>
      </c>
      <c r="E69" s="150" t="str">
        <f>VLOOKUP($A69,'All Girls &amp; Descendants - Edit'!$AC$2:$AJ$438,7,FALSE)</f>
        <v>Husband: Christopher Aubrey Hamilton WILLS (b.1953, ). Married Christopher of Litchfield Down, Whitchurch, Hampshire, elder son of Hon Victor Patrick Hamilton WILLS.</v>
      </c>
      <c r="F69" s="150" t="str">
        <f>VLOOKUP($A69,'All Girls &amp; Descendants - Edit'!$AC$2:$AJ$438,8,FALSE)</f>
        <v>Female. b. 10/08/1959 Baptised Dec 1959 at Magherdroll Parish Church, Ballynahinch, co Down.</v>
      </c>
    </row>
    <row r="70" spans="1:6" s="5" customFormat="1" ht="45">
      <c r="A70" s="149">
        <f t="shared" si="1"/>
        <v>1069</v>
      </c>
      <c r="B70" s="150" t="str">
        <f>VLOOKUP($A70,'All Girls &amp; Descendants - Edit'!$AC$2:$AJ$438,2,FALSE)</f>
        <v>101f</v>
      </c>
      <c r="C70" s="150" t="str">
        <f>VLOOKUP($A70,'All Girls &amp; Descendants - Edit'!$AC$2:$AJ$438,3,FALSE)</f>
        <v>Lady Sophia Hester  MEADE (1963 - )</v>
      </c>
      <c r="D70" s="150" t="str">
        <f>VLOOKUP($A70,'All Girls &amp; Descendants - Edit'!$AC$2:$AJ$438,4,FALSE)</f>
        <v>Lady Sophia MEADE (6th &amp; 101)</v>
      </c>
      <c r="E70" s="150" t="str">
        <f>VLOOKUP($A70,'All Girls &amp; Descendants - Edit'!$AC$2:$AJ$438,7,FALSE)</f>
        <v>Husband: Jonathan Garnett HEYWOOD. Married Jonathan son of Brigadier Anthony Garnett HEYWOOD of Monkton House, Monkton Deverill, Wiltshire.</v>
      </c>
      <c r="F70" s="150" t="str">
        <f>VLOOKUP($A70,'All Girls &amp; Descendants - Edit'!$AC$2:$AJ$438,8,FALSE)</f>
        <v>Female. b. 14/10/1963</v>
      </c>
    </row>
    <row r="71" spans="1:6" s="5" customFormat="1" ht="75">
      <c r="A71" s="149">
        <f t="shared" si="1"/>
        <v>1070</v>
      </c>
      <c r="B71" s="150" t="str">
        <f>VLOOKUP($A71,'All Girls &amp; Descendants - Edit'!$AC$2:$AJ$438,2,FALSE)</f>
        <v>102a</v>
      </c>
      <c r="C71" s="150" t="str">
        <f>VLOOKUP($A71,'All Girls &amp; Descendants - Edit'!$AC$2:$AJ$438,3,FALSE)</f>
        <v>Teressa Mary  DUNLOP (1956 - )</v>
      </c>
      <c r="D71" s="150" t="str">
        <f>VLOOKUP($A71,'All Girls &amp; Descendants - Edit'!$AC$2:$AJ$438,4,FALSE)</f>
        <v>Tess DUNLOP (6th &amp; 102)</v>
      </c>
      <c r="E71" s="150" t="str">
        <f>VLOOKUP($A71,'All Girls &amp; Descendants - Edit'!$AC$2:$AJ$438,7,FALSE)</f>
        <v>Unmarried</v>
      </c>
      <c r="F71" s="150" t="str">
        <f>VLOOKUP($A71,'All Girls &amp; Descendants - Edit'!$AC$2:$AJ$438,8,FALSE)</f>
        <v>Female. b. 09/06/1956 Tess lives in London. Born at Queen Charlotte’s Hospital, London. Baptised 8 Sep 1956 at St Mary and All Saints’, Beaconsfield, Buckinghamshire. Educated St Mary’s, Calne, Wiltshire; Universities of Leeds (1975-79) and Kuwait.  Guildford College of Law 1986-88.  Solicitor of the Supreme Court from 1990. SEN tutor from 2006.</v>
      </c>
    </row>
    <row r="72" spans="1:6" s="5" customFormat="1" ht="195">
      <c r="A72" s="149">
        <f t="shared" si="1"/>
        <v>1071</v>
      </c>
      <c r="B72" s="150" t="str">
        <f>VLOOKUP($A72,'All Girls &amp; Descendants - Edit'!$AC$2:$AJ$438,2,FALSE)</f>
        <v>102b</v>
      </c>
      <c r="C72" s="150" t="str">
        <f>VLOOKUP($A72,'All Girls &amp; Descendants - Edit'!$AC$2:$AJ$438,3,FALSE)</f>
        <v>Lindsay Fergus  DUNLOP (1958 - )</v>
      </c>
      <c r="D72" s="150" t="str">
        <f>VLOOKUP($A72,'All Girls &amp; Descendants - Edit'!$AC$2:$AJ$438,4,FALSE)</f>
        <v>Fergus DUNLOP (6th &amp; 102)</v>
      </c>
      <c r="E72" s="150" t="str">
        <f>VLOOKUP($A72,'All Girls &amp; Descendants - Edit'!$AC$2:$AJ$438,7,FALSE)</f>
        <v>Wife: Miranda Grace ELGIN. Married at St Mary Abbots, London, W8, Miranda Grace (b. 14 Oct 1964 at St Mary’s Hospital, Paddington, London W2) only daughter of Robert Warren ELGIN of Brunswick Gardens, London, W8.</v>
      </c>
      <c r="F72" s="150" t="str">
        <f>VLOOKUP($A72,'All Girls &amp; Descendants - Edit'!$AC$2:$AJ$438,8,FALSE)</f>
        <v>Male. b. 23/05/1958 Lindsay, known as Fergus, of Fosse André, St Peter Port, Guernsey. Born at Queen Charlotte’s Hospital, London. Baptised 9 Aug 1958 at St Mary and All Saints’, Beaconsfield, Buckinghamshire. Educated Eton 1971-76, Bristol 1977-80 (BA Hons History) and St Edmund Hall, Oxford 1980-83 (M Phil, Management Studies). Macmillan Publishers 1983-85. Burton Group 1985-87. Mercury Asset Management (now BlackRock) London 1987-1997, Frankfurt 1997-2001. From 2002, investment company directorships in Munich, Jersey and Guernsey. UK: Fellow, Institute of Directors, 2016. Patron, St Anne’s, Bowden Hill from 2014 (founding Co-ordinator, Friends of St Anne’s from 2021). Guernsey: Founding Co-ordinator, Bus Users Guernsey from 2009. Constable (chair), St Saviour’s Parish, 2010-13, Campaign lead in referendum on electoral reform, 2018, Church Property Management Board, 2018-22. Author of ‘Borderline Pass’ (2020) and ‘The Lady With No Name’ (2021).</v>
      </c>
    </row>
    <row r="73" spans="1:6" s="5" customFormat="1" ht="90">
      <c r="A73" s="149">
        <f t="shared" si="1"/>
        <v>1072</v>
      </c>
      <c r="B73" s="150" t="str">
        <f>VLOOKUP($A73,'All Girls &amp; Descendants - Edit'!$AC$2:$AJ$438,2,FALSE)</f>
        <v>102c</v>
      </c>
      <c r="C73" s="150" t="str">
        <f>VLOOKUP($A73,'All Girls &amp; Descendants - Edit'!$AC$2:$AJ$438,3,FALSE)</f>
        <v>Celina Elizabeth  DUNLOP (1960 - )</v>
      </c>
      <c r="D73" s="150" t="str">
        <f>VLOOKUP($A73,'All Girls &amp; Descendants - Edit'!$AC$2:$AJ$438,4,FALSE)</f>
        <v>Celina DUNLOP (6th &amp; 102)</v>
      </c>
      <c r="E73" s="150" t="str">
        <f>VLOOKUP($A73,'All Girls &amp; Descendants - Edit'!$AC$2:$AJ$438,7,FALSE)</f>
        <v>Unmarried</v>
      </c>
      <c r="F73" s="150" t="str">
        <f>VLOOKUP($A73,'All Girls &amp; Descendants - Edit'!$AC$2:$AJ$438,8,FALSE)</f>
        <v>Female. b. 22/09/1960 Celina of 10 St Peter’s Place, London, W9 2EE. Born 22 Sep 1960 at Queen Charlotte’s Hospital, London. Baptised 10 Dec 1960 at St Mary and All Saints’, Beaconsfield, Buckinghamshire. Educated St Mary’s, Calne, Wiltshire 1972-76 and Queen’s Gate School, London 1976-77. Picture Researcher, Octopus Books 1978-86. Picture Editor, Radio Times 1986-90. Picture Editor, The Economist 1990-2019.</v>
      </c>
    </row>
    <row r="74" spans="1:6" s="5" customFormat="1" ht="45">
      <c r="A74" s="149">
        <f t="shared" si="1"/>
        <v>1073</v>
      </c>
      <c r="B74" s="150" t="str">
        <f>VLOOKUP($A74,'All Girls &amp; Descendants - Edit'!$AC$2:$AJ$438,2,FALSE)</f>
        <v>103a</v>
      </c>
      <c r="C74" s="150" t="str">
        <f>VLOOKUP($A74,'All Girls &amp; Descendants - Edit'!$AC$2:$AJ$438,3,FALSE)</f>
        <v>James Anthony  GORE-BROWNE (1947 - )</v>
      </c>
      <c r="D74" s="150" t="str">
        <f>VLOOKUP($A74,'All Girls &amp; Descendants - Edit'!$AC$2:$AJ$438,4,FALSE)</f>
        <v>James GORE-BROWNE (6th &amp; 103)</v>
      </c>
      <c r="E74" s="150" t="str">
        <f>VLOOKUP($A74,'All Girls &amp; Descendants - Edit'!$AC$2:$AJ$438,7,FALSE)</f>
        <v>Wife: Jane Ann (b. 05/04/1947, ) DICKSON. Married at Symington, Ayrshire, Jane  eldest daughter of Colonel Seton DICKSON of Field House, Ayrshire.</v>
      </c>
      <c r="F74" s="150" t="str">
        <f>VLOOKUP($A74,'All Girls &amp; Descendants - Edit'!$AC$2:$AJ$438,8,FALSE)</f>
        <v>Male. b. 26/03/1947 Baptised 3 Jun 1947 in London. Educated Eton 1960-65.</v>
      </c>
    </row>
    <row r="75" spans="1:6" s="5" customFormat="1" ht="45">
      <c r="A75" s="149">
        <f t="shared" si="1"/>
        <v>1074</v>
      </c>
      <c r="B75" s="150" t="str">
        <f>VLOOKUP($A75,'All Girls &amp; Descendants - Edit'!$AC$2:$AJ$438,2,FALSE)</f>
        <v>103b</v>
      </c>
      <c r="C75" s="150" t="str">
        <f>VLOOKUP($A75,'All Girls &amp; Descendants - Edit'!$AC$2:$AJ$438,3,FALSE)</f>
        <v>Georgina Mary  GORE-BROWNE (1949 - )</v>
      </c>
      <c r="D75" s="150" t="str">
        <f>VLOOKUP($A75,'All Girls &amp; Descendants - Edit'!$AC$2:$AJ$438,4,FALSE)</f>
        <v>Georgina GORE-BROWNE (6th &amp; 103)</v>
      </c>
      <c r="E75" s="150" t="str">
        <f>VLOOKUP($A75,'All Girls &amp; Descendants - Edit'!$AC$2:$AJ$438,7,FALSE)</f>
        <v>Husband: Christopher PILKINGTON (b. 05/02/1947, ). Married Christopher  2nd son of T.D. PILKINGTON of Hyde Mill, Stow-on-the-Wold, Gloucestershire.</v>
      </c>
      <c r="F75" s="150" t="str">
        <f>VLOOKUP($A75,'All Girls &amp; Descendants - Edit'!$AC$2:$AJ$438,8,FALSE)</f>
        <v>Female. b. 25/01/1949 Baptised at Fryerning, Essex. Educated Downham, Hertfordshire.</v>
      </c>
    </row>
    <row r="76" spans="1:6" s="5" customFormat="1" ht="30">
      <c r="A76" s="149">
        <f t="shared" si="1"/>
        <v>1075</v>
      </c>
      <c r="B76" s="150" t="str">
        <f>VLOOKUP($A76,'All Girls &amp; Descendants - Edit'!$AC$2:$AJ$438,2,FALSE)</f>
        <v>103c</v>
      </c>
      <c r="C76" s="150" t="str">
        <f>VLOOKUP($A76,'All Girls &amp; Descendants - Edit'!$AC$2:$AJ$438,3,FALSE)</f>
        <v>David Charles  GORE-BROWNE (1952 - 2012)</v>
      </c>
      <c r="D76" s="150" t="str">
        <f>VLOOKUP($A76,'All Girls &amp; Descendants - Edit'!$AC$2:$AJ$438,4,FALSE)</f>
        <v>David GORE-BROWNE (6th &amp; 103)</v>
      </c>
      <c r="E76" s="150" t="str">
        <f>VLOOKUP($A76,'All Girls &amp; Descendants - Edit'!$AC$2:$AJ$438,7,FALSE)</f>
        <v>Wife: Diana Jane REES (b. 18/07/1954, ). Married Diana Jane 2nd daughter of J N REES of St Asaph, North Wales.</v>
      </c>
      <c r="F76" s="150" t="str">
        <f>VLOOKUP($A76,'All Girls &amp; Descendants - Edit'!$AC$2:$AJ$438,8,FALSE)</f>
        <v>Male. b. 21/08/1952, d. 41133. Baptised at Fryerning, Essex. Educated Eton 1964-69.</v>
      </c>
    </row>
    <row r="77" spans="1:6" s="5" customFormat="1" ht="45">
      <c r="A77" s="149">
        <f t="shared" si="1"/>
        <v>1076</v>
      </c>
      <c r="B77" s="150" t="str">
        <f>VLOOKUP($A77,'All Girls &amp; Descendants - Edit'!$AC$2:$AJ$438,2,FALSE)</f>
        <v>103d</v>
      </c>
      <c r="C77" s="150" t="str">
        <f>VLOOKUP($A77,'All Girls &amp; Descendants - Edit'!$AC$2:$AJ$438,3,FALSE)</f>
        <v>Patrick Robert  GORE-BROWNE (1956 - )</v>
      </c>
      <c r="D77" s="150" t="str">
        <f>VLOOKUP($A77,'All Girls &amp; Descendants - Edit'!$AC$2:$AJ$438,4,FALSE)</f>
        <v>Patrick GORE-BROWNE (6th &amp; 103)</v>
      </c>
      <c r="E77" s="150" t="str">
        <f>VLOOKUP($A77,'All Girls &amp; Descendants - Edit'!$AC$2:$AJ$438,7,FALSE)</f>
        <v>Wife: Sarah JENKINSON (b. 24/02/1958, ) . Married at Bampton Church, Oxfordshire, Sarah only daughter of Harold A JENKINSON of Burton Abbotts, Black Bourton, Oxfordshire.</v>
      </c>
      <c r="F77" s="150" t="str">
        <f>VLOOKUP($A77,'All Girls &amp; Descendants - Edit'!$AC$2:$AJ$438,8,FALSE)</f>
        <v>Male. b. 15/02/1956 Baptised at Fryerning, Essex. Educated Eton 1969-73.</v>
      </c>
    </row>
    <row r="78" spans="1:6" s="5" customFormat="1" ht="60">
      <c r="A78" s="149">
        <f t="shared" si="1"/>
        <v>1077</v>
      </c>
      <c r="B78" s="150" t="str">
        <f>VLOOKUP($A78,'All Girls &amp; Descendants - Edit'!$AC$2:$AJ$438,2,FALSE)</f>
        <v>106a</v>
      </c>
      <c r="C78" s="150" t="str">
        <f>VLOOKUP($A78,'All Girls &amp; Descendants - Edit'!$AC$2:$AJ$438,3,FALSE)</f>
        <v>The Hon Geva Charlotte Caroline WINN (1955 - )</v>
      </c>
      <c r="D78" s="150" t="str">
        <f>VLOOKUP($A78,'All Girls &amp; Descendants - Edit'!$AC$2:$AJ$438,4,FALSE)</f>
        <v>The Hon Geva WINN (6th &amp; 106)</v>
      </c>
      <c r="E78" s="150" t="str">
        <f>VLOOKUP($A78,'All Girls &amp; Descendants - Edit'!$AC$2:$AJ$438,7,FALSE)</f>
        <v>Husband: John Simon BLACKETT (16/09/1954, ). Married Simon at St Michael and Our Lady, Wragby, West Yorkshire, by the Bishop of Wakefield, John elder son of John Harold Booth (Pat) BLACKETT of Whalton, Morpeth, Northumberland.</v>
      </c>
      <c r="F78" s="150" t="str">
        <f>VLOOKUP($A78,'All Girls &amp; Descendants - Edit'!$AC$2:$AJ$438,8,FALSE)</f>
        <v>Female. b. 15/09/1955 The Hon Geva lives in Braemar, Aberdeenshire. Baptised 14 Jan 1956 at St Margaret’s, Westminster, London.</v>
      </c>
    </row>
    <row r="79" spans="1:6" s="5" customFormat="1" ht="60">
      <c r="A79" s="149">
        <f t="shared" si="1"/>
        <v>1078</v>
      </c>
      <c r="B79" s="150" t="str">
        <f>VLOOKUP($A79,'All Girls &amp; Descendants - Edit'!$AC$2:$AJ$438,2,FALSE)</f>
        <v>106b</v>
      </c>
      <c r="C79" s="150" t="str">
        <f>VLOOKUP($A79,'All Girls &amp; Descendants - Edit'!$AC$2:$AJ$438,3,FALSE)</f>
        <v>Charles Rowland Andrew WINN (1959 - )</v>
      </c>
      <c r="D79" s="150" t="str">
        <f>VLOOKUP($A79,'All Girls &amp; Descendants - Edit'!$AC$2:$AJ$438,4,FALSE)</f>
        <v>Charles WINN (6th &amp; 106)</v>
      </c>
      <c r="E79" s="150" t="str">
        <f>VLOOKUP($A79,'All Girls &amp; Descendants - Edit'!$AC$2:$AJ$438,7,FALSE)</f>
        <v>Wife: Louise Alexandra SCOTT (b. 3 Jan 1958, ). Married at St Michael and Our Lady, Wragby, West Yorkshire by the Bishop of Wakefield, Louise Alexandra, daughter of Stewart SCOTT of Holly Tree House, Thorpe Bassett, Malton, North Yorkshire.</v>
      </c>
      <c r="F79" s="150" t="str">
        <f>VLOOKUP($A79,'All Girls &amp; Descendants - Edit'!$AC$2:$AJ$438,8,FALSE)</f>
        <v xml:space="preserve">Male. b. 22/07/1959 Charles Rowland Andrew WINN, 6th Baron ST OSWALD of Nostell Priory, Wakefield, West Yorkshire, WF4 1QE and of The Lodge, Terrington, Yorkshire. </v>
      </c>
    </row>
    <row r="80" spans="1:6" s="5" customFormat="1" ht="60">
      <c r="A80" s="149">
        <f t="shared" si="1"/>
        <v>1079</v>
      </c>
      <c r="B80" s="150" t="str">
        <f>VLOOKUP($A80,'All Girls &amp; Descendants - Edit'!$AC$2:$AJ$438,2,FALSE)</f>
        <v>107a</v>
      </c>
      <c r="C80" s="150" t="str">
        <f>VLOOKUP($A80,'All Girls &amp; Descendants - Edit'!$AC$2:$AJ$438,3,FALSE)</f>
        <v>Lorraine Mary  GRAHAM (1951 - )</v>
      </c>
      <c r="D80" s="150" t="str">
        <f>VLOOKUP($A80,'All Girls &amp; Descendants - Edit'!$AC$2:$AJ$438,4,FALSE)</f>
        <v>Lorraine GRAHAM (6th &amp; 107)</v>
      </c>
      <c r="E80" s="150" t="str">
        <f>VLOOKUP($A80,'All Girls &amp; Descendants - Edit'!$AC$2:$AJ$438,7,FALSE)</f>
        <v xml:space="preserve">Husband: (1) Edward F RUSSELL on 14 Feb 1975. (Divorced). (2) Douglas AMY (b. 02/09/1950, ) on 6 Mar 1979. (3) 17 Aug 1990 Michael Allen (Mike) SEALUND (b. 14/12/1950) of Bellingham, Washington. USA.. </v>
      </c>
      <c r="F80" s="150" t="str">
        <f>VLOOKUP($A80,'All Girls &amp; Descendants - Edit'!$AC$2:$AJ$438,8,FALSE)</f>
        <v>Female. b. 19/05/1951 Born at Medicine Hat, Alberta USA. Baptised May 1953 at Coeur d’Alene, Idaho, USA.</v>
      </c>
    </row>
    <row r="81" spans="1:6" s="5" customFormat="1" ht="60">
      <c r="A81" s="149">
        <f t="shared" si="1"/>
        <v>1080</v>
      </c>
      <c r="B81" s="150" t="str">
        <f>VLOOKUP($A81,'All Girls &amp; Descendants - Edit'!$AC$2:$AJ$438,2,FALSE)</f>
        <v>107b</v>
      </c>
      <c r="C81" s="150" t="str">
        <f>VLOOKUP($A81,'All Girls &amp; Descendants - Edit'!$AC$2:$AJ$438,3,FALSE)</f>
        <v>Nora Ann  ORR (1955 - )</v>
      </c>
      <c r="D81" s="150" t="str">
        <f>VLOOKUP($A81,'All Girls &amp; Descendants - Edit'!$AC$2:$AJ$438,4,FALSE)</f>
        <v>Nora ORR (6th &amp; 107)</v>
      </c>
      <c r="E81" s="150" t="str">
        <f>VLOOKUP($A81,'All Girls &amp; Descendants - Edit'!$AC$2:$AJ$438,7,FALSE)</f>
        <v>Husband: (1) Daniel James THOMPSON (b. 08/05/1955, ) (2) Gary BITKER (b. 29 Jul 1954). (Divorced 1982).. Gary BITKER; Michael Allen SEALUND; (1) 22 Nov 1972 Daniel James THOMPSON (b. 08/05/1955). (Div).</v>
      </c>
      <c r="F81" s="150" t="str">
        <f>VLOOKUP($A81,'All Girls &amp; Descendants - Edit'!$AC$2:$AJ$438,8,FALSE)</f>
        <v>Female. b. 20/03/1955 Baptised 1955 at St Thomas’s Parish Church, Coeur d’Alene, Idaho.</v>
      </c>
    </row>
    <row r="82" spans="1:6" s="5" customFormat="1" ht="30">
      <c r="A82" s="149">
        <f t="shared" si="1"/>
        <v>1081</v>
      </c>
      <c r="B82" s="150" t="str">
        <f>VLOOKUP($A82,'All Girls &amp; Descendants - Edit'!$AC$2:$AJ$438,2,FALSE)</f>
        <v>107c</v>
      </c>
      <c r="C82" s="150" t="str">
        <f>VLOOKUP($A82,'All Girls &amp; Descendants - Edit'!$AC$2:$AJ$438,3,FALSE)</f>
        <v>Michael Kirkman Loyd ORR (1956 - )</v>
      </c>
      <c r="D82" s="150" t="str">
        <f>VLOOKUP($A82,'All Girls &amp; Descendants - Edit'!$AC$2:$AJ$438,4,FALSE)</f>
        <v>Michael ORR (6th &amp; 107)</v>
      </c>
      <c r="E82" s="150" t="str">
        <f>VLOOKUP($A82,'All Girls &amp; Descendants - Edit'!$AC$2:$AJ$438,7,FALSE)</f>
        <v>Wife: (1) Jun 1977 Marcell Lee WATKINS. (Divorced). (2) 9 Feb 1980 Kim BAKER (b. 22/11/1955).. Kim BAKER</v>
      </c>
      <c r="F82" s="150" t="str">
        <f>VLOOKUP($A82,'All Girls &amp; Descendants - Edit'!$AC$2:$AJ$438,8,FALSE)</f>
        <v>Male. b. 16/02/1956 Baptised 1956 at St Thomas’s Cathedral Church, Coeur d’Alene, Idaho. USA.</v>
      </c>
    </row>
    <row r="83" spans="1:6" s="5" customFormat="1" ht="45">
      <c r="A83" s="149">
        <f t="shared" si="1"/>
        <v>1082</v>
      </c>
      <c r="B83" s="150" t="str">
        <f>VLOOKUP($A83,'All Girls &amp; Descendants - Edit'!$AC$2:$AJ$438,2,FALSE)</f>
        <v>107d</v>
      </c>
      <c r="C83" s="150" t="str">
        <f>VLOOKUP($A83,'All Girls &amp; Descendants - Edit'!$AC$2:$AJ$438,3,FALSE)</f>
        <v>Edward William  ORR (1959 - )</v>
      </c>
      <c r="D83" s="150" t="str">
        <f>VLOOKUP($A83,'All Girls &amp; Descendants - Edit'!$AC$2:$AJ$438,4,FALSE)</f>
        <v>Ted ORR (6th &amp; 107)</v>
      </c>
      <c r="E83" s="150" t="str">
        <f>VLOOKUP($A83,'All Girls &amp; Descendants - Edit'!$AC$2:$AJ$438,7,FALSE)</f>
        <v>Wife: (1) Janet SCHRODER (b. 21/08/1961). (Divorced 1995). (2) 16 Aug 1997 Teri TESCH (b. 30/04/1960).. (2) Married  at Fox Island, Washington. USA.</v>
      </c>
      <c r="F83" s="150" t="str">
        <f>VLOOKUP($A83,'All Girls &amp; Descendants - Edit'!$AC$2:$AJ$438,8,FALSE)</f>
        <v>Male. b. 02/09/1959 Ted born at US Naval Hospital, Portsmouth, Virginia. Baptised 1959 at Portsmouth, Virginia. US Navy, Senior Chief Petty Officer, retired 1998.</v>
      </c>
    </row>
    <row r="84" spans="1:6" s="5" customFormat="1" ht="45">
      <c r="A84" s="149">
        <f t="shared" si="1"/>
        <v>1083</v>
      </c>
      <c r="B84" s="150" t="str">
        <f>VLOOKUP($A84,'All Girls &amp; Descendants - Edit'!$AC$2:$AJ$438,2,FALSE)</f>
        <v>107e</v>
      </c>
      <c r="C84" s="150" t="str">
        <f>VLOOKUP($A84,'All Girls &amp; Descendants - Edit'!$AC$2:$AJ$438,3,FALSE)</f>
        <v>Heather Lynn  ORR (1970 - )</v>
      </c>
      <c r="D84" s="150" t="str">
        <f>VLOOKUP($A84,'All Girls &amp; Descendants - Edit'!$AC$2:$AJ$438,4,FALSE)</f>
        <v>Heather ORR (6th &amp; 107)</v>
      </c>
      <c r="E84" s="150" t="str">
        <f>VLOOKUP($A84,'All Girls &amp; Descendants - Edit'!$AC$2:$AJ$438,7,FALSE)</f>
        <v>Husband: Ronald CLINE. Married Ronald CLINE of Yakima. Later divorced.</v>
      </c>
      <c r="F84" s="150" t="str">
        <f>VLOOKUP($A84,'All Girls &amp; Descendants - Edit'!$AC$2:$AJ$438,8,FALSE)</f>
        <v>Female. b. 29/12/1970 Baptised 10 Jan 1971 at Holy Mary’s Cathedral Church, Opportunity, Washington. Teacher, Lewis &amp; Clarke Middle School, Yakima, Washington.</v>
      </c>
    </row>
    <row r="85" spans="1:6" s="5" customFormat="1">
      <c r="A85" s="149">
        <f t="shared" si="1"/>
        <v>1084</v>
      </c>
      <c r="B85" s="150" t="str">
        <f>VLOOKUP($A85,'All Girls &amp; Descendants - Edit'!$AC$2:$AJ$438,2,FALSE)</f>
        <v>108a</v>
      </c>
      <c r="C85" s="150" t="str">
        <f>VLOOKUP($A85,'All Girls &amp; Descendants - Edit'!$AC$2:$AJ$438,3,FALSE)</f>
        <v>Frances Mary  HOYLE (1953 - )</v>
      </c>
      <c r="D85" s="150" t="str">
        <f>VLOOKUP($A85,'All Girls &amp; Descendants - Edit'!$AC$2:$AJ$438,4,FALSE)</f>
        <v>Frances HOYLE (6th &amp; 108)</v>
      </c>
      <c r="E85" s="150" t="str">
        <f>VLOOKUP($A85,'All Girls &amp; Descendants - Edit'!$AC$2:$AJ$438,7,FALSE)</f>
        <v>Husband: Nicholas CARTER (b. 25/01/1952, d. ). Divorced 1984</v>
      </c>
      <c r="F85" s="150" t="str">
        <f>VLOOKUP($A85,'All Girls &amp; Descendants - Edit'!$AC$2:$AJ$438,8,FALSE)</f>
        <v>Female. b. 24/11/1953</v>
      </c>
    </row>
    <row r="86" spans="1:6" s="5" customFormat="1">
      <c r="A86" s="149">
        <f t="shared" si="1"/>
        <v>1085</v>
      </c>
      <c r="B86" s="150" t="str">
        <f>VLOOKUP($A86,'All Girls &amp; Descendants - Edit'!$AC$2:$AJ$438,2,FALSE)</f>
        <v>108b</v>
      </c>
      <c r="C86" s="150" t="str">
        <f>VLOOKUP($A86,'All Girls &amp; Descendants - Edit'!$AC$2:$AJ$438,3,FALSE)</f>
        <v>Richard William Lewis HOYLE (1956 - )</v>
      </c>
      <c r="D86" s="150" t="str">
        <f>VLOOKUP($A86,'All Girls &amp; Descendants - Edit'!$AC$2:$AJ$438,4,FALSE)</f>
        <v>Richard HOYLE (6th &amp; 108)</v>
      </c>
      <c r="E86" s="150" t="str">
        <f>VLOOKUP($A86,'All Girls &amp; Descendants - Edit'!$AC$2:$AJ$438,7,FALSE)</f>
        <v xml:space="preserve">Wife: Lesley SAXTON (b. 31/05/1955, ). </v>
      </c>
      <c r="F86" s="150" t="str">
        <f>VLOOKUP($A86,'All Girls &amp; Descendants - Edit'!$AC$2:$AJ$438,8,FALSE)</f>
        <v>Male. b. 12/12/1956</v>
      </c>
    </row>
    <row r="87" spans="1:6" s="5" customFormat="1">
      <c r="A87" s="149">
        <f t="shared" si="1"/>
        <v>1086</v>
      </c>
      <c r="B87" s="150" t="str">
        <f>VLOOKUP($A87,'All Girls &amp; Descendants - Edit'!$AC$2:$AJ$438,2,FALSE)</f>
        <v>108c</v>
      </c>
      <c r="C87" s="150" t="str">
        <f>VLOOKUP($A87,'All Girls &amp; Descendants - Edit'!$AC$2:$AJ$438,3,FALSE)</f>
        <v>David John  HOYLE (1961 - )</v>
      </c>
      <c r="D87" s="150" t="str">
        <f>VLOOKUP($A87,'All Girls &amp; Descendants - Edit'!$AC$2:$AJ$438,4,FALSE)</f>
        <v>David HOYLE (6th &amp; 108)</v>
      </c>
      <c r="E87" s="150" t="str">
        <f>VLOOKUP($A87,'All Girls &amp; Descendants - Edit'!$AC$2:$AJ$438,7,FALSE)</f>
        <v xml:space="preserve">Wife: Karen FULLER (b. 30/05/1961). </v>
      </c>
      <c r="F87" s="150" t="str">
        <f>VLOOKUP($A87,'All Girls &amp; Descendants - Edit'!$AC$2:$AJ$438,8,FALSE)</f>
        <v>Male. b. 02/12/1961</v>
      </c>
    </row>
    <row r="88" spans="1:6" s="5" customFormat="1">
      <c r="A88" s="149">
        <f t="shared" si="1"/>
        <v>1087</v>
      </c>
      <c r="B88" s="150" t="str">
        <f>VLOOKUP($A88,'All Girls &amp; Descendants - Edit'!$AC$2:$AJ$438,2,FALSE)</f>
        <v>108d</v>
      </c>
      <c r="C88" s="150" t="str">
        <f>VLOOKUP($A88,'All Girls &amp; Descendants - Edit'!$AC$2:$AJ$438,3,FALSE)</f>
        <v>Peter James  HOYLE (1963 - )</v>
      </c>
      <c r="D88" s="150" t="str">
        <f>VLOOKUP($A88,'All Girls &amp; Descendants - Edit'!$AC$2:$AJ$438,4,FALSE)</f>
        <v>Peter HOYLE (6th &amp; 108)</v>
      </c>
      <c r="E88" s="150" t="str">
        <f>VLOOKUP($A88,'All Girls &amp; Descendants - Edit'!$AC$2:$AJ$438,7,FALSE)</f>
        <v xml:space="preserve">Wife: Dianne McCARTHY (b. 16/09/1964, ). </v>
      </c>
      <c r="F88" s="150" t="str">
        <f>VLOOKUP($A88,'All Girls &amp; Descendants - Edit'!$AC$2:$AJ$438,8,FALSE)</f>
        <v>Male. b. 09/11/1963</v>
      </c>
    </row>
    <row r="89" spans="1:6" s="5" customFormat="1" ht="30">
      <c r="A89" s="149">
        <f t="shared" si="1"/>
        <v>1088</v>
      </c>
      <c r="B89" s="150" t="str">
        <f>VLOOKUP($A89,'All Girls &amp; Descendants - Edit'!$AC$2:$AJ$438,2,FALSE)</f>
        <v>109a</v>
      </c>
      <c r="C89" s="150" t="str">
        <f>VLOOKUP($A89,'All Girls &amp; Descendants - Edit'!$AC$2:$AJ$438,3,FALSE)</f>
        <v>Jennet   WALTON (1964 - )</v>
      </c>
      <c r="D89" s="150" t="str">
        <f>VLOOKUP($A89,'All Girls &amp; Descendants - Edit'!$AC$2:$AJ$438,4,FALSE)</f>
        <v>Jennet WALTON (6th &amp; 109)</v>
      </c>
      <c r="E89" s="150" t="str">
        <f>VLOOKUP($A89,'All Girls &amp; Descendants - Edit'!$AC$2:$AJ$438,7,FALSE)</f>
        <v>Unmarried</v>
      </c>
      <c r="F89" s="150" t="str">
        <f>VLOOKUP($A89,'All Girls &amp; Descendants - Edit'!$AC$2:$AJ$438,8,FALSE)</f>
        <v>Female. b. 25/11/1964 Baptised 10 Jan 1965 at the Brompton Oratory, London SW7. Educated Mayfield Convent, Sussex.</v>
      </c>
    </row>
    <row r="90" spans="1:6" s="5" customFormat="1" ht="45">
      <c r="A90" s="149">
        <f t="shared" si="1"/>
        <v>1089</v>
      </c>
      <c r="B90" s="150" t="str">
        <f>VLOOKUP($A90,'All Girls &amp; Descendants - Edit'!$AC$2:$AJ$438,2,FALSE)</f>
        <v>109b</v>
      </c>
      <c r="C90" s="150" t="str">
        <f>VLOOKUP($A90,'All Girls &amp; Descendants - Edit'!$AC$2:$AJ$438,3,FALSE)</f>
        <v>Timothy   WALTON (1967 - )</v>
      </c>
      <c r="D90" s="150" t="str">
        <f>VLOOKUP($A90,'All Girls &amp; Descendants - Edit'!$AC$2:$AJ$438,4,FALSE)</f>
        <v>Timothy WALTON (6th &amp; 109)</v>
      </c>
      <c r="E90" s="150" t="str">
        <f>VLOOKUP($A90,'All Girls &amp; Descendants - Edit'!$AC$2:$AJ$438,7,FALSE)</f>
        <v>Anna Yen ON (b. 30/11/1978, )</v>
      </c>
      <c r="F90" s="150" t="str">
        <f>VLOOKUP($A90,'All Girls &amp; Descendants - Edit'!$AC$2:$AJ$438,8,FALSE)</f>
        <v>Male. b. 22/08/1967 Baptised 8 Oct 1967 at St. Teresa’s, Trent Vale, Staffordshire. Educated Ampleforth, Manchester University (BA) and London University, School of Oriental &amp; African Studies (MA).</v>
      </c>
    </row>
    <row r="91" spans="1:6" s="5" customFormat="1" ht="60">
      <c r="A91" s="149">
        <f t="shared" si="1"/>
        <v>1090</v>
      </c>
      <c r="B91" s="150" t="str">
        <f>VLOOKUP($A91,'All Girls &amp; Descendants - Edit'!$AC$2:$AJ$438,2,FALSE)</f>
        <v>110a</v>
      </c>
      <c r="C91" s="150" t="str">
        <f>VLOOKUP($A91,'All Girls &amp; Descendants - Edit'!$AC$2:$AJ$438,3,FALSE)</f>
        <v>John Drummond  BOYCE (1961 - )</v>
      </c>
      <c r="D91" s="150" t="str">
        <f>VLOOKUP($A91,'All Girls &amp; Descendants - Edit'!$AC$2:$AJ$438,4,FALSE)</f>
        <v>John BOYCE (6th &amp; 110)</v>
      </c>
      <c r="E91" s="150" t="str">
        <f>VLOOKUP($A91,'All Girls &amp; Descendants - Edit'!$AC$2:$AJ$438,7,FALSE)</f>
        <v xml:space="preserve">Wife: Beverley Margaret JOHNSON (b. 04/06/1962, ). </v>
      </c>
      <c r="F91" s="150" t="str">
        <f>VLOOKUP($A91,'All Girls &amp; Descendants - Edit'!$AC$2:$AJ$438,8,FALSE)</f>
        <v>Male. b. 30/07/1961 Baptised 27 Aug 1961 at St Peter’s, Marlow. Educated Edinburgh Academy, King’s College, London (LLB), and Panthéon-Sorbonne, Paris (Maitrise en Droit). Partner Slaughter and May, London and Brussels.</v>
      </c>
    </row>
    <row r="92" spans="1:6" s="5" customFormat="1" ht="30">
      <c r="A92" s="149">
        <f t="shared" si="1"/>
        <v>1091</v>
      </c>
      <c r="B92" s="150" t="str">
        <f>VLOOKUP($A92,'All Girls &amp; Descendants - Edit'!$AC$2:$AJ$438,2,FALSE)</f>
        <v>110b</v>
      </c>
      <c r="C92" s="150" t="str">
        <f>VLOOKUP($A92,'All Girls &amp; Descendants - Edit'!$AC$2:$AJ$438,3,FALSE)</f>
        <v>Joanna Mary  BOYCE (1963 - )</v>
      </c>
      <c r="D92" s="150" t="str">
        <f>VLOOKUP($A92,'All Girls &amp; Descendants - Edit'!$AC$2:$AJ$438,4,FALSE)</f>
        <v>Joanna BOYCE (6th &amp; 110)</v>
      </c>
      <c r="E92" s="150" t="str">
        <f>VLOOKUP($A92,'All Girls &amp; Descendants - Edit'!$AC$2:$AJ$438,7,FALSE)</f>
        <v>Unmarried</v>
      </c>
      <c r="F92" s="150" t="str">
        <f>VLOOKUP($A92,'All Girls &amp; Descendants - Edit'!$AC$2:$AJ$438,8,FALSE)</f>
        <v>Female. b. 18/02/1963 Baptised 16 Mar 1963 at St. Mary’s Cathedral, Edinburgh. Educated St Margaret’s Convent, Edinburgh and Brighton Polytechnic (BA).</v>
      </c>
    </row>
    <row r="93" spans="1:6" s="5" customFormat="1" ht="30">
      <c r="A93" s="149">
        <f t="shared" si="1"/>
        <v>1092</v>
      </c>
      <c r="B93" s="150" t="str">
        <f>VLOOKUP($A93,'All Girls &amp; Descendants - Edit'!$AC$2:$AJ$438,2,FALSE)</f>
        <v>110c</v>
      </c>
      <c r="C93" s="150" t="str">
        <f>VLOOKUP($A93,'All Girls &amp; Descendants - Edit'!$AC$2:$AJ$438,3,FALSE)</f>
        <v>Robert Eric  BOYCE (1964 - )</v>
      </c>
      <c r="D93" s="150" t="str">
        <f>VLOOKUP($A93,'All Girls &amp; Descendants - Edit'!$AC$2:$AJ$438,4,FALSE)</f>
        <v>Robert BOYCE (6th &amp; 110)</v>
      </c>
      <c r="E93" s="150" t="str">
        <f>VLOOKUP($A93,'All Girls &amp; Descendants - Edit'!$AC$2:$AJ$438,7,FALSE)</f>
        <v xml:space="preserve">Wife: Antonia Catherine WHITE (b. 23/07/1966, ). </v>
      </c>
      <c r="F93" s="150" t="str">
        <f>VLOOKUP($A93,'All Girls &amp; Descendants - Edit'!$AC$2:$AJ$438,8,FALSE)</f>
        <v>Male. b. 20/03/1964 Baptised 18 Apr 1964 at Holy Cross, Edinburgh. Educated The Edinburgh Academy, Bath University (BSc), and Bristol University (MSc).</v>
      </c>
    </row>
    <row r="94" spans="1:6" s="5" customFormat="1" ht="30">
      <c r="A94" s="149">
        <f t="shared" si="1"/>
        <v>1093</v>
      </c>
      <c r="B94" s="150" t="str">
        <f>VLOOKUP($A94,'All Girls &amp; Descendants - Edit'!$AC$2:$AJ$438,2,FALSE)</f>
        <v>110d</v>
      </c>
      <c r="C94" s="150" t="str">
        <f>VLOOKUP($A94,'All Girls &amp; Descendants - Edit'!$AC$2:$AJ$438,3,FALSE)</f>
        <v>Paula Margaret  BOYCE (1966 - )</v>
      </c>
      <c r="D94" s="150" t="str">
        <f>VLOOKUP($A94,'All Girls &amp; Descendants - Edit'!$AC$2:$AJ$438,4,FALSE)</f>
        <v>Paula BOYCE (6th &amp; 110)</v>
      </c>
      <c r="E94" s="150" t="str">
        <f>VLOOKUP($A94,'All Girls &amp; Descendants - Edit'!$AC$2:$AJ$438,7,FALSE)</f>
        <v>Husband: Rolando Oscar CASTRO (b. 04/12/1965, ). Married at Canterbury Registry Office, Oscar of Rio de Janeiro.</v>
      </c>
      <c r="F94" s="150" t="str">
        <f>VLOOKUP($A94,'All Girls &amp; Descendants - Edit'!$AC$2:$AJ$438,8,FALSE)</f>
        <v>Female. b. 26/09/1966 Baptised 22 Oct 1966 at Holy Cross, Edinburgh. Educated St George’s, Edinburgh and St Andrew’s University (MA).</v>
      </c>
    </row>
    <row r="95" spans="1:6" s="5" customFormat="1">
      <c r="A95" s="149">
        <f t="shared" si="1"/>
        <v>1094</v>
      </c>
      <c r="B95" s="150" t="str">
        <f>VLOOKUP($A95,'All Girls &amp; Descendants - Edit'!$AC$2:$AJ$438,2,FALSE)</f>
        <v>112a</v>
      </c>
      <c r="C95" s="150" t="str">
        <f>VLOOKUP($A95,'All Girls &amp; Descendants - Edit'!$AC$2:$AJ$438,3,FALSE)</f>
        <v>Kevin John  DOWNES (1958 - )</v>
      </c>
      <c r="D95" s="150" t="str">
        <f>VLOOKUP($A95,'All Girls &amp; Descendants - Edit'!$AC$2:$AJ$438,4,FALSE)</f>
        <v>Kevin DOWNES (6th &amp; 112)</v>
      </c>
      <c r="E95" s="150" t="str">
        <f>VLOOKUP($A95,'All Girls &amp; Descendants - Edit'!$AC$2:$AJ$438,7,FALSE)</f>
        <v>Unmarried</v>
      </c>
      <c r="F95" s="150" t="str">
        <f>VLOOKUP($A95,'All Girls &amp; Descendants - Edit'!$AC$2:$AJ$438,8,FALSE)</f>
        <v>Male. b. 13/10/1958 Born at Loughborough, Leicestershire.</v>
      </c>
    </row>
    <row r="96" spans="1:6" s="5" customFormat="1">
      <c r="A96" s="149">
        <f t="shared" si="1"/>
        <v>1095</v>
      </c>
      <c r="B96" s="150" t="str">
        <f>VLOOKUP($A96,'All Girls &amp; Descendants - Edit'!$AC$2:$AJ$438,2,FALSE)</f>
        <v>112b</v>
      </c>
      <c r="C96" s="150" t="str">
        <f>VLOOKUP($A96,'All Girls &amp; Descendants - Edit'!$AC$2:$AJ$438,3,FALSE)</f>
        <v>Lynda Carol  DOWNES (1960 - )</v>
      </c>
      <c r="D96" s="150" t="str">
        <f>VLOOKUP($A96,'All Girls &amp; Descendants - Edit'!$AC$2:$AJ$438,4,FALSE)</f>
        <v>Lynda DOWNES (6th &amp; 112)</v>
      </c>
      <c r="E96" s="150" t="str">
        <f>VLOOKUP($A96,'All Girls &amp; Descendants - Edit'!$AC$2:$AJ$438,7,FALSE)</f>
        <v>Unmarried</v>
      </c>
      <c r="F96" s="150" t="str">
        <f>VLOOKUP($A96,'All Girls &amp; Descendants - Edit'!$AC$2:$AJ$438,8,FALSE)</f>
        <v>Female. b. 15/10/1960 Born at Kegworth, Leicestershire.</v>
      </c>
    </row>
    <row r="97" spans="1:6" s="5" customFormat="1">
      <c r="A97" s="149">
        <f t="shared" si="1"/>
        <v>1096</v>
      </c>
      <c r="B97" s="150" t="str">
        <f>VLOOKUP($A97,'All Girls &amp; Descendants - Edit'!$AC$2:$AJ$438,2,FALSE)</f>
        <v>112c</v>
      </c>
      <c r="C97" s="150" t="str">
        <f>VLOOKUP($A97,'All Girls &amp; Descendants - Edit'!$AC$2:$AJ$438,3,FALSE)</f>
        <v>Graeme Richard  DOWNES (1961 - )</v>
      </c>
      <c r="D97" s="150" t="str">
        <f>VLOOKUP($A97,'All Girls &amp; Descendants - Edit'!$AC$2:$AJ$438,4,FALSE)</f>
        <v>Graeme DOWNES (6th &amp; 112)</v>
      </c>
      <c r="E97" s="150" t="str">
        <f>VLOOKUP($A97,'All Girls &amp; Descendants - Edit'!$AC$2:$AJ$438,7,FALSE)</f>
        <v>Unmarried</v>
      </c>
      <c r="F97" s="150" t="str">
        <f>VLOOKUP($A97,'All Girls &amp; Descendants - Edit'!$AC$2:$AJ$438,8,FALSE)</f>
        <v>Male. b. 22/10/1961 Born at Kegworth, Leicestershire.</v>
      </c>
    </row>
    <row r="98" spans="1:6" s="5" customFormat="1">
      <c r="A98" s="149">
        <f t="shared" si="1"/>
        <v>1097</v>
      </c>
      <c r="B98" s="150" t="str">
        <f>VLOOKUP($A98,'All Girls &amp; Descendants - Edit'!$AC$2:$AJ$438,2,FALSE)</f>
        <v>112d</v>
      </c>
      <c r="C98" s="150" t="str">
        <f>VLOOKUP($A98,'All Girls &amp; Descendants - Edit'!$AC$2:$AJ$438,3,FALSE)</f>
        <v>Lesley Karen  DOWNES (1963 - )</v>
      </c>
      <c r="D98" s="150" t="str">
        <f>VLOOKUP($A98,'All Girls &amp; Descendants - Edit'!$AC$2:$AJ$438,4,FALSE)</f>
        <v>Lesley DOWNES (6th &amp; 112)</v>
      </c>
      <c r="E98" s="150" t="str">
        <f>VLOOKUP($A98,'All Girls &amp; Descendants - Edit'!$AC$2:$AJ$438,7,FALSE)</f>
        <v>Unmarried</v>
      </c>
      <c r="F98" s="150" t="str">
        <f>VLOOKUP($A98,'All Girls &amp; Descendants - Edit'!$AC$2:$AJ$438,8,FALSE)</f>
        <v>Female. b. 21/03/1963 Born at Kegworth, Leicestershire.</v>
      </c>
    </row>
    <row r="99" spans="1:6" s="5" customFormat="1" ht="45">
      <c r="A99" s="149">
        <f t="shared" si="1"/>
        <v>1098</v>
      </c>
      <c r="B99" s="150" t="str">
        <f>VLOOKUP($A99,'All Girls &amp; Descendants - Edit'!$AC$2:$AJ$438,2,FALSE)</f>
        <v>115a</v>
      </c>
      <c r="C99" s="150" t="str">
        <f>VLOOKUP($A99,'All Girls &amp; Descendants - Edit'!$AC$2:$AJ$438,3,FALSE)</f>
        <v>The Hon Isabel Alicia Clare CROSSLEY (1964 - )</v>
      </c>
      <c r="D99" s="150" t="str">
        <f>VLOOKUP($A99,'All Girls &amp; Descendants - Edit'!$AC$2:$AJ$438,4,FALSE)</f>
        <v>The Hon Isabel CROSSLEY (6th &amp; 115)</v>
      </c>
      <c r="E99" s="150" t="str">
        <f>VLOOKUP($A99,'All Girls &amp; Descendants - Edit'!$AC$2:$AJ$438,7,FALSE)</f>
        <v>Husband: Mark CATOR (b. 30/10/1960, d. ). Mark 2nd son of Francis CATOR of Ranworth, Norfolk.</v>
      </c>
      <c r="F99" s="150" t="str">
        <f>VLOOKUP($A99,'All Girls &amp; Descendants - Edit'!$AC$2:$AJ$438,8,FALSE)</f>
        <v>Female. b. 27/09/1964 Baptised at St Mary’s, Somerleyton. Educated Felixtowe College, and Cambridge Polytechnic/Anglia University (BA European Philosophy and Spanish).</v>
      </c>
    </row>
    <row r="100" spans="1:6" s="5" customFormat="1" ht="30">
      <c r="A100" s="149">
        <f t="shared" si="1"/>
        <v>1099</v>
      </c>
      <c r="B100" s="150" t="str">
        <f>VLOOKUP($A100,'All Girls &amp; Descendants - Edit'!$AC$2:$AJ$438,2,FALSE)</f>
        <v>115b</v>
      </c>
      <c r="C100" s="150" t="str">
        <f>VLOOKUP($A100,'All Girls &amp; Descendants - Edit'!$AC$2:$AJ$438,3,FALSE)</f>
        <v>The Hon Camilla Mary Lara CROSSLEY (1967 - )</v>
      </c>
      <c r="D100" s="150" t="str">
        <f>VLOOKUP($A100,'All Girls &amp; Descendants - Edit'!$AC$2:$AJ$438,4,FALSE)</f>
        <v>The Hon Camilla CROSSLEY (6th &amp; 115)</v>
      </c>
      <c r="E100" s="150" t="str">
        <f>VLOOKUP($A100,'All Girls &amp; Descendants - Edit'!$AC$2:$AJ$438,7,FALSE)</f>
        <v>Husband: William (Sandy) SOAMES (b. 30/01/1960, ). Sandy eldest son of Robin SOAMES of Toppesfield, Essex.</v>
      </c>
      <c r="F100" s="150" t="str">
        <f>VLOOKUP($A100,'All Girls &amp; Descendants - Edit'!$AC$2:$AJ$438,8,FALSE)</f>
        <v>Female. b. 27/06/1967 Baptised at St Mary’s, Somerleyton. Educated Runton Hill, and abroad.</v>
      </c>
    </row>
    <row r="101" spans="1:6" s="5" customFormat="1" ht="30">
      <c r="A101" s="149">
        <f t="shared" si="1"/>
        <v>1100</v>
      </c>
      <c r="B101" s="150" t="str">
        <f>VLOOKUP($A101,'All Girls &amp; Descendants - Edit'!$AC$2:$AJ$438,2,FALSE)</f>
        <v>115c</v>
      </c>
      <c r="C101" s="150" t="str">
        <f>VLOOKUP($A101,'All Girls &amp; Descendants - Edit'!$AC$2:$AJ$438,3,FALSE)</f>
        <v>The Hon Alicia Phyllis Belinda CROSSLEY (1969 - )</v>
      </c>
      <c r="D101" s="150" t="str">
        <f>VLOOKUP($A101,'All Girls &amp; Descendants - Edit'!$AC$2:$AJ$438,4,FALSE)</f>
        <v>The Hon Alicia CROSSLEY (6th &amp; 115)</v>
      </c>
      <c r="E101" s="150" t="str">
        <f>VLOOKUP($A101,'All Girls &amp; Descendants - Edit'!$AC$2:$AJ$438,7,FALSE)</f>
        <v>Husband: Robert (Bobby) PAWSON. Bobby only son of Michael PAWSON</v>
      </c>
      <c r="F101" s="150" t="str">
        <f>VLOOKUP($A101,'All Girls &amp; Descendants - Edit'!$AC$2:$AJ$438,8,FALSE)</f>
        <v>Female. b. 09/04/1969 Baptised at St Mary’s, Somerleyton. Educated St George’s, Ascot and Newcastle University (BA Geography).</v>
      </c>
    </row>
    <row r="102" spans="1:6" s="5" customFormat="1" ht="30">
      <c r="A102" s="149">
        <f t="shared" si="1"/>
        <v>1101</v>
      </c>
      <c r="B102" s="150" t="str">
        <f>VLOOKUP($A102,'All Girls &amp; Descendants - Edit'!$AC$2:$AJ$438,2,FALSE)</f>
        <v>115d</v>
      </c>
      <c r="C102" s="150" t="str">
        <f>VLOOKUP($A102,'All Girls &amp; Descendants - Edit'!$AC$2:$AJ$438,3,FALSE)</f>
        <v>The Hon Hugh Francis Savile CROSSLEY (1971 - )</v>
      </c>
      <c r="D102" s="150" t="str">
        <f>VLOOKUP($A102,'All Girls &amp; Descendants - Edit'!$AC$2:$AJ$438,4,FALSE)</f>
        <v>The Hon Hugh CROSSLEY (6th &amp; 115)</v>
      </c>
      <c r="E102" s="150" t="str">
        <f>VLOOKUP($A102,'All Girls &amp; Descendants - Edit'!$AC$2:$AJ$438,7,FALSE)</f>
        <v xml:space="preserve">Wife: Lara BAILEY. </v>
      </c>
      <c r="F102" s="150" t="str">
        <f>VLOOKUP($A102,'All Girls &amp; Descendants - Edit'!$AC$2:$AJ$438,8,FALSE)</f>
        <v>Male. b. 27/09/1971 Baptised at St Mary’s, Somerleyton. Educated Eton 1985-89 and Anglia University (BA History).</v>
      </c>
    </row>
    <row r="103" spans="1:6" s="5" customFormat="1" ht="30">
      <c r="A103" s="149">
        <f t="shared" si="1"/>
        <v>1102</v>
      </c>
      <c r="B103" s="150" t="str">
        <f>VLOOKUP($A103,'All Girls &amp; Descendants - Edit'!$AC$2:$AJ$438,2,FALSE)</f>
        <v>115e</v>
      </c>
      <c r="C103" s="150" t="str">
        <f>VLOOKUP($A103,'All Girls &amp; Descendants - Edit'!$AC$2:$AJ$438,3,FALSE)</f>
        <v>The Hon Bridget Vivian  CROSSLEY (1974 - )</v>
      </c>
      <c r="D103" s="150" t="str">
        <f>VLOOKUP($A103,'All Girls &amp; Descendants - Edit'!$AC$2:$AJ$438,4,FALSE)</f>
        <v>The Hon Bridget CROSSLEY (6th &amp; 115)</v>
      </c>
      <c r="E103" s="150" t="str">
        <f>VLOOKUP($A103,'All Girls &amp; Descendants - Edit'!$AC$2:$AJ$438,7,FALSE)</f>
        <v>Unmarried</v>
      </c>
      <c r="F103" s="150" t="str">
        <f>VLOOKUP($A103,'All Girls &amp; Descendants - Edit'!$AC$2:$AJ$438,8,FALSE)</f>
        <v>Female. b. 09/02/1974 Baptised at St Mary’s, Somerleyton. Educated Downe House, Newbury and Wimbledon College of Art (BA Theatre Design).</v>
      </c>
    </row>
    <row r="104" spans="1:6" s="5" customFormat="1" ht="30">
      <c r="A104" s="149">
        <f t="shared" si="1"/>
        <v>1103</v>
      </c>
      <c r="B104" s="150" t="str">
        <f>VLOOKUP($A104,'All Girls &amp; Descendants - Edit'!$AC$2:$AJ$438,2,FALSE)</f>
        <v>116a</v>
      </c>
      <c r="C104" s="150" t="str">
        <f>VLOOKUP($A104,'All Girls &amp; Descendants - Edit'!$AC$2:$AJ$438,3,FALSE)</f>
        <v>Carl   CLULOW (1970 - 1970)</v>
      </c>
      <c r="D104" s="150" t="str">
        <f>VLOOKUP($A104,'All Girls &amp; Descendants - Edit'!$AC$2:$AJ$438,4,FALSE)</f>
        <v>Carl CLULOW (6th &amp; 116)</v>
      </c>
      <c r="E104" s="150" t="str">
        <f>VLOOKUP($A104,'All Girls &amp; Descendants - Edit'!$AC$2:$AJ$438,7,FALSE)</f>
        <v>Unmarried</v>
      </c>
      <c r="F104" s="150" t="str">
        <f>VLOOKUP($A104,'All Girls &amp; Descendants - Edit'!$AC$2:$AJ$438,8,FALSE)</f>
        <v>Male. b. 19/01/1970, d. 19/01/1970. Born and baptised 19 Jan 1970, died. 19 Jan 1970.</v>
      </c>
    </row>
    <row r="105" spans="1:6" s="5" customFormat="1" ht="30">
      <c r="A105" s="149">
        <f t="shared" si="1"/>
        <v>1104</v>
      </c>
      <c r="B105" s="150" t="str">
        <f>VLOOKUP($A105,'All Girls &amp; Descendants - Edit'!$AC$2:$AJ$438,2,FALSE)</f>
        <v>116b</v>
      </c>
      <c r="C105" s="150" t="str">
        <f>VLOOKUP($A105,'All Girls &amp; Descendants - Edit'!$AC$2:$AJ$438,3,FALSE)</f>
        <v>Kate   CLULOW (1971 - )</v>
      </c>
      <c r="D105" s="150" t="str">
        <f>VLOOKUP($A105,'All Girls &amp; Descendants - Edit'!$AC$2:$AJ$438,4,FALSE)</f>
        <v>Kate CLULOW (6th &amp; 116)</v>
      </c>
      <c r="E105" s="150" t="str">
        <f>VLOOKUP($A105,'All Girls &amp; Descendants - Edit'!$AC$2:$AJ$438,7,FALSE)</f>
        <v>Unmarried</v>
      </c>
      <c r="F105" s="150" t="str">
        <f>VLOOKUP($A105,'All Girls &amp; Descendants - Edit'!$AC$2:$AJ$438,8,FALSE)</f>
        <v>Female. b. 12/08/1971 Born at Chichester, Sussex. Baptised 28 Nov 1971 at Cockington, Torquay, Devon.</v>
      </c>
    </row>
    <row r="106" spans="1:6" s="5" customFormat="1" ht="30">
      <c r="A106" s="149">
        <f t="shared" si="1"/>
        <v>1105</v>
      </c>
      <c r="B106" s="150" t="str">
        <f>VLOOKUP($A106,'All Girls &amp; Descendants - Edit'!$AC$2:$AJ$438,2,FALSE)</f>
        <v>116c</v>
      </c>
      <c r="C106" s="150" t="str">
        <f>VLOOKUP($A106,'All Girls &amp; Descendants - Edit'!$AC$2:$AJ$438,3,FALSE)</f>
        <v>Clare   CLULOW (1973 - )</v>
      </c>
      <c r="D106" s="150" t="str">
        <f>VLOOKUP($A106,'All Girls &amp; Descendants - Edit'!$AC$2:$AJ$438,4,FALSE)</f>
        <v>Clare CLULOW (6th &amp; 116)</v>
      </c>
      <c r="E106" s="150" t="str">
        <f>VLOOKUP($A106,'All Girls &amp; Descendants - Edit'!$AC$2:$AJ$438,7,FALSE)</f>
        <v>Unmarried</v>
      </c>
      <c r="F106" s="150" t="str">
        <f>VLOOKUP($A106,'All Girls &amp; Descendants - Edit'!$AC$2:$AJ$438,8,FALSE)</f>
        <v>Female. b. 30/03/1973 Born at Chichester, Sussex. Baptised 1 Jul 1973 at St Peter’s, Selsey, Sussex.</v>
      </c>
    </row>
    <row r="107" spans="1:6" s="5" customFormat="1" ht="45">
      <c r="A107" s="149">
        <f t="shared" si="1"/>
        <v>1106</v>
      </c>
      <c r="B107" s="150" t="str">
        <f>VLOOKUP($A107,'All Girls &amp; Descendants - Edit'!$AC$2:$AJ$438,2,FALSE)</f>
        <v>123a</v>
      </c>
      <c r="C107" s="150" t="str">
        <f>VLOOKUP($A107,'All Girls &amp; Descendants - Edit'!$AC$2:$AJ$438,3,FALSE)</f>
        <v>Katharine Jane Loyd BOSMAN (1978 - )</v>
      </c>
      <c r="D107" s="150" t="str">
        <f>VLOOKUP($A107,'All Girls &amp; Descendants - Edit'!$AC$2:$AJ$438,4,FALSE)</f>
        <v>Katharine BOSMAN (7th &amp; 123)</v>
      </c>
      <c r="E107" s="150" t="str">
        <f>VLOOKUP($A107,'All Girls &amp; Descendants - Edit'!$AC$2:$AJ$438,7,FALSE)</f>
        <v>Husband: Charles (Charlie) Christopher Stephen TALBOT. Married Charlie on 02/09/2006 at St Mary’s Church, Stoke by Nayland, Suffolk.</v>
      </c>
      <c r="F107" s="150" t="str">
        <f>VLOOKUP($A107,'All Girls &amp; Descendants - Edit'!$AC$2:$AJ$438,8,FALSE)</f>
        <v>Female. b. 06/09/1978 Born at Ipswich, Suffolk. Lives in East London</v>
      </c>
    </row>
    <row r="108" spans="1:6" s="5" customFormat="1" ht="30">
      <c r="A108" s="149">
        <f t="shared" si="1"/>
        <v>1107</v>
      </c>
      <c r="B108" s="150" t="str">
        <f>VLOOKUP($A108,'All Girls &amp; Descendants - Edit'!$AC$2:$AJ$438,2,FALSE)</f>
        <v>123b</v>
      </c>
      <c r="C108" s="150" t="str">
        <f>VLOOKUP($A108,'All Girls &amp; Descendants - Edit'!$AC$2:$AJ$438,3,FALSE)</f>
        <v>Adam Terrence Loyd BOSMAN (1980 - )</v>
      </c>
      <c r="D108" s="150" t="str">
        <f>VLOOKUP($A108,'All Girls &amp; Descendants - Edit'!$AC$2:$AJ$438,4,FALSE)</f>
        <v>Adam BOSMAN (7th &amp; 123)</v>
      </c>
      <c r="E108" s="150" t="str">
        <f>VLOOKUP($A108,'All Girls &amp; Descendants - Edit'!$AC$2:$AJ$438,7,FALSE)</f>
        <v>Wife: Victoria Clare BROWN. Married Victoria on 14 June 2014 at St Mary’s Church, Godmanchester, Cambridgeshire.</v>
      </c>
      <c r="F108" s="150" t="str">
        <f>VLOOKUP($A108,'All Girls &amp; Descendants - Edit'!$AC$2:$AJ$438,8,FALSE)</f>
        <v>Male. b. 16/12/1980 Born at Ipswich, Suffolk. Lives in Godmanchester.</v>
      </c>
    </row>
    <row r="109" spans="1:6" s="5" customFormat="1">
      <c r="A109" s="149">
        <f t="shared" si="1"/>
        <v>1108</v>
      </c>
      <c r="B109" s="150" t="str">
        <f>VLOOKUP($A109,'All Girls &amp; Descendants - Edit'!$AC$2:$AJ$438,2,FALSE)</f>
        <v>125a</v>
      </c>
      <c r="C109" s="150" t="str">
        <f>VLOOKUP($A109,'All Girls &amp; Descendants - Edit'!$AC$2:$AJ$438,3,FALSE)</f>
        <v>Bryan Patrick  HAWKEY (1976 - )</v>
      </c>
      <c r="D109" s="150" t="str">
        <f>VLOOKUP($A109,'All Girls &amp; Descendants - Edit'!$AC$2:$AJ$438,4,FALSE)</f>
        <v>Bryan HAWKEY (7th &amp; 125)</v>
      </c>
      <c r="E109" s="150" t="str">
        <f>VLOOKUP($A109,'All Girls &amp; Descendants - Edit'!$AC$2:$AJ$438,7,FALSE)</f>
        <v>Unmarried</v>
      </c>
      <c r="F109" s="150" t="str">
        <f>VLOOKUP($A109,'All Girls &amp; Descendants - Edit'!$AC$2:$AJ$438,8,FALSE)</f>
        <v>Male. b. 23/07/1976</v>
      </c>
    </row>
    <row r="110" spans="1:6" s="5" customFormat="1">
      <c r="A110" s="149">
        <f t="shared" si="1"/>
        <v>1109</v>
      </c>
      <c r="B110" s="150" t="str">
        <f>VLOOKUP($A110,'All Girls &amp; Descendants - Edit'!$AC$2:$AJ$438,2,FALSE)</f>
        <v>125b</v>
      </c>
      <c r="C110" s="150" t="str">
        <f>VLOOKUP($A110,'All Girls &amp; Descendants - Edit'!$AC$2:$AJ$438,3,FALSE)</f>
        <v>Allison Mary  HAWKEY (1978 - )</v>
      </c>
      <c r="D110" s="150" t="str">
        <f>VLOOKUP($A110,'All Girls &amp; Descendants - Edit'!$AC$2:$AJ$438,4,FALSE)</f>
        <v>Allison HAWKEY (7th &amp; 125)</v>
      </c>
      <c r="E110" s="150" t="str">
        <f>VLOOKUP($A110,'All Girls &amp; Descendants - Edit'!$AC$2:$AJ$438,7,FALSE)</f>
        <v>Unmarried</v>
      </c>
      <c r="F110" s="150" t="str">
        <f>VLOOKUP($A110,'All Girls &amp; Descendants - Edit'!$AC$2:$AJ$438,8,FALSE)</f>
        <v>Female. b. 23/05/1978</v>
      </c>
    </row>
    <row r="111" spans="1:6" s="5" customFormat="1" ht="30">
      <c r="A111" s="149">
        <f t="shared" si="1"/>
        <v>1110</v>
      </c>
      <c r="B111" s="150" t="str">
        <f>VLOOKUP($A111,'All Girls &amp; Descendants - Edit'!$AC$2:$AJ$438,2,FALSE)</f>
        <v>128a</v>
      </c>
      <c r="C111" s="150" t="str">
        <f>VLOOKUP($A111,'All Girls &amp; Descendants - Edit'!$AC$2:$AJ$438,3,FALSE)</f>
        <v>Chloe Louise  PEMBERTON (1991 - )</v>
      </c>
      <c r="D111" s="150" t="str">
        <f>VLOOKUP($A111,'All Girls &amp; Descendants - Edit'!$AC$2:$AJ$438,4,FALSE)</f>
        <v>Chloe PEMBERTON (7th &amp; 128)</v>
      </c>
      <c r="E111" s="150" t="str">
        <f>VLOOKUP($A111,'All Girls &amp; Descendants - Edit'!$AC$2:$AJ$438,7,FALSE)</f>
        <v>Unmarried</v>
      </c>
      <c r="F111" s="150" t="str">
        <f>VLOOKUP($A111,'All Girls &amp; Descendants - Edit'!$AC$2:$AJ$438,8,FALSE)</f>
        <v>Female. b. 04/01/1991 Born at St Albans City Hospital. Baptised 1 Sep 1991 at St Michael’s, St Albans, Hertfordshire.</v>
      </c>
    </row>
    <row r="112" spans="1:6" s="5" customFormat="1" ht="30">
      <c r="A112" s="149">
        <f t="shared" si="1"/>
        <v>1111</v>
      </c>
      <c r="B112" s="150" t="str">
        <f>VLOOKUP($A112,'All Girls &amp; Descendants - Edit'!$AC$2:$AJ$438,2,FALSE)</f>
        <v>128b</v>
      </c>
      <c r="C112" s="150" t="str">
        <f>VLOOKUP($A112,'All Girls &amp; Descendants - Edit'!$AC$2:$AJ$438,3,FALSE)</f>
        <v>Kate Isobel  PEMBERTON (1993 - )</v>
      </c>
      <c r="D112" s="150" t="str">
        <f>VLOOKUP($A112,'All Girls &amp; Descendants - Edit'!$AC$2:$AJ$438,4,FALSE)</f>
        <v>Kate PEMBERTON (7th &amp; 128)</v>
      </c>
      <c r="E112" s="150" t="str">
        <f>VLOOKUP($A112,'All Girls &amp; Descendants - Edit'!$AC$2:$AJ$438,7,FALSE)</f>
        <v>Unmarried</v>
      </c>
      <c r="F112" s="150" t="str">
        <f>VLOOKUP($A112,'All Girls &amp; Descendants - Edit'!$AC$2:$AJ$438,8,FALSE)</f>
        <v>Female. b. 13/08/1993 Born at Hemel Hempstead General Hospital. Baptised 6 Nov 1994 at St Michael’s, Hertfordshire</v>
      </c>
    </row>
    <row r="113" spans="1:6" s="5" customFormat="1">
      <c r="A113" s="149">
        <f t="shared" si="1"/>
        <v>1112</v>
      </c>
      <c r="B113" s="150" t="str">
        <f>VLOOKUP($A113,'All Girls &amp; Descendants - Edit'!$AC$2:$AJ$438,2,FALSE)</f>
        <v>137a</v>
      </c>
      <c r="C113" s="150" t="str">
        <f>VLOOKUP($A113,'All Girls &amp; Descendants - Edit'!$AC$2:$AJ$438,3,FALSE)</f>
        <v>Honor Constance Virginia GELL (1998 - )</v>
      </c>
      <c r="D113" s="150" t="str">
        <f>VLOOKUP($A113,'All Girls &amp; Descendants - Edit'!$AC$2:$AJ$438,4,FALSE)</f>
        <v>Honor GELL (7th &amp; 137)</v>
      </c>
      <c r="E113" s="150" t="str">
        <f>VLOOKUP($A113,'All Girls &amp; Descendants - Edit'!$AC$2:$AJ$438,7,FALSE)</f>
        <v>Unmarried</v>
      </c>
      <c r="F113" s="150" t="str">
        <f>VLOOKUP($A113,'All Girls &amp; Descendants - Edit'!$AC$2:$AJ$438,8,FALSE)</f>
        <v>Female. b. 29/10/1998 Baptised 4 Feb 1999 at St Mary Abbots’, London W8.</v>
      </c>
    </row>
    <row r="114" spans="1:6" s="5" customFormat="1" ht="30">
      <c r="A114" s="149">
        <f t="shared" si="1"/>
        <v>1113</v>
      </c>
      <c r="B114" s="150" t="str">
        <f>VLOOKUP($A114,'All Girls &amp; Descendants - Edit'!$AC$2:$AJ$438,2,FALSE)</f>
        <v>140a</v>
      </c>
      <c r="C114" s="150" t="str">
        <f>VLOOKUP($A114,'All Girls &amp; Descendants - Edit'!$AC$2:$AJ$438,3,FALSE)</f>
        <v>Daisy Elizabeth  MILLER (1995 - )</v>
      </c>
      <c r="D114" s="150" t="str">
        <f>VLOOKUP($A114,'All Girls &amp; Descendants - Edit'!$AC$2:$AJ$438,4,FALSE)</f>
        <v>Daisy MILLER (6th &amp; 140)</v>
      </c>
      <c r="E114" s="150" t="str">
        <f>VLOOKUP($A114,'All Girls &amp; Descendants - Edit'!$AC$2:$AJ$438,7,FALSE)</f>
        <v>Unmarried</v>
      </c>
      <c r="F114" s="150" t="str">
        <f>VLOOKUP($A114,'All Girls &amp; Descendants - Edit'!$AC$2:$AJ$438,8,FALSE)</f>
        <v>Female. b. 03/01/1995 Twin with her sister, Violet. Baptised 22 Oct 1995 at St Peter and St Paul’s, Barkestone Le Vale, Leicestershire.</v>
      </c>
    </row>
    <row r="115" spans="1:6" s="5" customFormat="1" ht="30">
      <c r="A115" s="149">
        <f t="shared" si="1"/>
        <v>1114</v>
      </c>
      <c r="B115" s="150" t="str">
        <f>VLOOKUP($A115,'All Girls &amp; Descendants - Edit'!$AC$2:$AJ$438,2,FALSE)</f>
        <v>140b</v>
      </c>
      <c r="C115" s="150" t="str">
        <f>VLOOKUP($A115,'All Girls &amp; Descendants - Edit'!$AC$2:$AJ$438,3,FALSE)</f>
        <v>Violet Emma  MILLER (1995 - )</v>
      </c>
      <c r="D115" s="150" t="str">
        <f>VLOOKUP($A115,'All Girls &amp; Descendants - Edit'!$AC$2:$AJ$438,4,FALSE)</f>
        <v>Violet MILLER (6th &amp; 140)</v>
      </c>
      <c r="E115" s="150" t="str">
        <f>VLOOKUP($A115,'All Girls &amp; Descendants - Edit'!$AC$2:$AJ$438,7,FALSE)</f>
        <v>Unmarried</v>
      </c>
      <c r="F115" s="150" t="str">
        <f>VLOOKUP($A115,'All Girls &amp; Descendants - Edit'!$AC$2:$AJ$438,8,FALSE)</f>
        <v>Female. b. 03/01/1995 Twin with her sister, Daisy. Baptised 22 Oct 1995 at St Peter and St Paul’s, Barkestone Le Vale, Leicestershire.</v>
      </c>
    </row>
    <row r="116" spans="1:6" s="5" customFormat="1" ht="30">
      <c r="A116" s="149">
        <f t="shared" si="1"/>
        <v>1115</v>
      </c>
      <c r="B116" s="150" t="str">
        <f>VLOOKUP($A116,'All Girls &amp; Descendants - Edit'!$AC$2:$AJ$438,2,FALSE)</f>
        <v>141a</v>
      </c>
      <c r="C116" s="150" t="str">
        <f>VLOOKUP($A116,'All Girls &amp; Descendants - Edit'!$AC$2:$AJ$438,3,FALSE)</f>
        <v>Letitia May Rose Campbell BYATT (1996 - )</v>
      </c>
      <c r="D116" s="150" t="str">
        <f>VLOOKUP($A116,'All Girls &amp; Descendants - Edit'!$AC$2:$AJ$438,4,FALSE)</f>
        <v>Letty BYATT (7th &amp; 141)</v>
      </c>
      <c r="E116" s="150" t="str">
        <f>VLOOKUP($A116,'All Girls &amp; Descendants - Edit'!$AC$2:$AJ$438,7,FALSE)</f>
        <v>Unmarried</v>
      </c>
      <c r="F116" s="150" t="str">
        <f>VLOOKUP($A116,'All Girls &amp; Descendants - Edit'!$AC$2:$AJ$438,8,FALSE)</f>
        <v>Female. b. 03/03/1996 Baptised 16 May 1996 at the Chapel of The Royal Hospital, Chelsea, London.</v>
      </c>
    </row>
    <row r="117" spans="1:6" s="5" customFormat="1" ht="45">
      <c r="A117" s="149">
        <f t="shared" si="1"/>
        <v>1116</v>
      </c>
      <c r="B117" s="150" t="str">
        <f>VLOOKUP($A117,'All Girls &amp; Descendants - Edit'!$AC$2:$AJ$438,2,FALSE)</f>
        <v>141b</v>
      </c>
      <c r="C117" s="150" t="str">
        <f>VLOOKUP($A117,'All Girls &amp; Descendants - Edit'!$AC$2:$AJ$438,3,FALSE)</f>
        <v>Henry Hew Duncan Campbell BYATT (1998 - 2017)</v>
      </c>
      <c r="D117" s="150" t="str">
        <f>VLOOKUP($A117,'All Girls &amp; Descendants - Edit'!$AC$2:$AJ$438,4,FALSE)</f>
        <v>Harry BYATT (7th &amp; 141)</v>
      </c>
      <c r="E117" s="150" t="str">
        <f>VLOOKUP($A117,'All Girls &amp; Descendants - Edit'!$AC$2:$AJ$438,7,FALSE)</f>
        <v>Unmarried</v>
      </c>
      <c r="F117" s="150" t="str">
        <f>VLOOKUP($A117,'All Girls &amp; Descendants - Edit'!$AC$2:$AJ$438,8,FALSE)</f>
        <v>Male. b. 10/04/1998, d. 06/08/2017. Baptised 16 Jun 1998 at the Chapel of The Royal Hospital, Chelsea, London. Harry died in a swimming accident whilst working for the summer at the Peligoni Club in Greece on 6 August 2017.</v>
      </c>
    </row>
    <row r="118" spans="1:6" s="5" customFormat="1">
      <c r="A118" s="149">
        <f t="shared" si="1"/>
        <v>1117</v>
      </c>
      <c r="B118" s="150" t="str">
        <f>VLOOKUP($A118,'All Girls &amp; Descendants - Edit'!$AC$2:$AJ$438,2,FALSE)</f>
        <v>143a</v>
      </c>
      <c r="C118" s="150" t="str">
        <f>VLOOKUP($A118,'All Girls &amp; Descendants - Edit'!$AC$2:$AJ$438,3,FALSE)</f>
        <v>Emily Harriert  ASHE (1988 - )</v>
      </c>
      <c r="D118" s="150" t="str">
        <f>VLOOKUP($A118,'All Girls &amp; Descendants - Edit'!$AC$2:$AJ$438,4,FALSE)</f>
        <v>Emily ASHE (7th &amp; 143)</v>
      </c>
      <c r="E118" s="150" t="str">
        <f>VLOOKUP($A118,'All Girls &amp; Descendants - Edit'!$AC$2:$AJ$438,7,FALSE)</f>
        <v xml:space="preserve">Husband: James Edward RUSSELL-STONEHAM. </v>
      </c>
      <c r="F118" s="150" t="str">
        <f>VLOOKUP($A118,'All Girls &amp; Descendants - Edit'!$AC$2:$AJ$438,8,FALSE)</f>
        <v>Female. b. 08/02/1988 Baptised 15 May 1988 at All Saints’, Lockinge.</v>
      </c>
    </row>
    <row r="119" spans="1:6" s="5" customFormat="1">
      <c r="A119" s="149">
        <f t="shared" si="1"/>
        <v>1118</v>
      </c>
      <c r="B119" s="150" t="str">
        <f>VLOOKUP($A119,'All Girls &amp; Descendants - Edit'!$AC$2:$AJ$438,2,FALSE)</f>
        <v>143b</v>
      </c>
      <c r="C119" s="150" t="str">
        <f>VLOOKUP($A119,'All Girls &amp; Descendants - Edit'!$AC$2:$AJ$438,3,FALSE)</f>
        <v>Charles Windham  ASHE (1990 - )</v>
      </c>
      <c r="D119" s="150" t="str">
        <f>VLOOKUP($A119,'All Girls &amp; Descendants - Edit'!$AC$2:$AJ$438,4,FALSE)</f>
        <v>Charles ASHE (7th &amp; 143)</v>
      </c>
      <c r="E119" s="150" t="str">
        <f>VLOOKUP($A119,'All Girls &amp; Descendants - Edit'!$AC$2:$AJ$438,7,FALSE)</f>
        <v>Unmarried</v>
      </c>
      <c r="F119" s="150" t="str">
        <f>VLOOKUP($A119,'All Girls &amp; Descendants - Edit'!$AC$2:$AJ$438,8,FALSE)</f>
        <v>Male. b. 11/04/1990 Baptised 19 Aug 1990 at All Saints’, Lockinge.</v>
      </c>
    </row>
    <row r="120" spans="1:6" s="5" customFormat="1">
      <c r="A120" s="149">
        <f t="shared" si="1"/>
        <v>1119</v>
      </c>
      <c r="B120" s="150" t="str">
        <f>VLOOKUP($A120,'All Girls &amp; Descendants - Edit'!$AC$2:$AJ$438,2,FALSE)</f>
        <v>152a</v>
      </c>
      <c r="C120" s="150" t="str">
        <f>VLOOKUP($A120,'All Girls &amp; Descendants - Edit'!$AC$2:$AJ$438,3,FALSE)</f>
        <v>Clementine   WHITCOMB (1999 - )</v>
      </c>
      <c r="D120" s="150" t="str">
        <f>VLOOKUP($A120,'All Girls &amp; Descendants - Edit'!$AC$2:$AJ$438,4,FALSE)</f>
        <v>Clementine WHITCOMB (7th &amp; 152)</v>
      </c>
      <c r="E120" s="150" t="str">
        <f>VLOOKUP($A120,'All Girls &amp; Descendants - Edit'!$AC$2:$AJ$438,7,FALSE)</f>
        <v>Unmarried</v>
      </c>
      <c r="F120" s="150" t="str">
        <f>VLOOKUP($A120,'All Girls &amp; Descendants - Edit'!$AC$2:$AJ$438,8,FALSE)</f>
        <v>Female. b. 11/12/1999</v>
      </c>
    </row>
    <row r="121" spans="1:6" s="5" customFormat="1">
      <c r="A121" s="149">
        <f t="shared" si="1"/>
        <v>1120</v>
      </c>
      <c r="B121" s="150" t="str">
        <f>VLOOKUP($A121,'All Girls &amp; Descendants - Edit'!$AC$2:$AJ$438,2,FALSE)</f>
        <v>152b</v>
      </c>
      <c r="C121" s="150" t="str">
        <f>VLOOKUP($A121,'All Girls &amp; Descendants - Edit'!$AC$2:$AJ$438,3,FALSE)</f>
        <v>Augustin   WHITCOMB (2001 - )</v>
      </c>
      <c r="D121" s="150" t="str">
        <f>VLOOKUP($A121,'All Girls &amp; Descendants - Edit'!$AC$2:$AJ$438,4,FALSE)</f>
        <v>Augustin WHITCOMB (7th &amp; 152)</v>
      </c>
      <c r="E121" s="150" t="str">
        <f>VLOOKUP($A121,'All Girls &amp; Descendants - Edit'!$AC$2:$AJ$438,7,FALSE)</f>
        <v>Unmarried</v>
      </c>
      <c r="F121" s="150" t="str">
        <f>VLOOKUP($A121,'All Girls &amp; Descendants - Edit'!$AC$2:$AJ$438,8,FALSE)</f>
        <v>Male. b. 29/01/2001</v>
      </c>
    </row>
    <row r="122" spans="1:6" s="5" customFormat="1">
      <c r="A122" s="149">
        <f t="shared" si="1"/>
        <v>1121</v>
      </c>
      <c r="B122" s="150" t="str">
        <f>VLOOKUP($A122,'All Girls &amp; Descendants - Edit'!$AC$2:$AJ$438,2,FALSE)</f>
        <v>154a</v>
      </c>
      <c r="C122" s="150" t="str">
        <f>VLOOKUP($A122,'All Girls &amp; Descendants - Edit'!$AC$2:$AJ$438,3,FALSE)</f>
        <v>Frederick Otto  NEWING (2006 - )</v>
      </c>
      <c r="D122" s="150" t="str">
        <f>VLOOKUP($A122,'All Girls &amp; Descendants - Edit'!$AC$2:$AJ$438,4,FALSE)</f>
        <v>Freddie NEWING (7th &amp; 154)</v>
      </c>
      <c r="E122" s="150" t="str">
        <f>VLOOKUP($A122,'All Girls &amp; Descendants - Edit'!$AC$2:$AJ$438,7,FALSE)</f>
        <v>Unmarried</v>
      </c>
      <c r="F122" s="150" t="str">
        <f>VLOOKUP($A122,'All Girls &amp; Descendants - Edit'!$AC$2:$AJ$438,8,FALSE)</f>
        <v>Male. b. 20/05/2006</v>
      </c>
    </row>
    <row r="123" spans="1:6" s="5" customFormat="1">
      <c r="A123" s="149">
        <f t="shared" si="1"/>
        <v>1122</v>
      </c>
      <c r="B123" s="150" t="str">
        <f>VLOOKUP($A123,'All Girls &amp; Descendants - Edit'!$AC$2:$AJ$438,2,FALSE)</f>
        <v>154b</v>
      </c>
      <c r="C123" s="150" t="str">
        <f>VLOOKUP($A123,'All Girls &amp; Descendants - Edit'!$AC$2:$AJ$438,3,FALSE)</f>
        <v>Henry Augustus  NEWING (2008 - )</v>
      </c>
      <c r="D123" s="150" t="str">
        <f>VLOOKUP($A123,'All Girls &amp; Descendants - Edit'!$AC$2:$AJ$438,4,FALSE)</f>
        <v>Gus NEWING (7th &amp; 154)</v>
      </c>
      <c r="E123" s="150" t="str">
        <f>VLOOKUP($A123,'All Girls &amp; Descendants - Edit'!$AC$2:$AJ$438,7,FALSE)</f>
        <v>Unmarried</v>
      </c>
      <c r="F123" s="150" t="str">
        <f>VLOOKUP($A123,'All Girls &amp; Descendants - Edit'!$AC$2:$AJ$438,8,FALSE)</f>
        <v>Male. b. 28/09/2008</v>
      </c>
    </row>
    <row r="124" spans="1:6" s="5" customFormat="1">
      <c r="A124" s="149">
        <f t="shared" si="1"/>
        <v>1123</v>
      </c>
      <c r="B124" s="150" t="str">
        <f>VLOOKUP($A124,'All Girls &amp; Descendants - Edit'!$AC$2:$AJ$438,2,FALSE)</f>
        <v>154c</v>
      </c>
      <c r="C124" s="150" t="str">
        <f>VLOOKUP($A124,'All Girls &amp; Descendants - Edit'!$AC$2:$AJ$438,3,FALSE)</f>
        <v>Albert   NEWING (2015 - 2015)</v>
      </c>
      <c r="D124" s="150" t="str">
        <f>VLOOKUP($A124,'All Girls &amp; Descendants - Edit'!$AC$2:$AJ$438,4,FALSE)</f>
        <v>Albert NEWING (7th &amp; 154)</v>
      </c>
      <c r="E124" s="150" t="str">
        <f>VLOOKUP($A124,'All Girls &amp; Descendants - Edit'!$AC$2:$AJ$438,7,FALSE)</f>
        <v>Unmarried</v>
      </c>
      <c r="F124" s="150" t="str">
        <f>VLOOKUP($A124,'All Girls &amp; Descendants - Edit'!$AC$2:$AJ$438,8,FALSE)</f>
        <v>Male. b. 11/06/2015, d. 11/06/2015.</v>
      </c>
    </row>
    <row r="125" spans="1:6" s="5" customFormat="1">
      <c r="A125" s="149">
        <f t="shared" si="1"/>
        <v>1124</v>
      </c>
      <c r="B125" s="150" t="str">
        <f>VLOOKUP($A125,'All Girls &amp; Descendants - Edit'!$AC$2:$AJ$438,2,FALSE)</f>
        <v>156a</v>
      </c>
      <c r="C125" s="150" t="str">
        <f>VLOOKUP($A125,'All Girls &amp; Descendants - Edit'!$AC$2:$AJ$438,3,FALSE)</f>
        <v>Michael Peter  GRINDAL (2014 - )</v>
      </c>
      <c r="D125" s="150" t="str">
        <f>VLOOKUP($A125,'All Girls &amp; Descendants - Edit'!$AC$2:$AJ$438,4,FALSE)</f>
        <v>Peter GRINDAL (7th &amp; 156)</v>
      </c>
      <c r="E125" s="150" t="str">
        <f>VLOOKUP($A125,'All Girls &amp; Descendants - Edit'!$AC$2:$AJ$438,7,FALSE)</f>
        <v>Unmarried</v>
      </c>
      <c r="F125" s="150" t="str">
        <f>VLOOKUP($A125,'All Girls &amp; Descendants - Edit'!$AC$2:$AJ$438,8,FALSE)</f>
        <v>Male. b. 13/10/2014</v>
      </c>
    </row>
    <row r="126" spans="1:6" s="5" customFormat="1">
      <c r="A126" s="149">
        <f t="shared" si="1"/>
        <v>1125</v>
      </c>
      <c r="B126" s="150" t="str">
        <f>VLOOKUP($A126,'All Girls &amp; Descendants - Edit'!$AC$2:$AJ$438,2,FALSE)</f>
        <v>156b</v>
      </c>
      <c r="C126" s="150" t="str">
        <f>VLOOKUP($A126,'All Girls &amp; Descendants - Edit'!$AC$2:$AJ$438,3,FALSE)</f>
        <v>Dorothy Mary Jennifer GRINDAL (2016 - )</v>
      </c>
      <c r="D126" s="150" t="str">
        <f>VLOOKUP($A126,'All Girls &amp; Descendants - Edit'!$AC$2:$AJ$438,4,FALSE)</f>
        <v>Dorothy GRINDAL (7th &amp; 156)</v>
      </c>
      <c r="E126" s="150" t="str">
        <f>VLOOKUP($A126,'All Girls &amp; Descendants - Edit'!$AC$2:$AJ$438,7,FALSE)</f>
        <v>Unmarried</v>
      </c>
      <c r="F126" s="150" t="str">
        <f>VLOOKUP($A126,'All Girls &amp; Descendants - Edit'!$AC$2:$AJ$438,8,FALSE)</f>
        <v>Female. b. 07/04/2016</v>
      </c>
    </row>
    <row r="127" spans="1:6" s="5" customFormat="1">
      <c r="A127" s="149">
        <f t="shared" si="1"/>
        <v>1126</v>
      </c>
      <c r="B127" s="150" t="str">
        <f>VLOOKUP($A127,'All Girls &amp; Descendants - Edit'!$AC$2:$AJ$438,2,FALSE)</f>
        <v>157a</v>
      </c>
      <c r="C127" s="150" t="str">
        <f>VLOOKUP($A127,'All Girls &amp; Descendants - Edit'!$AC$2:$AJ$438,3,FALSE)</f>
        <v>Henry John Loyd SIMMONDS (2012 - )</v>
      </c>
      <c r="D127" s="150" t="str">
        <f>VLOOKUP($A127,'All Girls &amp; Descendants - Edit'!$AC$2:$AJ$438,4,FALSE)</f>
        <v>Henry SIMMONDS (7th &amp; 157)</v>
      </c>
      <c r="E127" s="150" t="str">
        <f>VLOOKUP($A127,'All Girls &amp; Descendants - Edit'!$AC$2:$AJ$438,7,FALSE)</f>
        <v>Unmarried</v>
      </c>
      <c r="F127" s="150" t="str">
        <f>VLOOKUP($A127,'All Girls &amp; Descendants - Edit'!$AC$2:$AJ$438,8,FALSE)</f>
        <v>Male. b. 15/06/2012 Born at St Mary's Paddington. Baptised 17 Sep 2012</v>
      </c>
    </row>
    <row r="128" spans="1:6" s="5" customFormat="1" ht="30">
      <c r="A128" s="149">
        <f t="shared" si="1"/>
        <v>1127</v>
      </c>
      <c r="B128" s="150" t="str">
        <f>VLOOKUP($A128,'All Girls &amp; Descendants - Edit'!$AC$2:$AJ$438,2,FALSE)</f>
        <v>157b</v>
      </c>
      <c r="C128" s="150" t="str">
        <f>VLOOKUP($A128,'All Girls &amp; Descendants - Edit'!$AC$2:$AJ$438,3,FALSE)</f>
        <v>Emily Mary Loyd SIMMONDS (2014 - )</v>
      </c>
      <c r="D128" s="150" t="str">
        <f>VLOOKUP($A128,'All Girls &amp; Descendants - Edit'!$AC$2:$AJ$438,4,FALSE)</f>
        <v>Emily SIMMONDS (7th &amp; 157)</v>
      </c>
      <c r="E128" s="150" t="str">
        <f>VLOOKUP($A128,'All Girls &amp; Descendants - Edit'!$AC$2:$AJ$438,7,FALSE)</f>
        <v>Unmarried</v>
      </c>
      <c r="F128" s="150" t="str">
        <f>VLOOKUP($A128,'All Girls &amp; Descendants - Edit'!$AC$2:$AJ$438,8,FALSE)</f>
        <v>Female. b. 27/12/2014 Born at Royal Victoria Infirmary, Newcastle. Baptised 3 May 2014 at Stagshaw Chapel.</v>
      </c>
    </row>
    <row r="129" spans="1:6" s="5" customFormat="1">
      <c r="A129" s="149">
        <f t="shared" si="1"/>
        <v>1128</v>
      </c>
      <c r="B129" s="150" t="str">
        <f>VLOOKUP($A129,'All Girls &amp; Descendants - Edit'!$AC$2:$AJ$438,2,FALSE)</f>
        <v>158a</v>
      </c>
      <c r="C129" s="150" t="str">
        <f>VLOOKUP($A129,'All Girls &amp; Descendants - Edit'!$AC$2:$AJ$438,3,FALSE)</f>
        <v>Theodore Richard  KYLE (2010 - )</v>
      </c>
      <c r="D129" s="150" t="str">
        <f>VLOOKUP($A129,'All Girls &amp; Descendants - Edit'!$AC$2:$AJ$438,4,FALSE)</f>
        <v>Theodore KYLE (7th &amp; 158)</v>
      </c>
      <c r="E129" s="150" t="str">
        <f>VLOOKUP($A129,'All Girls &amp; Descendants - Edit'!$AC$2:$AJ$438,7,FALSE)</f>
        <v>Unmarried</v>
      </c>
      <c r="F129" s="150" t="str">
        <f>VLOOKUP($A129,'All Girls &amp; Descendants - Edit'!$AC$2:$AJ$438,8,FALSE)</f>
        <v>Male. b. 05/03/2010 Born at UCH, London. Baptised March 2011</v>
      </c>
    </row>
    <row r="130" spans="1:6" s="5" customFormat="1">
      <c r="A130" s="149">
        <f t="shared" si="1"/>
        <v>1129</v>
      </c>
      <c r="B130" s="150" t="str">
        <f>VLOOKUP($A130,'All Girls &amp; Descendants - Edit'!$AC$2:$AJ$438,2,FALSE)</f>
        <v>159a</v>
      </c>
      <c r="C130" s="150" t="str">
        <f>VLOOKUP($A130,'All Girls &amp; Descendants - Edit'!$AC$2:$AJ$438,3,FALSE)</f>
        <v>Thomas Philip Loyd GARDENER (2010 - )</v>
      </c>
      <c r="D130" s="150" t="str">
        <f>VLOOKUP($A130,'All Girls &amp; Descendants - Edit'!$AC$2:$AJ$438,4,FALSE)</f>
        <v>Thomas GARDENER (7th &amp; 159)</v>
      </c>
      <c r="E130" s="150" t="str">
        <f>VLOOKUP($A130,'All Girls &amp; Descendants - Edit'!$AC$2:$AJ$438,7,FALSE)</f>
        <v>Unmarried</v>
      </c>
      <c r="F130" s="150" t="str">
        <f>VLOOKUP($A130,'All Girls &amp; Descendants - Edit'!$AC$2:$AJ$438,8,FALSE)</f>
        <v>Male. b. 15/05/2010 Born in Abu Dhabi.</v>
      </c>
    </row>
    <row r="131" spans="1:6" s="5" customFormat="1">
      <c r="A131" s="149">
        <f t="shared" si="1"/>
        <v>1130</v>
      </c>
      <c r="B131" s="150" t="str">
        <f>VLOOKUP($A131,'All Girls &amp; Descendants - Edit'!$AC$2:$AJ$438,2,FALSE)</f>
        <v>159b</v>
      </c>
      <c r="C131" s="150" t="str">
        <f>VLOOKUP($A131,'All Girls &amp; Descendants - Edit'!$AC$2:$AJ$438,3,FALSE)</f>
        <v>Alice Daphne Straker GARDENER (2013 - )</v>
      </c>
      <c r="D131" s="150" t="str">
        <f>VLOOKUP($A131,'All Girls &amp; Descendants - Edit'!$AC$2:$AJ$438,4,FALSE)</f>
        <v>Alice GARDENER (7th &amp; 159)</v>
      </c>
      <c r="E131" s="150" t="str">
        <f>VLOOKUP($A131,'All Girls &amp; Descendants - Edit'!$AC$2:$AJ$438,7,FALSE)</f>
        <v>Unmarried</v>
      </c>
      <c r="F131" s="150" t="str">
        <f>VLOOKUP($A131,'All Girls &amp; Descendants - Edit'!$AC$2:$AJ$438,8,FALSE)</f>
        <v>Female. b. 09/03/2013 Born in Abu Dhabi.</v>
      </c>
    </row>
    <row r="132" spans="1:6" s="5" customFormat="1">
      <c r="A132" s="149">
        <f t="shared" ref="A132:A143" si="2">A131+1</f>
        <v>1131</v>
      </c>
      <c r="B132" s="150" t="str">
        <f>VLOOKUP($A132,'All Girls &amp; Descendants - Edit'!$AC$2:$AJ$438,2,FALSE)</f>
        <v>161a</v>
      </c>
      <c r="C132" s="150" t="str">
        <f>VLOOKUP($A132,'All Girls &amp; Descendants - Edit'!$AC$2:$AJ$438,3,FALSE)</f>
        <v>Alexia Charlotte  HAYNS (2014 - )</v>
      </c>
      <c r="D132" s="150" t="str">
        <f>VLOOKUP($A132,'All Girls &amp; Descendants - Edit'!$AC$2:$AJ$438,4,FALSE)</f>
        <v>Alexia HAYNS (7th &amp; 161)</v>
      </c>
      <c r="E132" s="150" t="str">
        <f>VLOOKUP($A132,'All Girls &amp; Descendants - Edit'!$AC$2:$AJ$438,7,FALSE)</f>
        <v>Unmarried</v>
      </c>
      <c r="F132" s="150" t="str">
        <f>VLOOKUP($A132,'All Girls &amp; Descendants - Edit'!$AC$2:$AJ$438,8,FALSE)</f>
        <v>Female. b. 24/03/2014</v>
      </c>
    </row>
    <row r="133" spans="1:6" s="5" customFormat="1">
      <c r="A133" s="149">
        <f t="shared" si="2"/>
        <v>1132</v>
      </c>
      <c r="B133" s="150" t="str">
        <f>VLOOKUP($A133,'All Girls &amp; Descendants - Edit'!$AC$2:$AJ$438,2,FALSE)</f>
        <v>161b</v>
      </c>
      <c r="C133" s="150" t="str">
        <f>VLOOKUP($A133,'All Girls &amp; Descendants - Edit'!$AC$2:$AJ$438,3,FALSE)</f>
        <v>Edward Loyd Bickford HAYNS (2016 - )</v>
      </c>
      <c r="D133" s="150" t="str">
        <f>VLOOKUP($A133,'All Girls &amp; Descendants - Edit'!$AC$2:$AJ$438,4,FALSE)</f>
        <v>Edward HAYNS (7th &amp; 161)</v>
      </c>
      <c r="E133" s="150" t="str">
        <f>VLOOKUP($A133,'All Girls &amp; Descendants - Edit'!$AC$2:$AJ$438,7,FALSE)</f>
        <v>Unmarried</v>
      </c>
      <c r="F133" s="150" t="str">
        <f>VLOOKUP($A133,'All Girls &amp; Descendants - Edit'!$AC$2:$AJ$438,8,FALSE)</f>
        <v>Male. b. 30/09/2016</v>
      </c>
    </row>
    <row r="134" spans="1:6" s="5" customFormat="1" ht="30">
      <c r="A134" s="149">
        <f t="shared" si="2"/>
        <v>1133</v>
      </c>
      <c r="B134" s="150" t="str">
        <f>VLOOKUP($A134,'All Girls &amp; Descendants - Edit'!$AC$2:$AJ$438,2,FALSE)</f>
        <v>163a</v>
      </c>
      <c r="C134" s="150" t="str">
        <f>VLOOKUP($A134,'All Girls &amp; Descendants - Edit'!$AC$2:$AJ$438,3,FALSE)</f>
        <v xml:space="preserve">
Thomas Stephen  DINSMORE (2012 - )</v>
      </c>
      <c r="D134" s="150" t="str">
        <f>VLOOKUP($A134,'All Girls &amp; Descendants - Edit'!$AC$2:$AJ$438,4,FALSE)</f>
        <v xml:space="preserve">
Thomas DINSMORE (7th &amp; 163)</v>
      </c>
      <c r="E134" s="150" t="str">
        <f>VLOOKUP($A134,'All Girls &amp; Descendants - Edit'!$AC$2:$AJ$438,7,FALSE)</f>
        <v>Unmarried</v>
      </c>
      <c r="F134" s="150" t="str">
        <f>VLOOKUP($A134,'All Girls &amp; Descendants - Edit'!$AC$2:$AJ$438,8,FALSE)</f>
        <v>Male. b. 17/09/2012</v>
      </c>
    </row>
    <row r="135" spans="1:6" s="5" customFormat="1">
      <c r="A135" s="149">
        <f t="shared" si="2"/>
        <v>1134</v>
      </c>
      <c r="B135" s="150" t="str">
        <f>VLOOKUP($A135,'All Girls &amp; Descendants - Edit'!$AC$2:$AJ$438,2,FALSE)</f>
        <v>163b</v>
      </c>
      <c r="C135" s="150" t="str">
        <f>VLOOKUP($A135,'All Girls &amp; Descendants - Edit'!$AC$2:$AJ$438,3,FALSE)</f>
        <v>Mary Charlotte   DINSMORE (2014 - )</v>
      </c>
      <c r="D135" s="150" t="str">
        <f>VLOOKUP($A135,'All Girls &amp; Descendants - Edit'!$AC$2:$AJ$438,4,FALSE)</f>
        <v>Mary DINSMORE (7th &amp; 163)</v>
      </c>
      <c r="E135" s="150" t="str">
        <f>VLOOKUP($A135,'All Girls &amp; Descendants - Edit'!$AC$2:$AJ$438,7,FALSE)</f>
        <v>Unmarried</v>
      </c>
      <c r="F135" s="150" t="str">
        <f>VLOOKUP($A135,'All Girls &amp; Descendants - Edit'!$AC$2:$AJ$438,8,FALSE)</f>
        <v>Female. b. 20/10/2014</v>
      </c>
    </row>
    <row r="136" spans="1:6" s="5" customFormat="1">
      <c r="A136" s="149">
        <f t="shared" si="2"/>
        <v>1135</v>
      </c>
      <c r="B136" s="150" t="str">
        <f>VLOOKUP($A136,'All Girls &amp; Descendants - Edit'!$AC$2:$AJ$438,2,FALSE)</f>
        <v>164a</v>
      </c>
      <c r="C136" s="150" t="str">
        <f>VLOOKUP($A136,'All Girls &amp; Descendants - Edit'!$AC$2:$AJ$438,3,FALSE)</f>
        <v>Fredrick Peter Loyd LEASK (2016 - )</v>
      </c>
      <c r="D136" s="150" t="str">
        <f>VLOOKUP($A136,'All Girls &amp; Descendants - Edit'!$AC$2:$AJ$438,4,FALSE)</f>
        <v>Freddie LEASK (8th &amp; 164)</v>
      </c>
      <c r="E136" s="150" t="str">
        <f>VLOOKUP($A136,'All Girls &amp; Descendants - Edit'!$AC$2:$AJ$438,7,FALSE)</f>
        <v>Unmarried</v>
      </c>
      <c r="F136" s="150" t="str">
        <f>VLOOKUP($A136,'All Girls &amp; Descendants - Edit'!$AC$2:$AJ$438,8,FALSE)</f>
        <v>Male. b. 16/05/2016 Born at Lincoln County Hospital</v>
      </c>
    </row>
    <row r="137" spans="1:6" s="5" customFormat="1">
      <c r="A137" s="149">
        <f t="shared" si="2"/>
        <v>1136</v>
      </c>
      <c r="B137" s="150" t="str">
        <f>VLOOKUP($A137,'All Girls &amp; Descendants - Edit'!$AC$2:$AJ$438,2,FALSE)</f>
        <v>164b</v>
      </c>
      <c r="C137" s="150" t="str">
        <f>VLOOKUP($A137,'All Girls &amp; Descendants - Edit'!$AC$2:$AJ$438,3,FALSE)</f>
        <v>Hamish Alexander Cormack LEASK (2018 - )</v>
      </c>
      <c r="D137" s="150" t="str">
        <f>VLOOKUP($A137,'All Girls &amp; Descendants - Edit'!$AC$2:$AJ$438,4,FALSE)</f>
        <v>Hamish LEASK (8th &amp; 164)</v>
      </c>
      <c r="E137" s="150" t="str">
        <f>VLOOKUP($A137,'All Girls &amp; Descendants - Edit'!$AC$2:$AJ$438,7,FALSE)</f>
        <v>Unmarried</v>
      </c>
      <c r="F137" s="150" t="str">
        <f>VLOOKUP($A137,'All Girls &amp; Descendants - Edit'!$AC$2:$AJ$438,8,FALSE)</f>
        <v>Male. b. 13/03/2018 Born in Bristol</v>
      </c>
    </row>
    <row r="138" spans="1:6" s="5" customFormat="1">
      <c r="A138" s="149">
        <f t="shared" si="2"/>
        <v>1137</v>
      </c>
      <c r="B138" s="150" t="str">
        <f>VLOOKUP($A138,'All Girls &amp; Descendants - Edit'!$AC$2:$AJ$438,2,FALSE)</f>
        <v>164c</v>
      </c>
      <c r="C138" s="150" t="str">
        <f>VLOOKUP($A138,'All Girls &amp; Descendants - Edit'!$AC$2:$AJ$438,3,FALSE)</f>
        <v>Otto Angus Davis LEASK (2020 - )</v>
      </c>
      <c r="D138" s="150" t="str">
        <f>VLOOKUP($A138,'All Girls &amp; Descendants - Edit'!$AC$2:$AJ$438,4,FALSE)</f>
        <v>Otto LEASK (8th &amp; 164)</v>
      </c>
      <c r="E138" s="150" t="str">
        <f>VLOOKUP($A138,'All Girls &amp; Descendants - Edit'!$AC$2:$AJ$438,7,FALSE)</f>
        <v>Unmarried</v>
      </c>
      <c r="F138" s="150" t="str">
        <f>VLOOKUP($A138,'All Girls &amp; Descendants - Edit'!$AC$2:$AJ$438,8,FALSE)</f>
        <v>Male. b. 25/09/2020 Born in Abderdeen</v>
      </c>
    </row>
    <row r="139" spans="1:6" s="5" customFormat="1">
      <c r="A139" s="149">
        <f t="shared" si="2"/>
        <v>1138</v>
      </c>
      <c r="B139" s="150" t="str">
        <f>VLOOKUP($A139,'All Girls &amp; Descendants - Edit'!$AC$2:$AJ$438,2,FALSE)</f>
        <v>165a</v>
      </c>
      <c r="C139" s="150" t="str">
        <f>VLOOKUP($A139,'All Girls &amp; Descendants - Edit'!$AC$2:$AJ$438,3,FALSE)</f>
        <v>Leila Cherry  PURI (2017 - )</v>
      </c>
      <c r="D139" s="150" t="str">
        <f>VLOOKUP($A139,'All Girls &amp; Descendants - Edit'!$AC$2:$AJ$438,4,FALSE)</f>
        <v>Leila PURI (8th &amp; 165)</v>
      </c>
      <c r="E139" s="150" t="str">
        <f>VLOOKUP($A139,'All Girls &amp; Descendants - Edit'!$AC$2:$AJ$438,7,FALSE)</f>
        <v>Unmarried</v>
      </c>
      <c r="F139" s="150" t="str">
        <f>VLOOKUP($A139,'All Girls &amp; Descendants - Edit'!$AC$2:$AJ$438,8,FALSE)</f>
        <v>Female. b. 16/07/2017 Born London.</v>
      </c>
    </row>
    <row r="140" spans="1:6" s="5" customFormat="1">
      <c r="A140" s="149">
        <f t="shared" si="2"/>
        <v>1139</v>
      </c>
      <c r="B140" s="150" t="str">
        <f>VLOOKUP($A140,'All Girls &amp; Descendants - Edit'!$AC$2:$AJ$438,2,FALSE)</f>
        <v>165b</v>
      </c>
      <c r="C140" s="150" t="str">
        <f>VLOOKUP($A140,'All Girls &amp; Descendants - Edit'!$AC$2:$AJ$438,3,FALSE)</f>
        <v>Alana Kailash  PURI (2019 - )</v>
      </c>
      <c r="D140" s="150" t="str">
        <f>VLOOKUP($A140,'All Girls &amp; Descendants - Edit'!$AC$2:$AJ$438,4,FALSE)</f>
        <v>Alana PURI (8th &amp; 165)</v>
      </c>
      <c r="E140" s="150" t="str">
        <f>VLOOKUP($A140,'All Girls &amp; Descendants - Edit'!$AC$2:$AJ$438,7,FALSE)</f>
        <v>Unmarried</v>
      </c>
      <c r="F140" s="150" t="str">
        <f>VLOOKUP($A140,'All Girls &amp; Descendants - Edit'!$AC$2:$AJ$438,8,FALSE)</f>
        <v>Female. b. 03/04/2019 Born London.</v>
      </c>
    </row>
    <row r="141" spans="1:6" s="5" customFormat="1">
      <c r="A141" s="149">
        <f t="shared" si="2"/>
        <v>1140</v>
      </c>
      <c r="B141" s="150" t="str">
        <f>VLOOKUP($A141,'All Girls &amp; Descendants - Edit'!$AC$2:$AJ$438,2,FALSE)</f>
        <v>168a</v>
      </c>
      <c r="C141" s="150" t="str">
        <f>VLOOKUP($A141,'All Girls &amp; Descendants - Edit'!$AC$2:$AJ$438,3,FALSE)</f>
        <v>Nicholas Rudyard Wroughton POWELL (2020 - )</v>
      </c>
      <c r="D141" s="150" t="str">
        <f>VLOOKUP($A141,'All Girls &amp; Descendants - Edit'!$AC$2:$AJ$438,4,FALSE)</f>
        <v>Nicholas POWELL (8th &amp; 168)</v>
      </c>
      <c r="E141" s="150" t="str">
        <f>VLOOKUP($A141,'All Girls &amp; Descendants - Edit'!$AC$2:$AJ$438,7,FALSE)</f>
        <v>Unmarried</v>
      </c>
      <c r="F141" s="150" t="str">
        <f>VLOOKUP($A141,'All Girls &amp; Descendants - Edit'!$AC$2:$AJ$438,8,FALSE)</f>
        <v>Male. b. 10/12/2020</v>
      </c>
    </row>
    <row r="142" spans="1:6" s="5" customFormat="1">
      <c r="A142" s="149">
        <f t="shared" si="2"/>
        <v>1141</v>
      </c>
      <c r="B142" s="150" t="str">
        <f>VLOOKUP($A142,'All Girls &amp; Descendants - Edit'!$AC$2:$AJ$438,2,FALSE)</f>
        <v>168b</v>
      </c>
      <c r="C142" s="150" t="str">
        <f>VLOOKUP($A142,'All Girls &amp; Descendants - Edit'!$AC$2:$AJ$438,3,FALSE)</f>
        <v>Florence Sofia Berners POWELL  (2022 - )</v>
      </c>
      <c r="D142" s="150" t="str">
        <f>VLOOKUP($A142,'All Girls &amp; Descendants - Edit'!$AC$2:$AJ$438,4,FALSE)</f>
        <v>Florence POWELL  (8th &amp; 168)</v>
      </c>
      <c r="E142" s="150" t="str">
        <f>VLOOKUP($A142,'All Girls &amp; Descendants - Edit'!$AC$2:$AJ$438,7,FALSE)</f>
        <v>Unmarried</v>
      </c>
      <c r="F142" s="150" t="str">
        <f>VLOOKUP($A142,'All Girls &amp; Descendants - Edit'!$AC$2:$AJ$438,8,FALSE)</f>
        <v>Female. b. 31/03/2022</v>
      </c>
    </row>
    <row r="143" spans="1:6" s="5" customFormat="1">
      <c r="A143" s="149">
        <f t="shared" si="2"/>
        <v>1142</v>
      </c>
      <c r="B143" s="150" t="str">
        <f>VLOOKUP($A143,'All Girls &amp; Descendants - Edit'!$AC$2:$AJ$438,2,FALSE)</f>
        <v>170a</v>
      </c>
      <c r="C143" s="150" t="str">
        <f>VLOOKUP($A143,'All Girls &amp; Descendants - Edit'!$AC$2:$AJ$438,3,FALSE)</f>
        <v>Angus Thomas Folliott POWELL (2021 - )</v>
      </c>
      <c r="D143" s="150" t="str">
        <f>VLOOKUP($A143,'All Girls &amp; Descendants - Edit'!$AC$2:$AJ$438,4,FALSE)</f>
        <v>Angus POWELL (8th &amp; 170)</v>
      </c>
      <c r="E143" s="150" t="str">
        <f>VLOOKUP($A143,'All Girls &amp; Descendants - Edit'!$AC$2:$AJ$438,7,FALSE)</f>
        <v>Unmarried</v>
      </c>
      <c r="F143" s="150" t="str">
        <f>VLOOKUP($A143,'All Girls &amp; Descendants - Edit'!$AC$2:$AJ$438,8,FALSE)</f>
        <v>Male. b. 27/06/2021</v>
      </c>
    </row>
    <row r="144" spans="1:6" s="5" customFormat="1">
      <c r="A144" s="149"/>
      <c r="B144" s="248" t="str">
        <f>B1</f>
        <v>Loyd ##</v>
      </c>
      <c r="C144" s="248" t="str">
        <f>C1</f>
        <v>Birth Name</v>
      </c>
      <c r="D144" s="248" t="str">
        <f>D1</f>
        <v xml:space="preserve">Known as (generation from William #1 and ascendant Loyd #) </v>
      </c>
      <c r="E144" s="248" t="str">
        <f>E1</f>
        <v>Marriage</v>
      </c>
      <c r="F144" s="248" t="str">
        <f>F1</f>
        <v>Additional Information (inc M/F, DoB &amp; Other information)</v>
      </c>
    </row>
    <row r="145" spans="1:6" s="5" customFormat="1" ht="45">
      <c r="A145" s="149">
        <v>2001</v>
      </c>
      <c r="B145" s="150" t="str">
        <f>VLOOKUP($A145,'All Girls &amp; Descendants - Edit'!$AC$2:$AJ$438,2,FALSE)</f>
        <v>2aa</v>
      </c>
      <c r="C145" s="150" t="str">
        <f>VLOOKUP($A145,'All Girls &amp; Descendants - Edit'!$AC$2:$AJ$438,3,FALSE)</f>
        <v>William   DAVIES (Date unknown - 1908)</v>
      </c>
      <c r="D145" s="150" t="str">
        <f>VLOOKUP($A145,'All Girls &amp; Descendants - Edit'!$AC$2:$AJ$438,4,FALSE)</f>
        <v>William DAVIES (3rd &amp; 2)</v>
      </c>
      <c r="E145" s="150" t="str">
        <f>VLOOKUP($A145,'All Girls &amp; Descendants - Edit'!$AC$2:$AJ$438,7,FALSE)</f>
        <v>Wife: Morgan Price PROTHEROE (b. 1816, d. 1882). Wedding at Cilycwm</v>
      </c>
      <c r="F145" s="150" t="str">
        <f>VLOOKUP($A145,'All Girls &amp; Descendants - Edit'!$AC$2:$AJ$438,8,FALSE)</f>
        <v>Male. b. Date unknown, d. 29/02/1908. William DAVIES of Cwm-y-to fach from before 1865 to after 1874, and then of Garth Farm on Blaenos estate overlooking Llandovery. (In 1910 farm occupied by his widow, 2 sons and 2 daughters).</v>
      </c>
    </row>
    <row r="146" spans="1:6" s="5" customFormat="1" ht="30">
      <c r="A146" s="149">
        <f t="shared" ref="A146:A208" si="3">A145+1</f>
        <v>2002</v>
      </c>
      <c r="B146" s="150" t="str">
        <f>VLOOKUP($A146,'All Girls &amp; Descendants - Edit'!$AC$2:$AJ$438,2,FALSE)</f>
        <v>2ca</v>
      </c>
      <c r="C146" s="150" t="str">
        <f>VLOOKUP($A146,'All Girls &amp; Descendants - Edit'!$AC$2:$AJ$438,3,FALSE)</f>
        <v>Catherine   DAVIES (1829 - 1866)</v>
      </c>
      <c r="D146" s="150" t="str">
        <f>VLOOKUP($A146,'All Girls &amp; Descendants - Edit'!$AC$2:$AJ$438,4,FALSE)</f>
        <v>Catherine DAVIES (3rd &amp; 2)</v>
      </c>
      <c r="E146" s="150" t="str">
        <f>VLOOKUP($A146,'All Girls &amp; Descendants - Edit'!$AC$2:$AJ$438,7,FALSE)</f>
        <v>Husband: Morgan Price PROTHEROE (b. 1816, d. 1882). Wedding at Cilycwm</v>
      </c>
      <c r="F146" s="150" t="str">
        <f>VLOOKUP($A146,'All Girls &amp; Descendants - Edit'!$AC$2:$AJ$438,8,FALSE)</f>
        <v>Female. b. 09/10/1829, d. 1866. Baptised 9 Oct 1829 at Cilycwm.</v>
      </c>
    </row>
    <row r="147" spans="1:6" s="5" customFormat="1">
      <c r="A147" s="149">
        <f t="shared" si="3"/>
        <v>2003</v>
      </c>
      <c r="B147" s="150" t="str">
        <f>VLOOKUP($A147,'All Girls &amp; Descendants - Edit'!$AC$2:$AJ$438,2,FALSE)</f>
        <v>18ba</v>
      </c>
      <c r="C147" s="150" t="str">
        <f>VLOOKUP($A147,'All Girls &amp; Descendants - Edit'!$AC$2:$AJ$438,3,FALSE)</f>
        <v>Malcolm William Prout NICOL (1879 - 1891)</v>
      </c>
      <c r="D147" s="150" t="str">
        <f>VLOOKUP($A147,'All Girls &amp; Descendants - Edit'!$AC$2:$AJ$438,4,FALSE)</f>
        <v>Malcolm NICOL (4th &amp; 18)</v>
      </c>
      <c r="E147" s="150" t="str">
        <f>VLOOKUP($A147,'All Girls &amp; Descendants - Edit'!$AC$2:$AJ$438,7,FALSE)</f>
        <v>Unmarried</v>
      </c>
      <c r="F147" s="150" t="str">
        <f>VLOOKUP($A147,'All Girls &amp; Descendants - Edit'!$AC$2:$AJ$438,8,FALSE)</f>
        <v>Male. b. 20/04/1879, d. 04/04/1891. Buried at Willesden.</v>
      </c>
    </row>
    <row r="148" spans="1:6" s="5" customFormat="1" ht="45">
      <c r="A148" s="149">
        <f t="shared" si="3"/>
        <v>2004</v>
      </c>
      <c r="B148" s="150" t="str">
        <f>VLOOKUP($A148,'All Girls &amp; Descendants - Edit'!$AC$2:$AJ$438,2,FALSE)</f>
        <v>18bb</v>
      </c>
      <c r="C148" s="150" t="str">
        <f>VLOOKUP($A148,'All Girls &amp; Descendants - Edit'!$AC$2:$AJ$438,3,FALSE)</f>
        <v>Margery Catherine  NICOL (1880 - 1963)</v>
      </c>
      <c r="D148" s="150" t="str">
        <f>VLOOKUP($A148,'All Girls &amp; Descendants - Edit'!$AC$2:$AJ$438,4,FALSE)</f>
        <v>Margery NICOL (4th &amp; 18)</v>
      </c>
      <c r="E148" s="150" t="str">
        <f>VLOOKUP($A148,'All Girls &amp; Descendants - Edit'!$AC$2:$AJ$438,7,FALSE)</f>
        <v>Husband: Sir George Redston WARNER (b. 18/07/1879, d. 23 Jun 1978) KCVO, CMG. Sir George, elder son of Sir Joseph Henry WARNER.</v>
      </c>
      <c r="F148" s="150" t="str">
        <f>VLOOKUP($A148,'All Girls &amp; Descendants - Edit'!$AC$2:$AJ$438,8,FALSE)</f>
        <v>Female. b. 08/05/1880, d. 31/03/1963. Buried at Compton, Winchester.</v>
      </c>
    </row>
    <row r="149" spans="1:6" s="5" customFormat="1" ht="45">
      <c r="A149" s="149">
        <f t="shared" si="3"/>
        <v>2005</v>
      </c>
      <c r="B149" s="150" t="str">
        <f>VLOOKUP($A149,'All Girls &amp; Descendants - Edit'!$AC$2:$AJ$438,2,FALSE)</f>
        <v>18bc</v>
      </c>
      <c r="C149" s="150" t="str">
        <f>VLOOKUP($A149,'All Girls &amp; Descendants - Edit'!$AC$2:$AJ$438,3,FALSE)</f>
        <v>Randall James  NICOL (1882 - 1941)</v>
      </c>
      <c r="D149" s="150" t="str">
        <f>VLOOKUP($A149,'All Girls &amp; Descendants - Edit'!$AC$2:$AJ$438,4,FALSE)</f>
        <v>Randall NICOL (4th &amp; 18)</v>
      </c>
      <c r="E149" s="150" t="str">
        <f>VLOOKUP($A149,'All Girls &amp; Descendants - Edit'!$AC$2:$AJ$438,7,FALSE)</f>
        <v>Unmarried</v>
      </c>
      <c r="F149" s="150" t="str">
        <f>VLOOKUP($A149,'All Girls &amp; Descendants - Edit'!$AC$2:$AJ$438,8,FALSE)</f>
        <v>Male. b. 19/08/1882, d. 18/11/1941. Aberdeenshire. Educated Eton and Christ Church Oxford. Served WW1 with Argyll and Sutherland Highlanders. Awarded OBE. Died at Ballogie. Buried at Christ Church, Kincardine O’Neil.</v>
      </c>
    </row>
    <row r="150" spans="1:6" s="5" customFormat="1" ht="30">
      <c r="A150" s="149">
        <f t="shared" si="3"/>
        <v>2006</v>
      </c>
      <c r="B150" s="150" t="str">
        <f>VLOOKUP($A150,'All Girls &amp; Descendants - Edit'!$AC$2:$AJ$438,2,FALSE)</f>
        <v>18bd</v>
      </c>
      <c r="C150" s="150" t="str">
        <f>VLOOKUP($A150,'All Girls &amp; Descendants - Edit'!$AC$2:$AJ$438,3,FALSE)</f>
        <v>Dorothy Ada  NICOL (1885 - 1964)</v>
      </c>
      <c r="D150" s="150" t="str">
        <f>VLOOKUP($A150,'All Girls &amp; Descendants - Edit'!$AC$2:$AJ$438,4,FALSE)</f>
        <v>Dorothy NICOL (4th &amp; 18)</v>
      </c>
      <c r="E150" s="150" t="str">
        <f>VLOOKUP($A150,'All Girls &amp; Descendants - Edit'!$AC$2:$AJ$438,7,FALSE)</f>
        <v>Unmarried</v>
      </c>
      <c r="F150" s="150" t="str">
        <f>VLOOKUP($A150,'All Girls &amp; Descendants - Edit'!$AC$2:$AJ$438,8,FALSE)</f>
        <v>Female. b. 20/08/1885, d. 03/02/1964. Buried at Christ Church, Kincardine O’Neil, Aberdeenshire.</v>
      </c>
    </row>
    <row r="151" spans="1:6" s="5" customFormat="1" ht="30">
      <c r="A151" s="149">
        <f t="shared" si="3"/>
        <v>2007</v>
      </c>
      <c r="B151" s="150" t="str">
        <f>VLOOKUP($A151,'All Girls &amp; Descendants - Edit'!$AC$2:$AJ$438,2,FALSE)</f>
        <v>18ea</v>
      </c>
      <c r="C151" s="150" t="str">
        <f>VLOOKUP($A151,'All Girls &amp; Descendants - Edit'!$AC$2:$AJ$438,3,FALSE)</f>
        <v>Violet Dyce Norah NICOL (1887 - 1957)</v>
      </c>
      <c r="D151" s="150" t="str">
        <f>VLOOKUP($A151,'All Girls &amp; Descendants - Edit'!$AC$2:$AJ$438,4,FALSE)</f>
        <v>Violet NICOL (4th &amp; 18)</v>
      </c>
      <c r="E151" s="150" t="str">
        <f>VLOOKUP($A151,'All Girls &amp; Descendants - Edit'!$AC$2:$AJ$438,7,FALSE)</f>
        <v>Husband: Gerald DUGDALE (b. 19/03/1884, d. 13/06/1941). Divorced 1926.</v>
      </c>
      <c r="F151" s="150" t="str">
        <f>VLOOKUP($A151,'All Girls &amp; Descendants - Edit'!$AC$2:$AJ$438,8,FALSE)</f>
        <v>Female. b. 12/09/1887, d. 16/08/1957.</v>
      </c>
    </row>
    <row r="152" spans="1:6" s="5" customFormat="1" ht="45">
      <c r="A152" s="149">
        <f t="shared" si="3"/>
        <v>2008</v>
      </c>
      <c r="B152" s="150" t="str">
        <f>VLOOKUP($A152,'All Girls &amp; Descendants - Edit'!$AC$2:$AJ$438,2,FALSE)</f>
        <v>36aa</v>
      </c>
      <c r="C152" s="150" t="str">
        <f>VLOOKUP($A152,'All Girls &amp; Descendants - Edit'!$AC$2:$AJ$438,3,FALSE)</f>
        <v>The Hon Hilda Beryl  COURTHOPE (1900 - 1974)</v>
      </c>
      <c r="D152" s="150" t="str">
        <f>VLOOKUP($A152,'All Girls &amp; Descendants - Edit'!$AC$2:$AJ$438,4,FALSE)</f>
        <v>Beryl COURTHOPE (5th &amp; 36)</v>
      </c>
      <c r="E152" s="150" t="str">
        <f>VLOOKUP($A152,'All Girls &amp; Descendants - Edit'!$AC$2:$AJ$438,7,FALSE)</f>
        <v>Unmarried</v>
      </c>
      <c r="F152" s="150" t="str">
        <f>VLOOKUP($A152,'All Girls &amp; Descendants - Edit'!$AC$2:$AJ$438,8,FALSE)</f>
        <v>Female. b. 02/11/1900, d. 05/08/1974. Buried at Ticehurst, Sussex 9 Aug 1974. Left the Whiligh estate, on the death of her sister, to Edward John Brierly HARDCASTLE (1923- ), grandson of Caroline Foster LOYD (1864-1940).</v>
      </c>
    </row>
    <row r="153" spans="1:6" s="5" customFormat="1" ht="60">
      <c r="A153" s="149">
        <f t="shared" si="3"/>
        <v>2009</v>
      </c>
      <c r="B153" s="150" t="str">
        <f>VLOOKUP($A153,'All Girls &amp; Descendants - Edit'!$AC$2:$AJ$438,2,FALSE)</f>
        <v>36ab</v>
      </c>
      <c r="C153" s="150" t="str">
        <f>VLOOKUP($A153,'All Girls &amp; Descendants - Edit'!$AC$2:$AJ$438,3,FALSE)</f>
        <v>The Hon Elinor Daphne  COURTHOPE (1902 - 1980)</v>
      </c>
      <c r="D153" s="150" t="str">
        <f>VLOOKUP($A153,'All Girls &amp; Descendants - Edit'!$AC$2:$AJ$438,4,FALSE)</f>
        <v>Daphne COURTHOPE (5th &amp; 36)</v>
      </c>
      <c r="E153" s="150" t="str">
        <f>VLOOKUP($A153,'All Girls &amp; Descendants - Edit'!$AC$2:$AJ$438,7,FALSE)</f>
        <v>Unmarried</v>
      </c>
      <c r="F153" s="150" t="str">
        <f>VLOOKUP($A153,'All Girls &amp; Descendants - Edit'!$AC$2:$AJ$438,8,FALSE)</f>
        <v>Female. b. 11/10/1902, d. 15/06/1980. Buried at Ticehurst, Sussex 23 Jun 1980. OBE 1963. DL East Sussex. Chairman East Sussex CC 1967-70. One time Joint Master of Eridge hunt. Last of the Whiligh COURTHOPES who owned the estate for 467 years 1513-1980.</v>
      </c>
    </row>
    <row r="154" spans="1:6" s="5" customFormat="1" ht="30">
      <c r="A154" s="149">
        <f t="shared" si="3"/>
        <v>2010</v>
      </c>
      <c r="B154" s="150" t="str">
        <f>VLOOKUP($A154,'All Girls &amp; Descendants - Edit'!$AC$2:$AJ$438,2,FALSE)</f>
        <v>36da</v>
      </c>
      <c r="C154" s="150" t="str">
        <f>VLOOKUP($A154,'All Girls &amp; Descendants - Edit'!$AC$2:$AJ$438,3,FALSE)</f>
        <v>Elinor Mary  POWELL (1911 - 1997)</v>
      </c>
      <c r="D154" s="150" t="str">
        <f>VLOOKUP($A154,'All Girls &amp; Descendants - Edit'!$AC$2:$AJ$438,4,FALSE)</f>
        <v>Elinor POWELL (5th &amp; 36)</v>
      </c>
      <c r="E154" s="150" t="str">
        <f>VLOOKUP($A154,'All Girls &amp; Descendants - Edit'!$AC$2:$AJ$438,7,FALSE)</f>
        <v>Unmarried</v>
      </c>
      <c r="F154" s="150" t="str">
        <f>VLOOKUP($A154,'All Girls &amp; Descendants - Edit'!$AC$2:$AJ$438,8,FALSE)</f>
        <v>Female. b. 19/08/1911, d. 20/07/1997. Died at Wadhurst, Sussex, buried in her mother’s grave at Wadhurst.</v>
      </c>
    </row>
    <row r="155" spans="1:6" s="5" customFormat="1" ht="60">
      <c r="A155" s="149">
        <f t="shared" si="3"/>
        <v>2011</v>
      </c>
      <c r="B155" s="150" t="str">
        <f>VLOOKUP($A155,'All Girls &amp; Descendants - Edit'!$AC$2:$AJ$438,2,FALSE)</f>
        <v>36db</v>
      </c>
      <c r="C155" s="150" t="str">
        <f>VLOOKUP($A155,'All Girls &amp; Descendants - Edit'!$AC$2:$AJ$438,3,FALSE)</f>
        <v>John Henry Courthope POWELL (1913 - 1944)</v>
      </c>
      <c r="D155" s="150" t="str">
        <f>VLOOKUP($A155,'All Girls &amp; Descendants - Edit'!$AC$2:$AJ$438,4,FALSE)</f>
        <v>John POWELL (5th &amp; 36)</v>
      </c>
      <c r="E155" s="150" t="str">
        <f>VLOOKUP($A155,'All Girls &amp; Descendants - Edit'!$AC$2:$AJ$438,7,FALSE)</f>
        <v>Wife: Helen Clare SPENCER-NAIRN (b. 30/04/1917, d.?). Married at Christ Kirk on the Green, Leslie, Fife, Helen daughter of Sir Robert SPENCER-NAIRN Bart: Major, Fife and Forfar Yeomanry.</v>
      </c>
      <c r="F155" s="150" t="str">
        <f>VLOOKUP($A155,'All Girls &amp; Descendants - Edit'!$AC$2:$AJ$438,8,FALSE)</f>
        <v>Male. b. 03/03/1913, d. 19/07/1944. Killed in action, 19 Jul 1944 in Normandy, buried in Military cemetery, Banneville-la-Campagne, Nr Caen.</v>
      </c>
    </row>
    <row r="156" spans="1:6" s="5" customFormat="1" ht="45">
      <c r="A156" s="149">
        <f t="shared" si="3"/>
        <v>2012</v>
      </c>
      <c r="B156" s="150" t="str">
        <f>VLOOKUP($A156,'All Girls &amp; Descendants - Edit'!$AC$2:$AJ$438,2,FALSE)</f>
        <v>47aa</v>
      </c>
      <c r="C156" s="150" t="str">
        <f>VLOOKUP($A156,'All Girls &amp; Descendants - Edit'!$AC$2:$AJ$438,3,FALSE)</f>
        <v>Edward John Brierly HARDCASTLE (1923 - )</v>
      </c>
      <c r="D156" s="150" t="str">
        <f>VLOOKUP($A156,'All Girls &amp; Descendants - Edit'!$AC$2:$AJ$438,4,FALSE)</f>
        <v>John HARDCASTLE (5th &amp; 47)</v>
      </c>
      <c r="E156" s="150" t="str">
        <f>VLOOKUP($A156,'All Girls &amp; Descendants - Edit'!$AC$2:$AJ$438,7,FALSE)</f>
        <v>Wife: Elizabeth Ann Dodds SIMPSON (b. 25/08/1929, d. ? ). Married St Augustine’s, Hull, Elizabeth Ann Dodds,  elder daughter of R.R. SIMPSON FRCS of Hull.</v>
      </c>
      <c r="F156" s="150" t="str">
        <f>VLOOKUP($A156,'All Girls &amp; Descendants - Edit'!$AC$2:$AJ$438,8,FALSE)</f>
        <v>Male. b. 27/03/1923 Edward John Brierly HARDCASTLE of Whiligh, Shovers Green, Wadhurst, East Sussex, TN5 7JU. Inherited Whiligh in 1980. (see #36).</v>
      </c>
    </row>
    <row r="157" spans="1:6" s="5" customFormat="1" ht="90">
      <c r="A157" s="149">
        <f t="shared" si="3"/>
        <v>2013</v>
      </c>
      <c r="B157" s="150" t="str">
        <f>VLOOKUP($A157,'All Girls &amp; Descendants - Edit'!$AC$2:$AJ$438,2,FALSE)</f>
        <v>47ab</v>
      </c>
      <c r="C157" s="150" t="str">
        <f>VLOOKUP($A157,'All Girls &amp; Descendants - Edit'!$AC$2:$AJ$438,3,FALSE)</f>
        <v>Priscilla Brierly  HARDCASTLE (1954 - )</v>
      </c>
      <c r="D157" s="150" t="str">
        <f>VLOOKUP($A157,'All Girls &amp; Descendants - Edit'!$AC$2:$AJ$438,4,FALSE)</f>
        <v>Priscilla HARDCASTLE (5th &amp; 47)</v>
      </c>
      <c r="E157" s="150" t="str">
        <f>VLOOKUP($A157,'All Girls &amp; Descendants - Edit'!$AC$2:$AJ$438,7,FALSE)</f>
        <v>Husband: Alwyn Cedric DREW (b. 11/11/1924, d. 17/03/1972). Married at St Mary’s, Ticehurst, Sussex, Alwyn, Lieutenant, Royal Navy and younger son of Sir Cedric DREWE KCVO of Broadhembury House, Broadhembury, Devon. MP for South Molton 1924-29 and Honiton 1931-52. WHO WAS THE MP?</v>
      </c>
      <c r="F157" s="150" t="str">
        <f>VLOOKUP($A157,'All Girls &amp; Descendants - Edit'!$AC$2:$AJ$438,8,FALSE)</f>
        <v>Female. b. 07/06/1954 Born at Tenterden, Kent. Priscilla of PO Box 2023, Voelklip, Hermanus 7200, Western Province, South Africa. Died in Rhodesia.</v>
      </c>
    </row>
    <row r="158" spans="1:6" s="5" customFormat="1" ht="60">
      <c r="A158" s="149">
        <f t="shared" si="3"/>
        <v>2014</v>
      </c>
      <c r="B158" s="150" t="str">
        <f>VLOOKUP($A158,'All Girls &amp; Descendants - Edit'!$AC$2:$AJ$438,2,FALSE)</f>
        <v>63aa</v>
      </c>
      <c r="C158" s="150" t="str">
        <f>VLOOKUP($A158,'All Girls &amp; Descendants - Edit'!$AC$2:$AJ$438,3,FALSE)</f>
        <v>Arthur William  MOORE (1950 - )</v>
      </c>
      <c r="D158" s="150" t="str">
        <f>VLOOKUP($A158,'All Girls &amp; Descendants - Edit'!$AC$2:$AJ$438,4,FALSE)</f>
        <v>Arthur MOORE (6th &amp; 63)</v>
      </c>
      <c r="E158" s="150" t="str">
        <f>VLOOKUP($A158,'All Girls &amp; Descendants - Edit'!$AC$2:$AJ$438,7,FALSE)</f>
        <v>Unmarried</v>
      </c>
      <c r="F158" s="150" t="str">
        <f>VLOOKUP($A158,'All Girls &amp; Descendants - Edit'!$AC$2:$AJ$438,8,FALSE)</f>
        <v>Male. b. 26/06/1950 Baptised 17 Sep 1950 at St Alban’s, Westbury Park, Bristol. Educated Lower Canada College, Montreal and Dartmouth, New England, USA (AB 1972). Sheffield University (MA). Open University (BA Maths). Systems analyst, Scottish Office, Edinburgh.</v>
      </c>
    </row>
    <row r="159" spans="1:6" s="5" customFormat="1" ht="90">
      <c r="A159" s="149">
        <f t="shared" si="3"/>
        <v>2015</v>
      </c>
      <c r="B159" s="150" t="str">
        <f>VLOOKUP($A159,'All Girls &amp; Descendants - Edit'!$AC$2:$AJ$438,2,FALSE)</f>
        <v>63ab</v>
      </c>
      <c r="C159" s="150" t="str">
        <f>VLOOKUP($A159,'All Girls &amp; Descendants - Edit'!$AC$2:$AJ$438,3,FALSE)</f>
        <v>Gareth Allen  MOORE (1985 - )</v>
      </c>
      <c r="D159" s="150" t="str">
        <f>VLOOKUP($A159,'All Girls &amp; Descendants - Edit'!$AC$2:$AJ$438,4,FALSE)</f>
        <v>Gareth MOORE (6th &amp; 63)</v>
      </c>
      <c r="E159" s="150" t="str">
        <f>VLOOKUP($A159,'All Girls &amp; Descendants - Edit'!$AC$2:$AJ$438,7,FALSE)</f>
        <v>Wife: Anne Marrei ZAJAC (b. 22/05/1950, d. ). Married at St Paul’s Episcopal, Lansing, Michigan, Anne Marie eldest daughter of Robert ZAJAC of Lansing, Michigan, USA.</v>
      </c>
      <c r="F159" s="150" t="str">
        <f>VLOOKUP($A159,'All Girls &amp; Descendants - Edit'!$AC$2:$AJ$438,8,FALSE)</f>
        <v>Male. b. 24/08/1985 Baptised 17 Sep 1954 at St Alban’s, Westbury Park, Bristol. Educated Lower Canada College, Montreal and Dartmouth, New England, USA (AB 1975). University of Guelph (DVM). Ohio State (MS 1987). Educated University of Michigan (BS 1973). Michigan State (MS DVM 1979). Ohio State (PhD 1986). Associate Professor of Parasitology, Virginia/Maryland College of Veterinary Medicine.</v>
      </c>
    </row>
    <row r="160" spans="1:6" s="5" customFormat="1" ht="45">
      <c r="A160" s="149">
        <f t="shared" si="3"/>
        <v>2016</v>
      </c>
      <c r="B160" s="150" t="str">
        <f>VLOOKUP($A160,'All Girls &amp; Descendants - Edit'!$AC$2:$AJ$438,2,FALSE)</f>
        <v>65ca</v>
      </c>
      <c r="C160" s="150" t="str">
        <f>VLOOKUP($A160,'All Girls &amp; Descendants - Edit'!$AC$2:$AJ$438,3,FALSE)</f>
        <v>Vanessa Chantal  WHEELER (1971 - )</v>
      </c>
      <c r="D160" s="150" t="str">
        <f>VLOOKUP($A160,'All Girls &amp; Descendants - Edit'!$AC$2:$AJ$438,4,FALSE)</f>
        <v>Vanessa WHEELER (6th &amp; 65)</v>
      </c>
      <c r="E160" s="150" t="str">
        <f>VLOOKUP($A160,'All Girls &amp; Descendants - Edit'!$AC$2:$AJ$438,7,FALSE)</f>
        <v>Unmarried</v>
      </c>
      <c r="F160" s="150" t="str">
        <f>VLOOKUP($A160,'All Girls &amp; Descendants - Edit'!$AC$2:$AJ$438,8,FALSE)</f>
        <v>Female. b. 01/06/1971 Educated Henrietta Barnett 1982-89 and Sidney Sussex, Cambridge1989-92 (BA). London University (PhD 1996). Research Fellow in Neurogenetics, Massachusetts General Hospital, Boston</v>
      </c>
    </row>
    <row r="161" spans="1:6" s="5" customFormat="1" ht="45">
      <c r="A161" s="149">
        <f t="shared" si="3"/>
        <v>2017</v>
      </c>
      <c r="B161" s="150" t="str">
        <f>VLOOKUP($A161,'All Girls &amp; Descendants - Edit'!$AC$2:$AJ$438,2,FALSE)</f>
        <v>65cb</v>
      </c>
      <c r="C161" s="150" t="str">
        <f>VLOOKUP($A161,'All Girls &amp; Descendants - Edit'!$AC$2:$AJ$438,3,FALSE)</f>
        <v>Karen Natalie  WHEELER (1973 - )</v>
      </c>
      <c r="D161" s="150" t="str">
        <f>VLOOKUP($A161,'All Girls &amp; Descendants - Edit'!$AC$2:$AJ$438,4,FALSE)</f>
        <v>Karen WHEELER (6th &amp; 65)</v>
      </c>
      <c r="E161" s="150" t="str">
        <f>VLOOKUP($A161,'All Girls &amp; Descendants - Edit'!$AC$2:$AJ$438,7,FALSE)</f>
        <v>Unmarried</v>
      </c>
      <c r="F161" s="150" t="str">
        <f>VLOOKUP($A161,'All Girls &amp; Descendants - Edit'!$AC$2:$AJ$438,8,FALSE)</f>
        <v>Female. b. 09/07/1973 Educated Henrietta Barnett 1984-91 and Nottingham University 1991-95 (BA).  Assistant Supervisor Ground Staff, Air France 1995-98. Sales Manager, Lagrange Holidays from 1998.</v>
      </c>
    </row>
    <row r="162" spans="1:6" s="5" customFormat="1" ht="30">
      <c r="A162" s="149">
        <f t="shared" si="3"/>
        <v>2018</v>
      </c>
      <c r="B162" s="150" t="str">
        <f>VLOOKUP($A162,'All Girls &amp; Descendants - Edit'!$AC$2:$AJ$438,2,FALSE)</f>
        <v>70aa</v>
      </c>
      <c r="C162" s="150" t="str">
        <f>VLOOKUP($A162,'All Girls &amp; Descendants - Edit'!$AC$2:$AJ$438,3,FALSE)</f>
        <v>William Richard Charles SHEARER (1951 - )</v>
      </c>
      <c r="D162" s="150" t="str">
        <f>VLOOKUP($A162,'All Girls &amp; Descendants - Edit'!$AC$2:$AJ$438,4,FALSE)</f>
        <v>William SHEARER (6th &amp; 70)</v>
      </c>
      <c r="E162" s="150" t="str">
        <f>VLOOKUP($A162,'All Girls &amp; Descendants - Edit'!$AC$2:$AJ$438,7,FALSE)</f>
        <v xml:space="preserve">Wife: Jane Monica JEFFERSON (b. 22/03/1951, d. ). </v>
      </c>
      <c r="F162" s="150" t="str">
        <f>VLOOKUP($A162,'All Girls &amp; Descendants - Edit'!$AC$2:$AJ$438,8,FALSE)</f>
        <v>Male. b. 31/01/1951 William SHEARER of Holly House, Walkers Lane, Church Brampton, Northamptonshire NN6 8DZ.</v>
      </c>
    </row>
    <row r="163" spans="1:6" s="5" customFormat="1">
      <c r="A163" s="149">
        <f t="shared" si="3"/>
        <v>2019</v>
      </c>
      <c r="B163" s="150" t="str">
        <f>VLOOKUP($A163,'All Girls &amp; Descendants - Edit'!$AC$2:$AJ$438,2,FALSE)</f>
        <v>70ab</v>
      </c>
      <c r="C163" s="150" t="str">
        <f>VLOOKUP($A163,'All Girls &amp; Descendants - Edit'!$AC$2:$AJ$438,3,FALSE)</f>
        <v>Rosemary Diana Esther SHEARER (1952 - )</v>
      </c>
      <c r="D163" s="150" t="str">
        <f>VLOOKUP($A163,'All Girls &amp; Descendants - Edit'!$AC$2:$AJ$438,4,FALSE)</f>
        <v>Rosemary SHEARER (6th &amp; 70)</v>
      </c>
      <c r="E163" s="150" t="str">
        <f>VLOOKUP($A163,'All Girls &amp; Descendants - Edit'!$AC$2:$AJ$438,7,FALSE)</f>
        <v xml:space="preserve">Husband: Pierre Robert ANDREY. </v>
      </c>
      <c r="F163" s="150" t="str">
        <f>VLOOKUP($A163,'All Girls &amp; Descendants - Edit'!$AC$2:$AJ$438,8,FALSE)</f>
        <v>Female. b. 22/11/1952</v>
      </c>
    </row>
    <row r="164" spans="1:6" s="5" customFormat="1" ht="30">
      <c r="A164" s="149">
        <f t="shared" si="3"/>
        <v>2020</v>
      </c>
      <c r="B164" s="150" t="str">
        <f>VLOOKUP($A164,'All Girls &amp; Descendants - Edit'!$AC$2:$AJ$438,2,FALSE)</f>
        <v>70ac</v>
      </c>
      <c r="C164" s="150" t="str">
        <f>VLOOKUP($A164,'All Girls &amp; Descendants - Edit'!$AC$2:$AJ$438,3,FALSE)</f>
        <v>Andrew John Micklem SHEARER (1960 - )</v>
      </c>
      <c r="D164" s="150" t="str">
        <f>VLOOKUP($A164,'All Girls &amp; Descendants - Edit'!$AC$2:$AJ$438,4,FALSE)</f>
        <v>Andrew SHEARER (6th &amp; 70)</v>
      </c>
      <c r="E164" s="150" t="str">
        <f>VLOOKUP($A164,'All Girls &amp; Descendants - Edit'!$AC$2:$AJ$438,7,FALSE)</f>
        <v>Unmarried</v>
      </c>
      <c r="F164" s="150" t="str">
        <f>VLOOKUP($A164,'All Girls &amp; Descendants - Edit'!$AC$2:$AJ$438,8,FALSE)</f>
        <v xml:space="preserve">Male. b. 01/06/1960 Andrew SHEARER of The Old Farmhouse, Alderley, Wooton-under-Edge, Gloucestershire GL12 7QT. </v>
      </c>
    </row>
    <row r="165" spans="1:6" s="5" customFormat="1">
      <c r="A165" s="149">
        <f t="shared" si="3"/>
        <v>2021</v>
      </c>
      <c r="B165" s="150" t="str">
        <f>VLOOKUP($A165,'All Girls &amp; Descendants - Edit'!$AC$2:$AJ$438,2,FALSE)</f>
        <v>70ba</v>
      </c>
      <c r="C165" s="150" t="str">
        <f>VLOOKUP($A165,'All Girls &amp; Descendants - Edit'!$AC$2:$AJ$438,3,FALSE)</f>
        <v>Charles Peter  MELITUS (1955 - )</v>
      </c>
      <c r="D165" s="150" t="str">
        <f>VLOOKUP($A165,'All Girls &amp; Descendants - Edit'!$AC$2:$AJ$438,4,FALSE)</f>
        <v>Peter MELITUS (6th &amp; 70)</v>
      </c>
      <c r="E165" s="150" t="str">
        <f>VLOOKUP($A165,'All Girls &amp; Descendants - Edit'!$AC$2:$AJ$438,7,FALSE)</f>
        <v xml:space="preserve">Wife: Susan Adele WRIGHT (b. 16/05/1952, d. ?). </v>
      </c>
      <c r="F165" s="150" t="str">
        <f>VLOOKUP($A165,'All Girls &amp; Descendants - Edit'!$AC$2:$AJ$438,8,FALSE)</f>
        <v>Male. b. 10/08/1955</v>
      </c>
    </row>
    <row r="166" spans="1:6" s="5" customFormat="1" ht="45">
      <c r="A166" s="149">
        <f t="shared" si="3"/>
        <v>2022</v>
      </c>
      <c r="B166" s="150" t="str">
        <f>VLOOKUP($A166,'All Girls &amp; Descendants - Edit'!$AC$2:$AJ$438,2,FALSE)</f>
        <v>70bb</v>
      </c>
      <c r="C166" s="150" t="str">
        <f>VLOOKUP($A166,'All Girls &amp; Descendants - Edit'!$AC$2:$AJ$438,3,FALSE)</f>
        <v>Caroline Margaret Paula MELITUS (1959 - )</v>
      </c>
      <c r="D166" s="150" t="str">
        <f>VLOOKUP($A166,'All Girls &amp; Descendants - Edit'!$AC$2:$AJ$438,4,FALSE)</f>
        <v>Caroline MELITUS (6th &amp; 70)</v>
      </c>
      <c r="E166" s="150" t="str">
        <f>VLOOKUP($A166,'All Girls &amp; Descendants - Edit'!$AC$2:$AJ$438,7,FALSE)</f>
        <v>Husband: Owen Arthur Wilfred CHALDECOTT (b. 08/01/1961, ). Married Owen Arthur Wilfred CHALDECOTT (b. 8 Jan 1961) of 62 Herringston Road, Dorchester, Dorset, DT1 2BT</v>
      </c>
      <c r="F166" s="150" t="str">
        <f>VLOOKUP($A166,'All Girls &amp; Descendants - Edit'!$AC$2:$AJ$438,8,FALSE)</f>
        <v>Female. b. 14/09/1959 Baptised 14 Apr 1960 at St Andrew’s, Grafham, Surrey.</v>
      </c>
    </row>
    <row r="167" spans="1:6" s="5" customFormat="1" ht="45">
      <c r="A167" s="149">
        <f t="shared" si="3"/>
        <v>2023</v>
      </c>
      <c r="B167" s="150" t="str">
        <f>VLOOKUP($A167,'All Girls &amp; Descendants - Edit'!$AC$2:$AJ$438,2,FALSE)</f>
        <v>70ca</v>
      </c>
      <c r="C167" s="150" t="str">
        <f>VLOOKUP($A167,'All Girls &amp; Descendants - Edit'!$AC$2:$AJ$438,3,FALSE)</f>
        <v>Arthur Hugo Micklem PAGE (1951 - )</v>
      </c>
      <c r="D167" s="150" t="str">
        <f>VLOOKUP($A167,'All Girls &amp; Descendants - Edit'!$AC$2:$AJ$438,4,FALSE)</f>
        <v>Hugo PAGE (6th &amp; 70)</v>
      </c>
      <c r="E167" s="150" t="str">
        <f>VLOOKUP($A167,'All Girls &amp; Descendants - Edit'!$AC$2:$AJ$438,7,FALSE)</f>
        <v>Wife: Angelique DE FOLIN (b. 09/04/1968, ). Married  in Venice, Angelique  daughter of Le Marquis DE FOLIN of Paris.</v>
      </c>
      <c r="F167" s="150" t="str">
        <f>VLOOKUP($A167,'All Girls &amp; Descendants - Edit'!$AC$2:$AJ$438,8,FALSE)</f>
        <v>Male. b. 16/09/1951 Arthur of 20 Brechin Place, London SW7 4QA. Educated Harrow and Magdalene College, Cambridge (Engineering &amp; Philosophy). Barrister-at-law.</v>
      </c>
    </row>
    <row r="168" spans="1:6" s="5" customFormat="1" ht="45">
      <c r="A168" s="149">
        <f t="shared" si="3"/>
        <v>2024</v>
      </c>
      <c r="B168" s="150" t="str">
        <f>VLOOKUP($A168,'All Girls &amp; Descendants - Edit'!$AC$2:$AJ$438,2,FALSE)</f>
        <v>70cb</v>
      </c>
      <c r="C168" s="150" t="str">
        <f>VLOOKUP($A168,'All Girls &amp; Descendants - Edit'!$AC$2:$AJ$438,3,FALSE)</f>
        <v>John Nathaniel Micklem PAGE (1953 - )</v>
      </c>
      <c r="D168" s="150" t="str">
        <f>VLOOKUP($A168,'All Girls &amp; Descendants - Edit'!$AC$2:$AJ$438,4,FALSE)</f>
        <v>Nat PAGE (6th &amp; 70)</v>
      </c>
      <c r="E168" s="150" t="str">
        <f>VLOOKUP($A168,'All Girls &amp; Descendants - Edit'!$AC$2:$AJ$438,7,FALSE)</f>
        <v>Wife: Lady Katharine Rose Celestine (Kate) ASQUITH (b. 16/10/1949, ). Kate 2nd daughter of the Earl of OXFORD and ASQUITH.</v>
      </c>
      <c r="F168" s="150" t="str">
        <f>VLOOKUP($A168,'All Girls &amp; Descendants - Edit'!$AC$2:$AJ$438,8,FALSE)</f>
        <v>Male. b. 16/12/1953 Nat of Upper Leigh Farm, East Knoyle, Salisbry, Wiltshire SP3 6AP. Twin with his brother (Henry). Educated Harrow and New Colege, Oxford (Biology).</v>
      </c>
    </row>
    <row r="169" spans="1:6" s="5" customFormat="1" ht="30">
      <c r="A169" s="149">
        <f t="shared" si="3"/>
        <v>2025</v>
      </c>
      <c r="B169" s="150" t="str">
        <f>VLOOKUP($A169,'All Girls &amp; Descendants - Edit'!$AC$2:$AJ$438,2,FALSE)</f>
        <v>70cc</v>
      </c>
      <c r="C169" s="150" t="str">
        <f>VLOOKUP($A169,'All Girls &amp; Descendants - Edit'!$AC$2:$AJ$438,3,FALSE)</f>
        <v>Henry Charles Micklem PAGE (1953 - )</v>
      </c>
      <c r="D169" s="150" t="str">
        <f>VLOOKUP($A169,'All Girls &amp; Descendants - Edit'!$AC$2:$AJ$438,4,FALSE)</f>
        <v>Henry PAGE (6th &amp; 70)</v>
      </c>
      <c r="E169" s="150" t="str">
        <f>VLOOKUP($A169,'All Girls &amp; Descendants - Edit'!$AC$2:$AJ$438,7,FALSE)</f>
        <v>Wife: Isabelle ANTHOT (b. 1960). Married at St Anthot, Dijon, daughter of Le Viscompte DE SAINT ANTHOT</v>
      </c>
      <c r="F169" s="150" t="str">
        <f>VLOOKUP($A169,'All Girls &amp; Descendants - Edit'!$AC$2:$AJ$438,8,FALSE)</f>
        <v>Male. b. 16/12/1953 Henry of of Penningtons, 23 Rue d' Anjou 75008, paris. Educated Gordonstoun. Solicitor.</v>
      </c>
    </row>
    <row r="170" spans="1:6" s="5" customFormat="1" ht="30">
      <c r="A170" s="149">
        <f t="shared" si="3"/>
        <v>2026</v>
      </c>
      <c r="B170" s="150" t="str">
        <f>VLOOKUP($A170,'All Girls &amp; Descendants - Edit'!$AC$2:$AJ$438,2,FALSE)</f>
        <v>70cd</v>
      </c>
      <c r="C170" s="150" t="str">
        <f>VLOOKUP($A170,'All Girls &amp; Descendants - Edit'!$AC$2:$AJ$438,3,FALSE)</f>
        <v>Rupert James Oliver PAGE (1963 - )</v>
      </c>
      <c r="D170" s="150" t="str">
        <f>VLOOKUP($A170,'All Girls &amp; Descendants - Edit'!$AC$2:$AJ$438,4,FALSE)</f>
        <v>Rupert PAGE (6th &amp; 70)</v>
      </c>
      <c r="E170" s="150" t="str">
        <f>VLOOKUP($A170,'All Girls &amp; Descendants - Edit'!$AC$2:$AJ$438,7,FALSE)</f>
        <v xml:space="preserve">Wife: Philippa Clare DOWDESWELL (b. 1974). </v>
      </c>
      <c r="F170" s="150" t="str">
        <f>VLOOKUP($A170,'All Girls &amp; Descendants - Edit'!$AC$2:$AJ$438,8,FALSE)</f>
        <v>Male. b. 06/08/1963 Rupert of Old Manor Cottage, Waddesdon, Aylesbury, Buckinghamshire  HP18 0LG. Educated Eton 1977-81 and Kings College, London.</v>
      </c>
    </row>
    <row r="171" spans="1:6" s="5" customFormat="1" ht="30">
      <c r="A171" s="149">
        <f t="shared" si="3"/>
        <v>2027</v>
      </c>
      <c r="B171" s="150" t="str">
        <f>VLOOKUP($A171,'All Girls &amp; Descendants - Edit'!$AC$2:$AJ$438,2,FALSE)</f>
        <v>70da</v>
      </c>
      <c r="C171" s="150" t="str">
        <f>VLOOKUP($A171,'All Girls &amp; Descendants - Edit'!$AC$2:$AJ$438,3,FALSE)</f>
        <v>Philippa Rhona  MICKLEM (1958 - )</v>
      </c>
      <c r="D171" s="150" t="str">
        <f>VLOOKUP($A171,'All Girls &amp; Descendants - Edit'!$AC$2:$AJ$438,4,FALSE)</f>
        <v>Philippa MICKLEM (6th &amp; 70)</v>
      </c>
      <c r="E171" s="150" t="str">
        <f>VLOOKUP($A171,'All Girls &amp; Descendants - Edit'!$AC$2:$AJ$438,7,FALSE)</f>
        <v xml:space="preserve">Husband: (1) Gary Maxwell WEILEY (Divorced 1992); (2) 03/06/2000 Colin John GILLANDERS (b. 17/07/1954). </v>
      </c>
      <c r="F171" s="150" t="str">
        <f>VLOOKUP($A171,'All Girls &amp; Descendants - Edit'!$AC$2:$AJ$438,8,FALSE)</f>
        <v>Female. b. 24/09/1958</v>
      </c>
    </row>
    <row r="172" spans="1:6" s="5" customFormat="1">
      <c r="A172" s="149">
        <f t="shared" si="3"/>
        <v>2028</v>
      </c>
      <c r="B172" s="150" t="str">
        <f>VLOOKUP($A172,'All Girls &amp; Descendants - Edit'!$AC$2:$AJ$438,2,FALSE)</f>
        <v>70db</v>
      </c>
      <c r="C172" s="150" t="str">
        <f>VLOOKUP($A172,'All Girls &amp; Descendants - Edit'!$AC$2:$AJ$438,3,FALSE)</f>
        <v>Jeremy Charles Cracroft MICKLEM (1961 - )</v>
      </c>
      <c r="D172" s="150" t="str">
        <f>VLOOKUP($A172,'All Girls &amp; Descendants - Edit'!$AC$2:$AJ$438,4,FALSE)</f>
        <v>Jeremy MICKLEM (6th &amp; 70)</v>
      </c>
      <c r="E172" s="150" t="str">
        <f>VLOOKUP($A172,'All Girls &amp; Descendants - Edit'!$AC$2:$AJ$438,7,FALSE)</f>
        <v>Unmarried</v>
      </c>
      <c r="F172" s="150" t="str">
        <f>VLOOKUP($A172,'All Girls &amp; Descendants - Edit'!$AC$2:$AJ$438,8,FALSE)</f>
        <v>Male. b. 06/02/1961</v>
      </c>
    </row>
    <row r="173" spans="1:6" s="5" customFormat="1">
      <c r="A173" s="149">
        <f t="shared" si="3"/>
        <v>2029</v>
      </c>
      <c r="B173" s="150" t="str">
        <f>VLOOKUP($A173,'All Girls &amp; Descendants - Edit'!$AC$2:$AJ$438,2,FALSE)</f>
        <v>70dc</v>
      </c>
      <c r="C173" s="150" t="str">
        <f>VLOOKUP($A173,'All Girls &amp; Descendants - Edit'!$AC$2:$AJ$438,3,FALSE)</f>
        <v>Sylvia Diana  MICKLEM (1964 - )</v>
      </c>
      <c r="D173" s="150" t="str">
        <f>VLOOKUP($A173,'All Girls &amp; Descendants - Edit'!$AC$2:$AJ$438,4,FALSE)</f>
        <v>Sylvie MICKLEM (6th &amp; 70)</v>
      </c>
      <c r="E173" s="150" t="str">
        <f>VLOOKUP($A173,'All Girls &amp; Descendants - Edit'!$AC$2:$AJ$438,7,FALSE)</f>
        <v xml:space="preserve">Husband: Andrew Alistair Gavin GOW (b. 03/01/1965, ). </v>
      </c>
      <c r="F173" s="150" t="str">
        <f>VLOOKUP($A173,'All Girls &amp; Descendants - Edit'!$AC$2:$AJ$438,8,FALSE)</f>
        <v>Female. b. 09/07/1964</v>
      </c>
    </row>
    <row r="174" spans="1:6" s="5" customFormat="1">
      <c r="A174" s="149">
        <f t="shared" si="3"/>
        <v>2030</v>
      </c>
      <c r="B174" s="150" t="str">
        <f>VLOOKUP($A174,'All Girls &amp; Descendants - Edit'!$AC$2:$AJ$438,2,FALSE)</f>
        <v>85aa</v>
      </c>
      <c r="C174" s="150" t="str">
        <f>VLOOKUP($A174,'All Girls &amp; Descendants - Edit'!$AC$2:$AJ$438,3,FALSE)</f>
        <v>Charlotte Mary  LANE FOX (1967 - )</v>
      </c>
      <c r="D174" s="150" t="str">
        <f>VLOOKUP($A174,'All Girls &amp; Descendants - Edit'!$AC$2:$AJ$438,4,FALSE)</f>
        <v>Charlotte LANE FOX (7th &amp; 85)</v>
      </c>
      <c r="E174" s="150" t="str">
        <f>VLOOKUP($A174,'All Girls &amp; Descendants - Edit'!$AC$2:$AJ$438,7,FALSE)</f>
        <v xml:space="preserve">Husband: Bruce J ELLIS (b. , ). </v>
      </c>
      <c r="F174" s="150" t="str">
        <f>VLOOKUP($A174,'All Girls &amp; Descendants - Edit'!$AC$2:$AJ$438,8,FALSE)</f>
        <v>Female. b. 18/04/1967 Baptised 6 July 1967 at St James’s, Piccadilly, London W1.</v>
      </c>
    </row>
    <row r="175" spans="1:6" s="5" customFormat="1">
      <c r="A175" s="149">
        <f t="shared" si="3"/>
        <v>2031</v>
      </c>
      <c r="B175" s="150" t="str">
        <f>VLOOKUP($A175,'All Girls &amp; Descendants - Edit'!$AC$2:$AJ$438,2,FALSE)</f>
        <v>85ab</v>
      </c>
      <c r="C175" s="150" t="str">
        <f>VLOOKUP($A175,'All Girls &amp; Descendants - Edit'!$AC$2:$AJ$438,3,FALSE)</f>
        <v>Oliver James  LANE FOX (1968 - )</v>
      </c>
      <c r="D175" s="150" t="str">
        <f>VLOOKUP($A175,'All Girls &amp; Descendants - Edit'!$AC$2:$AJ$438,4,FALSE)</f>
        <v>Oliver LANE FOX (7th &amp; 85)</v>
      </c>
      <c r="E175" s="150" t="str">
        <f>VLOOKUP($A175,'All Girls &amp; Descendants - Edit'!$AC$2:$AJ$438,7,FALSE)</f>
        <v xml:space="preserve">Wife: Harriet (Hatty) MADDEN.. </v>
      </c>
      <c r="F175" s="150" t="str">
        <f>VLOOKUP($A175,'All Girls &amp; Descendants - Edit'!$AC$2:$AJ$438,8,FALSE)</f>
        <v>Male. b. 03/09/1968 Educated Eton.</v>
      </c>
    </row>
    <row r="176" spans="1:6" s="5" customFormat="1" ht="30">
      <c r="A176" s="149">
        <f t="shared" si="3"/>
        <v>2032</v>
      </c>
      <c r="B176" s="150" t="str">
        <f>VLOOKUP($A176,'All Girls &amp; Descendants - Edit'!$AC$2:$AJ$438,2,FALSE)</f>
        <v>85ac</v>
      </c>
      <c r="C176" s="150" t="str">
        <f>VLOOKUP($A176,'All Girls &amp; Descendants - Edit'!$AC$2:$AJ$438,3,FALSE)</f>
        <v>Sophie Anne  LANE FOX (1972 - )</v>
      </c>
      <c r="D176" s="150" t="str">
        <f>VLOOKUP($A176,'All Girls &amp; Descendants - Edit'!$AC$2:$AJ$438,4,FALSE)</f>
        <v>Sophie LANE FOX (7th &amp; 85)</v>
      </c>
      <c r="E176" s="150" t="str">
        <f>VLOOKUP($A176,'All Girls &amp; Descendants - Edit'!$AC$2:$AJ$438,7,FALSE)</f>
        <v>Unmarried</v>
      </c>
      <c r="F176" s="150" t="str">
        <f>VLOOKUP($A176,'All Girls &amp; Descendants - Edit'!$AC$2:$AJ$438,8,FALSE)</f>
        <v>Female. b. 21/07/1972 Baptised 31 Oct 1972 at St John’s Wood Church, London NW8.</v>
      </c>
    </row>
    <row r="177" spans="1:6" s="5" customFormat="1" ht="30">
      <c r="A177" s="149">
        <f t="shared" si="3"/>
        <v>2033</v>
      </c>
      <c r="B177" s="150" t="str">
        <f>VLOOKUP($A177,'All Girls &amp; Descendants - Edit'!$AC$2:$AJ$438,2,FALSE)</f>
        <v>85ba</v>
      </c>
      <c r="C177" s="150" t="str">
        <f>VLOOKUP($A177,'All Girls &amp; Descendants - Edit'!$AC$2:$AJ$438,3,FALSE)</f>
        <v>Lucy Jane  LANE FOX (1965 - )</v>
      </c>
      <c r="D177" s="150" t="str">
        <f>VLOOKUP($A177,'All Girls &amp; Descendants - Edit'!$AC$2:$AJ$438,4,FALSE)</f>
        <v>Lucy LANE FOX (7th &amp; 85)</v>
      </c>
      <c r="E177" s="150" t="str">
        <f>VLOOKUP($A177,'All Girls &amp; Descendants - Edit'!$AC$2:$AJ$438,7,FALSE)</f>
        <v>Husband: Giles B. TRENTHAM (b. 1958, d. 1988). Giles, son of David TRENTHAM, Captain Royal Navy. Divorced 1996</v>
      </c>
      <c r="F177" s="150" t="str">
        <f>VLOOKUP($A177,'All Girls &amp; Descendants - Edit'!$AC$2:$AJ$438,8,FALSE)</f>
        <v>Female. b. 25/09/1965 Baptised 21 Nov 1965 at All Saints’, Middleton Cheney, Banbury, Oxfordshire. Educated Wycombe Abbey and Bristol University.</v>
      </c>
    </row>
    <row r="178" spans="1:6" s="5" customFormat="1" ht="30">
      <c r="A178" s="149">
        <f t="shared" si="3"/>
        <v>2034</v>
      </c>
      <c r="B178" s="150" t="str">
        <f>VLOOKUP($A178,'All Girls &amp; Descendants - Edit'!$AC$2:$AJ$438,2,FALSE)</f>
        <v>85bb</v>
      </c>
      <c r="C178" s="150" t="str">
        <f>VLOOKUP($A178,'All Girls &amp; Descendants - Edit'!$AC$2:$AJ$438,3,FALSE)</f>
        <v>Serena Mary  LANE FOX (1967 - )</v>
      </c>
      <c r="D178" s="150" t="str">
        <f>VLOOKUP($A178,'All Girls &amp; Descendants - Edit'!$AC$2:$AJ$438,4,FALSE)</f>
        <v>Serena LANE FOX (7th &amp; 85)</v>
      </c>
      <c r="E178" s="150" t="str">
        <f>VLOOKUP($A178,'All Girls &amp; Descendants - Edit'!$AC$2:$AJ$438,7,FALSE)</f>
        <v>Husband: Duncan Paul Brendan MAILE (b. 29/05/1998, ). Duncan  son of Donald George MAILE of Norwich, Norfolk.</v>
      </c>
      <c r="F178" s="150" t="str">
        <f>VLOOKUP($A178,'All Girls &amp; Descendants - Edit'!$AC$2:$AJ$438,8,FALSE)</f>
        <v>Female. b. 19/02/1967 Baptised 14 May 1967 at St Mary’s, Lower Heyford, Oxfordshire. Educated Hatherop Castle, Gloucestershire and in Paris.</v>
      </c>
    </row>
    <row r="179" spans="1:6" s="5" customFormat="1" ht="30">
      <c r="A179" s="149">
        <f t="shared" si="3"/>
        <v>2035</v>
      </c>
      <c r="B179" s="150" t="str">
        <f>VLOOKUP($A179,'All Girls &amp; Descendants - Edit'!$AC$2:$AJ$438,2,FALSE)</f>
        <v>85bc</v>
      </c>
      <c r="C179" s="150" t="str">
        <f>VLOOKUP($A179,'All Girls &amp; Descendants - Edit'!$AC$2:$AJ$438,3,FALSE)</f>
        <v>Emily Laura  LANE FOX (1969 - )</v>
      </c>
      <c r="D179" s="150" t="str">
        <f>VLOOKUP($A179,'All Girls &amp; Descendants - Edit'!$AC$2:$AJ$438,4,FALSE)</f>
        <v>Emily LANE FOX (7th &amp; 85)</v>
      </c>
      <c r="E179" s="150" t="str">
        <f>VLOOKUP($A179,'All Girls &amp; Descendants - Edit'!$AC$2:$AJ$438,7,FALSE)</f>
        <v>Husband: Cyril Benoit Gabriel GASZTOWTT (b. 26/03/1965, ). Cyril son of Benoit Leon Marie GASZTOWTT of Paris.</v>
      </c>
      <c r="F179" s="150" t="str">
        <f>VLOOKUP($A179,'All Girls &amp; Descendants - Edit'!$AC$2:$AJ$438,8,FALSE)</f>
        <v>Female. b. 02/10/1969 Baptised. 30 Nov 1969 at St Mary’s, Lower Heyford, Oxfordshire.</v>
      </c>
    </row>
    <row r="180" spans="1:6" s="5" customFormat="1" ht="30">
      <c r="A180" s="149">
        <f t="shared" si="3"/>
        <v>2036</v>
      </c>
      <c r="B180" s="150" t="str">
        <f>VLOOKUP($A180,'All Girls &amp; Descendants - Edit'!$AC$2:$AJ$438,2,FALSE)</f>
        <v>85bd</v>
      </c>
      <c r="C180" s="150" t="str">
        <f>VLOOKUP($A180,'All Girls &amp; Descendants - Edit'!$AC$2:$AJ$438,3,FALSE)</f>
        <v>Charles James  LANE FOX (1977 - )</v>
      </c>
      <c r="D180" s="150" t="str">
        <f>VLOOKUP($A180,'All Girls &amp; Descendants - Edit'!$AC$2:$AJ$438,4,FALSE)</f>
        <v>Charles LANE FOX (7th &amp; 85)</v>
      </c>
      <c r="E180" s="150" t="str">
        <f>VLOOKUP($A180,'All Girls &amp; Descendants - Edit'!$AC$2:$AJ$438,7,FALSE)</f>
        <v>Unmarried</v>
      </c>
      <c r="F180" s="150" t="str">
        <f>VLOOKUP($A180,'All Girls &amp; Descendants - Edit'!$AC$2:$AJ$438,8,FALSE)</f>
        <v>Male. b. 03/04/1977 Baptised 10 Jul 1977 at St Mary’s, Lower Heyford, Oxfordshire. Educated Eton and St Andrews University.</v>
      </c>
    </row>
    <row r="181" spans="1:6" s="5" customFormat="1" ht="30">
      <c r="A181" s="149">
        <f t="shared" si="3"/>
        <v>2037</v>
      </c>
      <c r="B181" s="150" t="str">
        <f>VLOOKUP($A181,'All Girls &amp; Descendants - Edit'!$AC$2:$AJ$438,2,FALSE)</f>
        <v>85ca</v>
      </c>
      <c r="C181" s="150" t="str">
        <f>VLOOKUP($A181,'All Girls &amp; Descendants - Edit'!$AC$2:$AJ$438,3,FALSE)</f>
        <v>James Alfred Louis TENNYSON d'EYNCOURT (1978 - )</v>
      </c>
      <c r="D181" s="150" t="str">
        <f>VLOOKUP($A181,'All Girls &amp; Descendants - Edit'!$AC$2:$AJ$438,4,FALSE)</f>
        <v>James TENNYSON d'EYNCOURT (7th &amp; 85)</v>
      </c>
      <c r="E181" s="150" t="str">
        <f>VLOOKUP($A181,'All Girls &amp; Descendants - Edit'!$AC$2:$AJ$438,7,FALSE)</f>
        <v>Unmarried</v>
      </c>
      <c r="F181" s="150" t="str">
        <f>VLOOKUP($A181,'All Girls &amp; Descendants - Edit'!$AC$2:$AJ$438,8,FALSE)</f>
        <v>Male. b. 11/06/1978 Baptised Oct 1978 at the Queen’s Chapel of the Savoy, London WC2. Educated Eton and Taunton.</v>
      </c>
    </row>
    <row r="182" spans="1:6" s="5" customFormat="1" ht="30">
      <c r="A182" s="149">
        <f t="shared" si="3"/>
        <v>2038</v>
      </c>
      <c r="B182" s="150" t="str">
        <f>VLOOKUP($A182,'All Girls &amp; Descendants - Edit'!$AC$2:$AJ$438,2,FALSE)</f>
        <v>85cb</v>
      </c>
      <c r="C182" s="150" t="str">
        <f>VLOOKUP($A182,'All Girls &amp; Descendants - Edit'!$AC$2:$AJ$438,3,FALSE)</f>
        <v>Frances Rosemary Amaryllis TENNYSON d'EYNCOURT (1980 - )</v>
      </c>
      <c r="D182" s="150" t="str">
        <f>VLOOKUP($A182,'All Girls &amp; Descendants - Edit'!$AC$2:$AJ$438,4,FALSE)</f>
        <v>Frances TENNYSON d'EYNCOURT (7th &amp; 85)</v>
      </c>
      <c r="E182" s="150" t="str">
        <f>VLOOKUP($A182,'All Girls &amp; Descendants - Edit'!$AC$2:$AJ$438,7,FALSE)</f>
        <v>Unmarried</v>
      </c>
      <c r="F182" s="150" t="str">
        <f>VLOOKUP($A182,'All Girls &amp; Descendants - Edit'!$AC$2:$AJ$438,8,FALSE)</f>
        <v>Female. b. 22/03/1980 Baptised 13 Jul 1980 at the Queen’s Chapel of the Savoy, London WC2. Educated Godolphin &amp; Latymer.</v>
      </c>
    </row>
    <row r="183" spans="1:6" s="5" customFormat="1" ht="60">
      <c r="A183" s="149">
        <f t="shared" si="3"/>
        <v>2039</v>
      </c>
      <c r="B183" s="150" t="str">
        <f>VLOOKUP($A183,'All Girls &amp; Descendants - Edit'!$AC$2:$AJ$438,2,FALSE)</f>
        <v>85da</v>
      </c>
      <c r="C183" s="150" t="str">
        <f>VLOOKUP($A183,'All Girls &amp; Descendants - Edit'!$AC$2:$AJ$438,3,FALSE)</f>
        <v>Martha   LANE FOX (1973 - )</v>
      </c>
      <c r="D183" s="150" t="str">
        <f>VLOOKUP($A183,'All Girls &amp; Descendants - Edit'!$AC$2:$AJ$438,4,FALSE)</f>
        <v>Martha LANE FOX (7th &amp; 85)</v>
      </c>
      <c r="E183" s="150" t="str">
        <f>VLOOKUP($A183,'All Girls &amp; Descendants - Edit'!$AC$2:$AJ$438,7,FALSE)</f>
        <v>Unmarried</v>
      </c>
      <c r="F183" s="150" t="str">
        <f>VLOOKUP($A183,'All Girls &amp; Descendants - Edit'!$AC$2:$AJ$438,8,FALSE)</f>
        <v>Female. b. 10/02/1973 Baptised 10 Aug 1973 at Hatley St George, Cambridgeshire. Educated Oxford High 1983-89, Westminster 1989-91 and Magdalen College, Oxford 1991-94. Joint Founder e-business ‘lastminute.com’ 1998. Martha created CBE in 2013 and created a Life Baroness.</v>
      </c>
    </row>
    <row r="184" spans="1:6" s="5" customFormat="1" ht="30">
      <c r="A184" s="149">
        <f t="shared" si="3"/>
        <v>2040</v>
      </c>
      <c r="B184" s="150" t="str">
        <f>VLOOKUP($A184,'All Girls &amp; Descendants - Edit'!$AC$2:$AJ$438,2,FALSE)</f>
        <v>85db</v>
      </c>
      <c r="C184" s="150" t="str">
        <f>VLOOKUP($A184,'All Girls &amp; Descendants - Edit'!$AC$2:$AJ$438,3,FALSE)</f>
        <v>Henry James  LANE FOX (1974 - )</v>
      </c>
      <c r="D184" s="150" t="str">
        <f>VLOOKUP($A184,'All Girls &amp; Descendants - Edit'!$AC$2:$AJ$438,4,FALSE)</f>
        <v>Henry LANE FOX (7th &amp; 85)</v>
      </c>
      <c r="E184" s="150" t="str">
        <f>VLOOKUP($A184,'All Girls &amp; Descendants - Edit'!$AC$2:$AJ$438,7,FALSE)</f>
        <v>Unmarried</v>
      </c>
      <c r="F184" s="150" t="str">
        <f>VLOOKUP($A184,'All Girls &amp; Descendants - Edit'!$AC$2:$AJ$438,8,FALSE)</f>
        <v>Male. b. 19/10/1974 Baptised 20 Feb 1975 at Beckley, Oxfordshire. Educated Eton 1987-92 and Wadham College, Oxford 1992-96.</v>
      </c>
    </row>
    <row r="185" spans="1:6" s="5" customFormat="1" ht="75">
      <c r="A185" s="149">
        <f t="shared" si="3"/>
        <v>2041</v>
      </c>
      <c r="B185" s="150" t="str">
        <f>VLOOKUP($A185,'All Girls &amp; Descendants - Edit'!$AC$2:$AJ$438,2,FALSE)</f>
        <v>88aa</v>
      </c>
      <c r="C185" s="150" t="str">
        <f>VLOOKUP($A185,'All Girls &amp; Descendants - Edit'!$AC$2:$AJ$438,3,FALSE)</f>
        <v>Richard Ian  HOLMAN (1958 - )</v>
      </c>
      <c r="D185" s="150" t="str">
        <f>VLOOKUP($A185,'All Girls &amp; Descendants - Edit'!$AC$2:$AJ$438,4,FALSE)</f>
        <v>Richard BAIRD (7th &amp; 88)</v>
      </c>
      <c r="E185" s="150" t="str">
        <f>VLOOKUP($A185,'All Girls &amp; Descendants - Edit'!$AC$2:$AJ$438,7,FALSE)</f>
        <v>Wife: (1) 20 Apr 1985 Saragh Evelyn WOOD (b. 25 Jul 1958, d. 7 May 1987, buried at Banchory). (2) 13 Apr 1996 Polly Sophia (b. 27/07/1958). (1) Married Saragh at Kirkoswald; (2) Married Poly THOMPSON at Longparish, Hampshire, only daughter of Angus THOMSON.</v>
      </c>
      <c r="F185" s="150" t="str">
        <f>VLOOKUP($A185,'All Girls &amp; Descendants - Edit'!$AC$2:$AJ$438,8,FALSE)</f>
        <v>Male. b. 02/09/1958 Richard of Ury and Lockwood, of Glenton House, Rickarton, Stonehaven, Kincardinshire. Baptised at Rudgwick, Sussex. Educated Gordonstoun.</v>
      </c>
    </row>
    <row r="186" spans="1:6" s="5" customFormat="1">
      <c r="A186" s="149">
        <f t="shared" si="3"/>
        <v>2042</v>
      </c>
      <c r="B186" s="150" t="str">
        <f>VLOOKUP($A186,'All Girls &amp; Descendants - Edit'!$AC$2:$AJ$438,2,FALSE)</f>
        <v>88ab</v>
      </c>
      <c r="C186" s="150" t="str">
        <f>VLOOKUP($A186,'All Girls &amp; Descendants - Edit'!$AC$2:$AJ$438,3,FALSE)</f>
        <v>Edward   HOLMAN (1960 - )</v>
      </c>
      <c r="D186" s="150" t="str">
        <f>VLOOKUP($A186,'All Girls &amp; Descendants - Edit'!$AC$2:$AJ$438,4,FALSE)</f>
        <v>Edward HOLMAN (7th &amp; 88)</v>
      </c>
      <c r="E186" s="150" t="str">
        <f>VLOOKUP($A186,'All Girls &amp; Descendants - Edit'!$AC$2:$AJ$438,7,FALSE)</f>
        <v>Unmarried</v>
      </c>
      <c r="F186" s="150" t="str">
        <f>VLOOKUP($A186,'All Girls &amp; Descendants - Edit'!$AC$2:$AJ$438,8,FALSE)</f>
        <v>Male. b. 15/02/1960 Baptised at Rudgwick, Sussex. Educated Gordonstoun.</v>
      </c>
    </row>
    <row r="187" spans="1:6" s="5" customFormat="1" ht="60">
      <c r="A187" s="149">
        <f t="shared" si="3"/>
        <v>2043</v>
      </c>
      <c r="B187" s="150" t="str">
        <f>VLOOKUP($A187,'All Girls &amp; Descendants - Edit'!$AC$2:$AJ$438,2,FALSE)</f>
        <v>88ac</v>
      </c>
      <c r="C187" s="150" t="str">
        <f>VLOOKUP($A187,'All Girls &amp; Descendants - Edit'!$AC$2:$AJ$438,3,FALSE)</f>
        <v>Georgina Mary  HOLMAN (1964 - )</v>
      </c>
      <c r="D187" s="150" t="str">
        <f>VLOOKUP($A187,'All Girls &amp; Descendants - Edit'!$AC$2:$AJ$438,4,FALSE)</f>
        <v>Georgina HOLMAN (7th &amp; 88)</v>
      </c>
      <c r="E187" s="150" t="str">
        <f>VLOOKUP($A187,'All Girls &amp; Descendants - Edit'!$AC$2:$AJ$438,7,FALSE)</f>
        <v>Husband: Charles STIRRUP (b. 06/02/1961, d.). Married at Kincardine-O-Neil, Charles (b. 6 Feb 1961) of 6 St Luke’s Street, London SW3, only son of John Hayward STIRRUP of Christmas Cottage, Simon’s Town, Cape, South Africa.</v>
      </c>
      <c r="F187" s="150" t="str">
        <f>VLOOKUP($A187,'All Girls &amp; Descendants - Edit'!$AC$2:$AJ$438,8,FALSE)</f>
        <v>Female. b. 04/10/1964 Baptised at Rudgwick, Sussex. Educated North Foreland Lodge, Basingstoke 1972-78.</v>
      </c>
    </row>
    <row r="188" spans="1:6" s="5" customFormat="1" ht="30">
      <c r="A188" s="149">
        <f t="shared" si="3"/>
        <v>2044</v>
      </c>
      <c r="B188" s="150" t="str">
        <f>VLOOKUP($A188,'All Girls &amp; Descendants - Edit'!$AC$2:$AJ$438,2,FALSE)</f>
        <v>88ad</v>
      </c>
      <c r="C188" s="150" t="str">
        <f>VLOOKUP($A188,'All Girls &amp; Descendants - Edit'!$AC$2:$AJ$438,3,FALSE)</f>
        <v>Emma Charlotte  HOLMAN (1966 - )</v>
      </c>
      <c r="D188" s="150" t="str">
        <f>VLOOKUP($A188,'All Girls &amp; Descendants - Edit'!$AC$2:$AJ$438,4,FALSE)</f>
        <v>Emma HOLMAN (7th &amp; 88)</v>
      </c>
      <c r="E188" s="150" t="str">
        <f>VLOOKUP($A188,'All Girls &amp; Descendants - Edit'!$AC$2:$AJ$438,7,FALSE)</f>
        <v>Husband: Benjamin (Ben) COLE (b. 16/03/1963, ). Married  at Banchory. Ben of Staplecross, Sussex.</v>
      </c>
      <c r="F188" s="150" t="str">
        <f>VLOOKUP($A188,'All Girls &amp; Descendants - Edit'!$AC$2:$AJ$438,8,FALSE)</f>
        <v>Female. b. 11/04/1966 Emma of Easter Friarton, Newport on Tay, Fife, DD6 8RB. Baptised at Rudgwick, Sussex. Educated Southover.</v>
      </c>
    </row>
    <row r="189" spans="1:6" s="5" customFormat="1" ht="30">
      <c r="A189" s="149">
        <f t="shared" si="3"/>
        <v>2045</v>
      </c>
      <c r="B189" s="150" t="str">
        <f>VLOOKUP($A189,'All Girls &amp; Descendants - Edit'!$AC$2:$AJ$438,2,FALSE)</f>
        <v>88ba</v>
      </c>
      <c r="C189" s="150" t="str">
        <f>VLOOKUP($A189,'All Girls &amp; Descendants - Edit'!$AC$2:$AJ$438,3,FALSE)</f>
        <v>James William Falconer KEITH (1976 - )</v>
      </c>
      <c r="D189" s="150" t="str">
        <f>VLOOKUP($A189,'All Girls &amp; Descendants - Edit'!$AC$2:$AJ$438,4,FALSE)</f>
        <v>James KEITH (7th &amp; 88)</v>
      </c>
      <c r="E189" s="150" t="str">
        <f>VLOOKUP($A189,'All Girls &amp; Descendants - Edit'!$AC$2:$AJ$438,7,FALSE)</f>
        <v xml:space="preserve">Wife: Carrie. </v>
      </c>
      <c r="F189" s="150" t="str">
        <f>VLOOKUP($A189,'All Girls &amp; Descendants - Edit'!$AC$2:$AJ$438,8,FALSE)</f>
        <v>Male. b. 15/04/1976 James William Falconer KEITH, Lord INVERURIE, Master of KINTORE.</v>
      </c>
    </row>
    <row r="190" spans="1:6" s="5" customFormat="1" ht="30">
      <c r="A190" s="149">
        <f t="shared" si="3"/>
        <v>2046</v>
      </c>
      <c r="B190" s="150" t="str">
        <f>VLOOKUP($A190,'All Girls &amp; Descendants - Edit'!$AC$2:$AJ$438,2,FALSE)</f>
        <v>88ca</v>
      </c>
      <c r="C190" s="150" t="str">
        <f>VLOOKUP($A190,'All Girls &amp; Descendants - Edit'!$AC$2:$AJ$438,3,FALSE)</f>
        <v>The Honourable Iona Delia Mary Gaddis KEITH (1978 - )</v>
      </c>
      <c r="D190" s="150" t="str">
        <f>VLOOKUP($A190,'All Girls &amp; Descendants - Edit'!$AC$2:$AJ$438,4,FALSE)</f>
        <v>The Honourable Iona KEITH (7th &amp; 88)</v>
      </c>
      <c r="E190" s="150" t="str">
        <f>VLOOKUP($A190,'All Girls &amp; Descendants - Edit'!$AC$2:$AJ$438,7,FALSE)</f>
        <v xml:space="preserve">Husband: Mark HOPKINS. </v>
      </c>
      <c r="F190" s="150" t="str">
        <f>VLOOKUP($A190,'All Girls &amp; Descendants - Edit'!$AC$2:$AJ$438,8,FALSE)</f>
        <v>Female. b. 01/01/1978 The Hon Iona Delia Mary Gaddis KEITH. Baptised at Keith Hall Church.</v>
      </c>
    </row>
    <row r="191" spans="1:6" s="5" customFormat="1" ht="30">
      <c r="A191" s="149">
        <f t="shared" si="3"/>
        <v>2047</v>
      </c>
      <c r="B191" s="150" t="str">
        <f>VLOOKUP($A191,'All Girls &amp; Descendants - Edit'!$AC$2:$AJ$438,2,FALSE)</f>
        <v>90aa</v>
      </c>
      <c r="C191" s="150" t="str">
        <f>VLOOKUP($A191,'All Girls &amp; Descendants - Edit'!$AC$2:$AJ$438,3,FALSE)</f>
        <v>Emily Kate  NORMAN (1975 - )</v>
      </c>
      <c r="D191" s="150" t="str">
        <f>VLOOKUP($A191,'All Girls &amp; Descendants - Edit'!$AC$2:$AJ$438,4,FALSE)</f>
        <v>Emily NORMAN (7th &amp; 90)</v>
      </c>
      <c r="E191" s="150" t="str">
        <f>VLOOKUP($A191,'All Girls &amp; Descendants - Edit'!$AC$2:$AJ$438,7,FALSE)</f>
        <v>Unmarried</v>
      </c>
      <c r="F191" s="150" t="str">
        <f>VLOOKUP($A191,'All Girls &amp; Descendants - Edit'!$AC$2:$AJ$438,8,FALSE)</f>
        <v>Female. b. 24/09/1975 Adopted Emily Kate NORMAN. Educated North Foreland Lodge and Manchester University (BA Hons 1998).</v>
      </c>
    </row>
    <row r="192" spans="1:6" s="5" customFormat="1" ht="30">
      <c r="A192" s="149">
        <f t="shared" si="3"/>
        <v>2048</v>
      </c>
      <c r="B192" s="150" t="str">
        <f>VLOOKUP($A192,'All Girls &amp; Descendants - Edit'!$AC$2:$AJ$438,2,FALSE)</f>
        <v>90ab</v>
      </c>
      <c r="C192" s="150" t="str">
        <f>VLOOKUP($A192,'All Girls &amp; Descendants - Edit'!$AC$2:$AJ$438,3,FALSE)</f>
        <v>Lachlan John  RANKIN (1980 - )</v>
      </c>
      <c r="D192" s="150" t="str">
        <f>VLOOKUP($A192,'All Girls &amp; Descendants - Edit'!$AC$2:$AJ$438,4,FALSE)</f>
        <v>Lachlan RANKIN (7th &amp; 90)</v>
      </c>
      <c r="E192" s="150" t="str">
        <f>VLOOKUP($A192,'All Girls &amp; Descendants - Edit'!$AC$2:$AJ$438,7,FALSE)</f>
        <v>Unmarried</v>
      </c>
      <c r="F192" s="150" t="str">
        <f>VLOOKUP($A192,'All Girls &amp; Descendants - Edit'!$AC$2:$AJ$438,8,FALSE)</f>
        <v>Male. b. 27/04/1980 Born at Queen Charlotte’s Hospital, London. Educated Eton and Manchester University.</v>
      </c>
    </row>
    <row r="193" spans="1:6" s="5" customFormat="1">
      <c r="A193" s="149">
        <f t="shared" si="3"/>
        <v>2049</v>
      </c>
      <c r="B193" s="150" t="str">
        <f>VLOOKUP($A193,'All Girls &amp; Descendants - Edit'!$AC$2:$AJ$438,2,FALSE)</f>
        <v>90ba</v>
      </c>
      <c r="C193" s="150" t="str">
        <f>VLOOKUP($A193,'All Girls &amp; Descendants - Edit'!$AC$2:$AJ$438,3,FALSE)</f>
        <v>Cesare   STUDIATI BERNI (1972 - )</v>
      </c>
      <c r="D193" s="150" t="str">
        <f>VLOOKUP($A193,'All Girls &amp; Descendants - Edit'!$AC$2:$AJ$438,4,FALSE)</f>
        <v>Cesare STUDIATI BERNI (7th &amp; 90)</v>
      </c>
      <c r="E193" s="150" t="str">
        <f>VLOOKUP($A193,'All Girls &amp; Descendants - Edit'!$AC$2:$AJ$438,7,FALSE)</f>
        <v>Unmarried</v>
      </c>
      <c r="F193" s="150" t="str">
        <f>VLOOKUP($A193,'All Girls &amp; Descendants - Edit'!$AC$2:$AJ$438,8,FALSE)</f>
        <v>Female. b. 07/09/1972 Farm Manager, Pisa, Italy.</v>
      </c>
    </row>
    <row r="194" spans="1:6" s="5" customFormat="1">
      <c r="A194" s="149">
        <f t="shared" si="3"/>
        <v>2050</v>
      </c>
      <c r="B194" s="150" t="str">
        <f>VLOOKUP($A194,'All Girls &amp; Descendants - Edit'!$AC$2:$AJ$438,2,FALSE)</f>
        <v>90bb</v>
      </c>
      <c r="C194" s="150" t="str">
        <f>VLOOKUP($A194,'All Girls &amp; Descendants - Edit'!$AC$2:$AJ$438,3,FALSE)</f>
        <v>Viola   STUDIATI BERNI (1975 - )</v>
      </c>
      <c r="D194" s="150" t="str">
        <f>VLOOKUP($A194,'All Girls &amp; Descendants - Edit'!$AC$2:$AJ$438,4,FALSE)</f>
        <v>Viola STUDIATI BERNI (7th &amp; 90)</v>
      </c>
      <c r="E194" s="150" t="str">
        <f>VLOOKUP($A194,'All Girls &amp; Descendants - Edit'!$AC$2:$AJ$438,7,FALSE)</f>
        <v>Unmarried</v>
      </c>
      <c r="F194" s="150" t="str">
        <f>VLOOKUP($A194,'All Girls &amp; Descendants - Edit'!$AC$2:$AJ$438,8,FALSE)</f>
        <v>Female. b. 30/07/1975</v>
      </c>
    </row>
    <row r="195" spans="1:6" s="5" customFormat="1" ht="45">
      <c r="A195" s="149">
        <f t="shared" si="3"/>
        <v>2051</v>
      </c>
      <c r="B195" s="150" t="str">
        <f>VLOOKUP($A195,'All Girls &amp; Descendants - Edit'!$AC$2:$AJ$438,2,FALSE)</f>
        <v>90ca</v>
      </c>
      <c r="C195" s="150" t="str">
        <f>VLOOKUP($A195,'All Girls &amp; Descendants - Edit'!$AC$2:$AJ$438,3,FALSE)</f>
        <v>Georgina  Louise Stephenson CLARKE (1976 - )</v>
      </c>
      <c r="D195" s="150" t="str">
        <f>VLOOKUP($A195,'All Girls &amp; Descendants - Edit'!$AC$2:$AJ$438,4,FALSE)</f>
        <v>Georgina  CLARKE (7th &amp; 90)</v>
      </c>
      <c r="E195" s="150" t="str">
        <f>VLOOKUP($A195,'All Girls &amp; Descendants - Edit'!$AC$2:$AJ$438,7,FALSE)</f>
        <v>Unmarried</v>
      </c>
      <c r="F195" s="150" t="str">
        <f>VLOOKUP($A195,'All Girls &amp; Descendants - Edit'!$AC$2:$AJ$438,8,FALSE)</f>
        <v xml:space="preserve">Female. b. 21/02/1976 Born at St. Mary’s Hospital, Roehampton. Baptised Highbrook Church,West Sussex. Educated Downe House, Newbury and Newcastle University (BA Hons 1998). </v>
      </c>
    </row>
    <row r="196" spans="1:6" s="5" customFormat="1" ht="45">
      <c r="A196" s="149">
        <f t="shared" si="3"/>
        <v>2052</v>
      </c>
      <c r="B196" s="150" t="str">
        <f>VLOOKUP($A196,'All Girls &amp; Descendants - Edit'!$AC$2:$AJ$438,2,FALSE)</f>
        <v>90cb</v>
      </c>
      <c r="C196" s="150" t="str">
        <f>VLOOKUP($A196,'All Girls &amp; Descendants - Edit'!$AC$2:$AJ$438,3,FALSE)</f>
        <v>Philippa Francesca Stephenson CLARKE (1980 - 1980)</v>
      </c>
      <c r="D196" s="150" t="str">
        <f>VLOOKUP($A196,'All Girls &amp; Descendants - Edit'!$AC$2:$AJ$438,4,FALSE)</f>
        <v>Philippa CLARKE (7th &amp; 90)</v>
      </c>
      <c r="E196" s="150" t="str">
        <f>VLOOKUP($A196,'All Girls &amp; Descendants - Edit'!$AC$2:$AJ$438,7,FALSE)</f>
        <v>Unmarried</v>
      </c>
      <c r="F196" s="150" t="str">
        <f>VLOOKUP($A196,'All Girls &amp; Descendants - Edit'!$AC$2:$AJ$438,8,FALSE)</f>
        <v>Female. b. 15/01/1980, d. 09/04/1980. Born at St. Mary’s Hospital, Roehampton, baptised  Highbrook Church, West Sussex. Died 9 Apr 1980, buried at Highbrook Church, West Sussex.</v>
      </c>
    </row>
    <row r="197" spans="1:6" s="5" customFormat="1" ht="30">
      <c r="A197" s="149">
        <f t="shared" si="3"/>
        <v>2053</v>
      </c>
      <c r="B197" s="150" t="str">
        <f>VLOOKUP($A197,'All Girls &amp; Descendants - Edit'!$AC$2:$AJ$438,2,FALSE)</f>
        <v>90cc</v>
      </c>
      <c r="C197" s="150" t="str">
        <f>VLOOKUP($A197,'All Girls &amp; Descendants - Edit'!$AC$2:$AJ$438,3,FALSE)</f>
        <v>Marina Rose Stephenson CLARKE (1982 - )</v>
      </c>
      <c r="D197" s="150" t="str">
        <f>VLOOKUP($A197,'All Girls &amp; Descendants - Edit'!$AC$2:$AJ$438,4,FALSE)</f>
        <v>Marina CLARKE (7th &amp; 90)</v>
      </c>
      <c r="E197" s="150" t="str">
        <f>VLOOKUP($A197,'All Girls &amp; Descendants - Edit'!$AC$2:$AJ$438,7,FALSE)</f>
        <v>Unmarried</v>
      </c>
      <c r="F197" s="150" t="str">
        <f>VLOOKUP($A197,'All Girls &amp; Descendants - Edit'!$AC$2:$AJ$438,8,FALSE)</f>
        <v>Male. b. 20/03/1982 Born at St Mary’s Hospital, Roehampton. Baptised at Highbrook Church, West Sussex. Educated Downe House, Newbury.</v>
      </c>
    </row>
    <row r="198" spans="1:6" s="5" customFormat="1" ht="30">
      <c r="A198" s="149">
        <f t="shared" si="3"/>
        <v>2054</v>
      </c>
      <c r="B198" s="150" t="str">
        <f>VLOOKUP($A198,'All Girls &amp; Descendants - Edit'!$AC$2:$AJ$438,2,FALSE)</f>
        <v>92aa</v>
      </c>
      <c r="C198" s="150" t="str">
        <f>VLOOKUP($A198,'All Girls &amp; Descendants - Edit'!$AC$2:$AJ$438,3,FALSE)</f>
        <v>Hugh Trelawny  TATTON-BROWN (1980 - )</v>
      </c>
      <c r="D198" s="150" t="str">
        <f>VLOOKUP($A198,'All Girls &amp; Descendants - Edit'!$AC$2:$AJ$438,4,FALSE)</f>
        <v>Hugh TATTON-BROWN (7th &amp; 92)</v>
      </c>
      <c r="E198" s="150" t="str">
        <f>VLOOKUP($A198,'All Girls &amp; Descendants - Edit'!$AC$2:$AJ$438,7,FALSE)</f>
        <v>Wife: Anna MASON (b. 17/01/1981, ). Married in Salisbury Cathedral, Wiltshire on 20/05/2006.</v>
      </c>
      <c r="F198" s="150" t="str">
        <f>VLOOKUP($A198,'All Girls &amp; Descendants - Edit'!$AC$2:$AJ$438,8,FALSE)</f>
        <v>Male. b. 22/07/1980 Baptised 28 Sep 1980 at Canterbury Cathedral.</v>
      </c>
    </row>
    <row r="199" spans="1:6" s="5" customFormat="1">
      <c r="A199" s="149">
        <f t="shared" si="3"/>
        <v>2055</v>
      </c>
      <c r="B199" s="150" t="str">
        <f>VLOOKUP($A199,'All Girls &amp; Descendants - Edit'!$AC$2:$AJ$438,2,FALSE)</f>
        <v>92ab</v>
      </c>
      <c r="C199" s="150" t="str">
        <f>VLOOKUP($A199,'All Girls &amp; Descendants - Edit'!$AC$2:$AJ$438,3,FALSE)</f>
        <v>Miranda Emily Jean TATTON-BROWN (1983 - )</v>
      </c>
      <c r="D199" s="150" t="str">
        <f>VLOOKUP($A199,'All Girls &amp; Descendants - Edit'!$AC$2:$AJ$438,4,FALSE)</f>
        <v>Miranda TATTON-BROWN (7th &amp; 92)</v>
      </c>
      <c r="E199" s="150" t="str">
        <f>VLOOKUP($A199,'All Girls &amp; Descendants - Edit'!$AC$2:$AJ$438,7,FALSE)</f>
        <v>Unmarried</v>
      </c>
      <c r="F199" s="150" t="str">
        <f>VLOOKUP($A199,'All Girls &amp; Descendants - Edit'!$AC$2:$AJ$438,8,FALSE)</f>
        <v>Female. b. 24/01/1983 Baptised 17 Apr 1983, at Canterbury Cathedral.</v>
      </c>
    </row>
    <row r="200" spans="1:6" s="5" customFormat="1" ht="30">
      <c r="A200" s="149">
        <f t="shared" si="3"/>
        <v>2056</v>
      </c>
      <c r="B200" s="150" t="str">
        <f>VLOOKUP($A200,'All Girls &amp; Descendants - Edit'!$AC$2:$AJ$438,2,FALSE)</f>
        <v>92ac</v>
      </c>
      <c r="C200" s="150" t="str">
        <f>VLOOKUP($A200,'All Girls &amp; Descendants - Edit'!$AC$2:$AJ$438,3,FALSE)</f>
        <v>Lucy Ann  TATTON-BROWN (1984 - )</v>
      </c>
      <c r="D200" s="150" t="str">
        <f>VLOOKUP($A200,'All Girls &amp; Descendants - Edit'!$AC$2:$AJ$438,4,FALSE)</f>
        <v>Lucy TATTON-BROWN (7th &amp; 92)</v>
      </c>
      <c r="E200" s="150" t="str">
        <f>VLOOKUP($A200,'All Girls &amp; Descendants - Edit'!$AC$2:$AJ$438,7,FALSE)</f>
        <v>Husband: David BATTEY (b. 24/06/1980, ). Married in Salisbury Cathedral, Wiltshire on 03/09/2011.</v>
      </c>
      <c r="F200" s="150" t="str">
        <f>VLOOKUP($A200,'All Girls &amp; Descendants - Edit'!$AC$2:$AJ$438,8,FALSE)</f>
        <v>Female. b. 15/10/1984 Baptised 20 Jan 1985 at Canterbury Cathedral.</v>
      </c>
    </row>
    <row r="201" spans="1:6" s="5" customFormat="1">
      <c r="A201" s="149">
        <f t="shared" si="3"/>
        <v>2057</v>
      </c>
      <c r="B201" s="150" t="str">
        <f>VLOOKUP($A201,'All Girls &amp; Descendants - Edit'!$AC$2:$AJ$438,2,FALSE)</f>
        <v>92ad</v>
      </c>
      <c r="C201" s="150" t="str">
        <f>VLOOKUP($A201,'All Girls &amp; Descendants - Edit'!$AC$2:$AJ$438,3,FALSE)</f>
        <v>Robert William Loyd TATTON-BROWN (1993 - )</v>
      </c>
      <c r="D201" s="150" t="str">
        <f>VLOOKUP($A201,'All Girls &amp; Descendants - Edit'!$AC$2:$AJ$438,4,FALSE)</f>
        <v>Robert TATTON-BROWN (7th &amp; 92)</v>
      </c>
      <c r="E201" s="150" t="str">
        <f>VLOOKUP($A201,'All Girls &amp; Descendants - Edit'!$AC$2:$AJ$438,7,FALSE)</f>
        <v>Unmarried</v>
      </c>
      <c r="F201" s="150" t="str">
        <f>VLOOKUP($A201,'All Girls &amp; Descendants - Edit'!$AC$2:$AJ$438,8,FALSE)</f>
        <v>Male. b. 25/02/1993 Baptised 18 Apr 1993 at St Martin’s, Canterbury.</v>
      </c>
    </row>
    <row r="202" spans="1:6" s="5" customFormat="1" ht="45">
      <c r="A202" s="149">
        <f t="shared" si="3"/>
        <v>2058</v>
      </c>
      <c r="B202" s="150" t="str">
        <f>VLOOKUP($A202,'All Girls &amp; Descendants - Edit'!$AC$2:$AJ$438,2,FALSE)</f>
        <v>92ba</v>
      </c>
      <c r="C202" s="150" t="str">
        <f>VLOOKUP($A202,'All Girls &amp; Descendants - Edit'!$AC$2:$AJ$438,3,FALSE)</f>
        <v>Olivia Daphne Noelle TATTON-BROWN (1971 - )</v>
      </c>
      <c r="D202" s="150" t="str">
        <f>VLOOKUP($A202,'All Girls &amp; Descendants - Edit'!$AC$2:$AJ$438,4,FALSE)</f>
        <v>Olivia TATTON-BROWN (7th &amp; 92)</v>
      </c>
      <c r="E202" s="150" t="str">
        <f>VLOOKUP($A202,'All Girls &amp; Descendants - Edit'!$AC$2:$AJ$438,7,FALSE)</f>
        <v xml:space="preserve">Husband: Robert McGegor ANDERSEN (b. 19/12/1965, ). </v>
      </c>
      <c r="F202" s="150" t="str">
        <f>VLOOKUP($A202,'All Girls &amp; Descendants - Edit'!$AC$2:$AJ$438,8,FALSE)</f>
        <v>Female. b. 13/05/1971 Baptised 17 Jul 1971 at the Roman Catholic Church, Farnham. Olivia &amp; Robert never married. Robert is the father of Octavia Kenya (11.3.1999) and Augustus Eden (22.6.2003).</v>
      </c>
    </row>
    <row r="203" spans="1:6" s="5" customFormat="1" ht="60">
      <c r="A203" s="149">
        <f t="shared" si="3"/>
        <v>2059</v>
      </c>
      <c r="B203" s="150" t="str">
        <f>VLOOKUP($A203,'All Girls &amp; Descendants - Edit'!$AC$2:$AJ$438,2,FALSE)</f>
        <v>92bb</v>
      </c>
      <c r="C203" s="150" t="str">
        <f>VLOOKUP($A203,'All Girls &amp; Descendants - Edit'!$AC$2:$AJ$438,3,FALSE)</f>
        <v>Benjamin Robert Louis TATTON-BROWN (1973 - )</v>
      </c>
      <c r="D203" s="150" t="str">
        <f>VLOOKUP($A203,'All Girls &amp; Descendants - Edit'!$AC$2:$AJ$438,4,FALSE)</f>
        <v>Ben TATTON-BROWN (7th &amp; 92)</v>
      </c>
      <c r="E203" s="150" t="str">
        <f>VLOOKUP($A203,'All Girls &amp; Descendants - Edit'!$AC$2:$AJ$438,7,FALSE)</f>
        <v xml:space="preserve">Wife: Elfi Helene Artero (b. 19/12/1974, ). </v>
      </c>
      <c r="F203" s="150" t="str">
        <f>VLOOKUP($A203,'All Girls &amp; Descendants - Edit'!$AC$2:$AJ$438,8,FALSE)</f>
        <v>Male. b. 23/06/1973 Baptised Jul 1973 at the Cathedral, Aix en Provence. Ben married Elfi on10.08.2002 at St Jean Baptiste church, St Jean de Luz, France. Children: Twins Felix Edgar Oliver and Marius Cesar Fabien TATTON-BROWN born 07/10/2004 and Poppy May TATTON-BROWN 12/09/2008.</v>
      </c>
    </row>
    <row r="204" spans="1:6" s="5" customFormat="1" ht="75">
      <c r="A204" s="149">
        <f t="shared" si="3"/>
        <v>2060</v>
      </c>
      <c r="B204" s="150" t="str">
        <f>VLOOKUP($A204,'All Girls &amp; Descendants - Edit'!$AC$2:$AJ$438,2,FALSE)</f>
        <v>92bc</v>
      </c>
      <c r="C204" s="150" t="str">
        <f>VLOOKUP($A204,'All Girls &amp; Descendants - Edit'!$AC$2:$AJ$438,3,FALSE)</f>
        <v>Daisy Maud  TATTON-BROWN (1983 - )</v>
      </c>
      <c r="D204" s="150" t="str">
        <f>VLOOKUP($A204,'All Girls &amp; Descendants - Edit'!$AC$2:$AJ$438,4,FALSE)</f>
        <v>Daisy TATTON-BROWN (7th &amp; 92)</v>
      </c>
      <c r="E204" s="150" t="str">
        <f>VLOOKUP($A204,'All Girls &amp; Descendants - Edit'!$AC$2:$AJ$438,7,FALSE)</f>
        <v>Husband: Oliver BOURNE (born 19/06/1980, ) . Married Oliver on 19/06/2010 at St Jean de Malte church, Aix en Provence, France.</v>
      </c>
      <c r="F204" s="150" t="str">
        <f>VLOOKUP($A204,'All Girls &amp; Descendants - Edit'!$AC$2:$AJ$438,8,FALSE)</f>
        <v>Female. b. 10/04/1983 Baptised 15 Aug 1983 at the Parish Church, St Jean de Luz, France. 
Children: Rose Henrietta BOURNE (b. 18/04/2014, ), Basil Louis BOURNE (b. 30/01/2016, ), Stanley Eden (b. 04/07/2018, ), Montague Alfred BOURNE (b. 23/11/2020, ).</v>
      </c>
    </row>
    <row r="205" spans="1:6" s="5" customFormat="1" ht="75">
      <c r="A205" s="149">
        <f t="shared" si="3"/>
        <v>2061</v>
      </c>
      <c r="B205" s="150" t="str">
        <f>VLOOKUP($A205,'All Girls &amp; Descendants - Edit'!$AC$2:$AJ$438,2,FALSE)</f>
        <v>92bd</v>
      </c>
      <c r="C205" s="150" t="str">
        <f>VLOOKUP($A205,'All Girls &amp; Descendants - Edit'!$AC$2:$AJ$438,3,FALSE)</f>
        <v>Gregory Mark Eden TATTON-BROWN (1985 - )</v>
      </c>
      <c r="D205" s="150" t="str">
        <f>VLOOKUP($A205,'All Girls &amp; Descendants - Edit'!$AC$2:$AJ$438,4,FALSE)</f>
        <v>Gregory TATTON-BROWN (7th &amp; 92)</v>
      </c>
      <c r="E205" s="150" t="str">
        <f>VLOOKUP($A205,'All Girls &amp; Descendants - Edit'!$AC$2:$AJ$438,7,FALSE)</f>
        <v>Wife: Solene Claire Monique Marie de Rancourt de Mimerand (b. 17/10/1984, ). Marrid Solene on 02/07/2011 at at St Jean de Malte church, Aix en Provence, France.</v>
      </c>
      <c r="F205" s="150" t="str">
        <f>VLOOKUP($A205,'All Girls &amp; Descendants - Edit'!$AC$2:$AJ$438,8,FALSE)</f>
        <v>Male. b. 06/07/1985 Baptised 15 Aug 1985 at the Parish Church, St Jean de Luz, France. 
Children: Alice Clementine Mary TATTON-BROWN (b. 20.10.2013, ), 
Théodore Eden Louis TATTON-BROWN (b. 09/06/2018, ), 
Oscar Arthur Alexandre TATTON-BROWN (b. 12/02/2021, )</v>
      </c>
    </row>
    <row r="206" spans="1:6" s="5" customFormat="1" ht="30">
      <c r="A206" s="149">
        <f t="shared" si="3"/>
        <v>2062</v>
      </c>
      <c r="B206" s="150" t="str">
        <f>VLOOKUP($A206,'All Girls &amp; Descendants - Edit'!$AC$2:$AJ$438,2,FALSE)</f>
        <v>92da</v>
      </c>
      <c r="C206" s="150" t="str">
        <f>VLOOKUP($A206,'All Girls &amp; Descendants - Edit'!$AC$2:$AJ$438,3,FALSE)</f>
        <v>Jonathan William Robert SURTEES (1982 - )</v>
      </c>
      <c r="D206" s="150" t="str">
        <f>VLOOKUP($A206,'All Girls &amp; Descendants - Edit'!$AC$2:$AJ$438,4,FALSE)</f>
        <v>Jonathan SURTEES (7th &amp; 92)</v>
      </c>
      <c r="E206" s="150" t="str">
        <f>VLOOKUP($A206,'All Girls &amp; Descendants - Edit'!$AC$2:$AJ$438,7,FALSE)</f>
        <v>Unmarried</v>
      </c>
      <c r="F206" s="150" t="str">
        <f>VLOOKUP($A206,'All Girls &amp; Descendants - Edit'!$AC$2:$AJ$438,8,FALSE)</f>
        <v>Male. b. 20/02/1982 Baptised 16 May 1982 at Clyst St. George Church, Nr. Exeter, Devon.</v>
      </c>
    </row>
    <row r="207" spans="1:6" s="5" customFormat="1">
      <c r="A207" s="149">
        <f t="shared" si="3"/>
        <v>2063</v>
      </c>
      <c r="B207" s="150" t="str">
        <f>VLOOKUP($A207,'All Girls &amp; Descendants - Edit'!$AC$2:$AJ$438,2,FALSE)</f>
        <v>92db</v>
      </c>
      <c r="C207" s="150" t="str">
        <f>VLOOKUP($A207,'All Girls &amp; Descendants - Edit'!$AC$2:$AJ$438,3,FALSE)</f>
        <v>Rosamund Daphne Patricia SURTEES (1987 - )</v>
      </c>
      <c r="D207" s="150" t="str">
        <f>VLOOKUP($A207,'All Girls &amp; Descendants - Edit'!$AC$2:$AJ$438,4,FALSE)</f>
        <v>Rosamund SURTEES (7th &amp; 92)</v>
      </c>
      <c r="E207" s="150" t="str">
        <f>VLOOKUP($A207,'All Girls &amp; Descendants - Edit'!$AC$2:$AJ$438,7,FALSE)</f>
        <v>Unmarried</v>
      </c>
      <c r="F207" s="150" t="str">
        <f>VLOOKUP($A207,'All Girls &amp; Descendants - Edit'!$AC$2:$AJ$438,8,FALSE)</f>
        <v>Female. b. 08/02/1987 Baptised 24 May 1987 at Salisbury Cathedral.</v>
      </c>
    </row>
    <row r="208" spans="1:6" s="5" customFormat="1">
      <c r="A208" s="149">
        <f t="shared" si="3"/>
        <v>2064</v>
      </c>
      <c r="B208" s="150" t="str">
        <f>VLOOKUP($A208,'All Girls &amp; Descendants - Edit'!$AC$2:$AJ$438,2,FALSE)</f>
        <v>95ba</v>
      </c>
      <c r="C208" s="150" t="str">
        <f>VLOOKUP($A208,'All Girls &amp; Descendants - Edit'!$AC$2:$AJ$438,3,FALSE)</f>
        <v>THE Hon William Guy  VESTEY (1983 - )</v>
      </c>
      <c r="D208" s="150" t="str">
        <f>VLOOKUP($A208,'All Girls &amp; Descendants - Edit'!$AC$2:$AJ$438,4,FALSE)</f>
        <v>THE Hon William VESTEY (7th &amp; 95)</v>
      </c>
      <c r="E208" s="150" t="str">
        <f>VLOOKUP($A208,'All Girls &amp; Descendants - Edit'!$AC$2:$AJ$438,7,FALSE)</f>
        <v>Wife: Violet Gweneth Henderson. Married 29/09/2012.</v>
      </c>
      <c r="F208" s="150" t="str">
        <f>VLOOKUP($A208,'All Girls &amp; Descendants - Edit'!$AC$2:$AJ$438,8,FALSE)</f>
        <v>Male. b. 27/08/1983 Baptised at St Leonard’s, Stowell Park.</v>
      </c>
    </row>
    <row r="209" spans="1:6" s="5" customFormat="1" ht="30">
      <c r="A209" s="149">
        <f t="shared" ref="A209:A272" si="4">A208+1</f>
        <v>2065</v>
      </c>
      <c r="B209" s="150" t="str">
        <f>VLOOKUP($A209,'All Girls &amp; Descendants - Edit'!$AC$2:$AJ$438,2,FALSE)</f>
        <v>95bb</v>
      </c>
      <c r="C209" s="150" t="str">
        <f>VLOOKUP($A209,'All Girls &amp; Descendants - Edit'!$AC$2:$AJ$438,3,FALSE)</f>
        <v>THE Hon Arthur George  VESTEY (1985 - )</v>
      </c>
      <c r="D209" s="150" t="str">
        <f>VLOOKUP($A209,'All Girls &amp; Descendants - Edit'!$AC$2:$AJ$438,4,FALSE)</f>
        <v>THE Hon Arthur VESTEY (7th &amp; 95)</v>
      </c>
      <c r="E209" s="150" t="str">
        <f>VLOOKUP($A209,'All Girls &amp; Descendants - Edit'!$AC$2:$AJ$438,7,FALSE)</f>
        <v>Wife: The Honourable Martha A. Beaumont.. Married 12/02/1986.</v>
      </c>
      <c r="F209" s="150" t="str">
        <f>VLOOKUP($A209,'All Girls &amp; Descendants - Edit'!$AC$2:$AJ$438,8,FALSE)</f>
        <v>Male. b. 11/07/1985 Baptised at St Leonard’s, Stowell Park.</v>
      </c>
    </row>
    <row r="210" spans="1:6" s="5" customFormat="1">
      <c r="A210" s="149">
        <f t="shared" si="4"/>
        <v>2066</v>
      </c>
      <c r="B210" s="150" t="str">
        <f>VLOOKUP($A210,'All Girls &amp; Descendants - Edit'!$AC$2:$AJ$438,2,FALSE)</f>
        <v>95bc</v>
      </c>
      <c r="C210" s="150" t="str">
        <f>VLOOKUP($A210,'All Girls &amp; Descendants - Edit'!$AC$2:$AJ$438,3,FALSE)</f>
        <v>The Hon Mary Henrietta  VESTEY (1992 - )</v>
      </c>
      <c r="D210" s="150" t="str">
        <f>VLOOKUP($A210,'All Girls &amp; Descendants - Edit'!$AC$2:$AJ$438,4,FALSE)</f>
        <v>The Hon Mary VESTEY (7th &amp; 95)</v>
      </c>
      <c r="E210" s="150" t="str">
        <f>VLOOKUP($A210,'All Girls &amp; Descendants - Edit'!$AC$2:$AJ$438,7,FALSE)</f>
        <v>Husband: Edward Cookson. Married 01/05/1988.</v>
      </c>
      <c r="F210" s="150" t="str">
        <f>VLOOKUP($A210,'All Girls &amp; Descendants - Edit'!$AC$2:$AJ$438,8,FALSE)</f>
        <v>Female. b. 27/04/1992 Baptised at St Leonard’s, Stowell Park.</v>
      </c>
    </row>
    <row r="211" spans="1:6" s="5" customFormat="1" ht="60">
      <c r="A211" s="149">
        <f t="shared" si="4"/>
        <v>2067</v>
      </c>
      <c r="B211" s="150" t="str">
        <f>VLOOKUP($A211,'All Girls &amp; Descendants - Edit'!$AC$2:$AJ$438,2,FALSE)</f>
        <v>97aa</v>
      </c>
      <c r="C211" s="150" t="str">
        <f>VLOOKUP($A211,'All Girls &amp; Descendants - Edit'!$AC$2:$AJ$438,3,FALSE)</f>
        <v>Alexander Robert Loyd SALE (1991 - )</v>
      </c>
      <c r="D211" s="150" t="str">
        <f>VLOOKUP($A211,'All Girls &amp; Descendants - Edit'!$AC$2:$AJ$438,4,FALSE)</f>
        <v>Alexander SALE (7th &amp; 97)</v>
      </c>
      <c r="E211" s="150" t="str">
        <f>VLOOKUP($A211,'All Girls &amp; Descendants - Edit'!$AC$2:$AJ$438,7,FALSE)</f>
        <v>Unmarried</v>
      </c>
      <c r="F211" s="150" t="str">
        <f>VLOOKUP($A211,'All Girls &amp; Descendants - Edit'!$AC$2:$AJ$438,8,FALSE)</f>
        <v>Male. b. 17/03/1991 Baptised Sep 1991 at St Michael’s, Withington. Educated: Shrewsbury School 2004 - 2009; and Exeter (BSc, Human Bioscience, 2010 - 2013). Career: EY, Chartered accountant 2013 - 2018; UBS, healthcare M&amp;A 2018 onwards.</v>
      </c>
    </row>
    <row r="212" spans="1:6" s="5" customFormat="1" ht="60">
      <c r="A212" s="149">
        <f t="shared" si="4"/>
        <v>2068</v>
      </c>
      <c r="B212" s="150" t="str">
        <f>VLOOKUP($A212,'All Girls &amp; Descendants - Edit'!$AC$2:$AJ$438,2,FALSE)</f>
        <v>97ab</v>
      </c>
      <c r="C212" s="150" t="str">
        <f>VLOOKUP($A212,'All Girls &amp; Descendants - Edit'!$AC$2:$AJ$438,3,FALSE)</f>
        <v>Oliver Edward David SALE (1995 - )</v>
      </c>
      <c r="D212" s="150" t="str">
        <f>VLOOKUP($A212,'All Girls &amp; Descendants - Edit'!$AC$2:$AJ$438,4,FALSE)</f>
        <v>Oliver SALE (7th &amp; 97)</v>
      </c>
      <c r="E212" s="150" t="str">
        <f>VLOOKUP($A212,'All Girls &amp; Descendants - Edit'!$AC$2:$AJ$438,7,FALSE)</f>
        <v>Unmarried</v>
      </c>
      <c r="F212" s="150" t="str">
        <f>VLOOKUP($A212,'All Girls &amp; Descendants - Edit'!$AC$2:$AJ$438,8,FALSE)</f>
        <v>Male. b. 15/09/1995 Baptised Mar 1996 at St Michael’s, Withington. Educated: Eton College 2009 - 2014; &amp; Oxford (MSc, Physics, 2014 - 2018). Tsing Hua University in Beijing, Mandarin 2018 - 2019. Lazard, investment banking, 2019 to present</v>
      </c>
    </row>
    <row r="213" spans="1:6" s="5" customFormat="1" ht="75">
      <c r="A213" s="149">
        <f t="shared" si="4"/>
        <v>2069</v>
      </c>
      <c r="B213" s="150" t="str">
        <f>VLOOKUP($A213,'All Girls &amp; Descendants - Edit'!$AC$2:$AJ$438,2,FALSE)</f>
        <v>97ea</v>
      </c>
      <c r="C213" s="150" t="str">
        <f>VLOOKUP($A213,'All Girls &amp; Descendants - Edit'!$AC$2:$AJ$438,3,FALSE)</f>
        <v>Frank Thomas Arthur SALE (1995 - )</v>
      </c>
      <c r="D213" s="150" t="str">
        <f>VLOOKUP($A213,'All Girls &amp; Descendants - Edit'!$AC$2:$AJ$438,4,FALSE)</f>
        <v>Frank SALE (7th &amp; 97)</v>
      </c>
      <c r="E213" s="150" t="str">
        <f>VLOOKUP($A213,'All Girls &amp; Descendants - Edit'!$AC$2:$AJ$438,7,FALSE)</f>
        <v>Unmarried</v>
      </c>
      <c r="F213" s="150" t="str">
        <f>VLOOKUP($A213,'All Girls &amp; Descendants - Edit'!$AC$2:$AJ$438,8,FALSE)</f>
        <v>Male. b. 21/08/1995 Baptised 5 Jan 1996 at St George’s, Brailes, Warwickshire. Educated: Maidwell Hall 2003-2008; Harrow School 2008-2013; University of Manchester (BA Politics) 2014-2017. Joined HBA Media in 2017. Managing Director of HBA Media 2020 to date. HBA Media is the leading owner of media rights for the world's top international flat horse races.</v>
      </c>
    </row>
    <row r="214" spans="1:6" s="5" customFormat="1" ht="60">
      <c r="A214" s="149">
        <f t="shared" si="4"/>
        <v>2070</v>
      </c>
      <c r="B214" s="150" t="str">
        <f>VLOOKUP($A214,'All Girls &amp; Descendants - Edit'!$AC$2:$AJ$438,2,FALSE)</f>
        <v>97eb</v>
      </c>
      <c r="C214" s="150" t="str">
        <f>VLOOKUP($A214,'All Girls &amp; Descendants - Edit'!$AC$2:$AJ$438,3,FALSE)</f>
        <v>Constancy Nancy  SALE (1997 - )</v>
      </c>
      <c r="D214" s="150" t="str">
        <f>VLOOKUP($A214,'All Girls &amp; Descendants - Edit'!$AC$2:$AJ$438,4,FALSE)</f>
        <v>Connie SALE (7th &amp; 97)</v>
      </c>
      <c r="E214" s="150" t="str">
        <f>VLOOKUP($A214,'All Girls &amp; Descendants - Edit'!$AC$2:$AJ$438,7,FALSE)</f>
        <v>Unmarried</v>
      </c>
      <c r="F214" s="150" t="str">
        <f>VLOOKUP($A214,'All Girls &amp; Descendants - Edit'!$AC$2:$AJ$438,8,FALSE)</f>
        <v>Female. b. 31/12/1997 Baptised 19 Apr 1998 at St George’s, Brailes, Warwickshire. Educated Tudor Hall School, 2010-16 (Head Girl). Nursery School teacher 2017-18; Interior Designer 2019-21, Executive Assistant at Key4Life Charity 2022 to date.</v>
      </c>
    </row>
    <row r="215" spans="1:6" s="5" customFormat="1" ht="30">
      <c r="A215" s="149">
        <f t="shared" si="4"/>
        <v>2071</v>
      </c>
      <c r="B215" s="150" t="str">
        <f>VLOOKUP($A215,'All Girls &amp; Descendants - Edit'!$AC$2:$AJ$438,2,FALSE)</f>
        <v>97ec</v>
      </c>
      <c r="C215" s="150" t="str">
        <f>VLOOKUP($A215,'All Girls &amp; Descendants - Edit'!$AC$2:$AJ$438,3,FALSE)</f>
        <v>Grace Alice  SALE (2002 - )</v>
      </c>
      <c r="D215" s="150" t="str">
        <f>VLOOKUP($A215,'All Girls &amp; Descendants - Edit'!$AC$2:$AJ$438,4,FALSE)</f>
        <v>Grace SALE (7th &amp; 97)</v>
      </c>
      <c r="E215" s="150" t="str">
        <f>VLOOKUP($A215,'All Girls &amp; Descendants - Edit'!$AC$2:$AJ$438,7,FALSE)</f>
        <v>Unmarried</v>
      </c>
      <c r="F215" s="150" t="str">
        <f>VLOOKUP($A215,'All Girls &amp; Descendants - Edit'!$AC$2:$AJ$438,8,FALSE)</f>
        <v>Female. b. 24/01/2002 Educated: Tudor Hall School 2014-2020, University of Edinburgh 2020 to date reading English Literature.</v>
      </c>
    </row>
    <row r="216" spans="1:6" s="5" customFormat="1" ht="30">
      <c r="A216" s="149">
        <f t="shared" si="4"/>
        <v>2072</v>
      </c>
      <c r="B216" s="150" t="str">
        <f>VLOOKUP($A216,'All Girls &amp; Descendants - Edit'!$AC$2:$AJ$438,2,FALSE)</f>
        <v>101aa</v>
      </c>
      <c r="C216" s="150" t="str">
        <f>VLOOKUP($A216,'All Girls &amp; Descendants - Edit'!$AC$2:$AJ$438,3,FALSE)</f>
        <v>Lawrence Rupert John TIMPSON (1974 - )</v>
      </c>
      <c r="D216" s="150" t="str">
        <f>VLOOKUP($A216,'All Girls &amp; Descendants - Edit'!$AC$2:$AJ$438,4,FALSE)</f>
        <v>Lawrence TIMPSON (7th &amp; 101)</v>
      </c>
      <c r="E216" s="150" t="str">
        <f>VLOOKUP($A216,'All Girls &amp; Descendants - Edit'!$AC$2:$AJ$438,7,FALSE)</f>
        <v>Unmarried</v>
      </c>
      <c r="F216" s="150" t="str">
        <f>VLOOKUP($A216,'All Girls &amp; Descendants - Edit'!$AC$2:$AJ$438,8,FALSE)</f>
        <v>Male. b. 05/07/1974 Baptised 28 Oct 1974 at the Guards’ Chapel. Birdcage Walk, London.</v>
      </c>
    </row>
    <row r="217" spans="1:6" s="5" customFormat="1">
      <c r="A217" s="149">
        <f t="shared" si="4"/>
        <v>2073</v>
      </c>
      <c r="B217" s="150" t="str">
        <f>VLOOKUP($A217,'All Girls &amp; Descendants - Edit'!$AC$2:$AJ$438,2,FALSE)</f>
        <v>101ab</v>
      </c>
      <c r="C217" s="150" t="str">
        <f>VLOOKUP($A217,'All Girls &amp; Descendants - Edit'!$AC$2:$AJ$438,3,FALSE)</f>
        <v>Catherine Selina Alexandra TIMPSON (1979 - )</v>
      </c>
      <c r="D217" s="150" t="str">
        <f>VLOOKUP($A217,'All Girls &amp; Descendants - Edit'!$AC$2:$AJ$438,4,FALSE)</f>
        <v>Catherine TIMPSON (7th &amp; 101)</v>
      </c>
      <c r="E217" s="150" t="str">
        <f>VLOOKUP($A217,'All Girls &amp; Descendants - Edit'!$AC$2:$AJ$438,7,FALSE)</f>
        <v>Unmarried</v>
      </c>
      <c r="F217" s="150" t="str">
        <f>VLOOKUP($A217,'All Girls &amp; Descendants - Edit'!$AC$2:$AJ$438,8,FALSE)</f>
        <v>Female. b. 13/01/1979 Baptised 27 Jul 1979 at All Saints’, Lockinge.</v>
      </c>
    </row>
    <row r="218" spans="1:6" s="5" customFormat="1" ht="30">
      <c r="A218" s="149">
        <f t="shared" si="4"/>
        <v>2074</v>
      </c>
      <c r="B218" s="150" t="str">
        <f>VLOOKUP($A218,'All Girls &amp; Descendants - Edit'!$AC$2:$AJ$438,2,FALSE)</f>
        <v>101ba</v>
      </c>
      <c r="C218" s="150" t="str">
        <f>VLOOKUP($A218,'All Girls &amp; Descendants - Edit'!$AC$2:$AJ$438,3,FALSE)</f>
        <v>Viscount John Armar Galbraith LOWRY-CORRY (1985 - )</v>
      </c>
      <c r="D218" s="150" t="str">
        <f>VLOOKUP($A218,'All Girls &amp; Descendants - Edit'!$AC$2:$AJ$438,4,FALSE)</f>
        <v>Viscount John LOWRY-CORRY (7th &amp; 101)</v>
      </c>
      <c r="E218" s="150" t="str">
        <f>VLOOKUP($A218,'All Girls &amp; Descendants - Edit'!$AC$2:$AJ$438,7,FALSE)</f>
        <v>Unmarried</v>
      </c>
      <c r="F218" s="150" t="str">
        <f>VLOOKUP($A218,'All Girls &amp; Descendants - Edit'!$AC$2:$AJ$438,8,FALSE)</f>
        <v>Male. b. 02/11/1985 Baptised Feb 1986 at Derryvullen Church, Enniskillen.</v>
      </c>
    </row>
    <row r="219" spans="1:6" s="5" customFormat="1" ht="30">
      <c r="A219" s="149">
        <f t="shared" si="4"/>
        <v>2075</v>
      </c>
      <c r="B219" s="150" t="str">
        <f>VLOOKUP($A219,'All Girls &amp; Descendants - Edit'!$AC$2:$AJ$438,2,FALSE)</f>
        <v>101bb</v>
      </c>
      <c r="C219" s="150" t="str">
        <f>VLOOKUP($A219,'All Girls &amp; Descendants - Edit'!$AC$2:$AJ$438,3,FALSE)</f>
        <v>The Hon Montagu Gilford George LOWRY-CORRY (1989 - )</v>
      </c>
      <c r="D219" s="150" t="str">
        <f>VLOOKUP($A219,'All Girls &amp; Descendants - Edit'!$AC$2:$AJ$438,4,FALSE)</f>
        <v>The Hon Montagu LOWRY-CORRY (7th &amp; 101)</v>
      </c>
      <c r="E219" s="150" t="str">
        <f>VLOOKUP($A219,'All Girls &amp; Descendants - Edit'!$AC$2:$AJ$438,7,FALSE)</f>
        <v>Unmarried</v>
      </c>
      <c r="F219" s="150" t="str">
        <f>VLOOKUP($A219,'All Girls &amp; Descendants - Edit'!$AC$2:$AJ$438,8,FALSE)</f>
        <v>Male. b. 30/03/1989 Baptised Jul 1989 at Derryvullen Church, Enniskillen.</v>
      </c>
    </row>
    <row r="220" spans="1:6" s="5" customFormat="1">
      <c r="A220" s="149">
        <f t="shared" si="4"/>
        <v>2076</v>
      </c>
      <c r="B220" s="150" t="str">
        <f>VLOOKUP($A220,'All Girls &amp; Descendants - Edit'!$AC$2:$AJ$438,2,FALSE)</f>
        <v>101bc</v>
      </c>
      <c r="C220" s="150" t="str">
        <f>VLOOKUP($A220,'All Girls &amp; Descendants - Edit'!$AC$2:$AJ$438,3,FALSE)</f>
        <v>Lady Martha Catherine  LOWRY-CORRY (1992 - )</v>
      </c>
      <c r="D220" s="150" t="str">
        <f>VLOOKUP($A220,'All Girls &amp; Descendants - Edit'!$AC$2:$AJ$438,4,FALSE)</f>
        <v>Lady Martha LOWRY-CORRY (7th &amp; 101)</v>
      </c>
      <c r="E220" s="150" t="str">
        <f>VLOOKUP($A220,'All Girls &amp; Descendants - Edit'!$AC$2:$AJ$438,7,FALSE)</f>
        <v>Unmarried</v>
      </c>
      <c r="F220" s="150" t="str">
        <f>VLOOKUP($A220,'All Girls &amp; Descendants - Edit'!$AC$2:$AJ$438,8,FALSE)</f>
        <v>Female. b. 27/05/1992 Baptised Oct 1992 at Derryvullen Church, Enniskillen.</v>
      </c>
    </row>
    <row r="221" spans="1:6" s="5" customFormat="1" ht="30">
      <c r="A221" s="149">
        <f t="shared" si="4"/>
        <v>2077</v>
      </c>
      <c r="B221" s="150" t="str">
        <f>VLOOKUP($A221,'All Girls &amp; Descendants - Edit'!$AC$2:$AJ$438,2,FALSE)</f>
        <v>101ca</v>
      </c>
      <c r="C221" s="150" t="str">
        <f>VLOOKUP($A221,'All Girls &amp; Descendants - Edit'!$AC$2:$AJ$438,3,FALSE)</f>
        <v>Milo Edmund  HISCOX (1987 - )</v>
      </c>
      <c r="D221" s="150" t="str">
        <f>VLOOKUP($A221,'All Girls &amp; Descendants - Edit'!$AC$2:$AJ$438,4,FALSE)</f>
        <v>Milo HISCOX (7th &amp; 101)</v>
      </c>
      <c r="E221" s="150" t="str">
        <f>VLOOKUP($A221,'All Girls &amp; Descendants - Edit'!$AC$2:$AJ$438,7,FALSE)</f>
        <v>Unmarried</v>
      </c>
      <c r="F221" s="150" t="str">
        <f>VLOOKUP($A221,'All Girls &amp; Descendants - Edit'!$AC$2:$AJ$438,8,FALSE)</f>
        <v>Male. b. 04/01/1987 Baptised 17 May 1987 at St George’s, Preschute, Marlborough,Wiltshire.</v>
      </c>
    </row>
    <row r="222" spans="1:6" s="5" customFormat="1" ht="30">
      <c r="A222" s="149">
        <f t="shared" si="4"/>
        <v>2078</v>
      </c>
      <c r="B222" s="150" t="str">
        <f>VLOOKUP($A222,'All Girls &amp; Descendants - Edit'!$AC$2:$AJ$438,2,FALSE)</f>
        <v>101cb</v>
      </c>
      <c r="C222" s="150" t="str">
        <f>VLOOKUP($A222,'All Girls &amp; Descendants - Edit'!$AC$2:$AJ$438,3,FALSE)</f>
        <v>Henry Charles  HISCOX (1989 - )</v>
      </c>
      <c r="D222" s="150" t="str">
        <f>VLOOKUP($A222,'All Girls &amp; Descendants - Edit'!$AC$2:$AJ$438,4,FALSE)</f>
        <v>Henry HISCOX (7th &amp; 101)</v>
      </c>
      <c r="E222" s="150" t="str">
        <f>VLOOKUP($A222,'All Girls &amp; Descendants - Edit'!$AC$2:$AJ$438,7,FALSE)</f>
        <v>Unmarried</v>
      </c>
      <c r="F222" s="150" t="str">
        <f>VLOOKUP($A222,'All Girls &amp; Descendants - Edit'!$AC$2:$AJ$438,8,FALSE)</f>
        <v>Male. b. 23/09/1989 Baptised 11 Mar 1990 at St George’s, Preschute, Marlborough, Wiltshire.</v>
      </c>
    </row>
    <row r="223" spans="1:6" s="5" customFormat="1" ht="30">
      <c r="A223" s="149">
        <f t="shared" si="4"/>
        <v>2079</v>
      </c>
      <c r="B223" s="150" t="str">
        <f>VLOOKUP($A223,'All Girls &amp; Descendants - Edit'!$AC$2:$AJ$438,2,FALSE)</f>
        <v>101cc</v>
      </c>
      <c r="C223" s="150" t="str">
        <f>VLOOKUP($A223,'All Girls &amp; Descendants - Edit'!$AC$2:$AJ$438,3,FALSE)</f>
        <v>Sydney John  HISCOX (1993 - )</v>
      </c>
      <c r="D223" s="150" t="str">
        <f>VLOOKUP($A223,'All Girls &amp; Descendants - Edit'!$AC$2:$AJ$438,4,FALSE)</f>
        <v>Sydney HISCOX (7th &amp; 101)</v>
      </c>
      <c r="E223" s="150" t="str">
        <f>VLOOKUP($A223,'All Girls &amp; Descendants - Edit'!$AC$2:$AJ$438,7,FALSE)</f>
        <v>Unmarried</v>
      </c>
      <c r="F223" s="150" t="str">
        <f>VLOOKUP($A223,'All Girls &amp; Descendants - Edit'!$AC$2:$AJ$438,8,FALSE)</f>
        <v>Male. b. 24/01/1993 Baptised 27 Jun 1993 at St George’s, Preschute, Marlborough, Wiltshire.</v>
      </c>
    </row>
    <row r="224" spans="1:6" s="5" customFormat="1">
      <c r="A224" s="149">
        <f t="shared" si="4"/>
        <v>2080</v>
      </c>
      <c r="B224" s="150" t="str">
        <f>VLOOKUP($A224,'All Girls &amp; Descendants - Edit'!$AC$2:$AJ$438,2,FALSE)</f>
        <v>101da</v>
      </c>
      <c r="C224" s="150" t="str">
        <f>VLOOKUP($A224,'All Girls &amp; Descendants - Edit'!$AC$2:$AJ$438,3,FALSE)</f>
        <v>Nicholas John Howard REID (1982 - )</v>
      </c>
      <c r="D224" s="150" t="str">
        <f>VLOOKUP($A224,'All Girls &amp; Descendants - Edit'!$AC$2:$AJ$438,4,FALSE)</f>
        <v>Nicholas REID (7th &amp; 101)</v>
      </c>
      <c r="E224" s="150" t="str">
        <f>VLOOKUP($A224,'All Girls &amp; Descendants - Edit'!$AC$2:$AJ$438,7,FALSE)</f>
        <v>Unmarried</v>
      </c>
      <c r="F224" s="150" t="str">
        <f>VLOOKUP($A224,'All Girls &amp; Descendants - Edit'!$AC$2:$AJ$438,8,FALSE)</f>
        <v>Male. b. 30/12/1982 Baptised at St George’s, Preschute, Marlborough, Wiltshire.</v>
      </c>
    </row>
    <row r="225" spans="1:6" s="5" customFormat="1">
      <c r="A225" s="149">
        <f t="shared" si="4"/>
        <v>2081</v>
      </c>
      <c r="B225" s="150" t="str">
        <f>VLOOKUP($A225,'All Girls &amp; Descendants - Edit'!$AC$2:$AJ$438,2,FALSE)</f>
        <v>101db</v>
      </c>
      <c r="C225" s="150" t="str">
        <f>VLOOKUP($A225,'All Girls &amp; Descendants - Edit'!$AC$2:$AJ$438,3,FALSE)</f>
        <v>Amelia Louise Catherine REID (1984 - )</v>
      </c>
      <c r="D225" s="150" t="str">
        <f>VLOOKUP($A225,'All Girls &amp; Descendants - Edit'!$AC$2:$AJ$438,4,FALSE)</f>
        <v>Amelia REID (7th &amp; 101)</v>
      </c>
      <c r="E225" s="150" t="str">
        <f>VLOOKUP($A225,'All Girls &amp; Descendants - Edit'!$AC$2:$AJ$438,7,FALSE)</f>
        <v>Unmarried</v>
      </c>
      <c r="F225" s="150" t="str">
        <f>VLOOKUP($A225,'All Girls &amp; Descendants - Edit'!$AC$2:$AJ$438,8,FALSE)</f>
        <v>Female. b. 24/12/1984 Baptised at Christ Church, Rye, New York.</v>
      </c>
    </row>
    <row r="226" spans="1:6" s="5" customFormat="1">
      <c r="A226" s="149">
        <f t="shared" si="4"/>
        <v>2082</v>
      </c>
      <c r="B226" s="150" t="str">
        <f>VLOOKUP($A226,'All Girls &amp; Descendants - Edit'!$AC$2:$AJ$438,2,FALSE)</f>
        <v>101dc</v>
      </c>
      <c r="C226" s="150" t="str">
        <f>VLOOKUP($A226,'All Girls &amp; Descendants - Edit'!$AC$2:$AJ$438,3,FALSE)</f>
        <v>Clementine Julia  REID (1988 - )</v>
      </c>
      <c r="D226" s="150" t="str">
        <f>VLOOKUP($A226,'All Girls &amp; Descendants - Edit'!$AC$2:$AJ$438,4,FALSE)</f>
        <v>Clementine REID (7th &amp; 101)</v>
      </c>
      <c r="E226" s="150" t="str">
        <f>VLOOKUP($A226,'All Girls &amp; Descendants - Edit'!$AC$2:$AJ$438,7,FALSE)</f>
        <v>Unmarried</v>
      </c>
      <c r="F226" s="150" t="str">
        <f>VLOOKUP($A226,'All Girls &amp; Descendants - Edit'!$AC$2:$AJ$438,8,FALSE)</f>
        <v>Female. b. 09/09/1988 Baptised at Christ Church, Rye, New York.</v>
      </c>
    </row>
    <row r="227" spans="1:6" s="5" customFormat="1">
      <c r="A227" s="149">
        <f t="shared" si="4"/>
        <v>2083</v>
      </c>
      <c r="B227" s="150" t="str">
        <f>VLOOKUP($A227,'All Girls &amp; Descendants - Edit'!$AC$2:$AJ$438,2,FALSE)</f>
        <v>101ea</v>
      </c>
      <c r="C227" s="150" t="str">
        <f>VLOOKUP($A227,'All Girls &amp; Descendants - Edit'!$AC$2:$AJ$438,3,FALSE)</f>
        <v>Thomas Robert Hamilton WILLS (1991 - )</v>
      </c>
      <c r="D227" s="150" t="str">
        <f>VLOOKUP($A227,'All Girls &amp; Descendants - Edit'!$AC$2:$AJ$438,4,FALSE)</f>
        <v>Thomas WILLS (7th &amp; 101)</v>
      </c>
      <c r="E227" s="150" t="str">
        <f>VLOOKUP($A227,'All Girls &amp; Descendants - Edit'!$AC$2:$AJ$438,7,FALSE)</f>
        <v>Unmarried</v>
      </c>
      <c r="F227" s="150" t="str">
        <f>VLOOKUP($A227,'All Girls &amp; Descendants - Edit'!$AC$2:$AJ$438,8,FALSE)</f>
        <v>Male. b. 04/07/1991</v>
      </c>
    </row>
    <row r="228" spans="1:6" s="5" customFormat="1">
      <c r="A228" s="149">
        <f t="shared" si="4"/>
        <v>2084</v>
      </c>
      <c r="B228" s="150" t="str">
        <f>VLOOKUP($A228,'All Girls &amp; Descendants - Edit'!$AC$2:$AJ$438,2,FALSE)</f>
        <v>101eb</v>
      </c>
      <c r="C228" s="150" t="str">
        <f>VLOOKUP($A228,'All Girls &amp; Descendants - Edit'!$AC$2:$AJ$438,3,FALSE)</f>
        <v>George Edmund Hamilton WILLS (1993 - )</v>
      </c>
      <c r="D228" s="150" t="str">
        <f>VLOOKUP($A228,'All Girls &amp; Descendants - Edit'!$AC$2:$AJ$438,4,FALSE)</f>
        <v>George WILLS (7th &amp; 101)</v>
      </c>
      <c r="E228" s="150" t="str">
        <f>VLOOKUP($A228,'All Girls &amp; Descendants - Edit'!$AC$2:$AJ$438,7,FALSE)</f>
        <v>Unmarried</v>
      </c>
      <c r="F228" s="150" t="str">
        <f>VLOOKUP($A228,'All Girls &amp; Descendants - Edit'!$AC$2:$AJ$438,8,FALSE)</f>
        <v>Male. b. 29/08/1993</v>
      </c>
    </row>
    <row r="229" spans="1:6" s="5" customFormat="1">
      <c r="A229" s="149">
        <f t="shared" si="4"/>
        <v>2085</v>
      </c>
      <c r="B229" s="150" t="str">
        <f>VLOOKUP($A229,'All Girls &amp; Descendants - Edit'!$AC$2:$AJ$438,2,FALSE)</f>
        <v>101ec</v>
      </c>
      <c r="C229" s="150" t="str">
        <f>VLOOKUP($A229,'All Girls &amp; Descendants - Edit'!$AC$2:$AJ$438,3,FALSE)</f>
        <v>Laura Felicity Hamilton WILLS (1996 - )</v>
      </c>
      <c r="D229" s="150" t="str">
        <f>VLOOKUP($A229,'All Girls &amp; Descendants - Edit'!$AC$2:$AJ$438,4,FALSE)</f>
        <v>Laura WILLS (7th &amp; 101)</v>
      </c>
      <c r="E229" s="150" t="str">
        <f>VLOOKUP($A229,'All Girls &amp; Descendants - Edit'!$AC$2:$AJ$438,7,FALSE)</f>
        <v>Unmarried</v>
      </c>
      <c r="F229" s="150" t="str">
        <f>VLOOKUP($A229,'All Girls &amp; Descendants - Edit'!$AC$2:$AJ$438,8,FALSE)</f>
        <v>Female. b. 14/02/1996</v>
      </c>
    </row>
    <row r="230" spans="1:6" s="5" customFormat="1">
      <c r="A230" s="149">
        <f t="shared" si="4"/>
        <v>2086</v>
      </c>
      <c r="B230" s="150" t="str">
        <f>VLOOKUP($A230,'All Girls &amp; Descendants - Edit'!$AC$2:$AJ$438,2,FALSE)</f>
        <v>101fa</v>
      </c>
      <c r="C230" s="150" t="str">
        <f>VLOOKUP($A230,'All Girls &amp; Descendants - Edit'!$AC$2:$AJ$438,3,FALSE)</f>
        <v>Richard Garnett  HEYWOOD (1993 - )</v>
      </c>
      <c r="D230" s="150" t="str">
        <f>VLOOKUP($A230,'All Girls &amp; Descendants - Edit'!$AC$2:$AJ$438,4,FALSE)</f>
        <v>Richard HEYWOOD (7th &amp; 101)</v>
      </c>
      <c r="E230" s="150" t="str">
        <f>VLOOKUP($A230,'All Girls &amp; Descendants - Edit'!$AC$2:$AJ$438,7,FALSE)</f>
        <v>Unmarried</v>
      </c>
      <c r="F230" s="150" t="str">
        <f>VLOOKUP($A230,'All Girls &amp; Descendants - Edit'!$AC$2:$AJ$438,8,FALSE)</f>
        <v>Male. b. 13/12/1993 Baptised at St John’s, Pewsey, Wiltshire.</v>
      </c>
    </row>
    <row r="231" spans="1:6" s="5" customFormat="1">
      <c r="A231" s="149">
        <f t="shared" si="4"/>
        <v>2087</v>
      </c>
      <c r="B231" s="150" t="str">
        <f>VLOOKUP($A231,'All Girls &amp; Descendants - Edit'!$AC$2:$AJ$438,2,FALSE)</f>
        <v>101fb</v>
      </c>
      <c r="C231" s="150" t="str">
        <f>VLOOKUP($A231,'All Girls &amp; Descendants - Edit'!$AC$2:$AJ$438,3,FALSE)</f>
        <v>Alec Garnett  HEYWOOD (1996 - )</v>
      </c>
      <c r="D231" s="150" t="str">
        <f>VLOOKUP($A231,'All Girls &amp; Descendants - Edit'!$AC$2:$AJ$438,4,FALSE)</f>
        <v>Alec HEYWOOD (7th &amp; 101)</v>
      </c>
      <c r="E231" s="150" t="str">
        <f>VLOOKUP($A231,'All Girls &amp; Descendants - Edit'!$AC$2:$AJ$438,7,FALSE)</f>
        <v>Unmarried</v>
      </c>
      <c r="F231" s="150" t="str">
        <f>VLOOKUP($A231,'All Girls &amp; Descendants - Edit'!$AC$2:$AJ$438,8,FALSE)</f>
        <v>Male. b. 22/02/1996 Baptised at St John’s, Pewsey, Wiltshire.</v>
      </c>
    </row>
    <row r="232" spans="1:6" s="5" customFormat="1" ht="75">
      <c r="A232" s="149">
        <f t="shared" si="4"/>
        <v>2088</v>
      </c>
      <c r="B232" s="150" t="str">
        <f>VLOOKUP($A232,'All Girls &amp; Descendants - Edit'!$AC$2:$AJ$438,2,FALSE)</f>
        <v>102ba</v>
      </c>
      <c r="C232" s="150" t="str">
        <f>VLOOKUP($A232,'All Girls &amp; Descendants - Edit'!$AC$2:$AJ$438,3,FALSE)</f>
        <v>Ella Genevieve Elgin DUNLOP (1998 - )</v>
      </c>
      <c r="D232" s="150" t="str">
        <f>VLOOKUP($A232,'All Girls &amp; Descendants - Edit'!$AC$2:$AJ$438,4,FALSE)</f>
        <v>Ella DUNLOP (7th &amp; 102)</v>
      </c>
      <c r="E232" s="150" t="str">
        <f>VLOOKUP($A232,'All Girls &amp; Descendants - Edit'!$AC$2:$AJ$438,7,FALSE)</f>
        <v>Unmarried</v>
      </c>
      <c r="F232" s="150" t="str">
        <f>VLOOKUP($A232,'All Girls &amp; Descendants - Edit'!$AC$2:$AJ$438,8,FALSE)</f>
        <v>Female. b. 25/03/1998 Born at Hoechst General Hospital, Frankfurt am Main, Germany. Baptised 11 Oct 1998 at St Mary
Abbots, London W8. Educated: Ladies College, Guernsey 2011-14; Canford School, Dorset (scholar) 2014-16; Brasenose, Oxford 2016-2019, (BA Hons Med Science); Green Templeton, Oxford from 2020 (for BM BCh), various papers published.</v>
      </c>
    </row>
    <row r="233" spans="1:6" s="5" customFormat="1" ht="45">
      <c r="A233" s="149">
        <f t="shared" si="4"/>
        <v>2089</v>
      </c>
      <c r="B233" s="150" t="str">
        <f>VLOOKUP($A233,'All Girls &amp; Descendants - Edit'!$AC$2:$AJ$438,2,FALSE)</f>
        <v>102bb</v>
      </c>
      <c r="C233" s="150" t="str">
        <f>VLOOKUP($A233,'All Girls &amp; Descendants - Edit'!$AC$2:$AJ$438,3,FALSE)</f>
        <v>John Fergus Elgin DUNLOP (2000 - )</v>
      </c>
      <c r="D233" s="150" t="str">
        <f>VLOOKUP($A233,'All Girls &amp; Descendants - Edit'!$AC$2:$AJ$438,4,FALSE)</f>
        <v>John DUNLOP (7th &amp; 102)</v>
      </c>
      <c r="E233" s="150" t="str">
        <f>VLOOKUP($A233,'All Girls &amp; Descendants - Edit'!$AC$2:$AJ$438,7,FALSE)</f>
        <v>Unmarried</v>
      </c>
      <c r="F233" s="150" t="str">
        <f>VLOOKUP($A233,'All Girls &amp; Descendants - Edit'!$AC$2:$AJ$438,8,FALSE)</f>
        <v>Male. b. 04/07/2000 Born at Portland Hospital, London W1. Baptised 05/11/2000 at St Mary Abbots, London W8. Educated: Eton 2013-2018; Durham 2018-2022 (M Eng Hons). Jaguar Land Rover (drivetrains) from 2022.</v>
      </c>
    </row>
    <row r="234" spans="1:6" s="5" customFormat="1">
      <c r="A234" s="149">
        <f t="shared" si="4"/>
        <v>2090</v>
      </c>
      <c r="B234" s="150" t="str">
        <f>VLOOKUP($A234,'All Girls &amp; Descendants - Edit'!$AC$2:$AJ$438,2,FALSE)</f>
        <v>103aa</v>
      </c>
      <c r="C234" s="150" t="str">
        <f>VLOOKUP($A234,'All Girls &amp; Descendants - Edit'!$AC$2:$AJ$438,3,FALSE)</f>
        <v>Marina Harriet  GORE-BROWNE (1984 - )</v>
      </c>
      <c r="D234" s="150" t="str">
        <f>VLOOKUP($A234,'All Girls &amp; Descendants - Edit'!$AC$2:$AJ$438,4,FALSE)</f>
        <v>Marina GORE-BROWNE (7th &amp; 103)</v>
      </c>
      <c r="E234" s="150" t="str">
        <f>VLOOKUP($A234,'All Girls &amp; Descendants - Edit'!$AC$2:$AJ$438,7,FALSE)</f>
        <v>Unmarried</v>
      </c>
      <c r="F234" s="150" t="str">
        <f>VLOOKUP($A234,'All Girls &amp; Descendants - Edit'!$AC$2:$AJ$438,8,FALSE)</f>
        <v>Female. b. 19/12/1984 Baptised at Holy Trinity, Clapham Common, London.</v>
      </c>
    </row>
    <row r="235" spans="1:6" s="5" customFormat="1">
      <c r="A235" s="149">
        <f t="shared" si="4"/>
        <v>2091</v>
      </c>
      <c r="B235" s="150" t="str">
        <f>VLOOKUP($A235,'All Girls &amp; Descendants - Edit'!$AC$2:$AJ$438,2,FALSE)</f>
        <v>103ab</v>
      </c>
      <c r="C235" s="150" t="str">
        <f>VLOOKUP($A235,'All Girls &amp; Descendants - Edit'!$AC$2:$AJ$438,3,FALSE)</f>
        <v>Frederick Henry  GORE-BROWNE (1987 - )</v>
      </c>
      <c r="D235" s="150" t="str">
        <f>VLOOKUP($A235,'All Girls &amp; Descendants - Edit'!$AC$2:$AJ$438,4,FALSE)</f>
        <v>Frederick GORE-BROWNE (7th &amp; 103)</v>
      </c>
      <c r="E235" s="150" t="str">
        <f>VLOOKUP($A235,'All Girls &amp; Descendants - Edit'!$AC$2:$AJ$438,7,FALSE)</f>
        <v>Unmarried</v>
      </c>
      <c r="F235" s="150" t="str">
        <f>VLOOKUP($A235,'All Girls &amp; Descendants - Edit'!$AC$2:$AJ$438,8,FALSE)</f>
        <v>Male. b. 21/01/1987 Baptised at Holy Trinity, Clapham Common, London.</v>
      </c>
    </row>
    <row r="236" spans="1:6" s="5" customFormat="1">
      <c r="A236" s="149">
        <f t="shared" si="4"/>
        <v>2092</v>
      </c>
      <c r="B236" s="150" t="str">
        <f>VLOOKUP($A236,'All Girls &amp; Descendants - Edit'!$AC$2:$AJ$438,2,FALSE)</f>
        <v>103ac</v>
      </c>
      <c r="C236" s="150" t="str">
        <f>VLOOKUP($A236,'All Girls &amp; Descendants - Edit'!$AC$2:$AJ$438,3,FALSE)</f>
        <v>Harry Alastair  GORE-BROWNE (1988 - )</v>
      </c>
      <c r="D236" s="150" t="str">
        <f>VLOOKUP($A236,'All Girls &amp; Descendants - Edit'!$AC$2:$AJ$438,4,FALSE)</f>
        <v>Harry GORE-BROWNE (7th &amp; 103)</v>
      </c>
      <c r="E236" s="150" t="str">
        <f>VLOOKUP($A236,'All Girls &amp; Descendants - Edit'!$AC$2:$AJ$438,7,FALSE)</f>
        <v>Unmarried</v>
      </c>
      <c r="F236" s="150" t="str">
        <f>VLOOKUP($A236,'All Girls &amp; Descendants - Edit'!$AC$2:$AJ$438,8,FALSE)</f>
        <v>Male. b. 20/04/1988 Baptised at Holy Trinity, Clapham Common, London.</v>
      </c>
    </row>
    <row r="237" spans="1:6" s="5" customFormat="1" ht="30">
      <c r="A237" s="149">
        <f t="shared" si="4"/>
        <v>2093</v>
      </c>
      <c r="B237" s="150" t="str">
        <f>VLOOKUP($A237,'All Girls &amp; Descendants - Edit'!$AC$2:$AJ$438,2,FALSE)</f>
        <v>103ba</v>
      </c>
      <c r="C237" s="150" t="str">
        <f>VLOOKUP($A237,'All Girls &amp; Descendants - Edit'!$AC$2:$AJ$438,3,FALSE)</f>
        <v>Edward Thomas  PILKINGTON (1971 - )</v>
      </c>
      <c r="D237" s="150" t="str">
        <f>VLOOKUP($A237,'All Girls &amp; Descendants - Edit'!$AC$2:$AJ$438,4,FALSE)</f>
        <v>Edward PILKINGTON (7th &amp; 103)</v>
      </c>
      <c r="E237" s="150" t="str">
        <f>VLOOKUP($A237,'All Girls &amp; Descendants - Edit'!$AC$2:$AJ$438,7,FALSE)</f>
        <v>Unmarried</v>
      </c>
      <c r="F237" s="150" t="str">
        <f>VLOOKUP($A237,'All Girls &amp; Descendants - Edit'!$AC$2:$AJ$438,8,FALSE)</f>
        <v>Male. b. 15/09/1971 Born in London. Baptised at St Michael’s, Chester Square, London.</v>
      </c>
    </row>
    <row r="238" spans="1:6" s="5" customFormat="1" ht="30">
      <c r="A238" s="149">
        <f t="shared" si="4"/>
        <v>2094</v>
      </c>
      <c r="B238" s="150" t="str">
        <f>VLOOKUP($A238,'All Girls &amp; Descendants - Edit'!$AC$2:$AJ$438,2,FALSE)</f>
        <v>103bb</v>
      </c>
      <c r="C238" s="150" t="str">
        <f>VLOOKUP($A238,'All Girls &amp; Descendants - Edit'!$AC$2:$AJ$438,3,FALSE)</f>
        <v>Lucinda Mary  PILKINGTON (1973 - )</v>
      </c>
      <c r="D238" s="150" t="str">
        <f>VLOOKUP($A238,'All Girls &amp; Descendants - Edit'!$AC$2:$AJ$438,4,FALSE)</f>
        <v>Lucy PILKINGTON (7th &amp; 103)</v>
      </c>
      <c r="E238" s="150" t="str">
        <f>VLOOKUP($A238,'All Girls &amp; Descendants - Edit'!$AC$2:$AJ$438,7,FALSE)</f>
        <v>Unmarried</v>
      </c>
      <c r="F238" s="150" t="str">
        <f>VLOOKUP($A238,'All Girls &amp; Descendants - Edit'!$AC$2:$AJ$438,8,FALSE)</f>
        <v>Female. b. 24/05/1973 Born in London. Baptised 3 Dec 1973 at Cirencester Parish Church.</v>
      </c>
    </row>
    <row r="239" spans="1:6" s="5" customFormat="1" ht="30">
      <c r="A239" s="149">
        <f t="shared" si="4"/>
        <v>2095</v>
      </c>
      <c r="B239" s="150" t="str">
        <f>VLOOKUP($A239,'All Girls &amp; Descendants - Edit'!$AC$2:$AJ$438,2,FALSE)</f>
        <v>103bc</v>
      </c>
      <c r="C239" s="150" t="str">
        <f>VLOOKUP($A239,'All Girls &amp; Descendants - Edit'!$AC$2:$AJ$438,3,FALSE)</f>
        <v>Nicholas James  PILKINGTON (1976 - )</v>
      </c>
      <c r="D239" s="150" t="str">
        <f>VLOOKUP($A239,'All Girls &amp; Descendants - Edit'!$AC$2:$AJ$438,4,FALSE)</f>
        <v>Nicholas PILKINGTON (7th &amp; 103)</v>
      </c>
      <c r="E239" s="150" t="str">
        <f>VLOOKUP($A239,'All Girls &amp; Descendants - Edit'!$AC$2:$AJ$438,7,FALSE)</f>
        <v>Unmarried</v>
      </c>
      <c r="F239" s="150" t="str">
        <f>VLOOKUP($A239,'All Girls &amp; Descendants - Edit'!$AC$2:$AJ$438,8,FALSE)</f>
        <v>Male. b. 29/04/1976 Born in Salisbury. Baptised at St Andrew’s, Landford, Salisbury.</v>
      </c>
    </row>
    <row r="240" spans="1:6" s="5" customFormat="1" ht="30">
      <c r="A240" s="149">
        <f t="shared" si="4"/>
        <v>2096</v>
      </c>
      <c r="B240" s="150" t="str">
        <f>VLOOKUP($A240,'All Girls &amp; Descendants - Edit'!$AC$2:$AJ$438,2,FALSE)</f>
        <v>103bd</v>
      </c>
      <c r="C240" s="150" t="str">
        <f>VLOOKUP($A240,'All Girls &amp; Descendants - Edit'!$AC$2:$AJ$438,3,FALSE)</f>
        <v>Claire Georgina  PILKINGTON (1979 - )</v>
      </c>
      <c r="D240" s="150" t="str">
        <f>VLOOKUP($A240,'All Girls &amp; Descendants - Edit'!$AC$2:$AJ$438,4,FALSE)</f>
        <v>Claire PILKINGTON (7th &amp; 103)</v>
      </c>
      <c r="E240" s="150" t="str">
        <f>VLOOKUP($A240,'All Girls &amp; Descendants - Edit'!$AC$2:$AJ$438,7,FALSE)</f>
        <v>Unmarried</v>
      </c>
      <c r="F240" s="150" t="str">
        <f>VLOOKUP($A240,'All Girls &amp; Descendants - Edit'!$AC$2:$AJ$438,8,FALSE)</f>
        <v>Female. b. 03/01/1979 Born in Salisbury. Baptised at St Andrew’s, Landford, Salisbury.</v>
      </c>
    </row>
    <row r="241" spans="1:6" s="5" customFormat="1" ht="30">
      <c r="A241" s="149">
        <f t="shared" si="4"/>
        <v>2097</v>
      </c>
      <c r="B241" s="150" t="str">
        <f>VLOOKUP($A241,'All Girls &amp; Descendants - Edit'!$AC$2:$AJ$438,2,FALSE)</f>
        <v>103ca</v>
      </c>
      <c r="C241" s="150" t="str">
        <f>VLOOKUP($A241,'All Girls &amp; Descendants - Edit'!$AC$2:$AJ$438,3,FALSE)</f>
        <v>William Thomas  GORE-BROWNE (1988 - )</v>
      </c>
      <c r="D241" s="150" t="str">
        <f>VLOOKUP($A241,'All Girls &amp; Descendants - Edit'!$AC$2:$AJ$438,4,FALSE)</f>
        <v>William GORE-BROWNE (7th &amp; 103)</v>
      </c>
      <c r="E241" s="150" t="str">
        <f>VLOOKUP($A241,'All Girls &amp; Descendants - Edit'!$AC$2:$AJ$438,7,FALSE)</f>
        <v>Unmarried</v>
      </c>
      <c r="F241" s="150" t="str">
        <f>VLOOKUP($A241,'All Girls &amp; Descendants - Edit'!$AC$2:$AJ$438,8,FALSE)</f>
        <v>Male. b. 28/05/1988 Born at Salisbury. Baptised at Damerham Parish Church, Fordingbridge.</v>
      </c>
    </row>
    <row r="242" spans="1:6" s="5" customFormat="1" ht="30">
      <c r="A242" s="149">
        <f t="shared" si="4"/>
        <v>2098</v>
      </c>
      <c r="B242" s="150" t="str">
        <f>VLOOKUP($A242,'All Girls &amp; Descendants - Edit'!$AC$2:$AJ$438,2,FALSE)</f>
        <v>103cb</v>
      </c>
      <c r="C242" s="150" t="str">
        <f>VLOOKUP($A242,'All Girls &amp; Descendants - Edit'!$AC$2:$AJ$438,3,FALSE)</f>
        <v>Heather Caroline Mona GORE-BROWNE (1990 - )</v>
      </c>
      <c r="D242" s="150" t="str">
        <f>VLOOKUP($A242,'All Girls &amp; Descendants - Edit'!$AC$2:$AJ$438,4,FALSE)</f>
        <v>Heather GORE-BROWNE (7th &amp; 103)</v>
      </c>
      <c r="E242" s="150" t="str">
        <f>VLOOKUP($A242,'All Girls &amp; Descendants - Edit'!$AC$2:$AJ$438,7,FALSE)</f>
        <v>Unmarried</v>
      </c>
      <c r="F242" s="150" t="str">
        <f>VLOOKUP($A242,'All Girls &amp; Descendants - Edit'!$AC$2:$AJ$438,8,FALSE)</f>
        <v>Female. b. 17/02/1990 Born at Salisbury. Baptised at Hale Parish Church, Fordingbridge.</v>
      </c>
    </row>
    <row r="243" spans="1:6" s="5" customFormat="1" ht="30">
      <c r="A243" s="149">
        <f t="shared" si="4"/>
        <v>2099</v>
      </c>
      <c r="B243" s="150" t="str">
        <f>VLOOKUP($A243,'All Girls &amp; Descendants - Edit'!$AC$2:$AJ$438,2,FALSE)</f>
        <v>103cc</v>
      </c>
      <c r="C243" s="150" t="str">
        <f>VLOOKUP($A243,'All Girls &amp; Descendants - Edit'!$AC$2:$AJ$438,3,FALSE)</f>
        <v>Rose Elizabeth Lavinia GORE-BROWNE (1991 - )</v>
      </c>
      <c r="D243" s="150" t="str">
        <f>VLOOKUP($A243,'All Girls &amp; Descendants - Edit'!$AC$2:$AJ$438,4,FALSE)</f>
        <v>Rose GORE-BROWNE (7th &amp; 103)</v>
      </c>
      <c r="E243" s="150" t="str">
        <f>VLOOKUP($A243,'All Girls &amp; Descendants - Edit'!$AC$2:$AJ$438,7,FALSE)</f>
        <v>Unmarried</v>
      </c>
      <c r="F243" s="150" t="str">
        <f>VLOOKUP($A243,'All Girls &amp; Descendants - Edit'!$AC$2:$AJ$438,8,FALSE)</f>
        <v>Female. b. 27/10/1991 Born at Salisbury. Baptised at Hale Parish Church, Fordingbridge.</v>
      </c>
    </row>
    <row r="244" spans="1:6" s="5" customFormat="1" ht="30">
      <c r="A244" s="149">
        <f t="shared" si="4"/>
        <v>2100</v>
      </c>
      <c r="B244" s="150" t="str">
        <f>VLOOKUP($A244,'All Girls &amp; Descendants - Edit'!$AC$2:$AJ$438,2,FALSE)</f>
        <v>103da</v>
      </c>
      <c r="C244" s="150" t="str">
        <f>VLOOKUP($A244,'All Girls &amp; Descendants - Edit'!$AC$2:$AJ$438,3,FALSE)</f>
        <v>Sophie Mary  GORE-BROWNE (1985 - )</v>
      </c>
      <c r="D244" s="150" t="str">
        <f>VLOOKUP($A244,'All Girls &amp; Descendants - Edit'!$AC$2:$AJ$438,4,FALSE)</f>
        <v>Sophie GORE-BROWNE (7th &amp; 103)</v>
      </c>
      <c r="E244" s="150" t="str">
        <f>VLOOKUP($A244,'All Girls &amp; Descendants - Edit'!$AC$2:$AJ$438,7,FALSE)</f>
        <v>Unmarried</v>
      </c>
      <c r="F244" s="150" t="str">
        <f>VLOOKUP($A244,'All Girls &amp; Descendants - Edit'!$AC$2:$AJ$438,8,FALSE)</f>
        <v>Female. b. 28/03/1985 Born at Winchester. Baptised 7 Jul 1985 at St Mary’s, Bentworth, Alton, Hampshire.</v>
      </c>
    </row>
    <row r="245" spans="1:6" s="5" customFormat="1" ht="30">
      <c r="A245" s="149">
        <f t="shared" si="4"/>
        <v>2101</v>
      </c>
      <c r="B245" s="150" t="str">
        <f>VLOOKUP($A245,'All Girls &amp; Descendants - Edit'!$AC$2:$AJ$438,2,FALSE)</f>
        <v>103db</v>
      </c>
      <c r="C245" s="150" t="str">
        <f>VLOOKUP($A245,'All Girls &amp; Descendants - Edit'!$AC$2:$AJ$438,3,FALSE)</f>
        <v>Elizabeth Clare  GORE-BROWNE (1988 - )</v>
      </c>
      <c r="D245" s="150" t="str">
        <f>VLOOKUP($A245,'All Girls &amp; Descendants - Edit'!$AC$2:$AJ$438,4,FALSE)</f>
        <v>Elizabeth GORE-BROWNE (7th &amp; 103)</v>
      </c>
      <c r="E245" s="150" t="str">
        <f>VLOOKUP($A245,'All Girls &amp; Descendants - Edit'!$AC$2:$AJ$438,7,FALSE)</f>
        <v>Unmarried</v>
      </c>
      <c r="F245" s="150" t="str">
        <f>VLOOKUP($A245,'All Girls &amp; Descendants - Edit'!$AC$2:$AJ$438,8,FALSE)</f>
        <v>Female. b. 18/05/1988 Born at Winchester.  Baptised 12 Apr 1989 at St Mary’s. Bentworth, Alton, Hampshire.</v>
      </c>
    </row>
    <row r="246" spans="1:6" s="5" customFormat="1" ht="30">
      <c r="A246" s="149">
        <f t="shared" si="4"/>
        <v>2102</v>
      </c>
      <c r="B246" s="150" t="str">
        <f>VLOOKUP($A246,'All Girls &amp; Descendants - Edit'!$AC$2:$AJ$438,2,FALSE)</f>
        <v>103dc</v>
      </c>
      <c r="C246" s="150" t="str">
        <f>VLOOKUP($A246,'All Girls &amp; Descendants - Edit'!$AC$2:$AJ$438,3,FALSE)</f>
        <v>Georgina Sarah  GORE-BROWNE (1992 - )</v>
      </c>
      <c r="D246" s="150" t="str">
        <f>VLOOKUP($A246,'All Girls &amp; Descendants - Edit'!$AC$2:$AJ$438,4,FALSE)</f>
        <v>Georgina GORE-BROWNE (7th &amp; 103)</v>
      </c>
      <c r="E246" s="150" t="str">
        <f>VLOOKUP($A246,'All Girls &amp; Descendants - Edit'!$AC$2:$AJ$438,7,FALSE)</f>
        <v>Unmarried</v>
      </c>
      <c r="F246" s="150" t="str">
        <f>VLOOKUP($A246,'All Girls &amp; Descendants - Edit'!$AC$2:$AJ$438,8,FALSE)</f>
        <v>Female. b. 14/03/1992 Born at Winchester. Baptised 20 Sep 1992 at St Mary’s, Bentworth, Alton, Hampshire.</v>
      </c>
    </row>
    <row r="247" spans="1:6" s="5" customFormat="1" ht="30">
      <c r="A247" s="149">
        <f t="shared" si="4"/>
        <v>2103</v>
      </c>
      <c r="B247" s="150" t="str">
        <f>VLOOKUP($A247,'All Girls &amp; Descendants - Edit'!$AC$2:$AJ$438,2,FALSE)</f>
        <v>106aa</v>
      </c>
      <c r="C247" s="150" t="str">
        <f>VLOOKUP($A247,'All Girls &amp; Descendants - Edit'!$AC$2:$AJ$438,3,FALSE)</f>
        <v>Helena Charlotte Rose BLACKETT (1988 - )</v>
      </c>
      <c r="D247" s="150" t="str">
        <f>VLOOKUP($A247,'All Girls &amp; Descendants - Edit'!$AC$2:$AJ$438,4,FALSE)</f>
        <v>Charlotte BLACKETT (7th &amp; 106)</v>
      </c>
      <c r="E247" s="150" t="str">
        <f>VLOOKUP($A247,'All Girls &amp; Descendants - Edit'!$AC$2:$AJ$438,7,FALSE)</f>
        <v>Husband: Edward John HOLLAND (b. , d.). Married Edward, 2nd son of Liam Holland of Co. Laois, Ireland, 14/05/2016.</v>
      </c>
      <c r="F247" s="150" t="str">
        <f>VLOOKUP($A247,'All Girls &amp; Descendants - Edit'!$AC$2:$AJ$438,8,FALSE)</f>
        <v>Female. b. 22/09/1988 Born at Grantham General Hospital. Baptised 4 Dec 1988 at St Dennis’s, Aswarby, Lincolnshire.</v>
      </c>
    </row>
    <row r="248" spans="1:6" s="5" customFormat="1" ht="45">
      <c r="A248" s="149">
        <f t="shared" si="4"/>
        <v>2104</v>
      </c>
      <c r="B248" s="150" t="str">
        <f>VLOOKUP($A248,'All Girls &amp; Descendants - Edit'!$AC$2:$AJ$438,2,FALSE)</f>
        <v>106ab</v>
      </c>
      <c r="C248" s="150" t="str">
        <f>VLOOKUP($A248,'All Girls &amp; Descendants - Edit'!$AC$2:$AJ$438,3,FALSE)</f>
        <v>Camilla Harriet Eve BLACKETT (1989 - )</v>
      </c>
      <c r="D248" s="150" t="str">
        <f>VLOOKUP($A248,'All Girls &amp; Descendants - Edit'!$AC$2:$AJ$438,4,FALSE)</f>
        <v>Eve BLACKETT (7th &amp; 106)</v>
      </c>
      <c r="E248" s="150" t="str">
        <f>VLOOKUP($A248,'All Girls &amp; Descendants - Edit'!$AC$2:$AJ$438,7,FALSE)</f>
        <v>Husband: Jonathan George Mercer TELFORD. Married Jonathan, eldest son of Richard Telford of Exton, Devon, 23/07/2021.</v>
      </c>
      <c r="F248" s="150" t="str">
        <f>VLOOKUP($A248,'All Girls &amp; Descendants - Edit'!$AC$2:$AJ$438,8,FALSE)</f>
        <v>Female. b. 23/11/1989 Eve born at Grantham General Hospital. Baptised 14 Apr 1990 at St Dennis’s, Aswarby, Lincolnshire.</v>
      </c>
    </row>
    <row r="249" spans="1:6" s="5" customFormat="1" ht="30">
      <c r="A249" s="149">
        <f t="shared" si="4"/>
        <v>2105</v>
      </c>
      <c r="B249" s="150" t="str">
        <f>VLOOKUP($A249,'All Girls &amp; Descendants - Edit'!$AC$2:$AJ$438,2,FALSE)</f>
        <v>106ac</v>
      </c>
      <c r="C249" s="150" t="str">
        <f>VLOOKUP($A249,'All Girls &amp; Descendants - Edit'!$AC$2:$AJ$438,3,FALSE)</f>
        <v>Letitia Sarah Alice BLACKETT (1991 - )</v>
      </c>
      <c r="D249" s="150" t="str">
        <f>VLOOKUP($A249,'All Girls &amp; Descendants - Edit'!$AC$2:$AJ$438,4,FALSE)</f>
        <v>Lettie BLACKETT (7th &amp; 106)</v>
      </c>
      <c r="E249" s="150" t="str">
        <f>VLOOKUP($A249,'All Girls &amp; Descendants - Edit'!$AC$2:$AJ$438,7,FALSE)</f>
        <v>Husband: Richard WEST. Married Richard,  eldest son of Murray West of West Sussex, on 10/10/2020.</v>
      </c>
      <c r="F249" s="150" t="str">
        <f>VLOOKUP($A249,'All Girls &amp; Descendants - Edit'!$AC$2:$AJ$438,8,FALSE)</f>
        <v>Female. b. 06/08/1991 Lettie baptised 24 Nov 1991 at St Dennis’s, Aswarby, Lincolnshire.</v>
      </c>
    </row>
    <row r="250" spans="1:6" s="5" customFormat="1">
      <c r="A250" s="149">
        <f t="shared" si="4"/>
        <v>2106</v>
      </c>
      <c r="B250" s="150" t="str">
        <f>VLOOKUP($A250,'All Girls &amp; Descendants - Edit'!$AC$2:$AJ$438,2,FALSE)</f>
        <v>106ad</v>
      </c>
      <c r="C250" s="150" t="str">
        <f>VLOOKUP($A250,'All Girls &amp; Descendants - Edit'!$AC$2:$AJ$438,3,FALSE)</f>
        <v>Annabel Victoria Louisa BLACKETT (1993 - )</v>
      </c>
      <c r="D250" s="150" t="str">
        <f>VLOOKUP($A250,'All Girls &amp; Descendants - Edit'!$AC$2:$AJ$438,4,FALSE)</f>
        <v>Annabel BLACKETT (7th &amp; 106)</v>
      </c>
      <c r="E250" s="150" t="str">
        <f>VLOOKUP($A250,'All Girls &amp; Descendants - Edit'!$AC$2:$AJ$438,7,FALSE)</f>
        <v>Unmarried</v>
      </c>
      <c r="F250" s="150" t="str">
        <f>VLOOKUP($A250,'All Girls &amp; Descendants - Edit'!$AC$2:$AJ$438,8,FALSE)</f>
        <v>Female. b. 24/03/1993 Baptised 13 Jun 1993 at St Dennis’s, Aswarby, Lincolnshire.</v>
      </c>
    </row>
    <row r="251" spans="1:6" s="5" customFormat="1" ht="45">
      <c r="A251" s="149">
        <f t="shared" si="4"/>
        <v>2107</v>
      </c>
      <c r="B251" s="150" t="str">
        <f>VLOOKUP($A251,'All Girls &amp; Descendants - Edit'!$AC$2:$AJ$438,2,FALSE)</f>
        <v>106ba</v>
      </c>
      <c r="C251" s="150" t="str">
        <f>VLOOKUP($A251,'All Girls &amp; Descendants - Edit'!$AC$2:$AJ$438,3,FALSE)</f>
        <v>The Hon Rowland Charles Sebastian Henry WINN (1986 - )</v>
      </c>
      <c r="D251" s="150" t="str">
        <f>VLOOKUP($A251,'All Girls &amp; Descendants - Edit'!$AC$2:$AJ$438,4,FALSE)</f>
        <v>The Hon Rowland WINN (7th &amp; 106)</v>
      </c>
      <c r="E251" s="150" t="str">
        <f>VLOOKUP($A251,'All Girls &amp; Descendants - Edit'!$AC$2:$AJ$438,7,FALSE)</f>
        <v>Unmarried</v>
      </c>
      <c r="F251" s="150" t="str">
        <f>VLOOKUP($A251,'All Girls &amp; Descendants - Edit'!$AC$2:$AJ$438,8,FALSE)</f>
        <v>Male. b. 15/04/1986 The Hon Rowland Charles Sebastian Henry (Rowley) WINN. Born at Harrogate, Yorkshire. Baptised 23 Nov 1986 at St Michael and Our Lady, Wragby, West Yorkshire by the Bishop of Wakefield.</v>
      </c>
    </row>
    <row r="252" spans="1:6" s="5" customFormat="1" ht="45">
      <c r="A252" s="149">
        <f t="shared" si="4"/>
        <v>2108</v>
      </c>
      <c r="B252" s="150" t="str">
        <f>VLOOKUP($A252,'All Girls &amp; Descendants - Edit'!$AC$2:$AJ$438,2,FALSE)</f>
        <v>106bb</v>
      </c>
      <c r="C252" s="150" t="str">
        <f>VLOOKUP($A252,'All Girls &amp; Descendants - Edit'!$AC$2:$AJ$438,3,FALSE)</f>
        <v>The Hon Henrietta Sophia Alexandra WINN (1993 - )</v>
      </c>
      <c r="D252" s="150" t="str">
        <f>VLOOKUP($A252,'All Girls &amp; Descendants - Edit'!$AC$2:$AJ$438,4,FALSE)</f>
        <v>The Hon Henrietta WINN (7th &amp; 106)</v>
      </c>
      <c r="E252" s="150" t="str">
        <f>VLOOKUP($A252,'All Girls &amp; Descendants - Edit'!$AC$2:$AJ$438,7,FALSE)</f>
        <v>Unmarried</v>
      </c>
      <c r="F252" s="150" t="str">
        <f>VLOOKUP($A252,'All Girls &amp; Descendants - Edit'!$AC$2:$AJ$438,8,FALSE)</f>
        <v>Female. b. 22/04/1993 The Hon Henrietta Sophia Alexandra WINN baptised 19 Dec 1993 at St Michael and Our Lady, Wragby, West Yorkshire by the Bishop of Wakefield.</v>
      </c>
    </row>
    <row r="253" spans="1:6" s="5" customFormat="1">
      <c r="A253" s="149">
        <f t="shared" si="4"/>
        <v>2109</v>
      </c>
      <c r="B253" s="150" t="str">
        <f>VLOOKUP($A253,'All Girls &amp; Descendants - Edit'!$AC$2:$AJ$438,2,FALSE)</f>
        <v>107aa</v>
      </c>
      <c r="C253" s="150" t="str">
        <f>VLOOKUP($A253,'All Girls &amp; Descendants - Edit'!$AC$2:$AJ$438,3,FALSE)</f>
        <v>Edward Allen  RUSSELL (1976 - )</v>
      </c>
      <c r="D253" s="150" t="str">
        <f>VLOOKUP($A253,'All Girls &amp; Descendants - Edit'!$AC$2:$AJ$438,4,FALSE)</f>
        <v>Edward RUSSELL (7th &amp; 107)</v>
      </c>
      <c r="E253" s="150" t="str">
        <f>VLOOKUP($A253,'All Girls &amp; Descendants - Edit'!$AC$2:$AJ$438,7,FALSE)</f>
        <v>Unmarried</v>
      </c>
      <c r="F253" s="150" t="str">
        <f>VLOOKUP($A253,'All Girls &amp; Descendants - Edit'!$AC$2:$AJ$438,8,FALSE)</f>
        <v>Male. b. 09/09/1976 Issue: (a) Edward Allen RUSSELL</v>
      </c>
    </row>
    <row r="254" spans="1:6" s="5" customFormat="1">
      <c r="A254" s="149">
        <f t="shared" si="4"/>
        <v>2110</v>
      </c>
      <c r="B254" s="150" t="str">
        <f>VLOOKUP($A254,'All Girls &amp; Descendants - Edit'!$AC$2:$AJ$438,2,FALSE)</f>
        <v>107ab</v>
      </c>
      <c r="C254" s="150" t="str">
        <f>VLOOKUP($A254,'All Girls &amp; Descendants - Edit'!$AC$2:$AJ$438,3,FALSE)</f>
        <v>Mathew Howard  AMY (1981 - )</v>
      </c>
      <c r="D254" s="150" t="str">
        <f>VLOOKUP($A254,'All Girls &amp; Descendants - Edit'!$AC$2:$AJ$438,4,FALSE)</f>
        <v>Mathew AMY (7th &amp; 107)</v>
      </c>
      <c r="E254" s="150" t="str">
        <f>VLOOKUP($A254,'All Girls &amp; Descendants - Edit'!$AC$2:$AJ$438,7,FALSE)</f>
        <v>Unmarried</v>
      </c>
      <c r="F254" s="150" t="str">
        <f>VLOOKUP($A254,'All Girls &amp; Descendants - Edit'!$AC$2:$AJ$438,8,FALSE)</f>
        <v>Male. b. 06/06/1981 Twin with his brother Michael</v>
      </c>
    </row>
    <row r="255" spans="1:6" s="5" customFormat="1">
      <c r="A255" s="149">
        <f t="shared" si="4"/>
        <v>2111</v>
      </c>
      <c r="B255" s="150" t="str">
        <f>VLOOKUP($A255,'All Girls &amp; Descendants - Edit'!$AC$2:$AJ$438,2,FALSE)</f>
        <v>107ac</v>
      </c>
      <c r="C255" s="150" t="str">
        <f>VLOOKUP($A255,'All Girls &amp; Descendants - Edit'!$AC$2:$AJ$438,3,FALSE)</f>
        <v>Michael William  AMY (1981 - )</v>
      </c>
      <c r="D255" s="150" t="str">
        <f>VLOOKUP($A255,'All Girls &amp; Descendants - Edit'!$AC$2:$AJ$438,4,FALSE)</f>
        <v>Michael AMY (7th &amp; 107)</v>
      </c>
      <c r="E255" s="150" t="str">
        <f>VLOOKUP($A255,'All Girls &amp; Descendants - Edit'!$AC$2:$AJ$438,7,FALSE)</f>
        <v>Unmarried</v>
      </c>
      <c r="F255" s="150" t="str">
        <f>VLOOKUP($A255,'All Girls &amp; Descendants - Edit'!$AC$2:$AJ$438,8,FALSE)</f>
        <v>Male. b. 06/06/1981 Twin with his brother Mathew</v>
      </c>
    </row>
    <row r="256" spans="1:6" s="5" customFormat="1">
      <c r="A256" s="149">
        <f t="shared" si="4"/>
        <v>2112</v>
      </c>
      <c r="B256" s="150" t="str">
        <f>VLOOKUP($A256,'All Girls &amp; Descendants - Edit'!$AC$2:$AJ$438,2,FALSE)</f>
        <v>107ad</v>
      </c>
      <c r="C256" s="150" t="str">
        <f>VLOOKUP($A256,'All Girls &amp; Descendants - Edit'!$AC$2:$AJ$438,3,FALSE)</f>
        <v>Jonathon Glen  AMY (1983 - )</v>
      </c>
      <c r="D256" s="150" t="str">
        <f>VLOOKUP($A256,'All Girls &amp; Descendants - Edit'!$AC$2:$AJ$438,4,FALSE)</f>
        <v>Jonathon AMY (7th &amp; 107)</v>
      </c>
      <c r="E256" s="150" t="str">
        <f>VLOOKUP($A256,'All Girls &amp; Descendants - Edit'!$AC$2:$AJ$438,7,FALSE)</f>
        <v>Unmarried</v>
      </c>
      <c r="F256" s="150" t="str">
        <f>VLOOKUP($A256,'All Girls &amp; Descendants - Edit'!$AC$2:$AJ$438,8,FALSE)</f>
        <v>Male. b. 31/07/1983</v>
      </c>
    </row>
    <row r="257" spans="1:6" s="5" customFormat="1" ht="30">
      <c r="A257" s="149">
        <f t="shared" si="4"/>
        <v>2113</v>
      </c>
      <c r="B257" s="150" t="str">
        <f>VLOOKUP($A257,'All Girls &amp; Descendants - Edit'!$AC$2:$AJ$438,2,FALSE)</f>
        <v>107ba</v>
      </c>
      <c r="C257" s="150" t="str">
        <f>VLOOKUP($A257,'All Girls &amp; Descendants - Edit'!$AC$2:$AJ$438,3,FALSE)</f>
        <v>Christopher Allen  THOMPSON (1973 - )</v>
      </c>
      <c r="D257" s="150" t="str">
        <f>VLOOKUP($A257,'All Girls &amp; Descendants - Edit'!$AC$2:$AJ$438,4,FALSE)</f>
        <v>Christopher THOMPSON (7th &amp; 107)</v>
      </c>
      <c r="E257" s="150" t="str">
        <f>VLOOKUP($A257,'All Girls &amp; Descendants - Edit'!$AC$2:$AJ$438,7,FALSE)</f>
        <v>Unmarried</v>
      </c>
      <c r="F257" s="150" t="str">
        <f>VLOOKUP($A257,'All Girls &amp; Descendants - Edit'!$AC$2:$AJ$438,8,FALSE)</f>
        <v>Male. b. 14/10/1973 Baptised 1973 at St Joseph’s Cathedral Church, Otis Orchards, Washington. USA.</v>
      </c>
    </row>
    <row r="258" spans="1:6" s="5" customFormat="1" ht="30">
      <c r="A258" s="149">
        <f t="shared" si="4"/>
        <v>2114</v>
      </c>
      <c r="B258" s="150" t="str">
        <f>VLOOKUP($A258,'All Girls &amp; Descendants - Edit'!$AC$2:$AJ$438,2,FALSE)</f>
        <v>107bb</v>
      </c>
      <c r="C258" s="150" t="str">
        <f>VLOOKUP($A258,'All Girls &amp; Descendants - Edit'!$AC$2:$AJ$438,3,FALSE)</f>
        <v>George William  THOMPSON (1976 - )</v>
      </c>
      <c r="D258" s="150" t="str">
        <f>VLOOKUP($A258,'All Girls &amp; Descendants - Edit'!$AC$2:$AJ$438,4,FALSE)</f>
        <v>George THOMPSON (7th &amp; 107)</v>
      </c>
      <c r="E258" s="150" t="str">
        <f>VLOOKUP($A258,'All Girls &amp; Descendants - Edit'!$AC$2:$AJ$438,7,FALSE)</f>
        <v>Unmarried</v>
      </c>
      <c r="F258" s="150" t="str">
        <f>VLOOKUP($A258,'All Girls &amp; Descendants - Edit'!$AC$2:$AJ$438,8,FALSE)</f>
        <v>Male. b. 26/09/1976 Baptised 1976 at St Joseph’s Cathedral Church, Otis Orchards, Washington. USA.</v>
      </c>
    </row>
    <row r="259" spans="1:6" s="5" customFormat="1" ht="30">
      <c r="A259" s="149">
        <f t="shared" si="4"/>
        <v>2115</v>
      </c>
      <c r="B259" s="150" t="str">
        <f>VLOOKUP($A259,'All Girls &amp; Descendants - Edit'!$AC$2:$AJ$438,2,FALSE)</f>
        <v>107bc</v>
      </c>
      <c r="C259" s="150" t="str">
        <f>VLOOKUP($A259,'All Girls &amp; Descendants - Edit'!$AC$2:$AJ$438,3,FALSE)</f>
        <v>Jeremy James  THOMPSON (1979 - )</v>
      </c>
      <c r="D259" s="150" t="str">
        <f>VLOOKUP($A259,'All Girls &amp; Descendants - Edit'!$AC$2:$AJ$438,4,FALSE)</f>
        <v>Jeremy THOMPSON (7th &amp; 107)</v>
      </c>
      <c r="E259" s="150" t="str">
        <f>VLOOKUP($A259,'All Girls &amp; Descendants - Edit'!$AC$2:$AJ$438,7,FALSE)</f>
        <v>Unmarried</v>
      </c>
      <c r="F259" s="150" t="str">
        <f>VLOOKUP($A259,'All Girls &amp; Descendants - Edit'!$AC$2:$AJ$438,8,FALSE)</f>
        <v>Male. b. 18/04/1979 Baptised 1979 at Holy Family Church, Yakima, Washington. USA</v>
      </c>
    </row>
    <row r="260" spans="1:6" s="5" customFormat="1">
      <c r="A260" s="149">
        <f t="shared" si="4"/>
        <v>2116</v>
      </c>
      <c r="B260" s="150" t="str">
        <f>VLOOKUP($A260,'All Girls &amp; Descendants - Edit'!$AC$2:$AJ$438,2,FALSE)</f>
        <v>107ca</v>
      </c>
      <c r="C260" s="150" t="str">
        <f>VLOOKUP($A260,'All Girls &amp; Descendants - Edit'!$AC$2:$AJ$438,3,FALSE)</f>
        <v>Charitie Lee  ORR (1978 - )</v>
      </c>
      <c r="D260" s="150" t="str">
        <f>VLOOKUP($A260,'All Girls &amp; Descendants - Edit'!$AC$2:$AJ$438,4,FALSE)</f>
        <v>Charitie ORR (7th &amp; 107)</v>
      </c>
      <c r="E260" s="150" t="str">
        <f>VLOOKUP($A260,'All Girls &amp; Descendants - Edit'!$AC$2:$AJ$438,7,FALSE)</f>
        <v>Unmarried</v>
      </c>
      <c r="F260" s="150" t="str">
        <f>VLOOKUP($A260,'All Girls &amp; Descendants - Edit'!$AC$2:$AJ$438,8,FALSE)</f>
        <v>Female. b. 24/07/1978</v>
      </c>
    </row>
    <row r="261" spans="1:6" s="5" customFormat="1">
      <c r="A261" s="149">
        <f t="shared" si="4"/>
        <v>2117</v>
      </c>
      <c r="B261" s="150" t="str">
        <f>VLOOKUP($A261,'All Girls &amp; Descendants - Edit'!$AC$2:$AJ$438,2,FALSE)</f>
        <v>107cb</v>
      </c>
      <c r="C261" s="150" t="str">
        <f>VLOOKUP($A261,'All Girls &amp; Descendants - Edit'!$AC$2:$AJ$438,3,FALSE)</f>
        <v>Audrey Dawn  ORR (1980 - )</v>
      </c>
      <c r="D261" s="150" t="str">
        <f>VLOOKUP($A261,'All Girls &amp; Descendants - Edit'!$AC$2:$AJ$438,4,FALSE)</f>
        <v>Audrey ORR (7th &amp; 107)</v>
      </c>
      <c r="E261" s="150" t="str">
        <f>VLOOKUP($A261,'All Girls &amp; Descendants - Edit'!$AC$2:$AJ$438,7,FALSE)</f>
        <v>Unmarried</v>
      </c>
      <c r="F261" s="150" t="str">
        <f>VLOOKUP($A261,'All Girls &amp; Descendants - Edit'!$AC$2:$AJ$438,8,FALSE)</f>
        <v>Male. b. 12/07/1980</v>
      </c>
    </row>
    <row r="262" spans="1:6" s="5" customFormat="1">
      <c r="A262" s="149">
        <f t="shared" si="4"/>
        <v>2118</v>
      </c>
      <c r="B262" s="150" t="str">
        <f>VLOOKUP($A262,'All Girls &amp; Descendants - Edit'!$AC$2:$AJ$438,2,FALSE)</f>
        <v>107cc</v>
      </c>
      <c r="C262" s="150" t="str">
        <f>VLOOKUP($A262,'All Girls &amp; Descendants - Edit'!$AC$2:$AJ$438,3,FALSE)</f>
        <v>Michael Travis Kirkman ORR (1984 - )</v>
      </c>
      <c r="D262" s="150" t="str">
        <f>VLOOKUP($A262,'All Girls &amp; Descendants - Edit'!$AC$2:$AJ$438,4,FALSE)</f>
        <v>Michael ORR (7th &amp; 107)</v>
      </c>
      <c r="E262" s="150" t="str">
        <f>VLOOKUP($A262,'All Girls &amp; Descendants - Edit'!$AC$2:$AJ$438,7,FALSE)</f>
        <v>Unmarried</v>
      </c>
      <c r="F262" s="150" t="str">
        <f>VLOOKUP($A262,'All Girls &amp; Descendants - Edit'!$AC$2:$AJ$438,8,FALSE)</f>
        <v>Female. b. 12/04/1984</v>
      </c>
    </row>
    <row r="263" spans="1:6" s="5" customFormat="1">
      <c r="A263" s="149">
        <f t="shared" si="4"/>
        <v>2119</v>
      </c>
      <c r="B263" s="150" t="str">
        <f>VLOOKUP($A263,'All Girls &amp; Descendants - Edit'!$AC$2:$AJ$438,2,FALSE)</f>
        <v>107cd</v>
      </c>
      <c r="C263" s="150" t="str">
        <f>VLOOKUP($A263,'All Girls &amp; Descendants - Edit'!$AC$2:$AJ$438,3,FALSE)</f>
        <v>Seth Edward  ORR (1986 - )</v>
      </c>
      <c r="D263" s="150" t="str">
        <f>VLOOKUP($A263,'All Girls &amp; Descendants - Edit'!$AC$2:$AJ$438,4,FALSE)</f>
        <v>Seth ORR ( &amp; 107)</v>
      </c>
      <c r="E263" s="150" t="str">
        <f>VLOOKUP($A263,'All Girls &amp; Descendants - Edit'!$AC$2:$AJ$438,7,FALSE)</f>
        <v>Unmarried</v>
      </c>
      <c r="F263" s="150" t="str">
        <f>VLOOKUP($A263,'All Girls &amp; Descendants - Edit'!$AC$2:$AJ$438,8,FALSE)</f>
        <v>Male. b. 26/10/1986</v>
      </c>
    </row>
    <row r="264" spans="1:6" s="5" customFormat="1">
      <c r="A264" s="149">
        <f t="shared" si="4"/>
        <v>2120</v>
      </c>
      <c r="B264" s="150" t="str">
        <f>VLOOKUP($A264,'All Girls &amp; Descendants - Edit'!$AC$2:$AJ$438,2,FALSE)</f>
        <v>107da</v>
      </c>
      <c r="C264" s="150" t="str">
        <f>VLOOKUP($A264,'All Girls &amp; Descendants - Edit'!$AC$2:$AJ$438,3,FALSE)</f>
        <v>Brandy Marie  ORR (1979 - )</v>
      </c>
      <c r="D264" s="150" t="str">
        <f>VLOOKUP($A264,'All Girls &amp; Descendants - Edit'!$AC$2:$AJ$438,4,FALSE)</f>
        <v>Brandy ORR (7th &amp; 107)</v>
      </c>
      <c r="E264" s="150" t="str">
        <f>VLOOKUP($A264,'All Girls &amp; Descendants - Edit'!$AC$2:$AJ$438,7,FALSE)</f>
        <v>Unmarried</v>
      </c>
      <c r="F264" s="150" t="str">
        <f>VLOOKUP($A264,'All Girls &amp; Descendants - Edit'!$AC$2:$AJ$438,8,FALSE)</f>
        <v>Male. b. 13/03/1979</v>
      </c>
    </row>
    <row r="265" spans="1:6" s="5" customFormat="1">
      <c r="A265" s="149">
        <f t="shared" si="4"/>
        <v>2121</v>
      </c>
      <c r="B265" s="150" t="str">
        <f>VLOOKUP($A265,'All Girls &amp; Descendants - Edit'!$AC$2:$AJ$438,2,FALSE)</f>
        <v>107db</v>
      </c>
      <c r="C265" s="150" t="str">
        <f>VLOOKUP($A265,'All Girls &amp; Descendants - Edit'!$AC$2:$AJ$438,3,FALSE)</f>
        <v>Timothy James  ORR (1980 - )</v>
      </c>
      <c r="D265" s="150" t="str">
        <f>VLOOKUP($A265,'All Girls &amp; Descendants - Edit'!$AC$2:$AJ$438,4,FALSE)</f>
        <v>Timothy ORR (7th &amp; 107)</v>
      </c>
      <c r="E265" s="150" t="str">
        <f>VLOOKUP($A265,'All Girls &amp; Descendants - Edit'!$AC$2:$AJ$438,7,FALSE)</f>
        <v>Unmarried</v>
      </c>
      <c r="F265" s="150" t="str">
        <f>VLOOKUP($A265,'All Girls &amp; Descendants - Edit'!$AC$2:$AJ$438,8,FALSE)</f>
        <v>Female. b. 26/05/1980 Born  at US Naval Hospital, San Diego, California. USA.</v>
      </c>
    </row>
    <row r="266" spans="1:6" s="5" customFormat="1">
      <c r="A266" s="149">
        <f t="shared" si="4"/>
        <v>2122</v>
      </c>
      <c r="B266" s="150" t="str">
        <f>VLOOKUP($A266,'All Girls &amp; Descendants - Edit'!$AC$2:$AJ$438,2,FALSE)</f>
        <v>108aa</v>
      </c>
      <c r="C266" s="150" t="str">
        <f>VLOOKUP($A266,'All Girls &amp; Descendants - Edit'!$AC$2:$AJ$438,3,FALSE)</f>
        <v>Daniel John  CARTER (1976 - )</v>
      </c>
      <c r="D266" s="150" t="str">
        <f>VLOOKUP($A266,'All Girls &amp; Descendants - Edit'!$AC$2:$AJ$438,4,FALSE)</f>
        <v>Daniel CARTER (7th &amp; 108)</v>
      </c>
      <c r="E266" s="150" t="str">
        <f>VLOOKUP($A266,'All Girls &amp; Descendants - Edit'!$AC$2:$AJ$438,7,FALSE)</f>
        <v>Unmarried</v>
      </c>
      <c r="F266" s="150" t="str">
        <f>VLOOKUP($A266,'All Girls &amp; Descendants - Edit'!$AC$2:$AJ$438,8,FALSE)</f>
        <v>Male. b. 22/09/1976</v>
      </c>
    </row>
    <row r="267" spans="1:6" s="5" customFormat="1">
      <c r="A267" s="149">
        <f t="shared" si="4"/>
        <v>2123</v>
      </c>
      <c r="B267" s="150" t="str">
        <f>VLOOKUP($A267,'All Girls &amp; Descendants - Edit'!$AC$2:$AJ$438,2,FALSE)</f>
        <v>108ab</v>
      </c>
      <c r="C267" s="150" t="str">
        <f>VLOOKUP($A267,'All Girls &amp; Descendants - Edit'!$AC$2:$AJ$438,3,FALSE)</f>
        <v>Simon Peter  CARTER (1982 - )</v>
      </c>
      <c r="D267" s="150" t="str">
        <f>VLOOKUP($A267,'All Girls &amp; Descendants - Edit'!$AC$2:$AJ$438,4,FALSE)</f>
        <v>Simon CARTER (7th &amp; 108)</v>
      </c>
      <c r="E267" s="150" t="str">
        <f>VLOOKUP($A267,'All Girls &amp; Descendants - Edit'!$AC$2:$AJ$438,7,FALSE)</f>
        <v>Unmarried</v>
      </c>
      <c r="F267" s="150" t="str">
        <f>VLOOKUP($A267,'All Girls &amp; Descendants - Edit'!$AC$2:$AJ$438,8,FALSE)</f>
        <v>Male. b. 28/05/1982</v>
      </c>
    </row>
    <row r="268" spans="1:6" s="5" customFormat="1">
      <c r="A268" s="149">
        <f t="shared" si="4"/>
        <v>2124</v>
      </c>
      <c r="B268" s="150" t="str">
        <f>VLOOKUP($A268,'All Girls &amp; Descendants - Edit'!$AC$2:$AJ$438,2,FALSE)</f>
        <v>108ba</v>
      </c>
      <c r="C268" s="150" t="str">
        <f>VLOOKUP($A268,'All Girls &amp; Descendants - Edit'!$AC$2:$AJ$438,3,FALSE)</f>
        <v>Matthew Christopher Richard HOYLE (1982 - )</v>
      </c>
      <c r="D268" s="150" t="str">
        <f>VLOOKUP($A268,'All Girls &amp; Descendants - Edit'!$AC$2:$AJ$438,4,FALSE)</f>
        <v>Matthew HOYLE (7th &amp; 108)</v>
      </c>
      <c r="E268" s="150" t="str">
        <f>VLOOKUP($A268,'All Girls &amp; Descendants - Edit'!$AC$2:$AJ$438,7,FALSE)</f>
        <v>Unmarried</v>
      </c>
      <c r="F268" s="150" t="str">
        <f>VLOOKUP($A268,'All Girls &amp; Descendants - Edit'!$AC$2:$AJ$438,8,FALSE)</f>
        <v>Male. b. 31/05/1982</v>
      </c>
    </row>
    <row r="269" spans="1:6" s="5" customFormat="1">
      <c r="A269" s="149">
        <f t="shared" si="4"/>
        <v>2125</v>
      </c>
      <c r="B269" s="150" t="str">
        <f>VLOOKUP($A269,'All Girls &amp; Descendants - Edit'!$AC$2:$AJ$438,2,FALSE)</f>
        <v>108bb</v>
      </c>
      <c r="C269" s="150" t="str">
        <f>VLOOKUP($A269,'All Girls &amp; Descendants - Edit'!$AC$2:$AJ$438,3,FALSE)</f>
        <v>Darren Andrew  HOYLE (1985 - )</v>
      </c>
      <c r="D269" s="150" t="str">
        <f>VLOOKUP($A269,'All Girls &amp; Descendants - Edit'!$AC$2:$AJ$438,4,FALSE)</f>
        <v>Darren HOYLE (7th &amp; 108)</v>
      </c>
      <c r="E269" s="150" t="str">
        <f>VLOOKUP($A269,'All Girls &amp; Descendants - Edit'!$AC$2:$AJ$438,7,FALSE)</f>
        <v>Unmarried</v>
      </c>
      <c r="F269" s="150" t="str">
        <f>VLOOKUP($A269,'All Girls &amp; Descendants - Edit'!$AC$2:$AJ$438,8,FALSE)</f>
        <v>Male. b. 28/08/1985</v>
      </c>
    </row>
    <row r="270" spans="1:6" s="5" customFormat="1">
      <c r="A270" s="149">
        <f t="shared" si="4"/>
        <v>2126</v>
      </c>
      <c r="B270" s="150" t="str">
        <f>VLOOKUP($A270,'All Girls &amp; Descendants - Edit'!$AC$2:$AJ$438,2,FALSE)</f>
        <v>108ca</v>
      </c>
      <c r="C270" s="150" t="str">
        <f>VLOOKUP($A270,'All Girls &amp; Descendants - Edit'!$AC$2:$AJ$438,3,FALSE)</f>
        <v>Tanya Louise  HOYLE (1985 - )</v>
      </c>
      <c r="D270" s="150" t="str">
        <f>VLOOKUP($A270,'All Girls &amp; Descendants - Edit'!$AC$2:$AJ$438,4,FALSE)</f>
        <v>Tanya HOYLE (7th &amp; 108)</v>
      </c>
      <c r="E270" s="150" t="str">
        <f>VLOOKUP($A270,'All Girls &amp; Descendants - Edit'!$AC$2:$AJ$438,7,FALSE)</f>
        <v>Unmarried</v>
      </c>
      <c r="F270" s="150" t="str">
        <f>VLOOKUP($A270,'All Girls &amp; Descendants - Edit'!$AC$2:$AJ$438,8,FALSE)</f>
        <v>Female. b. 14/11/1985</v>
      </c>
    </row>
    <row r="271" spans="1:6" s="5" customFormat="1">
      <c r="A271" s="149">
        <f t="shared" si="4"/>
        <v>2127</v>
      </c>
      <c r="B271" s="150" t="str">
        <f>VLOOKUP($A271,'All Girls &amp; Descendants - Edit'!$AC$2:$AJ$438,2,FALSE)</f>
        <v>109ba</v>
      </c>
      <c r="C271" s="150" t="str">
        <f>VLOOKUP($A271,'All Girls &amp; Descendants - Edit'!$AC$2:$AJ$438,3,FALSE)</f>
        <v>Toby Chui Bao  WALTON (2008 - )</v>
      </c>
      <c r="D271" s="150" t="str">
        <f>VLOOKUP($A271,'All Girls &amp; Descendants - Edit'!$AC$2:$AJ$438,4,FALSE)</f>
        <v>Toby WALTON (7th &amp; 109)</v>
      </c>
      <c r="E271" s="150" t="str">
        <f>VLOOKUP($A271,'All Girls &amp; Descendants - Edit'!$AC$2:$AJ$438,7,FALSE)</f>
        <v>Unmarried</v>
      </c>
      <c r="F271" s="150" t="str">
        <f>VLOOKUP($A271,'All Girls &amp; Descendants - Edit'!$AC$2:$AJ$438,8,FALSE)</f>
        <v>Male. b. 29/03/2008</v>
      </c>
    </row>
    <row r="272" spans="1:6" s="5" customFormat="1">
      <c r="A272" s="149">
        <f t="shared" si="4"/>
        <v>2128</v>
      </c>
      <c r="B272" s="150" t="str">
        <f>VLOOKUP($A272,'All Girls &amp; Descendants - Edit'!$AC$2:$AJ$438,2,FALSE)</f>
        <v>109bb</v>
      </c>
      <c r="C272" s="150" t="str">
        <f>VLOOKUP($A272,'All Girls &amp; Descendants - Edit'!$AC$2:$AJ$438,3,FALSE)</f>
        <v>Leo Giap  WALTON (2012 - )</v>
      </c>
      <c r="D272" s="150" t="str">
        <f>VLOOKUP($A272,'All Girls &amp; Descendants - Edit'!$AC$2:$AJ$438,4,FALSE)</f>
        <v>Leo WALTON (7th &amp; 109)</v>
      </c>
      <c r="E272" s="150" t="str">
        <f>VLOOKUP($A272,'All Girls &amp; Descendants - Edit'!$AC$2:$AJ$438,7,FALSE)</f>
        <v>Unmarried</v>
      </c>
      <c r="F272" s="150" t="str">
        <f>VLOOKUP($A272,'All Girls &amp; Descendants - Edit'!$AC$2:$AJ$438,8,FALSE)</f>
        <v>Male. b. 30/04/2012</v>
      </c>
    </row>
    <row r="273" spans="1:6" s="5" customFormat="1">
      <c r="A273" s="149">
        <f t="shared" ref="A273:A338" si="5">A272+1</f>
        <v>2129</v>
      </c>
      <c r="B273" s="150" t="str">
        <f>VLOOKUP($A273,'All Girls &amp; Descendants - Edit'!$AC$2:$AJ$438,2,FALSE)</f>
        <v>109bc</v>
      </c>
      <c r="C273" s="150" t="str">
        <f>VLOOKUP($A273,'All Girls &amp; Descendants - Edit'!$AC$2:$AJ$438,3,FALSE)</f>
        <v>Benjamin Hai Nam WALTON (2013 - )</v>
      </c>
      <c r="D273" s="150" t="str">
        <f>VLOOKUP($A273,'All Girls &amp; Descendants - Edit'!$AC$2:$AJ$438,4,FALSE)</f>
        <v>Benjamin WALTON (7th &amp; 109)</v>
      </c>
      <c r="E273" s="150" t="str">
        <f>VLOOKUP($A273,'All Girls &amp; Descendants - Edit'!$AC$2:$AJ$438,7,FALSE)</f>
        <v>Unmarried</v>
      </c>
      <c r="F273" s="150" t="str">
        <f>VLOOKUP($A273,'All Girls &amp; Descendants - Edit'!$AC$2:$AJ$438,8,FALSE)</f>
        <v>Male. b. 17/10/2013</v>
      </c>
    </row>
    <row r="274" spans="1:6" s="5" customFormat="1">
      <c r="A274" s="149">
        <f t="shared" si="5"/>
        <v>2130</v>
      </c>
      <c r="B274" s="150" t="str">
        <f>VLOOKUP($A274,'All Girls &amp; Descendants - Edit'!$AC$2:$AJ$438,2,FALSE)</f>
        <v>109bd</v>
      </c>
      <c r="C274" s="150" t="str">
        <f>VLOOKUP($A274,'All Girls &amp; Descendants - Edit'!$AC$2:$AJ$438,3,FALSE)</f>
        <v>Isabel Xuyen Mai WALTON (2016 - )</v>
      </c>
      <c r="D274" s="150" t="str">
        <f>VLOOKUP($A274,'All Girls &amp; Descendants - Edit'!$AC$2:$AJ$438,4,FALSE)</f>
        <v>Isabel WALTON (7th &amp; 109)</v>
      </c>
      <c r="E274" s="150" t="str">
        <f>VLOOKUP($A274,'All Girls &amp; Descendants - Edit'!$AC$2:$AJ$438,7,FALSE)</f>
        <v>Unmarried</v>
      </c>
      <c r="F274" s="150" t="str">
        <f>VLOOKUP($A274,'All Girls &amp; Descendants - Edit'!$AC$2:$AJ$438,8,FALSE)</f>
        <v>Female. b. 25/01/2016</v>
      </c>
    </row>
    <row r="275" spans="1:6" s="5" customFormat="1">
      <c r="A275" s="149">
        <f t="shared" si="5"/>
        <v>2131</v>
      </c>
      <c r="B275" s="150" t="str">
        <f>VLOOKUP($A275,'All Girls &amp; Descendants - Edit'!$AC$2:$AJ$438,2,FALSE)</f>
        <v>110aa</v>
      </c>
      <c r="C275" s="150" t="str">
        <f>VLOOKUP($A275,'All Girls &amp; Descendants - Edit'!$AC$2:$AJ$438,3,FALSE)</f>
        <v>Christopher Drummond  BOYCE (1990 - )</v>
      </c>
      <c r="D275" s="150" t="str">
        <f>VLOOKUP($A275,'All Girls &amp; Descendants - Edit'!$AC$2:$AJ$438,4,FALSE)</f>
        <v>Christopher BOYCE (7th &amp; 110)</v>
      </c>
      <c r="E275" s="150" t="str">
        <f>VLOOKUP($A275,'All Girls &amp; Descendants - Edit'!$AC$2:$AJ$438,7,FALSE)</f>
        <v xml:space="preserve">Wife: Laura Jane MIDDLETON (b. ,). </v>
      </c>
      <c r="F275" s="150" t="str">
        <f>VLOOKUP($A275,'All Girls &amp; Descendants - Edit'!$AC$2:$AJ$438,8,FALSE)</f>
        <v>Male. b. 08/01/1990 Born in Brussels.</v>
      </c>
    </row>
    <row r="276" spans="1:6" s="5" customFormat="1">
      <c r="A276" s="149">
        <f t="shared" si="5"/>
        <v>2132</v>
      </c>
      <c r="B276" s="150" t="str">
        <f>VLOOKUP($A276,'All Girls &amp; Descendants - Edit'!$AC$2:$AJ$438,2,FALSE)</f>
        <v>110ab</v>
      </c>
      <c r="C276" s="150" t="str">
        <f>VLOOKUP($A276,'All Girls &amp; Descendants - Edit'!$AC$2:$AJ$438,3,FALSE)</f>
        <v>Andrew Alexander  BOYCE (1991 - )</v>
      </c>
      <c r="D276" s="150" t="str">
        <f>VLOOKUP($A276,'All Girls &amp; Descendants - Edit'!$AC$2:$AJ$438,4,FALSE)</f>
        <v>Andrew BOYCE (7th &amp; 110)</v>
      </c>
      <c r="E276" s="150" t="str">
        <f>VLOOKUP($A276,'All Girls &amp; Descendants - Edit'!$AC$2:$AJ$438,7,FALSE)</f>
        <v>Unmarried</v>
      </c>
      <c r="F276" s="150" t="str">
        <f>VLOOKUP($A276,'All Girls &amp; Descendants - Edit'!$AC$2:$AJ$438,8,FALSE)</f>
        <v>Male. b. 07/08/1991 Born in Brussels.</v>
      </c>
    </row>
    <row r="277" spans="1:6" s="5" customFormat="1">
      <c r="A277" s="149">
        <f t="shared" si="5"/>
        <v>2133</v>
      </c>
      <c r="B277" s="150" t="str">
        <f>VLOOKUP($A277,'All Girls &amp; Descendants - Edit'!$AC$2:$AJ$438,2,FALSE)</f>
        <v>110ac</v>
      </c>
      <c r="C277" s="150" t="str">
        <f>VLOOKUP($A277,'All Girls &amp; Descendants - Edit'!$AC$2:$AJ$438,3,FALSE)</f>
        <v>Robin Oscar  BOYCE (1997 - 2019)</v>
      </c>
      <c r="D277" s="150" t="str">
        <f>VLOOKUP($A277,'All Girls &amp; Descendants - Edit'!$AC$2:$AJ$438,4,FALSE)</f>
        <v>Robin BOYCE (7th &amp; 110)</v>
      </c>
      <c r="E277" s="150" t="str">
        <f>VLOOKUP($A277,'All Girls &amp; Descendants - Edit'!$AC$2:$AJ$438,7,FALSE)</f>
        <v>Unmarried</v>
      </c>
      <c r="F277" s="150" t="str">
        <f>VLOOKUP($A277,'All Girls &amp; Descendants - Edit'!$AC$2:$AJ$438,8,FALSE)</f>
        <v>Male. b. 24/09/1997, d. 07/06/2019. Born in Brussels.</v>
      </c>
    </row>
    <row r="278" spans="1:6" s="5" customFormat="1">
      <c r="A278" s="149">
        <f t="shared" si="5"/>
        <v>2134</v>
      </c>
      <c r="B278" s="150" t="str">
        <f>VLOOKUP($A278,'All Girls &amp; Descendants - Edit'!$AC$2:$AJ$438,2,FALSE)</f>
        <v>110ca</v>
      </c>
      <c r="C278" s="150" t="str">
        <f>VLOOKUP($A278,'All Girls &amp; Descendants - Edit'!$AC$2:$AJ$438,3,FALSE)</f>
        <v>Hannah Catherine  BOYCE (2011 - )</v>
      </c>
      <c r="D278" s="150" t="str">
        <f>VLOOKUP($A278,'All Girls &amp; Descendants - Edit'!$AC$2:$AJ$438,4,FALSE)</f>
        <v>Hannah BOYCE (7th &amp; 110)</v>
      </c>
      <c r="E278" s="150" t="str">
        <f>VLOOKUP($A278,'All Girls &amp; Descendants - Edit'!$AC$2:$AJ$438,7,FALSE)</f>
        <v>Unmarried</v>
      </c>
      <c r="F278" s="150" t="str">
        <f>VLOOKUP($A278,'All Girls &amp; Descendants - Edit'!$AC$2:$AJ$438,8,FALSE)</f>
        <v>Female. b. 15/10/2011</v>
      </c>
    </row>
    <row r="279" spans="1:6" s="5" customFormat="1">
      <c r="A279" s="149">
        <f t="shared" si="5"/>
        <v>2135</v>
      </c>
      <c r="B279" s="150" t="str">
        <f>VLOOKUP($A279,'All Girls &amp; Descendants - Edit'!$AC$2:$AJ$438,2,FALSE)</f>
        <v>110da</v>
      </c>
      <c r="C279" s="150" t="str">
        <f>VLOOKUP($A279,'All Girls &amp; Descendants - Edit'!$AC$2:$AJ$438,3,FALSE)</f>
        <v>Karina Boyce  BOYCE de CASTRO (1999 - )</v>
      </c>
      <c r="D279" s="150" t="str">
        <f>VLOOKUP($A279,'All Girls &amp; Descendants - Edit'!$AC$2:$AJ$438,4,FALSE)</f>
        <v>Karina BOYCE de CASTRO (7th &amp; 110)</v>
      </c>
      <c r="E279" s="150" t="str">
        <f>VLOOKUP($A279,'All Girls &amp; Descendants - Edit'!$AC$2:$AJ$438,7,FALSE)</f>
        <v>Unmarried</v>
      </c>
      <c r="F279" s="150" t="str">
        <f>VLOOKUP($A279,'All Girls &amp; Descendants - Edit'!$AC$2:$AJ$438,8,FALSE)</f>
        <v>Female. b. 11/02/1999 Born in Rio de Janerio</v>
      </c>
    </row>
    <row r="280" spans="1:6" s="5" customFormat="1">
      <c r="A280" s="149">
        <f t="shared" si="5"/>
        <v>2136</v>
      </c>
      <c r="B280" s="150" t="str">
        <f>VLOOKUP($A280,'All Girls &amp; Descendants - Edit'!$AC$2:$AJ$438,2,FALSE)</f>
        <v>110db</v>
      </c>
      <c r="C280" s="150" t="str">
        <f>VLOOKUP($A280,'All Girls &amp; Descendants - Edit'!$AC$2:$AJ$438,3,FALSE)</f>
        <v>Matheus Drummond  BOYCE de CASTRO (2002 - )</v>
      </c>
      <c r="D280" s="150" t="str">
        <f>VLOOKUP($A280,'All Girls &amp; Descendants - Edit'!$AC$2:$AJ$438,4,FALSE)</f>
        <v>Matheus BOYCE de CASTRO (7th &amp; 110)</v>
      </c>
      <c r="E280" s="150" t="str">
        <f>VLOOKUP($A280,'All Girls &amp; Descendants - Edit'!$AC$2:$AJ$438,7,FALSE)</f>
        <v>Unmarried</v>
      </c>
      <c r="F280" s="150" t="str">
        <f>VLOOKUP($A280,'All Girls &amp; Descendants - Edit'!$AC$2:$AJ$438,8,FALSE)</f>
        <v>Male. b. 18/10/2002 Born in Rio de Janerio</v>
      </c>
    </row>
    <row r="281" spans="1:6" s="5" customFormat="1">
      <c r="A281" s="149">
        <f t="shared" si="5"/>
        <v>2137</v>
      </c>
      <c r="B281" s="150" t="str">
        <f>VLOOKUP($A281,'All Girls &amp; Descendants - Edit'!$AC$2:$AJ$438,2,FALSE)</f>
        <v>115aa</v>
      </c>
      <c r="C281" s="150" t="str">
        <f>VLOOKUP($A281,'All Girls &amp; Descendants - Edit'!$AC$2:$AJ$438,3,FALSE)</f>
        <v>Benjamin   CATOR (1988 - )</v>
      </c>
      <c r="D281" s="150" t="str">
        <f>VLOOKUP($A281,'All Girls &amp; Descendants - Edit'!$AC$2:$AJ$438,4,FALSE)</f>
        <v>Benjamin CATOR (7th &amp; 115)</v>
      </c>
      <c r="E281" s="150" t="str">
        <f>VLOOKUP($A281,'All Girls &amp; Descendants - Edit'!$AC$2:$AJ$438,7,FALSE)</f>
        <v>Unmarried</v>
      </c>
      <c r="F281" s="150" t="str">
        <f>VLOOKUP($A281,'All Girls &amp; Descendants - Edit'!$AC$2:$AJ$438,8,FALSE)</f>
        <v>Male. b. 17/10/1988</v>
      </c>
    </row>
    <row r="282" spans="1:6" s="5" customFormat="1">
      <c r="A282" s="149">
        <f t="shared" si="5"/>
        <v>2138</v>
      </c>
      <c r="B282" s="150" t="str">
        <f>VLOOKUP($A282,'All Girls &amp; Descendants - Edit'!$AC$2:$AJ$438,2,FALSE)</f>
        <v>115ab</v>
      </c>
      <c r="C282" s="150" t="str">
        <f>VLOOKUP($A282,'All Girls &amp; Descendants - Edit'!$AC$2:$AJ$438,3,FALSE)</f>
        <v>Lara   CATOR (1992 - )</v>
      </c>
      <c r="D282" s="150" t="str">
        <f>VLOOKUP($A282,'All Girls &amp; Descendants - Edit'!$AC$2:$AJ$438,4,FALSE)</f>
        <v>Lara CATOR (7th &amp; 115)</v>
      </c>
      <c r="E282" s="150" t="str">
        <f>VLOOKUP($A282,'All Girls &amp; Descendants - Edit'!$AC$2:$AJ$438,7,FALSE)</f>
        <v>Unmarried</v>
      </c>
      <c r="F282" s="150" t="str">
        <f>VLOOKUP($A282,'All Girls &amp; Descendants - Edit'!$AC$2:$AJ$438,8,FALSE)</f>
        <v>Female. b. 11/09/1992</v>
      </c>
    </row>
    <row r="283" spans="1:6" s="5" customFormat="1">
      <c r="A283" s="149">
        <f t="shared" si="5"/>
        <v>2139</v>
      </c>
      <c r="B283" s="150" t="str">
        <f>VLOOKUP($A283,'All Girls &amp; Descendants - Edit'!$AC$2:$AJ$438,2,FALSE)</f>
        <v>115ac</v>
      </c>
      <c r="C283" s="150" t="str">
        <f>VLOOKUP($A283,'All Girls &amp; Descendants - Edit'!$AC$2:$AJ$438,3,FALSE)</f>
        <v>Oscar   CATOR (1996 - )</v>
      </c>
      <c r="D283" s="150" t="str">
        <f>VLOOKUP($A283,'All Girls &amp; Descendants - Edit'!$AC$2:$AJ$438,4,FALSE)</f>
        <v>Oscar CATOR (7th &amp; 115)</v>
      </c>
      <c r="E283" s="150" t="str">
        <f>VLOOKUP($A283,'All Girls &amp; Descendants - Edit'!$AC$2:$AJ$438,7,FALSE)</f>
        <v>Unmarried</v>
      </c>
      <c r="F283" s="150" t="str">
        <f>VLOOKUP($A283,'All Girls &amp; Descendants - Edit'!$AC$2:$AJ$438,8,FALSE)</f>
        <v>Male. b. 28/02/1996</v>
      </c>
    </row>
    <row r="284" spans="1:6" s="5" customFormat="1">
      <c r="A284" s="149">
        <f t="shared" si="5"/>
        <v>2140</v>
      </c>
      <c r="B284" s="150" t="str">
        <f>VLOOKUP($A284,'All Girls &amp; Descendants - Edit'!$AC$2:$AJ$438,2,FALSE)</f>
        <v>115ba</v>
      </c>
      <c r="C284" s="150" t="str">
        <f>VLOOKUP($A284,'All Girls &amp; Descendants - Edit'!$AC$2:$AJ$438,3,FALSE)</f>
        <v>Milo   SOAMES (1995 - )</v>
      </c>
      <c r="D284" s="150" t="str">
        <f>VLOOKUP($A284,'All Girls &amp; Descendants - Edit'!$AC$2:$AJ$438,4,FALSE)</f>
        <v>Milo SOAMES (7th &amp; 115)</v>
      </c>
      <c r="E284" s="150" t="str">
        <f>VLOOKUP($A284,'All Girls &amp; Descendants - Edit'!$AC$2:$AJ$438,7,FALSE)</f>
        <v>Unmarried</v>
      </c>
      <c r="F284" s="150" t="str">
        <f>VLOOKUP($A284,'All Girls &amp; Descendants - Edit'!$AC$2:$AJ$438,8,FALSE)</f>
        <v>Male. b. 21/12/1995</v>
      </c>
    </row>
    <row r="285" spans="1:6" s="5" customFormat="1">
      <c r="A285" s="149">
        <f t="shared" si="5"/>
        <v>2141</v>
      </c>
      <c r="B285" s="150" t="str">
        <f>VLOOKUP($A285,'All Girls &amp; Descendants - Edit'!$AC$2:$AJ$438,2,FALSE)</f>
        <v>115bb</v>
      </c>
      <c r="C285" s="150" t="str">
        <f>VLOOKUP($A285,'All Girls &amp; Descendants - Edit'!$AC$2:$AJ$438,3,FALSE)</f>
        <v>Tommy   SOAMES (1997 - )</v>
      </c>
      <c r="D285" s="150" t="str">
        <f>VLOOKUP($A285,'All Girls &amp; Descendants - Edit'!$AC$2:$AJ$438,4,FALSE)</f>
        <v>Tommy SOAMES (7th &amp; 115)</v>
      </c>
      <c r="E285" s="150" t="str">
        <f>VLOOKUP($A285,'All Girls &amp; Descendants - Edit'!$AC$2:$AJ$438,7,FALSE)</f>
        <v>Unmarried</v>
      </c>
      <c r="F285" s="150" t="str">
        <f>VLOOKUP($A285,'All Girls &amp; Descendants - Edit'!$AC$2:$AJ$438,8,FALSE)</f>
        <v>Male. b. 21/08/1997</v>
      </c>
    </row>
    <row r="286" spans="1:6" s="5" customFormat="1">
      <c r="A286" s="149">
        <f t="shared" si="5"/>
        <v>2142</v>
      </c>
      <c r="B286" s="150" t="str">
        <f>VLOOKUP($A286,'All Girls &amp; Descendants - Edit'!$AC$2:$AJ$438,2,FALSE)</f>
        <v>115bc</v>
      </c>
      <c r="C286" s="150" t="str">
        <f>VLOOKUP($A286,'All Girls &amp; Descendants - Edit'!$AC$2:$AJ$438,3,FALSE)</f>
        <v>Mary Alicia Claire SOAMES (1999 - )</v>
      </c>
      <c r="D286" s="150" t="str">
        <f>VLOOKUP($A286,'All Girls &amp; Descendants - Edit'!$AC$2:$AJ$438,4,FALSE)</f>
        <v>Mary SOAMES (7th &amp; 115)</v>
      </c>
      <c r="E286" s="150" t="str">
        <f>VLOOKUP($A286,'All Girls &amp; Descendants - Edit'!$AC$2:$AJ$438,7,FALSE)</f>
        <v>Unmarried</v>
      </c>
      <c r="F286" s="150" t="str">
        <f>VLOOKUP($A286,'All Girls &amp; Descendants - Edit'!$AC$2:$AJ$438,8,FALSE)</f>
        <v>Female. b. 10/05/1999</v>
      </c>
    </row>
    <row r="287" spans="1:6" s="5" customFormat="1">
      <c r="A287" s="149">
        <f t="shared" si="5"/>
        <v>2143</v>
      </c>
      <c r="B287" s="150" t="str">
        <f>VLOOKUP($A287,'All Girls &amp; Descendants - Edit'!$AC$2:$AJ$438,2,FALSE)</f>
        <v>123aa</v>
      </c>
      <c r="C287" s="150" t="str">
        <f>VLOOKUP($A287,'All Girls &amp; Descendants - Edit'!$AC$2:$AJ$438,3,FALSE)</f>
        <v>Eva Charlotte Loyd TALBOT (2012 - )</v>
      </c>
      <c r="D287" s="150" t="str">
        <f>VLOOKUP($A287,'All Girls &amp; Descendants - Edit'!$AC$2:$AJ$438,4,FALSE)</f>
        <v>Evie TALBOT (8th &amp; 123)</v>
      </c>
      <c r="E287" s="150" t="str">
        <f>VLOOKUP($A287,'All Girls &amp; Descendants - Edit'!$AC$2:$AJ$438,7,FALSE)</f>
        <v>Unmarried</v>
      </c>
      <c r="F287" s="150" t="str">
        <f>VLOOKUP($A287,'All Girls &amp; Descendants - Edit'!$AC$2:$AJ$438,8,FALSE)</f>
        <v>Female. b. 20/10/2012 Born at Homerton Hospital, London.</v>
      </c>
    </row>
    <row r="288" spans="1:6" s="5" customFormat="1">
      <c r="A288" s="149">
        <f t="shared" si="5"/>
        <v>2144</v>
      </c>
      <c r="B288" s="150" t="str">
        <f>VLOOKUP($A288,'All Girls &amp; Descendants - Edit'!$AC$2:$AJ$438,2,FALSE)</f>
        <v>123ab</v>
      </c>
      <c r="C288" s="150" t="str">
        <f>VLOOKUP($A288,'All Girls &amp; Descendants - Edit'!$AC$2:$AJ$438,3,FALSE)</f>
        <v>Arlo Terrence Peter TALBOT (2015 - )</v>
      </c>
      <c r="D288" s="150" t="str">
        <f>VLOOKUP($A288,'All Girls &amp; Descendants - Edit'!$AC$2:$AJ$438,4,FALSE)</f>
        <v>Arlo TALBOT (8th &amp; 123)</v>
      </c>
      <c r="E288" s="150" t="str">
        <f>VLOOKUP($A288,'All Girls &amp; Descendants - Edit'!$AC$2:$AJ$438,7,FALSE)</f>
        <v>Unmarried</v>
      </c>
      <c r="F288" s="150" t="str">
        <f>VLOOKUP($A288,'All Girls &amp; Descendants - Edit'!$AC$2:$AJ$438,8,FALSE)</f>
        <v>Male. b. 19/03/2015 Born at Homerton Hospital, London.</v>
      </c>
    </row>
    <row r="289" spans="1:6" s="5" customFormat="1">
      <c r="A289" s="149">
        <f t="shared" si="5"/>
        <v>2145</v>
      </c>
      <c r="B289" s="150" t="str">
        <f>VLOOKUP($A289,'All Girls &amp; Descendants - Edit'!$AC$2:$AJ$438,2,FALSE)</f>
        <v>123ba</v>
      </c>
      <c r="C289" s="150" t="str">
        <f>VLOOKUP($A289,'All Girls &amp; Descendants - Edit'!$AC$2:$AJ$438,3,FALSE)</f>
        <v>Rufus Mali  CORVINO (2005 - )</v>
      </c>
      <c r="D289" s="150" t="str">
        <f>VLOOKUP($A289,'All Girls &amp; Descendants - Edit'!$AC$2:$AJ$438,4,FALSE)</f>
        <v>Rufus CORVINO (8th &amp; 123)</v>
      </c>
      <c r="E289" s="150">
        <f>VLOOKUP($A289,'All Girls &amp; Descendants - Edit'!$AC$2:$AJ$438,7,FALSE)</f>
        <v>0</v>
      </c>
      <c r="F289" s="150" t="str">
        <f>VLOOKUP($A289,'All Girls &amp; Descendants - Edit'!$AC$2:$AJ$438,8,FALSE)</f>
        <v>Male. b. 24/04/2005 Born at Stratford-upon-Avon. Lives in Portugal.</v>
      </c>
    </row>
    <row r="290" spans="1:6" s="5" customFormat="1">
      <c r="A290" s="149">
        <f t="shared" si="5"/>
        <v>2146</v>
      </c>
      <c r="B290" s="150" t="str">
        <f>VLOOKUP($A290,'All Girls &amp; Descendants - Edit'!$AC$2:$AJ$438,2,FALSE)</f>
        <v>123bb</v>
      </c>
      <c r="C290" s="150" t="str">
        <f>VLOOKUP($A290,'All Girls &amp; Descendants - Edit'!$AC$2:$AJ$438,3,FALSE)</f>
        <v>Hal Alfred Layzell BOSMAN (2017 - )</v>
      </c>
      <c r="D290" s="150" t="str">
        <f>VLOOKUP($A290,'All Girls &amp; Descendants - Edit'!$AC$2:$AJ$438,4,FALSE)</f>
        <v>Hal BOSMAN (8th &amp; 123)</v>
      </c>
      <c r="E290" s="150">
        <f>VLOOKUP($A290,'All Girls &amp; Descendants - Edit'!$AC$2:$AJ$438,7,FALSE)</f>
        <v>0</v>
      </c>
      <c r="F290" s="150" t="str">
        <f>VLOOKUP($A290,'All Girls &amp; Descendants - Edit'!$AC$2:$AJ$438,8,FALSE)</f>
        <v>Male. b. 29/01/2017 Born at Chelsea &amp; Westminster Hospital, London.</v>
      </c>
    </row>
    <row r="291" spans="1:6" s="5" customFormat="1">
      <c r="A291" s="149">
        <f t="shared" si="5"/>
        <v>2147</v>
      </c>
      <c r="B291" s="150" t="str">
        <f>VLOOKUP($A291,'All Girls &amp; Descendants - Edit'!$AC$2:$AJ$438,2,FALSE)</f>
        <v>123bc</v>
      </c>
      <c r="C291" s="150" t="str">
        <f>VLOOKUP($A291,'All Girls &amp; Descendants - Edit'!$AC$2:$AJ$438,3,FALSE)</f>
        <v>Rocky Terrence  BOSMAN (2020 - )</v>
      </c>
      <c r="D291" s="150" t="str">
        <f>VLOOKUP($A291,'All Girls &amp; Descendants - Edit'!$AC$2:$AJ$438,4,FALSE)</f>
        <v>Rocky BOSMAN (8th &amp; 123)</v>
      </c>
      <c r="E291" s="150">
        <f>VLOOKUP($A291,'All Girls &amp; Descendants - Edit'!$AC$2:$AJ$438,7,FALSE)</f>
        <v>0</v>
      </c>
      <c r="F291" s="150" t="str">
        <f>VLOOKUP($A291,'All Girls &amp; Descendants - Edit'!$AC$2:$AJ$438,8,FALSE)</f>
        <v>Male. b. 11/04/2020 Born at Porch Farmhouse, Godmanchester.</v>
      </c>
    </row>
    <row r="292" spans="1:6" s="5" customFormat="1">
      <c r="A292" s="149">
        <f t="shared" si="5"/>
        <v>2148</v>
      </c>
      <c r="B292" s="150" t="str">
        <f>VLOOKUP($A292,'All Girls &amp; Descendants - Edit'!$AC$2:$AJ$438,2,FALSE)</f>
        <v>143aa</v>
      </c>
      <c r="C292" s="150" t="str">
        <f>VLOOKUP($A292,'All Girls &amp; Descendants - Edit'!$AC$2:$AJ$438,3,FALSE)</f>
        <v>Alice Isla  RUSSELL-STONEHAM (2020 - )</v>
      </c>
      <c r="D292" s="150" t="str">
        <f>VLOOKUP($A292,'All Girls &amp; Descendants - Edit'!$AC$2:$AJ$438,4,FALSE)</f>
        <v>Alice RUSSELL-STONEHAM (8th &amp; 143)</v>
      </c>
      <c r="E292" s="150" t="str">
        <f>VLOOKUP($A292,'All Girls &amp; Descendants - Edit'!$AC$2:$AJ$438,7,FALSE)</f>
        <v>Unmarried</v>
      </c>
      <c r="F292" s="150" t="str">
        <f>VLOOKUP($A292,'All Girls &amp; Descendants - Edit'!$AC$2:$AJ$438,8,FALSE)</f>
        <v>Female. b. 21/10/2020</v>
      </c>
    </row>
    <row r="293" spans="1:6" s="5" customFormat="1" ht="30" customHeight="1">
      <c r="A293" s="149"/>
      <c r="B293" s="249" t="str">
        <f>B1</f>
        <v>Loyd ##</v>
      </c>
      <c r="C293" s="249" t="str">
        <f>C1</f>
        <v>Birth Name</v>
      </c>
      <c r="D293" s="249" t="str">
        <f>D1</f>
        <v xml:space="preserve">Known as (generation from William #1 and ascendant Loyd #) </v>
      </c>
      <c r="E293" s="249" t="str">
        <f>E1</f>
        <v>Marriage</v>
      </c>
      <c r="F293" s="249" t="str">
        <f>F1</f>
        <v>Additional Information (inc M/F, DoB &amp; Other information)</v>
      </c>
    </row>
    <row r="294" spans="1:6" s="5" customFormat="1" ht="28" customHeight="1">
      <c r="A294" s="149">
        <v>3001</v>
      </c>
      <c r="B294" s="150" t="str">
        <f>VLOOKUP($A294,'All Girls &amp; Descendants - Edit'!$AC$2:$AJ$438,2,FALSE)</f>
        <v>2aaa</v>
      </c>
      <c r="C294" s="150" t="str">
        <f>VLOOKUP($A294,'All Girls &amp; Descendants - Edit'!$AC$2:$AJ$438,3,FALSE)</f>
        <v>William   DAVIES (1860/61 - 1943)</v>
      </c>
      <c r="D294" s="150" t="str">
        <f>VLOOKUP($A294,'All Girls &amp; Descendants - Edit'!$AC$2:$AJ$438,4,FALSE)</f>
        <v>William DAVIES (4th &amp; 2)</v>
      </c>
      <c r="E294" s="150" t="str">
        <f>VLOOKUP($A294,'All Girls &amp; Descendants - Edit'!$AC$2:$AJ$438,7,FALSE)</f>
        <v>Unmarried</v>
      </c>
      <c r="F294" s="150" t="str">
        <f>VLOOKUP($A294,'All Girls &amp; Descendants - Edit'!$AC$2:$AJ$438,8,FALSE)</f>
        <v>Male. b. 1860 or 61, d. 21/05/1943. William DAVIES (another son), tenant of Glangwenlais Farm, Cilycwm, and later of Bryngwenlais Farm, Cilycwm.</v>
      </c>
    </row>
    <row r="295" spans="1:6" s="5" customFormat="1" ht="90">
      <c r="A295" s="149">
        <f t="shared" si="5"/>
        <v>3002</v>
      </c>
      <c r="B295" s="150" t="str">
        <f>VLOOKUP($A295,'All Girls &amp; Descendants - Edit'!$AC$2:$AJ$438,2,FALSE)</f>
        <v>2caa</v>
      </c>
      <c r="C295" s="150" t="str">
        <f>VLOOKUP($A295,'All Girls &amp; Descendants - Edit'!$AC$2:$AJ$438,3,FALSE)</f>
        <v>The REV Roderick Loyd  PROTHEROE (1852 - 1905)</v>
      </c>
      <c r="D295" s="150" t="str">
        <f>VLOOKUP($A295,'All Girls &amp; Descendants - Edit'!$AC$2:$AJ$438,4,FALSE)</f>
        <v>The REV Roderick PROTHEROE (4th &amp; 2)</v>
      </c>
      <c r="E295" s="150" t="str">
        <f>VLOOKUP($A295,'All Girls &amp; Descendants - Edit'!$AC$2:$AJ$438,7,FALSE)</f>
        <v>Unmarried</v>
      </c>
      <c r="F295" s="150" t="str">
        <f>VLOOKUP($A295,'All Girls &amp; Descendants - Edit'!$AC$2:$AJ$438,8,FALSE)</f>
        <v>Male. b. 1852, d. 1894. Educated Society of the Divine Passion, Lampeter (BA Theology 1875). Deacon 1875. Priest 1876. Curate of Penmorfa 1875-77. Curate of Machynlleth, Montgomeryshire 1877-89. Rector of Penstrowed 1889-94. d. 1894. The inclusion of the name ‘Loyd’ as a Christian name was probably in recognition of the money left by Thomas LOYD (1775-1853) in his will to the issue of his sister, Jane, which enabled the two brothers to be educated for the Church.</v>
      </c>
    </row>
    <row r="296" spans="1:6" s="5" customFormat="1" ht="105">
      <c r="A296" s="149">
        <f t="shared" si="5"/>
        <v>3003</v>
      </c>
      <c r="B296" s="150" t="str">
        <f>VLOOKUP($A296,'All Girls &amp; Descendants - Edit'!$AC$2:$AJ$438,2,FALSE)</f>
        <v>2cab</v>
      </c>
      <c r="C296" s="150" t="str">
        <f>VLOOKUP($A296,'All Girls &amp; Descendants - Edit'!$AC$2:$AJ$438,3,FALSE)</f>
        <v>The REV William Loyd  PROTHEROE (1855 - 1915)</v>
      </c>
      <c r="D296" s="150" t="str">
        <f>VLOOKUP($A296,'All Girls &amp; Descendants - Edit'!$AC$2:$AJ$438,4,FALSE)</f>
        <v>The REV William PROTHEROE (4th &amp; 2)</v>
      </c>
      <c r="E296" s="150" t="str">
        <f>VLOOKUP($A296,'All Girls &amp; Descendants - Edit'!$AC$2:$AJ$438,7,FALSE)</f>
        <v>Wife: Alice Laura MUSGRAVE (b. 23/12/1861, d. 1928). Alice daughter of Francis MUSGRAVE. Married at Mold, Flint.</v>
      </c>
      <c r="F296" s="150" t="str">
        <f>VLOOKUP($A296,'All Girls &amp; Descendants - Edit'!$AC$2:$AJ$438,8,FALSE)</f>
        <v>Male. b. 10/03/1855, d. 1915. Born at Stone Street, Llandovery. Educated Society of the Divine Passion, Lampeter (Scholar and Exhibitioner, BA 1879). Deacon 1879. Priest 1881. Curate of Mold 1879-84. Vicar of Pont-Bleiddyn, Mold 1884-89. Vicar of Llanasa, Holywell 1889-1915. The inclusion of the name ‘Loyd’ as a Christian name was probably in recognition of the money left by Thomas LOYD (1775-1853) in his will to the issue of his sister, Jane, which enabled the two brothers to be educated for the Church.</v>
      </c>
    </row>
    <row r="297" spans="1:6" s="5" customFormat="1" ht="90">
      <c r="A297" s="149">
        <f t="shared" si="5"/>
        <v>3004</v>
      </c>
      <c r="B297" s="150" t="str">
        <f>VLOOKUP($A297,'All Girls &amp; Descendants - Edit'!$AC$2:$AJ$438,2,FALSE)</f>
        <v>18bba</v>
      </c>
      <c r="C297" s="150" t="str">
        <f>VLOOKUP($A297,'All Girls &amp; Descendants - Edit'!$AC$2:$AJ$438,3,FALSE)</f>
        <v>Sir Edward Redston  WARNER (1991 - 2002)</v>
      </c>
      <c r="D297" s="150" t="str">
        <f>VLOOKUP($A297,'All Girls &amp; Descendants - Edit'!$AC$2:$AJ$438,4,FALSE)</f>
        <v>Sir Edward WARNER (5th &amp; 18)</v>
      </c>
      <c r="E297" s="150" t="str">
        <f>VLOOKUP($A297,'All Girls &amp; Descendants - Edit'!$AC$2:$AJ$438,7,FALSE)</f>
        <v>Wife: Grizel Margaret CLERK RATTRAY (b. 09/06/1913, d. 04/11/2003). Married Margaret elder daughter of Colonel Paul CLERK RATTRAY of Craighall, Rattray, Perthshire at Cairo Cathedral, Grizel</v>
      </c>
      <c r="F297" s="150" t="str">
        <f>VLOOKUP($A297,'All Girls &amp; Descendants - Edit'!$AC$2:$AJ$438,8,FALSE)</f>
        <v xml:space="preserve">Male. b. 23/03/1991, d. 08/02/2002. Educated Oundle and King’s College, Cambridge. Entered Foreign Office and Diplomatic Service 1935. UK Delegation to OEEC, Paris 1956-59. Minister at HM Embassy, Tokyo 1959-62. HM Ambassador, Cameroon 1963-66. UK Rep, Econ and Social Council, United Nations 1966-68. HM Ambassador, Tunisia 1968-70. OBE 1948. CMG 1955. KCMG 1965. Ashes interred St Peter &amp; St Paul, Blockley, Gloucestershire. </v>
      </c>
    </row>
    <row r="298" spans="1:6" s="5" customFormat="1" ht="75">
      <c r="A298" s="149">
        <f t="shared" si="5"/>
        <v>3005</v>
      </c>
      <c r="B298" s="150" t="str">
        <f>VLOOKUP($A298,'All Girls &amp; Descendants - Edit'!$AC$2:$AJ$438,2,FALSE)</f>
        <v>18bbb</v>
      </c>
      <c r="C298" s="150" t="str">
        <f>VLOOKUP($A298,'All Girls &amp; Descendants - Edit'!$AC$2:$AJ$438,3,FALSE)</f>
        <v>John Wilmot  WARNER (later NICOL) (1912 - 2008)</v>
      </c>
      <c r="D298" s="150" t="str">
        <f>VLOOKUP($A298,'All Girls &amp; Descendants - Edit'!$AC$2:$AJ$438,4,FALSE)</f>
        <v>John WARNER (later NICOL) (5th &amp; 18)</v>
      </c>
      <c r="E298" s="150" t="str">
        <f>VLOOKUP($A298,'All Girls &amp; Descendants - Edit'!$AC$2:$AJ$438,7,FALSE)</f>
        <v>Wife: Diana Neame FINN (b. 13/03/1914, d. 18/02/1991). Eldest daughter of Lewis FINN of Lorenden, Faversham, Kent.</v>
      </c>
      <c r="F298" s="150" t="str">
        <f>VLOOKUP($A298,'All Girls &amp; Descendants - Edit'!$AC$2:$AJ$438,8,FALSE)</f>
        <v>Male. b. 13/06/1912, d. 29/09/2008. Educated Oundle and RMC Sandhurst. Changed name to NICOL on inheriting Ballogie Nov 1941. 18bbb John Nicol. Commissioned 1931, Oxfordshire and Buckinghamshire Light Infantry. Retired as Lieutenant Colonel 1946. DSO, MBE. Died  at Ballogie. Buried at Christ Church, Kincardine O’Neil.</v>
      </c>
    </row>
    <row r="299" spans="1:6" s="5" customFormat="1" ht="45">
      <c r="A299" s="149">
        <f t="shared" si="5"/>
        <v>3006</v>
      </c>
      <c r="B299" s="150" t="str">
        <f>VLOOKUP($A299,'All Girls &amp; Descendants - Edit'!$AC$2:$AJ$438,2,FALSE)</f>
        <v>18bbc</v>
      </c>
      <c r="C299" s="150" t="str">
        <f>VLOOKUP($A299,'All Girls &amp; Descendants - Edit'!$AC$2:$AJ$438,3,FALSE)</f>
        <v>Peter Eric Henry WARNER (1915 - 2003)</v>
      </c>
      <c r="D299" s="150" t="str">
        <f>VLOOKUP($A299,'All Girls &amp; Descendants - Edit'!$AC$2:$AJ$438,4,FALSE)</f>
        <v>Peter WARNER (5th &amp; 18)</v>
      </c>
      <c r="E299" s="150" t="str">
        <f>VLOOKUP($A299,'All Girls &amp; Descendants - Edit'!$AC$2:$AJ$438,7,FALSE)</f>
        <v>Unmarried</v>
      </c>
      <c r="F299" s="150" t="str">
        <f>VLOOKUP($A299,'All Girls &amp; Descendants - Edit'!$AC$2:$AJ$438,8,FALSE)</f>
        <v>Male. b. 30/03/1915, d. 04/11/2003. Educated Oundle and RMC Sandhurst. Lieut Colonel, Royal Fusiliers. MBE 1942. MC 1944. Died in London 2008. Ashes scattered at Ballogie.</v>
      </c>
    </row>
    <row r="300" spans="1:6" s="5" customFormat="1">
      <c r="A300" s="149">
        <f t="shared" si="5"/>
        <v>3007</v>
      </c>
      <c r="B300" s="150" t="str">
        <f>VLOOKUP($A300,'All Girls &amp; Descendants - Edit'!$AC$2:$AJ$438,2,FALSE)</f>
        <v>18eaa</v>
      </c>
      <c r="C300" s="150" t="str">
        <f>VLOOKUP($A300,'All Girls &amp; Descendants - Edit'!$AC$2:$AJ$438,3,FALSE)</f>
        <v>Brenda   DUGDALE (1911 - 1987)</v>
      </c>
      <c r="D300" s="150" t="str">
        <f>VLOOKUP($A300,'All Girls &amp; Descendants - Edit'!$AC$2:$AJ$438,4,FALSE)</f>
        <v>Brenda DUGDALE (5th &amp; 18)</v>
      </c>
      <c r="E300" s="150" t="str">
        <f>VLOOKUP($A300,'All Girls &amp; Descendants - Edit'!$AC$2:$AJ$438,7,FALSE)</f>
        <v>Unmarried</v>
      </c>
      <c r="F300" s="150" t="str">
        <f>VLOOKUP($A300,'All Girls &amp; Descendants - Edit'!$AC$2:$AJ$438,8,FALSE)</f>
        <v>Female. b. 09/09/1911, d. 08/08/1987. Died at 93 Ebury Street, London SW1.</v>
      </c>
    </row>
    <row r="301" spans="1:6" s="5" customFormat="1" ht="165">
      <c r="A301" s="149">
        <f t="shared" si="5"/>
        <v>3008</v>
      </c>
      <c r="B301" s="150" t="str">
        <f>VLOOKUP($A301,'All Girls &amp; Descendants - Edit'!$AC$2:$AJ$438,2,FALSE)</f>
        <v>36dba</v>
      </c>
      <c r="C301" s="150" t="str">
        <f>VLOOKUP($A301,'All Girls &amp; Descendants - Edit'!$AC$2:$AJ$438,3,FALSE)</f>
        <v>Elizabeth Clare  POWELL (1942 - )</v>
      </c>
      <c r="D301" s="150" t="str">
        <f>VLOOKUP($A301,'All Girls &amp; Descendants - Edit'!$AC$2:$AJ$438,4,FALSE)</f>
        <v>Toodie POWELL (6th &amp; 36)</v>
      </c>
      <c r="E301" s="150" t="str">
        <f>VLOOKUP($A301,'All Girls &amp; Descendants - Edit'!$AC$2:$AJ$438,7,FALSE)</f>
        <v>Husband: Canon Colin Thomas SCOTT-DEMPSTER (b. 22/04/1937, d.). Married at the Episcopal Church of St John, Princes Street, Edinburgh, Canon Colin of The Vicarage, Chieveley, Newbury, Berkshire, RG20 8UT. Deacon, Christ Church Cathedral, Oxford, Sep 1966. Priest, Christ Church Cathedral, Oxford, Sep 1967. Curate, St Peter’s, Caversham 1966-69. Chaplain, Teacher Training College of St Mark &amp; St John, Chelsea, London 1969-73. Vicar of Chieveley, Winterbourne &amp; Oare, Oxford Diocese from 1973. Rural Dean of Newbury 1977-98. Hon Canon, Christ Church Cathedral, Oxford 1990.</v>
      </c>
      <c r="F301" s="150" t="str">
        <f>VLOOKUP($A301,'All Girls &amp; Descendants - Edit'!$AC$2:$AJ$438,8,FALSE)</f>
        <v>Female. b. 30/05/1942 Born at Collessie, Fife.</v>
      </c>
    </row>
    <row r="302" spans="1:6" s="5" customFormat="1" ht="60">
      <c r="A302" s="149">
        <f t="shared" si="5"/>
        <v>3009</v>
      </c>
      <c r="B302" s="150" t="str">
        <f>VLOOKUP($A302,'All Girls &amp; Descendants - Edit'!$AC$2:$AJ$438,2,FALSE)</f>
        <v>36dbb</v>
      </c>
      <c r="C302" s="150" t="str">
        <f>VLOOKUP($A302,'All Girls &amp; Descendants - Edit'!$AC$2:$AJ$438,3,FALSE)</f>
        <v>Margaret Ann  POWELL (1944 - )</v>
      </c>
      <c r="D302" s="150" t="str">
        <f>VLOOKUP($A302,'All Girls &amp; Descendants - Edit'!$AC$2:$AJ$438,4,FALSE)</f>
        <v>Margaret POWELL (6th &amp; 36)</v>
      </c>
      <c r="E302" s="150" t="str">
        <f>VLOOKUP($A302,'All Girls &amp; Descendants - Edit'!$AC$2:$AJ$438,7,FALSE)</f>
        <v>Husband: Stephen James LINDSAY (b. 02/03/1940, d.?). Married at St Cuthbert’s, Edinburgh, to Stephen Lieut Colonel, The Black Watch. Regimental Secretary, Balhousie Castle, Perth from 1997.</v>
      </c>
      <c r="F302" s="150" t="str">
        <f>VLOOKUP($A302,'All Girls &amp; Descendants - Edit'!$AC$2:$AJ$438,8,FALSE)</f>
        <v>Female. b. 09/07/1944 Born  at Collessie, Fife.</v>
      </c>
    </row>
    <row r="303" spans="1:6" s="5" customFormat="1" ht="30">
      <c r="A303" s="149">
        <f t="shared" si="5"/>
        <v>3010</v>
      </c>
      <c r="B303" s="150" t="str">
        <f>VLOOKUP($A303,'All Girls &amp; Descendants - Edit'!$AC$2:$AJ$438,2,FALSE)</f>
        <v>47aaa</v>
      </c>
      <c r="C303" s="150" t="str">
        <f>VLOOKUP($A303,'All Girls &amp; Descendants - Edit'!$AC$2:$AJ$438,3,FALSE)</f>
        <v>Mary Jean  HARDCASTLE (1951 - )</v>
      </c>
      <c r="D303" s="150" t="str">
        <f>VLOOKUP($A303,'All Girls &amp; Descendants - Edit'!$AC$2:$AJ$438,4,FALSE)</f>
        <v>Mary HARDCASTLE (6th &amp; 47)</v>
      </c>
      <c r="E303" s="150" t="str">
        <f>VLOOKUP($A303,'All Girls &amp; Descendants - Edit'!$AC$2:$AJ$438,7,FALSE)</f>
        <v>Husband: Raymond Hubert HALLET (b. 11/10/1934, d. ?). Married at Chelsea, London, Raymond Hubert HALLETT.</v>
      </c>
      <c r="F303" s="150" t="str">
        <f>VLOOKUP($A303,'All Girls &amp; Descendants - Edit'!$AC$2:$AJ$438,8,FALSE)</f>
        <v>Female. b. 06/08/1951 Mary HARDCASTLE of Keepers Cottage, Whiligh, Shovers Green, Wadhurst, East Sussex, TN5 7JU. Educated St. Mary’s, Wantage.</v>
      </c>
    </row>
    <row r="304" spans="1:6" s="5" customFormat="1" ht="45">
      <c r="A304" s="149">
        <f t="shared" si="5"/>
        <v>3011</v>
      </c>
      <c r="B304" s="150" t="str">
        <f>VLOOKUP($A304,'All Girls &amp; Descendants - Edit'!$AC$2:$AJ$438,2,FALSE)</f>
        <v>47aab</v>
      </c>
      <c r="C304" s="150" t="str">
        <f>VLOOKUP($A304,'All Girls &amp; Descendants - Edit'!$AC$2:$AJ$438,3,FALSE)</f>
        <v>John Michael  HARDCASTLE (1953 - )</v>
      </c>
      <c r="D304" s="150" t="str">
        <f>VLOOKUP($A304,'All Girls &amp; Descendants - Edit'!$AC$2:$AJ$438,4,FALSE)</f>
        <v>Michael HARDCASTLE (6th &amp; 47)</v>
      </c>
      <c r="E304" s="150" t="str">
        <f>VLOOKUP($A304,'All Girls &amp; Descendants - Edit'!$AC$2:$AJ$438,7,FALSE)</f>
        <v xml:space="preserve">Wife: Jean Elizabeth AMOS (b. 21/05/1949, d. ?). Married Jean at Great Bowden, Leicestershire. </v>
      </c>
      <c r="F304" s="150" t="str">
        <f>VLOOKUP($A304,'All Girls &amp; Descendants - Edit'!$AC$2:$AJ$438,8,FALSE)</f>
        <v>Male. b. 27/01/1953 John Michael HARDCASTLE of Home Farm, Whiligh, Shovers Green, East Sussex, TN5 7JX. Educated Bradfield and Reading University (BSc Estate Management).</v>
      </c>
    </row>
    <row r="305" spans="1:6" s="5" customFormat="1" ht="30">
      <c r="A305" s="149">
        <f t="shared" si="5"/>
        <v>3012</v>
      </c>
      <c r="B305" s="150" t="str">
        <f>VLOOKUP($A305,'All Girls &amp; Descendants - Edit'!$AC$2:$AJ$438,2,FALSE)</f>
        <v>47aac</v>
      </c>
      <c r="C305" s="150" t="str">
        <f>VLOOKUP($A305,'All Girls &amp; Descendants - Edit'!$AC$2:$AJ$438,3,FALSE)</f>
        <v>Anthony David  HARDCASTLE (1954 - )</v>
      </c>
      <c r="D305" s="150" t="str">
        <f>VLOOKUP($A305,'All Girls &amp; Descendants - Edit'!$AC$2:$AJ$438,4,FALSE)</f>
        <v>David HARDCASTLE (6th &amp; 47)</v>
      </c>
      <c r="E305" s="150" t="str">
        <f>VLOOKUP($A305,'All Girls &amp; Descendants - Edit'!$AC$2:$AJ$438,7,FALSE)</f>
        <v>Wife: Judith Anne LEWINGTON (b. 26/06/1948, d. ?). Divorced 1987.</v>
      </c>
      <c r="F305" s="150" t="str">
        <f>VLOOKUP($A305,'All Girls &amp; Descendants - Edit'!$AC$2:$AJ$438,8,FALSE)</f>
        <v>Male. b. 07/06/1954 Educated Bradfield and Canterbury College of Art.</v>
      </c>
    </row>
    <row r="306" spans="1:6" s="5" customFormat="1" ht="45">
      <c r="A306" s="149">
        <f t="shared" si="5"/>
        <v>3013</v>
      </c>
      <c r="B306" s="150" t="str">
        <f>VLOOKUP($A306,'All Girls &amp; Descendants - Edit'!$AC$2:$AJ$438,2,FALSE)</f>
        <v>47aba</v>
      </c>
      <c r="C306" s="150" t="str">
        <f>VLOOKUP($A306,'All Girls &amp; Descendants - Edit'!$AC$2:$AJ$438,3,FALSE)</f>
        <v>Martin Christopher  DREWE (1951 - )</v>
      </c>
      <c r="D306" s="150" t="str">
        <f>VLOOKUP($A306,'All Girls &amp; Descendants - Edit'!$AC$2:$AJ$438,4,FALSE)</f>
        <v>Martin DREWE (6th &amp; 47)</v>
      </c>
      <c r="E306" s="150" t="str">
        <f>VLOOKUP($A306,'All Girls &amp; Descendants - Edit'!$AC$2:$AJ$438,7,FALSE)</f>
        <v>Wife: Stella Eleanor FRANCIS (b. 05/03/1948, d. ?). Married at Hermanus, South Africa, Stella Eleanor, younger daughter of Charles Henry FRANCIS of Sheffield, Yorkshire.</v>
      </c>
      <c r="F306" s="150" t="str">
        <f>VLOOKUP($A306,'All Girls &amp; Descendants - Edit'!$AC$2:$AJ$438,8,FALSE)</f>
        <v>Male. b. 27/05/1951 Born at Winchester, Hampshire. Martin Christopher DREWE of 65 Elgin Crescent, London, W11.</v>
      </c>
    </row>
    <row r="307" spans="1:6" s="5" customFormat="1" ht="60">
      <c r="A307" s="149">
        <f t="shared" si="5"/>
        <v>3014</v>
      </c>
      <c r="B307" s="150" t="str">
        <f>VLOOKUP($A307,'All Girls &amp; Descendants - Edit'!$AC$2:$AJ$438,2,FALSE)</f>
        <v>47abb</v>
      </c>
      <c r="C307" s="150" t="str">
        <f>VLOOKUP($A307,'All Girls &amp; Descendants - Edit'!$AC$2:$AJ$438,3,FALSE)</f>
        <v>Gillian Frances  DREWE (1953 - )</v>
      </c>
      <c r="D307" s="150" t="str">
        <f>VLOOKUP($A307,'All Girls &amp; Descendants - Edit'!$AC$2:$AJ$438,4,FALSE)</f>
        <v>Gillian DREWE (6th &amp; 47)</v>
      </c>
      <c r="E307" s="150" t="str">
        <f>VLOOKUP($A307,'All Girls &amp; Descendants - Edit'!$AC$2:$AJ$438,7,FALSE)</f>
        <v>Husband: Johannes Zacharis ELOFF (b. 16/03/1952, d. ?). Married at Full Gospel Church, Cambridge, East London, South Africa, Johannes Zacharias, son of Johannes Zacharias ELOFF of East London, South Africa.</v>
      </c>
      <c r="F307" s="150" t="str">
        <f>VLOOKUP($A307,'All Girls &amp; Descendants - Edit'!$AC$2:$AJ$438,8,FALSE)</f>
        <v>Female. b. 20/07/1953 Born at Tonbridge, Kent.</v>
      </c>
    </row>
    <row r="308" spans="1:6" s="5" customFormat="1" ht="45">
      <c r="A308" s="149">
        <f t="shared" si="5"/>
        <v>3015</v>
      </c>
      <c r="B308" s="150" t="str">
        <f>VLOOKUP($A308,'All Girls &amp; Descendants - Edit'!$AC$2:$AJ$438,2,FALSE)</f>
        <v>47abc</v>
      </c>
      <c r="C308" s="150" t="str">
        <f>VLOOKUP($A308,'All Girls &amp; Descendants - Edit'!$AC$2:$AJ$438,3,FALSE)</f>
        <v>Charles Loyd  DREWE (1957 - )</v>
      </c>
      <c r="D308" s="150" t="str">
        <f>VLOOKUP($A308,'All Girls &amp; Descendants - Edit'!$AC$2:$AJ$438,4,FALSE)</f>
        <v>Charles DREWE (6th &amp; 47)</v>
      </c>
      <c r="E308" s="150" t="str">
        <f>VLOOKUP($A308,'All Girls &amp; Descendants - Edit'!$AC$2:$AJ$438,7,FALSE)</f>
        <v>Wife: Hana MATUSKOVA (b. 18/01/1964, d. ?). Married at Brno, Czechoslovakia, Hana MATUSKOVA, daughter of Osvald MATUSKA of Ratiskovice, Czechoslovakia.</v>
      </c>
      <c r="F308" s="150" t="str">
        <f>VLOOKUP($A308,'All Girls &amp; Descendants - Edit'!$AC$2:$AJ$438,8,FALSE)</f>
        <v>Male. b. 24/10/1957 Born at Salisbury, Rhodesia.</v>
      </c>
    </row>
    <row r="309" spans="1:6" s="5" customFormat="1">
      <c r="A309" s="149">
        <f t="shared" si="5"/>
        <v>3016</v>
      </c>
      <c r="B309" s="150" t="str">
        <f>VLOOKUP($A309,'All Girls &amp; Descendants - Edit'!$AC$2:$AJ$438,2,FALSE)</f>
        <v>63aba</v>
      </c>
      <c r="C309" s="150" t="str">
        <f>VLOOKUP($A309,'All Girls &amp; Descendants - Edit'!$AC$2:$AJ$438,3,FALSE)</f>
        <v>Isabel Eleanor  MOORE (1989 - 2021)</v>
      </c>
      <c r="D309" s="150" t="str">
        <f>VLOOKUP($A309,'All Girls &amp; Descendants - Edit'!$AC$2:$AJ$438,4,FALSE)</f>
        <v>Isabel MOORE (7th &amp; 63)</v>
      </c>
      <c r="E309" s="150" t="str">
        <f>VLOOKUP($A309,'All Girls &amp; Descendants - Edit'!$AC$2:$AJ$438,7,FALSE)</f>
        <v>Unmarried</v>
      </c>
      <c r="F309" s="150" t="str">
        <f>VLOOKUP($A309,'All Girls &amp; Descendants - Edit'!$AC$2:$AJ$438,8,FALSE)</f>
        <v>Female. b. 26/04/1989, d. 29/09/2021.</v>
      </c>
    </row>
    <row r="310" spans="1:6" s="5" customFormat="1">
      <c r="A310" s="149">
        <f t="shared" si="5"/>
        <v>3017</v>
      </c>
      <c r="B310" s="150" t="str">
        <f>VLOOKUP($A310,'All Girls &amp; Descendants - Edit'!$AC$2:$AJ$438,2,FALSE)</f>
        <v>63abb</v>
      </c>
      <c r="C310" s="150" t="str">
        <f>VLOOKUP($A310,'All Girls &amp; Descendants - Edit'!$AC$2:$AJ$438,3,FALSE)</f>
        <v>Alistair William  MOORE (1991 - )</v>
      </c>
      <c r="D310" s="150" t="str">
        <f>VLOOKUP($A310,'All Girls &amp; Descendants - Edit'!$AC$2:$AJ$438,4,FALSE)</f>
        <v>Alistair MOORE (7th &amp; 63)</v>
      </c>
      <c r="E310" s="150" t="str">
        <f>VLOOKUP($A310,'All Girls &amp; Descendants - Edit'!$AC$2:$AJ$438,7,FALSE)</f>
        <v>Unmarried</v>
      </c>
      <c r="F310" s="150" t="str">
        <f>VLOOKUP($A310,'All Girls &amp; Descendants - Edit'!$AC$2:$AJ$438,8,FALSE)</f>
        <v>Male. b. 21/04/1991</v>
      </c>
    </row>
    <row r="311" spans="1:6" s="5" customFormat="1">
      <c r="A311" s="149">
        <f t="shared" si="5"/>
        <v>3018</v>
      </c>
      <c r="B311" s="150" t="str">
        <f>VLOOKUP($A311,'All Girls &amp; Descendants - Edit'!$AC$2:$AJ$438,2,FALSE)</f>
        <v>70aaa</v>
      </c>
      <c r="C311" s="150" t="str">
        <f>VLOOKUP($A311,'All Girls &amp; Descendants - Edit'!$AC$2:$AJ$438,3,FALSE)</f>
        <v>Henry Charles Anthony SHEARER (1981 - )</v>
      </c>
      <c r="D311" s="150" t="str">
        <f>VLOOKUP($A311,'All Girls &amp; Descendants - Edit'!$AC$2:$AJ$438,4,FALSE)</f>
        <v>Henry SHEARER (7th &amp; 70)</v>
      </c>
      <c r="E311" s="150" t="str">
        <f>VLOOKUP($A311,'All Girls &amp; Descendants - Edit'!$AC$2:$AJ$438,7,FALSE)</f>
        <v>Unmarried</v>
      </c>
      <c r="F311" s="150" t="str">
        <f>VLOOKUP($A311,'All Girls &amp; Descendants - Edit'!$AC$2:$AJ$438,8,FALSE)</f>
        <v>Male. b. 07/11/1981</v>
      </c>
    </row>
    <row r="312" spans="1:6" s="5" customFormat="1">
      <c r="A312" s="149">
        <f t="shared" si="5"/>
        <v>3019</v>
      </c>
      <c r="B312" s="150" t="str">
        <f>VLOOKUP($A312,'All Girls &amp; Descendants - Edit'!$AC$2:$AJ$438,2,FALSE)</f>
        <v>70aab</v>
      </c>
      <c r="C312" s="150" t="str">
        <f>VLOOKUP($A312,'All Girls &amp; Descendants - Edit'!$AC$2:$AJ$438,3,FALSE)</f>
        <v>Emma Jane  SHEARER (1986 - )</v>
      </c>
      <c r="D312" s="150" t="str">
        <f>VLOOKUP($A312,'All Girls &amp; Descendants - Edit'!$AC$2:$AJ$438,4,FALSE)</f>
        <v>Emma SHEARER (7th &amp; 70)</v>
      </c>
      <c r="E312" s="150" t="str">
        <f>VLOOKUP($A312,'All Girls &amp; Descendants - Edit'!$AC$2:$AJ$438,7,FALSE)</f>
        <v>Unmarried</v>
      </c>
      <c r="F312" s="150" t="str">
        <f>VLOOKUP($A312,'All Girls &amp; Descendants - Edit'!$AC$2:$AJ$438,8,FALSE)</f>
        <v>Female. b. 12/09/1986</v>
      </c>
    </row>
    <row r="313" spans="1:6" s="5" customFormat="1">
      <c r="A313" s="149">
        <f t="shared" si="5"/>
        <v>3020</v>
      </c>
      <c r="B313" s="150" t="str">
        <f>VLOOKUP($A313,'All Girls &amp; Descendants - Edit'!$AC$2:$AJ$438,2,FALSE)</f>
        <v>70aba</v>
      </c>
      <c r="C313" s="150" t="str">
        <f>VLOOKUP($A313,'All Girls &amp; Descendants - Edit'!$AC$2:$AJ$438,3,FALSE)</f>
        <v>Christopher John  ANDREY (1982 - )</v>
      </c>
      <c r="D313" s="150" t="str">
        <f>VLOOKUP($A313,'All Girls &amp; Descendants - Edit'!$AC$2:$AJ$438,4,FALSE)</f>
        <v>Christopher ANDREY (7th &amp; 70)</v>
      </c>
      <c r="E313" s="150" t="str">
        <f>VLOOKUP($A313,'All Girls &amp; Descendants - Edit'!$AC$2:$AJ$438,7,FALSE)</f>
        <v>Unmarried</v>
      </c>
      <c r="F313" s="150" t="str">
        <f>VLOOKUP($A313,'All Girls &amp; Descendants - Edit'!$AC$2:$AJ$438,8,FALSE)</f>
        <v>Male. b. 14/10/1982</v>
      </c>
    </row>
    <row r="314" spans="1:6" s="5" customFormat="1">
      <c r="A314" s="149">
        <f t="shared" si="5"/>
        <v>3021</v>
      </c>
      <c r="B314" s="150" t="str">
        <f>VLOOKUP($A314,'All Girls &amp; Descendants - Edit'!$AC$2:$AJ$438,2,FALSE)</f>
        <v>70abb</v>
      </c>
      <c r="C314" s="150" t="str">
        <f>VLOOKUP($A314,'All Girls &amp; Descendants - Edit'!$AC$2:$AJ$438,3,FALSE)</f>
        <v>Amanda Charlotte  ANDREY (1987 - )</v>
      </c>
      <c r="D314" s="150" t="str">
        <f>VLOOKUP($A314,'All Girls &amp; Descendants - Edit'!$AC$2:$AJ$438,4,FALSE)</f>
        <v>Amanda ANDREY (7th &amp; 70)</v>
      </c>
      <c r="E314" s="150" t="str">
        <f>VLOOKUP($A314,'All Girls &amp; Descendants - Edit'!$AC$2:$AJ$438,7,FALSE)</f>
        <v>Unmarried</v>
      </c>
      <c r="F314" s="150" t="str">
        <f>VLOOKUP($A314,'All Girls &amp; Descendants - Edit'!$AC$2:$AJ$438,8,FALSE)</f>
        <v>Female. b. 18/02/1987</v>
      </c>
    </row>
    <row r="315" spans="1:6" s="5" customFormat="1">
      <c r="A315" s="149">
        <f t="shared" si="5"/>
        <v>3022</v>
      </c>
      <c r="B315" s="150" t="str">
        <f>VLOOKUP($A315,'All Girls &amp; Descendants - Edit'!$AC$2:$AJ$438,2,FALSE)</f>
        <v>70baa</v>
      </c>
      <c r="C315" s="150" t="str">
        <f>VLOOKUP($A315,'All Girls &amp; Descendants - Edit'!$AC$2:$AJ$438,3,FALSE)</f>
        <v>Zoe Adele  MELITUS (1979 - )</v>
      </c>
      <c r="D315" s="150" t="str">
        <f>VLOOKUP($A315,'All Girls &amp; Descendants - Edit'!$AC$2:$AJ$438,4,FALSE)</f>
        <v>Zoe MELITUS (7th &amp; 70)</v>
      </c>
      <c r="E315" s="150" t="str">
        <f>VLOOKUP($A315,'All Girls &amp; Descendants - Edit'!$AC$2:$AJ$438,7,FALSE)</f>
        <v>Unmarried</v>
      </c>
      <c r="F315" s="150" t="str">
        <f>VLOOKUP($A315,'All Girls &amp; Descendants - Edit'!$AC$2:$AJ$438,8,FALSE)</f>
        <v>Female. b. 30/10/1979</v>
      </c>
    </row>
    <row r="316" spans="1:6" s="5" customFormat="1">
      <c r="A316" s="149">
        <f t="shared" si="5"/>
        <v>3023</v>
      </c>
      <c r="B316" s="150" t="str">
        <f>VLOOKUP($A316,'All Girls &amp; Descendants - Edit'!$AC$2:$AJ$438,2,FALSE)</f>
        <v>70bab</v>
      </c>
      <c r="C316" s="150" t="str">
        <f>VLOOKUP($A316,'All Girls &amp; Descendants - Edit'!$AC$2:$AJ$438,3,FALSE)</f>
        <v>Jonathan Peter  MELITUS (1988 - )</v>
      </c>
      <c r="D316" s="150" t="str">
        <f>VLOOKUP($A316,'All Girls &amp; Descendants - Edit'!$AC$2:$AJ$438,4,FALSE)</f>
        <v>Peter MELITUS (7th &amp; 70)</v>
      </c>
      <c r="E316" s="150" t="str">
        <f>VLOOKUP($A316,'All Girls &amp; Descendants - Edit'!$AC$2:$AJ$438,7,FALSE)</f>
        <v>Unmarried</v>
      </c>
      <c r="F316" s="150" t="str">
        <f>VLOOKUP($A316,'All Girls &amp; Descendants - Edit'!$AC$2:$AJ$438,8,FALSE)</f>
        <v>Male. b. 25/06/1988</v>
      </c>
    </row>
    <row r="317" spans="1:6" s="5" customFormat="1" ht="30">
      <c r="A317" s="149">
        <f t="shared" si="5"/>
        <v>3024</v>
      </c>
      <c r="B317" s="150" t="str">
        <f>VLOOKUP($A317,'All Girls &amp; Descendants - Edit'!$AC$2:$AJ$438,2,FALSE)</f>
        <v>70bba</v>
      </c>
      <c r="C317" s="150" t="str">
        <f>VLOOKUP($A317,'All Girls &amp; Descendants - Edit'!$AC$2:$AJ$438,3,FALSE)</f>
        <v>Sophia Caroline  CHALDECOTT (1989 - )</v>
      </c>
      <c r="D317" s="150" t="str">
        <f>VLOOKUP($A317,'All Girls &amp; Descendants - Edit'!$AC$2:$AJ$438,4,FALSE)</f>
        <v>Sophia CHALDECOTT (7th &amp; 70)</v>
      </c>
      <c r="E317" s="150" t="str">
        <f>VLOOKUP($A317,'All Girls &amp; Descendants - Edit'!$AC$2:$AJ$438,7,FALSE)</f>
        <v>Unmarried</v>
      </c>
      <c r="F317" s="150" t="str">
        <f>VLOOKUP($A317,'All Girls &amp; Descendants - Edit'!$AC$2:$AJ$438,8,FALSE)</f>
        <v>Female. b. 26/01/1989 Baptised 21 May 1989 at St Mary’s, Bradford Peverell, Dorchester, Dorset.</v>
      </c>
    </row>
    <row r="318" spans="1:6" s="5" customFormat="1">
      <c r="A318" s="149">
        <f t="shared" si="5"/>
        <v>3025</v>
      </c>
      <c r="B318" s="150" t="str">
        <f>VLOOKUP($A318,'All Girls &amp; Descendants - Edit'!$AC$2:$AJ$438,2,FALSE)</f>
        <v>70bbb</v>
      </c>
      <c r="C318" s="150" t="str">
        <f>VLOOKUP($A318,'All Girls &amp; Descendants - Edit'!$AC$2:$AJ$438,3,FALSE)</f>
        <v>Lucy Maria  CHALDECOTT (1992 - )</v>
      </c>
      <c r="D318" s="150" t="str">
        <f>VLOOKUP($A318,'All Girls &amp; Descendants - Edit'!$AC$2:$AJ$438,4,FALSE)</f>
        <v>Lucy CHALDECOTT (7th &amp; 70)</v>
      </c>
      <c r="E318" s="150" t="str">
        <f>VLOOKUP($A318,'All Girls &amp; Descendants - Edit'!$AC$2:$AJ$438,7,FALSE)</f>
        <v>Unmarried</v>
      </c>
      <c r="F318" s="150" t="str">
        <f>VLOOKUP($A318,'All Girls &amp; Descendants - Edit'!$AC$2:$AJ$438,8,FALSE)</f>
        <v>Female. b. 05/03/1992 Baptised 13 Dec 1992 at St Peter’s, Dorchester, Dorset.</v>
      </c>
    </row>
    <row r="319" spans="1:6" s="5" customFormat="1">
      <c r="A319" s="149">
        <f t="shared" si="5"/>
        <v>3026</v>
      </c>
      <c r="B319" s="150" t="str">
        <f>VLOOKUP($A319,'All Girls &amp; Descendants - Edit'!$AC$2:$AJ$438,2,FALSE)</f>
        <v>70bbc</v>
      </c>
      <c r="C319" s="150" t="str">
        <f>VLOOKUP($A319,'All Girls &amp; Descendants - Edit'!$AC$2:$AJ$438,3,FALSE)</f>
        <v>Thomas Owen  CHALDECOTT (1999 - )</v>
      </c>
      <c r="D319" s="150" t="str">
        <f>VLOOKUP($A319,'All Girls &amp; Descendants - Edit'!$AC$2:$AJ$438,4,FALSE)</f>
        <v>Thomas CHALDECOTT (7th &amp; 70)</v>
      </c>
      <c r="E319" s="150" t="str">
        <f>VLOOKUP($A319,'All Girls &amp; Descendants - Edit'!$AC$2:$AJ$438,7,FALSE)</f>
        <v>Unmarried</v>
      </c>
      <c r="F319" s="150" t="str">
        <f>VLOOKUP($A319,'All Girls &amp; Descendants - Edit'!$AC$2:$AJ$438,8,FALSE)</f>
        <v>Male. b. 31/10/1999 Baptised 21 Dec 1999 at St Pater’s, Dorchester, Dorset.</v>
      </c>
    </row>
    <row r="320" spans="1:6" s="5" customFormat="1">
      <c r="A320" s="149">
        <f t="shared" si="5"/>
        <v>3027</v>
      </c>
      <c r="B320" s="150" t="str">
        <f>VLOOKUP($A320,'All Girls &amp; Descendants - Edit'!$AC$2:$AJ$438,2,FALSE)</f>
        <v>70cca</v>
      </c>
      <c r="C320" s="150" t="str">
        <f>VLOOKUP($A320,'All Girls &amp; Descendants - Edit'!$AC$2:$AJ$438,3,FALSE)</f>
        <v>George Arthur Louis PAGE (1998 - )</v>
      </c>
      <c r="D320" s="150" t="str">
        <f>VLOOKUP($A320,'All Girls &amp; Descendants - Edit'!$AC$2:$AJ$438,4,FALSE)</f>
        <v>George PAGE (7th &amp; 70)</v>
      </c>
      <c r="E320" s="150" t="str">
        <f>VLOOKUP($A320,'All Girls &amp; Descendants - Edit'!$AC$2:$AJ$438,7,FALSE)</f>
        <v>Unmarried</v>
      </c>
      <c r="F320" s="150" t="str">
        <f>VLOOKUP($A320,'All Girls &amp; Descendants - Edit'!$AC$2:$AJ$438,8,FALSE)</f>
        <v>Male. b. 28/03/1998</v>
      </c>
    </row>
    <row r="321" spans="1:6" s="5" customFormat="1">
      <c r="A321" s="149">
        <f t="shared" si="5"/>
        <v>3028</v>
      </c>
      <c r="B321" s="150" t="str">
        <f>VLOOKUP($A321,'All Girls &amp; Descendants - Edit'!$AC$2:$AJ$438,2,FALSE)</f>
        <v>70dca</v>
      </c>
      <c r="C321" s="150" t="str">
        <f>VLOOKUP($A321,'All Girls &amp; Descendants - Edit'!$AC$2:$AJ$438,3,FALSE)</f>
        <v>Simeon Nathaniel Benjamin GOW (1990 - )</v>
      </c>
      <c r="D321" s="150" t="str">
        <f>VLOOKUP($A321,'All Girls &amp; Descendants - Edit'!$AC$2:$AJ$438,4,FALSE)</f>
        <v>Simeon GOW (7th &amp; 70)</v>
      </c>
      <c r="E321" s="150" t="str">
        <f>VLOOKUP($A321,'All Girls &amp; Descendants - Edit'!$AC$2:$AJ$438,7,FALSE)</f>
        <v>Unmarried</v>
      </c>
      <c r="F321" s="150" t="str">
        <f>VLOOKUP($A321,'All Girls &amp; Descendants - Edit'!$AC$2:$AJ$438,8,FALSE)</f>
        <v>Male. b. 23/10/1990</v>
      </c>
    </row>
    <row r="322" spans="1:6" s="5" customFormat="1">
      <c r="A322" s="149">
        <f t="shared" si="5"/>
        <v>3029</v>
      </c>
      <c r="B322" s="150" t="str">
        <f>VLOOKUP($A322,'All Girls &amp; Descendants - Edit'!$AC$2:$AJ$438,2,FALSE)</f>
        <v>70dcb</v>
      </c>
      <c r="C322" s="150" t="str">
        <f>VLOOKUP($A322,'All Girls &amp; Descendants - Edit'!$AC$2:$AJ$438,3,FALSE)</f>
        <v>Christopher Gavin Thomas GOW (1996 - )</v>
      </c>
      <c r="D322" s="150" t="str">
        <f>VLOOKUP($A322,'All Girls &amp; Descendants - Edit'!$AC$2:$AJ$438,4,FALSE)</f>
        <v>Christopher GOW (7th &amp; 70)</v>
      </c>
      <c r="E322" s="150" t="str">
        <f>VLOOKUP($A322,'All Girls &amp; Descendants - Edit'!$AC$2:$AJ$438,7,FALSE)</f>
        <v>Unmarried</v>
      </c>
      <c r="F322" s="150" t="str">
        <f>VLOOKUP($A322,'All Girls &amp; Descendants - Edit'!$AC$2:$AJ$438,8,FALSE)</f>
        <v>Male. b. 19/04/1996</v>
      </c>
    </row>
    <row r="323" spans="1:6" s="5" customFormat="1">
      <c r="A323" s="149">
        <f t="shared" si="5"/>
        <v>3030</v>
      </c>
      <c r="B323" s="150" t="str">
        <f>VLOOKUP($A323,'All Girls &amp; Descendants - Edit'!$AC$2:$AJ$438,2,FALSE)</f>
        <v>70dcc</v>
      </c>
      <c r="C323" s="150" t="str">
        <f>VLOOKUP($A323,'All Girls &amp; Descendants - Edit'!$AC$2:$AJ$438,3,FALSE)</f>
        <v>Joanna Louise  GOW (1998 - )</v>
      </c>
      <c r="D323" s="150" t="str">
        <f>VLOOKUP($A323,'All Girls &amp; Descendants - Edit'!$AC$2:$AJ$438,4,FALSE)</f>
        <v>Joanna GOW (7th &amp; 70)</v>
      </c>
      <c r="E323" s="150" t="str">
        <f>VLOOKUP($A323,'All Girls &amp; Descendants - Edit'!$AC$2:$AJ$438,7,FALSE)</f>
        <v>Unmarried</v>
      </c>
      <c r="F323" s="150" t="str">
        <f>VLOOKUP($A323,'All Girls &amp; Descendants - Edit'!$AC$2:$AJ$438,8,FALSE)</f>
        <v>Female. b. 14/05/1998</v>
      </c>
    </row>
    <row r="324" spans="1:6" s="5" customFormat="1">
      <c r="A324" s="149">
        <f t="shared" si="5"/>
        <v>3031</v>
      </c>
      <c r="B324" s="150" t="str">
        <f>VLOOKUP($A324,'All Girls &amp; Descendants - Edit'!$AC$2:$AJ$438,2,FALSE)</f>
        <v>85aaa</v>
      </c>
      <c r="C324" s="150" t="str">
        <f>VLOOKUP($A324,'All Girls &amp; Descendants - Edit'!$AC$2:$AJ$438,3,FALSE)</f>
        <v>Matilda Prudence  ELLIS (1995 - )</v>
      </c>
      <c r="D324" s="150" t="str">
        <f>VLOOKUP($A324,'All Girls &amp; Descendants - Edit'!$AC$2:$AJ$438,4,FALSE)</f>
        <v>Matilda ELLIS (8th &amp; 85)</v>
      </c>
      <c r="E324" s="150" t="str">
        <f>VLOOKUP($A324,'All Girls &amp; Descendants - Edit'!$AC$2:$AJ$438,7,FALSE)</f>
        <v>Unmarried</v>
      </c>
      <c r="F324" s="150" t="str">
        <f>VLOOKUP($A324,'All Girls &amp; Descendants - Edit'!$AC$2:$AJ$438,8,FALSE)</f>
        <v>Female. b. 25/07/1995</v>
      </c>
    </row>
    <row r="325" spans="1:6" s="5" customFormat="1">
      <c r="A325" s="149">
        <f t="shared" si="5"/>
        <v>3032</v>
      </c>
      <c r="B325" s="150" t="str">
        <f>VLOOKUP($A325,'All Girls &amp; Descendants - Edit'!$AC$2:$AJ$438,2,FALSE)</f>
        <v>85aab</v>
      </c>
      <c r="C325" s="150" t="str">
        <f>VLOOKUP($A325,'All Girls &amp; Descendants - Edit'!$AC$2:$AJ$438,3,FALSE)</f>
        <v>Tabitha Hope  ELLIS (1997 - )</v>
      </c>
      <c r="D325" s="150" t="str">
        <f>VLOOKUP($A325,'All Girls &amp; Descendants - Edit'!$AC$2:$AJ$438,4,FALSE)</f>
        <v>Tabitha ELLIS (8th &amp; 85)</v>
      </c>
      <c r="E325" s="150" t="str">
        <f>VLOOKUP($A325,'All Girls &amp; Descendants - Edit'!$AC$2:$AJ$438,7,FALSE)</f>
        <v>Unmarried</v>
      </c>
      <c r="F325" s="150" t="str">
        <f>VLOOKUP($A325,'All Girls &amp; Descendants - Edit'!$AC$2:$AJ$438,8,FALSE)</f>
        <v>Female. b. 03/10/1997</v>
      </c>
    </row>
    <row r="326" spans="1:6" s="5" customFormat="1">
      <c r="A326" s="149">
        <f t="shared" si="5"/>
        <v>3033</v>
      </c>
      <c r="B326" s="150" t="str">
        <f>VLOOKUP($A326,'All Girls &amp; Descendants - Edit'!$AC$2:$AJ$438,2,FALSE)</f>
        <v>85aba</v>
      </c>
      <c r="C326" s="150" t="str">
        <f>VLOOKUP($A326,'All Girls &amp; Descendants - Edit'!$AC$2:$AJ$438,3,FALSE)</f>
        <v>Esme Grace G  LANE FOX (1998 - )</v>
      </c>
      <c r="D326" s="150" t="str">
        <f>VLOOKUP($A326,'All Girls &amp; Descendants - Edit'!$AC$2:$AJ$438,4,FALSE)</f>
        <v>Esme LANE FOX (8th &amp; 85)</v>
      </c>
      <c r="E326" s="150" t="str">
        <f>VLOOKUP($A326,'All Girls &amp; Descendants - Edit'!$AC$2:$AJ$438,7,FALSE)</f>
        <v>Unmarried</v>
      </c>
      <c r="F326" s="150" t="str">
        <f>VLOOKUP($A326,'All Girls &amp; Descendants - Edit'!$AC$2:$AJ$438,8,FALSE)</f>
        <v>Female. b. 24/07/1998</v>
      </c>
    </row>
    <row r="327" spans="1:6" s="5" customFormat="1">
      <c r="A327" s="149">
        <f t="shared" si="5"/>
        <v>3034</v>
      </c>
      <c r="B327" s="150" t="str">
        <f>VLOOKUP($A327,'All Girls &amp; Descendants - Edit'!$AC$2:$AJ$438,2,FALSE)</f>
        <v>85abb</v>
      </c>
      <c r="C327" s="150" t="str">
        <f>VLOOKUP($A327,'All Girls &amp; Descendants - Edit'!$AC$2:$AJ$438,3,FALSE)</f>
        <v>Georgia Rose  LANE FOX (2000 - )</v>
      </c>
      <c r="D327" s="150" t="str">
        <f>VLOOKUP($A327,'All Girls &amp; Descendants - Edit'!$AC$2:$AJ$438,4,FALSE)</f>
        <v>Georgia LANE FOX (8th &amp; 85)</v>
      </c>
      <c r="E327" s="150" t="str">
        <f>VLOOKUP($A327,'All Girls &amp; Descendants - Edit'!$AC$2:$AJ$438,7,FALSE)</f>
        <v>Unmarried</v>
      </c>
      <c r="F327" s="150" t="str">
        <f>VLOOKUP($A327,'All Girls &amp; Descendants - Edit'!$AC$2:$AJ$438,8,FALSE)</f>
        <v>Female. b. 23/06/2000</v>
      </c>
    </row>
    <row r="328" spans="1:6" s="5" customFormat="1">
      <c r="A328" s="149">
        <f t="shared" si="5"/>
        <v>3035</v>
      </c>
      <c r="B328" s="150" t="str">
        <f>VLOOKUP($A328,'All Girls &amp; Descendants - Edit'!$AC$2:$AJ$438,2,FALSE)</f>
        <v>85bca</v>
      </c>
      <c r="C328" s="150" t="str">
        <f>VLOOKUP($A328,'All Girls &amp; Descendants - Edit'!$AC$2:$AJ$438,3,FALSE)</f>
        <v>Lily Joanna  GASZTOWTT (1997 - )</v>
      </c>
      <c r="D328" s="150" t="str">
        <f>VLOOKUP($A328,'All Girls &amp; Descendants - Edit'!$AC$2:$AJ$438,4,FALSE)</f>
        <v>Lily GASZTOWTT (8th &amp; 85)</v>
      </c>
      <c r="E328" s="150" t="str">
        <f>VLOOKUP($A328,'All Girls &amp; Descendants - Edit'!$AC$2:$AJ$438,7,FALSE)</f>
        <v>Unmarried</v>
      </c>
      <c r="F328" s="150" t="str">
        <f>VLOOKUP($A328,'All Girls &amp; Descendants - Edit'!$AC$2:$AJ$438,8,FALSE)</f>
        <v>Female. b. 01/07/1997</v>
      </c>
    </row>
    <row r="329" spans="1:6" s="5" customFormat="1" ht="30">
      <c r="A329" s="149">
        <f t="shared" si="5"/>
        <v>3036</v>
      </c>
      <c r="B329" s="150" t="str">
        <f>VLOOKUP($A329,'All Girls &amp; Descendants - Edit'!$AC$2:$AJ$438,2,FALSE)</f>
        <v>88aaa</v>
      </c>
      <c r="C329" s="150" t="str">
        <f>VLOOKUP($A329,'All Girls &amp; Descendants - Edit'!$AC$2:$AJ$438,3,FALSE)</f>
        <v>Louise Saragh  HOLMAN-BAIRD (1986 - )</v>
      </c>
      <c r="D329" s="150" t="str">
        <f>VLOOKUP($A329,'All Girls &amp; Descendants - Edit'!$AC$2:$AJ$438,4,FALSE)</f>
        <v>Louise HOLMAN-BAIRD (8th &amp; 88)</v>
      </c>
      <c r="E329" s="150" t="str">
        <f>VLOOKUP($A329,'All Girls &amp; Descendants - Edit'!$AC$2:$AJ$438,7,FALSE)</f>
        <v>Husband: Christopher MURRAY. Married Christopher at Nanyki, Kenya.</v>
      </c>
      <c r="F329" s="150" t="str">
        <f>VLOOKUP($A329,'All Girls &amp; Descendants - Edit'!$AC$2:$AJ$438,8,FALSE)</f>
        <v>Female. b. 31/12/1986 Born in Aberdeen, baptised  at Banchory.</v>
      </c>
    </row>
    <row r="330" spans="1:6" s="5" customFormat="1">
      <c r="A330" s="149">
        <f t="shared" si="5"/>
        <v>3037</v>
      </c>
      <c r="B330" s="150" t="str">
        <f>VLOOKUP($A330,'All Girls &amp; Descendants - Edit'!$AC$2:$AJ$438,2,FALSE)</f>
        <v>88aab</v>
      </c>
      <c r="C330" s="150" t="str">
        <f>VLOOKUP($A330,'All Girls &amp; Descendants - Edit'!$AC$2:$AJ$438,3,FALSE)</f>
        <v>Angus John  HOLMAN-BAIRD (1997 - )</v>
      </c>
      <c r="D330" s="150" t="str">
        <f>VLOOKUP($A330,'All Girls &amp; Descendants - Edit'!$AC$2:$AJ$438,4,FALSE)</f>
        <v>Angus HOLMAN-BAIRD (8th &amp; 88)</v>
      </c>
      <c r="E330" s="150" t="str">
        <f>VLOOKUP($A330,'All Girls &amp; Descendants - Edit'!$AC$2:$AJ$438,7,FALSE)</f>
        <v>Unmarried</v>
      </c>
      <c r="F330" s="150" t="str">
        <f>VLOOKUP($A330,'All Girls &amp; Descendants - Edit'!$AC$2:$AJ$438,8,FALSE)</f>
        <v>Male. b. 14/01/1997 Baptised at Banchory.</v>
      </c>
    </row>
    <row r="331" spans="1:6" s="5" customFormat="1">
      <c r="A331" s="149">
        <f t="shared" si="5"/>
        <v>3038</v>
      </c>
      <c r="B331" s="150" t="str">
        <f>VLOOKUP($A331,'All Girls &amp; Descendants - Edit'!$AC$2:$AJ$438,2,FALSE)</f>
        <v>88aac</v>
      </c>
      <c r="C331" s="150" t="str">
        <f>VLOOKUP($A331,'All Girls &amp; Descendants - Edit'!$AC$2:$AJ$438,3,FALSE)</f>
        <v>Amelia Jo  HOLMAN-BAIRD (1998 - )</v>
      </c>
      <c r="D331" s="150" t="str">
        <f>VLOOKUP($A331,'All Girls &amp; Descendants - Edit'!$AC$2:$AJ$438,4,FALSE)</f>
        <v>Amelia HOLMAN-BAIRD (8th &amp; 88)</v>
      </c>
      <c r="E331" s="150" t="str">
        <f>VLOOKUP($A331,'All Girls &amp; Descendants - Edit'!$AC$2:$AJ$438,7,FALSE)</f>
        <v>Unmarried</v>
      </c>
      <c r="F331" s="150" t="str">
        <f>VLOOKUP($A331,'All Girls &amp; Descendants - Edit'!$AC$2:$AJ$438,8,FALSE)</f>
        <v>Female. b. 29/12/1998 Baptised at Banchory.</v>
      </c>
    </row>
    <row r="332" spans="1:6" s="5" customFormat="1">
      <c r="A332" s="149">
        <f t="shared" si="5"/>
        <v>3039</v>
      </c>
      <c r="B332" s="150" t="str">
        <f>VLOOKUP($A332,'All Girls &amp; Descendants - Edit'!$AC$2:$AJ$438,2,FALSE)</f>
        <v>88aca</v>
      </c>
      <c r="C332" s="150" t="str">
        <f>VLOOKUP($A332,'All Girls &amp; Descendants - Edit'!$AC$2:$AJ$438,3,FALSE)</f>
        <v>William John  STIRRUP (1992 - )</v>
      </c>
      <c r="D332" s="150" t="str">
        <f>VLOOKUP($A332,'All Girls &amp; Descendants - Edit'!$AC$2:$AJ$438,4,FALSE)</f>
        <v>William STIRRUP (8th &amp; 88)</v>
      </c>
      <c r="E332" s="150" t="str">
        <f>VLOOKUP($A332,'All Girls &amp; Descendants - Edit'!$AC$2:$AJ$438,7,FALSE)</f>
        <v>Unmarried</v>
      </c>
      <c r="F332" s="150" t="str">
        <f>VLOOKUP($A332,'All Girls &amp; Descendants - Edit'!$AC$2:$AJ$438,8,FALSE)</f>
        <v>Male. b. 10/09/1992 Baptised at St Luke’s, Sydney Street, London SW3.</v>
      </c>
    </row>
    <row r="333" spans="1:6" s="5" customFormat="1">
      <c r="A333" s="149">
        <f t="shared" si="5"/>
        <v>3040</v>
      </c>
      <c r="B333" s="150" t="str">
        <f>VLOOKUP($A333,'All Girls &amp; Descendants - Edit'!$AC$2:$AJ$438,2,FALSE)</f>
        <v>88acb</v>
      </c>
      <c r="C333" s="150" t="str">
        <f>VLOOKUP($A333,'All Girls &amp; Descendants - Edit'!$AC$2:$AJ$438,3,FALSE)</f>
        <v>Timothy Charles  STIRRUP (1994 - )</v>
      </c>
      <c r="D333" s="150" t="str">
        <f>VLOOKUP($A333,'All Girls &amp; Descendants - Edit'!$AC$2:$AJ$438,4,FALSE)</f>
        <v>Timothy STIRRUP (8th &amp; 88)</v>
      </c>
      <c r="E333" s="150" t="str">
        <f>VLOOKUP($A333,'All Girls &amp; Descendants - Edit'!$AC$2:$AJ$438,7,FALSE)</f>
        <v>Unmarried</v>
      </c>
      <c r="F333" s="150" t="str">
        <f>VLOOKUP($A333,'All Girls &amp; Descendants - Edit'!$AC$2:$AJ$438,8,FALSE)</f>
        <v>Male. b. 06/06/1994 Baptised at St Luke’s, Sydney Street, London SW3.</v>
      </c>
    </row>
    <row r="334" spans="1:6" s="5" customFormat="1">
      <c r="A334" s="149">
        <f t="shared" si="5"/>
        <v>3041</v>
      </c>
      <c r="B334" s="150" t="str">
        <f>VLOOKUP($A334,'All Girls &amp; Descendants - Edit'!$AC$2:$AJ$438,2,FALSE)</f>
        <v>88acc</v>
      </c>
      <c r="C334" s="150" t="str">
        <f>VLOOKUP($A334,'All Girls &amp; Descendants - Edit'!$AC$2:$AJ$438,3,FALSE)</f>
        <v>Isabelle Diana  STIRRUP (1997 - )</v>
      </c>
      <c r="D334" s="150" t="str">
        <f>VLOOKUP($A334,'All Girls &amp; Descendants - Edit'!$AC$2:$AJ$438,4,FALSE)</f>
        <v>Isabelle STIRRUP (8th &amp; 88)</v>
      </c>
      <c r="E334" s="150" t="str">
        <f>VLOOKUP($A334,'All Girls &amp; Descendants - Edit'!$AC$2:$AJ$438,7,FALSE)</f>
        <v>Unmarried</v>
      </c>
      <c r="F334" s="150" t="str">
        <f>VLOOKUP($A334,'All Girls &amp; Descendants - Edit'!$AC$2:$AJ$438,8,FALSE)</f>
        <v>Female. b. 14/04/1997 Baptised at St Luke’s, Sydney Street, London SW3.</v>
      </c>
    </row>
    <row r="335" spans="1:6" s="5" customFormat="1">
      <c r="A335" s="149">
        <f t="shared" si="5"/>
        <v>3042</v>
      </c>
      <c r="B335" s="150" t="str">
        <f>VLOOKUP($A335,'All Girls &amp; Descendants - Edit'!$AC$2:$AJ$438,2,FALSE)</f>
        <v>88ada</v>
      </c>
      <c r="C335" s="150" t="str">
        <f>VLOOKUP($A335,'All Girls &amp; Descendants - Edit'!$AC$2:$AJ$438,3,FALSE)</f>
        <v>Sophie Charlotte  COLE (1992 - )</v>
      </c>
      <c r="D335" s="150" t="str">
        <f>VLOOKUP($A335,'All Girls &amp; Descendants - Edit'!$AC$2:$AJ$438,4,FALSE)</f>
        <v>Sophie COLE (8th &amp; 88)</v>
      </c>
      <c r="E335" s="150" t="str">
        <f>VLOOKUP($A335,'All Girls &amp; Descendants - Edit'!$AC$2:$AJ$438,7,FALSE)</f>
        <v>Unmarried</v>
      </c>
      <c r="F335" s="150" t="str">
        <f>VLOOKUP($A335,'All Girls &amp; Descendants - Edit'!$AC$2:$AJ$438,8,FALSE)</f>
        <v>Male. b. 04/08/1992 Baptised May 1993 in Edinburgh.</v>
      </c>
    </row>
    <row r="336" spans="1:6" s="5" customFormat="1">
      <c r="A336" s="149">
        <f t="shared" si="5"/>
        <v>3043</v>
      </c>
      <c r="B336" s="150" t="str">
        <f>VLOOKUP($A336,'All Girls &amp; Descendants - Edit'!$AC$2:$AJ$438,2,FALSE)</f>
        <v>88adb</v>
      </c>
      <c r="C336" s="150" t="str">
        <f>VLOOKUP($A336,'All Girls &amp; Descendants - Edit'!$AC$2:$AJ$438,3,FALSE)</f>
        <v>Patrick James  COLE (1994 - )</v>
      </c>
      <c r="D336" s="150" t="str">
        <f>VLOOKUP($A336,'All Girls &amp; Descendants - Edit'!$AC$2:$AJ$438,4,FALSE)</f>
        <v>Patrick COLE (8th &amp; 88)</v>
      </c>
      <c r="E336" s="150" t="str">
        <f>VLOOKUP($A336,'All Girls &amp; Descendants - Edit'!$AC$2:$AJ$438,7,FALSE)</f>
        <v>Unmarried</v>
      </c>
      <c r="F336" s="150" t="str">
        <f>VLOOKUP($A336,'All Girls &amp; Descendants - Edit'!$AC$2:$AJ$438,8,FALSE)</f>
        <v>Female. b. 15/03/1994 Baptised Jan 1995 in Edinburgh.</v>
      </c>
    </row>
    <row r="337" spans="1:6" s="5" customFormat="1">
      <c r="A337" s="149">
        <f t="shared" si="5"/>
        <v>3044</v>
      </c>
      <c r="B337" s="150" t="str">
        <f>VLOOKUP($A337,'All Girls &amp; Descendants - Edit'!$AC$2:$AJ$438,2,FALSE)</f>
        <v>92aaa</v>
      </c>
      <c r="C337" s="150" t="str">
        <f>VLOOKUP($A337,'All Girls &amp; Descendants - Edit'!$AC$2:$AJ$438,3,FALSE)</f>
        <v>Jake Michael  TATTON-BROWN (2016 - )</v>
      </c>
      <c r="D337" s="150" t="str">
        <f>VLOOKUP($A337,'All Girls &amp; Descendants - Edit'!$AC$2:$AJ$438,4,FALSE)</f>
        <v>Jake TATTON-BROWN (8th &amp; 92)</v>
      </c>
      <c r="E337" s="150" t="str">
        <f>VLOOKUP($A337,'All Girls &amp; Descendants - Edit'!$AC$2:$AJ$438,7,FALSE)</f>
        <v>Unmarried</v>
      </c>
      <c r="F337" s="150" t="str">
        <f>VLOOKUP($A337,'All Girls &amp; Descendants - Edit'!$AC$2:$AJ$438,8,FALSE)</f>
        <v>Male. b. 02/07/2016</v>
      </c>
    </row>
    <row r="338" spans="1:6" s="5" customFormat="1">
      <c r="A338" s="149">
        <f t="shared" si="5"/>
        <v>3045</v>
      </c>
      <c r="B338" s="150" t="str">
        <f>VLOOKUP($A338,'All Girls &amp; Descendants - Edit'!$AC$2:$AJ$438,2,FALSE)</f>
        <v>92aab</v>
      </c>
      <c r="C338" s="150" t="str">
        <f>VLOOKUP($A338,'All Girls &amp; Descendants - Edit'!$AC$2:$AJ$438,3,FALSE)</f>
        <v>Zachery Finn  TATTON-BROWN (2016 - )</v>
      </c>
      <c r="D338" s="150" t="str">
        <f>VLOOKUP($A338,'All Girls &amp; Descendants - Edit'!$AC$2:$AJ$438,4,FALSE)</f>
        <v>Zachery TATTON-BROWN (8th &amp; 92)</v>
      </c>
      <c r="E338" s="150" t="str">
        <f>VLOOKUP($A338,'All Girls &amp; Descendants - Edit'!$AC$2:$AJ$438,7,FALSE)</f>
        <v>Unmarried</v>
      </c>
      <c r="F338" s="150" t="str">
        <f>VLOOKUP($A338,'All Girls &amp; Descendants - Edit'!$AC$2:$AJ$438,8,FALSE)</f>
        <v>Male. b. 08/07/2016</v>
      </c>
    </row>
    <row r="339" spans="1:6" s="5" customFormat="1">
      <c r="A339" s="149">
        <f t="shared" ref="A339:A373" si="6">A338+1</f>
        <v>3046</v>
      </c>
      <c r="B339" s="150" t="str">
        <f>VLOOKUP($A339,'All Girls &amp; Descendants - Edit'!$AC$2:$AJ$438,2,FALSE)</f>
        <v>92aca</v>
      </c>
      <c r="C339" s="150" t="str">
        <f>VLOOKUP($A339,'All Girls &amp; Descendants - Edit'!$AC$2:$AJ$438,3,FALSE)</f>
        <v>Maia Veronica Kaur BATTEY (2014 - )</v>
      </c>
      <c r="D339" s="150" t="str">
        <f>VLOOKUP($A339,'All Girls &amp; Descendants - Edit'!$AC$2:$AJ$438,4,FALSE)</f>
        <v>Maia BATTEY (8th &amp; 92)</v>
      </c>
      <c r="E339" s="150" t="str">
        <f>VLOOKUP($A339,'All Girls &amp; Descendants - Edit'!$AC$2:$AJ$438,7,FALSE)</f>
        <v>Unmarried</v>
      </c>
      <c r="F339" s="150" t="str">
        <f>VLOOKUP($A339,'All Girls &amp; Descendants - Edit'!$AC$2:$AJ$438,8,FALSE)</f>
        <v>Female. b. 10/12/2014</v>
      </c>
    </row>
    <row r="340" spans="1:6" s="5" customFormat="1">
      <c r="A340" s="149">
        <f t="shared" si="6"/>
        <v>3047</v>
      </c>
      <c r="B340" s="150" t="str">
        <f>VLOOKUP($A340,'All Girls &amp; Descendants - Edit'!$AC$2:$AJ$438,2,FALSE)</f>
        <v>92acb</v>
      </c>
      <c r="C340" s="150" t="str">
        <f>VLOOKUP($A340,'All Girls &amp; Descendants - Edit'!$AC$2:$AJ$438,3,FALSE)</f>
        <v>Cara Ann Rose BATTEY (2017 - )</v>
      </c>
      <c r="D340" s="150" t="str">
        <f>VLOOKUP($A340,'All Girls &amp; Descendants - Edit'!$AC$2:$AJ$438,4,FALSE)</f>
        <v>Cara BATTEY (8th &amp; 92)</v>
      </c>
      <c r="E340" s="150" t="str">
        <f>VLOOKUP($A340,'All Girls &amp; Descendants - Edit'!$AC$2:$AJ$438,7,FALSE)</f>
        <v>Unmarried</v>
      </c>
      <c r="F340" s="150" t="str">
        <f>VLOOKUP($A340,'All Girls &amp; Descendants - Edit'!$AC$2:$AJ$438,8,FALSE)</f>
        <v>Female. b. 21/02/2017</v>
      </c>
    </row>
    <row r="341" spans="1:6" s="5" customFormat="1">
      <c r="A341" s="149">
        <f t="shared" si="6"/>
        <v>3048</v>
      </c>
      <c r="B341" s="150" t="str">
        <f>VLOOKUP($A341,'All Girls &amp; Descendants - Edit'!$AC$2:$AJ$438,2,FALSE)</f>
        <v>92baa</v>
      </c>
      <c r="C341" s="150" t="str">
        <f>VLOOKUP($A341,'All Girls &amp; Descendants - Edit'!$AC$2:$AJ$438,3,FALSE)</f>
        <v>Octavia Kenya  ANDERSEN (1999 - )</v>
      </c>
      <c r="D341" s="150" t="str">
        <f>VLOOKUP($A341,'All Girls &amp; Descendants - Edit'!$AC$2:$AJ$438,4,FALSE)</f>
        <v>Octavia ANDERSEN (8th &amp; 92)</v>
      </c>
      <c r="E341" s="150" t="str">
        <f>VLOOKUP($A341,'All Girls &amp; Descendants - Edit'!$AC$2:$AJ$438,7,FALSE)</f>
        <v>Unmarried</v>
      </c>
      <c r="F341" s="150" t="str">
        <f>VLOOKUP($A341,'All Girls &amp; Descendants - Edit'!$AC$2:$AJ$438,8,FALSE)</f>
        <v>Female. b. 11/03/1999</v>
      </c>
    </row>
    <row r="342" spans="1:6" s="5" customFormat="1">
      <c r="A342" s="149">
        <f t="shared" si="6"/>
        <v>3049</v>
      </c>
      <c r="B342" s="150" t="str">
        <f>VLOOKUP($A342,'All Girls &amp; Descendants - Edit'!$AC$2:$AJ$438,2,FALSE)</f>
        <v>92bab</v>
      </c>
      <c r="C342" s="150" t="str">
        <f>VLOOKUP($A342,'All Girls &amp; Descendants - Edit'!$AC$2:$AJ$438,3,FALSE)</f>
        <v>Augustus Eden  ANDERSEN (2003 - )</v>
      </c>
      <c r="D342" s="150" t="str">
        <f>VLOOKUP($A342,'All Girls &amp; Descendants - Edit'!$AC$2:$AJ$438,4,FALSE)</f>
        <v>Augustus ANDERSEN (8th &amp; 92)</v>
      </c>
      <c r="E342" s="150" t="str">
        <f>VLOOKUP($A342,'All Girls &amp; Descendants - Edit'!$AC$2:$AJ$438,7,FALSE)</f>
        <v>Unmarried</v>
      </c>
      <c r="F342" s="150" t="str">
        <f>VLOOKUP($A342,'All Girls &amp; Descendants - Edit'!$AC$2:$AJ$438,8,FALSE)</f>
        <v>Male. b. 22/06/2003</v>
      </c>
    </row>
    <row r="343" spans="1:6" s="5" customFormat="1">
      <c r="A343" s="149">
        <f t="shared" si="6"/>
        <v>3050</v>
      </c>
      <c r="B343" s="150" t="str">
        <f>VLOOKUP($A343,'All Girls &amp; Descendants - Edit'!$AC$2:$AJ$438,2,FALSE)</f>
        <v>92bba</v>
      </c>
      <c r="C343" s="150" t="str">
        <f>VLOOKUP($A343,'All Girls &amp; Descendants - Edit'!$AC$2:$AJ$438,3,FALSE)</f>
        <v>Felix Edgar Oliver TATTON-BROWN (2004 - )</v>
      </c>
      <c r="D343" s="150" t="str">
        <f>VLOOKUP($A343,'All Girls &amp; Descendants - Edit'!$AC$2:$AJ$438,4,FALSE)</f>
        <v>Felix TATTON-BROWN (8th &amp; 92)</v>
      </c>
      <c r="E343" s="150" t="str">
        <f>VLOOKUP($A343,'All Girls &amp; Descendants - Edit'!$AC$2:$AJ$438,7,FALSE)</f>
        <v>Unmarried</v>
      </c>
      <c r="F343" s="150" t="str">
        <f>VLOOKUP($A343,'All Girls &amp; Descendants - Edit'!$AC$2:$AJ$438,8,FALSE)</f>
        <v>Male. b. 07/10/2004</v>
      </c>
    </row>
    <row r="344" spans="1:6" s="5" customFormat="1">
      <c r="A344" s="149">
        <f t="shared" si="6"/>
        <v>3051</v>
      </c>
      <c r="B344" s="150" t="str">
        <f>VLOOKUP($A344,'All Girls &amp; Descendants - Edit'!$AC$2:$AJ$438,2,FALSE)</f>
        <v>92bbb</v>
      </c>
      <c r="C344" s="150" t="str">
        <f>VLOOKUP($A344,'All Girls &amp; Descendants - Edit'!$AC$2:$AJ$438,3,FALSE)</f>
        <v>Marius Cesar Fabien TATTON-BROWN (2004 - )</v>
      </c>
      <c r="D344" s="150" t="str">
        <f>VLOOKUP($A344,'All Girls &amp; Descendants - Edit'!$AC$2:$AJ$438,4,FALSE)</f>
        <v>Marius TATTON-BROWN (8th &amp; 92)</v>
      </c>
      <c r="E344" s="150" t="str">
        <f>VLOOKUP($A344,'All Girls &amp; Descendants - Edit'!$AC$2:$AJ$438,7,FALSE)</f>
        <v>Unmarried</v>
      </c>
      <c r="F344" s="150" t="str">
        <f>VLOOKUP($A344,'All Girls &amp; Descendants - Edit'!$AC$2:$AJ$438,8,FALSE)</f>
        <v>Male. b. 07/10/2004</v>
      </c>
    </row>
    <row r="345" spans="1:6" s="5" customFormat="1">
      <c r="A345" s="149">
        <f t="shared" si="6"/>
        <v>3052</v>
      </c>
      <c r="B345" s="150" t="str">
        <f>VLOOKUP($A345,'All Girls &amp; Descendants - Edit'!$AC$2:$AJ$438,2,FALSE)</f>
        <v>92bbc</v>
      </c>
      <c r="C345" s="150" t="str">
        <f>VLOOKUP($A345,'All Girls &amp; Descendants - Edit'!$AC$2:$AJ$438,3,FALSE)</f>
        <v>Poppy May  TATTON-BROWN (2008 - )</v>
      </c>
      <c r="D345" s="150" t="str">
        <f>VLOOKUP($A345,'All Girls &amp; Descendants - Edit'!$AC$2:$AJ$438,4,FALSE)</f>
        <v>Poppy TATTON-BROWN (8th &amp; 92)</v>
      </c>
      <c r="E345" s="150" t="str">
        <f>VLOOKUP($A345,'All Girls &amp; Descendants - Edit'!$AC$2:$AJ$438,7,FALSE)</f>
        <v>Unmarried</v>
      </c>
      <c r="F345" s="150" t="str">
        <f>VLOOKUP($A345,'All Girls &amp; Descendants - Edit'!$AC$2:$AJ$438,8,FALSE)</f>
        <v>Female. b. 12/09/2008</v>
      </c>
    </row>
    <row r="346" spans="1:6" s="5" customFormat="1">
      <c r="A346" s="149">
        <f t="shared" si="6"/>
        <v>3053</v>
      </c>
      <c r="B346" s="150" t="str">
        <f>VLOOKUP($A346,'All Girls &amp; Descendants - Edit'!$AC$2:$AJ$438,2,FALSE)</f>
        <v>92bca</v>
      </c>
      <c r="C346" s="150" t="str">
        <f>VLOOKUP($A346,'All Girls &amp; Descendants - Edit'!$AC$2:$AJ$438,3,FALSE)</f>
        <v>Rose Henrietta  BOURNE (2014 - )</v>
      </c>
      <c r="D346" s="150" t="str">
        <f>VLOOKUP($A346,'All Girls &amp; Descendants - Edit'!$AC$2:$AJ$438,4,FALSE)</f>
        <v>Rose BOURNE (8th &amp; 92)</v>
      </c>
      <c r="E346" s="150" t="str">
        <f>VLOOKUP($A346,'All Girls &amp; Descendants - Edit'!$AC$2:$AJ$438,7,FALSE)</f>
        <v>Unmarried</v>
      </c>
      <c r="F346" s="150" t="str">
        <f>VLOOKUP($A346,'All Girls &amp; Descendants - Edit'!$AC$2:$AJ$438,8,FALSE)</f>
        <v>Female. b. 18/04/2014</v>
      </c>
    </row>
    <row r="347" spans="1:6" s="5" customFormat="1">
      <c r="A347" s="149">
        <f t="shared" si="6"/>
        <v>3054</v>
      </c>
      <c r="B347" s="150" t="str">
        <f>VLOOKUP($A347,'All Girls &amp; Descendants - Edit'!$AC$2:$AJ$438,2,FALSE)</f>
        <v>92bcb</v>
      </c>
      <c r="C347" s="150" t="str">
        <f>VLOOKUP($A347,'All Girls &amp; Descendants - Edit'!$AC$2:$AJ$438,3,FALSE)</f>
        <v>Basil Louis  BOURNE (2016 - )</v>
      </c>
      <c r="D347" s="150" t="str">
        <f>VLOOKUP($A347,'All Girls &amp; Descendants - Edit'!$AC$2:$AJ$438,4,FALSE)</f>
        <v>Basil BOURNE (8th &amp; 92)</v>
      </c>
      <c r="E347" s="150" t="str">
        <f>VLOOKUP($A347,'All Girls &amp; Descendants - Edit'!$AC$2:$AJ$438,7,FALSE)</f>
        <v>Unmarried</v>
      </c>
      <c r="F347" s="150" t="str">
        <f>VLOOKUP($A347,'All Girls &amp; Descendants - Edit'!$AC$2:$AJ$438,8,FALSE)</f>
        <v>Male. b. 30/01/2016</v>
      </c>
    </row>
    <row r="348" spans="1:6" s="5" customFormat="1">
      <c r="A348" s="149">
        <f t="shared" si="6"/>
        <v>3055</v>
      </c>
      <c r="B348" s="150" t="str">
        <f>VLOOKUP($A348,'All Girls &amp; Descendants - Edit'!$AC$2:$AJ$438,2,FALSE)</f>
        <v>92bcc</v>
      </c>
      <c r="C348" s="150" t="str">
        <f>VLOOKUP($A348,'All Girls &amp; Descendants - Edit'!$AC$2:$AJ$438,3,FALSE)</f>
        <v>Montague Alfred  BOURNE (2020 - )</v>
      </c>
      <c r="D348" s="150" t="str">
        <f>VLOOKUP($A348,'All Girls &amp; Descendants - Edit'!$AC$2:$AJ$438,4,FALSE)</f>
        <v>Montague BOURNE (8th &amp; 92)</v>
      </c>
      <c r="E348" s="150" t="str">
        <f>VLOOKUP($A348,'All Girls &amp; Descendants - Edit'!$AC$2:$AJ$438,7,FALSE)</f>
        <v>Unmarried</v>
      </c>
      <c r="F348" s="150" t="str">
        <f>VLOOKUP($A348,'All Girls &amp; Descendants - Edit'!$AC$2:$AJ$438,8,FALSE)</f>
        <v>Male. b. 23/11/2020</v>
      </c>
    </row>
    <row r="349" spans="1:6" s="5" customFormat="1">
      <c r="A349" s="149">
        <f t="shared" si="6"/>
        <v>3056</v>
      </c>
      <c r="B349" s="150" t="str">
        <f>VLOOKUP($A349,'All Girls &amp; Descendants - Edit'!$AC$2:$AJ$438,2,FALSE)</f>
        <v>92bda</v>
      </c>
      <c r="C349" s="150" t="str">
        <f>VLOOKUP($A349,'All Girls &amp; Descendants - Edit'!$AC$2:$AJ$438,3,FALSE)</f>
        <v>Alice Clementine Mary TATTON-BROWN (2013 - )</v>
      </c>
      <c r="D349" s="150" t="str">
        <f>VLOOKUP($A349,'All Girls &amp; Descendants - Edit'!$AC$2:$AJ$438,4,FALSE)</f>
        <v>Alice TATTON-BROWN (8th &amp; 92)</v>
      </c>
      <c r="E349" s="150" t="str">
        <f>VLOOKUP($A349,'All Girls &amp; Descendants - Edit'!$AC$2:$AJ$438,7,FALSE)</f>
        <v>Unmarried</v>
      </c>
      <c r="F349" s="150" t="str">
        <f>VLOOKUP($A349,'All Girls &amp; Descendants - Edit'!$AC$2:$AJ$438,8,FALSE)</f>
        <v>Female. b. 20/10/2013</v>
      </c>
    </row>
    <row r="350" spans="1:6" s="5" customFormat="1">
      <c r="A350" s="149">
        <f t="shared" si="6"/>
        <v>3057</v>
      </c>
      <c r="B350" s="150" t="str">
        <f>VLOOKUP($A350,'All Girls &amp; Descendants - Edit'!$AC$2:$AJ$438,2,FALSE)</f>
        <v>92bdb</v>
      </c>
      <c r="C350" s="150" t="str">
        <f>VLOOKUP($A350,'All Girls &amp; Descendants - Edit'!$AC$2:$AJ$438,3,FALSE)</f>
        <v>Théodore Eden Louis TATTON-BROWN (2018 - )</v>
      </c>
      <c r="D350" s="150" t="str">
        <f>VLOOKUP($A350,'All Girls &amp; Descendants - Edit'!$AC$2:$AJ$438,4,FALSE)</f>
        <v>Théodore TATTON-BROWN (8th &amp; 92)</v>
      </c>
      <c r="E350" s="150" t="str">
        <f>VLOOKUP($A350,'All Girls &amp; Descendants - Edit'!$AC$2:$AJ$438,7,FALSE)</f>
        <v>Unmarried</v>
      </c>
      <c r="F350" s="150" t="str">
        <f>VLOOKUP($A350,'All Girls &amp; Descendants - Edit'!$AC$2:$AJ$438,8,FALSE)</f>
        <v>Male. b. 09/06/2018</v>
      </c>
    </row>
    <row r="351" spans="1:6" s="5" customFormat="1" ht="28" customHeight="1">
      <c r="A351" s="149">
        <f t="shared" si="6"/>
        <v>3058</v>
      </c>
      <c r="B351" s="150" t="str">
        <f>VLOOKUP($A351,'All Girls &amp; Descendants - Edit'!$AC$2:$AJ$438,2,FALSE)</f>
        <v>92bdc</v>
      </c>
      <c r="C351" s="150" t="str">
        <f>VLOOKUP($A351,'All Girls &amp; Descendants - Edit'!$AC$2:$AJ$438,3,FALSE)</f>
        <v>Oscar Arthur Alexandre TATTON-BROWN (2021 - )</v>
      </c>
      <c r="D351" s="150" t="str">
        <f>VLOOKUP($A351,'All Girls &amp; Descendants - Edit'!$AC$2:$AJ$438,4,FALSE)</f>
        <v>Oscar TATTON-BROWN (8th &amp; 92)</v>
      </c>
      <c r="E351" s="150" t="str">
        <f>VLOOKUP($A351,'All Girls &amp; Descendants - Edit'!$AC$2:$AJ$438,7,FALSE)</f>
        <v>Unmarried</v>
      </c>
      <c r="F351" s="150" t="str">
        <f>VLOOKUP($A351,'All Girls &amp; Descendants - Edit'!$AC$2:$AJ$438,8,FALSE)</f>
        <v>Male. b. 12/02/2021</v>
      </c>
    </row>
    <row r="352" spans="1:6" s="5" customFormat="1" ht="56" customHeight="1">
      <c r="A352" s="149">
        <f t="shared" si="6"/>
        <v>3059</v>
      </c>
      <c r="B352" s="150" t="str">
        <f>VLOOKUP($A352,'All Girls &amp; Descendants - Edit'!$AC$2:$AJ$438,2,FALSE)</f>
        <v>95baa</v>
      </c>
      <c r="C352" s="150" t="str">
        <f>VLOOKUP($A352,'All Girls &amp; Descendants - Edit'!$AC$2:$AJ$438,3,FALSE)</f>
        <v>Ella Victoria  VESTEY (2015 - )</v>
      </c>
      <c r="D352" s="150" t="str">
        <f>VLOOKUP($A352,'All Girls &amp; Descendants - Edit'!$AC$2:$AJ$438,4,FALSE)</f>
        <v>Ella VESTEY (8th &amp; 95)</v>
      </c>
      <c r="E352" s="150" t="str">
        <f>VLOOKUP($A352,'All Girls &amp; Descendants - Edit'!$AC$2:$AJ$438,7,FALSE)</f>
        <v>Unmarried</v>
      </c>
      <c r="F352" s="150" t="str">
        <f>VLOOKUP($A352,'All Girls &amp; Descendants - Edit'!$AC$2:$AJ$438,8,FALSE)</f>
        <v>Female. b. 13/07/2015</v>
      </c>
    </row>
    <row r="353" spans="1:6" s="5" customFormat="1">
      <c r="A353" s="149">
        <f t="shared" si="6"/>
        <v>3060</v>
      </c>
      <c r="B353" s="150" t="str">
        <f>VLOOKUP($A353,'All Girls &amp; Descendants - Edit'!$AC$2:$AJ$438,2,FALSE)</f>
        <v>95bab</v>
      </c>
      <c r="C353" s="150" t="str">
        <f>VLOOKUP($A353,'All Girls &amp; Descendants - Edit'!$AC$2:$AJ$438,3,FALSE)</f>
        <v>Samuel Oscar Mark VESTEY (2018 - )</v>
      </c>
      <c r="D353" s="150" t="str">
        <f>VLOOKUP($A353,'All Girls &amp; Descendants - Edit'!$AC$2:$AJ$438,4,FALSE)</f>
        <v>Samuel VESTEY (8th &amp; 95)</v>
      </c>
      <c r="E353" s="150" t="str">
        <f>VLOOKUP($A353,'All Girls &amp; Descendants - Edit'!$AC$2:$AJ$438,7,FALSE)</f>
        <v>Unmarried</v>
      </c>
      <c r="F353" s="150" t="str">
        <f>VLOOKUP($A353,'All Girls &amp; Descendants - Edit'!$AC$2:$AJ$438,8,FALSE)</f>
        <v>Male. b. 07/11/2018</v>
      </c>
    </row>
    <row r="354" spans="1:6" s="5" customFormat="1">
      <c r="A354" s="149">
        <f t="shared" si="6"/>
        <v>3061</v>
      </c>
      <c r="B354" s="150" t="str">
        <f>VLOOKUP($A354,'All Girls &amp; Descendants - Edit'!$AC$2:$AJ$438,2,FALSE)</f>
        <v>95bba</v>
      </c>
      <c r="C354" s="150" t="str">
        <f>VLOOKUP($A354,'All Girls &amp; Descendants - Edit'!$AC$2:$AJ$438,3,FALSE)</f>
        <v>Frank William  VESTEY (2016 - )</v>
      </c>
      <c r="D354" s="150" t="str">
        <f>VLOOKUP($A354,'All Girls &amp; Descendants - Edit'!$AC$2:$AJ$438,4,FALSE)</f>
        <v>Frank VESTEY (8th &amp; 95)</v>
      </c>
      <c r="E354" s="150" t="str">
        <f>VLOOKUP($A354,'All Girls &amp; Descendants - Edit'!$AC$2:$AJ$438,7,FALSE)</f>
        <v>Unmarried</v>
      </c>
      <c r="F354" s="150" t="str">
        <f>VLOOKUP($A354,'All Girls &amp; Descendants - Edit'!$AC$2:$AJ$438,8,FALSE)</f>
        <v>Male. b. 25/07/2016</v>
      </c>
    </row>
    <row r="355" spans="1:6" s="5" customFormat="1">
      <c r="A355" s="149">
        <f t="shared" si="6"/>
        <v>3062</v>
      </c>
      <c r="B355" s="150" t="str">
        <f>VLOOKUP($A355,'All Girls &amp; Descendants - Edit'!$AC$2:$AJ$438,2,FALSE)</f>
        <v>95bbb</v>
      </c>
      <c r="C355" s="150" t="str">
        <f>VLOOKUP($A355,'All Girls &amp; Descendants - Edit'!$AC$2:$AJ$438,3,FALSE)</f>
        <v>Cosima  Dora  VESTEY (2018 - )</v>
      </c>
      <c r="D355" s="150" t="str">
        <f>VLOOKUP($A355,'All Girls &amp; Descendants - Edit'!$AC$2:$AJ$438,4,FALSE)</f>
        <v>Cosima  VESTEY (8th &amp; 95)</v>
      </c>
      <c r="E355" s="150" t="str">
        <f>VLOOKUP($A355,'All Girls &amp; Descendants - Edit'!$AC$2:$AJ$438,7,FALSE)</f>
        <v>Unmarried</v>
      </c>
      <c r="F355" s="150" t="str">
        <f>VLOOKUP($A355,'All Girls &amp; Descendants - Edit'!$AC$2:$AJ$438,8,FALSE)</f>
        <v>Female. b. 30/11/2018</v>
      </c>
    </row>
    <row r="356" spans="1:6" s="5" customFormat="1">
      <c r="A356" s="149">
        <f t="shared" si="6"/>
        <v>3063</v>
      </c>
      <c r="B356" s="150" t="str">
        <f>VLOOKUP($A356,'All Girls &amp; Descendants - Edit'!$AC$2:$AJ$438,2,FALSE)</f>
        <v>95bbc</v>
      </c>
      <c r="C356" s="150" t="str">
        <f>VLOOKUP($A356,'All Girls &amp; Descendants - Edit'!$AC$2:$AJ$438,3,FALSE)</f>
        <v>Daisy Celia  VESTEY (2021 - )</v>
      </c>
      <c r="D356" s="150" t="str">
        <f>VLOOKUP($A356,'All Girls &amp; Descendants - Edit'!$AC$2:$AJ$438,4,FALSE)</f>
        <v>Daisy VESTEY (8th &amp; 95)</v>
      </c>
      <c r="E356" s="150" t="str">
        <f>VLOOKUP($A356,'All Girls &amp; Descendants - Edit'!$AC$2:$AJ$438,7,FALSE)</f>
        <v>Unmarried</v>
      </c>
      <c r="F356" s="150" t="str">
        <f>VLOOKUP($A356,'All Girls &amp; Descendants - Edit'!$AC$2:$AJ$438,8,FALSE)</f>
        <v>Male. b. 12/01/2021</v>
      </c>
    </row>
    <row r="357" spans="1:6" s="5" customFormat="1">
      <c r="A357" s="149">
        <f t="shared" si="6"/>
        <v>3064</v>
      </c>
      <c r="B357" s="150" t="str">
        <f>VLOOKUP($A357,'All Girls &amp; Descendants - Edit'!$AC$2:$AJ$438,2,FALSE)</f>
        <v>95bca</v>
      </c>
      <c r="C357" s="150" t="str">
        <f>VLOOKUP($A357,'All Girls &amp; Descendants - Edit'!$AC$2:$AJ$438,3,FALSE)</f>
        <v>Lyra Celia  VESTEY (2021 - )</v>
      </c>
      <c r="D357" s="150" t="str">
        <f>VLOOKUP($A357,'All Girls &amp; Descendants - Edit'!$AC$2:$AJ$438,4,FALSE)</f>
        <v>Lyra VESTEY (8th &amp; 95)</v>
      </c>
      <c r="E357" s="150" t="str">
        <f>VLOOKUP($A357,'All Girls &amp; Descendants - Edit'!$AC$2:$AJ$438,7,FALSE)</f>
        <v>Unmarried</v>
      </c>
      <c r="F357" s="150" t="str">
        <f>VLOOKUP($A357,'All Girls &amp; Descendants - Edit'!$AC$2:$AJ$438,8,FALSE)</f>
        <v>Female. b. 18/11/2021</v>
      </c>
    </row>
    <row r="358" spans="1:6" s="5" customFormat="1">
      <c r="A358" s="149">
        <f t="shared" si="6"/>
        <v>3065</v>
      </c>
      <c r="B358" s="150" t="str">
        <f>VLOOKUP($A358,'All Girls &amp; Descendants - Edit'!$AC$2:$AJ$438,2,FALSE)</f>
        <v>106aaa</v>
      </c>
      <c r="C358" s="150" t="str">
        <f>VLOOKUP($A358,'All Girls &amp; Descendants - Edit'!$AC$2:$AJ$438,3,FALSE)</f>
        <v>Frederick John Wilfred HOLLAND (2019 - )</v>
      </c>
      <c r="D358" s="150" t="str">
        <f>VLOOKUP($A358,'All Girls &amp; Descendants - Edit'!$AC$2:$AJ$438,4,FALSE)</f>
        <v>Frederick HOLLAND (8th &amp; 106)</v>
      </c>
      <c r="E358" s="150" t="str">
        <f>VLOOKUP($A358,'All Girls &amp; Descendants - Edit'!$AC$2:$AJ$438,7,FALSE)</f>
        <v>Unmarried</v>
      </c>
      <c r="F358" s="150" t="str">
        <f>VLOOKUP($A358,'All Girls &amp; Descendants - Edit'!$AC$2:$AJ$438,8,FALSE)</f>
        <v>Male. b. 04/08/2019</v>
      </c>
    </row>
    <row r="359" spans="1:6" s="5" customFormat="1">
      <c r="A359" s="149">
        <f t="shared" si="6"/>
        <v>3066</v>
      </c>
      <c r="B359" s="150" t="str">
        <f>VLOOKUP($A359,'All Girls &amp; Descendants - Edit'!$AC$2:$AJ$438,2,FALSE)</f>
        <v>106aab</v>
      </c>
      <c r="C359" s="150" t="str">
        <f>VLOOKUP($A359,'All Girls &amp; Descendants - Edit'!$AC$2:$AJ$438,3,FALSE)</f>
        <v>Zander Edward William HOLLAND (2022 - 2022)</v>
      </c>
      <c r="D359" s="150" t="str">
        <f>VLOOKUP($A359,'All Girls &amp; Descendants - Edit'!$AC$2:$AJ$438,4,FALSE)</f>
        <v>Zander HOLLAND (8th &amp; 106)</v>
      </c>
      <c r="E359" s="150" t="str">
        <f>VLOOKUP($A359,'All Girls &amp; Descendants - Edit'!$AC$2:$AJ$438,7,FALSE)</f>
        <v>Stillborn</v>
      </c>
      <c r="F359" s="150" t="str">
        <f>VLOOKUP($A359,'All Girls &amp; Descendants - Edit'!$AC$2:$AJ$438,8,FALSE)</f>
        <v>Male. b. 15/05/2022, d. 15/05/2022.</v>
      </c>
    </row>
    <row r="360" spans="1:6" s="5" customFormat="1">
      <c r="A360" s="149">
        <f t="shared" si="6"/>
        <v>3067</v>
      </c>
      <c r="B360" s="150" t="str">
        <f>VLOOKUP($A360,'All Girls &amp; Descendants - Edit'!$AC$2:$AJ$438,2,FALSE)</f>
        <v>106aba</v>
      </c>
      <c r="C360" s="150" t="str">
        <f>VLOOKUP($A360,'All Girls &amp; Descendants - Edit'!$AC$2:$AJ$438,3,FALSE)</f>
        <v>Rupert Leo James TELFORD (2022 - )</v>
      </c>
      <c r="D360" s="150" t="str">
        <f>VLOOKUP($A360,'All Girls &amp; Descendants - Edit'!$AC$2:$AJ$438,4,FALSE)</f>
        <v>Rupert TELFORD (8th &amp; 106)</v>
      </c>
      <c r="E360" s="150" t="str">
        <f>VLOOKUP($A360,'All Girls &amp; Descendants - Edit'!$AC$2:$AJ$438,7,FALSE)</f>
        <v>Unmarried</v>
      </c>
      <c r="F360" s="150" t="str">
        <f>VLOOKUP($A360,'All Girls &amp; Descendants - Edit'!$AC$2:$AJ$438,8,FALSE)</f>
        <v>Male. b. 16/05/2022</v>
      </c>
    </row>
    <row r="361" spans="1:6" s="5" customFormat="1">
      <c r="A361" s="149">
        <f t="shared" si="6"/>
        <v>3068</v>
      </c>
      <c r="B361" s="150" t="str">
        <f>VLOOKUP($A361,'All Girls &amp; Descendants - Edit'!$AC$2:$AJ$438,2,FALSE)</f>
        <v>110aaa</v>
      </c>
      <c r="C361" s="150" t="str">
        <f>VLOOKUP($A361,'All Girls &amp; Descendants - Edit'!$AC$2:$AJ$438,3,FALSE)</f>
        <v>Rowan Emily  BOYCE (2021 - )</v>
      </c>
      <c r="D361" s="150" t="str">
        <f>VLOOKUP($A361,'All Girls &amp; Descendants - Edit'!$AC$2:$AJ$438,4,FALSE)</f>
        <v>Rowan BOYCE (8th &amp; 110)</v>
      </c>
      <c r="E361" s="150" t="str">
        <f>VLOOKUP($A361,'All Girls &amp; Descendants - Edit'!$AC$2:$AJ$438,7,FALSE)</f>
        <v>Unmarried</v>
      </c>
      <c r="F361" s="150" t="str">
        <f>VLOOKUP($A361,'All Girls &amp; Descendants - Edit'!$AC$2:$AJ$438,8,FALSE)</f>
        <v>Female. b. 20/03/2021</v>
      </c>
    </row>
    <row r="362" spans="1:6" s="5" customFormat="1" ht="45">
      <c r="A362" s="149">
        <v>4001</v>
      </c>
      <c r="B362" s="150" t="str">
        <f>VLOOKUP($A362,'All Girls &amp; Descendants - Edit'!$AC$2:$AJ$438,2,FALSE)</f>
        <v>2aaaa</v>
      </c>
      <c r="C362" s="150" t="str">
        <f>VLOOKUP($A362,'All Girls &amp; Descendants - Edit'!$AC$2:$AJ$438,3,FALSE)</f>
        <v>Margaret Elizabeth  DAVIES (1897 - 1982)</v>
      </c>
      <c r="D362" s="150" t="str">
        <f>VLOOKUP($A362,'All Girls &amp; Descendants - Edit'!$AC$2:$AJ$438,4,FALSE)</f>
        <v>Margaret DAVIES (5th &amp; 2)</v>
      </c>
      <c r="E362" s="150" t="str">
        <f>VLOOKUP($A362,'All Girls &amp; Descendants - Edit'!$AC$2:$AJ$438,7,FALSE)</f>
        <v>Unmarried</v>
      </c>
      <c r="F362" s="150" t="str">
        <f>VLOOKUP($A362,'All Girls &amp; Descendants - Edit'!$AC$2:$AJ$438,8,FALSE)</f>
        <v>Female. b. 05/09/1897, d. 12/12/1982. Margaret of Bryngwenlais Cottage, Cilycwm. Died 1982  at Llandovery Hospital buried in Cilycwm cemetery in her parents’ grave. Tombstone in Welsh.</v>
      </c>
    </row>
    <row r="363" spans="1:6" s="5" customFormat="1" ht="120">
      <c r="A363" s="149">
        <f t="shared" si="6"/>
        <v>4002</v>
      </c>
      <c r="B363" s="150" t="str">
        <f>VLOOKUP($A363,'All Girls &amp; Descendants - Edit'!$AC$2:$AJ$438,2,FALSE)</f>
        <v>2caba</v>
      </c>
      <c r="C363" s="150" t="str">
        <f>VLOOKUP($A363,'All Girls &amp; Descendants - Edit'!$AC$2:$AJ$438,3,FALSE)</f>
        <v>Canon William Loyd Musgrave PROTHEROE (1885 - 1962)</v>
      </c>
      <c r="D363" s="150" t="str">
        <f>VLOOKUP($A363,'All Girls &amp; Descendants - Edit'!$AC$2:$AJ$438,4,FALSE)</f>
        <v>Canon William PROTHEROE (5th &amp; 2)</v>
      </c>
      <c r="E363" s="150" t="str">
        <f>VLOOKUP($A363,'All Girls &amp; Descendants - Edit'!$AC$2:$AJ$438,7,FALSE)</f>
        <v>Wife: Ida Wozencroft MORGAN (b. 1894, d. 1976). m. 20 Jul 1920 at The Parish Church, Colwyn Bay, Ida Wozencroft , daughter of William Hugh Wozencroft MORGAN of The Woodlands, Colwyn Bay.</v>
      </c>
      <c r="F363" s="150" t="str">
        <f>VLOOKUP($A363,'All Girls &amp; Descendants - Edit'!$AC$2:$AJ$438,8,FALSE)</f>
        <v>Male. b. 1885, d. 30/09/1962. Educated Keble College, Oxford (BA 1907, MA 1911). Bishop’s Hostel, Liverpool 1907. Deacon 1908. Priest 1909. Curate of Garston, Lancashire 1908-11. Curate of St Anne’s, Aigburth 1911-12. Temporary Chaplain to the Forces 1916-19. MC and Croix de Guerre with star 1919. Vicar of St John’s, Bootle 1920-25. All Saints’, Newton-le-Willows 1925-28. St Peter’s, Warrington 1928-35. Rector of Halewood 1936-38. Vicar of Daresbury, Cheshire 1938-56. Rural Dean of Great Budworth 1947-55. Canon of Chester 1953-55. (Left £500 in the will of his godmother Mary Louisa LOYD (1848-1930). Died at Uplyme.</v>
      </c>
    </row>
    <row r="364" spans="1:6" s="5" customFormat="1" ht="30">
      <c r="A364" s="149">
        <f t="shared" si="6"/>
        <v>4003</v>
      </c>
      <c r="B364" s="150" t="str">
        <f>VLOOKUP($A364,'All Girls &amp; Descendants - Edit'!$AC$2:$AJ$438,2,FALSE)</f>
        <v>2cabb</v>
      </c>
      <c r="C364" s="150" t="str">
        <f>VLOOKUP($A364,'All Girls &amp; Descendants - Edit'!$AC$2:$AJ$438,3,FALSE)</f>
        <v>Alice Muriel Loyd PROTHEROE (1886 - )</v>
      </c>
      <c r="D364" s="150" t="str">
        <f>VLOOKUP($A364,'All Girls &amp; Descendants - Edit'!$AC$2:$AJ$438,4,FALSE)</f>
        <v>Alice PROTHEROE (5th &amp; 2)</v>
      </c>
      <c r="E364" s="150" t="str">
        <f>VLOOKUP($A364,'All Girls &amp; Descendants - Edit'!$AC$2:$AJ$438,7,FALSE)</f>
        <v>Husband: Edgar Stephen APPS. Edgar APPS, Lieut Commander, Royal Navy.</v>
      </c>
      <c r="F364" s="150" t="str">
        <f>VLOOKUP($A364,'All Girls &amp; Descendants - Edit'!$AC$2:$AJ$438,8,FALSE)</f>
        <v>Female. b. 1886</v>
      </c>
    </row>
    <row r="365" spans="1:6" s="5" customFormat="1">
      <c r="A365" s="149">
        <f t="shared" si="6"/>
        <v>4004</v>
      </c>
      <c r="B365" s="150" t="str">
        <f>VLOOKUP($A365,'All Girls &amp; Descendants - Edit'!$AC$2:$AJ$438,2,FALSE)</f>
        <v>2cabc</v>
      </c>
      <c r="C365" s="150" t="str">
        <f>VLOOKUP($A365,'All Girls &amp; Descendants - Edit'!$AC$2:$AJ$438,3,FALSE)</f>
        <v>Edward Loyd Musgrave PROTHEROE (1888 - 1905)</v>
      </c>
      <c r="D365" s="150" t="str">
        <f>VLOOKUP($A365,'All Girls &amp; Descendants - Edit'!$AC$2:$AJ$438,4,FALSE)</f>
        <v>Edward PROTHEROE (5th &amp; 2)</v>
      </c>
      <c r="E365" s="150" t="str">
        <f>VLOOKUP($A365,'All Girls &amp; Descendants - Edit'!$AC$2:$AJ$438,7,FALSE)</f>
        <v>Wife: Nancy D WALTER (b.1902, d. 1985). Married at Uckfield</v>
      </c>
      <c r="F365" s="150" t="str">
        <f>VLOOKUP($A365,'All Girls &amp; Descendants - Edit'!$AC$2:$AJ$438,8,FALSE)</f>
        <v>Male. b. 1888, d. 1970.</v>
      </c>
    </row>
    <row r="366" spans="1:6" s="5" customFormat="1">
      <c r="A366" s="149">
        <f t="shared" si="6"/>
        <v>4005</v>
      </c>
      <c r="B366" s="150" t="str">
        <f>VLOOKUP($A366,'All Girls &amp; Descendants - Edit'!$AC$2:$AJ$438,2,FALSE)</f>
        <v>2cabd</v>
      </c>
      <c r="C366" s="150" t="str">
        <f>VLOOKUP($A366,'All Girls &amp; Descendants - Edit'!$AC$2:$AJ$438,3,FALSE)</f>
        <v>Roderick Norman Loyd PROTHEROE (1890 - 1905)</v>
      </c>
      <c r="D366" s="150" t="str">
        <f>VLOOKUP($A366,'All Girls &amp; Descendants - Edit'!$AC$2:$AJ$438,4,FALSE)</f>
        <v>Roderick PROTHEROE (5th &amp; 2)</v>
      </c>
      <c r="E366" s="150" t="str">
        <f>VLOOKUP($A366,'All Girls &amp; Descendants - Edit'!$AC$2:$AJ$438,7,FALSE)</f>
        <v>Wife: Alice J CHAMBEL (b. ?, d. 1975). Married at Paddington</v>
      </c>
      <c r="F366" s="150" t="str">
        <f>VLOOKUP($A366,'All Girls &amp; Descendants - Edit'!$AC$2:$AJ$438,8,FALSE)</f>
        <v>Male. b. 1890, d. 1948.</v>
      </c>
    </row>
    <row r="367" spans="1:6" s="5" customFormat="1">
      <c r="A367" s="149">
        <f t="shared" si="6"/>
        <v>4006</v>
      </c>
      <c r="B367" s="150" t="str">
        <f>VLOOKUP($A367,'All Girls &amp; Descendants - Edit'!$AC$2:$AJ$438,2,FALSE)</f>
        <v>2cabe</v>
      </c>
      <c r="C367" s="150" t="str">
        <f>VLOOKUP($A367,'All Girls &amp; Descendants - Edit'!$AC$2:$AJ$438,3,FALSE)</f>
        <v>Norah Evelyn Loyd PROTHEROE (1899 - 1905)</v>
      </c>
      <c r="D367" s="150" t="str">
        <f>VLOOKUP($A367,'All Girls &amp; Descendants - Edit'!$AC$2:$AJ$438,4,FALSE)</f>
        <v>Norah PROTHEROE (5th &amp; 2)</v>
      </c>
      <c r="E367" s="150" t="str">
        <f>VLOOKUP($A367,'All Girls &amp; Descendants - Edit'!$AC$2:$AJ$438,7,FALSE)</f>
        <v>Unmarried</v>
      </c>
      <c r="F367" s="150" t="str">
        <f>VLOOKUP($A367,'All Girls &amp; Descendants - Edit'!$AC$2:$AJ$438,8,FALSE)</f>
        <v>Female. b. 1899, d. 1945.</v>
      </c>
    </row>
    <row r="368" spans="1:6" s="5" customFormat="1" ht="60">
      <c r="A368" s="149">
        <f t="shared" si="6"/>
        <v>4007</v>
      </c>
      <c r="B368" s="150" t="str">
        <f>VLOOKUP($A368,'All Girls &amp; Descendants - Edit'!$AC$2:$AJ$438,2,FALSE)</f>
        <v>18bbaa</v>
      </c>
      <c r="C368" s="150" t="str">
        <f>VLOOKUP($A368,'All Girls &amp; Descendants - Edit'!$AC$2:$AJ$438,3,FALSE)</f>
        <v>Robert Paul Redston WARNER (later RAMSAY) (1945 - )</v>
      </c>
      <c r="D368" s="150" t="str">
        <f>VLOOKUP($A368,'All Girls &amp; Descendants - Edit'!$AC$2:$AJ$438,4,FALSE)</f>
        <v>Robert WARNER (later RAMSAY) (6th &amp; 18)</v>
      </c>
      <c r="E368" s="150" t="str">
        <f>VLOOKUP($A368,'All Girls &amp; Descendants - Edit'!$AC$2:$AJ$438,7,FALSE)</f>
        <v>Wife: Helen Louise GIBBON (b. 20/12/1952, ). Married at St Peter’s, Lutton Place, Edinburgh, Helen daughter of Colonel GIBBON of West Mayfield, Edinburgh.</v>
      </c>
      <c r="F368" s="150" t="str">
        <f>VLOOKUP($A368,'All Girls &amp; Descendants - Edit'!$AC$2:$AJ$438,8,FALSE)</f>
        <v>Male. b. 30/10/1945 Educated Eton, Edinburgh University (MA) and University College, London (MSc). Changed name to RAMSAY on inheriting Bamff, Alyth, Perthshire. Environmentalist, Landowner and Writer. Council of National Trust for Scotland.</v>
      </c>
    </row>
    <row r="369" spans="1:6" s="5" customFormat="1" ht="60">
      <c r="A369" s="149">
        <f t="shared" si="6"/>
        <v>4008</v>
      </c>
      <c r="B369" s="150" t="str">
        <f>VLOOKUP($A369,'All Girls &amp; Descendants - Edit'!$AC$2:$AJ$438,2,FALSE)</f>
        <v>18bbab</v>
      </c>
      <c r="C369" s="150" t="str">
        <f>VLOOKUP($A369,'All Girls &amp; Descendants - Edit'!$AC$2:$AJ$438,3,FALSE)</f>
        <v>Elizabeth Margery  WARNER (1947 - )</v>
      </c>
      <c r="D369" s="150" t="str">
        <f>VLOOKUP($A369,'All Girls &amp; Descendants - Edit'!$AC$2:$AJ$438,4,FALSE)</f>
        <v>Elizabeth WARNER (6th &amp; 18)</v>
      </c>
      <c r="E369" s="150" t="str">
        <f>VLOOKUP($A369,'All Girls &amp; Descendants - Edit'!$AC$2:$AJ$438,7,FALSE)</f>
        <v>Husband: William BERRY (b. 26/09/1939, ). Married at St Giles’ Cathedral, Edinburgh, William elder son of Dr John BERRY CBE &amp; the Hon. Bride (née Fremantle) Berry of Tayfield, Newport-on-Tay, Fife.</v>
      </c>
      <c r="F369" s="150" t="str">
        <f>VLOOKUP($A369,'All Girls &amp; Descendants - Edit'!$AC$2:$AJ$438,8,FALSE)</f>
        <v>Female. b. 14/12/1947 Twin with her brother Nigel. Educated Godolphin, Salisbury and Edinburgh and Aberdeen Universities.</v>
      </c>
    </row>
    <row r="370" spans="1:6" s="5" customFormat="1" ht="60">
      <c r="A370" s="149">
        <f t="shared" si="6"/>
        <v>4009</v>
      </c>
      <c r="B370" s="150" t="str">
        <f>VLOOKUP($A370,'All Girls &amp; Descendants - Edit'!$AC$2:$AJ$438,2,FALSE)</f>
        <v>18bbac</v>
      </c>
      <c r="C370" s="150" t="str">
        <f>VLOOKUP($A370,'All Girls &amp; Descendants - Edit'!$AC$2:$AJ$438,3,FALSE)</f>
        <v>Nigel George  WARNER (1947 - )</v>
      </c>
      <c r="D370" s="150" t="str">
        <f>VLOOKUP($A370,'All Girls &amp; Descendants - Edit'!$AC$2:$AJ$438,4,FALSE)</f>
        <v>Nigel WARNER (6th &amp; 18)</v>
      </c>
      <c r="E370" s="150" t="str">
        <f>VLOOKUP($A370,'All Girls &amp; Descendants - Edit'!$AC$2:$AJ$438,7,FALSE)</f>
        <v xml:space="preserve">Wife: Civil partner  -  Kuei Lin HSU (Male, b 26/07/1965, ). </v>
      </c>
      <c r="F370" s="150" t="str">
        <f>VLOOKUP($A370,'All Girls &amp; Descendants - Edit'!$AC$2:$AJ$438,8,FALSE)</f>
        <v>Male. b. 14/12/1947 Twin with his sister Elizabeth. Educated Rugby and Clare College, Cambridge. Chartered Accountant. Peat, Marwick &amp; Mitchell. Shell UK. Retired 1997. Awarded MBE in 2015 for services to the Internationals Lesbian and Gay Rights' movement.</v>
      </c>
    </row>
    <row r="371" spans="1:6" s="5" customFormat="1" ht="45">
      <c r="A371" s="149">
        <f t="shared" si="6"/>
        <v>4010</v>
      </c>
      <c r="B371" s="150" t="str">
        <f>VLOOKUP($A371,'All Girls &amp; Descendants - Edit'!$AC$2:$AJ$438,2,FALSE)</f>
        <v>18bbad</v>
      </c>
      <c r="C371" s="150" t="str">
        <f>VLOOKUP($A371,'All Girls &amp; Descendants - Edit'!$AC$2:$AJ$438,3,FALSE)</f>
        <v>Alan Tristram Nicholas WARNER (1949 - )</v>
      </c>
      <c r="D371" s="150" t="str">
        <f>VLOOKUP($A371,'All Girls &amp; Descendants - Edit'!$AC$2:$AJ$438,4,FALSE)</f>
        <v>Alan WARNER (6th &amp; 18)</v>
      </c>
      <c r="E371" s="150" t="str">
        <f>VLOOKUP($A371,'All Girls &amp; Descendants - Edit'!$AC$2:$AJ$438,7,FALSE)</f>
        <v>Wife: Susan Voase ADDERLEY (b. 05/08/1949, ). Married Susan, at St Peter &amp; St Paul’s, Pickering, North Yorskhire, eldest daughter of RB ADDERLEY MBE of Pickering North Yorkshire</v>
      </c>
      <c r="F371" s="150" t="str">
        <f>VLOOKUP($A371,'All Girls &amp; Descendants - Edit'!$AC$2:$AJ$438,8,FALSE)</f>
        <v xml:space="preserve">Male. b. 18/10/1949 Alan lives in Perthshire. Educated Rugby and St Andrews. Chartered Accountant, Touche Ross. Director Douglas Deakin Young 1980-2005, Director Duncan Lawrie Asset Management 2005-2017. </v>
      </c>
    </row>
    <row r="372" spans="1:6" s="5" customFormat="1" ht="75">
      <c r="A372" s="149">
        <f t="shared" si="6"/>
        <v>4011</v>
      </c>
      <c r="B372" s="150" t="str">
        <f>VLOOKUP($A372,'All Girls &amp; Descendants - Edit'!$AC$2:$AJ$438,2,FALSE)</f>
        <v>18bbba</v>
      </c>
      <c r="C372" s="150" t="str">
        <f>VLOOKUP($A372,'All Girls &amp; Descendants - Edit'!$AC$2:$AJ$438,3,FALSE)</f>
        <v>Randall Lewis  NICOL (1947 - )</v>
      </c>
      <c r="D372" s="150" t="str">
        <f>VLOOKUP($A372,'All Girls &amp; Descendants - Edit'!$AC$2:$AJ$438,4,FALSE)</f>
        <v>Randall NICOL (6th &amp; 18)</v>
      </c>
      <c r="E372" s="150" t="str">
        <f>VLOOKUP($A372,'All Girls &amp; Descendants - Edit'!$AC$2:$AJ$438,7,FALSE)</f>
        <v xml:space="preserve">Wife: (1) Wendy Grace Isabel WHITESIDE (b. 25/11/1957, d 02/04/1987). (2) 26/08/1993 Felicity WARLOW-HARRY (b. 06/05/1950, ). </v>
      </c>
      <c r="F372" s="150" t="str">
        <f>VLOOKUP($A372,'All Girls &amp; Descendants - Edit'!$AC$2:$AJ$438,8,FALSE)</f>
        <v>Male. b. 22/05/1947 Educated Rugby, Magdalene College, Cambridge, and Edinburgh University. Commissioned 1966, Scots Guards. Retired as Major 1979. Solicitor. Author of Till The Trumpet Sounds Again – The Scots Guards 1914-1919 in their Own words [2016] and Miles Barne’s Diary – A Suffolk Countryman at War [2017].</v>
      </c>
    </row>
    <row r="373" spans="1:6" s="5" customFormat="1">
      <c r="A373" s="149">
        <f t="shared" si="6"/>
        <v>4012</v>
      </c>
      <c r="B373" s="150" t="str">
        <f>VLOOKUP($A373,'All Girls &amp; Descendants - Edit'!$AC$2:$AJ$438,2,FALSE)</f>
        <v>18bbbb</v>
      </c>
      <c r="C373" s="150" t="str">
        <f>VLOOKUP($A373,'All Girls &amp; Descendants - Edit'!$AC$2:$AJ$438,3,FALSE)</f>
        <v>Andrew Harry  NICOL (1949 - )</v>
      </c>
      <c r="D373" s="150" t="str">
        <f>VLOOKUP($A373,'All Girls &amp; Descendants - Edit'!$AC$2:$AJ$438,4,FALSE)</f>
        <v>Andrew NICOL (6th &amp; 18)</v>
      </c>
      <c r="E373" s="150" t="str">
        <f>VLOOKUP($A373,'All Girls &amp; Descendants - Edit'!$AC$2:$AJ$438,7,FALSE)</f>
        <v xml:space="preserve">Wife: Julie Helena EICHHORN (b. 07/02/1954, ). </v>
      </c>
      <c r="F373" s="150" t="str">
        <f>VLOOKUP($A373,'All Girls &amp; Descendants - Edit'!$AC$2:$AJ$438,8,FALSE)</f>
        <v>Male. b. 31/07/1949 Educated Rugby and Aberdeen University.</v>
      </c>
    </row>
    <row r="374" spans="1:6" s="5" customFormat="1" ht="30">
      <c r="A374" s="149">
        <f t="shared" ref="A374:A402" si="7">A373+1</f>
        <v>4013</v>
      </c>
      <c r="B374" s="150" t="str">
        <f>VLOOKUP($A374,'All Girls &amp; Descendants - Edit'!$AC$2:$AJ$438,2,FALSE)</f>
        <v>18bbbc</v>
      </c>
      <c r="C374" s="150" t="str">
        <f>VLOOKUP($A374,'All Girls &amp; Descendants - Edit'!$AC$2:$AJ$438,3,FALSE)</f>
        <v>Malcolm James  NICOL (1953 - )</v>
      </c>
      <c r="D374" s="150" t="str">
        <f>VLOOKUP($A374,'All Girls &amp; Descendants - Edit'!$AC$2:$AJ$438,4,FALSE)</f>
        <v>Malcolm NICOL (6th &amp; 18)</v>
      </c>
      <c r="E374" s="150" t="str">
        <f>VLOOKUP($A374,'All Girls &amp; Descendants - Edit'!$AC$2:$AJ$438,7,FALSE)</f>
        <v>Wife: Christina Barbara PETRY (b. 04/05/1954, ). Eldest daughter of John PETRY.</v>
      </c>
      <c r="F374" s="150" t="str">
        <f>VLOOKUP($A374,'All Girls &amp; Descendants - Edit'!$AC$2:$AJ$438,8,FALSE)</f>
        <v>Male. b. 02/04/1953 Malcolm lives in Ballogie, Aboyne, Aberdeenshire. Educated Rugby &amp; Durham University. Estate Manager, Ballogie Estate.</v>
      </c>
    </row>
    <row r="375" spans="1:6" s="5" customFormat="1" ht="45">
      <c r="A375" s="149">
        <f t="shared" si="7"/>
        <v>4014</v>
      </c>
      <c r="B375" s="150" t="str">
        <f>VLOOKUP($A375,'All Girls &amp; Descendants - Edit'!$AC$2:$AJ$438,2,FALSE)</f>
        <v>36dbaa</v>
      </c>
      <c r="C375" s="150" t="str">
        <f>VLOOKUP($A375,'All Girls &amp; Descendants - Edit'!$AC$2:$AJ$438,3,FALSE)</f>
        <v>Robert Andrew  SCOTT-DEMPSTER (1967 - )</v>
      </c>
      <c r="D375" s="150" t="str">
        <f>VLOOKUP($A375,'All Girls &amp; Descendants - Edit'!$AC$2:$AJ$438,4,FALSE)</f>
        <v>Robert SCOTT-DEMPSTER (7th &amp; 36)</v>
      </c>
      <c r="E375" s="150" t="str">
        <f>VLOOKUP($A375,'All Girls &amp; Descendants - Edit'!$AC$2:$AJ$438,7,FALSE)</f>
        <v>Wife: Camilla Helen LOCKHART SMITH (b. 06/10/1969, d. ). Married at Southwell Minster. Camilla daughter of Peter LOCKHART SMITH.</v>
      </c>
      <c r="F375" s="150" t="str">
        <f>VLOOKUP($A375,'All Girls &amp; Descendants - Edit'!$AC$2:$AJ$438,8,FALSE)</f>
        <v>Male. b. 30/04/1967 Born in Reading.</v>
      </c>
    </row>
    <row r="376" spans="1:6" s="5" customFormat="1">
      <c r="A376" s="149">
        <f t="shared" si="7"/>
        <v>4015</v>
      </c>
      <c r="B376" s="150" t="str">
        <f>VLOOKUP($A376,'All Girls &amp; Descendants - Edit'!$AC$2:$AJ$438,2,FALSE)</f>
        <v>36dbab</v>
      </c>
      <c r="C376" s="150" t="str">
        <f>VLOOKUP($A376,'All Girls &amp; Descendants - Edit'!$AC$2:$AJ$438,3,FALSE)</f>
        <v>Clare Ann  SCOTT-DEMPSTER (1969 - )</v>
      </c>
      <c r="D376" s="150" t="str">
        <f>VLOOKUP($A376,'All Girls &amp; Descendants - Edit'!$AC$2:$AJ$438,4,FALSE)</f>
        <v>Clare SCOTT-DEMPSTER (7th &amp; 36)</v>
      </c>
      <c r="E376" s="150" t="str">
        <f>VLOOKUP($A376,'All Girls &amp; Descendants - Edit'!$AC$2:$AJ$438,7,FALSE)</f>
        <v>Unmarried</v>
      </c>
      <c r="F376" s="150" t="str">
        <f>VLOOKUP($A376,'All Girls &amp; Descendants - Edit'!$AC$2:$AJ$438,8,FALSE)</f>
        <v>Female. b. 07/06/1969 Born in Reading</v>
      </c>
    </row>
    <row r="377" spans="1:6" s="5" customFormat="1">
      <c r="A377" s="149">
        <f t="shared" si="7"/>
        <v>4016</v>
      </c>
      <c r="B377" s="150" t="str">
        <f>VLOOKUP($A377,'All Girls &amp; Descendants - Edit'!$AC$2:$AJ$438,2,FALSE)</f>
        <v>36dbac</v>
      </c>
      <c r="C377" s="150" t="str">
        <f>VLOOKUP($A377,'All Girls &amp; Descendants - Edit'!$AC$2:$AJ$438,3,FALSE)</f>
        <v>Harry Colin  SCOTT-DEMPSTER (1985 - )</v>
      </c>
      <c r="D377" s="150" t="str">
        <f>VLOOKUP($A377,'All Girls &amp; Descendants - Edit'!$AC$2:$AJ$438,4,FALSE)</f>
        <v>Ann SCOTT-DEMPSTER (7th &amp; 36)</v>
      </c>
      <c r="E377" s="150" t="str">
        <f>VLOOKUP($A377,'All Girls &amp; Descendants - Edit'!$AC$2:$AJ$438,7,FALSE)</f>
        <v>Unmarried</v>
      </c>
      <c r="F377" s="150" t="str">
        <f>VLOOKUP($A377,'All Girls &amp; Descendants - Edit'!$AC$2:$AJ$438,8,FALSE)</f>
        <v>Male. b. 28/08/1985 Born in Oxford</v>
      </c>
    </row>
    <row r="378" spans="1:6" ht="30">
      <c r="A378" s="149">
        <f t="shared" si="7"/>
        <v>4017</v>
      </c>
      <c r="B378" s="150" t="str">
        <f>VLOOKUP($A378,'All Girls &amp; Descendants - Edit'!$AC$2:$AJ$438,2,FALSE)</f>
        <v>36dbba</v>
      </c>
      <c r="C378" s="150" t="str">
        <f>VLOOKUP($A378,'All Girls &amp; Descendants - Edit'!$AC$2:$AJ$438,3,FALSE)</f>
        <v>Jane Margaret  LINDSAY (1966 - )</v>
      </c>
      <c r="D378" s="150" t="str">
        <f>VLOOKUP($A378,'All Girls &amp; Descendants - Edit'!$AC$2:$AJ$438,4,FALSE)</f>
        <v>Jane LINDSAY (7th &amp; 36)</v>
      </c>
      <c r="E378" s="150" t="str">
        <f>VLOOKUP($A378,'All Girls &amp; Descendants - Edit'!$AC$2:$AJ$438,7,FALSE)</f>
        <v>Husband: Charles Robert Stephen GRAHAM (b. 01/04/1961, d.). Married at St Cuthbert’s. Edinburgh,</v>
      </c>
      <c r="F378" s="150" t="str">
        <f>VLOOKUP($A378,'All Girls &amp; Descendants - Edit'!$AC$2:$AJ$438,8,FALSE)</f>
        <v>Female. b. 17/12/1966 Born in Edinburgh.</v>
      </c>
    </row>
    <row r="379" spans="1:6" ht="30">
      <c r="A379" s="149">
        <f t="shared" si="7"/>
        <v>4018</v>
      </c>
      <c r="B379" s="150" t="str">
        <f>VLOOKUP($A379,'All Girls &amp; Descendants - Edit'!$AC$2:$AJ$438,2,FALSE)</f>
        <v>36dbbb</v>
      </c>
      <c r="C379" s="150" t="str">
        <f>VLOOKUP($A379,'All Girls &amp; Descendants - Edit'!$AC$2:$AJ$438,3,FALSE)</f>
        <v>Richard Stephen  LINDSAY (1969 - )</v>
      </c>
      <c r="D379" s="150" t="str">
        <f>VLOOKUP($A379,'All Girls &amp; Descendants - Edit'!$AC$2:$AJ$438,4,FALSE)</f>
        <v>Richard LINDSAY (7th &amp; 36)</v>
      </c>
      <c r="E379" s="150" t="str">
        <f>VLOOKUP($A379,'All Girls &amp; Descendants - Edit'!$AC$2:$AJ$438,7,FALSE)</f>
        <v>Wife: Xanthe CRITCHETT (b. 13/02/1968, d. ?). Married at St Peter’s, Limpsfield Xanthe daughter of Sir Ian CRITCHETT.</v>
      </c>
      <c r="F379" s="150" t="str">
        <f>VLOOKUP($A379,'All Girls &amp; Descendants - Edit'!$AC$2:$AJ$438,8,FALSE)</f>
        <v>Male. b. 18/02/1969 Born in Salisbury.</v>
      </c>
    </row>
    <row r="380" spans="1:6">
      <c r="A380" s="149">
        <f t="shared" si="7"/>
        <v>4019</v>
      </c>
      <c r="B380" s="150" t="str">
        <f>VLOOKUP($A380,'All Girls &amp; Descendants - Edit'!$AC$2:$AJ$438,2,FALSE)</f>
        <v>36dbbc</v>
      </c>
      <c r="C380" s="150" t="str">
        <f>VLOOKUP($A380,'All Girls &amp; Descendants - Edit'!$AC$2:$AJ$438,3,FALSE)</f>
        <v>Charles Ludovic  LINDSAY (1974 - )</v>
      </c>
      <c r="D380" s="150" t="str">
        <f>VLOOKUP($A380,'All Girls &amp; Descendants - Edit'!$AC$2:$AJ$438,4,FALSE)</f>
        <v>Charles LINDSAY (7th &amp; 36)</v>
      </c>
      <c r="E380" s="150" t="str">
        <f>VLOOKUP($A380,'All Girls &amp; Descendants - Edit'!$AC$2:$AJ$438,7,FALSE)</f>
        <v>Unmarried</v>
      </c>
      <c r="F380" s="150" t="str">
        <f>VLOOKUP($A380,'All Girls &amp; Descendants - Edit'!$AC$2:$AJ$438,8,FALSE)</f>
        <v>Male. b. 24/04/1974 Born in Edinburgh.</v>
      </c>
    </row>
    <row r="381" spans="1:6" ht="30">
      <c r="A381" s="149">
        <f t="shared" si="7"/>
        <v>4020</v>
      </c>
      <c r="B381" s="150" t="str">
        <f>VLOOKUP($A381,'All Girls &amp; Descendants - Edit'!$AC$2:$AJ$438,2,FALSE)</f>
        <v>36dbbd</v>
      </c>
      <c r="C381" s="150" t="str">
        <f>VLOOKUP($A381,'All Girls &amp; Descendants - Edit'!$AC$2:$AJ$438,3,FALSE)</f>
        <v>Andrew James Ronald LINDSAY (1977 - )</v>
      </c>
      <c r="D381" s="150" t="str">
        <f>VLOOKUP($A381,'All Girls &amp; Descendants - Edit'!$AC$2:$AJ$438,4,FALSE)</f>
        <v>Andrew LINDSAY (7th &amp; 36)</v>
      </c>
      <c r="E381" s="150" t="str">
        <f>VLOOKUP($A381,'All Girls &amp; Descendants - Edit'!$AC$2:$AJ$438,7,FALSE)</f>
        <v>Unmarried</v>
      </c>
      <c r="F381" s="150" t="str">
        <f>VLOOKUP($A381,'All Girls &amp; Descendants - Edit'!$AC$2:$AJ$438,8,FALSE)</f>
        <v>Male. b. 25/03/1977 Born in Perth. Gold Medal at Sydney 2000 in Men's Rowing Eight.</v>
      </c>
    </row>
    <row r="382" spans="1:6" ht="30">
      <c r="A382" s="149">
        <f t="shared" si="7"/>
        <v>4021</v>
      </c>
      <c r="B382" s="150" t="str">
        <f>VLOOKUP($A382,'All Girls &amp; Descendants - Edit'!$AC$2:$AJ$438,2,FALSE)</f>
        <v>47aaaa</v>
      </c>
      <c r="C382" s="150" t="str">
        <f>VLOOKUP($A382,'All Girls &amp; Descendants - Edit'!$AC$2:$AJ$438,3,FALSE)</f>
        <v>Florence Mary  HALLETT (1977 - )</v>
      </c>
      <c r="D382" s="150" t="str">
        <f>VLOOKUP($A382,'All Girls &amp; Descendants - Edit'!$AC$2:$AJ$438,4,FALSE)</f>
        <v>Florence HALLETT (7th &amp; 47)</v>
      </c>
      <c r="E382" s="150" t="str">
        <f>VLOOKUP($A382,'All Girls &amp; Descendants - Edit'!$AC$2:$AJ$438,7,FALSE)</f>
        <v>Unmarried</v>
      </c>
      <c r="F382" s="150" t="str">
        <f>VLOOKUP($A382,'All Girls &amp; Descendants - Edit'!$AC$2:$AJ$438,8,FALSE)</f>
        <v>Female. b. 18/07/1977 Educated University College, London (BA History of Art 1998).</v>
      </c>
    </row>
    <row r="383" spans="1:6">
      <c r="A383" s="149">
        <f t="shared" si="7"/>
        <v>4022</v>
      </c>
      <c r="B383" s="150" t="str">
        <f>VLOOKUP($A383,'All Girls &amp; Descendants - Edit'!$AC$2:$AJ$438,2,FALSE)</f>
        <v>47aaab</v>
      </c>
      <c r="C383" s="150" t="str">
        <f>VLOOKUP($A383,'All Girls &amp; Descendants - Edit'!$AC$2:$AJ$438,3,FALSE)</f>
        <v>Lillian Alice  HALLETT (1980 - )</v>
      </c>
      <c r="D383" s="150" t="str">
        <f>VLOOKUP($A383,'All Girls &amp; Descendants - Edit'!$AC$2:$AJ$438,4,FALSE)</f>
        <v>Lillian HALLETT (7th &amp; 47)</v>
      </c>
      <c r="E383" s="150" t="str">
        <f>VLOOKUP($A383,'All Girls &amp; Descendants - Edit'!$AC$2:$AJ$438,7,FALSE)</f>
        <v>Unmarried</v>
      </c>
      <c r="F383" s="150" t="str">
        <f>VLOOKUP($A383,'All Girls &amp; Descendants - Edit'!$AC$2:$AJ$438,8,FALSE)</f>
        <v>Female. b. 02/08/1980 Educated Kings College, London.</v>
      </c>
    </row>
    <row r="384" spans="1:6">
      <c r="A384" s="149">
        <f t="shared" si="7"/>
        <v>4023</v>
      </c>
      <c r="B384" s="150" t="str">
        <f>VLOOKUP($A384,'All Girls &amp; Descendants - Edit'!$AC$2:$AJ$438,2,FALSE)</f>
        <v>47aaba</v>
      </c>
      <c r="C384" s="150" t="str">
        <f>VLOOKUP($A384,'All Girls &amp; Descendants - Edit'!$AC$2:$AJ$438,3,FALSE)</f>
        <v>Linda Constance Elizabeth HARDCASTLE (1979 - )</v>
      </c>
      <c r="D384" s="150" t="str">
        <f>VLOOKUP($A384,'All Girls &amp; Descendants - Edit'!$AC$2:$AJ$438,4,FALSE)</f>
        <v>Linda HARDCASTLE (7th &amp; 47)</v>
      </c>
      <c r="E384" s="150" t="str">
        <f>VLOOKUP($A384,'All Girls &amp; Descendants - Edit'!$AC$2:$AJ$438,7,FALSE)</f>
        <v xml:space="preserve">Husband: Andrew PURVES (b. 27/01/1973, d. ?). </v>
      </c>
      <c r="F384" s="150" t="str">
        <f>VLOOKUP($A384,'All Girls &amp; Descendants - Edit'!$AC$2:$AJ$438,8,FALSE)</f>
        <v>Female. b. 12/03/1979 Adopted: Linda Constance Elizabeth HARDCASTLE</v>
      </c>
    </row>
    <row r="385" spans="1:6">
      <c r="A385" s="149">
        <f t="shared" si="7"/>
        <v>4024</v>
      </c>
      <c r="B385" s="150" t="str">
        <f>VLOOKUP($A385,'All Girls &amp; Descendants - Edit'!$AC$2:$AJ$438,2,FALSE)</f>
        <v>47aabb</v>
      </c>
      <c r="C385" s="150" t="str">
        <f>VLOOKUP($A385,'All Girls &amp; Descendants - Edit'!$AC$2:$AJ$438,3,FALSE)</f>
        <v>Susan Jean Alexandra HARDCASTLE (1980 - )</v>
      </c>
      <c r="D385" s="150" t="str">
        <f>VLOOKUP($A385,'All Girls &amp; Descendants - Edit'!$AC$2:$AJ$438,4,FALSE)</f>
        <v>Susan HARDCASTLE (7th &amp; 47)</v>
      </c>
      <c r="E385" s="150" t="str">
        <f>VLOOKUP($A385,'All Girls &amp; Descendants - Edit'!$AC$2:$AJ$438,7,FALSE)</f>
        <v>Unmarried</v>
      </c>
      <c r="F385" s="150" t="str">
        <f>VLOOKUP($A385,'All Girls &amp; Descendants - Edit'!$AC$2:$AJ$438,8,FALSE)</f>
        <v>Female. b. 19/08/1980</v>
      </c>
    </row>
    <row r="386" spans="1:6">
      <c r="A386" s="149">
        <f t="shared" si="7"/>
        <v>4025</v>
      </c>
      <c r="B386" s="150" t="str">
        <f>VLOOKUP($A386,'All Girls &amp; Descendants - Edit'!$AC$2:$AJ$438,2,FALSE)</f>
        <v>47aabc</v>
      </c>
      <c r="C386" s="150" t="str">
        <f>VLOOKUP($A386,'All Girls &amp; Descendants - Edit'!$AC$2:$AJ$438,3,FALSE)</f>
        <v>David Robert Edwin HARDCASTLE (1982 - )</v>
      </c>
      <c r="D386" s="150" t="str">
        <f>VLOOKUP($A386,'All Girls &amp; Descendants - Edit'!$AC$2:$AJ$438,4,FALSE)</f>
        <v>David HARDCASTLE (7th &amp; 47)</v>
      </c>
      <c r="E386" s="150" t="str">
        <f>VLOOKUP($A386,'All Girls &amp; Descendants - Edit'!$AC$2:$AJ$438,7,FALSE)</f>
        <v>Unmarried</v>
      </c>
      <c r="F386" s="150" t="str">
        <f>VLOOKUP($A386,'All Girls &amp; Descendants - Edit'!$AC$2:$AJ$438,8,FALSE)</f>
        <v>Male. b. 26/10/1982</v>
      </c>
    </row>
    <row r="387" spans="1:6" ht="30">
      <c r="A387" s="149">
        <f t="shared" si="7"/>
        <v>4026</v>
      </c>
      <c r="B387" s="150" t="str">
        <f>VLOOKUP($A387,'All Girls &amp; Descendants - Edit'!$AC$2:$AJ$438,2,FALSE)</f>
        <v>47abca</v>
      </c>
      <c r="C387" s="150" t="str">
        <f>VLOOKUP($A387,'All Girls &amp; Descendants - Edit'!$AC$2:$AJ$438,3,FALSE)</f>
        <v>Michael Alwyn Karel DREWE (1987 - )</v>
      </c>
      <c r="D387" s="150" t="str">
        <f>VLOOKUP($A387,'All Girls &amp; Descendants - Edit'!$AC$2:$AJ$438,4,FALSE)</f>
        <v>Michael DREWE (7th &amp; 47)</v>
      </c>
      <c r="E387" s="150" t="str">
        <f>VLOOKUP($A387,'All Girls &amp; Descendants - Edit'!$AC$2:$AJ$438,7,FALSE)</f>
        <v>Unmarried</v>
      </c>
      <c r="F387" s="150" t="str">
        <f>VLOOKUP($A387,'All Girls &amp; Descendants - Edit'!$AC$2:$AJ$438,8,FALSE)</f>
        <v>Male. b. 03/10/1987 Born at Winchester, Hampshire. Issue: Michael Alwyn Karel DREWE</v>
      </c>
    </row>
    <row r="388" spans="1:6" ht="45">
      <c r="A388" s="149">
        <v>5001</v>
      </c>
      <c r="B388" s="150" t="str">
        <f>VLOOKUP($A388,'All Girls &amp; Descendants - Edit'!$AC$2:$AJ$438,2,FALSE)</f>
        <v>2cabaa</v>
      </c>
      <c r="C388" s="150" t="str">
        <f>VLOOKUP($A388,'All Girls &amp; Descendants - Edit'!$AC$2:$AJ$438,3,FALSE)</f>
        <v>William Loyd  PROTHEROE (1921 - 1942)</v>
      </c>
      <c r="D388" s="150" t="str">
        <f>VLOOKUP($A388,'All Girls &amp; Descendants - Edit'!$AC$2:$AJ$438,4,FALSE)</f>
        <v>William PROTHEROE (6th &amp; 2)</v>
      </c>
      <c r="E388" s="150" t="str">
        <f>VLOOKUP($A388,'All Girls &amp; Descendants - Edit'!$AC$2:$AJ$438,7,FALSE)</f>
        <v>Unmarried</v>
      </c>
      <c r="F388" s="150" t="str">
        <f>VLOOKUP($A388,'All Girls &amp; Descendants - Edit'!$AC$2:$AJ$438,8,FALSE)</f>
        <v>Male. b. 1921, d. 12/08/1942. Killed in action aboard the seriously damaged HMS Indomitable on operation Pedestal. Commemoration: Bay 4, Panel 1 LEE-ON-SOLENT MEMORIAL Hampshire United Kingdom.</v>
      </c>
    </row>
    <row r="389" spans="1:6" ht="30">
      <c r="A389" s="149">
        <f t="shared" si="7"/>
        <v>5002</v>
      </c>
      <c r="B389" s="150" t="str">
        <f>VLOOKUP($A389,'All Girls &amp; Descendants - Edit'!$AC$2:$AJ$438,2,FALSE)</f>
        <v>2cabab</v>
      </c>
      <c r="C389" s="150" t="str">
        <f>VLOOKUP($A389,'All Girls &amp; Descendants - Edit'!$AC$2:$AJ$438,3,FALSE)</f>
        <v>Sheila Evelyn  PROTHEROE (1924 - )</v>
      </c>
      <c r="D389" s="150" t="str">
        <f>VLOOKUP($A389,'All Girls &amp; Descendants - Edit'!$AC$2:$AJ$438,4,FALSE)</f>
        <v>Sheila PROTHEROE (6th &amp; 2)</v>
      </c>
      <c r="E389" s="150" t="str">
        <f>VLOOKUP($A389,'All Girls &amp; Descendants - Edit'!$AC$2:$AJ$438,7,FALSE)</f>
        <v>Husband: Peter B B GILL. Married at Runcorn. Peter GILL Commander in the Royal Navy.</v>
      </c>
      <c r="F389" s="150" t="str">
        <f>VLOOKUP($A389,'All Girls &amp; Descendants - Edit'!$AC$2:$AJ$438,8,FALSE)</f>
        <v>Female. b. 1924</v>
      </c>
    </row>
    <row r="390" spans="1:6" ht="45">
      <c r="A390" s="149">
        <f t="shared" si="7"/>
        <v>5003</v>
      </c>
      <c r="B390" s="150" t="str">
        <f>VLOOKUP($A390,'All Girls &amp; Descendants - Edit'!$AC$2:$AJ$438,2,FALSE)</f>
        <v>2cabba</v>
      </c>
      <c r="C390" s="150" t="str">
        <f>VLOOKUP($A390,'All Girls &amp; Descendants - Edit'!$AC$2:$AJ$438,3,FALSE)</f>
        <v>Beryl Mary Loyd APPS (1925 - )</v>
      </c>
      <c r="D390" s="150" t="str">
        <f>VLOOKUP($A390,'All Girls &amp; Descendants - Edit'!$AC$2:$AJ$438,4,FALSE)</f>
        <v>Beryl APPS (6th &amp; 2)</v>
      </c>
      <c r="E390" s="150" t="str">
        <f>VLOOKUP($A390,'All Girls &amp; Descendants - Edit'!$AC$2:$AJ$438,7,FALSE)</f>
        <v>Husband: Ian George Greensmith RANDERSON (b.1930). Married at St Jude's, Portsea, Hampshire. Ian son of George Oswald RANDERSON.</v>
      </c>
      <c r="F390" s="150" t="str">
        <f>VLOOKUP($A390,'All Girls &amp; Descendants - Edit'!$AC$2:$AJ$438,8,FALSE)</f>
        <v>Female. b. 20/12/1925</v>
      </c>
    </row>
    <row r="391" spans="1:6" ht="30">
      <c r="A391" s="149">
        <f t="shared" si="7"/>
        <v>5004</v>
      </c>
      <c r="B391" s="150" t="str">
        <f>VLOOKUP($A391,'All Girls &amp; Descendants - Edit'!$AC$2:$AJ$438,2,FALSE)</f>
        <v>18bbaaa</v>
      </c>
      <c r="C391" s="150" t="str">
        <f>VLOOKUP($A391,'All Girls &amp; Descendants - Edit'!$AC$2:$AJ$438,3,FALSE)</f>
        <v>Gilbert Aubrey Warner RAMSAY (1980 - )</v>
      </c>
      <c r="D391" s="150" t="str">
        <f>VLOOKUP($A391,'All Girls &amp; Descendants - Edit'!$AC$2:$AJ$438,4,FALSE)</f>
        <v>Gilbert RAMSAY (7th &amp; 18)</v>
      </c>
      <c r="E391" s="150" t="str">
        <f>VLOOKUP($A391,'All Girls &amp; Descendants - Edit'!$AC$2:$AJ$438,7,FALSE)</f>
        <v>Unmarried</v>
      </c>
      <c r="F391" s="150" t="str">
        <f>VLOOKUP($A391,'All Girls &amp; Descendants - Edit'!$AC$2:$AJ$438,8,FALSE)</f>
        <v>Male. b. 24/09/1980 Educated Trinity College, Glenalmond and Christchurch, Oxford.</v>
      </c>
    </row>
    <row r="392" spans="1:6">
      <c r="A392" s="149">
        <f t="shared" si="7"/>
        <v>5005</v>
      </c>
      <c r="B392" s="150" t="str">
        <f>VLOOKUP($A392,'All Girls &amp; Descendants - Edit'!$AC$2:$AJ$438,2,FALSE)</f>
        <v>18bbaab</v>
      </c>
      <c r="C392" s="150" t="str">
        <f>VLOOKUP($A392,'All Girls &amp; Descendants - Edit'!$AC$2:$AJ$438,3,FALSE)</f>
        <v>Sophie Charlotte  RAMSAY (1982 - )</v>
      </c>
      <c r="D392" s="150" t="str">
        <f>VLOOKUP($A392,'All Girls &amp; Descendants - Edit'!$AC$2:$AJ$438,4,FALSE)</f>
        <v>Sophie RAMSAY (7th &amp; 18)</v>
      </c>
      <c r="E392" s="150" t="str">
        <f>VLOOKUP($A392,'All Girls &amp; Descendants - Edit'!$AC$2:$AJ$438,7,FALSE)</f>
        <v>Unmarried</v>
      </c>
      <c r="F392" s="150" t="str">
        <f>VLOOKUP($A392,'All Girls &amp; Descendants - Edit'!$AC$2:$AJ$438,8,FALSE)</f>
        <v>Female. b. 30/11/1982 Educated Trinity College, Glenalmond.</v>
      </c>
    </row>
    <row r="393" spans="1:6">
      <c r="A393" s="149">
        <f t="shared" si="7"/>
        <v>5006</v>
      </c>
      <c r="B393" s="150" t="str">
        <f>VLOOKUP($A393,'All Girls &amp; Descendants - Edit'!$AC$2:$AJ$438,2,FALSE)</f>
        <v>18bbaac</v>
      </c>
      <c r="C393" s="150" t="str">
        <f>VLOOKUP($A393,'All Girls &amp; Descendants - Edit'!$AC$2:$AJ$438,3,FALSE)</f>
        <v>Adam Alexander  RAMSAY (1985 - )</v>
      </c>
      <c r="D393" s="150" t="str">
        <f>VLOOKUP($A393,'All Girls &amp; Descendants - Edit'!$AC$2:$AJ$438,4,FALSE)</f>
        <v>Adam RAMSAY (7th &amp; 18)</v>
      </c>
      <c r="E393" s="150" t="str">
        <f>VLOOKUP($A393,'All Girls &amp; Descendants - Edit'!$AC$2:$AJ$438,7,FALSE)</f>
        <v>Unmarried</v>
      </c>
      <c r="F393" s="150" t="str">
        <f>VLOOKUP($A393,'All Girls &amp; Descendants - Edit'!$AC$2:$AJ$438,8,FALSE)</f>
        <v>Male. b. 09/07/1985 Educated Trinity College, Glenalmond.</v>
      </c>
    </row>
    <row r="394" spans="1:6">
      <c r="A394" s="149">
        <f t="shared" si="7"/>
        <v>5007</v>
      </c>
      <c r="B394" s="150" t="str">
        <f>VLOOKUP($A394,'All Girls &amp; Descendants - Edit'!$AC$2:$AJ$438,2,FALSE)</f>
        <v>18bbaad</v>
      </c>
      <c r="C394" s="150" t="str">
        <f>VLOOKUP($A394,'All Girls &amp; Descendants - Edit'!$AC$2:$AJ$438,3,FALSE)</f>
        <v>George Finlay  RAMSAY (1988 - )</v>
      </c>
      <c r="D394" s="150" t="str">
        <f>VLOOKUP($A394,'All Girls &amp; Descendants - Edit'!$AC$2:$AJ$438,4,FALSE)</f>
        <v>George RAMSAY (7th &amp; 18)</v>
      </c>
      <c r="E394" s="150" t="str">
        <f>VLOOKUP($A394,'All Girls &amp; Descendants - Edit'!$AC$2:$AJ$438,7,FALSE)</f>
        <v>Unmarried</v>
      </c>
      <c r="F394" s="150" t="str">
        <f>VLOOKUP($A394,'All Girls &amp; Descendants - Edit'!$AC$2:$AJ$438,8,FALSE)</f>
        <v>Male. b. 30/10/1988</v>
      </c>
    </row>
    <row r="395" spans="1:6" ht="30">
      <c r="A395" s="149">
        <f t="shared" si="7"/>
        <v>5008</v>
      </c>
      <c r="B395" s="150" t="str">
        <f>VLOOKUP($A395,'All Girls &amp; Descendants - Edit'!$AC$2:$AJ$438,2,FALSE)</f>
        <v>18bbaba</v>
      </c>
      <c r="C395" s="150" t="str">
        <f>VLOOKUP($A395,'All Girls &amp; Descendants - Edit'!$AC$2:$AJ$438,3,FALSE)</f>
        <v>John   BERRY (1976 - )</v>
      </c>
      <c r="D395" s="150" t="str">
        <f>VLOOKUP($A395,'All Girls &amp; Descendants - Edit'!$AC$2:$AJ$438,4,FALSE)</f>
        <v>John BERRY (7th &amp; 18)</v>
      </c>
      <c r="E395" s="150" t="str">
        <f>VLOOKUP($A395,'All Girls &amp; Descendants - Edit'!$AC$2:$AJ$438,7,FALSE)</f>
        <v>Wife: Dr Megan Louise BASTICK PhD.. Married Megan on 29/12/2007 at Yellow Point, Tasmania, Australia.</v>
      </c>
      <c r="F395" s="150" t="str">
        <f>VLOOKUP($A395,'All Girls &amp; Descendants - Edit'!$AC$2:$AJ$438,8,FALSE)</f>
        <v>Male. b. 22/02/1976 Educated Eton and Edinburgh University (MA Hons 1st class) and Oxford Brookes (MSc in Development Practice).</v>
      </c>
    </row>
    <row r="396" spans="1:6" ht="30">
      <c r="A396" s="149">
        <f t="shared" si="7"/>
        <v>5009</v>
      </c>
      <c r="B396" s="150" t="str">
        <f>VLOOKUP($A396,'All Girls &amp; Descendants - Edit'!$AC$2:$AJ$438,2,FALSE)</f>
        <v>18bbabb</v>
      </c>
      <c r="C396" s="150" t="str">
        <f>VLOOKUP($A396,'All Girls &amp; Descendants - Edit'!$AC$2:$AJ$438,3,FALSE)</f>
        <v>Robert   BERRY (1978 - )</v>
      </c>
      <c r="D396" s="150" t="str">
        <f>VLOOKUP($A396,'All Girls &amp; Descendants - Edit'!$AC$2:$AJ$438,4,FALSE)</f>
        <v>Robert BERRY (7th &amp; 18)</v>
      </c>
      <c r="E396" s="150" t="str">
        <f>VLOOKUP($A396,'All Girls &amp; Descendants - Edit'!$AC$2:$AJ$438,7,FALSE)</f>
        <v>Wife: Catriona Hermione CAMPBELL.. Married Catriona 12/04/2008 in Oban Argyll.</v>
      </c>
      <c r="F396" s="150" t="str">
        <f>VLOOKUP($A396,'All Girls &amp; Descendants - Edit'!$AC$2:$AJ$438,8,FALSE)</f>
        <v>Male. b. 15/07/1978 Educated Fettes and Bristol University (BA Hons Music).</v>
      </c>
    </row>
    <row r="397" spans="1:6" ht="45">
      <c r="A397" s="149">
        <f t="shared" si="7"/>
        <v>5010</v>
      </c>
      <c r="B397" s="150" t="str">
        <f>VLOOKUP($A397,'All Girls &amp; Descendants - Edit'!$AC$2:$AJ$438,2,FALSE)</f>
        <v>18bbada</v>
      </c>
      <c r="C397" s="150" t="str">
        <f>VLOOKUP($A397,'All Girls &amp; Descendants - Edit'!$AC$2:$AJ$438,3,FALSE)</f>
        <v>Nicholas Redston  WARNER (1985 - )</v>
      </c>
      <c r="D397" s="150" t="str">
        <f>VLOOKUP($A397,'All Girls &amp; Descendants - Edit'!$AC$2:$AJ$438,4,FALSE)</f>
        <v>Nick WARNER (7th &amp; 18)</v>
      </c>
      <c r="E397" s="150" t="str">
        <f>VLOOKUP($A397,'All Girls &amp; Descendants - Edit'!$AC$2:$AJ$438,7,FALSE)</f>
        <v>Wife: Aimee Fiona Ann BAIRD (b04/12/1985, ). Aimee only daughter of James Baird of Southon House, Marden, Kent. Married St Michael &amp; All Angels, Marden.</v>
      </c>
      <c r="F397" s="150" t="str">
        <f>VLOOKUP($A397,'All Girls &amp; Descendants - Edit'!$AC$2:$AJ$438,8,FALSE)</f>
        <v xml:space="preserve">Male. b. 15/04/1985 Nick lives SW London. Educated at Rugby (scholar) and Edinburgh University. Chartered Accountant PwC. </v>
      </c>
    </row>
    <row r="398" spans="1:6" ht="30">
      <c r="A398" s="149">
        <f t="shared" si="7"/>
        <v>5011</v>
      </c>
      <c r="B398" s="150" t="str">
        <f>VLOOKUP($A398,'All Girls &amp; Descendants - Edit'!$AC$2:$AJ$438,2,FALSE)</f>
        <v>18bbadb</v>
      </c>
      <c r="C398" s="150" t="str">
        <f>VLOOKUP($A398,'All Girls &amp; Descendants - Edit'!$AC$2:$AJ$438,3,FALSE)</f>
        <v>Harriet Voase  WARNER (1988 - )</v>
      </c>
      <c r="D398" s="150" t="str">
        <f>VLOOKUP($A398,'All Girls &amp; Descendants - Edit'!$AC$2:$AJ$438,4,FALSE)</f>
        <v>Harriet WARNER (7th &amp; 18)</v>
      </c>
      <c r="E398" s="150" t="str">
        <f>VLOOKUP($A398,'All Girls &amp; Descendants - Edit'!$AC$2:$AJ$438,7,FALSE)</f>
        <v>Unmarried</v>
      </c>
      <c r="F398" s="150" t="str">
        <f>VLOOKUP($A398,'All Girls &amp; Descendants - Edit'!$AC$2:$AJ$438,8,FALSE)</f>
        <v>Female. b. 09/02/1988 Harriet lives in SW London. Educated Rugby and Edinburgh Napier. Nursery School Teacher.</v>
      </c>
    </row>
    <row r="399" spans="1:6">
      <c r="A399" s="149">
        <f t="shared" si="7"/>
        <v>5012</v>
      </c>
      <c r="B399" s="150" t="str">
        <f>VLOOKUP($A399,'All Girls &amp; Descendants - Edit'!$AC$2:$AJ$438,2,FALSE)</f>
        <v>18bbbba</v>
      </c>
      <c r="C399" s="150" t="str">
        <f>VLOOKUP($A399,'All Girls &amp; Descendants - Edit'!$AC$2:$AJ$438,3,FALSE)</f>
        <v>Helen Louise  NICOL (1982 - )</v>
      </c>
      <c r="D399" s="150" t="str">
        <f>VLOOKUP($A399,'All Girls &amp; Descendants - Edit'!$AC$2:$AJ$438,4,FALSE)</f>
        <v>Helen NICOL (7th &amp; 18)</v>
      </c>
      <c r="E399" s="150" t="str">
        <f>VLOOKUP($A399,'All Girls &amp; Descendants - Edit'!$AC$2:$AJ$438,7,FALSE)</f>
        <v>Unmarried</v>
      </c>
      <c r="F399" s="150" t="str">
        <f>VLOOKUP($A399,'All Girls &amp; Descendants - Edit'!$AC$2:$AJ$438,8,FALSE)</f>
        <v>Female. b. 23/03/1982</v>
      </c>
    </row>
    <row r="400" spans="1:6">
      <c r="A400" s="149">
        <f t="shared" si="7"/>
        <v>5013</v>
      </c>
      <c r="B400" s="150" t="str">
        <f>VLOOKUP($A400,'All Girls &amp; Descendants - Edit'!$AC$2:$AJ$438,2,FALSE)</f>
        <v>18bbbbb</v>
      </c>
      <c r="C400" s="150" t="str">
        <f>VLOOKUP($A400,'All Girls &amp; Descendants - Edit'!$AC$2:$AJ$438,3,FALSE)</f>
        <v>Lucinda Rachel  NICOL (1984 - )</v>
      </c>
      <c r="D400" s="150" t="str">
        <f>VLOOKUP($A400,'All Girls &amp; Descendants - Edit'!$AC$2:$AJ$438,4,FALSE)</f>
        <v>Lucy NICOL (7th &amp; 18)</v>
      </c>
      <c r="E400" s="150" t="str">
        <f>VLOOKUP($A400,'All Girls &amp; Descendants - Edit'!$AC$2:$AJ$438,7,FALSE)</f>
        <v>Unmarried</v>
      </c>
      <c r="F400" s="150" t="str">
        <f>VLOOKUP($A400,'All Girls &amp; Descendants - Edit'!$AC$2:$AJ$438,8,FALSE)</f>
        <v>Female. b. 24/02/1984</v>
      </c>
    </row>
    <row r="401" spans="1:6">
      <c r="A401" s="149">
        <f t="shared" si="7"/>
        <v>5014</v>
      </c>
      <c r="B401" s="150" t="str">
        <f>VLOOKUP($A401,'All Girls &amp; Descendants - Edit'!$AC$2:$AJ$438,2,FALSE)</f>
        <v>18bbbbc</v>
      </c>
      <c r="C401" s="150" t="str">
        <f>VLOOKUP($A401,'All Girls &amp; Descendants - Edit'!$AC$2:$AJ$438,3,FALSE)</f>
        <v>Johnathan Michael  NICOL (1987 - 1988)</v>
      </c>
      <c r="D401" s="150" t="str">
        <f>VLOOKUP($A401,'All Girls &amp; Descendants - Edit'!$AC$2:$AJ$438,4,FALSE)</f>
        <v>Johnathan NICOL (7th &amp; 18)</v>
      </c>
      <c r="E401" s="150" t="str">
        <f>VLOOKUP($A401,'All Girls &amp; Descendants - Edit'!$AC$2:$AJ$438,7,FALSE)</f>
        <v>Unmarried</v>
      </c>
      <c r="F401" s="150" t="str">
        <f>VLOOKUP($A401,'All Girls &amp; Descendants - Edit'!$AC$2:$AJ$438,8,FALSE)</f>
        <v>Male. b. 08/11/1987, d. 15/02/1988.</v>
      </c>
    </row>
    <row r="402" spans="1:6">
      <c r="A402" s="149">
        <f t="shared" si="7"/>
        <v>5015</v>
      </c>
      <c r="B402" s="150" t="str">
        <f>VLOOKUP($A402,'All Girls &amp; Descendants - Edit'!$AC$2:$AJ$438,2,FALSE)</f>
        <v>18bbbbd</v>
      </c>
      <c r="C402" s="150" t="str">
        <f>VLOOKUP($A402,'All Girls &amp; Descendants - Edit'!$AC$2:$AJ$438,3,FALSE)</f>
        <v>James Peter Robert NICOL (1991 - )</v>
      </c>
      <c r="D402" s="150" t="str">
        <f>VLOOKUP($A402,'All Girls &amp; Descendants - Edit'!$AC$2:$AJ$438,4,FALSE)</f>
        <v>James NICOL (7th &amp; 18)</v>
      </c>
      <c r="E402" s="150" t="str">
        <f>VLOOKUP($A402,'All Girls &amp; Descendants - Edit'!$AC$2:$AJ$438,7,FALSE)</f>
        <v>Unmarried</v>
      </c>
      <c r="F402" s="150" t="str">
        <f>VLOOKUP($A402,'All Girls &amp; Descendants - Edit'!$AC$2:$AJ$438,8,FALSE)</f>
        <v>Male. b. 23/01/1991</v>
      </c>
    </row>
    <row r="403" spans="1:6">
      <c r="A403" s="149">
        <f t="shared" ref="A403:A420" si="8">A402+1</f>
        <v>5016</v>
      </c>
      <c r="B403" s="150" t="str">
        <f>VLOOKUP($A403,'All Girls &amp; Descendants - Edit'!$AC$2:$AJ$438,2,FALSE)</f>
        <v>18bbbca</v>
      </c>
      <c r="C403" s="150" t="str">
        <f>VLOOKUP($A403,'All Girls &amp; Descendants - Edit'!$AC$2:$AJ$438,3,FALSE)</f>
        <v>Abigail Elizabeth  NICOL (1985 - )</v>
      </c>
      <c r="D403" s="150" t="str">
        <f>VLOOKUP($A403,'All Girls &amp; Descendants - Edit'!$AC$2:$AJ$438,4,FALSE)</f>
        <v>Abigail NICOL (7th &amp; 18)</v>
      </c>
      <c r="E403" s="150" t="str">
        <f>VLOOKUP($A403,'All Girls &amp; Descendants - Edit'!$AC$2:$AJ$438,7,FALSE)</f>
        <v>Unmarried</v>
      </c>
      <c r="F403" s="150" t="str">
        <f>VLOOKUP($A403,'All Girls &amp; Descendants - Edit'!$AC$2:$AJ$438,8,FALSE)</f>
        <v>Female. b. 24/11/1985 Twin with her sister Jennifer.</v>
      </c>
    </row>
    <row r="404" spans="1:6">
      <c r="A404" s="149">
        <f t="shared" si="8"/>
        <v>5017</v>
      </c>
      <c r="B404" s="150" t="str">
        <f>VLOOKUP($A404,'All Girls &amp; Descendants - Edit'!$AC$2:$AJ$438,2,FALSE)</f>
        <v>18bbbcb</v>
      </c>
      <c r="C404" s="150" t="str">
        <f>VLOOKUP($A404,'All Girls &amp; Descendants - Edit'!$AC$2:$AJ$438,3,FALSE)</f>
        <v>Jennifer Catherine  NICOL (1985 - )</v>
      </c>
      <c r="D404" s="150" t="str">
        <f>VLOOKUP($A404,'All Girls &amp; Descendants - Edit'!$AC$2:$AJ$438,4,FALSE)</f>
        <v>Jennifer NICOL (7th &amp; 18)</v>
      </c>
      <c r="E404" s="150" t="str">
        <f>VLOOKUP($A404,'All Girls &amp; Descendants - Edit'!$AC$2:$AJ$438,7,FALSE)</f>
        <v>Unmarried</v>
      </c>
      <c r="F404" s="150" t="str">
        <f>VLOOKUP($A404,'All Girls &amp; Descendants - Edit'!$AC$2:$AJ$438,8,FALSE)</f>
        <v>Female. b. 24/11/1985 Twin with her sister, Abigail</v>
      </c>
    </row>
    <row r="405" spans="1:6">
      <c r="A405" s="149">
        <f t="shared" si="8"/>
        <v>5018</v>
      </c>
      <c r="B405" s="150" t="str">
        <f>VLOOKUP($A405,'All Girls &amp; Descendants - Edit'!$AC$2:$AJ$438,2,FALSE)</f>
        <v>18bbbcc</v>
      </c>
      <c r="C405" s="150" t="str">
        <f>VLOOKUP($A405,'All Girls &amp; Descendants - Edit'!$AC$2:$AJ$438,3,FALSE)</f>
        <v>Alice Mary Rose NICOL (1988 - )</v>
      </c>
      <c r="D405" s="150" t="str">
        <f>VLOOKUP($A405,'All Girls &amp; Descendants - Edit'!$AC$2:$AJ$438,4,FALSE)</f>
        <v>Alice NICOL (7th &amp; 18)</v>
      </c>
      <c r="E405" s="150" t="str">
        <f>VLOOKUP($A405,'All Girls &amp; Descendants - Edit'!$AC$2:$AJ$438,7,FALSE)</f>
        <v>Unmarried</v>
      </c>
      <c r="F405" s="150" t="str">
        <f>VLOOKUP($A405,'All Girls &amp; Descendants - Edit'!$AC$2:$AJ$438,8,FALSE)</f>
        <v>Female. b. 21/01/1988</v>
      </c>
    </row>
    <row r="406" spans="1:6">
      <c r="A406" s="149">
        <f t="shared" si="8"/>
        <v>5019</v>
      </c>
      <c r="B406" s="150" t="str">
        <f>VLOOKUP($A406,'All Girls &amp; Descendants - Edit'!$AC$2:$AJ$438,2,FALSE)</f>
        <v>18bbbcd</v>
      </c>
      <c r="C406" s="150" t="str">
        <f>VLOOKUP($A406,'All Girls &amp; Descendants - Edit'!$AC$2:$AJ$438,3,FALSE)</f>
        <v>Catherine Margaret  NICOL (1990 - )</v>
      </c>
      <c r="D406" s="150" t="str">
        <f>VLOOKUP($A406,'All Girls &amp; Descendants - Edit'!$AC$2:$AJ$438,4,FALSE)</f>
        <v>Catherine NICOL (7th &amp; 18)</v>
      </c>
      <c r="E406" s="150" t="str">
        <f>VLOOKUP($A406,'All Girls &amp; Descendants - Edit'!$AC$2:$AJ$438,7,FALSE)</f>
        <v>Unmarried</v>
      </c>
      <c r="F406" s="150" t="str">
        <f>VLOOKUP($A406,'All Girls &amp; Descendants - Edit'!$AC$2:$AJ$438,8,FALSE)</f>
        <v>Female. b. 24/04/1990</v>
      </c>
    </row>
    <row r="407" spans="1:6">
      <c r="A407" s="149">
        <f t="shared" si="8"/>
        <v>5020</v>
      </c>
      <c r="B407" s="150" t="str">
        <f>VLOOKUP($A407,'All Girls &amp; Descendants - Edit'!$AC$2:$AJ$438,2,FALSE)</f>
        <v>18bbbce</v>
      </c>
      <c r="C407" s="150" t="str">
        <f>VLOOKUP($A407,'All Girls &amp; Descendants - Edit'!$AC$2:$AJ$438,3,FALSE)</f>
        <v>Elisabeth Iona  NICOL (1990 - )</v>
      </c>
      <c r="D407" s="150" t="str">
        <f>VLOOKUP($A407,'All Girls &amp; Descendants - Edit'!$AC$2:$AJ$438,4,FALSE)</f>
        <v>Elisabeth NICOL (7th &amp; 18)</v>
      </c>
      <c r="E407" s="150" t="str">
        <f>VLOOKUP($A407,'All Girls &amp; Descendants - Edit'!$AC$2:$AJ$438,7,FALSE)</f>
        <v>Unmarried</v>
      </c>
      <c r="F407" s="150" t="str">
        <f>VLOOKUP($A407,'All Girls &amp; Descendants - Edit'!$AC$2:$AJ$438,8,FALSE)</f>
        <v>Female. b. 25/04/1990</v>
      </c>
    </row>
    <row r="408" spans="1:6">
      <c r="A408" s="149">
        <f t="shared" si="8"/>
        <v>5021</v>
      </c>
      <c r="B408" s="150" t="str">
        <f>VLOOKUP($A408,'All Girls &amp; Descendants - Edit'!$AC$2:$AJ$438,2,FALSE)</f>
        <v>18bbbcf</v>
      </c>
      <c r="C408" s="150" t="str">
        <f>VLOOKUP($A408,'All Girls &amp; Descendants - Edit'!$AC$2:$AJ$438,3,FALSE)</f>
        <v>Lydia Clare Diana NICOL (1992 - )</v>
      </c>
      <c r="D408" s="150" t="str">
        <f>VLOOKUP($A408,'All Girls &amp; Descendants - Edit'!$AC$2:$AJ$438,4,FALSE)</f>
        <v>Lydia NICOL (7th &amp; 18)</v>
      </c>
      <c r="E408" s="150" t="str">
        <f>VLOOKUP($A408,'All Girls &amp; Descendants - Edit'!$AC$2:$AJ$438,7,FALSE)</f>
        <v>Unmarried</v>
      </c>
      <c r="F408" s="150" t="str">
        <f>VLOOKUP($A408,'All Girls &amp; Descendants - Edit'!$AC$2:$AJ$438,8,FALSE)</f>
        <v>Female. b. 19/03/1992</v>
      </c>
    </row>
    <row r="409" spans="1:6">
      <c r="A409" s="149">
        <f t="shared" si="8"/>
        <v>5022</v>
      </c>
      <c r="B409" s="150" t="str">
        <f>VLOOKUP($A409,'All Girls &amp; Descendants - Edit'!$AC$2:$AJ$438,2,FALSE)</f>
        <v>18bbbcg</v>
      </c>
      <c r="C409" s="150" t="str">
        <f>VLOOKUP($A409,'All Girls &amp; Descendants - Edit'!$AC$2:$AJ$438,3,FALSE)</f>
        <v>Patrick William John Perry NICOL (1995 - )</v>
      </c>
      <c r="D409" s="150" t="str">
        <f>VLOOKUP($A409,'All Girls &amp; Descendants - Edit'!$AC$2:$AJ$438,4,FALSE)</f>
        <v>Patrick NICOL (7th &amp; 18)</v>
      </c>
      <c r="E409" s="150" t="str">
        <f>VLOOKUP($A409,'All Girls &amp; Descendants - Edit'!$AC$2:$AJ$438,7,FALSE)</f>
        <v>Unmarried</v>
      </c>
      <c r="F409" s="150" t="str">
        <f>VLOOKUP($A409,'All Girls &amp; Descendants - Edit'!$AC$2:$AJ$438,8,FALSE)</f>
        <v>Male. b. 28/12/1995</v>
      </c>
    </row>
    <row r="410" spans="1:6">
      <c r="A410" s="149">
        <f t="shared" si="8"/>
        <v>5023</v>
      </c>
      <c r="B410" s="150" t="str">
        <f>VLOOKUP($A410,'All Girls &amp; Descendants - Edit'!$AC$2:$AJ$438,2,FALSE)</f>
        <v>36dbaaa</v>
      </c>
      <c r="C410" s="150" t="str">
        <f>VLOOKUP($A410,'All Girls &amp; Descendants - Edit'!$AC$2:$AJ$438,3,FALSE)</f>
        <v>Lorne Robert  SCOTT-DEMPSTER (1998 - )</v>
      </c>
      <c r="D410" s="150" t="str">
        <f>VLOOKUP($A410,'All Girls &amp; Descendants - Edit'!$AC$2:$AJ$438,4,FALSE)</f>
        <v>Lorne SCOTT-DEMPSTER (8th &amp; 36)</v>
      </c>
      <c r="E410" s="150" t="str">
        <f>VLOOKUP($A410,'All Girls &amp; Descendants - Edit'!$AC$2:$AJ$438,7,FALSE)</f>
        <v>Unmarried</v>
      </c>
      <c r="F410" s="150" t="str">
        <f>VLOOKUP($A410,'All Girls &amp; Descendants - Edit'!$AC$2:$AJ$438,8,FALSE)</f>
        <v>Male. b. 06/12/1998 Born in Edinburgh.</v>
      </c>
    </row>
    <row r="411" spans="1:6">
      <c r="A411" s="149">
        <f t="shared" si="8"/>
        <v>5024</v>
      </c>
      <c r="B411" s="150" t="str">
        <f>VLOOKUP($A411,'All Girls &amp; Descendants - Edit'!$AC$2:$AJ$438,2,FALSE)</f>
        <v>36dbbaa</v>
      </c>
      <c r="C411" s="150" t="str">
        <f>VLOOKUP($A411,'All Girls &amp; Descendants - Edit'!$AC$2:$AJ$438,3,FALSE)</f>
        <v>Cosmo Stephen Buckle GRAHAM (1995 - )</v>
      </c>
      <c r="D411" s="150" t="str">
        <f>VLOOKUP($A411,'All Girls &amp; Descendants - Edit'!$AC$2:$AJ$438,4,FALSE)</f>
        <v>Cosmo GRAHAM (8th &amp; 36)</v>
      </c>
      <c r="E411" s="150" t="str">
        <f>VLOOKUP($A411,'All Girls &amp; Descendants - Edit'!$AC$2:$AJ$438,7,FALSE)</f>
        <v>Unmarried</v>
      </c>
      <c r="F411" s="150" t="str">
        <f>VLOOKUP($A411,'All Girls &amp; Descendants - Edit'!$AC$2:$AJ$438,8,FALSE)</f>
        <v>Male. b. 05/09/1995 Born in London.</v>
      </c>
    </row>
    <row r="412" spans="1:6">
      <c r="A412" s="149">
        <f t="shared" si="8"/>
        <v>5025</v>
      </c>
      <c r="B412" s="150" t="str">
        <f>VLOOKUP($A412,'All Girls &amp; Descendants - Edit'!$AC$2:$AJ$438,2,FALSE)</f>
        <v>36dbbab</v>
      </c>
      <c r="C412" s="150" t="str">
        <f>VLOOKUP($A412,'All Girls &amp; Descendants - Edit'!$AC$2:$AJ$438,3,FALSE)</f>
        <v>Ludovic James Buckle GRAHAM (1997 - )</v>
      </c>
      <c r="D412" s="150" t="str">
        <f>VLOOKUP($A412,'All Girls &amp; Descendants - Edit'!$AC$2:$AJ$438,4,FALSE)</f>
        <v>Ludovic GRAHAM (8th &amp; 36)</v>
      </c>
      <c r="E412" s="150" t="str">
        <f>VLOOKUP($A412,'All Girls &amp; Descendants - Edit'!$AC$2:$AJ$438,7,FALSE)</f>
        <v>Unmarried</v>
      </c>
      <c r="F412" s="150" t="str">
        <f>VLOOKUP($A412,'All Girls &amp; Descendants - Edit'!$AC$2:$AJ$438,8,FALSE)</f>
        <v>Female. b. 18/08/1997 Born in London.</v>
      </c>
    </row>
    <row r="413" spans="1:6">
      <c r="A413" s="149">
        <f t="shared" si="8"/>
        <v>5026</v>
      </c>
      <c r="B413" s="150" t="str">
        <f>VLOOKUP($A413,'All Girls &amp; Descendants - Edit'!$AC$2:$AJ$438,2,FALSE)</f>
        <v>36dbbba</v>
      </c>
      <c r="C413" s="150" t="str">
        <f>VLOOKUP($A413,'All Girls &amp; Descendants - Edit'!$AC$2:$AJ$438,3,FALSE)</f>
        <v>Oscar James Montague LINDSAY (1998 - )</v>
      </c>
      <c r="D413" s="150" t="str">
        <f>VLOOKUP($A413,'All Girls &amp; Descendants - Edit'!$AC$2:$AJ$438,4,FALSE)</f>
        <v>Oscar LINDSAY (8th &amp; 36)</v>
      </c>
      <c r="E413" s="150" t="str">
        <f>VLOOKUP($A413,'All Girls &amp; Descendants - Edit'!$AC$2:$AJ$438,7,FALSE)</f>
        <v>Unmarried</v>
      </c>
      <c r="F413" s="150" t="str">
        <f>VLOOKUP($A413,'All Girls &amp; Descendants - Edit'!$AC$2:$AJ$438,8,FALSE)</f>
        <v>Male. b. 02/07/1998 Born in London.</v>
      </c>
    </row>
    <row r="414" spans="1:6">
      <c r="A414" s="149">
        <v>6001</v>
      </c>
      <c r="B414" s="150" t="str">
        <f>VLOOKUP($A414,'All Girls &amp; Descendants - Edit'!$AC$2:$AJ$438,2,FALSE)</f>
        <v>18bbabaa</v>
      </c>
      <c r="C414" s="150" t="str">
        <f>VLOOKUP($A414,'All Girls &amp; Descendants - Edit'!$AC$2:$AJ$438,3,FALSE)</f>
        <v>William   BERRY (2008 - )</v>
      </c>
      <c r="D414" s="150" t="str">
        <f>VLOOKUP($A414,'All Girls &amp; Descendants - Edit'!$AC$2:$AJ$438,4,FALSE)</f>
        <v>William BERRY (8th &amp; 18)</v>
      </c>
      <c r="E414" s="150" t="str">
        <f>VLOOKUP($A414,'All Girls &amp; Descendants - Edit'!$AC$2:$AJ$438,7,FALSE)</f>
        <v>Unmarried</v>
      </c>
      <c r="F414" s="150" t="str">
        <f>VLOOKUP($A414,'All Girls &amp; Descendants - Edit'!$AC$2:$AJ$438,8,FALSE)</f>
        <v>Male. b. 29/06/2008 Born in Geneva.</v>
      </c>
    </row>
    <row r="415" spans="1:6">
      <c r="A415" s="149">
        <f t="shared" si="8"/>
        <v>6002</v>
      </c>
      <c r="B415" s="150" t="str">
        <f>VLOOKUP($A415,'All Girls &amp; Descendants - Edit'!$AC$2:$AJ$438,2,FALSE)</f>
        <v>18bbabab</v>
      </c>
      <c r="C415" s="150" t="str">
        <f>VLOOKUP($A415,'All Girls &amp; Descendants - Edit'!$AC$2:$AJ$438,3,FALSE)</f>
        <v>Mungo James  BERRY (2010 - )</v>
      </c>
      <c r="D415" s="150" t="str">
        <f>VLOOKUP($A415,'All Girls &amp; Descendants - Edit'!$AC$2:$AJ$438,4,FALSE)</f>
        <v>Mungo BERRY (8th &amp; 18)</v>
      </c>
      <c r="E415" s="150" t="str">
        <f>VLOOKUP($A415,'All Girls &amp; Descendants - Edit'!$AC$2:$AJ$438,7,FALSE)</f>
        <v>Unmarried</v>
      </c>
      <c r="F415" s="150" t="str">
        <f>VLOOKUP($A415,'All Girls &amp; Descendants - Edit'!$AC$2:$AJ$438,8,FALSE)</f>
        <v>Male. b. 19/03/2010 Born in Edinburgh.</v>
      </c>
    </row>
    <row r="416" spans="1:6">
      <c r="A416" s="149">
        <f t="shared" si="8"/>
        <v>6003</v>
      </c>
      <c r="B416" s="150" t="str">
        <f>VLOOKUP($A416,'All Girls &amp; Descendants - Edit'!$AC$2:$AJ$438,2,FALSE)</f>
        <v>18bbabba</v>
      </c>
      <c r="C416" s="150" t="str">
        <f>VLOOKUP($A416,'All Girls &amp; Descendants - Edit'!$AC$2:$AJ$438,3,FALSE)</f>
        <v>Ursula Hermione Grace BERRY (2010 - )</v>
      </c>
      <c r="D416" s="150" t="str">
        <f>VLOOKUP($A416,'All Girls &amp; Descendants - Edit'!$AC$2:$AJ$438,4,FALSE)</f>
        <v>Ursula BERRY (8th &amp; 18)</v>
      </c>
      <c r="E416" s="150" t="str">
        <f>VLOOKUP($A416,'All Girls &amp; Descendants - Edit'!$AC$2:$AJ$438,7,FALSE)</f>
        <v>Unmarried</v>
      </c>
      <c r="F416" s="150" t="str">
        <f>VLOOKUP($A416,'All Girls &amp; Descendants - Edit'!$AC$2:$AJ$438,8,FALSE)</f>
        <v>Female. b. 29/05/2010 Born in London.</v>
      </c>
    </row>
    <row r="417" spans="1:6">
      <c r="A417" s="149">
        <f t="shared" si="8"/>
        <v>6004</v>
      </c>
      <c r="B417" s="150" t="str">
        <f>VLOOKUP($A417,'All Girls &amp; Descendants - Edit'!$AC$2:$AJ$438,2,FALSE)</f>
        <v>18bbabbb</v>
      </c>
      <c r="C417" s="150" t="str">
        <f>VLOOKUP($A417,'All Girls &amp; Descendants - Edit'!$AC$2:$AJ$438,3,FALSE)</f>
        <v>Arthur Oran James BERRY (2013 - )</v>
      </c>
      <c r="D417" s="150" t="str">
        <f>VLOOKUP($A417,'All Girls &amp; Descendants - Edit'!$AC$2:$AJ$438,4,FALSE)</f>
        <v>Arthur BERRY (8th &amp; 18)</v>
      </c>
      <c r="E417" s="150" t="str">
        <f>VLOOKUP($A417,'All Girls &amp; Descendants - Edit'!$AC$2:$AJ$438,7,FALSE)</f>
        <v>Unmarried</v>
      </c>
      <c r="F417" s="150" t="str">
        <f>VLOOKUP($A417,'All Girls &amp; Descendants - Edit'!$AC$2:$AJ$438,8,FALSE)</f>
        <v>Male. b. 28/10/2013 Born in London.</v>
      </c>
    </row>
    <row r="418" spans="1:6">
      <c r="A418" s="149">
        <f t="shared" si="8"/>
        <v>6005</v>
      </c>
      <c r="B418" s="150" t="str">
        <f>VLOOKUP($A418,'All Girls &amp; Descendants - Edit'!$AC$2:$AJ$438,2,FALSE)</f>
        <v>18bbadaa</v>
      </c>
      <c r="C418" s="150" t="str">
        <f>VLOOKUP($A418,'All Girls &amp; Descendants - Edit'!$AC$2:$AJ$438,3,FALSE)</f>
        <v>Camilla Rose Aimee WARNER (2017 - )</v>
      </c>
      <c r="D418" s="150" t="str">
        <f>VLOOKUP($A418,'All Girls &amp; Descendants - Edit'!$AC$2:$AJ$438,4,FALSE)</f>
        <v>Camilla WARNER (8th &amp; 18)</v>
      </c>
      <c r="E418" s="150" t="str">
        <f>VLOOKUP($A418,'All Girls &amp; Descendants - Edit'!$AC$2:$AJ$438,7,FALSE)</f>
        <v>Unmarried</v>
      </c>
      <c r="F418" s="150" t="str">
        <f>VLOOKUP($A418,'All Girls &amp; Descendants - Edit'!$AC$2:$AJ$438,8,FALSE)</f>
        <v>Female. b. 18/04/2017</v>
      </c>
    </row>
    <row r="419" spans="1:6">
      <c r="A419" s="149">
        <f t="shared" si="8"/>
        <v>6006</v>
      </c>
      <c r="B419" s="150" t="str">
        <f>VLOOKUP($A419,'All Girls &amp; Descendants - Edit'!$AC$2:$AJ$438,2,FALSE)</f>
        <v>18bbadab</v>
      </c>
      <c r="C419" s="150" t="str">
        <f>VLOOKUP($A419,'All Girls &amp; Descendants - Edit'!$AC$2:$AJ$438,3,FALSE)</f>
        <v>William Peter Redston WARNER (2018 - )</v>
      </c>
      <c r="D419" s="150" t="str">
        <f>VLOOKUP($A419,'All Girls &amp; Descendants - Edit'!$AC$2:$AJ$438,4,FALSE)</f>
        <v>William WARNER (8th &amp; 18)</v>
      </c>
      <c r="E419" s="150" t="str">
        <f>VLOOKUP($A419,'All Girls &amp; Descendants - Edit'!$AC$2:$AJ$438,7,FALSE)</f>
        <v>Unmarried</v>
      </c>
      <c r="F419" s="150" t="str">
        <f>VLOOKUP($A419,'All Girls &amp; Descendants - Edit'!$AC$2:$AJ$438,8,FALSE)</f>
        <v>Male. b. 18/12/2018</v>
      </c>
    </row>
    <row r="420" spans="1:6">
      <c r="A420" s="149">
        <f t="shared" si="8"/>
        <v>6007</v>
      </c>
      <c r="B420" s="150" t="str">
        <f>VLOOKUP($A420,'All Girls &amp; Descendants - Edit'!$AC$2:$AJ$438,2,FALSE)</f>
        <v>18bbadac</v>
      </c>
      <c r="C420" s="150" t="str">
        <f>VLOOKUP($A420,'All Girls &amp; Descendants - Edit'!$AC$2:$AJ$438,3,FALSE)</f>
        <v>Oliver James Robert WARNER (2020 - )</v>
      </c>
      <c r="D420" s="150" t="str">
        <f>VLOOKUP($A420,'All Girls &amp; Descendants - Edit'!$AC$2:$AJ$438,4,FALSE)</f>
        <v>Oliver WARNER (8th &amp; 18)</v>
      </c>
      <c r="E420" s="150" t="str">
        <f>VLOOKUP($A420,'All Girls &amp; Descendants - Edit'!$AC$2:$AJ$438,7,FALSE)</f>
        <v>Unmarried</v>
      </c>
      <c r="F420" s="150" t="str">
        <f>VLOOKUP($A420,'All Girls &amp; Descendants - Edit'!$AC$2:$AJ$438,8,FALSE)</f>
        <v>Male. b. 22/12/2020</v>
      </c>
    </row>
    <row r="421" spans="1:6">
      <c r="A421" s="149"/>
      <c r="B421" s="150"/>
      <c r="C421" s="150"/>
      <c r="D421" s="150"/>
      <c r="E421" s="150"/>
      <c r="F421" s="150"/>
    </row>
    <row r="422" spans="1:6">
      <c r="A422" s="149"/>
    </row>
    <row r="423" spans="1:6">
      <c r="A423" s="149"/>
    </row>
    <row r="424" spans="1:6">
      <c r="A424" s="149"/>
    </row>
    <row r="425" spans="1:6">
      <c r="A425" s="149"/>
    </row>
    <row r="426" spans="1:6">
      <c r="A426" s="149"/>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4D7ED-A2B7-9F45-B4FD-0C74DA92F92E}">
  <dimension ref="A1:N194"/>
  <sheetViews>
    <sheetView topLeftCell="A5" workbookViewId="0">
      <selection activeCell="D5" sqref="D5"/>
    </sheetView>
  </sheetViews>
  <sheetFormatPr baseColWidth="10" defaultRowHeight="16"/>
  <cols>
    <col min="1" max="1" width="10.83203125" style="172"/>
    <col min="2" max="2" width="25.1640625" style="172" customWidth="1"/>
    <col min="3" max="3" width="10.83203125" style="172" customWidth="1"/>
    <col min="4" max="4" width="100.33203125" style="172" customWidth="1"/>
    <col min="5" max="5" width="159.83203125" style="211" customWidth="1"/>
    <col min="6" max="7" width="46" style="172" customWidth="1"/>
    <col min="8" max="8" width="51.6640625" style="172" customWidth="1"/>
    <col min="9" max="9" width="10.83203125" style="172"/>
    <col min="10" max="10" width="29" style="172" bestFit="1" customWidth="1"/>
    <col min="11" max="11" width="10.83203125" style="172"/>
    <col min="12" max="12" width="83.1640625" style="172" customWidth="1"/>
    <col min="13" max="13" width="40" style="172" customWidth="1"/>
    <col min="14" max="16384" width="10.83203125" style="172"/>
  </cols>
  <sheetData>
    <row r="1" spans="1:14" ht="17">
      <c r="A1" s="170" t="s">
        <v>780</v>
      </c>
      <c r="B1" s="170" t="s">
        <v>1141</v>
      </c>
      <c r="C1" s="170" t="s">
        <v>966</v>
      </c>
      <c r="D1" s="171" t="s">
        <v>3301</v>
      </c>
      <c r="E1" s="239" t="s">
        <v>3302</v>
      </c>
      <c r="F1" s="240" t="s">
        <v>3303</v>
      </c>
      <c r="G1" s="240" t="s">
        <v>2794</v>
      </c>
      <c r="H1" s="240" t="s">
        <v>1381</v>
      </c>
    </row>
    <row r="2" spans="1:14">
      <c r="A2" s="205">
        <v>0</v>
      </c>
      <c r="B2" s="205" t="s">
        <v>3304</v>
      </c>
      <c r="C2" s="205" t="s">
        <v>2815</v>
      </c>
      <c r="D2" s="206">
        <v>0</v>
      </c>
      <c r="E2" s="241"/>
      <c r="F2" s="242" t="s">
        <v>3440</v>
      </c>
      <c r="G2" s="242">
        <v>0</v>
      </c>
      <c r="H2" s="242">
        <v>0</v>
      </c>
      <c r="I2" s="205">
        <v>0</v>
      </c>
      <c r="J2" s="205" t="s">
        <v>3304</v>
      </c>
      <c r="K2" s="205"/>
      <c r="L2" s="206"/>
      <c r="M2" s="206"/>
      <c r="N2" s="207"/>
    </row>
    <row r="3" spans="1:14" s="173" customFormat="1" ht="153">
      <c r="A3" s="208">
        <v>1</v>
      </c>
      <c r="B3" s="208" t="s">
        <v>1849</v>
      </c>
      <c r="C3" s="208" t="s">
        <v>2815</v>
      </c>
      <c r="D3" s="209" t="s">
        <v>3978</v>
      </c>
      <c r="E3" s="243" t="s">
        <v>4250</v>
      </c>
      <c r="F3" s="244" t="s">
        <v>3440</v>
      </c>
      <c r="G3" s="242" t="s">
        <v>3775</v>
      </c>
      <c r="H3" s="242" t="s">
        <v>2795</v>
      </c>
      <c r="I3" s="208">
        <v>1</v>
      </c>
      <c r="J3" s="208" t="s">
        <v>1849</v>
      </c>
      <c r="K3" s="208"/>
      <c r="L3" s="209"/>
      <c r="M3" s="209"/>
    </row>
    <row r="4" spans="1:14" s="173" customFormat="1" ht="34">
      <c r="A4" s="208">
        <v>2</v>
      </c>
      <c r="B4" s="208" t="s">
        <v>1848</v>
      </c>
      <c r="C4" s="208" t="s">
        <v>2814</v>
      </c>
      <c r="D4" s="209" t="s">
        <v>3459</v>
      </c>
      <c r="E4" s="243" t="s">
        <v>4180</v>
      </c>
      <c r="F4" s="244" t="s">
        <v>3440</v>
      </c>
      <c r="G4" s="242" t="s">
        <v>1947</v>
      </c>
      <c r="H4" s="242" t="s">
        <v>2796</v>
      </c>
      <c r="I4" s="208">
        <v>2</v>
      </c>
      <c r="J4" s="208" t="s">
        <v>1848</v>
      </c>
      <c r="K4" s="208"/>
      <c r="L4" s="209"/>
      <c r="M4" s="209"/>
    </row>
    <row r="5" spans="1:14" s="173" customFormat="1" ht="409" customHeight="1">
      <c r="A5" s="208">
        <v>3</v>
      </c>
      <c r="B5" s="208" t="s">
        <v>3305</v>
      </c>
      <c r="C5" s="208" t="s">
        <v>2815</v>
      </c>
      <c r="D5" s="209" t="s">
        <v>3979</v>
      </c>
      <c r="E5" s="243" t="s">
        <v>4251</v>
      </c>
      <c r="F5" s="244" t="s">
        <v>3441</v>
      </c>
      <c r="G5" s="242" t="s">
        <v>3937</v>
      </c>
      <c r="H5" s="242" t="s">
        <v>3938</v>
      </c>
      <c r="I5" s="208">
        <v>3</v>
      </c>
      <c r="J5" s="208" t="s">
        <v>3305</v>
      </c>
      <c r="K5" s="208"/>
      <c r="L5" s="209"/>
      <c r="M5" s="209"/>
    </row>
    <row r="6" spans="1:14" s="173" customFormat="1" ht="221">
      <c r="A6" s="208">
        <v>4</v>
      </c>
      <c r="B6" s="208" t="s">
        <v>1866</v>
      </c>
      <c r="C6" s="208" t="s">
        <v>2815</v>
      </c>
      <c r="D6" s="209" t="s">
        <v>3980</v>
      </c>
      <c r="E6" s="243" t="s">
        <v>4181</v>
      </c>
      <c r="F6" s="244" t="s">
        <v>3441</v>
      </c>
      <c r="G6" s="242" t="s">
        <v>3861</v>
      </c>
      <c r="H6" s="242" t="s">
        <v>2797</v>
      </c>
      <c r="I6" s="208">
        <v>4</v>
      </c>
      <c r="J6" s="208" t="s">
        <v>1866</v>
      </c>
      <c r="K6" s="208"/>
      <c r="L6" s="209"/>
      <c r="M6" s="209"/>
    </row>
    <row r="7" spans="1:14" s="173" customFormat="1" ht="34">
      <c r="A7" s="208">
        <v>5</v>
      </c>
      <c r="B7" s="208" t="s">
        <v>1853</v>
      </c>
      <c r="C7" s="208" t="s">
        <v>2814</v>
      </c>
      <c r="D7" s="209" t="s">
        <v>3460</v>
      </c>
      <c r="E7" s="243" t="s">
        <v>4289</v>
      </c>
      <c r="F7" s="244" t="s">
        <v>3440</v>
      </c>
      <c r="G7" s="242" t="s">
        <v>1797</v>
      </c>
      <c r="H7" s="242" t="s">
        <v>2793</v>
      </c>
      <c r="I7" s="208">
        <v>5</v>
      </c>
      <c r="J7" s="208" t="s">
        <v>1853</v>
      </c>
      <c r="K7" s="208"/>
      <c r="L7" s="209"/>
      <c r="M7" s="209"/>
    </row>
    <row r="8" spans="1:14" s="173" customFormat="1" ht="136">
      <c r="A8" s="208">
        <v>6</v>
      </c>
      <c r="B8" s="208" t="s">
        <v>3306</v>
      </c>
      <c r="C8" s="208" t="s">
        <v>2815</v>
      </c>
      <c r="D8" s="209" t="s">
        <v>3981</v>
      </c>
      <c r="E8" s="243" t="s">
        <v>4182</v>
      </c>
      <c r="F8" s="244" t="s">
        <v>3441</v>
      </c>
      <c r="G8" s="242" t="s">
        <v>1797</v>
      </c>
      <c r="H8" s="242" t="s">
        <v>2793</v>
      </c>
      <c r="I8" s="208">
        <v>6</v>
      </c>
      <c r="J8" s="208" t="s">
        <v>3306</v>
      </c>
      <c r="K8" s="208"/>
      <c r="L8" s="209"/>
      <c r="M8" s="209"/>
    </row>
    <row r="9" spans="1:14" s="173" customFormat="1" ht="34">
      <c r="A9" s="208">
        <v>7</v>
      </c>
      <c r="B9" s="208" t="s">
        <v>1857</v>
      </c>
      <c r="C9" s="208" t="s">
        <v>2814</v>
      </c>
      <c r="D9" s="209" t="s">
        <v>3461</v>
      </c>
      <c r="E9" s="243" t="s">
        <v>4252</v>
      </c>
      <c r="F9" s="244" t="s">
        <v>3440</v>
      </c>
      <c r="G9" s="242" t="s">
        <v>1797</v>
      </c>
      <c r="H9" s="242" t="s">
        <v>2793</v>
      </c>
      <c r="I9" s="208">
        <v>7</v>
      </c>
      <c r="J9" s="208" t="s">
        <v>1857</v>
      </c>
      <c r="K9" s="208"/>
      <c r="L9" s="209"/>
      <c r="M9" s="209"/>
    </row>
    <row r="10" spans="1:14" s="173" customFormat="1" ht="409.6">
      <c r="A10" s="208">
        <v>8</v>
      </c>
      <c r="B10" s="208" t="s">
        <v>1862</v>
      </c>
      <c r="C10" s="208" t="s">
        <v>2815</v>
      </c>
      <c r="D10" s="209" t="s">
        <v>3982</v>
      </c>
      <c r="E10" s="243" t="s">
        <v>4253</v>
      </c>
      <c r="F10" s="244" t="s">
        <v>3441</v>
      </c>
      <c r="G10" s="242" t="s">
        <v>2798</v>
      </c>
      <c r="H10" s="242" t="s">
        <v>3862</v>
      </c>
      <c r="I10" s="208">
        <v>8</v>
      </c>
      <c r="J10" s="208" t="s">
        <v>1862</v>
      </c>
      <c r="K10" s="208"/>
      <c r="L10" s="209"/>
      <c r="M10" s="209"/>
    </row>
    <row r="11" spans="1:14" s="173" customFormat="1" ht="409.6">
      <c r="A11" s="208">
        <v>9</v>
      </c>
      <c r="B11" s="208" t="s">
        <v>1887</v>
      </c>
      <c r="C11" s="208" t="s">
        <v>2815</v>
      </c>
      <c r="D11" s="209" t="s">
        <v>3983</v>
      </c>
      <c r="E11" s="243" t="s">
        <v>4261</v>
      </c>
      <c r="F11" s="244" t="s">
        <v>3156</v>
      </c>
      <c r="G11" s="242" t="s">
        <v>2799</v>
      </c>
      <c r="H11" s="242" t="s">
        <v>3805</v>
      </c>
      <c r="I11" s="208">
        <v>9</v>
      </c>
      <c r="J11" s="208" t="s">
        <v>1887</v>
      </c>
      <c r="K11" s="208"/>
      <c r="L11" s="209"/>
      <c r="M11" s="209"/>
    </row>
    <row r="12" spans="1:14" s="173" customFormat="1" ht="409.6">
      <c r="A12" s="208">
        <v>10</v>
      </c>
      <c r="B12" s="208" t="s">
        <v>3307</v>
      </c>
      <c r="C12" s="208" t="s">
        <v>2815</v>
      </c>
      <c r="D12" s="209" t="s">
        <v>4183</v>
      </c>
      <c r="E12" s="243" t="s">
        <v>4290</v>
      </c>
      <c r="F12" s="244" t="s">
        <v>3806</v>
      </c>
      <c r="G12" s="242" t="s">
        <v>1797</v>
      </c>
      <c r="H12" s="242" t="s">
        <v>2793</v>
      </c>
      <c r="I12" s="208">
        <v>10</v>
      </c>
      <c r="J12" s="208" t="s">
        <v>3307</v>
      </c>
      <c r="K12" s="208"/>
      <c r="L12" s="209"/>
      <c r="M12" s="209"/>
    </row>
    <row r="13" spans="1:14" s="173" customFormat="1" ht="51">
      <c r="A13" s="208">
        <v>11</v>
      </c>
      <c r="B13" s="208" t="s">
        <v>1861</v>
      </c>
      <c r="C13" s="208" t="s">
        <v>2814</v>
      </c>
      <c r="D13" s="209" t="s">
        <v>4184</v>
      </c>
      <c r="E13" s="243" t="s">
        <v>4185</v>
      </c>
      <c r="F13" s="244" t="s">
        <v>3156</v>
      </c>
      <c r="G13" s="242" t="s">
        <v>2800</v>
      </c>
      <c r="H13" s="242" t="s">
        <v>2801</v>
      </c>
      <c r="I13" s="208">
        <v>11</v>
      </c>
      <c r="J13" s="208" t="s">
        <v>1861</v>
      </c>
      <c r="K13" s="208"/>
      <c r="L13" s="209"/>
      <c r="M13" s="209"/>
    </row>
    <row r="14" spans="1:14" s="173" customFormat="1" ht="34">
      <c r="A14" s="208">
        <v>12</v>
      </c>
      <c r="B14" s="208" t="s">
        <v>1865</v>
      </c>
      <c r="C14" s="208" t="s">
        <v>2814</v>
      </c>
      <c r="D14" s="209" t="s">
        <v>3462</v>
      </c>
      <c r="E14" s="243" t="s">
        <v>4291</v>
      </c>
      <c r="F14" s="244" t="s">
        <v>3156</v>
      </c>
      <c r="G14" s="242" t="s">
        <v>1797</v>
      </c>
      <c r="H14" s="242" t="s">
        <v>2793</v>
      </c>
      <c r="I14" s="208">
        <v>12</v>
      </c>
      <c r="J14" s="208" t="s">
        <v>1865</v>
      </c>
      <c r="K14" s="208"/>
      <c r="L14" s="209"/>
      <c r="M14" s="209"/>
    </row>
    <row r="15" spans="1:14" s="173" customFormat="1" ht="153">
      <c r="A15" s="208">
        <v>13</v>
      </c>
      <c r="B15" s="208" t="s">
        <v>3308</v>
      </c>
      <c r="C15" s="208" t="s">
        <v>2815</v>
      </c>
      <c r="D15" s="209" t="s">
        <v>3463</v>
      </c>
      <c r="E15" s="243" t="s">
        <v>4292</v>
      </c>
      <c r="F15" s="244" t="s">
        <v>3156</v>
      </c>
      <c r="G15" s="242" t="s">
        <v>2802</v>
      </c>
      <c r="H15" s="242" t="s">
        <v>2804</v>
      </c>
      <c r="I15" s="208">
        <v>13</v>
      </c>
      <c r="J15" s="208" t="s">
        <v>3308</v>
      </c>
      <c r="K15" s="208"/>
      <c r="L15" s="209"/>
      <c r="M15" s="209"/>
    </row>
    <row r="16" spans="1:14" s="173" customFormat="1" ht="404">
      <c r="A16" s="208">
        <v>14</v>
      </c>
      <c r="B16" s="208" t="s">
        <v>1898</v>
      </c>
      <c r="C16" s="208" t="s">
        <v>2815</v>
      </c>
      <c r="D16" s="209" t="s">
        <v>3984</v>
      </c>
      <c r="E16" s="243" t="s">
        <v>4186</v>
      </c>
      <c r="F16" s="244" t="s">
        <v>3806</v>
      </c>
      <c r="G16" s="242" t="s">
        <v>2803</v>
      </c>
      <c r="H16" s="242" t="s">
        <v>3863</v>
      </c>
      <c r="I16" s="208">
        <v>14</v>
      </c>
      <c r="J16" s="208" t="s">
        <v>1898</v>
      </c>
      <c r="K16" s="208"/>
      <c r="L16" s="209"/>
      <c r="M16" s="209"/>
    </row>
    <row r="17" spans="1:13" s="173" customFormat="1" ht="34">
      <c r="A17" s="208">
        <v>15</v>
      </c>
      <c r="B17" s="208" t="s">
        <v>3309</v>
      </c>
      <c r="C17" s="208" t="s">
        <v>2814</v>
      </c>
      <c r="D17" s="209" t="s">
        <v>3464</v>
      </c>
      <c r="E17" s="243" t="s">
        <v>4293</v>
      </c>
      <c r="F17" s="244" t="s">
        <v>3156</v>
      </c>
      <c r="G17" s="242" t="s">
        <v>2791</v>
      </c>
      <c r="H17" s="242" t="s">
        <v>3792</v>
      </c>
      <c r="I17" s="208">
        <v>15</v>
      </c>
      <c r="J17" s="208" t="s">
        <v>3309</v>
      </c>
      <c r="K17" s="208"/>
      <c r="L17" s="209"/>
      <c r="M17" s="209"/>
    </row>
    <row r="18" spans="1:13" s="173" customFormat="1" ht="68">
      <c r="A18" s="208">
        <v>16</v>
      </c>
      <c r="B18" s="208" t="s">
        <v>1873</v>
      </c>
      <c r="C18" s="208" t="s">
        <v>2814</v>
      </c>
      <c r="D18" s="209" t="s">
        <v>3465</v>
      </c>
      <c r="E18" s="243" t="s">
        <v>4294</v>
      </c>
      <c r="F18" s="244" t="s">
        <v>3156</v>
      </c>
      <c r="G18" s="242" t="s">
        <v>2805</v>
      </c>
      <c r="H18" s="242" t="s">
        <v>3765</v>
      </c>
      <c r="I18" s="208">
        <v>16</v>
      </c>
      <c r="J18" s="208" t="s">
        <v>1873</v>
      </c>
      <c r="K18" s="208"/>
      <c r="L18" s="209"/>
      <c r="M18" s="209"/>
    </row>
    <row r="19" spans="1:13" s="173" customFormat="1" ht="34">
      <c r="A19" s="208">
        <v>17</v>
      </c>
      <c r="B19" s="208" t="s">
        <v>3310</v>
      </c>
      <c r="C19" s="208" t="s">
        <v>2815</v>
      </c>
      <c r="D19" s="209" t="s">
        <v>3466</v>
      </c>
      <c r="E19" s="243" t="s">
        <v>4110</v>
      </c>
      <c r="F19" s="244" t="s">
        <v>3156</v>
      </c>
      <c r="G19" s="242" t="s">
        <v>2791</v>
      </c>
      <c r="H19" s="242" t="s">
        <v>3792</v>
      </c>
      <c r="I19" s="208">
        <v>17</v>
      </c>
      <c r="J19" s="208" t="s">
        <v>3310</v>
      </c>
      <c r="K19" s="208"/>
      <c r="L19" s="209"/>
      <c r="M19" s="209"/>
    </row>
    <row r="20" spans="1:13" s="173" customFormat="1" ht="17">
      <c r="A20" s="208">
        <v>18</v>
      </c>
      <c r="B20" s="208" t="s">
        <v>3311</v>
      </c>
      <c r="C20" s="208" t="s">
        <v>2814</v>
      </c>
      <c r="D20" s="209" t="s">
        <v>3467</v>
      </c>
      <c r="E20" s="243" t="s">
        <v>4187</v>
      </c>
      <c r="F20" s="244" t="s">
        <v>3156</v>
      </c>
      <c r="G20" s="242" t="s">
        <v>2806</v>
      </c>
      <c r="H20" s="242" t="s">
        <v>2807</v>
      </c>
      <c r="I20" s="208">
        <v>18</v>
      </c>
      <c r="J20" s="208" t="s">
        <v>3311</v>
      </c>
      <c r="K20" s="208"/>
      <c r="L20" s="209"/>
      <c r="M20" s="209"/>
    </row>
    <row r="21" spans="1:13" s="173" customFormat="1" ht="119">
      <c r="A21" s="208">
        <v>19</v>
      </c>
      <c r="B21" s="208" t="s">
        <v>1879</v>
      </c>
      <c r="C21" s="208" t="s">
        <v>2814</v>
      </c>
      <c r="D21" s="209" t="s">
        <v>3468</v>
      </c>
      <c r="E21" s="243" t="s">
        <v>4189</v>
      </c>
      <c r="F21" s="244" t="s">
        <v>3156</v>
      </c>
      <c r="G21" s="242" t="s">
        <v>2808</v>
      </c>
      <c r="H21" s="245" t="s">
        <v>4188</v>
      </c>
      <c r="I21" s="208">
        <v>19</v>
      </c>
      <c r="J21" s="208" t="s">
        <v>1879</v>
      </c>
      <c r="K21" s="208"/>
      <c r="L21" s="209"/>
      <c r="M21" s="209"/>
    </row>
    <row r="22" spans="1:13" s="173" customFormat="1" ht="34">
      <c r="A22" s="208">
        <v>20</v>
      </c>
      <c r="B22" s="208" t="s">
        <v>3312</v>
      </c>
      <c r="C22" s="208" t="s">
        <v>2815</v>
      </c>
      <c r="D22" s="209" t="s">
        <v>3469</v>
      </c>
      <c r="E22" s="243" t="s">
        <v>4242</v>
      </c>
      <c r="F22" s="244" t="s">
        <v>3156</v>
      </c>
      <c r="G22" s="242" t="s">
        <v>2791</v>
      </c>
      <c r="H22" s="242" t="s">
        <v>3792</v>
      </c>
      <c r="I22" s="208">
        <v>20</v>
      </c>
      <c r="J22" s="208" t="s">
        <v>3312</v>
      </c>
      <c r="K22" s="208"/>
      <c r="L22" s="209"/>
      <c r="M22" s="209"/>
    </row>
    <row r="23" spans="1:13" s="173" customFormat="1" ht="68">
      <c r="A23" s="208">
        <v>21</v>
      </c>
      <c r="B23" s="208" t="s">
        <v>3313</v>
      </c>
      <c r="C23" s="208" t="s">
        <v>2815</v>
      </c>
      <c r="D23" s="209" t="s">
        <v>3470</v>
      </c>
      <c r="E23" s="243" t="s">
        <v>4295</v>
      </c>
      <c r="F23" s="244" t="s">
        <v>3156</v>
      </c>
      <c r="G23" s="242" t="s">
        <v>1797</v>
      </c>
      <c r="H23" s="242" t="s">
        <v>3792</v>
      </c>
      <c r="I23" s="208">
        <v>21</v>
      </c>
      <c r="J23" s="208" t="s">
        <v>3313</v>
      </c>
      <c r="K23" s="208"/>
      <c r="L23" s="209"/>
      <c r="M23" s="209"/>
    </row>
    <row r="24" spans="1:13" s="173" customFormat="1" ht="409" customHeight="1">
      <c r="A24" s="208">
        <v>22</v>
      </c>
      <c r="B24" s="208" t="s">
        <v>1891</v>
      </c>
      <c r="C24" s="208" t="s">
        <v>2815</v>
      </c>
      <c r="D24" s="209" t="s">
        <v>3985</v>
      </c>
      <c r="E24" s="243" t="s">
        <v>4262</v>
      </c>
      <c r="F24" s="244" t="s">
        <v>3156</v>
      </c>
      <c r="G24" s="242" t="s">
        <v>2809</v>
      </c>
      <c r="H24" s="242" t="s">
        <v>2810</v>
      </c>
      <c r="I24" s="208">
        <v>22</v>
      </c>
      <c r="J24" s="208" t="s">
        <v>1891</v>
      </c>
      <c r="K24" s="208"/>
      <c r="L24" s="209"/>
      <c r="M24" s="209"/>
    </row>
    <row r="25" spans="1:13" s="173" customFormat="1" ht="85">
      <c r="A25" s="208">
        <v>23</v>
      </c>
      <c r="B25" s="208" t="s">
        <v>1902</v>
      </c>
      <c r="C25" s="208" t="s">
        <v>2815</v>
      </c>
      <c r="D25" s="209" t="s">
        <v>3986</v>
      </c>
      <c r="E25" s="243" t="s">
        <v>4190</v>
      </c>
      <c r="F25" s="244" t="s">
        <v>3156</v>
      </c>
      <c r="G25" s="242" t="s">
        <v>2821</v>
      </c>
      <c r="H25" s="242" t="s">
        <v>2822</v>
      </c>
      <c r="I25" s="208">
        <v>23</v>
      </c>
      <c r="J25" s="208" t="s">
        <v>1902</v>
      </c>
      <c r="K25" s="208"/>
      <c r="L25" s="209"/>
      <c r="M25" s="209"/>
    </row>
    <row r="26" spans="1:13" s="173" customFormat="1" ht="51">
      <c r="A26" s="208">
        <v>24</v>
      </c>
      <c r="B26" s="208" t="s">
        <v>3314</v>
      </c>
      <c r="C26" s="208" t="s">
        <v>2814</v>
      </c>
      <c r="D26" s="209" t="s">
        <v>3471</v>
      </c>
      <c r="E26" s="243" t="s">
        <v>4296</v>
      </c>
      <c r="F26" s="244" t="s">
        <v>3156</v>
      </c>
      <c r="G26" s="242" t="s">
        <v>2823</v>
      </c>
      <c r="H26" s="242" t="s">
        <v>3807</v>
      </c>
      <c r="I26" s="208">
        <v>24</v>
      </c>
      <c r="J26" s="208" t="s">
        <v>3314</v>
      </c>
      <c r="K26" s="208"/>
      <c r="L26" s="209"/>
      <c r="M26" s="209"/>
    </row>
    <row r="27" spans="1:13" s="173" customFormat="1" ht="34">
      <c r="A27" s="208">
        <v>25</v>
      </c>
      <c r="B27" s="208" t="s">
        <v>3315</v>
      </c>
      <c r="C27" s="208" t="s">
        <v>2815</v>
      </c>
      <c r="D27" s="209" t="s">
        <v>3472</v>
      </c>
      <c r="E27" s="243" t="s">
        <v>4243</v>
      </c>
      <c r="F27" s="244" t="s">
        <v>3156</v>
      </c>
      <c r="G27" s="242" t="s">
        <v>2791</v>
      </c>
      <c r="H27" s="242" t="s">
        <v>3792</v>
      </c>
      <c r="I27" s="208">
        <v>25</v>
      </c>
      <c r="J27" s="208" t="s">
        <v>3315</v>
      </c>
      <c r="K27" s="208"/>
      <c r="L27" s="209"/>
      <c r="M27" s="209"/>
    </row>
    <row r="28" spans="1:13" s="173" customFormat="1" ht="85">
      <c r="A28" s="208">
        <v>26</v>
      </c>
      <c r="B28" s="208" t="s">
        <v>3316</v>
      </c>
      <c r="C28" s="208" t="s">
        <v>2814</v>
      </c>
      <c r="D28" s="209" t="s">
        <v>3987</v>
      </c>
      <c r="E28" s="243" t="s">
        <v>4297</v>
      </c>
      <c r="F28" s="244" t="s">
        <v>3156</v>
      </c>
      <c r="G28" s="242" t="s">
        <v>3864</v>
      </c>
      <c r="H28" s="242" t="s">
        <v>3865</v>
      </c>
      <c r="I28" s="208">
        <v>26</v>
      </c>
      <c r="J28" s="208" t="s">
        <v>3316</v>
      </c>
      <c r="K28" s="208"/>
      <c r="L28" s="209"/>
      <c r="M28" s="209"/>
    </row>
    <row r="29" spans="1:13" s="173" customFormat="1" ht="17">
      <c r="A29" s="208">
        <v>27</v>
      </c>
      <c r="B29" s="208" t="s">
        <v>3317</v>
      </c>
      <c r="C29" s="208" t="s">
        <v>2815</v>
      </c>
      <c r="D29" s="209" t="s">
        <v>3473</v>
      </c>
      <c r="E29" s="243" t="s">
        <v>4263</v>
      </c>
      <c r="F29" s="244" t="s">
        <v>3156</v>
      </c>
      <c r="G29" s="242" t="s">
        <v>2791</v>
      </c>
      <c r="H29" s="242" t="s">
        <v>3792</v>
      </c>
      <c r="I29" s="208">
        <v>27</v>
      </c>
      <c r="J29" s="208" t="s">
        <v>3317</v>
      </c>
      <c r="K29" s="208"/>
      <c r="L29" s="209"/>
      <c r="M29" s="209"/>
    </row>
    <row r="30" spans="1:13" s="173" customFormat="1" ht="68">
      <c r="A30" s="208">
        <v>28</v>
      </c>
      <c r="B30" s="208" t="s">
        <v>1292</v>
      </c>
      <c r="C30" s="208" t="s">
        <v>2815</v>
      </c>
      <c r="D30" s="209" t="s">
        <v>3988</v>
      </c>
      <c r="E30" s="243" t="s">
        <v>4111</v>
      </c>
      <c r="F30" s="244" t="s">
        <v>3156</v>
      </c>
      <c r="G30" s="242" t="s">
        <v>3866</v>
      </c>
      <c r="H30" s="242" t="s">
        <v>2824</v>
      </c>
      <c r="I30" s="208">
        <v>28</v>
      </c>
      <c r="J30" s="208" t="s">
        <v>1292</v>
      </c>
      <c r="K30" s="208"/>
      <c r="L30" s="209"/>
      <c r="M30" s="209"/>
    </row>
    <row r="31" spans="1:13" s="173" customFormat="1" ht="404">
      <c r="A31" s="208">
        <v>29</v>
      </c>
      <c r="B31" s="208" t="s">
        <v>3318</v>
      </c>
      <c r="C31" s="208" t="s">
        <v>2815</v>
      </c>
      <c r="D31" s="209" t="s">
        <v>3989</v>
      </c>
      <c r="E31" s="243" t="s">
        <v>4254</v>
      </c>
      <c r="F31" s="244" t="s">
        <v>3808</v>
      </c>
      <c r="G31" s="242" t="s">
        <v>2825</v>
      </c>
      <c r="H31" s="242" t="s">
        <v>2826</v>
      </c>
      <c r="I31" s="208">
        <v>29</v>
      </c>
      <c r="J31" s="208" t="s">
        <v>3318</v>
      </c>
      <c r="K31" s="208"/>
      <c r="L31" s="209"/>
      <c r="M31" s="209"/>
    </row>
    <row r="32" spans="1:13" s="173" customFormat="1" ht="388">
      <c r="A32" s="208">
        <v>30</v>
      </c>
      <c r="B32" s="208" t="s">
        <v>3319</v>
      </c>
      <c r="C32" s="208" t="s">
        <v>2815</v>
      </c>
      <c r="D32" s="209" t="s">
        <v>3990</v>
      </c>
      <c r="E32" s="243" t="s">
        <v>4255</v>
      </c>
      <c r="F32" s="244" t="s">
        <v>3809</v>
      </c>
      <c r="G32" s="242" t="s">
        <v>2827</v>
      </c>
      <c r="H32" s="242" t="s">
        <v>2828</v>
      </c>
      <c r="I32" s="208">
        <v>30</v>
      </c>
      <c r="J32" s="208" t="s">
        <v>3319</v>
      </c>
      <c r="K32" s="208"/>
      <c r="L32" s="209"/>
      <c r="M32" s="209"/>
    </row>
    <row r="33" spans="1:13" s="173" customFormat="1" ht="51">
      <c r="A33" s="208">
        <v>31</v>
      </c>
      <c r="B33" s="208" t="s">
        <v>3320</v>
      </c>
      <c r="C33" s="208" t="s">
        <v>2814</v>
      </c>
      <c r="D33" s="209" t="s">
        <v>3474</v>
      </c>
      <c r="E33" s="243" t="s">
        <v>4191</v>
      </c>
      <c r="F33" s="244" t="s">
        <v>3156</v>
      </c>
      <c r="G33" s="242" t="s">
        <v>1797</v>
      </c>
      <c r="H33" s="242" t="s">
        <v>3792</v>
      </c>
      <c r="I33" s="208">
        <v>31</v>
      </c>
      <c r="J33" s="208" t="s">
        <v>3320</v>
      </c>
      <c r="K33" s="208"/>
      <c r="L33" s="209"/>
      <c r="M33" s="209"/>
    </row>
    <row r="34" spans="1:13" s="173" customFormat="1" ht="68">
      <c r="A34" s="208">
        <v>32</v>
      </c>
      <c r="B34" s="208" t="s">
        <v>3321</v>
      </c>
      <c r="C34" s="208" t="s">
        <v>2815</v>
      </c>
      <c r="D34" s="209" t="s">
        <v>3991</v>
      </c>
      <c r="E34" s="243" t="s">
        <v>4112</v>
      </c>
      <c r="F34" s="244" t="s">
        <v>3810</v>
      </c>
      <c r="G34" s="242" t="s">
        <v>2829</v>
      </c>
      <c r="H34" s="242" t="s">
        <v>2830</v>
      </c>
      <c r="I34" s="208">
        <v>32</v>
      </c>
      <c r="J34" s="208" t="s">
        <v>3321</v>
      </c>
      <c r="K34" s="208"/>
      <c r="L34" s="209"/>
      <c r="M34" s="209"/>
    </row>
    <row r="35" spans="1:13" s="173" customFormat="1" ht="34">
      <c r="A35" s="208">
        <v>33</v>
      </c>
      <c r="B35" s="208" t="s">
        <v>3322</v>
      </c>
      <c r="C35" s="208" t="s">
        <v>2815</v>
      </c>
      <c r="D35" s="209" t="s">
        <v>3475</v>
      </c>
      <c r="E35" s="243" t="s">
        <v>4298</v>
      </c>
      <c r="F35" s="244" t="s">
        <v>3810</v>
      </c>
      <c r="G35" s="242" t="s">
        <v>1797</v>
      </c>
      <c r="H35" s="242" t="s">
        <v>3792</v>
      </c>
      <c r="I35" s="208">
        <v>33</v>
      </c>
      <c r="J35" s="208" t="s">
        <v>3322</v>
      </c>
      <c r="K35" s="208"/>
      <c r="L35" s="209"/>
      <c r="M35" s="209"/>
    </row>
    <row r="36" spans="1:13" s="173" customFormat="1" ht="51">
      <c r="A36" s="208">
        <v>34</v>
      </c>
      <c r="B36" s="208" t="s">
        <v>1935</v>
      </c>
      <c r="C36" s="208" t="s">
        <v>2815</v>
      </c>
      <c r="D36" s="209" t="s">
        <v>3992</v>
      </c>
      <c r="E36" s="243" t="s">
        <v>4113</v>
      </c>
      <c r="F36" s="244" t="s">
        <v>3156</v>
      </c>
      <c r="G36" s="242" t="s">
        <v>2831</v>
      </c>
      <c r="H36" s="242" t="s">
        <v>2832</v>
      </c>
      <c r="I36" s="208">
        <v>34</v>
      </c>
      <c r="J36" s="208" t="s">
        <v>1935</v>
      </c>
      <c r="K36" s="208"/>
      <c r="L36" s="209"/>
      <c r="M36" s="209"/>
    </row>
    <row r="37" spans="1:13" s="173" customFormat="1" ht="136">
      <c r="A37" s="208">
        <v>35</v>
      </c>
      <c r="B37" s="208" t="s">
        <v>1931</v>
      </c>
      <c r="C37" s="208" t="s">
        <v>2815</v>
      </c>
      <c r="D37" s="209" t="s">
        <v>3476</v>
      </c>
      <c r="E37" s="243" t="s">
        <v>4141</v>
      </c>
      <c r="F37" s="244" t="s">
        <v>3811</v>
      </c>
      <c r="G37" s="242" t="s">
        <v>3867</v>
      </c>
      <c r="H37" s="242" t="s">
        <v>3868</v>
      </c>
      <c r="I37" s="208">
        <v>35</v>
      </c>
      <c r="J37" s="208" t="s">
        <v>1931</v>
      </c>
      <c r="K37" s="208"/>
      <c r="L37" s="209"/>
      <c r="M37" s="209"/>
    </row>
    <row r="38" spans="1:13" s="173" customFormat="1" ht="111" customHeight="1">
      <c r="A38" s="208">
        <v>36</v>
      </c>
      <c r="B38" s="208" t="s">
        <v>1895</v>
      </c>
      <c r="C38" s="208" t="s">
        <v>2814</v>
      </c>
      <c r="D38" s="209" t="s">
        <v>3477</v>
      </c>
      <c r="E38" s="243" t="s">
        <v>4256</v>
      </c>
      <c r="F38" s="244" t="s">
        <v>3156</v>
      </c>
      <c r="G38" s="242" t="s">
        <v>2833</v>
      </c>
      <c r="H38" s="242" t="s">
        <v>2834</v>
      </c>
      <c r="I38" s="208">
        <v>36</v>
      </c>
      <c r="J38" s="208" t="s">
        <v>1895</v>
      </c>
      <c r="K38" s="208"/>
      <c r="L38" s="209"/>
      <c r="M38" s="209"/>
    </row>
    <row r="39" spans="1:13" s="173" customFormat="1" ht="85">
      <c r="A39" s="208">
        <v>37</v>
      </c>
      <c r="B39" s="208" t="s">
        <v>1897</v>
      </c>
      <c r="C39" s="208" t="s">
        <v>2814</v>
      </c>
      <c r="D39" s="209" t="s">
        <v>3790</v>
      </c>
      <c r="E39" s="243" t="s">
        <v>4299</v>
      </c>
      <c r="F39" s="244" t="s">
        <v>3156</v>
      </c>
      <c r="G39" s="242" t="s">
        <v>1797</v>
      </c>
      <c r="H39" s="242" t="s">
        <v>3792</v>
      </c>
      <c r="I39" s="208">
        <v>37</v>
      </c>
      <c r="J39" s="208" t="s">
        <v>1897</v>
      </c>
      <c r="K39" s="208"/>
      <c r="L39" s="209"/>
      <c r="M39" s="209"/>
    </row>
    <row r="40" spans="1:13" s="173" customFormat="1" ht="34">
      <c r="A40" s="208">
        <v>38</v>
      </c>
      <c r="B40" s="208" t="s">
        <v>1901</v>
      </c>
      <c r="C40" s="208" t="s">
        <v>2814</v>
      </c>
      <c r="D40" s="209" t="s">
        <v>3478</v>
      </c>
      <c r="E40" s="243" t="s">
        <v>4300</v>
      </c>
      <c r="F40" s="244" t="s">
        <v>3156</v>
      </c>
      <c r="G40" s="242" t="s">
        <v>1797</v>
      </c>
      <c r="H40" s="242" t="s">
        <v>3792</v>
      </c>
      <c r="I40" s="208">
        <v>38</v>
      </c>
      <c r="J40" s="208" t="s">
        <v>1901</v>
      </c>
      <c r="K40" s="208"/>
      <c r="L40" s="209"/>
      <c r="M40" s="209"/>
    </row>
    <row r="41" spans="1:13" s="173" customFormat="1" ht="51">
      <c r="A41" s="208">
        <v>39</v>
      </c>
      <c r="B41" s="208" t="s">
        <v>1905</v>
      </c>
      <c r="C41" s="208" t="s">
        <v>2814</v>
      </c>
      <c r="D41" s="209" t="s">
        <v>3479</v>
      </c>
      <c r="E41" s="243" t="s">
        <v>4301</v>
      </c>
      <c r="F41" s="244" t="s">
        <v>3156</v>
      </c>
      <c r="G41" s="242" t="s">
        <v>1797</v>
      </c>
      <c r="H41" s="242" t="s">
        <v>3792</v>
      </c>
      <c r="I41" s="208">
        <v>39</v>
      </c>
      <c r="J41" s="208" t="s">
        <v>1905</v>
      </c>
      <c r="K41" s="208"/>
      <c r="L41" s="209"/>
      <c r="M41" s="209"/>
    </row>
    <row r="42" spans="1:13" s="173" customFormat="1" ht="34">
      <c r="A42" s="208">
        <v>40</v>
      </c>
      <c r="B42" s="208" t="s">
        <v>2193</v>
      </c>
      <c r="C42" s="208" t="s">
        <v>2814</v>
      </c>
      <c r="D42" s="209" t="s">
        <v>3480</v>
      </c>
      <c r="E42" s="243" t="s">
        <v>4302</v>
      </c>
      <c r="F42" s="244" t="s">
        <v>3156</v>
      </c>
      <c r="G42" s="242" t="s">
        <v>1797</v>
      </c>
      <c r="H42" s="242" t="s">
        <v>3792</v>
      </c>
      <c r="I42" s="208">
        <v>40</v>
      </c>
      <c r="J42" s="208" t="s">
        <v>2193</v>
      </c>
      <c r="K42" s="208"/>
      <c r="L42" s="209"/>
      <c r="M42" s="209"/>
    </row>
    <row r="43" spans="1:13" s="173" customFormat="1" ht="120" customHeight="1">
      <c r="A43" s="208">
        <v>41</v>
      </c>
      <c r="B43" s="208" t="s">
        <v>1923</v>
      </c>
      <c r="C43" s="208" t="s">
        <v>2815</v>
      </c>
      <c r="D43" s="209" t="s">
        <v>3993</v>
      </c>
      <c r="E43" s="243" t="s">
        <v>4257</v>
      </c>
      <c r="F43" s="244" t="s">
        <v>3156</v>
      </c>
      <c r="G43" s="242" t="s">
        <v>2835</v>
      </c>
      <c r="H43" s="242" t="s">
        <v>3869</v>
      </c>
      <c r="I43" s="208">
        <v>41</v>
      </c>
      <c r="J43" s="208" t="s">
        <v>1923</v>
      </c>
      <c r="K43" s="208"/>
      <c r="L43" s="209"/>
      <c r="M43" s="209"/>
    </row>
    <row r="44" spans="1:13" s="173" customFormat="1" ht="17">
      <c r="A44" s="208">
        <v>42</v>
      </c>
      <c r="B44" s="208" t="s">
        <v>1907</v>
      </c>
      <c r="C44" s="208" t="s">
        <v>2814</v>
      </c>
      <c r="D44" s="209" t="s">
        <v>3481</v>
      </c>
      <c r="E44" s="243" t="s">
        <v>4114</v>
      </c>
      <c r="F44" s="244" t="s">
        <v>3156</v>
      </c>
      <c r="G44" s="242" t="s">
        <v>2836</v>
      </c>
      <c r="H44" s="242" t="s">
        <v>2837</v>
      </c>
      <c r="I44" s="208">
        <v>42</v>
      </c>
      <c r="J44" s="208" t="s">
        <v>1907</v>
      </c>
      <c r="K44" s="208"/>
      <c r="L44" s="209"/>
      <c r="M44" s="209"/>
    </row>
    <row r="45" spans="1:13" s="173" customFormat="1" ht="68">
      <c r="A45" s="208">
        <v>43</v>
      </c>
      <c r="B45" s="208" t="s">
        <v>3323</v>
      </c>
      <c r="C45" s="208" t="s">
        <v>2814</v>
      </c>
      <c r="D45" s="209" t="s">
        <v>3576</v>
      </c>
      <c r="E45" s="243" t="s">
        <v>4192</v>
      </c>
      <c r="F45" s="244" t="s">
        <v>3156</v>
      </c>
      <c r="G45" s="242" t="s">
        <v>1797</v>
      </c>
      <c r="H45" s="242" t="s">
        <v>3792</v>
      </c>
      <c r="I45" s="208">
        <v>43</v>
      </c>
      <c r="J45" s="208" t="s">
        <v>3323</v>
      </c>
      <c r="K45" s="208"/>
      <c r="L45" s="209"/>
      <c r="M45" s="209"/>
    </row>
    <row r="46" spans="1:13" s="173" customFormat="1" ht="85">
      <c r="A46" s="208">
        <v>44</v>
      </c>
      <c r="B46" s="208" t="s">
        <v>3324</v>
      </c>
      <c r="C46" s="208" t="s">
        <v>2815</v>
      </c>
      <c r="D46" s="209" t="s">
        <v>3994</v>
      </c>
      <c r="E46" s="243" t="s">
        <v>4193</v>
      </c>
      <c r="F46" s="244" t="s">
        <v>3156</v>
      </c>
      <c r="G46" s="242" t="s">
        <v>3939</v>
      </c>
      <c r="H46" s="242" t="s">
        <v>3870</v>
      </c>
      <c r="I46" s="208">
        <v>44</v>
      </c>
      <c r="J46" s="208" t="s">
        <v>3324</v>
      </c>
      <c r="K46" s="208"/>
      <c r="L46" s="209"/>
      <c r="M46" s="209"/>
    </row>
    <row r="47" spans="1:13" s="173" customFormat="1" ht="157" customHeight="1">
      <c r="A47" s="208">
        <v>45</v>
      </c>
      <c r="B47" s="208" t="s">
        <v>1946</v>
      </c>
      <c r="C47" s="208" t="s">
        <v>2815</v>
      </c>
      <c r="D47" s="209" t="s">
        <v>3995</v>
      </c>
      <c r="E47" s="243" t="s">
        <v>4194</v>
      </c>
      <c r="F47" s="244" t="s">
        <v>3156</v>
      </c>
      <c r="G47" s="242" t="s">
        <v>2838</v>
      </c>
      <c r="H47" s="242" t="s">
        <v>2839</v>
      </c>
      <c r="I47" s="208">
        <v>45</v>
      </c>
      <c r="J47" s="208" t="s">
        <v>1946</v>
      </c>
      <c r="K47" s="208"/>
      <c r="L47" s="209"/>
      <c r="M47" s="209"/>
    </row>
    <row r="48" spans="1:13" s="173" customFormat="1" ht="51">
      <c r="A48" s="208">
        <v>46</v>
      </c>
      <c r="B48" s="208" t="s">
        <v>1939</v>
      </c>
      <c r="C48" s="208" t="s">
        <v>2815</v>
      </c>
      <c r="D48" s="209" t="s">
        <v>3996</v>
      </c>
      <c r="E48" s="243" t="s">
        <v>4115</v>
      </c>
      <c r="F48" s="244" t="s">
        <v>3156</v>
      </c>
      <c r="G48" s="242" t="s">
        <v>2840</v>
      </c>
      <c r="H48" s="242" t="s">
        <v>3871</v>
      </c>
      <c r="I48" s="208">
        <v>46</v>
      </c>
      <c r="J48" s="208" t="s">
        <v>1939</v>
      </c>
      <c r="K48" s="208"/>
      <c r="L48" s="209"/>
      <c r="M48" s="209"/>
    </row>
    <row r="49" spans="1:13" s="173" customFormat="1" ht="34">
      <c r="A49" s="208">
        <v>47</v>
      </c>
      <c r="B49" s="208" t="s">
        <v>1913</v>
      </c>
      <c r="C49" s="208" t="s">
        <v>2814</v>
      </c>
      <c r="D49" s="209" t="s">
        <v>3482</v>
      </c>
      <c r="E49" s="243" t="s">
        <v>4195</v>
      </c>
      <c r="F49" s="244" t="s">
        <v>3156</v>
      </c>
      <c r="G49" s="242" t="s">
        <v>2841</v>
      </c>
      <c r="H49" s="242" t="s">
        <v>2842</v>
      </c>
      <c r="I49" s="208">
        <v>47</v>
      </c>
      <c r="J49" s="208" t="s">
        <v>1913</v>
      </c>
      <c r="K49" s="208"/>
      <c r="L49" s="209"/>
      <c r="M49" s="209"/>
    </row>
    <row r="50" spans="1:13" s="173" customFormat="1" ht="17">
      <c r="A50" s="208">
        <v>48</v>
      </c>
      <c r="B50" s="208" t="s">
        <v>1916</v>
      </c>
      <c r="C50" s="208" t="s">
        <v>2814</v>
      </c>
      <c r="D50" s="209" t="s">
        <v>3483</v>
      </c>
      <c r="E50" s="243" t="s">
        <v>4116</v>
      </c>
      <c r="F50" s="244" t="s">
        <v>3156</v>
      </c>
      <c r="G50" s="242" t="s">
        <v>2843</v>
      </c>
      <c r="H50" s="242" t="s">
        <v>3872</v>
      </c>
      <c r="I50" s="208">
        <v>48</v>
      </c>
      <c r="J50" s="208" t="s">
        <v>1916</v>
      </c>
      <c r="K50" s="208"/>
      <c r="L50" s="209"/>
      <c r="M50" s="209"/>
    </row>
    <row r="51" spans="1:13" s="173" customFormat="1" ht="17">
      <c r="A51" s="208">
        <v>49</v>
      </c>
      <c r="B51" s="208" t="s">
        <v>1919</v>
      </c>
      <c r="C51" s="208" t="s">
        <v>2814</v>
      </c>
      <c r="D51" s="209" t="s">
        <v>3484</v>
      </c>
      <c r="E51" s="243" t="s">
        <v>4244</v>
      </c>
      <c r="F51" s="244" t="s">
        <v>3156</v>
      </c>
      <c r="G51" s="242" t="s">
        <v>2791</v>
      </c>
      <c r="H51" s="242" t="s">
        <v>3792</v>
      </c>
      <c r="I51" s="208">
        <v>49</v>
      </c>
      <c r="J51" s="208" t="s">
        <v>1919</v>
      </c>
      <c r="K51" s="208"/>
      <c r="L51" s="209"/>
      <c r="M51" s="209"/>
    </row>
    <row r="52" spans="1:13" s="173" customFormat="1" ht="85">
      <c r="A52" s="208">
        <v>50</v>
      </c>
      <c r="B52" s="208" t="s">
        <v>3325</v>
      </c>
      <c r="C52" s="208" t="s">
        <v>2815</v>
      </c>
      <c r="D52" s="209" t="s">
        <v>3997</v>
      </c>
      <c r="E52" s="243" t="s">
        <v>4303</v>
      </c>
      <c r="F52" s="244" t="s">
        <v>3825</v>
      </c>
      <c r="G52" s="242" t="s">
        <v>3873</v>
      </c>
      <c r="H52" s="242" t="s">
        <v>3874</v>
      </c>
      <c r="I52" s="208">
        <v>50</v>
      </c>
      <c r="J52" s="208" t="s">
        <v>3325</v>
      </c>
      <c r="K52" s="208"/>
      <c r="L52" s="209"/>
      <c r="M52" s="209"/>
    </row>
    <row r="53" spans="1:13" s="173" customFormat="1" ht="119">
      <c r="A53" s="208">
        <v>51</v>
      </c>
      <c r="B53" s="208" t="s">
        <v>3326</v>
      </c>
      <c r="C53" s="208" t="s">
        <v>2815</v>
      </c>
      <c r="D53" s="209" t="s">
        <v>3485</v>
      </c>
      <c r="E53" s="243" t="s">
        <v>4304</v>
      </c>
      <c r="F53" s="244" t="s">
        <v>3156</v>
      </c>
      <c r="G53" s="242" t="s">
        <v>1797</v>
      </c>
      <c r="H53" s="242" t="s">
        <v>3792</v>
      </c>
      <c r="I53" s="208">
        <v>51</v>
      </c>
      <c r="J53" s="208" t="s">
        <v>3326</v>
      </c>
      <c r="K53" s="208"/>
      <c r="L53" s="209"/>
      <c r="M53" s="209"/>
    </row>
    <row r="54" spans="1:13" s="173" customFormat="1" ht="102">
      <c r="A54" s="208">
        <v>52</v>
      </c>
      <c r="B54" s="208" t="s">
        <v>3327</v>
      </c>
      <c r="C54" s="208" t="s">
        <v>2815</v>
      </c>
      <c r="D54" s="209" t="s">
        <v>3998</v>
      </c>
      <c r="E54" s="243" t="s">
        <v>4196</v>
      </c>
      <c r="F54" s="244" t="s">
        <v>3156</v>
      </c>
      <c r="G54" s="242" t="s">
        <v>2844</v>
      </c>
      <c r="H54" s="242" t="s">
        <v>3875</v>
      </c>
      <c r="I54" s="208">
        <v>52</v>
      </c>
      <c r="J54" s="208" t="s">
        <v>3327</v>
      </c>
      <c r="K54" s="208"/>
      <c r="L54" s="209"/>
      <c r="M54" s="209"/>
    </row>
    <row r="55" spans="1:13" s="173" customFormat="1" ht="68">
      <c r="A55" s="208">
        <v>53</v>
      </c>
      <c r="B55" s="208" t="s">
        <v>1264</v>
      </c>
      <c r="C55" s="208" t="s">
        <v>2815</v>
      </c>
      <c r="D55" s="209" t="s">
        <v>3999</v>
      </c>
      <c r="E55" s="243" t="s">
        <v>4117</v>
      </c>
      <c r="F55" s="244" t="s">
        <v>3156</v>
      </c>
      <c r="G55" s="242" t="s">
        <v>2845</v>
      </c>
      <c r="H55" s="242" t="s">
        <v>2846</v>
      </c>
      <c r="I55" s="208">
        <v>53</v>
      </c>
      <c r="J55" s="208" t="s">
        <v>1264</v>
      </c>
      <c r="K55" s="208"/>
      <c r="L55" s="209"/>
      <c r="M55" s="209"/>
    </row>
    <row r="56" spans="1:13" s="173" customFormat="1" ht="68">
      <c r="A56" s="208">
        <v>54</v>
      </c>
      <c r="B56" s="208" t="s">
        <v>1293</v>
      </c>
      <c r="C56" s="208" t="s">
        <v>2815</v>
      </c>
      <c r="D56" s="209" t="s">
        <v>4000</v>
      </c>
      <c r="E56" s="243" t="s">
        <v>4197</v>
      </c>
      <c r="F56" s="244" t="s">
        <v>3156</v>
      </c>
      <c r="G56" s="242" t="s">
        <v>2847</v>
      </c>
      <c r="H56" s="242" t="s">
        <v>2848</v>
      </c>
      <c r="I56" s="208">
        <v>54</v>
      </c>
      <c r="J56" s="208" t="s">
        <v>1293</v>
      </c>
      <c r="K56" s="208"/>
      <c r="L56" s="209"/>
      <c r="M56" s="209"/>
    </row>
    <row r="57" spans="1:13" s="173" customFormat="1" ht="51">
      <c r="A57" s="208">
        <v>55</v>
      </c>
      <c r="B57" s="208" t="s">
        <v>1271</v>
      </c>
      <c r="C57" s="208" t="s">
        <v>2815</v>
      </c>
      <c r="D57" s="209" t="s">
        <v>4001</v>
      </c>
      <c r="E57" s="243" t="s">
        <v>4258</v>
      </c>
      <c r="F57" s="244" t="s">
        <v>3826</v>
      </c>
      <c r="G57" s="242" t="s">
        <v>3876</v>
      </c>
      <c r="H57" s="242" t="s">
        <v>3877</v>
      </c>
      <c r="I57" s="208">
        <v>55</v>
      </c>
      <c r="J57" s="208" t="s">
        <v>1271</v>
      </c>
      <c r="K57" s="208"/>
      <c r="L57" s="209"/>
      <c r="M57" s="209"/>
    </row>
    <row r="58" spans="1:13" s="173" customFormat="1" ht="119">
      <c r="A58" s="208">
        <v>56</v>
      </c>
      <c r="B58" s="208" t="s">
        <v>1259</v>
      </c>
      <c r="C58" s="208" t="s">
        <v>2815</v>
      </c>
      <c r="D58" s="209" t="s">
        <v>4002</v>
      </c>
      <c r="E58" s="243" t="s">
        <v>4099</v>
      </c>
      <c r="F58" s="244" t="s">
        <v>3811</v>
      </c>
      <c r="G58" s="242" t="s">
        <v>2849</v>
      </c>
      <c r="H58" s="242" t="s">
        <v>2850</v>
      </c>
      <c r="I58" s="208">
        <v>56</v>
      </c>
      <c r="J58" s="208" t="s">
        <v>1259</v>
      </c>
      <c r="K58" s="208"/>
      <c r="L58" s="209"/>
      <c r="M58" s="209"/>
    </row>
    <row r="59" spans="1:13" s="173" customFormat="1" ht="34">
      <c r="A59" s="208">
        <v>57</v>
      </c>
      <c r="B59" s="208" t="s">
        <v>3328</v>
      </c>
      <c r="C59" s="208" t="s">
        <v>2815</v>
      </c>
      <c r="D59" s="209" t="s">
        <v>3486</v>
      </c>
      <c r="E59" s="243" t="s">
        <v>4305</v>
      </c>
      <c r="F59" s="244" t="s">
        <v>3156</v>
      </c>
      <c r="G59" s="242" t="s">
        <v>1797</v>
      </c>
      <c r="H59" s="242" t="s">
        <v>3792</v>
      </c>
      <c r="I59" s="208">
        <v>57</v>
      </c>
      <c r="J59" s="208" t="s">
        <v>3328</v>
      </c>
      <c r="K59" s="208"/>
      <c r="L59" s="209"/>
      <c r="M59" s="209"/>
    </row>
    <row r="60" spans="1:13" s="173" customFormat="1" ht="170">
      <c r="A60" s="208">
        <v>58</v>
      </c>
      <c r="B60" s="208" t="s">
        <v>3329</v>
      </c>
      <c r="C60" s="208" t="s">
        <v>2815</v>
      </c>
      <c r="D60" s="209" t="s">
        <v>3487</v>
      </c>
      <c r="E60" s="243" t="s">
        <v>4306</v>
      </c>
      <c r="F60" s="244" t="s">
        <v>3827</v>
      </c>
      <c r="G60" s="242" t="s">
        <v>1797</v>
      </c>
      <c r="H60" s="242" t="s">
        <v>3792</v>
      </c>
      <c r="I60" s="208">
        <v>58</v>
      </c>
      <c r="J60" s="208" t="s">
        <v>3329</v>
      </c>
      <c r="K60" s="208"/>
      <c r="L60" s="209"/>
      <c r="M60" s="209"/>
    </row>
    <row r="61" spans="1:13" s="173" customFormat="1" ht="34">
      <c r="A61" s="208">
        <v>59</v>
      </c>
      <c r="B61" s="208" t="s">
        <v>1922</v>
      </c>
      <c r="C61" s="208" t="s">
        <v>2814</v>
      </c>
      <c r="D61" s="209" t="s">
        <v>3488</v>
      </c>
      <c r="E61" s="243" t="s">
        <v>4307</v>
      </c>
      <c r="F61" s="244" t="s">
        <v>3442</v>
      </c>
      <c r="G61" s="242" t="s">
        <v>1797</v>
      </c>
      <c r="H61" s="242" t="s">
        <v>3792</v>
      </c>
      <c r="I61" s="208">
        <v>59</v>
      </c>
      <c r="J61" s="208" t="s">
        <v>1922</v>
      </c>
      <c r="K61" s="208"/>
      <c r="L61" s="209"/>
      <c r="M61" s="209"/>
    </row>
    <row r="62" spans="1:13" s="173" customFormat="1" ht="51">
      <c r="A62" s="208">
        <v>60</v>
      </c>
      <c r="B62" s="208" t="s">
        <v>1925</v>
      </c>
      <c r="C62" s="208" t="s">
        <v>2814</v>
      </c>
      <c r="D62" s="209" t="s">
        <v>3489</v>
      </c>
      <c r="E62" s="243" t="s">
        <v>4308</v>
      </c>
      <c r="F62" s="244" t="s">
        <v>3156</v>
      </c>
      <c r="G62" s="242" t="s">
        <v>2851</v>
      </c>
      <c r="H62" s="242" t="s">
        <v>3878</v>
      </c>
      <c r="I62" s="208">
        <v>60</v>
      </c>
      <c r="J62" s="208" t="s">
        <v>1925</v>
      </c>
      <c r="K62" s="208"/>
      <c r="L62" s="209"/>
      <c r="M62" s="209"/>
    </row>
    <row r="63" spans="1:13" s="173" customFormat="1" ht="102">
      <c r="A63" s="208">
        <v>61</v>
      </c>
      <c r="B63" s="208" t="s">
        <v>3330</v>
      </c>
      <c r="C63" s="208" t="s">
        <v>2815</v>
      </c>
      <c r="D63" s="209" t="s">
        <v>3490</v>
      </c>
      <c r="E63" s="243" t="s">
        <v>4198</v>
      </c>
      <c r="F63" s="244" t="s">
        <v>3828</v>
      </c>
      <c r="G63" s="242" t="s">
        <v>1797</v>
      </c>
      <c r="H63" s="242" t="s">
        <v>3792</v>
      </c>
      <c r="I63" s="208">
        <v>61</v>
      </c>
      <c r="J63" s="208" t="s">
        <v>3330</v>
      </c>
      <c r="K63" s="208"/>
      <c r="L63" s="209"/>
      <c r="M63" s="209"/>
    </row>
    <row r="64" spans="1:13" s="173" customFormat="1" ht="136">
      <c r="A64" s="208">
        <v>62</v>
      </c>
      <c r="B64" s="208" t="s">
        <v>1266</v>
      </c>
      <c r="C64" s="208" t="s">
        <v>2815</v>
      </c>
      <c r="D64" s="209" t="s">
        <v>4003</v>
      </c>
      <c r="E64" s="243" t="s">
        <v>4199</v>
      </c>
      <c r="F64" s="244" t="s">
        <v>3828</v>
      </c>
      <c r="G64" s="242" t="s">
        <v>2852</v>
      </c>
      <c r="H64" s="242" t="s">
        <v>4075</v>
      </c>
      <c r="I64" s="208">
        <v>62</v>
      </c>
      <c r="J64" s="208" t="s">
        <v>1266</v>
      </c>
      <c r="K64" s="208"/>
      <c r="L64" s="209"/>
      <c r="M64" s="209"/>
    </row>
    <row r="65" spans="1:13" s="173" customFormat="1" ht="34">
      <c r="A65" s="208">
        <v>63</v>
      </c>
      <c r="B65" s="208" t="s">
        <v>1928</v>
      </c>
      <c r="C65" s="208" t="s">
        <v>2814</v>
      </c>
      <c r="D65" s="209" t="s">
        <v>3491</v>
      </c>
      <c r="E65" s="243" t="s">
        <v>4200</v>
      </c>
      <c r="F65" s="244" t="s">
        <v>3829</v>
      </c>
      <c r="G65" s="242" t="s">
        <v>2853</v>
      </c>
      <c r="H65" s="242" t="s">
        <v>2854</v>
      </c>
      <c r="I65" s="208">
        <v>63</v>
      </c>
      <c r="J65" s="208" t="s">
        <v>1928</v>
      </c>
      <c r="K65" s="208"/>
      <c r="L65" s="209"/>
      <c r="M65" s="209"/>
    </row>
    <row r="66" spans="1:13" s="173" customFormat="1" ht="17">
      <c r="A66" s="208">
        <v>64</v>
      </c>
      <c r="B66" s="208" t="s">
        <v>1930</v>
      </c>
      <c r="C66" s="208" t="s">
        <v>2814</v>
      </c>
      <c r="D66" s="209" t="s">
        <v>3492</v>
      </c>
      <c r="E66" s="243" t="s">
        <v>4309</v>
      </c>
      <c r="F66" s="244" t="s">
        <v>3156</v>
      </c>
      <c r="G66" s="242" t="s">
        <v>2261</v>
      </c>
      <c r="H66" s="242" t="s">
        <v>2855</v>
      </c>
      <c r="I66" s="208">
        <v>64</v>
      </c>
      <c r="J66" s="208" t="s">
        <v>1930</v>
      </c>
      <c r="K66" s="208"/>
      <c r="L66" s="209"/>
      <c r="M66" s="209"/>
    </row>
    <row r="67" spans="1:13" s="173" customFormat="1" ht="34">
      <c r="A67" s="208">
        <v>65</v>
      </c>
      <c r="B67" s="208" t="s">
        <v>1934</v>
      </c>
      <c r="C67" s="208" t="s">
        <v>2814</v>
      </c>
      <c r="D67" s="209" t="s">
        <v>3493</v>
      </c>
      <c r="E67" s="243" t="s">
        <v>4201</v>
      </c>
      <c r="F67" s="244" t="s">
        <v>3156</v>
      </c>
      <c r="G67" s="242" t="s">
        <v>2856</v>
      </c>
      <c r="H67" s="242" t="s">
        <v>2857</v>
      </c>
      <c r="I67" s="208">
        <v>65</v>
      </c>
      <c r="J67" s="208" t="s">
        <v>1934</v>
      </c>
      <c r="K67" s="208"/>
      <c r="L67" s="209"/>
      <c r="M67" s="209"/>
    </row>
    <row r="68" spans="1:13" s="173" customFormat="1" ht="34">
      <c r="A68" s="208">
        <v>66</v>
      </c>
      <c r="B68" s="208" t="s">
        <v>1262</v>
      </c>
      <c r="C68" s="208" t="s">
        <v>2815</v>
      </c>
      <c r="D68" s="209" t="s">
        <v>4004</v>
      </c>
      <c r="E68" s="243" t="s">
        <v>4118</v>
      </c>
      <c r="F68" s="244" t="s">
        <v>3156</v>
      </c>
      <c r="G68" s="242" t="s">
        <v>3122</v>
      </c>
      <c r="H68" s="242" t="s">
        <v>3879</v>
      </c>
      <c r="I68" s="208">
        <v>66</v>
      </c>
      <c r="J68" s="208" t="s">
        <v>1262</v>
      </c>
      <c r="K68" s="208"/>
      <c r="L68" s="209"/>
      <c r="M68" s="209"/>
    </row>
    <row r="69" spans="1:13" s="173" customFormat="1" ht="255">
      <c r="A69" s="208">
        <v>67</v>
      </c>
      <c r="B69" s="208" t="s">
        <v>3331</v>
      </c>
      <c r="C69" s="208" t="s">
        <v>2815</v>
      </c>
      <c r="D69" s="209" t="s">
        <v>4005</v>
      </c>
      <c r="E69" s="243" t="s">
        <v>4310</v>
      </c>
      <c r="F69" s="244" t="s">
        <v>3830</v>
      </c>
      <c r="G69" s="242" t="s">
        <v>1797</v>
      </c>
      <c r="H69" s="242" t="s">
        <v>3792</v>
      </c>
      <c r="I69" s="208">
        <v>67</v>
      </c>
      <c r="J69" s="208" t="s">
        <v>3331</v>
      </c>
      <c r="K69" s="208"/>
      <c r="L69" s="209"/>
      <c r="M69" s="209"/>
    </row>
    <row r="70" spans="1:13" s="173" customFormat="1" ht="68">
      <c r="A70" s="208">
        <v>68</v>
      </c>
      <c r="B70" s="208" t="s">
        <v>3332</v>
      </c>
      <c r="C70" s="208" t="s">
        <v>2815</v>
      </c>
      <c r="D70" s="209" t="s">
        <v>3494</v>
      </c>
      <c r="E70" s="243" t="s">
        <v>4119</v>
      </c>
      <c r="F70" s="244" t="s">
        <v>3156</v>
      </c>
      <c r="G70" s="242" t="s">
        <v>2858</v>
      </c>
      <c r="H70" s="242" t="s">
        <v>3880</v>
      </c>
      <c r="I70" s="208">
        <v>68</v>
      </c>
      <c r="J70" s="208" t="s">
        <v>3332</v>
      </c>
      <c r="K70" s="208"/>
      <c r="L70" s="209"/>
      <c r="M70" s="209"/>
    </row>
    <row r="71" spans="1:13" s="173" customFormat="1" ht="153">
      <c r="A71" s="208">
        <v>69</v>
      </c>
      <c r="B71" s="208" t="s">
        <v>3333</v>
      </c>
      <c r="C71" s="208" t="s">
        <v>2815</v>
      </c>
      <c r="D71" s="209" t="s">
        <v>3495</v>
      </c>
      <c r="E71" s="243" t="s">
        <v>4259</v>
      </c>
      <c r="F71" s="244" t="s">
        <v>3156</v>
      </c>
      <c r="G71" s="242" t="s">
        <v>1797</v>
      </c>
      <c r="H71" s="242" t="s">
        <v>3792</v>
      </c>
      <c r="I71" s="208">
        <v>69</v>
      </c>
      <c r="J71" s="208" t="s">
        <v>3333</v>
      </c>
      <c r="K71" s="208"/>
      <c r="L71" s="209"/>
      <c r="M71" s="209"/>
    </row>
    <row r="72" spans="1:13" s="173" customFormat="1" ht="34">
      <c r="A72" s="208">
        <v>70</v>
      </c>
      <c r="B72" s="208" t="s">
        <v>1938</v>
      </c>
      <c r="C72" s="208" t="s">
        <v>2814</v>
      </c>
      <c r="D72" s="209" t="s">
        <v>3496</v>
      </c>
      <c r="E72" s="243" t="s">
        <v>4245</v>
      </c>
      <c r="F72" s="244" t="s">
        <v>3156</v>
      </c>
      <c r="G72" s="242" t="s">
        <v>2859</v>
      </c>
      <c r="H72" s="242" t="s">
        <v>2860</v>
      </c>
      <c r="I72" s="208">
        <v>70</v>
      </c>
      <c r="J72" s="208" t="s">
        <v>1938</v>
      </c>
      <c r="K72" s="208"/>
      <c r="L72" s="209"/>
      <c r="M72" s="209"/>
    </row>
    <row r="73" spans="1:13" s="173" customFormat="1" ht="51">
      <c r="A73" s="208">
        <v>71</v>
      </c>
      <c r="B73" s="208" t="s">
        <v>1260</v>
      </c>
      <c r="C73" s="208" t="s">
        <v>2815</v>
      </c>
      <c r="D73" s="209" t="s">
        <v>4006</v>
      </c>
      <c r="E73" s="243" t="s">
        <v>4120</v>
      </c>
      <c r="F73" s="244" t="s">
        <v>3831</v>
      </c>
      <c r="G73" s="242" t="s">
        <v>3940</v>
      </c>
      <c r="H73" s="242" t="s">
        <v>3881</v>
      </c>
      <c r="I73" s="208">
        <v>71</v>
      </c>
      <c r="J73" s="208" t="s">
        <v>1260</v>
      </c>
      <c r="K73" s="208"/>
      <c r="L73" s="209"/>
      <c r="M73" s="209"/>
    </row>
    <row r="74" spans="1:13" s="173" customFormat="1" ht="170">
      <c r="A74" s="208">
        <v>72</v>
      </c>
      <c r="B74" s="208" t="s">
        <v>3334</v>
      </c>
      <c r="C74" s="208" t="s">
        <v>2815</v>
      </c>
      <c r="D74" s="209" t="s">
        <v>4007</v>
      </c>
      <c r="E74" s="243" t="s">
        <v>4121</v>
      </c>
      <c r="F74" s="244" t="s">
        <v>3826</v>
      </c>
      <c r="G74" s="242" t="s">
        <v>2862</v>
      </c>
      <c r="H74" s="242" t="s">
        <v>2861</v>
      </c>
      <c r="I74" s="208">
        <v>72</v>
      </c>
      <c r="J74" s="208" t="s">
        <v>3334</v>
      </c>
      <c r="K74" s="208"/>
      <c r="L74" s="209"/>
      <c r="M74" s="209"/>
    </row>
    <row r="75" spans="1:13" s="173" customFormat="1" ht="85">
      <c r="A75" s="208">
        <v>73</v>
      </c>
      <c r="B75" s="208" t="s">
        <v>3335</v>
      </c>
      <c r="C75" s="208" t="s">
        <v>2815</v>
      </c>
      <c r="D75" s="209" t="s">
        <v>3497</v>
      </c>
      <c r="E75" s="243" t="s">
        <v>4311</v>
      </c>
      <c r="F75" s="244" t="s">
        <v>3832</v>
      </c>
      <c r="G75" s="242" t="s">
        <v>3934</v>
      </c>
      <c r="H75" s="242" t="s">
        <v>3882</v>
      </c>
      <c r="I75" s="208">
        <v>73</v>
      </c>
      <c r="J75" s="208" t="s">
        <v>3335</v>
      </c>
      <c r="K75" s="208"/>
      <c r="L75" s="209"/>
      <c r="M75" s="209"/>
    </row>
    <row r="76" spans="1:13" s="173" customFormat="1" ht="34">
      <c r="A76" s="208">
        <v>74</v>
      </c>
      <c r="B76" s="208" t="s">
        <v>1942</v>
      </c>
      <c r="C76" s="208" t="s">
        <v>2814</v>
      </c>
      <c r="D76" s="209" t="s">
        <v>3498</v>
      </c>
      <c r="E76" s="246" t="s">
        <v>4246</v>
      </c>
      <c r="F76" s="244" t="s">
        <v>3156</v>
      </c>
      <c r="G76" s="242" t="s">
        <v>2791</v>
      </c>
      <c r="H76" s="242" t="s">
        <v>3792</v>
      </c>
      <c r="I76" s="208">
        <v>74</v>
      </c>
      <c r="J76" s="208" t="s">
        <v>1942</v>
      </c>
      <c r="K76" s="208"/>
      <c r="L76" s="209"/>
      <c r="M76" s="209"/>
    </row>
    <row r="77" spans="1:13" s="173" customFormat="1" ht="51">
      <c r="A77" s="208">
        <v>75</v>
      </c>
      <c r="B77" s="208" t="s">
        <v>3336</v>
      </c>
      <c r="C77" s="208" t="s">
        <v>2815</v>
      </c>
      <c r="D77" s="209" t="s">
        <v>3499</v>
      </c>
      <c r="E77" s="243" t="s">
        <v>4312</v>
      </c>
      <c r="F77" s="244" t="s">
        <v>3828</v>
      </c>
      <c r="G77" s="242" t="s">
        <v>1797</v>
      </c>
      <c r="H77" s="242" t="s">
        <v>3792</v>
      </c>
      <c r="I77" s="208">
        <v>75</v>
      </c>
      <c r="J77" s="208" t="s">
        <v>3336</v>
      </c>
      <c r="K77" s="208"/>
      <c r="L77" s="209"/>
      <c r="M77" s="209"/>
    </row>
    <row r="78" spans="1:13" s="173" customFormat="1" ht="68">
      <c r="A78" s="208">
        <v>76</v>
      </c>
      <c r="B78" s="208" t="s">
        <v>1269</v>
      </c>
      <c r="C78" s="208" t="s">
        <v>2815</v>
      </c>
      <c r="D78" s="209" t="s">
        <v>4008</v>
      </c>
      <c r="E78" s="243" t="s">
        <v>4122</v>
      </c>
      <c r="F78" s="244" t="s">
        <v>3832</v>
      </c>
      <c r="G78" s="242" t="s">
        <v>2863</v>
      </c>
      <c r="H78" s="242" t="s">
        <v>2864</v>
      </c>
      <c r="I78" s="208">
        <v>76</v>
      </c>
      <c r="J78" s="208" t="s">
        <v>1269</v>
      </c>
      <c r="K78" s="208"/>
      <c r="L78" s="209"/>
      <c r="M78" s="209"/>
    </row>
    <row r="79" spans="1:13" s="173" customFormat="1" ht="119">
      <c r="A79" s="208">
        <v>77</v>
      </c>
      <c r="B79" s="208" t="s">
        <v>1265</v>
      </c>
      <c r="C79" s="208" t="s">
        <v>2815</v>
      </c>
      <c r="D79" s="209" t="s">
        <v>4009</v>
      </c>
      <c r="E79" s="243" t="s">
        <v>4123</v>
      </c>
      <c r="F79" s="244" t="s">
        <v>3828</v>
      </c>
      <c r="G79" s="242" t="s">
        <v>2865</v>
      </c>
      <c r="H79" s="242" t="s">
        <v>2866</v>
      </c>
      <c r="I79" s="208">
        <v>77</v>
      </c>
      <c r="J79" s="208" t="s">
        <v>1265</v>
      </c>
      <c r="K79" s="208"/>
      <c r="L79" s="209"/>
      <c r="M79" s="209"/>
    </row>
    <row r="80" spans="1:13" s="173" customFormat="1" ht="119">
      <c r="A80" s="208">
        <v>78</v>
      </c>
      <c r="B80" s="208" t="s">
        <v>3337</v>
      </c>
      <c r="C80" s="208" t="s">
        <v>2815</v>
      </c>
      <c r="D80" s="209" t="s">
        <v>4010</v>
      </c>
      <c r="E80" s="243" t="s">
        <v>4282</v>
      </c>
      <c r="F80" s="244" t="s">
        <v>3156</v>
      </c>
      <c r="G80" s="242" t="s">
        <v>3935</v>
      </c>
      <c r="H80" s="242" t="s">
        <v>3883</v>
      </c>
      <c r="I80" s="208">
        <v>78</v>
      </c>
      <c r="J80" s="208" t="s">
        <v>3337</v>
      </c>
      <c r="K80" s="208"/>
      <c r="L80" s="209"/>
      <c r="M80" s="209"/>
    </row>
    <row r="81" spans="1:13" s="173" customFormat="1" ht="168">
      <c r="A81" s="208">
        <v>79</v>
      </c>
      <c r="B81" s="208" t="s">
        <v>3338</v>
      </c>
      <c r="C81" s="208" t="s">
        <v>2815</v>
      </c>
      <c r="D81" s="209" t="s">
        <v>3500</v>
      </c>
      <c r="E81" s="243" t="s">
        <v>4276</v>
      </c>
      <c r="F81" s="244" t="s">
        <v>3828</v>
      </c>
      <c r="G81" s="242" t="s">
        <v>1797</v>
      </c>
      <c r="H81" s="242" t="s">
        <v>3792</v>
      </c>
      <c r="I81" s="208">
        <v>79</v>
      </c>
      <c r="J81" s="208" t="s">
        <v>3338</v>
      </c>
      <c r="K81" s="208"/>
      <c r="L81" s="209"/>
      <c r="M81" s="209"/>
    </row>
    <row r="82" spans="1:13" s="173" customFormat="1" ht="102">
      <c r="A82" s="208">
        <v>80</v>
      </c>
      <c r="B82" s="208" t="s">
        <v>1273</v>
      </c>
      <c r="C82" s="208" t="s">
        <v>2815</v>
      </c>
      <c r="D82" s="209" t="s">
        <v>4011</v>
      </c>
      <c r="E82" s="243" t="s">
        <v>4124</v>
      </c>
      <c r="F82" s="244" t="s">
        <v>3833</v>
      </c>
      <c r="G82" s="242" t="s">
        <v>3579</v>
      </c>
      <c r="H82" s="242" t="s">
        <v>2867</v>
      </c>
      <c r="I82" s="208">
        <v>80</v>
      </c>
      <c r="J82" s="208" t="s">
        <v>1273</v>
      </c>
      <c r="K82" s="208"/>
      <c r="L82" s="209"/>
      <c r="M82" s="209"/>
    </row>
    <row r="83" spans="1:13" s="173" customFormat="1" ht="51">
      <c r="A83" s="208">
        <v>81</v>
      </c>
      <c r="B83" s="208" t="s">
        <v>3339</v>
      </c>
      <c r="C83" s="208" t="s">
        <v>2815</v>
      </c>
      <c r="D83" s="209" t="s">
        <v>3501</v>
      </c>
      <c r="E83" s="243" t="s">
        <v>4313</v>
      </c>
      <c r="F83" s="244" t="s">
        <v>3156</v>
      </c>
      <c r="G83" s="242" t="s">
        <v>1797</v>
      </c>
      <c r="H83" s="242" t="s">
        <v>3792</v>
      </c>
      <c r="I83" s="208">
        <v>81</v>
      </c>
      <c r="J83" s="208" t="s">
        <v>3339</v>
      </c>
      <c r="K83" s="208"/>
      <c r="L83" s="209"/>
      <c r="M83" s="209"/>
    </row>
    <row r="84" spans="1:13" s="173" customFormat="1" ht="68">
      <c r="A84" s="208">
        <v>82</v>
      </c>
      <c r="B84" s="208" t="s">
        <v>3340</v>
      </c>
      <c r="C84" s="208" t="s">
        <v>2815</v>
      </c>
      <c r="D84" s="209" t="s">
        <v>3502</v>
      </c>
      <c r="E84" s="243" t="s">
        <v>4314</v>
      </c>
      <c r="F84" s="244" t="s">
        <v>3156</v>
      </c>
      <c r="G84" s="242" t="s">
        <v>1797</v>
      </c>
      <c r="H84" s="242" t="s">
        <v>3792</v>
      </c>
      <c r="I84" s="208">
        <v>82</v>
      </c>
      <c r="J84" s="208" t="s">
        <v>3340</v>
      </c>
      <c r="K84" s="208"/>
      <c r="L84" s="209"/>
      <c r="M84" s="209"/>
    </row>
    <row r="85" spans="1:13" s="173" customFormat="1" ht="85">
      <c r="A85" s="208">
        <v>83</v>
      </c>
      <c r="B85" s="208" t="s">
        <v>1945</v>
      </c>
      <c r="C85" s="208" t="s">
        <v>2814</v>
      </c>
      <c r="D85" s="209" t="s">
        <v>3503</v>
      </c>
      <c r="E85" s="243" t="s">
        <v>4315</v>
      </c>
      <c r="F85" s="244" t="s">
        <v>3156</v>
      </c>
      <c r="G85" s="242" t="s">
        <v>1797</v>
      </c>
      <c r="H85" s="242" t="s">
        <v>3792</v>
      </c>
      <c r="I85" s="208">
        <v>83</v>
      </c>
      <c r="J85" s="208" t="s">
        <v>1945</v>
      </c>
      <c r="K85" s="208"/>
      <c r="L85" s="209"/>
      <c r="M85" s="209"/>
    </row>
    <row r="86" spans="1:13" s="173" customFormat="1" ht="34">
      <c r="A86" s="208">
        <v>84</v>
      </c>
      <c r="B86" s="208" t="s">
        <v>3341</v>
      </c>
      <c r="C86" s="208" t="s">
        <v>2815</v>
      </c>
      <c r="D86" s="209" t="s">
        <v>3504</v>
      </c>
      <c r="E86" s="243" t="s">
        <v>4316</v>
      </c>
      <c r="F86" s="244" t="s">
        <v>3156</v>
      </c>
      <c r="G86" s="242" t="s">
        <v>1797</v>
      </c>
      <c r="H86" s="242" t="s">
        <v>3792</v>
      </c>
      <c r="I86" s="208">
        <v>84</v>
      </c>
      <c r="J86" s="208" t="s">
        <v>3341</v>
      </c>
      <c r="K86" s="208"/>
      <c r="L86" s="209"/>
      <c r="M86" s="209"/>
    </row>
    <row r="87" spans="1:13" s="173" customFormat="1" ht="17">
      <c r="A87" s="208">
        <v>85</v>
      </c>
      <c r="B87" s="208" t="s">
        <v>3342</v>
      </c>
      <c r="C87" s="208" t="s">
        <v>2814</v>
      </c>
      <c r="D87" s="209" t="s">
        <v>3505</v>
      </c>
      <c r="E87" s="243" t="s">
        <v>4202</v>
      </c>
      <c r="F87" s="244" t="s">
        <v>3156</v>
      </c>
      <c r="G87" s="242" t="s">
        <v>3884</v>
      </c>
      <c r="H87" s="242" t="s">
        <v>3885</v>
      </c>
      <c r="I87" s="208">
        <v>85</v>
      </c>
      <c r="J87" s="208" t="s">
        <v>3342</v>
      </c>
      <c r="K87" s="208"/>
      <c r="L87" s="209"/>
      <c r="M87" s="209"/>
    </row>
    <row r="88" spans="1:13" s="173" customFormat="1" ht="68">
      <c r="A88" s="208">
        <v>86</v>
      </c>
      <c r="B88" s="208" t="s">
        <v>3343</v>
      </c>
      <c r="C88" s="208" t="s">
        <v>2815</v>
      </c>
      <c r="D88" s="209" t="s">
        <v>4012</v>
      </c>
      <c r="E88" s="243" t="s">
        <v>4125</v>
      </c>
      <c r="F88" s="244" t="s">
        <v>3834</v>
      </c>
      <c r="G88" s="242" t="s">
        <v>3047</v>
      </c>
      <c r="H88" s="242" t="s">
        <v>2868</v>
      </c>
      <c r="I88" s="208">
        <v>86</v>
      </c>
      <c r="J88" s="208" t="s">
        <v>3343</v>
      </c>
      <c r="K88" s="208"/>
      <c r="L88" s="209"/>
      <c r="M88" s="209"/>
    </row>
    <row r="89" spans="1:13" s="173" customFormat="1" ht="34">
      <c r="A89" s="208">
        <v>87</v>
      </c>
      <c r="B89" s="208" t="s">
        <v>4247</v>
      </c>
      <c r="C89" s="208" t="s">
        <v>2815</v>
      </c>
      <c r="D89" s="209" t="s">
        <v>3506</v>
      </c>
      <c r="E89" s="243" t="s">
        <v>4317</v>
      </c>
      <c r="F89" s="244" t="s">
        <v>3835</v>
      </c>
      <c r="G89" s="242" t="s">
        <v>1797</v>
      </c>
      <c r="H89" s="242" t="s">
        <v>3792</v>
      </c>
      <c r="I89" s="208">
        <v>87</v>
      </c>
      <c r="J89" s="208" t="s">
        <v>3344</v>
      </c>
      <c r="K89" s="208"/>
      <c r="L89" s="209"/>
      <c r="M89" s="209"/>
    </row>
    <row r="90" spans="1:13" s="173" customFormat="1" ht="34">
      <c r="A90" s="208">
        <v>88</v>
      </c>
      <c r="B90" s="208" t="s">
        <v>3345</v>
      </c>
      <c r="C90" s="208" t="s">
        <v>2814</v>
      </c>
      <c r="D90" s="209" t="s">
        <v>3507</v>
      </c>
      <c r="E90" s="243" t="s">
        <v>4203</v>
      </c>
      <c r="F90" s="244" t="s">
        <v>3829</v>
      </c>
      <c r="G90" s="242" t="s">
        <v>2869</v>
      </c>
      <c r="H90" s="242" t="s">
        <v>2870</v>
      </c>
      <c r="I90" s="208">
        <v>88</v>
      </c>
      <c r="J90" s="208" t="s">
        <v>3345</v>
      </c>
      <c r="K90" s="208"/>
      <c r="L90" s="209"/>
      <c r="M90" s="209"/>
    </row>
    <row r="91" spans="1:13" s="173" customFormat="1" ht="119">
      <c r="A91" s="208">
        <v>89</v>
      </c>
      <c r="B91" s="208" t="s">
        <v>1352</v>
      </c>
      <c r="C91" s="208" t="s">
        <v>2815</v>
      </c>
      <c r="D91" s="209" t="s">
        <v>4013</v>
      </c>
      <c r="E91" s="243" t="s">
        <v>4126</v>
      </c>
      <c r="F91" s="244" t="s">
        <v>4073</v>
      </c>
      <c r="G91" s="242" t="s">
        <v>3936</v>
      </c>
      <c r="H91" s="242" t="s">
        <v>4353</v>
      </c>
      <c r="I91" s="208">
        <v>89</v>
      </c>
      <c r="J91" s="208" t="s">
        <v>1352</v>
      </c>
      <c r="K91" s="208"/>
      <c r="L91" s="209"/>
      <c r="M91" s="209"/>
    </row>
    <row r="92" spans="1:13" s="173" customFormat="1" ht="34">
      <c r="A92" s="208">
        <v>90</v>
      </c>
      <c r="B92" s="208" t="s">
        <v>3346</v>
      </c>
      <c r="C92" s="208" t="s">
        <v>2814</v>
      </c>
      <c r="D92" s="209" t="s">
        <v>3508</v>
      </c>
      <c r="E92" s="243" t="s">
        <v>4248</v>
      </c>
      <c r="F92" s="244" t="s">
        <v>3156</v>
      </c>
      <c r="G92" s="242" t="s">
        <v>4357</v>
      </c>
      <c r="H92" s="242" t="s">
        <v>3886</v>
      </c>
      <c r="I92" s="208">
        <v>90</v>
      </c>
      <c r="J92" s="208" t="s">
        <v>3346</v>
      </c>
      <c r="K92" s="208"/>
      <c r="L92" s="209"/>
      <c r="M92" s="209"/>
    </row>
    <row r="93" spans="1:13" s="173" customFormat="1" ht="17">
      <c r="A93" s="208">
        <v>91</v>
      </c>
      <c r="B93" s="208" t="s">
        <v>3347</v>
      </c>
      <c r="C93" s="208" t="s">
        <v>2815</v>
      </c>
      <c r="D93" s="209" t="s">
        <v>3509</v>
      </c>
      <c r="E93" s="243" t="s">
        <v>4127</v>
      </c>
      <c r="F93" s="244" t="s">
        <v>3156</v>
      </c>
      <c r="G93" s="242" t="s">
        <v>3793</v>
      </c>
      <c r="H93" s="242" t="s">
        <v>3792</v>
      </c>
      <c r="I93" s="208">
        <v>91</v>
      </c>
      <c r="J93" s="208" t="s">
        <v>3347</v>
      </c>
      <c r="K93" s="208"/>
      <c r="L93" s="209"/>
      <c r="M93" s="209"/>
    </row>
    <row r="94" spans="1:13" s="173" customFormat="1" ht="34">
      <c r="A94" s="208">
        <v>92</v>
      </c>
      <c r="B94" s="208" t="s">
        <v>3348</v>
      </c>
      <c r="C94" s="208" t="s">
        <v>2814</v>
      </c>
      <c r="D94" s="209" t="s">
        <v>3510</v>
      </c>
      <c r="E94" s="243" t="s">
        <v>4204</v>
      </c>
      <c r="F94" s="244" t="s">
        <v>3627</v>
      </c>
      <c r="G94" s="242" t="s">
        <v>2871</v>
      </c>
      <c r="H94" s="242" t="s">
        <v>2872</v>
      </c>
      <c r="I94" s="208">
        <v>92</v>
      </c>
      <c r="J94" s="208" t="s">
        <v>3348</v>
      </c>
      <c r="K94" s="208"/>
      <c r="L94" s="209"/>
      <c r="M94" s="209"/>
    </row>
    <row r="95" spans="1:13" s="173" customFormat="1" ht="119">
      <c r="A95" s="208">
        <v>93</v>
      </c>
      <c r="B95" s="208" t="s">
        <v>3349</v>
      </c>
      <c r="C95" s="208" t="s">
        <v>2814</v>
      </c>
      <c r="D95" s="209" t="s">
        <v>3511</v>
      </c>
      <c r="E95" s="243" t="s">
        <v>4318</v>
      </c>
      <c r="F95" s="244" t="s">
        <v>3439</v>
      </c>
      <c r="G95" s="242" t="s">
        <v>1797</v>
      </c>
      <c r="H95" s="242" t="s">
        <v>3792</v>
      </c>
      <c r="I95" s="208">
        <v>93</v>
      </c>
      <c r="J95" s="208" t="s">
        <v>3349</v>
      </c>
      <c r="K95" s="208"/>
      <c r="L95" s="209"/>
      <c r="M95" s="209"/>
    </row>
    <row r="96" spans="1:13" s="173" customFormat="1" ht="238">
      <c r="A96" s="208">
        <v>94</v>
      </c>
      <c r="B96" s="208" t="s">
        <v>1281</v>
      </c>
      <c r="C96" s="208" t="s">
        <v>2815</v>
      </c>
      <c r="D96" s="209" t="s">
        <v>4014</v>
      </c>
      <c r="E96" s="243" t="s">
        <v>4206</v>
      </c>
      <c r="F96" s="244" t="s">
        <v>3443</v>
      </c>
      <c r="G96" s="242" t="s">
        <v>2873</v>
      </c>
      <c r="H96" s="242" t="s">
        <v>3887</v>
      </c>
      <c r="I96" s="208">
        <v>94</v>
      </c>
      <c r="J96" s="208" t="s">
        <v>1281</v>
      </c>
      <c r="K96" s="208"/>
      <c r="L96" s="209"/>
      <c r="M96" s="209"/>
    </row>
    <row r="97" spans="1:13" s="173" customFormat="1" ht="34">
      <c r="A97" s="208">
        <v>95</v>
      </c>
      <c r="B97" s="208" t="s">
        <v>3350</v>
      </c>
      <c r="C97" s="208" t="s">
        <v>2814</v>
      </c>
      <c r="D97" s="209" t="s">
        <v>3351</v>
      </c>
      <c r="E97" s="243" t="s">
        <v>4207</v>
      </c>
      <c r="F97" s="244" t="s">
        <v>3156</v>
      </c>
      <c r="G97" s="242" t="s">
        <v>2874</v>
      </c>
      <c r="H97" s="242" t="s">
        <v>3888</v>
      </c>
      <c r="I97" s="208">
        <v>95</v>
      </c>
      <c r="J97" s="208" t="s">
        <v>3350</v>
      </c>
      <c r="K97" s="208"/>
      <c r="L97" s="209"/>
      <c r="M97" s="209"/>
    </row>
    <row r="98" spans="1:13" s="173" customFormat="1" ht="51">
      <c r="A98" s="208">
        <v>96</v>
      </c>
      <c r="B98" s="208" t="s">
        <v>1279</v>
      </c>
      <c r="C98" s="208" t="s">
        <v>2815</v>
      </c>
      <c r="D98" s="209" t="s">
        <v>4015</v>
      </c>
      <c r="E98" s="243" t="s">
        <v>4128</v>
      </c>
      <c r="F98" s="244" t="s">
        <v>3835</v>
      </c>
      <c r="G98" s="242" t="s">
        <v>2875</v>
      </c>
      <c r="H98" s="242" t="s">
        <v>3766</v>
      </c>
      <c r="I98" s="208">
        <v>96</v>
      </c>
      <c r="J98" s="208" t="s">
        <v>1279</v>
      </c>
      <c r="K98" s="208"/>
      <c r="L98" s="209"/>
      <c r="M98" s="209"/>
    </row>
    <row r="99" spans="1:13" s="173" customFormat="1" ht="68">
      <c r="A99" s="208">
        <v>97</v>
      </c>
      <c r="B99" s="208" t="s">
        <v>1353</v>
      </c>
      <c r="C99" s="208" t="s">
        <v>2814</v>
      </c>
      <c r="D99" s="209" t="s">
        <v>3512</v>
      </c>
      <c r="E99" s="243" t="s">
        <v>4205</v>
      </c>
      <c r="F99" s="244" t="s">
        <v>3156</v>
      </c>
      <c r="G99" s="242" t="s">
        <v>2876</v>
      </c>
      <c r="H99" s="242" t="s">
        <v>3889</v>
      </c>
      <c r="I99" s="208">
        <v>97</v>
      </c>
      <c r="J99" s="208" t="s">
        <v>1353</v>
      </c>
      <c r="K99" s="208"/>
      <c r="L99" s="209"/>
      <c r="M99" s="209"/>
    </row>
    <row r="100" spans="1:13" s="173" customFormat="1" ht="153">
      <c r="A100" s="208">
        <v>98</v>
      </c>
      <c r="B100" s="208" t="s">
        <v>4016</v>
      </c>
      <c r="C100" s="208" t="s">
        <v>2815</v>
      </c>
      <c r="D100" s="209" t="s">
        <v>4017</v>
      </c>
      <c r="E100" s="243" t="s">
        <v>4358</v>
      </c>
      <c r="F100" s="244" t="s">
        <v>3843</v>
      </c>
      <c r="G100" s="242" t="s">
        <v>3941</v>
      </c>
      <c r="H100" s="242" t="s">
        <v>3890</v>
      </c>
      <c r="I100" s="208">
        <v>98</v>
      </c>
      <c r="J100" s="208" t="s">
        <v>3352</v>
      </c>
      <c r="K100" s="208"/>
      <c r="L100" s="209"/>
      <c r="M100" s="209"/>
    </row>
    <row r="101" spans="1:13" s="173" customFormat="1" ht="51">
      <c r="A101" s="208">
        <v>99</v>
      </c>
      <c r="B101" s="208" t="s">
        <v>1285</v>
      </c>
      <c r="C101" s="208" t="s">
        <v>2815</v>
      </c>
      <c r="D101" s="209" t="s">
        <v>4018</v>
      </c>
      <c r="E101" s="243" t="s">
        <v>4129</v>
      </c>
      <c r="F101" s="244" t="s">
        <v>3156</v>
      </c>
      <c r="G101" s="242" t="s">
        <v>3048</v>
      </c>
      <c r="H101" s="242" t="s">
        <v>2915</v>
      </c>
      <c r="I101" s="208">
        <v>99</v>
      </c>
      <c r="J101" s="208" t="s">
        <v>1285</v>
      </c>
      <c r="K101" s="208"/>
      <c r="L101" s="209"/>
      <c r="M101" s="209"/>
    </row>
    <row r="102" spans="1:13" s="173" customFormat="1" ht="68">
      <c r="A102" s="208">
        <v>100</v>
      </c>
      <c r="B102" s="208" t="s">
        <v>3353</v>
      </c>
      <c r="C102" s="208" t="s">
        <v>2815</v>
      </c>
      <c r="D102" s="209" t="s">
        <v>4019</v>
      </c>
      <c r="E102" s="243" t="s">
        <v>4130</v>
      </c>
      <c r="F102" s="244" t="s">
        <v>3156</v>
      </c>
      <c r="G102" s="242" t="s">
        <v>3153</v>
      </c>
      <c r="H102" s="242" t="s">
        <v>2916</v>
      </c>
      <c r="I102" s="208">
        <v>100</v>
      </c>
      <c r="J102" s="208" t="s">
        <v>3353</v>
      </c>
      <c r="K102" s="208"/>
      <c r="L102" s="209"/>
      <c r="M102" s="209"/>
    </row>
    <row r="103" spans="1:13" s="173" customFormat="1" ht="34">
      <c r="A103" s="208">
        <v>101</v>
      </c>
      <c r="B103" s="208" t="s">
        <v>1349</v>
      </c>
      <c r="C103" s="208" t="s">
        <v>2814</v>
      </c>
      <c r="D103" s="209" t="s">
        <v>3513</v>
      </c>
      <c r="E103" s="243" t="s">
        <v>4131</v>
      </c>
      <c r="F103" s="244" t="s">
        <v>3156</v>
      </c>
      <c r="G103" s="242" t="s">
        <v>3891</v>
      </c>
      <c r="H103" s="242" t="s">
        <v>2917</v>
      </c>
      <c r="I103" s="208">
        <v>101</v>
      </c>
      <c r="J103" s="208" t="s">
        <v>1349</v>
      </c>
      <c r="K103" s="208"/>
      <c r="L103" s="209"/>
      <c r="M103" s="209"/>
    </row>
    <row r="104" spans="1:13" s="173" customFormat="1" ht="102">
      <c r="A104" s="208">
        <v>102</v>
      </c>
      <c r="B104" s="208" t="s">
        <v>1351</v>
      </c>
      <c r="C104" s="208" t="s">
        <v>2814</v>
      </c>
      <c r="D104" s="209" t="s">
        <v>3514</v>
      </c>
      <c r="E104" s="243" t="s">
        <v>4265</v>
      </c>
      <c r="F104" s="244" t="s">
        <v>3156</v>
      </c>
      <c r="G104" s="242" t="s">
        <v>3152</v>
      </c>
      <c r="H104" s="242" t="s">
        <v>4264</v>
      </c>
      <c r="I104" s="208">
        <v>102</v>
      </c>
      <c r="J104" s="208" t="s">
        <v>1351</v>
      </c>
      <c r="K104" s="208"/>
      <c r="L104" s="209"/>
      <c r="M104" s="209"/>
    </row>
    <row r="105" spans="1:13" s="173" customFormat="1" ht="34">
      <c r="A105" s="208">
        <v>103</v>
      </c>
      <c r="B105" s="208" t="s">
        <v>3354</v>
      </c>
      <c r="C105" s="208" t="s">
        <v>2814</v>
      </c>
      <c r="D105" s="209" t="s">
        <v>3515</v>
      </c>
      <c r="E105" s="243" t="s">
        <v>4208</v>
      </c>
      <c r="F105" s="244" t="s">
        <v>3156</v>
      </c>
      <c r="G105" s="242" t="s">
        <v>3592</v>
      </c>
      <c r="H105" s="242" t="s">
        <v>3892</v>
      </c>
      <c r="I105" s="208">
        <v>103</v>
      </c>
      <c r="J105" s="208" t="s">
        <v>3354</v>
      </c>
      <c r="K105" s="208"/>
      <c r="L105" s="209"/>
      <c r="M105" s="209"/>
    </row>
    <row r="106" spans="1:13" s="173" customFormat="1" ht="119">
      <c r="A106" s="208">
        <v>104</v>
      </c>
      <c r="B106" s="208" t="s">
        <v>1296</v>
      </c>
      <c r="C106" s="208" t="s">
        <v>2815</v>
      </c>
      <c r="D106" s="209" t="s">
        <v>4020</v>
      </c>
      <c r="E106" s="243" t="s">
        <v>4209</v>
      </c>
      <c r="F106" s="244" t="s">
        <v>3156</v>
      </c>
      <c r="G106" s="242" t="s">
        <v>3049</v>
      </c>
      <c r="H106" s="242" t="s">
        <v>2918</v>
      </c>
      <c r="I106" s="208">
        <v>104</v>
      </c>
      <c r="J106" s="208" t="s">
        <v>1296</v>
      </c>
      <c r="K106" s="208"/>
      <c r="L106" s="209"/>
      <c r="M106" s="209"/>
    </row>
    <row r="107" spans="1:13" s="173" customFormat="1" ht="119">
      <c r="A107" s="208">
        <v>105</v>
      </c>
      <c r="B107" s="208" t="s">
        <v>1294</v>
      </c>
      <c r="C107" s="208" t="s">
        <v>2815</v>
      </c>
      <c r="D107" s="209" t="s">
        <v>4021</v>
      </c>
      <c r="E107" s="243" t="s">
        <v>4132</v>
      </c>
      <c r="F107" s="244" t="s">
        <v>3156</v>
      </c>
      <c r="G107" s="242" t="s">
        <v>3893</v>
      </c>
      <c r="H107" s="242" t="s">
        <v>3894</v>
      </c>
      <c r="I107" s="208">
        <v>105</v>
      </c>
      <c r="J107" s="208" t="s">
        <v>1294</v>
      </c>
      <c r="K107" s="208"/>
      <c r="L107" s="209"/>
      <c r="M107" s="209"/>
    </row>
    <row r="108" spans="1:13" s="173" customFormat="1" ht="34">
      <c r="A108" s="208">
        <v>106</v>
      </c>
      <c r="B108" s="208" t="s">
        <v>3355</v>
      </c>
      <c r="C108" s="208" t="s">
        <v>2814</v>
      </c>
      <c r="D108" s="209" t="s">
        <v>3516</v>
      </c>
      <c r="E108" s="243" t="s">
        <v>4210</v>
      </c>
      <c r="F108" s="244" t="s">
        <v>3156</v>
      </c>
      <c r="G108" s="242" t="s">
        <v>2920</v>
      </c>
      <c r="H108" s="242" t="s">
        <v>2921</v>
      </c>
      <c r="I108" s="208">
        <v>106</v>
      </c>
      <c r="J108" s="208" t="s">
        <v>3355</v>
      </c>
      <c r="K108" s="208"/>
      <c r="L108" s="209"/>
      <c r="M108" s="209"/>
    </row>
    <row r="109" spans="1:13" s="173" customFormat="1" ht="68">
      <c r="A109" s="208">
        <v>107</v>
      </c>
      <c r="B109" s="208" t="s">
        <v>3356</v>
      </c>
      <c r="C109" s="208" t="s">
        <v>2814</v>
      </c>
      <c r="D109" s="209" t="s">
        <v>3517</v>
      </c>
      <c r="E109" s="243" t="s">
        <v>4249</v>
      </c>
      <c r="F109" s="244" t="s">
        <v>3837</v>
      </c>
      <c r="G109" s="242" t="s">
        <v>3151</v>
      </c>
      <c r="H109" s="242" t="s">
        <v>3895</v>
      </c>
      <c r="I109" s="208">
        <v>107</v>
      </c>
      <c r="J109" s="208" t="s">
        <v>3356</v>
      </c>
      <c r="K109" s="208"/>
      <c r="L109" s="209"/>
      <c r="M109" s="209"/>
    </row>
    <row r="110" spans="1:13" s="173" customFormat="1" ht="34">
      <c r="A110" s="208">
        <v>108</v>
      </c>
      <c r="B110" s="208" t="s">
        <v>3357</v>
      </c>
      <c r="C110" s="208" t="s">
        <v>2814</v>
      </c>
      <c r="D110" s="209" t="s">
        <v>4022</v>
      </c>
      <c r="E110" s="243" t="s">
        <v>4211</v>
      </c>
      <c r="F110" s="244" t="s">
        <v>3838</v>
      </c>
      <c r="G110" s="242" t="s">
        <v>3044</v>
      </c>
      <c r="H110" s="242" t="s">
        <v>3896</v>
      </c>
      <c r="I110" s="208">
        <v>108</v>
      </c>
      <c r="J110" s="208" t="s">
        <v>3357</v>
      </c>
      <c r="K110" s="208"/>
      <c r="L110" s="209"/>
      <c r="M110" s="209"/>
    </row>
    <row r="111" spans="1:13" s="173" customFormat="1" ht="51">
      <c r="A111" s="208">
        <v>109</v>
      </c>
      <c r="B111" s="208" t="s">
        <v>3358</v>
      </c>
      <c r="C111" s="208" t="s">
        <v>2814</v>
      </c>
      <c r="D111" s="209" t="s">
        <v>3518</v>
      </c>
      <c r="E111" s="243" t="s">
        <v>4212</v>
      </c>
      <c r="F111" s="244" t="s">
        <v>3156</v>
      </c>
      <c r="G111" s="242" t="s">
        <v>2922</v>
      </c>
      <c r="H111" s="242" t="s">
        <v>3897</v>
      </c>
      <c r="I111" s="208">
        <v>109</v>
      </c>
      <c r="J111" s="208" t="s">
        <v>3358</v>
      </c>
      <c r="K111" s="208"/>
      <c r="L111" s="209"/>
      <c r="M111" s="209"/>
    </row>
    <row r="112" spans="1:13" s="173" customFormat="1" ht="51">
      <c r="A112" s="208">
        <v>110</v>
      </c>
      <c r="B112" s="208" t="s">
        <v>3359</v>
      </c>
      <c r="C112" s="208" t="s">
        <v>2814</v>
      </c>
      <c r="D112" s="209" t="s">
        <v>3519</v>
      </c>
      <c r="E112" s="243" t="s">
        <v>4213</v>
      </c>
      <c r="F112" s="244" t="s">
        <v>3156</v>
      </c>
      <c r="G112" s="242" t="s">
        <v>3045</v>
      </c>
      <c r="H112" s="242" t="s">
        <v>2923</v>
      </c>
      <c r="I112" s="208">
        <v>110</v>
      </c>
      <c r="J112" s="208" t="s">
        <v>3359</v>
      </c>
      <c r="K112" s="208"/>
      <c r="L112" s="209"/>
      <c r="M112" s="209"/>
    </row>
    <row r="113" spans="1:13" s="173" customFormat="1" ht="34">
      <c r="A113" s="208">
        <v>111</v>
      </c>
      <c r="B113" s="208" t="s">
        <v>3360</v>
      </c>
      <c r="C113" s="208" t="s">
        <v>2815</v>
      </c>
      <c r="D113" s="209" t="s">
        <v>3520</v>
      </c>
      <c r="E113" s="243" t="s">
        <v>4319</v>
      </c>
      <c r="F113" s="244" t="s">
        <v>3156</v>
      </c>
      <c r="G113" s="242" t="s">
        <v>1797</v>
      </c>
      <c r="H113" s="242" t="s">
        <v>3792</v>
      </c>
      <c r="I113" s="208">
        <v>111</v>
      </c>
      <c r="J113" s="208" t="s">
        <v>3360</v>
      </c>
      <c r="K113" s="208"/>
      <c r="L113" s="209"/>
      <c r="M113" s="209"/>
    </row>
    <row r="114" spans="1:13" s="173" customFormat="1" ht="34">
      <c r="A114" s="208">
        <v>112</v>
      </c>
      <c r="B114" s="208" t="s">
        <v>3361</v>
      </c>
      <c r="C114" s="208" t="s">
        <v>2814</v>
      </c>
      <c r="D114" s="209" t="s">
        <v>3521</v>
      </c>
      <c r="E114" s="243" t="s">
        <v>4214</v>
      </c>
      <c r="F114" s="244" t="s">
        <v>3838</v>
      </c>
      <c r="G114" s="242" t="s">
        <v>3150</v>
      </c>
      <c r="H114" s="242" t="s">
        <v>3898</v>
      </c>
      <c r="I114" s="208">
        <v>112</v>
      </c>
      <c r="J114" s="208" t="s">
        <v>3361</v>
      </c>
      <c r="K114" s="208"/>
      <c r="L114" s="209"/>
      <c r="M114" s="209"/>
    </row>
    <row r="115" spans="1:13" s="173" customFormat="1" ht="68">
      <c r="A115" s="208">
        <v>113</v>
      </c>
      <c r="B115" s="208" t="s">
        <v>1290</v>
      </c>
      <c r="C115" s="208" t="s">
        <v>2815</v>
      </c>
      <c r="D115" s="209" t="s">
        <v>4023</v>
      </c>
      <c r="E115" s="243" t="s">
        <v>4133</v>
      </c>
      <c r="F115" s="244" t="s">
        <v>3156</v>
      </c>
      <c r="G115" s="242" t="s">
        <v>3899</v>
      </c>
      <c r="H115" s="242" t="s">
        <v>3900</v>
      </c>
      <c r="I115" s="208">
        <v>113</v>
      </c>
      <c r="J115" s="208" t="s">
        <v>1290</v>
      </c>
      <c r="K115" s="208"/>
      <c r="L115" s="209"/>
      <c r="M115" s="209"/>
    </row>
    <row r="116" spans="1:13" s="173" customFormat="1" ht="85">
      <c r="A116" s="208">
        <v>114</v>
      </c>
      <c r="B116" s="208" t="s">
        <v>3362</v>
      </c>
      <c r="C116" s="208" t="s">
        <v>2815</v>
      </c>
      <c r="D116" s="209" t="s">
        <v>4024</v>
      </c>
      <c r="E116" s="243" t="s">
        <v>4134</v>
      </c>
      <c r="F116" s="244" t="s">
        <v>3839</v>
      </c>
      <c r="G116" s="242" t="s">
        <v>3141</v>
      </c>
      <c r="H116" s="242" t="s">
        <v>2924</v>
      </c>
      <c r="I116" s="208">
        <v>114</v>
      </c>
      <c r="J116" s="208" t="s">
        <v>3362</v>
      </c>
      <c r="K116" s="208"/>
      <c r="L116" s="209"/>
      <c r="M116" s="209"/>
    </row>
    <row r="117" spans="1:13" s="173" customFormat="1" ht="34">
      <c r="A117" s="208">
        <v>115</v>
      </c>
      <c r="B117" s="208" t="s">
        <v>1354</v>
      </c>
      <c r="C117" s="208" t="s">
        <v>2814</v>
      </c>
      <c r="D117" s="209" t="s">
        <v>3522</v>
      </c>
      <c r="E117" s="243" t="s">
        <v>4215</v>
      </c>
      <c r="F117" s="244" t="s">
        <v>3156</v>
      </c>
      <c r="G117" s="242" t="s">
        <v>3046</v>
      </c>
      <c r="H117" s="242" t="s">
        <v>4072</v>
      </c>
      <c r="I117" s="208">
        <v>115</v>
      </c>
      <c r="J117" s="208" t="s">
        <v>1354</v>
      </c>
      <c r="K117" s="208"/>
      <c r="L117" s="209"/>
      <c r="M117" s="209"/>
    </row>
    <row r="118" spans="1:13" s="173" customFormat="1" ht="34">
      <c r="A118" s="208">
        <v>116</v>
      </c>
      <c r="B118" s="208" t="s">
        <v>3363</v>
      </c>
      <c r="C118" s="208" t="s">
        <v>2814</v>
      </c>
      <c r="D118" s="209" t="s">
        <v>3523</v>
      </c>
      <c r="E118" s="243" t="s">
        <v>4216</v>
      </c>
      <c r="F118" s="244" t="s">
        <v>3156</v>
      </c>
      <c r="G118" s="242" t="s">
        <v>3149</v>
      </c>
      <c r="H118" s="242" t="s">
        <v>2925</v>
      </c>
      <c r="I118" s="208">
        <v>116</v>
      </c>
      <c r="J118" s="208" t="s">
        <v>3363</v>
      </c>
      <c r="K118" s="208"/>
      <c r="L118" s="209"/>
      <c r="M118" s="209"/>
    </row>
    <row r="119" spans="1:13" s="173" customFormat="1" ht="51">
      <c r="A119" s="208">
        <v>117</v>
      </c>
      <c r="B119" s="208" t="s">
        <v>3364</v>
      </c>
      <c r="C119" s="208" t="s">
        <v>2815</v>
      </c>
      <c r="D119" s="209" t="s">
        <v>4025</v>
      </c>
      <c r="E119" s="243" t="s">
        <v>4270</v>
      </c>
      <c r="F119" s="244" t="s">
        <v>3156</v>
      </c>
      <c r="G119" s="242" t="s">
        <v>2926</v>
      </c>
      <c r="H119" s="242" t="s">
        <v>3901</v>
      </c>
      <c r="I119" s="208">
        <v>117</v>
      </c>
      <c r="J119" s="208" t="s">
        <v>3364</v>
      </c>
      <c r="K119" s="208"/>
      <c r="L119" s="209"/>
      <c r="M119" s="209"/>
    </row>
    <row r="120" spans="1:13" s="173" customFormat="1" ht="34">
      <c r="A120" s="208">
        <v>118</v>
      </c>
      <c r="B120" s="208" t="s">
        <v>3365</v>
      </c>
      <c r="C120" s="208" t="s">
        <v>2814</v>
      </c>
      <c r="D120" s="209" t="s">
        <v>3524</v>
      </c>
      <c r="E120" s="243" t="s">
        <v>4135</v>
      </c>
      <c r="F120" s="244" t="s">
        <v>3156</v>
      </c>
      <c r="G120" s="242" t="s">
        <v>2791</v>
      </c>
      <c r="H120" s="242" t="s">
        <v>2792</v>
      </c>
      <c r="I120" s="208">
        <v>118</v>
      </c>
      <c r="J120" s="208" t="s">
        <v>3365</v>
      </c>
      <c r="K120" s="208"/>
      <c r="L120" s="209"/>
      <c r="M120" s="209"/>
    </row>
    <row r="121" spans="1:13" s="173" customFormat="1" ht="85">
      <c r="A121" s="208">
        <v>119</v>
      </c>
      <c r="B121" s="208" t="s">
        <v>3366</v>
      </c>
      <c r="C121" s="208" t="s">
        <v>2815</v>
      </c>
      <c r="D121" s="209" t="s">
        <v>4026</v>
      </c>
      <c r="E121" s="243" t="s">
        <v>4136</v>
      </c>
      <c r="F121" s="244" t="s">
        <v>3156</v>
      </c>
      <c r="G121" s="242" t="s">
        <v>2929</v>
      </c>
      <c r="H121" s="242" t="s">
        <v>4269</v>
      </c>
      <c r="I121" s="208">
        <v>119</v>
      </c>
      <c r="J121" s="208" t="s">
        <v>3366</v>
      </c>
      <c r="K121" s="208"/>
      <c r="L121" s="209"/>
      <c r="M121" s="209"/>
    </row>
    <row r="122" spans="1:13" s="173" customFormat="1" ht="68">
      <c r="A122" s="208">
        <v>120</v>
      </c>
      <c r="B122" s="208" t="s">
        <v>3367</v>
      </c>
      <c r="C122" s="208" t="s">
        <v>2814</v>
      </c>
      <c r="D122" s="209" t="s">
        <v>3525</v>
      </c>
      <c r="E122" s="243" t="s">
        <v>4320</v>
      </c>
      <c r="F122" s="244" t="s">
        <v>3156</v>
      </c>
      <c r="G122" s="242" t="s">
        <v>3148</v>
      </c>
      <c r="H122" s="242" t="s">
        <v>3767</v>
      </c>
      <c r="I122" s="208">
        <v>120</v>
      </c>
      <c r="J122" s="208" t="s">
        <v>3367</v>
      </c>
      <c r="K122" s="208"/>
      <c r="L122" s="209"/>
      <c r="M122" s="209"/>
    </row>
    <row r="123" spans="1:13" s="173" customFormat="1" ht="68">
      <c r="A123" s="208">
        <v>121</v>
      </c>
      <c r="B123" s="208" t="s">
        <v>3368</v>
      </c>
      <c r="C123" s="208" t="s">
        <v>2815</v>
      </c>
      <c r="D123" s="209" t="s">
        <v>3526</v>
      </c>
      <c r="E123" s="243" t="s">
        <v>4217</v>
      </c>
      <c r="F123" s="244" t="s">
        <v>3844</v>
      </c>
      <c r="G123" s="242" t="s">
        <v>3143</v>
      </c>
      <c r="H123" s="242" t="s">
        <v>2927</v>
      </c>
      <c r="I123" s="208">
        <v>121</v>
      </c>
      <c r="J123" s="208" t="s">
        <v>3368</v>
      </c>
      <c r="K123" s="208"/>
      <c r="L123" s="209"/>
      <c r="M123" s="209"/>
    </row>
    <row r="124" spans="1:13" s="173" customFormat="1" ht="51">
      <c r="A124" s="208">
        <v>122</v>
      </c>
      <c r="B124" s="208" t="s">
        <v>3369</v>
      </c>
      <c r="C124" s="208" t="s">
        <v>2815</v>
      </c>
      <c r="D124" s="209" t="s">
        <v>3527</v>
      </c>
      <c r="E124" s="243" t="s">
        <v>4218</v>
      </c>
      <c r="F124" s="244" t="s">
        <v>4283</v>
      </c>
      <c r="G124" s="242" t="s">
        <v>4103</v>
      </c>
      <c r="H124" s="242" t="s">
        <v>3902</v>
      </c>
      <c r="I124" s="208">
        <v>122</v>
      </c>
      <c r="J124" s="208" t="s">
        <v>3369</v>
      </c>
      <c r="K124" s="208"/>
      <c r="L124" s="209"/>
      <c r="M124" s="209"/>
    </row>
    <row r="125" spans="1:13" s="173" customFormat="1" ht="51">
      <c r="A125" s="208">
        <v>123</v>
      </c>
      <c r="B125" s="208" t="s">
        <v>3370</v>
      </c>
      <c r="C125" s="208" t="s">
        <v>2814</v>
      </c>
      <c r="D125" s="209" t="s">
        <v>3528</v>
      </c>
      <c r="E125" s="243" t="s">
        <v>4142</v>
      </c>
      <c r="F125" s="244" t="s">
        <v>4354</v>
      </c>
      <c r="G125" s="242" t="s">
        <v>2928</v>
      </c>
      <c r="H125" s="242" t="s">
        <v>3903</v>
      </c>
      <c r="I125" s="208">
        <v>123</v>
      </c>
      <c r="J125" s="208" t="s">
        <v>3370</v>
      </c>
      <c r="K125" s="208"/>
      <c r="L125" s="209"/>
      <c r="M125" s="209"/>
    </row>
    <row r="126" spans="1:13" s="173" customFormat="1" ht="136">
      <c r="A126" s="208">
        <v>124</v>
      </c>
      <c r="B126" s="208" t="s">
        <v>3371</v>
      </c>
      <c r="C126" s="208" t="s">
        <v>2815</v>
      </c>
      <c r="D126" s="209" t="s">
        <v>3573</v>
      </c>
      <c r="E126" s="243" t="s">
        <v>4275</v>
      </c>
      <c r="F126" s="244" t="s">
        <v>3156</v>
      </c>
      <c r="G126" s="242" t="s">
        <v>3139</v>
      </c>
      <c r="H126" s="242" t="s">
        <v>3904</v>
      </c>
      <c r="I126" s="208">
        <v>124</v>
      </c>
      <c r="J126" s="208" t="s">
        <v>3371</v>
      </c>
      <c r="K126" s="208"/>
      <c r="L126" s="209"/>
      <c r="M126" s="209"/>
    </row>
    <row r="127" spans="1:13" s="173" customFormat="1" ht="51">
      <c r="A127" s="208">
        <v>125</v>
      </c>
      <c r="B127" s="208" t="s">
        <v>3372</v>
      </c>
      <c r="C127" s="208" t="s">
        <v>2814</v>
      </c>
      <c r="D127" s="209" t="s">
        <v>3529</v>
      </c>
      <c r="E127" s="243" t="s">
        <v>4219</v>
      </c>
      <c r="F127" s="244" t="s">
        <v>3373</v>
      </c>
      <c r="G127" s="242" t="s">
        <v>2930</v>
      </c>
      <c r="H127" s="242" t="s">
        <v>3905</v>
      </c>
      <c r="I127" s="208">
        <v>125</v>
      </c>
      <c r="J127" s="208" t="s">
        <v>3372</v>
      </c>
      <c r="K127" s="208"/>
      <c r="L127" s="209"/>
      <c r="M127" s="209"/>
    </row>
    <row r="128" spans="1:13" s="173" customFormat="1" ht="85">
      <c r="A128" s="208">
        <v>126</v>
      </c>
      <c r="B128" s="208" t="s">
        <v>3374</v>
      </c>
      <c r="C128" s="208" t="s">
        <v>2815</v>
      </c>
      <c r="D128" s="209" t="s">
        <v>3530</v>
      </c>
      <c r="E128" s="243" t="s">
        <v>4143</v>
      </c>
      <c r="F128" s="244" t="s">
        <v>3444</v>
      </c>
      <c r="G128" s="242" t="s">
        <v>3586</v>
      </c>
      <c r="H128" s="242" t="s">
        <v>3906</v>
      </c>
      <c r="I128" s="208">
        <v>126</v>
      </c>
      <c r="J128" s="208" t="s">
        <v>3374</v>
      </c>
      <c r="K128" s="208"/>
      <c r="L128" s="209"/>
      <c r="M128" s="209"/>
    </row>
    <row r="129" spans="1:13" s="173" customFormat="1" ht="68">
      <c r="A129" s="208">
        <v>127</v>
      </c>
      <c r="B129" s="208" t="s">
        <v>3375</v>
      </c>
      <c r="C129" s="208" t="s">
        <v>2815</v>
      </c>
      <c r="D129" s="209" t="s">
        <v>3531</v>
      </c>
      <c r="E129" s="243" t="s">
        <v>4137</v>
      </c>
      <c r="F129" s="244" t="s">
        <v>3156</v>
      </c>
      <c r="G129" s="242" t="s">
        <v>3792</v>
      </c>
      <c r="H129" s="242" t="s">
        <v>3792</v>
      </c>
      <c r="I129" s="208">
        <v>127</v>
      </c>
      <c r="J129" s="208" t="s">
        <v>3375</v>
      </c>
      <c r="K129" s="208"/>
      <c r="L129" s="209"/>
      <c r="M129" s="209"/>
    </row>
    <row r="130" spans="1:13" s="173" customFormat="1" ht="51">
      <c r="A130" s="208">
        <v>128</v>
      </c>
      <c r="B130" s="208" t="s">
        <v>3376</v>
      </c>
      <c r="C130" s="208" t="s">
        <v>2814</v>
      </c>
      <c r="D130" s="209" t="s">
        <v>3532</v>
      </c>
      <c r="E130" s="243" t="s">
        <v>4220</v>
      </c>
      <c r="F130" s="244" t="s">
        <v>3840</v>
      </c>
      <c r="G130" s="242" t="s">
        <v>3580</v>
      </c>
      <c r="H130" s="242" t="s">
        <v>2931</v>
      </c>
      <c r="I130" s="208">
        <v>128</v>
      </c>
      <c r="J130" s="208" t="s">
        <v>3376</v>
      </c>
      <c r="K130" s="208"/>
      <c r="L130" s="209"/>
      <c r="M130" s="209"/>
    </row>
    <row r="131" spans="1:13" s="173" customFormat="1" ht="34">
      <c r="A131" s="208">
        <v>129</v>
      </c>
      <c r="B131" s="208" t="s">
        <v>3377</v>
      </c>
      <c r="C131" s="208" t="s">
        <v>2814</v>
      </c>
      <c r="D131" s="209" t="s">
        <v>3533</v>
      </c>
      <c r="E131" s="243" t="s">
        <v>4144</v>
      </c>
      <c r="F131" s="244" t="s">
        <v>4355</v>
      </c>
      <c r="G131" s="242" t="s">
        <v>2932</v>
      </c>
      <c r="H131" s="242" t="s">
        <v>2933</v>
      </c>
      <c r="I131" s="208">
        <v>129</v>
      </c>
      <c r="J131" s="208" t="s">
        <v>3377</v>
      </c>
      <c r="K131" s="208"/>
      <c r="L131" s="209"/>
      <c r="M131" s="209"/>
    </row>
    <row r="132" spans="1:13" s="173" customFormat="1" ht="51">
      <c r="A132" s="208">
        <v>130</v>
      </c>
      <c r="B132" s="208" t="s">
        <v>3378</v>
      </c>
      <c r="C132" s="208" t="s">
        <v>2815</v>
      </c>
      <c r="D132" s="209" t="s">
        <v>4027</v>
      </c>
      <c r="E132" s="243" t="s">
        <v>4145</v>
      </c>
      <c r="F132" s="244" t="s">
        <v>3373</v>
      </c>
      <c r="G132" s="242" t="s">
        <v>2934</v>
      </c>
      <c r="H132" s="242" t="s">
        <v>2935</v>
      </c>
      <c r="I132" s="208">
        <v>130</v>
      </c>
      <c r="J132" s="208" t="s">
        <v>3378</v>
      </c>
      <c r="K132" s="208"/>
      <c r="L132" s="209"/>
      <c r="M132" s="209"/>
    </row>
    <row r="133" spans="1:13" s="173" customFormat="1" ht="136">
      <c r="A133" s="208">
        <v>131</v>
      </c>
      <c r="B133" s="208" t="s">
        <v>3379</v>
      </c>
      <c r="C133" s="208" t="s">
        <v>2815</v>
      </c>
      <c r="D133" s="209" t="s">
        <v>4028</v>
      </c>
      <c r="E133" s="243" t="s">
        <v>4356</v>
      </c>
      <c r="F133" s="244" t="s">
        <v>3156</v>
      </c>
      <c r="G133" s="242" t="s">
        <v>2936</v>
      </c>
      <c r="H133" s="242" t="s">
        <v>3907</v>
      </c>
      <c r="I133" s="208">
        <v>131</v>
      </c>
      <c r="J133" s="208" t="s">
        <v>3379</v>
      </c>
      <c r="K133" s="208"/>
      <c r="L133" s="209"/>
      <c r="M133" s="209"/>
    </row>
    <row r="134" spans="1:13" s="173" customFormat="1" ht="34">
      <c r="A134" s="208">
        <v>132</v>
      </c>
      <c r="B134" s="208" t="s">
        <v>3380</v>
      </c>
      <c r="C134" s="208" t="s">
        <v>2815</v>
      </c>
      <c r="D134" s="209" t="s">
        <v>3534</v>
      </c>
      <c r="E134" s="243" t="s">
        <v>4146</v>
      </c>
      <c r="F134" s="244" t="s">
        <v>3156</v>
      </c>
      <c r="G134" s="242" t="s">
        <v>2791</v>
      </c>
      <c r="H134" s="242" t="s">
        <v>3792</v>
      </c>
      <c r="I134" s="208">
        <v>132</v>
      </c>
      <c r="J134" s="208" t="s">
        <v>3380</v>
      </c>
      <c r="K134" s="208"/>
      <c r="L134" s="209"/>
      <c r="M134" s="209"/>
    </row>
    <row r="135" spans="1:13" s="173" customFormat="1" ht="85">
      <c r="A135" s="208">
        <v>133</v>
      </c>
      <c r="B135" s="208" t="s">
        <v>3381</v>
      </c>
      <c r="C135" s="208" t="s">
        <v>2815</v>
      </c>
      <c r="D135" s="209" t="s">
        <v>3535</v>
      </c>
      <c r="E135" s="243" t="s">
        <v>4147</v>
      </c>
      <c r="F135" s="244" t="s">
        <v>3825</v>
      </c>
      <c r="G135" s="242" t="s">
        <v>3942</v>
      </c>
      <c r="H135" s="242" t="s">
        <v>3908</v>
      </c>
      <c r="I135" s="208">
        <v>133</v>
      </c>
      <c r="J135" s="208" t="s">
        <v>3381</v>
      </c>
      <c r="K135" s="208"/>
      <c r="L135" s="209"/>
      <c r="M135" s="209"/>
    </row>
    <row r="136" spans="1:13" s="173" customFormat="1" ht="51">
      <c r="A136" s="208">
        <v>134</v>
      </c>
      <c r="B136" s="208" t="s">
        <v>3382</v>
      </c>
      <c r="C136" s="208" t="s">
        <v>2815</v>
      </c>
      <c r="D136" s="209" t="s">
        <v>3536</v>
      </c>
      <c r="E136" s="243" t="s">
        <v>4148</v>
      </c>
      <c r="F136" s="244" t="s">
        <v>3156</v>
      </c>
      <c r="G136" s="242" t="s">
        <v>1797</v>
      </c>
      <c r="H136" s="242" t="s">
        <v>3792</v>
      </c>
      <c r="I136" s="208">
        <v>134</v>
      </c>
      <c r="J136" s="208" t="s">
        <v>3382</v>
      </c>
      <c r="K136" s="208"/>
      <c r="L136" s="209"/>
      <c r="M136" s="209"/>
    </row>
    <row r="137" spans="1:13" s="173" customFormat="1" ht="51">
      <c r="A137" s="208">
        <v>135</v>
      </c>
      <c r="B137" s="208" t="s">
        <v>3383</v>
      </c>
      <c r="C137" s="208" t="s">
        <v>2815</v>
      </c>
      <c r="D137" s="209" t="s">
        <v>4029</v>
      </c>
      <c r="E137" s="243" t="s">
        <v>4149</v>
      </c>
      <c r="F137" s="244" t="s">
        <v>3373</v>
      </c>
      <c r="G137" s="242" t="s">
        <v>2937</v>
      </c>
      <c r="H137" s="242" t="s">
        <v>2938</v>
      </c>
      <c r="I137" s="208">
        <v>135</v>
      </c>
      <c r="J137" s="208" t="s">
        <v>3383</v>
      </c>
      <c r="K137" s="208"/>
      <c r="L137" s="209"/>
      <c r="M137" s="209"/>
    </row>
    <row r="138" spans="1:13" s="173" customFormat="1" ht="68">
      <c r="A138" s="208">
        <v>136</v>
      </c>
      <c r="B138" s="208" t="s">
        <v>3384</v>
      </c>
      <c r="C138" s="208" t="s">
        <v>2815</v>
      </c>
      <c r="D138" s="209" t="s">
        <v>4030</v>
      </c>
      <c r="E138" s="243" t="s">
        <v>4221</v>
      </c>
      <c r="F138" s="244" t="s">
        <v>3445</v>
      </c>
      <c r="G138" s="242" t="s">
        <v>2939</v>
      </c>
      <c r="H138" s="242" t="s">
        <v>3909</v>
      </c>
      <c r="I138" s="208">
        <v>136</v>
      </c>
      <c r="J138" s="208" t="s">
        <v>3384</v>
      </c>
      <c r="K138" s="208"/>
      <c r="L138" s="209"/>
      <c r="M138" s="209"/>
    </row>
    <row r="139" spans="1:13" s="173" customFormat="1" ht="51">
      <c r="A139" s="208">
        <v>137</v>
      </c>
      <c r="B139" s="208" t="s">
        <v>3385</v>
      </c>
      <c r="C139" s="208" t="s">
        <v>2814</v>
      </c>
      <c r="D139" s="209" t="s">
        <v>3537</v>
      </c>
      <c r="E139" s="243" t="s">
        <v>4138</v>
      </c>
      <c r="F139" s="244" t="s">
        <v>3156</v>
      </c>
      <c r="G139" s="242" t="s">
        <v>2940</v>
      </c>
      <c r="H139" s="242" t="s">
        <v>3910</v>
      </c>
      <c r="I139" s="208">
        <v>137</v>
      </c>
      <c r="J139" s="208" t="s">
        <v>3385</v>
      </c>
      <c r="K139" s="208"/>
      <c r="L139" s="209"/>
      <c r="M139" s="209"/>
    </row>
    <row r="140" spans="1:13" s="173" customFormat="1" ht="34">
      <c r="A140" s="208">
        <v>138</v>
      </c>
      <c r="B140" s="208" t="s">
        <v>3386</v>
      </c>
      <c r="C140" s="208" t="s">
        <v>2815</v>
      </c>
      <c r="D140" s="209" t="s">
        <v>3538</v>
      </c>
      <c r="E140" s="243" t="s">
        <v>4150</v>
      </c>
      <c r="F140" s="244" t="s">
        <v>3156</v>
      </c>
      <c r="G140" s="242" t="s">
        <v>3912</v>
      </c>
      <c r="H140" s="242" t="s">
        <v>3911</v>
      </c>
      <c r="I140" s="208">
        <v>138</v>
      </c>
      <c r="J140" s="208" t="s">
        <v>3386</v>
      </c>
      <c r="K140" s="208"/>
      <c r="L140" s="209"/>
      <c r="M140" s="209"/>
    </row>
    <row r="141" spans="1:13" s="173" customFormat="1" ht="85">
      <c r="A141" s="208">
        <v>139</v>
      </c>
      <c r="B141" s="208" t="s">
        <v>3387</v>
      </c>
      <c r="C141" s="208" t="s">
        <v>2815</v>
      </c>
      <c r="D141" s="209" t="s">
        <v>3539</v>
      </c>
      <c r="E141" s="243" t="s">
        <v>4151</v>
      </c>
      <c r="F141" s="244" t="s">
        <v>3156</v>
      </c>
      <c r="G141" s="242" t="s">
        <v>3913</v>
      </c>
      <c r="H141" s="242" t="s">
        <v>3914</v>
      </c>
      <c r="I141" s="208">
        <v>139</v>
      </c>
      <c r="J141" s="208" t="s">
        <v>3387</v>
      </c>
      <c r="K141" s="208"/>
      <c r="L141" s="209"/>
      <c r="M141" s="209"/>
    </row>
    <row r="142" spans="1:13" s="173" customFormat="1" ht="85">
      <c r="A142" s="208">
        <v>140</v>
      </c>
      <c r="B142" s="208" t="s">
        <v>3388</v>
      </c>
      <c r="C142" s="208" t="s">
        <v>2814</v>
      </c>
      <c r="D142" s="209" t="s">
        <v>3540</v>
      </c>
      <c r="E142" s="243" t="s">
        <v>4139</v>
      </c>
      <c r="F142" s="244" t="s">
        <v>3156</v>
      </c>
      <c r="G142" s="242" t="s">
        <v>3147</v>
      </c>
      <c r="H142" s="242" t="s">
        <v>3915</v>
      </c>
      <c r="I142" s="208">
        <v>140</v>
      </c>
      <c r="J142" s="208" t="s">
        <v>3388</v>
      </c>
      <c r="K142" s="208"/>
      <c r="L142" s="209"/>
      <c r="M142" s="209"/>
    </row>
    <row r="143" spans="1:13" s="173" customFormat="1" ht="34">
      <c r="A143" s="208">
        <v>141</v>
      </c>
      <c r="B143" s="208" t="s">
        <v>3389</v>
      </c>
      <c r="C143" s="208" t="s">
        <v>2814</v>
      </c>
      <c r="D143" s="209" t="s">
        <v>3541</v>
      </c>
      <c r="E143" s="243" t="s">
        <v>4152</v>
      </c>
      <c r="F143" s="244" t="s">
        <v>3156</v>
      </c>
      <c r="G143" s="242" t="s">
        <v>3916</v>
      </c>
      <c r="H143" s="242" t="s">
        <v>3581</v>
      </c>
      <c r="I143" s="208">
        <v>141</v>
      </c>
      <c r="J143" s="208" t="s">
        <v>3389</v>
      </c>
      <c r="K143" s="208"/>
      <c r="L143" s="209"/>
      <c r="M143" s="209"/>
    </row>
    <row r="144" spans="1:13" s="173" customFormat="1" ht="119">
      <c r="A144" s="208">
        <v>142</v>
      </c>
      <c r="B144" s="208" t="s">
        <v>3390</v>
      </c>
      <c r="C144" s="208" t="s">
        <v>2815</v>
      </c>
      <c r="D144" s="209" t="s">
        <v>4031</v>
      </c>
      <c r="E144" s="243" t="s">
        <v>4222</v>
      </c>
      <c r="F144" s="244" t="s">
        <v>3574</v>
      </c>
      <c r="G144" s="242" t="s">
        <v>2941</v>
      </c>
      <c r="H144" s="242" t="s">
        <v>4104</v>
      </c>
      <c r="I144" s="208">
        <v>142</v>
      </c>
      <c r="J144" s="208" t="s">
        <v>3390</v>
      </c>
      <c r="K144" s="208"/>
      <c r="L144" s="209"/>
      <c r="M144" s="209"/>
    </row>
    <row r="145" spans="1:13" s="173" customFormat="1" ht="34">
      <c r="A145" s="208">
        <v>143</v>
      </c>
      <c r="B145" s="208" t="s">
        <v>3391</v>
      </c>
      <c r="C145" s="208" t="s">
        <v>2814</v>
      </c>
      <c r="D145" s="209" t="s">
        <v>4032</v>
      </c>
      <c r="E145" s="243" t="s">
        <v>4153</v>
      </c>
      <c r="F145" s="244" t="s">
        <v>3156</v>
      </c>
      <c r="G145" s="242" t="s">
        <v>2942</v>
      </c>
      <c r="H145" s="242" t="s">
        <v>3917</v>
      </c>
      <c r="I145" s="208">
        <v>143</v>
      </c>
      <c r="J145" s="208" t="s">
        <v>3391</v>
      </c>
      <c r="K145" s="208"/>
      <c r="L145" s="209"/>
      <c r="M145" s="209"/>
    </row>
    <row r="146" spans="1:13" s="173" customFormat="1" ht="102">
      <c r="A146" s="208">
        <v>144</v>
      </c>
      <c r="B146" s="208" t="s">
        <v>3392</v>
      </c>
      <c r="C146" s="208" t="s">
        <v>2815</v>
      </c>
      <c r="D146" s="209" t="s">
        <v>3542</v>
      </c>
      <c r="E146" s="243" t="s">
        <v>4140</v>
      </c>
      <c r="F146" s="244" t="s">
        <v>3845</v>
      </c>
      <c r="G146" s="242"/>
      <c r="H146" s="242"/>
      <c r="I146" s="208">
        <v>144</v>
      </c>
      <c r="J146" s="208" t="s">
        <v>3392</v>
      </c>
      <c r="K146" s="208"/>
      <c r="L146" s="209"/>
      <c r="M146" s="209"/>
    </row>
    <row r="147" spans="1:13" s="173" customFormat="1" ht="85">
      <c r="A147" s="208">
        <v>145</v>
      </c>
      <c r="B147" s="208" t="s">
        <v>3393</v>
      </c>
      <c r="C147" s="208" t="s">
        <v>2815</v>
      </c>
      <c r="D147" s="209" t="s">
        <v>3543</v>
      </c>
      <c r="E147" s="243" t="s">
        <v>4154</v>
      </c>
      <c r="F147" s="244" t="s">
        <v>3156</v>
      </c>
      <c r="G147" s="242" t="s">
        <v>3918</v>
      </c>
      <c r="H147" s="242" t="s">
        <v>3846</v>
      </c>
      <c r="I147" s="208">
        <v>145</v>
      </c>
      <c r="J147" s="208" t="s">
        <v>3393</v>
      </c>
      <c r="K147" s="208"/>
      <c r="L147" s="209"/>
      <c r="M147" s="209"/>
    </row>
    <row r="148" spans="1:13" s="173" customFormat="1" ht="85">
      <c r="A148" s="208">
        <v>146</v>
      </c>
      <c r="B148" s="208" t="s">
        <v>3394</v>
      </c>
      <c r="C148" s="208" t="s">
        <v>2815</v>
      </c>
      <c r="D148" s="209" t="s">
        <v>4033</v>
      </c>
      <c r="E148" s="243" t="s">
        <v>4155</v>
      </c>
      <c r="F148" s="244" t="s">
        <v>3156</v>
      </c>
      <c r="G148" s="242" t="s">
        <v>3582</v>
      </c>
      <c r="H148" s="242" t="s">
        <v>3919</v>
      </c>
      <c r="I148" s="208">
        <v>146</v>
      </c>
      <c r="J148" s="208" t="s">
        <v>3394</v>
      </c>
      <c r="K148" s="208"/>
      <c r="L148" s="209"/>
      <c r="M148" s="209"/>
    </row>
    <row r="149" spans="1:13" s="173" customFormat="1" ht="34">
      <c r="A149" s="208">
        <v>147</v>
      </c>
      <c r="B149" s="208" t="s">
        <v>3395</v>
      </c>
      <c r="C149" s="208" t="s">
        <v>2814</v>
      </c>
      <c r="D149" s="209" t="s">
        <v>3544</v>
      </c>
      <c r="E149" s="243" t="s">
        <v>4158</v>
      </c>
      <c r="F149" s="244" t="s">
        <v>3156</v>
      </c>
      <c r="G149" s="242" t="s">
        <v>4271</v>
      </c>
      <c r="H149" s="242" t="s">
        <v>4272</v>
      </c>
      <c r="I149" s="208">
        <v>147</v>
      </c>
      <c r="J149" s="208" t="s">
        <v>3395</v>
      </c>
      <c r="K149" s="208"/>
      <c r="L149" s="209"/>
      <c r="M149" s="209"/>
    </row>
    <row r="150" spans="1:13" s="173" customFormat="1" ht="17">
      <c r="A150" s="208">
        <v>148</v>
      </c>
      <c r="B150" s="208" t="s">
        <v>3396</v>
      </c>
      <c r="C150" s="208" t="s">
        <v>2815</v>
      </c>
      <c r="D150" s="209" t="s">
        <v>3545</v>
      </c>
      <c r="E150" s="243" t="s">
        <v>4223</v>
      </c>
      <c r="F150" s="244" t="s">
        <v>3156</v>
      </c>
      <c r="G150" s="242" t="s">
        <v>2791</v>
      </c>
      <c r="H150" s="242" t="s">
        <v>3792</v>
      </c>
      <c r="I150" s="208">
        <v>148</v>
      </c>
      <c r="J150" s="208" t="s">
        <v>3396</v>
      </c>
      <c r="K150" s="208"/>
      <c r="L150" s="209"/>
      <c r="M150" s="209"/>
    </row>
    <row r="151" spans="1:13" s="173" customFormat="1" ht="119">
      <c r="A151" s="208">
        <v>149</v>
      </c>
      <c r="B151" s="208" t="s">
        <v>3397</v>
      </c>
      <c r="C151" s="208" t="s">
        <v>2815</v>
      </c>
      <c r="D151" s="209" t="s">
        <v>4034</v>
      </c>
      <c r="E151" s="243" t="s">
        <v>4224</v>
      </c>
      <c r="F151" s="244" t="s">
        <v>3847</v>
      </c>
      <c r="G151" s="242" t="s">
        <v>3943</v>
      </c>
      <c r="H151" s="242" t="s">
        <v>3920</v>
      </c>
      <c r="I151" s="208">
        <v>149</v>
      </c>
      <c r="J151" s="208" t="s">
        <v>3397</v>
      </c>
      <c r="K151" s="208"/>
      <c r="L151" s="209"/>
      <c r="M151" s="209"/>
    </row>
    <row r="152" spans="1:13" s="173" customFormat="1" ht="68">
      <c r="A152" s="208">
        <v>150</v>
      </c>
      <c r="B152" s="208" t="s">
        <v>3398</v>
      </c>
      <c r="C152" s="208" t="s">
        <v>2815</v>
      </c>
      <c r="D152" s="209" t="s">
        <v>4035</v>
      </c>
      <c r="E152" s="243" t="s">
        <v>4156</v>
      </c>
      <c r="F152" s="244" t="s">
        <v>3156</v>
      </c>
      <c r="G152" s="242" t="s">
        <v>2943</v>
      </c>
      <c r="H152" s="242" t="s">
        <v>2944</v>
      </c>
      <c r="I152" s="208">
        <v>150</v>
      </c>
      <c r="J152" s="208" t="s">
        <v>3398</v>
      </c>
      <c r="K152" s="208"/>
      <c r="L152" s="209"/>
      <c r="M152" s="209"/>
    </row>
    <row r="153" spans="1:13" s="173" customFormat="1" ht="17">
      <c r="A153" s="208">
        <v>151</v>
      </c>
      <c r="B153" s="208" t="s">
        <v>3399</v>
      </c>
      <c r="C153" s="208" t="s">
        <v>2814</v>
      </c>
      <c r="D153" s="209" t="s">
        <v>3546</v>
      </c>
      <c r="E153" s="243" t="s">
        <v>4159</v>
      </c>
      <c r="F153" s="244" t="s">
        <v>3156</v>
      </c>
      <c r="G153" s="242" t="s">
        <v>4285</v>
      </c>
      <c r="H153" s="242" t="s">
        <v>4273</v>
      </c>
      <c r="I153" s="208">
        <v>151</v>
      </c>
      <c r="J153" s="208" t="s">
        <v>3399</v>
      </c>
      <c r="K153" s="208"/>
      <c r="L153" s="209"/>
      <c r="M153" s="209"/>
    </row>
    <row r="154" spans="1:13" s="173" customFormat="1" ht="34">
      <c r="A154" s="208">
        <v>152</v>
      </c>
      <c r="B154" s="208" t="s">
        <v>3400</v>
      </c>
      <c r="C154" s="208" t="s">
        <v>2814</v>
      </c>
      <c r="D154" s="209" t="s">
        <v>3547</v>
      </c>
      <c r="E154" s="243" t="s">
        <v>4225</v>
      </c>
      <c r="F154" s="244" t="s">
        <v>3156</v>
      </c>
      <c r="G154" s="242" t="s">
        <v>2945</v>
      </c>
      <c r="H154" s="242" t="s">
        <v>3921</v>
      </c>
      <c r="I154" s="208">
        <v>152</v>
      </c>
      <c r="J154" s="208" t="s">
        <v>3400</v>
      </c>
      <c r="K154" s="208"/>
      <c r="L154" s="209"/>
      <c r="M154" s="209"/>
    </row>
    <row r="155" spans="1:13" s="173" customFormat="1" ht="17">
      <c r="A155" s="208">
        <v>153</v>
      </c>
      <c r="B155" s="208" t="s">
        <v>3401</v>
      </c>
      <c r="C155" s="208" t="s">
        <v>2815</v>
      </c>
      <c r="D155" s="209" t="s">
        <v>3548</v>
      </c>
      <c r="E155" s="243" t="s">
        <v>4160</v>
      </c>
      <c r="F155" s="244" t="s">
        <v>3156</v>
      </c>
      <c r="G155" s="242" t="s">
        <v>3583</v>
      </c>
      <c r="H155" s="242" t="s">
        <v>3922</v>
      </c>
      <c r="I155" s="208">
        <v>153</v>
      </c>
      <c r="J155" s="208" t="s">
        <v>3401</v>
      </c>
      <c r="K155" s="208"/>
      <c r="L155" s="209"/>
      <c r="M155" s="209"/>
    </row>
    <row r="156" spans="1:13" s="173" customFormat="1" ht="119">
      <c r="A156" s="208">
        <v>154</v>
      </c>
      <c r="B156" s="208" t="s">
        <v>3402</v>
      </c>
      <c r="C156" s="208" t="s">
        <v>2814</v>
      </c>
      <c r="D156" s="209" t="s">
        <v>3549</v>
      </c>
      <c r="E156" s="243" t="s">
        <v>4157</v>
      </c>
      <c r="F156" s="244" t="s">
        <v>3574</v>
      </c>
      <c r="G156" s="242" t="s">
        <v>4284</v>
      </c>
      <c r="H156" s="242" t="s">
        <v>3848</v>
      </c>
      <c r="I156" s="208">
        <v>154</v>
      </c>
      <c r="J156" s="208" t="s">
        <v>3402</v>
      </c>
      <c r="K156" s="208"/>
      <c r="L156" s="209"/>
      <c r="M156" s="209"/>
    </row>
    <row r="157" spans="1:13" s="173" customFormat="1" ht="85">
      <c r="A157" s="208">
        <v>155</v>
      </c>
      <c r="B157" s="208" t="s">
        <v>3403</v>
      </c>
      <c r="C157" s="208" t="s">
        <v>2815</v>
      </c>
      <c r="D157" s="209" t="s">
        <v>3550</v>
      </c>
      <c r="E157" s="243" t="s">
        <v>4226</v>
      </c>
      <c r="F157" s="244" t="s">
        <v>3156</v>
      </c>
      <c r="G157" s="242" t="s">
        <v>3126</v>
      </c>
      <c r="H157" s="242" t="s">
        <v>3923</v>
      </c>
      <c r="I157" s="208">
        <v>155</v>
      </c>
      <c r="J157" s="208" t="s">
        <v>3403</v>
      </c>
      <c r="K157" s="208"/>
      <c r="L157" s="209"/>
      <c r="M157" s="209"/>
    </row>
    <row r="158" spans="1:13" s="173" customFormat="1" ht="68">
      <c r="A158" s="208">
        <v>156</v>
      </c>
      <c r="B158" s="208" t="s">
        <v>3404</v>
      </c>
      <c r="C158" s="208" t="s">
        <v>2814</v>
      </c>
      <c r="D158" s="209" t="s">
        <v>3551</v>
      </c>
      <c r="E158" s="243" t="s">
        <v>4227</v>
      </c>
      <c r="F158" s="244" t="s">
        <v>3849</v>
      </c>
      <c r="G158" s="242" t="s">
        <v>3066</v>
      </c>
      <c r="H158" s="242" t="s">
        <v>3768</v>
      </c>
      <c r="I158" s="208">
        <v>156</v>
      </c>
      <c r="J158" s="208" t="s">
        <v>3404</v>
      </c>
      <c r="K158" s="208"/>
      <c r="L158" s="209"/>
      <c r="M158" s="209"/>
    </row>
    <row r="159" spans="1:13" s="173" customFormat="1" ht="51">
      <c r="A159" s="208">
        <v>157</v>
      </c>
      <c r="B159" s="208" t="s">
        <v>3405</v>
      </c>
      <c r="C159" s="208" t="s">
        <v>2814</v>
      </c>
      <c r="D159" s="209" t="s">
        <v>3552</v>
      </c>
      <c r="E159" s="243" t="s">
        <v>4228</v>
      </c>
      <c r="F159" s="244" t="s">
        <v>3156</v>
      </c>
      <c r="G159" s="242" t="s">
        <v>4323</v>
      </c>
      <c r="H159" s="242" t="s">
        <v>3769</v>
      </c>
      <c r="I159" s="208">
        <v>157</v>
      </c>
      <c r="J159" s="208" t="s">
        <v>3405</v>
      </c>
      <c r="K159" s="208"/>
      <c r="L159" s="209"/>
      <c r="M159" s="209"/>
    </row>
    <row r="160" spans="1:13" s="173" customFormat="1" ht="68">
      <c r="A160" s="208">
        <v>158</v>
      </c>
      <c r="B160" s="208" t="s">
        <v>3406</v>
      </c>
      <c r="C160" s="208" t="s">
        <v>2814</v>
      </c>
      <c r="D160" s="209" t="s">
        <v>3553</v>
      </c>
      <c r="E160" s="243" t="s">
        <v>4229</v>
      </c>
      <c r="F160" s="244" t="s">
        <v>3156</v>
      </c>
      <c r="G160" s="242" t="s">
        <v>4326</v>
      </c>
      <c r="H160" s="242" t="s">
        <v>3850</v>
      </c>
      <c r="I160" s="208">
        <v>158</v>
      </c>
      <c r="J160" s="208" t="s">
        <v>3406</v>
      </c>
      <c r="K160" s="208"/>
      <c r="L160" s="209"/>
      <c r="M160" s="209"/>
    </row>
    <row r="161" spans="1:13" s="173" customFormat="1" ht="102">
      <c r="A161" s="208">
        <v>159</v>
      </c>
      <c r="B161" s="208" t="s">
        <v>3407</v>
      </c>
      <c r="C161" s="208" t="s">
        <v>2814</v>
      </c>
      <c r="D161" s="209" t="s">
        <v>3554</v>
      </c>
      <c r="E161" s="243" t="s">
        <v>4230</v>
      </c>
      <c r="F161" s="244" t="s">
        <v>3156</v>
      </c>
      <c r="G161" s="242" t="s">
        <v>4324</v>
      </c>
      <c r="H161" s="242" t="s">
        <v>3924</v>
      </c>
      <c r="I161" s="208">
        <v>159</v>
      </c>
      <c r="J161" s="208" t="s">
        <v>3407</v>
      </c>
      <c r="K161" s="208"/>
      <c r="L161" s="209"/>
      <c r="M161" s="209"/>
    </row>
    <row r="162" spans="1:13" s="173" customFormat="1" ht="136">
      <c r="A162" s="208">
        <v>160</v>
      </c>
      <c r="B162" s="208" t="s">
        <v>3408</v>
      </c>
      <c r="C162" s="208" t="s">
        <v>2815</v>
      </c>
      <c r="D162" s="209" t="s">
        <v>3555</v>
      </c>
      <c r="E162" s="243" t="s">
        <v>4161</v>
      </c>
      <c r="F162" s="244" t="s">
        <v>3446</v>
      </c>
      <c r="G162" s="242" t="s">
        <v>2792</v>
      </c>
      <c r="H162" s="242" t="s">
        <v>2793</v>
      </c>
      <c r="I162" s="208">
        <v>160</v>
      </c>
      <c r="J162" s="208" t="s">
        <v>3408</v>
      </c>
      <c r="K162" s="208"/>
      <c r="L162" s="209"/>
      <c r="M162" s="209"/>
    </row>
    <row r="163" spans="1:13" s="173" customFormat="1" ht="51">
      <c r="A163" s="208">
        <v>161</v>
      </c>
      <c r="B163" s="208" t="s">
        <v>3409</v>
      </c>
      <c r="C163" s="208" t="s">
        <v>2814</v>
      </c>
      <c r="D163" s="209" t="s">
        <v>4036</v>
      </c>
      <c r="E163" s="243" t="s">
        <v>4231</v>
      </c>
      <c r="F163" s="244" t="s">
        <v>3156</v>
      </c>
      <c r="G163" s="242" t="s">
        <v>4322</v>
      </c>
      <c r="H163" s="242" t="s">
        <v>3770</v>
      </c>
      <c r="I163" s="208">
        <v>161</v>
      </c>
      <c r="J163" s="208" t="s">
        <v>3409</v>
      </c>
      <c r="K163" s="208"/>
      <c r="L163" s="209"/>
      <c r="M163" s="209"/>
    </row>
    <row r="164" spans="1:13" s="173" customFormat="1" ht="102">
      <c r="A164" s="208">
        <v>162</v>
      </c>
      <c r="B164" s="208" t="s">
        <v>3410</v>
      </c>
      <c r="C164" s="208" t="s">
        <v>2815</v>
      </c>
      <c r="D164" s="209" t="s">
        <v>3556</v>
      </c>
      <c r="E164" s="243" t="s">
        <v>4162</v>
      </c>
      <c r="F164" s="244" t="s">
        <v>3156</v>
      </c>
      <c r="G164" s="242" t="s">
        <v>3089</v>
      </c>
      <c r="H164" s="242" t="s">
        <v>3925</v>
      </c>
      <c r="I164" s="208">
        <v>162</v>
      </c>
      <c r="J164" s="208" t="s">
        <v>3410</v>
      </c>
      <c r="K164" s="208"/>
      <c r="L164" s="209"/>
      <c r="M164" s="209"/>
    </row>
    <row r="165" spans="1:13" s="173" customFormat="1" ht="68">
      <c r="A165" s="208">
        <v>163</v>
      </c>
      <c r="B165" s="208" t="s">
        <v>3411</v>
      </c>
      <c r="C165" s="208" t="s">
        <v>2814</v>
      </c>
      <c r="D165" s="209" t="s">
        <v>3557</v>
      </c>
      <c r="E165" s="243" t="s">
        <v>4163</v>
      </c>
      <c r="F165" s="244" t="s">
        <v>3156</v>
      </c>
      <c r="G165" s="242" t="s">
        <v>4325</v>
      </c>
      <c r="H165" s="242" t="s">
        <v>3926</v>
      </c>
      <c r="I165" s="208">
        <v>163</v>
      </c>
      <c r="J165" s="208" t="s">
        <v>3411</v>
      </c>
      <c r="K165" s="208"/>
      <c r="L165" s="209"/>
      <c r="M165" s="209"/>
    </row>
    <row r="166" spans="1:13" s="173" customFormat="1" ht="85">
      <c r="A166" s="208">
        <v>164</v>
      </c>
      <c r="B166" s="208" t="s">
        <v>3412</v>
      </c>
      <c r="C166" s="208" t="s">
        <v>2814</v>
      </c>
      <c r="D166" s="209" t="s">
        <v>3558</v>
      </c>
      <c r="E166" s="243" t="s">
        <v>4232</v>
      </c>
      <c r="F166" s="244" t="s">
        <v>3851</v>
      </c>
      <c r="G166" s="242" t="s">
        <v>3092</v>
      </c>
      <c r="H166" s="242" t="s">
        <v>3927</v>
      </c>
      <c r="I166" s="208">
        <v>164</v>
      </c>
      <c r="J166" s="208" t="s">
        <v>3412</v>
      </c>
      <c r="K166" s="208"/>
      <c r="L166" s="209"/>
      <c r="M166" s="209"/>
    </row>
    <row r="167" spans="1:13" s="173" customFormat="1" ht="51">
      <c r="A167" s="208">
        <v>165</v>
      </c>
      <c r="B167" s="208" t="s">
        <v>3413</v>
      </c>
      <c r="C167" s="208" t="s">
        <v>2814</v>
      </c>
      <c r="D167" s="209" t="s">
        <v>3559</v>
      </c>
      <c r="E167" s="243" t="s">
        <v>4233</v>
      </c>
      <c r="F167" s="244" t="s">
        <v>3156</v>
      </c>
      <c r="G167" s="242" t="s">
        <v>3104</v>
      </c>
      <c r="H167" s="242" t="s">
        <v>3928</v>
      </c>
      <c r="I167" s="208">
        <v>165</v>
      </c>
      <c r="J167" s="208" t="s">
        <v>3413</v>
      </c>
      <c r="K167" s="208"/>
      <c r="L167" s="209"/>
      <c r="M167" s="209"/>
    </row>
    <row r="168" spans="1:13" s="173" customFormat="1" ht="34">
      <c r="A168" s="208">
        <v>166</v>
      </c>
      <c r="B168" s="208" t="s">
        <v>3414</v>
      </c>
      <c r="C168" s="208" t="s">
        <v>2815</v>
      </c>
      <c r="D168" s="209" t="s">
        <v>3560</v>
      </c>
      <c r="E168" s="243" t="s">
        <v>4164</v>
      </c>
      <c r="F168" s="244" t="s">
        <v>3373</v>
      </c>
      <c r="G168" s="242" t="s">
        <v>2792</v>
      </c>
      <c r="H168" s="242" t="s">
        <v>2793</v>
      </c>
      <c r="I168" s="208">
        <v>166</v>
      </c>
      <c r="J168" s="208" t="s">
        <v>3414</v>
      </c>
      <c r="K168" s="208"/>
      <c r="L168" s="209"/>
      <c r="M168" s="209"/>
    </row>
    <row r="169" spans="1:13" s="173" customFormat="1" ht="85">
      <c r="A169" s="208">
        <v>167</v>
      </c>
      <c r="B169" s="208" t="s">
        <v>3415</v>
      </c>
      <c r="C169" s="208" t="s">
        <v>2815</v>
      </c>
      <c r="D169" s="209" t="s">
        <v>4037</v>
      </c>
      <c r="E169" s="243" t="s">
        <v>4234</v>
      </c>
      <c r="F169" s="244" t="s">
        <v>3156</v>
      </c>
      <c r="G169" s="242" t="s">
        <v>3789</v>
      </c>
      <c r="H169" s="242" t="s">
        <v>3585</v>
      </c>
      <c r="I169" s="208">
        <v>167</v>
      </c>
      <c r="J169" s="208" t="s">
        <v>3415</v>
      </c>
      <c r="K169" s="208"/>
      <c r="L169" s="209"/>
      <c r="M169" s="209"/>
    </row>
    <row r="170" spans="1:13" s="173" customFormat="1" ht="34">
      <c r="A170" s="208">
        <v>168</v>
      </c>
      <c r="B170" s="208" t="s">
        <v>3416</v>
      </c>
      <c r="C170" s="208" t="s">
        <v>2814</v>
      </c>
      <c r="D170" s="209" t="s">
        <v>4038</v>
      </c>
      <c r="E170" s="243" t="s">
        <v>4235</v>
      </c>
      <c r="F170" s="244" t="s">
        <v>3156</v>
      </c>
      <c r="G170" s="242" t="s">
        <v>4068</v>
      </c>
      <c r="H170" s="242" t="s">
        <v>3772</v>
      </c>
      <c r="I170" s="208">
        <v>168</v>
      </c>
      <c r="J170" s="208" t="s">
        <v>3416</v>
      </c>
      <c r="K170" s="208"/>
      <c r="L170" s="209"/>
      <c r="M170" s="209"/>
    </row>
    <row r="171" spans="1:13" s="173" customFormat="1" ht="51">
      <c r="A171" s="208">
        <v>169</v>
      </c>
      <c r="B171" s="208" t="s">
        <v>3417</v>
      </c>
      <c r="C171" s="208" t="s">
        <v>2815</v>
      </c>
      <c r="D171" s="209" t="s">
        <v>3561</v>
      </c>
      <c r="E171" s="243" t="s">
        <v>4165</v>
      </c>
      <c r="F171" s="244" t="s">
        <v>3574</v>
      </c>
      <c r="G171" s="242" t="s">
        <v>2792</v>
      </c>
      <c r="H171" s="242" t="s">
        <v>2793</v>
      </c>
      <c r="I171" s="208">
        <v>169</v>
      </c>
      <c r="J171" s="208" t="s">
        <v>3417</v>
      </c>
      <c r="K171" s="208"/>
      <c r="L171" s="209"/>
      <c r="M171" s="209"/>
    </row>
    <row r="172" spans="1:13" s="173" customFormat="1" ht="17">
      <c r="A172" s="208">
        <v>170</v>
      </c>
      <c r="B172" s="208" t="s">
        <v>3418</v>
      </c>
      <c r="C172" s="208" t="s">
        <v>2814</v>
      </c>
      <c r="D172" s="209" t="s">
        <v>4039</v>
      </c>
      <c r="E172" s="243" t="s">
        <v>4236</v>
      </c>
      <c r="F172" s="244" t="s">
        <v>3156</v>
      </c>
      <c r="G172" s="242" t="s">
        <v>4069</v>
      </c>
      <c r="H172" s="242" t="s">
        <v>3771</v>
      </c>
      <c r="I172" s="208">
        <v>170</v>
      </c>
      <c r="J172" s="208" t="s">
        <v>3418</v>
      </c>
      <c r="K172" s="208"/>
      <c r="L172" s="209"/>
      <c r="M172" s="209"/>
    </row>
    <row r="173" spans="1:13" s="173" customFormat="1" ht="51">
      <c r="A173" s="208">
        <v>171</v>
      </c>
      <c r="B173" s="208" t="s">
        <v>3419</v>
      </c>
      <c r="C173" s="208" t="s">
        <v>2815</v>
      </c>
      <c r="D173" s="209" t="s">
        <v>3562</v>
      </c>
      <c r="E173" s="243" t="s">
        <v>4166</v>
      </c>
      <c r="F173" s="244" t="s">
        <v>3156</v>
      </c>
      <c r="G173" s="242" t="s">
        <v>2792</v>
      </c>
      <c r="H173" s="242" t="s">
        <v>2793</v>
      </c>
      <c r="I173" s="208">
        <v>171</v>
      </c>
      <c r="J173" s="208" t="s">
        <v>3419</v>
      </c>
      <c r="K173" s="208"/>
      <c r="L173" s="209"/>
      <c r="M173" s="209"/>
    </row>
    <row r="174" spans="1:13" s="173" customFormat="1" ht="51">
      <c r="A174" s="208">
        <v>172</v>
      </c>
      <c r="B174" s="208" t="s">
        <v>3420</v>
      </c>
      <c r="C174" s="208" t="s">
        <v>2814</v>
      </c>
      <c r="D174" s="209" t="s">
        <v>3563</v>
      </c>
      <c r="E174" s="243" t="s">
        <v>4167</v>
      </c>
      <c r="F174" s="244" t="s">
        <v>4074</v>
      </c>
      <c r="G174" s="242" t="s">
        <v>2792</v>
      </c>
      <c r="H174" s="242" t="s">
        <v>2793</v>
      </c>
      <c r="I174" s="208">
        <v>172</v>
      </c>
      <c r="J174" s="208" t="s">
        <v>3420</v>
      </c>
      <c r="K174" s="208"/>
      <c r="L174" s="209"/>
      <c r="M174" s="209"/>
    </row>
    <row r="175" spans="1:13" s="173" customFormat="1" ht="51">
      <c r="A175" s="208">
        <v>173</v>
      </c>
      <c r="B175" s="208" t="s">
        <v>3421</v>
      </c>
      <c r="C175" s="208" t="s">
        <v>2815</v>
      </c>
      <c r="D175" s="209" t="s">
        <v>4040</v>
      </c>
      <c r="E175" s="243" t="s">
        <v>4168</v>
      </c>
      <c r="F175" s="244" t="s">
        <v>3373</v>
      </c>
      <c r="G175" s="242" t="s">
        <v>4286</v>
      </c>
      <c r="H175" s="242" t="s">
        <v>4287</v>
      </c>
      <c r="I175" s="208">
        <v>173</v>
      </c>
      <c r="J175" s="208" t="s">
        <v>3421</v>
      </c>
      <c r="K175" s="208"/>
      <c r="L175" s="209"/>
      <c r="M175" s="209"/>
    </row>
    <row r="176" spans="1:13" s="173" customFormat="1" ht="51">
      <c r="A176" s="208">
        <v>174</v>
      </c>
      <c r="B176" s="208" t="s">
        <v>3422</v>
      </c>
      <c r="C176" s="208" t="s">
        <v>2814</v>
      </c>
      <c r="D176" s="209" t="s">
        <v>3564</v>
      </c>
      <c r="E176" s="243" t="s">
        <v>4169</v>
      </c>
      <c r="F176" s="244" t="s">
        <v>3156</v>
      </c>
      <c r="G176" s="242" t="s">
        <v>2793</v>
      </c>
      <c r="H176" s="242" t="s">
        <v>2793</v>
      </c>
      <c r="I176" s="208">
        <v>174</v>
      </c>
      <c r="J176" s="208" t="s">
        <v>3422</v>
      </c>
      <c r="K176" s="208"/>
      <c r="L176" s="209"/>
      <c r="M176" s="209"/>
    </row>
    <row r="177" spans="1:13" s="173" customFormat="1" ht="17">
      <c r="A177" s="208">
        <v>175</v>
      </c>
      <c r="B177" s="208" t="s">
        <v>3423</v>
      </c>
      <c r="C177" s="208" t="s">
        <v>2815</v>
      </c>
      <c r="D177" s="209" t="s">
        <v>3565</v>
      </c>
      <c r="E177" s="243" t="s">
        <v>4170</v>
      </c>
      <c r="F177" s="244" t="s">
        <v>3156</v>
      </c>
      <c r="G177" s="242" t="s">
        <v>4288</v>
      </c>
      <c r="H177" s="242" t="s">
        <v>2793</v>
      </c>
      <c r="I177" s="208">
        <v>175</v>
      </c>
      <c r="J177" s="208" t="s">
        <v>3423</v>
      </c>
      <c r="K177" s="208"/>
      <c r="L177" s="209"/>
      <c r="M177" s="209"/>
    </row>
    <row r="178" spans="1:13" s="173" customFormat="1" ht="68">
      <c r="A178" s="208">
        <v>176</v>
      </c>
      <c r="B178" s="208" t="s">
        <v>3424</v>
      </c>
      <c r="C178" s="208" t="s">
        <v>2815</v>
      </c>
      <c r="D178" s="209" t="s">
        <v>3572</v>
      </c>
      <c r="E178" s="243" t="s">
        <v>4334</v>
      </c>
      <c r="F178" s="244" t="s">
        <v>3575</v>
      </c>
      <c r="G178" s="242" t="s">
        <v>4332</v>
      </c>
      <c r="H178" s="252" t="s">
        <v>4333</v>
      </c>
      <c r="I178" s="208">
        <v>176</v>
      </c>
      <c r="J178" s="208" t="s">
        <v>3424</v>
      </c>
      <c r="K178" s="208"/>
      <c r="L178" s="209"/>
      <c r="M178" s="209"/>
    </row>
    <row r="179" spans="1:13" s="173" customFormat="1" ht="34">
      <c r="A179" s="208">
        <v>177</v>
      </c>
      <c r="B179" s="208" t="s">
        <v>3425</v>
      </c>
      <c r="C179" s="208" t="s">
        <v>2815</v>
      </c>
      <c r="D179" s="209" t="s">
        <v>3566</v>
      </c>
      <c r="E179" s="243" t="s">
        <v>4171</v>
      </c>
      <c r="F179" s="244" t="s">
        <v>3373</v>
      </c>
      <c r="G179" s="242" t="s">
        <v>2793</v>
      </c>
      <c r="H179" s="242" t="s">
        <v>2793</v>
      </c>
      <c r="I179" s="208">
        <v>177</v>
      </c>
      <c r="J179" s="208" t="s">
        <v>3425</v>
      </c>
      <c r="K179" s="208"/>
      <c r="L179" s="209"/>
      <c r="M179" s="209"/>
    </row>
    <row r="180" spans="1:13" s="173" customFormat="1" ht="17">
      <c r="A180" s="208">
        <v>178</v>
      </c>
      <c r="B180" s="208" t="s">
        <v>3426</v>
      </c>
      <c r="C180" s="208" t="s">
        <v>2815</v>
      </c>
      <c r="D180" s="209" t="s">
        <v>3567</v>
      </c>
      <c r="E180" s="243" t="s">
        <v>4172</v>
      </c>
      <c r="F180" s="244" t="s">
        <v>3156</v>
      </c>
      <c r="G180" s="242" t="s">
        <v>2793</v>
      </c>
      <c r="H180" s="242" t="s">
        <v>2793</v>
      </c>
      <c r="I180" s="208">
        <v>178</v>
      </c>
      <c r="J180" s="208" t="s">
        <v>3426</v>
      </c>
      <c r="K180" s="208"/>
      <c r="L180" s="209"/>
      <c r="M180" s="209"/>
    </row>
    <row r="181" spans="1:13" s="173" customFormat="1" ht="85">
      <c r="A181" s="208">
        <v>179</v>
      </c>
      <c r="B181" s="208" t="s">
        <v>3427</v>
      </c>
      <c r="C181" s="208" t="s">
        <v>2815</v>
      </c>
      <c r="D181" s="209" t="s">
        <v>3571</v>
      </c>
      <c r="E181" s="243" t="s">
        <v>4173</v>
      </c>
      <c r="F181" s="244" t="s">
        <v>3574</v>
      </c>
      <c r="G181" s="242" t="s">
        <v>2793</v>
      </c>
      <c r="H181" s="242" t="s">
        <v>2793</v>
      </c>
      <c r="I181" s="208">
        <v>179</v>
      </c>
      <c r="J181" s="208" t="s">
        <v>3427</v>
      </c>
      <c r="K181" s="208"/>
      <c r="L181" s="209"/>
      <c r="M181" s="209"/>
    </row>
    <row r="182" spans="1:13" s="173" customFormat="1" ht="34">
      <c r="A182" s="208">
        <v>180</v>
      </c>
      <c r="B182" s="208" t="s">
        <v>3428</v>
      </c>
      <c r="C182" s="208" t="s">
        <v>2815</v>
      </c>
      <c r="D182" s="209" t="s">
        <v>3568</v>
      </c>
      <c r="E182" s="243" t="s">
        <v>4237</v>
      </c>
      <c r="F182" s="244" t="s">
        <v>3156</v>
      </c>
      <c r="G182" s="242" t="s">
        <v>2793</v>
      </c>
      <c r="H182" s="242" t="s">
        <v>2793</v>
      </c>
      <c r="I182" s="208">
        <v>180</v>
      </c>
      <c r="J182" s="208" t="s">
        <v>3428</v>
      </c>
      <c r="K182" s="208"/>
      <c r="L182" s="209"/>
      <c r="M182" s="209"/>
    </row>
    <row r="183" spans="1:13" s="173" customFormat="1" ht="17">
      <c r="A183" s="208">
        <v>181</v>
      </c>
      <c r="B183" s="208" t="s">
        <v>3429</v>
      </c>
      <c r="C183" s="208" t="s">
        <v>2814</v>
      </c>
      <c r="D183" s="209" t="s">
        <v>3569</v>
      </c>
      <c r="E183" s="243" t="s">
        <v>4174</v>
      </c>
      <c r="F183" s="244" t="s">
        <v>3156</v>
      </c>
      <c r="G183" s="242" t="s">
        <v>2793</v>
      </c>
      <c r="H183" s="242" t="s">
        <v>2793</v>
      </c>
      <c r="I183" s="208">
        <v>181</v>
      </c>
      <c r="J183" s="208" t="s">
        <v>3429</v>
      </c>
      <c r="K183" s="208"/>
      <c r="L183" s="209"/>
      <c r="M183" s="209"/>
    </row>
    <row r="184" spans="1:13" s="173" customFormat="1" ht="51">
      <c r="A184" s="208">
        <v>182</v>
      </c>
      <c r="B184" s="208" t="s">
        <v>3430</v>
      </c>
      <c r="C184" s="208" t="s">
        <v>2814</v>
      </c>
      <c r="D184" s="209" t="s">
        <v>3570</v>
      </c>
      <c r="E184" s="243" t="s">
        <v>4175</v>
      </c>
      <c r="F184" s="244" t="s">
        <v>3156</v>
      </c>
      <c r="G184" s="242" t="s">
        <v>2793</v>
      </c>
      <c r="H184" s="242" t="s">
        <v>2793</v>
      </c>
      <c r="I184" s="208">
        <v>182</v>
      </c>
      <c r="J184" s="208" t="s">
        <v>3430</v>
      </c>
      <c r="K184" s="208"/>
      <c r="L184" s="209"/>
      <c r="M184" s="209"/>
    </row>
    <row r="185" spans="1:13" s="173" customFormat="1" ht="17">
      <c r="A185" s="208">
        <v>183</v>
      </c>
      <c r="B185" s="208" t="s">
        <v>3431</v>
      </c>
      <c r="C185" s="208" t="s">
        <v>2814</v>
      </c>
      <c r="D185" s="209" t="s">
        <v>4041</v>
      </c>
      <c r="E185" s="243" t="s">
        <v>4238</v>
      </c>
      <c r="F185" s="244" t="s">
        <v>3156</v>
      </c>
      <c r="G185" s="242" t="s">
        <v>2793</v>
      </c>
      <c r="H185" s="242" t="s">
        <v>2793</v>
      </c>
      <c r="I185" s="208">
        <v>183</v>
      </c>
      <c r="J185" s="208" t="s">
        <v>3431</v>
      </c>
      <c r="K185" s="208"/>
      <c r="L185" s="209"/>
      <c r="M185" s="209"/>
    </row>
    <row r="186" spans="1:13" s="173" customFormat="1" ht="17">
      <c r="A186" s="208">
        <v>184</v>
      </c>
      <c r="B186" s="208" t="s">
        <v>3432</v>
      </c>
      <c r="C186" s="208" t="s">
        <v>2814</v>
      </c>
      <c r="D186" s="209" t="s">
        <v>4042</v>
      </c>
      <c r="E186" s="243" t="s">
        <v>4239</v>
      </c>
      <c r="F186" s="244" t="s">
        <v>3156</v>
      </c>
      <c r="G186" s="242" t="s">
        <v>2793</v>
      </c>
      <c r="H186" s="242" t="s">
        <v>2793</v>
      </c>
      <c r="I186" s="208">
        <v>184</v>
      </c>
      <c r="J186" s="208" t="s">
        <v>3432</v>
      </c>
      <c r="K186" s="208"/>
      <c r="L186" s="209"/>
      <c r="M186" s="209"/>
    </row>
    <row r="187" spans="1:13" s="173" customFormat="1" ht="17">
      <c r="A187" s="208">
        <v>185</v>
      </c>
      <c r="B187" s="208" t="s">
        <v>3433</v>
      </c>
      <c r="C187" s="208" t="s">
        <v>2814</v>
      </c>
      <c r="D187" s="209" t="s">
        <v>4043</v>
      </c>
      <c r="E187" s="243" t="s">
        <v>4240</v>
      </c>
      <c r="F187" s="244" t="s">
        <v>3156</v>
      </c>
      <c r="G187" s="242" t="s">
        <v>2793</v>
      </c>
      <c r="H187" s="242" t="s">
        <v>2793</v>
      </c>
      <c r="I187" s="208">
        <v>185</v>
      </c>
      <c r="J187" s="208" t="s">
        <v>3433</v>
      </c>
      <c r="K187" s="208"/>
      <c r="L187" s="209"/>
      <c r="M187" s="209"/>
    </row>
    <row r="188" spans="1:13" s="173" customFormat="1" ht="17">
      <c r="A188" s="208">
        <v>186</v>
      </c>
      <c r="B188" s="208" t="s">
        <v>3434</v>
      </c>
      <c r="C188" s="208" t="s">
        <v>2815</v>
      </c>
      <c r="D188" s="209" t="s">
        <v>4044</v>
      </c>
      <c r="E188" s="243" t="s">
        <v>4241</v>
      </c>
      <c r="F188" s="244" t="s">
        <v>3156</v>
      </c>
      <c r="G188" s="242" t="s">
        <v>2793</v>
      </c>
      <c r="H188" s="242" t="s">
        <v>2793</v>
      </c>
      <c r="I188" s="208">
        <v>186</v>
      </c>
      <c r="J188" s="208" t="s">
        <v>3434</v>
      </c>
      <c r="K188" s="208"/>
      <c r="L188" s="209"/>
      <c r="M188" s="209"/>
    </row>
    <row r="189" spans="1:13" s="173" customFormat="1" ht="51">
      <c r="A189" s="208">
        <v>187</v>
      </c>
      <c r="B189" s="208" t="s">
        <v>3435</v>
      </c>
      <c r="C189" s="208" t="s">
        <v>2814</v>
      </c>
      <c r="D189" s="209" t="s">
        <v>3856</v>
      </c>
      <c r="E189" s="243" t="s">
        <v>4176</v>
      </c>
      <c r="F189" s="244" t="s">
        <v>3156</v>
      </c>
      <c r="G189" s="242" t="s">
        <v>2793</v>
      </c>
      <c r="H189" s="242" t="s">
        <v>2793</v>
      </c>
      <c r="I189" s="208">
        <v>187</v>
      </c>
      <c r="J189" s="208" t="s">
        <v>3435</v>
      </c>
      <c r="K189" s="208"/>
      <c r="L189" s="209"/>
      <c r="M189" s="209"/>
    </row>
    <row r="190" spans="1:13" s="173" customFormat="1" ht="17">
      <c r="A190" s="208">
        <v>188</v>
      </c>
      <c r="B190" s="208" t="s">
        <v>3852</v>
      </c>
      <c r="C190" s="208" t="s">
        <v>2815</v>
      </c>
      <c r="D190" s="209" t="s">
        <v>3854</v>
      </c>
      <c r="E190" s="243" t="s">
        <v>4177</v>
      </c>
      <c r="F190" s="244" t="s">
        <v>3156</v>
      </c>
      <c r="G190" s="242" t="s">
        <v>2793</v>
      </c>
      <c r="H190" s="242" t="s">
        <v>2793</v>
      </c>
      <c r="I190" s="208">
        <v>188</v>
      </c>
      <c r="J190" s="208" t="s">
        <v>3436</v>
      </c>
      <c r="K190" s="208"/>
      <c r="L190" s="209"/>
      <c r="M190" s="209"/>
    </row>
    <row r="191" spans="1:13" s="173" customFormat="1" ht="17">
      <c r="A191" s="208">
        <v>189</v>
      </c>
      <c r="B191" s="208" t="s">
        <v>3437</v>
      </c>
      <c r="C191" s="208" t="s">
        <v>2815</v>
      </c>
      <c r="D191" s="209" t="s">
        <v>3855</v>
      </c>
      <c r="E191" s="243" t="s">
        <v>4178</v>
      </c>
      <c r="F191" s="244" t="s">
        <v>3156</v>
      </c>
      <c r="G191" s="242" t="s">
        <v>2793</v>
      </c>
      <c r="H191" s="242" t="s">
        <v>2793</v>
      </c>
      <c r="I191" s="208">
        <v>189</v>
      </c>
      <c r="J191" s="208" t="s">
        <v>3437</v>
      </c>
      <c r="K191" s="208"/>
      <c r="L191" s="209"/>
      <c r="M191" s="209"/>
    </row>
    <row r="192" spans="1:13" s="173" customFormat="1" ht="17">
      <c r="A192" s="208">
        <v>190</v>
      </c>
      <c r="B192" s="208" t="s">
        <v>3438</v>
      </c>
      <c r="C192" s="208" t="s">
        <v>2814</v>
      </c>
      <c r="D192" s="209" t="s">
        <v>3853</v>
      </c>
      <c r="E192" s="243" t="s">
        <v>4179</v>
      </c>
      <c r="F192" s="244" t="s">
        <v>3156</v>
      </c>
      <c r="G192" s="242" t="s">
        <v>2793</v>
      </c>
      <c r="H192" s="242" t="s">
        <v>2793</v>
      </c>
      <c r="I192" s="208">
        <v>190</v>
      </c>
      <c r="J192" s="208" t="s">
        <v>3438</v>
      </c>
      <c r="K192" s="208"/>
      <c r="L192" s="209"/>
      <c r="M192" s="209"/>
    </row>
    <row r="193" spans="1:8" s="173" customFormat="1" ht="17">
      <c r="A193" s="208"/>
      <c r="B193" s="208"/>
      <c r="C193" s="208"/>
      <c r="D193" s="209"/>
      <c r="E193" s="243" t="s">
        <v>3774</v>
      </c>
      <c r="F193" s="247"/>
      <c r="G193" s="242">
        <v>0</v>
      </c>
      <c r="H193" s="242">
        <v>0</v>
      </c>
    </row>
    <row r="194" spans="1:8" s="173" customFormat="1">
      <c r="A194" s="208"/>
      <c r="B194" s="208"/>
      <c r="C194" s="208"/>
      <c r="D194" s="209"/>
      <c r="E194" s="21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AB93-C624-3244-BA5B-6C0341BFAFE2}">
  <dimension ref="A1:BH295"/>
  <sheetViews>
    <sheetView topLeftCell="AQ1" zoomScale="109" zoomScaleNormal="109" workbookViewId="0">
      <selection activeCell="AC32" sqref="AC32"/>
    </sheetView>
  </sheetViews>
  <sheetFormatPr baseColWidth="10" defaultRowHeight="16"/>
  <cols>
    <col min="5" max="5" width="29" bestFit="1" customWidth="1"/>
    <col min="9" max="9" width="29" bestFit="1" customWidth="1"/>
    <col min="10" max="10" width="14.1640625" customWidth="1"/>
    <col min="11" max="11" width="25.83203125" style="116" customWidth="1"/>
    <col min="12" max="12" width="22.6640625" customWidth="1"/>
    <col min="23" max="23" width="17.6640625" customWidth="1"/>
    <col min="27" max="27" width="13.6640625" customWidth="1"/>
    <col min="28" max="28" width="14.6640625" bestFit="1" customWidth="1"/>
    <col min="29" max="29" width="14" bestFit="1" customWidth="1"/>
    <col min="34" max="34" width="16.5" customWidth="1"/>
    <col min="54" max="54" width="19.1640625" customWidth="1"/>
  </cols>
  <sheetData>
    <row r="1" spans="1:60">
      <c r="F1" t="s">
        <v>3799</v>
      </c>
      <c r="AT1">
        <v>110</v>
      </c>
      <c r="AU1">
        <f>32.38</f>
        <v>32.380000000000003</v>
      </c>
      <c r="AV1">
        <f>AT1*AU1</f>
        <v>3561.8</v>
      </c>
      <c r="BC1" s="116" t="s">
        <v>4345</v>
      </c>
      <c r="BD1" s="116" t="s">
        <v>4346</v>
      </c>
      <c r="BE1" s="116" t="s">
        <v>4347</v>
      </c>
      <c r="BF1" s="116" t="s">
        <v>4349</v>
      </c>
      <c r="BG1" s="116" t="s">
        <v>4351</v>
      </c>
      <c r="BH1" s="116" t="s">
        <v>4352</v>
      </c>
    </row>
    <row r="2" spans="1:60">
      <c r="A2" t="s">
        <v>780</v>
      </c>
      <c r="B2" t="s">
        <v>2354</v>
      </c>
      <c r="C2" t="s">
        <v>2353</v>
      </c>
      <c r="D2" t="s">
        <v>2352</v>
      </c>
      <c r="E2" t="s">
        <v>1497</v>
      </c>
      <c r="F2" t="s">
        <v>3798</v>
      </c>
      <c r="G2" t="s">
        <v>3800</v>
      </c>
      <c r="AV2">
        <f>2852</f>
        <v>2852</v>
      </c>
      <c r="BB2" t="s">
        <v>4343</v>
      </c>
      <c r="BC2" s="256">
        <v>2487</v>
      </c>
      <c r="BD2">
        <v>85</v>
      </c>
      <c r="BE2" s="255">
        <f>BC2/BD2</f>
        <v>29.258823529411764</v>
      </c>
      <c r="BG2" s="255">
        <f>BE2*BD2</f>
        <v>2487</v>
      </c>
      <c r="BH2" s="255">
        <f>BG2-BC2</f>
        <v>0</v>
      </c>
    </row>
    <row r="3" spans="1:60">
      <c r="A3">
        <f>1</f>
        <v>1</v>
      </c>
      <c r="B3">
        <v>0</v>
      </c>
      <c r="C3">
        <f>VLOOKUP(A3,'Loyd List 1-190 - Edit'!$A$1:$B$192,2,FALSE)</f>
        <v>0</v>
      </c>
      <c r="D3">
        <f>B3-C3</f>
        <v>0</v>
      </c>
      <c r="E3" t="str">
        <f>VLOOKUP(A3,'Loyd List 1-190 - Edit'!$P$2:$Q$196,2,FALSE)</f>
        <v>William (1): 1729–1800</v>
      </c>
      <c r="F3">
        <v>4</v>
      </c>
      <c r="I3">
        <v>1</v>
      </c>
      <c r="J3">
        <f>COUNTIF($F$3:$F$192,I3)</f>
        <v>139</v>
      </c>
      <c r="K3" s="251">
        <f>J3/I8</f>
        <v>0.73157894736842111</v>
      </c>
      <c r="L3">
        <v>0</v>
      </c>
      <c r="M3">
        <v>1</v>
      </c>
      <c r="AV3">
        <f>AV1-AV2</f>
        <v>709.80000000000018</v>
      </c>
      <c r="BB3" t="s">
        <v>4344</v>
      </c>
      <c r="BC3" s="256">
        <v>2852</v>
      </c>
      <c r="BD3">
        <v>110</v>
      </c>
      <c r="BE3" s="255">
        <f>BC3/BD3</f>
        <v>25.927272727272726</v>
      </c>
      <c r="BG3" s="255">
        <f>BE3*BD3</f>
        <v>2852</v>
      </c>
      <c r="BH3" s="255">
        <f>BG3-BC3</f>
        <v>0</v>
      </c>
    </row>
    <row r="4" spans="1:60">
      <c r="A4" s="101">
        <f>A3+1</f>
        <v>2</v>
      </c>
      <c r="B4">
        <v>1</v>
      </c>
      <c r="C4">
        <f>VLOOKUP(A4,'Loyd List 1-190 - Edit'!$A$1:$B$192,2,FALSE)</f>
        <v>1</v>
      </c>
      <c r="D4">
        <f t="shared" ref="D4:D67" si="0">B4-C4</f>
        <v>0</v>
      </c>
      <c r="E4" t="str">
        <f>VLOOKUP(A4,'Loyd List 1-190 - Edit'!$P$2:$Q$196,2,FALSE)</f>
        <v>Jane (2): 1765–1832</v>
      </c>
      <c r="F4">
        <v>4</v>
      </c>
      <c r="I4">
        <v>2</v>
      </c>
      <c r="J4">
        <f>COUNTIF($F$3:$F$192,I4)</f>
        <v>47</v>
      </c>
      <c r="K4" s="251">
        <f>J4/I8</f>
        <v>0.24736842105263157</v>
      </c>
      <c r="L4">
        <v>1</v>
      </c>
      <c r="M4">
        <f>COUNTIF($B$4:$B$184,L4)</f>
        <v>7</v>
      </c>
      <c r="AM4" t="s">
        <v>4277</v>
      </c>
      <c r="AN4" t="s">
        <v>4278</v>
      </c>
      <c r="BB4" t="s">
        <v>4348</v>
      </c>
      <c r="BC4" s="256">
        <f>BC3</f>
        <v>2852</v>
      </c>
      <c r="BD4">
        <v>83</v>
      </c>
      <c r="BE4" s="255">
        <f>BC4/BD4</f>
        <v>34.361445783132531</v>
      </c>
      <c r="BF4" s="257">
        <f>BE4/BE2-1</f>
        <v>0.17439601590923415</v>
      </c>
      <c r="BG4" s="255">
        <f>BE4*BD4</f>
        <v>2852</v>
      </c>
      <c r="BH4" s="255">
        <f>BG4-BC4</f>
        <v>0</v>
      </c>
    </row>
    <row r="5" spans="1:60">
      <c r="A5" s="101">
        <f t="shared" ref="A5:A68" si="1">A4+1</f>
        <v>3</v>
      </c>
      <c r="B5">
        <v>1</v>
      </c>
      <c r="C5">
        <f>VLOOKUP(A5,'Loyd List 1-190 - Edit'!$A$1:$B$192,2,FALSE)</f>
        <v>1</v>
      </c>
      <c r="D5">
        <f t="shared" si="0"/>
        <v>0</v>
      </c>
      <c r="E5" t="str">
        <f>VLOOKUP(A5,'Loyd List 1-190 - Edit'!$P$2:$Q$196,2,FALSE)</f>
        <v>Lewis LOYD (3): 1768–1858</v>
      </c>
      <c r="F5">
        <v>1</v>
      </c>
      <c r="I5">
        <v>4</v>
      </c>
      <c r="J5">
        <f>COUNTIF($F$3:$F$192,I5)</f>
        <v>4</v>
      </c>
      <c r="K5" s="251">
        <f>J5/I8</f>
        <v>2.1052631578947368E-2</v>
      </c>
      <c r="L5">
        <v>2</v>
      </c>
      <c r="M5">
        <f t="shared" ref="M5:M10" si="2">COUNTIF($B$4:$B$184,L5)</f>
        <v>16</v>
      </c>
      <c r="BB5" t="s">
        <v>4350</v>
      </c>
      <c r="BC5" s="256">
        <f>BC4</f>
        <v>2852</v>
      </c>
      <c r="BD5">
        <v>83</v>
      </c>
      <c r="BE5" s="255">
        <f>TRUNC(BE4)+1+1</f>
        <v>36</v>
      </c>
      <c r="BF5" s="257">
        <f>BE5/BE2-1</f>
        <v>0.23039806996381196</v>
      </c>
      <c r="BG5" s="255">
        <f>BE5*BD5</f>
        <v>2988</v>
      </c>
      <c r="BH5" s="255">
        <f>BG5-BC5</f>
        <v>136</v>
      </c>
    </row>
    <row r="6" spans="1:60">
      <c r="A6" s="101">
        <f t="shared" si="1"/>
        <v>4</v>
      </c>
      <c r="B6">
        <v>1</v>
      </c>
      <c r="C6">
        <f>VLOOKUP(A6,'Loyd List 1-190 - Edit'!$A$1:$B$192,2,FALSE)</f>
        <v>1</v>
      </c>
      <c r="D6">
        <f t="shared" si="0"/>
        <v>0</v>
      </c>
      <c r="E6" t="str">
        <f>VLOOKUP(A6,'Loyd List 1-190 - Edit'!$P$2:$Q$196,2,FALSE)</f>
        <v>William (4): 1770–1828</v>
      </c>
      <c r="F6">
        <v>2</v>
      </c>
      <c r="J6">
        <f>COUNTIF($F$3:$F$192,I6)</f>
        <v>0</v>
      </c>
      <c r="L6">
        <v>3</v>
      </c>
      <c r="M6">
        <f t="shared" si="2"/>
        <v>26</v>
      </c>
      <c r="AM6">
        <v>2</v>
      </c>
      <c r="AN6">
        <v>3</v>
      </c>
      <c r="AO6">
        <f>AN6^2</f>
        <v>9</v>
      </c>
      <c r="AP6" s="250">
        <f>AO6/AO$10</f>
        <v>2.4930747922437674E-2</v>
      </c>
      <c r="AX6" s="3">
        <v>44838</v>
      </c>
      <c r="AZ6">
        <v>105</v>
      </c>
    </row>
    <row r="7" spans="1:60">
      <c r="A7" s="101">
        <f t="shared" si="1"/>
        <v>5</v>
      </c>
      <c r="B7">
        <v>1</v>
      </c>
      <c r="C7">
        <f>VLOOKUP(A7,'Loyd List 1-190 - Edit'!$A$1:$B$192,2,FALSE)</f>
        <v>1</v>
      </c>
      <c r="D7">
        <f t="shared" si="0"/>
        <v>0</v>
      </c>
      <c r="E7" t="str">
        <f>VLOOKUP(A7,'Loyd List 1-190 - Edit'!$P$2:$Q$196,2,FALSE)</f>
        <v>Catherine (5): 1772–1798</v>
      </c>
      <c r="F7">
        <v>2</v>
      </c>
      <c r="L7">
        <v>4</v>
      </c>
      <c r="M7">
        <f t="shared" si="2"/>
        <v>34</v>
      </c>
      <c r="AM7">
        <v>3</v>
      </c>
      <c r="AN7">
        <v>1</v>
      </c>
      <c r="AO7">
        <f>AN7^2</f>
        <v>1</v>
      </c>
      <c r="AP7" s="250">
        <f>AO7/AO$10</f>
        <v>2.7700831024930748E-3</v>
      </c>
      <c r="AU7" s="3">
        <v>44805</v>
      </c>
      <c r="AV7" s="3">
        <v>44985</v>
      </c>
      <c r="AW7" s="101">
        <f>AV7-AU7+1</f>
        <v>181</v>
      </c>
      <c r="AX7">
        <f>AX6-AU7+1</f>
        <v>34</v>
      </c>
      <c r="AY7">
        <f>AX7/AW7</f>
        <v>0.18784530386740331</v>
      </c>
      <c r="AZ7">
        <f>AY7*AZ6</f>
        <v>19.723756906077348</v>
      </c>
    </row>
    <row r="8" spans="1:60">
      <c r="A8" s="101">
        <f t="shared" si="1"/>
        <v>6</v>
      </c>
      <c r="B8">
        <v>1</v>
      </c>
      <c r="C8">
        <f>VLOOKUP(A8,'Loyd List 1-190 - Edit'!$A$1:$B$192,2,FALSE)</f>
        <v>1</v>
      </c>
      <c r="D8">
        <f t="shared" si="0"/>
        <v>0</v>
      </c>
      <c r="E8" t="str">
        <f>VLOOKUP(A8,'Loyd List 1-190 - Edit'!$P$2:$Q$196,2,FALSE)</f>
        <v>Thomas (6): 1775–1853</v>
      </c>
      <c r="F8">
        <v>2</v>
      </c>
      <c r="I8">
        <v>190</v>
      </c>
      <c r="J8">
        <f>I8-SUM(J3:J6)</f>
        <v>0</v>
      </c>
      <c r="L8">
        <v>5</v>
      </c>
      <c r="M8">
        <f t="shared" si="2"/>
        <v>36</v>
      </c>
      <c r="AM8">
        <v>4</v>
      </c>
      <c r="AN8">
        <v>7</v>
      </c>
      <c r="AO8">
        <f>AN8^2</f>
        <v>49</v>
      </c>
      <c r="AP8" s="250">
        <f>AO8/AO$10</f>
        <v>0.13573407202216067</v>
      </c>
      <c r="AU8" s="3">
        <v>44805</v>
      </c>
      <c r="AV8" s="3">
        <v>44985</v>
      </c>
    </row>
    <row r="9" spans="1:60">
      <c r="A9" s="101">
        <f t="shared" si="1"/>
        <v>7</v>
      </c>
      <c r="B9">
        <v>1</v>
      </c>
      <c r="C9">
        <f>VLOOKUP(A9,'Loyd List 1-190 - Edit'!$A$1:$B$192,2,FALSE)</f>
        <v>1</v>
      </c>
      <c r="D9">
        <f t="shared" si="0"/>
        <v>0</v>
      </c>
      <c r="E9" t="str">
        <f>VLOOKUP(A9,'Loyd List 1-190 - Edit'!$P$2:$Q$196,2,FALSE)</f>
        <v>Gwenllian (7): 1777–1779</v>
      </c>
      <c r="F9">
        <v>2</v>
      </c>
      <c r="L9">
        <v>6</v>
      </c>
      <c r="M9">
        <f t="shared" si="2"/>
        <v>41</v>
      </c>
      <c r="AM9">
        <v>8</v>
      </c>
      <c r="AN9">
        <v>8</v>
      </c>
      <c r="AO9">
        <f>AN9^2</f>
        <v>64</v>
      </c>
      <c r="AP9" s="250">
        <f>AO9/AO$10</f>
        <v>0.17728531855955679</v>
      </c>
    </row>
    <row r="10" spans="1:60">
      <c r="A10" s="101">
        <f t="shared" si="1"/>
        <v>8</v>
      </c>
      <c r="B10">
        <v>1</v>
      </c>
      <c r="C10">
        <f>VLOOKUP(A10,'Loyd List 1-190 - Edit'!$A$1:$B$192,2,FALSE)</f>
        <v>1</v>
      </c>
      <c r="D10">
        <f t="shared" si="0"/>
        <v>0</v>
      </c>
      <c r="E10" t="str">
        <f>VLOOKUP(A10,'Loyd List 1-190 - Edit'!$P$2:$Q$196,2,FALSE)</f>
        <v>Edward (8): 1780–1863</v>
      </c>
      <c r="F10">
        <v>1</v>
      </c>
      <c r="L10">
        <v>7</v>
      </c>
      <c r="M10">
        <f t="shared" si="2"/>
        <v>21</v>
      </c>
      <c r="AN10">
        <f>SUM(AN6:AN9)</f>
        <v>19</v>
      </c>
      <c r="AO10">
        <f>AN10^2</f>
        <v>361</v>
      </c>
      <c r="AP10" s="250">
        <f>SUM(AP6:AP9)</f>
        <v>0.34072022160664822</v>
      </c>
    </row>
    <row r="11" spans="1:60">
      <c r="A11" s="101">
        <f t="shared" si="1"/>
        <v>9</v>
      </c>
      <c r="B11">
        <v>2</v>
      </c>
      <c r="C11">
        <f>VLOOKUP(A11,'Loyd List 1-190 - Edit'!$A$1:$B$192,2,FALSE)</f>
        <v>2</v>
      </c>
      <c r="D11">
        <f t="shared" si="0"/>
        <v>0</v>
      </c>
      <c r="E11" t="str">
        <f>VLOOKUP(A11,'Loyd List 1-190 - Edit'!$P$2:$Q$196,2,FALSE)</f>
        <v>Samuel (9): 1796–1883</v>
      </c>
      <c r="F11">
        <v>1</v>
      </c>
      <c r="AU11">
        <v>273000</v>
      </c>
      <c r="AV11">
        <v>267850.59999999998</v>
      </c>
      <c r="AW11">
        <f>AU11-AV11</f>
        <v>5149.4000000000233</v>
      </c>
    </row>
    <row r="12" spans="1:60">
      <c r="A12" s="101">
        <f t="shared" si="1"/>
        <v>10</v>
      </c>
      <c r="B12">
        <v>2</v>
      </c>
      <c r="C12">
        <f>VLOOKUP(A12,'Loyd List 1-190 - Edit'!$A$1:$B$192,2,FALSE)</f>
        <v>2</v>
      </c>
      <c r="D12">
        <f t="shared" si="0"/>
        <v>0</v>
      </c>
      <c r="E12" t="str">
        <f>VLOOKUP(A12,'Loyd List 1-190 - Edit'!$P$2:$Q$196,2,FALSE)</f>
        <v>William (10): 1809–1879</v>
      </c>
      <c r="F12">
        <v>1</v>
      </c>
      <c r="K12" s="116" t="s">
        <v>3949</v>
      </c>
      <c r="L12" t="s">
        <v>3950</v>
      </c>
      <c r="AG12" s="60" t="s">
        <v>4105</v>
      </c>
    </row>
    <row r="13" spans="1:60">
      <c r="A13" s="101">
        <f t="shared" si="1"/>
        <v>11</v>
      </c>
      <c r="B13">
        <v>2</v>
      </c>
      <c r="C13">
        <f>VLOOKUP(A13,'Loyd List 1-190 - Edit'!$A$1:$B$192,2,FALSE)</f>
        <v>2</v>
      </c>
      <c r="D13">
        <f t="shared" si="0"/>
        <v>0</v>
      </c>
      <c r="E13" t="str">
        <f>VLOOKUP(A13,'Loyd List 1-190 - Edit'!$P$2:$Q$196,2,FALSE)</f>
        <v>Sarah (11): 1810–1858</v>
      </c>
      <c r="F13">
        <v>1</v>
      </c>
      <c r="V13" t="s">
        <v>4045</v>
      </c>
    </row>
    <row r="14" spans="1:60" ht="17" thickBot="1">
      <c r="A14" s="101">
        <f t="shared" si="1"/>
        <v>12</v>
      </c>
      <c r="B14">
        <v>2</v>
      </c>
      <c r="C14">
        <f>VLOOKUP(A14,'Loyd List 1-190 - Edit'!$A$1:$B$192,2,FALSE)</f>
        <v>2</v>
      </c>
      <c r="D14">
        <f t="shared" si="0"/>
        <v>0</v>
      </c>
      <c r="E14" t="str">
        <f>VLOOKUP(A14,'Loyd List 1-190 - Edit'!$P$2:$Q$196,2,FALSE)</f>
        <v>Eliza (12): 1810–1861</v>
      </c>
      <c r="F14">
        <v>1</v>
      </c>
      <c r="AA14" t="s">
        <v>4048</v>
      </c>
      <c r="AH14" t="s">
        <v>4045</v>
      </c>
      <c r="AW14">
        <f>0.012*AU11</f>
        <v>3276</v>
      </c>
      <c r="AX14">
        <v>600</v>
      </c>
    </row>
    <row r="15" spans="1:60" ht="17" thickBot="1">
      <c r="A15" s="101">
        <f t="shared" si="1"/>
        <v>13</v>
      </c>
      <c r="B15">
        <v>2</v>
      </c>
      <c r="C15">
        <f>VLOOKUP(A15,'Loyd List 1-190 - Edit'!$A$1:$B$192,2,FALSE)</f>
        <v>2</v>
      </c>
      <c r="D15">
        <f t="shared" si="0"/>
        <v>0</v>
      </c>
      <c r="E15" t="str">
        <f>VLOOKUP(A15,'Loyd List 1-190 - Edit'!$P$2:$Q$196,2,FALSE)</f>
        <v>Lewis (13): 1811–1891</v>
      </c>
      <c r="F15">
        <v>1</v>
      </c>
      <c r="I15" t="s">
        <v>2351</v>
      </c>
      <c r="V15" s="217" t="s">
        <v>2351</v>
      </c>
      <c r="W15" s="225" t="s">
        <v>4047</v>
      </c>
      <c r="X15" s="220" t="s">
        <v>4049</v>
      </c>
      <c r="Y15" s="219" t="s">
        <v>4050</v>
      </c>
      <c r="Z15" s="220" t="s">
        <v>4051</v>
      </c>
      <c r="AA15" s="219" t="s">
        <v>4059</v>
      </c>
      <c r="AB15" s="220" t="s">
        <v>4060</v>
      </c>
      <c r="AC15" s="51" t="s">
        <v>4054</v>
      </c>
      <c r="AG15" s="236" t="s">
        <v>2351</v>
      </c>
      <c r="AH15" s="213" t="s">
        <v>4046</v>
      </c>
      <c r="AI15" s="235" t="s">
        <v>3245</v>
      </c>
      <c r="AJ15" s="48" t="s">
        <v>3244</v>
      </c>
    </row>
    <row r="16" spans="1:60">
      <c r="A16" s="101">
        <f t="shared" si="1"/>
        <v>14</v>
      </c>
      <c r="B16">
        <v>2</v>
      </c>
      <c r="C16">
        <f>VLOOKUP(A16,'Loyd List 1-190 - Edit'!$A$1:$B$192,2,FALSE)</f>
        <v>2</v>
      </c>
      <c r="D16">
        <f t="shared" si="0"/>
        <v>0</v>
      </c>
      <c r="E16" t="str">
        <f>VLOOKUP(A16,'Loyd List 1-190 - Edit'!$P$2:$Q$196,2,FALSE)</f>
        <v>Thomas (14): 1812–1857</v>
      </c>
      <c r="F16">
        <v>1</v>
      </c>
      <c r="I16" s="116" t="s">
        <v>3791</v>
      </c>
      <c r="J16">
        <v>1</v>
      </c>
      <c r="K16" s="116" t="str">
        <f>VLOOKUP(J16,$A$2:$E$192,5,FALSE)</f>
        <v>William (1): 1729–1800</v>
      </c>
      <c r="L16" t="str">
        <f>VLOOKUP(M16,$A$2:$E$192,5,FALSE)</f>
        <v>William (1): 1729–1800</v>
      </c>
      <c r="M16">
        <v>1</v>
      </c>
      <c r="N16" t="str">
        <f>MID(K16,SEARCH(":",K16)+2,LEN(K16)-SEARCH(":",K16)-1)</f>
        <v>1729–1800</v>
      </c>
      <c r="O16" t="str">
        <f>MID(L16,SEARCH(":",L16)+2,LEN(L16)-SEARCH(":",L16)-1)</f>
        <v>1729–1800</v>
      </c>
      <c r="V16" s="214" t="s">
        <v>3791</v>
      </c>
      <c r="W16" s="226" t="str">
        <f>O16</f>
        <v>1729–1800</v>
      </c>
      <c r="X16" s="223">
        <f>SUM(Y16:Z16)</f>
        <v>1</v>
      </c>
      <c r="Y16" s="116">
        <v>1</v>
      </c>
      <c r="Z16" s="223">
        <v>0</v>
      </c>
      <c r="AA16" s="215">
        <v>71</v>
      </c>
      <c r="AB16" s="58" t="s">
        <v>2792</v>
      </c>
      <c r="AC16" s="23"/>
      <c r="AD16" t="str">
        <f>K16</f>
        <v>William (1): 1729–1800</v>
      </c>
      <c r="AG16" s="235" t="s">
        <v>3791</v>
      </c>
      <c r="AH16" s="213" t="s">
        <v>2792</v>
      </c>
      <c r="AI16" s="235" t="s">
        <v>2792</v>
      </c>
      <c r="AJ16" s="48" t="s">
        <v>2792</v>
      </c>
      <c r="AO16" s="116"/>
      <c r="AW16">
        <f>AW11-AW14</f>
        <v>1873.4000000000233</v>
      </c>
      <c r="BB16" s="254"/>
    </row>
    <row r="17" spans="1:50">
      <c r="A17" s="101">
        <f t="shared" si="1"/>
        <v>15</v>
      </c>
      <c r="B17">
        <v>2</v>
      </c>
      <c r="C17">
        <f>VLOOKUP(A17,'Loyd List 1-190 - Edit'!$A$1:$B$192,2,FALSE)</f>
        <v>2</v>
      </c>
      <c r="D17">
        <f t="shared" si="0"/>
        <v>0</v>
      </c>
      <c r="E17" t="str">
        <f>VLOOKUP(A17,'Loyd List 1-190 - Edit'!$P$2:$Q$196,2,FALSE)</f>
        <v>Annie (15): 1813–1834</v>
      </c>
      <c r="F17">
        <v>2</v>
      </c>
      <c r="I17" s="116">
        <v>1</v>
      </c>
      <c r="J17">
        <v>2</v>
      </c>
      <c r="K17" s="116" t="str">
        <f t="shared" ref="K17:K24" si="3">VLOOKUP(J17,$A$2:$E$192,5,FALSE)</f>
        <v>Jane (2): 1765–1832</v>
      </c>
      <c r="L17" t="str">
        <f t="shared" ref="L17:L24" si="4">VLOOKUP(M17,$A$2:$E$192,5,FALSE)</f>
        <v>Edward (8): 1780–1863</v>
      </c>
      <c r="M17">
        <v>8</v>
      </c>
      <c r="N17" t="str">
        <f t="shared" ref="N17:N24" si="5">MID(K17,SEARCH(":",K17)+2,LEN(K17)-SEARCH(":",K17)-1)</f>
        <v>1765–1832</v>
      </c>
      <c r="O17" t="str">
        <f t="shared" ref="O17:O24" si="6">MID(L17,SEARCH(":",L17)+2,LEN(L17)-SEARCH(":",L17)-1)</f>
        <v>1780–1863</v>
      </c>
      <c r="P17" t="str">
        <f>_xlfn.CONCAT(LEFT(N17,4)," - ",LEFT(O17,4))</f>
        <v>1765 - 1780</v>
      </c>
      <c r="Q17" t="str">
        <f>MID(K17,SEARCH(":",K17)+2,LEN(L17)-SEARCH(":",L17)-1)</f>
        <v>1765–1832</v>
      </c>
      <c r="V17" s="214">
        <v>1</v>
      </c>
      <c r="W17" s="226" t="str">
        <f>P17</f>
        <v>1765 - 1780</v>
      </c>
      <c r="X17" s="223">
        <f t="shared" ref="X17:X25" si="7">SUM(Y17:Z17)</f>
        <v>7</v>
      </c>
      <c r="Y17" s="116">
        <v>4</v>
      </c>
      <c r="Z17" s="223">
        <v>3</v>
      </c>
      <c r="AA17" s="215">
        <v>77</v>
      </c>
      <c r="AB17" s="221">
        <v>31</v>
      </c>
      <c r="AC17" s="23"/>
      <c r="AG17" s="223">
        <v>1</v>
      </c>
      <c r="AH17" s="116" t="s">
        <v>2792</v>
      </c>
      <c r="AI17" s="223" t="s">
        <v>2792</v>
      </c>
      <c r="AJ17" s="49" t="s">
        <v>2792</v>
      </c>
      <c r="AO17" s="212"/>
      <c r="AP17" s="212"/>
      <c r="AQ17" s="212"/>
      <c r="AW17">
        <f>AW16-AX14</f>
        <v>1273.4000000000233</v>
      </c>
      <c r="AX17">
        <f>AW17/1.2</f>
        <v>1061.1666666666861</v>
      </c>
    </row>
    <row r="18" spans="1:50">
      <c r="A18" s="101">
        <f t="shared" si="1"/>
        <v>16</v>
      </c>
      <c r="B18">
        <v>2</v>
      </c>
      <c r="C18">
        <f>VLOOKUP(A18,'Loyd List 1-190 - Edit'!$A$1:$B$192,2,FALSE)</f>
        <v>2</v>
      </c>
      <c r="D18">
        <f t="shared" si="0"/>
        <v>0</v>
      </c>
      <c r="E18" t="str">
        <f>VLOOKUP(A18,'Loyd List 1-190 - Edit'!$P$2:$Q$196,2,FALSE)</f>
        <v>Maria (16): 1814–1900</v>
      </c>
      <c r="F18">
        <v>1</v>
      </c>
      <c r="I18" s="116">
        <v>2</v>
      </c>
      <c r="J18">
        <v>9</v>
      </c>
      <c r="K18" s="116" t="str">
        <f t="shared" si="3"/>
        <v>Samuel (9): 1796–1883</v>
      </c>
      <c r="L18" t="str">
        <f t="shared" si="4"/>
        <v>Fanny (24): 1824–1856</v>
      </c>
      <c r="M18">
        <v>24</v>
      </c>
      <c r="N18" t="str">
        <f t="shared" si="5"/>
        <v>1796–1883</v>
      </c>
      <c r="O18" t="str">
        <f t="shared" si="6"/>
        <v>1824–1856</v>
      </c>
      <c r="P18" t="str">
        <f t="shared" ref="P18:P24" si="8">_xlfn.CONCAT(LEFT(N18,4)," - ",LEFT(O18,4))</f>
        <v>1796 - 1824</v>
      </c>
      <c r="V18" s="214">
        <f>V17+1</f>
        <v>2</v>
      </c>
      <c r="W18" s="226" t="str">
        <f t="shared" ref="W18:W24" si="9">P18</f>
        <v>1796 - 1824</v>
      </c>
      <c r="X18" s="223">
        <f t="shared" si="7"/>
        <v>16</v>
      </c>
      <c r="Y18" s="116">
        <v>9</v>
      </c>
      <c r="Z18" s="223">
        <v>7</v>
      </c>
      <c r="AA18" s="215" t="s">
        <v>4052</v>
      </c>
      <c r="AB18" s="221" t="s">
        <v>4053</v>
      </c>
      <c r="AC18" s="49">
        <v>1850</v>
      </c>
      <c r="AG18" s="223">
        <f>AG17+1</f>
        <v>2</v>
      </c>
      <c r="AH18" s="116">
        <f t="shared" ref="AH18:AH25" si="10">SUM(AI18:AJ18)</f>
        <v>3</v>
      </c>
      <c r="AI18" s="223">
        <v>2</v>
      </c>
      <c r="AJ18" s="49">
        <v>1</v>
      </c>
      <c r="AO18" s="212"/>
      <c r="AP18" s="212"/>
      <c r="AQ18" s="212"/>
    </row>
    <row r="19" spans="1:50">
      <c r="A19" s="101">
        <f t="shared" si="1"/>
        <v>17</v>
      </c>
      <c r="B19">
        <v>2</v>
      </c>
      <c r="C19">
        <f>VLOOKUP(A19,'Loyd List 1-190 - Edit'!$A$1:$B$192,2,FALSE)</f>
        <v>2</v>
      </c>
      <c r="D19">
        <f t="shared" si="0"/>
        <v>0</v>
      </c>
      <c r="E19" t="str">
        <f>VLOOKUP(A19,'Loyd List 1-190 - Edit'!$P$2:$Q$196,2,FALSE)</f>
        <v>Edward (17): 1815–1815</v>
      </c>
      <c r="F19">
        <v>2</v>
      </c>
      <c r="I19" s="116">
        <v>3</v>
      </c>
      <c r="J19">
        <v>25</v>
      </c>
      <c r="K19" s="116" t="str">
        <f t="shared" si="3"/>
        <v>Henry (25): 1832–1833</v>
      </c>
      <c r="L19" t="str">
        <f t="shared" si="4"/>
        <v>Arthur (50): 1868–1911</v>
      </c>
      <c r="M19">
        <v>50</v>
      </c>
      <c r="N19" t="str">
        <f t="shared" si="5"/>
        <v>1832–1833</v>
      </c>
      <c r="O19" t="str">
        <f t="shared" si="6"/>
        <v>1868–1911</v>
      </c>
      <c r="P19" t="str">
        <f t="shared" si="8"/>
        <v>1832 - 1868</v>
      </c>
      <c r="V19" s="214">
        <f t="shared" ref="V19:V24" si="11">V18+1</f>
        <v>3</v>
      </c>
      <c r="W19" s="226" t="str">
        <f t="shared" si="9"/>
        <v>1832 - 1868</v>
      </c>
      <c r="X19" s="223">
        <f t="shared" si="7"/>
        <v>26</v>
      </c>
      <c r="Y19" s="116">
        <v>14</v>
      </c>
      <c r="Z19" s="223">
        <v>12</v>
      </c>
      <c r="AA19" s="215" t="s">
        <v>4055</v>
      </c>
      <c r="AB19" s="221" t="s">
        <v>4056</v>
      </c>
      <c r="AC19" s="49">
        <v>1888</v>
      </c>
      <c r="AG19" s="223">
        <f t="shared" ref="AG19:AG24" si="12">AG18+1</f>
        <v>3</v>
      </c>
      <c r="AH19" s="116">
        <f t="shared" si="10"/>
        <v>15</v>
      </c>
      <c r="AI19" s="223">
        <v>9</v>
      </c>
      <c r="AJ19" s="49">
        <v>6</v>
      </c>
      <c r="AO19" s="212"/>
      <c r="AP19" s="212"/>
      <c r="AQ19" s="212"/>
    </row>
    <row r="20" spans="1:50">
      <c r="A20" s="101">
        <f t="shared" si="1"/>
        <v>18</v>
      </c>
      <c r="B20">
        <v>2</v>
      </c>
      <c r="C20">
        <f>VLOOKUP(A20,'Loyd List 1-190 - Edit'!$A$1:$B$192,2,FALSE)</f>
        <v>2</v>
      </c>
      <c r="D20">
        <f t="shared" si="0"/>
        <v>0</v>
      </c>
      <c r="E20" t="str">
        <f>VLOOKUP(A20,'Loyd List 1-190 - Edit'!$P$2:$Q$196,2,FALSE)</f>
        <v>Kate (18): 1815–1905</v>
      </c>
      <c r="F20">
        <v>4</v>
      </c>
      <c r="I20" s="116">
        <v>4</v>
      </c>
      <c r="J20">
        <v>51</v>
      </c>
      <c r="K20" s="116" t="str">
        <f t="shared" si="3"/>
        <v>Lewis (51): 1875–1947</v>
      </c>
      <c r="L20" t="str">
        <f t="shared" si="4"/>
        <v>Eddie (84): 1902–1942</v>
      </c>
      <c r="M20">
        <v>84</v>
      </c>
      <c r="N20" t="str">
        <f t="shared" si="5"/>
        <v>1875–1947</v>
      </c>
      <c r="O20" t="str">
        <f t="shared" si="6"/>
        <v>1902–1942</v>
      </c>
      <c r="P20" t="str">
        <f t="shared" si="8"/>
        <v>1875 - 1902</v>
      </c>
      <c r="V20" s="214">
        <f t="shared" si="11"/>
        <v>4</v>
      </c>
      <c r="W20" s="226" t="str">
        <f t="shared" si="9"/>
        <v>1875 - 1902</v>
      </c>
      <c r="X20" s="223">
        <f t="shared" si="7"/>
        <v>34</v>
      </c>
      <c r="Y20" s="116">
        <v>26</v>
      </c>
      <c r="Z20" s="223">
        <v>8</v>
      </c>
      <c r="AA20" s="215" t="s">
        <v>4057</v>
      </c>
      <c r="AB20" s="221" t="s">
        <v>4058</v>
      </c>
      <c r="AC20" s="49">
        <v>1937</v>
      </c>
      <c r="AG20" s="223">
        <f t="shared" si="12"/>
        <v>4</v>
      </c>
      <c r="AH20" s="116">
        <f t="shared" si="10"/>
        <v>12</v>
      </c>
      <c r="AI20" s="223">
        <v>8</v>
      </c>
      <c r="AJ20" s="49">
        <v>4</v>
      </c>
      <c r="AO20" s="212"/>
      <c r="AP20" s="212"/>
      <c r="AQ20" s="212"/>
    </row>
    <row r="21" spans="1:50">
      <c r="A21" s="101">
        <f t="shared" si="1"/>
        <v>19</v>
      </c>
      <c r="B21">
        <v>2</v>
      </c>
      <c r="C21">
        <f>VLOOKUP(A21,'Loyd List 1-190 - Edit'!$A$1:$B$192,2,FALSE)</f>
        <v>2</v>
      </c>
      <c r="D21">
        <f t="shared" si="0"/>
        <v>0</v>
      </c>
      <c r="E21" t="str">
        <f>VLOOKUP(A21,'Loyd List 1-190 - Edit'!$P$2:$Q$196,2,FALSE)</f>
        <v>Hannah (19): 1817–1907</v>
      </c>
      <c r="F21">
        <v>1</v>
      </c>
      <c r="I21" s="116">
        <v>5</v>
      </c>
      <c r="J21">
        <v>85</v>
      </c>
      <c r="K21" s="116" t="str">
        <f t="shared" si="3"/>
        <v>Anne (85): 1912–2004</v>
      </c>
      <c r="L21" t="str">
        <f t="shared" si="4"/>
        <v>Ginie (140): 1961–</v>
      </c>
      <c r="M21">
        <v>140</v>
      </c>
      <c r="N21" t="str">
        <f t="shared" si="5"/>
        <v>1912–2004</v>
      </c>
      <c r="O21" t="str">
        <f t="shared" si="6"/>
        <v>1961–</v>
      </c>
      <c r="P21" t="str">
        <f t="shared" si="8"/>
        <v>1912 - 1961</v>
      </c>
      <c r="V21" s="214">
        <f t="shared" si="11"/>
        <v>5</v>
      </c>
      <c r="W21" s="226" t="str">
        <f t="shared" si="9"/>
        <v>1912 - 1961</v>
      </c>
      <c r="X21" s="223">
        <f t="shared" si="7"/>
        <v>37</v>
      </c>
      <c r="Y21" s="116">
        <v>17</v>
      </c>
      <c r="Z21" s="223">
        <v>20</v>
      </c>
      <c r="AA21" s="215" t="s">
        <v>4061</v>
      </c>
      <c r="AB21" s="221" t="s">
        <v>4062</v>
      </c>
      <c r="AC21" s="49">
        <v>1955</v>
      </c>
      <c r="AG21" s="223">
        <f t="shared" si="12"/>
        <v>5</v>
      </c>
      <c r="AH21" s="116">
        <f t="shared" si="10"/>
        <v>12</v>
      </c>
      <c r="AI21" s="223">
        <v>4</v>
      </c>
      <c r="AJ21" s="49">
        <v>8</v>
      </c>
      <c r="AO21" s="212"/>
      <c r="AP21" s="212"/>
      <c r="AQ21" s="212"/>
      <c r="AV21">
        <f>2852/83</f>
        <v>34.361445783132531</v>
      </c>
      <c r="AW21">
        <f>84*35</f>
        <v>2940</v>
      </c>
    </row>
    <row r="22" spans="1:50">
      <c r="A22" s="101">
        <f t="shared" si="1"/>
        <v>20</v>
      </c>
      <c r="B22">
        <v>2</v>
      </c>
      <c r="C22">
        <f>VLOOKUP(A22,'Loyd List 1-190 - Edit'!$A$1:$B$192,2,FALSE)</f>
        <v>2</v>
      </c>
      <c r="D22">
        <f t="shared" si="0"/>
        <v>0</v>
      </c>
      <c r="E22" t="str">
        <f>VLOOKUP(A22,'Loyd List 1-190 - Edit'!$P$2:$Q$196,2,FALSE)</f>
        <v>John (20): 1817–1818</v>
      </c>
      <c r="F22">
        <v>2</v>
      </c>
      <c r="I22" s="116">
        <v>6</v>
      </c>
      <c r="J22">
        <v>120</v>
      </c>
      <c r="K22" s="116" t="str">
        <f t="shared" si="3"/>
        <v>Caroline (120): 1947–2022</v>
      </c>
      <c r="L22" t="str">
        <f t="shared" si="4"/>
        <v>Harriet (163): 1984–</v>
      </c>
      <c r="M22">
        <v>163</v>
      </c>
      <c r="N22" t="str">
        <f t="shared" si="5"/>
        <v>1947–2022</v>
      </c>
      <c r="O22" t="str">
        <f t="shared" si="6"/>
        <v>1984–</v>
      </c>
      <c r="P22" t="str">
        <f t="shared" si="8"/>
        <v>1947 - 1984</v>
      </c>
      <c r="V22" s="214">
        <f t="shared" si="11"/>
        <v>6</v>
      </c>
      <c r="W22" s="226" t="str">
        <f t="shared" si="9"/>
        <v>1947 - 1984</v>
      </c>
      <c r="X22" s="223">
        <f t="shared" si="7"/>
        <v>40</v>
      </c>
      <c r="Y22" s="116">
        <v>22</v>
      </c>
      <c r="Z22" s="223">
        <v>18</v>
      </c>
      <c r="AA22" s="146" t="s">
        <v>2792</v>
      </c>
      <c r="AB22" s="58" t="s">
        <v>2792</v>
      </c>
      <c r="AC22" s="23"/>
      <c r="AG22" s="223">
        <f t="shared" si="12"/>
        <v>6</v>
      </c>
      <c r="AH22" s="116">
        <f t="shared" si="10"/>
        <v>65</v>
      </c>
      <c r="AI22" s="223">
        <v>29</v>
      </c>
      <c r="AJ22" s="49">
        <v>36</v>
      </c>
      <c r="AO22" s="212"/>
    </row>
    <row r="23" spans="1:50">
      <c r="A23" s="101">
        <f t="shared" si="1"/>
        <v>21</v>
      </c>
      <c r="B23">
        <v>2</v>
      </c>
      <c r="C23">
        <f>VLOOKUP(A23,'Loyd List 1-190 - Edit'!$A$1:$B$192,2,FALSE)</f>
        <v>2</v>
      </c>
      <c r="D23">
        <f t="shared" si="0"/>
        <v>0</v>
      </c>
      <c r="E23" t="str">
        <f>VLOOKUP(A23,'Loyd List 1-190 - Edit'!$P$2:$Q$196,2,FALSE)</f>
        <v>Lewis (21): 1819–1841</v>
      </c>
      <c r="F23">
        <v>2</v>
      </c>
      <c r="I23" s="116">
        <v>7</v>
      </c>
      <c r="J23">
        <v>160</v>
      </c>
      <c r="K23" s="116" t="str">
        <f t="shared" si="3"/>
        <v>John (160): 1982–</v>
      </c>
      <c r="L23" t="str">
        <f t="shared" si="4"/>
        <v>Henry (186): 2010–</v>
      </c>
      <c r="M23">
        <v>186</v>
      </c>
      <c r="N23" t="str">
        <f t="shared" si="5"/>
        <v>1982–</v>
      </c>
      <c r="O23" t="str">
        <f t="shared" si="6"/>
        <v>2010–</v>
      </c>
      <c r="P23" t="str">
        <f t="shared" si="8"/>
        <v>1982 - 2010</v>
      </c>
      <c r="V23" s="214">
        <f t="shared" si="11"/>
        <v>7</v>
      </c>
      <c r="W23" s="226" t="str">
        <f t="shared" si="9"/>
        <v>1982 - 2010</v>
      </c>
      <c r="X23" s="223">
        <f t="shared" si="7"/>
        <v>25</v>
      </c>
      <c r="Y23" s="116">
        <v>14</v>
      </c>
      <c r="Z23" s="223">
        <v>11</v>
      </c>
      <c r="AA23" s="146" t="s">
        <v>2792</v>
      </c>
      <c r="AB23" s="58" t="s">
        <v>2792</v>
      </c>
      <c r="AC23" s="23"/>
      <c r="AG23" s="223">
        <f t="shared" si="12"/>
        <v>7</v>
      </c>
      <c r="AH23" s="116">
        <f t="shared" si="10"/>
        <v>27</v>
      </c>
      <c r="AI23" s="223">
        <v>14</v>
      </c>
      <c r="AJ23" s="49">
        <v>13</v>
      </c>
      <c r="AO23" s="116"/>
    </row>
    <row r="24" spans="1:50" ht="17" thickBot="1">
      <c r="A24" s="101">
        <f t="shared" si="1"/>
        <v>22</v>
      </c>
      <c r="B24">
        <v>2</v>
      </c>
      <c r="C24">
        <f>VLOOKUP(A24,'Loyd List 1-190 - Edit'!$A$1:$B$192,2,FALSE)</f>
        <v>2</v>
      </c>
      <c r="D24">
        <f t="shared" si="0"/>
        <v>0</v>
      </c>
      <c r="E24" t="str">
        <f>VLOOKUP(A24,'Loyd List 1-190 - Edit'!$P$2:$Q$196,2,FALSE)</f>
        <v>Edward (22): 1820–1890</v>
      </c>
      <c r="F24">
        <v>1</v>
      </c>
      <c r="I24" s="116">
        <v>8</v>
      </c>
      <c r="J24">
        <v>187</v>
      </c>
      <c r="K24" s="116" t="str">
        <f t="shared" si="3"/>
        <v>Olivia (187): 2014–</v>
      </c>
      <c r="L24" t="str">
        <f t="shared" si="4"/>
        <v>Daisy (190): 2021–</v>
      </c>
      <c r="M24">
        <v>190</v>
      </c>
      <c r="N24" t="str">
        <f t="shared" si="5"/>
        <v>2014–</v>
      </c>
      <c r="O24" t="str">
        <f t="shared" si="6"/>
        <v>2021–</v>
      </c>
      <c r="P24" t="str">
        <f t="shared" si="8"/>
        <v>2014 - 2021</v>
      </c>
      <c r="V24" s="214">
        <f t="shared" si="11"/>
        <v>8</v>
      </c>
      <c r="W24" s="226" t="str">
        <f t="shared" si="9"/>
        <v>2014 - 2021</v>
      </c>
      <c r="X24" s="223">
        <f t="shared" si="7"/>
        <v>4</v>
      </c>
      <c r="Y24" s="116">
        <v>2</v>
      </c>
      <c r="Z24" s="223">
        <v>2</v>
      </c>
      <c r="AA24" s="146" t="s">
        <v>2792</v>
      </c>
      <c r="AB24" s="58" t="s">
        <v>2792</v>
      </c>
      <c r="AC24" s="23"/>
      <c r="AG24" s="224">
        <f t="shared" si="12"/>
        <v>8</v>
      </c>
      <c r="AH24" s="216">
        <f t="shared" si="10"/>
        <v>8</v>
      </c>
      <c r="AI24" s="224">
        <v>5</v>
      </c>
      <c r="AJ24" s="50">
        <v>3</v>
      </c>
      <c r="AO24" s="116"/>
    </row>
    <row r="25" spans="1:50" ht="17" thickBot="1">
      <c r="A25" s="101">
        <f t="shared" si="1"/>
        <v>23</v>
      </c>
      <c r="B25">
        <v>2</v>
      </c>
      <c r="C25">
        <f>VLOOKUP(A25,'Loyd List 1-190 - Edit'!$A$1:$B$192,2,FALSE)</f>
        <v>2</v>
      </c>
      <c r="D25">
        <f t="shared" si="0"/>
        <v>0</v>
      </c>
      <c r="E25" t="str">
        <f>VLOOKUP(A25,'Loyd List 1-190 - Edit'!$P$2:$Q$196,2,FALSE)</f>
        <v>William (23): 1821–1885</v>
      </c>
      <c r="F25">
        <v>1</v>
      </c>
      <c r="V25" s="217"/>
      <c r="W25" s="225" t="s">
        <v>4046</v>
      </c>
      <c r="X25" s="220">
        <f t="shared" si="7"/>
        <v>190</v>
      </c>
      <c r="Y25" s="219">
        <f>SUM(Y16:Y24)</f>
        <v>109</v>
      </c>
      <c r="Z25" s="220">
        <f>SUM(Z16:Z24)</f>
        <v>81</v>
      </c>
      <c r="AA25" s="218"/>
      <c r="AB25" s="225"/>
      <c r="AC25" s="227"/>
      <c r="AG25" s="224" t="s">
        <v>4046</v>
      </c>
      <c r="AH25" s="216">
        <f t="shared" si="10"/>
        <v>142</v>
      </c>
      <c r="AI25" s="224">
        <f>SUM(AI16:AI24)</f>
        <v>71</v>
      </c>
      <c r="AJ25" s="50">
        <f>SUM(AJ16:AJ24)</f>
        <v>71</v>
      </c>
    </row>
    <row r="26" spans="1:50">
      <c r="A26" s="101">
        <f t="shared" si="1"/>
        <v>24</v>
      </c>
      <c r="B26">
        <v>2</v>
      </c>
      <c r="C26">
        <f>VLOOKUP(A26,'Loyd List 1-190 - Edit'!$A$1:$B$192,2,FALSE)</f>
        <v>2</v>
      </c>
      <c r="D26">
        <f t="shared" si="0"/>
        <v>0</v>
      </c>
      <c r="E26" t="str">
        <f>VLOOKUP(A26,'Loyd List 1-190 - Edit'!$P$2:$Q$196,2,FALSE)</f>
        <v>Fanny (24): 1824–1856</v>
      </c>
      <c r="F26">
        <v>1</v>
      </c>
    </row>
    <row r="27" spans="1:50">
      <c r="A27" s="101">
        <f t="shared" si="1"/>
        <v>25</v>
      </c>
      <c r="B27">
        <v>3</v>
      </c>
      <c r="C27">
        <f>VLOOKUP(A27,'Loyd List 1-190 - Edit'!$A$1:$B$192,2,FALSE)</f>
        <v>3</v>
      </c>
      <c r="D27">
        <f t="shared" si="0"/>
        <v>0</v>
      </c>
      <c r="E27" t="str">
        <f>VLOOKUP(A27,'Loyd List 1-190 - Edit'!$P$2:$Q$196,2,FALSE)</f>
        <v>Henry (25): 1832–1833</v>
      </c>
      <c r="F27">
        <v>2</v>
      </c>
    </row>
    <row r="28" spans="1:50" ht="17" thickBot="1">
      <c r="A28" s="101">
        <f t="shared" si="1"/>
        <v>26</v>
      </c>
      <c r="B28">
        <v>3</v>
      </c>
      <c r="C28">
        <f>VLOOKUP(A28,'Loyd List 1-190 - Edit'!$A$1:$B$192,2,FALSE)</f>
        <v>3</v>
      </c>
      <c r="D28">
        <f t="shared" si="0"/>
        <v>0</v>
      </c>
      <c r="E28" t="str">
        <f>VLOOKUP(A28,'Loyd List 1-190 - Edit'!$P$2:$Q$196,2,FALSE)</f>
        <v>The Hon Harriet (26): 1837–1920</v>
      </c>
      <c r="F28">
        <v>1</v>
      </c>
      <c r="AG28" t="s">
        <v>4063</v>
      </c>
    </row>
    <row r="29" spans="1:50" ht="17" thickBot="1">
      <c r="A29" s="101">
        <f t="shared" si="1"/>
        <v>27</v>
      </c>
      <c r="B29">
        <v>3</v>
      </c>
      <c r="C29">
        <f>VLOOKUP(A29,'Loyd List 1-190 - Edit'!$A$1:$B$192,2,FALSE)</f>
        <v>3</v>
      </c>
      <c r="D29">
        <f t="shared" si="0"/>
        <v>0</v>
      </c>
      <c r="E29" t="str">
        <f>VLOOKUP(A29,'Loyd List 1-190 - Edit'!$P$2:$Q$196,2,FALSE)</f>
        <v>William (27): 1843–1843</v>
      </c>
      <c r="F29">
        <v>2</v>
      </c>
      <c r="AG29" s="217" t="s">
        <v>2351</v>
      </c>
      <c r="AH29" s="225" t="s">
        <v>4047</v>
      </c>
      <c r="AI29" s="219" t="s">
        <v>4046</v>
      </c>
      <c r="AJ29" s="220" t="s">
        <v>3245</v>
      </c>
      <c r="AK29" s="51" t="s">
        <v>3244</v>
      </c>
    </row>
    <row r="30" spans="1:50">
      <c r="A30" s="101">
        <f t="shared" si="1"/>
        <v>28</v>
      </c>
      <c r="B30">
        <v>3</v>
      </c>
      <c r="C30">
        <f>VLOOKUP(A30,'Loyd List 1-190 - Edit'!$A$1:$B$192,2,FALSE)</f>
        <v>3</v>
      </c>
      <c r="D30">
        <f t="shared" si="0"/>
        <v>0</v>
      </c>
      <c r="E30" t="str">
        <f>VLOOKUP(A30,'Loyd List 1-190 - Edit'!$P$2:$Q$196,2,FALSE)</f>
        <v>The Rev Lewis (28): 1844–1905</v>
      </c>
      <c r="F30">
        <v>1</v>
      </c>
      <c r="AG30" s="214" t="s">
        <v>3791</v>
      </c>
      <c r="AH30" s="226" t="str">
        <f>W16</f>
        <v>1729–1800</v>
      </c>
      <c r="AI30" s="212"/>
      <c r="AJ30" s="232">
        <f t="shared" ref="AJ30:AJ36" si="13">X17/Y16</f>
        <v>7</v>
      </c>
      <c r="AK30" s="228" t="s">
        <v>2792</v>
      </c>
    </row>
    <row r="31" spans="1:50">
      <c r="A31" s="101">
        <f t="shared" si="1"/>
        <v>29</v>
      </c>
      <c r="B31">
        <v>3</v>
      </c>
      <c r="C31">
        <f>VLOOKUP(A31,'Loyd List 1-190 - Edit'!$A$1:$B$192,2,FALSE)</f>
        <v>3</v>
      </c>
      <c r="D31">
        <f t="shared" si="0"/>
        <v>0</v>
      </c>
      <c r="E31" t="str">
        <f>VLOOKUP(A31,'Loyd List 1-190 - Edit'!$P$2:$Q$196,2,FALSE)</f>
        <v>Arthur (29): 1845–1930</v>
      </c>
      <c r="F31">
        <v>1</v>
      </c>
      <c r="AG31" s="214">
        <v>1</v>
      </c>
      <c r="AH31" s="226" t="str">
        <f t="shared" ref="AH31:AH38" si="14">W17</f>
        <v>1765 - 1780</v>
      </c>
      <c r="AI31" s="212">
        <f t="shared" ref="AI31:AI36" si="15">(X18+AH18)/(X17)</f>
        <v>2.7142857142857144</v>
      </c>
      <c r="AJ31" s="232">
        <f t="shared" si="13"/>
        <v>4</v>
      </c>
      <c r="AK31" s="228">
        <f t="shared" ref="AK31:AK36" si="16">AH18/Z17</f>
        <v>1</v>
      </c>
    </row>
    <row r="32" spans="1:50">
      <c r="A32" s="101">
        <f t="shared" si="1"/>
        <v>30</v>
      </c>
      <c r="B32">
        <v>3</v>
      </c>
      <c r="C32">
        <f>VLOOKUP(A32,'Loyd List 1-190 - Edit'!$A$1:$B$192,2,FALSE)</f>
        <v>3</v>
      </c>
      <c r="D32">
        <f t="shared" si="0"/>
        <v>0</v>
      </c>
      <c r="E32" t="str">
        <f>VLOOKUP(A32,'Loyd List 1-190 - Edit'!$P$2:$Q$196,2,FALSE)</f>
        <v>Archie (30): 1847–1922</v>
      </c>
      <c r="F32">
        <v>1</v>
      </c>
      <c r="K32" s="116" t="s">
        <v>2351</v>
      </c>
      <c r="L32" t="s">
        <v>3951</v>
      </c>
      <c r="M32" t="s">
        <v>3952</v>
      </c>
      <c r="AG32" s="214">
        <f>AG31+1</f>
        <v>2</v>
      </c>
      <c r="AH32" s="226" t="str">
        <f t="shared" si="14"/>
        <v>1796 - 1824</v>
      </c>
      <c r="AI32" s="212">
        <f t="shared" si="15"/>
        <v>2.5625</v>
      </c>
      <c r="AJ32" s="232">
        <f t="shared" si="13"/>
        <v>2.8888888888888888</v>
      </c>
      <c r="AK32" s="228">
        <f t="shared" si="16"/>
        <v>2.1428571428571428</v>
      </c>
    </row>
    <row r="33" spans="1:37">
      <c r="A33" s="101">
        <f t="shared" si="1"/>
        <v>31</v>
      </c>
      <c r="B33">
        <v>3</v>
      </c>
      <c r="C33">
        <f>VLOOKUP(A33,'Loyd List 1-190 - Edit'!$A$1:$B$192,2,FALSE)</f>
        <v>3</v>
      </c>
      <c r="D33">
        <f t="shared" si="0"/>
        <v>0</v>
      </c>
      <c r="E33" t="str">
        <f>VLOOKUP(A33,'Loyd List 1-190 - Edit'!$P$2:$Q$196,2,FALSE)</f>
        <v>Mary (31): 1848–1934</v>
      </c>
      <c r="F33">
        <v>1</v>
      </c>
      <c r="K33" s="116">
        <v>1</v>
      </c>
      <c r="L33">
        <v>1765</v>
      </c>
      <c r="M33" s="116">
        <v>1</v>
      </c>
      <c r="AG33" s="214">
        <f t="shared" ref="AG33:AG38" si="17">AG32+1</f>
        <v>3</v>
      </c>
      <c r="AH33" s="226" t="str">
        <f t="shared" si="14"/>
        <v>1832 - 1868</v>
      </c>
      <c r="AI33" s="212">
        <f t="shared" si="15"/>
        <v>1.7692307692307692</v>
      </c>
      <c r="AJ33" s="232">
        <f t="shared" si="13"/>
        <v>2.4285714285714284</v>
      </c>
      <c r="AK33" s="228">
        <f t="shared" si="16"/>
        <v>1</v>
      </c>
    </row>
    <row r="34" spans="1:37">
      <c r="A34" s="101">
        <f t="shared" si="1"/>
        <v>32</v>
      </c>
      <c r="B34">
        <v>3</v>
      </c>
      <c r="C34">
        <f>VLOOKUP(A34,'Loyd List 1-190 - Edit'!$A$1:$B$192,2,FALSE)</f>
        <v>3</v>
      </c>
      <c r="D34">
        <f t="shared" si="0"/>
        <v>0</v>
      </c>
      <c r="E34" t="str">
        <f>VLOOKUP(A34,'Loyd List 1-190 - Edit'!$P$2:$Q$196,2,FALSE)</f>
        <v>Frank (32): 1848–1934</v>
      </c>
      <c r="F34">
        <v>1</v>
      </c>
      <c r="K34" s="116">
        <v>2</v>
      </c>
      <c r="L34">
        <v>1796</v>
      </c>
      <c r="M34" s="116">
        <v>2</v>
      </c>
      <c r="AG34" s="214">
        <f t="shared" si="17"/>
        <v>4</v>
      </c>
      <c r="AH34" s="226" t="str">
        <f t="shared" si="14"/>
        <v>1875 - 1902</v>
      </c>
      <c r="AI34" s="212">
        <f t="shared" si="15"/>
        <v>1.4411764705882353</v>
      </c>
      <c r="AJ34" s="232">
        <f t="shared" si="13"/>
        <v>1.4230769230769231</v>
      </c>
      <c r="AK34" s="228">
        <f t="shared" si="16"/>
        <v>1.5</v>
      </c>
    </row>
    <row r="35" spans="1:37">
      <c r="A35" s="101">
        <f t="shared" si="1"/>
        <v>33</v>
      </c>
      <c r="B35">
        <v>3</v>
      </c>
      <c r="C35">
        <f>VLOOKUP(A35,'Loyd List 1-190 - Edit'!$A$1:$B$192,2,FALSE)</f>
        <v>3</v>
      </c>
      <c r="D35">
        <f t="shared" si="0"/>
        <v>0</v>
      </c>
      <c r="E35" t="str">
        <f>VLOOKUP(A35,'Loyd List 1-190 - Edit'!$P$2:$Q$196,2,FALSE)</f>
        <v>Alfred (33): 1849–1881</v>
      </c>
      <c r="F35">
        <v>1</v>
      </c>
      <c r="K35" s="116">
        <v>3</v>
      </c>
      <c r="L35">
        <v>1832</v>
      </c>
      <c r="M35" s="116">
        <v>3</v>
      </c>
      <c r="AG35" s="214">
        <f t="shared" si="17"/>
        <v>5</v>
      </c>
      <c r="AH35" s="226" t="str">
        <f t="shared" si="14"/>
        <v>1912 - 1961</v>
      </c>
      <c r="AI35" s="212">
        <f t="shared" si="15"/>
        <v>2.8378378378378377</v>
      </c>
      <c r="AJ35" s="232">
        <f t="shared" si="13"/>
        <v>2.3529411764705883</v>
      </c>
      <c r="AK35" s="228">
        <f t="shared" si="16"/>
        <v>3.25</v>
      </c>
    </row>
    <row r="36" spans="1:37">
      <c r="A36" s="101">
        <f t="shared" si="1"/>
        <v>34</v>
      </c>
      <c r="B36">
        <v>3</v>
      </c>
      <c r="C36">
        <f>VLOOKUP(A36,'Loyd List 1-190 - Edit'!$A$1:$B$192,2,FALSE)</f>
        <v>3</v>
      </c>
      <c r="D36">
        <f t="shared" si="0"/>
        <v>0</v>
      </c>
      <c r="E36" t="str">
        <f>VLOOKUP(A36,'Loyd List 1-190 - Edit'!$P$2:$Q$196,2,FALSE)</f>
        <v>Ted (34): 1851–1922</v>
      </c>
      <c r="F36">
        <v>1</v>
      </c>
      <c r="K36" s="116">
        <v>4</v>
      </c>
      <c r="L36">
        <v>1875</v>
      </c>
      <c r="M36" s="116">
        <v>4</v>
      </c>
      <c r="AG36" s="214">
        <f t="shared" si="17"/>
        <v>6</v>
      </c>
      <c r="AH36" s="226" t="str">
        <f t="shared" si="14"/>
        <v>1947 - 1984</v>
      </c>
      <c r="AI36" s="212">
        <f t="shared" si="15"/>
        <v>1.3</v>
      </c>
      <c r="AJ36" s="232">
        <f t="shared" si="13"/>
        <v>1.1363636363636365</v>
      </c>
      <c r="AK36" s="228">
        <f t="shared" si="16"/>
        <v>1.5</v>
      </c>
    </row>
    <row r="37" spans="1:37">
      <c r="A37" s="101">
        <f t="shared" si="1"/>
        <v>35</v>
      </c>
      <c r="B37">
        <v>3</v>
      </c>
      <c r="C37">
        <f>VLOOKUP(A37,'Loyd List 1-190 - Edit'!$A$1:$B$192,2,FALSE)</f>
        <v>3</v>
      </c>
      <c r="D37">
        <f t="shared" si="0"/>
        <v>0</v>
      </c>
      <c r="E37" t="str">
        <f>VLOOKUP(A37,'Loyd List 1-190 - Edit'!$P$2:$Q$196,2,FALSE)</f>
        <v>Lewis (35): 1852–1908</v>
      </c>
      <c r="F37">
        <v>1</v>
      </c>
      <c r="K37" s="116">
        <v>5</v>
      </c>
      <c r="L37">
        <v>1912</v>
      </c>
      <c r="M37" s="116">
        <v>5</v>
      </c>
      <c r="AG37" s="214">
        <f t="shared" si="17"/>
        <v>7</v>
      </c>
      <c r="AH37" s="226" t="str">
        <f t="shared" si="14"/>
        <v>1982 - 2010</v>
      </c>
      <c r="AI37" s="212" t="s">
        <v>2792</v>
      </c>
      <c r="AJ37" s="233" t="s">
        <v>2792</v>
      </c>
      <c r="AK37" s="228" t="s">
        <v>2792</v>
      </c>
    </row>
    <row r="38" spans="1:37" ht="17" thickBot="1">
      <c r="A38" s="101">
        <f t="shared" si="1"/>
        <v>36</v>
      </c>
      <c r="B38">
        <v>3</v>
      </c>
      <c r="C38">
        <f>VLOOKUP(A38,'Loyd List 1-190 - Edit'!$A$1:$B$192,2,FALSE)</f>
        <v>3</v>
      </c>
      <c r="D38">
        <f t="shared" si="0"/>
        <v>0</v>
      </c>
      <c r="E38" t="str">
        <f>VLOOKUP(A38,'Loyd List 1-190 - Edit'!$P$2:$Q$196,2,FALSE)</f>
        <v>Elinor (36): 1853–1895</v>
      </c>
      <c r="F38">
        <v>1</v>
      </c>
      <c r="K38" s="116">
        <v>6</v>
      </c>
      <c r="L38">
        <v>1948</v>
      </c>
      <c r="M38" s="116">
        <v>6</v>
      </c>
      <c r="AG38" s="229">
        <f t="shared" si="17"/>
        <v>8</v>
      </c>
      <c r="AH38" s="222" t="str">
        <f t="shared" si="14"/>
        <v>2014 - 2021</v>
      </c>
      <c r="AI38" s="230" t="s">
        <v>2792</v>
      </c>
      <c r="AJ38" s="234" t="s">
        <v>2792</v>
      </c>
      <c r="AK38" s="231" t="s">
        <v>2792</v>
      </c>
    </row>
    <row r="39" spans="1:37">
      <c r="A39" s="101">
        <f t="shared" si="1"/>
        <v>37</v>
      </c>
      <c r="B39">
        <v>3</v>
      </c>
      <c r="C39">
        <f>VLOOKUP(A39,'Loyd List 1-190 - Edit'!$A$1:$B$192,2,FALSE)</f>
        <v>3</v>
      </c>
      <c r="D39">
        <f t="shared" si="0"/>
        <v>0</v>
      </c>
      <c r="E39" t="str">
        <f>VLOOKUP(A39,'Loyd List 1-190 - Edit'!$P$2:$Q$196,2,FALSE)</f>
        <v>Annie (37): 1853–1946</v>
      </c>
      <c r="F39">
        <v>1</v>
      </c>
      <c r="K39" s="116">
        <v>7</v>
      </c>
      <c r="L39">
        <v>1982</v>
      </c>
      <c r="M39" s="116">
        <v>7</v>
      </c>
    </row>
    <row r="40" spans="1:37">
      <c r="A40" s="101">
        <f t="shared" si="1"/>
        <v>38</v>
      </c>
      <c r="B40">
        <v>3</v>
      </c>
      <c r="C40">
        <f>VLOOKUP(A40,'Loyd List 1-190 - Edit'!$A$1:$B$192,2,FALSE)</f>
        <v>3</v>
      </c>
      <c r="D40">
        <f t="shared" si="0"/>
        <v>0</v>
      </c>
      <c r="E40" t="str">
        <f>VLOOKUP(A40,'Loyd List 1-190 - Edit'!$P$2:$Q$196,2,FALSE)</f>
        <v>Gertrude (38): 1854–1924</v>
      </c>
      <c r="F40">
        <v>2</v>
      </c>
      <c r="G40" t="s">
        <v>4091</v>
      </c>
      <c r="K40" s="116">
        <v>8</v>
      </c>
      <c r="L40">
        <v>2014</v>
      </c>
      <c r="M40" s="116">
        <v>8</v>
      </c>
    </row>
    <row r="41" spans="1:37">
      <c r="A41" s="101">
        <f t="shared" si="1"/>
        <v>39</v>
      </c>
      <c r="B41">
        <v>3</v>
      </c>
      <c r="C41">
        <f>VLOOKUP(A41,'Loyd List 1-190 - Edit'!$A$1:$B$192,2,FALSE)</f>
        <v>3</v>
      </c>
      <c r="D41">
        <f t="shared" si="0"/>
        <v>0</v>
      </c>
      <c r="E41" t="str">
        <f>VLOOKUP(A41,'Loyd List 1-190 - Edit'!$P$2:$Q$196,2,FALSE)</f>
        <v>Fa (39): 1855–1927</v>
      </c>
      <c r="F41">
        <v>1</v>
      </c>
      <c r="J41" t="s">
        <v>3955</v>
      </c>
      <c r="K41" s="116">
        <v>0</v>
      </c>
      <c r="L41">
        <v>1729</v>
      </c>
      <c r="M41" s="116">
        <v>0</v>
      </c>
    </row>
    <row r="42" spans="1:37">
      <c r="A42" s="101">
        <f t="shared" si="1"/>
        <v>40</v>
      </c>
      <c r="B42">
        <v>3</v>
      </c>
      <c r="C42">
        <f>VLOOKUP(A42,'Loyd List 1-190 - Edit'!$A$1:$B$192,2,FALSE)</f>
        <v>3</v>
      </c>
      <c r="D42">
        <f t="shared" si="0"/>
        <v>0</v>
      </c>
      <c r="E42" t="str">
        <f>VLOOKUP(A42,'Loyd List 1-190 - Edit'!$P$2:$Q$196,2,FALSE)</f>
        <v>Harriet (40): 1856–1921</v>
      </c>
      <c r="F42">
        <v>2</v>
      </c>
      <c r="G42" t="s">
        <v>4091</v>
      </c>
      <c r="J42" t="s">
        <v>3953</v>
      </c>
      <c r="K42" s="116">
        <v>-1</v>
      </c>
      <c r="L42">
        <v>1690</v>
      </c>
      <c r="M42" s="116">
        <v>-1</v>
      </c>
    </row>
    <row r="43" spans="1:37">
      <c r="A43" s="101">
        <f t="shared" si="1"/>
        <v>41</v>
      </c>
      <c r="B43">
        <v>3</v>
      </c>
      <c r="C43">
        <f>VLOOKUP(A43,'Loyd List 1-190 - Edit'!$A$1:$B$192,2,FALSE)</f>
        <v>3</v>
      </c>
      <c r="D43">
        <f t="shared" si="0"/>
        <v>0</v>
      </c>
      <c r="E43" t="str">
        <f>VLOOKUP(A43,'Loyd List 1-190 - Edit'!$P$2:$Q$196,2,FALSE)</f>
        <v>Frederic (41): 1856–1936</v>
      </c>
      <c r="F43">
        <v>1</v>
      </c>
      <c r="J43" t="s">
        <v>3954</v>
      </c>
      <c r="K43" s="116">
        <v>-2</v>
      </c>
      <c r="L43">
        <v>1653</v>
      </c>
      <c r="M43" s="116">
        <v>-2</v>
      </c>
    </row>
    <row r="44" spans="1:37">
      <c r="A44" s="101">
        <f t="shared" si="1"/>
        <v>42</v>
      </c>
      <c r="B44">
        <v>3</v>
      </c>
      <c r="C44">
        <f>VLOOKUP(A44,'Loyd List 1-190 - Edit'!$A$1:$B$192,2,FALSE)</f>
        <v>3</v>
      </c>
      <c r="D44">
        <f t="shared" si="0"/>
        <v>0</v>
      </c>
      <c r="E44" t="str">
        <f>VLOOKUP(A44,'Loyd List 1-190 - Edit'!$P$2:$Q$196,2,FALSE)</f>
        <v>Dulcie (42): 1858–1905</v>
      </c>
      <c r="F44">
        <v>2</v>
      </c>
      <c r="G44" t="s">
        <v>4091</v>
      </c>
      <c r="J44" t="s">
        <v>3956</v>
      </c>
      <c r="K44" s="116">
        <v>9</v>
      </c>
      <c r="L44">
        <v>1650</v>
      </c>
      <c r="M44" s="116">
        <v>-2.5</v>
      </c>
    </row>
    <row r="45" spans="1:37">
      <c r="A45" s="101">
        <f t="shared" si="1"/>
        <v>43</v>
      </c>
      <c r="B45">
        <v>3</v>
      </c>
      <c r="C45">
        <f>VLOOKUP(A45,'Loyd List 1-190 - Edit'!$A$1:$B$192,2,FALSE)</f>
        <v>3</v>
      </c>
      <c r="D45">
        <f t="shared" si="0"/>
        <v>0</v>
      </c>
      <c r="E45" t="str">
        <f>VLOOKUP(A45,'Loyd List 1-190 - Edit'!$P$2:$Q$196,2,FALSE)</f>
        <v>Meg (43): 1859–1936</v>
      </c>
      <c r="F45">
        <v>1</v>
      </c>
      <c r="J45" t="s">
        <v>3957</v>
      </c>
      <c r="K45" s="116">
        <v>9</v>
      </c>
      <c r="L45">
        <v>1660</v>
      </c>
      <c r="M45" s="116">
        <v>9.5</v>
      </c>
    </row>
    <row r="46" spans="1:37">
      <c r="A46" s="101">
        <f t="shared" si="1"/>
        <v>44</v>
      </c>
      <c r="B46">
        <v>3</v>
      </c>
      <c r="C46">
        <f>VLOOKUP(A46,'Loyd List 1-190 - Edit'!$A$1:$B$192,2,FALSE)</f>
        <v>3</v>
      </c>
      <c r="D46">
        <f t="shared" si="0"/>
        <v>0</v>
      </c>
      <c r="E46" t="str">
        <f>VLOOKUP(A46,'Loyd List 1-190 - Edit'!$P$2:$Q$196,2,FALSE)</f>
        <v>Harry (44): 1861–1938</v>
      </c>
      <c r="F46">
        <v>2</v>
      </c>
      <c r="G46" t="s">
        <v>4092</v>
      </c>
      <c r="J46" t="s">
        <v>3958</v>
      </c>
      <c r="K46" s="116">
        <v>9</v>
      </c>
      <c r="L46">
        <v>1685</v>
      </c>
      <c r="M46" s="116">
        <v>9.5</v>
      </c>
    </row>
    <row r="47" spans="1:37">
      <c r="A47" s="101">
        <f t="shared" si="1"/>
        <v>45</v>
      </c>
      <c r="B47">
        <v>3</v>
      </c>
      <c r="C47">
        <f>VLOOKUP(A47,'Loyd List 1-190 - Edit'!$A$1:$B$192,2,FALSE)</f>
        <v>3</v>
      </c>
      <c r="D47">
        <f t="shared" si="0"/>
        <v>0</v>
      </c>
      <c r="E47" t="str">
        <f>VLOOKUP(A47,'Loyd List 1-190 - Edit'!$P$2:$Q$196,2,FALSE)</f>
        <v>Llewellyn (45): 1861–1939</v>
      </c>
      <c r="F47">
        <v>1</v>
      </c>
      <c r="J47" t="s">
        <v>3959</v>
      </c>
      <c r="K47" s="116">
        <v>9</v>
      </c>
      <c r="L47">
        <v>1689</v>
      </c>
      <c r="M47" s="116">
        <v>-1.5</v>
      </c>
      <c r="AC47" t="s">
        <v>3003</v>
      </c>
    </row>
    <row r="48" spans="1:37">
      <c r="A48" s="101">
        <f t="shared" si="1"/>
        <v>46</v>
      </c>
      <c r="B48">
        <v>3</v>
      </c>
      <c r="C48">
        <f>VLOOKUP(A48,'Loyd List 1-190 - Edit'!$A$1:$B$192,2,FALSE)</f>
        <v>3</v>
      </c>
      <c r="D48">
        <f t="shared" si="0"/>
        <v>0</v>
      </c>
      <c r="E48" t="str">
        <f>VLOOKUP(A48,'Loyd List 1-190 - Edit'!$P$2:$Q$196,2,FALSE)</f>
        <v>William (46): 1863–1923</v>
      </c>
      <c r="F48">
        <v>2</v>
      </c>
      <c r="G48" t="s">
        <v>4093</v>
      </c>
      <c r="J48" t="s">
        <v>3961</v>
      </c>
      <c r="K48" s="116">
        <v>10</v>
      </c>
      <c r="L48">
        <v>1694</v>
      </c>
      <c r="M48" s="116">
        <f>K48</f>
        <v>10</v>
      </c>
    </row>
    <row r="49" spans="1:13">
      <c r="A49" s="101">
        <f t="shared" si="1"/>
        <v>47</v>
      </c>
      <c r="B49">
        <v>3</v>
      </c>
      <c r="C49">
        <f>VLOOKUP(A49,'Loyd List 1-190 - Edit'!$A$1:$B$192,2,FALSE)</f>
        <v>3</v>
      </c>
      <c r="D49">
        <f t="shared" si="0"/>
        <v>0</v>
      </c>
      <c r="E49" t="str">
        <f>VLOOKUP(A49,'Loyd List 1-190 - Edit'!$P$2:$Q$196,2,FALSE)</f>
        <v>Caroline (47): 1864–1940</v>
      </c>
      <c r="F49">
        <v>1</v>
      </c>
      <c r="I49" t="s">
        <v>3970</v>
      </c>
      <c r="J49" t="s">
        <v>3969</v>
      </c>
      <c r="K49" s="116">
        <v>9</v>
      </c>
      <c r="L49">
        <v>1804</v>
      </c>
      <c r="M49" s="116">
        <v>1.7</v>
      </c>
    </row>
    <row r="50" spans="1:13">
      <c r="A50" s="101">
        <f t="shared" si="1"/>
        <v>48</v>
      </c>
      <c r="B50">
        <v>3</v>
      </c>
      <c r="C50">
        <f>VLOOKUP(A50,'Loyd List 1-190 - Edit'!$A$1:$B$192,2,FALSE)</f>
        <v>3</v>
      </c>
      <c r="D50">
        <f t="shared" si="0"/>
        <v>0</v>
      </c>
      <c r="E50" t="str">
        <f>VLOOKUP(A50,'Loyd List 1-190 - Edit'!$P$2:$Q$196,2,FALSE)</f>
        <v>Caroline (48): 1865–1938</v>
      </c>
      <c r="F50">
        <v>2</v>
      </c>
      <c r="G50" t="s">
        <v>4091</v>
      </c>
      <c r="I50" t="s">
        <v>3976</v>
      </c>
      <c r="J50" t="s">
        <v>3977</v>
      </c>
      <c r="K50" s="116">
        <v>9</v>
      </c>
      <c r="L50">
        <v>2029</v>
      </c>
      <c r="M50" s="116">
        <v>8.6999999999999993</v>
      </c>
    </row>
    <row r="51" spans="1:13">
      <c r="A51" s="101">
        <f t="shared" si="1"/>
        <v>49</v>
      </c>
      <c r="B51">
        <v>3</v>
      </c>
      <c r="C51">
        <f>VLOOKUP(A51,'Loyd List 1-190 - Edit'!$A$1:$B$192,2,FALSE)</f>
        <v>3</v>
      </c>
      <c r="D51">
        <f t="shared" si="0"/>
        <v>0</v>
      </c>
      <c r="E51" t="str">
        <f>VLOOKUP(A51,'Loyd List 1-190 - Edit'!$P$2:$Q$196,2,FALSE)</f>
        <v>Mary (49): 1867–1867</v>
      </c>
      <c r="F51">
        <v>2</v>
      </c>
      <c r="J51" t="s">
        <v>3962</v>
      </c>
      <c r="K51" s="116">
        <v>9</v>
      </c>
      <c r="L51">
        <v>1727</v>
      </c>
      <c r="M51" s="116">
        <v>-0.5</v>
      </c>
    </row>
    <row r="52" spans="1:13">
      <c r="A52" s="101">
        <f t="shared" si="1"/>
        <v>50</v>
      </c>
      <c r="B52">
        <v>3</v>
      </c>
      <c r="C52">
        <f>VLOOKUP(A52,'Loyd List 1-190 - Edit'!$A$1:$B$192,2,FALSE)</f>
        <v>3</v>
      </c>
      <c r="D52">
        <f t="shared" si="0"/>
        <v>0</v>
      </c>
      <c r="E52" t="str">
        <f>VLOOKUP(A52,'Loyd List 1-190 - Edit'!$P$2:$Q$196,2,FALSE)</f>
        <v>Arthur (50): 1868–1911</v>
      </c>
      <c r="F52">
        <v>1</v>
      </c>
      <c r="J52" t="s">
        <v>3963</v>
      </c>
      <c r="K52" s="116">
        <v>9</v>
      </c>
      <c r="L52">
        <v>1760</v>
      </c>
      <c r="M52" s="116">
        <v>0.7</v>
      </c>
    </row>
    <row r="53" spans="1:13">
      <c r="A53" s="101">
        <f t="shared" si="1"/>
        <v>51</v>
      </c>
      <c r="B53">
        <v>4</v>
      </c>
      <c r="C53">
        <f>VLOOKUP(A53,'Loyd List 1-190 - Edit'!$A$1:$B$192,2,FALSE)</f>
        <v>4</v>
      </c>
      <c r="D53">
        <f t="shared" si="0"/>
        <v>0</v>
      </c>
      <c r="E53" t="str">
        <f>VLOOKUP(A53,'Loyd List 1-190 - Edit'!$P$2:$Q$196,2,FALSE)</f>
        <v>Lewis (51): 1875–1947</v>
      </c>
      <c r="F53">
        <v>4</v>
      </c>
      <c r="G53" t="s">
        <v>4094</v>
      </c>
      <c r="J53" t="s">
        <v>3964</v>
      </c>
      <c r="K53" s="116">
        <v>9.5</v>
      </c>
      <c r="L53">
        <v>1820</v>
      </c>
      <c r="M53" s="116">
        <f>K53</f>
        <v>9.5</v>
      </c>
    </row>
    <row r="54" spans="1:13">
      <c r="A54" s="101">
        <f t="shared" si="1"/>
        <v>52</v>
      </c>
      <c r="B54">
        <v>4</v>
      </c>
      <c r="C54">
        <f>VLOOKUP(A54,'Loyd List 1-190 - Edit'!$A$1:$B$192,2,FALSE)</f>
        <v>4</v>
      </c>
      <c r="D54">
        <f t="shared" si="0"/>
        <v>0</v>
      </c>
      <c r="E54" t="str">
        <f>VLOOKUP(A54,'Loyd List 1-190 - Edit'!$P$2:$Q$196,2,FALSE)</f>
        <v>Lewis (52): 1880–1918</v>
      </c>
      <c r="F54">
        <v>1</v>
      </c>
      <c r="J54" t="s">
        <v>3960</v>
      </c>
      <c r="K54" s="116">
        <v>9</v>
      </c>
      <c r="L54">
        <v>1830</v>
      </c>
      <c r="M54" s="116">
        <v>2.7</v>
      </c>
    </row>
    <row r="55" spans="1:13">
      <c r="A55" s="101">
        <f t="shared" si="1"/>
        <v>53</v>
      </c>
      <c r="B55">
        <v>4</v>
      </c>
      <c r="C55">
        <f>VLOOKUP(A55,'Loyd List 1-190 - Edit'!$A$1:$B$192,2,FALSE)</f>
        <v>4</v>
      </c>
      <c r="D55">
        <f t="shared" si="0"/>
        <v>0</v>
      </c>
      <c r="E55" t="str">
        <f>VLOOKUP(A55,'Loyd List 1-190 - Edit'!$P$2:$Q$196,2,FALSE)</f>
        <v>Edward (53): 1881–1962</v>
      </c>
      <c r="F55">
        <v>1</v>
      </c>
      <c r="I55" t="s">
        <v>3971</v>
      </c>
      <c r="J55" t="s">
        <v>3972</v>
      </c>
      <c r="K55" s="116">
        <v>9</v>
      </c>
      <c r="L55">
        <v>1876</v>
      </c>
      <c r="M55" s="116">
        <v>3.7</v>
      </c>
    </row>
    <row r="56" spans="1:13">
      <c r="A56" s="101">
        <f t="shared" si="1"/>
        <v>54</v>
      </c>
      <c r="B56">
        <v>4</v>
      </c>
      <c r="C56">
        <f>VLOOKUP(A56,'Loyd List 1-190 - Edit'!$A$1:$B$192,2,FALSE)</f>
        <v>4</v>
      </c>
      <c r="D56">
        <f t="shared" si="0"/>
        <v>0</v>
      </c>
      <c r="E56" t="str">
        <f>VLOOKUP(A56,'Loyd List 1-190 - Edit'!$P$2:$Q$196,2,FALSE)</f>
        <v>Alfred (54): 1882–1919</v>
      </c>
      <c r="F56">
        <v>1</v>
      </c>
      <c r="J56" t="s">
        <v>3965</v>
      </c>
      <c r="K56" s="116">
        <v>9.5</v>
      </c>
      <c r="L56">
        <v>1901</v>
      </c>
      <c r="M56" s="116">
        <f>K56</f>
        <v>9.5</v>
      </c>
    </row>
    <row r="57" spans="1:13">
      <c r="A57" s="101">
        <f t="shared" si="1"/>
        <v>55</v>
      </c>
      <c r="B57">
        <v>4</v>
      </c>
      <c r="C57">
        <f>VLOOKUP(A57,'Loyd List 1-190 - Edit'!$A$1:$B$192,2,FALSE)</f>
        <v>4</v>
      </c>
      <c r="D57">
        <f t="shared" si="0"/>
        <v>0</v>
      </c>
      <c r="E57" t="str">
        <f>VLOOKUP(A57,'Loyd List 1-190 - Edit'!$P$2:$Q$196,2,FALSE)</f>
        <v>Dick (55): 1882–1950</v>
      </c>
      <c r="F57">
        <v>2</v>
      </c>
      <c r="G57" t="s">
        <v>4091</v>
      </c>
      <c r="J57" t="s">
        <v>3966</v>
      </c>
      <c r="K57" s="116">
        <v>9</v>
      </c>
      <c r="L57">
        <v>1910</v>
      </c>
      <c r="M57" s="116">
        <v>4.7</v>
      </c>
    </row>
    <row r="58" spans="1:13">
      <c r="A58" s="101">
        <f t="shared" si="1"/>
        <v>56</v>
      </c>
      <c r="B58">
        <v>4</v>
      </c>
      <c r="C58">
        <f>VLOOKUP(A58,'Loyd List 1-190 - Edit'!$A$1:$B$192,2,FALSE)</f>
        <v>4</v>
      </c>
      <c r="D58">
        <f t="shared" si="0"/>
        <v>0</v>
      </c>
      <c r="E58" t="str">
        <f>VLOOKUP(A58,'Loyd List 1-190 - Edit'!$P$2:$Q$196,2,FALSE)</f>
        <v>Tommy (56): 1882–1944</v>
      </c>
      <c r="F58">
        <v>1</v>
      </c>
      <c r="I58" t="s">
        <v>3973</v>
      </c>
      <c r="J58" t="s">
        <v>3967</v>
      </c>
      <c r="K58" s="116">
        <v>9</v>
      </c>
      <c r="L58">
        <v>1989</v>
      </c>
      <c r="M58" s="116">
        <v>6.7</v>
      </c>
    </row>
    <row r="59" spans="1:13">
      <c r="A59" s="101">
        <f t="shared" si="1"/>
        <v>57</v>
      </c>
      <c r="B59">
        <v>4</v>
      </c>
      <c r="C59">
        <f>VLOOKUP(A59,'Loyd List 1-190 - Edit'!$A$1:$B$192,2,FALSE)</f>
        <v>4</v>
      </c>
      <c r="D59">
        <f t="shared" si="0"/>
        <v>0</v>
      </c>
      <c r="E59" t="str">
        <f>VLOOKUP(A59,'Loyd List 1-190 - Edit'!$P$2:$Q$196,2,FALSE)</f>
        <v>Robert (57): 1884–1917</v>
      </c>
      <c r="F59">
        <v>2</v>
      </c>
      <c r="G59" t="s">
        <v>4091</v>
      </c>
      <c r="I59" t="s">
        <v>3974</v>
      </c>
      <c r="J59" t="s">
        <v>3975</v>
      </c>
      <c r="K59" s="116">
        <v>9</v>
      </c>
      <c r="L59">
        <v>2022</v>
      </c>
      <c r="M59" s="116">
        <v>7.5</v>
      </c>
    </row>
    <row r="60" spans="1:13">
      <c r="A60" s="101">
        <f t="shared" si="1"/>
        <v>58</v>
      </c>
      <c r="B60">
        <v>4</v>
      </c>
      <c r="C60">
        <f>VLOOKUP(A60,'Loyd List 1-190 - Edit'!$A$1:$B$192,2,FALSE)</f>
        <v>4</v>
      </c>
      <c r="D60">
        <f t="shared" si="0"/>
        <v>0</v>
      </c>
      <c r="E60" t="str">
        <f>VLOOKUP(A60,'Loyd List 1-190 - Edit'!$P$2:$Q$196,2,FALSE)</f>
        <v>Rt Rev Philip (58): 1884–1952</v>
      </c>
      <c r="F60">
        <v>1</v>
      </c>
      <c r="J60" t="s">
        <v>3968</v>
      </c>
      <c r="K60" s="116">
        <v>9</v>
      </c>
      <c r="L60">
        <v>1952</v>
      </c>
      <c r="M60" s="116">
        <v>5.7</v>
      </c>
    </row>
    <row r="61" spans="1:13">
      <c r="A61" s="101">
        <f t="shared" si="1"/>
        <v>59</v>
      </c>
      <c r="B61">
        <v>4</v>
      </c>
      <c r="C61">
        <f>VLOOKUP(A61,'Loyd List 1-190 - Edit'!$A$1:$B$192,2,FALSE)</f>
        <v>4</v>
      </c>
      <c r="D61">
        <f t="shared" si="0"/>
        <v>0</v>
      </c>
      <c r="E61" t="str">
        <f>VLOOKUP(A61,'Loyd List 1-190 - Edit'!$P$2:$Q$196,2,FALSE)</f>
        <v>Evelyn (59): 1885–1962</v>
      </c>
      <c r="F61">
        <v>1</v>
      </c>
      <c r="J61" s="116">
        <v>7</v>
      </c>
      <c r="K61" s="116">
        <v>1</v>
      </c>
      <c r="L61">
        <v>1765</v>
      </c>
      <c r="M61" s="116">
        <f>K61</f>
        <v>1</v>
      </c>
    </row>
    <row r="62" spans="1:13">
      <c r="A62" s="101">
        <f t="shared" si="1"/>
        <v>60</v>
      </c>
      <c r="B62">
        <v>4</v>
      </c>
      <c r="C62">
        <f>VLOOKUP(A62,'Loyd List 1-190 - Edit'!$A$1:$B$192,2,FALSE)</f>
        <v>4</v>
      </c>
      <c r="D62">
        <f t="shared" si="0"/>
        <v>0</v>
      </c>
      <c r="E62" t="str">
        <f>VLOOKUP(A62,'Loyd List 1-190 - Edit'!$P$2:$Q$196,2,FALSE)</f>
        <v>Kitty (60): 1885–1989</v>
      </c>
      <c r="F62">
        <v>2</v>
      </c>
      <c r="J62" s="116">
        <v>7</v>
      </c>
      <c r="K62" s="116">
        <f>K61</f>
        <v>1</v>
      </c>
      <c r="L62">
        <f>L61+1</f>
        <v>1766</v>
      </c>
      <c r="M62" s="116">
        <f t="shared" ref="M62:M76" si="18">K62</f>
        <v>1</v>
      </c>
    </row>
    <row r="63" spans="1:13">
      <c r="A63" s="101">
        <f t="shared" si="1"/>
        <v>61</v>
      </c>
      <c r="B63">
        <v>4</v>
      </c>
      <c r="C63">
        <f>VLOOKUP(A63,'Loyd List 1-190 - Edit'!$A$1:$B$192,2,FALSE)</f>
        <v>4</v>
      </c>
      <c r="D63">
        <f t="shared" si="0"/>
        <v>0</v>
      </c>
      <c r="E63" t="str">
        <f>VLOOKUP(A63,'Loyd List 1-190 - Edit'!$P$2:$Q$196,2,FALSE)</f>
        <v>Reggie (61): 1886–1961</v>
      </c>
      <c r="F63">
        <v>1</v>
      </c>
      <c r="G63" t="s">
        <v>3836</v>
      </c>
      <c r="J63" s="116">
        <v>7</v>
      </c>
      <c r="K63" s="116">
        <f t="shared" ref="K63:K76" si="19">K62</f>
        <v>1</v>
      </c>
      <c r="L63">
        <f t="shared" ref="L63:L76" si="20">L62+1</f>
        <v>1767</v>
      </c>
      <c r="M63" s="116">
        <f t="shared" si="18"/>
        <v>1</v>
      </c>
    </row>
    <row r="64" spans="1:13">
      <c r="A64" s="101">
        <f t="shared" si="1"/>
        <v>62</v>
      </c>
      <c r="B64">
        <v>4</v>
      </c>
      <c r="C64">
        <f>VLOOKUP(A64,'Loyd List 1-190 - Edit'!$A$1:$B$192,2,FALSE)</f>
        <v>4</v>
      </c>
      <c r="D64">
        <f t="shared" si="0"/>
        <v>0</v>
      </c>
      <c r="E64" t="str">
        <f>VLOOKUP(A64,'Loyd List 1-190 - Edit'!$P$2:$Q$196,2,FALSE)</f>
        <v>Bobby (62): 1887–1977</v>
      </c>
      <c r="F64">
        <v>1</v>
      </c>
      <c r="G64" t="s">
        <v>3836</v>
      </c>
      <c r="J64" s="116">
        <v>7</v>
      </c>
      <c r="K64" s="116">
        <f t="shared" si="19"/>
        <v>1</v>
      </c>
      <c r="L64">
        <f t="shared" si="20"/>
        <v>1768</v>
      </c>
      <c r="M64" s="116">
        <f t="shared" si="18"/>
        <v>1</v>
      </c>
    </row>
    <row r="65" spans="1:13">
      <c r="A65" s="101">
        <f t="shared" si="1"/>
        <v>63</v>
      </c>
      <c r="B65">
        <v>4</v>
      </c>
      <c r="C65">
        <f>VLOOKUP(A65,'Loyd List 1-190 - Edit'!$A$1:$B$192,2,FALSE)</f>
        <v>4</v>
      </c>
      <c r="D65">
        <f t="shared" si="0"/>
        <v>0</v>
      </c>
      <c r="E65" t="str">
        <f>VLOOKUP(A65,'Loyd List 1-190 - Edit'!$P$2:$Q$196,2,FALSE)</f>
        <v>Mary (63): 1887–1968</v>
      </c>
      <c r="F65">
        <v>1</v>
      </c>
      <c r="J65" s="116">
        <v>7</v>
      </c>
      <c r="K65" s="116">
        <f t="shared" si="19"/>
        <v>1</v>
      </c>
      <c r="L65">
        <f t="shared" si="20"/>
        <v>1769</v>
      </c>
      <c r="M65" s="116">
        <f t="shared" si="18"/>
        <v>1</v>
      </c>
    </row>
    <row r="66" spans="1:13">
      <c r="A66" s="101">
        <f t="shared" si="1"/>
        <v>64</v>
      </c>
      <c r="B66">
        <v>4</v>
      </c>
      <c r="C66">
        <f>VLOOKUP(A66,'Loyd List 1-190 - Edit'!$A$1:$B$192,2,FALSE)</f>
        <v>4</v>
      </c>
      <c r="D66">
        <f t="shared" si="0"/>
        <v>0</v>
      </c>
      <c r="E66" t="str">
        <f>VLOOKUP(A66,'Loyd List 1-190 - Edit'!$P$2:$Q$196,2,FALSE)</f>
        <v>Gertrude (64): 1887–1917</v>
      </c>
      <c r="F66">
        <v>2</v>
      </c>
      <c r="J66" s="116">
        <v>7</v>
      </c>
      <c r="K66" s="116">
        <f t="shared" si="19"/>
        <v>1</v>
      </c>
      <c r="L66">
        <f t="shared" si="20"/>
        <v>1770</v>
      </c>
      <c r="M66" s="116">
        <f t="shared" si="18"/>
        <v>1</v>
      </c>
    </row>
    <row r="67" spans="1:13">
      <c r="A67" s="101">
        <f t="shared" si="1"/>
        <v>65</v>
      </c>
      <c r="B67">
        <v>4</v>
      </c>
      <c r="C67">
        <f>VLOOKUP(A67,'Loyd List 1-190 - Edit'!$A$1:$B$192,2,FALSE)</f>
        <v>4</v>
      </c>
      <c r="D67">
        <f t="shared" si="0"/>
        <v>0</v>
      </c>
      <c r="E67" t="str">
        <f>VLOOKUP(A67,'Loyd List 1-190 - Edit'!$P$2:$Q$196,2,FALSE)</f>
        <v>Nan (65): 1889–1967</v>
      </c>
      <c r="F67">
        <v>2</v>
      </c>
      <c r="J67" s="116">
        <v>7</v>
      </c>
      <c r="K67" s="116">
        <f t="shared" si="19"/>
        <v>1</v>
      </c>
      <c r="L67">
        <f t="shared" si="20"/>
        <v>1771</v>
      </c>
      <c r="M67" s="116">
        <f t="shared" si="18"/>
        <v>1</v>
      </c>
    </row>
    <row r="68" spans="1:13">
      <c r="A68" s="101">
        <f t="shared" si="1"/>
        <v>66</v>
      </c>
      <c r="B68">
        <v>4</v>
      </c>
      <c r="C68">
        <f>VLOOKUP(A68,'Loyd List 1-190 - Edit'!$A$1:$B$192,2,FALSE)</f>
        <v>4</v>
      </c>
      <c r="D68">
        <f t="shared" ref="D68:D131" si="21">B68-C68</f>
        <v>0</v>
      </c>
      <c r="E68" t="str">
        <f>VLOOKUP(A68,'Loyd List 1-190 - Edit'!$P$2:$Q$196,2,FALSE)</f>
        <v>William (66): 1889–1947</v>
      </c>
      <c r="F68">
        <v>1</v>
      </c>
      <c r="G68" t="s">
        <v>2971</v>
      </c>
      <c r="J68" s="116">
        <v>7</v>
      </c>
      <c r="K68" s="116">
        <f t="shared" si="19"/>
        <v>1</v>
      </c>
      <c r="L68">
        <f t="shared" si="20"/>
        <v>1772</v>
      </c>
      <c r="M68" s="116">
        <f t="shared" si="18"/>
        <v>1</v>
      </c>
    </row>
    <row r="69" spans="1:13">
      <c r="A69" s="101">
        <f t="shared" ref="A69:A132" si="22">A68+1</f>
        <v>67</v>
      </c>
      <c r="B69">
        <v>4</v>
      </c>
      <c r="C69">
        <f>VLOOKUP(A69,'Loyd List 1-190 - Edit'!$A$1:$B$192,2,FALSE)</f>
        <v>4</v>
      </c>
      <c r="D69">
        <f t="shared" si="21"/>
        <v>0</v>
      </c>
      <c r="E69" t="str">
        <f>VLOOKUP(A69,'Loyd List 1-190 - Edit'!$P$2:$Q$196,2,FALSE)</f>
        <v>Tony/Dodo (67): 1889–1956</v>
      </c>
      <c r="F69">
        <v>2</v>
      </c>
      <c r="G69" t="s">
        <v>862</v>
      </c>
      <c r="J69" s="116">
        <v>7</v>
      </c>
      <c r="K69" s="116">
        <f t="shared" si="19"/>
        <v>1</v>
      </c>
      <c r="L69">
        <f t="shared" si="20"/>
        <v>1773</v>
      </c>
      <c r="M69" s="116">
        <f t="shared" si="18"/>
        <v>1</v>
      </c>
    </row>
    <row r="70" spans="1:13">
      <c r="A70" s="101">
        <f t="shared" si="22"/>
        <v>68</v>
      </c>
      <c r="B70">
        <v>4</v>
      </c>
      <c r="C70">
        <f>VLOOKUP(A70,'Loyd List 1-190 - Edit'!$A$1:$B$192,2,FALSE)</f>
        <v>4</v>
      </c>
      <c r="D70">
        <f t="shared" si="21"/>
        <v>0</v>
      </c>
      <c r="E70" t="str">
        <f>VLOOKUP(A70,'Loyd List 1-190 - Edit'!$P$2:$Q$196,2,FALSE)</f>
        <v>Cecil (68): 1890–1963</v>
      </c>
      <c r="F70">
        <v>1</v>
      </c>
      <c r="J70" s="116">
        <v>7</v>
      </c>
      <c r="K70" s="116">
        <f t="shared" si="19"/>
        <v>1</v>
      </c>
      <c r="L70">
        <f t="shared" si="20"/>
        <v>1774</v>
      </c>
      <c r="M70" s="116">
        <f t="shared" si="18"/>
        <v>1</v>
      </c>
    </row>
    <row r="71" spans="1:13">
      <c r="A71" s="101">
        <f t="shared" si="22"/>
        <v>69</v>
      </c>
      <c r="B71">
        <v>4</v>
      </c>
      <c r="C71">
        <f>VLOOKUP(A71,'Loyd List 1-190 - Edit'!$A$1:$B$192,2,FALSE)</f>
        <v>4</v>
      </c>
      <c r="D71">
        <f t="shared" si="21"/>
        <v>0</v>
      </c>
      <c r="E71" t="str">
        <f>VLOOKUP(A71,'Loyd List 1-190 - Edit'!$P$2:$Q$196,2,FALSE)</f>
        <v>Geoffrey (69): 1890–1914</v>
      </c>
      <c r="F71">
        <v>1</v>
      </c>
      <c r="J71" s="116">
        <v>7</v>
      </c>
      <c r="K71" s="116">
        <f t="shared" si="19"/>
        <v>1</v>
      </c>
      <c r="L71">
        <f t="shared" si="20"/>
        <v>1775</v>
      </c>
      <c r="M71" s="116">
        <f t="shared" si="18"/>
        <v>1</v>
      </c>
    </row>
    <row r="72" spans="1:13">
      <c r="A72" s="101">
        <f t="shared" si="22"/>
        <v>70</v>
      </c>
      <c r="B72">
        <v>4</v>
      </c>
      <c r="C72">
        <f>VLOOKUP(A72,'Loyd List 1-190 - Edit'!$A$1:$B$192,2,FALSE)</f>
        <v>4</v>
      </c>
      <c r="D72">
        <f t="shared" si="21"/>
        <v>0</v>
      </c>
      <c r="E72" t="str">
        <f>VLOOKUP(A72,'Loyd List 1-190 - Edit'!$P$2:$Q$196,2,FALSE)</f>
        <v>Diana (70): 1890–1963</v>
      </c>
      <c r="F72">
        <v>2</v>
      </c>
      <c r="J72" s="116">
        <v>7</v>
      </c>
      <c r="K72" s="116">
        <f t="shared" si="19"/>
        <v>1</v>
      </c>
      <c r="L72">
        <f t="shared" si="20"/>
        <v>1776</v>
      </c>
      <c r="M72" s="116">
        <f t="shared" si="18"/>
        <v>1</v>
      </c>
    </row>
    <row r="73" spans="1:13">
      <c r="A73" s="101">
        <f t="shared" si="22"/>
        <v>71</v>
      </c>
      <c r="B73">
        <v>4</v>
      </c>
      <c r="C73">
        <f>VLOOKUP(A73,'Loyd List 1-190 - Edit'!$A$1:$B$192,2,FALSE)</f>
        <v>4</v>
      </c>
      <c r="D73">
        <f t="shared" si="21"/>
        <v>0</v>
      </c>
      <c r="E73" t="str">
        <f>VLOOKUP(A73,'Loyd List 1-190 - Edit'!$P$2:$Q$196,2,FALSE)</f>
        <v>Arthur (71): 1890–1974</v>
      </c>
      <c r="F73">
        <v>2</v>
      </c>
      <c r="H73" t="s">
        <v>4095</v>
      </c>
      <c r="J73" s="116">
        <v>7</v>
      </c>
      <c r="K73" s="116">
        <f t="shared" si="19"/>
        <v>1</v>
      </c>
      <c r="L73">
        <f t="shared" si="20"/>
        <v>1777</v>
      </c>
      <c r="M73" s="116">
        <f t="shared" si="18"/>
        <v>1</v>
      </c>
    </row>
    <row r="74" spans="1:13">
      <c r="A74" s="101">
        <f t="shared" si="22"/>
        <v>72</v>
      </c>
      <c r="B74">
        <v>4</v>
      </c>
      <c r="C74">
        <f>VLOOKUP(A74,'Loyd List 1-190 - Edit'!$A$1:$B$192,2,FALSE)</f>
        <v>4</v>
      </c>
      <c r="D74">
        <f t="shared" si="21"/>
        <v>0</v>
      </c>
      <c r="E74" t="str">
        <f>VLOOKUP(A74,'Loyd List 1-190 - Edit'!$P$2:$Q$196,2,FALSE)</f>
        <v>Charles (72): 1891–1973</v>
      </c>
      <c r="F74">
        <v>1</v>
      </c>
      <c r="J74" s="116">
        <v>7</v>
      </c>
      <c r="K74" s="116">
        <f t="shared" si="19"/>
        <v>1</v>
      </c>
      <c r="L74">
        <f t="shared" si="20"/>
        <v>1778</v>
      </c>
      <c r="M74" s="116">
        <f t="shared" si="18"/>
        <v>1</v>
      </c>
    </row>
    <row r="75" spans="1:13">
      <c r="A75" s="101">
        <f t="shared" si="22"/>
        <v>73</v>
      </c>
      <c r="B75">
        <v>4</v>
      </c>
      <c r="C75">
        <f>VLOOKUP(A75,'Loyd List 1-190 - Edit'!$A$1:$B$192,2,FALSE)</f>
        <v>4</v>
      </c>
      <c r="D75">
        <f t="shared" si="21"/>
        <v>0</v>
      </c>
      <c r="E75" t="str">
        <f>VLOOKUP(A75,'Loyd List 1-190 - Edit'!$P$2:$Q$196,2,FALSE)</f>
        <v>Eric (73): 1891–1967</v>
      </c>
      <c r="F75">
        <v>1</v>
      </c>
      <c r="J75" s="116">
        <v>7</v>
      </c>
      <c r="K75" s="116">
        <f t="shared" si="19"/>
        <v>1</v>
      </c>
      <c r="L75">
        <f t="shared" si="20"/>
        <v>1779</v>
      </c>
      <c r="M75" s="116">
        <f t="shared" si="18"/>
        <v>1</v>
      </c>
    </row>
    <row r="76" spans="1:13">
      <c r="A76" s="101">
        <f t="shared" si="22"/>
        <v>74</v>
      </c>
      <c r="B76">
        <v>4</v>
      </c>
      <c r="C76">
        <f>VLOOKUP(A76,'Loyd List 1-190 - Edit'!$A$1:$B$192,2,FALSE)</f>
        <v>4</v>
      </c>
      <c r="D76">
        <f t="shared" si="21"/>
        <v>0</v>
      </c>
      <c r="E76" t="str">
        <f>VLOOKUP(A76,'Loyd List 1-190 - Edit'!$P$2:$Q$196,2,FALSE)</f>
        <v>Cecily (74): 1891–1891</v>
      </c>
      <c r="F76">
        <v>2</v>
      </c>
      <c r="J76" s="116">
        <v>7</v>
      </c>
      <c r="K76" s="116">
        <f t="shared" si="19"/>
        <v>1</v>
      </c>
      <c r="L76">
        <f t="shared" si="20"/>
        <v>1780</v>
      </c>
      <c r="M76" s="116">
        <f t="shared" si="18"/>
        <v>1</v>
      </c>
    </row>
    <row r="77" spans="1:13">
      <c r="A77" s="101">
        <f t="shared" si="22"/>
        <v>75</v>
      </c>
      <c r="B77">
        <v>4</v>
      </c>
      <c r="C77">
        <f>VLOOKUP(A77,'Loyd List 1-190 - Edit'!$A$1:$B$192,2,FALSE)</f>
        <v>4</v>
      </c>
      <c r="D77">
        <f t="shared" si="21"/>
        <v>0</v>
      </c>
      <c r="E77" t="str">
        <f>VLOOKUP(A77,'Loyd List 1-190 - Edit'!$P$2:$Q$196,2,FALSE)</f>
        <v>Godfrey (75): 1893–1917</v>
      </c>
      <c r="F77">
        <v>2</v>
      </c>
      <c r="J77" s="116">
        <v>16</v>
      </c>
      <c r="K77" s="116">
        <v>2</v>
      </c>
      <c r="L77">
        <v>1796</v>
      </c>
      <c r="M77" s="116">
        <f t="shared" ref="M77:M105" si="23">K77</f>
        <v>2</v>
      </c>
    </row>
    <row r="78" spans="1:13">
      <c r="A78" s="101">
        <f t="shared" si="22"/>
        <v>76</v>
      </c>
      <c r="B78">
        <v>4</v>
      </c>
      <c r="C78">
        <f>VLOOKUP(A78,'Loyd List 1-190 - Edit'!$A$1:$B$192,2,FALSE)</f>
        <v>4</v>
      </c>
      <c r="D78">
        <f t="shared" si="21"/>
        <v>0</v>
      </c>
      <c r="E78" t="str">
        <f>VLOOKUP(A78,'Loyd List 1-190 - Edit'!$P$2:$Q$196,2,FALSE)</f>
        <v>Edward (76): 1893–1932</v>
      </c>
      <c r="F78">
        <v>2</v>
      </c>
      <c r="J78" s="116">
        <v>16</v>
      </c>
      <c r="K78" s="116">
        <f t="shared" ref="K78:K105" si="24">K77</f>
        <v>2</v>
      </c>
      <c r="L78">
        <f t="shared" ref="L78:L105" si="25">L77+1</f>
        <v>1797</v>
      </c>
      <c r="M78" s="116">
        <f t="shared" si="23"/>
        <v>2</v>
      </c>
    </row>
    <row r="79" spans="1:13">
      <c r="A79" s="101">
        <f t="shared" si="22"/>
        <v>77</v>
      </c>
      <c r="B79">
        <v>4</v>
      </c>
      <c r="C79">
        <f>VLOOKUP(A79,'Loyd List 1-190 - Edit'!$A$1:$B$192,2,FALSE)</f>
        <v>4</v>
      </c>
      <c r="D79">
        <f t="shared" si="21"/>
        <v>0</v>
      </c>
      <c r="E79" t="str">
        <f>VLOOKUP(A79,'Loyd List 1-190 - Edit'!$P$2:$Q$196,2,FALSE)</f>
        <v>Wilfrid (77): 1893–1971</v>
      </c>
      <c r="F79">
        <v>1</v>
      </c>
      <c r="J79" s="116">
        <v>16</v>
      </c>
      <c r="K79" s="116">
        <f t="shared" si="24"/>
        <v>2</v>
      </c>
      <c r="L79">
        <f t="shared" si="25"/>
        <v>1798</v>
      </c>
      <c r="M79" s="116">
        <f t="shared" si="23"/>
        <v>2</v>
      </c>
    </row>
    <row r="80" spans="1:13">
      <c r="A80" s="101">
        <f t="shared" si="22"/>
        <v>78</v>
      </c>
      <c r="B80">
        <v>4</v>
      </c>
      <c r="C80">
        <f>VLOOKUP(A80,'Loyd List 1-190 - Edit'!$A$1:$B$192,2,FALSE)</f>
        <v>4</v>
      </c>
      <c r="D80">
        <f t="shared" si="21"/>
        <v>0</v>
      </c>
      <c r="E80" t="str">
        <f>VLOOKUP(A80,'Loyd List 1-190 - Edit'!$P$2:$Q$196,2,FALSE)</f>
        <v>Vivian (78): 1894–1972</v>
      </c>
      <c r="F80">
        <v>1</v>
      </c>
      <c r="J80" s="116">
        <v>16</v>
      </c>
      <c r="K80" s="116">
        <f t="shared" si="24"/>
        <v>2</v>
      </c>
      <c r="L80">
        <f t="shared" si="25"/>
        <v>1799</v>
      </c>
      <c r="M80" s="116">
        <f t="shared" si="23"/>
        <v>2</v>
      </c>
    </row>
    <row r="81" spans="1:13">
      <c r="A81" s="101">
        <f t="shared" si="22"/>
        <v>79</v>
      </c>
      <c r="B81">
        <v>4</v>
      </c>
      <c r="C81">
        <f>VLOOKUP(A81,'Loyd List 1-190 - Edit'!$A$1:$B$192,2,FALSE)</f>
        <v>4</v>
      </c>
      <c r="D81">
        <f t="shared" si="21"/>
        <v>0</v>
      </c>
      <c r="E81" t="str">
        <f>VLOOKUP(A81,'Loyd List 1-190 - Edit'!$P$2:$Q$196,2,FALSE)</f>
        <v>Alwyne (79): 1894–1917</v>
      </c>
      <c r="F81">
        <v>1</v>
      </c>
      <c r="J81" s="116">
        <v>16</v>
      </c>
      <c r="K81" s="116">
        <f t="shared" si="24"/>
        <v>2</v>
      </c>
      <c r="L81">
        <f t="shared" si="25"/>
        <v>1800</v>
      </c>
      <c r="M81" s="116">
        <f t="shared" si="23"/>
        <v>2</v>
      </c>
    </row>
    <row r="82" spans="1:13">
      <c r="A82" s="101">
        <f t="shared" si="22"/>
        <v>80</v>
      </c>
      <c r="B82">
        <v>4</v>
      </c>
      <c r="C82">
        <f>VLOOKUP(A82,'Loyd List 1-190 - Edit'!$A$1:$B$192,2,FALSE)</f>
        <v>4</v>
      </c>
      <c r="D82">
        <f t="shared" si="21"/>
        <v>0</v>
      </c>
      <c r="E82" t="str">
        <f>VLOOKUP(A82,'Loyd List 1-190 - Edit'!$P$2:$Q$196,2,FALSE)</f>
        <v>Eric (80): 1894–1963</v>
      </c>
      <c r="F82">
        <v>1</v>
      </c>
      <c r="J82" s="116">
        <v>16</v>
      </c>
      <c r="K82" s="116">
        <f t="shared" si="24"/>
        <v>2</v>
      </c>
      <c r="L82">
        <f t="shared" si="25"/>
        <v>1801</v>
      </c>
      <c r="M82" s="116">
        <f t="shared" si="23"/>
        <v>2</v>
      </c>
    </row>
    <row r="83" spans="1:13">
      <c r="A83" s="101">
        <f t="shared" si="22"/>
        <v>81</v>
      </c>
      <c r="B83">
        <v>4</v>
      </c>
      <c r="C83">
        <f>VLOOKUP(A83,'Loyd List 1-190 - Edit'!$A$1:$B$192,2,FALSE)</f>
        <v>4</v>
      </c>
      <c r="D83">
        <f t="shared" si="21"/>
        <v>0</v>
      </c>
      <c r="E83" t="str">
        <f>VLOOKUP(A83,'Loyd List 1-190 - Edit'!$P$2:$Q$196,2,FALSE)</f>
        <v>Reginald (81): 1885–1917</v>
      </c>
      <c r="F83">
        <v>1</v>
      </c>
      <c r="G83" t="s">
        <v>3929</v>
      </c>
      <c r="J83" s="116">
        <v>16</v>
      </c>
      <c r="K83" s="116">
        <f t="shared" si="24"/>
        <v>2</v>
      </c>
      <c r="L83">
        <f t="shared" si="25"/>
        <v>1802</v>
      </c>
      <c r="M83" s="116">
        <f t="shared" si="23"/>
        <v>2</v>
      </c>
    </row>
    <row r="84" spans="1:13">
      <c r="A84" s="101">
        <f t="shared" si="22"/>
        <v>82</v>
      </c>
      <c r="B84">
        <v>4</v>
      </c>
      <c r="C84">
        <f>VLOOKUP(A84,'Loyd List 1-190 - Edit'!$A$1:$B$192,2,FALSE)</f>
        <v>4</v>
      </c>
      <c r="D84">
        <f t="shared" si="21"/>
        <v>0</v>
      </c>
      <c r="E84" t="str">
        <f>VLOOKUP(A84,'Loyd List 1-190 - Edit'!$P$2:$Q$196,2,FALSE)</f>
        <v>Wilfred (82): 1896–1955</v>
      </c>
      <c r="F84">
        <v>2</v>
      </c>
      <c r="G84" t="s">
        <v>3930</v>
      </c>
      <c r="J84" s="116">
        <v>16</v>
      </c>
      <c r="K84" s="116">
        <f t="shared" si="24"/>
        <v>2</v>
      </c>
      <c r="L84">
        <f t="shared" si="25"/>
        <v>1803</v>
      </c>
      <c r="M84" s="116">
        <f t="shared" si="23"/>
        <v>2</v>
      </c>
    </row>
    <row r="85" spans="1:13">
      <c r="A85" s="101">
        <f t="shared" si="22"/>
        <v>83</v>
      </c>
      <c r="B85">
        <v>4</v>
      </c>
      <c r="C85">
        <f>VLOOKUP(A85,'Loyd List 1-190 - Edit'!$A$1:$B$192,2,FALSE)</f>
        <v>4</v>
      </c>
      <c r="D85">
        <f t="shared" si="21"/>
        <v>0</v>
      </c>
      <c r="E85" t="str">
        <f>VLOOKUP(A85,'Loyd List 1-190 - Edit'!$P$2:$Q$196,2,FALSE)</f>
        <v>Ruby (83): 1898–1977</v>
      </c>
      <c r="F85">
        <v>1</v>
      </c>
      <c r="J85" s="116">
        <v>16</v>
      </c>
      <c r="K85" s="116">
        <f t="shared" si="24"/>
        <v>2</v>
      </c>
      <c r="L85">
        <f t="shared" si="25"/>
        <v>1804</v>
      </c>
      <c r="M85" s="116">
        <f t="shared" si="23"/>
        <v>2</v>
      </c>
    </row>
    <row r="86" spans="1:13">
      <c r="A86" s="101">
        <f t="shared" si="22"/>
        <v>84</v>
      </c>
      <c r="B86">
        <v>4</v>
      </c>
      <c r="C86">
        <f>VLOOKUP(A86,'Loyd List 1-190 - Edit'!$A$1:$B$192,2,FALSE)</f>
        <v>4</v>
      </c>
      <c r="D86">
        <f t="shared" si="21"/>
        <v>0</v>
      </c>
      <c r="E86" t="str">
        <f>VLOOKUP(A86,'Loyd List 1-190 - Edit'!$P$2:$Q$196,2,FALSE)</f>
        <v>Eddie (84): 1902–1942</v>
      </c>
      <c r="F86">
        <v>2</v>
      </c>
      <c r="J86" s="116">
        <v>16</v>
      </c>
      <c r="K86" s="116">
        <f t="shared" si="24"/>
        <v>2</v>
      </c>
      <c r="L86">
        <f t="shared" si="25"/>
        <v>1805</v>
      </c>
      <c r="M86" s="116">
        <f t="shared" si="23"/>
        <v>2</v>
      </c>
    </row>
    <row r="87" spans="1:13">
      <c r="A87" s="101">
        <f t="shared" si="22"/>
        <v>85</v>
      </c>
      <c r="B87">
        <v>5</v>
      </c>
      <c r="C87">
        <f>VLOOKUP(A87,'Loyd List 1-190 - Edit'!$A$1:$B$192,2,FALSE)</f>
        <v>5</v>
      </c>
      <c r="D87">
        <f t="shared" si="21"/>
        <v>0</v>
      </c>
      <c r="E87" t="str">
        <f>VLOOKUP(A87,'Loyd List 1-190 - Edit'!$P$2:$Q$196,2,FALSE)</f>
        <v>Anne (85): 1912–2004</v>
      </c>
      <c r="F87">
        <v>1</v>
      </c>
      <c r="J87" s="116">
        <v>16</v>
      </c>
      <c r="K87" s="116">
        <f t="shared" si="24"/>
        <v>2</v>
      </c>
      <c r="L87">
        <f t="shared" si="25"/>
        <v>1806</v>
      </c>
      <c r="M87" s="116">
        <f t="shared" si="23"/>
        <v>2</v>
      </c>
    </row>
    <row r="88" spans="1:13">
      <c r="A88" s="101">
        <f t="shared" si="22"/>
        <v>86</v>
      </c>
      <c r="B88">
        <v>5</v>
      </c>
      <c r="C88">
        <f>VLOOKUP(A88,'Loyd List 1-190 - Edit'!$A$1:$B$192,2,FALSE)</f>
        <v>5</v>
      </c>
      <c r="D88">
        <f t="shared" si="21"/>
        <v>0</v>
      </c>
      <c r="E88" t="str">
        <f>VLOOKUP(A88,'Loyd List 1-190 - Edit'!$P$2:$Q$196,2,FALSE)</f>
        <v>Peter (86): 1913–2008</v>
      </c>
      <c r="F88">
        <v>1</v>
      </c>
      <c r="J88" s="116">
        <v>16</v>
      </c>
      <c r="K88" s="116">
        <f t="shared" si="24"/>
        <v>2</v>
      </c>
      <c r="L88">
        <f t="shared" si="25"/>
        <v>1807</v>
      </c>
      <c r="M88" s="116">
        <f t="shared" si="23"/>
        <v>2</v>
      </c>
    </row>
    <row r="89" spans="1:13">
      <c r="A89" s="101">
        <f t="shared" si="22"/>
        <v>87</v>
      </c>
      <c r="B89">
        <v>5</v>
      </c>
      <c r="C89">
        <f>VLOOKUP(A89,'Loyd List 1-190 - Edit'!$A$1:$B$192,2,FALSE)</f>
        <v>5</v>
      </c>
      <c r="D89">
        <f t="shared" si="21"/>
        <v>0</v>
      </c>
      <c r="E89" t="str">
        <f>VLOOKUP(A89,'Loyd List 1-190 - Edit'!$P$2:$Q$196,2,FALSE)</f>
        <v>John (87): 1913–1943</v>
      </c>
      <c r="F89">
        <v>2</v>
      </c>
      <c r="G89" t="s">
        <v>4096</v>
      </c>
      <c r="J89" s="116">
        <v>16</v>
      </c>
      <c r="K89" s="116">
        <f t="shared" si="24"/>
        <v>2</v>
      </c>
      <c r="L89">
        <f t="shared" si="25"/>
        <v>1808</v>
      </c>
      <c r="M89" s="116">
        <f t="shared" si="23"/>
        <v>2</v>
      </c>
    </row>
    <row r="90" spans="1:13">
      <c r="A90" s="101">
        <f t="shared" si="22"/>
        <v>88</v>
      </c>
      <c r="B90">
        <v>5</v>
      </c>
      <c r="C90">
        <f>VLOOKUP(A90,'Loyd List 1-190 - Edit'!$A$1:$B$192,2,FALSE)</f>
        <v>5</v>
      </c>
      <c r="D90">
        <f t="shared" si="21"/>
        <v>0</v>
      </c>
      <c r="E90" t="str">
        <f>VLOOKUP(A90,'Loyd List 1-190 - Edit'!$P$2:$Q$196,2,FALSE)</f>
        <v>Delia (88): 1915–2007</v>
      </c>
      <c r="F90">
        <v>2</v>
      </c>
      <c r="J90" s="116">
        <v>16</v>
      </c>
      <c r="K90" s="116">
        <f t="shared" si="24"/>
        <v>2</v>
      </c>
      <c r="L90">
        <f t="shared" si="25"/>
        <v>1809</v>
      </c>
      <c r="M90" s="116">
        <f t="shared" si="23"/>
        <v>2</v>
      </c>
    </row>
    <row r="91" spans="1:13">
      <c r="A91" s="101">
        <f t="shared" si="22"/>
        <v>89</v>
      </c>
      <c r="B91">
        <v>5</v>
      </c>
      <c r="C91">
        <f>VLOOKUP(A91,'Loyd List 1-190 - Edit'!$A$1:$B$192,2,FALSE)</f>
        <v>5</v>
      </c>
      <c r="D91">
        <f t="shared" si="21"/>
        <v>0</v>
      </c>
      <c r="E91" t="str">
        <f>VLOOKUP(A91,'Loyd List 1-190 - Edit'!$P$2:$Q$196,2,FALSE)</f>
        <v>Sir Francis/Frank (89): 1916–2006</v>
      </c>
      <c r="F91">
        <v>1</v>
      </c>
      <c r="H91" t="s">
        <v>3841</v>
      </c>
      <c r="J91" s="116">
        <v>16</v>
      </c>
      <c r="K91" s="116">
        <f t="shared" si="24"/>
        <v>2</v>
      </c>
      <c r="L91">
        <f t="shared" si="25"/>
        <v>1810</v>
      </c>
      <c r="M91" s="116">
        <f t="shared" si="23"/>
        <v>2</v>
      </c>
    </row>
    <row r="92" spans="1:13">
      <c r="A92" s="101">
        <f t="shared" si="22"/>
        <v>90</v>
      </c>
      <c r="B92">
        <v>5</v>
      </c>
      <c r="C92">
        <f>VLOOKUP(A92,'Loyd List 1-190 - Edit'!$A$1:$B$192,2,FALSE)</f>
        <v>5</v>
      </c>
      <c r="D92">
        <f t="shared" si="21"/>
        <v>0</v>
      </c>
      <c r="E92" t="str">
        <f>VLOOKUP(A92,'Loyd List 1-190 - Edit'!$P$2:$Q$196,2,FALSE)</f>
        <v>Averil (90): 1917–1993</v>
      </c>
      <c r="F92">
        <v>2</v>
      </c>
      <c r="J92" s="116">
        <v>16</v>
      </c>
      <c r="K92" s="116">
        <f t="shared" si="24"/>
        <v>2</v>
      </c>
      <c r="L92">
        <f t="shared" si="25"/>
        <v>1811</v>
      </c>
      <c r="M92" s="116">
        <f t="shared" si="23"/>
        <v>2</v>
      </c>
    </row>
    <row r="93" spans="1:13">
      <c r="A93" s="101">
        <f t="shared" si="22"/>
        <v>91</v>
      </c>
      <c r="B93">
        <v>5</v>
      </c>
      <c r="C93">
        <f>VLOOKUP(A93,'Loyd List 1-190 - Edit'!$A$1:$B$192,2,FALSE)</f>
        <v>5</v>
      </c>
      <c r="D93">
        <f t="shared" si="21"/>
        <v>0</v>
      </c>
      <c r="E93" t="str">
        <f>VLOOKUP(A93,'Loyd List 1-190 - Edit'!$P$2:$Q$196,2,FALSE)</f>
        <v>Martin (91): 1917–1926</v>
      </c>
      <c r="F93">
        <v>2</v>
      </c>
      <c r="J93" s="116">
        <v>16</v>
      </c>
      <c r="K93" s="116">
        <f t="shared" si="24"/>
        <v>2</v>
      </c>
      <c r="L93">
        <f t="shared" si="25"/>
        <v>1812</v>
      </c>
      <c r="M93" s="116">
        <f t="shared" si="23"/>
        <v>2</v>
      </c>
    </row>
    <row r="94" spans="1:13">
      <c r="A94" s="101">
        <f t="shared" si="22"/>
        <v>92</v>
      </c>
      <c r="B94">
        <v>5</v>
      </c>
      <c r="C94">
        <f>VLOOKUP(A94,'Loyd List 1-190 - Edit'!$A$1:$B$192,2,FALSE)</f>
        <v>5</v>
      </c>
      <c r="D94">
        <f t="shared" si="21"/>
        <v>0</v>
      </c>
      <c r="E94" t="str">
        <f>VLOOKUP(A94,'Loyd List 1-190 - Edit'!$P$2:$Q$196,2,FALSE)</f>
        <v>Daphne (92): 1917–1992</v>
      </c>
      <c r="F94">
        <v>1</v>
      </c>
      <c r="G94" t="s">
        <v>4097</v>
      </c>
      <c r="J94" s="116">
        <v>16</v>
      </c>
      <c r="K94" s="116">
        <f t="shared" si="24"/>
        <v>2</v>
      </c>
      <c r="L94">
        <f t="shared" si="25"/>
        <v>1813</v>
      </c>
      <c r="M94" s="116">
        <f t="shared" si="23"/>
        <v>2</v>
      </c>
    </row>
    <row r="95" spans="1:13">
      <c r="A95" s="101">
        <f t="shared" si="22"/>
        <v>93</v>
      </c>
      <c r="B95">
        <v>5</v>
      </c>
      <c r="C95">
        <f>VLOOKUP(A95,'Loyd List 1-190 - Edit'!$A$1:$B$192,2,FALSE)</f>
        <v>5</v>
      </c>
      <c r="D95">
        <f t="shared" si="21"/>
        <v>0</v>
      </c>
      <c r="E95" t="str">
        <f>VLOOKUP(A95,'Loyd List 1-190 - Edit'!$P$2:$Q$196,2,FALSE)</f>
        <v>Jill (93): 1920–2002</v>
      </c>
      <c r="F95">
        <v>1</v>
      </c>
      <c r="J95" s="116">
        <v>16</v>
      </c>
      <c r="K95" s="116">
        <f t="shared" si="24"/>
        <v>2</v>
      </c>
      <c r="L95">
        <f t="shared" si="25"/>
        <v>1814</v>
      </c>
      <c r="M95" s="116">
        <f t="shared" si="23"/>
        <v>2</v>
      </c>
    </row>
    <row r="96" spans="1:13">
      <c r="A96" s="101">
        <f t="shared" si="22"/>
        <v>94</v>
      </c>
      <c r="B96">
        <v>5</v>
      </c>
      <c r="C96">
        <f>VLOOKUP(A96,'Loyd List 1-190 - Edit'!$A$1:$B$192,2,FALSE)</f>
        <v>5</v>
      </c>
      <c r="D96">
        <f t="shared" si="21"/>
        <v>0</v>
      </c>
      <c r="E96" t="str">
        <f>VLOOKUP(A96,'Loyd List 1-190 - Edit'!$P$2:$Q$196,2,FALSE)</f>
        <v>Alwyne (94): 1920–2014</v>
      </c>
      <c r="F96">
        <v>1</v>
      </c>
      <c r="J96" s="116">
        <v>16</v>
      </c>
      <c r="K96" s="116">
        <f t="shared" si="24"/>
        <v>2</v>
      </c>
      <c r="L96">
        <f t="shared" si="25"/>
        <v>1815</v>
      </c>
      <c r="M96" s="116">
        <f t="shared" si="23"/>
        <v>2</v>
      </c>
    </row>
    <row r="97" spans="1:13">
      <c r="A97" s="101">
        <f t="shared" si="22"/>
        <v>95</v>
      </c>
      <c r="B97">
        <v>5</v>
      </c>
      <c r="C97">
        <f>VLOOKUP(A97,'Loyd List 1-190 - Edit'!$A$1:$B$192,2,FALSE)</f>
        <v>5</v>
      </c>
      <c r="D97">
        <f t="shared" si="21"/>
        <v>0</v>
      </c>
      <c r="E97" t="str">
        <f>VLOOKUP(A97,'Loyd List 1-190 - Edit'!$P$2:$Q$196,2,FALSE)</f>
        <v>Hester (95): 1920–2002</v>
      </c>
      <c r="F97">
        <v>1</v>
      </c>
      <c r="J97" s="116">
        <v>16</v>
      </c>
      <c r="K97" s="116">
        <f t="shared" si="24"/>
        <v>2</v>
      </c>
      <c r="L97">
        <f t="shared" si="25"/>
        <v>1816</v>
      </c>
      <c r="M97" s="116">
        <f t="shared" si="23"/>
        <v>2</v>
      </c>
    </row>
    <row r="98" spans="1:13">
      <c r="A98" s="101">
        <f t="shared" si="22"/>
        <v>96</v>
      </c>
      <c r="B98">
        <v>5</v>
      </c>
      <c r="C98">
        <f>VLOOKUP(A98,'Loyd List 1-190 - Edit'!$A$1:$B$192,2,FALSE)</f>
        <v>5</v>
      </c>
      <c r="D98">
        <f t="shared" si="21"/>
        <v>0</v>
      </c>
      <c r="E98" t="str">
        <f>VLOOKUP(A98,'Loyd List 1-190 - Edit'!$P$2:$Q$196,2,FALSE)</f>
        <v>Edward (96): 1921–1977</v>
      </c>
      <c r="F98">
        <v>1</v>
      </c>
      <c r="J98" s="116">
        <v>16</v>
      </c>
      <c r="K98" s="116">
        <f t="shared" si="24"/>
        <v>2</v>
      </c>
      <c r="L98">
        <f t="shared" si="25"/>
        <v>1817</v>
      </c>
      <c r="M98" s="116">
        <f t="shared" si="23"/>
        <v>2</v>
      </c>
    </row>
    <row r="99" spans="1:13">
      <c r="A99" s="101">
        <f t="shared" si="22"/>
        <v>97</v>
      </c>
      <c r="B99">
        <v>5</v>
      </c>
      <c r="C99">
        <f>VLOOKUP(A99,'Loyd List 1-190 - Edit'!$A$1:$B$192,2,FALSE)</f>
        <v>5</v>
      </c>
      <c r="D99">
        <f t="shared" si="21"/>
        <v>0</v>
      </c>
      <c r="E99" t="str">
        <f>VLOOKUP(A99,'Loyd List 1-190 - Edit'!$P$2:$Q$196,2,FALSE)</f>
        <v>Audrey (97): 1922–2005</v>
      </c>
      <c r="F99">
        <v>1</v>
      </c>
      <c r="J99" s="116">
        <v>16</v>
      </c>
      <c r="K99" s="116">
        <f t="shared" si="24"/>
        <v>2</v>
      </c>
      <c r="L99">
        <f t="shared" si="25"/>
        <v>1818</v>
      </c>
      <c r="M99" s="116">
        <f t="shared" si="23"/>
        <v>2</v>
      </c>
    </row>
    <row r="100" spans="1:13">
      <c r="A100" s="101">
        <f t="shared" si="22"/>
        <v>98</v>
      </c>
      <c r="B100">
        <v>5</v>
      </c>
      <c r="C100">
        <f>VLOOKUP(A100,'Loyd List 1-190 - Edit'!$A$1:$B$192,2,FALSE)</f>
        <v>5</v>
      </c>
      <c r="D100">
        <f t="shared" si="21"/>
        <v>0</v>
      </c>
      <c r="E100" t="str">
        <f>VLOOKUP(A100,'Loyd List 1-190 - Edit'!$P$2:$Q$196,2,FALSE)</f>
        <v>Peter (98): 1922–2022</v>
      </c>
      <c r="F100">
        <v>1</v>
      </c>
      <c r="J100" s="116">
        <v>16</v>
      </c>
      <c r="K100" s="116">
        <f t="shared" si="24"/>
        <v>2</v>
      </c>
      <c r="L100">
        <f t="shared" si="25"/>
        <v>1819</v>
      </c>
      <c r="M100" s="116">
        <f t="shared" si="23"/>
        <v>2</v>
      </c>
    </row>
    <row r="101" spans="1:13">
      <c r="A101" s="101">
        <f t="shared" si="22"/>
        <v>99</v>
      </c>
      <c r="B101">
        <v>5</v>
      </c>
      <c r="C101">
        <f>VLOOKUP(A101,'Loyd List 1-190 - Edit'!$A$1:$B$192,2,FALSE)</f>
        <v>5</v>
      </c>
      <c r="D101">
        <f t="shared" si="21"/>
        <v>0</v>
      </c>
      <c r="E101" t="str">
        <f>VLOOKUP(A101,'Loyd List 1-190 - Edit'!$P$2:$Q$196,2,FALSE)</f>
        <v>Peter (99): 1923–1974</v>
      </c>
      <c r="F101">
        <v>1</v>
      </c>
      <c r="J101" s="116">
        <v>16</v>
      </c>
      <c r="K101" s="116">
        <f t="shared" si="24"/>
        <v>2</v>
      </c>
      <c r="L101">
        <f t="shared" si="25"/>
        <v>1820</v>
      </c>
      <c r="M101" s="116">
        <f t="shared" si="23"/>
        <v>2</v>
      </c>
    </row>
    <row r="102" spans="1:13">
      <c r="A102" s="101">
        <f t="shared" si="22"/>
        <v>100</v>
      </c>
      <c r="B102">
        <v>5</v>
      </c>
      <c r="C102">
        <f>VLOOKUP(A102,'Loyd List 1-190 - Edit'!$A$1:$B$192,2,FALSE)</f>
        <v>5</v>
      </c>
      <c r="D102">
        <f t="shared" si="21"/>
        <v>0</v>
      </c>
      <c r="E102" t="str">
        <f>VLOOKUP(A102,'Loyd List 1-190 - Edit'!$P$2:$Q$196,2,FALSE)</f>
        <v>Christopher (100): 1923–2013</v>
      </c>
      <c r="F102">
        <v>1</v>
      </c>
      <c r="J102" s="116">
        <v>16</v>
      </c>
      <c r="K102" s="116">
        <f t="shared" si="24"/>
        <v>2</v>
      </c>
      <c r="L102">
        <f t="shared" si="25"/>
        <v>1821</v>
      </c>
      <c r="M102" s="116">
        <f t="shared" si="23"/>
        <v>2</v>
      </c>
    </row>
    <row r="103" spans="1:13">
      <c r="A103" s="101">
        <f t="shared" si="22"/>
        <v>101</v>
      </c>
      <c r="B103">
        <v>5</v>
      </c>
      <c r="C103">
        <f>VLOOKUP(A103,'Loyd List 1-190 - Edit'!$A$1:$B$192,2,FALSE)</f>
        <v>5</v>
      </c>
      <c r="D103">
        <f t="shared" si="21"/>
        <v>0</v>
      </c>
      <c r="E103" t="str">
        <f>VLOOKUP(A103,'Loyd List 1-190 - Edit'!$P$2:$Q$196,2,FALSE)</f>
        <v>Catherine (101): 1923–2014</v>
      </c>
      <c r="F103">
        <v>1</v>
      </c>
      <c r="J103" s="116">
        <v>16</v>
      </c>
      <c r="K103" s="116">
        <f t="shared" si="24"/>
        <v>2</v>
      </c>
      <c r="L103">
        <f t="shared" si="25"/>
        <v>1822</v>
      </c>
      <c r="M103" s="116">
        <f t="shared" si="23"/>
        <v>2</v>
      </c>
    </row>
    <row r="104" spans="1:13">
      <c r="A104" s="101">
        <f t="shared" si="22"/>
        <v>102</v>
      </c>
      <c r="B104">
        <v>5</v>
      </c>
      <c r="C104">
        <f>VLOOKUP(A104,'Loyd List 1-190 - Edit'!$A$1:$B$192,2,FALSE)</f>
        <v>5</v>
      </c>
      <c r="D104">
        <f t="shared" si="21"/>
        <v>0</v>
      </c>
      <c r="E104" t="str">
        <f>VLOOKUP(A104,'Loyd List 1-190 - Edit'!$P$2:$Q$196,2,FALSE)</f>
        <v>Zelda (102): 1923–2014</v>
      </c>
      <c r="F104">
        <v>1</v>
      </c>
      <c r="J104" s="116">
        <v>16</v>
      </c>
      <c r="K104" s="116">
        <f t="shared" si="24"/>
        <v>2</v>
      </c>
      <c r="L104">
        <f t="shared" si="25"/>
        <v>1823</v>
      </c>
      <c r="M104" s="116">
        <f t="shared" si="23"/>
        <v>2</v>
      </c>
    </row>
    <row r="105" spans="1:13">
      <c r="A105" s="101">
        <f t="shared" si="22"/>
        <v>103</v>
      </c>
      <c r="B105">
        <v>5</v>
      </c>
      <c r="C105">
        <f>VLOOKUP(A105,'Loyd List 1-190 - Edit'!$A$1:$B$192,2,FALSE)</f>
        <v>5</v>
      </c>
      <c r="D105">
        <f t="shared" si="21"/>
        <v>0</v>
      </c>
      <c r="E105" t="str">
        <f>VLOOKUP(A105,'Loyd List 1-190 - Edit'!$P$2:$Q$196,2,FALSE)</f>
        <v>Lavinia (103): 1923–1995</v>
      </c>
      <c r="F105">
        <v>2</v>
      </c>
      <c r="J105" s="116">
        <v>16</v>
      </c>
      <c r="K105" s="116">
        <f t="shared" si="24"/>
        <v>2</v>
      </c>
      <c r="L105">
        <f t="shared" si="25"/>
        <v>1824</v>
      </c>
      <c r="M105" s="116">
        <f t="shared" si="23"/>
        <v>2</v>
      </c>
    </row>
    <row r="106" spans="1:13">
      <c r="A106" s="101">
        <f t="shared" si="22"/>
        <v>104</v>
      </c>
      <c r="B106">
        <v>5</v>
      </c>
      <c r="C106">
        <f>VLOOKUP(A106,'Loyd List 1-190 - Edit'!$A$1:$B$192,2,FALSE)</f>
        <v>5</v>
      </c>
      <c r="D106">
        <f t="shared" si="21"/>
        <v>0</v>
      </c>
      <c r="E106" t="str">
        <f>VLOOKUP(A106,'Loyd List 1-190 - Edit'!$P$2:$Q$196,2,FALSE)</f>
        <v>Sir Julian (104): 1926–2018</v>
      </c>
      <c r="F106">
        <v>1</v>
      </c>
      <c r="J106" s="116">
        <v>26</v>
      </c>
      <c r="K106" s="116">
        <v>3</v>
      </c>
      <c r="L106">
        <v>1832</v>
      </c>
      <c r="M106" s="116">
        <f t="shared" ref="M106:M138" si="26">K106</f>
        <v>3</v>
      </c>
    </row>
    <row r="107" spans="1:13">
      <c r="A107" s="101">
        <f t="shared" si="22"/>
        <v>105</v>
      </c>
      <c r="B107">
        <v>5</v>
      </c>
      <c r="C107">
        <f>VLOOKUP(A107,'Loyd List 1-190 - Edit'!$A$1:$B$192,2,FALSE)</f>
        <v>5</v>
      </c>
      <c r="D107">
        <f t="shared" si="21"/>
        <v>0</v>
      </c>
      <c r="E107" t="str">
        <f>VLOOKUP(A107,'Loyd List 1-190 - Edit'!$P$2:$Q$196,2,FALSE)</f>
        <v>Geoffrey (105): 1926–2018</v>
      </c>
      <c r="F107">
        <v>1</v>
      </c>
      <c r="J107" s="116">
        <v>26</v>
      </c>
      <c r="K107" s="116">
        <f t="shared" ref="K107:K142" si="27">K106</f>
        <v>3</v>
      </c>
      <c r="L107">
        <f t="shared" ref="L107:L142" si="28">L106+1</f>
        <v>1833</v>
      </c>
      <c r="M107" s="116">
        <f t="shared" si="26"/>
        <v>3</v>
      </c>
    </row>
    <row r="108" spans="1:13">
      <c r="A108" s="101">
        <f t="shared" si="22"/>
        <v>106</v>
      </c>
      <c r="B108">
        <v>5</v>
      </c>
      <c r="C108">
        <f>VLOOKUP(A108,'Loyd List 1-190 - Edit'!$A$1:$B$192,2,FALSE)</f>
        <v>5</v>
      </c>
      <c r="D108">
        <f t="shared" si="21"/>
        <v>0</v>
      </c>
      <c r="E108" t="str">
        <f>VLOOKUP(A108,'Loyd List 1-190 - Edit'!$P$2:$Q$196,2,FALSE)</f>
        <v>Denise (106): 1928–</v>
      </c>
      <c r="F108">
        <v>1</v>
      </c>
      <c r="J108" s="116">
        <v>26</v>
      </c>
      <c r="K108" s="116">
        <f t="shared" si="27"/>
        <v>3</v>
      </c>
      <c r="L108">
        <f t="shared" si="28"/>
        <v>1834</v>
      </c>
      <c r="M108" s="116">
        <f t="shared" si="26"/>
        <v>3</v>
      </c>
    </row>
    <row r="109" spans="1:13">
      <c r="A109" s="101">
        <f t="shared" si="22"/>
        <v>107</v>
      </c>
      <c r="B109">
        <v>5</v>
      </c>
      <c r="C109">
        <f>VLOOKUP(A109,'Loyd List 1-190 - Edit'!$A$1:$B$192,2,FALSE)</f>
        <v>5</v>
      </c>
      <c r="D109">
        <f t="shared" si="21"/>
        <v>0</v>
      </c>
      <c r="E109" t="str">
        <f>VLOOKUP(A109,'Loyd List 1-190 - Edit'!$P$2:$Q$196,2,FALSE)</f>
        <v>Wooie (107): 1928–1996</v>
      </c>
      <c r="F109">
        <v>2</v>
      </c>
      <c r="J109" s="116">
        <v>26</v>
      </c>
      <c r="K109" s="116">
        <f t="shared" si="27"/>
        <v>3</v>
      </c>
      <c r="L109">
        <f t="shared" si="28"/>
        <v>1835</v>
      </c>
      <c r="M109" s="116">
        <f t="shared" si="26"/>
        <v>3</v>
      </c>
    </row>
    <row r="110" spans="1:13">
      <c r="A110" s="101">
        <f t="shared" si="22"/>
        <v>108</v>
      </c>
      <c r="B110">
        <v>5</v>
      </c>
      <c r="C110">
        <f>VLOOKUP(A110,'Loyd List 1-190 - Edit'!$A$1:$B$192,2,FALSE)</f>
        <v>5</v>
      </c>
      <c r="D110">
        <f t="shared" si="21"/>
        <v>0</v>
      </c>
      <c r="E110" t="str">
        <f>VLOOKUP(A110,'Loyd List 1-190 - Edit'!$P$2:$Q$196,2,FALSE)</f>
        <v>Jos (108): 1931–</v>
      </c>
      <c r="F110">
        <v>2</v>
      </c>
      <c r="G110" t="s">
        <v>4091</v>
      </c>
      <c r="J110" s="116">
        <v>26</v>
      </c>
      <c r="K110" s="116">
        <f t="shared" si="27"/>
        <v>3</v>
      </c>
      <c r="L110">
        <f t="shared" si="28"/>
        <v>1836</v>
      </c>
      <c r="M110" s="116">
        <f t="shared" si="26"/>
        <v>3</v>
      </c>
    </row>
    <row r="111" spans="1:13">
      <c r="A111" s="101">
        <f t="shared" si="22"/>
        <v>109</v>
      </c>
      <c r="B111">
        <v>5</v>
      </c>
      <c r="C111">
        <f>VLOOKUP(A111,'Loyd List 1-190 - Edit'!$A$1:$B$192,2,FALSE)</f>
        <v>5</v>
      </c>
      <c r="D111">
        <f t="shared" si="21"/>
        <v>0</v>
      </c>
      <c r="E111" t="str">
        <f>VLOOKUP(A111,'Loyd List 1-190 - Edit'!$P$2:$Q$196,2,FALSE)</f>
        <v>Margaret (109): 1932–</v>
      </c>
      <c r="F111">
        <v>1</v>
      </c>
      <c r="J111" s="116">
        <v>26</v>
      </c>
      <c r="K111" s="116">
        <f t="shared" si="27"/>
        <v>3</v>
      </c>
      <c r="L111">
        <f>L110+1</f>
        <v>1837</v>
      </c>
      <c r="M111" s="116">
        <f t="shared" si="26"/>
        <v>3</v>
      </c>
    </row>
    <row r="112" spans="1:13">
      <c r="A112" s="101">
        <f t="shared" si="22"/>
        <v>110</v>
      </c>
      <c r="B112">
        <v>5</v>
      </c>
      <c r="C112">
        <f>VLOOKUP(A112,'Loyd List 1-190 - Edit'!$A$1:$B$192,2,FALSE)</f>
        <v>5</v>
      </c>
      <c r="D112">
        <f t="shared" si="21"/>
        <v>0</v>
      </c>
      <c r="E112" t="str">
        <f>VLOOKUP(A112,'Loyd List 1-190 - Edit'!$P$2:$Q$196,2,FALSE)</f>
        <v>Jean (110): 1933–</v>
      </c>
      <c r="F112">
        <v>1</v>
      </c>
      <c r="J112" s="116">
        <v>26</v>
      </c>
      <c r="K112" s="116">
        <f t="shared" si="27"/>
        <v>3</v>
      </c>
      <c r="L112">
        <f t="shared" si="28"/>
        <v>1838</v>
      </c>
      <c r="M112" s="116">
        <f t="shared" si="26"/>
        <v>3</v>
      </c>
    </row>
    <row r="113" spans="1:13">
      <c r="A113" s="101">
        <f t="shared" si="22"/>
        <v>111</v>
      </c>
      <c r="B113">
        <v>5</v>
      </c>
      <c r="C113">
        <f>VLOOKUP(A113,'Loyd List 1-190 - Edit'!$A$1:$B$192,2,FALSE)</f>
        <v>5</v>
      </c>
      <c r="D113">
        <f t="shared" si="21"/>
        <v>0</v>
      </c>
      <c r="E113" t="str">
        <f>VLOOKUP(A113,'Loyd List 1-190 - Edit'!$P$2:$Q$196,2,FALSE)</f>
        <v>Andrew (111): 1934–1975</v>
      </c>
      <c r="F113">
        <v>2</v>
      </c>
      <c r="G113" t="s">
        <v>916</v>
      </c>
      <c r="J113" s="116">
        <v>26</v>
      </c>
      <c r="K113" s="116">
        <f t="shared" si="27"/>
        <v>3</v>
      </c>
      <c r="L113">
        <f t="shared" si="28"/>
        <v>1839</v>
      </c>
      <c r="M113" s="116">
        <f t="shared" si="26"/>
        <v>3</v>
      </c>
    </row>
    <row r="114" spans="1:13">
      <c r="A114" s="101">
        <f t="shared" si="22"/>
        <v>112</v>
      </c>
      <c r="B114">
        <v>5</v>
      </c>
      <c r="C114">
        <f>VLOOKUP(A114,'Loyd List 1-190 - Edit'!$A$1:$B$192,2,FALSE)</f>
        <v>5</v>
      </c>
      <c r="D114">
        <f t="shared" si="21"/>
        <v>0</v>
      </c>
      <c r="E114" t="str">
        <f>VLOOKUP(A114,'Loyd List 1-190 - Edit'!$P$2:$Q$196,2,FALSE)</f>
        <v>Deen (112): 1936–2016</v>
      </c>
      <c r="F114">
        <v>2</v>
      </c>
      <c r="G114" t="s">
        <v>4091</v>
      </c>
      <c r="J114" s="116">
        <v>26</v>
      </c>
      <c r="K114" s="116">
        <f t="shared" si="27"/>
        <v>3</v>
      </c>
      <c r="L114">
        <f t="shared" si="28"/>
        <v>1840</v>
      </c>
      <c r="M114" s="116">
        <f t="shared" si="26"/>
        <v>3</v>
      </c>
    </row>
    <row r="115" spans="1:13">
      <c r="A115" s="101">
        <f t="shared" si="22"/>
        <v>113</v>
      </c>
      <c r="B115">
        <v>5</v>
      </c>
      <c r="C115">
        <f>VLOOKUP(A115,'Loyd List 1-190 - Edit'!$A$1:$B$192,2,FALSE)</f>
        <v>5</v>
      </c>
      <c r="D115">
        <f t="shared" si="21"/>
        <v>0</v>
      </c>
      <c r="E115" t="str">
        <f>VLOOKUP(A115,'Loyd List 1-190 - Edit'!$P$2:$Q$196,2,FALSE)</f>
        <v>Willie (113): 1937–1994</v>
      </c>
      <c r="F115">
        <v>2</v>
      </c>
      <c r="G115" t="s">
        <v>4279</v>
      </c>
      <c r="J115" s="116">
        <v>26</v>
      </c>
      <c r="K115" s="116">
        <f t="shared" si="27"/>
        <v>3</v>
      </c>
      <c r="L115">
        <f t="shared" si="28"/>
        <v>1841</v>
      </c>
      <c r="M115" s="116">
        <f t="shared" si="26"/>
        <v>3</v>
      </c>
    </row>
    <row r="116" spans="1:13">
      <c r="A116" s="101">
        <f t="shared" si="22"/>
        <v>114</v>
      </c>
      <c r="B116">
        <v>5</v>
      </c>
      <c r="C116">
        <f>VLOOKUP(A116,'Loyd List 1-190 - Edit'!$A$1:$B$192,2,FALSE)</f>
        <v>5</v>
      </c>
      <c r="D116">
        <f t="shared" si="21"/>
        <v>0</v>
      </c>
      <c r="E116" t="str">
        <f>VLOOKUP(A116,'Loyd List 1-190 - Edit'!$P$2:$Q$196,2,FALSE)</f>
        <v>Michael (114): 1938–</v>
      </c>
      <c r="F116">
        <v>1</v>
      </c>
      <c r="J116" s="116">
        <v>26</v>
      </c>
      <c r="K116" s="116">
        <f t="shared" si="27"/>
        <v>3</v>
      </c>
      <c r="L116">
        <f t="shared" si="28"/>
        <v>1842</v>
      </c>
      <c r="M116" s="116">
        <f t="shared" si="26"/>
        <v>3</v>
      </c>
    </row>
    <row r="117" spans="1:13">
      <c r="A117" s="101">
        <f t="shared" si="22"/>
        <v>115</v>
      </c>
      <c r="B117">
        <v>5</v>
      </c>
      <c r="C117">
        <f>VLOOKUP(A117,'Loyd List 1-190 - Edit'!$A$1:$B$192,2,FALSE)</f>
        <v>5</v>
      </c>
      <c r="D117">
        <f t="shared" si="21"/>
        <v>0</v>
      </c>
      <c r="E117" t="str">
        <f>VLOOKUP(A117,'Loyd List 1-190 - Edit'!$P$2:$Q$196,2,FALSE)</f>
        <v>Belinda (115): 1939–2018</v>
      </c>
      <c r="F117">
        <v>1</v>
      </c>
      <c r="G117" t="s">
        <v>4093</v>
      </c>
      <c r="J117" s="116">
        <v>26</v>
      </c>
      <c r="K117" s="116">
        <f t="shared" si="27"/>
        <v>3</v>
      </c>
      <c r="L117">
        <f t="shared" si="28"/>
        <v>1843</v>
      </c>
      <c r="M117" s="116">
        <f t="shared" si="26"/>
        <v>3</v>
      </c>
    </row>
    <row r="118" spans="1:13">
      <c r="A118" s="101">
        <f t="shared" si="22"/>
        <v>116</v>
      </c>
      <c r="B118">
        <v>5</v>
      </c>
      <c r="C118">
        <f>VLOOKUP(A118,'Loyd List 1-190 - Edit'!$A$1:$B$192,2,FALSE)</f>
        <v>5</v>
      </c>
      <c r="D118">
        <f t="shared" si="21"/>
        <v>0</v>
      </c>
      <c r="E118" t="str">
        <f>VLOOKUP(A118,'Loyd List 1-190 - Edit'!$P$2:$Q$196,2,FALSE)</f>
        <v>Peggy (116): 1939–</v>
      </c>
      <c r="F118">
        <v>2</v>
      </c>
      <c r="G118" t="s">
        <v>4091</v>
      </c>
      <c r="J118" s="116">
        <v>26</v>
      </c>
      <c r="K118" s="116">
        <f t="shared" si="27"/>
        <v>3</v>
      </c>
      <c r="L118">
        <f t="shared" si="28"/>
        <v>1844</v>
      </c>
      <c r="M118" s="116">
        <f t="shared" si="26"/>
        <v>3</v>
      </c>
    </row>
    <row r="119" spans="1:13">
      <c r="A119" s="101">
        <f t="shared" si="22"/>
        <v>117</v>
      </c>
      <c r="B119">
        <v>5</v>
      </c>
      <c r="C119">
        <f>VLOOKUP(A119,'Loyd List 1-190 - Edit'!$A$1:$B$192,2,FALSE)</f>
        <v>5</v>
      </c>
      <c r="D119">
        <f t="shared" si="21"/>
        <v>0</v>
      </c>
      <c r="E119" t="str">
        <f>VLOOKUP(A119,'Loyd List 1-190 - Edit'!$P$2:$Q$196,2,FALSE)</f>
        <v>Patrick (117): 1942–</v>
      </c>
      <c r="F119">
        <v>1</v>
      </c>
      <c r="G119" t="s">
        <v>4091</v>
      </c>
      <c r="J119" s="116">
        <v>26</v>
      </c>
      <c r="K119" s="116">
        <f t="shared" si="27"/>
        <v>3</v>
      </c>
      <c r="L119">
        <f t="shared" si="28"/>
        <v>1845</v>
      </c>
      <c r="M119" s="116">
        <f t="shared" si="26"/>
        <v>3</v>
      </c>
    </row>
    <row r="120" spans="1:13">
      <c r="A120" s="101">
        <f t="shared" si="22"/>
        <v>118</v>
      </c>
      <c r="B120">
        <v>5</v>
      </c>
      <c r="C120">
        <f>VLOOKUP(A120,'Loyd List 1-190 - Edit'!$A$1:$B$192,2,FALSE)</f>
        <v>5</v>
      </c>
      <c r="D120">
        <f t="shared" si="21"/>
        <v>0</v>
      </c>
      <c r="E120" t="str">
        <f>VLOOKUP(A120,'Loyd List 1-190 - Edit'!$P$2:$Q$196,2,FALSE)</f>
        <v>Patricia (118): 1942–1942</v>
      </c>
      <c r="F120">
        <v>2</v>
      </c>
      <c r="J120" s="116">
        <v>26</v>
      </c>
      <c r="K120" s="116">
        <f t="shared" si="27"/>
        <v>3</v>
      </c>
      <c r="L120">
        <f t="shared" si="28"/>
        <v>1846</v>
      </c>
      <c r="M120" s="116">
        <f t="shared" si="26"/>
        <v>3</v>
      </c>
    </row>
    <row r="121" spans="1:13">
      <c r="A121" s="101">
        <f t="shared" si="22"/>
        <v>119</v>
      </c>
      <c r="B121">
        <v>5</v>
      </c>
      <c r="C121">
        <f>VLOOKUP(A121,'Loyd List 1-190 - Edit'!$A$1:$B$192,2,FALSE)</f>
        <v>5</v>
      </c>
      <c r="D121">
        <f t="shared" si="21"/>
        <v>0</v>
      </c>
      <c r="E121" t="str">
        <f>VLOOKUP(A121,'Loyd List 1-190 - Edit'!$P$2:$Q$196,2,FALSE)</f>
        <v>Peter (119): 1942–</v>
      </c>
      <c r="F121">
        <v>1</v>
      </c>
      <c r="J121" s="116">
        <v>26</v>
      </c>
      <c r="K121" s="116">
        <f t="shared" si="27"/>
        <v>3</v>
      </c>
      <c r="L121">
        <f t="shared" si="28"/>
        <v>1847</v>
      </c>
      <c r="M121" s="116">
        <f t="shared" si="26"/>
        <v>3</v>
      </c>
    </row>
    <row r="122" spans="1:13">
      <c r="A122" s="101">
        <f t="shared" si="22"/>
        <v>120</v>
      </c>
      <c r="B122">
        <v>6</v>
      </c>
      <c r="C122">
        <f>VLOOKUP(A122,'Loyd List 1-190 - Edit'!$A$1:$B$192,2,FALSE)</f>
        <v>6</v>
      </c>
      <c r="D122">
        <f t="shared" si="21"/>
        <v>0</v>
      </c>
      <c r="E122" t="str">
        <f>VLOOKUP(A122,'Loyd List 1-190 - Edit'!$P$2:$Q$196,2,FALSE)</f>
        <v>Caroline (120): 1947–2022</v>
      </c>
      <c r="F122">
        <v>1</v>
      </c>
      <c r="J122" s="116">
        <v>26</v>
      </c>
      <c r="K122" s="116">
        <f t="shared" si="27"/>
        <v>3</v>
      </c>
      <c r="L122">
        <f t="shared" si="28"/>
        <v>1848</v>
      </c>
      <c r="M122" s="116">
        <f t="shared" si="26"/>
        <v>3</v>
      </c>
    </row>
    <row r="123" spans="1:13">
      <c r="A123" s="101">
        <f t="shared" si="22"/>
        <v>121</v>
      </c>
      <c r="B123">
        <v>6</v>
      </c>
      <c r="C123">
        <f>VLOOKUP(A123,'Loyd List 1-190 - Edit'!$A$1:$B$192,2,FALSE)</f>
        <v>6</v>
      </c>
      <c r="D123">
        <f t="shared" si="21"/>
        <v>0</v>
      </c>
      <c r="E123" t="str">
        <f>VLOOKUP(A123,'Loyd List 1-190 - Edit'!$P$2:$Q$196,2,FALSE)</f>
        <v>David (121): 1949–</v>
      </c>
      <c r="F123">
        <v>1</v>
      </c>
      <c r="J123" s="116">
        <v>26</v>
      </c>
      <c r="K123" s="116">
        <f t="shared" si="27"/>
        <v>3</v>
      </c>
      <c r="L123">
        <f t="shared" si="28"/>
        <v>1849</v>
      </c>
      <c r="M123" s="116">
        <f t="shared" si="26"/>
        <v>3</v>
      </c>
    </row>
    <row r="124" spans="1:13">
      <c r="A124" s="101">
        <f t="shared" si="22"/>
        <v>122</v>
      </c>
      <c r="B124">
        <v>6</v>
      </c>
      <c r="C124">
        <f>VLOOKUP(A124,'Loyd List 1-190 - Edit'!$A$1:$B$192,2,FALSE)</f>
        <v>6</v>
      </c>
      <c r="D124">
        <f t="shared" si="21"/>
        <v>0</v>
      </c>
      <c r="E124" t="str">
        <f>VLOOKUP(A124,'Loyd List 1-190 - Edit'!$P$2:$Q$196,2,FALSE)</f>
        <v>Martin (122): 1949–</v>
      </c>
      <c r="F124">
        <v>1</v>
      </c>
      <c r="J124" s="116">
        <v>26</v>
      </c>
      <c r="K124" s="116">
        <f t="shared" si="27"/>
        <v>3</v>
      </c>
      <c r="L124">
        <f t="shared" si="28"/>
        <v>1850</v>
      </c>
      <c r="M124" s="116">
        <f t="shared" si="26"/>
        <v>3</v>
      </c>
    </row>
    <row r="125" spans="1:13">
      <c r="A125" s="101">
        <f t="shared" si="22"/>
        <v>123</v>
      </c>
      <c r="B125">
        <v>6</v>
      </c>
      <c r="C125">
        <f>VLOOKUP(A125,'Loyd List 1-190 - Edit'!$A$1:$B$192,2,FALSE)</f>
        <v>6</v>
      </c>
      <c r="D125">
        <f t="shared" si="21"/>
        <v>0</v>
      </c>
      <c r="E125" t="str">
        <f>VLOOKUP(A125,'Loyd List 1-190 - Edit'!$P$2:$Q$196,2,FALSE)</f>
        <v>Janet (123): 1949–</v>
      </c>
      <c r="F125">
        <v>1</v>
      </c>
      <c r="J125" s="116">
        <v>26</v>
      </c>
      <c r="K125" s="116">
        <f t="shared" si="27"/>
        <v>3</v>
      </c>
      <c r="L125">
        <f t="shared" si="28"/>
        <v>1851</v>
      </c>
      <c r="M125" s="116">
        <f t="shared" si="26"/>
        <v>3</v>
      </c>
    </row>
    <row r="126" spans="1:13">
      <c r="A126" s="101">
        <f t="shared" si="22"/>
        <v>124</v>
      </c>
      <c r="B126">
        <v>6</v>
      </c>
      <c r="C126">
        <f>VLOOKUP(A126,'Loyd List 1-190 - Edit'!$A$1:$B$192,2,FALSE)</f>
        <v>6</v>
      </c>
      <c r="D126">
        <f t="shared" si="21"/>
        <v>0</v>
      </c>
      <c r="E126" t="str">
        <f>VLOOKUP(A126,'Loyd List 1-190 - Edit'!$P$2:$Q$196,2,FALSE)</f>
        <v>Rob (124): 1949–</v>
      </c>
      <c r="F126">
        <v>1</v>
      </c>
      <c r="J126" s="116">
        <v>26</v>
      </c>
      <c r="K126" s="116">
        <f t="shared" si="27"/>
        <v>3</v>
      </c>
      <c r="L126">
        <f>L125+1</f>
        <v>1852</v>
      </c>
      <c r="M126" s="116">
        <f t="shared" si="26"/>
        <v>3</v>
      </c>
    </row>
    <row r="127" spans="1:13">
      <c r="A127" s="101">
        <f t="shared" si="22"/>
        <v>125</v>
      </c>
      <c r="B127">
        <v>6</v>
      </c>
      <c r="C127">
        <f>VLOOKUP(A127,'Loyd List 1-190 - Edit'!$A$1:$B$192,2,FALSE)</f>
        <v>6</v>
      </c>
      <c r="D127">
        <f t="shared" si="21"/>
        <v>0</v>
      </c>
      <c r="E127" t="str">
        <f>VLOOKUP(A127,'Loyd List 1-190 - Edit'!$P$2:$Q$196,2,FALSE)</f>
        <v>Rona (125): 1951–</v>
      </c>
      <c r="F127">
        <v>2</v>
      </c>
      <c r="J127" s="116">
        <v>26</v>
      </c>
      <c r="K127" s="116">
        <f t="shared" si="27"/>
        <v>3</v>
      </c>
      <c r="L127">
        <f t="shared" si="28"/>
        <v>1853</v>
      </c>
      <c r="M127" s="116">
        <f t="shared" si="26"/>
        <v>3</v>
      </c>
    </row>
    <row r="128" spans="1:13">
      <c r="A128" s="101">
        <f t="shared" si="22"/>
        <v>126</v>
      </c>
      <c r="B128">
        <v>6</v>
      </c>
      <c r="C128">
        <f>VLOOKUP(A128,'Loyd List 1-190 - Edit'!$A$1:$B$192,2,FALSE)</f>
        <v>6</v>
      </c>
      <c r="D128">
        <f t="shared" si="21"/>
        <v>0</v>
      </c>
      <c r="E128" t="str">
        <f>VLOOKUP(A128,'Loyd List 1-190 - Edit'!$P$2:$Q$196,2,FALSE)</f>
        <v>Paddy (126): 1951–</v>
      </c>
      <c r="F128">
        <v>1</v>
      </c>
      <c r="J128" s="116">
        <v>26</v>
      </c>
      <c r="K128" s="116">
        <f t="shared" si="27"/>
        <v>3</v>
      </c>
      <c r="L128">
        <f t="shared" si="28"/>
        <v>1854</v>
      </c>
      <c r="M128" s="116">
        <f t="shared" si="26"/>
        <v>3</v>
      </c>
    </row>
    <row r="129" spans="1:13">
      <c r="A129" s="101">
        <f t="shared" si="22"/>
        <v>127</v>
      </c>
      <c r="B129">
        <v>6</v>
      </c>
      <c r="C129">
        <f>VLOOKUP(A129,'Loyd List 1-190 - Edit'!$A$1:$B$192,2,FALSE)</f>
        <v>5</v>
      </c>
      <c r="D129">
        <f t="shared" si="21"/>
        <v>1</v>
      </c>
      <c r="E129" t="str">
        <f>VLOOKUP(A129,'Loyd List 1-190 - Edit'!$P$2:$Q$196,2,FALSE)</f>
        <v>Vivian (127): 1951–</v>
      </c>
      <c r="F129">
        <v>1</v>
      </c>
      <c r="G129" t="s">
        <v>3931</v>
      </c>
      <c r="J129" s="116">
        <v>26</v>
      </c>
      <c r="K129" s="116">
        <f t="shared" si="27"/>
        <v>3</v>
      </c>
      <c r="L129">
        <f t="shared" si="28"/>
        <v>1855</v>
      </c>
      <c r="M129" s="116">
        <f t="shared" si="26"/>
        <v>3</v>
      </c>
    </row>
    <row r="130" spans="1:13">
      <c r="A130" s="101">
        <f t="shared" si="22"/>
        <v>128</v>
      </c>
      <c r="B130">
        <v>6</v>
      </c>
      <c r="C130">
        <f>VLOOKUP(A130,'Loyd List 1-190 - Edit'!$A$1:$B$192,2,FALSE)</f>
        <v>6</v>
      </c>
      <c r="D130">
        <f t="shared" si="21"/>
        <v>0</v>
      </c>
      <c r="E130" t="str">
        <f>VLOOKUP(A130,'Loyd List 1-190 - Edit'!$P$2:$Q$196,2,FALSE)</f>
        <v>Julie (128): 1952–</v>
      </c>
      <c r="F130">
        <v>2</v>
      </c>
      <c r="G130" t="s">
        <v>4071</v>
      </c>
      <c r="J130" s="116">
        <v>26</v>
      </c>
      <c r="K130" s="116">
        <f t="shared" si="27"/>
        <v>3</v>
      </c>
      <c r="L130">
        <f t="shared" si="28"/>
        <v>1856</v>
      </c>
      <c r="M130" s="116">
        <f t="shared" si="26"/>
        <v>3</v>
      </c>
    </row>
    <row r="131" spans="1:13">
      <c r="A131" s="101">
        <f t="shared" si="22"/>
        <v>129</v>
      </c>
      <c r="B131">
        <v>6</v>
      </c>
      <c r="C131">
        <f>VLOOKUP(A131,'Loyd List 1-190 - Edit'!$A$1:$B$192,2,FALSE)</f>
        <v>6</v>
      </c>
      <c r="D131">
        <f t="shared" si="21"/>
        <v>0</v>
      </c>
      <c r="E131" t="str">
        <f>VLOOKUP(A131,'Loyd List 1-190 - Edit'!$P$2:$Q$196,2,FALSE)</f>
        <v>Diana (129): 1952–</v>
      </c>
      <c r="F131">
        <v>1</v>
      </c>
      <c r="G131" t="s">
        <v>3932</v>
      </c>
      <c r="J131" s="116">
        <v>26</v>
      </c>
      <c r="K131" s="116">
        <f t="shared" si="27"/>
        <v>3</v>
      </c>
      <c r="L131">
        <f t="shared" si="28"/>
        <v>1857</v>
      </c>
      <c r="M131" s="116">
        <f t="shared" si="26"/>
        <v>3</v>
      </c>
    </row>
    <row r="132" spans="1:13">
      <c r="A132" s="101">
        <f t="shared" si="22"/>
        <v>130</v>
      </c>
      <c r="B132">
        <v>6</v>
      </c>
      <c r="C132">
        <f>VLOOKUP(A132,'Loyd List 1-190 - Edit'!$A$1:$B$192,2,FALSE)</f>
        <v>6</v>
      </c>
      <c r="D132">
        <f t="shared" ref="D132:D192" si="29">B132-C132</f>
        <v>0</v>
      </c>
      <c r="E132" t="str">
        <f>VLOOKUP(A132,'Loyd List 1-190 - Edit'!$P$2:$Q$196,2,FALSE)</f>
        <v>David (130): 1952–</v>
      </c>
      <c r="F132">
        <v>1</v>
      </c>
      <c r="J132" s="116">
        <v>26</v>
      </c>
      <c r="K132" s="116">
        <f t="shared" si="27"/>
        <v>3</v>
      </c>
      <c r="L132">
        <f t="shared" si="28"/>
        <v>1858</v>
      </c>
      <c r="M132" s="116">
        <f t="shared" si="26"/>
        <v>3</v>
      </c>
    </row>
    <row r="133" spans="1:13">
      <c r="A133" s="101">
        <f t="shared" ref="A133:A184" si="30">A132+1</f>
        <v>131</v>
      </c>
      <c r="B133">
        <v>6</v>
      </c>
      <c r="C133">
        <f>VLOOKUP(A133,'Loyd List 1-190 - Edit'!$A$1:$B$192,2,FALSE)</f>
        <v>6</v>
      </c>
      <c r="D133">
        <f t="shared" si="29"/>
        <v>0</v>
      </c>
      <c r="E133" t="str">
        <f>VLOOKUP(A133,'Loyd List 1-190 - Edit'!$P$2:$Q$196,2,FALSE)</f>
        <v>Dominic (131): 1953–</v>
      </c>
      <c r="F133">
        <v>1</v>
      </c>
      <c r="J133" s="116">
        <v>26</v>
      </c>
      <c r="K133" s="116">
        <f t="shared" si="27"/>
        <v>3</v>
      </c>
      <c r="L133">
        <f t="shared" si="28"/>
        <v>1859</v>
      </c>
      <c r="M133" s="116">
        <f t="shared" si="26"/>
        <v>3</v>
      </c>
    </row>
    <row r="134" spans="1:13">
      <c r="A134" s="101">
        <f t="shared" si="30"/>
        <v>132</v>
      </c>
      <c r="B134">
        <v>6</v>
      </c>
      <c r="C134">
        <f>VLOOKUP(A134,'Loyd List 1-190 - Edit'!$A$1:$B$192,2,FALSE)</f>
        <v>6</v>
      </c>
      <c r="D134">
        <f t="shared" si="29"/>
        <v>0</v>
      </c>
      <c r="E134" t="str">
        <f>VLOOKUP(A134,'Loyd List 1-190 - Edit'!$P$2:$Q$196,2,FALSE)</f>
        <v>Penelope (132): 1954–1954</v>
      </c>
      <c r="F134">
        <v>2</v>
      </c>
      <c r="J134" s="116">
        <v>26</v>
      </c>
      <c r="K134" s="116">
        <f t="shared" si="27"/>
        <v>3</v>
      </c>
      <c r="L134">
        <f t="shared" si="28"/>
        <v>1860</v>
      </c>
      <c r="M134" s="116">
        <f t="shared" si="26"/>
        <v>3</v>
      </c>
    </row>
    <row r="135" spans="1:13">
      <c r="A135" s="101">
        <f t="shared" si="30"/>
        <v>133</v>
      </c>
      <c r="B135">
        <v>6</v>
      </c>
      <c r="C135">
        <f>VLOOKUP(A135,'Loyd List 1-190 - Edit'!$A$1:$B$192,2,FALSE)</f>
        <v>6</v>
      </c>
      <c r="D135">
        <f t="shared" si="29"/>
        <v>0</v>
      </c>
      <c r="E135" t="str">
        <f>VLOOKUP(A135,'Loyd List 1-190 - Edit'!$P$2:$Q$196,2,FALSE)</f>
        <v>Jeremy (133): 1954–</v>
      </c>
      <c r="F135">
        <v>1</v>
      </c>
      <c r="J135" s="116">
        <v>26</v>
      </c>
      <c r="K135" s="116">
        <f t="shared" si="27"/>
        <v>3</v>
      </c>
      <c r="L135">
        <f t="shared" si="28"/>
        <v>1861</v>
      </c>
      <c r="M135" s="116">
        <f t="shared" si="26"/>
        <v>3</v>
      </c>
    </row>
    <row r="136" spans="1:13">
      <c r="A136" s="101">
        <f t="shared" si="30"/>
        <v>134</v>
      </c>
      <c r="B136">
        <v>6</v>
      </c>
      <c r="C136">
        <f>VLOOKUP(A136,'Loyd List 1-190 - Edit'!$A$1:$B$192,2,FALSE)</f>
        <v>6</v>
      </c>
      <c r="D136">
        <f t="shared" si="29"/>
        <v>0</v>
      </c>
      <c r="E136" t="str">
        <f>VLOOKUP(A136,'Loyd List 1-190 - Edit'!$P$2:$Q$196,2,FALSE)</f>
        <v>William (134): 1955–</v>
      </c>
      <c r="F136">
        <v>2</v>
      </c>
      <c r="H136" t="s">
        <v>3933</v>
      </c>
      <c r="J136" s="116">
        <v>26</v>
      </c>
      <c r="K136" s="116">
        <f t="shared" si="27"/>
        <v>3</v>
      </c>
      <c r="L136">
        <f t="shared" si="28"/>
        <v>1862</v>
      </c>
      <c r="M136" s="116">
        <f t="shared" si="26"/>
        <v>3</v>
      </c>
    </row>
    <row r="137" spans="1:13">
      <c r="A137" s="101">
        <f t="shared" si="30"/>
        <v>135</v>
      </c>
      <c r="B137">
        <v>6</v>
      </c>
      <c r="C137">
        <f>VLOOKUP(A137,'Loyd List 1-190 - Edit'!$A$1:$B$192,2,FALSE)</f>
        <v>6</v>
      </c>
      <c r="D137">
        <f t="shared" si="29"/>
        <v>0</v>
      </c>
      <c r="E137" t="str">
        <f>VLOOKUP(A137,'Loyd List 1-190 - Edit'!$P$2:$Q$196,2,FALSE)</f>
        <v>Jim (135): 1955–</v>
      </c>
      <c r="F137">
        <v>1</v>
      </c>
      <c r="J137" s="116">
        <v>26</v>
      </c>
      <c r="K137" s="116">
        <f t="shared" si="27"/>
        <v>3</v>
      </c>
      <c r="L137">
        <f t="shared" si="28"/>
        <v>1863</v>
      </c>
      <c r="M137" s="116">
        <f t="shared" si="26"/>
        <v>3</v>
      </c>
    </row>
    <row r="138" spans="1:13">
      <c r="A138" s="101">
        <f t="shared" si="30"/>
        <v>136</v>
      </c>
      <c r="B138">
        <v>6</v>
      </c>
      <c r="C138">
        <f>VLOOKUP(A138,'Loyd List 1-190 - Edit'!$A$1:$B$192,2,FALSE)</f>
        <v>6</v>
      </c>
      <c r="D138">
        <f t="shared" si="29"/>
        <v>0</v>
      </c>
      <c r="E138" t="str">
        <f>VLOOKUP(A138,'Loyd List 1-190 - Edit'!$P$2:$Q$196,2,FALSE)</f>
        <v>Tim (136): 1957–</v>
      </c>
      <c r="F138">
        <v>1</v>
      </c>
      <c r="H138" t="s">
        <v>3842</v>
      </c>
      <c r="J138" s="116">
        <v>26</v>
      </c>
      <c r="K138" s="116">
        <f t="shared" si="27"/>
        <v>3</v>
      </c>
      <c r="L138">
        <f t="shared" si="28"/>
        <v>1864</v>
      </c>
      <c r="M138" s="116">
        <f t="shared" si="26"/>
        <v>3</v>
      </c>
    </row>
    <row r="139" spans="1:13">
      <c r="A139" s="101">
        <f t="shared" si="30"/>
        <v>137</v>
      </c>
      <c r="B139">
        <v>6</v>
      </c>
      <c r="C139">
        <f>VLOOKUP(A139,'Loyd List 1-190 - Edit'!$A$1:$B$192,2,FALSE)</f>
        <v>6</v>
      </c>
      <c r="D139">
        <f t="shared" si="29"/>
        <v>0</v>
      </c>
      <c r="E139" t="str">
        <f>VLOOKUP(A139,'Loyd List 1-190 - Edit'!$P$2:$Q$196,2,FALSE)</f>
        <v>Henrietta (137): 1959–</v>
      </c>
      <c r="F139">
        <v>1</v>
      </c>
      <c r="J139" s="116">
        <v>26</v>
      </c>
      <c r="K139" s="116">
        <f t="shared" si="27"/>
        <v>3</v>
      </c>
      <c r="L139">
        <f t="shared" si="28"/>
        <v>1865</v>
      </c>
      <c r="M139" s="116">
        <f t="shared" ref="M139:M147" si="31">K139</f>
        <v>3</v>
      </c>
    </row>
    <row r="140" spans="1:13">
      <c r="A140" s="101">
        <f t="shared" si="30"/>
        <v>138</v>
      </c>
      <c r="B140">
        <v>6</v>
      </c>
      <c r="C140">
        <f>VLOOKUP(A140,'Loyd List 1-190 - Edit'!$A$1:$B$192,2,FALSE)</f>
        <v>6</v>
      </c>
      <c r="D140">
        <f t="shared" si="29"/>
        <v>0</v>
      </c>
      <c r="E140" t="str">
        <f>VLOOKUP(A140,'Loyd List 1-190 - Edit'!$P$2:$Q$196,2,FALSE)</f>
        <v>Thomas (138): 1959–</v>
      </c>
      <c r="F140">
        <v>1</v>
      </c>
      <c r="J140" s="116">
        <v>26</v>
      </c>
      <c r="K140" s="116">
        <f t="shared" si="27"/>
        <v>3</v>
      </c>
      <c r="L140">
        <f t="shared" si="28"/>
        <v>1866</v>
      </c>
      <c r="M140" s="116">
        <f t="shared" si="31"/>
        <v>3</v>
      </c>
    </row>
    <row r="141" spans="1:13">
      <c r="A141" s="101">
        <f t="shared" si="30"/>
        <v>139</v>
      </c>
      <c r="B141">
        <v>6</v>
      </c>
      <c r="C141">
        <f>VLOOKUP(A141,'Loyd List 1-190 - Edit'!$A$1:$B$192,2,FALSE)</f>
        <v>6</v>
      </c>
      <c r="D141">
        <f t="shared" si="29"/>
        <v>0</v>
      </c>
      <c r="E141" t="str">
        <f>VLOOKUP(A141,'Loyd List 1-190 - Edit'!$P$2:$Q$196,2,FALSE)</f>
        <v>Alex (139): 1959–</v>
      </c>
      <c r="F141">
        <v>1</v>
      </c>
      <c r="H141" t="s">
        <v>3842</v>
      </c>
      <c r="J141" s="116">
        <v>26</v>
      </c>
      <c r="K141" s="116">
        <f t="shared" si="27"/>
        <v>3</v>
      </c>
      <c r="L141">
        <f t="shared" si="28"/>
        <v>1867</v>
      </c>
      <c r="M141" s="116">
        <f t="shared" si="31"/>
        <v>3</v>
      </c>
    </row>
    <row r="142" spans="1:13">
      <c r="A142" s="101">
        <f t="shared" si="30"/>
        <v>140</v>
      </c>
      <c r="B142">
        <v>5</v>
      </c>
      <c r="C142">
        <f>VLOOKUP(A142,'Loyd List 1-190 - Edit'!$A$1:$B$192,2,FALSE)</f>
        <v>5</v>
      </c>
      <c r="D142">
        <f t="shared" si="29"/>
        <v>0</v>
      </c>
      <c r="E142" t="str">
        <f>VLOOKUP(A142,'Loyd List 1-190 - Edit'!$P$2:$Q$196,2,FALSE)</f>
        <v>Ginie (140): 1961–</v>
      </c>
      <c r="F142">
        <v>1</v>
      </c>
      <c r="G142" t="s">
        <v>4098</v>
      </c>
      <c r="J142" s="116">
        <v>26</v>
      </c>
      <c r="K142" s="116">
        <f t="shared" si="27"/>
        <v>3</v>
      </c>
      <c r="L142">
        <f t="shared" si="28"/>
        <v>1868</v>
      </c>
      <c r="M142" s="116">
        <f t="shared" si="31"/>
        <v>3</v>
      </c>
    </row>
    <row r="143" spans="1:13">
      <c r="A143" s="101">
        <f t="shared" si="30"/>
        <v>141</v>
      </c>
      <c r="B143">
        <v>6</v>
      </c>
      <c r="C143">
        <f>VLOOKUP(A143,'Loyd List 1-190 - Edit'!$A$1:$B$192,2,FALSE)</f>
        <v>6</v>
      </c>
      <c r="D143">
        <f t="shared" si="29"/>
        <v>0</v>
      </c>
      <c r="E143" t="str">
        <f>VLOOKUP(A143,'Loyd List 1-190 - Edit'!$P$2:$Q$196,2,FALSE)</f>
        <v>Alexandra (141): 1961–</v>
      </c>
      <c r="F143">
        <v>1</v>
      </c>
      <c r="J143" s="116">
        <v>34</v>
      </c>
      <c r="K143" s="116">
        <v>4</v>
      </c>
      <c r="L143">
        <v>1875</v>
      </c>
      <c r="M143" s="116">
        <f t="shared" si="31"/>
        <v>4</v>
      </c>
    </row>
    <row r="144" spans="1:13">
      <c r="A144" s="101">
        <f t="shared" si="30"/>
        <v>142</v>
      </c>
      <c r="B144">
        <v>6</v>
      </c>
      <c r="C144">
        <f>VLOOKUP(A144,'Loyd List 1-190 - Edit'!$A$1:$B$192,2,FALSE)</f>
        <v>6</v>
      </c>
      <c r="D144">
        <f t="shared" si="29"/>
        <v>0</v>
      </c>
      <c r="E144" t="str">
        <f>VLOOKUP(A144,'Loyd List 1-190 - Edit'!$P$2:$Q$196,2,FALSE)</f>
        <v>Rick (142): 1962–</v>
      </c>
      <c r="F144">
        <v>1</v>
      </c>
      <c r="J144" s="116">
        <v>34</v>
      </c>
      <c r="K144" s="116">
        <f t="shared" ref="K144:K155" si="32">K143</f>
        <v>4</v>
      </c>
      <c r="L144">
        <f t="shared" ref="L144:L170" si="33">L143+1</f>
        <v>1876</v>
      </c>
      <c r="M144" s="116">
        <f t="shared" si="31"/>
        <v>4</v>
      </c>
    </row>
    <row r="145" spans="1:13">
      <c r="A145" s="101">
        <f t="shared" si="30"/>
        <v>143</v>
      </c>
      <c r="B145">
        <v>6</v>
      </c>
      <c r="C145">
        <f>VLOOKUP(A145,'Loyd List 1-190 - Edit'!$A$1:$B$192,2,FALSE)</f>
        <v>6</v>
      </c>
      <c r="D145">
        <f t="shared" si="29"/>
        <v>0</v>
      </c>
      <c r="E145" t="str">
        <f>VLOOKUP(A145,'Loyd List 1-190 - Edit'!$P$2:$Q$196,2,FALSE)</f>
        <v>Harriet (143): 1962–</v>
      </c>
      <c r="F145">
        <v>1</v>
      </c>
      <c r="J145" s="116">
        <v>34</v>
      </c>
      <c r="K145" s="116">
        <f t="shared" si="32"/>
        <v>4</v>
      </c>
      <c r="L145">
        <f t="shared" si="33"/>
        <v>1877</v>
      </c>
      <c r="M145" s="116">
        <f t="shared" si="31"/>
        <v>4</v>
      </c>
    </row>
    <row r="146" spans="1:13">
      <c r="A146" s="101">
        <f t="shared" si="30"/>
        <v>144</v>
      </c>
      <c r="B146">
        <v>6</v>
      </c>
      <c r="C146">
        <f>VLOOKUP(A146,'Loyd List 1-190 - Edit'!$A$1:$B$192,2,FALSE)</f>
        <v>6</v>
      </c>
      <c r="D146">
        <f t="shared" si="29"/>
        <v>0</v>
      </c>
      <c r="E146" t="str">
        <f>VLOOKUP(A146,'Loyd List 1-190 - Edit'!$P$2:$Q$196,2,FALSE)</f>
        <v>Andrew (144): 1962–</v>
      </c>
      <c r="F146">
        <v>1</v>
      </c>
      <c r="J146" s="116">
        <v>34</v>
      </c>
      <c r="K146" s="116">
        <f t="shared" si="32"/>
        <v>4</v>
      </c>
      <c r="L146">
        <f t="shared" si="33"/>
        <v>1878</v>
      </c>
      <c r="M146" s="116">
        <f t="shared" si="31"/>
        <v>4</v>
      </c>
    </row>
    <row r="147" spans="1:13">
      <c r="A147" s="101">
        <f t="shared" si="30"/>
        <v>145</v>
      </c>
      <c r="B147">
        <v>6</v>
      </c>
      <c r="C147">
        <f>VLOOKUP(A147,'Loyd List 1-190 - Edit'!$A$1:$B$192,2,FALSE)</f>
        <v>6</v>
      </c>
      <c r="D147">
        <f t="shared" si="29"/>
        <v>0</v>
      </c>
      <c r="E147" t="str">
        <f>VLOOKUP(A147,'Loyd List 1-190 - Edit'!$P$2:$Q$196,2,FALSE)</f>
        <v>Tony (145): 1963–</v>
      </c>
      <c r="F147">
        <v>1</v>
      </c>
      <c r="J147" s="116">
        <v>34</v>
      </c>
      <c r="K147" s="116">
        <f t="shared" si="32"/>
        <v>4</v>
      </c>
      <c r="L147">
        <f t="shared" si="33"/>
        <v>1879</v>
      </c>
      <c r="M147" s="116">
        <f t="shared" si="31"/>
        <v>4</v>
      </c>
    </row>
    <row r="148" spans="1:13">
      <c r="A148" s="101">
        <f t="shared" si="30"/>
        <v>146</v>
      </c>
      <c r="B148">
        <v>6</v>
      </c>
      <c r="C148">
        <f>VLOOKUP(A148,'Loyd List 1-190 - Edit'!$A$1:$B$192,2,FALSE)</f>
        <v>6</v>
      </c>
      <c r="D148">
        <f t="shared" si="29"/>
        <v>0</v>
      </c>
      <c r="E148" t="str">
        <f>VLOOKUP(A148,'Loyd List 1-190 - Edit'!$P$2:$Q$196,2,FALSE)</f>
        <v>Charles (146): 1963–</v>
      </c>
      <c r="F148">
        <v>1</v>
      </c>
      <c r="J148" s="116">
        <v>34</v>
      </c>
      <c r="K148" s="116">
        <f t="shared" si="32"/>
        <v>4</v>
      </c>
      <c r="L148">
        <f t="shared" si="33"/>
        <v>1880</v>
      </c>
      <c r="M148" s="116">
        <f t="shared" ref="M148:M170" si="34">K148</f>
        <v>4</v>
      </c>
    </row>
    <row r="149" spans="1:13">
      <c r="A149" s="101">
        <f t="shared" si="30"/>
        <v>147</v>
      </c>
      <c r="B149">
        <v>6</v>
      </c>
      <c r="C149">
        <f>VLOOKUP(A149,'Loyd List 1-190 - Edit'!$A$1:$B$192,2,FALSE)</f>
        <v>6</v>
      </c>
      <c r="D149">
        <f t="shared" si="29"/>
        <v>0</v>
      </c>
      <c r="E149" t="str">
        <f>VLOOKUP(A149,'Loyd List 1-190 - Edit'!$P$2:$Q$196,2,FALSE)</f>
        <v>Susannah (147): 1965–</v>
      </c>
      <c r="F149">
        <v>1</v>
      </c>
      <c r="G149" t="s">
        <v>4091</v>
      </c>
      <c r="J149" s="116">
        <v>34</v>
      </c>
      <c r="K149" s="116">
        <f t="shared" si="32"/>
        <v>4</v>
      </c>
      <c r="L149">
        <f t="shared" si="33"/>
        <v>1881</v>
      </c>
      <c r="M149" s="116">
        <f t="shared" si="34"/>
        <v>4</v>
      </c>
    </row>
    <row r="150" spans="1:13">
      <c r="A150" s="101">
        <f t="shared" si="30"/>
        <v>148</v>
      </c>
      <c r="B150">
        <v>6</v>
      </c>
      <c r="C150">
        <f>VLOOKUP(A150,'Loyd List 1-190 - Edit'!$A$1:$B$192,2,FALSE)</f>
        <v>6</v>
      </c>
      <c r="D150">
        <f t="shared" si="29"/>
        <v>0</v>
      </c>
      <c r="E150" t="str">
        <f>VLOOKUP(A150,'Loyd List 1-190 - Edit'!$P$2:$Q$196,2,FALSE)</f>
        <v>Toby (148): 1966–1966</v>
      </c>
      <c r="F150">
        <v>2</v>
      </c>
      <c r="J150" s="116">
        <v>34</v>
      </c>
      <c r="K150" s="116">
        <f t="shared" si="32"/>
        <v>4</v>
      </c>
      <c r="L150">
        <f t="shared" si="33"/>
        <v>1882</v>
      </c>
      <c r="M150" s="116">
        <f t="shared" si="34"/>
        <v>4</v>
      </c>
    </row>
    <row r="151" spans="1:13">
      <c r="A151" s="101">
        <f t="shared" si="30"/>
        <v>149</v>
      </c>
      <c r="B151">
        <v>6</v>
      </c>
      <c r="C151">
        <f>VLOOKUP(A151,'Loyd List 1-190 - Edit'!$A$1:$B$192,2,FALSE)</f>
        <v>6</v>
      </c>
      <c r="D151">
        <f t="shared" si="29"/>
        <v>0</v>
      </c>
      <c r="E151" t="str">
        <f>VLOOKUP(A151,'Loyd List 1-190 - Edit'!$P$2:$Q$196,2,FALSE)</f>
        <v>Anthony (149): 1966–</v>
      </c>
      <c r="F151">
        <v>1</v>
      </c>
      <c r="G151" t="s">
        <v>4280</v>
      </c>
      <c r="J151" s="116">
        <v>34</v>
      </c>
      <c r="K151" s="116">
        <f t="shared" si="32"/>
        <v>4</v>
      </c>
      <c r="L151">
        <f t="shared" si="33"/>
        <v>1883</v>
      </c>
      <c r="M151" s="116">
        <f t="shared" si="34"/>
        <v>4</v>
      </c>
    </row>
    <row r="152" spans="1:13">
      <c r="A152" s="101">
        <f t="shared" si="30"/>
        <v>150</v>
      </c>
      <c r="B152">
        <v>6</v>
      </c>
      <c r="C152">
        <f>VLOOKUP(A152,'Loyd List 1-190 - Edit'!$A$1:$B$192,2,FALSE)</f>
        <v>6</v>
      </c>
      <c r="D152">
        <f t="shared" si="29"/>
        <v>0</v>
      </c>
      <c r="E152" t="str">
        <f>VLOOKUP(A152,'Loyd List 1-190 - Edit'!$P$2:$Q$196,2,FALSE)</f>
        <v>James (150): 1966–</v>
      </c>
      <c r="F152">
        <v>1</v>
      </c>
      <c r="J152" s="116">
        <v>34</v>
      </c>
      <c r="K152" s="116">
        <f t="shared" si="32"/>
        <v>4</v>
      </c>
      <c r="L152">
        <f t="shared" si="33"/>
        <v>1884</v>
      </c>
      <c r="M152" s="116">
        <f t="shared" si="34"/>
        <v>4</v>
      </c>
    </row>
    <row r="153" spans="1:13">
      <c r="A153" s="101">
        <f t="shared" si="30"/>
        <v>151</v>
      </c>
      <c r="B153">
        <v>6</v>
      </c>
      <c r="C153">
        <f>VLOOKUP(A153,'Loyd List 1-190 - Edit'!$A$1:$B$192,2,FALSE)</f>
        <v>6</v>
      </c>
      <c r="D153">
        <f t="shared" si="29"/>
        <v>0</v>
      </c>
      <c r="E153" t="str">
        <f>VLOOKUP(A153,'Loyd List 1-190 - Edit'!$P$2:$Q$196,2,FALSE)</f>
        <v>Elspeth (151): 1967–</v>
      </c>
      <c r="F153">
        <v>1</v>
      </c>
      <c r="G153" t="s">
        <v>4091</v>
      </c>
      <c r="J153" s="116">
        <v>34</v>
      </c>
      <c r="K153" s="116">
        <f t="shared" si="32"/>
        <v>4</v>
      </c>
      <c r="L153">
        <f t="shared" si="33"/>
        <v>1885</v>
      </c>
      <c r="M153" s="116">
        <f t="shared" si="34"/>
        <v>4</v>
      </c>
    </row>
    <row r="154" spans="1:13">
      <c r="A154" s="101">
        <f t="shared" si="30"/>
        <v>152</v>
      </c>
      <c r="B154">
        <v>6</v>
      </c>
      <c r="C154">
        <f>VLOOKUP(A154,'Loyd List 1-190 - Edit'!$A$1:$B$192,2,FALSE)</f>
        <v>6</v>
      </c>
      <c r="D154">
        <f t="shared" si="29"/>
        <v>0</v>
      </c>
      <c r="E154" t="str">
        <f>VLOOKUP(A154,'Loyd List 1-190 - Edit'!$P$2:$Q$196,2,FALSE)</f>
        <v>Mary Rose (152): 1967–</v>
      </c>
      <c r="F154">
        <v>1</v>
      </c>
      <c r="J154" s="116">
        <v>34</v>
      </c>
      <c r="K154" s="116">
        <f t="shared" si="32"/>
        <v>4</v>
      </c>
      <c r="L154">
        <f t="shared" si="33"/>
        <v>1886</v>
      </c>
      <c r="M154" s="116">
        <f t="shared" si="34"/>
        <v>4</v>
      </c>
    </row>
    <row r="155" spans="1:13">
      <c r="A155" s="101">
        <f t="shared" si="30"/>
        <v>153</v>
      </c>
      <c r="B155">
        <v>6</v>
      </c>
      <c r="C155">
        <f>VLOOKUP(A155,'Loyd List 1-190 - Edit'!$A$1:$B$192,2,FALSE)</f>
        <v>6</v>
      </c>
      <c r="D155">
        <f t="shared" si="29"/>
        <v>0</v>
      </c>
      <c r="E155" t="str">
        <f>VLOOKUP(A155,'Loyd List 1-190 - Edit'!$P$2:$Q$196,2,FALSE)</f>
        <v>Richard (153): 1968–</v>
      </c>
      <c r="F155">
        <v>1</v>
      </c>
      <c r="G155" t="s">
        <v>4091</v>
      </c>
      <c r="J155" s="116">
        <v>34</v>
      </c>
      <c r="K155" s="116">
        <f t="shared" si="32"/>
        <v>4</v>
      </c>
      <c r="L155">
        <f t="shared" si="33"/>
        <v>1887</v>
      </c>
      <c r="M155" s="116">
        <f t="shared" si="34"/>
        <v>4</v>
      </c>
    </row>
    <row r="156" spans="1:13">
      <c r="A156" s="101">
        <f t="shared" si="30"/>
        <v>154</v>
      </c>
      <c r="B156">
        <v>6</v>
      </c>
      <c r="C156">
        <f>VLOOKUP(A156,'Loyd List 1-190 - Edit'!$A$1:$B$192,2,FALSE)</f>
        <v>6</v>
      </c>
      <c r="D156">
        <f t="shared" si="29"/>
        <v>0</v>
      </c>
      <c r="E156" t="str">
        <f>VLOOKUP(A156,'Loyd List 1-190 - Edit'!$P$2:$Q$196,2,FALSE)</f>
        <v>Sophie (154): 1969–</v>
      </c>
      <c r="F156">
        <v>1</v>
      </c>
      <c r="J156" s="116">
        <v>34</v>
      </c>
      <c r="K156" s="116">
        <f t="shared" ref="K156:K174" si="35">K155</f>
        <v>4</v>
      </c>
      <c r="L156">
        <f t="shared" si="33"/>
        <v>1888</v>
      </c>
      <c r="M156" s="116">
        <f t="shared" si="34"/>
        <v>4</v>
      </c>
    </row>
    <row r="157" spans="1:13">
      <c r="A157" s="101">
        <f t="shared" si="30"/>
        <v>155</v>
      </c>
      <c r="B157">
        <v>6</v>
      </c>
      <c r="C157">
        <f>VLOOKUP(A157,'Loyd List 1-190 - Edit'!$A$1:$B$192,2,FALSE)</f>
        <v>6</v>
      </c>
      <c r="D157">
        <f t="shared" si="29"/>
        <v>0</v>
      </c>
      <c r="E157" t="str">
        <f>VLOOKUP(A157,'Loyd List 1-190 - Edit'!$P$2:$Q$196,2,FALSE)</f>
        <v>William (155): 1973–</v>
      </c>
      <c r="F157">
        <v>1</v>
      </c>
      <c r="J157" s="116">
        <v>34</v>
      </c>
      <c r="K157" s="116">
        <f t="shared" si="35"/>
        <v>4</v>
      </c>
      <c r="L157">
        <f t="shared" si="33"/>
        <v>1889</v>
      </c>
      <c r="M157" s="116">
        <f t="shared" si="34"/>
        <v>4</v>
      </c>
    </row>
    <row r="158" spans="1:13">
      <c r="A158" s="101">
        <f t="shared" si="30"/>
        <v>156</v>
      </c>
      <c r="B158">
        <v>6</v>
      </c>
      <c r="C158">
        <f>VLOOKUP(A158,'Loyd List 1-190 - Edit'!$A$1:$B$192,2,FALSE)</f>
        <v>6</v>
      </c>
      <c r="D158">
        <f t="shared" si="29"/>
        <v>0</v>
      </c>
      <c r="E158" t="str">
        <f>VLOOKUP(A158,'Loyd List 1-190 - Edit'!$P$2:$Q$196,2,FALSE)</f>
        <v>Amy (156): 1975–</v>
      </c>
      <c r="F158">
        <v>1</v>
      </c>
      <c r="J158" s="116">
        <v>34</v>
      </c>
      <c r="K158" s="116">
        <f t="shared" si="35"/>
        <v>4</v>
      </c>
      <c r="L158">
        <f t="shared" si="33"/>
        <v>1890</v>
      </c>
      <c r="M158" s="116">
        <f t="shared" si="34"/>
        <v>4</v>
      </c>
    </row>
    <row r="159" spans="1:13">
      <c r="A159" s="101">
        <f t="shared" si="30"/>
        <v>157</v>
      </c>
      <c r="B159">
        <v>6</v>
      </c>
      <c r="C159">
        <f>VLOOKUP(A159,'Loyd List 1-190 - Edit'!$A$1:$B$192,2,FALSE)</f>
        <v>6</v>
      </c>
      <c r="D159">
        <f t="shared" si="29"/>
        <v>0</v>
      </c>
      <c r="E159" t="str">
        <f>VLOOKUP(A159,'Loyd List 1-190 - Edit'!$P$2:$Q$196,2,FALSE)</f>
        <v>Tess (157): 1975–</v>
      </c>
      <c r="F159">
        <v>1</v>
      </c>
      <c r="J159" s="116">
        <v>34</v>
      </c>
      <c r="K159" s="116">
        <f t="shared" si="35"/>
        <v>4</v>
      </c>
      <c r="L159">
        <f t="shared" si="33"/>
        <v>1891</v>
      </c>
      <c r="M159" s="116">
        <f t="shared" si="34"/>
        <v>4</v>
      </c>
    </row>
    <row r="160" spans="1:13">
      <c r="A160" s="101">
        <f t="shared" si="30"/>
        <v>158</v>
      </c>
      <c r="B160">
        <v>6</v>
      </c>
      <c r="C160">
        <f>VLOOKUP(A160,'Loyd List 1-190 - Edit'!$A$1:$B$192,2,FALSE)</f>
        <v>6</v>
      </c>
      <c r="D160">
        <f t="shared" si="29"/>
        <v>0</v>
      </c>
      <c r="E160" t="str">
        <f>VLOOKUP(A160,'Loyd List 1-190 - Edit'!$P$2:$Q$196,2,FALSE)</f>
        <v>Chloe (158): 1977–</v>
      </c>
      <c r="F160">
        <v>1</v>
      </c>
      <c r="J160" s="116">
        <v>34</v>
      </c>
      <c r="K160" s="116">
        <f t="shared" si="35"/>
        <v>4</v>
      </c>
      <c r="L160">
        <f t="shared" si="33"/>
        <v>1892</v>
      </c>
      <c r="M160" s="116">
        <f t="shared" si="34"/>
        <v>4</v>
      </c>
    </row>
    <row r="161" spans="1:13">
      <c r="A161" s="101">
        <f t="shared" si="30"/>
        <v>159</v>
      </c>
      <c r="B161">
        <v>6</v>
      </c>
      <c r="C161">
        <f>VLOOKUP(A161,'Loyd List 1-190 - Edit'!$A$1:$B$192,2,FALSE)</f>
        <v>6</v>
      </c>
      <c r="D161">
        <f t="shared" si="29"/>
        <v>0</v>
      </c>
      <c r="E161" t="str">
        <f>VLOOKUP(A161,'Loyd List 1-190 - Edit'!$P$2:$Q$196,2,FALSE)</f>
        <v>Daisy (159): 1979–</v>
      </c>
      <c r="F161">
        <v>1</v>
      </c>
      <c r="J161" s="116">
        <v>34</v>
      </c>
      <c r="K161" s="116">
        <f t="shared" si="35"/>
        <v>4</v>
      </c>
      <c r="L161">
        <f t="shared" si="33"/>
        <v>1893</v>
      </c>
      <c r="M161" s="116">
        <f t="shared" si="34"/>
        <v>4</v>
      </c>
    </row>
    <row r="162" spans="1:13">
      <c r="A162" s="101">
        <f t="shared" si="30"/>
        <v>160</v>
      </c>
      <c r="B162">
        <v>6</v>
      </c>
      <c r="C162">
        <f>VLOOKUP(A162,'Loyd List 1-190 - Edit'!$A$1:$B$192,2,FALSE)</f>
        <v>7</v>
      </c>
      <c r="D162">
        <f t="shared" si="29"/>
        <v>-1</v>
      </c>
      <c r="E162" t="str">
        <f>VLOOKUP(A162,'Loyd List 1-190 - Edit'!$P$2:$Q$196,2,FALSE)</f>
        <v>John (160): 1982–</v>
      </c>
      <c r="F162">
        <v>1</v>
      </c>
      <c r="J162" s="116">
        <v>34</v>
      </c>
      <c r="K162" s="116">
        <f t="shared" si="35"/>
        <v>4</v>
      </c>
      <c r="L162">
        <f t="shared" si="33"/>
        <v>1894</v>
      </c>
      <c r="M162" s="116">
        <f t="shared" si="34"/>
        <v>4</v>
      </c>
    </row>
    <row r="163" spans="1:13">
      <c r="A163" s="101">
        <f t="shared" si="30"/>
        <v>161</v>
      </c>
      <c r="B163">
        <v>6</v>
      </c>
      <c r="C163">
        <f>VLOOKUP(A163,'Loyd List 1-190 - Edit'!$A$1:$B$192,2,FALSE)</f>
        <v>6</v>
      </c>
      <c r="D163">
        <f t="shared" si="29"/>
        <v>0</v>
      </c>
      <c r="E163" t="str">
        <f>VLOOKUP(A163,'Loyd List 1-190 - Edit'!$P$2:$Q$196,2,FALSE)</f>
        <v>Molly (161): 1982–</v>
      </c>
      <c r="F163">
        <v>1</v>
      </c>
      <c r="J163" s="116">
        <v>34</v>
      </c>
      <c r="K163" s="116">
        <f t="shared" si="35"/>
        <v>4</v>
      </c>
      <c r="L163">
        <f t="shared" si="33"/>
        <v>1895</v>
      </c>
      <c r="M163" s="116">
        <f t="shared" si="34"/>
        <v>4</v>
      </c>
    </row>
    <row r="164" spans="1:13">
      <c r="A164" s="101">
        <f t="shared" si="30"/>
        <v>162</v>
      </c>
      <c r="B164">
        <v>7</v>
      </c>
      <c r="C164">
        <f>VLOOKUP(A164,'Loyd List 1-190 - Edit'!$A$1:$B$192,2,FALSE)</f>
        <v>7</v>
      </c>
      <c r="D164">
        <f t="shared" si="29"/>
        <v>0</v>
      </c>
      <c r="E164" t="str">
        <f>VLOOKUP(A164,'Loyd List 1-190 - Edit'!$P$2:$Q$196,2,FALSE)</f>
        <v>David (162): 1984–</v>
      </c>
      <c r="F164">
        <v>1</v>
      </c>
      <c r="J164" s="116">
        <v>34</v>
      </c>
      <c r="K164" s="116">
        <f t="shared" si="35"/>
        <v>4</v>
      </c>
      <c r="L164">
        <f t="shared" si="33"/>
        <v>1896</v>
      </c>
      <c r="M164" s="116">
        <f t="shared" si="34"/>
        <v>4</v>
      </c>
    </row>
    <row r="165" spans="1:13">
      <c r="A165" s="101">
        <f t="shared" si="30"/>
        <v>163</v>
      </c>
      <c r="B165">
        <v>7</v>
      </c>
      <c r="C165">
        <f>VLOOKUP(A165,'Loyd List 1-190 - Edit'!$A$1:$B$192,2,FALSE)</f>
        <v>6</v>
      </c>
      <c r="D165">
        <f t="shared" si="29"/>
        <v>1</v>
      </c>
      <c r="E165" t="str">
        <f>VLOOKUP(A165,'Loyd List 1-190 - Edit'!$P$2:$Q$196,2,FALSE)</f>
        <v>Harriet (163): 1984–</v>
      </c>
      <c r="F165">
        <v>1</v>
      </c>
      <c r="J165" s="116">
        <v>34</v>
      </c>
      <c r="K165" s="116">
        <f t="shared" si="35"/>
        <v>4</v>
      </c>
      <c r="L165">
        <f t="shared" si="33"/>
        <v>1897</v>
      </c>
      <c r="M165" s="116">
        <f t="shared" si="34"/>
        <v>4</v>
      </c>
    </row>
    <row r="166" spans="1:13">
      <c r="A166" s="101">
        <f t="shared" si="30"/>
        <v>164</v>
      </c>
      <c r="B166">
        <v>7</v>
      </c>
      <c r="C166">
        <f>VLOOKUP(A166,'Loyd List 1-190 - Edit'!$A$1:$B$192,2,FALSE)</f>
        <v>7</v>
      </c>
      <c r="D166">
        <f t="shared" si="29"/>
        <v>0</v>
      </c>
      <c r="E166" t="str">
        <f>VLOOKUP(A166,'Loyd List 1-190 - Edit'!$P$2:$Q$196,2,FALSE)</f>
        <v>Poppy (164): 1984–</v>
      </c>
      <c r="F166">
        <v>1</v>
      </c>
      <c r="J166" s="116">
        <v>34</v>
      </c>
      <c r="K166" s="116">
        <f t="shared" si="35"/>
        <v>4</v>
      </c>
      <c r="L166">
        <f t="shared" si="33"/>
        <v>1898</v>
      </c>
      <c r="M166" s="116">
        <f t="shared" si="34"/>
        <v>4</v>
      </c>
    </row>
    <row r="167" spans="1:13">
      <c r="A167" s="101">
        <f t="shared" si="30"/>
        <v>165</v>
      </c>
      <c r="B167">
        <v>7</v>
      </c>
      <c r="C167">
        <f>VLOOKUP(A167,'Loyd List 1-190 - Edit'!$A$1:$B$192,2,FALSE)</f>
        <v>7</v>
      </c>
      <c r="D167">
        <f t="shared" si="29"/>
        <v>0</v>
      </c>
      <c r="E167" t="str">
        <f>VLOOKUP(A167,'Loyd List 1-190 - Edit'!$P$2:$Q$196,2,FALSE)</f>
        <v>Rose (165): 1986–</v>
      </c>
      <c r="F167">
        <v>1</v>
      </c>
      <c r="J167" s="116">
        <v>34</v>
      </c>
      <c r="K167" s="116">
        <f t="shared" si="35"/>
        <v>4</v>
      </c>
      <c r="L167">
        <f t="shared" si="33"/>
        <v>1899</v>
      </c>
      <c r="M167" s="116">
        <f t="shared" si="34"/>
        <v>4</v>
      </c>
    </row>
    <row r="168" spans="1:13">
      <c r="A168" s="101">
        <f t="shared" si="30"/>
        <v>166</v>
      </c>
      <c r="B168">
        <v>7</v>
      </c>
      <c r="C168">
        <f>VLOOKUP(A168,'Loyd List 1-190 - Edit'!$A$1:$B$192,2,FALSE)</f>
        <v>7</v>
      </c>
      <c r="D168">
        <f t="shared" si="29"/>
        <v>0</v>
      </c>
      <c r="E168" t="str">
        <f>VLOOKUP(A168,'Loyd List 1-190 - Edit'!$P$2:$Q$196,2,FALSE)</f>
        <v>Gareth (166): 1988–</v>
      </c>
      <c r="F168">
        <v>1</v>
      </c>
      <c r="H168" t="s">
        <v>3842</v>
      </c>
      <c r="J168" s="116">
        <v>34</v>
      </c>
      <c r="K168" s="116">
        <f t="shared" si="35"/>
        <v>4</v>
      </c>
      <c r="L168">
        <f t="shared" si="33"/>
        <v>1900</v>
      </c>
      <c r="M168" s="116">
        <f t="shared" si="34"/>
        <v>4</v>
      </c>
    </row>
    <row r="169" spans="1:13">
      <c r="A169" s="101">
        <f t="shared" si="30"/>
        <v>167</v>
      </c>
      <c r="B169">
        <v>7</v>
      </c>
      <c r="C169">
        <f>VLOOKUP(A169,'Loyd List 1-190 - Edit'!$A$1:$B$192,2,FALSE)</f>
        <v>7</v>
      </c>
      <c r="D169">
        <f t="shared" si="29"/>
        <v>0</v>
      </c>
      <c r="E169" t="str">
        <f>VLOOKUP(A169,'Loyd List 1-190 - Edit'!$P$2:$Q$196,2,FALSE)</f>
        <v>Ben (167): 1988–</v>
      </c>
      <c r="F169">
        <v>1</v>
      </c>
      <c r="J169" s="116">
        <v>34</v>
      </c>
      <c r="K169" s="116">
        <f t="shared" si="35"/>
        <v>4</v>
      </c>
      <c r="L169">
        <f t="shared" si="33"/>
        <v>1901</v>
      </c>
      <c r="M169" s="116">
        <f t="shared" si="34"/>
        <v>4</v>
      </c>
    </row>
    <row r="170" spans="1:13">
      <c r="A170" s="101">
        <f t="shared" si="30"/>
        <v>168</v>
      </c>
      <c r="B170">
        <v>7</v>
      </c>
      <c r="C170">
        <f>VLOOKUP(A170,'Loyd List 1-190 - Edit'!$A$1:$B$192,2,FALSE)</f>
        <v>7</v>
      </c>
      <c r="D170">
        <f t="shared" si="29"/>
        <v>0</v>
      </c>
      <c r="E170" t="str">
        <f>VLOOKUP(A170,'Loyd List 1-190 - Edit'!$P$2:$Q$196,2,FALSE)</f>
        <v>Camilla (168): 1988–</v>
      </c>
      <c r="F170">
        <v>1</v>
      </c>
      <c r="J170" s="116">
        <v>34</v>
      </c>
      <c r="K170" s="116">
        <f t="shared" si="35"/>
        <v>4</v>
      </c>
      <c r="L170">
        <f t="shared" si="33"/>
        <v>1902</v>
      </c>
      <c r="M170" s="116">
        <f t="shared" si="34"/>
        <v>4</v>
      </c>
    </row>
    <row r="171" spans="1:13">
      <c r="A171" s="101">
        <f t="shared" si="30"/>
        <v>169</v>
      </c>
      <c r="B171">
        <v>7</v>
      </c>
      <c r="C171">
        <f>VLOOKUP(A171,'Loyd List 1-190 - Edit'!$A$1:$B$192,2,FALSE)</f>
        <v>7</v>
      </c>
      <c r="D171">
        <f t="shared" si="29"/>
        <v>0</v>
      </c>
      <c r="E171" t="str">
        <f>VLOOKUP(A171,'Loyd List 1-190 - Edit'!$P$2:$Q$196,2,FALSE)</f>
        <v>James (169): 1988–</v>
      </c>
      <c r="F171">
        <v>1</v>
      </c>
      <c r="J171" s="116">
        <v>37</v>
      </c>
      <c r="K171" s="116">
        <v>5</v>
      </c>
      <c r="L171">
        <v>1912</v>
      </c>
      <c r="M171" s="116">
        <f t="shared" ref="M171:M220" si="36">K171</f>
        <v>5</v>
      </c>
    </row>
    <row r="172" spans="1:13">
      <c r="A172" s="101">
        <f t="shared" si="30"/>
        <v>170</v>
      </c>
      <c r="B172">
        <v>7</v>
      </c>
      <c r="C172">
        <f>VLOOKUP(A172,'Loyd List 1-190 - Edit'!$A$1:$B$192,2,FALSE)</f>
        <v>7</v>
      </c>
      <c r="D172">
        <f t="shared" si="29"/>
        <v>0</v>
      </c>
      <c r="E172" t="str">
        <f>VLOOKUP(A172,'Loyd List 1-190 - Edit'!$P$2:$Q$196,2,FALSE)</f>
        <v>Sophie (170): 1989–</v>
      </c>
      <c r="F172">
        <v>1</v>
      </c>
      <c r="J172" s="116">
        <v>37</v>
      </c>
      <c r="K172" s="116">
        <f t="shared" si="35"/>
        <v>5</v>
      </c>
      <c r="L172">
        <f t="shared" ref="L172:L190" si="37">L171+1</f>
        <v>1913</v>
      </c>
      <c r="M172" s="116">
        <f t="shared" si="36"/>
        <v>5</v>
      </c>
    </row>
    <row r="173" spans="1:13">
      <c r="A173" s="101">
        <f t="shared" si="30"/>
        <v>171</v>
      </c>
      <c r="B173">
        <v>7</v>
      </c>
      <c r="C173">
        <f>VLOOKUP(A173,'Loyd List 1-190 - Edit'!$A$1:$B$192,2,FALSE)</f>
        <v>7</v>
      </c>
      <c r="D173">
        <f t="shared" si="29"/>
        <v>0</v>
      </c>
      <c r="E173" t="str">
        <f>VLOOKUP(A173,'Loyd List 1-190 - Edit'!$P$2:$Q$196,2,FALSE)</f>
        <v>Rupert (171): 1990–</v>
      </c>
      <c r="F173">
        <v>1</v>
      </c>
      <c r="J173" s="116">
        <v>37</v>
      </c>
      <c r="K173" s="116">
        <f t="shared" si="35"/>
        <v>5</v>
      </c>
      <c r="L173">
        <f t="shared" si="37"/>
        <v>1914</v>
      </c>
      <c r="M173" s="116">
        <f t="shared" si="36"/>
        <v>5</v>
      </c>
    </row>
    <row r="174" spans="1:13">
      <c r="A174" s="101">
        <f t="shared" si="30"/>
        <v>172</v>
      </c>
      <c r="B174">
        <v>7</v>
      </c>
      <c r="C174">
        <f>VLOOKUP(A174,'Loyd List 1-190 - Edit'!$A$1:$B$192,2,FALSE)</f>
        <v>7</v>
      </c>
      <c r="D174">
        <f t="shared" si="29"/>
        <v>0</v>
      </c>
      <c r="E174" t="str">
        <f>VLOOKUP(A174,'Loyd List 1-190 - Edit'!$P$2:$Q$196,2,FALSE)</f>
        <v>Florina (172): 1991–</v>
      </c>
      <c r="F174">
        <v>1</v>
      </c>
      <c r="J174" s="116">
        <v>37</v>
      </c>
      <c r="K174" s="116">
        <f t="shared" si="35"/>
        <v>5</v>
      </c>
      <c r="L174">
        <f t="shared" si="37"/>
        <v>1915</v>
      </c>
      <c r="M174" s="116">
        <f t="shared" si="36"/>
        <v>5</v>
      </c>
    </row>
    <row r="175" spans="1:13">
      <c r="A175" s="101">
        <f t="shared" si="30"/>
        <v>173</v>
      </c>
      <c r="B175">
        <v>7</v>
      </c>
      <c r="C175">
        <f>VLOOKUP(A175,'Loyd List 1-190 - Edit'!$A$1:$B$192,2,FALSE)</f>
        <v>7</v>
      </c>
      <c r="D175">
        <f t="shared" si="29"/>
        <v>0</v>
      </c>
      <c r="E175" t="str">
        <f>VLOOKUP(A175,'Loyd List 1-190 - Edit'!$P$2:$Q$196,2,FALSE)</f>
        <v>Curtis (173): 1992–</v>
      </c>
      <c r="F175">
        <v>1</v>
      </c>
      <c r="J175" s="116">
        <v>37</v>
      </c>
      <c r="K175" s="116">
        <f t="shared" ref="K175:K220" si="38">K174</f>
        <v>5</v>
      </c>
      <c r="L175">
        <f t="shared" si="37"/>
        <v>1916</v>
      </c>
      <c r="M175" s="116">
        <f t="shared" si="36"/>
        <v>5</v>
      </c>
    </row>
    <row r="176" spans="1:13">
      <c r="A176" s="101">
        <f t="shared" si="30"/>
        <v>174</v>
      </c>
      <c r="B176">
        <v>7</v>
      </c>
      <c r="C176">
        <f>VLOOKUP(A176,'Loyd List 1-190 - Edit'!$A$1:$B$192,2,FALSE)</f>
        <v>7</v>
      </c>
      <c r="D176">
        <f t="shared" si="29"/>
        <v>0</v>
      </c>
      <c r="E176" t="str">
        <f>VLOOKUP(A176,'Loyd List 1-190 - Edit'!$P$2:$Q$196,2,FALSE)</f>
        <v>Tabitha (174): 1992–</v>
      </c>
      <c r="F176">
        <v>1</v>
      </c>
      <c r="J176" s="116">
        <v>37</v>
      </c>
      <c r="K176" s="116">
        <f t="shared" si="38"/>
        <v>5</v>
      </c>
      <c r="L176">
        <f t="shared" si="37"/>
        <v>1917</v>
      </c>
      <c r="M176" s="116">
        <f t="shared" si="36"/>
        <v>5</v>
      </c>
    </row>
    <row r="177" spans="1:13">
      <c r="A177" s="101">
        <f t="shared" si="30"/>
        <v>175</v>
      </c>
      <c r="B177">
        <v>7</v>
      </c>
      <c r="C177">
        <f>VLOOKUP(A177,'Loyd List 1-190 - Edit'!$A$1:$B$192,2,FALSE)</f>
        <v>7</v>
      </c>
      <c r="D177">
        <f t="shared" si="29"/>
        <v>0</v>
      </c>
      <c r="E177" t="str">
        <f>VLOOKUP(A177,'Loyd List 1-190 - Edit'!$P$2:$Q$196,2,FALSE)</f>
        <v>Kit (175): 1993–</v>
      </c>
      <c r="F177">
        <v>1</v>
      </c>
      <c r="J177" s="116">
        <v>37</v>
      </c>
      <c r="K177" s="116">
        <f t="shared" si="38"/>
        <v>5</v>
      </c>
      <c r="L177">
        <f t="shared" si="37"/>
        <v>1918</v>
      </c>
      <c r="M177" s="116">
        <f t="shared" si="36"/>
        <v>5</v>
      </c>
    </row>
    <row r="178" spans="1:13">
      <c r="A178" s="101">
        <f t="shared" si="30"/>
        <v>176</v>
      </c>
      <c r="B178">
        <v>7</v>
      </c>
      <c r="C178">
        <f>VLOOKUP(A178,'Loyd List 1-190 - Edit'!$A$1:$B$192,2,FALSE)</f>
        <v>7</v>
      </c>
      <c r="D178">
        <f t="shared" si="29"/>
        <v>0</v>
      </c>
      <c r="E178" t="str">
        <f>VLOOKUP(A178,'Loyd List 1-190 - Edit'!$P$2:$Q$196,2,FALSE)</f>
        <v>Sam (176): 1994–</v>
      </c>
      <c r="F178">
        <v>1</v>
      </c>
      <c r="J178" s="116">
        <v>37</v>
      </c>
      <c r="K178" s="116">
        <f t="shared" si="38"/>
        <v>5</v>
      </c>
      <c r="L178">
        <f t="shared" si="37"/>
        <v>1919</v>
      </c>
      <c r="M178" s="116">
        <f t="shared" si="36"/>
        <v>5</v>
      </c>
    </row>
    <row r="179" spans="1:13">
      <c r="A179" s="101">
        <f t="shared" si="30"/>
        <v>177</v>
      </c>
      <c r="B179">
        <v>7</v>
      </c>
      <c r="C179">
        <f>VLOOKUP(A179,'Loyd List 1-190 - Edit'!$A$1:$B$192,2,FALSE)</f>
        <v>7</v>
      </c>
      <c r="D179">
        <f t="shared" si="29"/>
        <v>0</v>
      </c>
      <c r="E179" t="str">
        <f>VLOOKUP(A179,'Loyd List 1-190 - Edit'!$P$2:$Q$196,2,FALSE)</f>
        <v>Spencer (177): 1995–</v>
      </c>
      <c r="F179">
        <v>1</v>
      </c>
      <c r="J179" s="116">
        <v>37</v>
      </c>
      <c r="K179" s="116">
        <f t="shared" si="38"/>
        <v>5</v>
      </c>
      <c r="L179">
        <f t="shared" si="37"/>
        <v>1920</v>
      </c>
      <c r="M179" s="116">
        <f t="shared" si="36"/>
        <v>5</v>
      </c>
    </row>
    <row r="180" spans="1:13">
      <c r="A180" s="101">
        <f t="shared" si="30"/>
        <v>178</v>
      </c>
      <c r="B180">
        <v>7</v>
      </c>
      <c r="C180">
        <f>VLOOKUP(A180,'Loyd List 1-190 - Edit'!$A$1:$B$192,2,FALSE)</f>
        <v>7</v>
      </c>
      <c r="D180">
        <f t="shared" si="29"/>
        <v>0</v>
      </c>
      <c r="E180" t="str">
        <f>VLOOKUP(A180,'Loyd List 1-190 - Edit'!$P$2:$Q$196,2,FALSE)</f>
        <v>William (178): 1996–</v>
      </c>
      <c r="F180">
        <v>1</v>
      </c>
      <c r="J180" s="116">
        <v>37</v>
      </c>
      <c r="K180" s="116">
        <f t="shared" si="38"/>
        <v>5</v>
      </c>
      <c r="L180">
        <f t="shared" si="37"/>
        <v>1921</v>
      </c>
      <c r="M180" s="116">
        <f t="shared" si="36"/>
        <v>5</v>
      </c>
    </row>
    <row r="181" spans="1:13">
      <c r="A181" s="101">
        <f t="shared" si="30"/>
        <v>179</v>
      </c>
      <c r="B181">
        <v>7</v>
      </c>
      <c r="C181">
        <f>VLOOKUP(A181,'Loyd List 1-190 - Edit'!$A$1:$B$192,2,FALSE)</f>
        <v>7</v>
      </c>
      <c r="D181">
        <f t="shared" si="29"/>
        <v>0</v>
      </c>
      <c r="E181" t="str">
        <f>VLOOKUP(A181,'Loyd List 1-190 - Edit'!$P$2:$Q$196,2,FALSE)</f>
        <v>Josh (179): 1996–</v>
      </c>
      <c r="F181">
        <v>1</v>
      </c>
      <c r="J181" s="116">
        <v>37</v>
      </c>
      <c r="K181" s="116">
        <f t="shared" si="38"/>
        <v>5</v>
      </c>
      <c r="L181">
        <f t="shared" si="37"/>
        <v>1922</v>
      </c>
      <c r="M181" s="116">
        <f t="shared" si="36"/>
        <v>5</v>
      </c>
    </row>
    <row r="182" spans="1:13">
      <c r="A182" s="101">
        <f t="shared" si="30"/>
        <v>180</v>
      </c>
      <c r="B182">
        <v>7</v>
      </c>
      <c r="C182">
        <f>VLOOKUP(A182,'Loyd List 1-190 - Edit'!$A$1:$B$192,2,FALSE)</f>
        <v>7</v>
      </c>
      <c r="D182">
        <f t="shared" si="29"/>
        <v>0</v>
      </c>
      <c r="E182" t="str">
        <f>VLOOKUP(A182,'Loyd List 1-190 - Edit'!$P$2:$Q$196,2,FALSE)</f>
        <v>George (180): 1998–</v>
      </c>
      <c r="F182">
        <v>1</v>
      </c>
      <c r="J182" s="116">
        <v>37</v>
      </c>
      <c r="K182" s="116">
        <f t="shared" si="38"/>
        <v>5</v>
      </c>
      <c r="L182">
        <f t="shared" si="37"/>
        <v>1923</v>
      </c>
      <c r="M182" s="116">
        <f t="shared" si="36"/>
        <v>5</v>
      </c>
    </row>
    <row r="183" spans="1:13">
      <c r="A183" s="101">
        <f t="shared" si="30"/>
        <v>181</v>
      </c>
      <c r="B183">
        <v>7</v>
      </c>
      <c r="C183">
        <f>VLOOKUP(A183,'Loyd List 1-190 - Edit'!$A$1:$B$192,2,FALSE)</f>
        <v>7</v>
      </c>
      <c r="D183">
        <f t="shared" si="29"/>
        <v>0</v>
      </c>
      <c r="E183" t="str">
        <f>VLOOKUP(A183,'Loyd List 1-190 - Edit'!$P$2:$Q$196,2,FALSE)</f>
        <v>Eliza (181): 1999–</v>
      </c>
      <c r="F183">
        <v>1</v>
      </c>
      <c r="J183" s="116">
        <v>37</v>
      </c>
      <c r="K183" s="116">
        <f t="shared" si="38"/>
        <v>5</v>
      </c>
      <c r="L183">
        <f t="shared" si="37"/>
        <v>1924</v>
      </c>
      <c r="M183" s="116">
        <f t="shared" si="36"/>
        <v>5</v>
      </c>
    </row>
    <row r="184" spans="1:13">
      <c r="A184" s="101">
        <f t="shared" si="30"/>
        <v>182</v>
      </c>
      <c r="B184">
        <v>7</v>
      </c>
      <c r="C184">
        <f>VLOOKUP(A184,'Loyd List 1-190 - Edit'!$A$1:$B$192,2,FALSE)</f>
        <v>7</v>
      </c>
      <c r="D184">
        <f t="shared" si="29"/>
        <v>0</v>
      </c>
      <c r="E184" t="str">
        <f>VLOOKUP(A184,'Loyd List 1-190 - Edit'!$P$2:$Q$196,2,FALSE)</f>
        <v>Rosanna (182): 2000–</v>
      </c>
      <c r="F184">
        <v>1</v>
      </c>
      <c r="J184" s="116">
        <v>37</v>
      </c>
      <c r="K184" s="116">
        <f t="shared" si="38"/>
        <v>5</v>
      </c>
      <c r="L184">
        <f t="shared" si="37"/>
        <v>1925</v>
      </c>
      <c r="M184" s="116">
        <f t="shared" si="36"/>
        <v>5</v>
      </c>
    </row>
    <row r="185" spans="1:13">
      <c r="A185" s="101">
        <f>A184+1</f>
        <v>183</v>
      </c>
      <c r="B185">
        <v>7</v>
      </c>
      <c r="C185">
        <f>VLOOKUP(A185,'Loyd List 1-190 - Edit'!$A$1:$B$192,2,FALSE)</f>
        <v>7</v>
      </c>
      <c r="D185">
        <f t="shared" si="29"/>
        <v>0</v>
      </c>
      <c r="E185" t="str">
        <f>VLOOKUP(A185,'Loyd List 1-190 - Edit'!$P$2:$Q$196,2,FALSE)</f>
        <v>Matilda (183): 2006–</v>
      </c>
      <c r="F185">
        <v>1</v>
      </c>
      <c r="J185" s="116">
        <v>37</v>
      </c>
      <c r="K185" s="116">
        <f t="shared" si="38"/>
        <v>5</v>
      </c>
      <c r="L185">
        <f t="shared" si="37"/>
        <v>1926</v>
      </c>
      <c r="M185" s="116">
        <f t="shared" si="36"/>
        <v>5</v>
      </c>
    </row>
    <row r="186" spans="1:13">
      <c r="A186" s="101">
        <f t="shared" ref="A186:A191" si="39">A185+1</f>
        <v>184</v>
      </c>
      <c r="B186">
        <v>7</v>
      </c>
      <c r="C186">
        <f>VLOOKUP(A186,'Loyd List 1-190 - Edit'!$A$1:$B$192,2,FALSE)</f>
        <v>7</v>
      </c>
      <c r="D186">
        <f t="shared" si="29"/>
        <v>0</v>
      </c>
      <c r="E186" t="str">
        <f>VLOOKUP(A186,'Loyd List 1-190 - Edit'!$P$2:$Q$196,2,FALSE)</f>
        <v>Delilah (184): 2006–</v>
      </c>
      <c r="F186">
        <v>1</v>
      </c>
      <c r="G186" t="s">
        <v>4281</v>
      </c>
      <c r="J186" s="116">
        <v>37</v>
      </c>
      <c r="K186" s="116">
        <f t="shared" si="38"/>
        <v>5</v>
      </c>
      <c r="L186">
        <f t="shared" si="37"/>
        <v>1927</v>
      </c>
      <c r="M186" s="116">
        <f t="shared" si="36"/>
        <v>5</v>
      </c>
    </row>
    <row r="187" spans="1:13">
      <c r="A187" s="101">
        <f t="shared" si="39"/>
        <v>185</v>
      </c>
      <c r="B187">
        <v>7</v>
      </c>
      <c r="C187">
        <f>VLOOKUP(A187,'Loyd List 1-190 - Edit'!$A$1:$B$192,2,FALSE)</f>
        <v>7</v>
      </c>
      <c r="D187">
        <f t="shared" si="29"/>
        <v>0</v>
      </c>
      <c r="E187" t="str">
        <f>VLOOKUP(A187,'Loyd List 1-190 - Edit'!$P$2:$Q$196,2,FALSE)</f>
        <v>Katherine (185): 2007–</v>
      </c>
      <c r="F187">
        <v>1</v>
      </c>
      <c r="J187" s="116">
        <v>37</v>
      </c>
      <c r="K187" s="116">
        <f t="shared" si="38"/>
        <v>5</v>
      </c>
      <c r="L187">
        <f t="shared" si="37"/>
        <v>1928</v>
      </c>
      <c r="M187" s="116">
        <f t="shared" si="36"/>
        <v>5</v>
      </c>
    </row>
    <row r="188" spans="1:13">
      <c r="A188" s="101">
        <f t="shared" si="39"/>
        <v>186</v>
      </c>
      <c r="B188">
        <v>7</v>
      </c>
      <c r="C188">
        <f>VLOOKUP(A188,'Loyd List 1-190 - Edit'!$A$1:$B$192,2,FALSE)</f>
        <v>7</v>
      </c>
      <c r="D188">
        <f t="shared" si="29"/>
        <v>0</v>
      </c>
      <c r="E188" t="str">
        <f>VLOOKUP(A188,'Loyd List 1-190 - Edit'!$P$2:$Q$196,2,FALSE)</f>
        <v>Henry (186): 2010–</v>
      </c>
      <c r="F188">
        <v>1</v>
      </c>
      <c r="J188" s="116">
        <v>37</v>
      </c>
      <c r="K188" s="116">
        <f t="shared" si="38"/>
        <v>5</v>
      </c>
      <c r="L188">
        <f t="shared" si="37"/>
        <v>1929</v>
      </c>
      <c r="M188" s="116">
        <f t="shared" si="36"/>
        <v>5</v>
      </c>
    </row>
    <row r="189" spans="1:13">
      <c r="A189" s="101">
        <f t="shared" si="39"/>
        <v>187</v>
      </c>
      <c r="B189">
        <v>8</v>
      </c>
      <c r="C189">
        <f>VLOOKUP(A189,'Loyd List 1-190 - Edit'!$A$1:$B$192,2,FALSE)</f>
        <v>8</v>
      </c>
      <c r="D189">
        <f t="shared" si="29"/>
        <v>0</v>
      </c>
      <c r="E189" t="str">
        <f>VLOOKUP(A189,'Loyd List 1-190 - Edit'!$P$2:$Q$196,2,FALSE)</f>
        <v>Olivia (187): 2014–</v>
      </c>
      <c r="F189">
        <v>1</v>
      </c>
      <c r="J189" s="116">
        <v>37</v>
      </c>
      <c r="K189" s="116">
        <f t="shared" si="38"/>
        <v>5</v>
      </c>
      <c r="L189">
        <f t="shared" si="37"/>
        <v>1930</v>
      </c>
      <c r="M189" s="116">
        <f t="shared" si="36"/>
        <v>5</v>
      </c>
    </row>
    <row r="190" spans="1:13">
      <c r="A190" s="101">
        <f t="shared" si="39"/>
        <v>188</v>
      </c>
      <c r="B190">
        <v>8</v>
      </c>
      <c r="C190">
        <f>VLOOKUP(A190,'Loyd List 1-190 - Edit'!$A$1:$B$192,2,FALSE)</f>
        <v>8</v>
      </c>
      <c r="D190">
        <f t="shared" si="29"/>
        <v>0</v>
      </c>
      <c r="E190" t="str">
        <f>VLOOKUP(A190,'Loyd List 1-190 - Edit'!$P$2:$Q$196,2,FALSE)</f>
        <v>Archie (188): 2017–</v>
      </c>
      <c r="F190">
        <v>1</v>
      </c>
      <c r="J190" s="116">
        <v>37</v>
      </c>
      <c r="K190" s="116">
        <f t="shared" si="38"/>
        <v>5</v>
      </c>
      <c r="L190">
        <f t="shared" si="37"/>
        <v>1931</v>
      </c>
      <c r="M190" s="116">
        <f t="shared" si="36"/>
        <v>5</v>
      </c>
    </row>
    <row r="191" spans="1:13">
      <c r="A191" s="101">
        <f t="shared" si="39"/>
        <v>189</v>
      </c>
      <c r="B191">
        <v>8</v>
      </c>
      <c r="C191">
        <f>VLOOKUP(A191,'Loyd List 1-190 - Edit'!$A$1:$B$192,2,FALSE)</f>
        <v>8</v>
      </c>
      <c r="D191">
        <f t="shared" si="29"/>
        <v>0</v>
      </c>
      <c r="E191" t="str">
        <f>VLOOKUP(A191,'Loyd List 1-190 - Edit'!$P$2:$Q$196,2,FALSE)</f>
        <v>Rory (189): 2019–</v>
      </c>
      <c r="F191">
        <v>1</v>
      </c>
      <c r="J191" s="116">
        <v>37</v>
      </c>
      <c r="K191" s="116">
        <f t="shared" si="38"/>
        <v>5</v>
      </c>
      <c r="L191">
        <f t="shared" ref="L191:L220" si="40">L190+1</f>
        <v>1932</v>
      </c>
      <c r="M191" s="116">
        <f t="shared" si="36"/>
        <v>5</v>
      </c>
    </row>
    <row r="192" spans="1:13">
      <c r="A192" s="101">
        <f>A191+1</f>
        <v>190</v>
      </c>
      <c r="B192">
        <v>8</v>
      </c>
      <c r="C192">
        <f>VLOOKUP(A192,'Loyd List 1-190 - Edit'!$A$1:$B$192,2,FALSE)</f>
        <v>8</v>
      </c>
      <c r="D192">
        <f t="shared" si="29"/>
        <v>0</v>
      </c>
      <c r="E192" t="str">
        <f>VLOOKUP(A192,'Loyd List 1-190 - Edit'!$P$2:$Q$196,2,FALSE)</f>
        <v>Daisy (190): 2021–</v>
      </c>
      <c r="F192">
        <v>1</v>
      </c>
      <c r="J192" s="116">
        <v>37</v>
      </c>
      <c r="K192" s="116">
        <f t="shared" si="38"/>
        <v>5</v>
      </c>
      <c r="L192">
        <f t="shared" si="40"/>
        <v>1933</v>
      </c>
      <c r="M192" s="116">
        <f t="shared" si="36"/>
        <v>5</v>
      </c>
    </row>
    <row r="193" spans="10:13">
      <c r="J193" s="116">
        <v>37</v>
      </c>
      <c r="K193" s="116">
        <f t="shared" si="38"/>
        <v>5</v>
      </c>
      <c r="L193">
        <f t="shared" si="40"/>
        <v>1934</v>
      </c>
      <c r="M193" s="116">
        <f t="shared" si="36"/>
        <v>5</v>
      </c>
    </row>
    <row r="194" spans="10:13">
      <c r="J194" s="116">
        <v>37</v>
      </c>
      <c r="K194" s="116">
        <f t="shared" si="38"/>
        <v>5</v>
      </c>
      <c r="L194">
        <f t="shared" si="40"/>
        <v>1935</v>
      </c>
      <c r="M194" s="116">
        <f t="shared" si="36"/>
        <v>5</v>
      </c>
    </row>
    <row r="195" spans="10:13">
      <c r="J195" s="116">
        <v>37</v>
      </c>
      <c r="K195" s="116">
        <f t="shared" si="38"/>
        <v>5</v>
      </c>
      <c r="L195">
        <f t="shared" si="40"/>
        <v>1936</v>
      </c>
      <c r="M195" s="116">
        <f t="shared" si="36"/>
        <v>5</v>
      </c>
    </row>
    <row r="196" spans="10:13">
      <c r="J196" s="116">
        <v>37</v>
      </c>
      <c r="K196" s="116">
        <f t="shared" si="38"/>
        <v>5</v>
      </c>
      <c r="L196">
        <f t="shared" si="40"/>
        <v>1937</v>
      </c>
      <c r="M196" s="116">
        <f t="shared" si="36"/>
        <v>5</v>
      </c>
    </row>
    <row r="197" spans="10:13">
      <c r="J197" s="116">
        <v>37</v>
      </c>
      <c r="K197" s="116">
        <f t="shared" si="38"/>
        <v>5</v>
      </c>
      <c r="L197">
        <f t="shared" si="40"/>
        <v>1938</v>
      </c>
      <c r="M197" s="116">
        <f t="shared" si="36"/>
        <v>5</v>
      </c>
    </row>
    <row r="198" spans="10:13">
      <c r="J198" s="116">
        <v>37</v>
      </c>
      <c r="K198" s="116">
        <f t="shared" si="38"/>
        <v>5</v>
      </c>
      <c r="L198">
        <f t="shared" si="40"/>
        <v>1939</v>
      </c>
      <c r="M198" s="116">
        <f t="shared" si="36"/>
        <v>5</v>
      </c>
    </row>
    <row r="199" spans="10:13">
      <c r="J199" s="116">
        <v>37</v>
      </c>
      <c r="K199" s="116">
        <f t="shared" si="38"/>
        <v>5</v>
      </c>
      <c r="L199">
        <f t="shared" si="40"/>
        <v>1940</v>
      </c>
      <c r="M199" s="116">
        <f t="shared" si="36"/>
        <v>5</v>
      </c>
    </row>
    <row r="200" spans="10:13">
      <c r="J200" s="116">
        <v>37</v>
      </c>
      <c r="K200" s="116">
        <f t="shared" si="38"/>
        <v>5</v>
      </c>
      <c r="L200">
        <f t="shared" si="40"/>
        <v>1941</v>
      </c>
      <c r="M200" s="116">
        <f t="shared" si="36"/>
        <v>5</v>
      </c>
    </row>
    <row r="201" spans="10:13">
      <c r="J201" s="116">
        <v>37</v>
      </c>
      <c r="K201" s="116">
        <f t="shared" si="38"/>
        <v>5</v>
      </c>
      <c r="L201">
        <f t="shared" si="40"/>
        <v>1942</v>
      </c>
      <c r="M201" s="116">
        <f t="shared" si="36"/>
        <v>5</v>
      </c>
    </row>
    <row r="202" spans="10:13">
      <c r="J202" s="116">
        <v>37</v>
      </c>
      <c r="K202" s="116">
        <f t="shared" si="38"/>
        <v>5</v>
      </c>
      <c r="L202">
        <f t="shared" si="40"/>
        <v>1943</v>
      </c>
      <c r="M202" s="116">
        <f t="shared" si="36"/>
        <v>5</v>
      </c>
    </row>
    <row r="203" spans="10:13">
      <c r="J203" s="116">
        <v>37</v>
      </c>
      <c r="K203" s="116">
        <f t="shared" si="38"/>
        <v>5</v>
      </c>
      <c r="L203">
        <f t="shared" si="40"/>
        <v>1944</v>
      </c>
      <c r="M203" s="116">
        <f t="shared" si="36"/>
        <v>5</v>
      </c>
    </row>
    <row r="204" spans="10:13">
      <c r="J204" s="116">
        <v>37</v>
      </c>
      <c r="K204" s="116">
        <f t="shared" si="38"/>
        <v>5</v>
      </c>
      <c r="L204">
        <f t="shared" si="40"/>
        <v>1945</v>
      </c>
      <c r="M204" s="116">
        <f t="shared" si="36"/>
        <v>5</v>
      </c>
    </row>
    <row r="205" spans="10:13">
      <c r="J205" s="116">
        <v>37</v>
      </c>
      <c r="K205" s="116">
        <f t="shared" si="38"/>
        <v>5</v>
      </c>
      <c r="L205">
        <f t="shared" si="40"/>
        <v>1946</v>
      </c>
      <c r="M205" s="116">
        <f t="shared" si="36"/>
        <v>5</v>
      </c>
    </row>
    <row r="206" spans="10:13">
      <c r="J206" s="116">
        <v>37</v>
      </c>
      <c r="K206" s="116">
        <f t="shared" si="38"/>
        <v>5</v>
      </c>
      <c r="L206">
        <f t="shared" si="40"/>
        <v>1947</v>
      </c>
      <c r="M206" s="116">
        <f t="shared" si="36"/>
        <v>5</v>
      </c>
    </row>
    <row r="207" spans="10:13">
      <c r="J207" s="116">
        <v>37</v>
      </c>
      <c r="K207" s="116">
        <f t="shared" si="38"/>
        <v>5</v>
      </c>
      <c r="L207">
        <f t="shared" si="40"/>
        <v>1948</v>
      </c>
      <c r="M207" s="116">
        <f t="shared" si="36"/>
        <v>5</v>
      </c>
    </row>
    <row r="208" spans="10:13">
      <c r="J208" s="116">
        <v>37</v>
      </c>
      <c r="K208" s="116">
        <f t="shared" si="38"/>
        <v>5</v>
      </c>
      <c r="L208">
        <f t="shared" si="40"/>
        <v>1949</v>
      </c>
      <c r="M208" s="116">
        <f t="shared" si="36"/>
        <v>5</v>
      </c>
    </row>
    <row r="209" spans="10:13">
      <c r="J209" s="116">
        <v>37</v>
      </c>
      <c r="K209" s="116">
        <f t="shared" si="38"/>
        <v>5</v>
      </c>
      <c r="L209">
        <f t="shared" si="40"/>
        <v>1950</v>
      </c>
      <c r="M209" s="116">
        <f t="shared" si="36"/>
        <v>5</v>
      </c>
    </row>
    <row r="210" spans="10:13">
      <c r="J210" s="116">
        <v>37</v>
      </c>
      <c r="K210" s="116">
        <f t="shared" si="38"/>
        <v>5</v>
      </c>
      <c r="L210">
        <f t="shared" si="40"/>
        <v>1951</v>
      </c>
      <c r="M210" s="116">
        <f t="shared" si="36"/>
        <v>5</v>
      </c>
    </row>
    <row r="211" spans="10:13">
      <c r="J211" s="116">
        <v>37</v>
      </c>
      <c r="K211" s="116">
        <f t="shared" si="38"/>
        <v>5</v>
      </c>
      <c r="L211">
        <f t="shared" si="40"/>
        <v>1952</v>
      </c>
      <c r="M211" s="116">
        <f t="shared" si="36"/>
        <v>5</v>
      </c>
    </row>
    <row r="212" spans="10:13">
      <c r="J212" s="116">
        <v>37</v>
      </c>
      <c r="K212" s="116">
        <f t="shared" si="38"/>
        <v>5</v>
      </c>
      <c r="L212">
        <f t="shared" si="40"/>
        <v>1953</v>
      </c>
      <c r="M212" s="116">
        <f t="shared" si="36"/>
        <v>5</v>
      </c>
    </row>
    <row r="213" spans="10:13">
      <c r="J213" s="116">
        <v>37</v>
      </c>
      <c r="K213" s="116">
        <f t="shared" si="38"/>
        <v>5</v>
      </c>
      <c r="L213">
        <f t="shared" si="40"/>
        <v>1954</v>
      </c>
      <c r="M213" s="116">
        <f t="shared" si="36"/>
        <v>5</v>
      </c>
    </row>
    <row r="214" spans="10:13">
      <c r="J214" s="116">
        <v>37</v>
      </c>
      <c r="K214" s="116">
        <f t="shared" si="38"/>
        <v>5</v>
      </c>
      <c r="L214">
        <f t="shared" si="40"/>
        <v>1955</v>
      </c>
      <c r="M214" s="116">
        <f t="shared" si="36"/>
        <v>5</v>
      </c>
    </row>
    <row r="215" spans="10:13">
      <c r="J215" s="116">
        <v>37</v>
      </c>
      <c r="K215" s="116">
        <f t="shared" si="38"/>
        <v>5</v>
      </c>
      <c r="L215">
        <f t="shared" si="40"/>
        <v>1956</v>
      </c>
      <c r="M215" s="116">
        <f t="shared" si="36"/>
        <v>5</v>
      </c>
    </row>
    <row r="216" spans="10:13">
      <c r="J216" s="116">
        <v>37</v>
      </c>
      <c r="K216" s="116">
        <f t="shared" si="38"/>
        <v>5</v>
      </c>
      <c r="L216">
        <f t="shared" si="40"/>
        <v>1957</v>
      </c>
      <c r="M216" s="116">
        <f t="shared" si="36"/>
        <v>5</v>
      </c>
    </row>
    <row r="217" spans="10:13">
      <c r="J217" s="116">
        <v>37</v>
      </c>
      <c r="K217" s="116">
        <f t="shared" si="38"/>
        <v>5</v>
      </c>
      <c r="L217">
        <f t="shared" si="40"/>
        <v>1958</v>
      </c>
      <c r="M217" s="116">
        <f t="shared" si="36"/>
        <v>5</v>
      </c>
    </row>
    <row r="218" spans="10:13">
      <c r="J218" s="116">
        <v>37</v>
      </c>
      <c r="K218" s="116">
        <f t="shared" si="38"/>
        <v>5</v>
      </c>
      <c r="L218">
        <f t="shared" si="40"/>
        <v>1959</v>
      </c>
      <c r="M218" s="116">
        <f t="shared" si="36"/>
        <v>5</v>
      </c>
    </row>
    <row r="219" spans="10:13">
      <c r="J219" s="116">
        <v>37</v>
      </c>
      <c r="K219" s="116">
        <f t="shared" si="38"/>
        <v>5</v>
      </c>
      <c r="L219">
        <f t="shared" si="40"/>
        <v>1960</v>
      </c>
      <c r="M219" s="116">
        <f t="shared" si="36"/>
        <v>5</v>
      </c>
    </row>
    <row r="220" spans="10:13">
      <c r="J220" s="116">
        <v>37</v>
      </c>
      <c r="K220" s="116">
        <f t="shared" si="38"/>
        <v>5</v>
      </c>
      <c r="L220">
        <f t="shared" si="40"/>
        <v>1961</v>
      </c>
      <c r="M220" s="116">
        <f t="shared" si="36"/>
        <v>5</v>
      </c>
    </row>
    <row r="221" spans="10:13">
      <c r="J221" s="116">
        <v>40</v>
      </c>
      <c r="K221" s="116">
        <v>6</v>
      </c>
      <c r="L221">
        <v>1947</v>
      </c>
      <c r="M221" s="116">
        <f t="shared" ref="M221:M233" si="41">K221</f>
        <v>6</v>
      </c>
    </row>
    <row r="222" spans="10:13">
      <c r="J222" s="116">
        <v>40</v>
      </c>
      <c r="K222" s="116">
        <v>6</v>
      </c>
      <c r="L222">
        <f t="shared" ref="L222:L257" si="42">L221+1</f>
        <v>1948</v>
      </c>
      <c r="M222" s="116">
        <f t="shared" si="41"/>
        <v>6</v>
      </c>
    </row>
    <row r="223" spans="10:13">
      <c r="J223" s="116">
        <v>40</v>
      </c>
      <c r="K223" s="116">
        <v>6</v>
      </c>
      <c r="L223">
        <f t="shared" si="42"/>
        <v>1949</v>
      </c>
      <c r="M223" s="116">
        <f t="shared" si="41"/>
        <v>6</v>
      </c>
    </row>
    <row r="224" spans="10:13">
      <c r="J224" s="116">
        <v>40</v>
      </c>
      <c r="K224" s="116">
        <v>6</v>
      </c>
      <c r="L224">
        <f t="shared" si="42"/>
        <v>1950</v>
      </c>
      <c r="M224" s="116">
        <f t="shared" si="41"/>
        <v>6</v>
      </c>
    </row>
    <row r="225" spans="10:13">
      <c r="J225" s="116">
        <v>40</v>
      </c>
      <c r="K225" s="116">
        <v>6</v>
      </c>
      <c r="L225">
        <f t="shared" si="42"/>
        <v>1951</v>
      </c>
      <c r="M225" s="116">
        <f t="shared" si="41"/>
        <v>6</v>
      </c>
    </row>
    <row r="226" spans="10:13">
      <c r="J226" s="116">
        <v>40</v>
      </c>
      <c r="K226" s="116">
        <v>6</v>
      </c>
      <c r="L226">
        <f t="shared" si="42"/>
        <v>1952</v>
      </c>
      <c r="M226" s="116">
        <f t="shared" si="41"/>
        <v>6</v>
      </c>
    </row>
    <row r="227" spans="10:13">
      <c r="J227" s="116">
        <v>40</v>
      </c>
      <c r="K227" s="116">
        <v>6</v>
      </c>
      <c r="L227">
        <f t="shared" si="42"/>
        <v>1953</v>
      </c>
      <c r="M227" s="116">
        <f t="shared" si="41"/>
        <v>6</v>
      </c>
    </row>
    <row r="228" spans="10:13">
      <c r="J228" s="116">
        <v>40</v>
      </c>
      <c r="K228" s="116">
        <v>6</v>
      </c>
      <c r="L228">
        <f t="shared" si="42"/>
        <v>1954</v>
      </c>
      <c r="M228" s="116">
        <f t="shared" si="41"/>
        <v>6</v>
      </c>
    </row>
    <row r="229" spans="10:13">
      <c r="J229" s="116">
        <v>40</v>
      </c>
      <c r="K229" s="116">
        <v>6</v>
      </c>
      <c r="L229">
        <f t="shared" si="42"/>
        <v>1955</v>
      </c>
      <c r="M229" s="116">
        <f t="shared" si="41"/>
        <v>6</v>
      </c>
    </row>
    <row r="230" spans="10:13">
      <c r="J230" s="116">
        <v>40</v>
      </c>
      <c r="K230" s="116">
        <v>6</v>
      </c>
      <c r="L230">
        <f t="shared" si="42"/>
        <v>1956</v>
      </c>
      <c r="M230" s="116">
        <f t="shared" si="41"/>
        <v>6</v>
      </c>
    </row>
    <row r="231" spans="10:13">
      <c r="J231" s="116">
        <v>40</v>
      </c>
      <c r="K231" s="116">
        <v>6</v>
      </c>
      <c r="L231">
        <f t="shared" si="42"/>
        <v>1957</v>
      </c>
      <c r="M231" s="116">
        <f t="shared" si="41"/>
        <v>6</v>
      </c>
    </row>
    <row r="232" spans="10:13">
      <c r="J232" s="116">
        <v>40</v>
      </c>
      <c r="K232" s="116">
        <v>6</v>
      </c>
      <c r="L232">
        <f t="shared" si="42"/>
        <v>1958</v>
      </c>
      <c r="M232" s="116">
        <f t="shared" si="41"/>
        <v>6</v>
      </c>
    </row>
    <row r="233" spans="10:13">
      <c r="J233" s="116">
        <v>40</v>
      </c>
      <c r="K233" s="116">
        <v>6</v>
      </c>
      <c r="L233">
        <f t="shared" si="42"/>
        <v>1959</v>
      </c>
      <c r="M233" s="116">
        <f t="shared" si="41"/>
        <v>6</v>
      </c>
    </row>
    <row r="234" spans="10:13">
      <c r="J234" s="116">
        <v>40</v>
      </c>
      <c r="K234" s="116">
        <v>6</v>
      </c>
      <c r="L234">
        <f t="shared" si="42"/>
        <v>1960</v>
      </c>
      <c r="M234" s="116">
        <f t="shared" ref="M234:M259" si="43">K234</f>
        <v>6</v>
      </c>
    </row>
    <row r="235" spans="10:13">
      <c r="J235" s="116">
        <v>40</v>
      </c>
      <c r="K235" s="116">
        <v>6</v>
      </c>
      <c r="L235">
        <f t="shared" si="42"/>
        <v>1961</v>
      </c>
      <c r="M235" s="116">
        <f t="shared" si="43"/>
        <v>6</v>
      </c>
    </row>
    <row r="236" spans="10:13">
      <c r="J236" s="116">
        <v>40</v>
      </c>
      <c r="K236" s="116">
        <v>6</v>
      </c>
      <c r="L236">
        <f t="shared" si="42"/>
        <v>1962</v>
      </c>
      <c r="M236" s="116">
        <f t="shared" si="43"/>
        <v>6</v>
      </c>
    </row>
    <row r="237" spans="10:13">
      <c r="J237" s="116">
        <v>40</v>
      </c>
      <c r="K237" s="116">
        <v>6</v>
      </c>
      <c r="L237">
        <f t="shared" si="42"/>
        <v>1963</v>
      </c>
      <c r="M237" s="116">
        <f t="shared" si="43"/>
        <v>6</v>
      </c>
    </row>
    <row r="238" spans="10:13">
      <c r="J238" s="116">
        <v>40</v>
      </c>
      <c r="K238" s="116">
        <v>6</v>
      </c>
      <c r="L238">
        <f t="shared" si="42"/>
        <v>1964</v>
      </c>
      <c r="M238" s="116">
        <f t="shared" si="43"/>
        <v>6</v>
      </c>
    </row>
    <row r="239" spans="10:13">
      <c r="J239" s="116">
        <v>40</v>
      </c>
      <c r="K239" s="116">
        <v>6</v>
      </c>
      <c r="L239">
        <f t="shared" si="42"/>
        <v>1965</v>
      </c>
      <c r="M239" s="116">
        <f t="shared" si="43"/>
        <v>6</v>
      </c>
    </row>
    <row r="240" spans="10:13">
      <c r="J240" s="116">
        <v>40</v>
      </c>
      <c r="K240" s="116">
        <v>6</v>
      </c>
      <c r="L240">
        <f t="shared" si="42"/>
        <v>1966</v>
      </c>
      <c r="M240" s="116">
        <f t="shared" si="43"/>
        <v>6</v>
      </c>
    </row>
    <row r="241" spans="10:13">
      <c r="J241" s="116">
        <v>40</v>
      </c>
      <c r="K241" s="116">
        <v>6</v>
      </c>
      <c r="L241">
        <f t="shared" si="42"/>
        <v>1967</v>
      </c>
      <c r="M241" s="116">
        <f t="shared" si="43"/>
        <v>6</v>
      </c>
    </row>
    <row r="242" spans="10:13">
      <c r="J242" s="116">
        <v>40</v>
      </c>
      <c r="K242" s="116">
        <v>6</v>
      </c>
      <c r="L242">
        <f t="shared" si="42"/>
        <v>1968</v>
      </c>
      <c r="M242" s="116">
        <f t="shared" si="43"/>
        <v>6</v>
      </c>
    </row>
    <row r="243" spans="10:13">
      <c r="J243" s="116">
        <v>40</v>
      </c>
      <c r="K243" s="116">
        <v>6</v>
      </c>
      <c r="L243">
        <f t="shared" si="42"/>
        <v>1969</v>
      </c>
      <c r="M243" s="116">
        <f t="shared" si="43"/>
        <v>6</v>
      </c>
    </row>
    <row r="244" spans="10:13">
      <c r="J244" s="116">
        <v>40</v>
      </c>
      <c r="K244" s="116">
        <v>6</v>
      </c>
      <c r="L244">
        <f t="shared" si="42"/>
        <v>1970</v>
      </c>
      <c r="M244" s="116">
        <f t="shared" si="43"/>
        <v>6</v>
      </c>
    </row>
    <row r="245" spans="10:13">
      <c r="J245" s="116">
        <v>40</v>
      </c>
      <c r="K245" s="116">
        <v>6</v>
      </c>
      <c r="L245">
        <f t="shared" si="42"/>
        <v>1971</v>
      </c>
      <c r="M245" s="116">
        <f t="shared" si="43"/>
        <v>6</v>
      </c>
    </row>
    <row r="246" spans="10:13">
      <c r="J246" s="116">
        <v>40</v>
      </c>
      <c r="K246" s="116">
        <v>6</v>
      </c>
      <c r="L246">
        <f t="shared" si="42"/>
        <v>1972</v>
      </c>
      <c r="M246" s="116">
        <f t="shared" si="43"/>
        <v>6</v>
      </c>
    </row>
    <row r="247" spans="10:13">
      <c r="J247" s="116">
        <v>40</v>
      </c>
      <c r="K247" s="116">
        <v>6</v>
      </c>
      <c r="L247">
        <f t="shared" si="42"/>
        <v>1973</v>
      </c>
      <c r="M247" s="116">
        <f t="shared" si="43"/>
        <v>6</v>
      </c>
    </row>
    <row r="248" spans="10:13">
      <c r="J248" s="116">
        <v>40</v>
      </c>
      <c r="K248" s="116">
        <v>6</v>
      </c>
      <c r="L248">
        <f t="shared" si="42"/>
        <v>1974</v>
      </c>
      <c r="M248" s="116">
        <f t="shared" si="43"/>
        <v>6</v>
      </c>
    </row>
    <row r="249" spans="10:13">
      <c r="J249" s="116">
        <v>40</v>
      </c>
      <c r="K249" s="116">
        <v>6</v>
      </c>
      <c r="L249">
        <f t="shared" si="42"/>
        <v>1975</v>
      </c>
      <c r="M249" s="116">
        <f t="shared" si="43"/>
        <v>6</v>
      </c>
    </row>
    <row r="250" spans="10:13">
      <c r="J250" s="116">
        <v>40</v>
      </c>
      <c r="K250" s="116">
        <v>6</v>
      </c>
      <c r="L250">
        <f t="shared" si="42"/>
        <v>1976</v>
      </c>
      <c r="M250" s="116">
        <f t="shared" si="43"/>
        <v>6</v>
      </c>
    </row>
    <row r="251" spans="10:13">
      <c r="J251" s="116">
        <v>40</v>
      </c>
      <c r="K251" s="116">
        <v>6</v>
      </c>
      <c r="L251">
        <f t="shared" si="42"/>
        <v>1977</v>
      </c>
      <c r="M251" s="116">
        <f t="shared" si="43"/>
        <v>6</v>
      </c>
    </row>
    <row r="252" spans="10:13">
      <c r="J252" s="116">
        <v>40</v>
      </c>
      <c r="K252" s="116">
        <v>6</v>
      </c>
      <c r="L252">
        <f t="shared" si="42"/>
        <v>1978</v>
      </c>
      <c r="M252" s="116">
        <f t="shared" si="43"/>
        <v>6</v>
      </c>
    </row>
    <row r="253" spans="10:13">
      <c r="J253" s="116">
        <v>40</v>
      </c>
      <c r="K253" s="116">
        <v>6</v>
      </c>
      <c r="L253">
        <f t="shared" si="42"/>
        <v>1979</v>
      </c>
      <c r="M253" s="116">
        <f t="shared" si="43"/>
        <v>6</v>
      </c>
    </row>
    <row r="254" spans="10:13">
      <c r="J254" s="116">
        <v>40</v>
      </c>
      <c r="K254" s="116">
        <v>6</v>
      </c>
      <c r="L254">
        <f t="shared" si="42"/>
        <v>1980</v>
      </c>
      <c r="M254" s="116">
        <f t="shared" si="43"/>
        <v>6</v>
      </c>
    </row>
    <row r="255" spans="10:13">
      <c r="J255" s="116">
        <v>40</v>
      </c>
      <c r="K255" s="116">
        <v>6</v>
      </c>
      <c r="L255">
        <f t="shared" si="42"/>
        <v>1981</v>
      </c>
      <c r="M255" s="116">
        <f t="shared" si="43"/>
        <v>6</v>
      </c>
    </row>
    <row r="256" spans="10:13">
      <c r="J256" s="116">
        <v>40</v>
      </c>
      <c r="K256" s="116">
        <v>6</v>
      </c>
      <c r="L256">
        <f t="shared" si="42"/>
        <v>1982</v>
      </c>
      <c r="M256" s="116">
        <f t="shared" si="43"/>
        <v>6</v>
      </c>
    </row>
    <row r="257" spans="10:13">
      <c r="J257" s="116">
        <v>40</v>
      </c>
      <c r="K257" s="116">
        <v>6</v>
      </c>
      <c r="L257">
        <f t="shared" si="42"/>
        <v>1983</v>
      </c>
      <c r="M257" s="116">
        <f t="shared" si="43"/>
        <v>6</v>
      </c>
    </row>
    <row r="258" spans="10:13">
      <c r="J258" s="116">
        <v>40</v>
      </c>
      <c r="K258" s="116">
        <v>6</v>
      </c>
      <c r="L258">
        <f t="shared" ref="L258:L284" si="44">L257+1</f>
        <v>1984</v>
      </c>
      <c r="M258" s="116">
        <f t="shared" si="43"/>
        <v>6</v>
      </c>
    </row>
    <row r="259" spans="10:13">
      <c r="J259" s="116">
        <v>25</v>
      </c>
      <c r="K259" s="116">
        <v>7</v>
      </c>
      <c r="L259">
        <v>1982</v>
      </c>
      <c r="M259" s="116">
        <f t="shared" si="43"/>
        <v>7</v>
      </c>
    </row>
    <row r="260" spans="10:13">
      <c r="J260" s="116">
        <v>25</v>
      </c>
      <c r="K260" s="116">
        <f>K259</f>
        <v>7</v>
      </c>
      <c r="L260">
        <f t="shared" si="44"/>
        <v>1983</v>
      </c>
      <c r="M260" s="116">
        <f t="shared" ref="M260:M295" si="45">K260</f>
        <v>7</v>
      </c>
    </row>
    <row r="261" spans="10:13">
      <c r="J261" s="116">
        <v>25</v>
      </c>
      <c r="K261" s="116">
        <f t="shared" ref="K261:K287" si="46">K260</f>
        <v>7</v>
      </c>
      <c r="L261">
        <f t="shared" si="44"/>
        <v>1984</v>
      </c>
      <c r="M261" s="116">
        <f t="shared" si="45"/>
        <v>7</v>
      </c>
    </row>
    <row r="262" spans="10:13">
      <c r="J262" s="116">
        <v>25</v>
      </c>
      <c r="K262" s="116">
        <f t="shared" si="46"/>
        <v>7</v>
      </c>
      <c r="L262">
        <f t="shared" si="44"/>
        <v>1985</v>
      </c>
      <c r="M262" s="116">
        <f t="shared" si="45"/>
        <v>7</v>
      </c>
    </row>
    <row r="263" spans="10:13">
      <c r="J263" s="116">
        <v>25</v>
      </c>
      <c r="K263" s="116">
        <f t="shared" si="46"/>
        <v>7</v>
      </c>
      <c r="L263">
        <f t="shared" si="44"/>
        <v>1986</v>
      </c>
      <c r="M263" s="116">
        <f t="shared" si="45"/>
        <v>7</v>
      </c>
    </row>
    <row r="264" spans="10:13">
      <c r="J264" s="116">
        <v>25</v>
      </c>
      <c r="K264" s="116">
        <f t="shared" si="46"/>
        <v>7</v>
      </c>
      <c r="L264">
        <f t="shared" si="44"/>
        <v>1987</v>
      </c>
      <c r="M264" s="116">
        <f t="shared" si="45"/>
        <v>7</v>
      </c>
    </row>
    <row r="265" spans="10:13">
      <c r="J265" s="116">
        <v>25</v>
      </c>
      <c r="K265" s="116">
        <f t="shared" si="46"/>
        <v>7</v>
      </c>
      <c r="L265">
        <f t="shared" si="44"/>
        <v>1988</v>
      </c>
      <c r="M265" s="116">
        <f t="shared" si="45"/>
        <v>7</v>
      </c>
    </row>
    <row r="266" spans="10:13">
      <c r="J266" s="116">
        <v>25</v>
      </c>
      <c r="K266" s="116">
        <f t="shared" si="46"/>
        <v>7</v>
      </c>
      <c r="L266">
        <f t="shared" si="44"/>
        <v>1989</v>
      </c>
      <c r="M266" s="116">
        <f t="shared" si="45"/>
        <v>7</v>
      </c>
    </row>
    <row r="267" spans="10:13">
      <c r="J267" s="116">
        <v>25</v>
      </c>
      <c r="K267" s="116">
        <f t="shared" si="46"/>
        <v>7</v>
      </c>
      <c r="L267">
        <f t="shared" si="44"/>
        <v>1990</v>
      </c>
      <c r="M267" s="116">
        <f t="shared" si="45"/>
        <v>7</v>
      </c>
    </row>
    <row r="268" spans="10:13">
      <c r="J268" s="116">
        <v>25</v>
      </c>
      <c r="K268" s="116">
        <f t="shared" si="46"/>
        <v>7</v>
      </c>
      <c r="L268">
        <f t="shared" si="44"/>
        <v>1991</v>
      </c>
      <c r="M268" s="116">
        <f t="shared" si="45"/>
        <v>7</v>
      </c>
    </row>
    <row r="269" spans="10:13">
      <c r="J269" s="116">
        <v>25</v>
      </c>
      <c r="K269" s="116">
        <f t="shared" si="46"/>
        <v>7</v>
      </c>
      <c r="L269">
        <f t="shared" si="44"/>
        <v>1992</v>
      </c>
      <c r="M269" s="116">
        <f t="shared" si="45"/>
        <v>7</v>
      </c>
    </row>
    <row r="270" spans="10:13">
      <c r="J270" s="116">
        <v>25</v>
      </c>
      <c r="K270" s="116">
        <f t="shared" si="46"/>
        <v>7</v>
      </c>
      <c r="L270">
        <f t="shared" si="44"/>
        <v>1993</v>
      </c>
      <c r="M270" s="116">
        <f t="shared" si="45"/>
        <v>7</v>
      </c>
    </row>
    <row r="271" spans="10:13">
      <c r="J271" s="116">
        <v>25</v>
      </c>
      <c r="K271" s="116">
        <f t="shared" si="46"/>
        <v>7</v>
      </c>
      <c r="L271">
        <f t="shared" si="44"/>
        <v>1994</v>
      </c>
      <c r="M271" s="116">
        <f t="shared" si="45"/>
        <v>7</v>
      </c>
    </row>
    <row r="272" spans="10:13">
      <c r="J272" s="116">
        <v>25</v>
      </c>
      <c r="K272" s="116">
        <f t="shared" si="46"/>
        <v>7</v>
      </c>
      <c r="L272">
        <f t="shared" si="44"/>
        <v>1995</v>
      </c>
      <c r="M272" s="116">
        <f t="shared" si="45"/>
        <v>7</v>
      </c>
    </row>
    <row r="273" spans="10:13">
      <c r="J273" s="116">
        <v>25</v>
      </c>
      <c r="K273" s="116">
        <f t="shared" si="46"/>
        <v>7</v>
      </c>
      <c r="L273">
        <f t="shared" si="44"/>
        <v>1996</v>
      </c>
      <c r="M273" s="116">
        <f t="shared" si="45"/>
        <v>7</v>
      </c>
    </row>
    <row r="274" spans="10:13">
      <c r="J274" s="116">
        <v>25</v>
      </c>
      <c r="K274" s="116">
        <f t="shared" si="46"/>
        <v>7</v>
      </c>
      <c r="L274">
        <f t="shared" si="44"/>
        <v>1997</v>
      </c>
      <c r="M274" s="116">
        <f t="shared" si="45"/>
        <v>7</v>
      </c>
    </row>
    <row r="275" spans="10:13">
      <c r="J275" s="116">
        <v>25</v>
      </c>
      <c r="K275" s="116">
        <f t="shared" si="46"/>
        <v>7</v>
      </c>
      <c r="L275">
        <f t="shared" si="44"/>
        <v>1998</v>
      </c>
      <c r="M275" s="116">
        <f t="shared" si="45"/>
        <v>7</v>
      </c>
    </row>
    <row r="276" spans="10:13">
      <c r="J276" s="116">
        <v>25</v>
      </c>
      <c r="K276" s="116">
        <f t="shared" si="46"/>
        <v>7</v>
      </c>
      <c r="L276">
        <f t="shared" si="44"/>
        <v>1999</v>
      </c>
      <c r="M276" s="116">
        <f t="shared" si="45"/>
        <v>7</v>
      </c>
    </row>
    <row r="277" spans="10:13">
      <c r="J277" s="116">
        <v>25</v>
      </c>
      <c r="K277" s="116">
        <f t="shared" si="46"/>
        <v>7</v>
      </c>
      <c r="L277">
        <f t="shared" si="44"/>
        <v>2000</v>
      </c>
      <c r="M277" s="116">
        <f t="shared" si="45"/>
        <v>7</v>
      </c>
    </row>
    <row r="278" spans="10:13">
      <c r="J278" s="116">
        <v>25</v>
      </c>
      <c r="K278" s="116">
        <f t="shared" si="46"/>
        <v>7</v>
      </c>
      <c r="L278">
        <f t="shared" si="44"/>
        <v>2001</v>
      </c>
      <c r="M278" s="116">
        <f t="shared" si="45"/>
        <v>7</v>
      </c>
    </row>
    <row r="279" spans="10:13">
      <c r="J279" s="116">
        <v>25</v>
      </c>
      <c r="K279" s="116">
        <f t="shared" si="46"/>
        <v>7</v>
      </c>
      <c r="L279">
        <f t="shared" si="44"/>
        <v>2002</v>
      </c>
      <c r="M279" s="116">
        <f t="shared" si="45"/>
        <v>7</v>
      </c>
    </row>
    <row r="280" spans="10:13">
      <c r="J280" s="116">
        <v>25</v>
      </c>
      <c r="K280" s="116">
        <f t="shared" si="46"/>
        <v>7</v>
      </c>
      <c r="L280">
        <f t="shared" si="44"/>
        <v>2003</v>
      </c>
      <c r="M280" s="116">
        <f t="shared" si="45"/>
        <v>7</v>
      </c>
    </row>
    <row r="281" spans="10:13">
      <c r="J281" s="116">
        <v>25</v>
      </c>
      <c r="K281" s="116">
        <f t="shared" si="46"/>
        <v>7</v>
      </c>
      <c r="L281">
        <f t="shared" si="44"/>
        <v>2004</v>
      </c>
      <c r="M281" s="116">
        <f t="shared" si="45"/>
        <v>7</v>
      </c>
    </row>
    <row r="282" spans="10:13">
      <c r="J282" s="116">
        <v>25</v>
      </c>
      <c r="K282" s="116">
        <f t="shared" si="46"/>
        <v>7</v>
      </c>
      <c r="L282">
        <f t="shared" si="44"/>
        <v>2005</v>
      </c>
      <c r="M282" s="116">
        <f t="shared" si="45"/>
        <v>7</v>
      </c>
    </row>
    <row r="283" spans="10:13">
      <c r="J283" s="116">
        <v>25</v>
      </c>
      <c r="K283" s="116">
        <f t="shared" si="46"/>
        <v>7</v>
      </c>
      <c r="L283">
        <f t="shared" si="44"/>
        <v>2006</v>
      </c>
      <c r="M283" s="116">
        <f t="shared" si="45"/>
        <v>7</v>
      </c>
    </row>
    <row r="284" spans="10:13">
      <c r="J284" s="116">
        <v>25</v>
      </c>
      <c r="K284" s="116">
        <f t="shared" si="46"/>
        <v>7</v>
      </c>
      <c r="L284">
        <f t="shared" si="44"/>
        <v>2007</v>
      </c>
      <c r="M284" s="116">
        <f t="shared" si="45"/>
        <v>7</v>
      </c>
    </row>
    <row r="285" spans="10:13">
      <c r="J285" s="116">
        <v>25</v>
      </c>
      <c r="K285" s="116">
        <f t="shared" si="46"/>
        <v>7</v>
      </c>
      <c r="L285">
        <f t="shared" ref="L285:L295" si="47">L284+1</f>
        <v>2008</v>
      </c>
      <c r="M285" s="116">
        <f t="shared" si="45"/>
        <v>7</v>
      </c>
    </row>
    <row r="286" spans="10:13">
      <c r="J286" s="116">
        <v>25</v>
      </c>
      <c r="K286" s="116">
        <f t="shared" si="46"/>
        <v>7</v>
      </c>
      <c r="L286">
        <f t="shared" si="47"/>
        <v>2009</v>
      </c>
      <c r="M286" s="116">
        <f t="shared" si="45"/>
        <v>7</v>
      </c>
    </row>
    <row r="287" spans="10:13">
      <c r="J287" s="116">
        <v>25</v>
      </c>
      <c r="K287" s="116">
        <f t="shared" si="46"/>
        <v>7</v>
      </c>
      <c r="L287">
        <f t="shared" si="47"/>
        <v>2010</v>
      </c>
      <c r="M287" s="116">
        <f t="shared" si="45"/>
        <v>7</v>
      </c>
    </row>
    <row r="288" spans="10:13">
      <c r="J288" s="116">
        <v>4</v>
      </c>
      <c r="K288" s="116">
        <v>8</v>
      </c>
      <c r="L288">
        <v>2014</v>
      </c>
      <c r="M288" s="116">
        <f t="shared" si="45"/>
        <v>8</v>
      </c>
    </row>
    <row r="289" spans="10:13">
      <c r="J289" s="116">
        <v>4</v>
      </c>
      <c r="K289" s="116">
        <f>K288</f>
        <v>8</v>
      </c>
      <c r="L289">
        <f t="shared" si="47"/>
        <v>2015</v>
      </c>
      <c r="M289" s="116">
        <f t="shared" si="45"/>
        <v>8</v>
      </c>
    </row>
    <row r="290" spans="10:13">
      <c r="J290" s="116">
        <v>4</v>
      </c>
      <c r="K290" s="116">
        <f t="shared" ref="K290:K295" si="48">K289</f>
        <v>8</v>
      </c>
      <c r="L290">
        <f t="shared" si="47"/>
        <v>2016</v>
      </c>
      <c r="M290" s="116">
        <f t="shared" si="45"/>
        <v>8</v>
      </c>
    </row>
    <row r="291" spans="10:13">
      <c r="J291" s="116">
        <v>4</v>
      </c>
      <c r="K291" s="116">
        <f t="shared" si="48"/>
        <v>8</v>
      </c>
      <c r="L291">
        <f t="shared" si="47"/>
        <v>2017</v>
      </c>
      <c r="M291" s="116">
        <f t="shared" si="45"/>
        <v>8</v>
      </c>
    </row>
    <row r="292" spans="10:13">
      <c r="J292" s="116">
        <v>4</v>
      </c>
      <c r="K292" s="116">
        <f t="shared" si="48"/>
        <v>8</v>
      </c>
      <c r="L292">
        <f t="shared" si="47"/>
        <v>2018</v>
      </c>
      <c r="M292" s="116">
        <f t="shared" si="45"/>
        <v>8</v>
      </c>
    </row>
    <row r="293" spans="10:13">
      <c r="J293" s="116">
        <v>4</v>
      </c>
      <c r="K293" s="116">
        <f t="shared" si="48"/>
        <v>8</v>
      </c>
      <c r="L293">
        <f t="shared" si="47"/>
        <v>2019</v>
      </c>
      <c r="M293" s="116">
        <f t="shared" si="45"/>
        <v>8</v>
      </c>
    </row>
    <row r="294" spans="10:13">
      <c r="J294" s="116">
        <v>4</v>
      </c>
      <c r="K294" s="116">
        <f t="shared" si="48"/>
        <v>8</v>
      </c>
      <c r="L294">
        <f t="shared" si="47"/>
        <v>2020</v>
      </c>
      <c r="M294" s="116">
        <f t="shared" si="45"/>
        <v>8</v>
      </c>
    </row>
    <row r="295" spans="10:13">
      <c r="J295" s="116">
        <v>4</v>
      </c>
      <c r="K295" s="116">
        <f t="shared" si="48"/>
        <v>8</v>
      </c>
      <c r="L295">
        <f t="shared" si="47"/>
        <v>2021</v>
      </c>
      <c r="M295" s="116">
        <f t="shared" si="45"/>
        <v>8</v>
      </c>
    </row>
  </sheetData>
  <autoFilter ref="A2:G295" xr:uid="{F82CAB93-C624-3244-BA5B-6C0341BFAFE2}"/>
  <pageMargins left="0.7" right="0.7" top="0.75" bottom="0.75" header="0.3" footer="0.3"/>
  <pageSetup paperSize="9" orientation="portrait" horizontalDpi="0" verticalDpi="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4440-CB61-DF48-9F23-164CE55A42F8}">
  <dimension ref="A2:LZ438"/>
  <sheetViews>
    <sheetView topLeftCell="AO31" workbookViewId="0">
      <selection activeCell="Y15" sqref="Y15"/>
    </sheetView>
  </sheetViews>
  <sheetFormatPr baseColWidth="10" defaultRowHeight="16"/>
  <cols>
    <col min="3" max="3" width="15.6640625" customWidth="1"/>
    <col min="8" max="8" width="19.33203125" customWidth="1"/>
    <col min="9" max="9" width="19.83203125" customWidth="1"/>
    <col min="10" max="10" width="14.33203125" customWidth="1"/>
    <col min="15" max="16" width="15" customWidth="1"/>
    <col min="17" max="17" width="19.83203125" customWidth="1"/>
    <col min="18" max="18" width="46.33203125" bestFit="1" customWidth="1"/>
    <col min="19" max="19" width="53.5" customWidth="1"/>
    <col min="20" max="20" width="25" customWidth="1"/>
    <col min="21" max="21" width="12.33203125" bestFit="1" customWidth="1"/>
    <col min="22" max="22" width="10.83203125" style="116"/>
    <col min="24" max="24" width="17" bestFit="1" customWidth="1"/>
    <col min="25" max="26" width="17" customWidth="1"/>
    <col min="27" max="27" width="12" bestFit="1" customWidth="1"/>
    <col min="28" max="28" width="12" customWidth="1"/>
    <col min="33" max="33" width="24.1640625" bestFit="1" customWidth="1"/>
    <col min="34" max="40" width="13.6640625" bestFit="1" customWidth="1"/>
    <col min="41" max="42" width="16.33203125" customWidth="1"/>
    <col min="43" max="43" width="12.83203125" bestFit="1" customWidth="1"/>
    <col min="46" max="46" width="91.1640625" customWidth="1"/>
    <col min="47" max="47" width="33.33203125" bestFit="1" customWidth="1"/>
    <col min="48" max="48" width="37" bestFit="1" customWidth="1"/>
    <col min="49" max="49" width="34.33203125" customWidth="1"/>
    <col min="50" max="50" width="30.1640625" bestFit="1" customWidth="1"/>
    <col min="51" max="51" width="31.5" bestFit="1" customWidth="1"/>
    <col min="52" max="52" width="34.5" bestFit="1" customWidth="1"/>
    <col min="53" max="53" width="34.1640625" bestFit="1" customWidth="1"/>
    <col min="54" max="54" width="35.5" bestFit="1" customWidth="1"/>
    <col min="56" max="56" width="18.83203125" bestFit="1" customWidth="1"/>
    <col min="57" max="57" width="15.5" bestFit="1" customWidth="1"/>
    <col min="58" max="59" width="5.1640625" bestFit="1" customWidth="1"/>
    <col min="60" max="119" width="6.1640625" bestFit="1" customWidth="1"/>
    <col min="120" max="198" width="7.1640625" bestFit="1" customWidth="1"/>
    <col min="199" max="200" width="10.83203125" bestFit="1" customWidth="1"/>
    <col min="201" max="259" width="6.1640625" bestFit="1" customWidth="1"/>
    <col min="260" max="335" width="7.1640625" bestFit="1" customWidth="1"/>
    <col min="336" max="336" width="7" bestFit="1" customWidth="1"/>
    <col min="337" max="337" width="18.33203125" bestFit="1" customWidth="1"/>
    <col min="338" max="338" width="23.6640625" bestFit="1" customWidth="1"/>
  </cols>
  <sheetData>
    <row r="2" spans="1:338">
      <c r="B2">
        <v>1</v>
      </c>
      <c r="C2">
        <v>2</v>
      </c>
      <c r="D2">
        <v>3</v>
      </c>
      <c r="E2">
        <v>4</v>
      </c>
      <c r="F2">
        <v>5</v>
      </c>
      <c r="G2">
        <v>6</v>
      </c>
      <c r="H2">
        <v>7</v>
      </c>
      <c r="I2">
        <v>8</v>
      </c>
      <c r="J2">
        <v>9</v>
      </c>
      <c r="U2" s="196" t="s">
        <v>3762</v>
      </c>
      <c r="AH2" s="116" t="s">
        <v>3003</v>
      </c>
      <c r="AI2" s="116" t="s">
        <v>3004</v>
      </c>
      <c r="AJ2" s="116" t="s">
        <v>3005</v>
      </c>
      <c r="AK2" s="116" t="s">
        <v>3006</v>
      </c>
      <c r="AL2" s="116" t="s">
        <v>3007</v>
      </c>
      <c r="AM2" s="116" t="s">
        <v>3008</v>
      </c>
      <c r="AN2" s="116" t="s">
        <v>3009</v>
      </c>
      <c r="AO2" s="116" t="s">
        <v>3010</v>
      </c>
      <c r="AP2" s="116"/>
      <c r="AQ2" s="116"/>
      <c r="AR2" s="116"/>
      <c r="AS2" s="116"/>
      <c r="AT2" s="116"/>
    </row>
    <row r="3" spans="1:338">
      <c r="A3" t="str">
        <f>'All Girls &amp; Descendants'!B1</f>
        <v>Loyd #</v>
      </c>
      <c r="B3" t="str">
        <f>'All Girls &amp; Descendants'!C1</f>
        <v>Loyd ##</v>
      </c>
      <c r="C3" t="str">
        <f>'All Girls &amp; Descendants'!D1</f>
        <v>Surname</v>
      </c>
      <c r="D3" t="str">
        <f>'All Girls &amp; Descendants'!E1</f>
        <v>1st Name</v>
      </c>
      <c r="E3" t="str">
        <f>'All Girls &amp; Descendants'!F1</f>
        <v>2nd Name</v>
      </c>
      <c r="F3" t="str">
        <f>'All Girls &amp; Descendants'!G1</f>
        <v>3rd Name</v>
      </c>
      <c r="G3" t="str">
        <f>'All Girls &amp; Descendants'!H1</f>
        <v>Known as</v>
      </c>
      <c r="H3" t="str">
        <f>'All Girls &amp; Descendants'!I1</f>
        <v>Year of Birth</v>
      </c>
      <c r="I3" t="str">
        <f>'All Girls &amp; Descendants'!J1</f>
        <v>Year of Death</v>
      </c>
      <c r="J3" t="str">
        <f>'All Girls &amp; Descendants'!K1</f>
        <v>Forename (Loyd#) Yr of B</v>
      </c>
      <c r="K3" t="str">
        <f>'All Girls &amp; Descendants'!M1</f>
        <v>Dob Entered</v>
      </c>
      <c r="L3" t="str">
        <f>'All Girls &amp; Descendants'!N1</f>
        <v xml:space="preserve">DoM </v>
      </c>
      <c r="M3" t="str">
        <f>'All Girls &amp; Descendants'!O1</f>
        <v>DoD</v>
      </c>
      <c r="N3" t="str">
        <f>'All Girls &amp; Descendants'!P1</f>
        <v>DOD Entered</v>
      </c>
      <c r="O3" t="str">
        <f>'All Girls &amp; Descendants'!Q1</f>
        <v>PARENT's Loyd #</v>
      </c>
      <c r="P3" t="str">
        <f>B3</f>
        <v>Loyd ##</v>
      </c>
      <c r="Q3" t="s">
        <v>3000</v>
      </c>
      <c r="R3" t="s">
        <v>3017</v>
      </c>
      <c r="S3" t="s">
        <v>3019</v>
      </c>
      <c r="U3" s="126" t="s">
        <v>2819</v>
      </c>
      <c r="V3" s="60" t="s">
        <v>3001</v>
      </c>
      <c r="W3" s="126" t="s">
        <v>3002</v>
      </c>
      <c r="X3" s="126" t="s">
        <v>3013</v>
      </c>
      <c r="Y3" s="116"/>
      <c r="Z3" s="116"/>
      <c r="AB3" s="116"/>
      <c r="AH3" s="116">
        <v>1</v>
      </c>
      <c r="AI3" s="116">
        <v>2</v>
      </c>
      <c r="AJ3" s="116">
        <v>3</v>
      </c>
      <c r="AK3" s="116">
        <v>4</v>
      </c>
      <c r="AL3" s="116">
        <v>5</v>
      </c>
      <c r="AM3" s="116">
        <v>6</v>
      </c>
      <c r="AN3" s="116">
        <v>7</v>
      </c>
      <c r="AO3" s="116">
        <v>8</v>
      </c>
      <c r="AP3" s="116"/>
      <c r="AQ3" s="116"/>
      <c r="AR3" s="116"/>
      <c r="AS3" s="116"/>
      <c r="AT3" s="116"/>
      <c r="AU3" s="116">
        <f t="shared" ref="AU3:BB3" si="0">AH3</f>
        <v>1</v>
      </c>
      <c r="AV3" s="116">
        <f t="shared" si="0"/>
        <v>2</v>
      </c>
      <c r="AW3" s="116">
        <f t="shared" si="0"/>
        <v>3</v>
      </c>
      <c r="AX3" s="116">
        <f t="shared" si="0"/>
        <v>4</v>
      </c>
      <c r="AY3" s="116">
        <f t="shared" si="0"/>
        <v>5</v>
      </c>
      <c r="AZ3" s="116">
        <f t="shared" si="0"/>
        <v>6</v>
      </c>
      <c r="BA3" s="116">
        <f t="shared" si="0"/>
        <v>7</v>
      </c>
      <c r="BB3" s="116">
        <f t="shared" si="0"/>
        <v>8</v>
      </c>
      <c r="BD3" s="111" t="s">
        <v>3014</v>
      </c>
      <c r="BE3" s="111" t="s">
        <v>2813</v>
      </c>
    </row>
    <row r="4" spans="1:338">
      <c r="A4">
        <f>'All Girls &amp; Descendants - Edit'!B3</f>
        <v>2</v>
      </c>
      <c r="B4" t="str">
        <f>'All Girls &amp; Descendants - Edit'!C3</f>
        <v>2a</v>
      </c>
      <c r="C4" t="str">
        <f>'All Girls &amp; Descendants - Edit'!D3</f>
        <v>DAVIES or DANIEL</v>
      </c>
      <c r="D4" t="str">
        <f>'All Girls &amp; Descendants - Edit'!E3</f>
        <v>Lewis</v>
      </c>
      <c r="E4" t="str">
        <f>IF('All Girls &amp; Descendants - Edit'!F3="","",'All Girls &amp; Descendants - Edit'!F3)</f>
        <v/>
      </c>
      <c r="F4" t="str">
        <f>IF('All Girls &amp; Descendants - Edit'!G3="","",'All Girls &amp; Descendants - Edit'!G3)</f>
        <v/>
      </c>
      <c r="G4" t="str">
        <f>IF('All Girls &amp; Descendants - Edit'!H3="",D4,'All Girls &amp; Descendants - Edit'!H3)</f>
        <v>Lewis</v>
      </c>
      <c r="H4" t="str">
        <f>'All Girls &amp; Descendants - Edit'!I3</f>
        <v>Unknown</v>
      </c>
      <c r="I4" t="str">
        <f>'All Girls &amp; Descendants - Edit'!J3</f>
        <v>Unknown</v>
      </c>
      <c r="J4" s="101">
        <f>'All Girls &amp; Descendants - Edit'!K3</f>
        <v>0</v>
      </c>
      <c r="K4" s="3" t="str">
        <f>'All Girls &amp; Descendants - Edit'!L3</f>
        <v>Unknown</v>
      </c>
      <c r="L4" s="3" t="str">
        <f>'All Girls &amp; Descendants - Edit'!M3</f>
        <v>Unknown</v>
      </c>
      <c r="M4" s="3">
        <f>'All Girls &amp; Descendants - Edit'!N3</f>
        <v>0</v>
      </c>
      <c r="N4" s="3">
        <f>'All Girls &amp; Descendants - Edit'!O3</f>
        <v>0</v>
      </c>
      <c r="O4" s="3" t="str">
        <f>'All Girls &amp; Descendants - Edit'!P3</f>
        <v>Unknown</v>
      </c>
      <c r="P4" t="str">
        <f>B4</f>
        <v>2a</v>
      </c>
      <c r="Q4" s="116">
        <f>LEN(B4)-LEN(A4)</f>
        <v>1</v>
      </c>
      <c r="R4" s="31" t="str">
        <f>_xlfn.CONCAT(D4," ",E4," ",F4," ",C4)</f>
        <v>Lewis   DAVIES or DANIEL</v>
      </c>
      <c r="S4" t="str">
        <f>_xlfn.CONCAT(G4," ",C4," (",H4," - ",I4,": #",B4,")")</f>
        <v>Lewis DAVIES or DANIEL (Unknown - Unknown: #2a)</v>
      </c>
      <c r="U4" s="126">
        <f t="shared" ref="U4:U35" si="1">W4*1000+VLOOKUP(X4,$AB$4:$AC$13,2,FALSE)</f>
        <v>2001</v>
      </c>
      <c r="V4" t="str">
        <f>P4</f>
        <v>2a</v>
      </c>
      <c r="W4" s="126">
        <f>VALUE(LEFT(V4,1))</f>
        <v>2</v>
      </c>
      <c r="X4" s="126" t="str">
        <f>RIGHT(V4,1)</f>
        <v>a</v>
      </c>
      <c r="Y4" s="116"/>
      <c r="Z4" s="116"/>
      <c r="AB4" t="s">
        <v>3003</v>
      </c>
      <c r="AC4">
        <v>1</v>
      </c>
      <c r="AE4" t="s">
        <v>3763</v>
      </c>
      <c r="AF4" t="s">
        <v>780</v>
      </c>
      <c r="AG4" t="s">
        <v>3015</v>
      </c>
      <c r="AH4" t="s">
        <v>2816</v>
      </c>
      <c r="AI4" t="s">
        <v>2816</v>
      </c>
      <c r="AJ4" t="s">
        <v>2816</v>
      </c>
      <c r="AK4" t="s">
        <v>2816</v>
      </c>
      <c r="AL4" t="s">
        <v>2816</v>
      </c>
      <c r="AM4" t="s">
        <v>2816</v>
      </c>
      <c r="AN4" t="s">
        <v>2816</v>
      </c>
      <c r="AO4" t="s">
        <v>2816</v>
      </c>
      <c r="AQ4" s="60" t="s">
        <v>3030</v>
      </c>
      <c r="AR4" s="60" t="str">
        <f>AF4</f>
        <v>Loyd #</v>
      </c>
      <c r="AS4" s="60" t="s">
        <v>3032</v>
      </c>
      <c r="AT4" s="60" t="s">
        <v>3031</v>
      </c>
      <c r="BD4" s="111" t="s">
        <v>2811</v>
      </c>
      <c r="BE4">
        <v>2001</v>
      </c>
      <c r="BF4">
        <v>2002</v>
      </c>
      <c r="BG4">
        <v>2003</v>
      </c>
      <c r="BH4">
        <v>11001</v>
      </c>
      <c r="BI4">
        <v>11002</v>
      </c>
      <c r="BJ4">
        <v>11003</v>
      </c>
      <c r="BK4">
        <v>11004</v>
      </c>
      <c r="BL4">
        <v>11005</v>
      </c>
      <c r="BM4">
        <v>18001</v>
      </c>
      <c r="BN4">
        <v>18002</v>
      </c>
      <c r="BO4">
        <v>18003</v>
      </c>
      <c r="BP4">
        <v>18004</v>
      </c>
      <c r="BQ4">
        <v>18005</v>
      </c>
      <c r="BR4">
        <v>19001</v>
      </c>
      <c r="BS4">
        <v>19002</v>
      </c>
      <c r="BT4">
        <v>19003</v>
      </c>
      <c r="BU4">
        <v>19004</v>
      </c>
      <c r="BV4">
        <v>19005</v>
      </c>
      <c r="BW4">
        <v>36001</v>
      </c>
      <c r="BX4">
        <v>36002</v>
      </c>
      <c r="BY4">
        <v>36003</v>
      </c>
      <c r="BZ4">
        <v>36004</v>
      </c>
      <c r="CA4">
        <v>36005</v>
      </c>
      <c r="CB4">
        <v>36006</v>
      </c>
      <c r="CC4">
        <v>36007</v>
      </c>
      <c r="CD4">
        <v>36008</v>
      </c>
      <c r="CE4">
        <v>42001</v>
      </c>
      <c r="CF4">
        <v>47001</v>
      </c>
      <c r="CG4">
        <v>47002</v>
      </c>
      <c r="CH4">
        <v>48001</v>
      </c>
      <c r="CI4">
        <v>63001</v>
      </c>
      <c r="CJ4">
        <v>63002</v>
      </c>
      <c r="CK4">
        <v>63003</v>
      </c>
      <c r="CL4">
        <v>65001</v>
      </c>
      <c r="CM4">
        <v>65002</v>
      </c>
      <c r="CN4">
        <v>65003</v>
      </c>
      <c r="CO4">
        <v>70001</v>
      </c>
      <c r="CP4">
        <v>70002</v>
      </c>
      <c r="CQ4">
        <v>70003</v>
      </c>
      <c r="CR4">
        <v>70004</v>
      </c>
      <c r="CS4">
        <v>70005</v>
      </c>
      <c r="CT4">
        <v>70006</v>
      </c>
      <c r="CU4">
        <v>85001</v>
      </c>
      <c r="CV4">
        <v>85002</v>
      </c>
      <c r="CW4">
        <v>85003</v>
      </c>
      <c r="CX4">
        <v>85004</v>
      </c>
      <c r="CY4">
        <v>88001</v>
      </c>
      <c r="CZ4">
        <v>88002</v>
      </c>
      <c r="DA4">
        <v>88003</v>
      </c>
      <c r="DB4">
        <v>90001</v>
      </c>
      <c r="DC4">
        <v>90002</v>
      </c>
      <c r="DD4">
        <v>90003</v>
      </c>
      <c r="DE4">
        <v>92001</v>
      </c>
      <c r="DF4">
        <v>92002</v>
      </c>
      <c r="DG4">
        <v>92003</v>
      </c>
      <c r="DH4">
        <v>92004</v>
      </c>
      <c r="DI4">
        <v>95001</v>
      </c>
      <c r="DJ4">
        <v>95002</v>
      </c>
      <c r="DK4">
        <v>97001</v>
      </c>
      <c r="DL4">
        <v>97002</v>
      </c>
      <c r="DM4">
        <v>97003</v>
      </c>
      <c r="DN4">
        <v>97004</v>
      </c>
      <c r="DO4">
        <v>97005</v>
      </c>
      <c r="DP4">
        <v>101001</v>
      </c>
      <c r="DQ4">
        <v>101002</v>
      </c>
      <c r="DR4">
        <v>101003</v>
      </c>
      <c r="DS4">
        <v>101004</v>
      </c>
      <c r="DT4">
        <v>101005</v>
      </c>
      <c r="DU4">
        <v>101006</v>
      </c>
      <c r="DV4">
        <v>102001</v>
      </c>
      <c r="DW4">
        <v>102002</v>
      </c>
      <c r="DX4">
        <v>102003</v>
      </c>
      <c r="DY4">
        <v>103001</v>
      </c>
      <c r="DZ4">
        <v>103002</v>
      </c>
      <c r="EA4">
        <v>103003</v>
      </c>
      <c r="EB4">
        <v>103004</v>
      </c>
      <c r="EC4">
        <v>106001</v>
      </c>
      <c r="ED4">
        <v>106002</v>
      </c>
      <c r="EE4">
        <v>107001</v>
      </c>
      <c r="EF4">
        <v>107002</v>
      </c>
      <c r="EG4">
        <v>107003</v>
      </c>
      <c r="EH4">
        <v>107004</v>
      </c>
      <c r="EI4">
        <v>107005</v>
      </c>
      <c r="EJ4">
        <v>108001</v>
      </c>
      <c r="EK4">
        <v>108002</v>
      </c>
      <c r="EL4">
        <v>108003</v>
      </c>
      <c r="EM4">
        <v>108004</v>
      </c>
      <c r="EN4">
        <v>109001</v>
      </c>
      <c r="EO4">
        <v>109002</v>
      </c>
      <c r="EP4">
        <v>110001</v>
      </c>
      <c r="EQ4">
        <v>110002</v>
      </c>
      <c r="ER4">
        <v>110003</v>
      </c>
      <c r="ES4">
        <v>110004</v>
      </c>
      <c r="ET4">
        <v>112001</v>
      </c>
      <c r="EU4">
        <v>112002</v>
      </c>
      <c r="EV4">
        <v>112003</v>
      </c>
      <c r="EW4">
        <v>112004</v>
      </c>
      <c r="EX4">
        <v>115001</v>
      </c>
      <c r="EY4">
        <v>115002</v>
      </c>
      <c r="EZ4">
        <v>115003</v>
      </c>
      <c r="FA4">
        <v>115004</v>
      </c>
      <c r="FB4">
        <v>115005</v>
      </c>
      <c r="FC4">
        <v>116001</v>
      </c>
      <c r="FD4">
        <v>116002</v>
      </c>
      <c r="FE4">
        <v>116003</v>
      </c>
      <c r="FF4">
        <v>123001</v>
      </c>
      <c r="FG4">
        <v>123002</v>
      </c>
      <c r="FH4">
        <v>125001</v>
      </c>
      <c r="FI4">
        <v>125002</v>
      </c>
      <c r="FJ4">
        <v>128001</v>
      </c>
      <c r="FK4">
        <v>128002</v>
      </c>
      <c r="FL4">
        <v>137001</v>
      </c>
      <c r="FM4">
        <v>140001</v>
      </c>
      <c r="FN4">
        <v>140002</v>
      </c>
      <c r="FO4">
        <v>141001</v>
      </c>
      <c r="FP4">
        <v>141002</v>
      </c>
      <c r="FQ4">
        <v>143001</v>
      </c>
      <c r="FR4">
        <v>143002</v>
      </c>
      <c r="FS4">
        <v>152001</v>
      </c>
      <c r="FT4">
        <v>152002</v>
      </c>
      <c r="FU4">
        <v>154001</v>
      </c>
      <c r="FV4">
        <v>154002</v>
      </c>
      <c r="FW4">
        <v>154003</v>
      </c>
      <c r="FX4">
        <v>156001</v>
      </c>
      <c r="FY4">
        <v>156002</v>
      </c>
      <c r="FZ4">
        <v>157001</v>
      </c>
      <c r="GA4">
        <v>157002</v>
      </c>
      <c r="GB4">
        <v>158001</v>
      </c>
      <c r="GC4">
        <v>159001</v>
      </c>
      <c r="GD4">
        <v>159002</v>
      </c>
      <c r="GE4">
        <v>161001</v>
      </c>
      <c r="GF4">
        <v>161002</v>
      </c>
      <c r="GG4">
        <v>163001</v>
      </c>
      <c r="GH4">
        <v>163002</v>
      </c>
      <c r="GI4">
        <v>164001</v>
      </c>
      <c r="GJ4">
        <v>164002</v>
      </c>
      <c r="GK4">
        <v>164003</v>
      </c>
      <c r="GL4">
        <v>165001</v>
      </c>
      <c r="GM4">
        <v>165002</v>
      </c>
      <c r="GN4">
        <v>168001</v>
      </c>
      <c r="GO4">
        <v>168002</v>
      </c>
      <c r="GP4">
        <v>170001</v>
      </c>
      <c r="GQ4" t="s">
        <v>2812</v>
      </c>
    </row>
    <row r="5" spans="1:338" ht="34">
      <c r="A5">
        <f>'All Girls &amp; Descendants - Edit'!B4</f>
        <v>2</v>
      </c>
      <c r="B5" t="str">
        <f>'All Girls &amp; Descendants - Edit'!C4</f>
        <v>2b</v>
      </c>
      <c r="C5" t="str">
        <f>'All Girls &amp; Descendants - Edit'!D4</f>
        <v>DAVIES or DANIEL</v>
      </c>
      <c r="D5" t="str">
        <f>'All Girls &amp; Descendants - Edit'!E4</f>
        <v>Ann</v>
      </c>
      <c r="E5" t="str">
        <f>IF('All Girls &amp; Descendants - Edit'!F4="","",'All Girls &amp; Descendants - Edit'!F4)</f>
        <v/>
      </c>
      <c r="F5" t="str">
        <f>IF('All Girls &amp; Descendants - Edit'!G4="","",'All Girls &amp; Descendants - Edit'!G4)</f>
        <v/>
      </c>
      <c r="G5" t="str">
        <f>IF('All Girls &amp; Descendants - Edit'!H4="",D5,'All Girls &amp; Descendants - Edit'!H4)</f>
        <v>Ann</v>
      </c>
      <c r="H5" t="str">
        <f>'All Girls &amp; Descendants - Edit'!I4</f>
        <v>Unknown</v>
      </c>
      <c r="I5" t="str">
        <f>'All Girls &amp; Descendants - Edit'!J4</f>
        <v>Unknown</v>
      </c>
      <c r="J5" s="101">
        <f>'All Girls &amp; Descendants - Edit'!K4</f>
        <v>0</v>
      </c>
      <c r="K5" s="3" t="str">
        <f>'All Girls &amp; Descendants - Edit'!L4</f>
        <v>Unknown</v>
      </c>
      <c r="L5" s="3" t="str">
        <f>'All Girls &amp; Descendants - Edit'!M4</f>
        <v>Unknown</v>
      </c>
      <c r="M5" s="3">
        <f>'All Girls &amp; Descendants - Edit'!N4</f>
        <v>0</v>
      </c>
      <c r="N5" s="3">
        <f>'All Girls &amp; Descendants - Edit'!O4</f>
        <v>0</v>
      </c>
      <c r="O5" s="3" t="str">
        <f>'All Girls &amp; Descendants - Edit'!P4</f>
        <v>Unknown</v>
      </c>
      <c r="P5" t="str">
        <f t="shared" ref="P5:P68" si="2">B5</f>
        <v>2b</v>
      </c>
      <c r="Q5" s="116">
        <f t="shared" ref="Q5:Q68" si="3">LEN(B5)-LEN(A5)</f>
        <v>1</v>
      </c>
      <c r="R5" s="31" t="str">
        <f t="shared" ref="R5:R68" si="4">_xlfn.CONCAT(D5," ",E5," ",F5," ",C5)</f>
        <v>Ann   DAVIES or DANIEL</v>
      </c>
      <c r="S5" t="str">
        <f t="shared" ref="S5:S68" si="5">_xlfn.CONCAT(G5," ",C5," (",H5," - ",I5,": #",B5,")")</f>
        <v>Ann DAVIES or DANIEL (Unknown - Unknown: #2b)</v>
      </c>
      <c r="U5" s="126">
        <f t="shared" si="1"/>
        <v>2002</v>
      </c>
      <c r="V5" t="str">
        <f t="shared" ref="V5:V68" si="6">P5</f>
        <v>2b</v>
      </c>
      <c r="W5" s="126">
        <f>VALUE(LEFT(V5,1))</f>
        <v>2</v>
      </c>
      <c r="X5" s="126" t="str">
        <f t="shared" ref="X5:X68" si="7">RIGHT(V5,1)</f>
        <v>b</v>
      </c>
      <c r="Y5" s="116"/>
      <c r="Z5" s="116"/>
      <c r="AB5" t="s">
        <v>3004</v>
      </c>
      <c r="AC5">
        <v>2</v>
      </c>
      <c r="AE5" s="116">
        <f>COUNTIF(AH5:AO5,"&gt;&lt;""")-AG5</f>
        <v>0</v>
      </c>
      <c r="AF5" s="99">
        <f>BD5</f>
        <v>2</v>
      </c>
      <c r="AG5" s="116">
        <f>COUNTIF(BE5:GP5,"&gt;0")</f>
        <v>3</v>
      </c>
      <c r="AH5" s="117" t="str">
        <f t="shared" ref="AH5:AJ9" si="8">VLOOKUP(IF(ISNUMBER(SMALL($BE5:$GP5,AH$3)),SMALL($BE5:$GP5,AH$3),""),$U$4:$V$165,2,FALSE)</f>
        <v>2a</v>
      </c>
      <c r="AI5" s="117" t="str">
        <f t="shared" si="8"/>
        <v>2b</v>
      </c>
      <c r="AJ5" s="117" t="str">
        <f t="shared" si="8"/>
        <v>2c</v>
      </c>
      <c r="AK5" s="117"/>
      <c r="AL5" s="117"/>
      <c r="AM5" s="117"/>
      <c r="AN5" s="117"/>
      <c r="AO5" s="117"/>
      <c r="AP5" s="117"/>
      <c r="AQ5" s="126">
        <f>VLOOKUP(AR5,'Loyd List 1-190 - Edit'!$P$2:$R$208,3,FALSE)</f>
        <v>1</v>
      </c>
      <c r="AR5" s="126">
        <f t="shared" ref="AR5:AR49" si="9">AF5</f>
        <v>2</v>
      </c>
      <c r="AS5" s="126">
        <f>AG5</f>
        <v>3</v>
      </c>
      <c r="AT5" s="97" t="str">
        <f t="shared" ref="AT5:AT49" si="10">_xlfn.CONCAT(AG5," - ",AU5," ",AV5," ",AW5," ",AX5," ",AY5," ",AZ5," ",BA5," ",BB5)</f>
        <v xml:space="preserve">3 - Lewis DAVIES or DANIEL (Unknown - Unknown: #2a) Ann DAVIES or DANIEL (Unknown - Unknown: #2b) William DAVIES or DANIEL (1800 - 1832: #2c)     </v>
      </c>
      <c r="AU5" t="str">
        <f t="shared" ref="AU5:AU27" si="11">IF(AH5&lt;&gt;"",VLOOKUP(AH5,$P$3:$T$451,4,FALSE),"")</f>
        <v>Lewis DAVIES or DANIEL (Unknown - Unknown: #2a)</v>
      </c>
      <c r="AV5" t="str">
        <f t="shared" ref="AV5:AV27" si="12">IF(AI5&lt;&gt;"",VLOOKUP(AI5,$P$3:$T$451,4,FALSE),"")</f>
        <v>Ann DAVIES or DANIEL (Unknown - Unknown: #2b)</v>
      </c>
      <c r="AW5" t="str">
        <f t="shared" ref="AW5:AW27" si="13">IF(AJ5&lt;&gt;"",VLOOKUP(AJ5,$P$3:$T$451,4,FALSE),"")</f>
        <v>William DAVIES or DANIEL (1800 - 1832: #2c)</v>
      </c>
      <c r="AX5" t="str">
        <f t="shared" ref="AX5:AX27" si="14">IF(AK5&lt;&gt;"",VLOOKUP(AK5,$P$3:$T$451,4,FALSE),"")</f>
        <v/>
      </c>
      <c r="AY5" t="str">
        <f t="shared" ref="AY5:AY27" si="15">IF(AL5&lt;&gt;"",VLOOKUP(AL5,$P$3:$T$451,4,FALSE),"")</f>
        <v/>
      </c>
      <c r="AZ5" t="str">
        <f t="shared" ref="AZ5:AZ27" si="16">IF(AM5&lt;&gt;"",VLOOKUP(AM5,$P$3:$T$451,4,FALSE),"")</f>
        <v/>
      </c>
      <c r="BA5" t="str">
        <f t="shared" ref="BA5:BA27" si="17">IF(AN5&lt;&gt;"",VLOOKUP(AN5,$P$3:$T$451,4,FALSE),"")</f>
        <v/>
      </c>
      <c r="BB5" t="str">
        <f t="shared" ref="BB5:BB27" si="18">IF(AO5&lt;&gt;"",VLOOKUP(AO5,$P$3:$T$451,4,FALSE),"")</f>
        <v/>
      </c>
      <c r="BD5" s="72">
        <v>2</v>
      </c>
      <c r="BE5">
        <v>2001</v>
      </c>
      <c r="BF5">
        <v>2002</v>
      </c>
      <c r="BG5">
        <v>2003</v>
      </c>
      <c r="GQ5">
        <v>6006</v>
      </c>
    </row>
    <row r="6" spans="1:338" ht="34">
      <c r="A6">
        <f>'All Girls &amp; Descendants - Edit'!B5</f>
        <v>2</v>
      </c>
      <c r="B6" t="str">
        <f>'All Girls &amp; Descendants - Edit'!C5</f>
        <v>2c</v>
      </c>
      <c r="C6" t="str">
        <f>'All Girls &amp; Descendants - Edit'!D5</f>
        <v>DAVIES or DANIEL</v>
      </c>
      <c r="D6" t="str">
        <f>'All Girls &amp; Descendants - Edit'!E5</f>
        <v>William</v>
      </c>
      <c r="E6" t="str">
        <f>IF('All Girls &amp; Descendants - Edit'!F5="","",'All Girls &amp; Descendants - Edit'!F5)</f>
        <v/>
      </c>
      <c r="F6" t="str">
        <f>IF('All Girls &amp; Descendants - Edit'!G5="","",'All Girls &amp; Descendants - Edit'!G5)</f>
        <v/>
      </c>
      <c r="G6" t="str">
        <f>IF('All Girls &amp; Descendants - Edit'!H5="",D6,'All Girls &amp; Descendants - Edit'!H5)</f>
        <v>William</v>
      </c>
      <c r="H6">
        <f>'All Girls &amp; Descendants - Edit'!I5</f>
        <v>1800</v>
      </c>
      <c r="I6">
        <f>'All Girls &amp; Descendants - Edit'!J5</f>
        <v>1832</v>
      </c>
      <c r="J6" s="101">
        <f>'All Girls &amp; Descendants - Edit'!K5</f>
        <v>0</v>
      </c>
      <c r="K6" s="3" t="str">
        <f>'All Girls &amp; Descendants - Edit'!L5</f>
        <v>04/05/1800</v>
      </c>
      <c r="L6" s="3" t="str">
        <f>'All Girls &amp; Descendants - Edit'!M5</f>
        <v>04/05/1800</v>
      </c>
      <c r="M6" s="3">
        <f>'All Girls &amp; Descendants - Edit'!N5</f>
        <v>0</v>
      </c>
      <c r="N6" s="3" t="str">
        <f>'All Girls &amp; Descendants - Edit'!O5</f>
        <v>11/05/1832</v>
      </c>
      <c r="O6" s="3" t="str">
        <f>'All Girls &amp; Descendants - Edit'!P5</f>
        <v>11/05/1832</v>
      </c>
      <c r="P6" t="str">
        <f t="shared" si="2"/>
        <v>2c</v>
      </c>
      <c r="Q6" s="116">
        <f t="shared" si="3"/>
        <v>1</v>
      </c>
      <c r="R6" s="31" t="str">
        <f t="shared" si="4"/>
        <v>William   DAVIES or DANIEL</v>
      </c>
      <c r="S6" t="str">
        <f t="shared" si="5"/>
        <v>William DAVIES or DANIEL (1800 - 1832: #2c)</v>
      </c>
      <c r="U6" s="126">
        <f t="shared" si="1"/>
        <v>2003</v>
      </c>
      <c r="V6" t="str">
        <f t="shared" si="6"/>
        <v>2c</v>
      </c>
      <c r="W6" s="126">
        <f>VALUE(LEFT(V6,1))</f>
        <v>2</v>
      </c>
      <c r="X6" s="126" t="str">
        <f t="shared" si="7"/>
        <v>c</v>
      </c>
      <c r="Y6" s="116"/>
      <c r="Z6" s="116"/>
      <c r="AB6" t="s">
        <v>3005</v>
      </c>
      <c r="AC6">
        <v>3</v>
      </c>
      <c r="AE6" s="116">
        <f t="shared" ref="AE6:AE51" si="19">COUNTIF(AH6:AO6,"&gt;&lt;""")-AG6</f>
        <v>0</v>
      </c>
      <c r="AF6" s="99">
        <f t="shared" ref="AF6:AF49" si="20">BD6</f>
        <v>11</v>
      </c>
      <c r="AG6" s="116">
        <f t="shared" ref="AG6:AG51" si="21">COUNTIF(BE6:GP6,"&gt;0")</f>
        <v>5</v>
      </c>
      <c r="AH6" s="117" t="str">
        <f t="shared" si="8"/>
        <v>11a</v>
      </c>
      <c r="AI6" s="117" t="str">
        <f t="shared" si="8"/>
        <v>11b</v>
      </c>
      <c r="AJ6" s="117" t="str">
        <f t="shared" si="8"/>
        <v>11c</v>
      </c>
      <c r="AK6" s="117" t="str">
        <f t="shared" ref="AK6:AL9" si="22">VLOOKUP(IF(ISNUMBER(SMALL($BE6:$GP6,AK$3)),SMALL($BE6:$GP6,AK$3),""),$U$4:$V$165,2,FALSE)</f>
        <v>11d</v>
      </c>
      <c r="AL6" s="117" t="str">
        <f t="shared" si="22"/>
        <v>11e</v>
      </c>
      <c r="AM6" s="117"/>
      <c r="AN6" s="117"/>
      <c r="AO6" s="117"/>
      <c r="AP6" s="117"/>
      <c r="AQ6" s="126">
        <f>VLOOKUP(AR6,'Loyd List 1-190 - Edit'!$P$2:$R$208,3,FALSE)</f>
        <v>8</v>
      </c>
      <c r="AR6" s="126">
        <f t="shared" si="9"/>
        <v>11</v>
      </c>
      <c r="AS6" s="126">
        <f t="shared" ref="AS6:AS49" si="23">AG6</f>
        <v>5</v>
      </c>
      <c r="AT6" s="97" t="str">
        <f t="shared" si="10"/>
        <v xml:space="preserve">5 - Emma BENYON (1838 - 1913: #11a) Sarah BENYON (1839 - 1863: #11b) Henry BENYON (1841 - 1861: #11c) Fanny BENYON (1842 - 1845: #11d) Edward BENYON (1845 - 1903: #11e)   </v>
      </c>
      <c r="AU6" t="str">
        <f t="shared" si="11"/>
        <v>Emma BENYON (1838 - 1913: #11a)</v>
      </c>
      <c r="AV6" t="str">
        <f t="shared" si="12"/>
        <v>Sarah BENYON (1839 - 1863: #11b)</v>
      </c>
      <c r="AW6" t="str">
        <f t="shared" si="13"/>
        <v>Henry BENYON (1841 - 1861: #11c)</v>
      </c>
      <c r="AX6" t="str">
        <f t="shared" si="14"/>
        <v>Fanny BENYON (1842 - 1845: #11d)</v>
      </c>
      <c r="AY6" t="str">
        <f t="shared" si="15"/>
        <v>Edward BENYON (1845 - 1903: #11e)</v>
      </c>
      <c r="AZ6" t="str">
        <f t="shared" si="16"/>
        <v/>
      </c>
      <c r="BA6" t="str">
        <f t="shared" si="17"/>
        <v/>
      </c>
      <c r="BB6" t="str">
        <f t="shared" si="18"/>
        <v/>
      </c>
      <c r="BD6" s="72">
        <v>11</v>
      </c>
      <c r="BH6">
        <v>11001</v>
      </c>
      <c r="BI6">
        <v>11002</v>
      </c>
      <c r="BJ6">
        <v>11003</v>
      </c>
      <c r="BK6">
        <v>11004</v>
      </c>
      <c r="BL6">
        <v>11005</v>
      </c>
      <c r="GQ6">
        <v>55015</v>
      </c>
    </row>
    <row r="7" spans="1:338" ht="34">
      <c r="A7">
        <f>'All Girls &amp; Descendants - Edit'!B6</f>
        <v>11</v>
      </c>
      <c r="B7" t="str">
        <f>'All Girls &amp; Descendants - Edit'!C6</f>
        <v>11a</v>
      </c>
      <c r="C7" t="str">
        <f>'All Girls &amp; Descendants - Edit'!D6</f>
        <v>BENYON</v>
      </c>
      <c r="D7" t="str">
        <f>'All Girls &amp; Descendants - Edit'!E6</f>
        <v>Emma</v>
      </c>
      <c r="E7" t="str">
        <f>IF('All Girls &amp; Descendants - Edit'!F6="","",'All Girls &amp; Descendants - Edit'!F6)</f>
        <v/>
      </c>
      <c r="F7" t="str">
        <f>IF('All Girls &amp; Descendants - Edit'!G6="","",'All Girls &amp; Descendants - Edit'!G6)</f>
        <v/>
      </c>
      <c r="G7" t="str">
        <f>IF('All Girls &amp; Descendants - Edit'!H6="",D7,'All Girls &amp; Descendants - Edit'!H6)</f>
        <v>Emma</v>
      </c>
      <c r="H7">
        <f>'All Girls &amp; Descendants - Edit'!I6</f>
        <v>1838</v>
      </c>
      <c r="I7">
        <f>'All Girls &amp; Descendants - Edit'!J6</f>
        <v>1913</v>
      </c>
      <c r="J7" s="101">
        <f>'All Girls &amp; Descendants - Edit'!K6</f>
        <v>0</v>
      </c>
      <c r="K7" s="3" t="str">
        <f>'All Girls &amp; Descendants - Edit'!L6</f>
        <v>09/03/1838</v>
      </c>
      <c r="L7" s="3" t="str">
        <f>'All Girls &amp; Descendants - Edit'!M6</f>
        <v>09/03/1838</v>
      </c>
      <c r="M7" s="3" t="str">
        <f>'All Girls &amp; Descendants - Edit'!N6</f>
        <v>Unmarried</v>
      </c>
      <c r="N7" s="3">
        <f>'All Girls &amp; Descendants - Edit'!O6</f>
        <v>5016</v>
      </c>
      <c r="O7" s="3" t="str">
        <f>'All Girls &amp; Descendants - Edit'!P6</f>
        <v>24/09/1913</v>
      </c>
      <c r="P7" t="str">
        <f t="shared" si="2"/>
        <v>11a</v>
      </c>
      <c r="Q7" s="116">
        <f t="shared" si="3"/>
        <v>1</v>
      </c>
      <c r="R7" s="31" t="str">
        <f t="shared" si="4"/>
        <v>Emma   BENYON</v>
      </c>
      <c r="S7" t="str">
        <f t="shared" si="5"/>
        <v>Emma BENYON (1838 - 1913: #11a)</v>
      </c>
      <c r="U7" s="126">
        <f t="shared" si="1"/>
        <v>11001</v>
      </c>
      <c r="V7" t="str">
        <f t="shared" si="6"/>
        <v>11a</v>
      </c>
      <c r="W7" s="126">
        <f>VALUE(LEFT(V7,2))</f>
        <v>11</v>
      </c>
      <c r="X7" s="126" t="str">
        <f t="shared" si="7"/>
        <v>a</v>
      </c>
      <c r="Y7" s="116"/>
      <c r="Z7" s="116"/>
      <c r="AB7" t="s">
        <v>3006</v>
      </c>
      <c r="AC7">
        <v>4</v>
      </c>
      <c r="AE7" s="116">
        <f t="shared" si="19"/>
        <v>0</v>
      </c>
      <c r="AF7" s="99">
        <f t="shared" si="20"/>
        <v>18</v>
      </c>
      <c r="AG7" s="116">
        <f t="shared" si="21"/>
        <v>5</v>
      </c>
      <c r="AH7" s="117" t="str">
        <f t="shared" si="8"/>
        <v>18a</v>
      </c>
      <c r="AI7" s="117" t="str">
        <f t="shared" si="8"/>
        <v>18b</v>
      </c>
      <c r="AJ7" s="117" t="str">
        <f t="shared" si="8"/>
        <v>18c</v>
      </c>
      <c r="AK7" s="117" t="str">
        <f t="shared" si="22"/>
        <v>18d</v>
      </c>
      <c r="AL7" s="117" t="str">
        <f t="shared" si="22"/>
        <v>18e</v>
      </c>
      <c r="AM7" s="117"/>
      <c r="AN7" s="117"/>
      <c r="AO7" s="117"/>
      <c r="AP7" s="117"/>
      <c r="AQ7" s="126">
        <f>VLOOKUP(AR7,'Loyd List 1-190 - Edit'!$P$2:$R$208,3,FALSE)</f>
        <v>8</v>
      </c>
      <c r="AR7" s="126">
        <f t="shared" si="9"/>
        <v>18</v>
      </c>
      <c r="AS7" s="126">
        <f t="shared" si="23"/>
        <v>5</v>
      </c>
      <c r="AT7" s="97" t="str">
        <f t="shared" si="10"/>
        <v xml:space="preserve">5 - Margaret NICOL (1844 - 1927: #18a) William NICOL (1846 - 1914: #18b) James NICOL (1848 - 1938: #18c) Sarah NICOL (1854 - 1943: #18d) Lewis NICOL (1858 - 1935: #18e)   </v>
      </c>
      <c r="AU7" t="str">
        <f t="shared" si="11"/>
        <v>Margaret NICOL (1844 - 1927: #18a)</v>
      </c>
      <c r="AV7" t="str">
        <f t="shared" si="12"/>
        <v>William NICOL (1846 - 1914: #18b)</v>
      </c>
      <c r="AW7" t="str">
        <f t="shared" si="13"/>
        <v>James NICOL (1848 - 1938: #18c)</v>
      </c>
      <c r="AX7" t="str">
        <f t="shared" si="14"/>
        <v>Sarah NICOL (1854 - 1943: #18d)</v>
      </c>
      <c r="AY7" t="str">
        <f t="shared" si="15"/>
        <v>Lewis NICOL (1858 - 1935: #18e)</v>
      </c>
      <c r="AZ7" t="str">
        <f t="shared" si="16"/>
        <v/>
      </c>
      <c r="BA7" t="str">
        <f t="shared" si="17"/>
        <v/>
      </c>
      <c r="BB7" t="str">
        <f t="shared" si="18"/>
        <v/>
      </c>
      <c r="BD7" s="72">
        <v>18</v>
      </c>
      <c r="BM7">
        <v>18001</v>
      </c>
      <c r="BN7">
        <v>18002</v>
      </c>
      <c r="BO7">
        <v>18003</v>
      </c>
      <c r="BP7">
        <v>18004</v>
      </c>
      <c r="BQ7">
        <v>18005</v>
      </c>
      <c r="GQ7">
        <v>90015</v>
      </c>
    </row>
    <row r="8" spans="1:338" s="5" customFormat="1" ht="34">
      <c r="A8">
        <f>'All Girls &amp; Descendants - Edit'!B7</f>
        <v>11</v>
      </c>
      <c r="B8" t="str">
        <f>'All Girls &amp; Descendants - Edit'!C7</f>
        <v>11b</v>
      </c>
      <c r="C8" t="str">
        <f>'All Girls &amp; Descendants - Edit'!D7</f>
        <v>BENYON</v>
      </c>
      <c r="D8" t="str">
        <f>'All Girls &amp; Descendants - Edit'!E7</f>
        <v>Sarah</v>
      </c>
      <c r="E8" t="str">
        <f>IF('All Girls &amp; Descendants - Edit'!F7="","",'All Girls &amp; Descendants - Edit'!F7)</f>
        <v/>
      </c>
      <c r="F8" t="str">
        <f>IF('All Girls &amp; Descendants - Edit'!G7="","",'All Girls &amp; Descendants - Edit'!G7)</f>
        <v/>
      </c>
      <c r="G8" t="str">
        <f>IF('All Girls &amp; Descendants - Edit'!H7="",D8,'All Girls &amp; Descendants - Edit'!H7)</f>
        <v>Sarah</v>
      </c>
      <c r="H8">
        <f>'All Girls &amp; Descendants - Edit'!I7</f>
        <v>1839</v>
      </c>
      <c r="I8">
        <f>'All Girls &amp; Descendants - Edit'!J7</f>
        <v>1863</v>
      </c>
      <c r="J8" s="101">
        <f>'All Girls &amp; Descendants - Edit'!K7</f>
        <v>0</v>
      </c>
      <c r="K8" s="3" t="str">
        <f>'All Girls &amp; Descendants - Edit'!L7</f>
        <v>02/09/1839</v>
      </c>
      <c r="L8" s="3" t="str">
        <f>'All Girls &amp; Descendants - Edit'!M7</f>
        <v>02/09/1839</v>
      </c>
      <c r="M8" s="3" t="str">
        <f>'All Girls &amp; Descendants - Edit'!N7</f>
        <v>Unmarried</v>
      </c>
      <c r="N8" s="3" t="str">
        <f>'All Girls &amp; Descendants - Edit'!O7</f>
        <v>01/05/1863</v>
      </c>
      <c r="O8" s="3" t="str">
        <f>'All Girls &amp; Descendants - Edit'!P7</f>
        <v>01/05/1863</v>
      </c>
      <c r="P8" t="str">
        <f t="shared" si="2"/>
        <v>11b</v>
      </c>
      <c r="Q8" s="116">
        <f t="shared" si="3"/>
        <v>1</v>
      </c>
      <c r="R8" s="31" t="str">
        <f t="shared" si="4"/>
        <v>Sarah   BENYON</v>
      </c>
      <c r="S8" t="str">
        <f t="shared" si="5"/>
        <v>Sarah BENYON (1839 - 1863: #11b)</v>
      </c>
      <c r="U8" s="36">
        <f t="shared" si="1"/>
        <v>11002</v>
      </c>
      <c r="V8" t="str">
        <f t="shared" si="6"/>
        <v>11b</v>
      </c>
      <c r="W8" s="36">
        <f t="shared" ref="W8:W66" si="24">VALUE(LEFT(V8,2))</f>
        <v>11</v>
      </c>
      <c r="X8" s="36" t="str">
        <f t="shared" si="7"/>
        <v>b</v>
      </c>
      <c r="Y8" s="100"/>
      <c r="Z8" s="100"/>
      <c r="AB8" s="5" t="s">
        <v>3007</v>
      </c>
      <c r="AC8" s="5">
        <v>5</v>
      </c>
      <c r="AE8" s="116">
        <f t="shared" si="19"/>
        <v>0</v>
      </c>
      <c r="AF8" s="105">
        <f t="shared" si="20"/>
        <v>19</v>
      </c>
      <c r="AG8" s="116">
        <f t="shared" si="21"/>
        <v>5</v>
      </c>
      <c r="AH8" s="117" t="str">
        <f t="shared" si="8"/>
        <v>19a</v>
      </c>
      <c r="AI8" s="117" t="str">
        <f t="shared" si="8"/>
        <v>19b</v>
      </c>
      <c r="AJ8" s="117" t="str">
        <f t="shared" si="8"/>
        <v>19c</v>
      </c>
      <c r="AK8" s="117" t="str">
        <f t="shared" si="22"/>
        <v>19d</v>
      </c>
      <c r="AL8" s="117" t="str">
        <f t="shared" si="22"/>
        <v>19e</v>
      </c>
      <c r="AM8" s="117"/>
      <c r="AN8" s="117"/>
      <c r="AO8" s="117"/>
      <c r="AP8" s="117"/>
      <c r="AQ8" s="126">
        <f>VLOOKUP(AR8,'Loyd List 1-190 - Edit'!$P$2:$R$208,3,FALSE)</f>
        <v>8</v>
      </c>
      <c r="AR8" s="126">
        <f t="shared" si="9"/>
        <v>19</v>
      </c>
      <c r="AS8" s="126">
        <f t="shared" si="23"/>
        <v>5</v>
      </c>
      <c r="AT8" s="97" t="str">
        <f t="shared" si="10"/>
        <v xml:space="preserve">5 - William ENTWISLE (1839 - 1860: #19a) Richard ENTWISLE (1840 - 1894: #19b) Frederica ENTWISLE (1842 - 1916: #19c) Bernard ENTWISLE (1847 - 1877: #19d) Edward ENTWISLE (1852 - 1881: #19e)   </v>
      </c>
      <c r="AU8" t="str">
        <f t="shared" si="11"/>
        <v>William ENTWISLE (1839 - 1860: #19a)</v>
      </c>
      <c r="AV8" t="str">
        <f t="shared" si="12"/>
        <v>Richard ENTWISLE (1840 - 1894: #19b)</v>
      </c>
      <c r="AW8" t="str">
        <f t="shared" si="13"/>
        <v>Frederica ENTWISLE (1842 - 1916: #19c)</v>
      </c>
      <c r="AX8" t="str">
        <f t="shared" si="14"/>
        <v>Bernard ENTWISLE (1847 - 1877: #19d)</v>
      </c>
      <c r="AY8" t="str">
        <f t="shared" si="15"/>
        <v>Edward ENTWISLE (1852 - 1881: #19e)</v>
      </c>
      <c r="AZ8" t="str">
        <f t="shared" si="16"/>
        <v/>
      </c>
      <c r="BA8" t="str">
        <f t="shared" si="17"/>
        <v/>
      </c>
      <c r="BB8" t="str">
        <f t="shared" si="18"/>
        <v/>
      </c>
      <c r="BD8" s="72">
        <v>19</v>
      </c>
      <c r="BE8"/>
      <c r="BF8"/>
      <c r="BG8"/>
      <c r="BH8"/>
      <c r="BI8"/>
      <c r="BJ8"/>
      <c r="BK8"/>
      <c r="BL8"/>
      <c r="BM8"/>
      <c r="BN8"/>
      <c r="BO8"/>
      <c r="BP8"/>
      <c r="BQ8"/>
      <c r="BR8">
        <v>19001</v>
      </c>
      <c r="BS8">
        <v>19002</v>
      </c>
      <c r="BT8">
        <v>19003</v>
      </c>
      <c r="BU8">
        <v>19004</v>
      </c>
      <c r="BV8">
        <v>19005</v>
      </c>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v>95015</v>
      </c>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row>
    <row r="9" spans="1:338" ht="68">
      <c r="A9">
        <f>'All Girls &amp; Descendants - Edit'!B8</f>
        <v>11</v>
      </c>
      <c r="B9" t="str">
        <f>'All Girls &amp; Descendants - Edit'!C8</f>
        <v>11c</v>
      </c>
      <c r="C9" t="str">
        <f>'All Girls &amp; Descendants - Edit'!D8</f>
        <v>BENYON</v>
      </c>
      <c r="D9" t="str">
        <f>'All Girls &amp; Descendants - Edit'!E8</f>
        <v>Henry</v>
      </c>
      <c r="E9" t="str">
        <f>IF('All Girls &amp; Descendants - Edit'!F8="","",'All Girls &amp; Descendants - Edit'!F8)</f>
        <v/>
      </c>
      <c r="F9" t="str">
        <f>IF('All Girls &amp; Descendants - Edit'!G8="","",'All Girls &amp; Descendants - Edit'!G8)</f>
        <v/>
      </c>
      <c r="G9" t="str">
        <f>IF('All Girls &amp; Descendants - Edit'!H8="",D9,'All Girls &amp; Descendants - Edit'!H8)</f>
        <v>Henry</v>
      </c>
      <c r="H9">
        <f>'All Girls &amp; Descendants - Edit'!I8</f>
        <v>1841</v>
      </c>
      <c r="I9">
        <f>'All Girls &amp; Descendants - Edit'!J8</f>
        <v>1861</v>
      </c>
      <c r="J9" s="101">
        <f>'All Girls &amp; Descendants - Edit'!K8</f>
        <v>0</v>
      </c>
      <c r="K9" s="3" t="str">
        <f>'All Girls &amp; Descendants - Edit'!L8</f>
        <v>15/01/1841</v>
      </c>
      <c r="L9" s="3" t="str">
        <f>'All Girls &amp; Descendants - Edit'!M8</f>
        <v>15/01/1841</v>
      </c>
      <c r="M9" s="3" t="str">
        <f>'All Girls &amp; Descendants - Edit'!N8</f>
        <v>Unmarried</v>
      </c>
      <c r="N9" s="3" t="str">
        <f>'All Girls &amp; Descendants - Edit'!O8</f>
        <v>01/03/1861</v>
      </c>
      <c r="O9" s="3" t="str">
        <f>'All Girls &amp; Descendants - Edit'!P8</f>
        <v>01/03/1861</v>
      </c>
      <c r="P9" t="str">
        <f t="shared" si="2"/>
        <v>11c</v>
      </c>
      <c r="Q9" s="116">
        <f t="shared" si="3"/>
        <v>1</v>
      </c>
      <c r="R9" s="31" t="str">
        <f t="shared" si="4"/>
        <v>Henry   BENYON</v>
      </c>
      <c r="S9" t="str">
        <f t="shared" si="5"/>
        <v>Henry BENYON (1841 - 1861: #11c)</v>
      </c>
      <c r="U9" s="126">
        <f t="shared" si="1"/>
        <v>11003</v>
      </c>
      <c r="V9" t="str">
        <f t="shared" si="6"/>
        <v>11c</v>
      </c>
      <c r="W9" s="126">
        <f t="shared" si="24"/>
        <v>11</v>
      </c>
      <c r="X9" s="126" t="str">
        <f t="shared" si="7"/>
        <v>c</v>
      </c>
      <c r="Y9" s="116"/>
      <c r="Z9" s="116"/>
      <c r="AB9" t="s">
        <v>3008</v>
      </c>
      <c r="AC9">
        <v>6</v>
      </c>
      <c r="AE9" s="116">
        <f t="shared" si="19"/>
        <v>0</v>
      </c>
      <c r="AF9" s="99">
        <f t="shared" si="20"/>
        <v>36</v>
      </c>
      <c r="AG9" s="116">
        <f t="shared" si="21"/>
        <v>8</v>
      </c>
      <c r="AH9" s="117" t="str">
        <f t="shared" si="8"/>
        <v>36a</v>
      </c>
      <c r="AI9" s="117" t="str">
        <f t="shared" si="8"/>
        <v>36b</v>
      </c>
      <c r="AJ9" s="117" t="str">
        <f t="shared" si="8"/>
        <v>36c</v>
      </c>
      <c r="AK9" s="117" t="str">
        <f t="shared" si="22"/>
        <v>36d</v>
      </c>
      <c r="AL9" s="117" t="str">
        <f t="shared" si="22"/>
        <v>36e</v>
      </c>
      <c r="AM9" s="117" t="str">
        <f>VLOOKUP(IF(ISNUMBER(SMALL($BE9:$GP9,AM$3)),SMALL($BE9:$GP9,AM$3),""),$U$4:$V$165,2,FALSE)</f>
        <v>36f</v>
      </c>
      <c r="AN9" s="117" t="str">
        <f>VLOOKUP(IF(ISNUMBER(SMALL($BE9:$GP9,AN$3)),SMALL($BE9:$GP9,AN$3),""),$U$4:$V$165,2,FALSE)</f>
        <v>36g</v>
      </c>
      <c r="AO9" s="117" t="str">
        <f>VLOOKUP(IF(ISNUMBER(SMALL($BE9:$GP9,AO$3)),SMALL($BE9:$GP9,AO$3),""),$U$4:$V$165,2,FALSE)</f>
        <v>36h</v>
      </c>
      <c r="AP9" s="117"/>
      <c r="AQ9" s="126">
        <f>VLOOKUP(AR9,'Loyd List 1-190 - Edit'!$P$2:$R$208,3,FALSE)</f>
        <v>22</v>
      </c>
      <c r="AR9" s="126">
        <f t="shared" si="9"/>
        <v>36</v>
      </c>
      <c r="AS9" s="126">
        <f t="shared" si="23"/>
        <v>8</v>
      </c>
      <c r="AT9" s="97" t="str">
        <f t="shared" si="10"/>
        <v>8 - George COURTHOPE (1877 - 1955: #36a) Alexander COURTHOPE (1878 - 1892: #36b) John COURTHOPE (1882 - 1954: #36c) Barbara COURTHOPE (1883 - 1972: #36d) Elinor COURTHOPE (1886 - 1974: #36e) Richard COURTHOPE (1888 - 1889: #36f) Robert COURTHOPE (1891 - 1966: #36g) Margery COURTHOPE (1893 - 1901: #36h)</v>
      </c>
      <c r="AU9" t="str">
        <f t="shared" si="11"/>
        <v>George COURTHOPE (1877 - 1955: #36a)</v>
      </c>
      <c r="AV9" t="str">
        <f t="shared" si="12"/>
        <v>Alexander COURTHOPE (1878 - 1892: #36b)</v>
      </c>
      <c r="AW9" t="str">
        <f t="shared" si="13"/>
        <v>John COURTHOPE (1882 - 1954: #36c)</v>
      </c>
      <c r="AX9" t="str">
        <f t="shared" si="14"/>
        <v>Barbara COURTHOPE (1883 - 1972: #36d)</v>
      </c>
      <c r="AY9" t="str">
        <f t="shared" si="15"/>
        <v>Elinor COURTHOPE (1886 - 1974: #36e)</v>
      </c>
      <c r="AZ9" t="str">
        <f t="shared" si="16"/>
        <v>Richard COURTHOPE (1888 - 1889: #36f)</v>
      </c>
      <c r="BA9" t="str">
        <f t="shared" si="17"/>
        <v>Robert COURTHOPE (1891 - 1966: #36g)</v>
      </c>
      <c r="BB9" t="str">
        <f t="shared" si="18"/>
        <v>Margery COURTHOPE (1893 - 1901: #36h)</v>
      </c>
      <c r="BD9" s="72">
        <v>36</v>
      </c>
      <c r="BW9">
        <v>36001</v>
      </c>
      <c r="BX9">
        <v>36002</v>
      </c>
      <c r="BY9">
        <v>36003</v>
      </c>
      <c r="BZ9">
        <v>36004</v>
      </c>
      <c r="CA9">
        <v>36005</v>
      </c>
      <c r="CB9">
        <v>36006</v>
      </c>
      <c r="CC9">
        <v>36007</v>
      </c>
      <c r="CD9">
        <v>36008</v>
      </c>
      <c r="GQ9">
        <v>288036</v>
      </c>
    </row>
    <row r="10" spans="1:338" ht="17">
      <c r="A10">
        <f>'All Girls &amp; Descendants - Edit'!B9</f>
        <v>11</v>
      </c>
      <c r="B10" t="str">
        <f>'All Girls &amp; Descendants - Edit'!C9</f>
        <v>11d</v>
      </c>
      <c r="C10" t="str">
        <f>'All Girls &amp; Descendants - Edit'!D9</f>
        <v>BENYON</v>
      </c>
      <c r="D10" t="str">
        <f>'All Girls &amp; Descendants - Edit'!E9</f>
        <v>Fanny</v>
      </c>
      <c r="E10" t="str">
        <f>IF('All Girls &amp; Descendants - Edit'!F9="","",'All Girls &amp; Descendants - Edit'!F9)</f>
        <v/>
      </c>
      <c r="F10" t="str">
        <f>IF('All Girls &amp; Descendants - Edit'!G9="","",'All Girls &amp; Descendants - Edit'!G9)</f>
        <v/>
      </c>
      <c r="G10" t="str">
        <f>IF('All Girls &amp; Descendants - Edit'!H9="",D10,'All Girls &amp; Descendants - Edit'!H9)</f>
        <v>Fanny</v>
      </c>
      <c r="H10">
        <f>'All Girls &amp; Descendants - Edit'!I9</f>
        <v>1842</v>
      </c>
      <c r="I10">
        <f>'All Girls &amp; Descendants - Edit'!J9</f>
        <v>1845</v>
      </c>
      <c r="J10" s="101">
        <f>'All Girls &amp; Descendants - Edit'!K9</f>
        <v>0</v>
      </c>
      <c r="K10" s="3" t="str">
        <f>'All Girls &amp; Descendants - Edit'!L9</f>
        <v>02/02/1842</v>
      </c>
      <c r="L10" s="3" t="str">
        <f>'All Girls &amp; Descendants - Edit'!M9</f>
        <v>02/02/1842</v>
      </c>
      <c r="M10" s="3" t="str">
        <f>'All Girls &amp; Descendants - Edit'!N9</f>
        <v>Unmarried</v>
      </c>
      <c r="N10" s="3" t="str">
        <f>'All Girls &amp; Descendants - Edit'!O9</f>
        <v>30/01/1845</v>
      </c>
      <c r="O10" s="3" t="str">
        <f>'All Girls &amp; Descendants - Edit'!P9</f>
        <v>30/01/1845</v>
      </c>
      <c r="P10" t="str">
        <f t="shared" si="2"/>
        <v>11d</v>
      </c>
      <c r="Q10" s="116">
        <f t="shared" si="3"/>
        <v>1</v>
      </c>
      <c r="R10" s="31" t="str">
        <f t="shared" si="4"/>
        <v>Fanny   BENYON</v>
      </c>
      <c r="S10" t="str">
        <f t="shared" si="5"/>
        <v>Fanny BENYON (1842 - 1845: #11d)</v>
      </c>
      <c r="U10" s="126">
        <f t="shared" si="1"/>
        <v>11004</v>
      </c>
      <c r="V10" t="str">
        <f t="shared" si="6"/>
        <v>11d</v>
      </c>
      <c r="W10" s="126">
        <f t="shared" si="24"/>
        <v>11</v>
      </c>
      <c r="X10" s="126" t="str">
        <f t="shared" si="7"/>
        <v>d</v>
      </c>
      <c r="Y10" s="116"/>
      <c r="Z10" s="116"/>
      <c r="AB10" t="s">
        <v>3009</v>
      </c>
      <c r="AC10">
        <v>7</v>
      </c>
      <c r="AE10" s="116">
        <f t="shared" si="19"/>
        <v>0</v>
      </c>
      <c r="AF10" s="99">
        <f t="shared" si="20"/>
        <v>42</v>
      </c>
      <c r="AG10" s="116">
        <f t="shared" si="21"/>
        <v>1</v>
      </c>
      <c r="AH10" s="117" t="str">
        <f t="shared" ref="AH10:AH51" si="25">VLOOKUP(IF(ISNUMBER(SMALL($BE10:$GP10,AH$3)),SMALL($BE10:$GP10,AH$3),""),$U$4:$V$165,2,FALSE)</f>
        <v>42a</v>
      </c>
      <c r="AI10" s="117"/>
      <c r="AJ10" s="117"/>
      <c r="AK10" s="117"/>
      <c r="AL10" s="117"/>
      <c r="AM10" s="117"/>
      <c r="AN10" s="117"/>
      <c r="AO10" s="117"/>
      <c r="AP10" s="117"/>
      <c r="AQ10" s="126">
        <f>VLOOKUP(AR10,'Loyd List 1-190 - Edit'!$P$2:$R$208,3,FALSE)</f>
        <v>23</v>
      </c>
      <c r="AR10" s="126">
        <f t="shared" si="9"/>
        <v>42</v>
      </c>
      <c r="AS10" s="126">
        <f t="shared" si="23"/>
        <v>1</v>
      </c>
      <c r="AT10" s="97" t="str">
        <f t="shared" si="10"/>
        <v xml:space="preserve">1 - Ambrose GODDARD (1892 - : #42a)       </v>
      </c>
      <c r="AU10" t="str">
        <f t="shared" si="11"/>
        <v>Ambrose GODDARD (1892 - : #42a)</v>
      </c>
      <c r="AV10" t="str">
        <f t="shared" si="12"/>
        <v/>
      </c>
      <c r="AW10" t="str">
        <f t="shared" si="13"/>
        <v/>
      </c>
      <c r="AX10" t="str">
        <f t="shared" si="14"/>
        <v/>
      </c>
      <c r="AY10" t="str">
        <f t="shared" si="15"/>
        <v/>
      </c>
      <c r="AZ10" t="str">
        <f t="shared" si="16"/>
        <v/>
      </c>
      <c r="BA10" t="str">
        <f t="shared" si="17"/>
        <v/>
      </c>
      <c r="BB10" t="str">
        <f t="shared" si="18"/>
        <v/>
      </c>
      <c r="BD10" s="72">
        <v>42</v>
      </c>
      <c r="CE10">
        <v>42001</v>
      </c>
      <c r="GQ10">
        <v>42001</v>
      </c>
    </row>
    <row r="11" spans="1:338" ht="17">
      <c r="A11">
        <f>'All Girls &amp; Descendants - Edit'!B10</f>
        <v>11</v>
      </c>
      <c r="B11" t="str">
        <f>'All Girls &amp; Descendants - Edit'!C10</f>
        <v>11e</v>
      </c>
      <c r="C11" t="str">
        <f>'All Girls &amp; Descendants - Edit'!D10</f>
        <v>BENYON</v>
      </c>
      <c r="D11" t="str">
        <f>'All Girls &amp; Descendants - Edit'!E10</f>
        <v>Edward</v>
      </c>
      <c r="E11" t="str">
        <f>IF('All Girls &amp; Descendants - Edit'!F10="","",'All Girls &amp; Descendants - Edit'!F10)</f>
        <v>Loyd</v>
      </c>
      <c r="F11" t="str">
        <f>IF('All Girls &amp; Descendants - Edit'!G10="","",'All Girls &amp; Descendants - Edit'!G10)</f>
        <v/>
      </c>
      <c r="G11" t="str">
        <f>IF('All Girls &amp; Descendants - Edit'!H10="",D11,'All Girls &amp; Descendants - Edit'!H10)</f>
        <v>Edward</v>
      </c>
      <c r="H11">
        <f>'All Girls &amp; Descendants - Edit'!I10</f>
        <v>1845</v>
      </c>
      <c r="I11">
        <f>'All Girls &amp; Descendants - Edit'!J10</f>
        <v>1903</v>
      </c>
      <c r="J11" s="101">
        <f>'All Girls &amp; Descendants - Edit'!K10</f>
        <v>0</v>
      </c>
      <c r="K11" s="3" t="str">
        <f>'All Girls &amp; Descendants - Edit'!L10</f>
        <v>25/11/1845</v>
      </c>
      <c r="L11" s="3" t="str">
        <f>'All Girls &amp; Descendants - Edit'!M10</f>
        <v>25/11/1845</v>
      </c>
      <c r="M11" s="3" t="str">
        <f>'All Girls &amp; Descendants - Edit'!N10</f>
        <v>03/12/1879</v>
      </c>
      <c r="N11" s="3">
        <f>'All Girls &amp; Descendants - Edit'!O10</f>
        <v>1103</v>
      </c>
      <c r="O11" s="3" t="str">
        <f>'All Girls &amp; Descendants - Edit'!P10</f>
        <v>07/01/1903</v>
      </c>
      <c r="P11" t="str">
        <f t="shared" si="2"/>
        <v>11e</v>
      </c>
      <c r="Q11" s="116">
        <f t="shared" si="3"/>
        <v>1</v>
      </c>
      <c r="R11" s="31" t="str">
        <f t="shared" si="4"/>
        <v>Edward Loyd  BENYON</v>
      </c>
      <c r="S11" t="str">
        <f t="shared" si="5"/>
        <v>Edward BENYON (1845 - 1903: #11e)</v>
      </c>
      <c r="U11" s="126">
        <f t="shared" si="1"/>
        <v>11005</v>
      </c>
      <c r="V11" t="str">
        <f t="shared" si="6"/>
        <v>11e</v>
      </c>
      <c r="W11" s="126">
        <f t="shared" si="24"/>
        <v>11</v>
      </c>
      <c r="X11" s="126" t="str">
        <f t="shared" si="7"/>
        <v>e</v>
      </c>
      <c r="Y11" s="116"/>
      <c r="Z11" s="116"/>
      <c r="AB11" t="s">
        <v>3010</v>
      </c>
      <c r="AC11">
        <v>8</v>
      </c>
      <c r="AE11" s="116">
        <f t="shared" si="19"/>
        <v>0</v>
      </c>
      <c r="AF11" s="99">
        <f t="shared" si="20"/>
        <v>47</v>
      </c>
      <c r="AG11" s="116">
        <f t="shared" si="21"/>
        <v>2</v>
      </c>
      <c r="AH11" s="117" t="str">
        <f t="shared" si="25"/>
        <v>47a</v>
      </c>
      <c r="AI11" s="117" t="str">
        <f>VLOOKUP(IF(ISNUMBER(SMALL($BE11:$GP11,AI$3)),SMALL($BE11:$GP11,AI$3),""),$U$4:$V$165,2,FALSE)</f>
        <v>47b</v>
      </c>
      <c r="AJ11" s="117"/>
      <c r="AK11" s="117"/>
      <c r="AL11" s="117"/>
      <c r="AM11" s="117"/>
      <c r="AN11" s="117"/>
      <c r="AO11" s="117"/>
      <c r="AP11" s="117"/>
      <c r="AQ11" s="126">
        <f>VLOOKUP(AR11,'Loyd List 1-190 - Edit'!$P$2:$R$208,3,FALSE)</f>
        <v>22</v>
      </c>
      <c r="AR11" s="126">
        <f t="shared" si="9"/>
        <v>47</v>
      </c>
      <c r="AS11" s="126">
        <f t="shared" si="23"/>
        <v>2</v>
      </c>
      <c r="AT11" s="97" t="str">
        <f t="shared" si="10"/>
        <v xml:space="preserve">2 - Loyd HARDCASTLE (1893 - 1955: #47a) Canon Joseph HARDCASTLE (1899 - 1972: #47b)      </v>
      </c>
      <c r="AU11" t="str">
        <f t="shared" si="11"/>
        <v>Loyd HARDCASTLE (1893 - 1955: #47a)</v>
      </c>
      <c r="AV11" t="str">
        <f t="shared" si="12"/>
        <v>Canon Joseph HARDCASTLE (1899 - 1972: #47b)</v>
      </c>
      <c r="AW11" t="str">
        <f t="shared" si="13"/>
        <v/>
      </c>
      <c r="AX11" t="str">
        <f t="shared" si="14"/>
        <v/>
      </c>
      <c r="AY11" t="str">
        <f t="shared" si="15"/>
        <v/>
      </c>
      <c r="AZ11" t="str">
        <f t="shared" si="16"/>
        <v/>
      </c>
      <c r="BA11" t="str">
        <f t="shared" si="17"/>
        <v/>
      </c>
      <c r="BB11" t="str">
        <f t="shared" si="18"/>
        <v/>
      </c>
      <c r="BD11" s="72">
        <v>47</v>
      </c>
      <c r="CF11">
        <v>47001</v>
      </c>
      <c r="CG11">
        <v>47002</v>
      </c>
      <c r="GQ11">
        <v>94003</v>
      </c>
    </row>
    <row r="12" spans="1:338" ht="17">
      <c r="A12">
        <f>'All Girls &amp; Descendants - Edit'!B11</f>
        <v>18</v>
      </c>
      <c r="B12" t="str">
        <f>'All Girls &amp; Descendants - Edit'!C11</f>
        <v>18a</v>
      </c>
      <c r="C12" t="str">
        <f>'All Girls &amp; Descendants - Edit'!D11</f>
        <v>NICOL</v>
      </c>
      <c r="D12" t="str">
        <f>'All Girls &amp; Descendants - Edit'!E11</f>
        <v>Margaret</v>
      </c>
      <c r="E12" t="str">
        <f>IF('All Girls &amp; Descendants - Edit'!F11="","",'All Girls &amp; Descendants - Edit'!F11)</f>
        <v>Dyce</v>
      </c>
      <c r="F12" t="str">
        <f>IF('All Girls &amp; Descendants - Edit'!G11="","",'All Girls &amp; Descendants - Edit'!G11)</f>
        <v/>
      </c>
      <c r="G12" t="str">
        <f>IF('All Girls &amp; Descendants - Edit'!H11="",D12,'All Girls &amp; Descendants - Edit'!H11)</f>
        <v>Margaret</v>
      </c>
      <c r="H12">
        <f>'All Girls &amp; Descendants - Edit'!I11</f>
        <v>1844</v>
      </c>
      <c r="I12">
        <f>'All Girls &amp; Descendants - Edit'!J11</f>
        <v>1927</v>
      </c>
      <c r="J12" s="101">
        <f>'All Girls &amp; Descendants - Edit'!K11</f>
        <v>0</v>
      </c>
      <c r="K12" s="3" t="str">
        <f>'All Girls &amp; Descendants - Edit'!L11</f>
        <v>15/12/1844</v>
      </c>
      <c r="L12" s="3" t="str">
        <f>'All Girls &amp; Descendants - Edit'!M11</f>
        <v>15/12/1844</v>
      </c>
      <c r="M12" s="3" t="str">
        <f>'All Girls &amp; Descendants - Edit'!N11</f>
        <v>Unmarried</v>
      </c>
      <c r="N12" s="3">
        <f>'All Girls &amp; Descendants - Edit'!O11</f>
        <v>10173</v>
      </c>
      <c r="O12" s="3" t="str">
        <f>'All Girls &amp; Descendants - Edit'!P11</f>
        <v>07/11/1927</v>
      </c>
      <c r="P12" t="str">
        <f t="shared" si="2"/>
        <v>18a</v>
      </c>
      <c r="Q12" s="116">
        <f t="shared" si="3"/>
        <v>1</v>
      </c>
      <c r="R12" s="31" t="str">
        <f t="shared" si="4"/>
        <v>Margaret Dyce  NICOL</v>
      </c>
      <c r="S12" t="str">
        <f t="shared" si="5"/>
        <v>Margaret NICOL (1844 - 1927: #18a)</v>
      </c>
      <c r="U12" s="126">
        <f t="shared" si="1"/>
        <v>18001</v>
      </c>
      <c r="V12" t="str">
        <f t="shared" si="6"/>
        <v>18a</v>
      </c>
      <c r="W12" s="126">
        <f t="shared" si="24"/>
        <v>18</v>
      </c>
      <c r="X12" s="126" t="str">
        <f t="shared" si="7"/>
        <v>a</v>
      </c>
      <c r="Y12" s="116"/>
      <c r="Z12" s="116"/>
      <c r="AB12" t="s">
        <v>3011</v>
      </c>
      <c r="AC12">
        <v>9</v>
      </c>
      <c r="AE12" s="116">
        <f t="shared" si="19"/>
        <v>0</v>
      </c>
      <c r="AF12" s="99">
        <f t="shared" si="20"/>
        <v>48</v>
      </c>
      <c r="AG12" s="116">
        <f t="shared" si="21"/>
        <v>1</v>
      </c>
      <c r="AH12" s="117" t="str">
        <f t="shared" si="25"/>
        <v>48a</v>
      </c>
      <c r="AI12" s="117"/>
      <c r="AJ12" s="117"/>
      <c r="AK12" s="117"/>
      <c r="AL12" s="117"/>
      <c r="AM12" s="117"/>
      <c r="AN12" s="117"/>
      <c r="AO12" s="117"/>
      <c r="AP12" s="117"/>
      <c r="AQ12" s="126">
        <f>VLOOKUP(AR12,'Loyd List 1-190 - Edit'!$P$2:$R$208,3,FALSE)</f>
        <v>23</v>
      </c>
      <c r="AR12" s="126">
        <f t="shared" si="9"/>
        <v>48</v>
      </c>
      <c r="AS12" s="126">
        <f t="shared" si="23"/>
        <v>1</v>
      </c>
      <c r="AT12" s="97" t="str">
        <f t="shared" si="10"/>
        <v xml:space="preserve">1 - Mabell D'OYLY (1904 - 1983: #48a)       </v>
      </c>
      <c r="AU12" t="str">
        <f t="shared" si="11"/>
        <v>Mabell D'OYLY (1904 - 1983: #48a)</v>
      </c>
      <c r="AV12" t="str">
        <f t="shared" si="12"/>
        <v/>
      </c>
      <c r="AW12" t="str">
        <f t="shared" si="13"/>
        <v/>
      </c>
      <c r="AX12" t="str">
        <f t="shared" si="14"/>
        <v/>
      </c>
      <c r="AY12" t="str">
        <f t="shared" si="15"/>
        <v/>
      </c>
      <c r="AZ12" t="str">
        <f t="shared" si="16"/>
        <v/>
      </c>
      <c r="BA12" t="str">
        <f t="shared" si="17"/>
        <v/>
      </c>
      <c r="BB12" t="str">
        <f t="shared" si="18"/>
        <v/>
      </c>
      <c r="BD12" s="72">
        <v>48</v>
      </c>
      <c r="CH12">
        <v>48001</v>
      </c>
      <c r="GQ12">
        <v>48001</v>
      </c>
    </row>
    <row r="13" spans="1:338" ht="34">
      <c r="A13">
        <f>'All Girls &amp; Descendants - Edit'!B12</f>
        <v>18</v>
      </c>
      <c r="B13" t="str">
        <f>'All Girls &amp; Descendants - Edit'!C12</f>
        <v>18b</v>
      </c>
      <c r="C13" t="str">
        <f>'All Girls &amp; Descendants - Edit'!D12</f>
        <v>NICOL</v>
      </c>
      <c r="D13" t="str">
        <f>'All Girls &amp; Descendants - Edit'!E12</f>
        <v>William</v>
      </c>
      <c r="E13" t="str">
        <f>IF('All Girls &amp; Descendants - Edit'!F12="","",'All Girls &amp; Descendants - Edit'!F12)</f>
        <v>Edward</v>
      </c>
      <c r="F13" t="str">
        <f>IF('All Girls &amp; Descendants - Edit'!G12="","",'All Girls &amp; Descendants - Edit'!G12)</f>
        <v/>
      </c>
      <c r="G13" t="str">
        <f>IF('All Girls &amp; Descendants - Edit'!H12="",D13,'All Girls &amp; Descendants - Edit'!H12)</f>
        <v>William</v>
      </c>
      <c r="H13">
        <f>'All Girls &amp; Descendants - Edit'!I12</f>
        <v>1846</v>
      </c>
      <c r="I13">
        <f>'All Girls &amp; Descendants - Edit'!J12</f>
        <v>1914</v>
      </c>
      <c r="J13" s="101">
        <f>'All Girls &amp; Descendants - Edit'!K12</f>
        <v>0</v>
      </c>
      <c r="K13" s="3" t="str">
        <f>'All Girls &amp; Descendants - Edit'!L12</f>
        <v>02/11/1846</v>
      </c>
      <c r="L13" s="3" t="str">
        <f>'All Girls &amp; Descendants - Edit'!M12</f>
        <v>02/11/1846</v>
      </c>
      <c r="M13" s="3" t="str">
        <f>'All Girls &amp; Descendants - Edit'!N12</f>
        <v>20/11/1873</v>
      </c>
      <c r="N13" s="3">
        <f>'All Girls &amp; Descendants - Edit'!O12</f>
        <v>5345</v>
      </c>
      <c r="O13" s="3" t="str">
        <f>'All Girls &amp; Descendants - Edit'!P12</f>
        <v>19/08/1914</v>
      </c>
      <c r="P13" t="str">
        <f t="shared" si="2"/>
        <v>18b</v>
      </c>
      <c r="Q13" s="116">
        <f t="shared" si="3"/>
        <v>1</v>
      </c>
      <c r="R13" s="31" t="str">
        <f t="shared" si="4"/>
        <v>William Edward  NICOL</v>
      </c>
      <c r="S13" t="str">
        <f t="shared" si="5"/>
        <v>William NICOL (1846 - 1914: #18b)</v>
      </c>
      <c r="U13" s="126">
        <f t="shared" si="1"/>
        <v>18002</v>
      </c>
      <c r="V13" t="str">
        <f t="shared" si="6"/>
        <v>18b</v>
      </c>
      <c r="W13" s="126">
        <f t="shared" si="24"/>
        <v>18</v>
      </c>
      <c r="X13" s="126" t="str">
        <f t="shared" si="7"/>
        <v>b</v>
      </c>
      <c r="Y13" s="116"/>
      <c r="Z13" s="116"/>
      <c r="AB13" t="s">
        <v>3012</v>
      </c>
      <c r="AC13">
        <v>10</v>
      </c>
      <c r="AE13" s="116">
        <f t="shared" si="19"/>
        <v>0</v>
      </c>
      <c r="AF13" s="99">
        <f t="shared" si="20"/>
        <v>63</v>
      </c>
      <c r="AG13" s="116">
        <f t="shared" si="21"/>
        <v>3</v>
      </c>
      <c r="AH13" s="117" t="str">
        <f t="shared" si="25"/>
        <v>63a</v>
      </c>
      <c r="AI13" s="117" t="str">
        <f t="shared" ref="AI13:AJ19" si="26">VLOOKUP(IF(ISNUMBER(SMALL($BE13:$GP13,AI$3)),SMALL($BE13:$GP13,AI$3),""),$U$4:$V$165,2,FALSE)</f>
        <v>63b</v>
      </c>
      <c r="AJ13" s="117" t="str">
        <f t="shared" si="26"/>
        <v>63c</v>
      </c>
      <c r="AK13" s="117"/>
      <c r="AL13" s="117"/>
      <c r="AM13" s="117"/>
      <c r="AN13" s="117"/>
      <c r="AO13" s="117"/>
      <c r="AP13" s="117"/>
      <c r="AQ13" s="126">
        <f>VLOOKUP(AR13,'Loyd List 1-190 - Edit'!$P$2:$R$208,3,FALSE)</f>
        <v>41</v>
      </c>
      <c r="AR13" s="126">
        <f t="shared" si="9"/>
        <v>63</v>
      </c>
      <c r="AS13" s="126">
        <f t="shared" si="23"/>
        <v>3</v>
      </c>
      <c r="AT13" s="97" t="str">
        <f t="shared" si="10"/>
        <v xml:space="preserve">3 - Loyd MOORE (1926 - 2019: #63a) Isabel MOORE (1929 - 2020: #63b) Veronica MOORE (1930 - 1934: #63c)     </v>
      </c>
      <c r="AU13" t="str">
        <f t="shared" si="11"/>
        <v>Loyd MOORE (1926 - 2019: #63a)</v>
      </c>
      <c r="AV13" t="str">
        <f t="shared" si="12"/>
        <v>Isabel MOORE (1929 - 2020: #63b)</v>
      </c>
      <c r="AW13" t="str">
        <f t="shared" si="13"/>
        <v>Veronica MOORE (1930 - 1934: #63c)</v>
      </c>
      <c r="AX13" t="str">
        <f t="shared" si="14"/>
        <v/>
      </c>
      <c r="AY13" t="str">
        <f t="shared" si="15"/>
        <v/>
      </c>
      <c r="AZ13" t="str">
        <f t="shared" si="16"/>
        <v/>
      </c>
      <c r="BA13" t="str">
        <f t="shared" si="17"/>
        <v/>
      </c>
      <c r="BB13" t="str">
        <f t="shared" si="18"/>
        <v/>
      </c>
      <c r="BD13" s="72">
        <v>63</v>
      </c>
      <c r="CI13">
        <v>63001</v>
      </c>
      <c r="CJ13">
        <v>63002</v>
      </c>
      <c r="CK13">
        <v>63003</v>
      </c>
      <c r="GQ13">
        <v>189006</v>
      </c>
    </row>
    <row r="14" spans="1:338" ht="17">
      <c r="A14">
        <f>'All Girls &amp; Descendants - Edit'!B13</f>
        <v>18</v>
      </c>
      <c r="B14" t="str">
        <f>'All Girls &amp; Descendants - Edit'!C13</f>
        <v>18c</v>
      </c>
      <c r="C14" t="str">
        <f>'All Girls &amp; Descendants - Edit'!D13</f>
        <v>NICOL</v>
      </c>
      <c r="D14" t="str">
        <f>'All Girls &amp; Descendants - Edit'!E13</f>
        <v>James</v>
      </c>
      <c r="E14" t="str">
        <f>IF('All Girls &amp; Descendants - Edit'!F13="","",'All Girls &amp; Descendants - Edit'!F13)</f>
        <v>Dyce</v>
      </c>
      <c r="F14" t="str">
        <f>IF('All Girls &amp; Descendants - Edit'!G13="","",'All Girls &amp; Descendants - Edit'!G13)</f>
        <v/>
      </c>
      <c r="G14" t="str">
        <f>IF('All Girls &amp; Descendants - Edit'!H13="",D14,'All Girls &amp; Descendants - Edit'!H13)</f>
        <v>James</v>
      </c>
      <c r="H14">
        <f>'All Girls &amp; Descendants - Edit'!I13</f>
        <v>1848</v>
      </c>
      <c r="I14">
        <f>'All Girls &amp; Descendants - Edit'!J13</f>
        <v>1938</v>
      </c>
      <c r="J14" s="101">
        <f>'All Girls &amp; Descendants - Edit'!K13</f>
        <v>0</v>
      </c>
      <c r="K14" s="3" t="str">
        <f>'All Girls &amp; Descendants - Edit'!L13</f>
        <v>30/06/1848</v>
      </c>
      <c r="L14" s="3" t="str">
        <f>'All Girls &amp; Descendants - Edit'!M13</f>
        <v>30/06/1848</v>
      </c>
      <c r="M14" s="3" t="str">
        <f>'All Girls &amp; Descendants - Edit'!N13</f>
        <v>05/10/1898</v>
      </c>
      <c r="N14" s="3">
        <f>'All Girls &amp; Descendants - Edit'!O13</f>
        <v>14158</v>
      </c>
      <c r="O14" s="3" t="str">
        <f>'All Girls &amp; Descendants - Edit'!P13</f>
        <v>05/10/1938</v>
      </c>
      <c r="P14" t="str">
        <f t="shared" si="2"/>
        <v>18c</v>
      </c>
      <c r="Q14" s="116">
        <f t="shared" si="3"/>
        <v>1</v>
      </c>
      <c r="R14" s="31" t="str">
        <f t="shared" si="4"/>
        <v>James Dyce  NICOL</v>
      </c>
      <c r="S14" t="str">
        <f t="shared" si="5"/>
        <v>James NICOL (1848 - 1938: #18c)</v>
      </c>
      <c r="U14" s="126">
        <f t="shared" si="1"/>
        <v>18003</v>
      </c>
      <c r="V14" t="str">
        <f t="shared" si="6"/>
        <v>18c</v>
      </c>
      <c r="W14" s="126">
        <f t="shared" si="24"/>
        <v>18</v>
      </c>
      <c r="X14" s="126" t="str">
        <f t="shared" si="7"/>
        <v>c</v>
      </c>
      <c r="Y14" s="116"/>
      <c r="Z14" s="116"/>
      <c r="AB14" s="116"/>
      <c r="AE14" s="116">
        <f t="shared" si="19"/>
        <v>0</v>
      </c>
      <c r="AF14" s="99">
        <f t="shared" si="20"/>
        <v>65</v>
      </c>
      <c r="AG14" s="116">
        <f t="shared" si="21"/>
        <v>3</v>
      </c>
      <c r="AH14" s="117" t="str">
        <f t="shared" si="25"/>
        <v>65a</v>
      </c>
      <c r="AI14" s="117" t="str">
        <f t="shared" si="26"/>
        <v>65b</v>
      </c>
      <c r="AJ14" s="117" t="str">
        <f t="shared" si="26"/>
        <v>65c</v>
      </c>
      <c r="AK14" s="117"/>
      <c r="AL14" s="117"/>
      <c r="AM14" s="117"/>
      <c r="AN14" s="117"/>
      <c r="AO14" s="117"/>
      <c r="AP14" s="117"/>
      <c r="AQ14" s="126">
        <f>VLOOKUP(AR14,'Loyd List 1-190 - Edit'!$P$2:$R$208,3,FALSE)</f>
        <v>34</v>
      </c>
      <c r="AR14" s="126">
        <f t="shared" si="9"/>
        <v>65</v>
      </c>
      <c r="AS14" s="126">
        <f t="shared" si="23"/>
        <v>3</v>
      </c>
      <c r="AT14" s="97" t="str">
        <f t="shared" si="10"/>
        <v xml:space="preserve">3 - Audrey WHEELER (1913 - : #65a) Norma WHEELER (1924 - : #65b) Basil WHEELER (1926 - : #65c)     </v>
      </c>
      <c r="AU14" t="str">
        <f t="shared" si="11"/>
        <v>Audrey WHEELER (1913 - : #65a)</v>
      </c>
      <c r="AV14" t="str">
        <f t="shared" si="12"/>
        <v>Norma WHEELER (1924 - : #65b)</v>
      </c>
      <c r="AW14" t="str">
        <f t="shared" si="13"/>
        <v>Basil WHEELER (1926 - : #65c)</v>
      </c>
      <c r="AX14" t="str">
        <f t="shared" si="14"/>
        <v/>
      </c>
      <c r="AY14" t="str">
        <f t="shared" si="15"/>
        <v/>
      </c>
      <c r="AZ14" t="str">
        <f t="shared" si="16"/>
        <v/>
      </c>
      <c r="BA14" t="str">
        <f t="shared" si="17"/>
        <v/>
      </c>
      <c r="BB14" t="str">
        <f t="shared" si="18"/>
        <v/>
      </c>
      <c r="BD14" s="72">
        <v>65</v>
      </c>
      <c r="CL14">
        <v>65001</v>
      </c>
      <c r="CM14">
        <v>65002</v>
      </c>
      <c r="CN14">
        <v>65003</v>
      </c>
      <c r="GQ14">
        <v>195006</v>
      </c>
    </row>
    <row r="15" spans="1:338" ht="34">
      <c r="A15">
        <f>'All Girls &amp; Descendants - Edit'!B14</f>
        <v>18</v>
      </c>
      <c r="B15" t="str">
        <f>'All Girls &amp; Descendants - Edit'!C14</f>
        <v>18d</v>
      </c>
      <c r="C15" t="str">
        <f>'All Girls &amp; Descendants - Edit'!D14</f>
        <v>NICOL</v>
      </c>
      <c r="D15" t="str">
        <f>'All Girls &amp; Descendants - Edit'!E14</f>
        <v>Sarah</v>
      </c>
      <c r="E15" t="str">
        <f>IF('All Girls &amp; Descendants - Edit'!F14="","",'All Girls &amp; Descendants - Edit'!F14)</f>
        <v>Loyd</v>
      </c>
      <c r="F15" t="str">
        <f>IF('All Girls &amp; Descendants - Edit'!G14="","",'All Girls &amp; Descendants - Edit'!G14)</f>
        <v/>
      </c>
      <c r="G15" t="str">
        <f>IF('All Girls &amp; Descendants - Edit'!H14="",D15,'All Girls &amp; Descendants - Edit'!H14)</f>
        <v>Sarah</v>
      </c>
      <c r="H15">
        <f>'All Girls &amp; Descendants - Edit'!I14</f>
        <v>1854</v>
      </c>
      <c r="I15">
        <f>'All Girls &amp; Descendants - Edit'!J14</f>
        <v>1943</v>
      </c>
      <c r="J15" s="101">
        <f>'All Girls &amp; Descendants - Edit'!K14</f>
        <v>0</v>
      </c>
      <c r="K15" s="3" t="str">
        <f>'All Girls &amp; Descendants - Edit'!L14</f>
        <v>23/05/1854</v>
      </c>
      <c r="L15" s="3" t="str">
        <f>'All Girls &amp; Descendants - Edit'!M14</f>
        <v>23/05/1854</v>
      </c>
      <c r="M15" s="3">
        <f>'All Girls &amp; Descendants - Edit'!N14</f>
        <v>0</v>
      </c>
      <c r="N15" s="3">
        <f>'All Girls &amp; Descendants - Edit'!O14</f>
        <v>15875</v>
      </c>
      <c r="O15" s="3" t="str">
        <f>'All Girls &amp; Descendants - Edit'!P14</f>
        <v>18/06/1943</v>
      </c>
      <c r="P15" t="str">
        <f t="shared" si="2"/>
        <v>18d</v>
      </c>
      <c r="Q15" s="116">
        <f t="shared" si="3"/>
        <v>1</v>
      </c>
      <c r="R15" s="31" t="str">
        <f t="shared" si="4"/>
        <v>Sarah Loyd  NICOL</v>
      </c>
      <c r="S15" t="str">
        <f t="shared" si="5"/>
        <v>Sarah NICOL (1854 - 1943: #18d)</v>
      </c>
      <c r="U15" s="126">
        <f t="shared" si="1"/>
        <v>18004</v>
      </c>
      <c r="V15" t="str">
        <f t="shared" si="6"/>
        <v>18d</v>
      </c>
      <c r="W15" s="126">
        <f t="shared" si="24"/>
        <v>18</v>
      </c>
      <c r="X15" s="126" t="str">
        <f t="shared" si="7"/>
        <v>d</v>
      </c>
      <c r="Y15" s="116"/>
      <c r="Z15" s="116"/>
      <c r="AB15" s="116"/>
      <c r="AE15" s="116">
        <f t="shared" si="19"/>
        <v>0</v>
      </c>
      <c r="AF15" s="99">
        <f t="shared" si="20"/>
        <v>70</v>
      </c>
      <c r="AG15" s="116">
        <f t="shared" si="21"/>
        <v>6</v>
      </c>
      <c r="AH15" s="117" t="str">
        <f t="shared" si="25"/>
        <v>70a</v>
      </c>
      <c r="AI15" s="117" t="str">
        <f t="shared" si="26"/>
        <v>70b</v>
      </c>
      <c r="AJ15" s="117" t="str">
        <f t="shared" si="26"/>
        <v>70c</v>
      </c>
      <c r="AK15" s="117" t="str">
        <f>VLOOKUP(IF(ISNUMBER(SMALL($BE15:$GP15,AK$3)),SMALL($BE15:$GP15,AK$3),""),$U$4:$V$165,2,FALSE)</f>
        <v>70d</v>
      </c>
      <c r="AL15" s="117" t="str">
        <f>VLOOKUP(IF(ISNUMBER(SMALL($BE15:$GP15,AL$3)),SMALL($BE15:$GP15,AL$3),""),$U$4:$V$165,2,FALSE)</f>
        <v>70e</v>
      </c>
      <c r="AM15" s="117" t="str">
        <f>VLOOKUP(IF(ISNUMBER(SMALL($BE15:$GP15,AM$3)),SMALL($BE15:$GP15,AM$3),""),$U$4:$V$165,2,FALSE)</f>
        <v>70f</v>
      </c>
      <c r="AN15" s="117"/>
      <c r="AO15" s="117"/>
      <c r="AP15" s="117"/>
      <c r="AQ15" s="126">
        <f>VLOOKUP(AR15,'Loyd List 1-190 - Edit'!$P$2:$R$208,3,FALSE)</f>
        <v>46</v>
      </c>
      <c r="AR15" s="126">
        <f t="shared" si="9"/>
        <v>70</v>
      </c>
      <c r="AS15" s="126">
        <f t="shared" si="23"/>
        <v>6</v>
      </c>
      <c r="AT15" s="97" t="str">
        <f t="shared" si="10"/>
        <v xml:space="preserve">6 - Cynthia MICKLEM (1921 - 1990: #70a) Dora MICKLEM (1924 - : #70b) Anne MICKLEM (1925 - : #70c) Tom MICKLEM (1926 - : #70d) Elizabeth MICKLEM (1929 - : #70e) Nathaniel MICKLEM (1931 - 1950: #70f)  </v>
      </c>
      <c r="AU15" t="str">
        <f t="shared" si="11"/>
        <v>Cynthia MICKLEM (1921 - 1990: #70a)</v>
      </c>
      <c r="AV15" t="str">
        <f t="shared" si="12"/>
        <v>Dora MICKLEM (1924 - : #70b)</v>
      </c>
      <c r="AW15" t="str">
        <f t="shared" si="13"/>
        <v>Anne MICKLEM (1925 - : #70c)</v>
      </c>
      <c r="AX15" t="str">
        <f t="shared" si="14"/>
        <v>Tom MICKLEM (1926 - : #70d)</v>
      </c>
      <c r="AY15" t="str">
        <f t="shared" si="15"/>
        <v>Elizabeth MICKLEM (1929 - : #70e)</v>
      </c>
      <c r="AZ15" t="str">
        <f t="shared" si="16"/>
        <v>Nathaniel MICKLEM (1931 - 1950: #70f)</v>
      </c>
      <c r="BA15" t="str">
        <f t="shared" si="17"/>
        <v/>
      </c>
      <c r="BB15" t="str">
        <f t="shared" si="18"/>
        <v/>
      </c>
      <c r="BD15" s="72">
        <v>70</v>
      </c>
      <c r="CO15">
        <v>70001</v>
      </c>
      <c r="CP15">
        <v>70002</v>
      </c>
      <c r="CQ15">
        <v>70003</v>
      </c>
      <c r="CR15">
        <v>70004</v>
      </c>
      <c r="CS15">
        <v>70005</v>
      </c>
      <c r="CT15">
        <v>70006</v>
      </c>
      <c r="GQ15">
        <v>420021</v>
      </c>
    </row>
    <row r="16" spans="1:338" ht="34">
      <c r="A16">
        <f>'All Girls &amp; Descendants - Edit'!B15</f>
        <v>18</v>
      </c>
      <c r="B16" t="str">
        <f>'All Girls &amp; Descendants - Edit'!C15</f>
        <v>18e</v>
      </c>
      <c r="C16" t="str">
        <f>'All Girls &amp; Descendants - Edit'!D15</f>
        <v>NICOL</v>
      </c>
      <c r="D16" t="str">
        <f>'All Girls &amp; Descendants - Edit'!E15</f>
        <v>Lewis</v>
      </c>
      <c r="E16" t="str">
        <f>IF('All Girls &amp; Descendants - Edit'!F15="","",'All Girls &amp; Descendants - Edit'!F15)</f>
        <v>Loyd</v>
      </c>
      <c r="F16" t="str">
        <f>IF('All Girls &amp; Descendants - Edit'!G15="","",'All Girls &amp; Descendants - Edit'!G15)</f>
        <v/>
      </c>
      <c r="G16" t="str">
        <f>IF('All Girls &amp; Descendants - Edit'!H15="",D16,'All Girls &amp; Descendants - Edit'!H15)</f>
        <v>Lewis</v>
      </c>
      <c r="H16">
        <f>'All Girls &amp; Descendants - Edit'!I15</f>
        <v>1858</v>
      </c>
      <c r="I16">
        <f>'All Girls &amp; Descendants - Edit'!J15</f>
        <v>1935</v>
      </c>
      <c r="J16" s="101">
        <f>'All Girls &amp; Descendants - Edit'!K15</f>
        <v>0</v>
      </c>
      <c r="K16" s="3" t="str">
        <f>'All Girls &amp; Descendants - Edit'!L15</f>
        <v>10/04/1858</v>
      </c>
      <c r="L16" s="3" t="str">
        <f>'All Girls &amp; Descendants - Edit'!M15</f>
        <v>10/04/1858</v>
      </c>
      <c r="M16" s="3" t="str">
        <f>'All Girls &amp; Descendants - Edit'!N15</f>
        <v>16/06/1886</v>
      </c>
      <c r="N16" s="3">
        <f>'All Girls &amp; Descendants - Edit'!O15</f>
        <v>12925</v>
      </c>
      <c r="O16" s="3" t="str">
        <f>'All Girls &amp; Descendants - Edit'!P15</f>
        <v>21/05/1935</v>
      </c>
      <c r="P16" t="str">
        <f t="shared" si="2"/>
        <v>18e</v>
      </c>
      <c r="Q16" s="116">
        <f t="shared" si="3"/>
        <v>1</v>
      </c>
      <c r="R16" s="31" t="str">
        <f t="shared" si="4"/>
        <v>Lewis Loyd  NICOL</v>
      </c>
      <c r="S16" t="str">
        <f t="shared" si="5"/>
        <v>Lewis NICOL (1858 - 1935: #18e)</v>
      </c>
      <c r="U16" s="126">
        <f t="shared" si="1"/>
        <v>18005</v>
      </c>
      <c r="V16" t="str">
        <f t="shared" si="6"/>
        <v>18e</v>
      </c>
      <c r="W16" s="126">
        <f t="shared" si="24"/>
        <v>18</v>
      </c>
      <c r="X16" s="126" t="str">
        <f t="shared" si="7"/>
        <v>e</v>
      </c>
      <c r="Y16" s="116"/>
      <c r="Z16" s="116"/>
      <c r="AB16" s="116"/>
      <c r="AE16" s="116">
        <f t="shared" si="19"/>
        <v>0</v>
      </c>
      <c r="AF16" s="99">
        <f t="shared" si="20"/>
        <v>85</v>
      </c>
      <c r="AG16" s="116">
        <f t="shared" si="21"/>
        <v>4</v>
      </c>
      <c r="AH16" s="117" t="str">
        <f t="shared" si="25"/>
        <v>85a</v>
      </c>
      <c r="AI16" s="117" t="str">
        <f t="shared" si="26"/>
        <v>85b</v>
      </c>
      <c r="AJ16" s="117" t="str">
        <f t="shared" si="26"/>
        <v>85c</v>
      </c>
      <c r="AK16" s="117" t="str">
        <f>VLOOKUP(IF(ISNUMBER(SMALL($BE16:$GP16,AK$3)),SMALL($BE16:$GP16,AK$3),""),$U$4:$V$165,2,FALSE)</f>
        <v>85d</v>
      </c>
      <c r="AL16" s="117"/>
      <c r="AM16" s="117"/>
      <c r="AN16" s="117"/>
      <c r="AO16" s="117"/>
      <c r="AP16" s="117"/>
      <c r="AQ16" s="126">
        <f>VLOOKUP(AR16,'Loyd List 1-190 - Edit'!$P$2:$R$208,3,FALSE)</f>
        <v>56</v>
      </c>
      <c r="AR16" s="126">
        <f t="shared" si="9"/>
        <v>85</v>
      </c>
      <c r="AS16" s="126">
        <f t="shared" si="23"/>
        <v>4</v>
      </c>
      <c r="AT16" s="97" t="str">
        <f t="shared" si="10"/>
        <v xml:space="preserve">4 - Martin LANE FOX (1938 - 2016: #85a) Edward LANE FOX (1939 - : #85b) Jenny LANE FOX (1944 - : #85c) Robin LANE FOX (1946 - : #85d)    </v>
      </c>
      <c r="AU16" t="str">
        <f t="shared" si="11"/>
        <v>Martin LANE FOX (1938 - 2016: #85a)</v>
      </c>
      <c r="AV16" t="str">
        <f t="shared" si="12"/>
        <v>Edward LANE FOX (1939 - : #85b)</v>
      </c>
      <c r="AW16" t="str">
        <f t="shared" si="13"/>
        <v>Jenny LANE FOX (1944 - : #85c)</v>
      </c>
      <c r="AX16" t="str">
        <f t="shared" si="14"/>
        <v>Robin LANE FOX (1946 - : #85d)</v>
      </c>
      <c r="AY16" t="str">
        <f t="shared" si="15"/>
        <v/>
      </c>
      <c r="AZ16" t="str">
        <f t="shared" si="16"/>
        <v/>
      </c>
      <c r="BA16" t="str">
        <f t="shared" si="17"/>
        <v/>
      </c>
      <c r="BB16" t="str">
        <f t="shared" si="18"/>
        <v/>
      </c>
      <c r="BD16" s="72">
        <v>85</v>
      </c>
      <c r="CU16">
        <v>85001</v>
      </c>
      <c r="CV16">
        <v>85002</v>
      </c>
      <c r="CW16">
        <v>85003</v>
      </c>
      <c r="CX16">
        <v>85004</v>
      </c>
      <c r="GQ16">
        <v>340010</v>
      </c>
    </row>
    <row r="17" spans="1:199" ht="34">
      <c r="A17">
        <f>'All Girls &amp; Descendants - Edit'!B16</f>
        <v>19</v>
      </c>
      <c r="B17" t="str">
        <f>'All Girls &amp; Descendants - Edit'!C16</f>
        <v>19a</v>
      </c>
      <c r="C17" t="str">
        <f>'All Girls &amp; Descendants - Edit'!D16</f>
        <v>ENTWISLE</v>
      </c>
      <c r="D17" t="str">
        <f>'All Girls &amp; Descendants - Edit'!E16</f>
        <v>William</v>
      </c>
      <c r="E17" t="str">
        <f>IF('All Girls &amp; Descendants - Edit'!F16="","",'All Girls &amp; Descendants - Edit'!F16)</f>
        <v/>
      </c>
      <c r="F17" t="str">
        <f>IF('All Girls &amp; Descendants - Edit'!G16="","",'All Girls &amp; Descendants - Edit'!G16)</f>
        <v/>
      </c>
      <c r="G17" t="str">
        <f>IF('All Girls &amp; Descendants - Edit'!H16="",D17,'All Girls &amp; Descendants - Edit'!H16)</f>
        <v>William</v>
      </c>
      <c r="H17">
        <f>'All Girls &amp; Descendants - Edit'!I16</f>
        <v>1839</v>
      </c>
      <c r="I17">
        <f>'All Girls &amp; Descendants - Edit'!J16</f>
        <v>1860</v>
      </c>
      <c r="J17" s="101">
        <f>'All Girls &amp; Descendants - Edit'!K16</f>
        <v>0</v>
      </c>
      <c r="K17" s="3" t="str">
        <f>'All Girls &amp; Descendants - Edit'!L16</f>
        <v>14/05/1839</v>
      </c>
      <c r="L17" s="3" t="str">
        <f>'All Girls &amp; Descendants - Edit'!M16</f>
        <v>14/05/1839</v>
      </c>
      <c r="M17" s="3" t="str">
        <f>'All Girls &amp; Descendants - Edit'!N16</f>
        <v>Unmarried</v>
      </c>
      <c r="N17" s="3" t="str">
        <f>'All Girls &amp; Descendants - Edit'!O16</f>
        <v>27/08/1860</v>
      </c>
      <c r="O17" s="3" t="str">
        <f>'All Girls &amp; Descendants - Edit'!P16</f>
        <v>27/08/1860</v>
      </c>
      <c r="P17" t="str">
        <f t="shared" si="2"/>
        <v>19a</v>
      </c>
      <c r="Q17" s="116">
        <f t="shared" si="3"/>
        <v>1</v>
      </c>
      <c r="R17" s="31" t="str">
        <f t="shared" si="4"/>
        <v>William   ENTWISLE</v>
      </c>
      <c r="S17" t="str">
        <f t="shared" si="5"/>
        <v>William ENTWISLE (1839 - 1860: #19a)</v>
      </c>
      <c r="U17" s="126">
        <f t="shared" si="1"/>
        <v>19001</v>
      </c>
      <c r="V17" t="str">
        <f t="shared" si="6"/>
        <v>19a</v>
      </c>
      <c r="W17" s="126">
        <f t="shared" si="24"/>
        <v>19</v>
      </c>
      <c r="X17" s="126" t="str">
        <f t="shared" si="7"/>
        <v>a</v>
      </c>
      <c r="Y17" s="116"/>
      <c r="Z17" s="116"/>
      <c r="AB17" s="116"/>
      <c r="AE17" s="116">
        <f t="shared" si="19"/>
        <v>0</v>
      </c>
      <c r="AF17" s="99">
        <f t="shared" si="20"/>
        <v>88</v>
      </c>
      <c r="AG17" s="116">
        <f t="shared" si="21"/>
        <v>3</v>
      </c>
      <c r="AH17" s="117" t="str">
        <f t="shared" si="25"/>
        <v>88a</v>
      </c>
      <c r="AI17" s="117" t="str">
        <f t="shared" si="26"/>
        <v>88b</v>
      </c>
      <c r="AJ17" s="117" t="str">
        <f t="shared" si="26"/>
        <v>88c</v>
      </c>
      <c r="AK17" s="117"/>
      <c r="AL17" s="117"/>
      <c r="AM17" s="117"/>
      <c r="AN17" s="117"/>
      <c r="AO17" s="117"/>
      <c r="AP17" s="117"/>
      <c r="AQ17" s="126">
        <f>VLOOKUP(AR17,'Loyd List 1-190 - Edit'!$P$2:$R$208,3,FALSE)</f>
        <v>66</v>
      </c>
      <c r="AR17" s="126">
        <f t="shared" si="9"/>
        <v>88</v>
      </c>
      <c r="AS17" s="126">
        <f t="shared" si="23"/>
        <v>3</v>
      </c>
      <c r="AT17" s="97" t="str">
        <f t="shared" si="10"/>
        <v xml:space="preserve">3 - Lady Diana BAIRD (1937 - : #88a) Michael KEITH (1939 - 2004: #88b) The Hon Alexander BAIRD (1946 - : #88c)     </v>
      </c>
      <c r="AU17" t="str">
        <f t="shared" si="11"/>
        <v>Lady Diana BAIRD (1937 - : #88a)</v>
      </c>
      <c r="AV17" t="str">
        <f t="shared" si="12"/>
        <v>Michael KEITH (1939 - 2004: #88b)</v>
      </c>
      <c r="AW17" t="str">
        <f t="shared" si="13"/>
        <v>The Hon Alexander BAIRD (1946 - : #88c)</v>
      </c>
      <c r="AX17" t="str">
        <f t="shared" si="14"/>
        <v/>
      </c>
      <c r="AY17" t="str">
        <f t="shared" si="15"/>
        <v/>
      </c>
      <c r="AZ17" t="str">
        <f t="shared" si="16"/>
        <v/>
      </c>
      <c r="BA17" t="str">
        <f t="shared" si="17"/>
        <v/>
      </c>
      <c r="BB17" t="str">
        <f t="shared" si="18"/>
        <v/>
      </c>
      <c r="BD17" s="72">
        <v>88</v>
      </c>
      <c r="CY17">
        <v>88001</v>
      </c>
      <c r="CZ17">
        <v>88002</v>
      </c>
      <c r="DA17">
        <v>88003</v>
      </c>
      <c r="GQ17">
        <v>264006</v>
      </c>
    </row>
    <row r="18" spans="1:199" ht="34">
      <c r="A18">
        <f>'All Girls &amp; Descendants - Edit'!B17</f>
        <v>19</v>
      </c>
      <c r="B18" t="str">
        <f>'All Girls &amp; Descendants - Edit'!C17</f>
        <v>19b</v>
      </c>
      <c r="C18" t="str">
        <f>'All Girls &amp; Descendants - Edit'!D17</f>
        <v>ENTWISLE</v>
      </c>
      <c r="D18" t="str">
        <f>'All Girls &amp; Descendants - Edit'!E17</f>
        <v>Richard</v>
      </c>
      <c r="E18" t="str">
        <f>IF('All Girls &amp; Descendants - Edit'!F17="","",'All Girls &amp; Descendants - Edit'!F17)</f>
        <v/>
      </c>
      <c r="F18" t="str">
        <f>IF('All Girls &amp; Descendants - Edit'!G17="","",'All Girls &amp; Descendants - Edit'!G17)</f>
        <v/>
      </c>
      <c r="G18" t="str">
        <f>IF('All Girls &amp; Descendants - Edit'!H17="",D18,'All Girls &amp; Descendants - Edit'!H17)</f>
        <v>Richard</v>
      </c>
      <c r="H18">
        <f>'All Girls &amp; Descendants - Edit'!I17</f>
        <v>1840</v>
      </c>
      <c r="I18">
        <f>'All Girls &amp; Descendants - Edit'!J17</f>
        <v>1894</v>
      </c>
      <c r="J18" s="101">
        <f>'All Girls &amp; Descendants - Edit'!K17</f>
        <v>0</v>
      </c>
      <c r="K18" s="3" t="str">
        <f>'All Girls &amp; Descendants - Edit'!L17</f>
        <v>02/10/1840</v>
      </c>
      <c r="L18" s="3" t="str">
        <f>'All Girls &amp; Descendants - Edit'!M17</f>
        <v>02/10/1840</v>
      </c>
      <c r="M18" s="3" t="str">
        <f>'All Girls &amp; Descendants - Edit'!N17</f>
        <v>Unmarried</v>
      </c>
      <c r="N18" s="3" t="str">
        <f>'All Girls &amp; Descendants - Edit'!O17</f>
        <v>04/10/1894</v>
      </c>
      <c r="O18" s="3" t="str">
        <f>'All Girls &amp; Descendants - Edit'!P17</f>
        <v>04/10/1894</v>
      </c>
      <c r="P18" t="str">
        <f t="shared" si="2"/>
        <v>19b</v>
      </c>
      <c r="Q18" s="116">
        <f t="shared" si="3"/>
        <v>1</v>
      </c>
      <c r="R18" s="31" t="str">
        <f t="shared" si="4"/>
        <v>Richard   ENTWISLE</v>
      </c>
      <c r="S18" t="str">
        <f t="shared" si="5"/>
        <v>Richard ENTWISLE (1840 - 1894: #19b)</v>
      </c>
      <c r="U18" s="126">
        <f t="shared" si="1"/>
        <v>19002</v>
      </c>
      <c r="V18" t="str">
        <f t="shared" si="6"/>
        <v>19b</v>
      </c>
      <c r="W18" s="126">
        <f t="shared" si="24"/>
        <v>19</v>
      </c>
      <c r="X18" s="126" t="str">
        <f t="shared" si="7"/>
        <v>b</v>
      </c>
      <c r="Y18" s="116"/>
      <c r="Z18" s="116"/>
      <c r="AB18" s="116"/>
      <c r="AE18" s="116">
        <f t="shared" si="19"/>
        <v>0</v>
      </c>
      <c r="AF18" s="99">
        <f t="shared" si="20"/>
        <v>90</v>
      </c>
      <c r="AG18" s="116">
        <f t="shared" si="21"/>
        <v>3</v>
      </c>
      <c r="AH18" s="117" t="str">
        <f t="shared" si="25"/>
        <v>90a</v>
      </c>
      <c r="AI18" s="117" t="str">
        <f t="shared" si="26"/>
        <v>90b</v>
      </c>
      <c r="AJ18" s="117" t="str">
        <f t="shared" si="26"/>
        <v>90c</v>
      </c>
      <c r="AK18" s="117"/>
      <c r="AL18" s="117"/>
      <c r="AM18" s="117"/>
      <c r="AN18" s="117"/>
      <c r="AO18" s="117"/>
      <c r="AP18" s="117"/>
      <c r="AQ18" s="126">
        <f>VLOOKUP(AR18,'Loyd List 1-190 - Edit'!$P$2:$R$208,3,FALSE)</f>
        <v>52</v>
      </c>
      <c r="AR18" s="126">
        <f t="shared" si="9"/>
        <v>90</v>
      </c>
      <c r="AS18" s="126">
        <f t="shared" si="23"/>
        <v>3</v>
      </c>
      <c r="AT18" s="97" t="str">
        <f t="shared" si="10"/>
        <v xml:space="preserve">3 - June MARSHAM-TOWNHEND (1942 - : #90a) Suki MARSHAM-TOWNHEND (1944 - : #90b) Jonathan CLARKE (1950 - : #90c)     </v>
      </c>
      <c r="AU18" t="str">
        <f t="shared" si="11"/>
        <v>June MARSHAM-TOWNHEND (1942 - : #90a)</v>
      </c>
      <c r="AV18" t="str">
        <f t="shared" si="12"/>
        <v>Suki MARSHAM-TOWNHEND (1944 - : #90b)</v>
      </c>
      <c r="AW18" t="str">
        <f t="shared" si="13"/>
        <v>Jonathan CLARKE (1950 - : #90c)</v>
      </c>
      <c r="AX18" t="str">
        <f t="shared" si="14"/>
        <v/>
      </c>
      <c r="AY18" t="str">
        <f t="shared" si="15"/>
        <v/>
      </c>
      <c r="AZ18" t="str">
        <f t="shared" si="16"/>
        <v/>
      </c>
      <c r="BA18" t="str">
        <f t="shared" si="17"/>
        <v/>
      </c>
      <c r="BB18" t="str">
        <f t="shared" si="18"/>
        <v/>
      </c>
      <c r="BD18" s="72">
        <v>90</v>
      </c>
      <c r="DB18">
        <v>90001</v>
      </c>
      <c r="DC18">
        <v>90002</v>
      </c>
      <c r="DD18">
        <v>90003</v>
      </c>
      <c r="GQ18">
        <v>270006</v>
      </c>
    </row>
    <row r="19" spans="1:199" ht="34">
      <c r="A19">
        <f>'All Girls &amp; Descendants - Edit'!B18</f>
        <v>19</v>
      </c>
      <c r="B19" t="str">
        <f>'All Girls &amp; Descendants - Edit'!C18</f>
        <v>19c</v>
      </c>
      <c r="C19" t="str">
        <f>'All Girls &amp; Descendants - Edit'!D18</f>
        <v>ENTWISLE</v>
      </c>
      <c r="D19" t="str">
        <f>'All Girls &amp; Descendants - Edit'!E18</f>
        <v>Frederica</v>
      </c>
      <c r="E19" t="str">
        <f>IF('All Girls &amp; Descendants - Edit'!F18="","",'All Girls &amp; Descendants - Edit'!F18)</f>
        <v>Frances</v>
      </c>
      <c r="F19" t="str">
        <f>IF('All Girls &amp; Descendants - Edit'!G18="","",'All Girls &amp; Descendants - Edit'!G18)</f>
        <v/>
      </c>
      <c r="G19" t="str">
        <f>IF('All Girls &amp; Descendants - Edit'!H18="",D19,'All Girls &amp; Descendants - Edit'!H18)</f>
        <v>Frederica</v>
      </c>
      <c r="H19">
        <f>'All Girls &amp; Descendants - Edit'!I18</f>
        <v>1842</v>
      </c>
      <c r="I19">
        <f>'All Girls &amp; Descendants - Edit'!J18</f>
        <v>1916</v>
      </c>
      <c r="J19" s="101">
        <f>'All Girls &amp; Descendants - Edit'!K18</f>
        <v>0</v>
      </c>
      <c r="K19" s="3" t="str">
        <f>'All Girls &amp; Descendants - Edit'!L18</f>
        <v>24/09/1842</v>
      </c>
      <c r="L19" s="3" t="str">
        <f>'All Girls &amp; Descendants - Edit'!M18</f>
        <v>24/09/1842</v>
      </c>
      <c r="M19" s="3" t="str">
        <f>'All Girls &amp; Descendants - Edit'!N18</f>
        <v>08/04/1863</v>
      </c>
      <c r="N19" s="3">
        <f>'All Girls &amp; Descendants - Edit'!O18</f>
        <v>5949</v>
      </c>
      <c r="O19" s="3" t="str">
        <f>'All Girls &amp; Descendants - Edit'!P18</f>
        <v>14/04/1916</v>
      </c>
      <c r="P19" t="str">
        <f t="shared" si="2"/>
        <v>19c</v>
      </c>
      <c r="Q19" s="116">
        <f t="shared" si="3"/>
        <v>1</v>
      </c>
      <c r="R19" s="31" t="str">
        <f t="shared" si="4"/>
        <v>Frederica Frances  ENTWISLE</v>
      </c>
      <c r="S19" t="str">
        <f t="shared" si="5"/>
        <v>Frederica ENTWISLE (1842 - 1916: #19c)</v>
      </c>
      <c r="U19" s="126">
        <f t="shared" si="1"/>
        <v>19003</v>
      </c>
      <c r="V19" t="str">
        <f t="shared" si="6"/>
        <v>19c</v>
      </c>
      <c r="W19" s="126">
        <f t="shared" si="24"/>
        <v>19</v>
      </c>
      <c r="X19" s="126" t="str">
        <f t="shared" si="7"/>
        <v>c</v>
      </c>
      <c r="Y19" s="116"/>
      <c r="Z19" s="116"/>
      <c r="AB19" s="116"/>
      <c r="AE19" s="116">
        <f t="shared" si="19"/>
        <v>0</v>
      </c>
      <c r="AF19" s="99">
        <f t="shared" si="20"/>
        <v>92</v>
      </c>
      <c r="AG19" s="116">
        <f t="shared" si="21"/>
        <v>4</v>
      </c>
      <c r="AH19" s="117" t="str">
        <f t="shared" si="25"/>
        <v>92a</v>
      </c>
      <c r="AI19" s="117" t="str">
        <f t="shared" si="26"/>
        <v>92b</v>
      </c>
      <c r="AJ19" s="117" t="str">
        <f t="shared" si="26"/>
        <v>92c</v>
      </c>
      <c r="AK19" s="117" t="str">
        <f>VLOOKUP(IF(ISNUMBER(SMALL($BE19:$GP19,AK$3)),SMALL($BE19:$GP19,AK$3),""),$U$4:$V$165,2,FALSE)</f>
        <v>92d</v>
      </c>
      <c r="AL19" s="117"/>
      <c r="AM19" s="117"/>
      <c r="AN19" s="117"/>
      <c r="AO19" s="117"/>
      <c r="AP19" s="117"/>
      <c r="AQ19" s="126">
        <f>VLOOKUP(AR19,'Loyd List 1-190 - Edit'!$P$2:$R$208,3,FALSE)</f>
        <v>54</v>
      </c>
      <c r="AR19" s="126">
        <f t="shared" si="9"/>
        <v>92</v>
      </c>
      <c r="AS19" s="126">
        <f t="shared" si="23"/>
        <v>4</v>
      </c>
      <c r="AT19" s="97" t="str">
        <f t="shared" si="10"/>
        <v xml:space="preserve">4 - Tim TATTON-BROWN (1947 - : #92a) Giles TATTON-BROWN (1948 - : #92b) Anthea TATTON-BROWN (1951 - : #92c) Fanny TATTON-BROWN (1954 - : #92d)    </v>
      </c>
      <c r="AU19" t="str">
        <f t="shared" si="11"/>
        <v>Tim TATTON-BROWN (1947 - : #92a)</v>
      </c>
      <c r="AV19" t="str">
        <f t="shared" si="12"/>
        <v>Giles TATTON-BROWN (1948 - : #92b)</v>
      </c>
      <c r="AW19" t="str">
        <f t="shared" si="13"/>
        <v>Anthea TATTON-BROWN (1951 - : #92c)</v>
      </c>
      <c r="AX19" t="str">
        <f t="shared" si="14"/>
        <v>Fanny TATTON-BROWN (1954 - : #92d)</v>
      </c>
      <c r="AY19" t="str">
        <f t="shared" si="15"/>
        <v/>
      </c>
      <c r="AZ19" t="str">
        <f t="shared" si="16"/>
        <v/>
      </c>
      <c r="BA19" t="str">
        <f t="shared" si="17"/>
        <v/>
      </c>
      <c r="BB19" t="str">
        <f t="shared" si="18"/>
        <v/>
      </c>
      <c r="BD19" s="72">
        <v>92</v>
      </c>
      <c r="DE19">
        <v>92001</v>
      </c>
      <c r="DF19">
        <v>92002</v>
      </c>
      <c r="DG19">
        <v>92003</v>
      </c>
      <c r="DH19">
        <v>92004</v>
      </c>
      <c r="GQ19">
        <v>368010</v>
      </c>
    </row>
    <row r="20" spans="1:199" ht="17">
      <c r="A20">
        <f>'All Girls &amp; Descendants - Edit'!B19</f>
        <v>19</v>
      </c>
      <c r="B20" t="str">
        <f>'All Girls &amp; Descendants - Edit'!C19</f>
        <v>19d</v>
      </c>
      <c r="C20" t="str">
        <f>'All Girls &amp; Descendants - Edit'!D19</f>
        <v>ENTWISLE</v>
      </c>
      <c r="D20" t="str">
        <f>'All Girls &amp; Descendants - Edit'!E19</f>
        <v>Bernard</v>
      </c>
      <c r="E20" t="str">
        <f>IF('All Girls &amp; Descendants - Edit'!F19="","",'All Girls &amp; Descendants - Edit'!F19)</f>
        <v>Henry</v>
      </c>
      <c r="F20" t="str">
        <f>IF('All Girls &amp; Descendants - Edit'!G19="","",'All Girls &amp; Descendants - Edit'!G19)</f>
        <v/>
      </c>
      <c r="G20" t="str">
        <f>IF('All Girls &amp; Descendants - Edit'!H19="",D20,'All Girls &amp; Descendants - Edit'!H19)</f>
        <v>Bernard</v>
      </c>
      <c r="H20">
        <f>'All Girls &amp; Descendants - Edit'!I19</f>
        <v>1847</v>
      </c>
      <c r="I20">
        <f>'All Girls &amp; Descendants - Edit'!J19</f>
        <v>1877</v>
      </c>
      <c r="J20" s="101">
        <f>'All Girls &amp; Descendants - Edit'!K19</f>
        <v>0</v>
      </c>
      <c r="K20" s="3" t="str">
        <f>'All Girls &amp; Descendants - Edit'!L19</f>
        <v>25/02/1847</v>
      </c>
      <c r="L20" s="3" t="str">
        <f>'All Girls &amp; Descendants - Edit'!M19</f>
        <v>25/02/1847</v>
      </c>
      <c r="M20" s="3" t="str">
        <f>'All Girls &amp; Descendants - Edit'!N19</f>
        <v>08/01 or 06/1875</v>
      </c>
      <c r="N20" s="3" t="str">
        <f>'All Girls &amp; Descendants - Edit'!O19</f>
        <v>22/09/1877</v>
      </c>
      <c r="O20" s="3" t="str">
        <f>'All Girls &amp; Descendants - Edit'!P19</f>
        <v>22/09/1877</v>
      </c>
      <c r="P20" t="str">
        <f t="shared" si="2"/>
        <v>19d</v>
      </c>
      <c r="Q20" s="116">
        <f t="shared" si="3"/>
        <v>1</v>
      </c>
      <c r="R20" s="31" t="str">
        <f t="shared" si="4"/>
        <v>Bernard Henry  ENTWISLE</v>
      </c>
      <c r="S20" t="str">
        <f t="shared" si="5"/>
        <v>Bernard ENTWISLE (1847 - 1877: #19d)</v>
      </c>
      <c r="U20" s="126">
        <f t="shared" si="1"/>
        <v>19004</v>
      </c>
      <c r="V20" t="str">
        <f t="shared" si="6"/>
        <v>19d</v>
      </c>
      <c r="W20" s="126">
        <f t="shared" si="24"/>
        <v>19</v>
      </c>
      <c r="X20" s="126" t="str">
        <f t="shared" si="7"/>
        <v>d</v>
      </c>
      <c r="Y20" s="116"/>
      <c r="Z20" s="116"/>
      <c r="AB20" s="116"/>
      <c r="AE20" s="116">
        <f t="shared" si="19"/>
        <v>0</v>
      </c>
      <c r="AF20" s="99">
        <f t="shared" si="20"/>
        <v>95</v>
      </c>
      <c r="AG20" s="116">
        <f t="shared" si="21"/>
        <v>2</v>
      </c>
      <c r="AH20" s="117" t="str">
        <f t="shared" si="25"/>
        <v>95a</v>
      </c>
      <c r="AI20" s="117" t="str">
        <f t="shared" ref="AI20:AI35" si="27">VLOOKUP(IF(ISNUMBER(SMALL($BE20:$GP20,AI$3)),SMALL($BE20:$GP20,AI$3),""),$U$4:$V$165,2,FALSE)</f>
        <v>95b</v>
      </c>
      <c r="AJ20" s="117"/>
      <c r="AK20" s="117"/>
      <c r="AL20" s="117"/>
      <c r="AM20" s="117"/>
      <c r="AN20" s="117"/>
      <c r="AO20" s="117"/>
      <c r="AP20" s="117"/>
      <c r="AQ20" s="126">
        <f>VLOOKUP(AR20,'Loyd List 1-190 - Edit'!$P$2:$R$208,3,FALSE)</f>
        <v>56</v>
      </c>
      <c r="AR20" s="126">
        <f t="shared" si="9"/>
        <v>95</v>
      </c>
      <c r="AS20" s="126">
        <f t="shared" si="23"/>
        <v>2</v>
      </c>
      <c r="AT20" s="97" t="str">
        <f t="shared" si="10"/>
        <v xml:space="preserve">2 - Henrietta KNIGHT (1946 - : #95a) Ce-Ce KNIGHT (1949 - 2020: #95b)      </v>
      </c>
      <c r="AU20" t="str">
        <f t="shared" si="11"/>
        <v>Henrietta KNIGHT (1946 - : #95a)</v>
      </c>
      <c r="AV20" t="str">
        <f t="shared" si="12"/>
        <v>Ce-Ce KNIGHT (1949 - 2020: #95b)</v>
      </c>
      <c r="AW20" t="str">
        <f t="shared" si="13"/>
        <v/>
      </c>
      <c r="AX20" t="str">
        <f t="shared" si="14"/>
        <v/>
      </c>
      <c r="AY20" t="str">
        <f t="shared" si="15"/>
        <v/>
      </c>
      <c r="AZ20" t="str">
        <f t="shared" si="16"/>
        <v/>
      </c>
      <c r="BA20" t="str">
        <f t="shared" si="17"/>
        <v/>
      </c>
      <c r="BB20" t="str">
        <f t="shared" si="18"/>
        <v/>
      </c>
      <c r="BD20" s="72">
        <v>95</v>
      </c>
      <c r="DI20">
        <v>95001</v>
      </c>
      <c r="DJ20">
        <v>95002</v>
      </c>
      <c r="GQ20">
        <v>190003</v>
      </c>
    </row>
    <row r="21" spans="1:199" ht="34">
      <c r="A21">
        <f>'All Girls &amp; Descendants - Edit'!B20</f>
        <v>19</v>
      </c>
      <c r="B21" t="str">
        <f>'All Girls &amp; Descendants - Edit'!C20</f>
        <v>19e</v>
      </c>
      <c r="C21" t="str">
        <f>'All Girls &amp; Descendants - Edit'!D20</f>
        <v>ENTWISLE</v>
      </c>
      <c r="D21" t="str">
        <f>'All Girls &amp; Descendants - Edit'!E20</f>
        <v>Edward</v>
      </c>
      <c r="E21" t="str">
        <f>IF('All Girls &amp; Descendants - Edit'!F20="","",'All Girls &amp; Descendants - Edit'!F20)</f>
        <v>Loyd</v>
      </c>
      <c r="F21" t="str">
        <f>IF('All Girls &amp; Descendants - Edit'!G20="","",'All Girls &amp; Descendants - Edit'!G20)</f>
        <v/>
      </c>
      <c r="G21" t="str">
        <f>IF('All Girls &amp; Descendants - Edit'!H20="",D21,'All Girls &amp; Descendants - Edit'!H20)</f>
        <v>Edward</v>
      </c>
      <c r="H21">
        <f>'All Girls &amp; Descendants - Edit'!I20</f>
        <v>1852</v>
      </c>
      <c r="I21">
        <f>'All Girls &amp; Descendants - Edit'!J20</f>
        <v>1881</v>
      </c>
      <c r="J21" s="101">
        <f>'All Girls &amp; Descendants - Edit'!K20</f>
        <v>0</v>
      </c>
      <c r="K21" s="3" t="str">
        <f>'All Girls &amp; Descendants - Edit'!L20</f>
        <v>13/02/1852</v>
      </c>
      <c r="L21" s="3" t="str">
        <f>'All Girls &amp; Descendants - Edit'!M20</f>
        <v>13/02/1852</v>
      </c>
      <c r="M21" s="3" t="str">
        <f>'All Girls &amp; Descendants - Edit'!N20</f>
        <v>16/07/1880</v>
      </c>
      <c r="N21" s="3" t="str">
        <f>'All Girls &amp; Descendants - Edit'!O20</f>
        <v>16/01/1881</v>
      </c>
      <c r="O21" s="3" t="str">
        <f>'All Girls &amp; Descendants - Edit'!P20</f>
        <v>16/01/1881</v>
      </c>
      <c r="P21" t="str">
        <f t="shared" si="2"/>
        <v>19e</v>
      </c>
      <c r="Q21" s="116">
        <f t="shared" si="3"/>
        <v>1</v>
      </c>
      <c r="R21" s="31" t="str">
        <f t="shared" si="4"/>
        <v>Edward Loyd  ENTWISLE</v>
      </c>
      <c r="S21" t="str">
        <f t="shared" si="5"/>
        <v>Edward ENTWISLE (1852 - 1881: #19e)</v>
      </c>
      <c r="U21" s="126">
        <f t="shared" si="1"/>
        <v>19005</v>
      </c>
      <c r="V21" t="str">
        <f t="shared" si="6"/>
        <v>19e</v>
      </c>
      <c r="W21" s="126">
        <f t="shared" si="24"/>
        <v>19</v>
      </c>
      <c r="X21" s="126" t="str">
        <f t="shared" si="7"/>
        <v>e</v>
      </c>
      <c r="Y21" s="116"/>
      <c r="Z21" s="116"/>
      <c r="AB21" s="116"/>
      <c r="AE21" s="116">
        <f t="shared" si="19"/>
        <v>0</v>
      </c>
      <c r="AF21" s="99">
        <f t="shared" si="20"/>
        <v>97</v>
      </c>
      <c r="AG21" s="116">
        <f t="shared" si="21"/>
        <v>5</v>
      </c>
      <c r="AH21" s="117" t="str">
        <f t="shared" si="25"/>
        <v>97a</v>
      </c>
      <c r="AI21" s="117" t="str">
        <f t="shared" si="27"/>
        <v>97b</v>
      </c>
      <c r="AJ21" s="117" t="str">
        <f t="shared" ref="AJ21:AL22" si="28">VLOOKUP(IF(ISNUMBER(SMALL($BE21:$GP21,AJ$3)),SMALL($BE21:$GP21,AJ$3),""),$U$4:$V$165,2,FALSE)</f>
        <v>97c</v>
      </c>
      <c r="AK21" s="117" t="str">
        <f t="shared" si="28"/>
        <v>97d</v>
      </c>
      <c r="AL21" s="117" t="str">
        <f t="shared" si="28"/>
        <v>97e</v>
      </c>
      <c r="AM21" s="117"/>
      <c r="AN21" s="117"/>
      <c r="AO21" s="117"/>
      <c r="AP21" s="117"/>
      <c r="AQ21" s="126">
        <f>VLOOKUP(AR21,'Loyd List 1-190 - Edit'!$P$2:$R$208,3,FALSE)</f>
        <v>53</v>
      </c>
      <c r="AR21" s="126">
        <f t="shared" si="9"/>
        <v>97</v>
      </c>
      <c r="AS21" s="126">
        <f t="shared" si="23"/>
        <v>5</v>
      </c>
      <c r="AT21" s="97" t="str">
        <f t="shared" si="10"/>
        <v xml:space="preserve">5 - Julian SALE (1951 - : #97a) Iona SALE (1954 - : #97b) Charles SALE (1956 - 1957: #97c) Roddy SALE (1959 - : #97d) Edward SALE (1963 - : #97e)   </v>
      </c>
      <c r="AU21" t="str">
        <f t="shared" si="11"/>
        <v>Julian SALE (1951 - : #97a)</v>
      </c>
      <c r="AV21" t="str">
        <f t="shared" si="12"/>
        <v>Iona SALE (1954 - : #97b)</v>
      </c>
      <c r="AW21" t="str">
        <f t="shared" si="13"/>
        <v>Charles SALE (1956 - 1957: #97c)</v>
      </c>
      <c r="AX21" t="str">
        <f t="shared" si="14"/>
        <v>Roddy SALE (1959 - : #97d)</v>
      </c>
      <c r="AY21" t="str">
        <f t="shared" si="15"/>
        <v>Edward SALE (1963 - : #97e)</v>
      </c>
      <c r="AZ21" t="str">
        <f t="shared" si="16"/>
        <v/>
      </c>
      <c r="BA21" t="str">
        <f t="shared" si="17"/>
        <v/>
      </c>
      <c r="BB21" t="str">
        <f t="shared" si="18"/>
        <v/>
      </c>
      <c r="BD21" s="72">
        <v>97</v>
      </c>
      <c r="DK21">
        <v>97001</v>
      </c>
      <c r="DL21">
        <v>97002</v>
      </c>
      <c r="DM21">
        <v>97003</v>
      </c>
      <c r="DN21">
        <v>97004</v>
      </c>
      <c r="DO21">
        <v>97005</v>
      </c>
      <c r="GQ21">
        <v>485015</v>
      </c>
    </row>
    <row r="22" spans="1:199" ht="51">
      <c r="A22">
        <f>'All Girls &amp; Descendants - Edit'!B21</f>
        <v>36</v>
      </c>
      <c r="B22" t="str">
        <f>'All Girls &amp; Descendants - Edit'!C21</f>
        <v>36a</v>
      </c>
      <c r="C22" t="str">
        <f>'All Girls &amp; Descendants - Edit'!D21</f>
        <v>COURTHOPE</v>
      </c>
      <c r="D22" t="str">
        <f>'All Girls &amp; Descendants - Edit'!E21</f>
        <v>George</v>
      </c>
      <c r="E22" t="str">
        <f>IF('All Girls &amp; Descendants - Edit'!F21="","",'All Girls &amp; Descendants - Edit'!F21)</f>
        <v>Loyd</v>
      </c>
      <c r="F22" t="str">
        <f>IF('All Girls &amp; Descendants - Edit'!G21="","",'All Girls &amp; Descendants - Edit'!G21)</f>
        <v/>
      </c>
      <c r="G22" t="str">
        <f>IF('All Girls &amp; Descendants - Edit'!H21="",D22,'All Girls &amp; Descendants - Edit'!H21)</f>
        <v>George</v>
      </c>
      <c r="H22">
        <f>'All Girls &amp; Descendants - Edit'!I21</f>
        <v>1877</v>
      </c>
      <c r="I22">
        <f>'All Girls &amp; Descendants - Edit'!J21</f>
        <v>1955</v>
      </c>
      <c r="J22" s="101">
        <f>'All Girls &amp; Descendants - Edit'!K21</f>
        <v>0</v>
      </c>
      <c r="K22" s="3" t="str">
        <f>'All Girls &amp; Descendants - Edit'!L21</f>
        <v>12/06/1877</v>
      </c>
      <c r="L22" s="3" t="str">
        <f>'All Girls &amp; Descendants - Edit'!M21</f>
        <v>12/06/1877</v>
      </c>
      <c r="M22" s="3" t="str">
        <f>'All Girls &amp; Descendants - Edit'!N21</f>
        <v>14/06/1899</v>
      </c>
      <c r="N22" s="3">
        <f>'All Girls &amp; Descendants - Edit'!O21</f>
        <v>20334</v>
      </c>
      <c r="O22" s="3" t="str">
        <f>'All Girls &amp; Descendants - Edit'!P21</f>
        <v>02/09/1955</v>
      </c>
      <c r="P22" t="str">
        <f t="shared" si="2"/>
        <v>36a</v>
      </c>
      <c r="Q22" s="116">
        <f t="shared" si="3"/>
        <v>1</v>
      </c>
      <c r="R22" s="31" t="str">
        <f t="shared" si="4"/>
        <v>George Loyd  COURTHOPE</v>
      </c>
      <c r="S22" t="str">
        <f t="shared" si="5"/>
        <v>George COURTHOPE (1877 - 1955: #36a)</v>
      </c>
      <c r="U22" s="126">
        <f t="shared" si="1"/>
        <v>36001</v>
      </c>
      <c r="V22" t="str">
        <f t="shared" si="6"/>
        <v>36a</v>
      </c>
      <c r="W22" s="126">
        <f t="shared" si="24"/>
        <v>36</v>
      </c>
      <c r="X22" s="126" t="str">
        <f t="shared" si="7"/>
        <v>a</v>
      </c>
      <c r="Y22" s="116"/>
      <c r="Z22" s="116"/>
      <c r="AB22" s="116"/>
      <c r="AE22" s="116">
        <f t="shared" si="19"/>
        <v>0</v>
      </c>
      <c r="AF22" s="99">
        <f t="shared" si="20"/>
        <v>101</v>
      </c>
      <c r="AG22" s="116">
        <f t="shared" si="21"/>
        <v>6</v>
      </c>
      <c r="AH22" s="117" t="str">
        <f t="shared" si="25"/>
        <v>101a</v>
      </c>
      <c r="AI22" s="117" t="str">
        <f t="shared" si="27"/>
        <v>101b</v>
      </c>
      <c r="AJ22" s="117" t="str">
        <f t="shared" si="28"/>
        <v>101c</v>
      </c>
      <c r="AK22" s="117" t="str">
        <f t="shared" si="28"/>
        <v>101d</v>
      </c>
      <c r="AL22" s="117" t="str">
        <f t="shared" si="28"/>
        <v>101e</v>
      </c>
      <c r="AM22" s="117" t="str">
        <f>VLOOKUP(IF(ISNUMBER(SMALL($BE22:$GP22,AM$3)),SMALL($BE22:$GP22,AM$3),""),$U$4:$V$165,2,FALSE)</f>
        <v>101f</v>
      </c>
      <c r="AN22" s="117"/>
      <c r="AO22" s="117"/>
      <c r="AP22" s="117"/>
      <c r="AQ22" s="126">
        <f>VLOOKUP(AR22,'Loyd List 1-190 - Edit'!$P$2:$R$208,3,FALSE)</f>
        <v>56</v>
      </c>
      <c r="AR22" s="126">
        <f t="shared" si="9"/>
        <v>101</v>
      </c>
      <c r="AS22" s="126">
        <f t="shared" si="23"/>
        <v>6</v>
      </c>
      <c r="AT22" s="97" t="str">
        <f t="shared" si="10"/>
        <v xml:space="preserve">6 - Lady Selina MEADE (1950 - : #101a) Lady Mary MEADE (1952 - : #101b) Lady Julia MEADE (1953 - : #101c) Lady Laura MEADE (1957 - : #101d) Lady Katherine MEADE (1959 - : #101e) Lady Sophia MEADE (1963 - : #101f)  </v>
      </c>
      <c r="AU22" t="str">
        <f t="shared" si="11"/>
        <v>Lady Selina MEADE (1950 - : #101a)</v>
      </c>
      <c r="AV22" t="str">
        <f t="shared" si="12"/>
        <v>Lady Mary MEADE (1952 - : #101b)</v>
      </c>
      <c r="AW22" t="str">
        <f t="shared" si="13"/>
        <v>Lady Julia MEADE (1953 - : #101c)</v>
      </c>
      <c r="AX22" t="str">
        <f t="shared" si="14"/>
        <v>Lady Laura MEADE (1957 - : #101d)</v>
      </c>
      <c r="AY22" t="str">
        <f t="shared" si="15"/>
        <v>Lady Katherine MEADE (1959 - : #101e)</v>
      </c>
      <c r="AZ22" t="str">
        <f t="shared" si="16"/>
        <v>Lady Sophia MEADE (1963 - : #101f)</v>
      </c>
      <c r="BA22" t="str">
        <f t="shared" si="17"/>
        <v/>
      </c>
      <c r="BB22" t="str">
        <f t="shared" si="18"/>
        <v/>
      </c>
      <c r="BD22" s="72">
        <v>101</v>
      </c>
      <c r="DP22">
        <v>101001</v>
      </c>
      <c r="DQ22">
        <v>101002</v>
      </c>
      <c r="DR22">
        <v>101003</v>
      </c>
      <c r="DS22">
        <v>101004</v>
      </c>
      <c r="DT22">
        <v>101005</v>
      </c>
      <c r="DU22">
        <v>101006</v>
      </c>
      <c r="GQ22">
        <v>606021</v>
      </c>
    </row>
    <row r="23" spans="1:199" ht="17">
      <c r="A23">
        <f>'All Girls &amp; Descendants - Edit'!B22</f>
        <v>36</v>
      </c>
      <c r="B23" t="str">
        <f>'All Girls &amp; Descendants - Edit'!C22</f>
        <v>36b</v>
      </c>
      <c r="C23" t="str">
        <f>'All Girls &amp; Descendants - Edit'!D22</f>
        <v>COURTHOPE</v>
      </c>
      <c r="D23" t="str">
        <f>'All Girls &amp; Descendants - Edit'!E22</f>
        <v>Alexander</v>
      </c>
      <c r="E23" t="str">
        <f>IF('All Girls &amp; Descendants - Edit'!F22="","",'All Girls &amp; Descendants - Edit'!F22)</f>
        <v/>
      </c>
      <c r="F23" t="str">
        <f>IF('All Girls &amp; Descendants - Edit'!G22="","",'All Girls &amp; Descendants - Edit'!G22)</f>
        <v/>
      </c>
      <c r="G23" t="str">
        <f>IF('All Girls &amp; Descendants - Edit'!H22="",D23,'All Girls &amp; Descendants - Edit'!H22)</f>
        <v>Alexander</v>
      </c>
      <c r="H23">
        <f>'All Girls &amp; Descendants - Edit'!I22</f>
        <v>1878</v>
      </c>
      <c r="I23">
        <f>'All Girls &amp; Descendants - Edit'!J22</f>
        <v>1892</v>
      </c>
      <c r="J23" s="101">
        <f>'All Girls &amp; Descendants - Edit'!K22</f>
        <v>0</v>
      </c>
      <c r="K23" s="3" t="str">
        <f>'All Girls &amp; Descendants - Edit'!L22</f>
        <v>14/09/1878</v>
      </c>
      <c r="L23" s="3" t="str">
        <f>'All Girls &amp; Descendants - Edit'!M22</f>
        <v>14/09/1878</v>
      </c>
      <c r="M23" s="3">
        <f>'All Girls &amp; Descendants - Edit'!N22</f>
        <v>0</v>
      </c>
      <c r="N23" s="3" t="str">
        <f>'All Girls &amp; Descendants - Edit'!O22</f>
        <v>29/07/1892</v>
      </c>
      <c r="O23" s="3" t="str">
        <f>'All Girls &amp; Descendants - Edit'!P22</f>
        <v>29/07/1892</v>
      </c>
      <c r="P23" t="str">
        <f t="shared" si="2"/>
        <v>36b</v>
      </c>
      <c r="Q23" s="116">
        <f t="shared" si="3"/>
        <v>1</v>
      </c>
      <c r="R23" s="31" t="str">
        <f t="shared" si="4"/>
        <v>Alexander   COURTHOPE</v>
      </c>
      <c r="S23" t="str">
        <f t="shared" si="5"/>
        <v>Alexander COURTHOPE (1878 - 1892: #36b)</v>
      </c>
      <c r="U23" s="126">
        <f t="shared" si="1"/>
        <v>36002</v>
      </c>
      <c r="V23" t="str">
        <f t="shared" si="6"/>
        <v>36b</v>
      </c>
      <c r="W23" s="126">
        <f t="shared" si="24"/>
        <v>36</v>
      </c>
      <c r="X23" s="126" t="str">
        <f t="shared" si="7"/>
        <v>b</v>
      </c>
      <c r="Y23" s="116"/>
      <c r="Z23" s="116"/>
      <c r="AB23" s="116"/>
      <c r="AE23" s="116">
        <f t="shared" si="19"/>
        <v>0</v>
      </c>
      <c r="AF23" s="99">
        <f t="shared" si="20"/>
        <v>102</v>
      </c>
      <c r="AG23" s="116">
        <f t="shared" si="21"/>
        <v>3</v>
      </c>
      <c r="AH23" s="117" t="str">
        <f t="shared" si="25"/>
        <v>102a</v>
      </c>
      <c r="AI23" s="117" t="str">
        <f t="shared" si="27"/>
        <v>102b</v>
      </c>
      <c r="AJ23" s="117" t="str">
        <f>VLOOKUP(IF(ISNUMBER(SMALL($BE23:$GP23,AJ$3)),SMALL($BE23:$GP23,AJ$3),""),$U$4:$V$165,2,FALSE)</f>
        <v>102c</v>
      </c>
      <c r="AK23" s="117"/>
      <c r="AL23" s="117"/>
      <c r="AM23" s="117"/>
      <c r="AN23" s="117"/>
      <c r="AO23" s="117"/>
      <c r="AP23" s="117"/>
      <c r="AQ23" s="126">
        <f>VLOOKUP(AR23,'Loyd List 1-190 - Edit'!$P$2:$R$208,3,FALSE)</f>
        <v>62</v>
      </c>
      <c r="AR23" s="126">
        <f t="shared" si="9"/>
        <v>102</v>
      </c>
      <c r="AS23" s="126">
        <f t="shared" si="23"/>
        <v>3</v>
      </c>
      <c r="AT23" s="97" t="str">
        <f t="shared" si="10"/>
        <v xml:space="preserve">3 - Tess DUNLOP (1956 - : #102a) Fergus DUNLOP (1958 - : #102b) Celina DUNLOP (1960 - : #102c)     </v>
      </c>
      <c r="AU23" t="str">
        <f t="shared" si="11"/>
        <v>Tess DUNLOP (1956 - : #102a)</v>
      </c>
      <c r="AV23" t="str">
        <f t="shared" si="12"/>
        <v>Fergus DUNLOP (1958 - : #102b)</v>
      </c>
      <c r="AW23" t="str">
        <f t="shared" si="13"/>
        <v>Celina DUNLOP (1960 - : #102c)</v>
      </c>
      <c r="AX23" t="str">
        <f t="shared" si="14"/>
        <v/>
      </c>
      <c r="AY23" t="str">
        <f t="shared" si="15"/>
        <v/>
      </c>
      <c r="AZ23" t="str">
        <f t="shared" si="16"/>
        <v/>
      </c>
      <c r="BA23" t="str">
        <f t="shared" si="17"/>
        <v/>
      </c>
      <c r="BB23" t="str">
        <f t="shared" si="18"/>
        <v/>
      </c>
      <c r="BD23" s="72">
        <v>102</v>
      </c>
      <c r="DV23">
        <v>102001</v>
      </c>
      <c r="DW23">
        <v>102002</v>
      </c>
      <c r="DX23">
        <v>102003</v>
      </c>
      <c r="GQ23">
        <v>306006</v>
      </c>
    </row>
    <row r="24" spans="1:199" ht="34">
      <c r="A24">
        <f>'All Girls &amp; Descendants - Edit'!B23</f>
        <v>36</v>
      </c>
      <c r="B24" t="str">
        <f>'All Girls &amp; Descendants - Edit'!C23</f>
        <v>36c</v>
      </c>
      <c r="C24" t="str">
        <f>'All Girls &amp; Descendants - Edit'!D23</f>
        <v>COURTHOPE</v>
      </c>
      <c r="D24" t="str">
        <f>'All Girls &amp; Descendants - Edit'!E23</f>
        <v>John</v>
      </c>
      <c r="E24" t="str">
        <f>IF('All Girls &amp; Descendants - Edit'!F23="","",'All Girls &amp; Descendants - Edit'!F23)</f>
        <v>Edward</v>
      </c>
      <c r="F24" t="str">
        <f>IF('All Girls &amp; Descendants - Edit'!G23="","",'All Girls &amp; Descendants - Edit'!G23)</f>
        <v/>
      </c>
      <c r="G24" t="str">
        <f>IF('All Girls &amp; Descendants - Edit'!H23="",D24,'All Girls &amp; Descendants - Edit'!H23)</f>
        <v>John</v>
      </c>
      <c r="H24">
        <f>'All Girls &amp; Descendants - Edit'!I23</f>
        <v>1882</v>
      </c>
      <c r="I24">
        <f>'All Girls &amp; Descendants - Edit'!J23</f>
        <v>1954</v>
      </c>
      <c r="J24" s="101">
        <f>'All Girls &amp; Descendants - Edit'!K23</f>
        <v>0</v>
      </c>
      <c r="K24" s="3" t="str">
        <f>'All Girls &amp; Descendants - Edit'!L23</f>
        <v>28/01/1882</v>
      </c>
      <c r="L24" s="3" t="str">
        <f>'All Girls &amp; Descendants - Edit'!M23</f>
        <v>28/01/1882</v>
      </c>
      <c r="M24" s="3" t="str">
        <f>'All Girls &amp; Descendants - Edit'!N23</f>
        <v>Unmarried</v>
      </c>
      <c r="N24" s="3">
        <f>'All Girls &amp; Descendants - Edit'!O23</f>
        <v>19816</v>
      </c>
      <c r="O24" s="3" t="str">
        <f>'All Girls &amp; Descendants - Edit'!P23</f>
        <v>02/04/1954</v>
      </c>
      <c r="P24" t="str">
        <f t="shared" si="2"/>
        <v>36c</v>
      </c>
      <c r="Q24" s="116">
        <f t="shared" si="3"/>
        <v>1</v>
      </c>
      <c r="R24" s="31" t="str">
        <f t="shared" si="4"/>
        <v>John Edward  COURTHOPE</v>
      </c>
      <c r="S24" t="str">
        <f t="shared" si="5"/>
        <v>John COURTHOPE (1882 - 1954: #36c)</v>
      </c>
      <c r="U24" s="126">
        <f t="shared" si="1"/>
        <v>36003</v>
      </c>
      <c r="V24" t="str">
        <f t="shared" si="6"/>
        <v>36c</v>
      </c>
      <c r="W24" s="126">
        <f t="shared" si="24"/>
        <v>36</v>
      </c>
      <c r="X24" s="126" t="str">
        <f t="shared" si="7"/>
        <v>c</v>
      </c>
      <c r="Y24" s="116"/>
      <c r="Z24" s="116"/>
      <c r="AB24" s="116"/>
      <c r="AE24" s="116">
        <f t="shared" si="19"/>
        <v>0</v>
      </c>
      <c r="AF24" s="99">
        <f t="shared" si="20"/>
        <v>103</v>
      </c>
      <c r="AG24" s="116">
        <f t="shared" si="21"/>
        <v>4</v>
      </c>
      <c r="AH24" s="117" t="str">
        <f t="shared" si="25"/>
        <v>103a</v>
      </c>
      <c r="AI24" s="117" t="str">
        <f t="shared" si="27"/>
        <v>103b</v>
      </c>
      <c r="AJ24" s="117" t="str">
        <f>VLOOKUP(IF(ISNUMBER(SMALL($BE24:$GP24,AJ$3)),SMALL($BE24:$GP24,AJ$3),""),$U$4:$V$165,2,FALSE)</f>
        <v>103c</v>
      </c>
      <c r="AK24" s="117" t="str">
        <f>VLOOKUP(IF(ISNUMBER(SMALL($BE24:$GP24,AK$3)),SMALL($BE24:$GP24,AK$3),""),$U$4:$V$165,2,FALSE)</f>
        <v>103d</v>
      </c>
      <c r="AL24" s="117"/>
      <c r="AM24" s="117"/>
      <c r="AN24" s="117"/>
      <c r="AO24" s="117"/>
      <c r="AP24" s="117"/>
      <c r="AQ24" s="126">
        <f>VLOOKUP(AR24,'Loyd List 1-190 - Edit'!$P$2:$R$208,3,FALSE)</f>
        <v>72</v>
      </c>
      <c r="AR24" s="126">
        <f t="shared" si="9"/>
        <v>103</v>
      </c>
      <c r="AS24" s="126">
        <f t="shared" si="23"/>
        <v>4</v>
      </c>
      <c r="AT24" s="97" t="str">
        <f t="shared" si="10"/>
        <v xml:space="preserve">4 - James GORE-BROWNE (1947 - : #103a) Georgina GORE-BROWNE (1949 - : #103b) David GORE-BROWNE (1952 - 2012: #103c) Patrick GORE-BROWNE (1956 - : #103d)    </v>
      </c>
      <c r="AU24" t="str">
        <f t="shared" si="11"/>
        <v>James GORE-BROWNE (1947 - : #103a)</v>
      </c>
      <c r="AV24" t="str">
        <f t="shared" si="12"/>
        <v>Georgina GORE-BROWNE (1949 - : #103b)</v>
      </c>
      <c r="AW24" t="str">
        <f t="shared" si="13"/>
        <v>David GORE-BROWNE (1952 - 2012: #103c)</v>
      </c>
      <c r="AX24" t="str">
        <f t="shared" si="14"/>
        <v>Patrick GORE-BROWNE (1956 - : #103d)</v>
      </c>
      <c r="AY24" t="str">
        <f t="shared" si="15"/>
        <v/>
      </c>
      <c r="AZ24" t="str">
        <f t="shared" si="16"/>
        <v/>
      </c>
      <c r="BA24" t="str">
        <f t="shared" si="17"/>
        <v/>
      </c>
      <c r="BB24" t="str">
        <f t="shared" si="18"/>
        <v/>
      </c>
      <c r="BD24" s="72">
        <v>103</v>
      </c>
      <c r="DY24">
        <v>103001</v>
      </c>
      <c r="DZ24">
        <v>103002</v>
      </c>
      <c r="EA24">
        <v>103003</v>
      </c>
      <c r="EB24">
        <v>103004</v>
      </c>
      <c r="GQ24">
        <v>412010</v>
      </c>
    </row>
    <row r="25" spans="1:199" ht="17">
      <c r="A25">
        <f>'All Girls &amp; Descendants - Edit'!B24</f>
        <v>36</v>
      </c>
      <c r="B25" t="str">
        <f>'All Girls &amp; Descendants - Edit'!C24</f>
        <v>36d</v>
      </c>
      <c r="C25" t="str">
        <f>'All Girls &amp; Descendants - Edit'!D24</f>
        <v>COURTHOPE</v>
      </c>
      <c r="D25" t="str">
        <f>'All Girls &amp; Descendants - Edit'!E24</f>
        <v>Barbara</v>
      </c>
      <c r="E25" t="str">
        <f>IF('All Girls &amp; Descendants - Edit'!F24="","",'All Girls &amp; Descendants - Edit'!F24)</f>
        <v>Frances</v>
      </c>
      <c r="F25" t="str">
        <f>IF('All Girls &amp; Descendants - Edit'!G24="","",'All Girls &amp; Descendants - Edit'!G24)</f>
        <v/>
      </c>
      <c r="G25" t="str">
        <f>IF('All Girls &amp; Descendants - Edit'!H24="",D25,'All Girls &amp; Descendants - Edit'!H24)</f>
        <v>Barbara</v>
      </c>
      <c r="H25">
        <f>'All Girls &amp; Descendants - Edit'!I24</f>
        <v>1883</v>
      </c>
      <c r="I25">
        <f>'All Girls &amp; Descendants - Edit'!J24</f>
        <v>1972</v>
      </c>
      <c r="J25" s="101">
        <f>'All Girls &amp; Descendants - Edit'!K24</f>
        <v>0</v>
      </c>
      <c r="K25" s="3" t="str">
        <f>'All Girls &amp; Descendants - Edit'!L24</f>
        <v>23/12/1883</v>
      </c>
      <c r="L25" s="3" t="str">
        <f>'All Girls &amp; Descendants - Edit'!M24</f>
        <v>23/12/1883</v>
      </c>
      <c r="M25" s="3">
        <f>'All Girls &amp; Descendants - Edit'!N24</f>
        <v>3966</v>
      </c>
      <c r="N25" s="3">
        <f>'All Girls &amp; Descendants - Edit'!O24</f>
        <v>26373</v>
      </c>
      <c r="O25" s="3" t="str">
        <f>'All Girls &amp; Descendants - Edit'!P24</f>
        <v>15/03/1972</v>
      </c>
      <c r="P25" t="str">
        <f t="shared" si="2"/>
        <v>36d</v>
      </c>
      <c r="Q25" s="116">
        <f t="shared" si="3"/>
        <v>1</v>
      </c>
      <c r="R25" s="31" t="str">
        <f t="shared" si="4"/>
        <v>Barbara Frances  COURTHOPE</v>
      </c>
      <c r="S25" t="str">
        <f t="shared" si="5"/>
        <v>Barbara COURTHOPE (1883 - 1972: #36d)</v>
      </c>
      <c r="U25" s="126">
        <f t="shared" si="1"/>
        <v>36004</v>
      </c>
      <c r="V25" t="str">
        <f t="shared" si="6"/>
        <v>36d</v>
      </c>
      <c r="W25" s="126">
        <f t="shared" si="24"/>
        <v>36</v>
      </c>
      <c r="X25" s="126" t="str">
        <f t="shared" si="7"/>
        <v>d</v>
      </c>
      <c r="Y25" s="116"/>
      <c r="Z25" s="116"/>
      <c r="AB25" s="116"/>
      <c r="AE25" s="116">
        <f t="shared" si="19"/>
        <v>0</v>
      </c>
      <c r="AF25" s="99">
        <f t="shared" si="20"/>
        <v>106</v>
      </c>
      <c r="AG25" s="116">
        <f t="shared" si="21"/>
        <v>2</v>
      </c>
      <c r="AH25" s="117" t="str">
        <f t="shared" si="25"/>
        <v>106a</v>
      </c>
      <c r="AI25" s="117" t="str">
        <f t="shared" si="27"/>
        <v>106b</v>
      </c>
      <c r="AJ25" s="117"/>
      <c r="AK25" s="117"/>
      <c r="AL25" s="117"/>
      <c r="AM25" s="117"/>
      <c r="AN25" s="117"/>
      <c r="AO25" s="117"/>
      <c r="AP25" s="117"/>
      <c r="AQ25" s="126">
        <f>VLOOKUP(AR25,'Loyd List 1-190 - Edit'!$P$2:$R$208,3,FALSE)</f>
        <v>77</v>
      </c>
      <c r="AR25" s="126">
        <f t="shared" si="9"/>
        <v>106</v>
      </c>
      <c r="AS25" s="126">
        <f t="shared" si="23"/>
        <v>2</v>
      </c>
      <c r="AT25" s="97" t="str">
        <f t="shared" si="10"/>
        <v xml:space="preserve">2 - The Hon Geva WINN (1955 - : #106a) Charles WINN (1959 - : #106b)      </v>
      </c>
      <c r="AU25" t="str">
        <f t="shared" si="11"/>
        <v>The Hon Geva WINN (1955 - : #106a)</v>
      </c>
      <c r="AV25" t="str">
        <f t="shared" si="12"/>
        <v>Charles WINN (1959 - : #106b)</v>
      </c>
      <c r="AW25" t="str">
        <f t="shared" si="13"/>
        <v/>
      </c>
      <c r="AX25" t="str">
        <f t="shared" si="14"/>
        <v/>
      </c>
      <c r="AY25" t="str">
        <f t="shared" si="15"/>
        <v/>
      </c>
      <c r="AZ25" t="str">
        <f t="shared" si="16"/>
        <v/>
      </c>
      <c r="BA25" t="str">
        <f t="shared" si="17"/>
        <v/>
      </c>
      <c r="BB25" t="str">
        <f t="shared" si="18"/>
        <v/>
      </c>
      <c r="BD25" s="72">
        <v>106</v>
      </c>
      <c r="EC25">
        <v>106001</v>
      </c>
      <c r="ED25">
        <v>106002</v>
      </c>
      <c r="GQ25">
        <v>212003</v>
      </c>
    </row>
    <row r="26" spans="1:199" ht="34">
      <c r="A26">
        <f>'All Girls &amp; Descendants - Edit'!B25</f>
        <v>36</v>
      </c>
      <c r="B26" t="str">
        <f>'All Girls &amp; Descendants - Edit'!C25</f>
        <v>36e</v>
      </c>
      <c r="C26" t="str">
        <f>'All Girls &amp; Descendants - Edit'!D25</f>
        <v>COURTHOPE</v>
      </c>
      <c r="D26" t="str">
        <f>'All Girls &amp; Descendants - Edit'!E25</f>
        <v>Elinor</v>
      </c>
      <c r="E26" t="str">
        <f>IF('All Girls &amp; Descendants - Edit'!F25="","",'All Girls &amp; Descendants - Edit'!F25)</f>
        <v>Joan</v>
      </c>
      <c r="F26" t="str">
        <f>IF('All Girls &amp; Descendants - Edit'!G25="","",'All Girls &amp; Descendants - Edit'!G25)</f>
        <v/>
      </c>
      <c r="G26" t="str">
        <f>IF('All Girls &amp; Descendants - Edit'!H25="",D26,'All Girls &amp; Descendants - Edit'!H25)</f>
        <v>Elinor</v>
      </c>
      <c r="H26">
        <f>'All Girls &amp; Descendants - Edit'!I25</f>
        <v>1886</v>
      </c>
      <c r="I26">
        <f>'All Girls &amp; Descendants - Edit'!J25</f>
        <v>1974</v>
      </c>
      <c r="J26" s="101">
        <f>'All Girls &amp; Descendants - Edit'!K25</f>
        <v>0</v>
      </c>
      <c r="K26" s="3" t="str">
        <f>'All Girls &amp; Descendants - Edit'!L25</f>
        <v>03/06/1886</v>
      </c>
      <c r="L26" s="3" t="str">
        <f>'All Girls &amp; Descendants - Edit'!M25</f>
        <v>03/06/1886</v>
      </c>
      <c r="M26" s="3">
        <f>'All Girls &amp; Descendants - Edit'!N25</f>
        <v>0</v>
      </c>
      <c r="N26" s="3">
        <f>'All Girls &amp; Descendants - Edit'!O25</f>
        <v>27072</v>
      </c>
      <c r="O26" s="3" t="str">
        <f>'All Girls &amp; Descendants - Edit'!P25</f>
        <v>12/02/1974</v>
      </c>
      <c r="P26" t="str">
        <f t="shared" si="2"/>
        <v>36e</v>
      </c>
      <c r="Q26" s="116">
        <f t="shared" si="3"/>
        <v>1</v>
      </c>
      <c r="R26" s="31" t="str">
        <f t="shared" si="4"/>
        <v>Elinor Joan  COURTHOPE</v>
      </c>
      <c r="S26" t="str">
        <f t="shared" si="5"/>
        <v>Elinor COURTHOPE (1886 - 1974: #36e)</v>
      </c>
      <c r="U26" s="126">
        <f t="shared" si="1"/>
        <v>36005</v>
      </c>
      <c r="V26" t="str">
        <f t="shared" si="6"/>
        <v>36e</v>
      </c>
      <c r="W26" s="126">
        <f t="shared" si="24"/>
        <v>36</v>
      </c>
      <c r="X26" s="126" t="str">
        <f t="shared" si="7"/>
        <v>e</v>
      </c>
      <c r="Y26" s="116"/>
      <c r="Z26" s="116"/>
      <c r="AB26" s="116"/>
      <c r="AE26" s="116">
        <f t="shared" si="19"/>
        <v>0</v>
      </c>
      <c r="AF26" s="99">
        <f t="shared" si="20"/>
        <v>107</v>
      </c>
      <c r="AG26" s="116">
        <f t="shared" si="21"/>
        <v>5</v>
      </c>
      <c r="AH26" s="117" t="str">
        <f t="shared" si="25"/>
        <v>107a</v>
      </c>
      <c r="AI26" s="117" t="str">
        <f t="shared" si="27"/>
        <v>107b</v>
      </c>
      <c r="AJ26" s="117" t="str">
        <f>VLOOKUP(IF(ISNUMBER(SMALL($BE26:$GP26,AJ$3)),SMALL($BE26:$GP26,AJ$3),""),$U$4:$V$165,2,FALSE)</f>
        <v>107c</v>
      </c>
      <c r="AK26" s="117" t="str">
        <f>VLOOKUP(IF(ISNUMBER(SMALL($BE26:$GP26,AK$3)),SMALL($BE26:$GP26,AK$3),""),$U$4:$V$165,2,FALSE)</f>
        <v>107d</v>
      </c>
      <c r="AL26" s="117" t="str">
        <f>VLOOKUP(IF(ISNUMBER(SMALL($BE26:$GP26,AL$3)),SMALL($BE26:$GP26,AL$3),""),$U$4:$V$165,2,FALSE)</f>
        <v>107e</v>
      </c>
      <c r="AM26" s="117"/>
      <c r="AN26" s="117"/>
      <c r="AO26" s="117"/>
      <c r="AP26" s="117"/>
      <c r="AQ26" s="126">
        <f>VLOOKUP(AR26,'Loyd List 1-190 - Edit'!$P$2:$R$208,3,FALSE)</f>
        <v>76</v>
      </c>
      <c r="AR26" s="126">
        <f t="shared" si="9"/>
        <v>107</v>
      </c>
      <c r="AS26" s="126">
        <f t="shared" si="23"/>
        <v>5</v>
      </c>
      <c r="AT26" s="97" t="str">
        <f t="shared" si="10"/>
        <v xml:space="preserve">5 - Lorraine GRAHAM (1951 - : #107a) Nora ORR (1955 - : #107b) Michael ORR (1956 - : #107c) Ted ORR (1959 - : #107d) Heather ORR (1970 - : #107e)   </v>
      </c>
      <c r="AU26" t="str">
        <f t="shared" si="11"/>
        <v>Lorraine GRAHAM (1951 - : #107a)</v>
      </c>
      <c r="AV26" t="str">
        <f t="shared" si="12"/>
        <v>Nora ORR (1955 - : #107b)</v>
      </c>
      <c r="AW26" t="str">
        <f t="shared" si="13"/>
        <v>Michael ORR (1956 - : #107c)</v>
      </c>
      <c r="AX26" t="str">
        <f t="shared" si="14"/>
        <v>Ted ORR (1959 - : #107d)</v>
      </c>
      <c r="AY26" t="str">
        <f t="shared" si="15"/>
        <v>Heather ORR (1970 - : #107e)</v>
      </c>
      <c r="AZ26" t="str">
        <f t="shared" si="16"/>
        <v/>
      </c>
      <c r="BA26" t="str">
        <f t="shared" si="17"/>
        <v/>
      </c>
      <c r="BB26" t="str">
        <f t="shared" si="18"/>
        <v/>
      </c>
      <c r="BD26" s="72">
        <v>107</v>
      </c>
      <c r="EE26">
        <v>107001</v>
      </c>
      <c r="EF26">
        <v>107002</v>
      </c>
      <c r="EG26">
        <v>107003</v>
      </c>
      <c r="EH26">
        <v>107004</v>
      </c>
      <c r="EI26">
        <v>107005</v>
      </c>
      <c r="GQ26">
        <v>535015</v>
      </c>
    </row>
    <row r="27" spans="1:199" ht="34">
      <c r="A27">
        <f>'All Girls &amp; Descendants - Edit'!B26</f>
        <v>36</v>
      </c>
      <c r="B27" t="str">
        <f>'All Girls &amp; Descendants - Edit'!C26</f>
        <v>36f</v>
      </c>
      <c r="C27" t="str">
        <f>'All Girls &amp; Descendants - Edit'!D26</f>
        <v>COURTHOPE</v>
      </c>
      <c r="D27" t="str">
        <f>'All Girls &amp; Descendants - Edit'!E26</f>
        <v>Richard</v>
      </c>
      <c r="E27" t="str">
        <f>IF('All Girls &amp; Descendants - Edit'!F26="","",'All Girls &amp; Descendants - Edit'!F26)</f>
        <v>Foster</v>
      </c>
      <c r="F27" t="str">
        <f>IF('All Girls &amp; Descendants - Edit'!G26="","",'All Girls &amp; Descendants - Edit'!G26)</f>
        <v/>
      </c>
      <c r="G27" t="str">
        <f>IF('All Girls &amp; Descendants - Edit'!H26="",D27,'All Girls &amp; Descendants - Edit'!H26)</f>
        <v>Richard</v>
      </c>
      <c r="H27">
        <f>'All Girls &amp; Descendants - Edit'!I26</f>
        <v>1888</v>
      </c>
      <c r="I27">
        <f>'All Girls &amp; Descendants - Edit'!J26</f>
        <v>1889</v>
      </c>
      <c r="J27" s="101">
        <f>'All Girls &amp; Descendants - Edit'!K26</f>
        <v>0</v>
      </c>
      <c r="K27" s="3" t="str">
        <f>'All Girls &amp; Descendants - Edit'!L26</f>
        <v>21/10/1888</v>
      </c>
      <c r="L27" s="3" t="str">
        <f>'All Girls &amp; Descendants - Edit'!M26</f>
        <v>21/10/1888</v>
      </c>
      <c r="M27" s="3">
        <f>'All Girls &amp; Descendants - Edit'!N26</f>
        <v>0</v>
      </c>
      <c r="N27" s="3" t="str">
        <f>'All Girls &amp; Descendants - Edit'!O26</f>
        <v>28/05/1889</v>
      </c>
      <c r="O27" s="3" t="str">
        <f>'All Girls &amp; Descendants - Edit'!P26</f>
        <v>28/05/1889</v>
      </c>
      <c r="P27" t="str">
        <f t="shared" si="2"/>
        <v>36f</v>
      </c>
      <c r="Q27" s="116">
        <f t="shared" si="3"/>
        <v>1</v>
      </c>
      <c r="R27" s="31" t="str">
        <f t="shared" si="4"/>
        <v>Richard Foster  COURTHOPE</v>
      </c>
      <c r="S27" t="str">
        <f t="shared" si="5"/>
        <v>Richard COURTHOPE (1888 - 1889: #36f)</v>
      </c>
      <c r="U27" s="126">
        <f t="shared" si="1"/>
        <v>36006</v>
      </c>
      <c r="V27" t="str">
        <f t="shared" si="6"/>
        <v>36f</v>
      </c>
      <c r="W27" s="126">
        <f t="shared" si="24"/>
        <v>36</v>
      </c>
      <c r="X27" s="126" t="str">
        <f t="shared" si="7"/>
        <v>f</v>
      </c>
      <c r="Y27" s="116"/>
      <c r="Z27" s="116"/>
      <c r="AB27" s="116"/>
      <c r="AE27" s="116">
        <f t="shared" si="19"/>
        <v>0</v>
      </c>
      <c r="AF27" s="99">
        <f>BD27</f>
        <v>108</v>
      </c>
      <c r="AG27" s="116">
        <f t="shared" si="21"/>
        <v>4</v>
      </c>
      <c r="AH27" s="117" t="str">
        <f t="shared" si="25"/>
        <v>108a</v>
      </c>
      <c r="AI27" s="117" t="str">
        <f t="shared" si="27"/>
        <v>108b</v>
      </c>
      <c r="AJ27" s="117" t="str">
        <f>VLOOKUP(IF(ISNUMBER(SMALL($BE27:$GP27,AJ$3)),SMALL($BE27:$GP27,AJ$3),""),$U$4:$V$165,2,FALSE)</f>
        <v>108c</v>
      </c>
      <c r="AK27" s="117" t="str">
        <f>VLOOKUP(IF(ISNUMBER(SMALL($BE27:$GP27,AK$3)),SMALL($BE27:$GP27,AK$3),""),$U$4:$V$165,2,FALSE)</f>
        <v>108d</v>
      </c>
      <c r="AL27" s="117"/>
      <c r="AM27" s="117"/>
      <c r="AN27" s="117"/>
      <c r="AO27" s="117"/>
      <c r="AP27" s="117"/>
      <c r="AQ27" s="126">
        <f>VLOOKUP(AR27,'Loyd List 1-190 - Edit'!$P$2:$R$208,3,FALSE)</f>
        <v>55</v>
      </c>
      <c r="AR27" s="126">
        <f t="shared" si="9"/>
        <v>108</v>
      </c>
      <c r="AS27" s="126">
        <f t="shared" si="23"/>
        <v>4</v>
      </c>
      <c r="AT27" s="97" t="str">
        <f t="shared" si="10"/>
        <v xml:space="preserve">4 - Frances HOYLE (1953 - : #108a) Richard HOYLE (1956 - : #108b) David HOYLE (1961 - : #108c) Peter HOYLE (1963 - : #108d)    </v>
      </c>
      <c r="AU27" t="str">
        <f t="shared" si="11"/>
        <v>Frances HOYLE (1953 - : #108a)</v>
      </c>
      <c r="AV27" t="str">
        <f t="shared" si="12"/>
        <v>Richard HOYLE (1956 - : #108b)</v>
      </c>
      <c r="AW27" t="str">
        <f t="shared" si="13"/>
        <v>David HOYLE (1961 - : #108c)</v>
      </c>
      <c r="AX27" t="str">
        <f t="shared" si="14"/>
        <v>Peter HOYLE (1963 - : #108d)</v>
      </c>
      <c r="AY27" t="str">
        <f t="shared" si="15"/>
        <v/>
      </c>
      <c r="AZ27" t="str">
        <f t="shared" si="16"/>
        <v/>
      </c>
      <c r="BA27" t="str">
        <f t="shared" si="17"/>
        <v/>
      </c>
      <c r="BB27" t="str">
        <f t="shared" si="18"/>
        <v/>
      </c>
      <c r="BD27" s="72">
        <v>108</v>
      </c>
      <c r="EJ27">
        <v>108001</v>
      </c>
      <c r="EK27">
        <v>108002</v>
      </c>
      <c r="EL27">
        <v>108003</v>
      </c>
      <c r="EM27">
        <v>108004</v>
      </c>
      <c r="GQ27">
        <v>432010</v>
      </c>
    </row>
    <row r="28" spans="1:199" ht="17">
      <c r="A28">
        <f>'All Girls &amp; Descendants - Edit'!B27</f>
        <v>36</v>
      </c>
      <c r="B28" t="str">
        <f>'All Girls &amp; Descendants - Edit'!C27</f>
        <v>36g</v>
      </c>
      <c r="C28" t="str">
        <f>'All Girls &amp; Descendants - Edit'!D27</f>
        <v>COURTHOPE</v>
      </c>
      <c r="D28" t="str">
        <f>'All Girls &amp; Descendants - Edit'!E27</f>
        <v>Robert</v>
      </c>
      <c r="E28" t="str">
        <f>IF('All Girls &amp; Descendants - Edit'!F27="","",'All Girls &amp; Descendants - Edit'!F27)</f>
        <v/>
      </c>
      <c r="F28" t="str">
        <f>IF('All Girls &amp; Descendants - Edit'!G27="","",'All Girls &amp; Descendants - Edit'!G27)</f>
        <v/>
      </c>
      <c r="G28" t="str">
        <f>IF('All Girls &amp; Descendants - Edit'!H27="",D28,'All Girls &amp; Descendants - Edit'!H27)</f>
        <v>Robert</v>
      </c>
      <c r="H28">
        <f>'All Girls &amp; Descendants - Edit'!I27</f>
        <v>1891</v>
      </c>
      <c r="I28">
        <f>'All Girls &amp; Descendants - Edit'!J27</f>
        <v>1966</v>
      </c>
      <c r="J28" s="101">
        <f>'All Girls &amp; Descendants - Edit'!K27</f>
        <v>0</v>
      </c>
      <c r="K28" s="3" t="str">
        <f>'All Girls &amp; Descendants - Edit'!L27</f>
        <v>15/03/1891</v>
      </c>
      <c r="L28" s="3" t="str">
        <f>'All Girls &amp; Descendants - Edit'!M27</f>
        <v>15/03/1891</v>
      </c>
      <c r="M28" s="3">
        <f>'All Girls &amp; Descendants - Edit'!N27</f>
        <v>0</v>
      </c>
      <c r="N28" s="3">
        <f>'All Girls &amp; Descendants - Edit'!O27</f>
        <v>24198</v>
      </c>
      <c r="O28" s="3" t="str">
        <f>'All Girls &amp; Descendants - Edit'!P27</f>
        <v>01/04/1966</v>
      </c>
      <c r="P28" t="str">
        <f t="shared" si="2"/>
        <v>36g</v>
      </c>
      <c r="Q28" s="116">
        <f t="shared" si="3"/>
        <v>1</v>
      </c>
      <c r="R28" s="31" t="str">
        <f t="shared" si="4"/>
        <v>Robert   COURTHOPE</v>
      </c>
      <c r="S28" t="str">
        <f t="shared" si="5"/>
        <v>Robert COURTHOPE (1891 - 1966: #36g)</v>
      </c>
      <c r="U28" s="126">
        <f t="shared" si="1"/>
        <v>36007</v>
      </c>
      <c r="V28" t="str">
        <f t="shared" si="6"/>
        <v>36g</v>
      </c>
      <c r="W28" s="126">
        <f t="shared" si="24"/>
        <v>36</v>
      </c>
      <c r="X28" s="126" t="str">
        <f t="shared" si="7"/>
        <v>g</v>
      </c>
      <c r="Y28" s="116"/>
      <c r="Z28" s="116"/>
      <c r="AB28" s="116"/>
      <c r="AE28" s="116">
        <f t="shared" si="19"/>
        <v>0</v>
      </c>
      <c r="AF28" s="99">
        <f t="shared" si="20"/>
        <v>109</v>
      </c>
      <c r="AG28" s="116">
        <f t="shared" si="21"/>
        <v>2</v>
      </c>
      <c r="AH28" s="117" t="str">
        <f t="shared" si="25"/>
        <v>109a</v>
      </c>
      <c r="AI28" s="117" t="str">
        <f t="shared" si="27"/>
        <v>109b</v>
      </c>
      <c r="AJ28" s="117"/>
      <c r="AK28" s="117"/>
      <c r="AL28" s="117"/>
      <c r="AM28" s="117"/>
      <c r="AN28" s="117"/>
      <c r="AO28" s="117"/>
      <c r="AP28" s="117"/>
      <c r="AQ28" s="126">
        <f>VLOOKUP(AR28,'Loyd List 1-190 - Edit'!$P$2:$R$208,3,FALSE)</f>
        <v>80</v>
      </c>
      <c r="AR28" s="126">
        <f t="shared" si="9"/>
        <v>109</v>
      </c>
      <c r="AS28" s="126">
        <f t="shared" si="23"/>
        <v>2</v>
      </c>
      <c r="AT28" s="97" t="str">
        <f t="shared" si="10"/>
        <v xml:space="preserve">2 - Jennet WALTON (1964 - : #109a) Timothy WALTON (1967 - : #109b)      </v>
      </c>
      <c r="AU28" t="str">
        <f t="shared" ref="AU28:AV35" si="29">IF(AH28&lt;&gt;"",VLOOKUP(AH28,$P$3:$T$451,4,FALSE),"")</f>
        <v>Jennet WALTON (1964 - : #109a)</v>
      </c>
      <c r="AV28" t="str">
        <f t="shared" si="29"/>
        <v>Timothy WALTON (1967 - : #109b)</v>
      </c>
      <c r="AY28" t="str">
        <f t="shared" ref="AY28:BB34" si="30">IF(AL28&lt;&gt;"",VLOOKUP(AL28,$P$3:$T$451,4,FALSE),"")</f>
        <v/>
      </c>
      <c r="AZ28" t="str">
        <f t="shared" si="30"/>
        <v/>
      </c>
      <c r="BA28" t="str">
        <f t="shared" si="30"/>
        <v/>
      </c>
      <c r="BB28" t="str">
        <f t="shared" si="30"/>
        <v/>
      </c>
      <c r="BD28" s="72">
        <v>109</v>
      </c>
      <c r="EN28">
        <v>109001</v>
      </c>
      <c r="EO28">
        <v>109002</v>
      </c>
      <c r="GQ28">
        <v>218003</v>
      </c>
    </row>
    <row r="29" spans="1:199" ht="34">
      <c r="A29">
        <f>'All Girls &amp; Descendants - Edit'!B28</f>
        <v>36</v>
      </c>
      <c r="B29" t="str">
        <f>'All Girls &amp; Descendants - Edit'!C28</f>
        <v>36h</v>
      </c>
      <c r="C29" t="str">
        <f>'All Girls &amp; Descendants - Edit'!D28</f>
        <v>COURTHOPE</v>
      </c>
      <c r="D29" t="str">
        <f>'All Girls &amp; Descendants - Edit'!E28</f>
        <v>Margery</v>
      </c>
      <c r="E29" t="str">
        <f>IF('All Girls &amp; Descendants - Edit'!F28="","",'All Girls &amp; Descendants - Edit'!F28)</f>
        <v/>
      </c>
      <c r="F29" t="str">
        <f>IF('All Girls &amp; Descendants - Edit'!G28="","",'All Girls &amp; Descendants - Edit'!G28)</f>
        <v/>
      </c>
      <c r="G29" t="str">
        <f>IF('All Girls &amp; Descendants - Edit'!H28="",D29,'All Girls &amp; Descendants - Edit'!H28)</f>
        <v>Margery</v>
      </c>
      <c r="H29">
        <f>'All Girls &amp; Descendants - Edit'!I28</f>
        <v>1893</v>
      </c>
      <c r="I29">
        <f>'All Girls &amp; Descendants - Edit'!J28</f>
        <v>1901</v>
      </c>
      <c r="J29" s="101">
        <f>'All Girls &amp; Descendants - Edit'!K28</f>
        <v>0</v>
      </c>
      <c r="K29" s="3" t="str">
        <f>'All Girls &amp; Descendants - Edit'!L28</f>
        <v>29/03/1893</v>
      </c>
      <c r="L29" s="3" t="str">
        <f>'All Girls &amp; Descendants - Edit'!M28</f>
        <v>29/03/1893</v>
      </c>
      <c r="M29" s="3">
        <f>'All Girls &amp; Descendants - Edit'!N28</f>
        <v>0</v>
      </c>
      <c r="N29" s="3">
        <f>'All Girls &amp; Descendants - Edit'!O28</f>
        <v>710</v>
      </c>
      <c r="O29" s="3" t="str">
        <f>'All Girls &amp; Descendants - Edit'!P28</f>
        <v>10/12/1901</v>
      </c>
      <c r="P29" t="str">
        <f t="shared" si="2"/>
        <v>36h</v>
      </c>
      <c r="Q29" s="116">
        <f t="shared" si="3"/>
        <v>1</v>
      </c>
      <c r="R29" s="31" t="str">
        <f t="shared" si="4"/>
        <v>Margery   COURTHOPE</v>
      </c>
      <c r="S29" t="str">
        <f t="shared" si="5"/>
        <v>Margery COURTHOPE (1893 - 1901: #36h)</v>
      </c>
      <c r="U29" s="126">
        <f t="shared" si="1"/>
        <v>36008</v>
      </c>
      <c r="V29" t="str">
        <f t="shared" si="6"/>
        <v>36h</v>
      </c>
      <c r="W29" s="126">
        <f t="shared" si="24"/>
        <v>36</v>
      </c>
      <c r="X29" s="126" t="str">
        <f t="shared" si="7"/>
        <v>h</v>
      </c>
      <c r="Y29" s="116"/>
      <c r="Z29" s="116"/>
      <c r="AB29" s="116"/>
      <c r="AE29" s="116">
        <f t="shared" si="19"/>
        <v>0</v>
      </c>
      <c r="AF29" s="99">
        <f t="shared" si="20"/>
        <v>110</v>
      </c>
      <c r="AG29" s="116">
        <f t="shared" si="21"/>
        <v>4</v>
      </c>
      <c r="AH29" s="117" t="str">
        <f t="shared" si="25"/>
        <v>110a</v>
      </c>
      <c r="AI29" s="117" t="str">
        <f t="shared" si="27"/>
        <v>110b</v>
      </c>
      <c r="AJ29" s="117" t="str">
        <f t="shared" ref="AJ29:AK31" si="31">VLOOKUP(IF(ISNUMBER(SMALL($BE29:$GP29,AJ$3)),SMALL($BE29:$GP29,AJ$3),""),$U$4:$V$165,2,FALSE)</f>
        <v>110c</v>
      </c>
      <c r="AK29" s="117" t="str">
        <f t="shared" si="31"/>
        <v>110d</v>
      </c>
      <c r="AL29" s="117"/>
      <c r="AM29" s="117"/>
      <c r="AN29" s="117"/>
      <c r="AO29" s="117"/>
      <c r="AP29" s="117"/>
      <c r="AQ29" s="126">
        <f>VLOOKUP(AR29,'Loyd List 1-190 - Edit'!$P$2:$R$208,3,FALSE)</f>
        <v>80</v>
      </c>
      <c r="AR29" s="126">
        <f t="shared" si="9"/>
        <v>110</v>
      </c>
      <c r="AS29" s="126">
        <f t="shared" si="23"/>
        <v>4</v>
      </c>
      <c r="AT29" s="97" t="str">
        <f t="shared" si="10"/>
        <v xml:space="preserve">4 - John BOYCE (1961 - : #110a) Joanna BOYCE (1963 - : #110b) Robert BOYCE (1964 - : #110c) Paula BOYCE (1966 - : #110d)    </v>
      </c>
      <c r="AU29" t="str">
        <f t="shared" si="29"/>
        <v>John BOYCE (1961 - : #110a)</v>
      </c>
      <c r="AV29" t="str">
        <f t="shared" si="29"/>
        <v>Joanna BOYCE (1963 - : #110b)</v>
      </c>
      <c r="AW29" t="str">
        <f t="shared" ref="AW29:AX34" si="32">IF(AJ29&lt;&gt;"",VLOOKUP(AJ29,$P$3:$T$451,4,FALSE),"")</f>
        <v>Robert BOYCE (1964 - : #110c)</v>
      </c>
      <c r="AX29" t="str">
        <f t="shared" si="32"/>
        <v>Paula BOYCE (1966 - : #110d)</v>
      </c>
      <c r="AY29" t="str">
        <f t="shared" si="30"/>
        <v/>
      </c>
      <c r="AZ29" t="str">
        <f t="shared" si="30"/>
        <v/>
      </c>
      <c r="BA29" t="str">
        <f t="shared" si="30"/>
        <v/>
      </c>
      <c r="BB29" t="str">
        <f t="shared" si="30"/>
        <v/>
      </c>
      <c r="BD29" s="72">
        <v>110</v>
      </c>
      <c r="EP29">
        <v>110001</v>
      </c>
      <c r="EQ29">
        <v>110002</v>
      </c>
      <c r="ER29">
        <v>110003</v>
      </c>
      <c r="ES29">
        <v>110004</v>
      </c>
      <c r="GQ29">
        <v>440010</v>
      </c>
    </row>
    <row r="30" spans="1:199" ht="34">
      <c r="A30">
        <f>'All Girls &amp; Descendants - Edit'!B29</f>
        <v>42</v>
      </c>
      <c r="B30" t="str">
        <f>'All Girls &amp; Descendants - Edit'!C29</f>
        <v>42a</v>
      </c>
      <c r="C30" t="str">
        <f>'All Girls &amp; Descendants - Edit'!D29</f>
        <v>GODDARD</v>
      </c>
      <c r="D30" t="str">
        <f>'All Girls &amp; Descendants - Edit'!E29</f>
        <v>Ambrose</v>
      </c>
      <c r="E30" t="str">
        <f>IF('All Girls &amp; Descendants - Edit'!F29="","",'All Girls &amp; Descendants - Edit'!F29)</f>
        <v>William</v>
      </c>
      <c r="F30" t="str">
        <f>IF('All Girls &amp; Descendants - Edit'!G29="","",'All Girls &amp; Descendants - Edit'!G29)</f>
        <v/>
      </c>
      <c r="G30" t="str">
        <f>IF('All Girls &amp; Descendants - Edit'!H29="",D30,'All Girls &amp; Descendants - Edit'!H29)</f>
        <v>Ambrose</v>
      </c>
      <c r="H30">
        <f>'All Girls &amp; Descendants - Edit'!I29</f>
        <v>1892</v>
      </c>
      <c r="I30" t="str">
        <f>'All Girls &amp; Descendants - Edit'!J29</f>
        <v/>
      </c>
      <c r="J30" s="101">
        <f>'All Girls &amp; Descendants - Edit'!K29</f>
        <v>0</v>
      </c>
      <c r="K30" s="3" t="str">
        <f>'All Girls &amp; Descendants - Edit'!L29</f>
        <v>13/03/1892</v>
      </c>
      <c r="L30" s="3" t="str">
        <f>'All Girls &amp; Descendants - Edit'!M29</f>
        <v>13/03/1892</v>
      </c>
      <c r="M30" s="3">
        <f>'All Girls &amp; Descendants - Edit'!N29</f>
        <v>8333</v>
      </c>
      <c r="N30" s="3">
        <f>'All Girls &amp; Descendants - Edit'!O29</f>
        <v>0</v>
      </c>
      <c r="O30" s="3" t="str">
        <f>'All Girls &amp; Descendants - Edit'!P29</f>
        <v/>
      </c>
      <c r="P30" t="str">
        <f t="shared" si="2"/>
        <v>42a</v>
      </c>
      <c r="Q30" s="116">
        <f t="shared" si="3"/>
        <v>1</v>
      </c>
      <c r="R30" s="31" t="str">
        <f t="shared" si="4"/>
        <v>Ambrose William  GODDARD</v>
      </c>
      <c r="S30" t="str">
        <f t="shared" si="5"/>
        <v>Ambrose GODDARD (1892 - : #42a)</v>
      </c>
      <c r="U30" s="126">
        <f t="shared" si="1"/>
        <v>42001</v>
      </c>
      <c r="V30" t="str">
        <f t="shared" si="6"/>
        <v>42a</v>
      </c>
      <c r="W30" s="126">
        <f t="shared" si="24"/>
        <v>42</v>
      </c>
      <c r="X30" s="126" t="str">
        <f t="shared" si="7"/>
        <v>a</v>
      </c>
      <c r="Y30" s="116"/>
      <c r="Z30" s="116"/>
      <c r="AB30" s="116"/>
      <c r="AE30" s="116">
        <f t="shared" si="19"/>
        <v>0</v>
      </c>
      <c r="AF30" s="99">
        <f t="shared" si="20"/>
        <v>112</v>
      </c>
      <c r="AG30" s="116">
        <f t="shared" si="21"/>
        <v>4</v>
      </c>
      <c r="AH30" s="117" t="str">
        <f t="shared" si="25"/>
        <v>112a</v>
      </c>
      <c r="AI30" s="117" t="str">
        <f t="shared" si="27"/>
        <v>112b</v>
      </c>
      <c r="AJ30" s="117" t="str">
        <f t="shared" si="31"/>
        <v>112c</v>
      </c>
      <c r="AK30" s="117" t="str">
        <f t="shared" si="31"/>
        <v>112d</v>
      </c>
      <c r="AL30" s="117"/>
      <c r="AM30" s="117"/>
      <c r="AN30" s="117"/>
      <c r="AO30" s="117"/>
      <c r="AP30" s="117"/>
      <c r="AQ30" s="126">
        <f>VLOOKUP(AR30,'Loyd List 1-190 - Edit'!$P$2:$R$208,3,FALSE)</f>
        <v>55</v>
      </c>
      <c r="AR30" s="126">
        <f t="shared" si="9"/>
        <v>112</v>
      </c>
      <c r="AS30" s="126">
        <f t="shared" si="23"/>
        <v>4</v>
      </c>
      <c r="AT30" s="97" t="str">
        <f t="shared" si="10"/>
        <v xml:space="preserve">4 - Kevin DOWNES (1958 - : #112a) Lynda DOWNES (1960 - : #112b) Graeme DOWNES (1961 - : #112c) Lesley DOWNES (1963 - : #112d)    </v>
      </c>
      <c r="AU30" t="str">
        <f t="shared" si="29"/>
        <v>Kevin DOWNES (1958 - : #112a)</v>
      </c>
      <c r="AV30" t="str">
        <f t="shared" si="29"/>
        <v>Lynda DOWNES (1960 - : #112b)</v>
      </c>
      <c r="AW30" t="str">
        <f t="shared" si="32"/>
        <v>Graeme DOWNES (1961 - : #112c)</v>
      </c>
      <c r="AX30" t="str">
        <f t="shared" si="32"/>
        <v>Lesley DOWNES (1963 - : #112d)</v>
      </c>
      <c r="AY30" t="str">
        <f t="shared" si="30"/>
        <v/>
      </c>
      <c r="AZ30" t="str">
        <f t="shared" si="30"/>
        <v/>
      </c>
      <c r="BA30" t="str">
        <f t="shared" si="30"/>
        <v/>
      </c>
      <c r="BB30" t="str">
        <f t="shared" si="30"/>
        <v/>
      </c>
      <c r="BD30" s="72">
        <v>112</v>
      </c>
      <c r="ET30">
        <v>112001</v>
      </c>
      <c r="EU30">
        <v>112002</v>
      </c>
      <c r="EV30">
        <v>112003</v>
      </c>
      <c r="EW30">
        <v>112004</v>
      </c>
      <c r="GQ30">
        <v>448010</v>
      </c>
    </row>
    <row r="31" spans="1:199" ht="51">
      <c r="A31">
        <f>'All Girls &amp; Descendants - Edit'!B30</f>
        <v>47</v>
      </c>
      <c r="B31" t="str">
        <f>'All Girls &amp; Descendants - Edit'!C30</f>
        <v>47a</v>
      </c>
      <c r="C31" t="str">
        <f>'All Girls &amp; Descendants - Edit'!D30</f>
        <v>HARDCASTLE</v>
      </c>
      <c r="D31" t="str">
        <f>'All Girls &amp; Descendants - Edit'!E30</f>
        <v>Alfred</v>
      </c>
      <c r="E31" t="str">
        <f>IF('All Girls &amp; Descendants - Edit'!F30="","",'All Girls &amp; Descendants - Edit'!F30)</f>
        <v>Edward</v>
      </c>
      <c r="F31" t="str">
        <f>IF('All Girls &amp; Descendants - Edit'!G30="","",'All Girls &amp; Descendants - Edit'!G30)</f>
        <v>Loyd</v>
      </c>
      <c r="G31" t="str">
        <f>IF('All Girls &amp; Descendants - Edit'!H30="",D31,'All Girls &amp; Descendants - Edit'!H30)</f>
        <v>Loyd</v>
      </c>
      <c r="H31">
        <f>'All Girls &amp; Descendants - Edit'!I30</f>
        <v>1893</v>
      </c>
      <c r="I31">
        <f>'All Girls &amp; Descendants - Edit'!J30</f>
        <v>1955</v>
      </c>
      <c r="J31" s="101">
        <f>'All Girls &amp; Descendants - Edit'!K30</f>
        <v>0</v>
      </c>
      <c r="K31" s="3" t="str">
        <f>'All Girls &amp; Descendants - Edit'!L30</f>
        <v>06/06/1893</v>
      </c>
      <c r="L31" s="3" t="str">
        <f>'All Girls &amp; Descendants - Edit'!M30</f>
        <v>06/06/1893</v>
      </c>
      <c r="M31" s="3">
        <f>'All Girls &amp; Descendants - Edit'!N30</f>
        <v>7824</v>
      </c>
      <c r="N31" s="3">
        <f>'All Girls &amp; Descendants - Edit'!O30</f>
        <v>20111</v>
      </c>
      <c r="O31" s="3" t="str">
        <f>'All Girls &amp; Descendants - Edit'!P30</f>
        <v>22/01/1955</v>
      </c>
      <c r="P31" t="str">
        <f t="shared" si="2"/>
        <v>47a</v>
      </c>
      <c r="Q31" s="116">
        <f t="shared" si="3"/>
        <v>1</v>
      </c>
      <c r="R31" s="31" t="str">
        <f t="shared" si="4"/>
        <v>Alfred Edward Loyd HARDCASTLE</v>
      </c>
      <c r="S31" t="str">
        <f t="shared" si="5"/>
        <v>Loyd HARDCASTLE (1893 - 1955: #47a)</v>
      </c>
      <c r="U31" s="126">
        <f t="shared" si="1"/>
        <v>47001</v>
      </c>
      <c r="V31" t="str">
        <f t="shared" si="6"/>
        <v>47a</v>
      </c>
      <c r="W31" s="126">
        <f t="shared" si="24"/>
        <v>47</v>
      </c>
      <c r="X31" s="126" t="str">
        <f t="shared" si="7"/>
        <v>a</v>
      </c>
      <c r="Y31" s="116"/>
      <c r="Z31" s="116"/>
      <c r="AB31" s="116"/>
      <c r="AE31" s="116">
        <f t="shared" si="19"/>
        <v>0</v>
      </c>
      <c r="AF31" s="99">
        <f t="shared" si="20"/>
        <v>115</v>
      </c>
      <c r="AG31" s="116">
        <f t="shared" si="21"/>
        <v>5</v>
      </c>
      <c r="AH31" s="117" t="str">
        <f t="shared" si="25"/>
        <v>115a</v>
      </c>
      <c r="AI31" s="117" t="str">
        <f t="shared" si="27"/>
        <v>115b</v>
      </c>
      <c r="AJ31" s="117" t="str">
        <f t="shared" si="31"/>
        <v>115c</v>
      </c>
      <c r="AK31" s="117" t="str">
        <f t="shared" si="31"/>
        <v>115d</v>
      </c>
      <c r="AL31" s="117" t="str">
        <f>VLOOKUP(IF(ISNUMBER(SMALL($BE31:$GP31,AL$3)),SMALL($BE31:$GP31,AL$3),""),$U$4:$V$165,2,FALSE)</f>
        <v>115e</v>
      </c>
      <c r="AM31" s="117"/>
      <c r="AN31" s="117"/>
      <c r="AO31" s="117"/>
      <c r="AP31" s="117"/>
      <c r="AQ31" s="126">
        <f>VLOOKUP(AR31,'Loyd List 1-190 - Edit'!$P$2:$R$208,3,FALSE)</f>
        <v>78</v>
      </c>
      <c r="AR31" s="126">
        <f t="shared" si="9"/>
        <v>115</v>
      </c>
      <c r="AS31" s="126">
        <f t="shared" si="23"/>
        <v>5</v>
      </c>
      <c r="AT31" s="97" t="str">
        <f t="shared" si="10"/>
        <v xml:space="preserve">5 - The Hon Isabel CROSSLEY (1964 - : #115a) The Hon Camilla CROSSLEY (1967 - : #115b) The Hon Alicia CROSSLEY (1969 - : #115c) The Hon Hugh CROSSLEY (1971 - : #115d) The Hon Bridget CROSSLEY (1974 - : #115e)   </v>
      </c>
      <c r="AU31" t="str">
        <f t="shared" si="29"/>
        <v>The Hon Isabel CROSSLEY (1964 - : #115a)</v>
      </c>
      <c r="AV31" t="str">
        <f t="shared" si="29"/>
        <v>The Hon Camilla CROSSLEY (1967 - : #115b)</v>
      </c>
      <c r="AW31" t="str">
        <f t="shared" si="32"/>
        <v>The Hon Alicia CROSSLEY (1969 - : #115c)</v>
      </c>
      <c r="AX31" t="str">
        <f t="shared" si="32"/>
        <v>The Hon Hugh CROSSLEY (1971 - : #115d)</v>
      </c>
      <c r="AY31" t="str">
        <f t="shared" si="30"/>
        <v>The Hon Bridget CROSSLEY (1974 - : #115e)</v>
      </c>
      <c r="AZ31" t="str">
        <f t="shared" si="30"/>
        <v/>
      </c>
      <c r="BA31" t="str">
        <f t="shared" si="30"/>
        <v/>
      </c>
      <c r="BB31" t="str">
        <f t="shared" si="30"/>
        <v/>
      </c>
      <c r="BD31" s="72">
        <v>115</v>
      </c>
      <c r="EX31">
        <v>115001</v>
      </c>
      <c r="EY31">
        <v>115002</v>
      </c>
      <c r="EZ31">
        <v>115003</v>
      </c>
      <c r="FA31">
        <v>115004</v>
      </c>
      <c r="FB31">
        <v>115005</v>
      </c>
      <c r="GQ31">
        <v>575015</v>
      </c>
    </row>
    <row r="32" spans="1:199" ht="17">
      <c r="A32">
        <f>'All Girls &amp; Descendants - Edit'!B31</f>
        <v>47</v>
      </c>
      <c r="B32" t="str">
        <f>'All Girls &amp; Descendants - Edit'!C31</f>
        <v>47b</v>
      </c>
      <c r="C32" t="str">
        <f>'All Girls &amp; Descendants - Edit'!D31</f>
        <v>HARDCASTLE</v>
      </c>
      <c r="D32" t="str">
        <f>'All Girls &amp; Descendants - Edit'!E31</f>
        <v>Canon Joseph</v>
      </c>
      <c r="E32" t="str">
        <f>IF('All Girls &amp; Descendants - Edit'!F31="","",'All Girls &amp; Descendants - Edit'!F31)</f>
        <v>Anthony</v>
      </c>
      <c r="F32" t="str">
        <f>IF('All Girls &amp; Descendants - Edit'!G31="","",'All Girls &amp; Descendants - Edit'!G31)</f>
        <v>Loyd</v>
      </c>
      <c r="G32" t="str">
        <f>IF('All Girls &amp; Descendants - Edit'!H31="",D32,'All Girls &amp; Descendants - Edit'!H31)</f>
        <v>Canon Joseph</v>
      </c>
      <c r="H32">
        <f>'All Girls &amp; Descendants - Edit'!I31</f>
        <v>1899</v>
      </c>
      <c r="I32">
        <f>'All Girls &amp; Descendants - Edit'!J31</f>
        <v>1972</v>
      </c>
      <c r="J32" s="101">
        <f>'All Girls &amp; Descendants - Edit'!K31</f>
        <v>0</v>
      </c>
      <c r="K32" s="3" t="str">
        <f>'All Girls &amp; Descendants - Edit'!L31</f>
        <v>19/07/1899</v>
      </c>
      <c r="L32" s="3" t="str">
        <f>'All Girls &amp; Descendants - Edit'!M31</f>
        <v>19/07/1899</v>
      </c>
      <c r="M32" s="3">
        <f>'All Girls &amp; Descendants - Edit'!N31</f>
        <v>14626</v>
      </c>
      <c r="N32" s="3">
        <f>'All Girls &amp; Descendants - Edit'!O31</f>
        <v>26646</v>
      </c>
      <c r="O32" s="3" t="str">
        <f>'All Girls &amp; Descendants - Edit'!P31</f>
        <v>13/12/1972</v>
      </c>
      <c r="P32" t="str">
        <f t="shared" si="2"/>
        <v>47b</v>
      </c>
      <c r="Q32" s="116">
        <f t="shared" si="3"/>
        <v>1</v>
      </c>
      <c r="R32" s="31" t="str">
        <f t="shared" si="4"/>
        <v>Canon Joseph Anthony Loyd HARDCASTLE</v>
      </c>
      <c r="S32" t="str">
        <f t="shared" si="5"/>
        <v>Canon Joseph HARDCASTLE (1899 - 1972: #47b)</v>
      </c>
      <c r="U32" s="126">
        <f t="shared" si="1"/>
        <v>47002</v>
      </c>
      <c r="V32" t="str">
        <f t="shared" si="6"/>
        <v>47b</v>
      </c>
      <c r="W32" s="126">
        <f t="shared" si="24"/>
        <v>47</v>
      </c>
      <c r="X32" s="126" t="str">
        <f t="shared" si="7"/>
        <v>b</v>
      </c>
      <c r="Y32" s="116"/>
      <c r="Z32" s="116"/>
      <c r="AB32" s="116"/>
      <c r="AE32" s="116">
        <f t="shared" si="19"/>
        <v>0</v>
      </c>
      <c r="AF32" s="99">
        <f t="shared" si="20"/>
        <v>116</v>
      </c>
      <c r="AG32" s="116">
        <f t="shared" si="21"/>
        <v>3</v>
      </c>
      <c r="AH32" s="117" t="str">
        <f t="shared" si="25"/>
        <v>116a</v>
      </c>
      <c r="AI32" s="117" t="str">
        <f t="shared" si="27"/>
        <v>116b</v>
      </c>
      <c r="AJ32" s="117" t="str">
        <f>VLOOKUP(IF(ISNUMBER(SMALL($BE32:$GP32,AJ$3)),SMALL($BE32:$GP32,AJ$3),""),$U$4:$V$165,2,FALSE)</f>
        <v>116c</v>
      </c>
      <c r="AK32" s="117"/>
      <c r="AL32" s="117"/>
      <c r="AM32" s="117"/>
      <c r="AN32" s="117"/>
      <c r="AO32" s="117"/>
      <c r="AP32" s="117"/>
      <c r="AQ32" s="126">
        <f>VLOOKUP(AR32,'Loyd List 1-190 - Edit'!$P$2:$R$208,3,FALSE)</f>
        <v>55</v>
      </c>
      <c r="AR32" s="126">
        <f t="shared" si="9"/>
        <v>116</v>
      </c>
      <c r="AS32" s="126">
        <f t="shared" si="23"/>
        <v>3</v>
      </c>
      <c r="AT32" s="97" t="str">
        <f t="shared" si="10"/>
        <v xml:space="preserve">3 - Carl CLULOW (1970 - 1970: #116a) Kate CLULOW (1971 - : #116b) Clare CLULOW (1973 - : #116c)     </v>
      </c>
      <c r="AU32" t="str">
        <f t="shared" si="29"/>
        <v>Carl CLULOW (1970 - 1970: #116a)</v>
      </c>
      <c r="AV32" t="str">
        <f t="shared" si="29"/>
        <v>Kate CLULOW (1971 - : #116b)</v>
      </c>
      <c r="AW32" t="str">
        <f t="shared" si="32"/>
        <v>Clare CLULOW (1973 - : #116c)</v>
      </c>
      <c r="AX32" t="str">
        <f t="shared" si="32"/>
        <v/>
      </c>
      <c r="AY32" t="str">
        <f t="shared" si="30"/>
        <v/>
      </c>
      <c r="AZ32" t="str">
        <f t="shared" si="30"/>
        <v/>
      </c>
      <c r="BA32" t="str">
        <f t="shared" si="30"/>
        <v/>
      </c>
      <c r="BB32" t="str">
        <f t="shared" si="30"/>
        <v/>
      </c>
      <c r="BD32" s="72">
        <v>116</v>
      </c>
      <c r="FC32">
        <v>116001</v>
      </c>
      <c r="FD32">
        <v>116002</v>
      </c>
      <c r="FE32">
        <v>116003</v>
      </c>
      <c r="GQ32">
        <v>348006</v>
      </c>
    </row>
    <row r="33" spans="1:199" ht="17">
      <c r="A33">
        <f>'All Girls &amp; Descendants - Edit'!B32</f>
        <v>48</v>
      </c>
      <c r="B33" t="str">
        <f>'All Girls &amp; Descendants - Edit'!C32</f>
        <v>48a</v>
      </c>
      <c r="C33" t="str">
        <f>'All Girls &amp; Descendants - Edit'!D32</f>
        <v>D'OYLY</v>
      </c>
      <c r="D33" t="str">
        <f>'All Girls &amp; Descendants - Edit'!E32</f>
        <v>Louisa</v>
      </c>
      <c r="E33" t="str">
        <f>IF('All Girls &amp; Descendants - Edit'!F32="","",'All Girls &amp; Descendants - Edit'!F32)</f>
        <v>Mabell</v>
      </c>
      <c r="F33" t="str">
        <f>IF('All Girls &amp; Descendants - Edit'!G32="","",'All Girls &amp; Descendants - Edit'!G32)</f>
        <v/>
      </c>
      <c r="G33" t="str">
        <f>IF('All Girls &amp; Descendants - Edit'!H32="",D33,'All Girls &amp; Descendants - Edit'!H32)</f>
        <v>Mabell</v>
      </c>
      <c r="H33">
        <f>'All Girls &amp; Descendants - Edit'!I32</f>
        <v>1904</v>
      </c>
      <c r="I33">
        <f>'All Girls &amp; Descendants - Edit'!J32</f>
        <v>1983</v>
      </c>
      <c r="J33" s="101">
        <f>'All Girls &amp; Descendants - Edit'!K32</f>
        <v>0</v>
      </c>
      <c r="K33" s="3" t="str">
        <f>'All Girls &amp; Descendants - Edit'!L32</f>
        <v>15/06/1904</v>
      </c>
      <c r="L33" s="3">
        <f>'All Girls &amp; Descendants - Edit'!M32</f>
        <v>1628</v>
      </c>
      <c r="M33" s="3" t="str">
        <f>'All Girls &amp; Descendants - Edit'!N32</f>
        <v>Unmarried</v>
      </c>
      <c r="N33" s="3">
        <f>'All Girls &amp; Descendants - Edit'!O32</f>
        <v>30447</v>
      </c>
      <c r="O33" s="3" t="str">
        <f>'All Girls &amp; Descendants - Edit'!P32</f>
        <v>11/05/1983</v>
      </c>
      <c r="P33" t="str">
        <f t="shared" si="2"/>
        <v>48a</v>
      </c>
      <c r="Q33" s="116">
        <f t="shared" si="3"/>
        <v>1</v>
      </c>
      <c r="R33" s="31" t="str">
        <f t="shared" si="4"/>
        <v>Louisa Mabell  D'OYLY</v>
      </c>
      <c r="S33" t="str">
        <f t="shared" si="5"/>
        <v>Mabell D'OYLY (1904 - 1983: #48a)</v>
      </c>
      <c r="U33" s="126">
        <f t="shared" si="1"/>
        <v>48001</v>
      </c>
      <c r="V33" t="str">
        <f t="shared" si="6"/>
        <v>48a</v>
      </c>
      <c r="W33" s="126">
        <f t="shared" si="24"/>
        <v>48</v>
      </c>
      <c r="X33" s="126" t="str">
        <f t="shared" si="7"/>
        <v>a</v>
      </c>
      <c r="Y33" s="116"/>
      <c r="Z33" s="116"/>
      <c r="AB33" s="116"/>
      <c r="AE33" s="116">
        <f t="shared" si="19"/>
        <v>0</v>
      </c>
      <c r="AF33" s="99">
        <f t="shared" si="20"/>
        <v>123</v>
      </c>
      <c r="AG33" s="116">
        <f t="shared" si="21"/>
        <v>2</v>
      </c>
      <c r="AH33" s="117" t="str">
        <f t="shared" si="25"/>
        <v>123a</v>
      </c>
      <c r="AI33" s="117" t="str">
        <f t="shared" si="27"/>
        <v>123b</v>
      </c>
      <c r="AJ33" s="117"/>
      <c r="AK33" s="117"/>
      <c r="AL33" s="117"/>
      <c r="AM33" s="117"/>
      <c r="AN33" s="117"/>
      <c r="AO33" s="117"/>
      <c r="AP33" s="117"/>
      <c r="AQ33" s="126">
        <f>VLOOKUP(AR33,'Loyd List 1-190 - Edit'!$P$2:$R$208,3,FALSE)</f>
        <v>89</v>
      </c>
      <c r="AR33" s="126">
        <f t="shared" si="9"/>
        <v>123</v>
      </c>
      <c r="AS33" s="126">
        <f t="shared" si="23"/>
        <v>2</v>
      </c>
      <c r="AT33" s="97" t="str">
        <f t="shared" si="10"/>
        <v xml:space="preserve">2 - Katharine BOSMAN (1978 - : #123a) Adam BOSMAN (1980 - : #123b)      </v>
      </c>
      <c r="AU33" t="str">
        <f t="shared" si="29"/>
        <v>Katharine BOSMAN (1978 - : #123a)</v>
      </c>
      <c r="AV33" t="str">
        <f t="shared" si="29"/>
        <v>Adam BOSMAN (1980 - : #123b)</v>
      </c>
      <c r="AW33" t="str">
        <f t="shared" si="32"/>
        <v/>
      </c>
      <c r="AX33" t="str">
        <f t="shared" si="32"/>
        <v/>
      </c>
      <c r="AY33" t="str">
        <f t="shared" si="30"/>
        <v/>
      </c>
      <c r="AZ33" t="str">
        <f t="shared" si="30"/>
        <v/>
      </c>
      <c r="BA33" t="str">
        <f t="shared" si="30"/>
        <v/>
      </c>
      <c r="BB33" t="str">
        <f t="shared" si="30"/>
        <v/>
      </c>
      <c r="BD33" s="72">
        <v>123</v>
      </c>
      <c r="FF33">
        <v>123001</v>
      </c>
      <c r="FG33">
        <v>123002</v>
      </c>
      <c r="GQ33">
        <v>246003</v>
      </c>
    </row>
    <row r="34" spans="1:199" ht="17">
      <c r="A34">
        <f>'All Girls &amp; Descendants - Edit'!B33</f>
        <v>63</v>
      </c>
      <c r="B34" t="str">
        <f>'All Girls &amp; Descendants - Edit'!C33</f>
        <v>63a</v>
      </c>
      <c r="C34" t="str">
        <f>'All Girls &amp; Descendants - Edit'!D33</f>
        <v>MOORE</v>
      </c>
      <c r="D34" t="str">
        <f>'All Girls &amp; Descendants - Edit'!E33</f>
        <v>Frederic</v>
      </c>
      <c r="E34" t="str">
        <f>IF('All Girls &amp; Descendants - Edit'!F33="","",'All Girls &amp; Descendants - Edit'!F33)</f>
        <v>Withers</v>
      </c>
      <c r="F34" t="str">
        <f>IF('All Girls &amp; Descendants - Edit'!G33="","",'All Girls &amp; Descendants - Edit'!G33)</f>
        <v>Loyd</v>
      </c>
      <c r="G34" t="str">
        <f>IF('All Girls &amp; Descendants - Edit'!H33="",D34,'All Girls &amp; Descendants - Edit'!H33)</f>
        <v>Loyd</v>
      </c>
      <c r="H34">
        <f>'All Girls &amp; Descendants - Edit'!I33</f>
        <v>1926</v>
      </c>
      <c r="I34">
        <f>'All Girls &amp; Descendants - Edit'!J33</f>
        <v>2019</v>
      </c>
      <c r="J34" s="101">
        <f>'All Girls &amp; Descendants - Edit'!K33</f>
        <v>0</v>
      </c>
      <c r="K34" s="3" t="str">
        <f>'All Girls &amp; Descendants - Edit'!L33</f>
        <v>19/11/1926</v>
      </c>
      <c r="L34" s="3">
        <f>'All Girls &amp; Descendants - Edit'!M33</f>
        <v>9820</v>
      </c>
      <c r="M34" s="3">
        <f>'All Girls &amp; Descendants - Edit'!N33</f>
        <v>17896</v>
      </c>
      <c r="N34" s="3">
        <f>'All Girls &amp; Descendants - Edit'!O33</f>
        <v>43737</v>
      </c>
      <c r="O34" s="3" t="str">
        <f>'All Girls &amp; Descendants - Edit'!P33</f>
        <v>29/09/2019</v>
      </c>
      <c r="P34" t="str">
        <f t="shared" si="2"/>
        <v>63a</v>
      </c>
      <c r="Q34" s="116">
        <f t="shared" si="3"/>
        <v>1</v>
      </c>
      <c r="R34" s="31" t="str">
        <f t="shared" si="4"/>
        <v>Frederic Withers Loyd MOORE</v>
      </c>
      <c r="S34" t="str">
        <f t="shared" si="5"/>
        <v>Loyd MOORE (1926 - 2019: #63a)</v>
      </c>
      <c r="U34" s="126">
        <f t="shared" si="1"/>
        <v>63001</v>
      </c>
      <c r="V34" t="str">
        <f t="shared" si="6"/>
        <v>63a</v>
      </c>
      <c r="W34" s="126">
        <f t="shared" si="24"/>
        <v>63</v>
      </c>
      <c r="X34" s="126" t="str">
        <f t="shared" si="7"/>
        <v>a</v>
      </c>
      <c r="Y34" s="116"/>
      <c r="Z34" s="116"/>
      <c r="AB34" s="116"/>
      <c r="AE34" s="116">
        <f t="shared" si="19"/>
        <v>0</v>
      </c>
      <c r="AF34" s="99">
        <f t="shared" si="20"/>
        <v>125</v>
      </c>
      <c r="AG34" s="116">
        <f t="shared" si="21"/>
        <v>2</v>
      </c>
      <c r="AH34" s="117" t="str">
        <f t="shared" si="25"/>
        <v>125a</v>
      </c>
      <c r="AI34" s="117" t="str">
        <f t="shared" si="27"/>
        <v>125b</v>
      </c>
      <c r="AJ34" s="117"/>
      <c r="AK34" s="117"/>
      <c r="AL34" s="117"/>
      <c r="AM34" s="117"/>
      <c r="AN34" s="117"/>
      <c r="AO34" s="117"/>
      <c r="AP34" s="117"/>
      <c r="AQ34" s="126">
        <f>VLOOKUP(AR34,'Loyd List 1-190 - Edit'!$P$2:$R$208,3,FALSE)</f>
        <v>86</v>
      </c>
      <c r="AR34" s="126">
        <f t="shared" si="9"/>
        <v>125</v>
      </c>
      <c r="AS34" s="126">
        <f t="shared" si="23"/>
        <v>2</v>
      </c>
      <c r="AT34" s="97" t="str">
        <f t="shared" si="10"/>
        <v xml:space="preserve">2 - Bryan HAWKEY (1976 - : #125a) Allison HAWKEY (1978 - : #125b)      </v>
      </c>
      <c r="AU34" t="str">
        <f t="shared" si="29"/>
        <v>Bryan HAWKEY (1976 - : #125a)</v>
      </c>
      <c r="AV34" t="str">
        <f t="shared" si="29"/>
        <v>Allison HAWKEY (1978 - : #125b)</v>
      </c>
      <c r="AW34" t="str">
        <f t="shared" si="32"/>
        <v/>
      </c>
      <c r="AX34" t="str">
        <f t="shared" si="32"/>
        <v/>
      </c>
      <c r="AY34" t="str">
        <f t="shared" si="30"/>
        <v/>
      </c>
      <c r="AZ34" t="str">
        <f t="shared" si="30"/>
        <v/>
      </c>
      <c r="BA34" t="str">
        <f t="shared" si="30"/>
        <v/>
      </c>
      <c r="BB34" t="str">
        <f t="shared" si="30"/>
        <v/>
      </c>
      <c r="BD34" s="72">
        <v>125</v>
      </c>
      <c r="FH34">
        <v>125001</v>
      </c>
      <c r="FI34">
        <v>125002</v>
      </c>
      <c r="GQ34">
        <v>250003</v>
      </c>
    </row>
    <row r="35" spans="1:199" ht="17">
      <c r="A35">
        <f>'All Girls &amp; Descendants - Edit'!B34</f>
        <v>63</v>
      </c>
      <c r="B35" t="str">
        <f>'All Girls &amp; Descendants - Edit'!C34</f>
        <v>63b</v>
      </c>
      <c r="C35" t="str">
        <f>'All Girls &amp; Descendants - Edit'!D34</f>
        <v>MOORE</v>
      </c>
      <c r="D35" t="str">
        <f>'All Girls &amp; Descendants - Edit'!E34</f>
        <v>Emma</v>
      </c>
      <c r="E35" t="str">
        <f>IF('All Girls &amp; Descendants - Edit'!F34="","",'All Girls &amp; Descendants - Edit'!F34)</f>
        <v>Isabel</v>
      </c>
      <c r="F35" t="str">
        <f>IF('All Girls &amp; Descendants - Edit'!G34="","",'All Girls &amp; Descendants - Edit'!G34)</f>
        <v/>
      </c>
      <c r="G35" t="str">
        <f>IF('All Girls &amp; Descendants - Edit'!H34="",D35,'All Girls &amp; Descendants - Edit'!H34)</f>
        <v>Isabel</v>
      </c>
      <c r="H35">
        <f>'All Girls &amp; Descendants - Edit'!I34</f>
        <v>1929</v>
      </c>
      <c r="I35">
        <f>'All Girls &amp; Descendants - Edit'!J34</f>
        <v>2020</v>
      </c>
      <c r="J35" s="101">
        <f>'All Girls &amp; Descendants - Edit'!K34</f>
        <v>0</v>
      </c>
      <c r="K35" s="3" t="str">
        <f>'All Girls &amp; Descendants - Edit'!L34</f>
        <v>28/06/1929</v>
      </c>
      <c r="L35" s="3">
        <f>'All Girls &amp; Descendants - Edit'!M34</f>
        <v>10772</v>
      </c>
      <c r="M35" s="3">
        <f>'All Girls &amp; Descendants - Edit'!N34</f>
        <v>0</v>
      </c>
      <c r="N35" s="3">
        <f>'All Girls &amp; Descendants - Edit'!O34</f>
        <v>0</v>
      </c>
      <c r="O35" s="3" t="str">
        <f>'All Girls &amp; Descendants - Edit'!P34</f>
        <v/>
      </c>
      <c r="P35" t="str">
        <f t="shared" si="2"/>
        <v>63b</v>
      </c>
      <c r="Q35" s="116">
        <f t="shared" si="3"/>
        <v>1</v>
      </c>
      <c r="R35" s="31" t="str">
        <f t="shared" si="4"/>
        <v>Emma Isabel  MOORE</v>
      </c>
      <c r="S35" t="str">
        <f t="shared" si="5"/>
        <v>Isabel MOORE (1929 - 2020: #63b)</v>
      </c>
      <c r="U35" s="126">
        <f t="shared" si="1"/>
        <v>63002</v>
      </c>
      <c r="V35" t="str">
        <f t="shared" si="6"/>
        <v>63b</v>
      </c>
      <c r="W35" s="126">
        <f t="shared" si="24"/>
        <v>63</v>
      </c>
      <c r="X35" s="126" t="str">
        <f t="shared" si="7"/>
        <v>b</v>
      </c>
      <c r="Y35" s="116"/>
      <c r="Z35" s="116"/>
      <c r="AB35" s="116"/>
      <c r="AE35" s="116">
        <f t="shared" si="19"/>
        <v>0</v>
      </c>
      <c r="AF35" s="99">
        <f t="shared" si="20"/>
        <v>128</v>
      </c>
      <c r="AG35" s="116">
        <f t="shared" si="21"/>
        <v>2</v>
      </c>
      <c r="AH35" s="117" t="str">
        <f t="shared" si="25"/>
        <v>128a</v>
      </c>
      <c r="AI35" s="117" t="str">
        <f t="shared" si="27"/>
        <v>128b</v>
      </c>
      <c r="AJ35" s="117"/>
      <c r="AK35" s="117"/>
      <c r="AL35" s="117"/>
      <c r="AM35" s="117"/>
      <c r="AN35" s="117"/>
      <c r="AO35" s="117"/>
      <c r="AP35" s="117"/>
      <c r="AQ35" s="126">
        <f>VLOOKUP(AR35,'Loyd List 1-190 - Edit'!$P$2:$R$208,3,FALSE)</f>
        <v>98</v>
      </c>
      <c r="AR35" s="126">
        <f t="shared" si="9"/>
        <v>128</v>
      </c>
      <c r="AS35" s="126">
        <f t="shared" si="23"/>
        <v>2</v>
      </c>
      <c r="AT35" s="97" t="str">
        <f t="shared" si="10"/>
        <v xml:space="preserve">2 - Chloe PEMBERTON (1991 - : #128a) Kate PEMBERTON (1993 - : #128b)      </v>
      </c>
      <c r="AU35" t="str">
        <f t="shared" si="29"/>
        <v>Chloe PEMBERTON (1991 - : #128a)</v>
      </c>
      <c r="AV35" t="str">
        <f t="shared" si="29"/>
        <v>Kate PEMBERTON (1993 - : #128b)</v>
      </c>
      <c r="AZ35" t="str">
        <f t="shared" ref="AZ35:AZ49" si="33">IF(AM35&lt;&gt;"",VLOOKUP(AM35,$P$3:$T$451,4,FALSE),"")</f>
        <v/>
      </c>
      <c r="BA35" t="str">
        <f t="shared" ref="BA35:BA49" si="34">IF(AN35&lt;&gt;"",VLOOKUP(AN35,$P$3:$T$451,4,FALSE),"")</f>
        <v/>
      </c>
      <c r="BB35" t="str">
        <f t="shared" ref="BB35:BB49" si="35">IF(AO35&lt;&gt;"",VLOOKUP(AO35,$P$3:$T$451,4,FALSE),"")</f>
        <v/>
      </c>
      <c r="BD35" s="72">
        <v>128</v>
      </c>
      <c r="FJ35">
        <v>128001</v>
      </c>
      <c r="FK35">
        <v>128002</v>
      </c>
      <c r="GQ35">
        <v>256003</v>
      </c>
    </row>
    <row r="36" spans="1:199" ht="17">
      <c r="A36">
        <f>'All Girls &amp; Descendants - Edit'!B35</f>
        <v>63</v>
      </c>
      <c r="B36" t="str">
        <f>'All Girls &amp; Descendants - Edit'!C35</f>
        <v>63c</v>
      </c>
      <c r="C36" t="str">
        <f>'All Girls &amp; Descendants - Edit'!D35</f>
        <v>MOORE</v>
      </c>
      <c r="D36" t="str">
        <f>'All Girls &amp; Descendants - Edit'!E35</f>
        <v>Veronica</v>
      </c>
      <c r="E36" t="str">
        <f>IF('All Girls &amp; Descendants - Edit'!F35="","",'All Girls &amp; Descendants - Edit'!F35)</f>
        <v>Ashwell</v>
      </c>
      <c r="F36" t="str">
        <f>IF('All Girls &amp; Descendants - Edit'!G35="","",'All Girls &amp; Descendants - Edit'!G35)</f>
        <v/>
      </c>
      <c r="G36" t="str">
        <f>IF('All Girls &amp; Descendants - Edit'!H35="",D36,'All Girls &amp; Descendants - Edit'!H35)</f>
        <v>Veronica</v>
      </c>
      <c r="H36">
        <f>'All Girls &amp; Descendants - Edit'!I35</f>
        <v>1930</v>
      </c>
      <c r="I36">
        <f>'All Girls &amp; Descendants - Edit'!J35</f>
        <v>1934</v>
      </c>
      <c r="J36" s="101">
        <f>'All Girls &amp; Descendants - Edit'!K35</f>
        <v>0</v>
      </c>
      <c r="K36" s="3" t="str">
        <f>'All Girls &amp; Descendants - Edit'!L35</f>
        <v>29/09/1930</v>
      </c>
      <c r="L36" s="3">
        <f>'All Girls &amp; Descendants - Edit'!M35</f>
        <v>11230</v>
      </c>
      <c r="M36" s="3">
        <f>'All Girls &amp; Descendants - Edit'!N35</f>
        <v>0</v>
      </c>
      <c r="N36" s="3">
        <f>'All Girls &amp; Descendants - Edit'!O35</f>
        <v>12706</v>
      </c>
      <c r="O36" s="3" t="str">
        <f>'All Girls &amp; Descendants - Edit'!P35</f>
        <v>14/10/1934</v>
      </c>
      <c r="P36" t="str">
        <f t="shared" si="2"/>
        <v>63c</v>
      </c>
      <c r="Q36" s="116">
        <f t="shared" si="3"/>
        <v>1</v>
      </c>
      <c r="R36" s="31" t="str">
        <f t="shared" si="4"/>
        <v>Veronica Ashwell  MOORE</v>
      </c>
      <c r="S36" t="str">
        <f t="shared" si="5"/>
        <v>Veronica MOORE (1930 - 1934: #63c)</v>
      </c>
      <c r="U36" s="126">
        <f t="shared" ref="U36:U67" si="36">W36*1000+VLOOKUP(X36,$AB$4:$AC$13,2,FALSE)</f>
        <v>63003</v>
      </c>
      <c r="V36" t="str">
        <f t="shared" si="6"/>
        <v>63c</v>
      </c>
      <c r="W36" s="126">
        <f t="shared" si="24"/>
        <v>63</v>
      </c>
      <c r="X36" s="126" t="str">
        <f t="shared" si="7"/>
        <v>c</v>
      </c>
      <c r="Y36" s="116"/>
      <c r="Z36" s="116"/>
      <c r="AB36" s="116"/>
      <c r="AE36" s="116">
        <f t="shared" si="19"/>
        <v>0</v>
      </c>
      <c r="AF36" s="99">
        <f t="shared" si="20"/>
        <v>137</v>
      </c>
      <c r="AG36" s="116">
        <f t="shared" si="21"/>
        <v>1</v>
      </c>
      <c r="AH36" s="117" t="str">
        <f t="shared" si="25"/>
        <v>137a</v>
      </c>
      <c r="AI36" s="117"/>
      <c r="AJ36" s="117"/>
      <c r="AK36" s="117"/>
      <c r="AL36" s="117"/>
      <c r="AM36" s="117"/>
      <c r="AN36" s="117"/>
      <c r="AO36" s="117"/>
      <c r="AP36" s="117"/>
      <c r="AQ36" s="126">
        <f>VLOOKUP(AR36,'Loyd List 1-190 - Edit'!$P$2:$R$208,3,FALSE)</f>
        <v>99</v>
      </c>
      <c r="AR36" s="126">
        <f t="shared" si="9"/>
        <v>137</v>
      </c>
      <c r="AS36" s="126">
        <f t="shared" si="23"/>
        <v>1</v>
      </c>
      <c r="AT36" s="97" t="str">
        <f t="shared" si="10"/>
        <v xml:space="preserve">1 - Honor GELL (1998 - : #137a)       </v>
      </c>
      <c r="AU36" t="str">
        <f t="shared" ref="AU36:AU51" si="37">IF(AH36&lt;&gt;"",VLOOKUP(AH36,$P$3:$T$451,4,FALSE),"")</f>
        <v>Honor GELL (1998 - : #137a)</v>
      </c>
      <c r="AW36" t="str">
        <f t="shared" ref="AW36:AY39" si="38">IF(AJ36&lt;&gt;"",VLOOKUP(AJ36,$P$3:$T$451,4,FALSE),"")</f>
        <v/>
      </c>
      <c r="AX36" t="str">
        <f t="shared" si="38"/>
        <v/>
      </c>
      <c r="AY36" t="str">
        <f t="shared" si="38"/>
        <v/>
      </c>
      <c r="AZ36" t="str">
        <f t="shared" si="33"/>
        <v/>
      </c>
      <c r="BA36" t="str">
        <f t="shared" si="34"/>
        <v/>
      </c>
      <c r="BB36" t="str">
        <f t="shared" si="35"/>
        <v/>
      </c>
      <c r="BD36" s="72">
        <v>137</v>
      </c>
      <c r="FL36">
        <v>137001</v>
      </c>
      <c r="GQ36">
        <v>137001</v>
      </c>
    </row>
    <row r="37" spans="1:199" ht="17">
      <c r="A37">
        <f>'All Girls &amp; Descendants - Edit'!B36</f>
        <v>65</v>
      </c>
      <c r="B37" t="str">
        <f>'All Girls &amp; Descendants - Edit'!C36</f>
        <v>65a</v>
      </c>
      <c r="C37" t="str">
        <f>'All Girls &amp; Descendants - Edit'!D36</f>
        <v>WHEELER</v>
      </c>
      <c r="D37" t="str">
        <f>'All Girls &amp; Descendants - Edit'!E36</f>
        <v>Audrey</v>
      </c>
      <c r="E37" t="str">
        <f>IF('All Girls &amp; Descendants - Edit'!F36="","",'All Girls &amp; Descendants - Edit'!F36)</f>
        <v>Haig</v>
      </c>
      <c r="F37" t="str">
        <f>IF('All Girls &amp; Descendants - Edit'!G36="","",'All Girls &amp; Descendants - Edit'!G36)</f>
        <v/>
      </c>
      <c r="G37" t="str">
        <f>IF('All Girls &amp; Descendants - Edit'!H36="",D37,'All Girls &amp; Descendants - Edit'!H36)</f>
        <v>Audrey</v>
      </c>
      <c r="H37">
        <f>'All Girls &amp; Descendants - Edit'!I36</f>
        <v>1913</v>
      </c>
      <c r="I37" t="str">
        <f>'All Girls &amp; Descendants - Edit'!J36</f>
        <v/>
      </c>
      <c r="J37" s="101">
        <f>'All Girls &amp; Descendants - Edit'!K36</f>
        <v>0</v>
      </c>
      <c r="K37" s="3" t="str">
        <f>'All Girls &amp; Descendants - Edit'!L36</f>
        <v>05/04/1913</v>
      </c>
      <c r="L37" s="3">
        <f>'All Girls &amp; Descendants - Edit'!M36</f>
        <v>4844</v>
      </c>
      <c r="M37" s="3">
        <f>'All Girls &amp; Descendants - Edit'!N36</f>
        <v>0</v>
      </c>
      <c r="N37" s="3">
        <f>'All Girls &amp; Descendants - Edit'!O36</f>
        <v>0</v>
      </c>
      <c r="O37" s="3" t="str">
        <f>'All Girls &amp; Descendants - Edit'!P36</f>
        <v/>
      </c>
      <c r="P37" t="str">
        <f t="shared" si="2"/>
        <v>65a</v>
      </c>
      <c r="Q37" s="116">
        <f t="shared" si="3"/>
        <v>1</v>
      </c>
      <c r="R37" s="31" t="str">
        <f t="shared" si="4"/>
        <v>Audrey Haig  WHEELER</v>
      </c>
      <c r="S37" t="str">
        <f t="shared" si="5"/>
        <v>Audrey WHEELER (1913 - : #65a)</v>
      </c>
      <c r="U37" s="126">
        <f t="shared" si="36"/>
        <v>65001</v>
      </c>
      <c r="V37" t="str">
        <f t="shared" si="6"/>
        <v>65a</v>
      </c>
      <c r="W37" s="126">
        <f t="shared" si="24"/>
        <v>65</v>
      </c>
      <c r="X37" s="126" t="str">
        <f t="shared" si="7"/>
        <v>a</v>
      </c>
      <c r="Y37" s="116"/>
      <c r="Z37" s="116"/>
      <c r="AB37" s="116"/>
      <c r="AE37" s="116">
        <f t="shared" si="19"/>
        <v>0</v>
      </c>
      <c r="AF37" s="99">
        <f>BD37</f>
        <v>140</v>
      </c>
      <c r="AG37" s="116">
        <f t="shared" si="21"/>
        <v>2</v>
      </c>
      <c r="AH37" s="117" t="str">
        <f t="shared" si="25"/>
        <v>140a</v>
      </c>
      <c r="AI37" s="117" t="str">
        <f t="shared" ref="AI37:AI43" si="39">VLOOKUP(IF(ISNUMBER(SMALL($BE37:$GP37,AI$3)),SMALL($BE37:$GP37,AI$3),""),$U$4:$V$165,2,FALSE)</f>
        <v>140b</v>
      </c>
      <c r="AJ37" s="117"/>
      <c r="AK37" s="117"/>
      <c r="AL37" s="117"/>
      <c r="AM37" s="117"/>
      <c r="AN37" s="117"/>
      <c r="AO37" s="117"/>
      <c r="AP37" s="117"/>
      <c r="AQ37" s="126">
        <f>VLOOKUP(AR37,'Loyd List 1-190 - Edit'!$P$2:$R$208,3,FALSE)</f>
        <v>78</v>
      </c>
      <c r="AR37" s="126">
        <f t="shared" si="9"/>
        <v>140</v>
      </c>
      <c r="AS37" s="126">
        <f t="shared" si="23"/>
        <v>2</v>
      </c>
      <c r="AT37" s="97" t="str">
        <f t="shared" si="10"/>
        <v xml:space="preserve">2 - Daisy MILLER (1995 - : #140a) Violet MILLER (1995 - : #140b)      </v>
      </c>
      <c r="AU37" t="str">
        <f t="shared" si="37"/>
        <v>Daisy MILLER (1995 - : #140a)</v>
      </c>
      <c r="AV37" t="str">
        <f t="shared" ref="AV37:AV43" si="40">IF(AI37&lt;&gt;"",VLOOKUP(AI37,$P$3:$T$451,4,FALSE),"")</f>
        <v>Violet MILLER (1995 - : #140b)</v>
      </c>
      <c r="AW37" t="str">
        <f t="shared" si="38"/>
        <v/>
      </c>
      <c r="AX37" t="str">
        <f t="shared" si="38"/>
        <v/>
      </c>
      <c r="AY37" t="str">
        <f t="shared" si="38"/>
        <v/>
      </c>
      <c r="AZ37" t="str">
        <f t="shared" si="33"/>
        <v/>
      </c>
      <c r="BA37" t="str">
        <f t="shared" si="34"/>
        <v/>
      </c>
      <c r="BB37" t="str">
        <f t="shared" si="35"/>
        <v/>
      </c>
      <c r="BD37" s="72">
        <v>140</v>
      </c>
      <c r="FM37">
        <v>140001</v>
      </c>
      <c r="FN37">
        <v>140002</v>
      </c>
      <c r="GQ37">
        <v>280003</v>
      </c>
    </row>
    <row r="38" spans="1:199" ht="17">
      <c r="A38">
        <f>'All Girls &amp; Descendants - Edit'!B37</f>
        <v>65</v>
      </c>
      <c r="B38" t="str">
        <f>'All Girls &amp; Descendants - Edit'!C37</f>
        <v>65b</v>
      </c>
      <c r="C38" t="str">
        <f>'All Girls &amp; Descendants - Edit'!D37</f>
        <v>WHEELER</v>
      </c>
      <c r="D38" t="str">
        <f>'All Girls &amp; Descendants - Edit'!E37</f>
        <v>Norma</v>
      </c>
      <c r="E38" t="str">
        <f>IF('All Girls &amp; Descendants - Edit'!F37="","",'All Girls &amp; Descendants - Edit'!F37)</f>
        <v>Monica</v>
      </c>
      <c r="F38" t="str">
        <f>IF('All Girls &amp; Descendants - Edit'!G37="","",'All Girls &amp; Descendants - Edit'!G37)</f>
        <v>Haig</v>
      </c>
      <c r="G38" t="str">
        <f>IF('All Girls &amp; Descendants - Edit'!H37="",D38,'All Girls &amp; Descendants - Edit'!H37)</f>
        <v>Norma</v>
      </c>
      <c r="H38">
        <f>'All Girls &amp; Descendants - Edit'!I37</f>
        <v>1924</v>
      </c>
      <c r="I38" t="str">
        <f>'All Girls &amp; Descendants - Edit'!J37</f>
        <v/>
      </c>
      <c r="J38" s="101">
        <f>'All Girls &amp; Descendants - Edit'!K37</f>
        <v>0</v>
      </c>
      <c r="K38" s="3" t="str">
        <f>'All Girls &amp; Descendants - Edit'!L37</f>
        <v>04/02/1924</v>
      </c>
      <c r="L38" s="3">
        <f>'All Girls &amp; Descendants - Edit'!M37</f>
        <v>8801</v>
      </c>
      <c r="M38" s="3">
        <f>'All Girls &amp; Descendants - Edit'!N37</f>
        <v>0</v>
      </c>
      <c r="N38" s="3">
        <f>'All Girls &amp; Descendants - Edit'!O37</f>
        <v>0</v>
      </c>
      <c r="O38" s="3" t="str">
        <f>'All Girls &amp; Descendants - Edit'!P37</f>
        <v/>
      </c>
      <c r="P38" t="str">
        <f t="shared" si="2"/>
        <v>65b</v>
      </c>
      <c r="Q38" s="116">
        <f t="shared" si="3"/>
        <v>1</v>
      </c>
      <c r="R38" s="31" t="str">
        <f t="shared" si="4"/>
        <v>Norma Monica Haig WHEELER</v>
      </c>
      <c r="S38" t="str">
        <f t="shared" si="5"/>
        <v>Norma WHEELER (1924 - : #65b)</v>
      </c>
      <c r="U38" s="126">
        <f t="shared" si="36"/>
        <v>65002</v>
      </c>
      <c r="V38" t="str">
        <f t="shared" si="6"/>
        <v>65b</v>
      </c>
      <c r="W38" s="126">
        <f t="shared" si="24"/>
        <v>65</v>
      </c>
      <c r="X38" s="126" t="str">
        <f t="shared" si="7"/>
        <v>b</v>
      </c>
      <c r="Y38" s="116"/>
      <c r="Z38" s="116"/>
      <c r="AB38" s="116"/>
      <c r="AE38" s="116">
        <f t="shared" si="19"/>
        <v>0</v>
      </c>
      <c r="AF38" s="99">
        <f t="shared" si="20"/>
        <v>141</v>
      </c>
      <c r="AG38" s="116">
        <f t="shared" si="21"/>
        <v>2</v>
      </c>
      <c r="AH38" s="117" t="str">
        <f t="shared" si="25"/>
        <v>141a</v>
      </c>
      <c r="AI38" s="117" t="str">
        <f t="shared" si="39"/>
        <v>141b</v>
      </c>
      <c r="AJ38" s="117"/>
      <c r="AK38" s="117"/>
      <c r="AL38" s="117"/>
      <c r="AM38" s="117"/>
      <c r="AN38" s="117"/>
      <c r="AO38" s="117"/>
      <c r="AP38" s="117"/>
      <c r="AQ38" s="126">
        <f>VLOOKUP(AR38,'Loyd List 1-190 - Edit'!$P$2:$R$208,3,FALSE)</f>
        <v>104</v>
      </c>
      <c r="AR38" s="126">
        <f t="shared" si="9"/>
        <v>141</v>
      </c>
      <c r="AS38" s="126">
        <f t="shared" si="23"/>
        <v>2</v>
      </c>
      <c r="AT38" s="97" t="str">
        <f t="shared" si="10"/>
        <v xml:space="preserve">2 - Letty BYATT (1996 - : #141a) Harry BYATT (1998 - 2017: #141b)      </v>
      </c>
      <c r="AU38" t="str">
        <f t="shared" si="37"/>
        <v>Letty BYATT (1996 - : #141a)</v>
      </c>
      <c r="AV38" t="str">
        <f t="shared" si="40"/>
        <v>Harry BYATT (1998 - 2017: #141b)</v>
      </c>
      <c r="AW38" t="str">
        <f t="shared" si="38"/>
        <v/>
      </c>
      <c r="AX38" t="str">
        <f t="shared" si="38"/>
        <v/>
      </c>
      <c r="AY38" t="str">
        <f t="shared" si="38"/>
        <v/>
      </c>
      <c r="AZ38" t="str">
        <f t="shared" si="33"/>
        <v/>
      </c>
      <c r="BA38" t="str">
        <f t="shared" si="34"/>
        <v/>
      </c>
      <c r="BB38" t="str">
        <f t="shared" si="35"/>
        <v/>
      </c>
      <c r="BD38" s="72">
        <v>141</v>
      </c>
      <c r="FO38">
        <v>141001</v>
      </c>
      <c r="FP38">
        <v>141002</v>
      </c>
      <c r="GQ38">
        <v>282003</v>
      </c>
    </row>
    <row r="39" spans="1:199" ht="17">
      <c r="A39">
        <f>'All Girls &amp; Descendants - Edit'!B38</f>
        <v>65</v>
      </c>
      <c r="B39" t="str">
        <f>'All Girls &amp; Descendants - Edit'!C38</f>
        <v>65c</v>
      </c>
      <c r="C39" t="str">
        <f>'All Girls &amp; Descendants - Edit'!D38</f>
        <v>WHEELER</v>
      </c>
      <c r="D39" t="str">
        <f>'All Girls &amp; Descendants - Edit'!E38</f>
        <v>Basil</v>
      </c>
      <c r="E39" t="str">
        <f>IF('All Girls &amp; Descendants - Edit'!F38="","",'All Girls &amp; Descendants - Edit'!F38)</f>
        <v>Norman</v>
      </c>
      <c r="F39" t="str">
        <f>IF('All Girls &amp; Descendants - Edit'!G38="","",'All Girls &amp; Descendants - Edit'!G38)</f>
        <v>Haig</v>
      </c>
      <c r="G39" t="str">
        <f>IF('All Girls &amp; Descendants - Edit'!H38="",D39,'All Girls &amp; Descendants - Edit'!H38)</f>
        <v>Basil</v>
      </c>
      <c r="H39">
        <f>'All Girls &amp; Descendants - Edit'!I38</f>
        <v>1926</v>
      </c>
      <c r="I39" t="str">
        <f>'All Girls &amp; Descendants - Edit'!J38</f>
        <v/>
      </c>
      <c r="J39" s="101">
        <f>'All Girls &amp; Descendants - Edit'!K38</f>
        <v>0</v>
      </c>
      <c r="K39" s="3" t="str">
        <f>'All Girls &amp; Descendants - Edit'!L38</f>
        <v>03/09/1926</v>
      </c>
      <c r="L39" s="3">
        <f>'All Girls &amp; Descendants - Edit'!M38</f>
        <v>9743</v>
      </c>
      <c r="M39" s="3">
        <f>'All Girls &amp; Descendants - Edit'!N38</f>
        <v>25689</v>
      </c>
      <c r="N39" s="3">
        <f>'All Girls &amp; Descendants - Edit'!O38</f>
        <v>0</v>
      </c>
      <c r="O39" s="3" t="str">
        <f>'All Girls &amp; Descendants - Edit'!P38</f>
        <v/>
      </c>
      <c r="P39" t="str">
        <f t="shared" si="2"/>
        <v>65c</v>
      </c>
      <c r="Q39" s="116">
        <f t="shared" si="3"/>
        <v>1</v>
      </c>
      <c r="R39" s="31" t="str">
        <f t="shared" si="4"/>
        <v>Basil Norman Haig WHEELER</v>
      </c>
      <c r="S39" t="str">
        <f t="shared" si="5"/>
        <v>Basil WHEELER (1926 - : #65c)</v>
      </c>
      <c r="U39" s="126">
        <f t="shared" si="36"/>
        <v>65003</v>
      </c>
      <c r="V39" t="str">
        <f t="shared" si="6"/>
        <v>65c</v>
      </c>
      <c r="W39" s="126">
        <f t="shared" si="24"/>
        <v>65</v>
      </c>
      <c r="X39" s="126" t="str">
        <f t="shared" si="7"/>
        <v>c</v>
      </c>
      <c r="Y39" s="116"/>
      <c r="Z39" s="116"/>
      <c r="AB39" s="116"/>
      <c r="AE39" s="116">
        <f t="shared" si="19"/>
        <v>0</v>
      </c>
      <c r="AF39" s="99">
        <f t="shared" si="20"/>
        <v>143</v>
      </c>
      <c r="AG39" s="116">
        <f t="shared" si="21"/>
        <v>2</v>
      </c>
      <c r="AH39" s="117" t="str">
        <f t="shared" si="25"/>
        <v>143a</v>
      </c>
      <c r="AI39" s="117" t="str">
        <f t="shared" si="39"/>
        <v>143b</v>
      </c>
      <c r="AJ39" s="117"/>
      <c r="AK39" s="117"/>
      <c r="AL39" s="117"/>
      <c r="AM39" s="117"/>
      <c r="AN39" s="117"/>
      <c r="AO39" s="117"/>
      <c r="AP39" s="117"/>
      <c r="AQ39" s="126">
        <f>VLOOKUP(AR39,'Loyd List 1-190 - Edit'!$P$2:$R$208,3,FALSE)</f>
        <v>100</v>
      </c>
      <c r="AR39" s="126">
        <f t="shared" si="9"/>
        <v>143</v>
      </c>
      <c r="AS39" s="126">
        <f t="shared" si="23"/>
        <v>2</v>
      </c>
      <c r="AT39" s="97" t="str">
        <f t="shared" si="10"/>
        <v xml:space="preserve">2 - Emily ASHE (1988 - : #143a) Charles ASHE (1990 - : #143b)      </v>
      </c>
      <c r="AU39" t="str">
        <f t="shared" si="37"/>
        <v>Emily ASHE (1988 - : #143a)</v>
      </c>
      <c r="AV39" t="str">
        <f t="shared" si="40"/>
        <v>Charles ASHE (1990 - : #143b)</v>
      </c>
      <c r="AW39" t="str">
        <f t="shared" si="38"/>
        <v/>
      </c>
      <c r="AX39" t="str">
        <f t="shared" si="38"/>
        <v/>
      </c>
      <c r="AY39" t="str">
        <f t="shared" si="38"/>
        <v/>
      </c>
      <c r="AZ39" t="str">
        <f t="shared" si="33"/>
        <v/>
      </c>
      <c r="BA39" t="str">
        <f t="shared" si="34"/>
        <v/>
      </c>
      <c r="BB39" t="str">
        <f t="shared" si="35"/>
        <v/>
      </c>
      <c r="BD39" s="72">
        <v>143</v>
      </c>
      <c r="FQ39">
        <v>143001</v>
      </c>
      <c r="FR39">
        <v>143002</v>
      </c>
      <c r="GQ39">
        <v>286003</v>
      </c>
    </row>
    <row r="40" spans="1:199" ht="17">
      <c r="A40">
        <f>'All Girls &amp; Descendants - Edit'!B39</f>
        <v>70</v>
      </c>
      <c r="B40" t="str">
        <f>'All Girls &amp; Descendants - Edit'!C39</f>
        <v>70a</v>
      </c>
      <c r="C40" t="str">
        <f>'All Girls &amp; Descendants - Edit'!D39</f>
        <v>MICKLEM</v>
      </c>
      <c r="D40" t="str">
        <f>'All Girls &amp; Descendants - Edit'!E39</f>
        <v>Cynthia</v>
      </c>
      <c r="E40" t="str">
        <f>IF('All Girls &amp; Descendants - Edit'!F39="","",'All Girls &amp; Descendants - Edit'!F39)</f>
        <v>Violet</v>
      </c>
      <c r="F40" t="str">
        <f>IF('All Girls &amp; Descendants - Edit'!G39="","",'All Girls &amp; Descendants - Edit'!G39)</f>
        <v/>
      </c>
      <c r="G40" t="str">
        <f>IF('All Girls &amp; Descendants - Edit'!H39="",D40,'All Girls &amp; Descendants - Edit'!H39)</f>
        <v>Cynthia</v>
      </c>
      <c r="H40">
        <f>'All Girls &amp; Descendants - Edit'!I39</f>
        <v>1921</v>
      </c>
      <c r="I40">
        <f>'All Girls &amp; Descendants - Edit'!J39</f>
        <v>1990</v>
      </c>
      <c r="J40" s="101">
        <f>'All Girls &amp; Descendants - Edit'!K39</f>
        <v>0</v>
      </c>
      <c r="K40" s="3" t="str">
        <f>'All Girls &amp; Descendants - Edit'!L39</f>
        <v>11/10/1921</v>
      </c>
      <c r="L40" s="3">
        <f>'All Girls &amp; Descendants - Edit'!M39</f>
        <v>7955</v>
      </c>
      <c r="M40" s="3">
        <f>'All Girls &amp; Descendants - Edit'!N39</f>
        <v>18280</v>
      </c>
      <c r="N40" s="3">
        <f>'All Girls &amp; Descendants - Edit'!O39</f>
        <v>32962</v>
      </c>
      <c r="O40" s="3" t="str">
        <f>'All Girls &amp; Descendants - Edit'!P39</f>
        <v>30/03/1990</v>
      </c>
      <c r="P40" t="str">
        <f t="shared" si="2"/>
        <v>70a</v>
      </c>
      <c r="Q40" s="116">
        <f t="shared" si="3"/>
        <v>1</v>
      </c>
      <c r="R40" s="31" t="str">
        <f t="shared" si="4"/>
        <v>Cynthia Violet  MICKLEM</v>
      </c>
      <c r="S40" t="str">
        <f t="shared" si="5"/>
        <v>Cynthia MICKLEM (1921 - 1990: #70a)</v>
      </c>
      <c r="U40" s="126">
        <f t="shared" si="36"/>
        <v>70001</v>
      </c>
      <c r="V40" t="str">
        <f t="shared" si="6"/>
        <v>70a</v>
      </c>
      <c r="W40" s="126">
        <f t="shared" si="24"/>
        <v>70</v>
      </c>
      <c r="X40" s="126" t="str">
        <f t="shared" si="7"/>
        <v>a</v>
      </c>
      <c r="Y40" s="116"/>
      <c r="Z40" s="116"/>
      <c r="AB40" s="116"/>
      <c r="AE40" s="116">
        <f t="shared" si="19"/>
        <v>0</v>
      </c>
      <c r="AF40" s="99">
        <f t="shared" si="20"/>
        <v>152</v>
      </c>
      <c r="AG40" s="116">
        <f t="shared" si="21"/>
        <v>2</v>
      </c>
      <c r="AH40" s="117" t="str">
        <f t="shared" si="25"/>
        <v>152a</v>
      </c>
      <c r="AI40" s="117" t="str">
        <f t="shared" si="39"/>
        <v>152b</v>
      </c>
      <c r="AJ40" s="117"/>
      <c r="AK40" s="117"/>
      <c r="AL40" s="117"/>
      <c r="AM40" s="117"/>
      <c r="AN40" s="117"/>
      <c r="AO40" s="117"/>
      <c r="AP40" s="117"/>
      <c r="AQ40" s="126">
        <f>VLOOKUP(AR40,'Loyd List 1-190 - Edit'!$P$2:$R$208,3,FALSE)</f>
        <v>104</v>
      </c>
      <c r="AR40" s="126">
        <f t="shared" si="9"/>
        <v>152</v>
      </c>
      <c r="AS40" s="126">
        <f t="shared" si="23"/>
        <v>2</v>
      </c>
      <c r="AT40" s="97" t="str">
        <f t="shared" si="10"/>
        <v xml:space="preserve">2 - Clementine WHITCOMB (1999 - : #152a) Augustin WHITCOMB (2001 - : #152b)      </v>
      </c>
      <c r="AU40" t="str">
        <f t="shared" si="37"/>
        <v>Clementine WHITCOMB (1999 - : #152a)</v>
      </c>
      <c r="AV40" t="str">
        <f t="shared" si="40"/>
        <v>Augustin WHITCOMB (2001 - : #152b)</v>
      </c>
      <c r="AX40" t="str">
        <f t="shared" ref="AX40:AX49" si="41">IF(AK40&lt;&gt;"",VLOOKUP(AK40,$P$3:$T$451,4,FALSE),"")</f>
        <v/>
      </c>
      <c r="AY40" t="str">
        <f t="shared" ref="AY40:AY49" si="42">IF(AL40&lt;&gt;"",VLOOKUP(AL40,$P$3:$T$451,4,FALSE),"")</f>
        <v/>
      </c>
      <c r="AZ40" t="str">
        <f t="shared" si="33"/>
        <v/>
      </c>
      <c r="BA40" t="str">
        <f t="shared" si="34"/>
        <v/>
      </c>
      <c r="BB40" t="str">
        <f t="shared" si="35"/>
        <v/>
      </c>
      <c r="BD40" s="72">
        <v>152</v>
      </c>
      <c r="FS40">
        <v>152001</v>
      </c>
      <c r="FT40">
        <v>152002</v>
      </c>
      <c r="GQ40">
        <v>304003</v>
      </c>
    </row>
    <row r="41" spans="1:199" ht="17">
      <c r="A41">
        <f>'All Girls &amp; Descendants - Edit'!B40</f>
        <v>70</v>
      </c>
      <c r="B41" t="str">
        <f>'All Girls &amp; Descendants - Edit'!C40</f>
        <v>70b</v>
      </c>
      <c r="C41" t="str">
        <f>'All Girls &amp; Descendants - Edit'!D40</f>
        <v>MICKLEM</v>
      </c>
      <c r="D41" t="str">
        <f>'All Girls &amp; Descendants - Edit'!E40</f>
        <v>Dora</v>
      </c>
      <c r="E41" t="str">
        <f>IF('All Girls &amp; Descendants - Edit'!F40="","",'All Girls &amp; Descendants - Edit'!F40)</f>
        <v>Margaret</v>
      </c>
      <c r="F41" t="str">
        <f>IF('All Girls &amp; Descendants - Edit'!G40="","",'All Girls &amp; Descendants - Edit'!G40)</f>
        <v/>
      </c>
      <c r="G41" t="str">
        <f>IF('All Girls &amp; Descendants - Edit'!H40="",D41,'All Girls &amp; Descendants - Edit'!H40)</f>
        <v>Dora</v>
      </c>
      <c r="H41">
        <f>'All Girls &amp; Descendants - Edit'!I40</f>
        <v>1924</v>
      </c>
      <c r="I41" t="str">
        <f>'All Girls &amp; Descendants - Edit'!J40</f>
        <v/>
      </c>
      <c r="J41" s="101">
        <f>'All Girls &amp; Descendants - Edit'!K40</f>
        <v>0</v>
      </c>
      <c r="K41" s="3" t="str">
        <f>'All Girls &amp; Descendants - Edit'!L40</f>
        <v>06/04/1924</v>
      </c>
      <c r="L41" s="3">
        <f>'All Girls &amp; Descendants - Edit'!M40</f>
        <v>8863</v>
      </c>
      <c r="M41" s="3">
        <f>'All Girls &amp; Descendants - Edit'!N40</f>
        <v>19873</v>
      </c>
      <c r="N41" s="3">
        <f>'All Girls &amp; Descendants - Edit'!O40</f>
        <v>0</v>
      </c>
      <c r="O41" s="3" t="str">
        <f>'All Girls &amp; Descendants - Edit'!P40</f>
        <v/>
      </c>
      <c r="P41" t="str">
        <f t="shared" si="2"/>
        <v>70b</v>
      </c>
      <c r="Q41" s="116">
        <f t="shared" si="3"/>
        <v>1</v>
      </c>
      <c r="R41" s="31" t="str">
        <f t="shared" si="4"/>
        <v>Dora Margaret  MICKLEM</v>
      </c>
      <c r="S41" t="str">
        <f t="shared" si="5"/>
        <v>Dora MICKLEM (1924 - : #70b)</v>
      </c>
      <c r="U41" s="126">
        <f t="shared" si="36"/>
        <v>70002</v>
      </c>
      <c r="V41" t="str">
        <f t="shared" si="6"/>
        <v>70b</v>
      </c>
      <c r="W41" s="126">
        <f t="shared" si="24"/>
        <v>70</v>
      </c>
      <c r="X41" s="126" t="str">
        <f t="shared" si="7"/>
        <v>b</v>
      </c>
      <c r="Y41" s="116"/>
      <c r="Z41" s="116"/>
      <c r="AB41" s="116"/>
      <c r="AE41" s="116">
        <f t="shared" si="19"/>
        <v>0</v>
      </c>
      <c r="AF41" s="99">
        <f t="shared" si="20"/>
        <v>154</v>
      </c>
      <c r="AG41" s="116">
        <f t="shared" si="21"/>
        <v>3</v>
      </c>
      <c r="AH41" s="117" t="str">
        <f t="shared" si="25"/>
        <v>154a</v>
      </c>
      <c r="AI41" s="117" t="str">
        <f t="shared" si="39"/>
        <v>154b</v>
      </c>
      <c r="AJ41" s="117" t="str">
        <f>VLOOKUP(IF(ISNUMBER(SMALL($BE41:$GP41,AJ$3)),SMALL($BE41:$GP41,AJ$3),""),$U$4:$V$165,2,FALSE)</f>
        <v>154c</v>
      </c>
      <c r="AK41" s="117"/>
      <c r="AL41" s="117"/>
      <c r="AM41" s="117"/>
      <c r="AN41" s="117"/>
      <c r="AO41" s="117"/>
      <c r="AP41" s="117"/>
      <c r="AQ41" s="126">
        <f>VLOOKUP(AR41,'Loyd List 1-190 - Edit'!$P$2:$R$208,3,FALSE)</f>
        <v>98</v>
      </c>
      <c r="AR41" s="126">
        <f t="shared" si="9"/>
        <v>154</v>
      </c>
      <c r="AS41" s="126">
        <f t="shared" si="23"/>
        <v>3</v>
      </c>
      <c r="AT41" s="97" t="str">
        <f t="shared" si="10"/>
        <v xml:space="preserve">3 - Freddie NEWING (2006 - : #154a) Gus NEWING (2008 - : #154b) Albert NEWING (2015 - 2015: #154c)     </v>
      </c>
      <c r="AU41" t="str">
        <f t="shared" si="37"/>
        <v>Freddie NEWING (2006 - : #154a)</v>
      </c>
      <c r="AV41" t="str">
        <f t="shared" si="40"/>
        <v>Gus NEWING (2008 - : #154b)</v>
      </c>
      <c r="AW41" t="str">
        <f>IF(AJ41&lt;&gt;"",VLOOKUP(AJ41,$P$3:$T$451,4,FALSE),"")</f>
        <v>Albert NEWING (2015 - 2015: #154c)</v>
      </c>
      <c r="AX41" t="str">
        <f t="shared" si="41"/>
        <v/>
      </c>
      <c r="AY41" t="str">
        <f t="shared" si="42"/>
        <v/>
      </c>
      <c r="AZ41" t="str">
        <f t="shared" si="33"/>
        <v/>
      </c>
      <c r="BA41" t="str">
        <f t="shared" si="34"/>
        <v/>
      </c>
      <c r="BB41" t="str">
        <f t="shared" si="35"/>
        <v/>
      </c>
      <c r="BD41" s="72">
        <v>154</v>
      </c>
      <c r="FU41">
        <v>154001</v>
      </c>
      <c r="FV41">
        <v>154002</v>
      </c>
      <c r="FW41">
        <v>154003</v>
      </c>
      <c r="GQ41">
        <v>462006</v>
      </c>
    </row>
    <row r="42" spans="1:199" ht="17">
      <c r="A42">
        <f>'All Girls &amp; Descendants - Edit'!B41</f>
        <v>70</v>
      </c>
      <c r="B42" t="str">
        <f>'All Girls &amp; Descendants - Edit'!C41</f>
        <v>70c</v>
      </c>
      <c r="C42" t="str">
        <f>'All Girls &amp; Descendants - Edit'!D41</f>
        <v>MICKLEM</v>
      </c>
      <c r="D42" t="str">
        <f>'All Girls &amp; Descendants - Edit'!E41</f>
        <v>Anne</v>
      </c>
      <c r="E42" t="str">
        <f>IF('All Girls &amp; Descendants - Edit'!F41="","",'All Girls &amp; Descendants - Edit'!F41)</f>
        <v>Gertrude</v>
      </c>
      <c r="F42" t="str">
        <f>IF('All Girls &amp; Descendants - Edit'!G41="","",'All Girls &amp; Descendants - Edit'!G41)</f>
        <v/>
      </c>
      <c r="G42" t="str">
        <f>IF('All Girls &amp; Descendants - Edit'!H41="",D42,'All Girls &amp; Descendants - Edit'!H41)</f>
        <v>Anne</v>
      </c>
      <c r="H42">
        <f>'All Girls &amp; Descendants - Edit'!I41</f>
        <v>1925</v>
      </c>
      <c r="I42" t="str">
        <f>'All Girls &amp; Descendants - Edit'!J41</f>
        <v/>
      </c>
      <c r="J42" s="101">
        <f>'All Girls &amp; Descendants - Edit'!K41</f>
        <v>0</v>
      </c>
      <c r="K42" s="3" t="str">
        <f>'All Girls &amp; Descendants - Edit'!L41</f>
        <v>24/09/1925</v>
      </c>
      <c r="L42" s="3">
        <f>'All Girls &amp; Descendants - Edit'!M41</f>
        <v>9399</v>
      </c>
      <c r="M42" s="3">
        <f>'All Girls &amp; Descendants - Edit'!N41</f>
        <v>18606</v>
      </c>
      <c r="N42" s="3">
        <f>'All Girls &amp; Descendants - Edit'!O41</f>
        <v>0</v>
      </c>
      <c r="O42" s="3" t="str">
        <f>'All Girls &amp; Descendants - Edit'!P41</f>
        <v/>
      </c>
      <c r="P42" t="str">
        <f t="shared" si="2"/>
        <v>70c</v>
      </c>
      <c r="Q42" s="116">
        <f t="shared" si="3"/>
        <v>1</v>
      </c>
      <c r="R42" s="31" t="str">
        <f t="shared" si="4"/>
        <v>Anne Gertrude  MICKLEM</v>
      </c>
      <c r="S42" t="str">
        <f t="shared" si="5"/>
        <v>Anne MICKLEM (1925 - : #70c)</v>
      </c>
      <c r="U42" s="126">
        <f t="shared" si="36"/>
        <v>70003</v>
      </c>
      <c r="V42" t="str">
        <f t="shared" si="6"/>
        <v>70c</v>
      </c>
      <c r="W42" s="126">
        <f>VALUE(LEFT(V42,2))</f>
        <v>70</v>
      </c>
      <c r="X42" s="126" t="str">
        <f t="shared" si="7"/>
        <v>c</v>
      </c>
      <c r="Y42" s="116"/>
      <c r="Z42" s="116"/>
      <c r="AB42" s="116"/>
      <c r="AE42" s="116">
        <f t="shared" si="19"/>
        <v>0</v>
      </c>
      <c r="AF42" s="99">
        <f t="shared" si="20"/>
        <v>156</v>
      </c>
      <c r="AG42" s="116">
        <f t="shared" si="21"/>
        <v>2</v>
      </c>
      <c r="AH42" s="117" t="str">
        <f t="shared" si="25"/>
        <v>156a</v>
      </c>
      <c r="AI42" s="117" t="str">
        <f t="shared" si="39"/>
        <v>156b</v>
      </c>
      <c r="AJ42" s="117"/>
      <c r="AK42" s="117"/>
      <c r="AL42" s="117"/>
      <c r="AM42" s="117"/>
      <c r="AN42" s="117"/>
      <c r="AO42" s="117"/>
      <c r="AP42" s="117"/>
      <c r="AQ42" s="126">
        <f>VLOOKUP(AR42,'Loyd List 1-190 - Edit'!$P$2:$R$208,3,FALSE)</f>
        <v>119</v>
      </c>
      <c r="AR42" s="126">
        <f t="shared" si="9"/>
        <v>156</v>
      </c>
      <c r="AS42" s="126">
        <f t="shared" si="23"/>
        <v>2</v>
      </c>
      <c r="AT42" s="97" t="str">
        <f t="shared" si="10"/>
        <v xml:space="preserve">2 - Peter GRINDAL (2014 - : #156a) Dorothy GRINDAL (2016 - : #156b)      </v>
      </c>
      <c r="AU42" t="str">
        <f t="shared" si="37"/>
        <v>Peter GRINDAL (2014 - : #156a)</v>
      </c>
      <c r="AV42" t="str">
        <f t="shared" si="40"/>
        <v>Dorothy GRINDAL (2016 - : #156b)</v>
      </c>
      <c r="AW42" t="str">
        <f>IF(AJ42&lt;&gt;"",VLOOKUP(AJ42,$P$3:$T$451,4,FALSE),"")</f>
        <v/>
      </c>
      <c r="AX42" t="str">
        <f t="shared" si="41"/>
        <v/>
      </c>
      <c r="AY42" t="str">
        <f t="shared" si="42"/>
        <v/>
      </c>
      <c r="AZ42" t="str">
        <f t="shared" si="33"/>
        <v/>
      </c>
      <c r="BA42" t="str">
        <f t="shared" si="34"/>
        <v/>
      </c>
      <c r="BB42" t="str">
        <f t="shared" si="35"/>
        <v/>
      </c>
      <c r="BD42" s="72">
        <v>156</v>
      </c>
      <c r="FX42">
        <v>156001</v>
      </c>
      <c r="FY42">
        <v>156002</v>
      </c>
      <c r="GQ42">
        <v>312003</v>
      </c>
    </row>
    <row r="43" spans="1:199" ht="17">
      <c r="A43">
        <f>'All Girls &amp; Descendants - Edit'!B42</f>
        <v>70</v>
      </c>
      <c r="B43" t="str">
        <f>'All Girls &amp; Descendants - Edit'!C42</f>
        <v>70d</v>
      </c>
      <c r="C43" t="str">
        <f>'All Girls &amp; Descendants - Edit'!D42</f>
        <v>MICKLEM</v>
      </c>
      <c r="D43" t="str">
        <f>'All Girls &amp; Descendants - Edit'!E42</f>
        <v>Thomas</v>
      </c>
      <c r="E43" t="str">
        <f>IF('All Girls &amp; Descendants - Edit'!F42="","",'All Girls &amp; Descendants - Edit'!F42)</f>
        <v>Charles</v>
      </c>
      <c r="F43" t="str">
        <f>IF('All Girls &amp; Descendants - Edit'!G42="","",'All Girls &amp; Descendants - Edit'!G42)</f>
        <v>Weguelin</v>
      </c>
      <c r="G43" t="str">
        <f>IF('All Girls &amp; Descendants - Edit'!H42="",D43,'All Girls &amp; Descendants - Edit'!H42)</f>
        <v>Tom</v>
      </c>
      <c r="H43">
        <f>'All Girls &amp; Descendants - Edit'!I42</f>
        <v>1926</v>
      </c>
      <c r="I43" t="str">
        <f>'All Girls &amp; Descendants - Edit'!J42</f>
        <v/>
      </c>
      <c r="J43" s="101">
        <f>'All Girls &amp; Descendants - Edit'!K42</f>
        <v>0</v>
      </c>
      <c r="K43" s="3" t="str">
        <f>'All Girls &amp; Descendants - Edit'!L42</f>
        <v>04/11/1926</v>
      </c>
      <c r="L43" s="3">
        <f>'All Girls &amp; Descendants - Edit'!M42</f>
        <v>9805</v>
      </c>
      <c r="M43" s="3">
        <f>'All Girls &amp; Descendants - Edit'!N42</f>
        <v>20986</v>
      </c>
      <c r="N43" s="3">
        <f>'All Girls &amp; Descendants - Edit'!O42</f>
        <v>0</v>
      </c>
      <c r="O43" s="3" t="str">
        <f>'All Girls &amp; Descendants - Edit'!P42</f>
        <v/>
      </c>
      <c r="P43" t="str">
        <f t="shared" si="2"/>
        <v>70d</v>
      </c>
      <c r="Q43" s="116">
        <f t="shared" si="3"/>
        <v>1</v>
      </c>
      <c r="R43" s="31" t="str">
        <f t="shared" si="4"/>
        <v>Thomas Charles Weguelin MICKLEM</v>
      </c>
      <c r="S43" t="str">
        <f t="shared" si="5"/>
        <v>Tom MICKLEM (1926 - : #70d)</v>
      </c>
      <c r="U43" s="126">
        <f t="shared" si="36"/>
        <v>70004</v>
      </c>
      <c r="V43" t="str">
        <f t="shared" si="6"/>
        <v>70d</v>
      </c>
      <c r="W43" s="126">
        <f t="shared" si="24"/>
        <v>70</v>
      </c>
      <c r="X43" s="126" t="str">
        <f t="shared" si="7"/>
        <v>d</v>
      </c>
      <c r="Y43" s="116"/>
      <c r="Z43" s="116"/>
      <c r="AB43" s="116"/>
      <c r="AE43" s="116">
        <f t="shared" si="19"/>
        <v>0</v>
      </c>
      <c r="AF43" s="99">
        <f t="shared" si="20"/>
        <v>157</v>
      </c>
      <c r="AG43" s="116">
        <f t="shared" si="21"/>
        <v>2</v>
      </c>
      <c r="AH43" s="117" t="str">
        <f t="shared" si="25"/>
        <v>157a</v>
      </c>
      <c r="AI43" s="117" t="str">
        <f t="shared" si="39"/>
        <v>157b</v>
      </c>
      <c r="AJ43" s="117"/>
      <c r="AK43" s="117"/>
      <c r="AL43" s="117"/>
      <c r="AM43" s="117"/>
      <c r="AN43" s="117"/>
      <c r="AO43" s="117"/>
      <c r="AP43" s="117"/>
      <c r="AQ43" s="126">
        <f>VLOOKUP(AR43,'Loyd List 1-190 - Edit'!$P$2:$R$208,3,FALSE)</f>
        <v>114</v>
      </c>
      <c r="AR43" s="126">
        <f t="shared" si="9"/>
        <v>157</v>
      </c>
      <c r="AS43" s="126">
        <f t="shared" si="23"/>
        <v>2</v>
      </c>
      <c r="AT43" s="97" t="str">
        <f t="shared" si="10"/>
        <v xml:space="preserve">2 - Henry SIMMONDS (2012 - : #157a) Emily SIMMONDS (2014 - : #157b)      </v>
      </c>
      <c r="AU43" t="str">
        <f t="shared" si="37"/>
        <v>Henry SIMMONDS (2012 - : #157a)</v>
      </c>
      <c r="AV43" t="str">
        <f t="shared" si="40"/>
        <v>Emily SIMMONDS (2014 - : #157b)</v>
      </c>
      <c r="AW43" t="str">
        <f>IF(AJ43&lt;&gt;"",VLOOKUP(AJ43,$P$3:$T$451,4,FALSE),"")</f>
        <v/>
      </c>
      <c r="AX43" t="str">
        <f t="shared" si="41"/>
        <v/>
      </c>
      <c r="AY43" t="str">
        <f t="shared" si="42"/>
        <v/>
      </c>
      <c r="AZ43" t="str">
        <f t="shared" si="33"/>
        <v/>
      </c>
      <c r="BA43" t="str">
        <f t="shared" si="34"/>
        <v/>
      </c>
      <c r="BB43" t="str">
        <f t="shared" si="35"/>
        <v/>
      </c>
      <c r="BD43" s="72">
        <v>157</v>
      </c>
      <c r="FZ43">
        <v>157001</v>
      </c>
      <c r="GA43">
        <v>157002</v>
      </c>
      <c r="GQ43">
        <v>314003</v>
      </c>
    </row>
    <row r="44" spans="1:199" ht="17">
      <c r="A44">
        <f>'All Girls &amp; Descendants - Edit'!B43</f>
        <v>70</v>
      </c>
      <c r="B44" t="str">
        <f>'All Girls &amp; Descendants - Edit'!C43</f>
        <v>70e</v>
      </c>
      <c r="C44" t="str">
        <f>'All Girls &amp; Descendants - Edit'!D43</f>
        <v>MICKLEM</v>
      </c>
      <c r="D44" t="str">
        <f>'All Girls &amp; Descendants - Edit'!E43</f>
        <v>Elizabeth</v>
      </c>
      <c r="E44" t="str">
        <f>IF('All Girls &amp; Descendants - Edit'!F43="","",'All Girls &amp; Descendants - Edit'!F43)</f>
        <v>Paula</v>
      </c>
      <c r="F44" t="str">
        <f>IF('All Girls &amp; Descendants - Edit'!G43="","",'All Girls &amp; Descendants - Edit'!G43)</f>
        <v/>
      </c>
      <c r="G44" t="str">
        <f>IF('All Girls &amp; Descendants - Edit'!H43="",D44,'All Girls &amp; Descendants - Edit'!H43)</f>
        <v>Elizabeth</v>
      </c>
      <c r="H44">
        <f>'All Girls &amp; Descendants - Edit'!I43</f>
        <v>1929</v>
      </c>
      <c r="I44" t="str">
        <f>'All Girls &amp; Descendants - Edit'!J43</f>
        <v/>
      </c>
      <c r="J44" s="101">
        <f>'All Girls &amp; Descendants - Edit'!K43</f>
        <v>0</v>
      </c>
      <c r="K44" s="3" t="str">
        <f>'All Girls &amp; Descendants - Edit'!L43</f>
        <v>16/02/1929</v>
      </c>
      <c r="L44" s="3" t="str">
        <f>'All Girls &amp; Descendants - Edit'!M43</f>
        <v>16/02/1929</v>
      </c>
      <c r="M44" s="3">
        <f>'All Girls &amp; Descendants - Edit'!N43</f>
        <v>19784</v>
      </c>
      <c r="N44" s="3">
        <f>'All Girls &amp; Descendants - Edit'!O43</f>
        <v>0</v>
      </c>
      <c r="O44" s="3" t="str">
        <f>'All Girls &amp; Descendants - Edit'!P43</f>
        <v/>
      </c>
      <c r="P44" t="str">
        <f t="shared" si="2"/>
        <v>70e</v>
      </c>
      <c r="Q44" s="116">
        <f t="shared" si="3"/>
        <v>1</v>
      </c>
      <c r="R44" s="31" t="str">
        <f t="shared" si="4"/>
        <v>Elizabeth Paula  MICKLEM</v>
      </c>
      <c r="S44" t="str">
        <f t="shared" si="5"/>
        <v>Elizabeth MICKLEM (1929 - : #70e)</v>
      </c>
      <c r="U44" s="126">
        <f t="shared" si="36"/>
        <v>70005</v>
      </c>
      <c r="V44" t="str">
        <f t="shared" si="6"/>
        <v>70e</v>
      </c>
      <c r="W44" s="126">
        <f t="shared" si="24"/>
        <v>70</v>
      </c>
      <c r="X44" s="126" t="str">
        <f t="shared" si="7"/>
        <v>e</v>
      </c>
      <c r="Y44" s="116"/>
      <c r="Z44" s="116"/>
      <c r="AB44" s="116"/>
      <c r="AE44" s="116">
        <f t="shared" si="19"/>
        <v>0</v>
      </c>
      <c r="AF44" s="99">
        <f t="shared" si="20"/>
        <v>158</v>
      </c>
      <c r="AG44" s="116">
        <f t="shared" si="21"/>
        <v>1</v>
      </c>
      <c r="AH44" s="117" t="str">
        <f t="shared" si="25"/>
        <v>158a</v>
      </c>
      <c r="AI44" s="117"/>
      <c r="AJ44" s="117"/>
      <c r="AK44" s="117"/>
      <c r="AL44" s="117"/>
      <c r="AM44" s="117"/>
      <c r="AN44" s="117"/>
      <c r="AO44" s="117"/>
      <c r="AP44" s="117"/>
      <c r="AQ44" s="126">
        <f>VLOOKUP(AR44,'Loyd List 1-190 - Edit'!$P$2:$R$208,3,FALSE)</f>
        <v>114</v>
      </c>
      <c r="AR44" s="126">
        <f t="shared" si="9"/>
        <v>158</v>
      </c>
      <c r="AS44" s="126">
        <f t="shared" si="23"/>
        <v>1</v>
      </c>
      <c r="AT44" s="97" t="str">
        <f t="shared" si="10"/>
        <v xml:space="preserve">1 - Theodore KYLE (2010 - : #158a)       </v>
      </c>
      <c r="AU44" t="str">
        <f t="shared" si="37"/>
        <v>Theodore KYLE (2010 - : #158a)</v>
      </c>
      <c r="AW44" t="str">
        <f>IF(AJ44&lt;&gt;"",VLOOKUP(AJ44,$P$3:$T$451,4,FALSE),"")</f>
        <v/>
      </c>
      <c r="AX44" t="str">
        <f t="shared" si="41"/>
        <v/>
      </c>
      <c r="AY44" t="str">
        <f t="shared" si="42"/>
        <v/>
      </c>
      <c r="AZ44" t="str">
        <f t="shared" si="33"/>
        <v/>
      </c>
      <c r="BA44" t="str">
        <f t="shared" si="34"/>
        <v/>
      </c>
      <c r="BB44" t="str">
        <f t="shared" si="35"/>
        <v/>
      </c>
      <c r="BD44" s="72">
        <v>158</v>
      </c>
      <c r="GB44">
        <v>158001</v>
      </c>
      <c r="GQ44">
        <v>158001</v>
      </c>
    </row>
    <row r="45" spans="1:199" ht="17">
      <c r="A45">
        <f>'All Girls &amp; Descendants - Edit'!B44</f>
        <v>70</v>
      </c>
      <c r="B45" t="str">
        <f>'All Girls &amp; Descendants - Edit'!C44</f>
        <v>70f</v>
      </c>
      <c r="C45" t="str">
        <f>'All Girls &amp; Descendants - Edit'!D44</f>
        <v>MICKLEM</v>
      </c>
      <c r="D45" t="str">
        <f>'All Girls &amp; Descendants - Edit'!E44</f>
        <v>Nathaniel</v>
      </c>
      <c r="E45" t="str">
        <f>IF('All Girls &amp; Descendants - Edit'!F44="","",'All Girls &amp; Descendants - Edit'!F44)</f>
        <v>Henry</v>
      </c>
      <c r="F45" t="str">
        <f>IF('All Girls &amp; Descendants - Edit'!G44="","",'All Girls &amp; Descendants - Edit'!G44)</f>
        <v>Stirling</v>
      </c>
      <c r="G45" t="str">
        <f>IF('All Girls &amp; Descendants - Edit'!H44="",D45,'All Girls &amp; Descendants - Edit'!H44)</f>
        <v>Nathaniel</v>
      </c>
      <c r="H45">
        <f>'All Girls &amp; Descendants - Edit'!I44</f>
        <v>1931</v>
      </c>
      <c r="I45">
        <f>'All Girls &amp; Descendants - Edit'!J44</f>
        <v>1950</v>
      </c>
      <c r="J45" s="101">
        <f>'All Girls &amp; Descendants - Edit'!K44</f>
        <v>0</v>
      </c>
      <c r="K45" s="3" t="str">
        <f>'All Girls &amp; Descendants - Edit'!L44</f>
        <v>21/09/1931</v>
      </c>
      <c r="L45" s="3" t="str">
        <f>'All Girls &amp; Descendants - Edit'!M44</f>
        <v>21/09/1931</v>
      </c>
      <c r="M45" s="3" t="str">
        <f>'All Girls &amp; Descendants - Edit'!N44</f>
        <v>Unmarried</v>
      </c>
      <c r="N45" s="3">
        <f>'All Girls &amp; Descendants - Edit'!O44</f>
        <v>18546</v>
      </c>
      <c r="O45" s="3" t="str">
        <f>'All Girls &amp; Descendants - Edit'!P44</f>
        <v>10/10/1950</v>
      </c>
      <c r="P45" t="str">
        <f t="shared" si="2"/>
        <v>70f</v>
      </c>
      <c r="Q45" s="116">
        <f t="shared" si="3"/>
        <v>1</v>
      </c>
      <c r="R45" s="31" t="str">
        <f t="shared" si="4"/>
        <v>Nathaniel Henry Stirling MICKLEM</v>
      </c>
      <c r="S45" t="str">
        <f t="shared" si="5"/>
        <v>Nathaniel MICKLEM (1931 - 1950: #70f)</v>
      </c>
      <c r="U45" s="126">
        <f t="shared" si="36"/>
        <v>70006</v>
      </c>
      <c r="V45" t="str">
        <f t="shared" si="6"/>
        <v>70f</v>
      </c>
      <c r="W45" s="126">
        <f t="shared" si="24"/>
        <v>70</v>
      </c>
      <c r="X45" s="126" t="str">
        <f t="shared" si="7"/>
        <v>f</v>
      </c>
      <c r="Y45" s="116"/>
      <c r="Z45" s="116"/>
      <c r="AB45" s="116"/>
      <c r="AE45" s="116">
        <f t="shared" si="19"/>
        <v>0</v>
      </c>
      <c r="AF45" s="99">
        <f t="shared" si="20"/>
        <v>159</v>
      </c>
      <c r="AG45" s="116">
        <f t="shared" si="21"/>
        <v>2</v>
      </c>
      <c r="AH45" s="117" t="str">
        <f t="shared" si="25"/>
        <v>159a</v>
      </c>
      <c r="AI45" s="117" t="str">
        <f t="shared" ref="AI45:AI50" si="43">VLOOKUP(IF(ISNUMBER(SMALL($BE45:$GP45,AI$3)),SMALL($BE45:$GP45,AI$3),""),$U$4:$V$165,2,FALSE)</f>
        <v>159b</v>
      </c>
      <c r="AJ45" s="117"/>
      <c r="AK45" s="117"/>
      <c r="AL45" s="117"/>
      <c r="AM45" s="117"/>
      <c r="AN45" s="117"/>
      <c r="AO45" s="117"/>
      <c r="AP45" s="117"/>
      <c r="AQ45" s="126">
        <f>VLOOKUP(AR45,'Loyd List 1-190 - Edit'!$P$2:$R$208,3,FALSE)</f>
        <v>114</v>
      </c>
      <c r="AR45" s="126">
        <f t="shared" si="9"/>
        <v>159</v>
      </c>
      <c r="AS45" s="126">
        <f t="shared" si="23"/>
        <v>2</v>
      </c>
      <c r="AT45" s="97" t="str">
        <f t="shared" si="10"/>
        <v xml:space="preserve">2 - Thomas GARDENER (2010 - : #159a) Alice GARDENER (2013 - : #159b)      </v>
      </c>
      <c r="AU45" t="str">
        <f t="shared" si="37"/>
        <v>Thomas GARDENER (2010 - : #159a)</v>
      </c>
      <c r="AV45" t="str">
        <f t="shared" ref="AV45:AV50" si="44">IF(AI45&lt;&gt;"",VLOOKUP(AI45,$P$3:$T$451,4,FALSE),"")</f>
        <v>Alice GARDENER (2013 - : #159b)</v>
      </c>
      <c r="AW45" t="str">
        <f>IF(AJ45&lt;&gt;"",VLOOKUP(AJ45,$P$3:$T$451,4,FALSE),"")</f>
        <v/>
      </c>
      <c r="AX45" t="str">
        <f t="shared" si="41"/>
        <v/>
      </c>
      <c r="AY45" t="str">
        <f t="shared" si="42"/>
        <v/>
      </c>
      <c r="AZ45" t="str">
        <f t="shared" si="33"/>
        <v/>
      </c>
      <c r="BA45" t="str">
        <f t="shared" si="34"/>
        <v/>
      </c>
      <c r="BB45" t="str">
        <f t="shared" si="35"/>
        <v/>
      </c>
      <c r="BD45" s="72">
        <v>159</v>
      </c>
      <c r="GC45">
        <v>159001</v>
      </c>
      <c r="GD45">
        <v>159002</v>
      </c>
      <c r="GQ45">
        <v>318003</v>
      </c>
    </row>
    <row r="46" spans="1:199" ht="17">
      <c r="A46">
        <f>'All Girls &amp; Descendants - Edit'!B45</f>
        <v>85</v>
      </c>
      <c r="B46" t="str">
        <f>'All Girls &amp; Descendants - Edit'!C45</f>
        <v>85a</v>
      </c>
      <c r="C46" t="str">
        <f>'All Girls &amp; Descendants - Edit'!D45</f>
        <v>LANE FOX</v>
      </c>
      <c r="D46" t="str">
        <f>'All Girls &amp; Descendants - Edit'!E45</f>
        <v>Martin</v>
      </c>
      <c r="E46" t="str">
        <f>IF('All Girls &amp; Descendants - Edit'!F45="","",'All Girls &amp; Descendants - Edit'!F45)</f>
        <v>James</v>
      </c>
      <c r="F46" t="str">
        <f>IF('All Girls &amp; Descendants - Edit'!G45="","",'All Girls &amp; Descendants - Edit'!G45)</f>
        <v/>
      </c>
      <c r="G46" t="str">
        <f>IF('All Girls &amp; Descendants - Edit'!H45="",D46,'All Girls &amp; Descendants - Edit'!H45)</f>
        <v>Martin</v>
      </c>
      <c r="H46">
        <f>'All Girls &amp; Descendants - Edit'!I45</f>
        <v>1938</v>
      </c>
      <c r="I46">
        <f>'All Girls &amp; Descendants - Edit'!J45</f>
        <v>2016</v>
      </c>
      <c r="J46" s="101">
        <f>'All Girls &amp; Descendants - Edit'!K45</f>
        <v>0</v>
      </c>
      <c r="K46" s="3" t="str">
        <f>'All Girls &amp; Descendants - Edit'!L45</f>
        <v>11/04/1938</v>
      </c>
      <c r="L46" s="3">
        <f>'All Girls &amp; Descendants - Edit'!M45</f>
        <v>13981</v>
      </c>
      <c r="M46" s="3">
        <f>'All Girls &amp; Descendants - Edit'!N45</f>
        <v>23797</v>
      </c>
      <c r="N46" s="3">
        <f>'All Girls &amp; Descendants - Edit'!O45</f>
        <v>42565</v>
      </c>
      <c r="O46" s="3" t="str">
        <f>'All Girls &amp; Descendants - Edit'!P45</f>
        <v>14/07/2016</v>
      </c>
      <c r="P46" t="str">
        <f t="shared" si="2"/>
        <v>85a</v>
      </c>
      <c r="Q46" s="116">
        <f t="shared" si="3"/>
        <v>1</v>
      </c>
      <c r="R46" s="31" t="str">
        <f t="shared" si="4"/>
        <v>Martin James  LANE FOX</v>
      </c>
      <c r="S46" t="str">
        <f t="shared" si="5"/>
        <v>Martin LANE FOX (1938 - 2016: #85a)</v>
      </c>
      <c r="U46" s="126">
        <f t="shared" si="36"/>
        <v>85001</v>
      </c>
      <c r="V46" t="str">
        <f t="shared" si="6"/>
        <v>85a</v>
      </c>
      <c r="W46" s="126">
        <f t="shared" si="24"/>
        <v>85</v>
      </c>
      <c r="X46" s="126" t="str">
        <f t="shared" si="7"/>
        <v>a</v>
      </c>
      <c r="Y46" s="116"/>
      <c r="Z46" s="116"/>
      <c r="AB46" s="116"/>
      <c r="AE46" s="116">
        <f t="shared" si="19"/>
        <v>0</v>
      </c>
      <c r="AF46" s="99">
        <f t="shared" si="20"/>
        <v>161</v>
      </c>
      <c r="AG46" s="116">
        <f t="shared" si="21"/>
        <v>2</v>
      </c>
      <c r="AH46" s="117" t="str">
        <f t="shared" si="25"/>
        <v>161a</v>
      </c>
      <c r="AI46" s="117" t="str">
        <f t="shared" si="43"/>
        <v>161b</v>
      </c>
      <c r="AJ46" s="117"/>
      <c r="AK46" s="117"/>
      <c r="AL46" s="117"/>
      <c r="AM46" s="117"/>
      <c r="AN46" s="117"/>
      <c r="AO46" s="117"/>
      <c r="AP46" s="117"/>
      <c r="AQ46" s="126">
        <f>VLOOKUP(AR46,'Loyd List 1-190 - Edit'!$P$2:$R$208,3,FALSE)</f>
        <v>119</v>
      </c>
      <c r="AR46" s="126">
        <f t="shared" si="9"/>
        <v>161</v>
      </c>
      <c r="AS46" s="126">
        <f t="shared" si="23"/>
        <v>2</v>
      </c>
      <c r="AT46" s="97" t="str">
        <f t="shared" si="10"/>
        <v xml:space="preserve">2 - Alexia HAYNS (2014 - : #161a) Edward HAYNS (2016 - : #161b)      </v>
      </c>
      <c r="AU46" t="str">
        <f t="shared" si="37"/>
        <v>Alexia HAYNS (2014 - : #161a)</v>
      </c>
      <c r="AV46" t="str">
        <f t="shared" si="44"/>
        <v>Edward HAYNS (2016 - : #161b)</v>
      </c>
      <c r="AX46" t="str">
        <f t="shared" si="41"/>
        <v/>
      </c>
      <c r="AY46" t="str">
        <f t="shared" si="42"/>
        <v/>
      </c>
      <c r="AZ46" t="str">
        <f t="shared" si="33"/>
        <v/>
      </c>
      <c r="BA46" t="str">
        <f t="shared" si="34"/>
        <v/>
      </c>
      <c r="BB46" t="str">
        <f t="shared" si="35"/>
        <v/>
      </c>
      <c r="BD46" s="72">
        <v>161</v>
      </c>
      <c r="GE46">
        <v>161001</v>
      </c>
      <c r="GF46">
        <v>161002</v>
      </c>
      <c r="GQ46">
        <v>322003</v>
      </c>
    </row>
    <row r="47" spans="1:199" ht="32" customHeight="1">
      <c r="A47">
        <f>'All Girls &amp; Descendants - Edit'!B46</f>
        <v>85</v>
      </c>
      <c r="B47" t="str">
        <f>'All Girls &amp; Descendants - Edit'!C46</f>
        <v>85b</v>
      </c>
      <c r="C47" t="str">
        <f>'All Girls &amp; Descendants - Edit'!D46</f>
        <v>LANE FOX</v>
      </c>
      <c r="D47" t="str">
        <f>'All Girls &amp; Descendants - Edit'!E46</f>
        <v>Edward</v>
      </c>
      <c r="E47" t="str">
        <f>IF('All Girls &amp; Descendants - Edit'!F46="","",'All Girls &amp; Descendants - Edit'!F46)</f>
        <v>James</v>
      </c>
      <c r="F47" t="str">
        <f>IF('All Girls &amp; Descendants - Edit'!G46="","",'All Girls &amp; Descendants - Edit'!G46)</f>
        <v/>
      </c>
      <c r="G47" t="str">
        <f>IF('All Girls &amp; Descendants - Edit'!H46="",D47,'All Girls &amp; Descendants - Edit'!H46)</f>
        <v>Edward</v>
      </c>
      <c r="H47">
        <f>'All Girls &amp; Descendants - Edit'!I46</f>
        <v>1939</v>
      </c>
      <c r="I47" t="str">
        <f>'All Girls &amp; Descendants - Edit'!J46</f>
        <v/>
      </c>
      <c r="J47" s="101">
        <f>'All Girls &amp; Descendants - Edit'!K46</f>
        <v>0</v>
      </c>
      <c r="K47" s="3" t="str">
        <f>'All Girls &amp; Descendants - Edit'!L46</f>
        <v>13/10/1939</v>
      </c>
      <c r="L47" s="3">
        <f>'All Girls &amp; Descendants - Edit'!M46</f>
        <v>14531</v>
      </c>
      <c r="M47" s="3">
        <f>'All Girls &amp; Descendants - Edit'!N46</f>
        <v>23188</v>
      </c>
      <c r="N47" s="3">
        <f>'All Girls &amp; Descendants - Edit'!O46</f>
        <v>0</v>
      </c>
      <c r="O47" s="3" t="str">
        <f>'All Girls &amp; Descendants - Edit'!P46</f>
        <v/>
      </c>
      <c r="P47" t="str">
        <f t="shared" si="2"/>
        <v>85b</v>
      </c>
      <c r="Q47" s="116">
        <f t="shared" si="3"/>
        <v>1</v>
      </c>
      <c r="R47" s="31" t="str">
        <f t="shared" si="4"/>
        <v>Edward James  LANE FOX</v>
      </c>
      <c r="S47" t="str">
        <f t="shared" si="5"/>
        <v>Edward LANE FOX (1939 - : #85b)</v>
      </c>
      <c r="U47" s="126">
        <f t="shared" si="36"/>
        <v>85002</v>
      </c>
      <c r="V47" t="str">
        <f t="shared" si="6"/>
        <v>85b</v>
      </c>
      <c r="W47" s="126">
        <f t="shared" si="24"/>
        <v>85</v>
      </c>
      <c r="X47" s="126" t="str">
        <f t="shared" si="7"/>
        <v>b</v>
      </c>
      <c r="Y47" s="116"/>
      <c r="Z47" s="116"/>
      <c r="AB47" s="116"/>
      <c r="AE47" s="116">
        <f t="shared" si="19"/>
        <v>0</v>
      </c>
      <c r="AF47" s="99">
        <f t="shared" si="20"/>
        <v>163</v>
      </c>
      <c r="AG47" s="116">
        <f t="shared" si="21"/>
        <v>2</v>
      </c>
      <c r="AH47" s="117" t="str">
        <f t="shared" si="25"/>
        <v>163a</v>
      </c>
      <c r="AI47" s="117" t="str">
        <f t="shared" si="43"/>
        <v>163b</v>
      </c>
      <c r="AJ47" s="117"/>
      <c r="AK47" s="117"/>
      <c r="AL47" s="117"/>
      <c r="AM47" s="117"/>
      <c r="AN47" s="117"/>
      <c r="AO47" s="117"/>
      <c r="AP47" s="117"/>
      <c r="AQ47" s="126">
        <f>VLOOKUP(AR47,'Loyd List 1-190 - Edit'!$P$2:$R$208,3,FALSE)</f>
        <v>119</v>
      </c>
      <c r="AR47" s="126">
        <f t="shared" si="9"/>
        <v>163</v>
      </c>
      <c r="AS47" s="126">
        <f t="shared" si="23"/>
        <v>2</v>
      </c>
      <c r="AT47" s="97" t="str">
        <f t="shared" si="10"/>
        <v xml:space="preserve">2 - 
Thomas DINSMORE (2012 - : #163a) Mary DINSMORE (2014 - : #163b)      </v>
      </c>
      <c r="AU47" t="str">
        <f t="shared" si="37"/>
        <v xml:space="preserve">
Thomas DINSMORE (2012 - : #163a)</v>
      </c>
      <c r="AV47" t="str">
        <f t="shared" si="44"/>
        <v>Mary DINSMORE (2014 - : #163b)</v>
      </c>
      <c r="AX47" t="str">
        <f t="shared" si="41"/>
        <v/>
      </c>
      <c r="AY47" t="str">
        <f t="shared" si="42"/>
        <v/>
      </c>
      <c r="AZ47" t="str">
        <f t="shared" si="33"/>
        <v/>
      </c>
      <c r="BA47" t="str">
        <f t="shared" si="34"/>
        <v/>
      </c>
      <c r="BB47" t="str">
        <f t="shared" si="35"/>
        <v/>
      </c>
      <c r="BD47" s="72">
        <v>163</v>
      </c>
      <c r="GG47">
        <v>163001</v>
      </c>
      <c r="GH47">
        <v>163002</v>
      </c>
      <c r="GQ47">
        <v>326003</v>
      </c>
    </row>
    <row r="48" spans="1:199" ht="17">
      <c r="A48">
        <f>'All Girls &amp; Descendants - Edit'!B47</f>
        <v>85</v>
      </c>
      <c r="B48" t="str">
        <f>'All Girls &amp; Descendants - Edit'!C47</f>
        <v>85c</v>
      </c>
      <c r="C48" t="str">
        <f>'All Girls &amp; Descendants - Edit'!D47</f>
        <v>LANE FOX</v>
      </c>
      <c r="D48" t="str">
        <f>'All Girls &amp; Descendants - Edit'!E47</f>
        <v>Jenny</v>
      </c>
      <c r="E48" t="str">
        <f>IF('All Girls &amp; Descendants - Edit'!F47="","",'All Girls &amp; Descendants - Edit'!F47)</f>
        <v/>
      </c>
      <c r="F48" t="str">
        <f>IF('All Girls &amp; Descendants - Edit'!G47="","",'All Girls &amp; Descendants - Edit'!G47)</f>
        <v/>
      </c>
      <c r="G48" t="str">
        <f>IF('All Girls &amp; Descendants - Edit'!H47="",D48,'All Girls &amp; Descendants - Edit'!H47)</f>
        <v>Jenny</v>
      </c>
      <c r="H48">
        <f>'All Girls &amp; Descendants - Edit'!I47</f>
        <v>1944</v>
      </c>
      <c r="I48" t="str">
        <f>'All Girls &amp; Descendants - Edit'!J47</f>
        <v/>
      </c>
      <c r="J48" s="101">
        <f>'All Girls &amp; Descendants - Edit'!K47</f>
        <v>0</v>
      </c>
      <c r="K48" s="3" t="str">
        <f>'All Girls &amp; Descendants - Edit'!L47</f>
        <v>29/12/1944</v>
      </c>
      <c r="L48" s="3">
        <f>'All Girls &amp; Descendants - Edit'!M47</f>
        <v>16435</v>
      </c>
      <c r="M48" s="3">
        <f>'All Girls &amp; Descendants - Edit'!N47</f>
        <v>28478</v>
      </c>
      <c r="N48" s="3">
        <f>'All Girls &amp; Descendants - Edit'!O47</f>
        <v>0</v>
      </c>
      <c r="O48" s="3" t="str">
        <f>'All Girls &amp; Descendants - Edit'!P47</f>
        <v/>
      </c>
      <c r="P48" t="str">
        <f t="shared" si="2"/>
        <v>85c</v>
      </c>
      <c r="Q48" s="116">
        <f t="shared" si="3"/>
        <v>1</v>
      </c>
      <c r="R48" s="31" t="str">
        <f t="shared" si="4"/>
        <v>Jenny   LANE FOX</v>
      </c>
      <c r="S48" t="str">
        <f t="shared" si="5"/>
        <v>Jenny LANE FOX (1944 - : #85c)</v>
      </c>
      <c r="U48" s="126">
        <f t="shared" si="36"/>
        <v>85003</v>
      </c>
      <c r="V48" t="str">
        <f t="shared" si="6"/>
        <v>85c</v>
      </c>
      <c r="W48" s="126">
        <f t="shared" si="24"/>
        <v>85</v>
      </c>
      <c r="X48" s="126" t="str">
        <f t="shared" si="7"/>
        <v>c</v>
      </c>
      <c r="Y48" s="116"/>
      <c r="Z48" s="116"/>
      <c r="AB48" s="116"/>
      <c r="AE48" s="116">
        <f t="shared" si="19"/>
        <v>0</v>
      </c>
      <c r="AF48" s="99">
        <f t="shared" si="20"/>
        <v>164</v>
      </c>
      <c r="AG48" s="116">
        <f t="shared" si="21"/>
        <v>3</v>
      </c>
      <c r="AH48" s="117" t="str">
        <f t="shared" si="25"/>
        <v>164a</v>
      </c>
      <c r="AI48" s="117" t="str">
        <f t="shared" si="43"/>
        <v>164b</v>
      </c>
      <c r="AJ48" s="117" t="str">
        <f>VLOOKUP(IF(ISNUMBER(SMALL($BE48:$GP48,AJ$3)),SMALL($BE48:$GP48,AJ$3),""),$U$4:$V$165,2,FALSE)</f>
        <v>164c</v>
      </c>
      <c r="AK48" s="117"/>
      <c r="AL48" s="117"/>
      <c r="AM48" s="117"/>
      <c r="AN48" s="117"/>
      <c r="AO48" s="117"/>
      <c r="AP48" s="117"/>
      <c r="AQ48" s="126">
        <f>VLOOKUP(AR48,'Loyd List 1-190 - Edit'!$P$2:$R$208,3,FALSE)</f>
        <v>136</v>
      </c>
      <c r="AR48" s="126">
        <f t="shared" si="9"/>
        <v>164</v>
      </c>
      <c r="AS48" s="126">
        <f t="shared" si="23"/>
        <v>3</v>
      </c>
      <c r="AT48" s="97" t="str">
        <f t="shared" si="10"/>
        <v xml:space="preserve">3 - Freddie LEASK (2016 - : #164a) Hamish LEASK (2018 - : #164b) Otto LEASK (2020 - : #164c)     </v>
      </c>
      <c r="AU48" t="str">
        <f t="shared" si="37"/>
        <v>Freddie LEASK (2016 - : #164a)</v>
      </c>
      <c r="AV48" t="str">
        <f t="shared" si="44"/>
        <v>Hamish LEASK (2018 - : #164b)</v>
      </c>
      <c r="AW48" t="str">
        <f>IF(AJ48&lt;&gt;"",VLOOKUP(AJ48,$P$3:$T$451,4,FALSE),"")</f>
        <v>Otto LEASK (2020 - : #164c)</v>
      </c>
      <c r="AX48" t="str">
        <f t="shared" si="41"/>
        <v/>
      </c>
      <c r="AY48" t="str">
        <f t="shared" si="42"/>
        <v/>
      </c>
      <c r="AZ48" t="str">
        <f t="shared" si="33"/>
        <v/>
      </c>
      <c r="BA48" t="str">
        <f t="shared" si="34"/>
        <v/>
      </c>
      <c r="BB48" t="str">
        <f t="shared" si="35"/>
        <v/>
      </c>
      <c r="BD48" s="72">
        <v>164</v>
      </c>
      <c r="GI48">
        <v>164001</v>
      </c>
      <c r="GJ48">
        <v>164002</v>
      </c>
      <c r="GK48">
        <v>164003</v>
      </c>
      <c r="GQ48">
        <v>492006</v>
      </c>
    </row>
    <row r="49" spans="1:199" ht="17">
      <c r="A49">
        <f>'All Girls &amp; Descendants - Edit'!B48</f>
        <v>85</v>
      </c>
      <c r="B49" t="str">
        <f>'All Girls &amp; Descendants - Edit'!C48</f>
        <v>85d</v>
      </c>
      <c r="C49" t="str">
        <f>'All Girls &amp; Descendants - Edit'!D48</f>
        <v>LANE FOX</v>
      </c>
      <c r="D49" t="str">
        <f>'All Girls &amp; Descendants - Edit'!E48</f>
        <v>Robin</v>
      </c>
      <c r="E49" t="str">
        <f>IF('All Girls &amp; Descendants - Edit'!F48="","",'All Girls &amp; Descendants - Edit'!F48)</f>
        <v>James</v>
      </c>
      <c r="F49" t="str">
        <f>IF('All Girls &amp; Descendants - Edit'!G48="","",'All Girls &amp; Descendants - Edit'!G48)</f>
        <v/>
      </c>
      <c r="G49" t="str">
        <f>IF('All Girls &amp; Descendants - Edit'!H48="",D49,'All Girls &amp; Descendants - Edit'!H48)</f>
        <v>Robin</v>
      </c>
      <c r="H49">
        <f>'All Girls &amp; Descendants - Edit'!I48</f>
        <v>1946</v>
      </c>
      <c r="I49" t="str">
        <f>'All Girls &amp; Descendants - Edit'!J48</f>
        <v/>
      </c>
      <c r="J49" s="101">
        <f>'All Girls &amp; Descendants - Edit'!K48</f>
        <v>0</v>
      </c>
      <c r="K49" s="3" t="str">
        <f>'All Girls &amp; Descendants - Edit'!L48</f>
        <v>05/10/1946</v>
      </c>
      <c r="L49" s="3">
        <f>'All Girls &amp; Descendants - Edit'!M48</f>
        <v>17080</v>
      </c>
      <c r="M49" s="3">
        <f>'All Girls &amp; Descendants - Edit'!N48</f>
        <v>25745</v>
      </c>
      <c r="N49" s="3">
        <f>'All Girls &amp; Descendants - Edit'!O48</f>
        <v>0</v>
      </c>
      <c r="O49" s="3" t="str">
        <f>'All Girls &amp; Descendants - Edit'!P48</f>
        <v/>
      </c>
      <c r="P49" t="str">
        <f t="shared" si="2"/>
        <v>85d</v>
      </c>
      <c r="Q49" s="116">
        <f t="shared" si="3"/>
        <v>1</v>
      </c>
      <c r="R49" s="31" t="str">
        <f t="shared" si="4"/>
        <v>Robin James  LANE FOX</v>
      </c>
      <c r="S49" t="str">
        <f t="shared" si="5"/>
        <v>Robin LANE FOX (1946 - : #85d)</v>
      </c>
      <c r="U49" s="126">
        <f t="shared" si="36"/>
        <v>85004</v>
      </c>
      <c r="V49" t="str">
        <f t="shared" si="6"/>
        <v>85d</v>
      </c>
      <c r="W49" s="126">
        <f t="shared" si="24"/>
        <v>85</v>
      </c>
      <c r="X49" s="126" t="str">
        <f t="shared" si="7"/>
        <v>d</v>
      </c>
      <c r="Y49" s="116"/>
      <c r="Z49" s="116"/>
      <c r="AB49" s="116"/>
      <c r="AE49" s="116">
        <f t="shared" si="19"/>
        <v>0</v>
      </c>
      <c r="AF49" s="99">
        <f t="shared" si="20"/>
        <v>165</v>
      </c>
      <c r="AG49" s="116">
        <f t="shared" si="21"/>
        <v>2</v>
      </c>
      <c r="AH49" s="117" t="str">
        <f t="shared" si="25"/>
        <v>165a</v>
      </c>
      <c r="AI49" s="117" t="str">
        <f t="shared" si="43"/>
        <v>165b</v>
      </c>
      <c r="AJ49" s="117"/>
      <c r="AK49" s="117"/>
      <c r="AL49" s="117"/>
      <c r="AM49" s="117"/>
      <c r="AN49" s="117"/>
      <c r="AO49" s="117"/>
      <c r="AP49" s="117"/>
      <c r="AQ49" s="126">
        <f>VLOOKUP(AR49,'Loyd List 1-190 - Edit'!$P$2:$R$208,3,FALSE)</f>
        <v>136</v>
      </c>
      <c r="AR49" s="126">
        <f t="shared" si="9"/>
        <v>165</v>
      </c>
      <c r="AS49" s="126">
        <f t="shared" si="23"/>
        <v>2</v>
      </c>
      <c r="AT49" s="97" t="str">
        <f t="shared" si="10"/>
        <v xml:space="preserve">2 - Leila PURI (2017 - : #165a) Alana PURI (2019 - : #165b)      </v>
      </c>
      <c r="AU49" t="str">
        <f t="shared" si="37"/>
        <v>Leila PURI (2017 - : #165a)</v>
      </c>
      <c r="AV49" t="str">
        <f t="shared" si="44"/>
        <v>Alana PURI (2019 - : #165b)</v>
      </c>
      <c r="AW49" t="str">
        <f>IF(AJ49&lt;&gt;"",VLOOKUP(AJ49,$P$3:$T$451,4,FALSE),"")</f>
        <v/>
      </c>
      <c r="AX49" t="str">
        <f t="shared" si="41"/>
        <v/>
      </c>
      <c r="AY49" t="str">
        <f t="shared" si="42"/>
        <v/>
      </c>
      <c r="AZ49" t="str">
        <f t="shared" si="33"/>
        <v/>
      </c>
      <c r="BA49" t="str">
        <f t="shared" si="34"/>
        <v/>
      </c>
      <c r="BB49" t="str">
        <f t="shared" si="35"/>
        <v/>
      </c>
      <c r="BD49" s="72">
        <v>165</v>
      </c>
      <c r="GL49">
        <v>165001</v>
      </c>
      <c r="GM49">
        <v>165002</v>
      </c>
      <c r="GQ49">
        <v>330003</v>
      </c>
    </row>
    <row r="50" spans="1:199" ht="17">
      <c r="A50">
        <f>'All Girls &amp; Descendants - Edit'!B49</f>
        <v>88</v>
      </c>
      <c r="B50" t="str">
        <f>'All Girls &amp; Descendants - Edit'!C49</f>
        <v>88a</v>
      </c>
      <c r="C50" t="str">
        <f>'All Girls &amp; Descendants - Edit'!D49</f>
        <v>BAIRD</v>
      </c>
      <c r="D50" t="str">
        <f>'All Girls &amp; Descendants - Edit'!E49</f>
        <v>Lady Diana</v>
      </c>
      <c r="E50" t="str">
        <f>IF('All Girls &amp; Descendants - Edit'!F49="","",'All Girls &amp; Descendants - Edit'!F49)</f>
        <v>Elizabeth</v>
      </c>
      <c r="F50" t="str">
        <f>IF('All Girls &amp; Descendants - Edit'!G49="","",'All Girls &amp; Descendants - Edit'!G49)</f>
        <v>Virginia Sydney</v>
      </c>
      <c r="G50" t="str">
        <f>IF('All Girls &amp; Descendants - Edit'!H49="",D50,'All Girls &amp; Descendants - Edit'!H49)</f>
        <v>Lady Diana</v>
      </c>
      <c r="H50">
        <f>'All Girls &amp; Descendants - Edit'!I49</f>
        <v>1937</v>
      </c>
      <c r="I50" t="str">
        <f>'All Girls &amp; Descendants - Edit'!J49</f>
        <v/>
      </c>
      <c r="J50" s="101">
        <f>'All Girls &amp; Descendants - Edit'!K49</f>
        <v>0</v>
      </c>
      <c r="K50" s="3" t="str">
        <f>'All Girls &amp; Descendants - Edit'!L49</f>
        <v>22/06/1937</v>
      </c>
      <c r="L50" s="3">
        <f>'All Girls &amp; Descendants - Edit'!M49</f>
        <v>13688</v>
      </c>
      <c r="M50" s="3">
        <f>'All Girls &amp; Descendants - Edit'!N49</f>
        <v>21021</v>
      </c>
      <c r="N50" s="3">
        <f>'All Girls &amp; Descendants - Edit'!O49</f>
        <v>0</v>
      </c>
      <c r="O50" s="3" t="str">
        <f>'All Girls &amp; Descendants - Edit'!P49</f>
        <v/>
      </c>
      <c r="P50" t="str">
        <f t="shared" si="2"/>
        <v>88a</v>
      </c>
      <c r="Q50" s="116">
        <f t="shared" si="3"/>
        <v>1</v>
      </c>
      <c r="R50" s="31" t="str">
        <f t="shared" si="4"/>
        <v>Lady Diana Elizabeth Virginia Sydney BAIRD</v>
      </c>
      <c r="S50" t="str">
        <f t="shared" si="5"/>
        <v>Lady Diana BAIRD (1937 - : #88a)</v>
      </c>
      <c r="U50" s="126">
        <f t="shared" si="36"/>
        <v>88001</v>
      </c>
      <c r="V50" t="str">
        <f t="shared" si="6"/>
        <v>88a</v>
      </c>
      <c r="W50" s="126">
        <f t="shared" si="24"/>
        <v>88</v>
      </c>
      <c r="X50" s="126" t="str">
        <f t="shared" si="7"/>
        <v>a</v>
      </c>
      <c r="Y50" s="116"/>
      <c r="Z50" s="116"/>
      <c r="AB50" s="116"/>
      <c r="AE50" s="116">
        <f t="shared" si="19"/>
        <v>0</v>
      </c>
      <c r="AF50" s="99">
        <f>BD50</f>
        <v>168</v>
      </c>
      <c r="AG50" s="116">
        <f t="shared" si="21"/>
        <v>2</v>
      </c>
      <c r="AH50" s="117" t="str">
        <f t="shared" si="25"/>
        <v>168a</v>
      </c>
      <c r="AI50" s="117" t="str">
        <f t="shared" si="43"/>
        <v>168b</v>
      </c>
      <c r="AJ50" s="117"/>
      <c r="AK50" s="117"/>
      <c r="AL50" s="117"/>
      <c r="AM50" s="117"/>
      <c r="AN50" s="117"/>
      <c r="AO50" s="117"/>
      <c r="AP50" s="117"/>
      <c r="AQ50" s="126">
        <f>VLOOKUP(AR50,'Loyd List 1-190 - Edit'!$P$2:$R$208,3,FALSE)</f>
        <v>138</v>
      </c>
      <c r="AR50" s="126">
        <f>AF50</f>
        <v>168</v>
      </c>
      <c r="AS50" s="126">
        <f>AG50</f>
        <v>2</v>
      </c>
      <c r="AT50" s="97" t="str">
        <f>_xlfn.CONCAT(AG50," - ",AU50," ",AV50," ",AW50," ",AX50," ",AY50," ",AZ50," ",BA50," ",BB50)</f>
        <v xml:space="preserve">2 - Nicholas POWELL (2020 - : #168a) Florence POWELL  (2022 - : #168b)      </v>
      </c>
      <c r="AU50" t="str">
        <f t="shared" si="37"/>
        <v>Nicholas POWELL (2020 - : #168a)</v>
      </c>
      <c r="AV50" t="str">
        <f t="shared" si="44"/>
        <v>Florence POWELL  (2022 - : #168b)</v>
      </c>
      <c r="BD50" s="72">
        <v>168</v>
      </c>
      <c r="GN50">
        <v>168001</v>
      </c>
      <c r="GO50">
        <v>168002</v>
      </c>
      <c r="GQ50">
        <v>336003</v>
      </c>
    </row>
    <row r="51" spans="1:199" ht="17">
      <c r="A51">
        <f>'All Girls &amp; Descendants - Edit'!B50</f>
        <v>88</v>
      </c>
      <c r="B51" t="str">
        <f>'All Girls &amp; Descendants - Edit'!C50</f>
        <v>88b</v>
      </c>
      <c r="C51" t="str">
        <f>'All Girls &amp; Descendants - Edit'!D50</f>
        <v>KEITH</v>
      </c>
      <c r="D51" t="str">
        <f>'All Girls &amp; Descendants - Edit'!E50</f>
        <v>Michael</v>
      </c>
      <c r="E51" t="str">
        <f>IF('All Girls &amp; Descendants - Edit'!F50="","",'All Girls &amp; Descendants - Edit'!F50)</f>
        <v>Canning</v>
      </c>
      <c r="F51" t="str">
        <f>IF('All Girls &amp; Descendants - Edit'!G50="","",'All Girls &amp; Descendants - Edit'!G50)</f>
        <v>William John</v>
      </c>
      <c r="G51" t="str">
        <f>IF('All Girls &amp; Descendants - Edit'!H50="",D51,'All Girls &amp; Descendants - Edit'!H50)</f>
        <v>Michael</v>
      </c>
      <c r="H51">
        <f>'All Girls &amp; Descendants - Edit'!I50</f>
        <v>1939</v>
      </c>
      <c r="I51">
        <f>'All Girls &amp; Descendants - Edit'!J50</f>
        <v>2004</v>
      </c>
      <c r="J51" s="101">
        <f>'All Girls &amp; Descendants - Edit'!K50</f>
        <v>0</v>
      </c>
      <c r="K51" s="3" t="str">
        <f>'All Girls &amp; Descendants - Edit'!L50</f>
        <v>22/02/1939</v>
      </c>
      <c r="L51" s="3">
        <f>'All Girls &amp; Descendants - Edit'!M50</f>
        <v>14298</v>
      </c>
      <c r="M51" s="3">
        <f>'All Girls &amp; Descendants - Edit'!N50</f>
        <v>26581</v>
      </c>
      <c r="N51" s="3">
        <f>'All Girls &amp; Descendants - Edit'!O50</f>
        <v>0</v>
      </c>
      <c r="O51" s="3" t="str">
        <f>'All Girls &amp; Descendants - Edit'!P50</f>
        <v/>
      </c>
      <c r="P51" t="str">
        <f t="shared" si="2"/>
        <v>88b</v>
      </c>
      <c r="Q51" s="116">
        <f t="shared" si="3"/>
        <v>1</v>
      </c>
      <c r="R51" s="31" t="str">
        <f t="shared" si="4"/>
        <v>Michael Canning William John KEITH</v>
      </c>
      <c r="S51" t="str">
        <f t="shared" si="5"/>
        <v>Michael KEITH (1939 - 2004: #88b)</v>
      </c>
      <c r="U51" s="126">
        <f t="shared" si="36"/>
        <v>88002</v>
      </c>
      <c r="V51" t="str">
        <f t="shared" si="6"/>
        <v>88b</v>
      </c>
      <c r="W51" s="126">
        <f t="shared" si="24"/>
        <v>88</v>
      </c>
      <c r="X51" s="126" t="str">
        <f t="shared" si="7"/>
        <v>b</v>
      </c>
      <c r="Y51" s="116"/>
      <c r="Z51" s="116"/>
      <c r="AB51" s="116"/>
      <c r="AE51" s="116">
        <f t="shared" si="19"/>
        <v>0</v>
      </c>
      <c r="AF51" s="99">
        <f>BD51</f>
        <v>170</v>
      </c>
      <c r="AG51" s="116">
        <f t="shared" si="21"/>
        <v>1</v>
      </c>
      <c r="AH51" s="117" t="str">
        <f t="shared" si="25"/>
        <v>170a</v>
      </c>
      <c r="AI51" s="117"/>
      <c r="AQ51" s="126">
        <f>VLOOKUP(AR51,'Loyd List 1-190 - Edit'!$P$2:$R$208,3,FALSE)</f>
        <v>138</v>
      </c>
      <c r="AR51" s="126">
        <f>AF51</f>
        <v>170</v>
      </c>
      <c r="AS51" s="126">
        <f>AG51</f>
        <v>1</v>
      </c>
      <c r="AT51" s="97" t="str">
        <f>_xlfn.CONCAT(AG51," - ",AU51," ",AV51," ",AW51," ",AX51," ",AY51," ",AZ51," ",BA51," ",BB51)</f>
        <v xml:space="preserve">1 - Angus POWELL (2021 - : #170a)       </v>
      </c>
      <c r="AU51" t="str">
        <f t="shared" si="37"/>
        <v>Angus POWELL (2021 - : #170a)</v>
      </c>
      <c r="BD51" s="72">
        <v>170</v>
      </c>
      <c r="GP51">
        <v>170001</v>
      </c>
      <c r="GQ51">
        <v>170001</v>
      </c>
    </row>
    <row r="52" spans="1:199">
      <c r="A52">
        <f>'All Girls &amp; Descendants - Edit'!B51</f>
        <v>88</v>
      </c>
      <c r="B52" t="str">
        <f>'All Girls &amp; Descendants - Edit'!C51</f>
        <v>88c</v>
      </c>
      <c r="C52" t="str">
        <f>'All Girls &amp; Descendants - Edit'!D51</f>
        <v>BAIRD</v>
      </c>
      <c r="D52" t="str">
        <f>'All Girls &amp; Descendants - Edit'!E51</f>
        <v>The Hon Alexander</v>
      </c>
      <c r="E52" t="str">
        <f>IF('All Girls &amp; Descendants - Edit'!F51="","",'All Girls &amp; Descendants - Edit'!F51)</f>
        <v>David</v>
      </c>
      <c r="F52" t="str">
        <f>IF('All Girls &amp; Descendants - Edit'!G51="","",'All Girls &amp; Descendants - Edit'!G51)</f>
        <v/>
      </c>
      <c r="G52" t="str">
        <f>IF('All Girls &amp; Descendants - Edit'!H51="",D52,'All Girls &amp; Descendants - Edit'!H51)</f>
        <v>The Hon Alexander</v>
      </c>
      <c r="H52">
        <f>'All Girls &amp; Descendants - Edit'!I51</f>
        <v>1946</v>
      </c>
      <c r="I52" t="str">
        <f>'All Girls &amp; Descendants - Edit'!J51</f>
        <v/>
      </c>
      <c r="J52" s="101">
        <f>'All Girls &amp; Descendants - Edit'!K51</f>
        <v>0</v>
      </c>
      <c r="K52" s="3" t="str">
        <f>'All Girls &amp; Descendants - Edit'!L51</f>
        <v>21/04/1946</v>
      </c>
      <c r="L52" s="3">
        <f>'All Girls &amp; Descendants - Edit'!M51</f>
        <v>16913</v>
      </c>
      <c r="M52" s="3">
        <f>'All Girls &amp; Descendants - Edit'!N51</f>
        <v>0</v>
      </c>
      <c r="N52" s="3">
        <f>'All Girls &amp; Descendants - Edit'!O51</f>
        <v>0</v>
      </c>
      <c r="O52" s="3" t="str">
        <f>'All Girls &amp; Descendants - Edit'!P51</f>
        <v/>
      </c>
      <c r="P52" t="str">
        <f t="shared" si="2"/>
        <v>88c</v>
      </c>
      <c r="Q52" s="116">
        <f t="shared" si="3"/>
        <v>1</v>
      </c>
      <c r="R52" s="31" t="str">
        <f t="shared" si="4"/>
        <v>The Hon Alexander David  BAIRD</v>
      </c>
      <c r="S52" t="str">
        <f t="shared" si="5"/>
        <v>The Hon Alexander BAIRD (1946 - : #88c)</v>
      </c>
      <c r="U52" s="126">
        <f t="shared" si="36"/>
        <v>88003</v>
      </c>
      <c r="V52" t="str">
        <f t="shared" si="6"/>
        <v>88c</v>
      </c>
      <c r="W52" s="126">
        <f t="shared" si="24"/>
        <v>88</v>
      </c>
      <c r="X52" s="126" t="str">
        <f t="shared" si="7"/>
        <v>c</v>
      </c>
      <c r="Y52" s="116"/>
      <c r="Z52" s="116"/>
      <c r="AB52" s="116"/>
      <c r="AF52" s="99"/>
      <c r="AG52" s="116"/>
      <c r="AH52" s="117"/>
      <c r="AQ52" s="126"/>
      <c r="AR52" s="126"/>
      <c r="AS52" s="126"/>
      <c r="BD52" s="72" t="s">
        <v>2812</v>
      </c>
      <c r="BE52">
        <v>2001</v>
      </c>
      <c r="BF52">
        <v>2002</v>
      </c>
      <c r="BG52">
        <v>2003</v>
      </c>
      <c r="BH52">
        <v>11001</v>
      </c>
      <c r="BI52">
        <v>11002</v>
      </c>
      <c r="BJ52">
        <v>11003</v>
      </c>
      <c r="BK52">
        <v>11004</v>
      </c>
      <c r="BL52">
        <v>11005</v>
      </c>
      <c r="BM52">
        <v>18001</v>
      </c>
      <c r="BN52">
        <v>18002</v>
      </c>
      <c r="BO52">
        <v>18003</v>
      </c>
      <c r="BP52">
        <v>18004</v>
      </c>
      <c r="BQ52">
        <v>18005</v>
      </c>
      <c r="BR52">
        <v>19001</v>
      </c>
      <c r="BS52">
        <v>19002</v>
      </c>
      <c r="BT52">
        <v>19003</v>
      </c>
      <c r="BU52">
        <v>19004</v>
      </c>
      <c r="BV52">
        <v>19005</v>
      </c>
      <c r="BW52">
        <v>36001</v>
      </c>
      <c r="BX52">
        <v>36002</v>
      </c>
      <c r="BY52">
        <v>36003</v>
      </c>
      <c r="BZ52">
        <v>36004</v>
      </c>
      <c r="CA52">
        <v>36005</v>
      </c>
      <c r="CB52">
        <v>36006</v>
      </c>
      <c r="CC52">
        <v>36007</v>
      </c>
      <c r="CD52">
        <v>36008</v>
      </c>
      <c r="CE52">
        <v>42001</v>
      </c>
      <c r="CF52">
        <v>47001</v>
      </c>
      <c r="CG52">
        <v>47002</v>
      </c>
      <c r="CH52">
        <v>48001</v>
      </c>
      <c r="CI52">
        <v>63001</v>
      </c>
      <c r="CJ52">
        <v>63002</v>
      </c>
      <c r="CK52">
        <v>63003</v>
      </c>
      <c r="CL52">
        <v>65001</v>
      </c>
      <c r="CM52">
        <v>65002</v>
      </c>
      <c r="CN52">
        <v>65003</v>
      </c>
      <c r="CO52">
        <v>70001</v>
      </c>
      <c r="CP52">
        <v>70002</v>
      </c>
      <c r="CQ52">
        <v>70003</v>
      </c>
      <c r="CR52">
        <v>70004</v>
      </c>
      <c r="CS52">
        <v>70005</v>
      </c>
      <c r="CT52">
        <v>70006</v>
      </c>
      <c r="CU52">
        <v>85001</v>
      </c>
      <c r="CV52">
        <v>85002</v>
      </c>
      <c r="CW52">
        <v>85003</v>
      </c>
      <c r="CX52">
        <v>85004</v>
      </c>
      <c r="CY52">
        <v>88001</v>
      </c>
      <c r="CZ52">
        <v>88002</v>
      </c>
      <c r="DA52">
        <v>88003</v>
      </c>
      <c r="DB52">
        <v>90001</v>
      </c>
      <c r="DC52">
        <v>90002</v>
      </c>
      <c r="DD52">
        <v>90003</v>
      </c>
      <c r="DE52">
        <v>92001</v>
      </c>
      <c r="DF52">
        <v>92002</v>
      </c>
      <c r="DG52">
        <v>92003</v>
      </c>
      <c r="DH52">
        <v>92004</v>
      </c>
      <c r="DI52">
        <v>95001</v>
      </c>
      <c r="DJ52">
        <v>95002</v>
      </c>
      <c r="DK52">
        <v>97001</v>
      </c>
      <c r="DL52">
        <v>97002</v>
      </c>
      <c r="DM52">
        <v>97003</v>
      </c>
      <c r="DN52">
        <v>97004</v>
      </c>
      <c r="DO52">
        <v>97005</v>
      </c>
      <c r="DP52">
        <v>101001</v>
      </c>
      <c r="DQ52">
        <v>101002</v>
      </c>
      <c r="DR52">
        <v>101003</v>
      </c>
      <c r="DS52">
        <v>101004</v>
      </c>
      <c r="DT52">
        <v>101005</v>
      </c>
      <c r="DU52">
        <v>101006</v>
      </c>
      <c r="DV52">
        <v>102001</v>
      </c>
      <c r="DW52">
        <v>102002</v>
      </c>
      <c r="DX52">
        <v>102003</v>
      </c>
      <c r="DY52">
        <v>103001</v>
      </c>
      <c r="DZ52">
        <v>103002</v>
      </c>
      <c r="EA52">
        <v>103003</v>
      </c>
      <c r="EB52">
        <v>103004</v>
      </c>
      <c r="EC52">
        <v>106001</v>
      </c>
      <c r="ED52">
        <v>106002</v>
      </c>
      <c r="EE52">
        <v>107001</v>
      </c>
      <c r="EF52">
        <v>107002</v>
      </c>
      <c r="EG52">
        <v>107003</v>
      </c>
      <c r="EH52">
        <v>107004</v>
      </c>
      <c r="EI52">
        <v>107005</v>
      </c>
      <c r="EJ52">
        <v>108001</v>
      </c>
      <c r="EK52">
        <v>108002</v>
      </c>
      <c r="EL52">
        <v>108003</v>
      </c>
      <c r="EM52">
        <v>108004</v>
      </c>
      <c r="EN52">
        <v>109001</v>
      </c>
      <c r="EO52">
        <v>109002</v>
      </c>
      <c r="EP52">
        <v>110001</v>
      </c>
      <c r="EQ52">
        <v>110002</v>
      </c>
      <c r="ER52">
        <v>110003</v>
      </c>
      <c r="ES52">
        <v>110004</v>
      </c>
      <c r="ET52">
        <v>112001</v>
      </c>
      <c r="EU52">
        <v>112002</v>
      </c>
      <c r="EV52">
        <v>112003</v>
      </c>
      <c r="EW52">
        <v>112004</v>
      </c>
      <c r="EX52">
        <v>115001</v>
      </c>
      <c r="EY52">
        <v>115002</v>
      </c>
      <c r="EZ52">
        <v>115003</v>
      </c>
      <c r="FA52">
        <v>115004</v>
      </c>
      <c r="FB52">
        <v>115005</v>
      </c>
      <c r="FC52">
        <v>116001</v>
      </c>
      <c r="FD52">
        <v>116002</v>
      </c>
      <c r="FE52">
        <v>116003</v>
      </c>
      <c r="FF52">
        <v>123001</v>
      </c>
      <c r="FG52">
        <v>123002</v>
      </c>
      <c r="FH52">
        <v>125001</v>
      </c>
      <c r="FI52">
        <v>125002</v>
      </c>
      <c r="FJ52">
        <v>128001</v>
      </c>
      <c r="FK52">
        <v>128002</v>
      </c>
      <c r="FL52">
        <v>137001</v>
      </c>
      <c r="FM52">
        <v>140001</v>
      </c>
      <c r="FN52">
        <v>140002</v>
      </c>
      <c r="FO52">
        <v>141001</v>
      </c>
      <c r="FP52">
        <v>141002</v>
      </c>
      <c r="FQ52">
        <v>143001</v>
      </c>
      <c r="FR52">
        <v>143002</v>
      </c>
      <c r="FS52">
        <v>152001</v>
      </c>
      <c r="FT52">
        <v>152002</v>
      </c>
      <c r="FU52">
        <v>154001</v>
      </c>
      <c r="FV52">
        <v>154002</v>
      </c>
      <c r="FW52">
        <v>154003</v>
      </c>
      <c r="FX52">
        <v>156001</v>
      </c>
      <c r="FY52">
        <v>156002</v>
      </c>
      <c r="FZ52">
        <v>157001</v>
      </c>
      <c r="GA52">
        <v>157002</v>
      </c>
      <c r="GB52">
        <v>158001</v>
      </c>
      <c r="GC52">
        <v>159001</v>
      </c>
      <c r="GD52">
        <v>159002</v>
      </c>
      <c r="GE52">
        <v>161001</v>
      </c>
      <c r="GF52">
        <v>161002</v>
      </c>
      <c r="GG52">
        <v>163001</v>
      </c>
      <c r="GH52">
        <v>163002</v>
      </c>
      <c r="GI52">
        <v>164001</v>
      </c>
      <c r="GJ52">
        <v>164002</v>
      </c>
      <c r="GK52">
        <v>164003</v>
      </c>
      <c r="GL52">
        <v>165001</v>
      </c>
      <c r="GM52">
        <v>165002</v>
      </c>
      <c r="GN52">
        <v>168001</v>
      </c>
      <c r="GO52">
        <v>168002</v>
      </c>
      <c r="GP52">
        <v>170001</v>
      </c>
      <c r="GQ52">
        <v>13552341</v>
      </c>
    </row>
    <row r="53" spans="1:199">
      <c r="A53">
        <f>'All Girls &amp; Descendants - Edit'!B52</f>
        <v>90</v>
      </c>
      <c r="B53" t="str">
        <f>'All Girls &amp; Descendants - Edit'!C52</f>
        <v>90a</v>
      </c>
      <c r="C53" t="str">
        <f>'All Girls &amp; Descendants - Edit'!D52</f>
        <v>MARSHAM-TOWNHEND</v>
      </c>
      <c r="D53" t="str">
        <f>'All Girls &amp; Descendants - Edit'!E52</f>
        <v>June</v>
      </c>
      <c r="E53" t="str">
        <f>IF('All Girls &amp; Descendants - Edit'!F52="","",'All Girls &amp; Descendants - Edit'!F52)</f>
        <v/>
      </c>
      <c r="F53" t="str">
        <f>IF('All Girls &amp; Descendants - Edit'!G52="","",'All Girls &amp; Descendants - Edit'!G52)</f>
        <v/>
      </c>
      <c r="G53" t="str">
        <f>IF('All Girls &amp; Descendants - Edit'!H52="",D53,'All Girls &amp; Descendants - Edit'!H52)</f>
        <v>June</v>
      </c>
      <c r="H53">
        <f>'All Girls &amp; Descendants - Edit'!I52</f>
        <v>1942</v>
      </c>
      <c r="I53" t="str">
        <f>'All Girls &amp; Descendants - Edit'!J52</f>
        <v/>
      </c>
      <c r="J53" s="101">
        <f>'All Girls &amp; Descendants - Edit'!K52</f>
        <v>0</v>
      </c>
      <c r="K53" s="3" t="str">
        <f>'All Girls &amp; Descendants - Edit'!L52</f>
        <v>30/06/1942</v>
      </c>
      <c r="L53" s="3">
        <f>'All Girls &amp; Descendants - Edit'!M52</f>
        <v>15522</v>
      </c>
      <c r="M53" s="3">
        <f>'All Girls &amp; Descendants - Edit'!N52</f>
        <v>22815</v>
      </c>
      <c r="N53" s="3">
        <f>'All Girls &amp; Descendants - Edit'!O52</f>
        <v>0</v>
      </c>
      <c r="O53" s="3" t="str">
        <f>'All Girls &amp; Descendants - Edit'!P52</f>
        <v/>
      </c>
      <c r="P53" t="str">
        <f t="shared" si="2"/>
        <v>90a</v>
      </c>
      <c r="Q53" s="116">
        <f t="shared" si="3"/>
        <v>1</v>
      </c>
      <c r="R53" s="31" t="str">
        <f t="shared" si="4"/>
        <v>June   MARSHAM-TOWNHEND</v>
      </c>
      <c r="S53" t="str">
        <f t="shared" si="5"/>
        <v>June MARSHAM-TOWNHEND (1942 - : #90a)</v>
      </c>
      <c r="U53" s="126">
        <f t="shared" si="36"/>
        <v>90001</v>
      </c>
      <c r="V53" t="str">
        <f t="shared" si="6"/>
        <v>90a</v>
      </c>
      <c r="W53" s="126">
        <f t="shared" si="24"/>
        <v>90</v>
      </c>
      <c r="X53" s="126" t="str">
        <f t="shared" si="7"/>
        <v>a</v>
      </c>
      <c r="Y53" s="116"/>
      <c r="Z53" s="116"/>
      <c r="AB53" s="116"/>
      <c r="AF53" s="99"/>
      <c r="AG53" s="116"/>
      <c r="AH53" s="117"/>
      <c r="AQ53" s="126"/>
      <c r="AR53" s="126"/>
      <c r="AS53" s="126"/>
    </row>
    <row r="54" spans="1:199">
      <c r="A54">
        <f>'All Girls &amp; Descendants - Edit'!B53</f>
        <v>90</v>
      </c>
      <c r="B54" t="str">
        <f>'All Girls &amp; Descendants - Edit'!C53</f>
        <v>90b</v>
      </c>
      <c r="C54" t="str">
        <f>'All Girls &amp; Descendants - Edit'!D53</f>
        <v>MARSHAM-TOWNHEND</v>
      </c>
      <c r="D54" t="str">
        <f>'All Girls &amp; Descendants - Edit'!E53</f>
        <v>Susan</v>
      </c>
      <c r="E54" t="str">
        <f>IF('All Girls &amp; Descendants - Edit'!F53="","",'All Girls &amp; Descendants - Edit'!F53)</f>
        <v/>
      </c>
      <c r="F54" t="str">
        <f>IF('All Girls &amp; Descendants - Edit'!G53="","",'All Girls &amp; Descendants - Edit'!G53)</f>
        <v/>
      </c>
      <c r="G54" t="str">
        <f>IF('All Girls &amp; Descendants - Edit'!H53="",D54,'All Girls &amp; Descendants - Edit'!H53)</f>
        <v>Suki</v>
      </c>
      <c r="H54">
        <f>'All Girls &amp; Descendants - Edit'!I53</f>
        <v>1944</v>
      </c>
      <c r="I54" t="str">
        <f>'All Girls &amp; Descendants - Edit'!J53</f>
        <v/>
      </c>
      <c r="J54" s="101">
        <f>'All Girls &amp; Descendants - Edit'!K53</f>
        <v>0</v>
      </c>
      <c r="K54" s="3" t="str">
        <f>'All Girls &amp; Descendants - Edit'!L53</f>
        <v>13/05/1944</v>
      </c>
      <c r="L54" s="3">
        <f>'All Girls &amp; Descendants - Edit'!M53</f>
        <v>16205</v>
      </c>
      <c r="M54" s="3">
        <f>'All Girls &amp; Descendants - Edit'!N53</f>
        <v>26324</v>
      </c>
      <c r="N54" s="3">
        <f>'All Girls &amp; Descendants - Edit'!O53</f>
        <v>0</v>
      </c>
      <c r="O54" s="3" t="str">
        <f>'All Girls &amp; Descendants - Edit'!P53</f>
        <v/>
      </c>
      <c r="P54" t="str">
        <f t="shared" si="2"/>
        <v>90b</v>
      </c>
      <c r="Q54" s="116">
        <f t="shared" si="3"/>
        <v>1</v>
      </c>
      <c r="R54" s="31" t="str">
        <f t="shared" si="4"/>
        <v>Susan   MARSHAM-TOWNHEND</v>
      </c>
      <c r="S54" t="str">
        <f t="shared" si="5"/>
        <v>Suki MARSHAM-TOWNHEND (1944 - : #90b)</v>
      </c>
      <c r="U54" s="126">
        <f t="shared" si="36"/>
        <v>90002</v>
      </c>
      <c r="V54" t="str">
        <f t="shared" si="6"/>
        <v>90b</v>
      </c>
      <c r="W54" s="126">
        <f t="shared" si="24"/>
        <v>90</v>
      </c>
      <c r="X54" s="126" t="str">
        <f t="shared" si="7"/>
        <v>b</v>
      </c>
      <c r="Y54" s="116"/>
      <c r="Z54" s="116"/>
      <c r="AB54" s="116"/>
      <c r="AF54" s="99"/>
      <c r="AG54" s="116"/>
      <c r="AH54" s="117"/>
    </row>
    <row r="55" spans="1:199">
      <c r="A55">
        <f>'All Girls &amp; Descendants - Edit'!B54</f>
        <v>90</v>
      </c>
      <c r="B55" t="str">
        <f>'All Girls &amp; Descendants - Edit'!C54</f>
        <v>90c</v>
      </c>
      <c r="C55" t="str">
        <f>'All Girls &amp; Descendants - Edit'!D54</f>
        <v>CLARKE</v>
      </c>
      <c r="D55" t="str">
        <f>'All Girls &amp; Descendants - Edit'!E54</f>
        <v>Jonathan</v>
      </c>
      <c r="E55" t="str">
        <f>IF('All Girls &amp; Descendants - Edit'!F54="","",'All Girls &amp; Descendants - Edit'!F54)</f>
        <v>Edmund</v>
      </c>
      <c r="F55" t="str">
        <f>IF('All Girls &amp; Descendants - Edit'!G54="","",'All Girls &amp; Descendants - Edit'!G54)</f>
        <v>Stephenson</v>
      </c>
      <c r="G55" t="str">
        <f>IF('All Girls &amp; Descendants - Edit'!H54="",D55,'All Girls &amp; Descendants - Edit'!H54)</f>
        <v>Jonathan</v>
      </c>
      <c r="H55">
        <f>'All Girls &amp; Descendants - Edit'!I54</f>
        <v>1950</v>
      </c>
      <c r="I55" t="str">
        <f>'All Girls &amp; Descendants - Edit'!J54</f>
        <v/>
      </c>
      <c r="J55" s="101">
        <f>'All Girls &amp; Descendants - Edit'!K54</f>
        <v>0</v>
      </c>
      <c r="K55" s="3" t="str">
        <f>'All Girls &amp; Descendants - Edit'!L54</f>
        <v>18/01/1950</v>
      </c>
      <c r="L55" s="3">
        <f>'All Girls &amp; Descendants - Edit'!M54</f>
        <v>18281</v>
      </c>
      <c r="M55" s="3">
        <f>'All Girls &amp; Descendants - Edit'!N54</f>
        <v>26815</v>
      </c>
      <c r="N55" s="3">
        <f>'All Girls &amp; Descendants - Edit'!O54</f>
        <v>0</v>
      </c>
      <c r="O55" s="3" t="str">
        <f>'All Girls &amp; Descendants - Edit'!P54</f>
        <v/>
      </c>
      <c r="P55" t="str">
        <f t="shared" si="2"/>
        <v>90c</v>
      </c>
      <c r="Q55" s="116">
        <f t="shared" si="3"/>
        <v>1</v>
      </c>
      <c r="R55" s="31" t="str">
        <f t="shared" si="4"/>
        <v>Jonathan Edmund Stephenson CLARKE</v>
      </c>
      <c r="S55" t="str">
        <f t="shared" si="5"/>
        <v>Jonathan CLARKE (1950 - : #90c)</v>
      </c>
      <c r="U55" s="126">
        <f t="shared" si="36"/>
        <v>90003</v>
      </c>
      <c r="V55" t="str">
        <f t="shared" si="6"/>
        <v>90c</v>
      </c>
      <c r="W55" s="126">
        <f t="shared" si="24"/>
        <v>90</v>
      </c>
      <c r="X55" s="126" t="str">
        <f t="shared" si="7"/>
        <v>c</v>
      </c>
      <c r="Y55" s="116"/>
      <c r="Z55" s="116"/>
      <c r="AB55" s="116"/>
    </row>
    <row r="56" spans="1:199">
      <c r="A56">
        <f>'All Girls &amp; Descendants - Edit'!B55</f>
        <v>92</v>
      </c>
      <c r="B56" t="str">
        <f>'All Girls &amp; Descendants - Edit'!C55</f>
        <v>92a</v>
      </c>
      <c r="C56" t="str">
        <f>'All Girls &amp; Descendants - Edit'!D55</f>
        <v>TATTON-BROWN</v>
      </c>
      <c r="D56" t="str">
        <f>'All Girls &amp; Descendants - Edit'!E55</f>
        <v>Timothy</v>
      </c>
      <c r="E56" t="str">
        <f>IF('All Girls &amp; Descendants - Edit'!F55="","",'All Girls &amp; Descendants - Edit'!F55)</f>
        <v>William</v>
      </c>
      <c r="F56" t="str">
        <f>IF('All Girls &amp; Descendants - Edit'!G55="","",'All Girls &amp; Descendants - Edit'!G55)</f>
        <v>Trelawny</v>
      </c>
      <c r="G56" t="str">
        <f>IF('All Girls &amp; Descendants - Edit'!H55="",D56,'All Girls &amp; Descendants - Edit'!H55)</f>
        <v>Tim</v>
      </c>
      <c r="H56">
        <f>'All Girls &amp; Descendants - Edit'!I55</f>
        <v>1947</v>
      </c>
      <c r="I56" t="str">
        <f>'All Girls &amp; Descendants - Edit'!J55</f>
        <v/>
      </c>
      <c r="J56" s="101">
        <f>'All Girls &amp; Descendants - Edit'!K55</f>
        <v>0</v>
      </c>
      <c r="K56" s="3" t="str">
        <f>'All Girls &amp; Descendants - Edit'!L55</f>
        <v>03/02/1947</v>
      </c>
      <c r="L56" s="3">
        <f>'All Girls &amp; Descendants - Edit'!M55</f>
        <v>17201</v>
      </c>
      <c r="M56" s="3">
        <f>'All Girls &amp; Descendants - Edit'!N55</f>
        <v>28875</v>
      </c>
      <c r="N56" s="3">
        <f>'All Girls &amp; Descendants - Edit'!O55</f>
        <v>0</v>
      </c>
      <c r="O56" s="3" t="str">
        <f>'All Girls &amp; Descendants - Edit'!P55</f>
        <v/>
      </c>
      <c r="P56" t="str">
        <f t="shared" si="2"/>
        <v>92a</v>
      </c>
      <c r="Q56" s="116">
        <f t="shared" si="3"/>
        <v>1</v>
      </c>
      <c r="R56" s="31" t="str">
        <f t="shared" si="4"/>
        <v>Timothy William Trelawny TATTON-BROWN</v>
      </c>
      <c r="S56" t="str">
        <f t="shared" si="5"/>
        <v>Tim TATTON-BROWN (1947 - : #92a)</v>
      </c>
      <c r="U56" s="126">
        <f t="shared" si="36"/>
        <v>92001</v>
      </c>
      <c r="V56" t="str">
        <f t="shared" si="6"/>
        <v>92a</v>
      </c>
      <c r="W56" s="126">
        <f t="shared" si="24"/>
        <v>92</v>
      </c>
      <c r="X56" s="126" t="str">
        <f t="shared" si="7"/>
        <v>a</v>
      </c>
      <c r="Y56" s="116"/>
      <c r="Z56" s="116"/>
      <c r="AB56" s="116"/>
    </row>
    <row r="57" spans="1:199">
      <c r="A57">
        <f>'All Girls &amp; Descendants - Edit'!B56</f>
        <v>92</v>
      </c>
      <c r="B57" t="str">
        <f>'All Girls &amp; Descendants - Edit'!C56</f>
        <v>92b</v>
      </c>
      <c r="C57" t="str">
        <f>'All Girls &amp; Descendants - Edit'!D56</f>
        <v>TATTON-BROWN</v>
      </c>
      <c r="D57" t="str">
        <f>'All Girls &amp; Descendants - Edit'!E56</f>
        <v>Giles</v>
      </c>
      <c r="E57" t="str">
        <f>IF('All Girls &amp; Descendants - Edit'!F56="","",'All Girls &amp; Descendants - Edit'!F56)</f>
        <v>Eden</v>
      </c>
      <c r="F57" t="str">
        <f>IF('All Girls &amp; Descendants - Edit'!G56="","",'All Girls &amp; Descendants - Edit'!G56)</f>
        <v/>
      </c>
      <c r="G57" t="str">
        <f>IF('All Girls &amp; Descendants - Edit'!H56="",D57,'All Girls &amp; Descendants - Edit'!H56)</f>
        <v>Giles</v>
      </c>
      <c r="H57">
        <f>'All Girls &amp; Descendants - Edit'!I56</f>
        <v>1948</v>
      </c>
      <c r="I57" t="str">
        <f>'All Girls &amp; Descendants - Edit'!J56</f>
        <v/>
      </c>
      <c r="J57" s="101">
        <f>'All Girls &amp; Descendants - Edit'!K56</f>
        <v>0</v>
      </c>
      <c r="K57" s="3" t="str">
        <f>'All Girls &amp; Descendants - Edit'!L56</f>
        <v>21/10/1948</v>
      </c>
      <c r="L57" s="3">
        <f>'All Girls &amp; Descendants - Edit'!M56</f>
        <v>17827</v>
      </c>
      <c r="M57" s="3">
        <f>'All Girls &amp; Descendants - Edit'!N56</f>
        <v>0</v>
      </c>
      <c r="N57" s="3">
        <f>'All Girls &amp; Descendants - Edit'!O56</f>
        <v>0</v>
      </c>
      <c r="O57" s="3" t="str">
        <f>'All Girls &amp; Descendants - Edit'!P56</f>
        <v/>
      </c>
      <c r="P57" t="str">
        <f t="shared" si="2"/>
        <v>92b</v>
      </c>
      <c r="Q57" s="116">
        <f t="shared" si="3"/>
        <v>1</v>
      </c>
      <c r="R57" s="31" t="str">
        <f t="shared" si="4"/>
        <v>Giles Eden  TATTON-BROWN</v>
      </c>
      <c r="S57" t="str">
        <f t="shared" si="5"/>
        <v>Giles TATTON-BROWN (1948 - : #92b)</v>
      </c>
      <c r="U57" s="126">
        <f t="shared" si="36"/>
        <v>92002</v>
      </c>
      <c r="V57" t="str">
        <f t="shared" si="6"/>
        <v>92b</v>
      </c>
      <c r="W57" s="126">
        <f t="shared" si="24"/>
        <v>92</v>
      </c>
      <c r="X57" s="126" t="str">
        <f t="shared" si="7"/>
        <v>b</v>
      </c>
      <c r="Y57" s="116"/>
      <c r="Z57" s="116"/>
      <c r="AB57" s="116"/>
    </row>
    <row r="58" spans="1:199">
      <c r="A58">
        <f>'All Girls &amp; Descendants - Edit'!B57</f>
        <v>92</v>
      </c>
      <c r="B58" t="str">
        <f>'All Girls &amp; Descendants - Edit'!C57</f>
        <v>92c</v>
      </c>
      <c r="C58" t="str">
        <f>'All Girls &amp; Descendants - Edit'!D57</f>
        <v>TATTON-BROWN</v>
      </c>
      <c r="D58" t="str">
        <f>'All Girls &amp; Descendants - Edit'!E57</f>
        <v>Anthea</v>
      </c>
      <c r="E58" t="str">
        <f>IF('All Girls &amp; Descendants - Edit'!F57="","",'All Girls &amp; Descendants - Edit'!F57)</f>
        <v>Mary</v>
      </c>
      <c r="F58" t="str">
        <f>IF('All Girls &amp; Descendants - Edit'!G57="","",'All Girls &amp; Descendants - Edit'!G57)</f>
        <v/>
      </c>
      <c r="G58" t="str">
        <f>IF('All Girls &amp; Descendants - Edit'!H57="",D58,'All Girls &amp; Descendants - Edit'!H57)</f>
        <v>Anthea</v>
      </c>
      <c r="H58">
        <f>'All Girls &amp; Descendants - Edit'!I57</f>
        <v>1951</v>
      </c>
      <c r="I58" t="str">
        <f>'All Girls &amp; Descendants - Edit'!J57</f>
        <v/>
      </c>
      <c r="J58" s="101">
        <f>'All Girls &amp; Descendants - Edit'!K57</f>
        <v>0</v>
      </c>
      <c r="K58" s="3" t="str">
        <f>'All Girls &amp; Descendants - Edit'!L57</f>
        <v>26/11/1951</v>
      </c>
      <c r="L58" s="3">
        <f>'All Girls &amp; Descendants - Edit'!M57</f>
        <v>18958</v>
      </c>
      <c r="M58" s="3">
        <f>'All Girls &amp; Descendants - Edit'!N57</f>
        <v>0</v>
      </c>
      <c r="N58" s="3">
        <f>'All Girls &amp; Descendants - Edit'!O57</f>
        <v>0</v>
      </c>
      <c r="O58" s="3" t="str">
        <f>'All Girls &amp; Descendants - Edit'!P57</f>
        <v/>
      </c>
      <c r="P58" t="str">
        <f t="shared" si="2"/>
        <v>92c</v>
      </c>
      <c r="Q58" s="116">
        <f t="shared" si="3"/>
        <v>1</v>
      </c>
      <c r="R58" s="31" t="str">
        <f t="shared" si="4"/>
        <v>Anthea Mary  TATTON-BROWN</v>
      </c>
      <c r="S58" t="str">
        <f t="shared" si="5"/>
        <v>Anthea TATTON-BROWN (1951 - : #92c)</v>
      </c>
      <c r="U58" s="126">
        <f t="shared" si="36"/>
        <v>92003</v>
      </c>
      <c r="V58" t="str">
        <f t="shared" si="6"/>
        <v>92c</v>
      </c>
      <c r="W58" s="126">
        <f t="shared" si="24"/>
        <v>92</v>
      </c>
      <c r="X58" s="126" t="str">
        <f t="shared" si="7"/>
        <v>c</v>
      </c>
      <c r="Y58" s="116"/>
      <c r="Z58" s="116"/>
      <c r="AB58" s="116"/>
    </row>
    <row r="59" spans="1:199">
      <c r="A59">
        <f>'All Girls &amp; Descendants - Edit'!B58</f>
        <v>92</v>
      </c>
      <c r="B59" t="str">
        <f>'All Girls &amp; Descendants - Edit'!C58</f>
        <v>92d</v>
      </c>
      <c r="C59" t="str">
        <f>'All Girls &amp; Descendants - Edit'!D58</f>
        <v>TATTON-BROWN</v>
      </c>
      <c r="D59" t="str">
        <f>'All Girls &amp; Descendants - Edit'!E58</f>
        <v>Frances</v>
      </c>
      <c r="E59" t="str">
        <f>IF('All Girls &amp; Descendants - Edit'!F58="","",'All Girls &amp; Descendants - Edit'!F58)</f>
        <v>Maud</v>
      </c>
      <c r="F59" t="str">
        <f>IF('All Girls &amp; Descendants - Edit'!G58="","",'All Girls &amp; Descendants - Edit'!G58)</f>
        <v/>
      </c>
      <c r="G59" t="str">
        <f>IF('All Girls &amp; Descendants - Edit'!H58="",D59,'All Girls &amp; Descendants - Edit'!H58)</f>
        <v>Fanny</v>
      </c>
      <c r="H59">
        <f>'All Girls &amp; Descendants - Edit'!I58</f>
        <v>1954</v>
      </c>
      <c r="I59" t="str">
        <f>'All Girls &amp; Descendants - Edit'!J58</f>
        <v/>
      </c>
      <c r="J59" s="101">
        <f>'All Girls &amp; Descendants - Edit'!K58</f>
        <v>0</v>
      </c>
      <c r="K59" s="3" t="str">
        <f>'All Girls &amp; Descendants - Edit'!L58</f>
        <v>01/01/1954</v>
      </c>
      <c r="L59" s="3">
        <f>'All Girls &amp; Descendants - Edit'!M58</f>
        <v>19725</v>
      </c>
      <c r="M59" s="3">
        <f>'All Girls &amp; Descendants - Edit'!N58</f>
        <v>0</v>
      </c>
      <c r="N59" s="3">
        <f>'All Girls &amp; Descendants - Edit'!O58</f>
        <v>0</v>
      </c>
      <c r="O59" s="3" t="str">
        <f>'All Girls &amp; Descendants - Edit'!P58</f>
        <v/>
      </c>
      <c r="P59" t="str">
        <f t="shared" si="2"/>
        <v>92d</v>
      </c>
      <c r="Q59" s="116">
        <f t="shared" si="3"/>
        <v>1</v>
      </c>
      <c r="R59" s="31" t="str">
        <f t="shared" si="4"/>
        <v>Frances Maud  TATTON-BROWN</v>
      </c>
      <c r="S59" t="str">
        <f t="shared" si="5"/>
        <v>Fanny TATTON-BROWN (1954 - : #92d)</v>
      </c>
      <c r="U59" s="126">
        <f t="shared" si="36"/>
        <v>92004</v>
      </c>
      <c r="V59" t="str">
        <f t="shared" si="6"/>
        <v>92d</v>
      </c>
      <c r="W59" s="126">
        <f t="shared" si="24"/>
        <v>92</v>
      </c>
      <c r="X59" s="126" t="str">
        <f t="shared" si="7"/>
        <v>d</v>
      </c>
      <c r="Y59" s="116"/>
      <c r="Z59" s="116"/>
      <c r="AB59" s="116"/>
    </row>
    <row r="60" spans="1:199">
      <c r="A60">
        <f>'All Girls &amp; Descendants - Edit'!B59</f>
        <v>95</v>
      </c>
      <c r="B60" t="str">
        <f>'All Girls &amp; Descendants - Edit'!C59</f>
        <v>95a</v>
      </c>
      <c r="C60" t="str">
        <f>'All Girls &amp; Descendants - Edit'!D59</f>
        <v>KNIGHT</v>
      </c>
      <c r="D60" t="str">
        <f>'All Girls &amp; Descendants - Edit'!E59</f>
        <v>Henrietta</v>
      </c>
      <c r="E60" t="str">
        <f>IF('All Girls &amp; Descendants - Edit'!F59="","",'All Girls &amp; Descendants - Edit'!F59)</f>
        <v>Catherine</v>
      </c>
      <c r="F60" t="str">
        <f>IF('All Girls &amp; Descendants - Edit'!G59="","",'All Girls &amp; Descendants - Edit'!G59)</f>
        <v/>
      </c>
      <c r="G60" t="str">
        <f>IF('All Girls &amp; Descendants - Edit'!H59="",D60,'All Girls &amp; Descendants - Edit'!H59)</f>
        <v>Henrietta</v>
      </c>
      <c r="H60">
        <f>'All Girls &amp; Descendants - Edit'!I59</f>
        <v>1946</v>
      </c>
      <c r="I60" t="str">
        <f>'All Girls &amp; Descendants - Edit'!J59</f>
        <v/>
      </c>
      <c r="J60" s="101">
        <f>'All Girls &amp; Descendants - Edit'!K59</f>
        <v>0</v>
      </c>
      <c r="K60" s="3" t="str">
        <f>'All Girls &amp; Descendants - Edit'!L59</f>
        <v>15/12/1946</v>
      </c>
      <c r="L60" s="3">
        <f>'All Girls &amp; Descendants - Edit'!M59</f>
        <v>17151</v>
      </c>
      <c r="M60" s="3">
        <f>'All Girls &amp; Descendants - Edit'!N59</f>
        <v>0</v>
      </c>
      <c r="N60" s="3">
        <f>'All Girls &amp; Descendants - Edit'!O59</f>
        <v>0</v>
      </c>
      <c r="O60" s="3" t="str">
        <f>'All Girls &amp; Descendants - Edit'!P59</f>
        <v/>
      </c>
      <c r="P60" t="str">
        <f t="shared" si="2"/>
        <v>95a</v>
      </c>
      <c r="Q60" s="116">
        <f t="shared" si="3"/>
        <v>1</v>
      </c>
      <c r="R60" s="31" t="str">
        <f t="shared" si="4"/>
        <v>Henrietta Catherine  KNIGHT</v>
      </c>
      <c r="S60" t="str">
        <f t="shared" si="5"/>
        <v>Henrietta KNIGHT (1946 - : #95a)</v>
      </c>
      <c r="U60" s="126">
        <f t="shared" si="36"/>
        <v>95001</v>
      </c>
      <c r="V60" t="str">
        <f t="shared" si="6"/>
        <v>95a</v>
      </c>
      <c r="W60" s="126">
        <f t="shared" si="24"/>
        <v>95</v>
      </c>
      <c r="X60" s="126" t="str">
        <f t="shared" si="7"/>
        <v>a</v>
      </c>
      <c r="Y60" s="116"/>
      <c r="Z60" s="116"/>
      <c r="AB60" s="116"/>
    </row>
    <row r="61" spans="1:199">
      <c r="A61">
        <f>'All Girls &amp; Descendants - Edit'!B60</f>
        <v>95</v>
      </c>
      <c r="B61" t="str">
        <f>'All Girls &amp; Descendants - Edit'!C60</f>
        <v>95b</v>
      </c>
      <c r="C61" t="str">
        <f>'All Girls &amp; Descendants - Edit'!D60</f>
        <v>KNIGHT</v>
      </c>
      <c r="D61" t="str">
        <f>'All Girls &amp; Descendants - Edit'!E60</f>
        <v>Celia</v>
      </c>
      <c r="E61" t="str">
        <f>IF('All Girls &amp; Descendants - Edit'!F60="","",'All Girls &amp; Descendants - Edit'!F60)</f>
        <v>Elizabeth</v>
      </c>
      <c r="F61" t="str">
        <f>IF('All Girls &amp; Descendants - Edit'!G60="","",'All Girls &amp; Descendants - Edit'!G60)</f>
        <v/>
      </c>
      <c r="G61" t="str">
        <f>IF('All Girls &amp; Descendants - Edit'!H60="",D61,'All Girls &amp; Descendants - Edit'!H60)</f>
        <v>Ce-Ce</v>
      </c>
      <c r="H61">
        <f>'All Girls &amp; Descendants - Edit'!I60</f>
        <v>1949</v>
      </c>
      <c r="I61">
        <f>'All Girls &amp; Descendants - Edit'!J60</f>
        <v>2020</v>
      </c>
      <c r="J61" s="101">
        <f>'All Girls &amp; Descendants - Edit'!K60</f>
        <v>0</v>
      </c>
      <c r="K61" s="3" t="str">
        <f>'All Girls &amp; Descendants - Edit'!L60</f>
        <v>11/10/1949</v>
      </c>
      <c r="L61" s="3">
        <f>'All Girls &amp; Descendants - Edit'!M60</f>
        <v>18182</v>
      </c>
      <c r="M61" s="3">
        <f>'All Girls &amp; Descendants - Edit'!N60</f>
        <v>29942</v>
      </c>
      <c r="N61" s="3">
        <f>'All Girls &amp; Descendants - Edit'!O60</f>
        <v>44163</v>
      </c>
      <c r="O61" s="3" t="str">
        <f>'All Girls &amp; Descendants - Edit'!P60</f>
        <v>28/11/2020</v>
      </c>
      <c r="P61" t="str">
        <f t="shared" si="2"/>
        <v>95b</v>
      </c>
      <c r="Q61" s="116">
        <f t="shared" si="3"/>
        <v>1</v>
      </c>
      <c r="R61" s="31" t="str">
        <f t="shared" si="4"/>
        <v>Celia Elizabeth  KNIGHT</v>
      </c>
      <c r="S61" t="str">
        <f t="shared" si="5"/>
        <v>Ce-Ce KNIGHT (1949 - 2020: #95b)</v>
      </c>
      <c r="U61" s="126">
        <f t="shared" si="36"/>
        <v>95002</v>
      </c>
      <c r="V61" t="str">
        <f t="shared" si="6"/>
        <v>95b</v>
      </c>
      <c r="W61" s="126">
        <f t="shared" si="24"/>
        <v>95</v>
      </c>
      <c r="X61" s="126" t="str">
        <f t="shared" si="7"/>
        <v>b</v>
      </c>
      <c r="Y61" s="116"/>
      <c r="Z61" s="116"/>
      <c r="AB61" s="116"/>
    </row>
    <row r="62" spans="1:199">
      <c r="A62">
        <f>'All Girls &amp; Descendants - Edit'!B61</f>
        <v>97</v>
      </c>
      <c r="B62" t="str">
        <f>'All Girls &amp; Descendants - Edit'!C61</f>
        <v>97a</v>
      </c>
      <c r="C62" t="str">
        <f>'All Girls &amp; Descendants - Edit'!D61</f>
        <v>SALE</v>
      </c>
      <c r="D62" t="str">
        <f>'All Girls &amp; Descendants - Edit'!E61</f>
        <v>Julian</v>
      </c>
      <c r="E62" t="str">
        <f>IF('All Girls &amp; Descendants - Edit'!F61="","",'All Girls &amp; Descendants - Edit'!F61)</f>
        <v>Edward</v>
      </c>
      <c r="F62" t="str">
        <f>IF('All Girls &amp; Descendants - Edit'!G61="","",'All Girls &amp; Descendants - Edit'!G61)</f>
        <v>Loyd</v>
      </c>
      <c r="G62" t="str">
        <f>IF('All Girls &amp; Descendants - Edit'!H61="",D62,'All Girls &amp; Descendants - Edit'!H61)</f>
        <v>Julian</v>
      </c>
      <c r="H62">
        <f>'All Girls &amp; Descendants - Edit'!I61</f>
        <v>1951</v>
      </c>
      <c r="I62" t="str">
        <f>'All Girls &amp; Descendants - Edit'!J61</f>
        <v/>
      </c>
      <c r="J62" s="101">
        <f>'All Girls &amp; Descendants - Edit'!K61</f>
        <v>0</v>
      </c>
      <c r="K62" s="3" t="str">
        <f>'All Girls &amp; Descendants - Edit'!L61</f>
        <v>17/12/1951</v>
      </c>
      <c r="L62" s="3">
        <f>'All Girls &amp; Descendants - Edit'!M61</f>
        <v>18979</v>
      </c>
      <c r="M62" s="3">
        <f>'All Girls &amp; Descendants - Edit'!N61</f>
        <v>0</v>
      </c>
      <c r="N62" s="3">
        <f>'All Girls &amp; Descendants - Edit'!O61</f>
        <v>0</v>
      </c>
      <c r="O62" s="3" t="str">
        <f>'All Girls &amp; Descendants - Edit'!P61</f>
        <v/>
      </c>
      <c r="P62" t="str">
        <f t="shared" si="2"/>
        <v>97a</v>
      </c>
      <c r="Q62" s="116">
        <f t="shared" si="3"/>
        <v>1</v>
      </c>
      <c r="R62" s="31" t="str">
        <f t="shared" si="4"/>
        <v>Julian Edward Loyd SALE</v>
      </c>
      <c r="S62" t="str">
        <f t="shared" si="5"/>
        <v>Julian SALE (1951 - : #97a)</v>
      </c>
      <c r="U62" s="126">
        <f t="shared" si="36"/>
        <v>97001</v>
      </c>
      <c r="V62" t="str">
        <f t="shared" si="6"/>
        <v>97a</v>
      </c>
      <c r="W62" s="126">
        <f t="shared" si="24"/>
        <v>97</v>
      </c>
      <c r="X62" s="126" t="str">
        <f t="shared" si="7"/>
        <v>a</v>
      </c>
      <c r="Y62" s="116"/>
      <c r="Z62" s="116"/>
      <c r="AB62" s="116"/>
    </row>
    <row r="63" spans="1:199">
      <c r="A63">
        <f>'All Girls &amp; Descendants - Edit'!B62</f>
        <v>97</v>
      </c>
      <c r="B63" t="str">
        <f>'All Girls &amp; Descendants - Edit'!C62</f>
        <v>97b</v>
      </c>
      <c r="C63" t="str">
        <f>'All Girls &amp; Descendants - Edit'!D62</f>
        <v>SALE</v>
      </c>
      <c r="D63" t="str">
        <f>'All Girls &amp; Descendants - Edit'!E62</f>
        <v>Iona</v>
      </c>
      <c r="E63" t="str">
        <f>IF('All Girls &amp; Descendants - Edit'!F62="","",'All Girls &amp; Descendants - Edit'!F62)</f>
        <v>Marian</v>
      </c>
      <c r="F63" t="str">
        <f>IF('All Girls &amp; Descendants - Edit'!G62="","",'All Girls &amp; Descendants - Edit'!G62)</f>
        <v/>
      </c>
      <c r="G63" t="str">
        <f>IF('All Girls &amp; Descendants - Edit'!H62="",D63,'All Girls &amp; Descendants - Edit'!H62)</f>
        <v>Iona</v>
      </c>
      <c r="H63">
        <f>'All Girls &amp; Descendants - Edit'!I62</f>
        <v>1954</v>
      </c>
      <c r="I63" t="str">
        <f>'All Girls &amp; Descendants - Edit'!J62</f>
        <v/>
      </c>
      <c r="J63" s="101">
        <f>'All Girls &amp; Descendants - Edit'!K62</f>
        <v>0</v>
      </c>
      <c r="K63" s="3" t="str">
        <f>'All Girls &amp; Descendants - Edit'!L62</f>
        <v>22/03/1954</v>
      </c>
      <c r="L63" s="3">
        <f>'All Girls &amp; Descendants - Edit'!M62</f>
        <v>19805</v>
      </c>
      <c r="M63" s="3">
        <f>'All Girls &amp; Descendants - Edit'!N62</f>
        <v>0</v>
      </c>
      <c r="N63" s="3">
        <f>'All Girls &amp; Descendants - Edit'!O62</f>
        <v>0</v>
      </c>
      <c r="O63" s="3" t="str">
        <f>'All Girls &amp; Descendants - Edit'!P62</f>
        <v/>
      </c>
      <c r="P63" t="str">
        <f t="shared" si="2"/>
        <v>97b</v>
      </c>
      <c r="Q63" s="116">
        <f t="shared" si="3"/>
        <v>1</v>
      </c>
      <c r="R63" s="31" t="str">
        <f t="shared" si="4"/>
        <v>Iona Marian  SALE</v>
      </c>
      <c r="S63" t="str">
        <f t="shared" si="5"/>
        <v>Iona SALE (1954 - : #97b)</v>
      </c>
      <c r="U63" s="126">
        <f t="shared" si="36"/>
        <v>97002</v>
      </c>
      <c r="V63" t="str">
        <f t="shared" si="6"/>
        <v>97b</v>
      </c>
      <c r="W63" s="126">
        <f t="shared" si="24"/>
        <v>97</v>
      </c>
      <c r="X63" s="126" t="str">
        <f t="shared" si="7"/>
        <v>b</v>
      </c>
      <c r="Y63" s="116"/>
      <c r="Z63" s="116"/>
      <c r="AB63" s="116"/>
    </row>
    <row r="64" spans="1:199">
      <c r="A64">
        <f>'All Girls &amp; Descendants - Edit'!B63</f>
        <v>97</v>
      </c>
      <c r="B64" t="str">
        <f>'All Girls &amp; Descendants - Edit'!C63</f>
        <v>97c</v>
      </c>
      <c r="C64" t="str">
        <f>'All Girls &amp; Descendants - Edit'!D63</f>
        <v>SALE</v>
      </c>
      <c r="D64" t="str">
        <f>'All Girls &amp; Descendants - Edit'!E63</f>
        <v>Charles</v>
      </c>
      <c r="E64" t="str">
        <f>IF('All Girls &amp; Descendants - Edit'!F63="","",'All Girls &amp; Descendants - Edit'!F63)</f>
        <v>Robert</v>
      </c>
      <c r="F64" t="str">
        <f>IF('All Girls &amp; Descendants - Edit'!G63="","",'All Girls &amp; Descendants - Edit'!G63)</f>
        <v/>
      </c>
      <c r="G64" t="str">
        <f>IF('All Girls &amp; Descendants - Edit'!H63="",D64,'All Girls &amp; Descendants - Edit'!H63)</f>
        <v>Charles</v>
      </c>
      <c r="H64">
        <f>'All Girls &amp; Descendants - Edit'!I63</f>
        <v>1956</v>
      </c>
      <c r="I64">
        <f>'All Girls &amp; Descendants - Edit'!J63</f>
        <v>1957</v>
      </c>
      <c r="J64" s="101">
        <f>'All Girls &amp; Descendants - Edit'!K63</f>
        <v>0</v>
      </c>
      <c r="K64" s="3" t="str">
        <f>'All Girls &amp; Descendants - Edit'!L63</f>
        <v>12/09/1956</v>
      </c>
      <c r="L64" s="3">
        <f>'All Girls &amp; Descendants - Edit'!M63</f>
        <v>20710</v>
      </c>
      <c r="M64" s="3">
        <f>'All Girls &amp; Descendants - Edit'!N63</f>
        <v>0</v>
      </c>
      <c r="N64" s="3">
        <f>'All Girls &amp; Descendants - Edit'!O63</f>
        <v>21047</v>
      </c>
      <c r="O64" s="3" t="str">
        <f>'All Girls &amp; Descendants - Edit'!P63</f>
        <v>15/08/1957</v>
      </c>
      <c r="P64" t="str">
        <f t="shared" si="2"/>
        <v>97c</v>
      </c>
      <c r="Q64" s="116">
        <f t="shared" si="3"/>
        <v>1</v>
      </c>
      <c r="R64" s="31" t="str">
        <f t="shared" si="4"/>
        <v>Charles Robert  SALE</v>
      </c>
      <c r="S64" t="str">
        <f t="shared" si="5"/>
        <v>Charles SALE (1956 - 1957: #97c)</v>
      </c>
      <c r="U64" s="126">
        <f t="shared" si="36"/>
        <v>97003</v>
      </c>
      <c r="V64" t="str">
        <f t="shared" si="6"/>
        <v>97c</v>
      </c>
      <c r="W64" s="126">
        <f t="shared" si="24"/>
        <v>97</v>
      </c>
      <c r="X64" s="126" t="str">
        <f t="shared" si="7"/>
        <v>c</v>
      </c>
      <c r="Y64" s="116"/>
      <c r="Z64" s="116"/>
      <c r="AB64" s="116"/>
    </row>
    <row r="65" spans="1:28">
      <c r="A65">
        <f>'All Girls &amp; Descendants - Edit'!B64</f>
        <v>97</v>
      </c>
      <c r="B65" t="str">
        <f>'All Girls &amp; Descendants - Edit'!C64</f>
        <v>97d</v>
      </c>
      <c r="C65" t="str">
        <f>'All Girls &amp; Descendants - Edit'!D64</f>
        <v>SALE</v>
      </c>
      <c r="D65" t="str">
        <f>'All Girls &amp; Descendants - Edit'!E64</f>
        <v>Roderick</v>
      </c>
      <c r="E65" t="str">
        <f>IF('All Girls &amp; Descendants - Edit'!F64="","",'All Girls &amp; Descendants - Edit'!F64)</f>
        <v>Peter</v>
      </c>
      <c r="F65" t="str">
        <f>IF('All Girls &amp; Descendants - Edit'!G64="","",'All Girls &amp; Descendants - Edit'!G64)</f>
        <v>Abell</v>
      </c>
      <c r="G65" t="str">
        <f>IF('All Girls &amp; Descendants - Edit'!H64="",D65,'All Girls &amp; Descendants - Edit'!H64)</f>
        <v>Roddy</v>
      </c>
      <c r="H65">
        <f>'All Girls &amp; Descendants - Edit'!I64</f>
        <v>1959</v>
      </c>
      <c r="I65" t="str">
        <f>'All Girls &amp; Descendants - Edit'!J64</f>
        <v/>
      </c>
      <c r="J65" s="101">
        <f>'All Girls &amp; Descendants - Edit'!K64</f>
        <v>0</v>
      </c>
      <c r="K65" s="3" t="str">
        <f>'All Girls &amp; Descendants - Edit'!L64</f>
        <v>14/04/1959</v>
      </c>
      <c r="L65" s="3">
        <f>'All Girls &amp; Descendants - Edit'!M64</f>
        <v>21654</v>
      </c>
      <c r="M65" s="3">
        <f>'All Girls &amp; Descendants - Edit'!N64</f>
        <v>0</v>
      </c>
      <c r="N65" s="3">
        <f>'All Girls &amp; Descendants - Edit'!O64</f>
        <v>0</v>
      </c>
      <c r="O65" s="3" t="str">
        <f>'All Girls &amp; Descendants - Edit'!P64</f>
        <v/>
      </c>
      <c r="P65" t="str">
        <f t="shared" si="2"/>
        <v>97d</v>
      </c>
      <c r="Q65" s="116">
        <f t="shared" si="3"/>
        <v>1</v>
      </c>
      <c r="R65" s="31" t="str">
        <f t="shared" si="4"/>
        <v>Roderick Peter Abell SALE</v>
      </c>
      <c r="S65" t="str">
        <f t="shared" si="5"/>
        <v>Roddy SALE (1959 - : #97d)</v>
      </c>
      <c r="U65" s="126">
        <f t="shared" si="36"/>
        <v>97004</v>
      </c>
      <c r="V65" t="str">
        <f t="shared" si="6"/>
        <v>97d</v>
      </c>
      <c r="W65" s="126">
        <f t="shared" si="24"/>
        <v>97</v>
      </c>
      <c r="X65" s="126" t="str">
        <f t="shared" si="7"/>
        <v>d</v>
      </c>
      <c r="Y65" s="116"/>
      <c r="Z65" s="116"/>
      <c r="AB65" s="116"/>
    </row>
    <row r="66" spans="1:28">
      <c r="A66">
        <f>'All Girls &amp; Descendants - Edit'!B65</f>
        <v>97</v>
      </c>
      <c r="B66" t="str">
        <f>'All Girls &amp; Descendants - Edit'!C65</f>
        <v>97e</v>
      </c>
      <c r="C66" t="str">
        <f>'All Girls &amp; Descendants - Edit'!D65</f>
        <v>SALE</v>
      </c>
      <c r="D66" t="str">
        <f>'All Girls &amp; Descendants - Edit'!E65</f>
        <v>Edward</v>
      </c>
      <c r="E66" t="str">
        <f>IF('All Girls &amp; Descendants - Edit'!F65="","",'All Girls &amp; Descendants - Edit'!F65)</f>
        <v>John</v>
      </c>
      <c r="F66" t="str">
        <f>IF('All Girls &amp; Descendants - Edit'!G65="","",'All Girls &amp; Descendants - Edit'!G65)</f>
        <v>Andrew</v>
      </c>
      <c r="G66" t="str">
        <f>IF('All Girls &amp; Descendants - Edit'!H65="",D66,'All Girls &amp; Descendants - Edit'!H65)</f>
        <v>Edward</v>
      </c>
      <c r="H66">
        <f>'All Girls &amp; Descendants - Edit'!I65</f>
        <v>1963</v>
      </c>
      <c r="I66" t="str">
        <f>'All Girls &amp; Descendants - Edit'!J65</f>
        <v/>
      </c>
      <c r="J66" s="101">
        <f>'All Girls &amp; Descendants - Edit'!K65</f>
        <v>0</v>
      </c>
      <c r="K66" s="3" t="str">
        <f>'All Girls &amp; Descendants - Edit'!L65</f>
        <v>02/10/1963</v>
      </c>
      <c r="L66" s="3">
        <f>'All Girls &amp; Descendants - Edit'!M65</f>
        <v>23286</v>
      </c>
      <c r="M66" s="3">
        <f>'All Girls &amp; Descendants - Edit'!N65</f>
        <v>0</v>
      </c>
      <c r="N66" s="3">
        <f>'All Girls &amp; Descendants - Edit'!O65</f>
        <v>0</v>
      </c>
      <c r="O66" s="3" t="str">
        <f>'All Girls &amp; Descendants - Edit'!P65</f>
        <v/>
      </c>
      <c r="P66" t="str">
        <f t="shared" si="2"/>
        <v>97e</v>
      </c>
      <c r="Q66" s="116">
        <f t="shared" si="3"/>
        <v>1</v>
      </c>
      <c r="R66" s="31" t="str">
        <f t="shared" si="4"/>
        <v>Edward John Andrew SALE</v>
      </c>
      <c r="S66" t="str">
        <f t="shared" si="5"/>
        <v>Edward SALE (1963 - : #97e)</v>
      </c>
      <c r="U66" s="126">
        <f t="shared" si="36"/>
        <v>97005</v>
      </c>
      <c r="V66" t="str">
        <f t="shared" si="6"/>
        <v>97e</v>
      </c>
      <c r="W66" s="126">
        <f t="shared" si="24"/>
        <v>97</v>
      </c>
      <c r="X66" s="126" t="str">
        <f t="shared" si="7"/>
        <v>e</v>
      </c>
      <c r="Y66" s="116"/>
      <c r="Z66" s="116"/>
      <c r="AB66" s="116"/>
    </row>
    <row r="67" spans="1:28">
      <c r="A67">
        <f>'All Girls &amp; Descendants - Edit'!B66</f>
        <v>101</v>
      </c>
      <c r="B67" t="str">
        <f>'All Girls &amp; Descendants - Edit'!C66</f>
        <v>101a</v>
      </c>
      <c r="C67" t="str">
        <f>'All Girls &amp; Descendants - Edit'!D66</f>
        <v>MEADE</v>
      </c>
      <c r="D67" t="str">
        <f>'All Girls &amp; Descendants - Edit'!E66</f>
        <v>Lady Selina</v>
      </c>
      <c r="E67" t="str">
        <f>IF('All Girls &amp; Descendants - Edit'!F66="","",'All Girls &amp; Descendants - Edit'!F66)</f>
        <v>Catherine</v>
      </c>
      <c r="F67" t="str">
        <f>IF('All Girls &amp; Descendants - Edit'!G66="","",'All Girls &amp; Descendants - Edit'!G66)</f>
        <v/>
      </c>
      <c r="G67" t="str">
        <f>IF('All Girls &amp; Descendants - Edit'!H66="",D67,'All Girls &amp; Descendants - Edit'!H66)</f>
        <v>Lady Selina</v>
      </c>
      <c r="H67">
        <f>'All Girls &amp; Descendants - Edit'!I66</f>
        <v>1950</v>
      </c>
      <c r="I67" t="str">
        <f>'All Girls &amp; Descendants - Edit'!J66</f>
        <v/>
      </c>
      <c r="J67" s="101">
        <f>'All Girls &amp; Descendants - Edit'!K66</f>
        <v>0</v>
      </c>
      <c r="K67" s="3" t="str">
        <f>'All Girls &amp; Descendants - Edit'!L66</f>
        <v>14/03/1950</v>
      </c>
      <c r="L67" s="3">
        <f>'All Girls &amp; Descendants - Edit'!M66</f>
        <v>18336</v>
      </c>
      <c r="M67" s="3">
        <f>'All Girls &amp; Descendants - Edit'!N66</f>
        <v>26600</v>
      </c>
      <c r="N67" s="3">
        <f>'All Girls &amp; Descendants - Edit'!O66</f>
        <v>0</v>
      </c>
      <c r="O67" s="3" t="str">
        <f>'All Girls &amp; Descendants - Edit'!P66</f>
        <v/>
      </c>
      <c r="P67" t="str">
        <f t="shared" si="2"/>
        <v>101a</v>
      </c>
      <c r="Q67" s="116">
        <f t="shared" si="3"/>
        <v>1</v>
      </c>
      <c r="R67" s="31" t="str">
        <f t="shared" si="4"/>
        <v>Lady Selina Catherine  MEADE</v>
      </c>
      <c r="S67" t="str">
        <f t="shared" si="5"/>
        <v>Lady Selina MEADE (1950 - : #101a)</v>
      </c>
      <c r="U67" s="126">
        <f t="shared" si="36"/>
        <v>101001</v>
      </c>
      <c r="V67" t="str">
        <f t="shared" si="6"/>
        <v>101a</v>
      </c>
      <c r="W67" s="126">
        <f>VALUE(LEFT(V67,3))</f>
        <v>101</v>
      </c>
      <c r="X67" s="126" t="str">
        <f t="shared" si="7"/>
        <v>a</v>
      </c>
      <c r="Y67" s="116"/>
      <c r="Z67" s="116"/>
      <c r="AB67" s="116"/>
    </row>
    <row r="68" spans="1:28">
      <c r="A68">
        <f>'All Girls &amp; Descendants - Edit'!B67</f>
        <v>101</v>
      </c>
      <c r="B68" t="str">
        <f>'All Girls &amp; Descendants - Edit'!C67</f>
        <v>101b</v>
      </c>
      <c r="C68" t="str">
        <f>'All Girls &amp; Descendants - Edit'!D67</f>
        <v>MEADE</v>
      </c>
      <c r="D68" t="str">
        <f>'All Girls &amp; Descendants - Edit'!E67</f>
        <v>Lady Mary</v>
      </c>
      <c r="E68" t="str">
        <f>IF('All Girls &amp; Descendants - Edit'!F67="","",'All Girls &amp; Descendants - Edit'!F67)</f>
        <v>Jane</v>
      </c>
      <c r="F68" t="str">
        <f>IF('All Girls &amp; Descendants - Edit'!G67="","",'All Girls &amp; Descendants - Edit'!G67)</f>
        <v/>
      </c>
      <c r="G68" t="str">
        <f>IF('All Girls &amp; Descendants - Edit'!H67="",D68,'All Girls &amp; Descendants - Edit'!H67)</f>
        <v>Lady Mary</v>
      </c>
      <c r="H68">
        <f>'All Girls &amp; Descendants - Edit'!I67</f>
        <v>1952</v>
      </c>
      <c r="I68" t="str">
        <f>'All Girls &amp; Descendants - Edit'!J67</f>
        <v/>
      </c>
      <c r="J68" s="101">
        <f>'All Girls &amp; Descendants - Edit'!K67</f>
        <v>0</v>
      </c>
      <c r="K68" s="3" t="str">
        <f>'All Girls &amp; Descendants - Edit'!L67</f>
        <v>12/07/1952</v>
      </c>
      <c r="L68" s="3">
        <f>'All Girls &amp; Descendants - Edit'!M67</f>
        <v>19187</v>
      </c>
      <c r="M68" s="3">
        <f>'All Girls &amp; Descendants - Edit'!N67</f>
        <v>30933</v>
      </c>
      <c r="N68" s="3">
        <f>'All Girls &amp; Descendants - Edit'!O67</f>
        <v>0</v>
      </c>
      <c r="O68" s="3" t="str">
        <f>'All Girls &amp; Descendants - Edit'!P67</f>
        <v/>
      </c>
      <c r="P68" t="str">
        <f t="shared" si="2"/>
        <v>101b</v>
      </c>
      <c r="Q68" s="116">
        <f t="shared" si="3"/>
        <v>1</v>
      </c>
      <c r="R68" s="31" t="str">
        <f t="shared" si="4"/>
        <v>Lady Mary Jane  MEADE</v>
      </c>
      <c r="S68" t="str">
        <f t="shared" si="5"/>
        <v>Lady Mary MEADE (1952 - : #101b)</v>
      </c>
      <c r="U68" s="126">
        <f t="shared" ref="U68:U99" si="45">W68*1000+VLOOKUP(X68,$AB$4:$AC$13,2,FALSE)</f>
        <v>101002</v>
      </c>
      <c r="V68" t="str">
        <f t="shared" si="6"/>
        <v>101b</v>
      </c>
      <c r="W68" s="126">
        <f t="shared" ref="W68:W131" si="46">VALUE(LEFT(V68,3))</f>
        <v>101</v>
      </c>
      <c r="X68" s="126" t="str">
        <f t="shared" si="7"/>
        <v>b</v>
      </c>
      <c r="Y68" s="116"/>
      <c r="Z68" s="116"/>
      <c r="AB68" s="116"/>
    </row>
    <row r="69" spans="1:28">
      <c r="A69">
        <f>'All Girls &amp; Descendants - Edit'!B68</f>
        <v>101</v>
      </c>
      <c r="B69" t="str">
        <f>'All Girls &amp; Descendants - Edit'!C68</f>
        <v>101c</v>
      </c>
      <c r="C69" t="str">
        <f>'All Girls &amp; Descendants - Edit'!D68</f>
        <v>MEADE</v>
      </c>
      <c r="D69" t="str">
        <f>'All Girls &amp; Descendants - Edit'!E68</f>
        <v>Lady Julia</v>
      </c>
      <c r="E69" t="str">
        <f>IF('All Girls &amp; Descendants - Edit'!F68="","",'All Girls &amp; Descendants - Edit'!F68)</f>
        <v>Elizabeth</v>
      </c>
      <c r="F69" t="str">
        <f>IF('All Girls &amp; Descendants - Edit'!G68="","",'All Girls &amp; Descendants - Edit'!G68)</f>
        <v/>
      </c>
      <c r="G69" t="str">
        <f>IF('All Girls &amp; Descendants - Edit'!H68="",D69,'All Girls &amp; Descendants - Edit'!H68)</f>
        <v>Lady Julia</v>
      </c>
      <c r="H69">
        <f>'All Girls &amp; Descendants - Edit'!I68</f>
        <v>1953</v>
      </c>
      <c r="I69" t="str">
        <f>'All Girls &amp; Descendants - Edit'!J68</f>
        <v/>
      </c>
      <c r="J69" s="101">
        <f>'All Girls &amp; Descendants - Edit'!K68</f>
        <v>0</v>
      </c>
      <c r="K69" s="3" t="str">
        <f>'All Girls &amp; Descendants - Edit'!L68</f>
        <v>31/12/1953</v>
      </c>
      <c r="L69" s="3">
        <f>'All Girls &amp; Descendants - Edit'!M68</f>
        <v>19724</v>
      </c>
      <c r="M69" s="3">
        <f>'All Girls &amp; Descendants - Edit'!N68</f>
        <v>0</v>
      </c>
      <c r="N69" s="3">
        <f>'All Girls &amp; Descendants - Edit'!O68</f>
        <v>0</v>
      </c>
      <c r="O69" s="3" t="str">
        <f>'All Girls &amp; Descendants - Edit'!P68</f>
        <v/>
      </c>
      <c r="P69" t="str">
        <f t="shared" ref="P69:P132" si="47">B69</f>
        <v>101c</v>
      </c>
      <c r="Q69" s="116">
        <f t="shared" ref="Q69:Q132" si="48">LEN(B69)-LEN(A69)</f>
        <v>1</v>
      </c>
      <c r="R69" s="31" t="str">
        <f t="shared" ref="R69:R132" si="49">_xlfn.CONCAT(D69," ",E69," ",F69," ",C69)</f>
        <v>Lady Julia Elizabeth  MEADE</v>
      </c>
      <c r="S69" t="str">
        <f t="shared" ref="S69:S132" si="50">_xlfn.CONCAT(G69," ",C69," (",H69," - ",I69,": #",B69,")")</f>
        <v>Lady Julia MEADE (1953 - : #101c)</v>
      </c>
      <c r="U69" s="126">
        <f t="shared" si="45"/>
        <v>101003</v>
      </c>
      <c r="V69" t="str">
        <f t="shared" ref="V69:V132" si="51">P69</f>
        <v>101c</v>
      </c>
      <c r="W69" s="126">
        <f t="shared" si="46"/>
        <v>101</v>
      </c>
      <c r="X69" s="126" t="str">
        <f t="shared" ref="X69:X132" si="52">RIGHT(V69,1)</f>
        <v>c</v>
      </c>
      <c r="Y69" s="116"/>
      <c r="Z69" s="116"/>
      <c r="AB69" s="116"/>
    </row>
    <row r="70" spans="1:28">
      <c r="A70">
        <f>'All Girls &amp; Descendants - Edit'!B69</f>
        <v>101</v>
      </c>
      <c r="B70" t="str">
        <f>'All Girls &amp; Descendants - Edit'!C69</f>
        <v>101d</v>
      </c>
      <c r="C70" t="str">
        <f>'All Girls &amp; Descendants - Edit'!D69</f>
        <v>MEADE</v>
      </c>
      <c r="D70" t="str">
        <f>'All Girls &amp; Descendants - Edit'!E69</f>
        <v>Lady Laura</v>
      </c>
      <c r="E70" t="str">
        <f>IF('All Girls &amp; Descendants - Edit'!F69="","",'All Girls &amp; Descendants - Edit'!F69)</f>
        <v>Louise</v>
      </c>
      <c r="F70" t="str">
        <f>IF('All Girls &amp; Descendants - Edit'!G69="","",'All Girls &amp; Descendants - Edit'!G69)</f>
        <v/>
      </c>
      <c r="G70" t="str">
        <f>IF('All Girls &amp; Descendants - Edit'!H69="",D70,'All Girls &amp; Descendants - Edit'!H69)</f>
        <v>Lady Laura</v>
      </c>
      <c r="H70">
        <f>'All Girls &amp; Descendants - Edit'!I69</f>
        <v>1957</v>
      </c>
      <c r="I70" t="str">
        <f>'All Girls &amp; Descendants - Edit'!J69</f>
        <v/>
      </c>
      <c r="J70" s="101">
        <f>'All Girls &amp; Descendants - Edit'!K69</f>
        <v>0</v>
      </c>
      <c r="K70" s="3" t="str">
        <f>'All Girls &amp; Descendants - Edit'!L69</f>
        <v>11/03/1957</v>
      </c>
      <c r="L70" s="3">
        <f>'All Girls &amp; Descendants - Edit'!M69</f>
        <v>20890</v>
      </c>
      <c r="M70" s="3">
        <f>'All Girls &amp; Descendants - Edit'!N69</f>
        <v>29701</v>
      </c>
      <c r="N70" s="3">
        <f>'All Girls &amp; Descendants - Edit'!O69</f>
        <v>0</v>
      </c>
      <c r="O70" s="3" t="str">
        <f>'All Girls &amp; Descendants - Edit'!P69</f>
        <v/>
      </c>
      <c r="P70" t="str">
        <f t="shared" si="47"/>
        <v>101d</v>
      </c>
      <c r="Q70" s="116">
        <f t="shared" si="48"/>
        <v>1</v>
      </c>
      <c r="R70" s="31" t="str">
        <f t="shared" si="49"/>
        <v>Lady Laura Louise  MEADE</v>
      </c>
      <c r="S70" t="str">
        <f t="shared" si="50"/>
        <v>Lady Laura MEADE (1957 - : #101d)</v>
      </c>
      <c r="U70" s="126">
        <f t="shared" si="45"/>
        <v>101004</v>
      </c>
      <c r="V70" t="str">
        <f t="shared" si="51"/>
        <v>101d</v>
      </c>
      <c r="W70" s="126">
        <f t="shared" si="46"/>
        <v>101</v>
      </c>
      <c r="X70" s="126" t="str">
        <f t="shared" si="52"/>
        <v>d</v>
      </c>
      <c r="Y70" s="116"/>
      <c r="Z70" s="116"/>
      <c r="AB70" s="116"/>
    </row>
    <row r="71" spans="1:28">
      <c r="A71">
        <f>'All Girls &amp; Descendants - Edit'!B70</f>
        <v>101</v>
      </c>
      <c r="B71" t="str">
        <f>'All Girls &amp; Descendants - Edit'!C70</f>
        <v>101e</v>
      </c>
      <c r="C71" t="str">
        <f>'All Girls &amp; Descendants - Edit'!D70</f>
        <v>MEADE</v>
      </c>
      <c r="D71" t="str">
        <f>'All Girls &amp; Descendants - Edit'!E70</f>
        <v>Lady Katherine</v>
      </c>
      <c r="E71" t="str">
        <f>IF('All Girls &amp; Descendants - Edit'!F70="","",'All Girls &amp; Descendants - Edit'!F70)</f>
        <v>Anne</v>
      </c>
      <c r="F71" t="str">
        <f>IF('All Girls &amp; Descendants - Edit'!G70="","",'All Girls &amp; Descendants - Edit'!G70)</f>
        <v/>
      </c>
      <c r="G71" t="str">
        <f>IF('All Girls &amp; Descendants - Edit'!H70="",D71,'All Girls &amp; Descendants - Edit'!H70)</f>
        <v>Lady Katherine</v>
      </c>
      <c r="H71">
        <f>'All Girls &amp; Descendants - Edit'!I70</f>
        <v>1959</v>
      </c>
      <c r="I71" t="str">
        <f>'All Girls &amp; Descendants - Edit'!J70</f>
        <v/>
      </c>
      <c r="J71" s="101">
        <f>'All Girls &amp; Descendants - Edit'!K70</f>
        <v>0</v>
      </c>
      <c r="K71" s="3" t="str">
        <f>'All Girls &amp; Descendants - Edit'!L70</f>
        <v>10/08/1959</v>
      </c>
      <c r="L71" s="3">
        <f>'All Girls &amp; Descendants - Edit'!M70</f>
        <v>21772</v>
      </c>
      <c r="M71" s="3" t="str">
        <f>'All Girls &amp; Descendants - Edit'!N70</f>
        <v>29/02/1987</v>
      </c>
      <c r="N71" s="3">
        <f>'All Girls &amp; Descendants - Edit'!O70</f>
        <v>0</v>
      </c>
      <c r="O71" s="3" t="str">
        <f>'All Girls &amp; Descendants - Edit'!P70</f>
        <v/>
      </c>
      <c r="P71" t="str">
        <f t="shared" si="47"/>
        <v>101e</v>
      </c>
      <c r="Q71" s="116">
        <f t="shared" si="48"/>
        <v>1</v>
      </c>
      <c r="R71" s="31" t="str">
        <f t="shared" si="49"/>
        <v>Lady Katherine Anne  MEADE</v>
      </c>
      <c r="S71" t="str">
        <f t="shared" si="50"/>
        <v>Lady Katherine MEADE (1959 - : #101e)</v>
      </c>
      <c r="U71" s="126">
        <f t="shared" si="45"/>
        <v>101005</v>
      </c>
      <c r="V71" t="str">
        <f t="shared" si="51"/>
        <v>101e</v>
      </c>
      <c r="W71" s="126">
        <f t="shared" si="46"/>
        <v>101</v>
      </c>
      <c r="X71" s="126" t="str">
        <f t="shared" si="52"/>
        <v>e</v>
      </c>
      <c r="Y71" s="116"/>
      <c r="Z71" s="116"/>
      <c r="AB71" s="116"/>
    </row>
    <row r="72" spans="1:28">
      <c r="A72">
        <f>'All Girls &amp; Descendants - Edit'!B71</f>
        <v>101</v>
      </c>
      <c r="B72" t="str">
        <f>'All Girls &amp; Descendants - Edit'!C71</f>
        <v>101f</v>
      </c>
      <c r="C72" t="str">
        <f>'All Girls &amp; Descendants - Edit'!D71</f>
        <v>MEADE</v>
      </c>
      <c r="D72" t="str">
        <f>'All Girls &amp; Descendants - Edit'!E71</f>
        <v>Lady Sophia</v>
      </c>
      <c r="E72" t="str">
        <f>IF('All Girls &amp; Descendants - Edit'!F71="","",'All Girls &amp; Descendants - Edit'!F71)</f>
        <v>Hester</v>
      </c>
      <c r="F72" t="str">
        <f>IF('All Girls &amp; Descendants - Edit'!G71="","",'All Girls &amp; Descendants - Edit'!G71)</f>
        <v/>
      </c>
      <c r="G72" t="str">
        <f>IF('All Girls &amp; Descendants - Edit'!H71="",D72,'All Girls &amp; Descendants - Edit'!H71)</f>
        <v>Lady Sophia</v>
      </c>
      <c r="H72">
        <f>'All Girls &amp; Descendants - Edit'!I71</f>
        <v>1963</v>
      </c>
      <c r="I72" t="str">
        <f>'All Girls &amp; Descendants - Edit'!J71</f>
        <v/>
      </c>
      <c r="J72" s="101">
        <f>'All Girls &amp; Descendants - Edit'!K71</f>
        <v>0</v>
      </c>
      <c r="K72" s="3" t="str">
        <f>'All Girls &amp; Descendants - Edit'!L71</f>
        <v>14/10/1963</v>
      </c>
      <c r="L72" s="3">
        <f>'All Girls &amp; Descendants - Edit'!M71</f>
        <v>23298</v>
      </c>
      <c r="M72" s="3" t="str">
        <f>'All Girls &amp; Descendants - Edit'!N71</f>
        <v>29/02/1990</v>
      </c>
      <c r="N72" s="3">
        <f>'All Girls &amp; Descendants - Edit'!O71</f>
        <v>0</v>
      </c>
      <c r="O72" s="3" t="str">
        <f>'All Girls &amp; Descendants - Edit'!P71</f>
        <v/>
      </c>
      <c r="P72" t="str">
        <f t="shared" si="47"/>
        <v>101f</v>
      </c>
      <c r="Q72" s="116">
        <f t="shared" si="48"/>
        <v>1</v>
      </c>
      <c r="R72" s="31" t="str">
        <f t="shared" si="49"/>
        <v>Lady Sophia Hester  MEADE</v>
      </c>
      <c r="S72" t="str">
        <f t="shared" si="50"/>
        <v>Lady Sophia MEADE (1963 - : #101f)</v>
      </c>
      <c r="U72" s="126">
        <f t="shared" si="45"/>
        <v>101006</v>
      </c>
      <c r="V72" t="str">
        <f t="shared" si="51"/>
        <v>101f</v>
      </c>
      <c r="W72" s="126">
        <f t="shared" si="46"/>
        <v>101</v>
      </c>
      <c r="X72" s="126" t="str">
        <f t="shared" si="52"/>
        <v>f</v>
      </c>
      <c r="Y72" s="116"/>
      <c r="Z72" s="116"/>
      <c r="AB72" s="116"/>
    </row>
    <row r="73" spans="1:28">
      <c r="A73">
        <f>'All Girls &amp; Descendants - Edit'!B72</f>
        <v>102</v>
      </c>
      <c r="B73" t="str">
        <f>'All Girls &amp; Descendants - Edit'!C72</f>
        <v>102a</v>
      </c>
      <c r="C73" t="str">
        <f>'All Girls &amp; Descendants - Edit'!D72</f>
        <v>DUNLOP</v>
      </c>
      <c r="D73" t="str">
        <f>'All Girls &amp; Descendants - Edit'!E72</f>
        <v>Teressa</v>
      </c>
      <c r="E73" t="str">
        <f>IF('All Girls &amp; Descendants - Edit'!F72="","",'All Girls &amp; Descendants - Edit'!F72)</f>
        <v>Mary</v>
      </c>
      <c r="F73" t="str">
        <f>IF('All Girls &amp; Descendants - Edit'!G72="","",'All Girls &amp; Descendants - Edit'!G72)</f>
        <v/>
      </c>
      <c r="G73" t="str">
        <f>IF('All Girls &amp; Descendants - Edit'!H72="",D73,'All Girls &amp; Descendants - Edit'!H72)</f>
        <v>Tess</v>
      </c>
      <c r="H73">
        <f>'All Girls &amp; Descendants - Edit'!I72</f>
        <v>1956</v>
      </c>
      <c r="I73" t="str">
        <f>'All Girls &amp; Descendants - Edit'!J72</f>
        <v/>
      </c>
      <c r="J73" s="101">
        <f>'All Girls &amp; Descendants - Edit'!K72</f>
        <v>0</v>
      </c>
      <c r="K73" s="3" t="str">
        <f>'All Girls &amp; Descendants - Edit'!L72</f>
        <v>09/06/1956</v>
      </c>
      <c r="L73" s="3">
        <f>'All Girls &amp; Descendants - Edit'!M72</f>
        <v>20615</v>
      </c>
      <c r="M73" s="3">
        <f>'All Girls &amp; Descendants - Edit'!N72</f>
        <v>0</v>
      </c>
      <c r="N73" s="3">
        <f>'All Girls &amp; Descendants - Edit'!O72</f>
        <v>0</v>
      </c>
      <c r="O73" s="3" t="str">
        <f>'All Girls &amp; Descendants - Edit'!P72</f>
        <v/>
      </c>
      <c r="P73" t="str">
        <f t="shared" si="47"/>
        <v>102a</v>
      </c>
      <c r="Q73" s="116">
        <f t="shared" si="48"/>
        <v>1</v>
      </c>
      <c r="R73" s="31" t="str">
        <f t="shared" si="49"/>
        <v>Teressa Mary  DUNLOP</v>
      </c>
      <c r="S73" t="str">
        <f t="shared" si="50"/>
        <v>Tess DUNLOP (1956 - : #102a)</v>
      </c>
      <c r="U73" s="126">
        <f t="shared" si="45"/>
        <v>102001</v>
      </c>
      <c r="V73" t="str">
        <f t="shared" si="51"/>
        <v>102a</v>
      </c>
      <c r="W73" s="126">
        <f t="shared" si="46"/>
        <v>102</v>
      </c>
      <c r="X73" s="126" t="str">
        <f t="shared" si="52"/>
        <v>a</v>
      </c>
      <c r="Y73" s="116"/>
      <c r="Z73" s="116"/>
      <c r="AB73" s="116"/>
    </row>
    <row r="74" spans="1:28">
      <c r="A74">
        <f>'All Girls &amp; Descendants - Edit'!B73</f>
        <v>102</v>
      </c>
      <c r="B74" t="str">
        <f>'All Girls &amp; Descendants - Edit'!C73</f>
        <v>102b</v>
      </c>
      <c r="C74" t="str">
        <f>'All Girls &amp; Descendants - Edit'!D73</f>
        <v>DUNLOP</v>
      </c>
      <c r="D74" t="str">
        <f>'All Girls &amp; Descendants - Edit'!E73</f>
        <v>Lindsay</v>
      </c>
      <c r="E74" t="str">
        <f>IF('All Girls &amp; Descendants - Edit'!F73="","",'All Girls &amp; Descendants - Edit'!F73)</f>
        <v>Fergus</v>
      </c>
      <c r="F74" t="str">
        <f>IF('All Girls &amp; Descendants - Edit'!G73="","",'All Girls &amp; Descendants - Edit'!G73)</f>
        <v/>
      </c>
      <c r="G74" t="str">
        <f>IF('All Girls &amp; Descendants - Edit'!H73="",D74,'All Girls &amp; Descendants - Edit'!H73)</f>
        <v>Fergus</v>
      </c>
      <c r="H74">
        <f>'All Girls &amp; Descendants - Edit'!I73</f>
        <v>1958</v>
      </c>
      <c r="I74" t="str">
        <f>'All Girls &amp; Descendants - Edit'!J73</f>
        <v/>
      </c>
      <c r="J74" s="101">
        <f>'All Girls &amp; Descendants - Edit'!K73</f>
        <v>0</v>
      </c>
      <c r="K74" s="3" t="str">
        <f>'All Girls &amp; Descendants - Edit'!L73</f>
        <v>23/05/1958</v>
      </c>
      <c r="L74" s="3">
        <f>'All Girls &amp; Descendants - Edit'!M73</f>
        <v>21328</v>
      </c>
      <c r="M74" s="3">
        <f>'All Girls &amp; Descendants - Edit'!N73</f>
        <v>34930</v>
      </c>
      <c r="N74" s="3">
        <f>'All Girls &amp; Descendants - Edit'!O73</f>
        <v>0</v>
      </c>
      <c r="O74" s="3" t="str">
        <f>'All Girls &amp; Descendants - Edit'!P73</f>
        <v/>
      </c>
      <c r="P74" t="str">
        <f t="shared" si="47"/>
        <v>102b</v>
      </c>
      <c r="Q74" s="116">
        <f t="shared" si="48"/>
        <v>1</v>
      </c>
      <c r="R74" s="31" t="str">
        <f t="shared" si="49"/>
        <v>Lindsay Fergus  DUNLOP</v>
      </c>
      <c r="S74" t="str">
        <f t="shared" si="50"/>
        <v>Fergus DUNLOP (1958 - : #102b)</v>
      </c>
      <c r="U74" s="126">
        <f t="shared" si="45"/>
        <v>102002</v>
      </c>
      <c r="V74" t="str">
        <f t="shared" si="51"/>
        <v>102b</v>
      </c>
      <c r="W74" s="126">
        <f t="shared" si="46"/>
        <v>102</v>
      </c>
      <c r="X74" s="126" t="str">
        <f t="shared" si="52"/>
        <v>b</v>
      </c>
      <c r="Y74" s="116"/>
      <c r="Z74" s="116"/>
      <c r="AB74" s="116"/>
    </row>
    <row r="75" spans="1:28">
      <c r="A75">
        <f>'All Girls &amp; Descendants - Edit'!B74</f>
        <v>102</v>
      </c>
      <c r="B75" t="str">
        <f>'All Girls &amp; Descendants - Edit'!C74</f>
        <v>102c</v>
      </c>
      <c r="C75" t="str">
        <f>'All Girls &amp; Descendants - Edit'!D74</f>
        <v>DUNLOP</v>
      </c>
      <c r="D75" t="str">
        <f>'All Girls &amp; Descendants - Edit'!E74</f>
        <v>Celina</v>
      </c>
      <c r="E75" t="str">
        <f>IF('All Girls &amp; Descendants - Edit'!F74="","",'All Girls &amp; Descendants - Edit'!F74)</f>
        <v>Elizabeth</v>
      </c>
      <c r="F75" t="str">
        <f>IF('All Girls &amp; Descendants - Edit'!G74="","",'All Girls &amp; Descendants - Edit'!G74)</f>
        <v/>
      </c>
      <c r="G75" t="str">
        <f>IF('All Girls &amp; Descendants - Edit'!H74="",D75,'All Girls &amp; Descendants - Edit'!H74)</f>
        <v>Celina</v>
      </c>
      <c r="H75">
        <f>'All Girls &amp; Descendants - Edit'!I74</f>
        <v>1960</v>
      </c>
      <c r="I75" t="str">
        <f>'All Girls &amp; Descendants - Edit'!J74</f>
        <v/>
      </c>
      <c r="J75" s="101">
        <f>'All Girls &amp; Descendants - Edit'!K74</f>
        <v>0</v>
      </c>
      <c r="K75" s="3" t="str">
        <f>'All Girls &amp; Descendants - Edit'!L74</f>
        <v>22/09/1960</v>
      </c>
      <c r="L75" s="3">
        <f>'All Girls &amp; Descendants - Edit'!M74</f>
        <v>22181</v>
      </c>
      <c r="M75" s="3">
        <f>'All Girls &amp; Descendants - Edit'!N74</f>
        <v>0</v>
      </c>
      <c r="N75" s="3">
        <f>'All Girls &amp; Descendants - Edit'!O74</f>
        <v>0</v>
      </c>
      <c r="O75" s="3" t="str">
        <f>'All Girls &amp; Descendants - Edit'!P74</f>
        <v/>
      </c>
      <c r="P75" t="str">
        <f t="shared" si="47"/>
        <v>102c</v>
      </c>
      <c r="Q75" s="116">
        <f t="shared" si="48"/>
        <v>1</v>
      </c>
      <c r="R75" s="31" t="str">
        <f t="shared" si="49"/>
        <v>Celina Elizabeth  DUNLOP</v>
      </c>
      <c r="S75" t="str">
        <f t="shared" si="50"/>
        <v>Celina DUNLOP (1960 - : #102c)</v>
      </c>
      <c r="U75" s="126">
        <f t="shared" si="45"/>
        <v>102003</v>
      </c>
      <c r="V75" t="str">
        <f t="shared" si="51"/>
        <v>102c</v>
      </c>
      <c r="W75" s="126">
        <f t="shared" si="46"/>
        <v>102</v>
      </c>
      <c r="X75" s="126" t="str">
        <f t="shared" si="52"/>
        <v>c</v>
      </c>
      <c r="Y75" s="116"/>
      <c r="Z75" s="116"/>
      <c r="AB75" s="116"/>
    </row>
    <row r="76" spans="1:28">
      <c r="A76">
        <f>'All Girls &amp; Descendants - Edit'!B75</f>
        <v>103</v>
      </c>
      <c r="B76" t="str">
        <f>'All Girls &amp; Descendants - Edit'!C75</f>
        <v>103a</v>
      </c>
      <c r="C76" t="str">
        <f>'All Girls &amp; Descendants - Edit'!D75</f>
        <v>GORE-BROWNE</v>
      </c>
      <c r="D76" t="str">
        <f>'All Girls &amp; Descendants - Edit'!E75</f>
        <v>James</v>
      </c>
      <c r="E76" t="str">
        <f>IF('All Girls &amp; Descendants - Edit'!F75="","",'All Girls &amp; Descendants - Edit'!F75)</f>
        <v>Anthony</v>
      </c>
      <c r="F76" t="str">
        <f>IF('All Girls &amp; Descendants - Edit'!G75="","",'All Girls &amp; Descendants - Edit'!G75)</f>
        <v/>
      </c>
      <c r="G76" t="str">
        <f>IF('All Girls &amp; Descendants - Edit'!H75="",D76,'All Girls &amp; Descendants - Edit'!H75)</f>
        <v>James</v>
      </c>
      <c r="H76">
        <f>'All Girls &amp; Descendants - Edit'!I75</f>
        <v>1947</v>
      </c>
      <c r="I76" t="str">
        <f>'All Girls &amp; Descendants - Edit'!J75</f>
        <v/>
      </c>
      <c r="J76" s="101">
        <f>'All Girls &amp; Descendants - Edit'!K75</f>
        <v>0</v>
      </c>
      <c r="K76" s="3" t="str">
        <f>'All Girls &amp; Descendants - Edit'!L75</f>
        <v>26/03/1947</v>
      </c>
      <c r="L76" s="3">
        <f>'All Girls &amp; Descendants - Edit'!M75</f>
        <v>17252</v>
      </c>
      <c r="M76" s="3">
        <f>'All Girls &amp; Descendants - Edit'!N75</f>
        <v>30422</v>
      </c>
      <c r="N76" s="3">
        <f>'All Girls &amp; Descendants - Edit'!O75</f>
        <v>0</v>
      </c>
      <c r="O76" s="3" t="str">
        <f>'All Girls &amp; Descendants - Edit'!P75</f>
        <v/>
      </c>
      <c r="P76" t="str">
        <f t="shared" si="47"/>
        <v>103a</v>
      </c>
      <c r="Q76" s="116">
        <f t="shared" si="48"/>
        <v>1</v>
      </c>
      <c r="R76" s="31" t="str">
        <f t="shared" si="49"/>
        <v>James Anthony  GORE-BROWNE</v>
      </c>
      <c r="S76" t="str">
        <f t="shared" si="50"/>
        <v>James GORE-BROWNE (1947 - : #103a)</v>
      </c>
      <c r="U76" s="126">
        <f t="shared" si="45"/>
        <v>103001</v>
      </c>
      <c r="V76" t="str">
        <f t="shared" si="51"/>
        <v>103a</v>
      </c>
      <c r="W76" s="126">
        <f t="shared" si="46"/>
        <v>103</v>
      </c>
      <c r="X76" s="126" t="str">
        <f t="shared" si="52"/>
        <v>a</v>
      </c>
      <c r="Y76" s="116"/>
      <c r="Z76" s="116"/>
      <c r="AB76" s="116"/>
    </row>
    <row r="77" spans="1:28">
      <c r="A77">
        <f>'All Girls &amp; Descendants - Edit'!B76</f>
        <v>103</v>
      </c>
      <c r="B77" t="str">
        <f>'All Girls &amp; Descendants - Edit'!C76</f>
        <v>103b</v>
      </c>
      <c r="C77" t="str">
        <f>'All Girls &amp; Descendants - Edit'!D76</f>
        <v>GORE-BROWNE</v>
      </c>
      <c r="D77" t="str">
        <f>'All Girls &amp; Descendants - Edit'!E76</f>
        <v>Georgina</v>
      </c>
      <c r="E77" t="str">
        <f>IF('All Girls &amp; Descendants - Edit'!F76="","",'All Girls &amp; Descendants - Edit'!F76)</f>
        <v>Mary</v>
      </c>
      <c r="F77" t="str">
        <f>IF('All Girls &amp; Descendants - Edit'!G76="","",'All Girls &amp; Descendants - Edit'!G76)</f>
        <v/>
      </c>
      <c r="G77" t="str">
        <f>IF('All Girls &amp; Descendants - Edit'!H76="",D77,'All Girls &amp; Descendants - Edit'!H76)</f>
        <v>Georgina</v>
      </c>
      <c r="H77">
        <f>'All Girls &amp; Descendants - Edit'!I76</f>
        <v>1949</v>
      </c>
      <c r="I77" t="str">
        <f>'All Girls &amp; Descendants - Edit'!J76</f>
        <v/>
      </c>
      <c r="J77" s="101">
        <f>'All Girls &amp; Descendants - Edit'!K76</f>
        <v>0</v>
      </c>
      <c r="K77" s="3" t="str">
        <f>'All Girls &amp; Descendants - Edit'!L76</f>
        <v>25/01/1949</v>
      </c>
      <c r="L77" s="3">
        <f>'All Girls &amp; Descendants - Edit'!M76</f>
        <v>17923</v>
      </c>
      <c r="M77" s="3">
        <f>'All Girls &amp; Descendants - Edit'!N76</f>
        <v>25603</v>
      </c>
      <c r="N77" s="3">
        <f>'All Girls &amp; Descendants - Edit'!O76</f>
        <v>0</v>
      </c>
      <c r="O77" s="3" t="str">
        <f>'All Girls &amp; Descendants - Edit'!P76</f>
        <v/>
      </c>
      <c r="P77" t="str">
        <f t="shared" si="47"/>
        <v>103b</v>
      </c>
      <c r="Q77" s="116">
        <f t="shared" si="48"/>
        <v>1</v>
      </c>
      <c r="R77" s="31" t="str">
        <f t="shared" si="49"/>
        <v>Georgina Mary  GORE-BROWNE</v>
      </c>
      <c r="S77" t="str">
        <f t="shared" si="50"/>
        <v>Georgina GORE-BROWNE (1949 - : #103b)</v>
      </c>
      <c r="U77" s="126">
        <f t="shared" si="45"/>
        <v>103002</v>
      </c>
      <c r="V77" t="str">
        <f t="shared" si="51"/>
        <v>103b</v>
      </c>
      <c r="W77" s="126">
        <f t="shared" si="46"/>
        <v>103</v>
      </c>
      <c r="X77" s="126" t="str">
        <f t="shared" si="52"/>
        <v>b</v>
      </c>
      <c r="Y77" s="116"/>
      <c r="Z77" s="116"/>
      <c r="AB77" s="116"/>
    </row>
    <row r="78" spans="1:28">
      <c r="A78">
        <f>'All Girls &amp; Descendants - Edit'!B77</f>
        <v>103</v>
      </c>
      <c r="B78" t="str">
        <f>'All Girls &amp; Descendants - Edit'!C77</f>
        <v>103c</v>
      </c>
      <c r="C78" t="str">
        <f>'All Girls &amp; Descendants - Edit'!D77</f>
        <v>GORE-BROWNE</v>
      </c>
      <c r="D78" t="str">
        <f>'All Girls &amp; Descendants - Edit'!E77</f>
        <v>David</v>
      </c>
      <c r="E78" t="str">
        <f>IF('All Girls &amp; Descendants - Edit'!F77="","",'All Girls &amp; Descendants - Edit'!F77)</f>
        <v>Charles</v>
      </c>
      <c r="F78" t="str">
        <f>IF('All Girls &amp; Descendants - Edit'!G77="","",'All Girls &amp; Descendants - Edit'!G77)</f>
        <v/>
      </c>
      <c r="G78" t="str">
        <f>IF('All Girls &amp; Descendants - Edit'!H77="",D78,'All Girls &amp; Descendants - Edit'!H77)</f>
        <v>David</v>
      </c>
      <c r="H78">
        <f>'All Girls &amp; Descendants - Edit'!I77</f>
        <v>1952</v>
      </c>
      <c r="I78">
        <f>'All Girls &amp; Descendants - Edit'!J77</f>
        <v>2012</v>
      </c>
      <c r="J78" s="101">
        <f>'All Girls &amp; Descendants - Edit'!K77</f>
        <v>0</v>
      </c>
      <c r="K78" s="3" t="str">
        <f>'All Girls &amp; Descendants - Edit'!L77</f>
        <v>21/08/1952</v>
      </c>
      <c r="L78" s="3">
        <f>'All Girls &amp; Descendants - Edit'!M77</f>
        <v>19227</v>
      </c>
      <c r="M78" s="3">
        <f>'All Girls &amp; Descendants - Edit'!N77</f>
        <v>31752</v>
      </c>
      <c r="N78" s="3">
        <f>'All Girls &amp; Descendants - Edit'!O77</f>
        <v>41133</v>
      </c>
      <c r="O78" s="3">
        <f>'All Girls &amp; Descendants - Edit'!P77</f>
        <v>41133</v>
      </c>
      <c r="P78" t="str">
        <f t="shared" si="47"/>
        <v>103c</v>
      </c>
      <c r="Q78" s="116">
        <f t="shared" si="48"/>
        <v>1</v>
      </c>
      <c r="R78" s="31" t="str">
        <f t="shared" si="49"/>
        <v>David Charles  GORE-BROWNE</v>
      </c>
      <c r="S78" t="str">
        <f t="shared" si="50"/>
        <v>David GORE-BROWNE (1952 - 2012: #103c)</v>
      </c>
      <c r="U78" s="126">
        <f t="shared" si="45"/>
        <v>103003</v>
      </c>
      <c r="V78" t="str">
        <f t="shared" si="51"/>
        <v>103c</v>
      </c>
      <c r="W78" s="126">
        <f t="shared" si="46"/>
        <v>103</v>
      </c>
      <c r="X78" s="126" t="str">
        <f t="shared" si="52"/>
        <v>c</v>
      </c>
      <c r="Y78" s="116"/>
      <c r="Z78" s="116"/>
      <c r="AB78" s="116"/>
    </row>
    <row r="79" spans="1:28">
      <c r="A79">
        <f>'All Girls &amp; Descendants - Edit'!B78</f>
        <v>103</v>
      </c>
      <c r="B79" t="str">
        <f>'All Girls &amp; Descendants - Edit'!C78</f>
        <v>103d</v>
      </c>
      <c r="C79" t="str">
        <f>'All Girls &amp; Descendants - Edit'!D78</f>
        <v>GORE-BROWNE</v>
      </c>
      <c r="D79" t="str">
        <f>'All Girls &amp; Descendants - Edit'!E78</f>
        <v>Patrick</v>
      </c>
      <c r="E79" t="str">
        <f>IF('All Girls &amp; Descendants - Edit'!F78="","",'All Girls &amp; Descendants - Edit'!F78)</f>
        <v>Robert</v>
      </c>
      <c r="F79" t="str">
        <f>IF('All Girls &amp; Descendants - Edit'!G78="","",'All Girls &amp; Descendants - Edit'!G78)</f>
        <v/>
      </c>
      <c r="G79" t="str">
        <f>IF('All Girls &amp; Descendants - Edit'!H78="",D79,'All Girls &amp; Descendants - Edit'!H78)</f>
        <v>Patrick</v>
      </c>
      <c r="H79">
        <f>'All Girls &amp; Descendants - Edit'!I78</f>
        <v>1956</v>
      </c>
      <c r="I79" t="str">
        <f>'All Girls &amp; Descendants - Edit'!J78</f>
        <v/>
      </c>
      <c r="J79" s="101">
        <f>'All Girls &amp; Descendants - Edit'!K78</f>
        <v>0</v>
      </c>
      <c r="K79" s="3" t="str">
        <f>'All Girls &amp; Descendants - Edit'!L78</f>
        <v>15/02/1956</v>
      </c>
      <c r="L79" s="3">
        <f>'All Girls &amp; Descendants - Edit'!M78</f>
        <v>20500</v>
      </c>
      <c r="M79" s="3">
        <f>'All Girls &amp; Descendants - Edit'!N78</f>
        <v>0</v>
      </c>
      <c r="N79" s="3">
        <f>'All Girls &amp; Descendants - Edit'!O78</f>
        <v>0</v>
      </c>
      <c r="O79" s="3" t="str">
        <f>'All Girls &amp; Descendants - Edit'!P78</f>
        <v/>
      </c>
      <c r="P79" t="str">
        <f t="shared" si="47"/>
        <v>103d</v>
      </c>
      <c r="Q79" s="116">
        <f t="shared" si="48"/>
        <v>1</v>
      </c>
      <c r="R79" s="31" t="str">
        <f t="shared" si="49"/>
        <v>Patrick Robert  GORE-BROWNE</v>
      </c>
      <c r="S79" t="str">
        <f t="shared" si="50"/>
        <v>Patrick GORE-BROWNE (1956 - : #103d)</v>
      </c>
      <c r="U79" s="126">
        <f t="shared" si="45"/>
        <v>103004</v>
      </c>
      <c r="V79" t="str">
        <f t="shared" si="51"/>
        <v>103d</v>
      </c>
      <c r="W79" s="126">
        <f t="shared" si="46"/>
        <v>103</v>
      </c>
      <c r="X79" s="126" t="str">
        <f t="shared" si="52"/>
        <v>d</v>
      </c>
      <c r="Y79" s="116"/>
      <c r="Z79" s="116"/>
      <c r="AB79" s="116"/>
    </row>
    <row r="80" spans="1:28">
      <c r="A80">
        <f>'All Girls &amp; Descendants - Edit'!B79</f>
        <v>106</v>
      </c>
      <c r="B80" t="str">
        <f>'All Girls &amp; Descendants - Edit'!C79</f>
        <v>106a</v>
      </c>
      <c r="C80" t="str">
        <f>'All Girls &amp; Descendants - Edit'!D79</f>
        <v>WINN</v>
      </c>
      <c r="D80" t="str">
        <f>'All Girls &amp; Descendants - Edit'!E79</f>
        <v>The Hon Geva</v>
      </c>
      <c r="E80" t="str">
        <f>IF('All Girls &amp; Descendants - Edit'!F79="","",'All Girls &amp; Descendants - Edit'!F79)</f>
        <v>Charlotte</v>
      </c>
      <c r="F80" t="str">
        <f>IF('All Girls &amp; Descendants - Edit'!G79="","",'All Girls &amp; Descendants - Edit'!G79)</f>
        <v>Caroline</v>
      </c>
      <c r="G80" t="str">
        <f>IF('All Girls &amp; Descendants - Edit'!H79="",D80,'All Girls &amp; Descendants - Edit'!H79)</f>
        <v>The Hon Geva</v>
      </c>
      <c r="H80">
        <f>'All Girls &amp; Descendants - Edit'!I79</f>
        <v>1955</v>
      </c>
      <c r="I80" t="str">
        <f>'All Girls &amp; Descendants - Edit'!J79</f>
        <v/>
      </c>
      <c r="J80" s="101">
        <f>'All Girls &amp; Descendants - Edit'!K79</f>
        <v>0</v>
      </c>
      <c r="K80" s="3" t="str">
        <f>'All Girls &amp; Descendants - Edit'!L79</f>
        <v>15/09/1955</v>
      </c>
      <c r="L80" s="3">
        <f>'All Girls &amp; Descendants - Edit'!M79</f>
        <v>20347</v>
      </c>
      <c r="M80" s="3">
        <f>'All Girls &amp; Descendants - Edit'!N79</f>
        <v>31940</v>
      </c>
      <c r="N80" s="3">
        <f>'All Girls &amp; Descendants - Edit'!O79</f>
        <v>0</v>
      </c>
      <c r="O80" s="3" t="str">
        <f>'All Girls &amp; Descendants - Edit'!P79</f>
        <v/>
      </c>
      <c r="P80" t="str">
        <f t="shared" si="47"/>
        <v>106a</v>
      </c>
      <c r="Q80" s="116">
        <f t="shared" si="48"/>
        <v>1</v>
      </c>
      <c r="R80" s="31" t="str">
        <f t="shared" si="49"/>
        <v>The Hon Geva Charlotte Caroline WINN</v>
      </c>
      <c r="S80" t="str">
        <f t="shared" si="50"/>
        <v>The Hon Geva WINN (1955 - : #106a)</v>
      </c>
      <c r="U80" s="126">
        <f t="shared" si="45"/>
        <v>106001</v>
      </c>
      <c r="V80" t="str">
        <f t="shared" si="51"/>
        <v>106a</v>
      </c>
      <c r="W80" s="126">
        <f t="shared" si="46"/>
        <v>106</v>
      </c>
      <c r="X80" s="126" t="str">
        <f t="shared" si="52"/>
        <v>a</v>
      </c>
      <c r="Y80" s="116"/>
      <c r="Z80" s="116"/>
      <c r="AB80" s="116"/>
    </row>
    <row r="81" spans="1:28">
      <c r="A81">
        <f>'All Girls &amp; Descendants - Edit'!B80</f>
        <v>106</v>
      </c>
      <c r="B81" t="str">
        <f>'All Girls &amp; Descendants - Edit'!C80</f>
        <v>106b</v>
      </c>
      <c r="C81" t="str">
        <f>'All Girls &amp; Descendants - Edit'!D80</f>
        <v>WINN</v>
      </c>
      <c r="D81" t="str">
        <f>'All Girls &amp; Descendants - Edit'!E80</f>
        <v>Charles</v>
      </c>
      <c r="E81" t="str">
        <f>IF('All Girls &amp; Descendants - Edit'!F80="","",'All Girls &amp; Descendants - Edit'!F80)</f>
        <v>Rowland</v>
      </c>
      <c r="F81" t="str">
        <f>IF('All Girls &amp; Descendants - Edit'!G80="","",'All Girls &amp; Descendants - Edit'!G80)</f>
        <v>Andrew</v>
      </c>
      <c r="G81" t="str">
        <f>IF('All Girls &amp; Descendants - Edit'!H80="",D81,'All Girls &amp; Descendants - Edit'!H80)</f>
        <v>Charles</v>
      </c>
      <c r="H81">
        <f>'All Girls &amp; Descendants - Edit'!I80</f>
        <v>1959</v>
      </c>
      <c r="I81" t="str">
        <f>'All Girls &amp; Descendants - Edit'!J80</f>
        <v/>
      </c>
      <c r="J81" s="101">
        <f>'All Girls &amp; Descendants - Edit'!K80</f>
        <v>0</v>
      </c>
      <c r="K81" s="3" t="str">
        <f>'All Girls &amp; Descendants - Edit'!L80</f>
        <v>22/07/1959</v>
      </c>
      <c r="L81" s="3">
        <f>'All Girls &amp; Descendants - Edit'!M80</f>
        <v>21753</v>
      </c>
      <c r="M81" s="3">
        <f>'All Girls &amp; Descendants - Edit'!N80</f>
        <v>0</v>
      </c>
      <c r="N81" s="3">
        <f>'All Girls &amp; Descendants - Edit'!O80</f>
        <v>0</v>
      </c>
      <c r="O81" s="3" t="str">
        <f>'All Girls &amp; Descendants - Edit'!P80</f>
        <v/>
      </c>
      <c r="P81" t="str">
        <f t="shared" si="47"/>
        <v>106b</v>
      </c>
      <c r="Q81" s="116">
        <f t="shared" si="48"/>
        <v>1</v>
      </c>
      <c r="R81" s="31" t="str">
        <f t="shared" si="49"/>
        <v>Charles Rowland Andrew WINN</v>
      </c>
      <c r="S81" t="str">
        <f t="shared" si="50"/>
        <v>Charles WINN (1959 - : #106b)</v>
      </c>
      <c r="U81" s="126">
        <f t="shared" si="45"/>
        <v>106002</v>
      </c>
      <c r="V81" t="str">
        <f t="shared" si="51"/>
        <v>106b</v>
      </c>
      <c r="W81" s="126">
        <f t="shared" si="46"/>
        <v>106</v>
      </c>
      <c r="X81" s="126" t="str">
        <f t="shared" si="52"/>
        <v>b</v>
      </c>
      <c r="Y81" s="116"/>
      <c r="Z81" s="116"/>
      <c r="AB81" s="116"/>
    </row>
    <row r="82" spans="1:28">
      <c r="A82">
        <f>'All Girls &amp; Descendants - Edit'!B81</f>
        <v>107</v>
      </c>
      <c r="B82" t="str">
        <f>'All Girls &amp; Descendants - Edit'!C81</f>
        <v>107a</v>
      </c>
      <c r="C82" t="str">
        <f>'All Girls &amp; Descendants - Edit'!D81</f>
        <v>GRAHAM</v>
      </c>
      <c r="D82" t="str">
        <f>'All Girls &amp; Descendants - Edit'!E81</f>
        <v>Lorraine</v>
      </c>
      <c r="E82" t="str">
        <f>IF('All Girls &amp; Descendants - Edit'!F81="","",'All Girls &amp; Descendants - Edit'!F81)</f>
        <v>Mary</v>
      </c>
      <c r="F82" t="str">
        <f>IF('All Girls &amp; Descendants - Edit'!G81="","",'All Girls &amp; Descendants - Edit'!G81)</f>
        <v/>
      </c>
      <c r="G82" t="str">
        <f>IF('All Girls &amp; Descendants - Edit'!H81="",D82,'All Girls &amp; Descendants - Edit'!H81)</f>
        <v>Lorraine</v>
      </c>
      <c r="H82">
        <f>'All Girls &amp; Descendants - Edit'!I81</f>
        <v>1951</v>
      </c>
      <c r="I82" t="str">
        <f>'All Girls &amp; Descendants - Edit'!J81</f>
        <v/>
      </c>
      <c r="J82" s="101">
        <f>'All Girls &amp; Descendants - Edit'!K81</f>
        <v>0</v>
      </c>
      <c r="K82" s="3" t="str">
        <f>'All Girls &amp; Descendants - Edit'!L81</f>
        <v>19/05/1951</v>
      </c>
      <c r="L82" s="3">
        <f>'All Girls &amp; Descendants - Edit'!M81</f>
        <v>18767</v>
      </c>
      <c r="M82" s="3">
        <f>'All Girls &amp; Descendants - Edit'!N81</f>
        <v>27439</v>
      </c>
      <c r="N82" s="3">
        <f>'All Girls &amp; Descendants - Edit'!O81</f>
        <v>0</v>
      </c>
      <c r="O82" s="3" t="str">
        <f>'All Girls &amp; Descendants - Edit'!P81</f>
        <v/>
      </c>
      <c r="P82" t="str">
        <f t="shared" si="47"/>
        <v>107a</v>
      </c>
      <c r="Q82" s="116">
        <f t="shared" si="48"/>
        <v>1</v>
      </c>
      <c r="R82" s="31" t="str">
        <f t="shared" si="49"/>
        <v>Lorraine Mary  GRAHAM</v>
      </c>
      <c r="S82" t="str">
        <f t="shared" si="50"/>
        <v>Lorraine GRAHAM (1951 - : #107a)</v>
      </c>
      <c r="U82" s="126">
        <f t="shared" si="45"/>
        <v>107001</v>
      </c>
      <c r="V82" t="str">
        <f t="shared" si="51"/>
        <v>107a</v>
      </c>
      <c r="W82" s="126">
        <f t="shared" si="46"/>
        <v>107</v>
      </c>
      <c r="X82" s="126" t="str">
        <f t="shared" si="52"/>
        <v>a</v>
      </c>
      <c r="Y82" s="116"/>
      <c r="Z82" s="116"/>
      <c r="AB82" s="116"/>
    </row>
    <row r="83" spans="1:28">
      <c r="A83">
        <f>'All Girls &amp; Descendants - Edit'!B82</f>
        <v>107</v>
      </c>
      <c r="B83" t="str">
        <f>'All Girls &amp; Descendants - Edit'!C82</f>
        <v>107b</v>
      </c>
      <c r="C83" t="str">
        <f>'All Girls &amp; Descendants - Edit'!D82</f>
        <v>ORR</v>
      </c>
      <c r="D83" t="str">
        <f>'All Girls &amp; Descendants - Edit'!E82</f>
        <v>Nora</v>
      </c>
      <c r="E83" t="str">
        <f>IF('All Girls &amp; Descendants - Edit'!F82="","",'All Girls &amp; Descendants - Edit'!F82)</f>
        <v>Ann</v>
      </c>
      <c r="F83" t="str">
        <f>IF('All Girls &amp; Descendants - Edit'!G82="","",'All Girls &amp; Descendants - Edit'!G82)</f>
        <v/>
      </c>
      <c r="G83" t="str">
        <f>IF('All Girls &amp; Descendants - Edit'!H82="",D83,'All Girls &amp; Descendants - Edit'!H82)</f>
        <v>Nora</v>
      </c>
      <c r="H83">
        <f>'All Girls &amp; Descendants - Edit'!I82</f>
        <v>1955</v>
      </c>
      <c r="I83" t="str">
        <f>'All Girls &amp; Descendants - Edit'!J82</f>
        <v/>
      </c>
      <c r="J83" s="101">
        <f>'All Girls &amp; Descendants - Edit'!K82</f>
        <v>0</v>
      </c>
      <c r="K83" s="3" t="str">
        <f>'All Girls &amp; Descendants - Edit'!L82</f>
        <v>20/03/1955</v>
      </c>
      <c r="L83" s="3">
        <f>'All Girls &amp; Descendants - Edit'!M82</f>
        <v>20168</v>
      </c>
      <c r="M83" s="3">
        <f>'All Girls &amp; Descendants - Edit'!N82</f>
        <v>26625</v>
      </c>
      <c r="N83" s="3">
        <f>'All Girls &amp; Descendants - Edit'!O82</f>
        <v>0</v>
      </c>
      <c r="O83" s="3" t="str">
        <f>'All Girls &amp; Descendants - Edit'!P82</f>
        <v/>
      </c>
      <c r="P83" t="str">
        <f t="shared" si="47"/>
        <v>107b</v>
      </c>
      <c r="Q83" s="116">
        <f t="shared" si="48"/>
        <v>1</v>
      </c>
      <c r="R83" s="31" t="str">
        <f t="shared" si="49"/>
        <v>Nora Ann  ORR</v>
      </c>
      <c r="S83" t="str">
        <f t="shared" si="50"/>
        <v>Nora ORR (1955 - : #107b)</v>
      </c>
      <c r="U83" s="126">
        <f t="shared" si="45"/>
        <v>107002</v>
      </c>
      <c r="V83" t="str">
        <f t="shared" si="51"/>
        <v>107b</v>
      </c>
      <c r="W83" s="126">
        <f t="shared" si="46"/>
        <v>107</v>
      </c>
      <c r="X83" s="126" t="str">
        <f t="shared" si="52"/>
        <v>b</v>
      </c>
      <c r="Y83" s="116"/>
      <c r="Z83" s="116"/>
      <c r="AB83" s="116"/>
    </row>
    <row r="84" spans="1:28">
      <c r="A84">
        <f>'All Girls &amp; Descendants - Edit'!B83</f>
        <v>107</v>
      </c>
      <c r="B84" t="str">
        <f>'All Girls &amp; Descendants - Edit'!C83</f>
        <v>107c</v>
      </c>
      <c r="C84" t="str">
        <f>'All Girls &amp; Descendants - Edit'!D83</f>
        <v>ORR</v>
      </c>
      <c r="D84" t="str">
        <f>'All Girls &amp; Descendants - Edit'!E83</f>
        <v>Michael</v>
      </c>
      <c r="E84" t="str">
        <f>IF('All Girls &amp; Descendants - Edit'!F83="","",'All Girls &amp; Descendants - Edit'!F83)</f>
        <v>Kirkman</v>
      </c>
      <c r="F84" t="str">
        <f>IF('All Girls &amp; Descendants - Edit'!G83="","",'All Girls &amp; Descendants - Edit'!G83)</f>
        <v>Loyd</v>
      </c>
      <c r="G84" t="str">
        <f>IF('All Girls &amp; Descendants - Edit'!H83="",D84,'All Girls &amp; Descendants - Edit'!H83)</f>
        <v>Michael</v>
      </c>
      <c r="H84">
        <f>'All Girls &amp; Descendants - Edit'!I83</f>
        <v>1956</v>
      </c>
      <c r="I84" t="str">
        <f>'All Girls &amp; Descendants - Edit'!J83</f>
        <v/>
      </c>
      <c r="J84" s="101">
        <f>'All Girls &amp; Descendants - Edit'!K83</f>
        <v>0</v>
      </c>
      <c r="K84" s="3" t="str">
        <f>'All Girls &amp; Descendants - Edit'!L83</f>
        <v>16/02/1956</v>
      </c>
      <c r="L84" s="3">
        <f>'All Girls &amp; Descendants - Edit'!M83</f>
        <v>20501</v>
      </c>
      <c r="M84" s="3">
        <f>'All Girls &amp; Descendants - Edit'!N83</f>
        <v>28277</v>
      </c>
      <c r="N84" s="3">
        <f>'All Girls &amp; Descendants - Edit'!O83</f>
        <v>0</v>
      </c>
      <c r="O84" s="3" t="str">
        <f>'All Girls &amp; Descendants - Edit'!P83</f>
        <v/>
      </c>
      <c r="P84" t="str">
        <f t="shared" si="47"/>
        <v>107c</v>
      </c>
      <c r="Q84" s="116">
        <f t="shared" si="48"/>
        <v>1</v>
      </c>
      <c r="R84" s="31" t="str">
        <f t="shared" si="49"/>
        <v>Michael Kirkman Loyd ORR</v>
      </c>
      <c r="S84" t="str">
        <f t="shared" si="50"/>
        <v>Michael ORR (1956 - : #107c)</v>
      </c>
      <c r="U84" s="126">
        <f t="shared" si="45"/>
        <v>107003</v>
      </c>
      <c r="V84" t="str">
        <f t="shared" si="51"/>
        <v>107c</v>
      </c>
      <c r="W84" s="126">
        <f t="shared" si="46"/>
        <v>107</v>
      </c>
      <c r="X84" s="126" t="str">
        <f t="shared" si="52"/>
        <v>c</v>
      </c>
      <c r="Y84" s="116"/>
      <c r="Z84" s="116"/>
      <c r="AB84" s="116"/>
    </row>
    <row r="85" spans="1:28">
      <c r="A85">
        <f>'All Girls &amp; Descendants - Edit'!B84</f>
        <v>107</v>
      </c>
      <c r="B85" t="str">
        <f>'All Girls &amp; Descendants - Edit'!C84</f>
        <v>107d</v>
      </c>
      <c r="C85" t="str">
        <f>'All Girls &amp; Descendants - Edit'!D84</f>
        <v>ORR</v>
      </c>
      <c r="D85" t="str">
        <f>'All Girls &amp; Descendants - Edit'!E84</f>
        <v>Edward</v>
      </c>
      <c r="E85" t="str">
        <f>IF('All Girls &amp; Descendants - Edit'!F84="","",'All Girls &amp; Descendants - Edit'!F84)</f>
        <v>William</v>
      </c>
      <c r="F85" t="str">
        <f>IF('All Girls &amp; Descendants - Edit'!G84="","",'All Girls &amp; Descendants - Edit'!G84)</f>
        <v/>
      </c>
      <c r="G85" t="str">
        <f>IF('All Girls &amp; Descendants - Edit'!H84="",D85,'All Girls &amp; Descendants - Edit'!H84)</f>
        <v>Ted</v>
      </c>
      <c r="H85">
        <f>'All Girls &amp; Descendants - Edit'!I84</f>
        <v>1959</v>
      </c>
      <c r="I85" t="str">
        <f>'All Girls &amp; Descendants - Edit'!J84</f>
        <v/>
      </c>
      <c r="J85" s="101">
        <f>'All Girls &amp; Descendants - Edit'!K84</f>
        <v>0</v>
      </c>
      <c r="K85" s="3" t="str">
        <f>'All Girls &amp; Descendants - Edit'!L84</f>
        <v>02/09/1959</v>
      </c>
      <c r="L85" s="3">
        <f>'All Girls &amp; Descendants - Edit'!M84</f>
        <v>21795</v>
      </c>
      <c r="M85" s="3">
        <f>'All Girls &amp; Descendants - Edit'!N84</f>
        <v>22514</v>
      </c>
      <c r="N85" s="3">
        <f>'All Girls &amp; Descendants - Edit'!O84</f>
        <v>0</v>
      </c>
      <c r="O85" s="3" t="str">
        <f>'All Girls &amp; Descendants - Edit'!P84</f>
        <v/>
      </c>
      <c r="P85" t="str">
        <f t="shared" si="47"/>
        <v>107d</v>
      </c>
      <c r="Q85" s="116">
        <f t="shared" si="48"/>
        <v>1</v>
      </c>
      <c r="R85" s="31" t="str">
        <f t="shared" si="49"/>
        <v>Edward William  ORR</v>
      </c>
      <c r="S85" t="str">
        <f t="shared" si="50"/>
        <v>Ted ORR (1959 - : #107d)</v>
      </c>
      <c r="U85" s="126">
        <f t="shared" si="45"/>
        <v>107004</v>
      </c>
      <c r="V85" t="str">
        <f t="shared" si="51"/>
        <v>107d</v>
      </c>
      <c r="W85" s="126">
        <f t="shared" si="46"/>
        <v>107</v>
      </c>
      <c r="X85" s="126" t="str">
        <f t="shared" si="52"/>
        <v>d</v>
      </c>
      <c r="Y85" s="116"/>
      <c r="Z85" s="116"/>
      <c r="AB85" s="116"/>
    </row>
    <row r="86" spans="1:28">
      <c r="A86">
        <f>'All Girls &amp; Descendants - Edit'!B85</f>
        <v>107</v>
      </c>
      <c r="B86" t="str">
        <f>'All Girls &amp; Descendants - Edit'!C85</f>
        <v>107e</v>
      </c>
      <c r="C86" t="str">
        <f>'All Girls &amp; Descendants - Edit'!D85</f>
        <v>ORR</v>
      </c>
      <c r="D86" t="str">
        <f>'All Girls &amp; Descendants - Edit'!E85</f>
        <v>Heather</v>
      </c>
      <c r="E86" t="str">
        <f>IF('All Girls &amp; Descendants - Edit'!F85="","",'All Girls &amp; Descendants - Edit'!F85)</f>
        <v>Lynn</v>
      </c>
      <c r="F86" t="str">
        <f>IF('All Girls &amp; Descendants - Edit'!G85="","",'All Girls &amp; Descendants - Edit'!G85)</f>
        <v/>
      </c>
      <c r="G86" t="str">
        <f>IF('All Girls &amp; Descendants - Edit'!H85="",D86,'All Girls &amp; Descendants - Edit'!H85)</f>
        <v>Heather</v>
      </c>
      <c r="H86">
        <f>'All Girls &amp; Descendants - Edit'!I85</f>
        <v>1970</v>
      </c>
      <c r="I86" t="str">
        <f>'All Girls &amp; Descendants - Edit'!J85</f>
        <v/>
      </c>
      <c r="J86" s="101">
        <f>'All Girls &amp; Descendants - Edit'!K85</f>
        <v>0</v>
      </c>
      <c r="K86" s="3" t="str">
        <f>'All Girls &amp; Descendants - Edit'!L85</f>
        <v>29/12/1970</v>
      </c>
      <c r="L86" s="3">
        <f>'All Girls &amp; Descendants - Edit'!M85</f>
        <v>25931</v>
      </c>
      <c r="M86" s="3">
        <f>'All Girls &amp; Descendants - Edit'!N85</f>
        <v>0</v>
      </c>
      <c r="N86" s="3">
        <f>'All Girls &amp; Descendants - Edit'!O85</f>
        <v>0</v>
      </c>
      <c r="O86" s="3" t="str">
        <f>'All Girls &amp; Descendants - Edit'!P85</f>
        <v/>
      </c>
      <c r="P86" t="str">
        <f t="shared" si="47"/>
        <v>107e</v>
      </c>
      <c r="Q86" s="116">
        <f t="shared" si="48"/>
        <v>1</v>
      </c>
      <c r="R86" s="31" t="str">
        <f t="shared" si="49"/>
        <v>Heather Lynn  ORR</v>
      </c>
      <c r="S86" t="str">
        <f t="shared" si="50"/>
        <v>Heather ORR (1970 - : #107e)</v>
      </c>
      <c r="U86" s="126">
        <f t="shared" si="45"/>
        <v>107005</v>
      </c>
      <c r="V86" t="str">
        <f t="shared" si="51"/>
        <v>107e</v>
      </c>
      <c r="W86" s="126">
        <f t="shared" si="46"/>
        <v>107</v>
      </c>
      <c r="X86" s="126" t="str">
        <f t="shared" si="52"/>
        <v>e</v>
      </c>
      <c r="Y86" s="116"/>
      <c r="Z86" s="116"/>
      <c r="AB86" s="116"/>
    </row>
    <row r="87" spans="1:28">
      <c r="A87">
        <f>'All Girls &amp; Descendants - Edit'!B86</f>
        <v>108</v>
      </c>
      <c r="B87" t="str">
        <f>'All Girls &amp; Descendants - Edit'!C86</f>
        <v>108a</v>
      </c>
      <c r="C87" t="str">
        <f>'All Girls &amp; Descendants - Edit'!D86</f>
        <v>HOYLE</v>
      </c>
      <c r="D87" t="str">
        <f>'All Girls &amp; Descendants - Edit'!E86</f>
        <v>Frances</v>
      </c>
      <c r="E87" t="str">
        <f>IF('All Girls &amp; Descendants - Edit'!F86="","",'All Girls &amp; Descendants - Edit'!F86)</f>
        <v>Mary</v>
      </c>
      <c r="F87" t="str">
        <f>IF('All Girls &amp; Descendants - Edit'!G86="","",'All Girls &amp; Descendants - Edit'!G86)</f>
        <v/>
      </c>
      <c r="G87" t="str">
        <f>IF('All Girls &amp; Descendants - Edit'!H86="",D87,'All Girls &amp; Descendants - Edit'!H86)</f>
        <v>Frances</v>
      </c>
      <c r="H87">
        <f>'All Girls &amp; Descendants - Edit'!I86</f>
        <v>1953</v>
      </c>
      <c r="I87" t="str">
        <f>'All Girls &amp; Descendants - Edit'!J86</f>
        <v/>
      </c>
      <c r="J87" s="101">
        <f>'All Girls &amp; Descendants - Edit'!K86</f>
        <v>0</v>
      </c>
      <c r="K87" s="3" t="str">
        <f>'All Girls &amp; Descendants - Edit'!L86</f>
        <v>24/11/1953</v>
      </c>
      <c r="L87" s="3">
        <f>'All Girls &amp; Descendants - Edit'!M86</f>
        <v>19687</v>
      </c>
      <c r="M87" s="3">
        <f>'All Girls &amp; Descendants - Edit'!N86</f>
        <v>29860</v>
      </c>
      <c r="N87" s="3">
        <f>'All Girls &amp; Descendants - Edit'!O86</f>
        <v>0</v>
      </c>
      <c r="O87" s="3" t="str">
        <f>'All Girls &amp; Descendants - Edit'!P86</f>
        <v/>
      </c>
      <c r="P87" t="str">
        <f t="shared" si="47"/>
        <v>108a</v>
      </c>
      <c r="Q87" s="116">
        <f t="shared" si="48"/>
        <v>1</v>
      </c>
      <c r="R87" s="31" t="str">
        <f t="shared" si="49"/>
        <v>Frances Mary  HOYLE</v>
      </c>
      <c r="S87" t="str">
        <f t="shared" si="50"/>
        <v>Frances HOYLE (1953 - : #108a)</v>
      </c>
      <c r="U87" s="126">
        <f t="shared" si="45"/>
        <v>108001</v>
      </c>
      <c r="V87" t="str">
        <f t="shared" si="51"/>
        <v>108a</v>
      </c>
      <c r="W87" s="126">
        <f t="shared" si="46"/>
        <v>108</v>
      </c>
      <c r="X87" s="126" t="str">
        <f t="shared" si="52"/>
        <v>a</v>
      </c>
      <c r="Y87" s="116"/>
      <c r="Z87" s="116"/>
      <c r="AB87" s="116"/>
    </row>
    <row r="88" spans="1:28">
      <c r="A88">
        <f>'All Girls &amp; Descendants - Edit'!B87</f>
        <v>108</v>
      </c>
      <c r="B88" t="str">
        <f>'All Girls &amp; Descendants - Edit'!C87</f>
        <v>108b</v>
      </c>
      <c r="C88" t="str">
        <f>'All Girls &amp; Descendants - Edit'!D87</f>
        <v>HOYLE</v>
      </c>
      <c r="D88" t="str">
        <f>'All Girls &amp; Descendants - Edit'!E87</f>
        <v>Richard</v>
      </c>
      <c r="E88" t="str">
        <f>IF('All Girls &amp; Descendants - Edit'!F87="","",'All Girls &amp; Descendants - Edit'!F87)</f>
        <v>William</v>
      </c>
      <c r="F88" t="str">
        <f>IF('All Girls &amp; Descendants - Edit'!G87="","",'All Girls &amp; Descendants - Edit'!G87)</f>
        <v>Lewis</v>
      </c>
      <c r="G88" t="str">
        <f>IF('All Girls &amp; Descendants - Edit'!H87="",D88,'All Girls &amp; Descendants - Edit'!H87)</f>
        <v>Richard</v>
      </c>
      <c r="H88">
        <f>'All Girls &amp; Descendants - Edit'!I87</f>
        <v>1956</v>
      </c>
      <c r="I88" t="str">
        <f>'All Girls &amp; Descendants - Edit'!J87</f>
        <v/>
      </c>
      <c r="J88" s="101">
        <f>'All Girls &amp; Descendants - Edit'!K87</f>
        <v>0</v>
      </c>
      <c r="K88" s="3" t="str">
        <f>'All Girls &amp; Descendants - Edit'!L87</f>
        <v>12/12/1956</v>
      </c>
      <c r="L88" s="3">
        <f>'All Girls &amp; Descendants - Edit'!M87</f>
        <v>20801</v>
      </c>
      <c r="M88" s="3">
        <f>'All Girls &amp; Descendants - Edit'!N87</f>
        <v>29533</v>
      </c>
      <c r="N88" s="3">
        <f>'All Girls &amp; Descendants - Edit'!O87</f>
        <v>0</v>
      </c>
      <c r="O88" s="3" t="str">
        <f>'All Girls &amp; Descendants - Edit'!P87</f>
        <v/>
      </c>
      <c r="P88" t="str">
        <f t="shared" si="47"/>
        <v>108b</v>
      </c>
      <c r="Q88" s="116">
        <f t="shared" si="48"/>
        <v>1</v>
      </c>
      <c r="R88" s="31" t="str">
        <f t="shared" si="49"/>
        <v>Richard William Lewis HOYLE</v>
      </c>
      <c r="S88" t="str">
        <f t="shared" si="50"/>
        <v>Richard HOYLE (1956 - : #108b)</v>
      </c>
      <c r="U88" s="126">
        <f t="shared" si="45"/>
        <v>108002</v>
      </c>
      <c r="V88" t="str">
        <f t="shared" si="51"/>
        <v>108b</v>
      </c>
      <c r="W88" s="126">
        <f t="shared" si="46"/>
        <v>108</v>
      </c>
      <c r="X88" s="126" t="str">
        <f t="shared" si="52"/>
        <v>b</v>
      </c>
      <c r="Y88" s="116"/>
      <c r="Z88" s="116"/>
      <c r="AB88" s="116"/>
    </row>
    <row r="89" spans="1:28">
      <c r="A89">
        <f>'All Girls &amp; Descendants - Edit'!B88</f>
        <v>108</v>
      </c>
      <c r="B89" t="str">
        <f>'All Girls &amp; Descendants - Edit'!C88</f>
        <v>108c</v>
      </c>
      <c r="C89" t="str">
        <f>'All Girls &amp; Descendants - Edit'!D88</f>
        <v>HOYLE</v>
      </c>
      <c r="D89" t="str">
        <f>'All Girls &amp; Descendants - Edit'!E88</f>
        <v>David</v>
      </c>
      <c r="E89" t="str">
        <f>IF('All Girls &amp; Descendants - Edit'!F88="","",'All Girls &amp; Descendants - Edit'!F88)</f>
        <v>John</v>
      </c>
      <c r="F89" t="str">
        <f>IF('All Girls &amp; Descendants - Edit'!G88="","",'All Girls &amp; Descendants - Edit'!G88)</f>
        <v/>
      </c>
      <c r="G89" t="str">
        <f>IF('All Girls &amp; Descendants - Edit'!H88="",D89,'All Girls &amp; Descendants - Edit'!H88)</f>
        <v>David</v>
      </c>
      <c r="H89">
        <f>'All Girls &amp; Descendants - Edit'!I88</f>
        <v>1961</v>
      </c>
      <c r="I89" t="str">
        <f>'All Girls &amp; Descendants - Edit'!J88</f>
        <v/>
      </c>
      <c r="J89" s="101">
        <f>'All Girls &amp; Descendants - Edit'!K88</f>
        <v>0</v>
      </c>
      <c r="K89" s="3" t="str">
        <f>'All Girls &amp; Descendants - Edit'!L88</f>
        <v>02/12/1961</v>
      </c>
      <c r="L89" s="3">
        <f>'All Girls &amp; Descendants - Edit'!M88</f>
        <v>22617</v>
      </c>
      <c r="M89" s="3">
        <f>'All Girls &amp; Descendants - Edit'!N88</f>
        <v>30086</v>
      </c>
      <c r="N89" s="3">
        <f>'All Girls &amp; Descendants - Edit'!O88</f>
        <v>0</v>
      </c>
      <c r="O89" s="3" t="str">
        <f>'All Girls &amp; Descendants - Edit'!P88</f>
        <v/>
      </c>
      <c r="P89" t="str">
        <f t="shared" si="47"/>
        <v>108c</v>
      </c>
      <c r="Q89" s="116">
        <f t="shared" si="48"/>
        <v>1</v>
      </c>
      <c r="R89" s="31" t="str">
        <f t="shared" si="49"/>
        <v>David John  HOYLE</v>
      </c>
      <c r="S89" t="str">
        <f t="shared" si="50"/>
        <v>David HOYLE (1961 - : #108c)</v>
      </c>
      <c r="U89" s="126">
        <f t="shared" si="45"/>
        <v>108003</v>
      </c>
      <c r="V89" t="str">
        <f t="shared" si="51"/>
        <v>108c</v>
      </c>
      <c r="W89" s="126">
        <f t="shared" si="46"/>
        <v>108</v>
      </c>
      <c r="X89" s="126" t="str">
        <f t="shared" si="52"/>
        <v>c</v>
      </c>
      <c r="Y89" s="116"/>
      <c r="Z89" s="116"/>
      <c r="AB89" s="116"/>
    </row>
    <row r="90" spans="1:28">
      <c r="A90">
        <f>'All Girls &amp; Descendants - Edit'!B89</f>
        <v>108</v>
      </c>
      <c r="B90" t="str">
        <f>'All Girls &amp; Descendants - Edit'!C89</f>
        <v>108d</v>
      </c>
      <c r="C90" t="str">
        <f>'All Girls &amp; Descendants - Edit'!D89</f>
        <v>HOYLE</v>
      </c>
      <c r="D90" t="str">
        <f>'All Girls &amp; Descendants - Edit'!E89</f>
        <v>Peter</v>
      </c>
      <c r="E90" t="str">
        <f>IF('All Girls &amp; Descendants - Edit'!F89="","",'All Girls &amp; Descendants - Edit'!F89)</f>
        <v>James</v>
      </c>
      <c r="F90" t="str">
        <f>IF('All Girls &amp; Descendants - Edit'!G89="","",'All Girls &amp; Descendants - Edit'!G89)</f>
        <v/>
      </c>
      <c r="G90" t="str">
        <f>IF('All Girls &amp; Descendants - Edit'!H89="",D90,'All Girls &amp; Descendants - Edit'!H89)</f>
        <v>Peter</v>
      </c>
      <c r="H90">
        <f>'All Girls &amp; Descendants - Edit'!I89</f>
        <v>1963</v>
      </c>
      <c r="I90" t="str">
        <f>'All Girls &amp; Descendants - Edit'!J89</f>
        <v/>
      </c>
      <c r="J90" s="101">
        <f>'All Girls &amp; Descendants - Edit'!K89</f>
        <v>0</v>
      </c>
      <c r="K90" s="3" t="str">
        <f>'All Girls &amp; Descendants - Edit'!L89</f>
        <v>09/11/1963</v>
      </c>
      <c r="L90" s="3">
        <f>'All Girls &amp; Descendants - Edit'!M89</f>
        <v>23324</v>
      </c>
      <c r="M90" s="3">
        <f>'All Girls &amp; Descendants - Edit'!N89</f>
        <v>31227</v>
      </c>
      <c r="N90" s="3">
        <f>'All Girls &amp; Descendants - Edit'!O89</f>
        <v>0</v>
      </c>
      <c r="O90" s="3" t="str">
        <f>'All Girls &amp; Descendants - Edit'!P89</f>
        <v/>
      </c>
      <c r="P90" t="str">
        <f t="shared" si="47"/>
        <v>108d</v>
      </c>
      <c r="Q90" s="116">
        <f t="shared" si="48"/>
        <v>1</v>
      </c>
      <c r="R90" s="31" t="str">
        <f t="shared" si="49"/>
        <v>Peter James  HOYLE</v>
      </c>
      <c r="S90" t="str">
        <f t="shared" si="50"/>
        <v>Peter HOYLE (1963 - : #108d)</v>
      </c>
      <c r="U90" s="126">
        <f t="shared" si="45"/>
        <v>108004</v>
      </c>
      <c r="V90" t="str">
        <f t="shared" si="51"/>
        <v>108d</v>
      </c>
      <c r="W90" s="126">
        <f t="shared" si="46"/>
        <v>108</v>
      </c>
      <c r="X90" s="126" t="str">
        <f t="shared" si="52"/>
        <v>d</v>
      </c>
      <c r="Y90" s="116"/>
      <c r="Z90" s="116"/>
      <c r="AB90" s="116"/>
    </row>
    <row r="91" spans="1:28">
      <c r="A91">
        <f>'All Girls &amp; Descendants - Edit'!B90</f>
        <v>109</v>
      </c>
      <c r="B91" t="str">
        <f>'All Girls &amp; Descendants - Edit'!C90</f>
        <v>109a</v>
      </c>
      <c r="C91" t="str">
        <f>'All Girls &amp; Descendants - Edit'!D90</f>
        <v>WALTON</v>
      </c>
      <c r="D91" t="str">
        <f>'All Girls &amp; Descendants - Edit'!E90</f>
        <v>Jennet</v>
      </c>
      <c r="E91" t="str">
        <f>IF('All Girls &amp; Descendants - Edit'!F90="","",'All Girls &amp; Descendants - Edit'!F90)</f>
        <v/>
      </c>
      <c r="F91" t="str">
        <f>IF('All Girls &amp; Descendants - Edit'!G90="","",'All Girls &amp; Descendants - Edit'!G90)</f>
        <v/>
      </c>
      <c r="G91" t="str">
        <f>IF('All Girls &amp; Descendants - Edit'!H90="",D91,'All Girls &amp; Descendants - Edit'!H90)</f>
        <v>Jennet</v>
      </c>
      <c r="H91">
        <f>'All Girls &amp; Descendants - Edit'!I90</f>
        <v>1964</v>
      </c>
      <c r="I91" t="str">
        <f>'All Girls &amp; Descendants - Edit'!J90</f>
        <v/>
      </c>
      <c r="J91" s="101">
        <f>'All Girls &amp; Descendants - Edit'!K90</f>
        <v>0</v>
      </c>
      <c r="K91" s="3" t="str">
        <f>'All Girls &amp; Descendants - Edit'!L90</f>
        <v>25/11/1964</v>
      </c>
      <c r="L91" s="3">
        <f>'All Girls &amp; Descendants - Edit'!M90</f>
        <v>23706</v>
      </c>
      <c r="M91" s="3">
        <f>'All Girls &amp; Descendants - Edit'!N90</f>
        <v>0</v>
      </c>
      <c r="N91" s="3">
        <f>'All Girls &amp; Descendants - Edit'!O90</f>
        <v>0</v>
      </c>
      <c r="O91" s="3" t="str">
        <f>'All Girls &amp; Descendants - Edit'!P90</f>
        <v/>
      </c>
      <c r="P91" t="str">
        <f t="shared" si="47"/>
        <v>109a</v>
      </c>
      <c r="Q91" s="116">
        <f t="shared" si="48"/>
        <v>1</v>
      </c>
      <c r="R91" s="31" t="str">
        <f t="shared" si="49"/>
        <v>Jennet   WALTON</v>
      </c>
      <c r="S91" t="str">
        <f t="shared" si="50"/>
        <v>Jennet WALTON (1964 - : #109a)</v>
      </c>
      <c r="U91" s="126">
        <f t="shared" si="45"/>
        <v>109001</v>
      </c>
      <c r="V91" t="str">
        <f t="shared" si="51"/>
        <v>109a</v>
      </c>
      <c r="W91" s="126">
        <f t="shared" si="46"/>
        <v>109</v>
      </c>
      <c r="X91" s="126" t="str">
        <f t="shared" si="52"/>
        <v>a</v>
      </c>
      <c r="Y91" s="116"/>
      <c r="Z91" s="116"/>
      <c r="AB91" s="116"/>
    </row>
    <row r="92" spans="1:28">
      <c r="A92">
        <f>'All Girls &amp; Descendants - Edit'!B91</f>
        <v>109</v>
      </c>
      <c r="B92" t="str">
        <f>'All Girls &amp; Descendants - Edit'!C91</f>
        <v>109b</v>
      </c>
      <c r="C92" t="str">
        <f>'All Girls &amp; Descendants - Edit'!D91</f>
        <v>WALTON</v>
      </c>
      <c r="D92" t="str">
        <f>'All Girls &amp; Descendants - Edit'!E91</f>
        <v>Timothy</v>
      </c>
      <c r="E92" t="str">
        <f>IF('All Girls &amp; Descendants - Edit'!F91="","",'All Girls &amp; Descendants - Edit'!F91)</f>
        <v/>
      </c>
      <c r="F92" t="str">
        <f>IF('All Girls &amp; Descendants - Edit'!G91="","",'All Girls &amp; Descendants - Edit'!G91)</f>
        <v/>
      </c>
      <c r="G92" t="str">
        <f>IF('All Girls &amp; Descendants - Edit'!H91="",D92,'All Girls &amp; Descendants - Edit'!H91)</f>
        <v>Timothy</v>
      </c>
      <c r="H92">
        <f>'All Girls &amp; Descendants - Edit'!I91</f>
        <v>1967</v>
      </c>
      <c r="I92" t="str">
        <f>'All Girls &amp; Descendants - Edit'!J91</f>
        <v/>
      </c>
      <c r="J92" s="101">
        <f>'All Girls &amp; Descendants - Edit'!K91</f>
        <v>0</v>
      </c>
      <c r="K92" s="3" t="str">
        <f>'All Girls &amp; Descendants - Edit'!L91</f>
        <v>22/08/1967</v>
      </c>
      <c r="L92" s="3">
        <f>'All Girls &amp; Descendants - Edit'!M91</f>
        <v>24706</v>
      </c>
      <c r="M92" s="3">
        <f>'All Girls &amp; Descendants - Edit'!N91</f>
        <v>0</v>
      </c>
      <c r="N92" s="3">
        <f>'All Girls &amp; Descendants - Edit'!O91</f>
        <v>0</v>
      </c>
      <c r="O92" s="3" t="str">
        <f>'All Girls &amp; Descendants - Edit'!P91</f>
        <v/>
      </c>
      <c r="P92" t="str">
        <f t="shared" si="47"/>
        <v>109b</v>
      </c>
      <c r="Q92" s="116">
        <f t="shared" si="48"/>
        <v>1</v>
      </c>
      <c r="R92" s="31" t="str">
        <f t="shared" si="49"/>
        <v>Timothy   WALTON</v>
      </c>
      <c r="S92" t="str">
        <f t="shared" si="50"/>
        <v>Timothy WALTON (1967 - : #109b)</v>
      </c>
      <c r="U92" s="126">
        <f t="shared" si="45"/>
        <v>109002</v>
      </c>
      <c r="V92" t="str">
        <f t="shared" si="51"/>
        <v>109b</v>
      </c>
      <c r="W92" s="126">
        <f t="shared" si="46"/>
        <v>109</v>
      </c>
      <c r="X92" s="126" t="str">
        <f t="shared" si="52"/>
        <v>b</v>
      </c>
      <c r="Y92" s="116"/>
      <c r="Z92" s="116"/>
      <c r="AB92" s="116"/>
    </row>
    <row r="93" spans="1:28">
      <c r="A93">
        <f>'All Girls &amp; Descendants - Edit'!B92</f>
        <v>110</v>
      </c>
      <c r="B93" t="str">
        <f>'All Girls &amp; Descendants - Edit'!C92</f>
        <v>110a</v>
      </c>
      <c r="C93" t="str">
        <f>'All Girls &amp; Descendants - Edit'!D92</f>
        <v>BOYCE</v>
      </c>
      <c r="D93" t="str">
        <f>'All Girls &amp; Descendants - Edit'!E92</f>
        <v>John</v>
      </c>
      <c r="E93" t="str">
        <f>IF('All Girls &amp; Descendants - Edit'!F92="","",'All Girls &amp; Descendants - Edit'!F92)</f>
        <v>Drummond</v>
      </c>
      <c r="F93" t="str">
        <f>IF('All Girls &amp; Descendants - Edit'!G92="","",'All Girls &amp; Descendants - Edit'!G92)</f>
        <v/>
      </c>
      <c r="G93" t="str">
        <f>IF('All Girls &amp; Descendants - Edit'!H92="",D93,'All Girls &amp; Descendants - Edit'!H92)</f>
        <v>John</v>
      </c>
      <c r="H93">
        <f>'All Girls &amp; Descendants - Edit'!I92</f>
        <v>1961</v>
      </c>
      <c r="I93" t="str">
        <f>'All Girls &amp; Descendants - Edit'!J92</f>
        <v/>
      </c>
      <c r="J93" s="101">
        <f>'All Girls &amp; Descendants - Edit'!K92</f>
        <v>0</v>
      </c>
      <c r="K93" s="3" t="str">
        <f>'All Girls &amp; Descendants - Edit'!L92</f>
        <v>30/07/1961</v>
      </c>
      <c r="L93" s="3">
        <f>'All Girls &amp; Descendants - Edit'!M92</f>
        <v>22492</v>
      </c>
      <c r="M93" s="3">
        <f>'All Girls &amp; Descendants - Edit'!N92</f>
        <v>32004</v>
      </c>
      <c r="N93" s="3">
        <f>'All Girls &amp; Descendants - Edit'!O92</f>
        <v>0</v>
      </c>
      <c r="O93" s="3" t="str">
        <f>'All Girls &amp; Descendants - Edit'!P92</f>
        <v/>
      </c>
      <c r="P93" t="str">
        <f t="shared" si="47"/>
        <v>110a</v>
      </c>
      <c r="Q93" s="116">
        <f t="shared" si="48"/>
        <v>1</v>
      </c>
      <c r="R93" s="31" t="str">
        <f t="shared" si="49"/>
        <v>John Drummond  BOYCE</v>
      </c>
      <c r="S93" t="str">
        <f t="shared" si="50"/>
        <v>John BOYCE (1961 - : #110a)</v>
      </c>
      <c r="U93" s="126">
        <f t="shared" si="45"/>
        <v>110001</v>
      </c>
      <c r="V93" t="str">
        <f t="shared" si="51"/>
        <v>110a</v>
      </c>
      <c r="W93" s="126">
        <f t="shared" si="46"/>
        <v>110</v>
      </c>
      <c r="X93" s="126" t="str">
        <f t="shared" si="52"/>
        <v>a</v>
      </c>
      <c r="Y93" s="116"/>
      <c r="Z93" s="116"/>
      <c r="AB93" s="116"/>
    </row>
    <row r="94" spans="1:28">
      <c r="A94">
        <f>'All Girls &amp; Descendants - Edit'!B93</f>
        <v>110</v>
      </c>
      <c r="B94" t="str">
        <f>'All Girls &amp; Descendants - Edit'!C93</f>
        <v>110b</v>
      </c>
      <c r="C94" t="str">
        <f>'All Girls &amp; Descendants - Edit'!D93</f>
        <v>BOYCE</v>
      </c>
      <c r="D94" t="str">
        <f>'All Girls &amp; Descendants - Edit'!E93</f>
        <v>Joanna</v>
      </c>
      <c r="E94" t="str">
        <f>IF('All Girls &amp; Descendants - Edit'!F93="","",'All Girls &amp; Descendants - Edit'!F93)</f>
        <v>Mary</v>
      </c>
      <c r="F94" t="str">
        <f>IF('All Girls &amp; Descendants - Edit'!G93="","",'All Girls &amp; Descendants - Edit'!G93)</f>
        <v/>
      </c>
      <c r="G94" t="str">
        <f>IF('All Girls &amp; Descendants - Edit'!H93="",D94,'All Girls &amp; Descendants - Edit'!H93)</f>
        <v>Joanna</v>
      </c>
      <c r="H94">
        <f>'All Girls &amp; Descendants - Edit'!I93</f>
        <v>1963</v>
      </c>
      <c r="I94" t="str">
        <f>'All Girls &amp; Descendants - Edit'!J93</f>
        <v/>
      </c>
      <c r="J94" s="101">
        <f>'All Girls &amp; Descendants - Edit'!K93</f>
        <v>0</v>
      </c>
      <c r="K94" s="3" t="str">
        <f>'All Girls &amp; Descendants - Edit'!L93</f>
        <v>18/02/1963</v>
      </c>
      <c r="L94" s="3">
        <f>'All Girls &amp; Descendants - Edit'!M93</f>
        <v>23060</v>
      </c>
      <c r="M94" s="3">
        <f>'All Girls &amp; Descendants - Edit'!N93</f>
        <v>0</v>
      </c>
      <c r="N94" s="3">
        <f>'All Girls &amp; Descendants - Edit'!O93</f>
        <v>0</v>
      </c>
      <c r="O94" s="3" t="str">
        <f>'All Girls &amp; Descendants - Edit'!P93</f>
        <v/>
      </c>
      <c r="P94" t="str">
        <f t="shared" si="47"/>
        <v>110b</v>
      </c>
      <c r="Q94" s="116">
        <f t="shared" si="48"/>
        <v>1</v>
      </c>
      <c r="R94" s="31" t="str">
        <f t="shared" si="49"/>
        <v>Joanna Mary  BOYCE</v>
      </c>
      <c r="S94" t="str">
        <f t="shared" si="50"/>
        <v>Joanna BOYCE (1963 - : #110b)</v>
      </c>
      <c r="U94" s="126">
        <f t="shared" si="45"/>
        <v>110002</v>
      </c>
      <c r="V94" t="str">
        <f t="shared" si="51"/>
        <v>110b</v>
      </c>
      <c r="W94" s="126">
        <f t="shared" si="46"/>
        <v>110</v>
      </c>
      <c r="X94" s="126" t="str">
        <f t="shared" si="52"/>
        <v>b</v>
      </c>
      <c r="Y94" s="116"/>
      <c r="Z94" s="116"/>
      <c r="AB94" s="116"/>
    </row>
    <row r="95" spans="1:28">
      <c r="A95">
        <f>'All Girls &amp; Descendants - Edit'!B94</f>
        <v>110</v>
      </c>
      <c r="B95" t="str">
        <f>'All Girls &amp; Descendants - Edit'!C94</f>
        <v>110c</v>
      </c>
      <c r="C95" t="str">
        <f>'All Girls &amp; Descendants - Edit'!D94</f>
        <v>BOYCE</v>
      </c>
      <c r="D95" t="str">
        <f>'All Girls &amp; Descendants - Edit'!E94</f>
        <v>Robert</v>
      </c>
      <c r="E95" t="str">
        <f>IF('All Girls &amp; Descendants - Edit'!F94="","",'All Girls &amp; Descendants - Edit'!F94)</f>
        <v>Eric</v>
      </c>
      <c r="F95" t="str">
        <f>IF('All Girls &amp; Descendants - Edit'!G94="","",'All Girls &amp; Descendants - Edit'!G94)</f>
        <v/>
      </c>
      <c r="G95" t="str">
        <f>IF('All Girls &amp; Descendants - Edit'!H94="",D95,'All Girls &amp; Descendants - Edit'!H94)</f>
        <v>Robert</v>
      </c>
      <c r="H95">
        <f>'All Girls &amp; Descendants - Edit'!I94</f>
        <v>1964</v>
      </c>
      <c r="I95" t="str">
        <f>'All Girls &amp; Descendants - Edit'!J94</f>
        <v/>
      </c>
      <c r="J95" s="101">
        <f>'All Girls &amp; Descendants - Edit'!K94</f>
        <v>0</v>
      </c>
      <c r="K95" s="3" t="str">
        <f>'All Girls &amp; Descendants - Edit'!L94</f>
        <v>20/03/1964</v>
      </c>
      <c r="L95" s="3">
        <f>'All Girls &amp; Descendants - Edit'!M94</f>
        <v>23456</v>
      </c>
      <c r="M95" s="3">
        <f>'All Girls &amp; Descendants - Edit'!N94</f>
        <v>0</v>
      </c>
      <c r="N95" s="3">
        <f>'All Girls &amp; Descendants - Edit'!O94</f>
        <v>0</v>
      </c>
      <c r="O95" s="3" t="str">
        <f>'All Girls &amp; Descendants - Edit'!P94</f>
        <v/>
      </c>
      <c r="P95" t="str">
        <f t="shared" si="47"/>
        <v>110c</v>
      </c>
      <c r="Q95" s="116">
        <f t="shared" si="48"/>
        <v>1</v>
      </c>
      <c r="R95" s="31" t="str">
        <f t="shared" si="49"/>
        <v>Robert Eric  BOYCE</v>
      </c>
      <c r="S95" t="str">
        <f t="shared" si="50"/>
        <v>Robert BOYCE (1964 - : #110c)</v>
      </c>
      <c r="U95" s="126">
        <f t="shared" si="45"/>
        <v>110003</v>
      </c>
      <c r="V95" t="str">
        <f t="shared" si="51"/>
        <v>110c</v>
      </c>
      <c r="W95" s="126">
        <f t="shared" si="46"/>
        <v>110</v>
      </c>
      <c r="X95" s="126" t="str">
        <f t="shared" si="52"/>
        <v>c</v>
      </c>
      <c r="Y95" s="116"/>
      <c r="Z95" s="116"/>
      <c r="AB95" s="116"/>
    </row>
    <row r="96" spans="1:28">
      <c r="A96">
        <f>'All Girls &amp; Descendants - Edit'!B95</f>
        <v>110</v>
      </c>
      <c r="B96" t="str">
        <f>'All Girls &amp; Descendants - Edit'!C95</f>
        <v>110d</v>
      </c>
      <c r="C96" t="str">
        <f>'All Girls &amp; Descendants - Edit'!D95</f>
        <v>BOYCE</v>
      </c>
      <c r="D96" t="str">
        <f>'All Girls &amp; Descendants - Edit'!E95</f>
        <v>Paula</v>
      </c>
      <c r="E96" t="str">
        <f>IF('All Girls &amp; Descendants - Edit'!F95="","",'All Girls &amp; Descendants - Edit'!F95)</f>
        <v>Margaret</v>
      </c>
      <c r="F96" t="str">
        <f>IF('All Girls &amp; Descendants - Edit'!G95="","",'All Girls &amp; Descendants - Edit'!G95)</f>
        <v/>
      </c>
      <c r="G96" t="str">
        <f>IF('All Girls &amp; Descendants - Edit'!H95="",D96,'All Girls &amp; Descendants - Edit'!H95)</f>
        <v>Paula</v>
      </c>
      <c r="H96">
        <f>'All Girls &amp; Descendants - Edit'!I95</f>
        <v>1966</v>
      </c>
      <c r="I96" t="str">
        <f>'All Girls &amp; Descendants - Edit'!J95</f>
        <v/>
      </c>
      <c r="J96" s="101">
        <f>'All Girls &amp; Descendants - Edit'!K95</f>
        <v>0</v>
      </c>
      <c r="K96" s="3" t="str">
        <f>'All Girls &amp; Descendants - Edit'!L95</f>
        <v>26/09/1966</v>
      </c>
      <c r="L96" s="3">
        <f>'All Girls &amp; Descendants - Edit'!M95</f>
        <v>24376</v>
      </c>
      <c r="M96" s="3">
        <f>'All Girls &amp; Descendants - Edit'!N95</f>
        <v>35276</v>
      </c>
      <c r="N96" s="3">
        <f>'All Girls &amp; Descendants - Edit'!O95</f>
        <v>0</v>
      </c>
      <c r="O96" s="3" t="str">
        <f>'All Girls &amp; Descendants - Edit'!P95</f>
        <v/>
      </c>
      <c r="P96" t="str">
        <f t="shared" si="47"/>
        <v>110d</v>
      </c>
      <c r="Q96" s="116">
        <f t="shared" si="48"/>
        <v>1</v>
      </c>
      <c r="R96" s="31" t="str">
        <f t="shared" si="49"/>
        <v>Paula Margaret  BOYCE</v>
      </c>
      <c r="S96" t="str">
        <f t="shared" si="50"/>
        <v>Paula BOYCE (1966 - : #110d)</v>
      </c>
      <c r="U96" s="126">
        <f t="shared" si="45"/>
        <v>110004</v>
      </c>
      <c r="V96" t="str">
        <f t="shared" si="51"/>
        <v>110d</v>
      </c>
      <c r="W96" s="126">
        <f t="shared" si="46"/>
        <v>110</v>
      </c>
      <c r="X96" s="126" t="str">
        <f t="shared" si="52"/>
        <v>d</v>
      </c>
      <c r="Y96" s="116"/>
      <c r="Z96" s="116"/>
      <c r="AB96" s="116"/>
    </row>
    <row r="97" spans="1:28">
      <c r="A97">
        <f>'All Girls &amp; Descendants - Edit'!B96</f>
        <v>112</v>
      </c>
      <c r="B97" t="str">
        <f>'All Girls &amp; Descendants - Edit'!C96</f>
        <v>112a</v>
      </c>
      <c r="C97" t="str">
        <f>'All Girls &amp; Descendants - Edit'!D96</f>
        <v>DOWNES</v>
      </c>
      <c r="D97" t="str">
        <f>'All Girls &amp; Descendants - Edit'!E96</f>
        <v>Kevin</v>
      </c>
      <c r="E97" t="str">
        <f>IF('All Girls &amp; Descendants - Edit'!F96="","",'All Girls &amp; Descendants - Edit'!F96)</f>
        <v>John</v>
      </c>
      <c r="F97" t="str">
        <f>IF('All Girls &amp; Descendants - Edit'!G96="","",'All Girls &amp; Descendants - Edit'!G96)</f>
        <v/>
      </c>
      <c r="G97" t="str">
        <f>IF('All Girls &amp; Descendants - Edit'!H96="",D97,'All Girls &amp; Descendants - Edit'!H96)</f>
        <v>Kevin</v>
      </c>
      <c r="H97">
        <f>'All Girls &amp; Descendants - Edit'!I96</f>
        <v>1958</v>
      </c>
      <c r="I97" t="str">
        <f>'All Girls &amp; Descendants - Edit'!J96</f>
        <v/>
      </c>
      <c r="J97" s="101">
        <f>'All Girls &amp; Descendants - Edit'!K96</f>
        <v>0</v>
      </c>
      <c r="K97" s="3" t="str">
        <f>'All Girls &amp; Descendants - Edit'!L96</f>
        <v>13/10/1958</v>
      </c>
      <c r="L97" s="3">
        <f>'All Girls &amp; Descendants - Edit'!M96</f>
        <v>21471</v>
      </c>
      <c r="M97" s="3">
        <f>'All Girls &amp; Descendants - Edit'!N96</f>
        <v>0</v>
      </c>
      <c r="N97" s="3">
        <f>'All Girls &amp; Descendants - Edit'!O96</f>
        <v>0</v>
      </c>
      <c r="O97" s="3" t="str">
        <f>'All Girls &amp; Descendants - Edit'!P96</f>
        <v/>
      </c>
      <c r="P97" t="str">
        <f t="shared" si="47"/>
        <v>112a</v>
      </c>
      <c r="Q97" s="116">
        <f t="shared" si="48"/>
        <v>1</v>
      </c>
      <c r="R97" s="31" t="str">
        <f t="shared" si="49"/>
        <v>Kevin John  DOWNES</v>
      </c>
      <c r="S97" t="str">
        <f t="shared" si="50"/>
        <v>Kevin DOWNES (1958 - : #112a)</v>
      </c>
      <c r="U97" s="126">
        <f t="shared" si="45"/>
        <v>112001</v>
      </c>
      <c r="V97" t="str">
        <f t="shared" si="51"/>
        <v>112a</v>
      </c>
      <c r="W97" s="126">
        <f t="shared" si="46"/>
        <v>112</v>
      </c>
      <c r="X97" s="126" t="str">
        <f t="shared" si="52"/>
        <v>a</v>
      </c>
      <c r="Y97" s="116"/>
      <c r="Z97" s="116"/>
      <c r="AB97" s="116"/>
    </row>
    <row r="98" spans="1:28">
      <c r="A98">
        <f>'All Girls &amp; Descendants - Edit'!B97</f>
        <v>112</v>
      </c>
      <c r="B98" t="str">
        <f>'All Girls &amp; Descendants - Edit'!C97</f>
        <v>112b</v>
      </c>
      <c r="C98" t="str">
        <f>'All Girls &amp; Descendants - Edit'!D97</f>
        <v>DOWNES</v>
      </c>
      <c r="D98" t="str">
        <f>'All Girls &amp; Descendants - Edit'!E97</f>
        <v>Lynda</v>
      </c>
      <c r="E98" t="str">
        <f>IF('All Girls &amp; Descendants - Edit'!F97="","",'All Girls &amp; Descendants - Edit'!F97)</f>
        <v>Carol</v>
      </c>
      <c r="F98" t="str">
        <f>IF('All Girls &amp; Descendants - Edit'!G97="","",'All Girls &amp; Descendants - Edit'!G97)</f>
        <v/>
      </c>
      <c r="G98" t="str">
        <f>IF('All Girls &amp; Descendants - Edit'!H97="",D98,'All Girls &amp; Descendants - Edit'!H97)</f>
        <v>Lynda</v>
      </c>
      <c r="H98">
        <f>'All Girls &amp; Descendants - Edit'!I97</f>
        <v>1960</v>
      </c>
      <c r="I98" t="str">
        <f>'All Girls &amp; Descendants - Edit'!J97</f>
        <v/>
      </c>
      <c r="J98" s="101">
        <f>'All Girls &amp; Descendants - Edit'!K97</f>
        <v>0</v>
      </c>
      <c r="K98" s="3" t="str">
        <f>'All Girls &amp; Descendants - Edit'!L97</f>
        <v>15/10/1960</v>
      </c>
      <c r="L98" s="3">
        <f>'All Girls &amp; Descendants - Edit'!M97</f>
        <v>22204</v>
      </c>
      <c r="M98" s="3">
        <f>'All Girls &amp; Descendants - Edit'!N97</f>
        <v>0</v>
      </c>
      <c r="N98" s="3">
        <f>'All Girls &amp; Descendants - Edit'!O97</f>
        <v>0</v>
      </c>
      <c r="O98" s="3" t="str">
        <f>'All Girls &amp; Descendants - Edit'!P97</f>
        <v/>
      </c>
      <c r="P98" t="str">
        <f t="shared" si="47"/>
        <v>112b</v>
      </c>
      <c r="Q98" s="116">
        <f t="shared" si="48"/>
        <v>1</v>
      </c>
      <c r="R98" s="31" t="str">
        <f t="shared" si="49"/>
        <v>Lynda Carol  DOWNES</v>
      </c>
      <c r="S98" t="str">
        <f t="shared" si="50"/>
        <v>Lynda DOWNES (1960 - : #112b)</v>
      </c>
      <c r="U98" s="126">
        <f t="shared" si="45"/>
        <v>112002</v>
      </c>
      <c r="V98" t="str">
        <f t="shared" si="51"/>
        <v>112b</v>
      </c>
      <c r="W98" s="126">
        <f t="shared" si="46"/>
        <v>112</v>
      </c>
      <c r="X98" s="126" t="str">
        <f t="shared" si="52"/>
        <v>b</v>
      </c>
      <c r="Y98" s="116"/>
      <c r="Z98" s="116"/>
      <c r="AB98" s="116"/>
    </row>
    <row r="99" spans="1:28">
      <c r="A99">
        <f>'All Girls &amp; Descendants - Edit'!B98</f>
        <v>112</v>
      </c>
      <c r="B99" t="str">
        <f>'All Girls &amp; Descendants - Edit'!C98</f>
        <v>112c</v>
      </c>
      <c r="C99" t="str">
        <f>'All Girls &amp; Descendants - Edit'!D98</f>
        <v>DOWNES</v>
      </c>
      <c r="D99" t="str">
        <f>'All Girls &amp; Descendants - Edit'!E98</f>
        <v>Graeme</v>
      </c>
      <c r="E99" t="str">
        <f>IF('All Girls &amp; Descendants - Edit'!F98="","",'All Girls &amp; Descendants - Edit'!F98)</f>
        <v>Richard</v>
      </c>
      <c r="F99" t="str">
        <f>IF('All Girls &amp; Descendants - Edit'!G98="","",'All Girls &amp; Descendants - Edit'!G98)</f>
        <v/>
      </c>
      <c r="G99" t="str">
        <f>IF('All Girls &amp; Descendants - Edit'!H98="",D99,'All Girls &amp; Descendants - Edit'!H98)</f>
        <v>Graeme</v>
      </c>
      <c r="H99">
        <f>'All Girls &amp; Descendants - Edit'!I98</f>
        <v>1961</v>
      </c>
      <c r="I99" t="str">
        <f>'All Girls &amp; Descendants - Edit'!J98</f>
        <v/>
      </c>
      <c r="J99" s="101">
        <f>'All Girls &amp; Descendants - Edit'!K98</f>
        <v>0</v>
      </c>
      <c r="K99" s="3" t="str">
        <f>'All Girls &amp; Descendants - Edit'!L98</f>
        <v>22/10/1961</v>
      </c>
      <c r="L99" s="3">
        <f>'All Girls &amp; Descendants - Edit'!M98</f>
        <v>22576</v>
      </c>
      <c r="M99" s="3">
        <f>'All Girls &amp; Descendants - Edit'!N98</f>
        <v>0</v>
      </c>
      <c r="N99" s="3">
        <f>'All Girls &amp; Descendants - Edit'!O98</f>
        <v>0</v>
      </c>
      <c r="O99" s="3" t="str">
        <f>'All Girls &amp; Descendants - Edit'!P98</f>
        <v/>
      </c>
      <c r="P99" t="str">
        <f t="shared" si="47"/>
        <v>112c</v>
      </c>
      <c r="Q99" s="116">
        <f t="shared" si="48"/>
        <v>1</v>
      </c>
      <c r="R99" s="31" t="str">
        <f t="shared" si="49"/>
        <v>Graeme Richard  DOWNES</v>
      </c>
      <c r="S99" t="str">
        <f t="shared" si="50"/>
        <v>Graeme DOWNES (1961 - : #112c)</v>
      </c>
      <c r="U99" s="126">
        <f t="shared" si="45"/>
        <v>112003</v>
      </c>
      <c r="V99" t="str">
        <f t="shared" si="51"/>
        <v>112c</v>
      </c>
      <c r="W99" s="126">
        <f t="shared" si="46"/>
        <v>112</v>
      </c>
      <c r="X99" s="126" t="str">
        <f t="shared" si="52"/>
        <v>c</v>
      </c>
      <c r="Y99" s="116"/>
      <c r="Z99" s="116"/>
      <c r="AB99" s="116"/>
    </row>
    <row r="100" spans="1:28">
      <c r="A100">
        <f>'All Girls &amp; Descendants - Edit'!B99</f>
        <v>112</v>
      </c>
      <c r="B100" t="str">
        <f>'All Girls &amp; Descendants - Edit'!C99</f>
        <v>112d</v>
      </c>
      <c r="C100" t="str">
        <f>'All Girls &amp; Descendants - Edit'!D99</f>
        <v>DOWNES</v>
      </c>
      <c r="D100" t="str">
        <f>'All Girls &amp; Descendants - Edit'!E99</f>
        <v>Lesley</v>
      </c>
      <c r="E100" t="str">
        <f>IF('All Girls &amp; Descendants - Edit'!F99="","",'All Girls &amp; Descendants - Edit'!F99)</f>
        <v>Karen</v>
      </c>
      <c r="F100" t="str">
        <f>IF('All Girls &amp; Descendants - Edit'!G99="","",'All Girls &amp; Descendants - Edit'!G99)</f>
        <v/>
      </c>
      <c r="G100" t="str">
        <f>IF('All Girls &amp; Descendants - Edit'!H99="",D100,'All Girls &amp; Descendants - Edit'!H99)</f>
        <v>Lesley</v>
      </c>
      <c r="H100">
        <f>'All Girls &amp; Descendants - Edit'!I99</f>
        <v>1963</v>
      </c>
      <c r="I100" t="str">
        <f>'All Girls &amp; Descendants - Edit'!J99</f>
        <v/>
      </c>
      <c r="J100" s="101">
        <f>'All Girls &amp; Descendants - Edit'!K99</f>
        <v>0</v>
      </c>
      <c r="K100" s="3" t="str">
        <f>'All Girls &amp; Descendants - Edit'!L99</f>
        <v>21/03/1963</v>
      </c>
      <c r="L100" s="3">
        <f>'All Girls &amp; Descendants - Edit'!M99</f>
        <v>23091</v>
      </c>
      <c r="M100" s="3">
        <f>'All Girls &amp; Descendants - Edit'!N99</f>
        <v>0</v>
      </c>
      <c r="N100" s="3">
        <f>'All Girls &amp; Descendants - Edit'!O99</f>
        <v>0</v>
      </c>
      <c r="O100" s="3" t="str">
        <f>'All Girls &amp; Descendants - Edit'!P99</f>
        <v/>
      </c>
      <c r="P100" t="str">
        <f t="shared" si="47"/>
        <v>112d</v>
      </c>
      <c r="Q100" s="116">
        <f t="shared" si="48"/>
        <v>1</v>
      </c>
      <c r="R100" s="31" t="str">
        <f t="shared" si="49"/>
        <v>Lesley Karen  DOWNES</v>
      </c>
      <c r="S100" t="str">
        <f t="shared" si="50"/>
        <v>Lesley DOWNES (1963 - : #112d)</v>
      </c>
      <c r="U100" s="126">
        <f t="shared" ref="U100:U144" si="53">W100*1000+VLOOKUP(X100,$AB$4:$AC$13,2,FALSE)</f>
        <v>112004</v>
      </c>
      <c r="V100" t="str">
        <f t="shared" si="51"/>
        <v>112d</v>
      </c>
      <c r="W100" s="126">
        <f t="shared" si="46"/>
        <v>112</v>
      </c>
      <c r="X100" s="126" t="str">
        <f t="shared" si="52"/>
        <v>d</v>
      </c>
      <c r="Y100" s="116"/>
      <c r="Z100" s="116"/>
      <c r="AB100" s="116"/>
    </row>
    <row r="101" spans="1:28">
      <c r="A101">
        <f>'All Girls &amp; Descendants - Edit'!B100</f>
        <v>115</v>
      </c>
      <c r="B101" t="str">
        <f>'All Girls &amp; Descendants - Edit'!C100</f>
        <v>115a</v>
      </c>
      <c r="C101" t="str">
        <f>'All Girls &amp; Descendants - Edit'!D100</f>
        <v>CROSSLEY</v>
      </c>
      <c r="D101" t="str">
        <f>'All Girls &amp; Descendants - Edit'!E100</f>
        <v>The Hon Isabel</v>
      </c>
      <c r="E101" t="str">
        <f>IF('All Girls &amp; Descendants - Edit'!F100="","",'All Girls &amp; Descendants - Edit'!F100)</f>
        <v>Alicia</v>
      </c>
      <c r="F101" t="str">
        <f>IF('All Girls &amp; Descendants - Edit'!G100="","",'All Girls &amp; Descendants - Edit'!G100)</f>
        <v>Clare</v>
      </c>
      <c r="G101" t="str">
        <f>IF('All Girls &amp; Descendants - Edit'!H100="",D101,'All Girls &amp; Descendants - Edit'!H100)</f>
        <v>The Hon Isabel</v>
      </c>
      <c r="H101">
        <f>'All Girls &amp; Descendants - Edit'!I100</f>
        <v>1964</v>
      </c>
      <c r="I101" t="str">
        <f>'All Girls &amp; Descendants - Edit'!J100</f>
        <v/>
      </c>
      <c r="J101" s="101">
        <f>'All Girls &amp; Descendants - Edit'!K100</f>
        <v>0</v>
      </c>
      <c r="K101" s="3" t="str">
        <f>'All Girls &amp; Descendants - Edit'!L100</f>
        <v>27/09/1964</v>
      </c>
      <c r="L101" s="3">
        <f>'All Girls &amp; Descendants - Edit'!M100</f>
        <v>23647</v>
      </c>
      <c r="M101" s="3">
        <f>'All Girls &amp; Descendants - Edit'!N100</f>
        <v>33516</v>
      </c>
      <c r="N101" s="3">
        <f>'All Girls &amp; Descendants - Edit'!O100</f>
        <v>0</v>
      </c>
      <c r="O101" s="3" t="str">
        <f>'All Girls &amp; Descendants - Edit'!P100</f>
        <v/>
      </c>
      <c r="P101" t="str">
        <f t="shared" si="47"/>
        <v>115a</v>
      </c>
      <c r="Q101" s="116">
        <f t="shared" si="48"/>
        <v>1</v>
      </c>
      <c r="R101" s="31" t="str">
        <f t="shared" si="49"/>
        <v>The Hon Isabel Alicia Clare CROSSLEY</v>
      </c>
      <c r="S101" t="str">
        <f t="shared" si="50"/>
        <v>The Hon Isabel CROSSLEY (1964 - : #115a)</v>
      </c>
      <c r="U101" s="126">
        <f t="shared" si="53"/>
        <v>115001</v>
      </c>
      <c r="V101" t="str">
        <f t="shared" si="51"/>
        <v>115a</v>
      </c>
      <c r="W101" s="126">
        <f t="shared" si="46"/>
        <v>115</v>
      </c>
      <c r="X101" s="126" t="str">
        <f t="shared" si="52"/>
        <v>a</v>
      </c>
      <c r="Y101" s="116"/>
      <c r="Z101" s="116"/>
      <c r="AB101" s="116"/>
    </row>
    <row r="102" spans="1:28">
      <c r="A102">
        <f>'All Girls &amp; Descendants - Edit'!B101</f>
        <v>115</v>
      </c>
      <c r="B102" t="str">
        <f>'All Girls &amp; Descendants - Edit'!C101</f>
        <v>115b</v>
      </c>
      <c r="C102" t="str">
        <f>'All Girls &amp; Descendants - Edit'!D101</f>
        <v>CROSSLEY</v>
      </c>
      <c r="D102" t="str">
        <f>'All Girls &amp; Descendants - Edit'!E101</f>
        <v>The Hon Camilla</v>
      </c>
      <c r="E102" t="str">
        <f>IF('All Girls &amp; Descendants - Edit'!F101="","",'All Girls &amp; Descendants - Edit'!F101)</f>
        <v>Mary</v>
      </c>
      <c r="F102" t="str">
        <f>IF('All Girls &amp; Descendants - Edit'!G101="","",'All Girls &amp; Descendants - Edit'!G101)</f>
        <v>Lara</v>
      </c>
      <c r="G102" t="str">
        <f>IF('All Girls &amp; Descendants - Edit'!H101="",D102,'All Girls &amp; Descendants - Edit'!H101)</f>
        <v>The Hon Camilla</v>
      </c>
      <c r="H102">
        <f>'All Girls &amp; Descendants - Edit'!I101</f>
        <v>1967</v>
      </c>
      <c r="I102" t="str">
        <f>'All Girls &amp; Descendants - Edit'!J101</f>
        <v/>
      </c>
      <c r="J102" s="101">
        <f>'All Girls &amp; Descendants - Edit'!K101</f>
        <v>0</v>
      </c>
      <c r="K102" s="3" t="str">
        <f>'All Girls &amp; Descendants - Edit'!L101</f>
        <v>27/06/1967</v>
      </c>
      <c r="L102" s="3">
        <f>'All Girls &amp; Descendants - Edit'!M101</f>
        <v>24650</v>
      </c>
      <c r="M102" s="3">
        <f>'All Girls &amp; Descendants - Edit'!N101</f>
        <v>34125</v>
      </c>
      <c r="N102" s="3">
        <f>'All Girls &amp; Descendants - Edit'!O101</f>
        <v>0</v>
      </c>
      <c r="O102" s="3" t="str">
        <f>'All Girls &amp; Descendants - Edit'!P101</f>
        <v/>
      </c>
      <c r="P102" t="str">
        <f t="shared" si="47"/>
        <v>115b</v>
      </c>
      <c r="Q102" s="116">
        <f t="shared" si="48"/>
        <v>1</v>
      </c>
      <c r="R102" s="31" t="str">
        <f t="shared" si="49"/>
        <v>The Hon Camilla Mary Lara CROSSLEY</v>
      </c>
      <c r="S102" t="str">
        <f t="shared" si="50"/>
        <v>The Hon Camilla CROSSLEY (1967 - : #115b)</v>
      </c>
      <c r="U102" s="126">
        <f t="shared" si="53"/>
        <v>115002</v>
      </c>
      <c r="V102" t="str">
        <f t="shared" si="51"/>
        <v>115b</v>
      </c>
      <c r="W102" s="126">
        <f t="shared" si="46"/>
        <v>115</v>
      </c>
      <c r="X102" s="126" t="str">
        <f t="shared" si="52"/>
        <v>b</v>
      </c>
      <c r="Y102" s="116"/>
      <c r="Z102" s="116"/>
      <c r="AB102" s="116"/>
    </row>
    <row r="103" spans="1:28">
      <c r="A103">
        <f>'All Girls &amp; Descendants - Edit'!B102</f>
        <v>115</v>
      </c>
      <c r="B103" t="str">
        <f>'All Girls &amp; Descendants - Edit'!C102</f>
        <v>115c</v>
      </c>
      <c r="C103" t="str">
        <f>'All Girls &amp; Descendants - Edit'!D102</f>
        <v>CROSSLEY</v>
      </c>
      <c r="D103" t="str">
        <f>'All Girls &amp; Descendants - Edit'!E102</f>
        <v>The Hon Alicia</v>
      </c>
      <c r="E103" t="str">
        <f>IF('All Girls &amp; Descendants - Edit'!F102="","",'All Girls &amp; Descendants - Edit'!F102)</f>
        <v>Phyllis</v>
      </c>
      <c r="F103" t="str">
        <f>IF('All Girls &amp; Descendants - Edit'!G102="","",'All Girls &amp; Descendants - Edit'!G102)</f>
        <v>Belinda</v>
      </c>
      <c r="G103" t="str">
        <f>IF('All Girls &amp; Descendants - Edit'!H102="",D103,'All Girls &amp; Descendants - Edit'!H102)</f>
        <v>The Hon Alicia</v>
      </c>
      <c r="H103">
        <f>'All Girls &amp; Descendants - Edit'!I102</f>
        <v>1969</v>
      </c>
      <c r="I103" t="str">
        <f>'All Girls &amp; Descendants - Edit'!J102</f>
        <v/>
      </c>
      <c r="J103" s="101">
        <f>'All Girls &amp; Descendants - Edit'!K102</f>
        <v>0</v>
      </c>
      <c r="K103" s="3" t="str">
        <f>'All Girls &amp; Descendants - Edit'!L102</f>
        <v>09/04/1969</v>
      </c>
      <c r="L103" s="3">
        <f>'All Girls &amp; Descendants - Edit'!M102</f>
        <v>25302</v>
      </c>
      <c r="M103" s="3">
        <f>'All Girls &amp; Descendants - Edit'!N102</f>
        <v>36127</v>
      </c>
      <c r="N103" s="3">
        <f>'All Girls &amp; Descendants - Edit'!O102</f>
        <v>0</v>
      </c>
      <c r="O103" s="3" t="str">
        <f>'All Girls &amp; Descendants - Edit'!P102</f>
        <v/>
      </c>
      <c r="P103" t="str">
        <f t="shared" si="47"/>
        <v>115c</v>
      </c>
      <c r="Q103" s="116">
        <f t="shared" si="48"/>
        <v>1</v>
      </c>
      <c r="R103" s="31" t="str">
        <f t="shared" si="49"/>
        <v>The Hon Alicia Phyllis Belinda CROSSLEY</v>
      </c>
      <c r="S103" t="str">
        <f t="shared" si="50"/>
        <v>The Hon Alicia CROSSLEY (1969 - : #115c)</v>
      </c>
      <c r="U103" s="126">
        <f t="shared" si="53"/>
        <v>115003</v>
      </c>
      <c r="V103" t="str">
        <f t="shared" si="51"/>
        <v>115c</v>
      </c>
      <c r="W103" s="126">
        <f t="shared" si="46"/>
        <v>115</v>
      </c>
      <c r="X103" s="126" t="str">
        <f t="shared" si="52"/>
        <v>c</v>
      </c>
      <c r="Y103" s="116"/>
      <c r="Z103" s="116"/>
      <c r="AB103" s="116"/>
    </row>
    <row r="104" spans="1:28">
      <c r="A104">
        <f>'All Girls &amp; Descendants - Edit'!B103</f>
        <v>115</v>
      </c>
      <c r="B104" t="str">
        <f>'All Girls &amp; Descendants - Edit'!C103</f>
        <v>115d</v>
      </c>
      <c r="C104" t="str">
        <f>'All Girls &amp; Descendants - Edit'!D103</f>
        <v>CROSSLEY</v>
      </c>
      <c r="D104" t="str">
        <f>'All Girls &amp; Descendants - Edit'!E103</f>
        <v>The Hon Hugh</v>
      </c>
      <c r="E104" t="str">
        <f>IF('All Girls &amp; Descendants - Edit'!F103="","",'All Girls &amp; Descendants - Edit'!F103)</f>
        <v>Francis</v>
      </c>
      <c r="F104" t="str">
        <f>IF('All Girls &amp; Descendants - Edit'!G103="","",'All Girls &amp; Descendants - Edit'!G103)</f>
        <v>Savile</v>
      </c>
      <c r="G104" t="str">
        <f>IF('All Girls &amp; Descendants - Edit'!H103="",D104,'All Girls &amp; Descendants - Edit'!H103)</f>
        <v>The Hon Hugh</v>
      </c>
      <c r="H104">
        <f>'All Girls &amp; Descendants - Edit'!I103</f>
        <v>1971</v>
      </c>
      <c r="I104" t="str">
        <f>'All Girls &amp; Descendants - Edit'!J103</f>
        <v/>
      </c>
      <c r="J104" s="101">
        <f>'All Girls &amp; Descendants - Edit'!K103</f>
        <v>0</v>
      </c>
      <c r="K104" s="3" t="str">
        <f>'All Girls &amp; Descendants - Edit'!L103</f>
        <v>27/09/1971</v>
      </c>
      <c r="L104" s="3">
        <f>'All Girls &amp; Descendants - Edit'!M103</f>
        <v>26203</v>
      </c>
      <c r="M104" s="3">
        <f>'All Girls &amp; Descendants - Edit'!N103</f>
        <v>0</v>
      </c>
      <c r="N104" s="3">
        <f>'All Girls &amp; Descendants - Edit'!O103</f>
        <v>0</v>
      </c>
      <c r="O104" s="3" t="str">
        <f>'All Girls &amp; Descendants - Edit'!P103</f>
        <v/>
      </c>
      <c r="P104" t="str">
        <f t="shared" si="47"/>
        <v>115d</v>
      </c>
      <c r="Q104" s="116">
        <f t="shared" si="48"/>
        <v>1</v>
      </c>
      <c r="R104" s="31" t="str">
        <f t="shared" si="49"/>
        <v>The Hon Hugh Francis Savile CROSSLEY</v>
      </c>
      <c r="S104" t="str">
        <f t="shared" si="50"/>
        <v>The Hon Hugh CROSSLEY (1971 - : #115d)</v>
      </c>
      <c r="U104" s="126">
        <f t="shared" si="53"/>
        <v>115004</v>
      </c>
      <c r="V104" t="str">
        <f t="shared" si="51"/>
        <v>115d</v>
      </c>
      <c r="W104" s="126">
        <f t="shared" si="46"/>
        <v>115</v>
      </c>
      <c r="X104" s="126" t="str">
        <f t="shared" si="52"/>
        <v>d</v>
      </c>
      <c r="Y104" s="116"/>
      <c r="Z104" s="116"/>
      <c r="AB104" s="116"/>
    </row>
    <row r="105" spans="1:28">
      <c r="A105">
        <f>'All Girls &amp; Descendants - Edit'!B104</f>
        <v>115</v>
      </c>
      <c r="B105" t="str">
        <f>'All Girls &amp; Descendants - Edit'!C104</f>
        <v>115e</v>
      </c>
      <c r="C105" t="str">
        <f>'All Girls &amp; Descendants - Edit'!D104</f>
        <v>CROSSLEY</v>
      </c>
      <c r="D105" t="str">
        <f>'All Girls &amp; Descendants - Edit'!E104</f>
        <v>The Hon Bridget</v>
      </c>
      <c r="E105" t="str">
        <f>IF('All Girls &amp; Descendants - Edit'!F104="","",'All Girls &amp; Descendants - Edit'!F104)</f>
        <v>Vivian</v>
      </c>
      <c r="F105" t="str">
        <f>IF('All Girls &amp; Descendants - Edit'!G104="","",'All Girls &amp; Descendants - Edit'!G104)</f>
        <v/>
      </c>
      <c r="G105" t="str">
        <f>IF('All Girls &amp; Descendants - Edit'!H104="",D105,'All Girls &amp; Descendants - Edit'!H104)</f>
        <v>The Hon Bridget</v>
      </c>
      <c r="H105">
        <f>'All Girls &amp; Descendants - Edit'!I104</f>
        <v>1974</v>
      </c>
      <c r="I105" t="str">
        <f>'All Girls &amp; Descendants - Edit'!J104</f>
        <v/>
      </c>
      <c r="J105" s="101">
        <f>'All Girls &amp; Descendants - Edit'!K104</f>
        <v>0</v>
      </c>
      <c r="K105" s="3" t="str">
        <f>'All Girls &amp; Descendants - Edit'!L104</f>
        <v>09/02/1974</v>
      </c>
      <c r="L105" s="3">
        <f>'All Girls &amp; Descendants - Edit'!M104</f>
        <v>27069</v>
      </c>
      <c r="M105" s="3">
        <f>'All Girls &amp; Descendants - Edit'!N104</f>
        <v>0</v>
      </c>
      <c r="N105" s="3">
        <f>'All Girls &amp; Descendants - Edit'!O104</f>
        <v>0</v>
      </c>
      <c r="O105" s="3" t="str">
        <f>'All Girls &amp; Descendants - Edit'!P104</f>
        <v/>
      </c>
      <c r="P105" t="str">
        <f t="shared" si="47"/>
        <v>115e</v>
      </c>
      <c r="Q105" s="116">
        <f t="shared" si="48"/>
        <v>1</v>
      </c>
      <c r="R105" s="31" t="str">
        <f t="shared" si="49"/>
        <v>The Hon Bridget Vivian  CROSSLEY</v>
      </c>
      <c r="S105" t="str">
        <f t="shared" si="50"/>
        <v>The Hon Bridget CROSSLEY (1974 - : #115e)</v>
      </c>
      <c r="U105" s="126">
        <f t="shared" si="53"/>
        <v>115005</v>
      </c>
      <c r="V105" t="str">
        <f t="shared" si="51"/>
        <v>115e</v>
      </c>
      <c r="W105" s="126">
        <f t="shared" si="46"/>
        <v>115</v>
      </c>
      <c r="X105" s="126" t="str">
        <f t="shared" si="52"/>
        <v>e</v>
      </c>
      <c r="Y105" s="116"/>
      <c r="Z105" s="116"/>
      <c r="AB105" s="116"/>
    </row>
    <row r="106" spans="1:28">
      <c r="A106">
        <f>'All Girls &amp; Descendants - Edit'!B105</f>
        <v>116</v>
      </c>
      <c r="B106" t="str">
        <f>'All Girls &amp; Descendants - Edit'!C105</f>
        <v>116a</v>
      </c>
      <c r="C106" t="str">
        <f>'All Girls &amp; Descendants - Edit'!D105</f>
        <v>CLULOW</v>
      </c>
      <c r="D106" t="str">
        <f>'All Girls &amp; Descendants - Edit'!E105</f>
        <v>Carl</v>
      </c>
      <c r="E106" t="str">
        <f>IF('All Girls &amp; Descendants - Edit'!F105="","",'All Girls &amp; Descendants - Edit'!F105)</f>
        <v/>
      </c>
      <c r="F106" t="str">
        <f>IF('All Girls &amp; Descendants - Edit'!G105="","",'All Girls &amp; Descendants - Edit'!G105)</f>
        <v/>
      </c>
      <c r="G106" t="str">
        <f>IF('All Girls &amp; Descendants - Edit'!H105="",D106,'All Girls &amp; Descendants - Edit'!H105)</f>
        <v>Carl</v>
      </c>
      <c r="H106">
        <f>'All Girls &amp; Descendants - Edit'!I105</f>
        <v>1970</v>
      </c>
      <c r="I106">
        <f>'All Girls &amp; Descendants - Edit'!J105</f>
        <v>1970</v>
      </c>
      <c r="J106" s="101">
        <f>'All Girls &amp; Descendants - Edit'!K105</f>
        <v>0</v>
      </c>
      <c r="K106" s="3" t="str">
        <f>'All Girls &amp; Descendants - Edit'!L105</f>
        <v>19/01/1970</v>
      </c>
      <c r="L106" s="3">
        <f>'All Girls &amp; Descendants - Edit'!M105</f>
        <v>25587</v>
      </c>
      <c r="M106" s="3" t="str">
        <f>'All Girls &amp; Descendants - Edit'!N105</f>
        <v>Unmarried</v>
      </c>
      <c r="N106" s="3">
        <f>'All Girls &amp; Descendants - Edit'!O105</f>
        <v>25587</v>
      </c>
      <c r="O106" s="3" t="str">
        <f>'All Girls &amp; Descendants - Edit'!P105</f>
        <v>19/01/1970</v>
      </c>
      <c r="P106" t="str">
        <f t="shared" si="47"/>
        <v>116a</v>
      </c>
      <c r="Q106" s="116">
        <f t="shared" si="48"/>
        <v>1</v>
      </c>
      <c r="R106" s="31" t="str">
        <f t="shared" si="49"/>
        <v>Carl   CLULOW</v>
      </c>
      <c r="S106" t="str">
        <f t="shared" si="50"/>
        <v>Carl CLULOW (1970 - 1970: #116a)</v>
      </c>
      <c r="U106" s="126">
        <f t="shared" si="53"/>
        <v>116001</v>
      </c>
      <c r="V106" t="str">
        <f t="shared" si="51"/>
        <v>116a</v>
      </c>
      <c r="W106" s="126">
        <f t="shared" si="46"/>
        <v>116</v>
      </c>
      <c r="X106" s="126" t="str">
        <f t="shared" si="52"/>
        <v>a</v>
      </c>
      <c r="Y106" s="116"/>
      <c r="Z106" s="116"/>
      <c r="AB106" s="116"/>
    </row>
    <row r="107" spans="1:28">
      <c r="A107">
        <f>'All Girls &amp; Descendants - Edit'!B106</f>
        <v>116</v>
      </c>
      <c r="B107" t="str">
        <f>'All Girls &amp; Descendants - Edit'!C106</f>
        <v>116b</v>
      </c>
      <c r="C107" t="str">
        <f>'All Girls &amp; Descendants - Edit'!D106</f>
        <v>CLULOW</v>
      </c>
      <c r="D107" t="str">
        <f>'All Girls &amp; Descendants - Edit'!E106</f>
        <v>Kate</v>
      </c>
      <c r="E107" t="str">
        <f>IF('All Girls &amp; Descendants - Edit'!F106="","",'All Girls &amp; Descendants - Edit'!F106)</f>
        <v/>
      </c>
      <c r="F107" t="str">
        <f>IF('All Girls &amp; Descendants - Edit'!G106="","",'All Girls &amp; Descendants - Edit'!G106)</f>
        <v/>
      </c>
      <c r="G107" t="str">
        <f>IF('All Girls &amp; Descendants - Edit'!H106="",D107,'All Girls &amp; Descendants - Edit'!H106)</f>
        <v>Kate</v>
      </c>
      <c r="H107">
        <f>'All Girls &amp; Descendants - Edit'!I106</f>
        <v>1971</v>
      </c>
      <c r="I107" t="str">
        <f>'All Girls &amp; Descendants - Edit'!J106</f>
        <v/>
      </c>
      <c r="J107" s="101">
        <f>'All Girls &amp; Descendants - Edit'!K106</f>
        <v>0</v>
      </c>
      <c r="K107" s="3" t="str">
        <f>'All Girls &amp; Descendants - Edit'!L106</f>
        <v>12/08/1971</v>
      </c>
      <c r="L107" s="3">
        <f>'All Girls &amp; Descendants - Edit'!M106</f>
        <v>26157</v>
      </c>
      <c r="M107" s="3">
        <f>'All Girls &amp; Descendants - Edit'!N106</f>
        <v>0</v>
      </c>
      <c r="N107" s="3">
        <f>'All Girls &amp; Descendants - Edit'!O106</f>
        <v>0</v>
      </c>
      <c r="O107" s="3" t="str">
        <f>'All Girls &amp; Descendants - Edit'!P106</f>
        <v/>
      </c>
      <c r="P107" t="str">
        <f t="shared" si="47"/>
        <v>116b</v>
      </c>
      <c r="Q107" s="116">
        <f t="shared" si="48"/>
        <v>1</v>
      </c>
      <c r="R107" s="31" t="str">
        <f t="shared" si="49"/>
        <v>Kate   CLULOW</v>
      </c>
      <c r="S107" t="str">
        <f t="shared" si="50"/>
        <v>Kate CLULOW (1971 - : #116b)</v>
      </c>
      <c r="U107" s="126">
        <f t="shared" si="53"/>
        <v>116002</v>
      </c>
      <c r="V107" t="str">
        <f t="shared" si="51"/>
        <v>116b</v>
      </c>
      <c r="W107" s="126">
        <f t="shared" si="46"/>
        <v>116</v>
      </c>
      <c r="X107" s="126" t="str">
        <f t="shared" si="52"/>
        <v>b</v>
      </c>
      <c r="Y107" s="116"/>
      <c r="Z107" s="116"/>
      <c r="AB107" s="116"/>
    </row>
    <row r="108" spans="1:28">
      <c r="A108">
        <f>'All Girls &amp; Descendants - Edit'!B107</f>
        <v>116</v>
      </c>
      <c r="B108" t="str">
        <f>'All Girls &amp; Descendants - Edit'!C107</f>
        <v>116c</v>
      </c>
      <c r="C108" t="str">
        <f>'All Girls &amp; Descendants - Edit'!D107</f>
        <v>CLULOW</v>
      </c>
      <c r="D108" t="str">
        <f>'All Girls &amp; Descendants - Edit'!E107</f>
        <v>Clare</v>
      </c>
      <c r="E108" t="str">
        <f>IF('All Girls &amp; Descendants - Edit'!F107="","",'All Girls &amp; Descendants - Edit'!F107)</f>
        <v/>
      </c>
      <c r="F108" t="str">
        <f>IF('All Girls &amp; Descendants - Edit'!G107="","",'All Girls &amp; Descendants - Edit'!G107)</f>
        <v/>
      </c>
      <c r="G108" t="str">
        <f>IF('All Girls &amp; Descendants - Edit'!H107="",D108,'All Girls &amp; Descendants - Edit'!H107)</f>
        <v>Clare</v>
      </c>
      <c r="H108">
        <f>'All Girls &amp; Descendants - Edit'!I107</f>
        <v>1973</v>
      </c>
      <c r="I108" t="str">
        <f>'All Girls &amp; Descendants - Edit'!J107</f>
        <v/>
      </c>
      <c r="J108" s="101">
        <f>'All Girls &amp; Descendants - Edit'!K107</f>
        <v>0</v>
      </c>
      <c r="K108" s="3" t="str">
        <f>'All Girls &amp; Descendants - Edit'!L107</f>
        <v>30/03/1973</v>
      </c>
      <c r="L108" s="3">
        <f>'All Girls &amp; Descendants - Edit'!M107</f>
        <v>26753</v>
      </c>
      <c r="M108" s="3">
        <f>'All Girls &amp; Descendants - Edit'!N107</f>
        <v>0</v>
      </c>
      <c r="N108" s="3">
        <f>'All Girls &amp; Descendants - Edit'!O107</f>
        <v>0</v>
      </c>
      <c r="O108" s="3" t="str">
        <f>'All Girls &amp; Descendants - Edit'!P107</f>
        <v/>
      </c>
      <c r="P108" t="str">
        <f t="shared" si="47"/>
        <v>116c</v>
      </c>
      <c r="Q108" s="116">
        <f t="shared" si="48"/>
        <v>1</v>
      </c>
      <c r="R108" s="31" t="str">
        <f t="shared" si="49"/>
        <v>Clare   CLULOW</v>
      </c>
      <c r="S108" t="str">
        <f t="shared" si="50"/>
        <v>Clare CLULOW (1973 - : #116c)</v>
      </c>
      <c r="U108" s="126">
        <f t="shared" si="53"/>
        <v>116003</v>
      </c>
      <c r="V108" t="str">
        <f t="shared" si="51"/>
        <v>116c</v>
      </c>
      <c r="W108" s="126">
        <f t="shared" si="46"/>
        <v>116</v>
      </c>
      <c r="X108" s="126" t="str">
        <f t="shared" si="52"/>
        <v>c</v>
      </c>
      <c r="Y108" s="116"/>
      <c r="Z108" s="116"/>
      <c r="AB108" s="116"/>
    </row>
    <row r="109" spans="1:28">
      <c r="A109">
        <f>'All Girls &amp; Descendants - Edit'!B108</f>
        <v>123</v>
      </c>
      <c r="B109" t="str">
        <f>'All Girls &amp; Descendants - Edit'!C108</f>
        <v>123a</v>
      </c>
      <c r="C109" t="str">
        <f>'All Girls &amp; Descendants - Edit'!D108</f>
        <v>BOSMAN</v>
      </c>
      <c r="D109" t="str">
        <f>'All Girls &amp; Descendants - Edit'!E108</f>
        <v>Katharine</v>
      </c>
      <c r="E109" t="str">
        <f>IF('All Girls &amp; Descendants - Edit'!F108="","",'All Girls &amp; Descendants - Edit'!F108)</f>
        <v>Jane</v>
      </c>
      <c r="F109" t="str">
        <f>IF('All Girls &amp; Descendants - Edit'!G108="","",'All Girls &amp; Descendants - Edit'!G108)</f>
        <v>Loyd</v>
      </c>
      <c r="G109" t="str">
        <f>IF('All Girls &amp; Descendants - Edit'!H108="",D109,'All Girls &amp; Descendants - Edit'!H108)</f>
        <v>Katharine</v>
      </c>
      <c r="H109">
        <f>'All Girls &amp; Descendants - Edit'!I108</f>
        <v>1978</v>
      </c>
      <c r="I109" t="str">
        <f>'All Girls &amp; Descendants - Edit'!J108</f>
        <v/>
      </c>
      <c r="J109" s="101">
        <f>'All Girls &amp; Descendants - Edit'!K108</f>
        <v>0</v>
      </c>
      <c r="K109" s="3" t="str">
        <f>'All Girls &amp; Descendants - Edit'!L108</f>
        <v>06/09/1978</v>
      </c>
      <c r="L109" s="3">
        <f>'All Girls &amp; Descendants - Edit'!M108</f>
        <v>28739</v>
      </c>
      <c r="M109" s="3">
        <f>'All Girls &amp; Descendants - Edit'!N108</f>
        <v>0</v>
      </c>
      <c r="N109" s="3">
        <f>'All Girls &amp; Descendants - Edit'!O108</f>
        <v>0</v>
      </c>
      <c r="O109" s="3" t="str">
        <f>'All Girls &amp; Descendants - Edit'!P108</f>
        <v/>
      </c>
      <c r="P109" t="str">
        <f t="shared" si="47"/>
        <v>123a</v>
      </c>
      <c r="Q109" s="116">
        <f t="shared" si="48"/>
        <v>1</v>
      </c>
      <c r="R109" s="31" t="str">
        <f t="shared" si="49"/>
        <v>Katharine Jane Loyd BOSMAN</v>
      </c>
      <c r="S109" t="str">
        <f t="shared" si="50"/>
        <v>Katharine BOSMAN (1978 - : #123a)</v>
      </c>
      <c r="U109" s="126">
        <f t="shared" si="53"/>
        <v>123001</v>
      </c>
      <c r="V109" t="str">
        <f t="shared" si="51"/>
        <v>123a</v>
      </c>
      <c r="W109" s="126">
        <f t="shared" si="46"/>
        <v>123</v>
      </c>
      <c r="X109" s="126" t="str">
        <f t="shared" si="52"/>
        <v>a</v>
      </c>
      <c r="Y109" s="116"/>
      <c r="Z109" s="116"/>
      <c r="AB109" s="116"/>
    </row>
    <row r="110" spans="1:28">
      <c r="A110">
        <f>'All Girls &amp; Descendants - Edit'!B109</f>
        <v>123</v>
      </c>
      <c r="B110" t="str">
        <f>'All Girls &amp; Descendants - Edit'!C109</f>
        <v>123b</v>
      </c>
      <c r="C110" t="str">
        <f>'All Girls &amp; Descendants - Edit'!D109</f>
        <v>BOSMAN</v>
      </c>
      <c r="D110" t="str">
        <f>'All Girls &amp; Descendants - Edit'!E109</f>
        <v>Adam</v>
      </c>
      <c r="E110" t="str">
        <f>IF('All Girls &amp; Descendants - Edit'!F109="","",'All Girls &amp; Descendants - Edit'!F109)</f>
        <v>Terrence</v>
      </c>
      <c r="F110" t="str">
        <f>IF('All Girls &amp; Descendants - Edit'!G109="","",'All Girls &amp; Descendants - Edit'!G109)</f>
        <v>Loyd</v>
      </c>
      <c r="G110" t="str">
        <f>IF('All Girls &amp; Descendants - Edit'!H109="",D110,'All Girls &amp; Descendants - Edit'!H109)</f>
        <v>Adam</v>
      </c>
      <c r="H110">
        <f>'All Girls &amp; Descendants - Edit'!I109</f>
        <v>1980</v>
      </c>
      <c r="I110" t="str">
        <f>'All Girls &amp; Descendants - Edit'!J109</f>
        <v/>
      </c>
      <c r="J110" s="101">
        <f>'All Girls &amp; Descendants - Edit'!K109</f>
        <v>0</v>
      </c>
      <c r="K110" s="3" t="str">
        <f>'All Girls &amp; Descendants - Edit'!L109</f>
        <v>16/12/1980</v>
      </c>
      <c r="L110" s="3">
        <f>'All Girls &amp; Descendants - Edit'!M109</f>
        <v>29571</v>
      </c>
      <c r="M110" s="3">
        <f>'All Girls &amp; Descendants - Edit'!N109</f>
        <v>0</v>
      </c>
      <c r="N110" s="3">
        <f>'All Girls &amp; Descendants - Edit'!O109</f>
        <v>0</v>
      </c>
      <c r="O110" s="3" t="str">
        <f>'All Girls &amp; Descendants - Edit'!P109</f>
        <v/>
      </c>
      <c r="P110" t="str">
        <f t="shared" si="47"/>
        <v>123b</v>
      </c>
      <c r="Q110" s="116">
        <f t="shared" si="48"/>
        <v>1</v>
      </c>
      <c r="R110" s="31" t="str">
        <f t="shared" si="49"/>
        <v>Adam Terrence Loyd BOSMAN</v>
      </c>
      <c r="S110" t="str">
        <f t="shared" si="50"/>
        <v>Adam BOSMAN (1980 - : #123b)</v>
      </c>
      <c r="U110" s="126">
        <f t="shared" si="53"/>
        <v>123002</v>
      </c>
      <c r="V110" t="str">
        <f t="shared" si="51"/>
        <v>123b</v>
      </c>
      <c r="W110" s="126">
        <f t="shared" si="46"/>
        <v>123</v>
      </c>
      <c r="X110" s="126" t="str">
        <f t="shared" si="52"/>
        <v>b</v>
      </c>
      <c r="Y110" s="116"/>
      <c r="Z110" s="116"/>
      <c r="AB110" s="116"/>
    </row>
    <row r="111" spans="1:28">
      <c r="A111">
        <f>'All Girls &amp; Descendants - Edit'!B110</f>
        <v>125</v>
      </c>
      <c r="B111" t="str">
        <f>'All Girls &amp; Descendants - Edit'!C110</f>
        <v>125a</v>
      </c>
      <c r="C111" t="str">
        <f>'All Girls &amp; Descendants - Edit'!D110</f>
        <v>HAWKEY</v>
      </c>
      <c r="D111" t="str">
        <f>'All Girls &amp; Descendants - Edit'!E110</f>
        <v>Bryan</v>
      </c>
      <c r="E111" t="str">
        <f>IF('All Girls &amp; Descendants - Edit'!F110="","",'All Girls &amp; Descendants - Edit'!F110)</f>
        <v>Patrick</v>
      </c>
      <c r="F111" t="str">
        <f>IF('All Girls &amp; Descendants - Edit'!G110="","",'All Girls &amp; Descendants - Edit'!G110)</f>
        <v/>
      </c>
      <c r="G111" t="str">
        <f>IF('All Girls &amp; Descendants - Edit'!H110="",D111,'All Girls &amp; Descendants - Edit'!H110)</f>
        <v>Bryan</v>
      </c>
      <c r="H111">
        <f>'All Girls &amp; Descendants - Edit'!I110</f>
        <v>1976</v>
      </c>
      <c r="I111" t="str">
        <f>'All Girls &amp; Descendants - Edit'!J110</f>
        <v/>
      </c>
      <c r="J111" s="101">
        <f>'All Girls &amp; Descendants - Edit'!K110</f>
        <v>0</v>
      </c>
      <c r="K111" s="3" t="str">
        <f>'All Girls &amp; Descendants - Edit'!L110</f>
        <v>23/07/1976</v>
      </c>
      <c r="L111" s="3">
        <f>'All Girls &amp; Descendants - Edit'!M110</f>
        <v>27964</v>
      </c>
      <c r="M111" s="3">
        <f>'All Girls &amp; Descendants - Edit'!N110</f>
        <v>0</v>
      </c>
      <c r="N111" s="3">
        <f>'All Girls &amp; Descendants - Edit'!O110</f>
        <v>0</v>
      </c>
      <c r="O111" s="3" t="str">
        <f>'All Girls &amp; Descendants - Edit'!P110</f>
        <v/>
      </c>
      <c r="P111" t="str">
        <f t="shared" si="47"/>
        <v>125a</v>
      </c>
      <c r="Q111" s="116">
        <f t="shared" si="48"/>
        <v>1</v>
      </c>
      <c r="R111" s="31" t="str">
        <f t="shared" si="49"/>
        <v>Bryan Patrick  HAWKEY</v>
      </c>
      <c r="S111" t="str">
        <f t="shared" si="50"/>
        <v>Bryan HAWKEY (1976 - : #125a)</v>
      </c>
      <c r="U111" s="126">
        <f t="shared" si="53"/>
        <v>125001</v>
      </c>
      <c r="V111" t="str">
        <f t="shared" si="51"/>
        <v>125a</v>
      </c>
      <c r="W111" s="126">
        <f t="shared" si="46"/>
        <v>125</v>
      </c>
      <c r="X111" s="126" t="str">
        <f t="shared" si="52"/>
        <v>a</v>
      </c>
      <c r="Y111" s="116"/>
      <c r="Z111" s="116"/>
      <c r="AB111" s="116"/>
    </row>
    <row r="112" spans="1:28">
      <c r="A112">
        <f>'All Girls &amp; Descendants - Edit'!B111</f>
        <v>125</v>
      </c>
      <c r="B112" t="str">
        <f>'All Girls &amp; Descendants - Edit'!C111</f>
        <v>125b</v>
      </c>
      <c r="C112" t="str">
        <f>'All Girls &amp; Descendants - Edit'!D111</f>
        <v>HAWKEY</v>
      </c>
      <c r="D112" t="str">
        <f>'All Girls &amp; Descendants - Edit'!E111</f>
        <v>Allison</v>
      </c>
      <c r="E112" t="str">
        <f>IF('All Girls &amp; Descendants - Edit'!F111="","",'All Girls &amp; Descendants - Edit'!F111)</f>
        <v>Mary</v>
      </c>
      <c r="F112" t="str">
        <f>IF('All Girls &amp; Descendants - Edit'!G111="","",'All Girls &amp; Descendants - Edit'!G111)</f>
        <v/>
      </c>
      <c r="G112" t="str">
        <f>IF('All Girls &amp; Descendants - Edit'!H111="",D112,'All Girls &amp; Descendants - Edit'!H111)</f>
        <v>Allison</v>
      </c>
      <c r="H112">
        <f>'All Girls &amp; Descendants - Edit'!I111</f>
        <v>1978</v>
      </c>
      <c r="I112" t="str">
        <f>'All Girls &amp; Descendants - Edit'!J111</f>
        <v/>
      </c>
      <c r="J112" s="101">
        <f>'All Girls &amp; Descendants - Edit'!K111</f>
        <v>0</v>
      </c>
      <c r="K112" s="3" t="str">
        <f>'All Girls &amp; Descendants - Edit'!L111</f>
        <v>23/05/1978</v>
      </c>
      <c r="L112" s="3">
        <f>'All Girls &amp; Descendants - Edit'!M111</f>
        <v>28633</v>
      </c>
      <c r="M112" s="3">
        <f>'All Girls &amp; Descendants - Edit'!N111</f>
        <v>0</v>
      </c>
      <c r="N112" s="3">
        <f>'All Girls &amp; Descendants - Edit'!O111</f>
        <v>0</v>
      </c>
      <c r="O112" s="3" t="str">
        <f>'All Girls &amp; Descendants - Edit'!P111</f>
        <v/>
      </c>
      <c r="P112" t="str">
        <f t="shared" si="47"/>
        <v>125b</v>
      </c>
      <c r="Q112" s="116">
        <f t="shared" si="48"/>
        <v>1</v>
      </c>
      <c r="R112" s="31" t="str">
        <f t="shared" si="49"/>
        <v>Allison Mary  HAWKEY</v>
      </c>
      <c r="S112" t="str">
        <f t="shared" si="50"/>
        <v>Allison HAWKEY (1978 - : #125b)</v>
      </c>
      <c r="U112" s="126">
        <f t="shared" si="53"/>
        <v>125002</v>
      </c>
      <c r="V112" t="str">
        <f t="shared" si="51"/>
        <v>125b</v>
      </c>
      <c r="W112" s="126">
        <f t="shared" si="46"/>
        <v>125</v>
      </c>
      <c r="X112" s="126" t="str">
        <f t="shared" si="52"/>
        <v>b</v>
      </c>
      <c r="Y112" s="116"/>
      <c r="Z112" s="116"/>
      <c r="AB112" s="116"/>
    </row>
    <row r="113" spans="1:28">
      <c r="A113">
        <f>'All Girls &amp; Descendants - Edit'!B112</f>
        <v>128</v>
      </c>
      <c r="B113" t="str">
        <f>'All Girls &amp; Descendants - Edit'!C112</f>
        <v>128a</v>
      </c>
      <c r="C113" t="str">
        <f>'All Girls &amp; Descendants - Edit'!D112</f>
        <v>PEMBERTON</v>
      </c>
      <c r="D113" t="str">
        <f>'All Girls &amp; Descendants - Edit'!E112</f>
        <v>Chloe</v>
      </c>
      <c r="E113" t="str">
        <f>IF('All Girls &amp; Descendants - Edit'!F112="","",'All Girls &amp; Descendants - Edit'!F112)</f>
        <v>Louise</v>
      </c>
      <c r="F113" t="str">
        <f>IF('All Girls &amp; Descendants - Edit'!G112="","",'All Girls &amp; Descendants - Edit'!G112)</f>
        <v/>
      </c>
      <c r="G113" t="str">
        <f>IF('All Girls &amp; Descendants - Edit'!H112="",D113,'All Girls &amp; Descendants - Edit'!H112)</f>
        <v>Chloe</v>
      </c>
      <c r="H113">
        <f>'All Girls &amp; Descendants - Edit'!I112</f>
        <v>1991</v>
      </c>
      <c r="I113" t="str">
        <f>'All Girls &amp; Descendants - Edit'!J112</f>
        <v/>
      </c>
      <c r="J113" s="101">
        <f>'All Girls &amp; Descendants - Edit'!K112</f>
        <v>0</v>
      </c>
      <c r="K113" s="3" t="str">
        <f>'All Girls &amp; Descendants - Edit'!L112</f>
        <v>04/01/1991</v>
      </c>
      <c r="L113" s="3">
        <f>'All Girls &amp; Descendants - Edit'!M112</f>
        <v>33242</v>
      </c>
      <c r="M113" s="3">
        <f>'All Girls &amp; Descendants - Edit'!N112</f>
        <v>0</v>
      </c>
      <c r="N113" s="3">
        <f>'All Girls &amp; Descendants - Edit'!O112</f>
        <v>0</v>
      </c>
      <c r="O113" s="3" t="str">
        <f>'All Girls &amp; Descendants - Edit'!P112</f>
        <v/>
      </c>
      <c r="P113" t="str">
        <f t="shared" si="47"/>
        <v>128a</v>
      </c>
      <c r="Q113" s="116">
        <f t="shared" si="48"/>
        <v>1</v>
      </c>
      <c r="R113" s="31" t="str">
        <f t="shared" si="49"/>
        <v>Chloe Louise  PEMBERTON</v>
      </c>
      <c r="S113" t="str">
        <f t="shared" si="50"/>
        <v>Chloe PEMBERTON (1991 - : #128a)</v>
      </c>
      <c r="U113" s="126">
        <f t="shared" si="53"/>
        <v>128001</v>
      </c>
      <c r="V113" t="str">
        <f t="shared" si="51"/>
        <v>128a</v>
      </c>
      <c r="W113" s="126">
        <f t="shared" si="46"/>
        <v>128</v>
      </c>
      <c r="X113" s="126" t="str">
        <f t="shared" si="52"/>
        <v>a</v>
      </c>
      <c r="Y113" s="116"/>
      <c r="Z113" s="116"/>
      <c r="AB113" s="116"/>
    </row>
    <row r="114" spans="1:28">
      <c r="A114">
        <f>'All Girls &amp; Descendants - Edit'!B113</f>
        <v>128</v>
      </c>
      <c r="B114" t="str">
        <f>'All Girls &amp; Descendants - Edit'!C113</f>
        <v>128b</v>
      </c>
      <c r="C114" t="str">
        <f>'All Girls &amp; Descendants - Edit'!D113</f>
        <v>PEMBERTON</v>
      </c>
      <c r="D114" t="str">
        <f>'All Girls &amp; Descendants - Edit'!E113</f>
        <v>Kate</v>
      </c>
      <c r="E114" t="str">
        <f>IF('All Girls &amp; Descendants - Edit'!F113="","",'All Girls &amp; Descendants - Edit'!F113)</f>
        <v>Isobel</v>
      </c>
      <c r="F114" t="str">
        <f>IF('All Girls &amp; Descendants - Edit'!G113="","",'All Girls &amp; Descendants - Edit'!G113)</f>
        <v/>
      </c>
      <c r="G114" t="str">
        <f>IF('All Girls &amp; Descendants - Edit'!H113="",D114,'All Girls &amp; Descendants - Edit'!H113)</f>
        <v>Kate</v>
      </c>
      <c r="H114">
        <f>'All Girls &amp; Descendants - Edit'!I113</f>
        <v>1993</v>
      </c>
      <c r="I114" t="str">
        <f>'All Girls &amp; Descendants - Edit'!J113</f>
        <v/>
      </c>
      <c r="J114" s="101">
        <f>'All Girls &amp; Descendants - Edit'!K113</f>
        <v>0</v>
      </c>
      <c r="K114" s="3" t="str">
        <f>'All Girls &amp; Descendants - Edit'!L113</f>
        <v>13/08/1993</v>
      </c>
      <c r="L114" s="3">
        <f>'All Girls &amp; Descendants - Edit'!M113</f>
        <v>34194</v>
      </c>
      <c r="M114" s="3">
        <f>'All Girls &amp; Descendants - Edit'!N113</f>
        <v>0</v>
      </c>
      <c r="N114" s="3">
        <f>'All Girls &amp; Descendants - Edit'!O113</f>
        <v>0</v>
      </c>
      <c r="O114" s="3" t="str">
        <f>'All Girls &amp; Descendants - Edit'!P113</f>
        <v/>
      </c>
      <c r="P114" t="str">
        <f t="shared" si="47"/>
        <v>128b</v>
      </c>
      <c r="Q114" s="116">
        <f t="shared" si="48"/>
        <v>1</v>
      </c>
      <c r="R114" s="31" t="str">
        <f t="shared" si="49"/>
        <v>Kate Isobel  PEMBERTON</v>
      </c>
      <c r="S114" t="str">
        <f t="shared" si="50"/>
        <v>Kate PEMBERTON (1993 - : #128b)</v>
      </c>
      <c r="U114" s="126">
        <f t="shared" si="53"/>
        <v>128002</v>
      </c>
      <c r="V114" t="str">
        <f t="shared" si="51"/>
        <v>128b</v>
      </c>
      <c r="W114" s="126">
        <f t="shared" si="46"/>
        <v>128</v>
      </c>
      <c r="X114" s="126" t="str">
        <f t="shared" si="52"/>
        <v>b</v>
      </c>
      <c r="Y114" s="116"/>
      <c r="Z114" s="116"/>
      <c r="AB114" s="116"/>
    </row>
    <row r="115" spans="1:28">
      <c r="A115">
        <f>'All Girls &amp; Descendants - Edit'!B114</f>
        <v>137</v>
      </c>
      <c r="B115" t="str">
        <f>'All Girls &amp; Descendants - Edit'!C114</f>
        <v>137a</v>
      </c>
      <c r="C115" t="str">
        <f>'All Girls &amp; Descendants - Edit'!D114</f>
        <v>GELL</v>
      </c>
      <c r="D115" t="str">
        <f>'All Girls &amp; Descendants - Edit'!E114</f>
        <v>Honor</v>
      </c>
      <c r="E115" t="str">
        <f>IF('All Girls &amp; Descendants - Edit'!F114="","",'All Girls &amp; Descendants - Edit'!F114)</f>
        <v>Constance</v>
      </c>
      <c r="F115" t="str">
        <f>IF('All Girls &amp; Descendants - Edit'!G114="","",'All Girls &amp; Descendants - Edit'!G114)</f>
        <v>Virginia</v>
      </c>
      <c r="G115" t="str">
        <f>IF('All Girls &amp; Descendants - Edit'!H114="",D115,'All Girls &amp; Descendants - Edit'!H114)</f>
        <v>Honor</v>
      </c>
      <c r="H115">
        <f>'All Girls &amp; Descendants - Edit'!I114</f>
        <v>1998</v>
      </c>
      <c r="I115" t="str">
        <f>'All Girls &amp; Descendants - Edit'!J114</f>
        <v/>
      </c>
      <c r="J115" s="101">
        <f>'All Girls &amp; Descendants - Edit'!K114</f>
        <v>0</v>
      </c>
      <c r="K115" s="3" t="str">
        <f>'All Girls &amp; Descendants - Edit'!L114</f>
        <v>29/10/1998</v>
      </c>
      <c r="L115" s="3">
        <f>'All Girls &amp; Descendants - Edit'!M114</f>
        <v>36097</v>
      </c>
      <c r="M115" s="3">
        <f>'All Girls &amp; Descendants - Edit'!N114</f>
        <v>0</v>
      </c>
      <c r="N115" s="3">
        <f>'All Girls &amp; Descendants - Edit'!O114</f>
        <v>0</v>
      </c>
      <c r="O115" s="3" t="str">
        <f>'All Girls &amp; Descendants - Edit'!P114</f>
        <v/>
      </c>
      <c r="P115" t="str">
        <f t="shared" si="47"/>
        <v>137a</v>
      </c>
      <c r="Q115" s="116">
        <f t="shared" si="48"/>
        <v>1</v>
      </c>
      <c r="R115" s="31" t="str">
        <f t="shared" si="49"/>
        <v>Honor Constance Virginia GELL</v>
      </c>
      <c r="S115" t="str">
        <f t="shared" si="50"/>
        <v>Honor GELL (1998 - : #137a)</v>
      </c>
      <c r="U115" s="126">
        <f t="shared" si="53"/>
        <v>137001</v>
      </c>
      <c r="V115" t="str">
        <f t="shared" si="51"/>
        <v>137a</v>
      </c>
      <c r="W115" s="126">
        <f t="shared" si="46"/>
        <v>137</v>
      </c>
      <c r="X115" s="126" t="str">
        <f t="shared" si="52"/>
        <v>a</v>
      </c>
      <c r="Y115" s="116"/>
      <c r="Z115" s="116"/>
      <c r="AB115" s="116"/>
    </row>
    <row r="116" spans="1:28">
      <c r="A116">
        <f>'All Girls &amp; Descendants - Edit'!B115</f>
        <v>140</v>
      </c>
      <c r="B116" t="str">
        <f>'All Girls &amp; Descendants - Edit'!C115</f>
        <v>140a</v>
      </c>
      <c r="C116" t="str">
        <f>'All Girls &amp; Descendants - Edit'!D115</f>
        <v>MILLER</v>
      </c>
      <c r="D116" t="str">
        <f>'All Girls &amp; Descendants - Edit'!E115</f>
        <v>Daisy</v>
      </c>
      <c r="E116" t="str">
        <f>IF('All Girls &amp; Descendants - Edit'!F115="","",'All Girls &amp; Descendants - Edit'!F115)</f>
        <v>Elizabeth</v>
      </c>
      <c r="F116" t="str">
        <f>IF('All Girls &amp; Descendants - Edit'!G115="","",'All Girls &amp; Descendants - Edit'!G115)</f>
        <v/>
      </c>
      <c r="G116" t="str">
        <f>IF('All Girls &amp; Descendants - Edit'!H115="",D116,'All Girls &amp; Descendants - Edit'!H115)</f>
        <v>Daisy</v>
      </c>
      <c r="H116">
        <f>'All Girls &amp; Descendants - Edit'!I115</f>
        <v>1995</v>
      </c>
      <c r="I116" t="str">
        <f>'All Girls &amp; Descendants - Edit'!J115</f>
        <v/>
      </c>
      <c r="J116" s="101">
        <f>'All Girls &amp; Descendants - Edit'!K115</f>
        <v>0</v>
      </c>
      <c r="K116" s="3" t="str">
        <f>'All Girls &amp; Descendants - Edit'!L115</f>
        <v>03/01/1995</v>
      </c>
      <c r="L116" s="3">
        <f>'All Girls &amp; Descendants - Edit'!M115</f>
        <v>34702</v>
      </c>
      <c r="M116" s="3">
        <f>'All Girls &amp; Descendants - Edit'!N115</f>
        <v>0</v>
      </c>
      <c r="N116" s="3">
        <f>'All Girls &amp; Descendants - Edit'!O115</f>
        <v>0</v>
      </c>
      <c r="O116" s="3" t="str">
        <f>'All Girls &amp; Descendants - Edit'!P115</f>
        <v/>
      </c>
      <c r="P116" t="str">
        <f t="shared" si="47"/>
        <v>140a</v>
      </c>
      <c r="Q116" s="116">
        <f t="shared" si="48"/>
        <v>1</v>
      </c>
      <c r="R116" s="31" t="str">
        <f t="shared" si="49"/>
        <v>Daisy Elizabeth  MILLER</v>
      </c>
      <c r="S116" t="str">
        <f t="shared" si="50"/>
        <v>Daisy MILLER (1995 - : #140a)</v>
      </c>
      <c r="U116" s="126">
        <f t="shared" si="53"/>
        <v>140001</v>
      </c>
      <c r="V116" t="str">
        <f t="shared" si="51"/>
        <v>140a</v>
      </c>
      <c r="W116" s="126">
        <f t="shared" si="46"/>
        <v>140</v>
      </c>
      <c r="X116" s="126" t="str">
        <f t="shared" si="52"/>
        <v>a</v>
      </c>
      <c r="Y116" s="116"/>
      <c r="Z116" s="116"/>
      <c r="AB116" s="116"/>
    </row>
    <row r="117" spans="1:28">
      <c r="A117">
        <f>'All Girls &amp; Descendants - Edit'!B116</f>
        <v>140</v>
      </c>
      <c r="B117" t="str">
        <f>'All Girls &amp; Descendants - Edit'!C116</f>
        <v>140b</v>
      </c>
      <c r="C117" t="str">
        <f>'All Girls &amp; Descendants - Edit'!D116</f>
        <v>MILLER</v>
      </c>
      <c r="D117" t="str">
        <f>'All Girls &amp; Descendants - Edit'!E116</f>
        <v>Violet</v>
      </c>
      <c r="E117" t="str">
        <f>IF('All Girls &amp; Descendants - Edit'!F116="","",'All Girls &amp; Descendants - Edit'!F116)</f>
        <v>Emma</v>
      </c>
      <c r="F117" t="str">
        <f>IF('All Girls &amp; Descendants - Edit'!G116="","",'All Girls &amp; Descendants - Edit'!G116)</f>
        <v/>
      </c>
      <c r="G117" t="str">
        <f>IF('All Girls &amp; Descendants - Edit'!H116="",D117,'All Girls &amp; Descendants - Edit'!H116)</f>
        <v>Violet</v>
      </c>
      <c r="H117">
        <f>'All Girls &amp; Descendants - Edit'!I116</f>
        <v>1995</v>
      </c>
      <c r="I117" t="str">
        <f>'All Girls &amp; Descendants - Edit'!J116</f>
        <v/>
      </c>
      <c r="J117" s="101">
        <f>'All Girls &amp; Descendants - Edit'!K116</f>
        <v>0</v>
      </c>
      <c r="K117" s="3" t="str">
        <f>'All Girls &amp; Descendants - Edit'!L116</f>
        <v>03/01/1995</v>
      </c>
      <c r="L117" s="3">
        <f>'All Girls &amp; Descendants - Edit'!M116</f>
        <v>34702</v>
      </c>
      <c r="M117" s="3">
        <f>'All Girls &amp; Descendants - Edit'!N116</f>
        <v>0</v>
      </c>
      <c r="N117" s="3">
        <f>'All Girls &amp; Descendants - Edit'!O116</f>
        <v>0</v>
      </c>
      <c r="O117" s="3" t="str">
        <f>'All Girls &amp; Descendants - Edit'!P116</f>
        <v/>
      </c>
      <c r="P117" t="str">
        <f t="shared" si="47"/>
        <v>140b</v>
      </c>
      <c r="Q117" s="116">
        <f t="shared" si="48"/>
        <v>1</v>
      </c>
      <c r="R117" s="31" t="str">
        <f t="shared" si="49"/>
        <v>Violet Emma  MILLER</v>
      </c>
      <c r="S117" t="str">
        <f t="shared" si="50"/>
        <v>Violet MILLER (1995 - : #140b)</v>
      </c>
      <c r="U117" s="126">
        <f t="shared" si="53"/>
        <v>140002</v>
      </c>
      <c r="V117" t="str">
        <f t="shared" si="51"/>
        <v>140b</v>
      </c>
      <c r="W117" s="126">
        <f t="shared" si="46"/>
        <v>140</v>
      </c>
      <c r="X117" s="126" t="str">
        <f t="shared" si="52"/>
        <v>b</v>
      </c>
      <c r="Y117" s="116"/>
      <c r="Z117" s="116"/>
      <c r="AB117" s="116"/>
    </row>
    <row r="118" spans="1:28">
      <c r="A118">
        <f>'All Girls &amp; Descendants - Edit'!B117</f>
        <v>141</v>
      </c>
      <c r="B118" t="str">
        <f>'All Girls &amp; Descendants - Edit'!C117</f>
        <v>141a</v>
      </c>
      <c r="C118" t="str">
        <f>'All Girls &amp; Descendants - Edit'!D117</f>
        <v>BYATT</v>
      </c>
      <c r="D118" t="str">
        <f>'All Girls &amp; Descendants - Edit'!E117</f>
        <v>Letitia</v>
      </c>
      <c r="E118" t="str">
        <f>IF('All Girls &amp; Descendants - Edit'!F117="","",'All Girls &amp; Descendants - Edit'!F117)</f>
        <v>May</v>
      </c>
      <c r="F118" t="str">
        <f>IF('All Girls &amp; Descendants - Edit'!G117="","",'All Girls &amp; Descendants - Edit'!G117)</f>
        <v>Rose Campbell</v>
      </c>
      <c r="G118" t="str">
        <f>IF('All Girls &amp; Descendants - Edit'!H117="",D118,'All Girls &amp; Descendants - Edit'!H117)</f>
        <v>Letty</v>
      </c>
      <c r="H118">
        <f>'All Girls &amp; Descendants - Edit'!I117</f>
        <v>1996</v>
      </c>
      <c r="I118" t="str">
        <f>'All Girls &amp; Descendants - Edit'!J117</f>
        <v/>
      </c>
      <c r="J118" s="101">
        <f>'All Girls &amp; Descendants - Edit'!K117</f>
        <v>0</v>
      </c>
      <c r="K118" s="3" t="str">
        <f>'All Girls &amp; Descendants - Edit'!L117</f>
        <v>03/03/1996</v>
      </c>
      <c r="L118" s="3">
        <f>'All Girls &amp; Descendants - Edit'!M117</f>
        <v>35127</v>
      </c>
      <c r="M118" s="3">
        <f>'All Girls &amp; Descendants - Edit'!N117</f>
        <v>0</v>
      </c>
      <c r="N118" s="3">
        <f>'All Girls &amp; Descendants - Edit'!O117</f>
        <v>0</v>
      </c>
      <c r="O118" s="3" t="str">
        <f>'All Girls &amp; Descendants - Edit'!P117</f>
        <v/>
      </c>
      <c r="P118" t="str">
        <f t="shared" si="47"/>
        <v>141a</v>
      </c>
      <c r="Q118" s="116">
        <f t="shared" si="48"/>
        <v>1</v>
      </c>
      <c r="R118" s="31" t="str">
        <f t="shared" si="49"/>
        <v>Letitia May Rose Campbell BYATT</v>
      </c>
      <c r="S118" t="str">
        <f t="shared" si="50"/>
        <v>Letty BYATT (1996 - : #141a)</v>
      </c>
      <c r="U118" s="126">
        <f t="shared" si="53"/>
        <v>141001</v>
      </c>
      <c r="V118" t="str">
        <f t="shared" si="51"/>
        <v>141a</v>
      </c>
      <c r="W118" s="126">
        <f t="shared" si="46"/>
        <v>141</v>
      </c>
      <c r="X118" s="126" t="str">
        <f t="shared" si="52"/>
        <v>a</v>
      </c>
      <c r="Y118" s="116"/>
      <c r="Z118" s="116"/>
      <c r="AB118" s="116"/>
    </row>
    <row r="119" spans="1:28">
      <c r="A119">
        <f>'All Girls &amp; Descendants - Edit'!B118</f>
        <v>141</v>
      </c>
      <c r="B119" t="str">
        <f>'All Girls &amp; Descendants - Edit'!C118</f>
        <v>141b</v>
      </c>
      <c r="C119" t="str">
        <f>'All Girls &amp; Descendants - Edit'!D118</f>
        <v>BYATT</v>
      </c>
      <c r="D119" t="str">
        <f>'All Girls &amp; Descendants - Edit'!E118</f>
        <v>Henry</v>
      </c>
      <c r="E119" t="str">
        <f>IF('All Girls &amp; Descendants - Edit'!F118="","",'All Girls &amp; Descendants - Edit'!F118)</f>
        <v>Hew</v>
      </c>
      <c r="F119" t="str">
        <f>IF('All Girls &amp; Descendants - Edit'!G118="","",'All Girls &amp; Descendants - Edit'!G118)</f>
        <v>Duncan Campbell</v>
      </c>
      <c r="G119" t="str">
        <f>IF('All Girls &amp; Descendants - Edit'!H118="",D119,'All Girls &amp; Descendants - Edit'!H118)</f>
        <v>Harry</v>
      </c>
      <c r="H119">
        <f>'All Girls &amp; Descendants - Edit'!I118</f>
        <v>1998</v>
      </c>
      <c r="I119">
        <f>'All Girls &amp; Descendants - Edit'!J118</f>
        <v>2017</v>
      </c>
      <c r="J119" s="101">
        <f>'All Girls &amp; Descendants - Edit'!K118</f>
        <v>0</v>
      </c>
      <c r="K119" s="3" t="str">
        <f>'All Girls &amp; Descendants - Edit'!L118</f>
        <v>10/04/1998</v>
      </c>
      <c r="L119" s="3">
        <f>'All Girls &amp; Descendants - Edit'!M118</f>
        <v>35895</v>
      </c>
      <c r="M119" s="3">
        <f>'All Girls &amp; Descendants - Edit'!N118</f>
        <v>0</v>
      </c>
      <c r="N119" s="3">
        <f>'All Girls &amp; Descendants - Edit'!O118</f>
        <v>42953</v>
      </c>
      <c r="O119" s="3" t="str">
        <f>'All Girls &amp; Descendants - Edit'!P118</f>
        <v>06/08/2017</v>
      </c>
      <c r="P119" t="str">
        <f t="shared" si="47"/>
        <v>141b</v>
      </c>
      <c r="Q119" s="116">
        <f t="shared" si="48"/>
        <v>1</v>
      </c>
      <c r="R119" s="31" t="str">
        <f t="shared" si="49"/>
        <v>Henry Hew Duncan Campbell BYATT</v>
      </c>
      <c r="S119" t="str">
        <f t="shared" si="50"/>
        <v>Harry BYATT (1998 - 2017: #141b)</v>
      </c>
      <c r="U119" s="126">
        <f t="shared" si="53"/>
        <v>141002</v>
      </c>
      <c r="V119" t="str">
        <f t="shared" si="51"/>
        <v>141b</v>
      </c>
      <c r="W119" s="126">
        <f t="shared" si="46"/>
        <v>141</v>
      </c>
      <c r="X119" s="126" t="str">
        <f t="shared" si="52"/>
        <v>b</v>
      </c>
      <c r="Y119" s="116"/>
      <c r="Z119" s="116"/>
      <c r="AB119" s="116"/>
    </row>
    <row r="120" spans="1:28">
      <c r="A120">
        <f>'All Girls &amp; Descendants - Edit'!B119</f>
        <v>143</v>
      </c>
      <c r="B120" t="str">
        <f>'All Girls &amp; Descendants - Edit'!C119</f>
        <v>143a</v>
      </c>
      <c r="C120" t="str">
        <f>'All Girls &amp; Descendants - Edit'!D119</f>
        <v>ASHE</v>
      </c>
      <c r="D120" t="str">
        <f>'All Girls &amp; Descendants - Edit'!E119</f>
        <v>Emily</v>
      </c>
      <c r="E120" t="str">
        <f>IF('All Girls &amp; Descendants - Edit'!F119="","",'All Girls &amp; Descendants - Edit'!F119)</f>
        <v>Harriert</v>
      </c>
      <c r="F120" t="str">
        <f>IF('All Girls &amp; Descendants - Edit'!G119="","",'All Girls &amp; Descendants - Edit'!G119)</f>
        <v/>
      </c>
      <c r="G120" t="str">
        <f>IF('All Girls &amp; Descendants - Edit'!H119="",D120,'All Girls &amp; Descendants - Edit'!H119)</f>
        <v>Emily</v>
      </c>
      <c r="H120">
        <f>'All Girls &amp; Descendants - Edit'!I119</f>
        <v>1988</v>
      </c>
      <c r="I120" t="str">
        <f>'All Girls &amp; Descendants - Edit'!J119</f>
        <v/>
      </c>
      <c r="J120" s="101">
        <f>'All Girls &amp; Descendants - Edit'!K119</f>
        <v>0</v>
      </c>
      <c r="K120" s="3" t="str">
        <f>'All Girls &amp; Descendants - Edit'!L119</f>
        <v>08/02/1988</v>
      </c>
      <c r="L120" s="3">
        <f>'All Girls &amp; Descendants - Edit'!M119</f>
        <v>32181</v>
      </c>
      <c r="M120" s="3">
        <f>'All Girls &amp; Descendants - Edit'!N119</f>
        <v>42868</v>
      </c>
      <c r="N120" s="3">
        <f>'All Girls &amp; Descendants - Edit'!O119</f>
        <v>0</v>
      </c>
      <c r="O120" s="3" t="str">
        <f>'All Girls &amp; Descendants - Edit'!P119</f>
        <v/>
      </c>
      <c r="P120" t="str">
        <f t="shared" si="47"/>
        <v>143a</v>
      </c>
      <c r="Q120" s="116">
        <f t="shared" si="48"/>
        <v>1</v>
      </c>
      <c r="R120" s="31" t="str">
        <f t="shared" si="49"/>
        <v>Emily Harriert  ASHE</v>
      </c>
      <c r="S120" t="str">
        <f t="shared" si="50"/>
        <v>Emily ASHE (1988 - : #143a)</v>
      </c>
      <c r="U120" s="126">
        <f t="shared" si="53"/>
        <v>143001</v>
      </c>
      <c r="V120" t="str">
        <f t="shared" si="51"/>
        <v>143a</v>
      </c>
      <c r="W120" s="126">
        <f t="shared" si="46"/>
        <v>143</v>
      </c>
      <c r="X120" s="126" t="str">
        <f t="shared" si="52"/>
        <v>a</v>
      </c>
      <c r="Y120" s="116"/>
      <c r="Z120" s="116"/>
      <c r="AB120" s="116"/>
    </row>
    <row r="121" spans="1:28">
      <c r="A121">
        <f>'All Girls &amp; Descendants - Edit'!B120</f>
        <v>143</v>
      </c>
      <c r="B121" t="str">
        <f>'All Girls &amp; Descendants - Edit'!C120</f>
        <v>143b</v>
      </c>
      <c r="C121" t="str">
        <f>'All Girls &amp; Descendants - Edit'!D120</f>
        <v>ASHE</v>
      </c>
      <c r="D121" t="str">
        <f>'All Girls &amp; Descendants - Edit'!E120</f>
        <v>Charles</v>
      </c>
      <c r="E121" t="str">
        <f>IF('All Girls &amp; Descendants - Edit'!F120="","",'All Girls &amp; Descendants - Edit'!F120)</f>
        <v>Windham</v>
      </c>
      <c r="F121" t="str">
        <f>IF('All Girls &amp; Descendants - Edit'!G120="","",'All Girls &amp; Descendants - Edit'!G120)</f>
        <v/>
      </c>
      <c r="G121" t="str">
        <f>IF('All Girls &amp; Descendants - Edit'!H120="",D121,'All Girls &amp; Descendants - Edit'!H120)</f>
        <v>Charles</v>
      </c>
      <c r="H121">
        <f>'All Girls &amp; Descendants - Edit'!I120</f>
        <v>1990</v>
      </c>
      <c r="I121" t="str">
        <f>'All Girls &amp; Descendants - Edit'!J120</f>
        <v/>
      </c>
      <c r="J121" s="101">
        <f>'All Girls &amp; Descendants - Edit'!K120</f>
        <v>0</v>
      </c>
      <c r="K121" s="3" t="str">
        <f>'All Girls &amp; Descendants - Edit'!L120</f>
        <v>11/04/1990</v>
      </c>
      <c r="L121" s="3">
        <f>'All Girls &amp; Descendants - Edit'!M120</f>
        <v>32974</v>
      </c>
      <c r="M121" s="3">
        <f>'All Girls &amp; Descendants - Edit'!N120</f>
        <v>0</v>
      </c>
      <c r="N121" s="3">
        <f>'All Girls &amp; Descendants - Edit'!O120</f>
        <v>0</v>
      </c>
      <c r="O121" s="3" t="str">
        <f>'All Girls &amp; Descendants - Edit'!P120</f>
        <v/>
      </c>
      <c r="P121" t="str">
        <f t="shared" si="47"/>
        <v>143b</v>
      </c>
      <c r="Q121" s="116">
        <f t="shared" si="48"/>
        <v>1</v>
      </c>
      <c r="R121" s="31" t="str">
        <f t="shared" si="49"/>
        <v>Charles Windham  ASHE</v>
      </c>
      <c r="S121" t="str">
        <f t="shared" si="50"/>
        <v>Charles ASHE (1990 - : #143b)</v>
      </c>
      <c r="U121" s="126">
        <f t="shared" si="53"/>
        <v>143002</v>
      </c>
      <c r="V121" t="str">
        <f t="shared" si="51"/>
        <v>143b</v>
      </c>
      <c r="W121" s="126">
        <f t="shared" si="46"/>
        <v>143</v>
      </c>
      <c r="X121" s="126" t="str">
        <f t="shared" si="52"/>
        <v>b</v>
      </c>
    </row>
    <row r="122" spans="1:28">
      <c r="A122">
        <f>'All Girls &amp; Descendants - Edit'!B121</f>
        <v>152</v>
      </c>
      <c r="B122" t="str">
        <f>'All Girls &amp; Descendants - Edit'!C121</f>
        <v>152a</v>
      </c>
      <c r="C122" t="str">
        <f>'All Girls &amp; Descendants - Edit'!D121</f>
        <v>WHITCOMB</v>
      </c>
      <c r="D122" t="str">
        <f>'All Girls &amp; Descendants - Edit'!E121</f>
        <v>Clementine</v>
      </c>
      <c r="E122" t="str">
        <f>IF('All Girls &amp; Descendants - Edit'!F121="","",'All Girls &amp; Descendants - Edit'!F121)</f>
        <v/>
      </c>
      <c r="F122" t="str">
        <f>IF('All Girls &amp; Descendants - Edit'!G121="","",'All Girls &amp; Descendants - Edit'!G121)</f>
        <v/>
      </c>
      <c r="G122" t="str">
        <f>IF('All Girls &amp; Descendants - Edit'!H121="",D122,'All Girls &amp; Descendants - Edit'!H121)</f>
        <v>Clementine</v>
      </c>
      <c r="H122">
        <f>'All Girls &amp; Descendants - Edit'!I121</f>
        <v>1999</v>
      </c>
      <c r="I122" t="str">
        <f>'All Girls &amp; Descendants - Edit'!J121</f>
        <v/>
      </c>
      <c r="J122" s="101">
        <f>'All Girls &amp; Descendants - Edit'!K121</f>
        <v>0</v>
      </c>
      <c r="K122" s="3" t="str">
        <f>'All Girls &amp; Descendants - Edit'!L121</f>
        <v>11/12/1999</v>
      </c>
      <c r="L122" s="3">
        <f>'All Girls &amp; Descendants - Edit'!M121</f>
        <v>36505</v>
      </c>
      <c r="M122" s="3">
        <f>'All Girls &amp; Descendants - Edit'!N121</f>
        <v>0</v>
      </c>
      <c r="N122" s="3">
        <f>'All Girls &amp; Descendants - Edit'!O121</f>
        <v>0</v>
      </c>
      <c r="O122" s="3" t="str">
        <f>'All Girls &amp; Descendants - Edit'!P121</f>
        <v/>
      </c>
      <c r="P122" t="str">
        <f t="shared" si="47"/>
        <v>152a</v>
      </c>
      <c r="Q122" s="116">
        <f t="shared" si="48"/>
        <v>1</v>
      </c>
      <c r="R122" s="31" t="str">
        <f t="shared" si="49"/>
        <v>Clementine   WHITCOMB</v>
      </c>
      <c r="S122" t="str">
        <f t="shared" si="50"/>
        <v>Clementine WHITCOMB (1999 - : #152a)</v>
      </c>
      <c r="U122" s="126">
        <f t="shared" si="53"/>
        <v>152001</v>
      </c>
      <c r="V122" t="str">
        <f t="shared" si="51"/>
        <v>152a</v>
      </c>
      <c r="W122" s="126">
        <f t="shared" si="46"/>
        <v>152</v>
      </c>
      <c r="X122" s="126" t="str">
        <f t="shared" si="52"/>
        <v>a</v>
      </c>
    </row>
    <row r="123" spans="1:28">
      <c r="A123">
        <f>'All Girls &amp; Descendants - Edit'!B122</f>
        <v>152</v>
      </c>
      <c r="B123" t="str">
        <f>'All Girls &amp; Descendants - Edit'!C122</f>
        <v>152b</v>
      </c>
      <c r="C123" t="str">
        <f>'All Girls &amp; Descendants - Edit'!D122</f>
        <v>WHITCOMB</v>
      </c>
      <c r="D123" t="str">
        <f>'All Girls &amp; Descendants - Edit'!E122</f>
        <v>Augustin</v>
      </c>
      <c r="E123" t="str">
        <f>IF('All Girls &amp; Descendants - Edit'!F122="","",'All Girls &amp; Descendants - Edit'!F122)</f>
        <v/>
      </c>
      <c r="F123" t="str">
        <f>IF('All Girls &amp; Descendants - Edit'!G122="","",'All Girls &amp; Descendants - Edit'!G122)</f>
        <v/>
      </c>
      <c r="G123" t="str">
        <f>IF('All Girls &amp; Descendants - Edit'!H122="",D123,'All Girls &amp; Descendants - Edit'!H122)</f>
        <v>Augustin</v>
      </c>
      <c r="H123">
        <f>'All Girls &amp; Descendants - Edit'!I122</f>
        <v>2001</v>
      </c>
      <c r="I123" t="str">
        <f>'All Girls &amp; Descendants - Edit'!J122</f>
        <v/>
      </c>
      <c r="J123" s="101" t="str">
        <f>'All Girls &amp; Descendants - Edit'!K122</f>
        <v>104 (152): 2001</v>
      </c>
      <c r="K123" s="3" t="str">
        <f>'All Girls &amp; Descendants - Edit'!L122</f>
        <v>29/01/2001</v>
      </c>
      <c r="L123" s="3">
        <f>'All Girls &amp; Descendants - Edit'!M122</f>
        <v>36920</v>
      </c>
      <c r="M123" s="3">
        <f>'All Girls &amp; Descendants - Edit'!N122</f>
        <v>0</v>
      </c>
      <c r="N123" s="3">
        <f>'All Girls &amp; Descendants - Edit'!O122</f>
        <v>0</v>
      </c>
      <c r="O123" s="3" t="str">
        <f>'All Girls &amp; Descendants - Edit'!P122</f>
        <v/>
      </c>
      <c r="P123" t="str">
        <f t="shared" si="47"/>
        <v>152b</v>
      </c>
      <c r="Q123" s="116">
        <f t="shared" si="48"/>
        <v>1</v>
      </c>
      <c r="R123" s="31" t="str">
        <f t="shared" si="49"/>
        <v>Augustin   WHITCOMB</v>
      </c>
      <c r="S123" t="str">
        <f t="shared" si="50"/>
        <v>Augustin WHITCOMB (2001 - : #152b)</v>
      </c>
      <c r="U123" s="126">
        <f t="shared" si="53"/>
        <v>152002</v>
      </c>
      <c r="V123" t="str">
        <f t="shared" si="51"/>
        <v>152b</v>
      </c>
      <c r="W123" s="126">
        <f t="shared" si="46"/>
        <v>152</v>
      </c>
      <c r="X123" s="126" t="str">
        <f t="shared" si="52"/>
        <v>b</v>
      </c>
    </row>
    <row r="124" spans="1:28">
      <c r="A124">
        <f>'All Girls &amp; Descendants - Edit'!B123</f>
        <v>154</v>
      </c>
      <c r="B124" t="str">
        <f>'All Girls &amp; Descendants - Edit'!C123</f>
        <v>154a</v>
      </c>
      <c r="C124" t="str">
        <f>'All Girls &amp; Descendants - Edit'!D123</f>
        <v>NEWING</v>
      </c>
      <c r="D124" t="str">
        <f>'All Girls &amp; Descendants - Edit'!E123</f>
        <v>Frederick</v>
      </c>
      <c r="E124" t="str">
        <f>IF('All Girls &amp; Descendants - Edit'!F123="","",'All Girls &amp; Descendants - Edit'!F123)</f>
        <v>Otto</v>
      </c>
      <c r="F124" t="str">
        <f>IF('All Girls &amp; Descendants - Edit'!G123="","",'All Girls &amp; Descendants - Edit'!G123)</f>
        <v/>
      </c>
      <c r="G124" t="str">
        <f>IF('All Girls &amp; Descendants - Edit'!H123="",D124,'All Girls &amp; Descendants - Edit'!H123)</f>
        <v>Freddie</v>
      </c>
      <c r="H124">
        <f>'All Girls &amp; Descendants - Edit'!I123</f>
        <v>2006</v>
      </c>
      <c r="I124" t="str">
        <f>'All Girls &amp; Descendants - Edit'!J123</f>
        <v/>
      </c>
      <c r="J124" s="101" t="str">
        <f>'All Girls &amp; Descendants - Edit'!K123</f>
        <v>98 (154): 2006</v>
      </c>
      <c r="K124" s="3" t="str">
        <f>'All Girls &amp; Descendants - Edit'!L123</f>
        <v>20/05/2006</v>
      </c>
      <c r="L124" s="3">
        <f>'All Girls &amp; Descendants - Edit'!M123</f>
        <v>38857</v>
      </c>
      <c r="M124" s="3">
        <f>'All Girls &amp; Descendants - Edit'!N123</f>
        <v>0</v>
      </c>
      <c r="N124" s="3">
        <f>'All Girls &amp; Descendants - Edit'!O123</f>
        <v>0</v>
      </c>
      <c r="O124" s="3" t="str">
        <f>'All Girls &amp; Descendants - Edit'!P123</f>
        <v/>
      </c>
      <c r="P124" t="str">
        <f t="shared" si="47"/>
        <v>154a</v>
      </c>
      <c r="Q124" s="116">
        <f t="shared" si="48"/>
        <v>1</v>
      </c>
      <c r="R124" s="31" t="str">
        <f t="shared" si="49"/>
        <v>Frederick Otto  NEWING</v>
      </c>
      <c r="S124" t="str">
        <f t="shared" si="50"/>
        <v>Freddie NEWING (2006 - : #154a)</v>
      </c>
      <c r="U124" s="126">
        <f t="shared" si="53"/>
        <v>154001</v>
      </c>
      <c r="V124" t="str">
        <f t="shared" si="51"/>
        <v>154a</v>
      </c>
      <c r="W124" s="126">
        <f t="shared" si="46"/>
        <v>154</v>
      </c>
      <c r="X124" s="126" t="str">
        <f t="shared" si="52"/>
        <v>a</v>
      </c>
    </row>
    <row r="125" spans="1:28">
      <c r="A125">
        <f>'All Girls &amp; Descendants - Edit'!B124</f>
        <v>154</v>
      </c>
      <c r="B125" t="str">
        <f>'All Girls &amp; Descendants - Edit'!C124</f>
        <v>154b</v>
      </c>
      <c r="C125" t="str">
        <f>'All Girls &amp; Descendants - Edit'!D124</f>
        <v>NEWING</v>
      </c>
      <c r="D125" t="str">
        <f>'All Girls &amp; Descendants - Edit'!E124</f>
        <v>Henry</v>
      </c>
      <c r="E125" t="str">
        <f>IF('All Girls &amp; Descendants - Edit'!F124="","",'All Girls &amp; Descendants - Edit'!F124)</f>
        <v>Augustus</v>
      </c>
      <c r="F125" t="str">
        <f>IF('All Girls &amp; Descendants - Edit'!G124="","",'All Girls &amp; Descendants - Edit'!G124)</f>
        <v/>
      </c>
      <c r="G125" t="str">
        <f>IF('All Girls &amp; Descendants - Edit'!H124="",D125,'All Girls &amp; Descendants - Edit'!H124)</f>
        <v>Gus</v>
      </c>
      <c r="H125">
        <f>'All Girls &amp; Descendants - Edit'!I124</f>
        <v>2008</v>
      </c>
      <c r="I125" t="str">
        <f>'All Girls &amp; Descendants - Edit'!J124</f>
        <v/>
      </c>
      <c r="J125" s="101" t="str">
        <f>'All Girls &amp; Descendants - Edit'!K124</f>
        <v>98 (154): 2008</v>
      </c>
      <c r="K125" s="3" t="str">
        <f>'All Girls &amp; Descendants - Edit'!L124</f>
        <v>28/09/2008</v>
      </c>
      <c r="L125" s="3">
        <f>'All Girls &amp; Descendants - Edit'!M124</f>
        <v>39719</v>
      </c>
      <c r="M125" s="3">
        <f>'All Girls &amp; Descendants - Edit'!N124</f>
        <v>0</v>
      </c>
      <c r="N125" s="3">
        <f>'All Girls &amp; Descendants - Edit'!O124</f>
        <v>0</v>
      </c>
      <c r="O125" s="3" t="str">
        <f>'All Girls &amp; Descendants - Edit'!P124</f>
        <v/>
      </c>
      <c r="P125" t="str">
        <f t="shared" si="47"/>
        <v>154b</v>
      </c>
      <c r="Q125" s="116">
        <f t="shared" si="48"/>
        <v>1</v>
      </c>
      <c r="R125" s="31" t="str">
        <f t="shared" si="49"/>
        <v>Henry Augustus  NEWING</v>
      </c>
      <c r="S125" t="str">
        <f t="shared" si="50"/>
        <v>Gus NEWING (2008 - : #154b)</v>
      </c>
      <c r="U125" s="126">
        <f t="shared" si="53"/>
        <v>154002</v>
      </c>
      <c r="V125" t="str">
        <f t="shared" si="51"/>
        <v>154b</v>
      </c>
      <c r="W125" s="126">
        <f t="shared" si="46"/>
        <v>154</v>
      </c>
      <c r="X125" s="126" t="str">
        <f t="shared" si="52"/>
        <v>b</v>
      </c>
    </row>
    <row r="126" spans="1:28">
      <c r="A126">
        <f>'All Girls &amp; Descendants - Edit'!B125</f>
        <v>154</v>
      </c>
      <c r="B126" t="str">
        <f>'All Girls &amp; Descendants - Edit'!C125</f>
        <v>154c</v>
      </c>
      <c r="C126" t="str">
        <f>'All Girls &amp; Descendants - Edit'!D125</f>
        <v>NEWING</v>
      </c>
      <c r="D126" t="str">
        <f>'All Girls &amp; Descendants - Edit'!E125</f>
        <v>Albert</v>
      </c>
      <c r="E126" t="str">
        <f>IF('All Girls &amp; Descendants - Edit'!F125="","",'All Girls &amp; Descendants - Edit'!F125)</f>
        <v/>
      </c>
      <c r="F126" t="str">
        <f>IF('All Girls &amp; Descendants - Edit'!G125="","",'All Girls &amp; Descendants - Edit'!G125)</f>
        <v/>
      </c>
      <c r="G126" t="str">
        <f>IF('All Girls &amp; Descendants - Edit'!H125="",D126,'All Girls &amp; Descendants - Edit'!H125)</f>
        <v>Albert</v>
      </c>
      <c r="H126">
        <f>'All Girls &amp; Descendants - Edit'!I125</f>
        <v>2015</v>
      </c>
      <c r="I126">
        <f>'All Girls &amp; Descendants - Edit'!J125</f>
        <v>2015</v>
      </c>
      <c r="J126" s="101" t="str">
        <f>'All Girls &amp; Descendants - Edit'!K125</f>
        <v>98 (154): 2015</v>
      </c>
      <c r="K126" s="3" t="str">
        <f>'All Girls &amp; Descendants - Edit'!L125</f>
        <v>11/06/2015</v>
      </c>
      <c r="L126" s="3">
        <f>'All Girls &amp; Descendants - Edit'!M125</f>
        <v>42166</v>
      </c>
      <c r="M126" s="3">
        <f>'All Girls &amp; Descendants - Edit'!N125</f>
        <v>0</v>
      </c>
      <c r="N126" s="3">
        <f>'All Girls &amp; Descendants - Edit'!O125</f>
        <v>42166</v>
      </c>
      <c r="O126" s="3" t="str">
        <f>'All Girls &amp; Descendants - Edit'!P125</f>
        <v>11/06/2015</v>
      </c>
      <c r="P126" t="str">
        <f t="shared" si="47"/>
        <v>154c</v>
      </c>
      <c r="Q126" s="116">
        <f t="shared" si="48"/>
        <v>1</v>
      </c>
      <c r="R126" s="31" t="str">
        <f t="shared" si="49"/>
        <v>Albert   NEWING</v>
      </c>
      <c r="S126" t="str">
        <f t="shared" si="50"/>
        <v>Albert NEWING (2015 - 2015: #154c)</v>
      </c>
      <c r="U126" s="126">
        <f t="shared" si="53"/>
        <v>154003</v>
      </c>
      <c r="V126" t="str">
        <f t="shared" si="51"/>
        <v>154c</v>
      </c>
      <c r="W126" s="126">
        <f t="shared" si="46"/>
        <v>154</v>
      </c>
      <c r="X126" s="126" t="str">
        <f t="shared" si="52"/>
        <v>c</v>
      </c>
    </row>
    <row r="127" spans="1:28">
      <c r="A127">
        <f>'All Girls &amp; Descendants - Edit'!B126</f>
        <v>156</v>
      </c>
      <c r="B127" t="str">
        <f>'All Girls &amp; Descendants - Edit'!C126</f>
        <v>156a</v>
      </c>
      <c r="C127" t="str">
        <f>'All Girls &amp; Descendants - Edit'!D126</f>
        <v>GRINDAL</v>
      </c>
      <c r="D127" t="str">
        <f>'All Girls &amp; Descendants - Edit'!E126</f>
        <v>Michael</v>
      </c>
      <c r="E127" t="str">
        <f>IF('All Girls &amp; Descendants - Edit'!F126="","",'All Girls &amp; Descendants - Edit'!F126)</f>
        <v>Peter</v>
      </c>
      <c r="F127" t="str">
        <f>IF('All Girls &amp; Descendants - Edit'!G126="","",'All Girls &amp; Descendants - Edit'!G126)</f>
        <v/>
      </c>
      <c r="G127" t="str">
        <f>IF('All Girls &amp; Descendants - Edit'!H126="",D127,'All Girls &amp; Descendants - Edit'!H126)</f>
        <v>Peter</v>
      </c>
      <c r="H127">
        <f>'All Girls &amp; Descendants - Edit'!I126</f>
        <v>2014</v>
      </c>
      <c r="I127" t="str">
        <f>'All Girls &amp; Descendants - Edit'!J126</f>
        <v/>
      </c>
      <c r="J127" s="101" t="str">
        <f>'All Girls &amp; Descendants - Edit'!K126</f>
        <v>119 (156): 2014</v>
      </c>
      <c r="K127" s="3" t="str">
        <f>'All Girls &amp; Descendants - Edit'!L126</f>
        <v>13/10/2014</v>
      </c>
      <c r="L127" s="3">
        <f>'All Girls &amp; Descendants - Edit'!M126</f>
        <v>41925</v>
      </c>
      <c r="M127" s="3">
        <f>'All Girls &amp; Descendants - Edit'!N126</f>
        <v>0</v>
      </c>
      <c r="N127" s="3">
        <f>'All Girls &amp; Descendants - Edit'!O126</f>
        <v>0</v>
      </c>
      <c r="O127" s="3" t="str">
        <f>'All Girls &amp; Descendants - Edit'!P126</f>
        <v/>
      </c>
      <c r="P127" t="str">
        <f t="shared" si="47"/>
        <v>156a</v>
      </c>
      <c r="Q127" s="116">
        <f t="shared" si="48"/>
        <v>1</v>
      </c>
      <c r="R127" s="31" t="str">
        <f t="shared" si="49"/>
        <v>Michael Peter  GRINDAL</v>
      </c>
      <c r="S127" t="str">
        <f t="shared" si="50"/>
        <v>Peter GRINDAL (2014 - : #156a)</v>
      </c>
      <c r="U127" s="126">
        <f t="shared" si="53"/>
        <v>156001</v>
      </c>
      <c r="V127" t="str">
        <f t="shared" si="51"/>
        <v>156a</v>
      </c>
      <c r="W127" s="126">
        <f t="shared" si="46"/>
        <v>156</v>
      </c>
      <c r="X127" s="126" t="str">
        <f t="shared" si="52"/>
        <v>a</v>
      </c>
    </row>
    <row r="128" spans="1:28">
      <c r="A128">
        <f>'All Girls &amp; Descendants - Edit'!B127</f>
        <v>156</v>
      </c>
      <c r="B128" t="str">
        <f>'All Girls &amp; Descendants - Edit'!C127</f>
        <v>156b</v>
      </c>
      <c r="C128" t="str">
        <f>'All Girls &amp; Descendants - Edit'!D127</f>
        <v>GRINDAL</v>
      </c>
      <c r="D128" t="str">
        <f>'All Girls &amp; Descendants - Edit'!E127</f>
        <v>Dorothy</v>
      </c>
      <c r="E128" t="str">
        <f>IF('All Girls &amp; Descendants - Edit'!F127="","",'All Girls &amp; Descendants - Edit'!F127)</f>
        <v>Mary</v>
      </c>
      <c r="F128" t="str">
        <f>IF('All Girls &amp; Descendants - Edit'!G127="","",'All Girls &amp; Descendants - Edit'!G127)</f>
        <v>Jennifer</v>
      </c>
      <c r="G128" t="str">
        <f>IF('All Girls &amp; Descendants - Edit'!H127="",D128,'All Girls &amp; Descendants - Edit'!H127)</f>
        <v>Dorothy</v>
      </c>
      <c r="H128">
        <f>'All Girls &amp; Descendants - Edit'!I127</f>
        <v>2016</v>
      </c>
      <c r="I128" t="str">
        <f>'All Girls &amp; Descendants - Edit'!J127</f>
        <v/>
      </c>
      <c r="J128" s="101" t="str">
        <f>'All Girls &amp; Descendants - Edit'!K127</f>
        <v>119 (156): 2016</v>
      </c>
      <c r="K128" s="3" t="str">
        <f>'All Girls &amp; Descendants - Edit'!L127</f>
        <v>07/04/2016</v>
      </c>
      <c r="L128" s="3">
        <f>'All Girls &amp; Descendants - Edit'!M127</f>
        <v>42467</v>
      </c>
      <c r="M128" s="3">
        <f>'All Girls &amp; Descendants - Edit'!N127</f>
        <v>0</v>
      </c>
      <c r="N128" s="3">
        <f>'All Girls &amp; Descendants - Edit'!O127</f>
        <v>0</v>
      </c>
      <c r="O128" s="3" t="str">
        <f>'All Girls &amp; Descendants - Edit'!P127</f>
        <v/>
      </c>
      <c r="P128" t="str">
        <f t="shared" si="47"/>
        <v>156b</v>
      </c>
      <c r="Q128" s="116">
        <f t="shared" si="48"/>
        <v>1</v>
      </c>
      <c r="R128" s="31" t="str">
        <f t="shared" si="49"/>
        <v>Dorothy Mary Jennifer GRINDAL</v>
      </c>
      <c r="S128" t="str">
        <f t="shared" si="50"/>
        <v>Dorothy GRINDAL (2016 - : #156b)</v>
      </c>
      <c r="U128" s="126">
        <f t="shared" si="53"/>
        <v>156002</v>
      </c>
      <c r="V128" t="str">
        <f t="shared" si="51"/>
        <v>156b</v>
      </c>
      <c r="W128" s="126">
        <f t="shared" si="46"/>
        <v>156</v>
      </c>
      <c r="X128" s="126" t="str">
        <f t="shared" si="52"/>
        <v>b</v>
      </c>
    </row>
    <row r="129" spans="1:24">
      <c r="A129">
        <f>'All Girls &amp; Descendants - Edit'!B128</f>
        <v>157</v>
      </c>
      <c r="B129" t="str">
        <f>'All Girls &amp; Descendants - Edit'!C128</f>
        <v>157a</v>
      </c>
      <c r="C129" t="str">
        <f>'All Girls &amp; Descendants - Edit'!D128</f>
        <v>SIMMONDS</v>
      </c>
      <c r="D129" t="str">
        <f>'All Girls &amp; Descendants - Edit'!E128</f>
        <v>Henry</v>
      </c>
      <c r="E129" t="str">
        <f>IF('All Girls &amp; Descendants - Edit'!F128="","",'All Girls &amp; Descendants - Edit'!F128)</f>
        <v>John</v>
      </c>
      <c r="F129" t="str">
        <f>IF('All Girls &amp; Descendants - Edit'!G128="","",'All Girls &amp; Descendants - Edit'!G128)</f>
        <v>Loyd</v>
      </c>
      <c r="G129" t="str">
        <f>IF('All Girls &amp; Descendants - Edit'!H128="",D129,'All Girls &amp; Descendants - Edit'!H128)</f>
        <v>Henry</v>
      </c>
      <c r="H129">
        <f>'All Girls &amp; Descendants - Edit'!I128</f>
        <v>2012</v>
      </c>
      <c r="I129" t="str">
        <f>'All Girls &amp; Descendants - Edit'!J128</f>
        <v/>
      </c>
      <c r="J129" s="101" t="str">
        <f>'All Girls &amp; Descendants - Edit'!K128</f>
        <v>114 (157): 2012</v>
      </c>
      <c r="K129" s="3" t="str">
        <f>'All Girls &amp; Descendants - Edit'!L128</f>
        <v>15/06/2012</v>
      </c>
      <c r="L129" s="3">
        <f>'All Girls &amp; Descendants - Edit'!M128</f>
        <v>41075</v>
      </c>
      <c r="M129" s="3">
        <f>'All Girls &amp; Descendants - Edit'!N128</f>
        <v>0</v>
      </c>
      <c r="N129" s="3">
        <f>'All Girls &amp; Descendants - Edit'!O128</f>
        <v>0</v>
      </c>
      <c r="O129" s="3" t="str">
        <f>'All Girls &amp; Descendants - Edit'!P128</f>
        <v/>
      </c>
      <c r="P129" t="str">
        <f t="shared" si="47"/>
        <v>157a</v>
      </c>
      <c r="Q129" s="116">
        <f t="shared" si="48"/>
        <v>1</v>
      </c>
      <c r="R129" s="31" t="str">
        <f t="shared" si="49"/>
        <v>Henry John Loyd SIMMONDS</v>
      </c>
      <c r="S129" t="str">
        <f t="shared" si="50"/>
        <v>Henry SIMMONDS (2012 - : #157a)</v>
      </c>
      <c r="U129" s="126">
        <f t="shared" si="53"/>
        <v>157001</v>
      </c>
      <c r="V129" t="str">
        <f t="shared" si="51"/>
        <v>157a</v>
      </c>
      <c r="W129" s="126">
        <f t="shared" si="46"/>
        <v>157</v>
      </c>
      <c r="X129" s="126" t="str">
        <f t="shared" si="52"/>
        <v>a</v>
      </c>
    </row>
    <row r="130" spans="1:24">
      <c r="A130">
        <f>'All Girls &amp; Descendants - Edit'!B129</f>
        <v>157</v>
      </c>
      <c r="B130" t="str">
        <f>'All Girls &amp; Descendants - Edit'!C129</f>
        <v>157b</v>
      </c>
      <c r="C130" t="str">
        <f>'All Girls &amp; Descendants - Edit'!D129</f>
        <v>SIMMONDS</v>
      </c>
      <c r="D130" t="str">
        <f>'All Girls &amp; Descendants - Edit'!E129</f>
        <v>Emily</v>
      </c>
      <c r="E130" t="str">
        <f>IF('All Girls &amp; Descendants - Edit'!F129="","",'All Girls &amp; Descendants - Edit'!F129)</f>
        <v>Mary</v>
      </c>
      <c r="F130" t="str">
        <f>IF('All Girls &amp; Descendants - Edit'!G129="","",'All Girls &amp; Descendants - Edit'!G129)</f>
        <v>Loyd</v>
      </c>
      <c r="G130" t="str">
        <f>IF('All Girls &amp; Descendants - Edit'!H129="",D130,'All Girls &amp; Descendants - Edit'!H129)</f>
        <v>Emily</v>
      </c>
      <c r="H130">
        <f>'All Girls &amp; Descendants - Edit'!I129</f>
        <v>2014</v>
      </c>
      <c r="I130" t="str">
        <f>'All Girls &amp; Descendants - Edit'!J129</f>
        <v/>
      </c>
      <c r="J130" s="101" t="str">
        <f>'All Girls &amp; Descendants - Edit'!K129</f>
        <v>114 (157): 2014</v>
      </c>
      <c r="K130" s="3" t="str">
        <f>'All Girls &amp; Descendants - Edit'!L129</f>
        <v>27/12/2014</v>
      </c>
      <c r="L130" s="3">
        <f>'All Girls &amp; Descendants - Edit'!M129</f>
        <v>42000</v>
      </c>
      <c r="M130" s="3">
        <f>'All Girls &amp; Descendants - Edit'!N129</f>
        <v>0</v>
      </c>
      <c r="N130" s="3">
        <f>'All Girls &amp; Descendants - Edit'!O129</f>
        <v>0</v>
      </c>
      <c r="O130" s="3" t="str">
        <f>'All Girls &amp; Descendants - Edit'!P129</f>
        <v/>
      </c>
      <c r="P130" t="str">
        <f t="shared" si="47"/>
        <v>157b</v>
      </c>
      <c r="Q130" s="116">
        <f t="shared" si="48"/>
        <v>1</v>
      </c>
      <c r="R130" s="31" t="str">
        <f t="shared" si="49"/>
        <v>Emily Mary Loyd SIMMONDS</v>
      </c>
      <c r="S130" t="str">
        <f t="shared" si="50"/>
        <v>Emily SIMMONDS (2014 - : #157b)</v>
      </c>
      <c r="U130" s="126">
        <f t="shared" si="53"/>
        <v>157002</v>
      </c>
      <c r="V130" t="str">
        <f t="shared" si="51"/>
        <v>157b</v>
      </c>
      <c r="W130" s="126">
        <f t="shared" si="46"/>
        <v>157</v>
      </c>
      <c r="X130" s="126" t="str">
        <f t="shared" si="52"/>
        <v>b</v>
      </c>
    </row>
    <row r="131" spans="1:24">
      <c r="A131">
        <f>'All Girls &amp; Descendants - Edit'!B130</f>
        <v>158</v>
      </c>
      <c r="B131" t="str">
        <f>'All Girls &amp; Descendants - Edit'!C130</f>
        <v>158a</v>
      </c>
      <c r="C131" t="str">
        <f>'All Girls &amp; Descendants - Edit'!D130</f>
        <v>KYLE</v>
      </c>
      <c r="D131" t="str">
        <f>'All Girls &amp; Descendants - Edit'!E130</f>
        <v>Theodore</v>
      </c>
      <c r="E131" t="str">
        <f>IF('All Girls &amp; Descendants - Edit'!F130="","",'All Girls &amp; Descendants - Edit'!F130)</f>
        <v>Richard</v>
      </c>
      <c r="F131" t="str">
        <f>IF('All Girls &amp; Descendants - Edit'!G130="","",'All Girls &amp; Descendants - Edit'!G130)</f>
        <v/>
      </c>
      <c r="G131" t="str">
        <f>IF('All Girls &amp; Descendants - Edit'!H130="",D131,'All Girls &amp; Descendants - Edit'!H130)</f>
        <v>Theodore</v>
      </c>
      <c r="H131">
        <f>'All Girls &amp; Descendants - Edit'!I130</f>
        <v>2010</v>
      </c>
      <c r="I131" t="str">
        <f>'All Girls &amp; Descendants - Edit'!J130</f>
        <v/>
      </c>
      <c r="J131" s="101" t="str">
        <f>'All Girls &amp; Descendants - Edit'!K130</f>
        <v>114 (158): 2010</v>
      </c>
      <c r="K131" s="3" t="str">
        <f>'All Girls &amp; Descendants - Edit'!L130</f>
        <v>05/03/2010</v>
      </c>
      <c r="L131" s="3">
        <f>'All Girls &amp; Descendants - Edit'!M130</f>
        <v>40242</v>
      </c>
      <c r="M131" s="3">
        <f>'All Girls &amp; Descendants - Edit'!N130</f>
        <v>0</v>
      </c>
      <c r="N131" s="3">
        <f>'All Girls &amp; Descendants - Edit'!O130</f>
        <v>0</v>
      </c>
      <c r="O131" s="3" t="str">
        <f>'All Girls &amp; Descendants - Edit'!P130</f>
        <v/>
      </c>
      <c r="P131" t="str">
        <f t="shared" si="47"/>
        <v>158a</v>
      </c>
      <c r="Q131" s="116">
        <f t="shared" si="48"/>
        <v>1</v>
      </c>
      <c r="R131" s="31" t="str">
        <f t="shared" si="49"/>
        <v>Theodore Richard  KYLE</v>
      </c>
      <c r="S131" t="str">
        <f t="shared" si="50"/>
        <v>Theodore KYLE (2010 - : #158a)</v>
      </c>
      <c r="U131" s="126">
        <f t="shared" si="53"/>
        <v>158001</v>
      </c>
      <c r="V131" t="str">
        <f t="shared" si="51"/>
        <v>158a</v>
      </c>
      <c r="W131" s="126">
        <f t="shared" si="46"/>
        <v>158</v>
      </c>
      <c r="X131" s="126" t="str">
        <f t="shared" si="52"/>
        <v>a</v>
      </c>
    </row>
    <row r="132" spans="1:24">
      <c r="A132">
        <f>'All Girls &amp; Descendants - Edit'!B131</f>
        <v>159</v>
      </c>
      <c r="B132" t="str">
        <f>'All Girls &amp; Descendants - Edit'!C131</f>
        <v>159a</v>
      </c>
      <c r="C132" t="str">
        <f>'All Girls &amp; Descendants - Edit'!D131</f>
        <v>GARDENER</v>
      </c>
      <c r="D132" t="str">
        <f>'All Girls &amp; Descendants - Edit'!E131</f>
        <v>Thomas</v>
      </c>
      <c r="E132" t="str">
        <f>IF('All Girls &amp; Descendants - Edit'!F131="","",'All Girls &amp; Descendants - Edit'!F131)</f>
        <v>Philip</v>
      </c>
      <c r="F132" t="str">
        <f>IF('All Girls &amp; Descendants - Edit'!G131="","",'All Girls &amp; Descendants - Edit'!G131)</f>
        <v>Loyd</v>
      </c>
      <c r="G132" t="str">
        <f>IF('All Girls &amp; Descendants - Edit'!H131="",D132,'All Girls &amp; Descendants - Edit'!H131)</f>
        <v>Thomas</v>
      </c>
      <c r="H132">
        <f>'All Girls &amp; Descendants - Edit'!I131</f>
        <v>2010</v>
      </c>
      <c r="I132" t="str">
        <f>'All Girls &amp; Descendants - Edit'!J131</f>
        <v/>
      </c>
      <c r="J132" s="101" t="str">
        <f>'All Girls &amp; Descendants - Edit'!K131</f>
        <v>114 (159): 2010</v>
      </c>
      <c r="K132" s="3" t="str">
        <f>'All Girls &amp; Descendants - Edit'!L131</f>
        <v>15/05/2010</v>
      </c>
      <c r="L132" s="3">
        <f>'All Girls &amp; Descendants - Edit'!M131</f>
        <v>40313</v>
      </c>
      <c r="M132" s="3">
        <f>'All Girls &amp; Descendants - Edit'!N131</f>
        <v>0</v>
      </c>
      <c r="N132" s="3">
        <f>'All Girls &amp; Descendants - Edit'!O131</f>
        <v>0</v>
      </c>
      <c r="O132" s="3" t="str">
        <f>'All Girls &amp; Descendants - Edit'!P131</f>
        <v/>
      </c>
      <c r="P132" t="str">
        <f t="shared" si="47"/>
        <v>159a</v>
      </c>
      <c r="Q132" s="116">
        <f t="shared" si="48"/>
        <v>1</v>
      </c>
      <c r="R132" s="31" t="str">
        <f t="shared" si="49"/>
        <v>Thomas Philip Loyd GARDENER</v>
      </c>
      <c r="S132" t="str">
        <f t="shared" si="50"/>
        <v>Thomas GARDENER (2010 - : #159a)</v>
      </c>
      <c r="U132" s="126">
        <f t="shared" si="53"/>
        <v>159001</v>
      </c>
      <c r="V132" t="str">
        <f t="shared" si="51"/>
        <v>159a</v>
      </c>
      <c r="W132" s="126">
        <f t="shared" ref="W132:W141" si="54">VALUE(LEFT(V132,3))</f>
        <v>159</v>
      </c>
      <c r="X132" s="126" t="str">
        <f t="shared" si="52"/>
        <v>a</v>
      </c>
    </row>
    <row r="133" spans="1:24">
      <c r="A133">
        <f>'All Girls &amp; Descendants - Edit'!B132</f>
        <v>159</v>
      </c>
      <c r="B133" t="str">
        <f>'All Girls &amp; Descendants - Edit'!C132</f>
        <v>159b</v>
      </c>
      <c r="C133" t="str">
        <f>'All Girls &amp; Descendants - Edit'!D132</f>
        <v>GARDENER</v>
      </c>
      <c r="D133" t="str">
        <f>'All Girls &amp; Descendants - Edit'!E132</f>
        <v>Alice</v>
      </c>
      <c r="E133" t="str">
        <f>IF('All Girls &amp; Descendants - Edit'!F132="","",'All Girls &amp; Descendants - Edit'!F132)</f>
        <v>Daphne</v>
      </c>
      <c r="F133" t="str">
        <f>IF('All Girls &amp; Descendants - Edit'!G132="","",'All Girls &amp; Descendants - Edit'!G132)</f>
        <v>Straker</v>
      </c>
      <c r="G133" t="str">
        <f>IF('All Girls &amp; Descendants - Edit'!H132="",D133,'All Girls &amp; Descendants - Edit'!H132)</f>
        <v>Alice</v>
      </c>
      <c r="H133">
        <f>'All Girls &amp; Descendants - Edit'!I132</f>
        <v>2013</v>
      </c>
      <c r="I133" t="str">
        <f>'All Girls &amp; Descendants - Edit'!J132</f>
        <v/>
      </c>
      <c r="J133" s="101" t="str">
        <f>'All Girls &amp; Descendants - Edit'!K132</f>
        <v>114 (159): 2013</v>
      </c>
      <c r="K133" s="3" t="str">
        <f>'All Girls &amp; Descendants - Edit'!L132</f>
        <v>09/03/2013</v>
      </c>
      <c r="L133" s="3">
        <f>'All Girls &amp; Descendants - Edit'!M132</f>
        <v>41342</v>
      </c>
      <c r="M133" s="3">
        <f>'All Girls &amp; Descendants - Edit'!N132</f>
        <v>0</v>
      </c>
      <c r="N133" s="3">
        <f>'All Girls &amp; Descendants - Edit'!O132</f>
        <v>0</v>
      </c>
      <c r="O133" s="3" t="str">
        <f>'All Girls &amp; Descendants - Edit'!P132</f>
        <v/>
      </c>
      <c r="P133" t="str">
        <f t="shared" ref="P133:P196" si="55">B133</f>
        <v>159b</v>
      </c>
      <c r="Q133" s="116">
        <f t="shared" ref="Q133:Q196" si="56">LEN(B133)-LEN(A133)</f>
        <v>1</v>
      </c>
      <c r="R133" s="31" t="str">
        <f t="shared" ref="R133:R196" si="57">_xlfn.CONCAT(D133," ",E133," ",F133," ",C133)</f>
        <v>Alice Daphne Straker GARDENER</v>
      </c>
      <c r="S133" t="str">
        <f t="shared" ref="S133:S196" si="58">_xlfn.CONCAT(G133," ",C133," (",H133," - ",I133,": #",B133,")")</f>
        <v>Alice GARDENER (2013 - : #159b)</v>
      </c>
      <c r="U133" s="126">
        <f t="shared" si="53"/>
        <v>159002</v>
      </c>
      <c r="V133" t="str">
        <f t="shared" ref="V133:V145" si="59">P133</f>
        <v>159b</v>
      </c>
      <c r="W133" s="126">
        <f t="shared" si="54"/>
        <v>159</v>
      </c>
      <c r="X133" s="126" t="str">
        <f t="shared" ref="X133:X141" si="60">RIGHT(V133,1)</f>
        <v>b</v>
      </c>
    </row>
    <row r="134" spans="1:24">
      <c r="A134">
        <f>'All Girls &amp; Descendants - Edit'!B133</f>
        <v>161</v>
      </c>
      <c r="B134" t="str">
        <f>'All Girls &amp; Descendants - Edit'!C133</f>
        <v>161a</v>
      </c>
      <c r="C134" t="str">
        <f>'All Girls &amp; Descendants - Edit'!D133</f>
        <v>HAYNS</v>
      </c>
      <c r="D134" t="str">
        <f>'All Girls &amp; Descendants - Edit'!E133</f>
        <v>Alexia</v>
      </c>
      <c r="E134" t="str">
        <f>IF('All Girls &amp; Descendants - Edit'!F133="","",'All Girls &amp; Descendants - Edit'!F133)</f>
        <v>Charlotte</v>
      </c>
      <c r="F134" t="str">
        <f>IF('All Girls &amp; Descendants - Edit'!G133="","",'All Girls &amp; Descendants - Edit'!G133)</f>
        <v/>
      </c>
      <c r="G134" t="str">
        <f>IF('All Girls &amp; Descendants - Edit'!H133="",D134,'All Girls &amp; Descendants - Edit'!H133)</f>
        <v>Alexia</v>
      </c>
      <c r="H134">
        <f>'All Girls &amp; Descendants - Edit'!I133</f>
        <v>2014</v>
      </c>
      <c r="I134" t="str">
        <f>'All Girls &amp; Descendants - Edit'!J133</f>
        <v/>
      </c>
      <c r="J134" s="101" t="str">
        <f>'All Girls &amp; Descendants - Edit'!K133</f>
        <v>119 (161): 2014</v>
      </c>
      <c r="K134" s="3" t="str">
        <f>'All Girls &amp; Descendants - Edit'!L133</f>
        <v>24/03/2014</v>
      </c>
      <c r="L134" s="3">
        <f>'All Girls &amp; Descendants - Edit'!M133</f>
        <v>41722</v>
      </c>
      <c r="M134" s="3">
        <f>'All Girls &amp; Descendants - Edit'!N133</f>
        <v>0</v>
      </c>
      <c r="N134" s="3">
        <f>'All Girls &amp; Descendants - Edit'!O133</f>
        <v>0</v>
      </c>
      <c r="O134" s="3" t="str">
        <f>'All Girls &amp; Descendants - Edit'!P133</f>
        <v/>
      </c>
      <c r="P134" t="str">
        <f t="shared" si="55"/>
        <v>161a</v>
      </c>
      <c r="Q134" s="116">
        <f t="shared" si="56"/>
        <v>1</v>
      </c>
      <c r="R134" s="31" t="str">
        <f t="shared" si="57"/>
        <v>Alexia Charlotte  HAYNS</v>
      </c>
      <c r="S134" t="str">
        <f t="shared" si="58"/>
        <v>Alexia HAYNS (2014 - : #161a)</v>
      </c>
      <c r="U134" s="126">
        <f t="shared" si="53"/>
        <v>161001</v>
      </c>
      <c r="V134" t="str">
        <f t="shared" si="59"/>
        <v>161a</v>
      </c>
      <c r="W134" s="126">
        <f t="shared" si="54"/>
        <v>161</v>
      </c>
      <c r="X134" s="126" t="str">
        <f t="shared" si="60"/>
        <v>a</v>
      </c>
    </row>
    <row r="135" spans="1:24">
      <c r="A135">
        <f>'All Girls &amp; Descendants - Edit'!B134</f>
        <v>161</v>
      </c>
      <c r="B135" t="str">
        <f>'All Girls &amp; Descendants - Edit'!C134</f>
        <v>161b</v>
      </c>
      <c r="C135" t="str">
        <f>'All Girls &amp; Descendants - Edit'!D134</f>
        <v>HAYNS</v>
      </c>
      <c r="D135" t="str">
        <f>'All Girls &amp; Descendants - Edit'!E134</f>
        <v>Edward</v>
      </c>
      <c r="E135" t="str">
        <f>IF('All Girls &amp; Descendants - Edit'!F134="","",'All Girls &amp; Descendants - Edit'!F134)</f>
        <v>Loyd</v>
      </c>
      <c r="F135" t="str">
        <f>IF('All Girls &amp; Descendants - Edit'!G134="","",'All Girls &amp; Descendants - Edit'!G134)</f>
        <v>Bickford</v>
      </c>
      <c r="G135" t="str">
        <f>IF('All Girls &amp; Descendants - Edit'!H134="",D135,'All Girls &amp; Descendants - Edit'!H134)</f>
        <v>Edward</v>
      </c>
      <c r="H135">
        <f>'All Girls &amp; Descendants - Edit'!I134</f>
        <v>2016</v>
      </c>
      <c r="I135" t="str">
        <f>'All Girls &amp; Descendants - Edit'!J134</f>
        <v/>
      </c>
      <c r="J135" s="101" t="str">
        <f>'All Girls &amp; Descendants - Edit'!K134</f>
        <v>119 (161): 2016</v>
      </c>
      <c r="K135" s="3" t="str">
        <f>'All Girls &amp; Descendants - Edit'!L134</f>
        <v>30/09/2016</v>
      </c>
      <c r="L135" s="3">
        <f>'All Girls &amp; Descendants - Edit'!M134</f>
        <v>42643</v>
      </c>
      <c r="M135" s="3">
        <f>'All Girls &amp; Descendants - Edit'!N134</f>
        <v>0</v>
      </c>
      <c r="N135" s="3">
        <f>'All Girls &amp; Descendants - Edit'!O134</f>
        <v>0</v>
      </c>
      <c r="O135" s="3" t="str">
        <f>'All Girls &amp; Descendants - Edit'!P134</f>
        <v/>
      </c>
      <c r="P135" t="str">
        <f t="shared" si="55"/>
        <v>161b</v>
      </c>
      <c r="Q135" s="116">
        <f t="shared" si="56"/>
        <v>1</v>
      </c>
      <c r="R135" s="31" t="str">
        <f t="shared" si="57"/>
        <v>Edward Loyd Bickford HAYNS</v>
      </c>
      <c r="S135" t="str">
        <f t="shared" si="58"/>
        <v>Edward HAYNS (2016 - : #161b)</v>
      </c>
      <c r="U135" s="126">
        <f t="shared" si="53"/>
        <v>161002</v>
      </c>
      <c r="V135" t="str">
        <f t="shared" si="59"/>
        <v>161b</v>
      </c>
      <c r="W135" s="126">
        <f t="shared" si="54"/>
        <v>161</v>
      </c>
      <c r="X135" s="126" t="str">
        <f t="shared" si="60"/>
        <v>b</v>
      </c>
    </row>
    <row r="136" spans="1:24">
      <c r="A136">
        <f>'All Girls &amp; Descendants - Edit'!B135</f>
        <v>163</v>
      </c>
      <c r="B136" t="str">
        <f>'All Girls &amp; Descendants - Edit'!C135</f>
        <v>163a</v>
      </c>
      <c r="C136" t="str">
        <f>'All Girls &amp; Descendants - Edit'!D135</f>
        <v>DINSMORE</v>
      </c>
      <c r="D136" t="str">
        <f>'All Girls &amp; Descendants - Edit'!E135</f>
        <v xml:space="preserve">
Thomas</v>
      </c>
      <c r="E136" t="str">
        <f>IF('All Girls &amp; Descendants - Edit'!F135="","",'All Girls &amp; Descendants - Edit'!F135)</f>
        <v>Stephen</v>
      </c>
      <c r="F136" t="str">
        <f>IF('All Girls &amp; Descendants - Edit'!G135="","",'All Girls &amp; Descendants - Edit'!G135)</f>
        <v/>
      </c>
      <c r="G136" t="str">
        <f>IF('All Girls &amp; Descendants - Edit'!H135="",D136,'All Girls &amp; Descendants - Edit'!H135)</f>
        <v xml:space="preserve">
Thomas</v>
      </c>
      <c r="H136">
        <f>'All Girls &amp; Descendants - Edit'!I135</f>
        <v>2012</v>
      </c>
      <c r="I136" t="str">
        <f>'All Girls &amp; Descendants - Edit'!J135</f>
        <v/>
      </c>
      <c r="J136" s="101" t="str">
        <f>'All Girls &amp; Descendants - Edit'!K135</f>
        <v>119 (163): 2012</v>
      </c>
      <c r="K136" s="3" t="str">
        <f>'All Girls &amp; Descendants - Edit'!L135</f>
        <v>17/09/2012</v>
      </c>
      <c r="L136" s="3">
        <f>'All Girls &amp; Descendants - Edit'!M135</f>
        <v>41169</v>
      </c>
      <c r="M136" s="3">
        <f>'All Girls &amp; Descendants - Edit'!N135</f>
        <v>0</v>
      </c>
      <c r="N136" s="3">
        <f>'All Girls &amp; Descendants - Edit'!O135</f>
        <v>0</v>
      </c>
      <c r="O136" s="3">
        <f>'All Girls &amp; Descendants - Edit'!P135</f>
        <v>0</v>
      </c>
      <c r="P136" t="str">
        <f t="shared" si="55"/>
        <v>163a</v>
      </c>
      <c r="Q136" s="116">
        <f t="shared" si="56"/>
        <v>1</v>
      </c>
      <c r="R136" s="31" t="str">
        <f t="shared" si="57"/>
        <v xml:space="preserve">
Thomas Stephen  DINSMORE</v>
      </c>
      <c r="S136" t="str">
        <f t="shared" si="58"/>
        <v xml:space="preserve">
Thomas DINSMORE (2012 - : #163a)</v>
      </c>
      <c r="U136" s="126">
        <f t="shared" si="53"/>
        <v>163001</v>
      </c>
      <c r="V136" t="str">
        <f t="shared" si="59"/>
        <v>163a</v>
      </c>
      <c r="W136" s="126">
        <f t="shared" si="54"/>
        <v>163</v>
      </c>
      <c r="X136" s="126" t="str">
        <f t="shared" si="60"/>
        <v>a</v>
      </c>
    </row>
    <row r="137" spans="1:24">
      <c r="A137">
        <f>'All Girls &amp; Descendants - Edit'!B136</f>
        <v>163</v>
      </c>
      <c r="B137" t="str">
        <f>'All Girls &amp; Descendants - Edit'!C136</f>
        <v>163b</v>
      </c>
      <c r="C137" t="str">
        <f>'All Girls &amp; Descendants - Edit'!D136</f>
        <v>DINSMORE</v>
      </c>
      <c r="D137" t="str">
        <f>'All Girls &amp; Descendants - Edit'!E136</f>
        <v>Mary</v>
      </c>
      <c r="E137" t="str">
        <f>IF('All Girls &amp; Descendants - Edit'!F136="","",'All Girls &amp; Descendants - Edit'!F136)</f>
        <v xml:space="preserve">Charlotte </v>
      </c>
      <c r="F137" t="str">
        <f>IF('All Girls &amp; Descendants - Edit'!G136="","",'All Girls &amp; Descendants - Edit'!G136)</f>
        <v/>
      </c>
      <c r="G137" t="str">
        <f>IF('All Girls &amp; Descendants - Edit'!H136="",D137,'All Girls &amp; Descendants - Edit'!H136)</f>
        <v>Mary</v>
      </c>
      <c r="H137">
        <f>'All Girls &amp; Descendants - Edit'!I136</f>
        <v>2014</v>
      </c>
      <c r="I137" t="str">
        <f>'All Girls &amp; Descendants - Edit'!J136</f>
        <v/>
      </c>
      <c r="J137" s="101" t="str">
        <f>'All Girls &amp; Descendants - Edit'!K136</f>
        <v>119 (163): 2014</v>
      </c>
      <c r="K137" s="3" t="str">
        <f>'All Girls &amp; Descendants - Edit'!L136</f>
        <v>20/10/2014</v>
      </c>
      <c r="L137" s="3">
        <f>'All Girls &amp; Descendants - Edit'!M136</f>
        <v>41932</v>
      </c>
      <c r="M137" s="3">
        <f>'All Girls &amp; Descendants - Edit'!N136</f>
        <v>0</v>
      </c>
      <c r="N137" s="3">
        <f>'All Girls &amp; Descendants - Edit'!O136</f>
        <v>0</v>
      </c>
      <c r="O137" s="3">
        <f>'All Girls &amp; Descendants - Edit'!P136</f>
        <v>0</v>
      </c>
      <c r="P137" t="str">
        <f t="shared" si="55"/>
        <v>163b</v>
      </c>
      <c r="Q137" s="116">
        <f t="shared" si="56"/>
        <v>1</v>
      </c>
      <c r="R137" s="31" t="str">
        <f t="shared" si="57"/>
        <v>Mary Charlotte   DINSMORE</v>
      </c>
      <c r="S137" t="str">
        <f t="shared" si="58"/>
        <v>Mary DINSMORE (2014 - : #163b)</v>
      </c>
      <c r="U137" s="126">
        <f t="shared" si="53"/>
        <v>163002</v>
      </c>
      <c r="V137" t="str">
        <f t="shared" si="59"/>
        <v>163b</v>
      </c>
      <c r="W137" s="126">
        <f t="shared" si="54"/>
        <v>163</v>
      </c>
      <c r="X137" s="126" t="str">
        <f t="shared" si="60"/>
        <v>b</v>
      </c>
    </row>
    <row r="138" spans="1:24">
      <c r="A138">
        <f>'All Girls &amp; Descendants - Edit'!B137</f>
        <v>164</v>
      </c>
      <c r="B138" t="str">
        <f>'All Girls &amp; Descendants - Edit'!C137</f>
        <v>164a</v>
      </c>
      <c r="C138" t="str">
        <f>'All Girls &amp; Descendants - Edit'!D137</f>
        <v>LEASK</v>
      </c>
      <c r="D138" t="str">
        <f>'All Girls &amp; Descendants - Edit'!E137</f>
        <v>Fredrick</v>
      </c>
      <c r="E138" t="str">
        <f>IF('All Girls &amp; Descendants - Edit'!F137="","",'All Girls &amp; Descendants - Edit'!F137)</f>
        <v>Peter</v>
      </c>
      <c r="F138" t="str">
        <f>IF('All Girls &amp; Descendants - Edit'!G137="","",'All Girls &amp; Descendants - Edit'!G137)</f>
        <v>Loyd</v>
      </c>
      <c r="G138" t="str">
        <f>IF('All Girls &amp; Descendants - Edit'!H137="",D138,'All Girls &amp; Descendants - Edit'!H137)</f>
        <v>Freddie</v>
      </c>
      <c r="H138">
        <f>'All Girls &amp; Descendants - Edit'!I137</f>
        <v>2016</v>
      </c>
      <c r="I138" t="str">
        <f>'All Girls &amp; Descendants - Edit'!J137</f>
        <v/>
      </c>
      <c r="J138" s="101" t="str">
        <f>'All Girls &amp; Descendants - Edit'!K137</f>
        <v>136 (164): 2016</v>
      </c>
      <c r="K138" s="3" t="str">
        <f>'All Girls &amp; Descendants - Edit'!L137</f>
        <v>16/05/2016</v>
      </c>
      <c r="L138" s="3">
        <f>'All Girls &amp; Descendants - Edit'!M137</f>
        <v>42506</v>
      </c>
      <c r="M138" s="3">
        <f>'All Girls &amp; Descendants - Edit'!N137</f>
        <v>0</v>
      </c>
      <c r="N138" s="3">
        <f>'All Girls &amp; Descendants - Edit'!O137</f>
        <v>0</v>
      </c>
      <c r="O138" s="3" t="str">
        <f>'All Girls &amp; Descendants - Edit'!P137</f>
        <v/>
      </c>
      <c r="P138" t="str">
        <f t="shared" si="55"/>
        <v>164a</v>
      </c>
      <c r="Q138" s="116">
        <f t="shared" si="56"/>
        <v>1</v>
      </c>
      <c r="R138" s="31" t="str">
        <f t="shared" si="57"/>
        <v>Fredrick Peter Loyd LEASK</v>
      </c>
      <c r="S138" t="str">
        <f t="shared" si="58"/>
        <v>Freddie LEASK (2016 - : #164a)</v>
      </c>
      <c r="U138" s="126">
        <f t="shared" si="53"/>
        <v>164001</v>
      </c>
      <c r="V138" t="str">
        <f t="shared" si="59"/>
        <v>164a</v>
      </c>
      <c r="W138" s="126">
        <f t="shared" si="54"/>
        <v>164</v>
      </c>
      <c r="X138" s="126" t="str">
        <f t="shared" si="60"/>
        <v>a</v>
      </c>
    </row>
    <row r="139" spans="1:24">
      <c r="A139">
        <f>'All Girls &amp; Descendants - Edit'!B138</f>
        <v>164</v>
      </c>
      <c r="B139" t="str">
        <f>'All Girls &amp; Descendants - Edit'!C138</f>
        <v>164b</v>
      </c>
      <c r="C139" t="str">
        <f>'All Girls &amp; Descendants - Edit'!D138</f>
        <v>LEASK</v>
      </c>
      <c r="D139" t="str">
        <f>'All Girls &amp; Descendants - Edit'!E138</f>
        <v>Hamish</v>
      </c>
      <c r="E139" t="str">
        <f>IF('All Girls &amp; Descendants - Edit'!F138="","",'All Girls &amp; Descendants - Edit'!F138)</f>
        <v>Alexander</v>
      </c>
      <c r="F139" t="str">
        <f>IF('All Girls &amp; Descendants - Edit'!G138="","",'All Girls &amp; Descendants - Edit'!G138)</f>
        <v>Cormack</v>
      </c>
      <c r="G139" t="str">
        <f>IF('All Girls &amp; Descendants - Edit'!H138="",D139,'All Girls &amp; Descendants - Edit'!H138)</f>
        <v>Hamish</v>
      </c>
      <c r="H139">
        <f>'All Girls &amp; Descendants - Edit'!I138</f>
        <v>2018</v>
      </c>
      <c r="I139" t="str">
        <f>'All Girls &amp; Descendants - Edit'!J138</f>
        <v/>
      </c>
      <c r="J139" s="101" t="str">
        <f>'All Girls &amp; Descendants - Edit'!K138</f>
        <v>136 (164): 2018</v>
      </c>
      <c r="K139" s="3" t="str">
        <f>'All Girls &amp; Descendants - Edit'!L138</f>
        <v>13/03/2018</v>
      </c>
      <c r="L139" s="3">
        <f>'All Girls &amp; Descendants - Edit'!M138</f>
        <v>43172</v>
      </c>
      <c r="M139" s="3">
        <f>'All Girls &amp; Descendants - Edit'!N138</f>
        <v>0</v>
      </c>
      <c r="N139" s="3">
        <f>'All Girls &amp; Descendants - Edit'!O138</f>
        <v>0</v>
      </c>
      <c r="O139" s="3" t="str">
        <f>'All Girls &amp; Descendants - Edit'!P138</f>
        <v/>
      </c>
      <c r="P139" t="str">
        <f t="shared" si="55"/>
        <v>164b</v>
      </c>
      <c r="Q139" s="116">
        <f t="shared" si="56"/>
        <v>1</v>
      </c>
      <c r="R139" s="31" t="str">
        <f t="shared" si="57"/>
        <v>Hamish Alexander Cormack LEASK</v>
      </c>
      <c r="S139" t="str">
        <f t="shared" si="58"/>
        <v>Hamish LEASK (2018 - : #164b)</v>
      </c>
      <c r="U139" s="126">
        <f t="shared" si="53"/>
        <v>164002</v>
      </c>
      <c r="V139" t="str">
        <f t="shared" si="59"/>
        <v>164b</v>
      </c>
      <c r="W139" s="126">
        <f t="shared" si="54"/>
        <v>164</v>
      </c>
      <c r="X139" s="126" t="str">
        <f t="shared" si="60"/>
        <v>b</v>
      </c>
    </row>
    <row r="140" spans="1:24">
      <c r="A140">
        <f>'All Girls &amp; Descendants - Edit'!B139</f>
        <v>164</v>
      </c>
      <c r="B140" t="str">
        <f>'All Girls &amp; Descendants - Edit'!C139</f>
        <v>164c</v>
      </c>
      <c r="C140" t="str">
        <f>'All Girls &amp; Descendants - Edit'!D139</f>
        <v>LEASK</v>
      </c>
      <c r="D140" t="str">
        <f>'All Girls &amp; Descendants - Edit'!E139</f>
        <v>Otto</v>
      </c>
      <c r="E140" t="str">
        <f>IF('All Girls &amp; Descendants - Edit'!F139="","",'All Girls &amp; Descendants - Edit'!F139)</f>
        <v>Angus</v>
      </c>
      <c r="F140" t="str">
        <f>IF('All Girls &amp; Descendants - Edit'!G139="","",'All Girls &amp; Descendants - Edit'!G139)</f>
        <v>Davis</v>
      </c>
      <c r="G140" t="str">
        <f>IF('All Girls &amp; Descendants - Edit'!H139="",D140,'All Girls &amp; Descendants - Edit'!H139)</f>
        <v>Otto</v>
      </c>
      <c r="H140">
        <f>'All Girls &amp; Descendants - Edit'!I139</f>
        <v>2020</v>
      </c>
      <c r="I140" t="str">
        <f>'All Girls &amp; Descendants - Edit'!J139</f>
        <v/>
      </c>
      <c r="J140" s="101" t="str">
        <f>'All Girls &amp; Descendants - Edit'!K139</f>
        <v>136 (164): 2020</v>
      </c>
      <c r="K140" s="3" t="str">
        <f>'All Girls &amp; Descendants - Edit'!L139</f>
        <v>25/09/2020</v>
      </c>
      <c r="L140" s="3">
        <f>'All Girls &amp; Descendants - Edit'!M139</f>
        <v>44099</v>
      </c>
      <c r="M140" s="3">
        <f>'All Girls &amp; Descendants - Edit'!N139</f>
        <v>0</v>
      </c>
      <c r="N140" s="3">
        <f>'All Girls &amp; Descendants - Edit'!O139</f>
        <v>0</v>
      </c>
      <c r="O140" s="3" t="str">
        <f>'All Girls &amp; Descendants - Edit'!P139</f>
        <v/>
      </c>
      <c r="P140" t="str">
        <f t="shared" si="55"/>
        <v>164c</v>
      </c>
      <c r="Q140" s="116">
        <f t="shared" si="56"/>
        <v>1</v>
      </c>
      <c r="R140" s="31" t="str">
        <f t="shared" si="57"/>
        <v>Otto Angus Davis LEASK</v>
      </c>
      <c r="S140" t="str">
        <f t="shared" si="58"/>
        <v>Otto LEASK (2020 - : #164c)</v>
      </c>
      <c r="U140" s="126">
        <f t="shared" si="53"/>
        <v>164003</v>
      </c>
      <c r="V140" t="str">
        <f t="shared" si="59"/>
        <v>164c</v>
      </c>
      <c r="W140" s="126">
        <f t="shared" si="54"/>
        <v>164</v>
      </c>
      <c r="X140" s="126" t="str">
        <f t="shared" si="60"/>
        <v>c</v>
      </c>
    </row>
    <row r="141" spans="1:24">
      <c r="A141">
        <f>'All Girls &amp; Descendants - Edit'!B140</f>
        <v>165</v>
      </c>
      <c r="B141" t="str">
        <f>'All Girls &amp; Descendants - Edit'!C140</f>
        <v>165a</v>
      </c>
      <c r="C141" t="str">
        <f>'All Girls &amp; Descendants - Edit'!D140</f>
        <v>PURI</v>
      </c>
      <c r="D141" t="str">
        <f>'All Girls &amp; Descendants - Edit'!E140</f>
        <v>Leila</v>
      </c>
      <c r="E141" t="str">
        <f>IF('All Girls &amp; Descendants - Edit'!F140="","",'All Girls &amp; Descendants - Edit'!F140)</f>
        <v>Cherry</v>
      </c>
      <c r="F141" t="str">
        <f>IF('All Girls &amp; Descendants - Edit'!G140="","",'All Girls &amp; Descendants - Edit'!G140)</f>
        <v/>
      </c>
      <c r="G141" t="str">
        <f>IF('All Girls &amp; Descendants - Edit'!H140="",D141,'All Girls &amp; Descendants - Edit'!H140)</f>
        <v>Leila</v>
      </c>
      <c r="H141">
        <f>'All Girls &amp; Descendants - Edit'!I140</f>
        <v>2017</v>
      </c>
      <c r="I141" t="str">
        <f>'All Girls &amp; Descendants - Edit'!J140</f>
        <v/>
      </c>
      <c r="J141" s="101" t="str">
        <f>'All Girls &amp; Descendants - Edit'!K140</f>
        <v>136 (165): 2017</v>
      </c>
      <c r="K141" s="3" t="str">
        <f>'All Girls &amp; Descendants - Edit'!L140</f>
        <v>16/07/2017</v>
      </c>
      <c r="L141" s="3">
        <f>'All Girls &amp; Descendants - Edit'!M140</f>
        <v>42932</v>
      </c>
      <c r="M141" s="3">
        <f>'All Girls &amp; Descendants - Edit'!N140</f>
        <v>0</v>
      </c>
      <c r="N141" s="3">
        <f>'All Girls &amp; Descendants - Edit'!O140</f>
        <v>0</v>
      </c>
      <c r="O141" s="3" t="str">
        <f>'All Girls &amp; Descendants - Edit'!P140</f>
        <v/>
      </c>
      <c r="P141" t="str">
        <f t="shared" si="55"/>
        <v>165a</v>
      </c>
      <c r="Q141" s="116">
        <f t="shared" si="56"/>
        <v>1</v>
      </c>
      <c r="R141" s="31" t="str">
        <f t="shared" si="57"/>
        <v>Leila Cherry  PURI</v>
      </c>
      <c r="S141" t="str">
        <f t="shared" si="58"/>
        <v>Leila PURI (2017 - : #165a)</v>
      </c>
      <c r="U141" s="126">
        <f t="shared" si="53"/>
        <v>165001</v>
      </c>
      <c r="V141" t="str">
        <f t="shared" si="59"/>
        <v>165a</v>
      </c>
      <c r="W141" s="126">
        <f t="shared" si="54"/>
        <v>165</v>
      </c>
      <c r="X141" s="126" t="str">
        <f t="shared" si="60"/>
        <v>a</v>
      </c>
    </row>
    <row r="142" spans="1:24">
      <c r="A142">
        <f>'All Girls &amp; Descendants - Edit'!B141</f>
        <v>165</v>
      </c>
      <c r="B142" t="str">
        <f>'All Girls &amp; Descendants - Edit'!C141</f>
        <v>165b</v>
      </c>
      <c r="C142" t="str">
        <f>'All Girls &amp; Descendants - Edit'!D141</f>
        <v>PURI</v>
      </c>
      <c r="D142" t="str">
        <f>'All Girls &amp; Descendants - Edit'!E141</f>
        <v>Alana</v>
      </c>
      <c r="E142" t="str">
        <f>IF('All Girls &amp; Descendants - Edit'!F141="","",'All Girls &amp; Descendants - Edit'!F141)</f>
        <v>Kailash</v>
      </c>
      <c r="F142" t="str">
        <f>IF('All Girls &amp; Descendants - Edit'!G141="","",'All Girls &amp; Descendants - Edit'!G141)</f>
        <v/>
      </c>
      <c r="G142" t="str">
        <f>IF('All Girls &amp; Descendants - Edit'!H141="",D142,'All Girls &amp; Descendants - Edit'!H141)</f>
        <v>Alana</v>
      </c>
      <c r="H142">
        <f>'All Girls &amp; Descendants - Edit'!I141</f>
        <v>2019</v>
      </c>
      <c r="I142" t="str">
        <f>'All Girls &amp; Descendants - Edit'!J141</f>
        <v/>
      </c>
      <c r="J142" s="101" t="str">
        <f>'All Girls &amp; Descendants - Edit'!K141</f>
        <v>136 (165): 2019</v>
      </c>
      <c r="K142" s="3" t="str">
        <f>'All Girls &amp; Descendants - Edit'!L141</f>
        <v>03/04/2019</v>
      </c>
      <c r="L142" s="3">
        <f>'All Girls &amp; Descendants - Edit'!M141</f>
        <v>43558</v>
      </c>
      <c r="M142" s="3">
        <f>'All Girls &amp; Descendants - Edit'!N141</f>
        <v>0</v>
      </c>
      <c r="N142" s="3">
        <f>'All Girls &amp; Descendants - Edit'!O141</f>
        <v>0</v>
      </c>
      <c r="O142" s="3" t="str">
        <f>'All Girls &amp; Descendants - Edit'!P141</f>
        <v/>
      </c>
      <c r="P142" t="str">
        <f t="shared" si="55"/>
        <v>165b</v>
      </c>
      <c r="Q142" s="116">
        <f t="shared" si="56"/>
        <v>1</v>
      </c>
      <c r="R142" s="31" t="str">
        <f t="shared" si="57"/>
        <v>Alana Kailash  PURI</v>
      </c>
      <c r="S142" t="str">
        <f t="shared" si="58"/>
        <v>Alana PURI (2019 - : #165b)</v>
      </c>
      <c r="U142" s="126">
        <f t="shared" si="53"/>
        <v>165002</v>
      </c>
      <c r="V142" t="str">
        <f t="shared" si="59"/>
        <v>165b</v>
      </c>
      <c r="W142" s="126">
        <f>VALUE(LEFT(V142,3))</f>
        <v>165</v>
      </c>
      <c r="X142" s="126" t="str">
        <f>RIGHT(V142,1)</f>
        <v>b</v>
      </c>
    </row>
    <row r="143" spans="1:24">
      <c r="A143">
        <f>'All Girls &amp; Descendants - Edit'!B142</f>
        <v>168</v>
      </c>
      <c r="B143" t="str">
        <f>'All Girls &amp; Descendants - Edit'!C142</f>
        <v>168a</v>
      </c>
      <c r="C143" t="str">
        <f>'All Girls &amp; Descendants - Edit'!D142</f>
        <v>POWELL</v>
      </c>
      <c r="D143" t="str">
        <f>'All Girls &amp; Descendants - Edit'!E142</f>
        <v>Nicholas</v>
      </c>
      <c r="E143" t="str">
        <f>IF('All Girls &amp; Descendants - Edit'!F142="","",'All Girls &amp; Descendants - Edit'!F142)</f>
        <v>Rudyard</v>
      </c>
      <c r="F143" t="str">
        <f>IF('All Girls &amp; Descendants - Edit'!G142="","",'All Girls &amp; Descendants - Edit'!G142)</f>
        <v>Wroughton</v>
      </c>
      <c r="G143" t="str">
        <f>IF('All Girls &amp; Descendants - Edit'!H142="",D143,'All Girls &amp; Descendants - Edit'!H142)</f>
        <v>Nicholas</v>
      </c>
      <c r="H143">
        <f>'All Girls &amp; Descendants - Edit'!I142</f>
        <v>2020</v>
      </c>
      <c r="I143" t="str">
        <f>'All Girls &amp; Descendants - Edit'!J142</f>
        <v/>
      </c>
      <c r="J143" s="101" t="str">
        <f>'All Girls &amp; Descendants - Edit'!K142</f>
        <v>138 (168): 2020</v>
      </c>
      <c r="K143" s="3" t="str">
        <f>'All Girls &amp; Descendants - Edit'!L142</f>
        <v>10/12/2020</v>
      </c>
      <c r="L143" s="3">
        <f>'All Girls &amp; Descendants - Edit'!M142</f>
        <v>44175</v>
      </c>
      <c r="M143" s="3">
        <f>'All Girls &amp; Descendants - Edit'!N142</f>
        <v>0</v>
      </c>
      <c r="N143" s="3">
        <f>'All Girls &amp; Descendants - Edit'!O142</f>
        <v>0</v>
      </c>
      <c r="O143" s="3" t="str">
        <f>'All Girls &amp; Descendants - Edit'!P142</f>
        <v/>
      </c>
      <c r="P143" t="str">
        <f t="shared" si="55"/>
        <v>168a</v>
      </c>
      <c r="Q143" s="116">
        <f t="shared" si="56"/>
        <v>1</v>
      </c>
      <c r="R143" s="31" t="str">
        <f t="shared" si="57"/>
        <v>Nicholas Rudyard Wroughton POWELL</v>
      </c>
      <c r="S143" t="str">
        <f t="shared" si="58"/>
        <v>Nicholas POWELL (2020 - : #168a)</v>
      </c>
      <c r="U143" s="126">
        <f t="shared" si="53"/>
        <v>168001</v>
      </c>
      <c r="V143" t="str">
        <f t="shared" si="59"/>
        <v>168a</v>
      </c>
      <c r="W143" s="126">
        <f>VALUE(LEFT(V143,3))</f>
        <v>168</v>
      </c>
      <c r="X143" s="126" t="str">
        <f>RIGHT(V143,1)</f>
        <v>a</v>
      </c>
    </row>
    <row r="144" spans="1:24">
      <c r="A144">
        <f>'All Girls &amp; Descendants - Edit'!B143</f>
        <v>168</v>
      </c>
      <c r="B144" t="str">
        <f>'All Girls &amp; Descendants - Edit'!C143</f>
        <v>168b</v>
      </c>
      <c r="C144" t="str">
        <f>'All Girls &amp; Descendants - Edit'!D143</f>
        <v>POWELL </v>
      </c>
      <c r="D144" t="str">
        <f>'All Girls &amp; Descendants - Edit'!E143</f>
        <v>Florence</v>
      </c>
      <c r="E144" t="str">
        <f>IF('All Girls &amp; Descendants - Edit'!F143="","",'All Girls &amp; Descendants - Edit'!F143)</f>
        <v>Sofia</v>
      </c>
      <c r="F144" t="str">
        <f>IF('All Girls &amp; Descendants - Edit'!G143="","",'All Girls &amp; Descendants - Edit'!G143)</f>
        <v>Berners</v>
      </c>
      <c r="G144" t="str">
        <f>IF('All Girls &amp; Descendants - Edit'!H143="",D144,'All Girls &amp; Descendants - Edit'!H143)</f>
        <v>Florence</v>
      </c>
      <c r="H144">
        <f>'All Girls &amp; Descendants - Edit'!I143</f>
        <v>2022</v>
      </c>
      <c r="I144" t="str">
        <f>'All Girls &amp; Descendants - Edit'!J143</f>
        <v/>
      </c>
      <c r="J144" s="101" t="str">
        <f>'All Girls &amp; Descendants - Edit'!K143</f>
        <v>138 (168): 2022</v>
      </c>
      <c r="K144" s="3" t="str">
        <f>'All Girls &amp; Descendants - Edit'!L143</f>
        <v>31/03/2022</v>
      </c>
      <c r="L144" s="3">
        <f>'All Girls &amp; Descendants - Edit'!M143</f>
        <v>44651</v>
      </c>
      <c r="M144" s="3">
        <f>'All Girls &amp; Descendants - Edit'!N143</f>
        <v>0</v>
      </c>
      <c r="N144" s="3">
        <f>'All Girls &amp; Descendants - Edit'!O143</f>
        <v>0</v>
      </c>
      <c r="O144" s="3">
        <f>'All Girls &amp; Descendants - Edit'!P143</f>
        <v>0</v>
      </c>
      <c r="P144" t="str">
        <f t="shared" si="55"/>
        <v>168b</v>
      </c>
      <c r="Q144" s="116">
        <f t="shared" si="56"/>
        <v>1</v>
      </c>
      <c r="R144" s="31" t="str">
        <f t="shared" si="57"/>
        <v>Florence Sofia Berners POWELL </v>
      </c>
      <c r="S144" t="str">
        <f t="shared" si="58"/>
        <v>Florence POWELL  (2022 - : #168b)</v>
      </c>
      <c r="U144" s="126">
        <f t="shared" si="53"/>
        <v>168002</v>
      </c>
      <c r="V144" t="str">
        <f t="shared" si="59"/>
        <v>168b</v>
      </c>
      <c r="W144" s="126">
        <f>VALUE(LEFT(V144,3))</f>
        <v>168</v>
      </c>
      <c r="X144" s="126" t="str">
        <f>RIGHT(V144,1)</f>
        <v>b</v>
      </c>
    </row>
    <row r="145" spans="1:24">
      <c r="A145">
        <f>'All Girls &amp; Descendants - Edit'!B144</f>
        <v>170</v>
      </c>
      <c r="B145" t="str">
        <f>'All Girls &amp; Descendants - Edit'!C144</f>
        <v>170a</v>
      </c>
      <c r="C145" t="str">
        <f>'All Girls &amp; Descendants - Edit'!D144</f>
        <v>POWELL</v>
      </c>
      <c r="D145" t="str">
        <f>'All Girls &amp; Descendants - Edit'!E144</f>
        <v>Angus</v>
      </c>
      <c r="E145" t="str">
        <f>IF('All Girls &amp; Descendants - Edit'!F144="","",'All Girls &amp; Descendants - Edit'!F144)</f>
        <v>Thomas</v>
      </c>
      <c r="F145" t="str">
        <f>IF('All Girls &amp; Descendants - Edit'!G144="","",'All Girls &amp; Descendants - Edit'!G144)</f>
        <v>Folliott</v>
      </c>
      <c r="G145" t="str">
        <f>IF('All Girls &amp; Descendants - Edit'!H144="",D145,'All Girls &amp; Descendants - Edit'!H144)</f>
        <v>Angus</v>
      </c>
      <c r="H145">
        <f>'All Girls &amp; Descendants - Edit'!I144</f>
        <v>2021</v>
      </c>
      <c r="I145" t="str">
        <f>'All Girls &amp; Descendants - Edit'!J144</f>
        <v/>
      </c>
      <c r="J145" s="101" t="str">
        <f>'All Girls &amp; Descendants - Edit'!K144</f>
        <v>138 (170): 2021</v>
      </c>
      <c r="K145" s="3" t="str">
        <f>'All Girls &amp; Descendants - Edit'!L144</f>
        <v>27/06/2021</v>
      </c>
      <c r="L145" s="3">
        <f>'All Girls &amp; Descendants - Edit'!M144</f>
        <v>44374</v>
      </c>
      <c r="M145" s="3">
        <f>'All Girls &amp; Descendants - Edit'!N144</f>
        <v>0</v>
      </c>
      <c r="N145" s="3">
        <f>'All Girls &amp; Descendants - Edit'!O144</f>
        <v>0</v>
      </c>
      <c r="O145" s="3" t="str">
        <f>'All Girls &amp; Descendants - Edit'!P144</f>
        <v/>
      </c>
      <c r="P145" t="str">
        <f t="shared" si="55"/>
        <v>170a</v>
      </c>
      <c r="Q145" s="116">
        <f t="shared" si="56"/>
        <v>1</v>
      </c>
      <c r="R145" s="31" t="str">
        <f t="shared" si="57"/>
        <v>Angus Thomas Folliott POWELL</v>
      </c>
      <c r="S145" t="str">
        <f t="shared" si="58"/>
        <v>Angus POWELL (2021 - : #170a)</v>
      </c>
      <c r="U145" s="126">
        <f>W145*1000+VLOOKUP(X145,$AB$4:$AC$13,2,FALSE)</f>
        <v>170001</v>
      </c>
      <c r="V145" t="str">
        <f t="shared" si="59"/>
        <v>170a</v>
      </c>
      <c r="W145" s="126">
        <f>VALUE(LEFT(V145,3))</f>
        <v>170</v>
      </c>
      <c r="X145" s="126" t="str">
        <f>RIGHT(V145,1)</f>
        <v>a</v>
      </c>
    </row>
    <row r="146" spans="1:24">
      <c r="A146">
        <f>'All Girls &amp; Descendants - Edit'!B145</f>
        <v>2</v>
      </c>
      <c r="B146" t="str">
        <f>'All Girls &amp; Descendants - Edit'!C145</f>
        <v>2aa</v>
      </c>
      <c r="C146" t="str">
        <f>'All Girls &amp; Descendants - Edit'!D145</f>
        <v>DAVIES</v>
      </c>
      <c r="D146" t="str">
        <f>'All Girls &amp; Descendants - Edit'!E145</f>
        <v>William</v>
      </c>
      <c r="E146" t="str">
        <f>IF('All Girls &amp; Descendants - Edit'!F145="","",'All Girls &amp; Descendants - Edit'!F145)</f>
        <v/>
      </c>
      <c r="F146" t="str">
        <f>IF('All Girls &amp; Descendants - Edit'!G145="","",'All Girls &amp; Descendants - Edit'!G145)</f>
        <v/>
      </c>
      <c r="G146" t="str">
        <f>IF('All Girls &amp; Descendants - Edit'!H145="",D146,'All Girls &amp; Descendants - Edit'!H145)</f>
        <v>William</v>
      </c>
      <c r="H146" t="str">
        <f>'All Girls &amp; Descendants - Edit'!I145</f>
        <v>Date unknown</v>
      </c>
      <c r="I146">
        <f>'All Girls &amp; Descendants - Edit'!J145</f>
        <v>1908</v>
      </c>
      <c r="J146" s="101">
        <f>'All Girls &amp; Descendants - Edit'!K145</f>
        <v>0</v>
      </c>
      <c r="K146" s="3" t="str">
        <f>'All Girls &amp; Descendants - Edit'!L145</f>
        <v>Date unknown</v>
      </c>
      <c r="L146" s="3" t="str">
        <f>'All Girls &amp; Descendants - Edit'!M145</f>
        <v>Date unknown</v>
      </c>
      <c r="M146" s="3">
        <f>'All Girls &amp; Descendants - Edit'!N145</f>
        <v>0</v>
      </c>
      <c r="N146" s="3">
        <f>'All Girls &amp; Descendants - Edit'!O145</f>
        <v>2982</v>
      </c>
      <c r="O146" s="3">
        <f>'All Girls &amp; Descendants - Edit'!P145</f>
        <v>2982</v>
      </c>
      <c r="P146" t="str">
        <f t="shared" si="55"/>
        <v>2aa</v>
      </c>
      <c r="Q146" s="116">
        <f t="shared" si="56"/>
        <v>2</v>
      </c>
      <c r="R146" s="31" t="str">
        <f t="shared" si="57"/>
        <v>William   DAVIES</v>
      </c>
      <c r="S146" t="str">
        <f t="shared" si="58"/>
        <v>William DAVIES (Date unknown - 1908: #2aa)</v>
      </c>
      <c r="U146" s="116"/>
      <c r="V146"/>
      <c r="W146" s="116"/>
      <c r="X146" s="116"/>
    </row>
    <row r="147" spans="1:24">
      <c r="A147">
        <f>'All Girls &amp; Descendants - Edit'!B146</f>
        <v>2</v>
      </c>
      <c r="B147" t="str">
        <f>'All Girls &amp; Descendants - Edit'!C146</f>
        <v>2ca</v>
      </c>
      <c r="C147" t="str">
        <f>'All Girls &amp; Descendants - Edit'!D146</f>
        <v>DAVIES</v>
      </c>
      <c r="D147" t="str">
        <f>'All Girls &amp; Descendants - Edit'!E146</f>
        <v>Catherine</v>
      </c>
      <c r="E147" t="str">
        <f>IF('All Girls &amp; Descendants - Edit'!F146="","",'All Girls &amp; Descendants - Edit'!F146)</f>
        <v/>
      </c>
      <c r="F147" t="str">
        <f>IF('All Girls &amp; Descendants - Edit'!G146="","",'All Girls &amp; Descendants - Edit'!G146)</f>
        <v/>
      </c>
      <c r="G147" t="str">
        <f>IF('All Girls &amp; Descendants - Edit'!H146="",D147,'All Girls &amp; Descendants - Edit'!H146)</f>
        <v>Catherine</v>
      </c>
      <c r="H147">
        <f>'All Girls &amp; Descendants - Edit'!I146</f>
        <v>1829</v>
      </c>
      <c r="I147">
        <f>'All Girls &amp; Descendants - Edit'!J146</f>
        <v>1866</v>
      </c>
      <c r="J147" s="101">
        <f>'All Girls &amp; Descendants - Edit'!K146</f>
        <v>0</v>
      </c>
      <c r="K147" s="3" t="str">
        <f>'All Girls &amp; Descendants - Edit'!L146</f>
        <v>09/10/1829</v>
      </c>
      <c r="L147" s="3" t="str">
        <f>'All Girls &amp; Descendants - Edit'!M146</f>
        <v>09/10/1829</v>
      </c>
      <c r="M147" s="3" t="str">
        <f>'All Girls &amp; Descendants - Edit'!N146</f>
        <v>26/09/1851</v>
      </c>
      <c r="N147" s="3" t="str">
        <f>'All Girls &amp; Descendants - Edit'!O146</f>
        <v>1866</v>
      </c>
      <c r="O147" s="3" t="str">
        <f>'All Girls &amp; Descendants - Edit'!P146</f>
        <v>1866</v>
      </c>
      <c r="P147" t="str">
        <f t="shared" si="55"/>
        <v>2ca</v>
      </c>
      <c r="Q147" s="116">
        <f t="shared" si="56"/>
        <v>2</v>
      </c>
      <c r="R147" s="31" t="str">
        <f t="shared" si="57"/>
        <v>Catherine   DAVIES</v>
      </c>
      <c r="S147" t="str">
        <f t="shared" si="58"/>
        <v>Catherine DAVIES (1829 - 1866: #2ca)</v>
      </c>
      <c r="U147" s="116"/>
      <c r="V147"/>
      <c r="W147" s="116"/>
      <c r="X147" s="116"/>
    </row>
    <row r="148" spans="1:24">
      <c r="A148">
        <f>'All Girls &amp; Descendants - Edit'!B147</f>
        <v>18</v>
      </c>
      <c r="B148" t="str">
        <f>'All Girls &amp; Descendants - Edit'!C147</f>
        <v>18ba</v>
      </c>
      <c r="C148" t="str">
        <f>'All Girls &amp; Descendants - Edit'!D147</f>
        <v>NICOL</v>
      </c>
      <c r="D148" t="str">
        <f>'All Girls &amp; Descendants - Edit'!E147</f>
        <v>Malcolm</v>
      </c>
      <c r="E148" t="str">
        <f>IF('All Girls &amp; Descendants - Edit'!F147="","",'All Girls &amp; Descendants - Edit'!F147)</f>
        <v>William</v>
      </c>
      <c r="F148" t="str">
        <f>IF('All Girls &amp; Descendants - Edit'!G147="","",'All Girls &amp; Descendants - Edit'!G147)</f>
        <v>Prout</v>
      </c>
      <c r="G148" t="str">
        <f>IF('All Girls &amp; Descendants - Edit'!H147="",D148,'All Girls &amp; Descendants - Edit'!H147)</f>
        <v>Malcolm</v>
      </c>
      <c r="H148">
        <f>'All Girls &amp; Descendants - Edit'!I147</f>
        <v>1879</v>
      </c>
      <c r="I148">
        <f>'All Girls &amp; Descendants - Edit'!J147</f>
        <v>1891</v>
      </c>
      <c r="J148" s="101">
        <f>'All Girls &amp; Descendants - Edit'!K147</f>
        <v>0</v>
      </c>
      <c r="K148" s="3" t="str">
        <f>'All Girls &amp; Descendants - Edit'!L147</f>
        <v>20/04/1879</v>
      </c>
      <c r="L148" s="3" t="str">
        <f>'All Girls &amp; Descendants - Edit'!M147</f>
        <v>20/04/1879</v>
      </c>
      <c r="M148" s="3" t="str">
        <f>'All Girls &amp; Descendants - Edit'!N147</f>
        <v>Unmarried</v>
      </c>
      <c r="N148" s="3" t="str">
        <f>'All Girls &amp; Descendants - Edit'!O147</f>
        <v>04/04/1891</v>
      </c>
      <c r="O148" s="3" t="str">
        <f>'All Girls &amp; Descendants - Edit'!P147</f>
        <v>04/04/1891</v>
      </c>
      <c r="P148" t="str">
        <f t="shared" si="55"/>
        <v>18ba</v>
      </c>
      <c r="Q148" s="116">
        <f t="shared" si="56"/>
        <v>2</v>
      </c>
      <c r="R148" s="31" t="str">
        <f t="shared" si="57"/>
        <v>Malcolm William Prout NICOL</v>
      </c>
      <c r="S148" t="str">
        <f t="shared" si="58"/>
        <v>Malcolm NICOL (1879 - 1891: #18ba)</v>
      </c>
    </row>
    <row r="149" spans="1:24">
      <c r="A149">
        <f>'All Girls &amp; Descendants - Edit'!B148</f>
        <v>18</v>
      </c>
      <c r="B149" t="str">
        <f>'All Girls &amp; Descendants - Edit'!C148</f>
        <v>18bb</v>
      </c>
      <c r="C149" t="str">
        <f>'All Girls &amp; Descendants - Edit'!D148</f>
        <v>NICOL</v>
      </c>
      <c r="D149" t="str">
        <f>'All Girls &amp; Descendants - Edit'!E148</f>
        <v>Margery</v>
      </c>
      <c r="E149" t="str">
        <f>IF('All Girls &amp; Descendants - Edit'!F148="","",'All Girls &amp; Descendants - Edit'!F148)</f>
        <v>Catherine</v>
      </c>
      <c r="F149" t="str">
        <f>IF('All Girls &amp; Descendants - Edit'!G148="","",'All Girls &amp; Descendants - Edit'!G148)</f>
        <v/>
      </c>
      <c r="G149" t="str">
        <f>IF('All Girls &amp; Descendants - Edit'!H148="",D149,'All Girls &amp; Descendants - Edit'!H148)</f>
        <v>Margery</v>
      </c>
      <c r="H149">
        <f>'All Girls &amp; Descendants - Edit'!I148</f>
        <v>1880</v>
      </c>
      <c r="I149">
        <f>'All Girls &amp; Descendants - Edit'!J148</f>
        <v>1963</v>
      </c>
      <c r="J149" s="101">
        <f>'All Girls &amp; Descendants - Edit'!K148</f>
        <v>0</v>
      </c>
      <c r="K149" s="3" t="str">
        <f>'All Girls &amp; Descendants - Edit'!L148</f>
        <v>08/05/1880</v>
      </c>
      <c r="L149" s="3" t="str">
        <f>'All Girls &amp; Descendants - Edit'!M148</f>
        <v>08/05/1880</v>
      </c>
      <c r="M149" s="3">
        <f>'All Girls &amp; Descendants - Edit'!N148</f>
        <v>3764</v>
      </c>
      <c r="N149" s="3">
        <f>'All Girls &amp; Descendants - Edit'!O148</f>
        <v>23101</v>
      </c>
      <c r="O149" s="3" t="str">
        <f>'All Girls &amp; Descendants - Edit'!P148</f>
        <v>31/03/1963</v>
      </c>
      <c r="P149" t="str">
        <f t="shared" si="55"/>
        <v>18bb</v>
      </c>
      <c r="Q149" s="116">
        <f t="shared" si="56"/>
        <v>2</v>
      </c>
      <c r="R149" s="31" t="str">
        <f t="shared" si="57"/>
        <v>Margery Catherine  NICOL</v>
      </c>
      <c r="S149" t="str">
        <f t="shared" si="58"/>
        <v>Margery NICOL (1880 - 1963: #18bb)</v>
      </c>
    </row>
    <row r="150" spans="1:24">
      <c r="A150">
        <f>'All Girls &amp; Descendants - Edit'!B149</f>
        <v>18</v>
      </c>
      <c r="B150" t="str">
        <f>'All Girls &amp; Descendants - Edit'!C149</f>
        <v>18bc</v>
      </c>
      <c r="C150" t="str">
        <f>'All Girls &amp; Descendants - Edit'!D149</f>
        <v>NICOL</v>
      </c>
      <c r="D150" t="str">
        <f>'All Girls &amp; Descendants - Edit'!E149</f>
        <v>Randall</v>
      </c>
      <c r="E150" t="str">
        <f>IF('All Girls &amp; Descendants - Edit'!F149="","",'All Girls &amp; Descendants - Edit'!F149)</f>
        <v>James</v>
      </c>
      <c r="F150" t="str">
        <f>IF('All Girls &amp; Descendants - Edit'!G149="","",'All Girls &amp; Descendants - Edit'!G149)</f>
        <v/>
      </c>
      <c r="G150" t="str">
        <f>IF('All Girls &amp; Descendants - Edit'!H149="",D150,'All Girls &amp; Descendants - Edit'!H149)</f>
        <v>Randall</v>
      </c>
      <c r="H150">
        <f>'All Girls &amp; Descendants - Edit'!I149</f>
        <v>1882</v>
      </c>
      <c r="I150">
        <f>'All Girls &amp; Descendants - Edit'!J149</f>
        <v>1941</v>
      </c>
      <c r="J150" s="101">
        <f>'All Girls &amp; Descendants - Edit'!K149</f>
        <v>0</v>
      </c>
      <c r="K150" s="3" t="str">
        <f>'All Girls &amp; Descendants - Edit'!L149</f>
        <v>19/08/1882</v>
      </c>
      <c r="L150" s="3" t="str">
        <f>'All Girls &amp; Descendants - Edit'!M149</f>
        <v>19/08/1882</v>
      </c>
      <c r="M150" s="3">
        <f>'All Girls &amp; Descendants - Edit'!N149</f>
        <v>0</v>
      </c>
      <c r="N150" s="3">
        <f>'All Girls &amp; Descendants - Edit'!O149</f>
        <v>15298</v>
      </c>
      <c r="O150" s="3" t="str">
        <f>'All Girls &amp; Descendants - Edit'!P149</f>
        <v>18/11/1941</v>
      </c>
      <c r="P150" t="str">
        <f t="shared" si="55"/>
        <v>18bc</v>
      </c>
      <c r="Q150" s="116">
        <f t="shared" si="56"/>
        <v>2</v>
      </c>
      <c r="R150" s="31" t="str">
        <f t="shared" si="57"/>
        <v>Randall James  NICOL</v>
      </c>
      <c r="S150" t="str">
        <f t="shared" si="58"/>
        <v>Randall NICOL (1882 - 1941: #18bc)</v>
      </c>
    </row>
    <row r="151" spans="1:24">
      <c r="A151">
        <f>'All Girls &amp; Descendants - Edit'!B150</f>
        <v>18</v>
      </c>
      <c r="B151" t="str">
        <f>'All Girls &amp; Descendants - Edit'!C150</f>
        <v>18bd</v>
      </c>
      <c r="C151" t="str">
        <f>'All Girls &amp; Descendants - Edit'!D150</f>
        <v>NICOL</v>
      </c>
      <c r="D151" t="str">
        <f>'All Girls &amp; Descendants - Edit'!E150</f>
        <v>Dorothy</v>
      </c>
      <c r="E151" t="str">
        <f>IF('All Girls &amp; Descendants - Edit'!F150="","",'All Girls &amp; Descendants - Edit'!F150)</f>
        <v>Ada</v>
      </c>
      <c r="F151" t="str">
        <f>IF('All Girls &amp; Descendants - Edit'!G150="","",'All Girls &amp; Descendants - Edit'!G150)</f>
        <v/>
      </c>
      <c r="G151" t="str">
        <f>IF('All Girls &amp; Descendants - Edit'!H150="",D151,'All Girls &amp; Descendants - Edit'!H150)</f>
        <v>Dorothy</v>
      </c>
      <c r="H151">
        <f>'All Girls &amp; Descendants - Edit'!I150</f>
        <v>1885</v>
      </c>
      <c r="I151">
        <f>'All Girls &amp; Descendants - Edit'!J150</f>
        <v>1964</v>
      </c>
      <c r="J151" s="101">
        <f>'All Girls &amp; Descendants - Edit'!K150</f>
        <v>0</v>
      </c>
      <c r="K151" s="3" t="str">
        <f>'All Girls &amp; Descendants - Edit'!L150</f>
        <v>20/08/1885</v>
      </c>
      <c r="L151" s="3" t="str">
        <f>'All Girls &amp; Descendants - Edit'!M150</f>
        <v>20/08/1885</v>
      </c>
      <c r="M151" s="3">
        <f>'All Girls &amp; Descendants - Edit'!N150</f>
        <v>0</v>
      </c>
      <c r="N151" s="3">
        <f>'All Girls &amp; Descendants - Edit'!O150</f>
        <v>23410</v>
      </c>
      <c r="O151" s="3" t="str">
        <f>'All Girls &amp; Descendants - Edit'!P150</f>
        <v>03/02/1964</v>
      </c>
      <c r="P151" t="str">
        <f t="shared" si="55"/>
        <v>18bd</v>
      </c>
      <c r="Q151" s="116">
        <f t="shared" si="56"/>
        <v>2</v>
      </c>
      <c r="R151" s="31" t="str">
        <f t="shared" si="57"/>
        <v>Dorothy Ada  NICOL</v>
      </c>
      <c r="S151" t="str">
        <f t="shared" si="58"/>
        <v>Dorothy NICOL (1885 - 1964: #18bd)</v>
      </c>
    </row>
    <row r="152" spans="1:24">
      <c r="A152">
        <f>'All Girls &amp; Descendants - Edit'!B151</f>
        <v>18</v>
      </c>
      <c r="B152" t="str">
        <f>'All Girls &amp; Descendants - Edit'!C151</f>
        <v>18ea</v>
      </c>
      <c r="C152" t="str">
        <f>'All Girls &amp; Descendants - Edit'!D151</f>
        <v>NICOL</v>
      </c>
      <c r="D152" t="str">
        <f>'All Girls &amp; Descendants - Edit'!E151</f>
        <v>Violet</v>
      </c>
      <c r="E152" t="str">
        <f>IF('All Girls &amp; Descendants - Edit'!F151="","",'All Girls &amp; Descendants - Edit'!F151)</f>
        <v>Dyce</v>
      </c>
      <c r="F152" t="str">
        <f>IF('All Girls &amp; Descendants - Edit'!G151="","",'All Girls &amp; Descendants - Edit'!G151)</f>
        <v>Norah</v>
      </c>
      <c r="G152" t="str">
        <f>IF('All Girls &amp; Descendants - Edit'!H151="",D152,'All Girls &amp; Descendants - Edit'!H151)</f>
        <v>Violet</v>
      </c>
      <c r="H152">
        <f>'All Girls &amp; Descendants - Edit'!I151</f>
        <v>1887</v>
      </c>
      <c r="I152">
        <f>'All Girls &amp; Descendants - Edit'!J151</f>
        <v>1957</v>
      </c>
      <c r="J152" s="101">
        <f>'All Girls &amp; Descendants - Edit'!K151</f>
        <v>0</v>
      </c>
      <c r="K152" s="3" t="str">
        <f>'All Girls &amp; Descendants - Edit'!L151</f>
        <v>12/09/1887</v>
      </c>
      <c r="L152" s="3" t="str">
        <f>'All Girls &amp; Descendants - Edit'!M151</f>
        <v>12/09/1887</v>
      </c>
      <c r="M152" s="3">
        <f>'All Girls &amp; Descendants - Edit'!N151</f>
        <v>3686</v>
      </c>
      <c r="N152" s="3">
        <f>'All Girls &amp; Descendants - Edit'!O151</f>
        <v>21048</v>
      </c>
      <c r="O152" s="3" t="str">
        <f>'All Girls &amp; Descendants - Edit'!P151</f>
        <v>16/08/1957</v>
      </c>
      <c r="P152" t="str">
        <f t="shared" si="55"/>
        <v>18ea</v>
      </c>
      <c r="Q152" s="116">
        <f t="shared" si="56"/>
        <v>2</v>
      </c>
      <c r="R152" s="31" t="str">
        <f t="shared" si="57"/>
        <v>Violet Dyce Norah NICOL</v>
      </c>
      <c r="S152" t="str">
        <f t="shared" si="58"/>
        <v>Violet NICOL (1887 - 1957: #18ea)</v>
      </c>
    </row>
    <row r="153" spans="1:24">
      <c r="A153">
        <f>'All Girls &amp; Descendants - Edit'!B152</f>
        <v>36</v>
      </c>
      <c r="B153" t="str">
        <f>'All Girls &amp; Descendants - Edit'!C152</f>
        <v>36aa</v>
      </c>
      <c r="C153" t="str">
        <f>'All Girls &amp; Descendants - Edit'!D152</f>
        <v>COURTHOPE</v>
      </c>
      <c r="D153" t="str">
        <f>'All Girls &amp; Descendants - Edit'!E152</f>
        <v>The Hon Hilda</v>
      </c>
      <c r="E153" t="str">
        <f>IF('All Girls &amp; Descendants - Edit'!F152="","",'All Girls &amp; Descendants - Edit'!F152)</f>
        <v>Beryl</v>
      </c>
      <c r="F153" t="str">
        <f>IF('All Girls &amp; Descendants - Edit'!G152="","",'All Girls &amp; Descendants - Edit'!G152)</f>
        <v/>
      </c>
      <c r="G153" t="str">
        <f>IF('All Girls &amp; Descendants - Edit'!H152="",D153,'All Girls &amp; Descendants - Edit'!H152)</f>
        <v>Beryl</v>
      </c>
      <c r="H153">
        <f>'All Girls &amp; Descendants - Edit'!I152</f>
        <v>1900</v>
      </c>
      <c r="I153">
        <f>'All Girls &amp; Descendants - Edit'!J152</f>
        <v>1974</v>
      </c>
      <c r="J153" s="101">
        <f>'All Girls &amp; Descendants - Edit'!K152</f>
        <v>0</v>
      </c>
      <c r="K153" s="3" t="str">
        <f>'All Girls &amp; Descendants - Edit'!L152</f>
        <v>02/11/1900</v>
      </c>
      <c r="L153" s="3" t="str">
        <f>'All Girls &amp; Descendants - Edit'!M152</f>
        <v>02/11/1900</v>
      </c>
      <c r="M153" s="3">
        <f>'All Girls &amp; Descendants - Edit'!N152</f>
        <v>0</v>
      </c>
      <c r="N153" s="3">
        <f>'All Girls &amp; Descendants - Edit'!O152</f>
        <v>27246</v>
      </c>
      <c r="O153" s="3" t="str">
        <f>'All Girls &amp; Descendants - Edit'!P152</f>
        <v>05/08/1974</v>
      </c>
      <c r="P153" t="str">
        <f t="shared" si="55"/>
        <v>36aa</v>
      </c>
      <c r="Q153" s="116">
        <f t="shared" si="56"/>
        <v>2</v>
      </c>
      <c r="R153" s="31" t="str">
        <f t="shared" si="57"/>
        <v>The Hon Hilda Beryl  COURTHOPE</v>
      </c>
      <c r="S153" t="str">
        <f t="shared" si="58"/>
        <v>Beryl COURTHOPE (1900 - 1974: #36aa)</v>
      </c>
    </row>
    <row r="154" spans="1:24">
      <c r="A154">
        <f>'All Girls &amp; Descendants - Edit'!B153</f>
        <v>36</v>
      </c>
      <c r="B154" t="str">
        <f>'All Girls &amp; Descendants - Edit'!C153</f>
        <v>36ab</v>
      </c>
      <c r="C154" t="str">
        <f>'All Girls &amp; Descendants - Edit'!D153</f>
        <v>COURTHOPE</v>
      </c>
      <c r="D154" t="str">
        <f>'All Girls &amp; Descendants - Edit'!E153</f>
        <v>The Hon Elinor</v>
      </c>
      <c r="E154" t="str">
        <f>IF('All Girls &amp; Descendants - Edit'!F153="","",'All Girls &amp; Descendants - Edit'!F153)</f>
        <v>Daphne</v>
      </c>
      <c r="F154" t="str">
        <f>IF('All Girls &amp; Descendants - Edit'!G153="","",'All Girls &amp; Descendants - Edit'!G153)</f>
        <v/>
      </c>
      <c r="G154" t="str">
        <f>IF('All Girls &amp; Descendants - Edit'!H153="",D154,'All Girls &amp; Descendants - Edit'!H153)</f>
        <v>Daphne</v>
      </c>
      <c r="H154">
        <f>'All Girls &amp; Descendants - Edit'!I153</f>
        <v>1902</v>
      </c>
      <c r="I154">
        <f>'All Girls &amp; Descendants - Edit'!J153</f>
        <v>1980</v>
      </c>
      <c r="J154" s="101">
        <f>'All Girls &amp; Descendants - Edit'!K153</f>
        <v>0</v>
      </c>
      <c r="K154" s="3" t="str">
        <f>'All Girls &amp; Descendants - Edit'!L153</f>
        <v>11/10/1902</v>
      </c>
      <c r="L154" s="3" t="str">
        <f>'All Girls &amp; Descendants - Edit'!M153</f>
        <v>11/10/1902</v>
      </c>
      <c r="M154" s="3">
        <f>'All Girls &amp; Descendants - Edit'!N153</f>
        <v>0</v>
      </c>
      <c r="N154" s="3">
        <f>'All Girls &amp; Descendants - Edit'!O153</f>
        <v>29387</v>
      </c>
      <c r="O154" s="3" t="str">
        <f>'All Girls &amp; Descendants - Edit'!P153</f>
        <v>15/06/1980</v>
      </c>
      <c r="P154" t="str">
        <f t="shared" si="55"/>
        <v>36ab</v>
      </c>
      <c r="Q154" s="116">
        <f t="shared" si="56"/>
        <v>2</v>
      </c>
      <c r="R154" s="31" t="str">
        <f t="shared" si="57"/>
        <v>The Hon Elinor Daphne  COURTHOPE</v>
      </c>
      <c r="S154" t="str">
        <f t="shared" si="58"/>
        <v>Daphne COURTHOPE (1902 - 1980: #36ab)</v>
      </c>
    </row>
    <row r="155" spans="1:24">
      <c r="A155">
        <f>'All Girls &amp; Descendants - Edit'!B154</f>
        <v>36</v>
      </c>
      <c r="B155" t="str">
        <f>'All Girls &amp; Descendants - Edit'!C154</f>
        <v>36da</v>
      </c>
      <c r="C155" t="str">
        <f>'All Girls &amp; Descendants - Edit'!D154</f>
        <v>POWELL</v>
      </c>
      <c r="D155" t="str">
        <f>'All Girls &amp; Descendants - Edit'!E154</f>
        <v>Elinor</v>
      </c>
      <c r="E155" t="str">
        <f>IF('All Girls &amp; Descendants - Edit'!F154="","",'All Girls &amp; Descendants - Edit'!F154)</f>
        <v>Mary</v>
      </c>
      <c r="F155" t="str">
        <f>IF('All Girls &amp; Descendants - Edit'!G154="","",'All Girls &amp; Descendants - Edit'!G154)</f>
        <v/>
      </c>
      <c r="G155" t="str">
        <f>IF('All Girls &amp; Descendants - Edit'!H154="",D155,'All Girls &amp; Descendants - Edit'!H154)</f>
        <v>Elinor</v>
      </c>
      <c r="H155">
        <f>'All Girls &amp; Descendants - Edit'!I154</f>
        <v>1911</v>
      </c>
      <c r="I155">
        <f>'All Girls &amp; Descendants - Edit'!J154</f>
        <v>1997</v>
      </c>
      <c r="J155" s="101">
        <f>'All Girls &amp; Descendants - Edit'!K154</f>
        <v>0</v>
      </c>
      <c r="K155" s="3" t="str">
        <f>'All Girls &amp; Descendants - Edit'!L154</f>
        <v>19/08/1911</v>
      </c>
      <c r="L155" s="3">
        <f>'All Girls &amp; Descendants - Edit'!M154</f>
        <v>4249</v>
      </c>
      <c r="M155" s="3">
        <f>'All Girls &amp; Descendants - Edit'!N154</f>
        <v>0</v>
      </c>
      <c r="N155" s="3">
        <f>'All Girls &amp; Descendants - Edit'!O154</f>
        <v>35631</v>
      </c>
      <c r="O155" s="3" t="str">
        <f>'All Girls &amp; Descendants - Edit'!P154</f>
        <v>20/07/1997</v>
      </c>
      <c r="P155" t="str">
        <f t="shared" si="55"/>
        <v>36da</v>
      </c>
      <c r="Q155" s="116">
        <f t="shared" si="56"/>
        <v>2</v>
      </c>
      <c r="R155" s="31" t="str">
        <f t="shared" si="57"/>
        <v>Elinor Mary  POWELL</v>
      </c>
      <c r="S155" t="str">
        <f t="shared" si="58"/>
        <v>Elinor POWELL (1911 - 1997: #36da)</v>
      </c>
    </row>
    <row r="156" spans="1:24">
      <c r="A156">
        <f>'All Girls &amp; Descendants - Edit'!B155</f>
        <v>36</v>
      </c>
      <c r="B156" t="str">
        <f>'All Girls &amp; Descendants - Edit'!C155</f>
        <v>36db</v>
      </c>
      <c r="C156" t="str">
        <f>'All Girls &amp; Descendants - Edit'!D155</f>
        <v>POWELL</v>
      </c>
      <c r="D156" t="str">
        <f>'All Girls &amp; Descendants - Edit'!E155</f>
        <v>John</v>
      </c>
      <c r="E156" t="str">
        <f>IF('All Girls &amp; Descendants - Edit'!F155="","",'All Girls &amp; Descendants - Edit'!F155)</f>
        <v>Henry</v>
      </c>
      <c r="F156" t="str">
        <f>IF('All Girls &amp; Descendants - Edit'!G155="","",'All Girls &amp; Descendants - Edit'!G155)</f>
        <v>Courthope</v>
      </c>
      <c r="G156" t="str">
        <f>IF('All Girls &amp; Descendants - Edit'!H155="",D156,'All Girls &amp; Descendants - Edit'!H155)</f>
        <v>John</v>
      </c>
      <c r="H156">
        <f>'All Girls &amp; Descendants - Edit'!I155</f>
        <v>1913</v>
      </c>
      <c r="I156">
        <f>'All Girls &amp; Descendants - Edit'!J155</f>
        <v>1944</v>
      </c>
      <c r="J156" s="101">
        <f>'All Girls &amp; Descendants - Edit'!K155</f>
        <v>0</v>
      </c>
      <c r="K156" s="3" t="str">
        <f>'All Girls &amp; Descendants - Edit'!L155</f>
        <v>03/03/1913</v>
      </c>
      <c r="L156" s="3">
        <f>'All Girls &amp; Descendants - Edit'!M155</f>
        <v>4811</v>
      </c>
      <c r="M156" s="3">
        <f>'All Girls &amp; Descendants - Edit'!N155</f>
        <v>14347</v>
      </c>
      <c r="N156" s="3">
        <f>'All Girls &amp; Descendants - Edit'!O155</f>
        <v>16272</v>
      </c>
      <c r="O156" s="3" t="str">
        <f>'All Girls &amp; Descendants - Edit'!P155</f>
        <v>19/07/1944</v>
      </c>
      <c r="P156" t="str">
        <f t="shared" si="55"/>
        <v>36db</v>
      </c>
      <c r="Q156" s="116">
        <f t="shared" si="56"/>
        <v>2</v>
      </c>
      <c r="R156" s="31" t="str">
        <f t="shared" si="57"/>
        <v>John Henry Courthope POWELL</v>
      </c>
      <c r="S156" t="str">
        <f t="shared" si="58"/>
        <v>John POWELL (1913 - 1944: #36db)</v>
      </c>
    </row>
    <row r="157" spans="1:24">
      <c r="A157">
        <f>'All Girls &amp; Descendants - Edit'!B156</f>
        <v>47</v>
      </c>
      <c r="B157" t="str">
        <f>'All Girls &amp; Descendants - Edit'!C156</f>
        <v>47aa</v>
      </c>
      <c r="C157" t="str">
        <f>'All Girls &amp; Descendants - Edit'!D156</f>
        <v>HARDCASTLE</v>
      </c>
      <c r="D157" t="str">
        <f>'All Girls &amp; Descendants - Edit'!E156</f>
        <v>Edward</v>
      </c>
      <c r="E157" t="str">
        <f>IF('All Girls &amp; Descendants - Edit'!F156="","",'All Girls &amp; Descendants - Edit'!F156)</f>
        <v>John</v>
      </c>
      <c r="F157" t="str">
        <f>IF('All Girls &amp; Descendants - Edit'!G156="","",'All Girls &amp; Descendants - Edit'!G156)</f>
        <v>Brierly</v>
      </c>
      <c r="G157" t="str">
        <f>IF('All Girls &amp; Descendants - Edit'!H156="",D157,'All Girls &amp; Descendants - Edit'!H156)</f>
        <v>John</v>
      </c>
      <c r="H157">
        <f>'All Girls &amp; Descendants - Edit'!I156</f>
        <v>1923</v>
      </c>
      <c r="I157" t="str">
        <f>'All Girls &amp; Descendants - Edit'!J156</f>
        <v/>
      </c>
      <c r="J157" s="101">
        <f>'All Girls &amp; Descendants - Edit'!K156</f>
        <v>0</v>
      </c>
      <c r="K157" s="3" t="str">
        <f>'All Girls &amp; Descendants - Edit'!L156</f>
        <v>27/03/1923</v>
      </c>
      <c r="L157" s="3">
        <f>'All Girls &amp; Descendants - Edit'!M156</f>
        <v>8487</v>
      </c>
      <c r="M157" s="3">
        <f>'All Girls &amp; Descendants - Edit'!N156</f>
        <v>18485</v>
      </c>
      <c r="N157" s="3">
        <f>'All Girls &amp; Descendants - Edit'!O156</f>
        <v>0</v>
      </c>
      <c r="O157" s="3" t="str">
        <f>'All Girls &amp; Descendants - Edit'!P156</f>
        <v/>
      </c>
      <c r="P157" t="str">
        <f t="shared" si="55"/>
        <v>47aa</v>
      </c>
      <c r="Q157" s="116">
        <f t="shared" si="56"/>
        <v>2</v>
      </c>
      <c r="R157" s="31" t="str">
        <f t="shared" si="57"/>
        <v>Edward John Brierly HARDCASTLE</v>
      </c>
      <c r="S157" t="str">
        <f t="shared" si="58"/>
        <v>John HARDCASTLE (1923 - : #47aa)</v>
      </c>
    </row>
    <row r="158" spans="1:24">
      <c r="A158">
        <f>'All Girls &amp; Descendants - Edit'!B157</f>
        <v>47</v>
      </c>
      <c r="B158" t="str">
        <f>'All Girls &amp; Descendants - Edit'!C157</f>
        <v>47ab</v>
      </c>
      <c r="C158" t="str">
        <f>'All Girls &amp; Descendants - Edit'!D157</f>
        <v>HARDCASTLE</v>
      </c>
      <c r="D158" t="str">
        <f>'All Girls &amp; Descendants - Edit'!E157</f>
        <v>Priscilla</v>
      </c>
      <c r="E158" t="str">
        <f>IF('All Girls &amp; Descendants - Edit'!F157="","",'All Girls &amp; Descendants - Edit'!F157)</f>
        <v>Brierly</v>
      </c>
      <c r="F158" t="str">
        <f>IF('All Girls &amp; Descendants - Edit'!G157="","",'All Girls &amp; Descendants - Edit'!G157)</f>
        <v/>
      </c>
      <c r="G158" t="str">
        <f>IF('All Girls &amp; Descendants - Edit'!H157="",D158,'All Girls &amp; Descendants - Edit'!H157)</f>
        <v>Priscilla</v>
      </c>
      <c r="H158">
        <f>'All Girls &amp; Descendants - Edit'!I157</f>
        <v>1954</v>
      </c>
      <c r="I158" t="str">
        <f>'All Girls &amp; Descendants - Edit'!J157</f>
        <v/>
      </c>
      <c r="J158" s="101">
        <f>'All Girls &amp; Descendants - Edit'!K157</f>
        <v>0</v>
      </c>
      <c r="K158" s="3" t="str">
        <f>'All Girls &amp; Descendants - Edit'!L157</f>
        <v>07/06/1954</v>
      </c>
      <c r="L158" s="3">
        <f>'All Girls &amp; Descendants - Edit'!M157</f>
        <v>19882</v>
      </c>
      <c r="M158" s="3">
        <f>'All Girls &amp; Descendants - Edit'!N157</f>
        <v>18361</v>
      </c>
      <c r="N158" s="3">
        <f>'All Girls &amp; Descendants - Edit'!O157</f>
        <v>0</v>
      </c>
      <c r="O158" s="3" t="str">
        <f>'All Girls &amp; Descendants - Edit'!P157</f>
        <v/>
      </c>
      <c r="P158" t="str">
        <f t="shared" si="55"/>
        <v>47ab</v>
      </c>
      <c r="Q158" s="116">
        <f t="shared" si="56"/>
        <v>2</v>
      </c>
      <c r="R158" s="31" t="str">
        <f t="shared" si="57"/>
        <v>Priscilla Brierly  HARDCASTLE</v>
      </c>
      <c r="S158" t="str">
        <f t="shared" si="58"/>
        <v>Priscilla HARDCASTLE (1954 - : #47ab)</v>
      </c>
    </row>
    <row r="159" spans="1:24">
      <c r="A159">
        <f>'All Girls &amp; Descendants - Edit'!B158</f>
        <v>63</v>
      </c>
      <c r="B159" t="str">
        <f>'All Girls &amp; Descendants - Edit'!C158</f>
        <v>63aa</v>
      </c>
      <c r="C159" t="str">
        <f>'All Girls &amp; Descendants - Edit'!D158</f>
        <v>MOORE</v>
      </c>
      <c r="D159" t="str">
        <f>'All Girls &amp; Descendants - Edit'!E158</f>
        <v>Arthur</v>
      </c>
      <c r="E159" t="str">
        <f>IF('All Girls &amp; Descendants - Edit'!F158="","",'All Girls &amp; Descendants - Edit'!F158)</f>
        <v>William</v>
      </c>
      <c r="F159" t="str">
        <f>IF('All Girls &amp; Descendants - Edit'!G158="","",'All Girls &amp; Descendants - Edit'!G158)</f>
        <v/>
      </c>
      <c r="G159" t="str">
        <f>IF('All Girls &amp; Descendants - Edit'!H158="",D159,'All Girls &amp; Descendants - Edit'!H158)</f>
        <v>Arthur</v>
      </c>
      <c r="H159">
        <f>'All Girls &amp; Descendants - Edit'!I158</f>
        <v>1950</v>
      </c>
      <c r="I159" t="str">
        <f>'All Girls &amp; Descendants - Edit'!J158</f>
        <v/>
      </c>
      <c r="J159" s="101">
        <f>'All Girls &amp; Descendants - Edit'!K158</f>
        <v>0</v>
      </c>
      <c r="K159" s="3" t="str">
        <f>'All Girls &amp; Descendants - Edit'!L158</f>
        <v>26/06/1950</v>
      </c>
      <c r="L159" s="3">
        <f>'All Girls &amp; Descendants - Edit'!M158</f>
        <v>18440</v>
      </c>
      <c r="M159" s="3">
        <f>'All Girls &amp; Descendants - Edit'!N158</f>
        <v>0</v>
      </c>
      <c r="N159" s="3">
        <f>'All Girls &amp; Descendants - Edit'!O158</f>
        <v>0</v>
      </c>
      <c r="O159" s="3" t="str">
        <f>'All Girls &amp; Descendants - Edit'!P158</f>
        <v/>
      </c>
      <c r="P159" t="str">
        <f t="shared" si="55"/>
        <v>63aa</v>
      </c>
      <c r="Q159" s="116">
        <f t="shared" si="56"/>
        <v>2</v>
      </c>
      <c r="R159" s="31" t="str">
        <f t="shared" si="57"/>
        <v>Arthur William  MOORE</v>
      </c>
      <c r="S159" t="str">
        <f t="shared" si="58"/>
        <v>Arthur MOORE (1950 - : #63aa)</v>
      </c>
    </row>
    <row r="160" spans="1:24">
      <c r="A160">
        <f>'All Girls &amp; Descendants - Edit'!B159</f>
        <v>63</v>
      </c>
      <c r="B160" t="str">
        <f>'All Girls &amp; Descendants - Edit'!C159</f>
        <v>63ab</v>
      </c>
      <c r="C160" t="str">
        <f>'All Girls &amp; Descendants - Edit'!D159</f>
        <v>MOORE</v>
      </c>
      <c r="D160" t="str">
        <f>'All Girls &amp; Descendants - Edit'!E159</f>
        <v>Gareth</v>
      </c>
      <c r="E160" t="str">
        <f>IF('All Girls &amp; Descendants - Edit'!F159="","",'All Girls &amp; Descendants - Edit'!F159)</f>
        <v>Allen</v>
      </c>
      <c r="F160" t="str">
        <f>IF('All Girls &amp; Descendants - Edit'!G159="","",'All Girls &amp; Descendants - Edit'!G159)</f>
        <v/>
      </c>
      <c r="G160" t="str">
        <f>IF('All Girls &amp; Descendants - Edit'!H159="",D160,'All Girls &amp; Descendants - Edit'!H159)</f>
        <v>Gareth</v>
      </c>
      <c r="H160">
        <f>'All Girls &amp; Descendants - Edit'!I159</f>
        <v>1985</v>
      </c>
      <c r="I160" t="str">
        <f>'All Girls &amp; Descendants - Edit'!J159</f>
        <v/>
      </c>
      <c r="J160" s="101">
        <f>'All Girls &amp; Descendants - Edit'!K159</f>
        <v>0</v>
      </c>
      <c r="K160" s="3" t="str">
        <f>'All Girls &amp; Descendants - Edit'!L159</f>
        <v>24/08/1985</v>
      </c>
      <c r="L160" s="3">
        <f>'All Girls &amp; Descendants - Edit'!M159</f>
        <v>31283</v>
      </c>
      <c r="M160" s="3">
        <f>'All Girls &amp; Descendants - Edit'!N159</f>
        <v>0</v>
      </c>
      <c r="N160" s="3">
        <f>'All Girls &amp; Descendants - Edit'!O159</f>
        <v>0</v>
      </c>
      <c r="O160" s="3" t="str">
        <f>'All Girls &amp; Descendants - Edit'!P159</f>
        <v/>
      </c>
      <c r="P160" t="str">
        <f t="shared" si="55"/>
        <v>63ab</v>
      </c>
      <c r="Q160" s="116">
        <f t="shared" si="56"/>
        <v>2</v>
      </c>
      <c r="R160" s="31" t="str">
        <f t="shared" si="57"/>
        <v>Gareth Allen  MOORE</v>
      </c>
      <c r="S160" t="str">
        <f t="shared" si="58"/>
        <v>Gareth MOORE (1985 - : #63ab)</v>
      </c>
    </row>
    <row r="161" spans="1:19">
      <c r="A161">
        <f>'All Girls &amp; Descendants - Edit'!B160</f>
        <v>65</v>
      </c>
      <c r="B161" t="str">
        <f>'All Girls &amp; Descendants - Edit'!C160</f>
        <v>65ca</v>
      </c>
      <c r="C161" t="str">
        <f>'All Girls &amp; Descendants - Edit'!D160</f>
        <v>WHEELER</v>
      </c>
      <c r="D161" t="str">
        <f>'All Girls &amp; Descendants - Edit'!E160</f>
        <v>Vanessa</v>
      </c>
      <c r="E161" t="str">
        <f>IF('All Girls &amp; Descendants - Edit'!F160="","",'All Girls &amp; Descendants - Edit'!F160)</f>
        <v>Chantal</v>
      </c>
      <c r="F161" t="str">
        <f>IF('All Girls &amp; Descendants - Edit'!G160="","",'All Girls &amp; Descendants - Edit'!G160)</f>
        <v/>
      </c>
      <c r="G161" t="str">
        <f>IF('All Girls &amp; Descendants - Edit'!H160="",D161,'All Girls &amp; Descendants - Edit'!H160)</f>
        <v>Vanessa</v>
      </c>
      <c r="H161">
        <f>'All Girls &amp; Descendants - Edit'!I160</f>
        <v>1971</v>
      </c>
      <c r="I161" t="str">
        <f>'All Girls &amp; Descendants - Edit'!J160</f>
        <v/>
      </c>
      <c r="J161" s="101">
        <f>'All Girls &amp; Descendants - Edit'!K160</f>
        <v>0</v>
      </c>
      <c r="K161" s="3" t="str">
        <f>'All Girls &amp; Descendants - Edit'!L160</f>
        <v>01/06/1971</v>
      </c>
      <c r="L161" s="3">
        <f>'All Girls &amp; Descendants - Edit'!M160</f>
        <v>26085</v>
      </c>
      <c r="M161" s="3">
        <f>'All Girls &amp; Descendants - Edit'!N160</f>
        <v>0</v>
      </c>
      <c r="N161" s="3">
        <f>'All Girls &amp; Descendants - Edit'!O160</f>
        <v>0</v>
      </c>
      <c r="O161" s="3" t="str">
        <f>'All Girls &amp; Descendants - Edit'!P160</f>
        <v/>
      </c>
      <c r="P161" t="str">
        <f t="shared" si="55"/>
        <v>65ca</v>
      </c>
      <c r="Q161" s="116">
        <f t="shared" si="56"/>
        <v>2</v>
      </c>
      <c r="R161" s="31" t="str">
        <f t="shared" si="57"/>
        <v>Vanessa Chantal  WHEELER</v>
      </c>
      <c r="S161" t="str">
        <f t="shared" si="58"/>
        <v>Vanessa WHEELER (1971 - : #65ca)</v>
      </c>
    </row>
    <row r="162" spans="1:19">
      <c r="A162">
        <f>'All Girls &amp; Descendants - Edit'!B161</f>
        <v>65</v>
      </c>
      <c r="B162" t="str">
        <f>'All Girls &amp; Descendants - Edit'!C161</f>
        <v>65cb</v>
      </c>
      <c r="C162" t="str">
        <f>'All Girls &amp; Descendants - Edit'!D161</f>
        <v>WHEELER</v>
      </c>
      <c r="D162" t="str">
        <f>'All Girls &amp; Descendants - Edit'!E161</f>
        <v>Karen</v>
      </c>
      <c r="E162" t="str">
        <f>IF('All Girls &amp; Descendants - Edit'!F161="","",'All Girls &amp; Descendants - Edit'!F161)</f>
        <v>Natalie</v>
      </c>
      <c r="F162" t="str">
        <f>IF('All Girls &amp; Descendants - Edit'!G161="","",'All Girls &amp; Descendants - Edit'!G161)</f>
        <v/>
      </c>
      <c r="G162" t="str">
        <f>IF('All Girls &amp; Descendants - Edit'!H161="",D162,'All Girls &amp; Descendants - Edit'!H161)</f>
        <v>Karen</v>
      </c>
      <c r="H162">
        <f>'All Girls &amp; Descendants - Edit'!I161</f>
        <v>1973</v>
      </c>
      <c r="I162" t="str">
        <f>'All Girls &amp; Descendants - Edit'!J161</f>
        <v/>
      </c>
      <c r="J162" s="101">
        <f>'All Girls &amp; Descendants - Edit'!K161</f>
        <v>0</v>
      </c>
      <c r="K162" s="3" t="str">
        <f>'All Girls &amp; Descendants - Edit'!L161</f>
        <v>09/07/1973</v>
      </c>
      <c r="L162" s="3">
        <f>'All Girls &amp; Descendants - Edit'!M161</f>
        <v>26854</v>
      </c>
      <c r="M162" s="3">
        <f>'All Girls &amp; Descendants - Edit'!N161</f>
        <v>0</v>
      </c>
      <c r="N162" s="3">
        <f>'All Girls &amp; Descendants - Edit'!O161</f>
        <v>0</v>
      </c>
      <c r="O162" s="3" t="str">
        <f>'All Girls &amp; Descendants - Edit'!P161</f>
        <v/>
      </c>
      <c r="P162" t="str">
        <f t="shared" si="55"/>
        <v>65cb</v>
      </c>
      <c r="Q162" s="116">
        <f t="shared" si="56"/>
        <v>2</v>
      </c>
      <c r="R162" s="31" t="str">
        <f t="shared" si="57"/>
        <v>Karen Natalie  WHEELER</v>
      </c>
      <c r="S162" t="str">
        <f t="shared" si="58"/>
        <v>Karen WHEELER (1973 - : #65cb)</v>
      </c>
    </row>
    <row r="163" spans="1:19">
      <c r="A163">
        <f>'All Girls &amp; Descendants - Edit'!B162</f>
        <v>70</v>
      </c>
      <c r="B163" t="str">
        <f>'All Girls &amp; Descendants - Edit'!C162</f>
        <v>70aa</v>
      </c>
      <c r="C163" t="str">
        <f>'All Girls &amp; Descendants - Edit'!D162</f>
        <v>SHEARER</v>
      </c>
      <c r="D163" t="str">
        <f>'All Girls &amp; Descendants - Edit'!E162</f>
        <v>William</v>
      </c>
      <c r="E163" t="str">
        <f>IF('All Girls &amp; Descendants - Edit'!F162="","",'All Girls &amp; Descendants - Edit'!F162)</f>
        <v>Richard</v>
      </c>
      <c r="F163" t="str">
        <f>IF('All Girls &amp; Descendants - Edit'!G162="","",'All Girls &amp; Descendants - Edit'!G162)</f>
        <v>Charles</v>
      </c>
      <c r="G163" t="str">
        <f>IF('All Girls &amp; Descendants - Edit'!H162="",D163,'All Girls &amp; Descendants - Edit'!H162)</f>
        <v>William</v>
      </c>
      <c r="H163">
        <f>'All Girls &amp; Descendants - Edit'!I162</f>
        <v>1951</v>
      </c>
      <c r="I163" t="str">
        <f>'All Girls &amp; Descendants - Edit'!J162</f>
        <v/>
      </c>
      <c r="J163" s="101">
        <f>'All Girls &amp; Descendants - Edit'!K162</f>
        <v>0</v>
      </c>
      <c r="K163" s="3" t="str">
        <f>'All Girls &amp; Descendants - Edit'!L162</f>
        <v>31/01/1951</v>
      </c>
      <c r="L163" s="3">
        <f>'All Girls &amp; Descendants - Edit'!M162</f>
        <v>18659</v>
      </c>
      <c r="M163" s="3">
        <f>'All Girls &amp; Descendants - Edit'!N162</f>
        <v>29477</v>
      </c>
      <c r="N163" s="3">
        <f>'All Girls &amp; Descendants - Edit'!O162</f>
        <v>0</v>
      </c>
      <c r="O163" s="3" t="str">
        <f>'All Girls &amp; Descendants - Edit'!P162</f>
        <v/>
      </c>
      <c r="P163" t="str">
        <f t="shared" si="55"/>
        <v>70aa</v>
      </c>
      <c r="Q163" s="116">
        <f t="shared" si="56"/>
        <v>2</v>
      </c>
      <c r="R163" s="31" t="str">
        <f t="shared" si="57"/>
        <v>William Richard Charles SHEARER</v>
      </c>
      <c r="S163" t="str">
        <f t="shared" si="58"/>
        <v>William SHEARER (1951 - : #70aa)</v>
      </c>
    </row>
    <row r="164" spans="1:19">
      <c r="A164">
        <f>'All Girls &amp; Descendants - Edit'!B163</f>
        <v>70</v>
      </c>
      <c r="B164" t="str">
        <f>'All Girls &amp; Descendants - Edit'!C163</f>
        <v>70ab</v>
      </c>
      <c r="C164" t="str">
        <f>'All Girls &amp; Descendants - Edit'!D163</f>
        <v>SHEARER</v>
      </c>
      <c r="D164" t="str">
        <f>'All Girls &amp; Descendants - Edit'!E163</f>
        <v>Rosemary</v>
      </c>
      <c r="E164" t="str">
        <f>IF('All Girls &amp; Descendants - Edit'!F163="","",'All Girls &amp; Descendants - Edit'!F163)</f>
        <v>Diana</v>
      </c>
      <c r="F164" t="str">
        <f>IF('All Girls &amp; Descendants - Edit'!G163="","",'All Girls &amp; Descendants - Edit'!G163)</f>
        <v>Esther</v>
      </c>
      <c r="G164" t="str">
        <f>IF('All Girls &amp; Descendants - Edit'!H163="",D164,'All Girls &amp; Descendants - Edit'!H163)</f>
        <v>Rosemary</v>
      </c>
      <c r="H164">
        <f>'All Girls &amp; Descendants - Edit'!I163</f>
        <v>1952</v>
      </c>
      <c r="I164" t="str">
        <f>'All Girls &amp; Descendants - Edit'!J163</f>
        <v/>
      </c>
      <c r="J164" s="101">
        <f>'All Girls &amp; Descendants - Edit'!K163</f>
        <v>0</v>
      </c>
      <c r="K164" s="3" t="str">
        <f>'All Girls &amp; Descendants - Edit'!L163</f>
        <v>22/11/1952</v>
      </c>
      <c r="L164" s="3">
        <f>'All Girls &amp; Descendants - Edit'!M163</f>
        <v>19320</v>
      </c>
      <c r="M164" s="3">
        <f>'All Girls &amp; Descendants - Edit'!N163</f>
        <v>29052</v>
      </c>
      <c r="N164" s="3">
        <f>'All Girls &amp; Descendants - Edit'!O163</f>
        <v>0</v>
      </c>
      <c r="O164" s="3" t="str">
        <f>'All Girls &amp; Descendants - Edit'!P163</f>
        <v/>
      </c>
      <c r="P164" t="str">
        <f t="shared" si="55"/>
        <v>70ab</v>
      </c>
      <c r="Q164" s="116">
        <f t="shared" si="56"/>
        <v>2</v>
      </c>
      <c r="R164" s="31" t="str">
        <f t="shared" si="57"/>
        <v>Rosemary Diana Esther SHEARER</v>
      </c>
      <c r="S164" t="str">
        <f t="shared" si="58"/>
        <v>Rosemary SHEARER (1952 - : #70ab)</v>
      </c>
    </row>
    <row r="165" spans="1:19">
      <c r="A165">
        <f>'All Girls &amp; Descendants - Edit'!B164</f>
        <v>70</v>
      </c>
      <c r="B165" t="str">
        <f>'All Girls &amp; Descendants - Edit'!C164</f>
        <v>70ac</v>
      </c>
      <c r="C165" t="str">
        <f>'All Girls &amp; Descendants - Edit'!D164</f>
        <v>SHEARER</v>
      </c>
      <c r="D165" t="str">
        <f>'All Girls &amp; Descendants - Edit'!E164</f>
        <v>Andrew</v>
      </c>
      <c r="E165" t="str">
        <f>IF('All Girls &amp; Descendants - Edit'!F164="","",'All Girls &amp; Descendants - Edit'!F164)</f>
        <v>John</v>
      </c>
      <c r="F165" t="str">
        <f>IF('All Girls &amp; Descendants - Edit'!G164="","",'All Girls &amp; Descendants - Edit'!G164)</f>
        <v>Micklem</v>
      </c>
      <c r="G165" t="str">
        <f>IF('All Girls &amp; Descendants - Edit'!H164="",D165,'All Girls &amp; Descendants - Edit'!H164)</f>
        <v>Andrew</v>
      </c>
      <c r="H165">
        <f>'All Girls &amp; Descendants - Edit'!I164</f>
        <v>1960</v>
      </c>
      <c r="I165" t="str">
        <f>'All Girls &amp; Descendants - Edit'!J164</f>
        <v/>
      </c>
      <c r="J165" s="101">
        <f>'All Girls &amp; Descendants - Edit'!K164</f>
        <v>0</v>
      </c>
      <c r="K165" s="3" t="str">
        <f>'All Girls &amp; Descendants - Edit'!L164</f>
        <v>01/06/1960</v>
      </c>
      <c r="L165" s="3">
        <f>'All Girls &amp; Descendants - Edit'!M164</f>
        <v>22068</v>
      </c>
      <c r="M165" s="3">
        <f>'All Girls &amp; Descendants - Edit'!N164</f>
        <v>0</v>
      </c>
      <c r="N165" s="3">
        <f>'All Girls &amp; Descendants - Edit'!O164</f>
        <v>0</v>
      </c>
      <c r="O165" s="3" t="str">
        <f>'All Girls &amp; Descendants - Edit'!P164</f>
        <v/>
      </c>
      <c r="P165" t="str">
        <f t="shared" si="55"/>
        <v>70ac</v>
      </c>
      <c r="Q165" s="116">
        <f t="shared" si="56"/>
        <v>2</v>
      </c>
      <c r="R165" s="31" t="str">
        <f t="shared" si="57"/>
        <v>Andrew John Micklem SHEARER</v>
      </c>
      <c r="S165" t="str">
        <f t="shared" si="58"/>
        <v>Andrew SHEARER (1960 - : #70ac)</v>
      </c>
    </row>
    <row r="166" spans="1:19">
      <c r="A166">
        <f>'All Girls &amp; Descendants - Edit'!B165</f>
        <v>70</v>
      </c>
      <c r="B166" t="str">
        <f>'All Girls &amp; Descendants - Edit'!C165</f>
        <v>70ba</v>
      </c>
      <c r="C166" t="str">
        <f>'All Girls &amp; Descendants - Edit'!D165</f>
        <v>MELITUS</v>
      </c>
      <c r="D166" t="str">
        <f>'All Girls &amp; Descendants - Edit'!E165</f>
        <v>Charles</v>
      </c>
      <c r="E166" t="str">
        <f>IF('All Girls &amp; Descendants - Edit'!F165="","",'All Girls &amp; Descendants - Edit'!F165)</f>
        <v>Peter</v>
      </c>
      <c r="F166" t="str">
        <f>IF('All Girls &amp; Descendants - Edit'!G165="","",'All Girls &amp; Descendants - Edit'!G165)</f>
        <v/>
      </c>
      <c r="G166" t="str">
        <f>IF('All Girls &amp; Descendants - Edit'!H165="",D166,'All Girls &amp; Descendants - Edit'!H165)</f>
        <v>Peter</v>
      </c>
      <c r="H166">
        <f>'All Girls &amp; Descendants - Edit'!I165</f>
        <v>1955</v>
      </c>
      <c r="I166" t="str">
        <f>'All Girls &amp; Descendants - Edit'!J165</f>
        <v/>
      </c>
      <c r="J166" s="101">
        <f>'All Girls &amp; Descendants - Edit'!K165</f>
        <v>0</v>
      </c>
      <c r="K166" s="3" t="str">
        <f>'All Girls &amp; Descendants - Edit'!L165</f>
        <v>10/08/1955</v>
      </c>
      <c r="L166" s="3" t="str">
        <f>'All Girls &amp; Descendants - Edit'!M165</f>
        <v>10/08/1955</v>
      </c>
      <c r="M166" s="3">
        <f>'All Girls &amp; Descendants - Edit'!N165</f>
        <v>30526</v>
      </c>
      <c r="N166" s="3">
        <f>'All Girls &amp; Descendants - Edit'!O165</f>
        <v>0</v>
      </c>
      <c r="O166" s="3" t="str">
        <f>'All Girls &amp; Descendants - Edit'!P165</f>
        <v/>
      </c>
      <c r="P166" t="str">
        <f t="shared" si="55"/>
        <v>70ba</v>
      </c>
      <c r="Q166" s="116">
        <f t="shared" si="56"/>
        <v>2</v>
      </c>
      <c r="R166" s="31" t="str">
        <f t="shared" si="57"/>
        <v>Charles Peter  MELITUS</v>
      </c>
      <c r="S166" t="str">
        <f t="shared" si="58"/>
        <v>Peter MELITUS (1955 - : #70ba)</v>
      </c>
    </row>
    <row r="167" spans="1:19">
      <c r="A167">
        <f>'All Girls &amp; Descendants - Edit'!B166</f>
        <v>70</v>
      </c>
      <c r="B167" t="str">
        <f>'All Girls &amp; Descendants - Edit'!C166</f>
        <v>70bb</v>
      </c>
      <c r="C167" t="str">
        <f>'All Girls &amp; Descendants - Edit'!D166</f>
        <v>MELITUS</v>
      </c>
      <c r="D167" t="str">
        <f>'All Girls &amp; Descendants - Edit'!E166</f>
        <v>Caroline</v>
      </c>
      <c r="E167" t="str">
        <f>IF('All Girls &amp; Descendants - Edit'!F166="","",'All Girls &amp; Descendants - Edit'!F166)</f>
        <v>Margaret</v>
      </c>
      <c r="F167" t="str">
        <f>IF('All Girls &amp; Descendants - Edit'!G166="","",'All Girls &amp; Descendants - Edit'!G166)</f>
        <v>Paula</v>
      </c>
      <c r="G167" t="str">
        <f>IF('All Girls &amp; Descendants - Edit'!H166="",D167,'All Girls &amp; Descendants - Edit'!H166)</f>
        <v>Caroline</v>
      </c>
      <c r="H167">
        <f>'All Girls &amp; Descendants - Edit'!I166</f>
        <v>1959</v>
      </c>
      <c r="I167" t="str">
        <f>'All Girls &amp; Descendants - Edit'!J166</f>
        <v/>
      </c>
      <c r="J167" s="101">
        <f>'All Girls &amp; Descendants - Edit'!K166</f>
        <v>0</v>
      </c>
      <c r="K167" s="3" t="str">
        <f>'All Girls &amp; Descendants - Edit'!L166</f>
        <v>14/09/1959</v>
      </c>
      <c r="L167" s="3" t="str">
        <f>'All Girls &amp; Descendants - Edit'!M166</f>
        <v>14/09/1959</v>
      </c>
      <c r="M167" s="3">
        <f>'All Girls &amp; Descendants - Edit'!N166</f>
        <v>31759</v>
      </c>
      <c r="N167" s="3">
        <f>'All Girls &amp; Descendants - Edit'!O166</f>
        <v>0</v>
      </c>
      <c r="O167" s="3" t="str">
        <f>'All Girls &amp; Descendants - Edit'!P166</f>
        <v/>
      </c>
      <c r="P167" t="str">
        <f t="shared" si="55"/>
        <v>70bb</v>
      </c>
      <c r="Q167" s="116">
        <f t="shared" si="56"/>
        <v>2</v>
      </c>
      <c r="R167" s="31" t="str">
        <f t="shared" si="57"/>
        <v>Caroline Margaret Paula MELITUS</v>
      </c>
      <c r="S167" t="str">
        <f t="shared" si="58"/>
        <v>Caroline MELITUS (1959 - : #70bb)</v>
      </c>
    </row>
    <row r="168" spans="1:19">
      <c r="A168">
        <f>'All Girls &amp; Descendants - Edit'!B167</f>
        <v>70</v>
      </c>
      <c r="B168" t="str">
        <f>'All Girls &amp; Descendants - Edit'!C167</f>
        <v>70ca</v>
      </c>
      <c r="C168" t="str">
        <f>'All Girls &amp; Descendants - Edit'!D167</f>
        <v>PAGE</v>
      </c>
      <c r="D168" t="str">
        <f>'All Girls &amp; Descendants - Edit'!E167</f>
        <v>Arthur</v>
      </c>
      <c r="E168" t="str">
        <f>IF('All Girls &amp; Descendants - Edit'!F167="","",'All Girls &amp; Descendants - Edit'!F167)</f>
        <v>Hugo</v>
      </c>
      <c r="F168" t="str">
        <f>IF('All Girls &amp; Descendants - Edit'!G167="","",'All Girls &amp; Descendants - Edit'!G167)</f>
        <v>Micklem</v>
      </c>
      <c r="G168" t="str">
        <f>IF('All Girls &amp; Descendants - Edit'!H167="",D168,'All Girls &amp; Descendants - Edit'!H167)</f>
        <v>Hugo</v>
      </c>
      <c r="H168">
        <f>'All Girls &amp; Descendants - Edit'!I167</f>
        <v>1951</v>
      </c>
      <c r="I168" t="str">
        <f>'All Girls &amp; Descendants - Edit'!J167</f>
        <v/>
      </c>
      <c r="J168" s="101">
        <f>'All Girls &amp; Descendants - Edit'!K167</f>
        <v>0</v>
      </c>
      <c r="K168" s="3" t="str">
        <f>'All Girls &amp; Descendants - Edit'!L167</f>
        <v>16/09/1951</v>
      </c>
      <c r="L168" s="3">
        <f>'All Girls &amp; Descendants - Edit'!M167</f>
        <v>18887</v>
      </c>
      <c r="M168" s="3" t="str">
        <f>'All Girls &amp; Descendants - Edit'!N167</f>
        <v>00/10/1992</v>
      </c>
      <c r="N168" s="3">
        <f>'All Girls &amp; Descendants - Edit'!O167</f>
        <v>0</v>
      </c>
      <c r="O168" s="3" t="str">
        <f>'All Girls &amp; Descendants - Edit'!P167</f>
        <v/>
      </c>
      <c r="P168" t="str">
        <f t="shared" si="55"/>
        <v>70ca</v>
      </c>
      <c r="Q168" s="116">
        <f t="shared" si="56"/>
        <v>2</v>
      </c>
      <c r="R168" s="31" t="str">
        <f t="shared" si="57"/>
        <v>Arthur Hugo Micklem PAGE</v>
      </c>
      <c r="S168" t="str">
        <f t="shared" si="58"/>
        <v>Hugo PAGE (1951 - : #70ca)</v>
      </c>
    </row>
    <row r="169" spans="1:19">
      <c r="A169">
        <f>'All Girls &amp; Descendants - Edit'!B168</f>
        <v>70</v>
      </c>
      <c r="B169" t="str">
        <f>'All Girls &amp; Descendants - Edit'!C168</f>
        <v>70cb</v>
      </c>
      <c r="C169" t="str">
        <f>'All Girls &amp; Descendants - Edit'!D168</f>
        <v>PAGE</v>
      </c>
      <c r="D169" t="str">
        <f>'All Girls &amp; Descendants - Edit'!E168</f>
        <v>John</v>
      </c>
      <c r="E169" t="str">
        <f>IF('All Girls &amp; Descendants - Edit'!F168="","",'All Girls &amp; Descendants - Edit'!F168)</f>
        <v>Nathaniel</v>
      </c>
      <c r="F169" t="str">
        <f>IF('All Girls &amp; Descendants - Edit'!G168="","",'All Girls &amp; Descendants - Edit'!G168)</f>
        <v>Micklem</v>
      </c>
      <c r="G169" t="str">
        <f>IF('All Girls &amp; Descendants - Edit'!H168="",D169,'All Girls &amp; Descendants - Edit'!H168)</f>
        <v>Nat</v>
      </c>
      <c r="H169">
        <f>'All Girls &amp; Descendants - Edit'!I168</f>
        <v>1953</v>
      </c>
      <c r="I169" t="str">
        <f>'All Girls &amp; Descendants - Edit'!J168</f>
        <v/>
      </c>
      <c r="J169" s="101">
        <f>'All Girls &amp; Descendants - Edit'!K168</f>
        <v>0</v>
      </c>
      <c r="K169" s="3" t="str">
        <f>'All Girls &amp; Descendants - Edit'!L168</f>
        <v>16/12/1953</v>
      </c>
      <c r="L169" s="3">
        <f>'All Girls &amp; Descendants - Edit'!M168</f>
        <v>19709</v>
      </c>
      <c r="M169" s="3">
        <f>'All Girls &amp; Descendants - Edit'!N168</f>
        <v>31094</v>
      </c>
      <c r="N169" s="3">
        <f>'All Girls &amp; Descendants - Edit'!O168</f>
        <v>0</v>
      </c>
      <c r="O169" s="3" t="str">
        <f>'All Girls &amp; Descendants - Edit'!P168</f>
        <v/>
      </c>
      <c r="P169" t="str">
        <f t="shared" si="55"/>
        <v>70cb</v>
      </c>
      <c r="Q169" s="116">
        <f t="shared" si="56"/>
        <v>2</v>
      </c>
      <c r="R169" s="31" t="str">
        <f t="shared" si="57"/>
        <v>John Nathaniel Micklem PAGE</v>
      </c>
      <c r="S169" t="str">
        <f t="shared" si="58"/>
        <v>Nat PAGE (1953 - : #70cb)</v>
      </c>
    </row>
    <row r="170" spans="1:19">
      <c r="A170">
        <f>'All Girls &amp; Descendants - Edit'!B169</f>
        <v>70</v>
      </c>
      <c r="B170" t="str">
        <f>'All Girls &amp; Descendants - Edit'!C169</f>
        <v>70cc</v>
      </c>
      <c r="C170" t="str">
        <f>'All Girls &amp; Descendants - Edit'!D169</f>
        <v>PAGE</v>
      </c>
      <c r="D170" t="str">
        <f>'All Girls &amp; Descendants - Edit'!E169</f>
        <v>Henry</v>
      </c>
      <c r="E170" t="str">
        <f>IF('All Girls &amp; Descendants - Edit'!F169="","",'All Girls &amp; Descendants - Edit'!F169)</f>
        <v>Charles</v>
      </c>
      <c r="F170" t="str">
        <f>IF('All Girls &amp; Descendants - Edit'!G169="","",'All Girls &amp; Descendants - Edit'!G169)</f>
        <v>Micklem</v>
      </c>
      <c r="G170" t="str">
        <f>IF('All Girls &amp; Descendants - Edit'!H169="",D170,'All Girls &amp; Descendants - Edit'!H169)</f>
        <v>Henry</v>
      </c>
      <c r="H170">
        <f>'All Girls &amp; Descendants - Edit'!I169</f>
        <v>1953</v>
      </c>
      <c r="I170" t="str">
        <f>'All Girls &amp; Descendants - Edit'!J169</f>
        <v/>
      </c>
      <c r="J170" s="101">
        <f>'All Girls &amp; Descendants - Edit'!K169</f>
        <v>0</v>
      </c>
      <c r="K170" s="3" t="str">
        <f>'All Girls &amp; Descendants - Edit'!L169</f>
        <v>16/12/1953</v>
      </c>
      <c r="L170" s="3">
        <f>'All Girls &amp; Descendants - Edit'!M169</f>
        <v>19709</v>
      </c>
      <c r="M170" s="3">
        <f>'All Girls &amp; Descendants - Edit'!N169</f>
        <v>30536</v>
      </c>
      <c r="N170" s="3">
        <f>'All Girls &amp; Descendants - Edit'!O169</f>
        <v>0</v>
      </c>
      <c r="O170" s="3" t="str">
        <f>'All Girls &amp; Descendants - Edit'!P169</f>
        <v/>
      </c>
      <c r="P170" t="str">
        <f t="shared" si="55"/>
        <v>70cc</v>
      </c>
      <c r="Q170" s="116">
        <f t="shared" si="56"/>
        <v>2</v>
      </c>
      <c r="R170" s="31" t="str">
        <f t="shared" si="57"/>
        <v>Henry Charles Micklem PAGE</v>
      </c>
      <c r="S170" t="str">
        <f t="shared" si="58"/>
        <v>Henry PAGE (1953 - : #70cc)</v>
      </c>
    </row>
    <row r="171" spans="1:19">
      <c r="A171">
        <f>'All Girls &amp; Descendants - Edit'!B170</f>
        <v>70</v>
      </c>
      <c r="B171" t="str">
        <f>'All Girls &amp; Descendants - Edit'!C170</f>
        <v>70cd</v>
      </c>
      <c r="C171" t="str">
        <f>'All Girls &amp; Descendants - Edit'!D170</f>
        <v>PAGE</v>
      </c>
      <c r="D171" t="str">
        <f>'All Girls &amp; Descendants - Edit'!E170</f>
        <v>Rupert</v>
      </c>
      <c r="E171" t="str">
        <f>IF('All Girls &amp; Descendants - Edit'!F170="","",'All Girls &amp; Descendants - Edit'!F170)</f>
        <v>James</v>
      </c>
      <c r="F171" t="str">
        <f>IF('All Girls &amp; Descendants - Edit'!G170="","",'All Girls &amp; Descendants - Edit'!G170)</f>
        <v>Oliver</v>
      </c>
      <c r="G171" t="str">
        <f>IF('All Girls &amp; Descendants - Edit'!H170="",D171,'All Girls &amp; Descendants - Edit'!H170)</f>
        <v>Rupert</v>
      </c>
      <c r="H171">
        <f>'All Girls &amp; Descendants - Edit'!I170</f>
        <v>1963</v>
      </c>
      <c r="I171" t="str">
        <f>'All Girls &amp; Descendants - Edit'!J170</f>
        <v/>
      </c>
      <c r="J171" s="101">
        <f>'All Girls &amp; Descendants - Edit'!K170</f>
        <v>0</v>
      </c>
      <c r="K171" s="3" t="str">
        <f>'All Girls &amp; Descendants - Edit'!L170</f>
        <v>06/08/1963</v>
      </c>
      <c r="L171" s="3">
        <f>'All Girls &amp; Descendants - Edit'!M170</f>
        <v>23229</v>
      </c>
      <c r="M171" s="3">
        <f>'All Girls &amp; Descendants - Edit'!N170</f>
        <v>0</v>
      </c>
      <c r="N171" s="3">
        <f>'All Girls &amp; Descendants - Edit'!O170</f>
        <v>0</v>
      </c>
      <c r="O171" s="3" t="str">
        <f>'All Girls &amp; Descendants - Edit'!P170</f>
        <v/>
      </c>
      <c r="P171" t="str">
        <f t="shared" si="55"/>
        <v>70cd</v>
      </c>
      <c r="Q171" s="116">
        <f t="shared" si="56"/>
        <v>2</v>
      </c>
      <c r="R171" s="31" t="str">
        <f t="shared" si="57"/>
        <v>Rupert James Oliver PAGE</v>
      </c>
      <c r="S171" t="str">
        <f t="shared" si="58"/>
        <v>Rupert PAGE (1963 - : #70cd)</v>
      </c>
    </row>
    <row r="172" spans="1:19">
      <c r="A172">
        <f>'All Girls &amp; Descendants - Edit'!B171</f>
        <v>70</v>
      </c>
      <c r="B172" t="str">
        <f>'All Girls &amp; Descendants - Edit'!C171</f>
        <v>70da</v>
      </c>
      <c r="C172" t="str">
        <f>'All Girls &amp; Descendants - Edit'!D171</f>
        <v>MICKLEM</v>
      </c>
      <c r="D172" t="str">
        <f>'All Girls &amp; Descendants - Edit'!E171</f>
        <v>Philippa</v>
      </c>
      <c r="E172" t="str">
        <f>IF('All Girls &amp; Descendants - Edit'!F171="","",'All Girls &amp; Descendants - Edit'!F171)</f>
        <v>Rhona</v>
      </c>
      <c r="F172" t="str">
        <f>IF('All Girls &amp; Descendants - Edit'!G171="","",'All Girls &amp; Descendants - Edit'!G171)</f>
        <v/>
      </c>
      <c r="G172" t="str">
        <f>IF('All Girls &amp; Descendants - Edit'!H171="",D172,'All Girls &amp; Descendants - Edit'!H171)</f>
        <v>Philippa</v>
      </c>
      <c r="H172">
        <f>'All Girls &amp; Descendants - Edit'!I171</f>
        <v>1958</v>
      </c>
      <c r="I172" t="str">
        <f>'All Girls &amp; Descendants - Edit'!J171</f>
        <v/>
      </c>
      <c r="J172" s="101">
        <f>'All Girls &amp; Descendants - Edit'!K171</f>
        <v>0</v>
      </c>
      <c r="K172" s="3" t="str">
        <f>'All Girls &amp; Descendants - Edit'!L171</f>
        <v>24/09/1958</v>
      </c>
      <c r="L172" s="3" t="str">
        <f>'All Girls &amp; Descendants - Edit'!M171</f>
        <v>24/09/1958</v>
      </c>
      <c r="M172" s="3">
        <f>'All Girls &amp; Descendants - Edit'!N171</f>
        <v>31494</v>
      </c>
      <c r="N172" s="3">
        <f>'All Girls &amp; Descendants - Edit'!O171</f>
        <v>0</v>
      </c>
      <c r="O172" s="3" t="str">
        <f>'All Girls &amp; Descendants - Edit'!P171</f>
        <v/>
      </c>
      <c r="P172" t="str">
        <f t="shared" si="55"/>
        <v>70da</v>
      </c>
      <c r="Q172" s="116">
        <f t="shared" si="56"/>
        <v>2</v>
      </c>
      <c r="R172" s="31" t="str">
        <f t="shared" si="57"/>
        <v>Philippa Rhona  MICKLEM</v>
      </c>
      <c r="S172" t="str">
        <f t="shared" si="58"/>
        <v>Philippa MICKLEM (1958 - : #70da)</v>
      </c>
    </row>
    <row r="173" spans="1:19">
      <c r="A173">
        <f>'All Girls &amp; Descendants - Edit'!B172</f>
        <v>70</v>
      </c>
      <c r="B173" t="str">
        <f>'All Girls &amp; Descendants - Edit'!C172</f>
        <v>70db</v>
      </c>
      <c r="C173" t="str">
        <f>'All Girls &amp; Descendants - Edit'!D172</f>
        <v>MICKLEM</v>
      </c>
      <c r="D173" t="str">
        <f>'All Girls &amp; Descendants - Edit'!E172</f>
        <v>Jeremy</v>
      </c>
      <c r="E173" t="str">
        <f>IF('All Girls &amp; Descendants - Edit'!F172="","",'All Girls &amp; Descendants - Edit'!F172)</f>
        <v>Charles</v>
      </c>
      <c r="F173" t="str">
        <f>IF('All Girls &amp; Descendants - Edit'!G172="","",'All Girls &amp; Descendants - Edit'!G172)</f>
        <v>Cracroft</v>
      </c>
      <c r="G173" t="str">
        <f>IF('All Girls &amp; Descendants - Edit'!H172="",D173,'All Girls &amp; Descendants - Edit'!H172)</f>
        <v>Jeremy</v>
      </c>
      <c r="H173">
        <f>'All Girls &amp; Descendants - Edit'!I172</f>
        <v>1961</v>
      </c>
      <c r="I173" t="str">
        <f>'All Girls &amp; Descendants - Edit'!J172</f>
        <v/>
      </c>
      <c r="J173" s="101">
        <f>'All Girls &amp; Descendants - Edit'!K172</f>
        <v>0</v>
      </c>
      <c r="K173" s="3" t="str">
        <f>'All Girls &amp; Descendants - Edit'!L172</f>
        <v>06/02/1961</v>
      </c>
      <c r="L173" s="3">
        <f>'All Girls &amp; Descendants - Edit'!M172</f>
        <v>22318</v>
      </c>
      <c r="M173" s="3">
        <f>'All Girls &amp; Descendants - Edit'!N172</f>
        <v>0</v>
      </c>
      <c r="N173" s="3">
        <f>'All Girls &amp; Descendants - Edit'!O172</f>
        <v>0</v>
      </c>
      <c r="O173" s="3" t="str">
        <f>'All Girls &amp; Descendants - Edit'!P172</f>
        <v/>
      </c>
      <c r="P173" t="str">
        <f t="shared" si="55"/>
        <v>70db</v>
      </c>
      <c r="Q173" s="116">
        <f t="shared" si="56"/>
        <v>2</v>
      </c>
      <c r="R173" s="31" t="str">
        <f t="shared" si="57"/>
        <v>Jeremy Charles Cracroft MICKLEM</v>
      </c>
      <c r="S173" t="str">
        <f t="shared" si="58"/>
        <v>Jeremy MICKLEM (1961 - : #70db)</v>
      </c>
    </row>
    <row r="174" spans="1:19">
      <c r="A174">
        <f>'All Girls &amp; Descendants - Edit'!B173</f>
        <v>70</v>
      </c>
      <c r="B174" t="str">
        <f>'All Girls &amp; Descendants - Edit'!C173</f>
        <v>70dc</v>
      </c>
      <c r="C174" t="str">
        <f>'All Girls &amp; Descendants - Edit'!D173</f>
        <v>MICKLEM</v>
      </c>
      <c r="D174" t="str">
        <f>'All Girls &amp; Descendants - Edit'!E173</f>
        <v>Sylvia</v>
      </c>
      <c r="E174" t="str">
        <f>IF('All Girls &amp; Descendants - Edit'!F173="","",'All Girls &amp; Descendants - Edit'!F173)</f>
        <v>Diana</v>
      </c>
      <c r="F174" t="str">
        <f>IF('All Girls &amp; Descendants - Edit'!G173="","",'All Girls &amp; Descendants - Edit'!G173)</f>
        <v/>
      </c>
      <c r="G174" t="str">
        <f>IF('All Girls &amp; Descendants - Edit'!H173="",D174,'All Girls &amp; Descendants - Edit'!H173)</f>
        <v>Sylvie</v>
      </c>
      <c r="H174">
        <f>'All Girls &amp; Descendants - Edit'!I173</f>
        <v>1964</v>
      </c>
      <c r="I174" t="str">
        <f>'All Girls &amp; Descendants - Edit'!J173</f>
        <v/>
      </c>
      <c r="J174" s="101">
        <f>'All Girls &amp; Descendants - Edit'!K173</f>
        <v>0</v>
      </c>
      <c r="K174" s="3" t="str">
        <f>'All Girls &amp; Descendants - Edit'!L173</f>
        <v>09/07/1964</v>
      </c>
      <c r="L174" s="3">
        <f>'All Girls &amp; Descendants - Edit'!M173</f>
        <v>23567</v>
      </c>
      <c r="M174" s="3">
        <f>'All Girls &amp; Descendants - Edit'!N173</f>
        <v>31724</v>
      </c>
      <c r="N174" s="3">
        <f>'All Girls &amp; Descendants - Edit'!O173</f>
        <v>0</v>
      </c>
      <c r="O174" s="3" t="str">
        <f>'All Girls &amp; Descendants - Edit'!P173</f>
        <v/>
      </c>
      <c r="P174" t="str">
        <f t="shared" si="55"/>
        <v>70dc</v>
      </c>
      <c r="Q174" s="116">
        <f t="shared" si="56"/>
        <v>2</v>
      </c>
      <c r="R174" s="31" t="str">
        <f t="shared" si="57"/>
        <v>Sylvia Diana  MICKLEM</v>
      </c>
      <c r="S174" t="str">
        <f t="shared" si="58"/>
        <v>Sylvie MICKLEM (1964 - : #70dc)</v>
      </c>
    </row>
    <row r="175" spans="1:19">
      <c r="A175">
        <f>'All Girls &amp; Descendants - Edit'!B174</f>
        <v>85</v>
      </c>
      <c r="B175" t="str">
        <f>'All Girls &amp; Descendants - Edit'!C174</f>
        <v>85aa</v>
      </c>
      <c r="C175" t="str">
        <f>'All Girls &amp; Descendants - Edit'!D174</f>
        <v>LANE FOX</v>
      </c>
      <c r="D175" t="str">
        <f>'All Girls &amp; Descendants - Edit'!E174</f>
        <v>Charlotte</v>
      </c>
      <c r="E175" t="str">
        <f>IF('All Girls &amp; Descendants - Edit'!F174="","",'All Girls &amp; Descendants - Edit'!F174)</f>
        <v>Mary</v>
      </c>
      <c r="F175" t="str">
        <f>IF('All Girls &amp; Descendants - Edit'!G174="","",'All Girls &amp; Descendants - Edit'!G174)</f>
        <v/>
      </c>
      <c r="G175" t="str">
        <f>IF('All Girls &amp; Descendants - Edit'!H174="",D175,'All Girls &amp; Descendants - Edit'!H174)</f>
        <v>Charlotte</v>
      </c>
      <c r="H175">
        <f>'All Girls &amp; Descendants - Edit'!I174</f>
        <v>1967</v>
      </c>
      <c r="I175" t="str">
        <f>'All Girls &amp; Descendants - Edit'!J174</f>
        <v/>
      </c>
      <c r="J175" s="101">
        <f>'All Girls &amp; Descendants - Edit'!K174</f>
        <v>0</v>
      </c>
      <c r="K175" s="3" t="str">
        <f>'All Girls &amp; Descendants - Edit'!L174</f>
        <v>18/04/1967</v>
      </c>
      <c r="L175" s="3">
        <f>'All Girls &amp; Descendants - Edit'!M174</f>
        <v>24580</v>
      </c>
      <c r="M175" s="3">
        <f>'All Girls &amp; Descendants - Edit'!N174</f>
        <v>33950</v>
      </c>
      <c r="N175" s="3">
        <f>'All Girls &amp; Descendants - Edit'!O174</f>
        <v>0</v>
      </c>
      <c r="O175" s="3" t="str">
        <f>'All Girls &amp; Descendants - Edit'!P174</f>
        <v/>
      </c>
      <c r="P175" t="str">
        <f t="shared" si="55"/>
        <v>85aa</v>
      </c>
      <c r="Q175" s="116">
        <f t="shared" si="56"/>
        <v>2</v>
      </c>
      <c r="R175" s="31" t="str">
        <f t="shared" si="57"/>
        <v>Charlotte Mary  LANE FOX</v>
      </c>
      <c r="S175" t="str">
        <f t="shared" si="58"/>
        <v>Charlotte LANE FOX (1967 - : #85aa)</v>
      </c>
    </row>
    <row r="176" spans="1:19">
      <c r="A176">
        <f>'All Girls &amp; Descendants - Edit'!B175</f>
        <v>85</v>
      </c>
      <c r="B176" t="str">
        <f>'All Girls &amp; Descendants - Edit'!C175</f>
        <v>85ab</v>
      </c>
      <c r="C176" t="str">
        <f>'All Girls &amp; Descendants - Edit'!D175</f>
        <v>LANE FOX</v>
      </c>
      <c r="D176" t="str">
        <f>'All Girls &amp; Descendants - Edit'!E175</f>
        <v>Oliver</v>
      </c>
      <c r="E176" t="str">
        <f>IF('All Girls &amp; Descendants - Edit'!F175="","",'All Girls &amp; Descendants - Edit'!F175)</f>
        <v>James</v>
      </c>
      <c r="F176" t="str">
        <f>IF('All Girls &amp; Descendants - Edit'!G175="","",'All Girls &amp; Descendants - Edit'!G175)</f>
        <v/>
      </c>
      <c r="G176" t="str">
        <f>IF('All Girls &amp; Descendants - Edit'!H175="",D176,'All Girls &amp; Descendants - Edit'!H175)</f>
        <v>Oliver</v>
      </c>
      <c r="H176">
        <f>'All Girls &amp; Descendants - Edit'!I175</f>
        <v>1968</v>
      </c>
      <c r="I176" t="str">
        <f>'All Girls &amp; Descendants - Edit'!J175</f>
        <v/>
      </c>
      <c r="J176" s="101">
        <f>'All Girls &amp; Descendants - Edit'!K175</f>
        <v>0</v>
      </c>
      <c r="K176" s="3" t="str">
        <f>'All Girls &amp; Descendants - Edit'!L175</f>
        <v>03/09/1968</v>
      </c>
      <c r="L176" s="3">
        <f>'All Girls &amp; Descendants - Edit'!M175</f>
        <v>25084</v>
      </c>
      <c r="M176" s="3">
        <f>'All Girls &amp; Descendants - Edit'!N175</f>
        <v>36337</v>
      </c>
      <c r="N176" s="3">
        <f>'All Girls &amp; Descendants - Edit'!O175</f>
        <v>0</v>
      </c>
      <c r="O176" s="3" t="str">
        <f>'All Girls &amp; Descendants - Edit'!P175</f>
        <v/>
      </c>
      <c r="P176" t="str">
        <f t="shared" si="55"/>
        <v>85ab</v>
      </c>
      <c r="Q176" s="116">
        <f t="shared" si="56"/>
        <v>2</v>
      </c>
      <c r="R176" s="31" t="str">
        <f t="shared" si="57"/>
        <v>Oliver James  LANE FOX</v>
      </c>
      <c r="S176" t="str">
        <f t="shared" si="58"/>
        <v>Oliver LANE FOX (1968 - : #85ab)</v>
      </c>
    </row>
    <row r="177" spans="1:19">
      <c r="A177">
        <f>'All Girls &amp; Descendants - Edit'!B176</f>
        <v>85</v>
      </c>
      <c r="B177" t="str">
        <f>'All Girls &amp; Descendants - Edit'!C176</f>
        <v>85ac</v>
      </c>
      <c r="C177" t="str">
        <f>'All Girls &amp; Descendants - Edit'!D176</f>
        <v>LANE FOX</v>
      </c>
      <c r="D177" t="str">
        <f>'All Girls &amp; Descendants - Edit'!E176</f>
        <v>Sophie</v>
      </c>
      <c r="E177" t="str">
        <f>IF('All Girls &amp; Descendants - Edit'!F176="","",'All Girls &amp; Descendants - Edit'!F176)</f>
        <v>Anne</v>
      </c>
      <c r="F177" t="str">
        <f>IF('All Girls &amp; Descendants - Edit'!G176="","",'All Girls &amp; Descendants - Edit'!G176)</f>
        <v/>
      </c>
      <c r="G177" t="str">
        <f>IF('All Girls &amp; Descendants - Edit'!H176="",D177,'All Girls &amp; Descendants - Edit'!H176)</f>
        <v>Sophie</v>
      </c>
      <c r="H177">
        <f>'All Girls &amp; Descendants - Edit'!I176</f>
        <v>1972</v>
      </c>
      <c r="I177" t="str">
        <f>'All Girls &amp; Descendants - Edit'!J176</f>
        <v/>
      </c>
      <c r="J177" s="101">
        <f>'All Girls &amp; Descendants - Edit'!K176</f>
        <v>0</v>
      </c>
      <c r="K177" s="3" t="str">
        <f>'All Girls &amp; Descendants - Edit'!L176</f>
        <v>21/07/1972</v>
      </c>
      <c r="L177" s="3">
        <f>'All Girls &amp; Descendants - Edit'!M176</f>
        <v>26501</v>
      </c>
      <c r="M177" s="3">
        <f>'All Girls &amp; Descendants - Edit'!N176</f>
        <v>0</v>
      </c>
      <c r="N177" s="3">
        <f>'All Girls &amp; Descendants - Edit'!O176</f>
        <v>0</v>
      </c>
      <c r="O177" s="3" t="str">
        <f>'All Girls &amp; Descendants - Edit'!P176</f>
        <v/>
      </c>
      <c r="P177" t="str">
        <f t="shared" si="55"/>
        <v>85ac</v>
      </c>
      <c r="Q177" s="116">
        <f t="shared" si="56"/>
        <v>2</v>
      </c>
      <c r="R177" s="31" t="str">
        <f t="shared" si="57"/>
        <v>Sophie Anne  LANE FOX</v>
      </c>
      <c r="S177" t="str">
        <f t="shared" si="58"/>
        <v>Sophie LANE FOX (1972 - : #85ac)</v>
      </c>
    </row>
    <row r="178" spans="1:19">
      <c r="A178">
        <f>'All Girls &amp; Descendants - Edit'!B177</f>
        <v>85</v>
      </c>
      <c r="B178" t="str">
        <f>'All Girls &amp; Descendants - Edit'!C177</f>
        <v>85ba</v>
      </c>
      <c r="C178" t="str">
        <f>'All Girls &amp; Descendants - Edit'!D177</f>
        <v>LANE FOX</v>
      </c>
      <c r="D178" t="str">
        <f>'All Girls &amp; Descendants - Edit'!E177</f>
        <v>Lucy</v>
      </c>
      <c r="E178" t="str">
        <f>IF('All Girls &amp; Descendants - Edit'!F177="","",'All Girls &amp; Descendants - Edit'!F177)</f>
        <v>Jane</v>
      </c>
      <c r="F178" t="str">
        <f>IF('All Girls &amp; Descendants - Edit'!G177="","",'All Girls &amp; Descendants - Edit'!G177)</f>
        <v/>
      </c>
      <c r="G178" t="str">
        <f>IF('All Girls &amp; Descendants - Edit'!H177="",D178,'All Girls &amp; Descendants - Edit'!H177)</f>
        <v>Lucy</v>
      </c>
      <c r="H178">
        <f>'All Girls &amp; Descendants - Edit'!I177</f>
        <v>1965</v>
      </c>
      <c r="I178" t="str">
        <f>'All Girls &amp; Descendants - Edit'!J177</f>
        <v/>
      </c>
      <c r="J178" s="101">
        <f>'All Girls &amp; Descendants - Edit'!K177</f>
        <v>0</v>
      </c>
      <c r="K178" s="3" t="str">
        <f>'All Girls &amp; Descendants - Edit'!L177</f>
        <v>25/09/1965</v>
      </c>
      <c r="L178" s="3">
        <f>'All Girls &amp; Descendants - Edit'!M177</f>
        <v>24010</v>
      </c>
      <c r="M178" s="3">
        <f>'All Girls &amp; Descendants - Edit'!N177</f>
        <v>32774</v>
      </c>
      <c r="N178" s="3">
        <f>'All Girls &amp; Descendants - Edit'!O177</f>
        <v>0</v>
      </c>
      <c r="O178" s="3" t="str">
        <f>'All Girls &amp; Descendants - Edit'!P177</f>
        <v/>
      </c>
      <c r="P178" t="str">
        <f t="shared" si="55"/>
        <v>85ba</v>
      </c>
      <c r="Q178" s="116">
        <f t="shared" si="56"/>
        <v>2</v>
      </c>
      <c r="R178" s="31" t="str">
        <f t="shared" si="57"/>
        <v>Lucy Jane  LANE FOX</v>
      </c>
      <c r="S178" t="str">
        <f t="shared" si="58"/>
        <v>Lucy LANE FOX (1965 - : #85ba)</v>
      </c>
    </row>
    <row r="179" spans="1:19">
      <c r="A179">
        <f>'All Girls &amp; Descendants - Edit'!B178</f>
        <v>85</v>
      </c>
      <c r="B179" t="str">
        <f>'All Girls &amp; Descendants - Edit'!C178</f>
        <v>85bb</v>
      </c>
      <c r="C179" t="str">
        <f>'All Girls &amp; Descendants - Edit'!D178</f>
        <v>LANE FOX</v>
      </c>
      <c r="D179" t="str">
        <f>'All Girls &amp; Descendants - Edit'!E178</f>
        <v>Serena</v>
      </c>
      <c r="E179" t="str">
        <f>IF('All Girls &amp; Descendants - Edit'!F178="","",'All Girls &amp; Descendants - Edit'!F178)</f>
        <v>Mary</v>
      </c>
      <c r="F179" t="str">
        <f>IF('All Girls &amp; Descendants - Edit'!G178="","",'All Girls &amp; Descendants - Edit'!G178)</f>
        <v/>
      </c>
      <c r="G179" t="str">
        <f>IF('All Girls &amp; Descendants - Edit'!H178="",D179,'All Girls &amp; Descendants - Edit'!H178)</f>
        <v>Serena</v>
      </c>
      <c r="H179">
        <f>'All Girls &amp; Descendants - Edit'!I178</f>
        <v>1967</v>
      </c>
      <c r="I179" t="str">
        <f>'All Girls &amp; Descendants - Edit'!J178</f>
        <v/>
      </c>
      <c r="J179" s="101">
        <f>'All Girls &amp; Descendants - Edit'!K178</f>
        <v>0</v>
      </c>
      <c r="K179" s="3" t="str">
        <f>'All Girls &amp; Descendants - Edit'!L178</f>
        <v>19/02/1967</v>
      </c>
      <c r="L179" s="3">
        <f>'All Girls &amp; Descendants - Edit'!M178</f>
        <v>24522</v>
      </c>
      <c r="M179" s="3">
        <f>'All Girls &amp; Descendants - Edit'!N178</f>
        <v>35944</v>
      </c>
      <c r="N179" s="3">
        <f>'All Girls &amp; Descendants - Edit'!O178</f>
        <v>0</v>
      </c>
      <c r="O179" s="3" t="str">
        <f>'All Girls &amp; Descendants - Edit'!P178</f>
        <v/>
      </c>
      <c r="P179" t="str">
        <f t="shared" si="55"/>
        <v>85bb</v>
      </c>
      <c r="Q179" s="116">
        <f t="shared" si="56"/>
        <v>2</v>
      </c>
      <c r="R179" s="31" t="str">
        <f t="shared" si="57"/>
        <v>Serena Mary  LANE FOX</v>
      </c>
      <c r="S179" t="str">
        <f t="shared" si="58"/>
        <v>Serena LANE FOX (1967 - : #85bb)</v>
      </c>
    </row>
    <row r="180" spans="1:19">
      <c r="A180">
        <f>'All Girls &amp; Descendants - Edit'!B179</f>
        <v>85</v>
      </c>
      <c r="B180" t="str">
        <f>'All Girls &amp; Descendants - Edit'!C179</f>
        <v>85bc</v>
      </c>
      <c r="C180" t="str">
        <f>'All Girls &amp; Descendants - Edit'!D179</f>
        <v>LANE FOX</v>
      </c>
      <c r="D180" t="str">
        <f>'All Girls &amp; Descendants - Edit'!E179</f>
        <v>Emily</v>
      </c>
      <c r="E180" t="str">
        <f>IF('All Girls &amp; Descendants - Edit'!F179="","",'All Girls &amp; Descendants - Edit'!F179)</f>
        <v>Laura</v>
      </c>
      <c r="F180" t="str">
        <f>IF('All Girls &amp; Descendants - Edit'!G179="","",'All Girls &amp; Descendants - Edit'!G179)</f>
        <v/>
      </c>
      <c r="G180" t="str">
        <f>IF('All Girls &amp; Descendants - Edit'!H179="",D180,'All Girls &amp; Descendants - Edit'!H179)</f>
        <v>Emily</v>
      </c>
      <c r="H180">
        <f>'All Girls &amp; Descendants - Edit'!I179</f>
        <v>1969</v>
      </c>
      <c r="I180" t="str">
        <f>'All Girls &amp; Descendants - Edit'!J179</f>
        <v/>
      </c>
      <c r="J180" s="101">
        <f>'All Girls &amp; Descendants - Edit'!K179</f>
        <v>0</v>
      </c>
      <c r="K180" s="3" t="str">
        <f>'All Girls &amp; Descendants - Edit'!L179</f>
        <v>02/10/1969</v>
      </c>
      <c r="L180" s="3">
        <f>'All Girls &amp; Descendants - Edit'!M179</f>
        <v>25478</v>
      </c>
      <c r="M180" s="3">
        <f>'All Girls &amp; Descendants - Edit'!N179</f>
        <v>33852</v>
      </c>
      <c r="N180" s="3">
        <f>'All Girls &amp; Descendants - Edit'!O179</f>
        <v>0</v>
      </c>
      <c r="O180" s="3" t="str">
        <f>'All Girls &amp; Descendants - Edit'!P179</f>
        <v/>
      </c>
      <c r="P180" t="str">
        <f t="shared" si="55"/>
        <v>85bc</v>
      </c>
      <c r="Q180" s="116">
        <f t="shared" si="56"/>
        <v>2</v>
      </c>
      <c r="R180" s="31" t="str">
        <f t="shared" si="57"/>
        <v>Emily Laura  LANE FOX</v>
      </c>
      <c r="S180" t="str">
        <f t="shared" si="58"/>
        <v>Emily LANE FOX (1969 - : #85bc)</v>
      </c>
    </row>
    <row r="181" spans="1:19">
      <c r="A181">
        <f>'All Girls &amp; Descendants - Edit'!B180</f>
        <v>85</v>
      </c>
      <c r="B181" t="str">
        <f>'All Girls &amp; Descendants - Edit'!C180</f>
        <v>85bd</v>
      </c>
      <c r="C181" t="str">
        <f>'All Girls &amp; Descendants - Edit'!D180</f>
        <v>LANE FOX</v>
      </c>
      <c r="D181" t="str">
        <f>'All Girls &amp; Descendants - Edit'!E180</f>
        <v>Charles</v>
      </c>
      <c r="E181" t="str">
        <f>IF('All Girls &amp; Descendants - Edit'!F180="","",'All Girls &amp; Descendants - Edit'!F180)</f>
        <v>James</v>
      </c>
      <c r="F181" t="str">
        <f>IF('All Girls &amp; Descendants - Edit'!G180="","",'All Girls &amp; Descendants - Edit'!G180)</f>
        <v/>
      </c>
      <c r="G181" t="str">
        <f>IF('All Girls &amp; Descendants - Edit'!H180="",D181,'All Girls &amp; Descendants - Edit'!H180)</f>
        <v>Charles</v>
      </c>
      <c r="H181">
        <f>'All Girls &amp; Descendants - Edit'!I180</f>
        <v>1977</v>
      </c>
      <c r="I181" t="str">
        <f>'All Girls &amp; Descendants - Edit'!J180</f>
        <v/>
      </c>
      <c r="J181" s="101">
        <f>'All Girls &amp; Descendants - Edit'!K180</f>
        <v>0</v>
      </c>
      <c r="K181" s="3" t="str">
        <f>'All Girls &amp; Descendants - Edit'!L180</f>
        <v>03/04/1977</v>
      </c>
      <c r="L181" s="3">
        <f>'All Girls &amp; Descendants - Edit'!M180</f>
        <v>28218</v>
      </c>
      <c r="M181" s="3">
        <f>'All Girls &amp; Descendants - Edit'!N180</f>
        <v>0</v>
      </c>
      <c r="N181" s="3">
        <f>'All Girls &amp; Descendants - Edit'!O180</f>
        <v>0</v>
      </c>
      <c r="O181" s="3" t="str">
        <f>'All Girls &amp; Descendants - Edit'!P180</f>
        <v/>
      </c>
      <c r="P181" t="str">
        <f t="shared" si="55"/>
        <v>85bd</v>
      </c>
      <c r="Q181" s="116">
        <f t="shared" si="56"/>
        <v>2</v>
      </c>
      <c r="R181" s="31" t="str">
        <f t="shared" si="57"/>
        <v>Charles James  LANE FOX</v>
      </c>
      <c r="S181" t="str">
        <f t="shared" si="58"/>
        <v>Charles LANE FOX (1977 - : #85bd)</v>
      </c>
    </row>
    <row r="182" spans="1:19">
      <c r="A182">
        <f>'All Girls &amp; Descendants - Edit'!B181</f>
        <v>85</v>
      </c>
      <c r="B182" t="str">
        <f>'All Girls &amp; Descendants - Edit'!C181</f>
        <v>85ca</v>
      </c>
      <c r="C182" t="str">
        <f>'All Girls &amp; Descendants - Edit'!D181</f>
        <v>TENNYSON d'EYNCOURT</v>
      </c>
      <c r="D182" t="str">
        <f>'All Girls &amp; Descendants - Edit'!E181</f>
        <v>James</v>
      </c>
      <c r="E182" t="str">
        <f>IF('All Girls &amp; Descendants - Edit'!F181="","",'All Girls &amp; Descendants - Edit'!F181)</f>
        <v>Alfred</v>
      </c>
      <c r="F182" t="str">
        <f>IF('All Girls &amp; Descendants - Edit'!G181="","",'All Girls &amp; Descendants - Edit'!G181)</f>
        <v>Louis</v>
      </c>
      <c r="G182" t="str">
        <f>IF('All Girls &amp; Descendants - Edit'!H181="",D182,'All Girls &amp; Descendants - Edit'!H181)</f>
        <v>James</v>
      </c>
      <c r="H182">
        <f>'All Girls &amp; Descendants - Edit'!I181</f>
        <v>1978</v>
      </c>
      <c r="I182" t="str">
        <f>'All Girls &amp; Descendants - Edit'!J181</f>
        <v/>
      </c>
      <c r="J182" s="101">
        <f>'All Girls &amp; Descendants - Edit'!K181</f>
        <v>0</v>
      </c>
      <c r="K182" s="3" t="str">
        <f>'All Girls &amp; Descendants - Edit'!L181</f>
        <v>11/06/1978</v>
      </c>
      <c r="L182" s="3">
        <f>'All Girls &amp; Descendants - Edit'!M181</f>
        <v>28652</v>
      </c>
      <c r="M182" s="3">
        <f>'All Girls &amp; Descendants - Edit'!N181</f>
        <v>0</v>
      </c>
      <c r="N182" s="3">
        <f>'All Girls &amp; Descendants - Edit'!O181</f>
        <v>0</v>
      </c>
      <c r="O182" s="3" t="str">
        <f>'All Girls &amp; Descendants - Edit'!P181</f>
        <v/>
      </c>
      <c r="P182" t="str">
        <f t="shared" si="55"/>
        <v>85ca</v>
      </c>
      <c r="Q182" s="116">
        <f t="shared" si="56"/>
        <v>2</v>
      </c>
      <c r="R182" s="31" t="str">
        <f t="shared" si="57"/>
        <v>James Alfred Louis TENNYSON d'EYNCOURT</v>
      </c>
      <c r="S182" t="str">
        <f t="shared" si="58"/>
        <v>James TENNYSON d'EYNCOURT (1978 - : #85ca)</v>
      </c>
    </row>
    <row r="183" spans="1:19">
      <c r="A183">
        <f>'All Girls &amp; Descendants - Edit'!B182</f>
        <v>85</v>
      </c>
      <c r="B183" t="str">
        <f>'All Girls &amp; Descendants - Edit'!C182</f>
        <v>85cb</v>
      </c>
      <c r="C183" t="str">
        <f>'All Girls &amp; Descendants - Edit'!D182</f>
        <v>TENNYSON d'EYNCOURT</v>
      </c>
      <c r="D183" t="str">
        <f>'All Girls &amp; Descendants - Edit'!E182</f>
        <v>Frances</v>
      </c>
      <c r="E183" t="str">
        <f>IF('All Girls &amp; Descendants - Edit'!F182="","",'All Girls &amp; Descendants - Edit'!F182)</f>
        <v>Rosemary</v>
      </c>
      <c r="F183" t="str">
        <f>IF('All Girls &amp; Descendants - Edit'!G182="","",'All Girls &amp; Descendants - Edit'!G182)</f>
        <v>Amaryllis</v>
      </c>
      <c r="G183" t="str">
        <f>IF('All Girls &amp; Descendants - Edit'!H182="",D183,'All Girls &amp; Descendants - Edit'!H182)</f>
        <v>Frances</v>
      </c>
      <c r="H183">
        <f>'All Girls &amp; Descendants - Edit'!I182</f>
        <v>1980</v>
      </c>
      <c r="I183" t="str">
        <f>'All Girls &amp; Descendants - Edit'!J182</f>
        <v/>
      </c>
      <c r="J183" s="101">
        <f>'All Girls &amp; Descendants - Edit'!K182</f>
        <v>0</v>
      </c>
      <c r="K183" s="3" t="str">
        <f>'All Girls &amp; Descendants - Edit'!L182</f>
        <v>22/03/1980</v>
      </c>
      <c r="L183" s="3">
        <f>'All Girls &amp; Descendants - Edit'!M182</f>
        <v>29302</v>
      </c>
      <c r="M183" s="3">
        <f>'All Girls &amp; Descendants - Edit'!N182</f>
        <v>0</v>
      </c>
      <c r="N183" s="3">
        <f>'All Girls &amp; Descendants - Edit'!O182</f>
        <v>0</v>
      </c>
      <c r="O183" s="3" t="str">
        <f>'All Girls &amp; Descendants - Edit'!P182</f>
        <v/>
      </c>
      <c r="P183" t="str">
        <f t="shared" si="55"/>
        <v>85cb</v>
      </c>
      <c r="Q183" s="116">
        <f t="shared" si="56"/>
        <v>2</v>
      </c>
      <c r="R183" s="31" t="str">
        <f t="shared" si="57"/>
        <v>Frances Rosemary Amaryllis TENNYSON d'EYNCOURT</v>
      </c>
      <c r="S183" t="str">
        <f t="shared" si="58"/>
        <v>Frances TENNYSON d'EYNCOURT (1980 - : #85cb)</v>
      </c>
    </row>
    <row r="184" spans="1:19">
      <c r="A184">
        <f>'All Girls &amp; Descendants - Edit'!B183</f>
        <v>85</v>
      </c>
      <c r="B184" t="str">
        <f>'All Girls &amp; Descendants - Edit'!C183</f>
        <v>85da</v>
      </c>
      <c r="C184" t="str">
        <f>'All Girls &amp; Descendants - Edit'!D183</f>
        <v>LANE FOX</v>
      </c>
      <c r="D184" t="str">
        <f>'All Girls &amp; Descendants - Edit'!E183</f>
        <v>Martha</v>
      </c>
      <c r="E184" t="str">
        <f>IF('All Girls &amp; Descendants - Edit'!F183="","",'All Girls &amp; Descendants - Edit'!F183)</f>
        <v/>
      </c>
      <c r="F184" t="str">
        <f>IF('All Girls &amp; Descendants - Edit'!G183="","",'All Girls &amp; Descendants - Edit'!G183)</f>
        <v/>
      </c>
      <c r="G184" t="str">
        <f>IF('All Girls &amp; Descendants - Edit'!H183="",D184,'All Girls &amp; Descendants - Edit'!H183)</f>
        <v>Martha</v>
      </c>
      <c r="H184">
        <f>'All Girls &amp; Descendants - Edit'!I183</f>
        <v>1973</v>
      </c>
      <c r="I184" t="str">
        <f>'All Girls &amp; Descendants - Edit'!J183</f>
        <v/>
      </c>
      <c r="J184" s="101">
        <f>'All Girls &amp; Descendants - Edit'!K183</f>
        <v>0</v>
      </c>
      <c r="K184" s="3" t="str">
        <f>'All Girls &amp; Descendants - Edit'!L183</f>
        <v>10/02/1973</v>
      </c>
      <c r="L184" s="3">
        <f>'All Girls &amp; Descendants - Edit'!M183</f>
        <v>26705</v>
      </c>
      <c r="M184" s="3">
        <f>'All Girls &amp; Descendants - Edit'!N183</f>
        <v>0</v>
      </c>
      <c r="N184" s="3">
        <f>'All Girls &amp; Descendants - Edit'!O183</f>
        <v>0</v>
      </c>
      <c r="O184" s="3" t="str">
        <f>'All Girls &amp; Descendants - Edit'!P183</f>
        <v/>
      </c>
      <c r="P184" t="str">
        <f t="shared" si="55"/>
        <v>85da</v>
      </c>
      <c r="Q184" s="116">
        <f t="shared" si="56"/>
        <v>2</v>
      </c>
      <c r="R184" s="31" t="str">
        <f t="shared" si="57"/>
        <v>Martha   LANE FOX</v>
      </c>
      <c r="S184" t="str">
        <f t="shared" si="58"/>
        <v>Martha LANE FOX (1973 - : #85da)</v>
      </c>
    </row>
    <row r="185" spans="1:19">
      <c r="A185">
        <f>'All Girls &amp; Descendants - Edit'!B184</f>
        <v>85</v>
      </c>
      <c r="B185" t="str">
        <f>'All Girls &amp; Descendants - Edit'!C184</f>
        <v>85db</v>
      </c>
      <c r="C185" t="str">
        <f>'All Girls &amp; Descendants - Edit'!D184</f>
        <v>LANE FOX</v>
      </c>
      <c r="D185" t="str">
        <f>'All Girls &amp; Descendants - Edit'!E184</f>
        <v>Henry</v>
      </c>
      <c r="E185" t="str">
        <f>IF('All Girls &amp; Descendants - Edit'!F184="","",'All Girls &amp; Descendants - Edit'!F184)</f>
        <v>James</v>
      </c>
      <c r="F185" t="str">
        <f>IF('All Girls &amp; Descendants - Edit'!G184="","",'All Girls &amp; Descendants - Edit'!G184)</f>
        <v/>
      </c>
      <c r="G185" t="str">
        <f>IF('All Girls &amp; Descendants - Edit'!H184="",D185,'All Girls &amp; Descendants - Edit'!H184)</f>
        <v>Henry</v>
      </c>
      <c r="H185">
        <f>'All Girls &amp; Descendants - Edit'!I184</f>
        <v>1974</v>
      </c>
      <c r="I185" t="str">
        <f>'All Girls &amp; Descendants - Edit'!J184</f>
        <v/>
      </c>
      <c r="J185" s="101">
        <f>'All Girls &amp; Descendants - Edit'!K184</f>
        <v>0</v>
      </c>
      <c r="K185" s="3" t="str">
        <f>'All Girls &amp; Descendants - Edit'!L184</f>
        <v>19/10/1974</v>
      </c>
      <c r="L185" s="3">
        <f>'All Girls &amp; Descendants - Edit'!M184</f>
        <v>27321</v>
      </c>
      <c r="M185" s="3">
        <f>'All Girls &amp; Descendants - Edit'!N184</f>
        <v>0</v>
      </c>
      <c r="N185" s="3">
        <f>'All Girls &amp; Descendants - Edit'!O184</f>
        <v>0</v>
      </c>
      <c r="O185" s="3" t="str">
        <f>'All Girls &amp; Descendants - Edit'!P184</f>
        <v/>
      </c>
      <c r="P185" t="str">
        <f t="shared" si="55"/>
        <v>85db</v>
      </c>
      <c r="Q185" s="116">
        <f t="shared" si="56"/>
        <v>2</v>
      </c>
      <c r="R185" s="31" t="str">
        <f t="shared" si="57"/>
        <v>Henry James  LANE FOX</v>
      </c>
      <c r="S185" t="str">
        <f t="shared" si="58"/>
        <v>Henry LANE FOX (1974 - : #85db)</v>
      </c>
    </row>
    <row r="186" spans="1:19">
      <c r="A186">
        <f>'All Girls &amp; Descendants - Edit'!B185</f>
        <v>88</v>
      </c>
      <c r="B186" t="str">
        <f>'All Girls &amp; Descendants - Edit'!C185</f>
        <v>88aa</v>
      </c>
      <c r="C186" t="str">
        <f>'All Girls &amp; Descendants - Edit'!D185</f>
        <v>HOLMAN</v>
      </c>
      <c r="D186" t="str">
        <f>'All Girls &amp; Descendants - Edit'!E185</f>
        <v>Richard</v>
      </c>
      <c r="E186" t="str">
        <f>IF('All Girls &amp; Descendants - Edit'!F185="","",'All Girls &amp; Descendants - Edit'!F185)</f>
        <v>Ian</v>
      </c>
      <c r="F186" t="str">
        <f>IF('All Girls &amp; Descendants - Edit'!G185="","",'All Girls &amp; Descendants - Edit'!G185)</f>
        <v/>
      </c>
      <c r="G186" t="str">
        <f>IF('All Girls &amp; Descendants - Edit'!H185="",D186,'All Girls &amp; Descendants - Edit'!H185)</f>
        <v>Richard</v>
      </c>
      <c r="H186">
        <f>'All Girls &amp; Descendants - Edit'!I185</f>
        <v>1958</v>
      </c>
      <c r="I186" t="str">
        <f>'All Girls &amp; Descendants - Edit'!J185</f>
        <v/>
      </c>
      <c r="J186" s="101">
        <f>'All Girls &amp; Descendants - Edit'!K185</f>
        <v>0</v>
      </c>
      <c r="K186" s="3" t="str">
        <f>'All Girls &amp; Descendants - Edit'!L185</f>
        <v>02/09/1958</v>
      </c>
      <c r="L186" s="3" t="str">
        <f>'All Girls &amp; Descendants - Edit'!M185</f>
        <v>02/09/1958</v>
      </c>
      <c r="M186" s="3">
        <f>'All Girls &amp; Descendants - Edit'!N185</f>
        <v>31157</v>
      </c>
      <c r="N186" s="3">
        <f>'All Girls &amp; Descendants - Edit'!O185</f>
        <v>0</v>
      </c>
      <c r="O186" s="3" t="str">
        <f>'All Girls &amp; Descendants - Edit'!P185</f>
        <v/>
      </c>
      <c r="P186" t="str">
        <f t="shared" si="55"/>
        <v>88aa</v>
      </c>
      <c r="Q186" s="116">
        <f t="shared" si="56"/>
        <v>2</v>
      </c>
      <c r="R186" s="31" t="str">
        <f t="shared" si="57"/>
        <v>Richard Ian  HOLMAN</v>
      </c>
      <c r="S186" t="str">
        <f t="shared" si="58"/>
        <v>Richard HOLMAN (1958 - : #88aa)</v>
      </c>
    </row>
    <row r="187" spans="1:19">
      <c r="A187">
        <f>'All Girls &amp; Descendants - Edit'!B186</f>
        <v>88</v>
      </c>
      <c r="B187" t="str">
        <f>'All Girls &amp; Descendants - Edit'!C186</f>
        <v>88ab</v>
      </c>
      <c r="C187" t="str">
        <f>'All Girls &amp; Descendants - Edit'!D186</f>
        <v>HOLMAN</v>
      </c>
      <c r="D187" t="str">
        <f>'All Girls &amp; Descendants - Edit'!E186</f>
        <v>Edward</v>
      </c>
      <c r="E187" t="str">
        <f>IF('All Girls &amp; Descendants - Edit'!F186="","",'All Girls &amp; Descendants - Edit'!F186)</f>
        <v/>
      </c>
      <c r="F187" t="str">
        <f>IF('All Girls &amp; Descendants - Edit'!G186="","",'All Girls &amp; Descendants - Edit'!G186)</f>
        <v/>
      </c>
      <c r="G187" t="str">
        <f>IF('All Girls &amp; Descendants - Edit'!H186="",D187,'All Girls &amp; Descendants - Edit'!H186)</f>
        <v>Edward</v>
      </c>
      <c r="H187">
        <f>'All Girls &amp; Descendants - Edit'!I186</f>
        <v>1960</v>
      </c>
      <c r="I187" t="str">
        <f>'All Girls &amp; Descendants - Edit'!J186</f>
        <v/>
      </c>
      <c r="J187" s="101">
        <f>'All Girls &amp; Descendants - Edit'!K186</f>
        <v>0</v>
      </c>
      <c r="K187" s="3" t="str">
        <f>'All Girls &amp; Descendants - Edit'!L186</f>
        <v>15/02/1960</v>
      </c>
      <c r="L187" s="3">
        <f>'All Girls &amp; Descendants - Edit'!M186</f>
        <v>21961</v>
      </c>
      <c r="M187" s="3">
        <f>'All Girls &amp; Descendants - Edit'!N186</f>
        <v>0</v>
      </c>
      <c r="N187" s="3">
        <f>'All Girls &amp; Descendants - Edit'!O186</f>
        <v>0</v>
      </c>
      <c r="O187" s="3" t="str">
        <f>'All Girls &amp; Descendants - Edit'!P186</f>
        <v/>
      </c>
      <c r="P187" t="str">
        <f t="shared" si="55"/>
        <v>88ab</v>
      </c>
      <c r="Q187" s="116">
        <f t="shared" si="56"/>
        <v>2</v>
      </c>
      <c r="R187" s="31" t="str">
        <f t="shared" si="57"/>
        <v>Edward   HOLMAN</v>
      </c>
      <c r="S187" t="str">
        <f t="shared" si="58"/>
        <v>Edward HOLMAN (1960 - : #88ab)</v>
      </c>
    </row>
    <row r="188" spans="1:19">
      <c r="A188">
        <f>'All Girls &amp; Descendants - Edit'!B187</f>
        <v>88</v>
      </c>
      <c r="B188" t="str">
        <f>'All Girls &amp; Descendants - Edit'!C187</f>
        <v>88ac</v>
      </c>
      <c r="C188" t="str">
        <f>'All Girls &amp; Descendants - Edit'!D187</f>
        <v>HOLMAN</v>
      </c>
      <c r="D188" t="str">
        <f>'All Girls &amp; Descendants - Edit'!E187</f>
        <v>Georgina</v>
      </c>
      <c r="E188" t="str">
        <f>IF('All Girls &amp; Descendants - Edit'!F187="","",'All Girls &amp; Descendants - Edit'!F187)</f>
        <v>Mary</v>
      </c>
      <c r="F188" t="str">
        <f>IF('All Girls &amp; Descendants - Edit'!G187="","",'All Girls &amp; Descendants - Edit'!G187)</f>
        <v/>
      </c>
      <c r="G188" t="str">
        <f>IF('All Girls &amp; Descendants - Edit'!H187="",D188,'All Girls &amp; Descendants - Edit'!H187)</f>
        <v>Georgina</v>
      </c>
      <c r="H188">
        <f>'All Girls &amp; Descendants - Edit'!I187</f>
        <v>1964</v>
      </c>
      <c r="I188" t="str">
        <f>'All Girls &amp; Descendants - Edit'!J187</f>
        <v/>
      </c>
      <c r="J188" s="101">
        <f>'All Girls &amp; Descendants - Edit'!K187</f>
        <v>0</v>
      </c>
      <c r="K188" s="3" t="str">
        <f>'All Girls &amp; Descendants - Edit'!L187</f>
        <v>04/10/1964</v>
      </c>
      <c r="L188" s="3">
        <f>'All Girls &amp; Descendants - Edit'!M187</f>
        <v>23654</v>
      </c>
      <c r="M188" s="3">
        <f>'All Girls &amp; Descendants - Edit'!N187</f>
        <v>32344</v>
      </c>
      <c r="N188" s="3">
        <f>'All Girls &amp; Descendants - Edit'!O187</f>
        <v>0</v>
      </c>
      <c r="O188" s="3" t="str">
        <f>'All Girls &amp; Descendants - Edit'!P187</f>
        <v/>
      </c>
      <c r="P188" t="str">
        <f t="shared" si="55"/>
        <v>88ac</v>
      </c>
      <c r="Q188" s="116">
        <f t="shared" si="56"/>
        <v>2</v>
      </c>
      <c r="R188" s="31" t="str">
        <f t="shared" si="57"/>
        <v>Georgina Mary  HOLMAN</v>
      </c>
      <c r="S188" t="str">
        <f t="shared" si="58"/>
        <v>Georgina HOLMAN (1964 - : #88ac)</v>
      </c>
    </row>
    <row r="189" spans="1:19">
      <c r="A189">
        <f>'All Girls &amp; Descendants - Edit'!B188</f>
        <v>88</v>
      </c>
      <c r="B189" t="str">
        <f>'All Girls &amp; Descendants - Edit'!C188</f>
        <v>88ad</v>
      </c>
      <c r="C189" t="str">
        <f>'All Girls &amp; Descendants - Edit'!D188</f>
        <v>HOLMAN</v>
      </c>
      <c r="D189" t="str">
        <f>'All Girls &amp; Descendants - Edit'!E188</f>
        <v>Emma</v>
      </c>
      <c r="E189" t="str">
        <f>IF('All Girls &amp; Descendants - Edit'!F188="","",'All Girls &amp; Descendants - Edit'!F188)</f>
        <v>Charlotte</v>
      </c>
      <c r="F189" t="str">
        <f>IF('All Girls &amp; Descendants - Edit'!G188="","",'All Girls &amp; Descendants - Edit'!G188)</f>
        <v/>
      </c>
      <c r="G189" t="str">
        <f>IF('All Girls &amp; Descendants - Edit'!H188="",D189,'All Girls &amp; Descendants - Edit'!H188)</f>
        <v>Emma</v>
      </c>
      <c r="H189">
        <f>'All Girls &amp; Descendants - Edit'!I188</f>
        <v>1966</v>
      </c>
      <c r="I189" t="str">
        <f>'All Girls &amp; Descendants - Edit'!J188</f>
        <v/>
      </c>
      <c r="J189" s="101">
        <f>'All Girls &amp; Descendants - Edit'!K188</f>
        <v>0</v>
      </c>
      <c r="K189" s="3" t="str">
        <f>'All Girls &amp; Descendants - Edit'!L188</f>
        <v>11/04/1966</v>
      </c>
      <c r="L189" s="3">
        <f>'All Girls &amp; Descendants - Edit'!M188</f>
        <v>24208</v>
      </c>
      <c r="M189" s="3">
        <f>'All Girls &amp; Descendants - Edit'!N188</f>
        <v>32984</v>
      </c>
      <c r="N189" s="3">
        <f>'All Girls &amp; Descendants - Edit'!O188</f>
        <v>0</v>
      </c>
      <c r="O189" s="3" t="str">
        <f>'All Girls &amp; Descendants - Edit'!P188</f>
        <v/>
      </c>
      <c r="P189" t="str">
        <f t="shared" si="55"/>
        <v>88ad</v>
      </c>
      <c r="Q189" s="116">
        <f t="shared" si="56"/>
        <v>2</v>
      </c>
      <c r="R189" s="31" t="str">
        <f t="shared" si="57"/>
        <v>Emma Charlotte  HOLMAN</v>
      </c>
      <c r="S189" t="str">
        <f t="shared" si="58"/>
        <v>Emma HOLMAN (1966 - : #88ad)</v>
      </c>
    </row>
    <row r="190" spans="1:19">
      <c r="A190">
        <f>'All Girls &amp; Descendants - Edit'!B189</f>
        <v>88</v>
      </c>
      <c r="B190" t="str">
        <f>'All Girls &amp; Descendants - Edit'!C189</f>
        <v>88ba</v>
      </c>
      <c r="C190" t="str">
        <f>'All Girls &amp; Descendants - Edit'!D189</f>
        <v>KEITH</v>
      </c>
      <c r="D190" t="str">
        <f>'All Girls &amp; Descendants - Edit'!E189</f>
        <v>James</v>
      </c>
      <c r="E190" t="str">
        <f>IF('All Girls &amp; Descendants - Edit'!F189="","",'All Girls &amp; Descendants - Edit'!F189)</f>
        <v>William</v>
      </c>
      <c r="F190" t="str">
        <f>IF('All Girls &amp; Descendants - Edit'!G189="","",'All Girls &amp; Descendants - Edit'!G189)</f>
        <v>Falconer</v>
      </c>
      <c r="G190" t="str">
        <f>IF('All Girls &amp; Descendants - Edit'!H189="",D190,'All Girls &amp; Descendants - Edit'!H189)</f>
        <v>James</v>
      </c>
      <c r="H190">
        <f>'All Girls &amp; Descendants - Edit'!I189</f>
        <v>1976</v>
      </c>
      <c r="I190" t="str">
        <f>'All Girls &amp; Descendants - Edit'!J189</f>
        <v/>
      </c>
      <c r="J190" s="101">
        <f>'All Girls &amp; Descendants - Edit'!K189</f>
        <v>0</v>
      </c>
      <c r="K190" s="3" t="str">
        <f>'All Girls &amp; Descendants - Edit'!L189</f>
        <v>15/04/1976</v>
      </c>
      <c r="L190" s="3">
        <f>'All Girls &amp; Descendants - Edit'!M189</f>
        <v>27865</v>
      </c>
      <c r="M190" s="3">
        <f>'All Girls &amp; Descendants - Edit'!N189</f>
        <v>0</v>
      </c>
      <c r="N190" s="3">
        <f>'All Girls &amp; Descendants - Edit'!O189</f>
        <v>0</v>
      </c>
      <c r="O190" s="3" t="str">
        <f>'All Girls &amp; Descendants - Edit'!P189</f>
        <v/>
      </c>
      <c r="P190" t="str">
        <f t="shared" si="55"/>
        <v>88ba</v>
      </c>
      <c r="Q190" s="116">
        <f t="shared" si="56"/>
        <v>2</v>
      </c>
      <c r="R190" s="31" t="str">
        <f t="shared" si="57"/>
        <v>James William Falconer KEITH</v>
      </c>
      <c r="S190" t="str">
        <f t="shared" si="58"/>
        <v>James KEITH (1976 - : #88ba)</v>
      </c>
    </row>
    <row r="191" spans="1:19">
      <c r="A191">
        <f>'All Girls &amp; Descendants - Edit'!B190</f>
        <v>88</v>
      </c>
      <c r="B191" t="str">
        <f>'All Girls &amp; Descendants - Edit'!C190</f>
        <v>88ca</v>
      </c>
      <c r="C191" t="str">
        <f>'All Girls &amp; Descendants - Edit'!D190</f>
        <v>KEITH</v>
      </c>
      <c r="D191" t="str">
        <f>'All Girls &amp; Descendants - Edit'!E190</f>
        <v>The Honourable Iona</v>
      </c>
      <c r="E191" t="str">
        <f>IF('All Girls &amp; Descendants - Edit'!F190="","",'All Girls &amp; Descendants - Edit'!F190)</f>
        <v>Delia Mary</v>
      </c>
      <c r="F191" t="str">
        <f>IF('All Girls &amp; Descendants - Edit'!G190="","",'All Girls &amp; Descendants - Edit'!G190)</f>
        <v>Gaddis</v>
      </c>
      <c r="G191" t="str">
        <f>IF('All Girls &amp; Descendants - Edit'!H190="",D191,'All Girls &amp; Descendants - Edit'!H190)</f>
        <v>The Honourable Iona</v>
      </c>
      <c r="H191">
        <f>'All Girls &amp; Descendants - Edit'!I190</f>
        <v>1978</v>
      </c>
      <c r="I191" t="str">
        <f>'All Girls &amp; Descendants - Edit'!J190</f>
        <v/>
      </c>
      <c r="J191" s="101">
        <f>'All Girls &amp; Descendants - Edit'!K190</f>
        <v>0</v>
      </c>
      <c r="K191" s="3" t="str">
        <f>'All Girls &amp; Descendants - Edit'!L190</f>
        <v>01/01/1978</v>
      </c>
      <c r="L191" s="3">
        <f>'All Girls &amp; Descendants - Edit'!M190</f>
        <v>28491</v>
      </c>
      <c r="M191" s="3">
        <f>'All Girls &amp; Descendants - Edit'!N190</f>
        <v>0</v>
      </c>
      <c r="N191" s="3">
        <f>'All Girls &amp; Descendants - Edit'!O190</f>
        <v>0</v>
      </c>
      <c r="O191" s="3" t="str">
        <f>'All Girls &amp; Descendants - Edit'!P190</f>
        <v/>
      </c>
      <c r="P191" t="str">
        <f t="shared" si="55"/>
        <v>88ca</v>
      </c>
      <c r="Q191" s="116">
        <f t="shared" si="56"/>
        <v>2</v>
      </c>
      <c r="R191" s="31" t="str">
        <f t="shared" si="57"/>
        <v>The Honourable Iona Delia Mary Gaddis KEITH</v>
      </c>
      <c r="S191" t="str">
        <f t="shared" si="58"/>
        <v>The Honourable Iona KEITH (1978 - : #88ca)</v>
      </c>
    </row>
    <row r="192" spans="1:19">
      <c r="A192">
        <f>'All Girls &amp; Descendants - Edit'!B191</f>
        <v>90</v>
      </c>
      <c r="B192" t="str">
        <f>'All Girls &amp; Descendants - Edit'!C191</f>
        <v>90aa</v>
      </c>
      <c r="C192" t="str">
        <f>'All Girls &amp; Descendants - Edit'!D191</f>
        <v>NORMAN</v>
      </c>
      <c r="D192" t="str">
        <f>'All Girls &amp; Descendants - Edit'!E191</f>
        <v>Emily</v>
      </c>
      <c r="E192" t="str">
        <f>IF('All Girls &amp; Descendants - Edit'!F191="","",'All Girls &amp; Descendants - Edit'!F191)</f>
        <v>Kate</v>
      </c>
      <c r="F192" t="str">
        <f>IF('All Girls &amp; Descendants - Edit'!G191="","",'All Girls &amp; Descendants - Edit'!G191)</f>
        <v/>
      </c>
      <c r="G192" t="str">
        <f>IF('All Girls &amp; Descendants - Edit'!H191="",D192,'All Girls &amp; Descendants - Edit'!H191)</f>
        <v>Emily</v>
      </c>
      <c r="H192">
        <f>'All Girls &amp; Descendants - Edit'!I191</f>
        <v>1975</v>
      </c>
      <c r="I192" t="str">
        <f>'All Girls &amp; Descendants - Edit'!J191</f>
        <v/>
      </c>
      <c r="J192" s="101">
        <f>'All Girls &amp; Descendants - Edit'!K191</f>
        <v>0</v>
      </c>
      <c r="K192" s="3" t="str">
        <f>'All Girls &amp; Descendants - Edit'!L191</f>
        <v>24/09/1975</v>
      </c>
      <c r="L192" s="3">
        <f>'All Girls &amp; Descendants - Edit'!M191</f>
        <v>27661</v>
      </c>
      <c r="M192" s="3">
        <f>'All Girls &amp; Descendants - Edit'!N191</f>
        <v>0</v>
      </c>
      <c r="N192" s="3">
        <f>'All Girls &amp; Descendants - Edit'!O191</f>
        <v>0</v>
      </c>
      <c r="O192" s="3" t="str">
        <f>'All Girls &amp; Descendants - Edit'!P191</f>
        <v/>
      </c>
      <c r="P192" t="str">
        <f t="shared" si="55"/>
        <v>90aa</v>
      </c>
      <c r="Q192" s="116">
        <f t="shared" si="56"/>
        <v>2</v>
      </c>
      <c r="R192" s="31" t="str">
        <f t="shared" si="57"/>
        <v>Emily Kate  NORMAN</v>
      </c>
      <c r="S192" t="str">
        <f t="shared" si="58"/>
        <v>Emily NORMAN (1975 - : #90aa)</v>
      </c>
    </row>
    <row r="193" spans="1:19">
      <c r="A193">
        <f>'All Girls &amp; Descendants - Edit'!B192</f>
        <v>90</v>
      </c>
      <c r="B193" t="str">
        <f>'All Girls &amp; Descendants - Edit'!C192</f>
        <v>90ab</v>
      </c>
      <c r="C193" t="str">
        <f>'All Girls &amp; Descendants - Edit'!D192</f>
        <v>RANKIN</v>
      </c>
      <c r="D193" t="str">
        <f>'All Girls &amp; Descendants - Edit'!E192</f>
        <v>Lachlan</v>
      </c>
      <c r="E193" t="str">
        <f>IF('All Girls &amp; Descendants - Edit'!F192="","",'All Girls &amp; Descendants - Edit'!F192)</f>
        <v>John</v>
      </c>
      <c r="F193" t="str">
        <f>IF('All Girls &amp; Descendants - Edit'!G192="","",'All Girls &amp; Descendants - Edit'!G192)</f>
        <v/>
      </c>
      <c r="G193" t="str">
        <f>IF('All Girls &amp; Descendants - Edit'!H192="",D193,'All Girls &amp; Descendants - Edit'!H192)</f>
        <v>Lachlan</v>
      </c>
      <c r="H193">
        <f>'All Girls &amp; Descendants - Edit'!I192</f>
        <v>1980</v>
      </c>
      <c r="I193" t="str">
        <f>'All Girls &amp; Descendants - Edit'!J192</f>
        <v/>
      </c>
      <c r="J193" s="101">
        <f>'All Girls &amp; Descendants - Edit'!K192</f>
        <v>0</v>
      </c>
      <c r="K193" s="3" t="str">
        <f>'All Girls &amp; Descendants - Edit'!L192</f>
        <v>27/04/1980</v>
      </c>
      <c r="L193" s="3">
        <f>'All Girls &amp; Descendants - Edit'!M192</f>
        <v>29338</v>
      </c>
      <c r="M193" s="3">
        <f>'All Girls &amp; Descendants - Edit'!N192</f>
        <v>0</v>
      </c>
      <c r="N193" s="3">
        <f>'All Girls &amp; Descendants - Edit'!O192</f>
        <v>0</v>
      </c>
      <c r="O193" s="3" t="str">
        <f>'All Girls &amp; Descendants - Edit'!P192</f>
        <v/>
      </c>
      <c r="P193" t="str">
        <f t="shared" si="55"/>
        <v>90ab</v>
      </c>
      <c r="Q193" s="116">
        <f t="shared" si="56"/>
        <v>2</v>
      </c>
      <c r="R193" s="31" t="str">
        <f t="shared" si="57"/>
        <v>Lachlan John  RANKIN</v>
      </c>
      <c r="S193" t="str">
        <f t="shared" si="58"/>
        <v>Lachlan RANKIN (1980 - : #90ab)</v>
      </c>
    </row>
    <row r="194" spans="1:19">
      <c r="A194">
        <f>'All Girls &amp; Descendants - Edit'!B193</f>
        <v>90</v>
      </c>
      <c r="B194" t="str">
        <f>'All Girls &amp; Descendants - Edit'!C193</f>
        <v>90ba</v>
      </c>
      <c r="C194" t="str">
        <f>'All Girls &amp; Descendants - Edit'!D193</f>
        <v>STUDIATI BERNI</v>
      </c>
      <c r="D194" t="str">
        <f>'All Girls &amp; Descendants - Edit'!E193</f>
        <v>Cesare</v>
      </c>
      <c r="E194" t="str">
        <f>IF('All Girls &amp; Descendants - Edit'!F193="","",'All Girls &amp; Descendants - Edit'!F193)</f>
        <v/>
      </c>
      <c r="F194" t="str">
        <f>IF('All Girls &amp; Descendants - Edit'!G193="","",'All Girls &amp; Descendants - Edit'!G193)</f>
        <v/>
      </c>
      <c r="G194" t="str">
        <f>IF('All Girls &amp; Descendants - Edit'!H193="",D194,'All Girls &amp; Descendants - Edit'!H193)</f>
        <v>Cesare</v>
      </c>
      <c r="H194">
        <f>'All Girls &amp; Descendants - Edit'!I193</f>
        <v>1972</v>
      </c>
      <c r="I194" t="str">
        <f>'All Girls &amp; Descendants - Edit'!J193</f>
        <v/>
      </c>
      <c r="J194" s="101">
        <f>'All Girls &amp; Descendants - Edit'!K193</f>
        <v>0</v>
      </c>
      <c r="K194" s="3" t="str">
        <f>'All Girls &amp; Descendants - Edit'!L193</f>
        <v>07/09/1972</v>
      </c>
      <c r="L194" s="3">
        <f>'All Girls &amp; Descendants - Edit'!M193</f>
        <v>26549</v>
      </c>
      <c r="M194" s="3">
        <f>'All Girls &amp; Descendants - Edit'!N193</f>
        <v>0</v>
      </c>
      <c r="N194" s="3">
        <f>'All Girls &amp; Descendants - Edit'!O193</f>
        <v>0</v>
      </c>
      <c r="O194" s="3" t="str">
        <f>'All Girls &amp; Descendants - Edit'!P193</f>
        <v/>
      </c>
      <c r="P194" t="str">
        <f t="shared" si="55"/>
        <v>90ba</v>
      </c>
      <c r="Q194" s="116">
        <f t="shared" si="56"/>
        <v>2</v>
      </c>
      <c r="R194" s="31" t="str">
        <f t="shared" si="57"/>
        <v>Cesare   STUDIATI BERNI</v>
      </c>
      <c r="S194" t="str">
        <f t="shared" si="58"/>
        <v>Cesare STUDIATI BERNI (1972 - : #90ba)</v>
      </c>
    </row>
    <row r="195" spans="1:19">
      <c r="A195">
        <f>'All Girls &amp; Descendants - Edit'!B194</f>
        <v>90</v>
      </c>
      <c r="B195" t="str">
        <f>'All Girls &amp; Descendants - Edit'!C194</f>
        <v>90bb</v>
      </c>
      <c r="C195" t="str">
        <f>'All Girls &amp; Descendants - Edit'!D194</f>
        <v>STUDIATI BERNI</v>
      </c>
      <c r="D195" t="str">
        <f>'All Girls &amp; Descendants - Edit'!E194</f>
        <v>Viola</v>
      </c>
      <c r="E195" t="str">
        <f>IF('All Girls &amp; Descendants - Edit'!F194="","",'All Girls &amp; Descendants - Edit'!F194)</f>
        <v/>
      </c>
      <c r="F195" t="str">
        <f>IF('All Girls &amp; Descendants - Edit'!G194="","",'All Girls &amp; Descendants - Edit'!G194)</f>
        <v/>
      </c>
      <c r="G195" t="str">
        <f>IF('All Girls &amp; Descendants - Edit'!H194="",D195,'All Girls &amp; Descendants - Edit'!H194)</f>
        <v>Viola</v>
      </c>
      <c r="H195">
        <f>'All Girls &amp; Descendants - Edit'!I194</f>
        <v>1975</v>
      </c>
      <c r="I195" t="str">
        <f>'All Girls &amp; Descendants - Edit'!J194</f>
        <v/>
      </c>
      <c r="J195" s="101">
        <f>'All Girls &amp; Descendants - Edit'!K194</f>
        <v>0</v>
      </c>
      <c r="K195" s="3" t="str">
        <f>'All Girls &amp; Descendants - Edit'!L194</f>
        <v>30/07/1975</v>
      </c>
      <c r="L195" s="3">
        <f>'All Girls &amp; Descendants - Edit'!M194</f>
        <v>27605</v>
      </c>
      <c r="M195" s="3">
        <f>'All Girls &amp; Descendants - Edit'!N194</f>
        <v>0</v>
      </c>
      <c r="N195" s="3">
        <f>'All Girls &amp; Descendants - Edit'!O194</f>
        <v>0</v>
      </c>
      <c r="O195" s="3" t="str">
        <f>'All Girls &amp; Descendants - Edit'!P194</f>
        <v/>
      </c>
      <c r="P195" t="str">
        <f t="shared" si="55"/>
        <v>90bb</v>
      </c>
      <c r="Q195" s="116">
        <f t="shared" si="56"/>
        <v>2</v>
      </c>
      <c r="R195" s="31" t="str">
        <f t="shared" si="57"/>
        <v>Viola   STUDIATI BERNI</v>
      </c>
      <c r="S195" t="str">
        <f t="shared" si="58"/>
        <v>Viola STUDIATI BERNI (1975 - : #90bb)</v>
      </c>
    </row>
    <row r="196" spans="1:19">
      <c r="A196">
        <f>'All Girls &amp; Descendants - Edit'!B195</f>
        <v>90</v>
      </c>
      <c r="B196" t="str">
        <f>'All Girls &amp; Descendants - Edit'!C195</f>
        <v>90ca</v>
      </c>
      <c r="C196" t="str">
        <f>'All Girls &amp; Descendants - Edit'!D195</f>
        <v>CLARKE</v>
      </c>
      <c r="D196" t="str">
        <f>'All Girls &amp; Descendants - Edit'!E195</f>
        <v xml:space="preserve">Georgina </v>
      </c>
      <c r="E196" t="str">
        <f>IF('All Girls &amp; Descendants - Edit'!F195="","",'All Girls &amp; Descendants - Edit'!F195)</f>
        <v>Louise</v>
      </c>
      <c r="F196" t="str">
        <f>IF('All Girls &amp; Descendants - Edit'!G195="","",'All Girls &amp; Descendants - Edit'!G195)</f>
        <v>Stephenson</v>
      </c>
      <c r="G196" t="str">
        <f>IF('All Girls &amp; Descendants - Edit'!H195="",D196,'All Girls &amp; Descendants - Edit'!H195)</f>
        <v xml:space="preserve">Georgina </v>
      </c>
      <c r="H196">
        <f>'All Girls &amp; Descendants - Edit'!I195</f>
        <v>1976</v>
      </c>
      <c r="I196" t="str">
        <f>'All Girls &amp; Descendants - Edit'!J195</f>
        <v/>
      </c>
      <c r="J196" s="101">
        <f>'All Girls &amp; Descendants - Edit'!K195</f>
        <v>0</v>
      </c>
      <c r="K196" s="3" t="str">
        <f>'All Girls &amp; Descendants - Edit'!L195</f>
        <v>21/02/1976</v>
      </c>
      <c r="L196" s="3">
        <f>'All Girls &amp; Descendants - Edit'!M195</f>
        <v>27811</v>
      </c>
      <c r="M196" s="3">
        <f>'All Girls &amp; Descendants - Edit'!N195</f>
        <v>0</v>
      </c>
      <c r="N196" s="3">
        <f>'All Girls &amp; Descendants - Edit'!O195</f>
        <v>0</v>
      </c>
      <c r="O196" s="3" t="str">
        <f>'All Girls &amp; Descendants - Edit'!P195</f>
        <v/>
      </c>
      <c r="P196" t="str">
        <f t="shared" si="55"/>
        <v>90ca</v>
      </c>
      <c r="Q196" s="116">
        <f t="shared" si="56"/>
        <v>2</v>
      </c>
      <c r="R196" s="31" t="str">
        <f t="shared" si="57"/>
        <v>Georgina  Louise Stephenson CLARKE</v>
      </c>
      <c r="S196" t="str">
        <f t="shared" si="58"/>
        <v>Georgina  CLARKE (1976 - : #90ca)</v>
      </c>
    </row>
    <row r="197" spans="1:19">
      <c r="A197">
        <f>'All Girls &amp; Descendants - Edit'!B196</f>
        <v>90</v>
      </c>
      <c r="B197" t="str">
        <f>'All Girls &amp; Descendants - Edit'!C196</f>
        <v>90cb</v>
      </c>
      <c r="C197" t="str">
        <f>'All Girls &amp; Descendants - Edit'!D196</f>
        <v>CLARKE</v>
      </c>
      <c r="D197" t="str">
        <f>'All Girls &amp; Descendants - Edit'!E196</f>
        <v>Philippa</v>
      </c>
      <c r="E197" t="str">
        <f>IF('All Girls &amp; Descendants - Edit'!F196="","",'All Girls &amp; Descendants - Edit'!F196)</f>
        <v>Francesca</v>
      </c>
      <c r="F197" t="str">
        <f>IF('All Girls &amp; Descendants - Edit'!G196="","",'All Girls &amp; Descendants - Edit'!G196)</f>
        <v>Stephenson</v>
      </c>
      <c r="G197" t="str">
        <f>IF('All Girls &amp; Descendants - Edit'!H196="",D197,'All Girls &amp; Descendants - Edit'!H196)</f>
        <v>Philippa</v>
      </c>
      <c r="H197">
        <f>'All Girls &amp; Descendants - Edit'!I196</f>
        <v>1980</v>
      </c>
      <c r="I197">
        <f>'All Girls &amp; Descendants - Edit'!J196</f>
        <v>1980</v>
      </c>
      <c r="J197" s="101">
        <f>'All Girls &amp; Descendants - Edit'!K196</f>
        <v>0</v>
      </c>
      <c r="K197" s="3" t="str">
        <f>'All Girls &amp; Descendants - Edit'!L196</f>
        <v>15/01/1980</v>
      </c>
      <c r="L197" s="3">
        <f>'All Girls &amp; Descendants - Edit'!M196</f>
        <v>29235</v>
      </c>
      <c r="M197" s="3">
        <f>'All Girls &amp; Descendants - Edit'!N196</f>
        <v>0</v>
      </c>
      <c r="N197" s="3">
        <f>'All Girls &amp; Descendants - Edit'!O196</f>
        <v>29320</v>
      </c>
      <c r="O197" s="3" t="str">
        <f>'All Girls &amp; Descendants - Edit'!P196</f>
        <v>09/04/1980</v>
      </c>
      <c r="P197" t="str">
        <f t="shared" ref="P197:P260" si="61">B197</f>
        <v>90cb</v>
      </c>
      <c r="Q197" s="116">
        <f t="shared" ref="Q197:Q260" si="62">LEN(B197)-LEN(A197)</f>
        <v>2</v>
      </c>
      <c r="R197" s="31" t="str">
        <f t="shared" ref="R197:R260" si="63">_xlfn.CONCAT(D197," ",E197," ",F197," ",C197)</f>
        <v>Philippa Francesca Stephenson CLARKE</v>
      </c>
      <c r="S197" t="str">
        <f t="shared" ref="S197:S260" si="64">_xlfn.CONCAT(G197," ",C197," (",H197," - ",I197,": #",B197,")")</f>
        <v>Philippa CLARKE (1980 - 1980: #90cb)</v>
      </c>
    </row>
    <row r="198" spans="1:19">
      <c r="A198">
        <f>'All Girls &amp; Descendants - Edit'!B197</f>
        <v>90</v>
      </c>
      <c r="B198" t="str">
        <f>'All Girls &amp; Descendants - Edit'!C197</f>
        <v>90cc</v>
      </c>
      <c r="C198" t="str">
        <f>'All Girls &amp; Descendants - Edit'!D197</f>
        <v>CLARKE</v>
      </c>
      <c r="D198" t="str">
        <f>'All Girls &amp; Descendants - Edit'!E197</f>
        <v>Marina</v>
      </c>
      <c r="E198" t="str">
        <f>IF('All Girls &amp; Descendants - Edit'!F197="","",'All Girls &amp; Descendants - Edit'!F197)</f>
        <v>Rose</v>
      </c>
      <c r="F198" t="str">
        <f>IF('All Girls &amp; Descendants - Edit'!G197="","",'All Girls &amp; Descendants - Edit'!G197)</f>
        <v>Stephenson</v>
      </c>
      <c r="G198" t="str">
        <f>IF('All Girls &amp; Descendants - Edit'!H197="",D198,'All Girls &amp; Descendants - Edit'!H197)</f>
        <v>Marina</v>
      </c>
      <c r="H198">
        <f>'All Girls &amp; Descendants - Edit'!I197</f>
        <v>1982</v>
      </c>
      <c r="I198" t="str">
        <f>'All Girls &amp; Descendants - Edit'!J197</f>
        <v/>
      </c>
      <c r="J198" s="101">
        <f>'All Girls &amp; Descendants - Edit'!K197</f>
        <v>0</v>
      </c>
      <c r="K198" s="3" t="str">
        <f>'All Girls &amp; Descendants - Edit'!L197</f>
        <v>20/03/1982</v>
      </c>
      <c r="L198" s="3">
        <f>'All Girls &amp; Descendants - Edit'!M197</f>
        <v>30030</v>
      </c>
      <c r="M198" s="3">
        <f>'All Girls &amp; Descendants - Edit'!N197</f>
        <v>0</v>
      </c>
      <c r="N198" s="3">
        <f>'All Girls &amp; Descendants - Edit'!O197</f>
        <v>0</v>
      </c>
      <c r="O198" s="3" t="str">
        <f>'All Girls &amp; Descendants - Edit'!P197</f>
        <v/>
      </c>
      <c r="P198" t="str">
        <f t="shared" si="61"/>
        <v>90cc</v>
      </c>
      <c r="Q198" s="116">
        <f t="shared" si="62"/>
        <v>2</v>
      </c>
      <c r="R198" s="31" t="str">
        <f t="shared" si="63"/>
        <v>Marina Rose Stephenson CLARKE</v>
      </c>
      <c r="S198" t="str">
        <f t="shared" si="64"/>
        <v>Marina CLARKE (1982 - : #90cc)</v>
      </c>
    </row>
    <row r="199" spans="1:19">
      <c r="A199">
        <f>'All Girls &amp; Descendants - Edit'!B198</f>
        <v>92</v>
      </c>
      <c r="B199" t="str">
        <f>'All Girls &amp; Descendants - Edit'!C198</f>
        <v>92aa</v>
      </c>
      <c r="C199" t="str">
        <f>'All Girls &amp; Descendants - Edit'!D198</f>
        <v>TATTON-BROWN</v>
      </c>
      <c r="D199" t="str">
        <f>'All Girls &amp; Descendants - Edit'!E198</f>
        <v>Hugh</v>
      </c>
      <c r="E199" t="str">
        <f>IF('All Girls &amp; Descendants - Edit'!F198="","",'All Girls &amp; Descendants - Edit'!F198)</f>
        <v>Trelawny</v>
      </c>
      <c r="F199" t="str">
        <f>IF('All Girls &amp; Descendants - Edit'!G198="","",'All Girls &amp; Descendants - Edit'!G198)</f>
        <v/>
      </c>
      <c r="G199" t="str">
        <f>IF('All Girls &amp; Descendants - Edit'!H198="",D199,'All Girls &amp; Descendants - Edit'!H198)</f>
        <v>Hugh</v>
      </c>
      <c r="H199">
        <f>'All Girls &amp; Descendants - Edit'!I198</f>
        <v>1980</v>
      </c>
      <c r="I199" t="str">
        <f>'All Girls &amp; Descendants - Edit'!J198</f>
        <v/>
      </c>
      <c r="J199" s="101">
        <f>'All Girls &amp; Descendants - Edit'!K198</f>
        <v>0</v>
      </c>
      <c r="K199" s="3" t="str">
        <f>'All Girls &amp; Descendants - Edit'!L198</f>
        <v>22/07/1980</v>
      </c>
      <c r="L199" s="3">
        <f>'All Girls &amp; Descendants - Edit'!M198</f>
        <v>29424</v>
      </c>
      <c r="M199" s="3">
        <f>'All Girls &amp; Descendants - Edit'!N198</f>
        <v>0</v>
      </c>
      <c r="N199" s="3">
        <f>'All Girls &amp; Descendants - Edit'!O198</f>
        <v>0</v>
      </c>
      <c r="O199" s="3" t="str">
        <f>'All Girls &amp; Descendants - Edit'!P198</f>
        <v/>
      </c>
      <c r="P199" t="str">
        <f t="shared" si="61"/>
        <v>92aa</v>
      </c>
      <c r="Q199" s="116">
        <f t="shared" si="62"/>
        <v>2</v>
      </c>
      <c r="R199" s="31" t="str">
        <f t="shared" si="63"/>
        <v>Hugh Trelawny  TATTON-BROWN</v>
      </c>
      <c r="S199" t="str">
        <f t="shared" si="64"/>
        <v>Hugh TATTON-BROWN (1980 - : #92aa)</v>
      </c>
    </row>
    <row r="200" spans="1:19">
      <c r="A200">
        <f>'All Girls &amp; Descendants - Edit'!B199</f>
        <v>92</v>
      </c>
      <c r="B200" t="str">
        <f>'All Girls &amp; Descendants - Edit'!C199</f>
        <v>92ab</v>
      </c>
      <c r="C200" t="str">
        <f>'All Girls &amp; Descendants - Edit'!D199</f>
        <v>TATTON-BROWN</v>
      </c>
      <c r="D200" t="str">
        <f>'All Girls &amp; Descendants - Edit'!E199</f>
        <v>Miranda</v>
      </c>
      <c r="E200" t="str">
        <f>IF('All Girls &amp; Descendants - Edit'!F199="","",'All Girls &amp; Descendants - Edit'!F199)</f>
        <v>Emily</v>
      </c>
      <c r="F200" t="str">
        <f>IF('All Girls &amp; Descendants - Edit'!G199="","",'All Girls &amp; Descendants - Edit'!G199)</f>
        <v>Jean</v>
      </c>
      <c r="G200" t="str">
        <f>IF('All Girls &amp; Descendants - Edit'!H199="",D200,'All Girls &amp; Descendants - Edit'!H199)</f>
        <v>Miranda</v>
      </c>
      <c r="H200">
        <f>'All Girls &amp; Descendants - Edit'!I199</f>
        <v>1983</v>
      </c>
      <c r="I200" t="str">
        <f>'All Girls &amp; Descendants - Edit'!J199</f>
        <v/>
      </c>
      <c r="J200" s="101">
        <f>'All Girls &amp; Descendants - Edit'!K199</f>
        <v>0</v>
      </c>
      <c r="K200" s="3" t="str">
        <f>'All Girls &amp; Descendants - Edit'!L199</f>
        <v>24/01/1983</v>
      </c>
      <c r="L200" s="3" t="str">
        <f>'All Girls &amp; Descendants - Edit'!M199</f>
        <v>24/01/1983</v>
      </c>
      <c r="M200" s="3">
        <f>'All Girls &amp; Descendants - Edit'!N199</f>
        <v>0</v>
      </c>
      <c r="N200" s="3">
        <f>'All Girls &amp; Descendants - Edit'!O199</f>
        <v>0</v>
      </c>
      <c r="O200" s="3" t="str">
        <f>'All Girls &amp; Descendants - Edit'!P199</f>
        <v/>
      </c>
      <c r="P200" t="str">
        <f t="shared" si="61"/>
        <v>92ab</v>
      </c>
      <c r="Q200" s="116">
        <f t="shared" si="62"/>
        <v>2</v>
      </c>
      <c r="R200" s="31" t="str">
        <f t="shared" si="63"/>
        <v>Miranda Emily Jean TATTON-BROWN</v>
      </c>
      <c r="S200" t="str">
        <f t="shared" si="64"/>
        <v>Miranda TATTON-BROWN (1983 - : #92ab)</v>
      </c>
    </row>
    <row r="201" spans="1:19">
      <c r="A201">
        <f>'All Girls &amp; Descendants - Edit'!B200</f>
        <v>92</v>
      </c>
      <c r="B201" t="str">
        <f>'All Girls &amp; Descendants - Edit'!C200</f>
        <v>92ac</v>
      </c>
      <c r="C201" t="str">
        <f>'All Girls &amp; Descendants - Edit'!D200</f>
        <v>TATTON-BROWN</v>
      </c>
      <c r="D201" t="str">
        <f>'All Girls &amp; Descendants - Edit'!E200</f>
        <v>Lucy</v>
      </c>
      <c r="E201" t="str">
        <f>IF('All Girls &amp; Descendants - Edit'!F200="","",'All Girls &amp; Descendants - Edit'!F200)</f>
        <v>Ann</v>
      </c>
      <c r="F201" t="str">
        <f>IF('All Girls &amp; Descendants - Edit'!G200="","",'All Girls &amp; Descendants - Edit'!G200)</f>
        <v/>
      </c>
      <c r="G201" t="str">
        <f>IF('All Girls &amp; Descendants - Edit'!H200="",D201,'All Girls &amp; Descendants - Edit'!H200)</f>
        <v>Lucy</v>
      </c>
      <c r="H201">
        <f>'All Girls &amp; Descendants - Edit'!I200</f>
        <v>1984</v>
      </c>
      <c r="I201" t="str">
        <f>'All Girls &amp; Descendants - Edit'!J200</f>
        <v/>
      </c>
      <c r="J201" s="101">
        <f>'All Girls &amp; Descendants - Edit'!K200</f>
        <v>0</v>
      </c>
      <c r="K201" s="3" t="str">
        <f>'All Girls &amp; Descendants - Edit'!L200</f>
        <v>15/10/1984</v>
      </c>
      <c r="L201" s="3">
        <f>'All Girls &amp; Descendants - Edit'!M200</f>
        <v>30970</v>
      </c>
      <c r="M201" s="3">
        <f>'All Girls &amp; Descendants - Edit'!N200</f>
        <v>0</v>
      </c>
      <c r="N201" s="3">
        <f>'All Girls &amp; Descendants - Edit'!O200</f>
        <v>0</v>
      </c>
      <c r="O201" s="3" t="str">
        <f>'All Girls &amp; Descendants - Edit'!P200</f>
        <v/>
      </c>
      <c r="P201" t="str">
        <f t="shared" si="61"/>
        <v>92ac</v>
      </c>
      <c r="Q201" s="116">
        <f t="shared" si="62"/>
        <v>2</v>
      </c>
      <c r="R201" s="31" t="str">
        <f t="shared" si="63"/>
        <v>Lucy Ann  TATTON-BROWN</v>
      </c>
      <c r="S201" t="str">
        <f t="shared" si="64"/>
        <v>Lucy TATTON-BROWN (1984 - : #92ac)</v>
      </c>
    </row>
    <row r="202" spans="1:19">
      <c r="A202">
        <f>'All Girls &amp; Descendants - Edit'!B201</f>
        <v>92</v>
      </c>
      <c r="B202" t="str">
        <f>'All Girls &amp; Descendants - Edit'!C201</f>
        <v>92ad</v>
      </c>
      <c r="C202" t="str">
        <f>'All Girls &amp; Descendants - Edit'!D201</f>
        <v>TATTON-BROWN</v>
      </c>
      <c r="D202" t="str">
        <f>'All Girls &amp; Descendants - Edit'!E201</f>
        <v>Robert</v>
      </c>
      <c r="E202" t="str">
        <f>IF('All Girls &amp; Descendants - Edit'!F201="","",'All Girls &amp; Descendants - Edit'!F201)</f>
        <v>William</v>
      </c>
      <c r="F202" t="str">
        <f>IF('All Girls &amp; Descendants - Edit'!G201="","",'All Girls &amp; Descendants - Edit'!G201)</f>
        <v>Loyd</v>
      </c>
      <c r="G202" t="str">
        <f>IF('All Girls &amp; Descendants - Edit'!H201="",D202,'All Girls &amp; Descendants - Edit'!H201)</f>
        <v>Robert</v>
      </c>
      <c r="H202">
        <f>'All Girls &amp; Descendants - Edit'!I201</f>
        <v>1993</v>
      </c>
      <c r="I202" t="str">
        <f>'All Girls &amp; Descendants - Edit'!J201</f>
        <v/>
      </c>
      <c r="J202" s="101">
        <f>'All Girls &amp; Descendants - Edit'!K201</f>
        <v>0</v>
      </c>
      <c r="K202" s="3" t="str">
        <f>'All Girls &amp; Descendants - Edit'!L201</f>
        <v>25/02/1993</v>
      </c>
      <c r="L202" s="3">
        <f>'All Girls &amp; Descendants - Edit'!M201</f>
        <v>34025</v>
      </c>
      <c r="M202" s="3">
        <f>'All Girls &amp; Descendants - Edit'!N201</f>
        <v>0</v>
      </c>
      <c r="N202" s="3">
        <f>'All Girls &amp; Descendants - Edit'!O201</f>
        <v>0</v>
      </c>
      <c r="O202" s="3" t="str">
        <f>'All Girls &amp; Descendants - Edit'!P201</f>
        <v/>
      </c>
      <c r="P202" t="str">
        <f t="shared" si="61"/>
        <v>92ad</v>
      </c>
      <c r="Q202" s="116">
        <f t="shared" si="62"/>
        <v>2</v>
      </c>
      <c r="R202" s="31" t="str">
        <f t="shared" si="63"/>
        <v>Robert William Loyd TATTON-BROWN</v>
      </c>
      <c r="S202" t="str">
        <f t="shared" si="64"/>
        <v>Robert TATTON-BROWN (1993 - : #92ad)</v>
      </c>
    </row>
    <row r="203" spans="1:19">
      <c r="A203">
        <f>'All Girls &amp; Descendants - Edit'!B202</f>
        <v>92</v>
      </c>
      <c r="B203" t="str">
        <f>'All Girls &amp; Descendants - Edit'!C202</f>
        <v>92ba</v>
      </c>
      <c r="C203" t="str">
        <f>'All Girls &amp; Descendants - Edit'!D202</f>
        <v>TATTON-BROWN</v>
      </c>
      <c r="D203" t="str">
        <f>'All Girls &amp; Descendants - Edit'!E202</f>
        <v>Olivia</v>
      </c>
      <c r="E203" t="str">
        <f>IF('All Girls &amp; Descendants - Edit'!F202="","",'All Girls &amp; Descendants - Edit'!F202)</f>
        <v>Daphne</v>
      </c>
      <c r="F203" t="str">
        <f>IF('All Girls &amp; Descendants - Edit'!G202="","",'All Girls &amp; Descendants - Edit'!G202)</f>
        <v>Noelle</v>
      </c>
      <c r="G203" t="str">
        <f>IF('All Girls &amp; Descendants - Edit'!H202="",D203,'All Girls &amp; Descendants - Edit'!H202)</f>
        <v>Olivia</v>
      </c>
      <c r="H203">
        <f>'All Girls &amp; Descendants - Edit'!I202</f>
        <v>1971</v>
      </c>
      <c r="I203" t="str">
        <f>'All Girls &amp; Descendants - Edit'!J202</f>
        <v/>
      </c>
      <c r="J203" s="101">
        <f>'All Girls &amp; Descendants - Edit'!K202</f>
        <v>0</v>
      </c>
      <c r="K203" s="3" t="str">
        <f>'All Girls &amp; Descendants - Edit'!L202</f>
        <v>13/05/1971</v>
      </c>
      <c r="L203" s="3">
        <f>'All Girls &amp; Descendants - Edit'!M202</f>
        <v>26066</v>
      </c>
      <c r="M203" s="3" t="str">
        <f>'All Girls &amp; Descendants - Edit'!N202</f>
        <v>32/09/1970</v>
      </c>
      <c r="N203" s="3">
        <f>'All Girls &amp; Descendants - Edit'!O202</f>
        <v>0</v>
      </c>
      <c r="O203" s="3" t="str">
        <f>'All Girls &amp; Descendants - Edit'!P202</f>
        <v/>
      </c>
      <c r="P203" t="str">
        <f t="shared" si="61"/>
        <v>92ba</v>
      </c>
      <c r="Q203" s="116">
        <f t="shared" si="62"/>
        <v>2</v>
      </c>
      <c r="R203" s="31" t="str">
        <f t="shared" si="63"/>
        <v>Olivia Daphne Noelle TATTON-BROWN</v>
      </c>
      <c r="S203" t="str">
        <f t="shared" si="64"/>
        <v>Olivia TATTON-BROWN (1971 - : #92ba)</v>
      </c>
    </row>
    <row r="204" spans="1:19">
      <c r="A204">
        <f>'All Girls &amp; Descendants - Edit'!B203</f>
        <v>92</v>
      </c>
      <c r="B204" t="str">
        <f>'All Girls &amp; Descendants - Edit'!C203</f>
        <v>92bb</v>
      </c>
      <c r="C204" t="str">
        <f>'All Girls &amp; Descendants - Edit'!D203</f>
        <v>TATTON-BROWN</v>
      </c>
      <c r="D204" t="str">
        <f>'All Girls &amp; Descendants - Edit'!E203</f>
        <v>Benjamin</v>
      </c>
      <c r="E204" t="str">
        <f>IF('All Girls &amp; Descendants - Edit'!F203="","",'All Girls &amp; Descendants - Edit'!F203)</f>
        <v>Robert</v>
      </c>
      <c r="F204" t="str">
        <f>IF('All Girls &amp; Descendants - Edit'!G203="","",'All Girls &amp; Descendants - Edit'!G203)</f>
        <v>Louis</v>
      </c>
      <c r="G204" t="str">
        <f>IF('All Girls &amp; Descendants - Edit'!H203="",D204,'All Girls &amp; Descendants - Edit'!H203)</f>
        <v>Ben</v>
      </c>
      <c r="H204">
        <f>'All Girls &amp; Descendants - Edit'!I203</f>
        <v>1973</v>
      </c>
      <c r="I204" t="str">
        <f>'All Girls &amp; Descendants - Edit'!J203</f>
        <v/>
      </c>
      <c r="J204" s="101">
        <f>'All Girls &amp; Descendants - Edit'!K203</f>
        <v>0</v>
      </c>
      <c r="K204" s="3" t="str">
        <f>'All Girls &amp; Descendants - Edit'!L203</f>
        <v>23/06/1973</v>
      </c>
      <c r="L204" s="3">
        <f>'All Girls &amp; Descendants - Edit'!M203</f>
        <v>26838</v>
      </c>
      <c r="M204" s="3">
        <f>'All Girls &amp; Descendants - Edit'!N203</f>
        <v>0</v>
      </c>
      <c r="N204" s="3">
        <f>'All Girls &amp; Descendants - Edit'!O203</f>
        <v>0</v>
      </c>
      <c r="O204" s="3" t="str">
        <f>'All Girls &amp; Descendants - Edit'!P203</f>
        <v/>
      </c>
      <c r="P204" t="str">
        <f t="shared" si="61"/>
        <v>92bb</v>
      </c>
      <c r="Q204" s="116">
        <f t="shared" si="62"/>
        <v>2</v>
      </c>
      <c r="R204" s="31" t="str">
        <f t="shared" si="63"/>
        <v>Benjamin Robert Louis TATTON-BROWN</v>
      </c>
      <c r="S204" t="str">
        <f t="shared" si="64"/>
        <v>Ben TATTON-BROWN (1973 - : #92bb)</v>
      </c>
    </row>
    <row r="205" spans="1:19">
      <c r="A205">
        <f>'All Girls &amp; Descendants - Edit'!B204</f>
        <v>92</v>
      </c>
      <c r="B205" t="str">
        <f>'All Girls &amp; Descendants - Edit'!C204</f>
        <v>92bc</v>
      </c>
      <c r="C205" t="str">
        <f>'All Girls &amp; Descendants - Edit'!D204</f>
        <v>TATTON-BROWN</v>
      </c>
      <c r="D205" t="str">
        <f>'All Girls &amp; Descendants - Edit'!E204</f>
        <v>Daisy</v>
      </c>
      <c r="E205" t="str">
        <f>IF('All Girls &amp; Descendants - Edit'!F204="","",'All Girls &amp; Descendants - Edit'!F204)</f>
        <v>Maud</v>
      </c>
      <c r="F205" t="str">
        <f>IF('All Girls &amp; Descendants - Edit'!G204="","",'All Girls &amp; Descendants - Edit'!G204)</f>
        <v/>
      </c>
      <c r="G205" t="str">
        <f>IF('All Girls &amp; Descendants - Edit'!H204="",D205,'All Girls &amp; Descendants - Edit'!H204)</f>
        <v>Daisy</v>
      </c>
      <c r="H205">
        <f>'All Girls &amp; Descendants - Edit'!I204</f>
        <v>1983</v>
      </c>
      <c r="I205" t="str">
        <f>'All Girls &amp; Descendants - Edit'!J204</f>
        <v/>
      </c>
      <c r="J205" s="101">
        <f>'All Girls &amp; Descendants - Edit'!K204</f>
        <v>0</v>
      </c>
      <c r="K205" s="3" t="str">
        <f>'All Girls &amp; Descendants - Edit'!L204</f>
        <v>10/04/1983</v>
      </c>
      <c r="L205" s="3">
        <f>'All Girls &amp; Descendants - Edit'!M204</f>
        <v>30416</v>
      </c>
      <c r="M205" s="3">
        <f>'All Girls &amp; Descendants - Edit'!N204</f>
        <v>0</v>
      </c>
      <c r="N205" s="3">
        <f>'All Girls &amp; Descendants - Edit'!O204</f>
        <v>0</v>
      </c>
      <c r="O205" s="3" t="str">
        <f>'All Girls &amp; Descendants - Edit'!P204</f>
        <v/>
      </c>
      <c r="P205" t="str">
        <f t="shared" si="61"/>
        <v>92bc</v>
      </c>
      <c r="Q205" s="116">
        <f t="shared" si="62"/>
        <v>2</v>
      </c>
      <c r="R205" s="31" t="str">
        <f t="shared" si="63"/>
        <v>Daisy Maud  TATTON-BROWN</v>
      </c>
      <c r="S205" t="str">
        <f t="shared" si="64"/>
        <v>Daisy TATTON-BROWN (1983 - : #92bc)</v>
      </c>
    </row>
    <row r="206" spans="1:19">
      <c r="A206">
        <f>'All Girls &amp; Descendants - Edit'!B205</f>
        <v>92</v>
      </c>
      <c r="B206" t="str">
        <f>'All Girls &amp; Descendants - Edit'!C205</f>
        <v>92bd</v>
      </c>
      <c r="C206" t="str">
        <f>'All Girls &amp; Descendants - Edit'!D205</f>
        <v>TATTON-BROWN</v>
      </c>
      <c r="D206" t="str">
        <f>'All Girls &amp; Descendants - Edit'!E205</f>
        <v>Gregory</v>
      </c>
      <c r="E206" t="str">
        <f>IF('All Girls &amp; Descendants - Edit'!F205="","",'All Girls &amp; Descendants - Edit'!F205)</f>
        <v>Mark</v>
      </c>
      <c r="F206" t="str">
        <f>IF('All Girls &amp; Descendants - Edit'!G205="","",'All Girls &amp; Descendants - Edit'!G205)</f>
        <v>Eden</v>
      </c>
      <c r="G206" t="str">
        <f>IF('All Girls &amp; Descendants - Edit'!H205="",D206,'All Girls &amp; Descendants - Edit'!H205)</f>
        <v>Gregory</v>
      </c>
      <c r="H206">
        <f>'All Girls &amp; Descendants - Edit'!I205</f>
        <v>1985</v>
      </c>
      <c r="I206" t="str">
        <f>'All Girls &amp; Descendants - Edit'!J205</f>
        <v/>
      </c>
      <c r="J206" s="101">
        <f>'All Girls &amp; Descendants - Edit'!K205</f>
        <v>0</v>
      </c>
      <c r="K206" s="3" t="str">
        <f>'All Girls &amp; Descendants - Edit'!L205</f>
        <v>06/07/1985</v>
      </c>
      <c r="L206" s="3">
        <f>'All Girls &amp; Descendants - Edit'!M205</f>
        <v>31234</v>
      </c>
      <c r="M206" s="3">
        <f>'All Girls &amp; Descendants - Edit'!N205</f>
        <v>0</v>
      </c>
      <c r="N206" s="3">
        <f>'All Girls &amp; Descendants - Edit'!O205</f>
        <v>0</v>
      </c>
      <c r="O206" s="3" t="str">
        <f>'All Girls &amp; Descendants - Edit'!P205</f>
        <v/>
      </c>
      <c r="P206" t="str">
        <f t="shared" si="61"/>
        <v>92bd</v>
      </c>
      <c r="Q206" s="116">
        <f t="shared" si="62"/>
        <v>2</v>
      </c>
      <c r="R206" s="31" t="str">
        <f t="shared" si="63"/>
        <v>Gregory Mark Eden TATTON-BROWN</v>
      </c>
      <c r="S206" t="str">
        <f t="shared" si="64"/>
        <v>Gregory TATTON-BROWN (1985 - : #92bd)</v>
      </c>
    </row>
    <row r="207" spans="1:19">
      <c r="A207">
        <f>'All Girls &amp; Descendants - Edit'!B206</f>
        <v>92</v>
      </c>
      <c r="B207" t="str">
        <f>'All Girls &amp; Descendants - Edit'!C206</f>
        <v>92da</v>
      </c>
      <c r="C207" t="str">
        <f>'All Girls &amp; Descendants - Edit'!D206</f>
        <v>SURTEES</v>
      </c>
      <c r="D207" t="str">
        <f>'All Girls &amp; Descendants - Edit'!E206</f>
        <v>Jonathan</v>
      </c>
      <c r="E207" t="str">
        <f>IF('All Girls &amp; Descendants - Edit'!F206="","",'All Girls &amp; Descendants - Edit'!F206)</f>
        <v>William</v>
      </c>
      <c r="F207" t="str">
        <f>IF('All Girls &amp; Descendants - Edit'!G206="","",'All Girls &amp; Descendants - Edit'!G206)</f>
        <v>Robert</v>
      </c>
      <c r="G207" t="str">
        <f>IF('All Girls &amp; Descendants - Edit'!H206="",D207,'All Girls &amp; Descendants - Edit'!H206)</f>
        <v>Jonathan</v>
      </c>
      <c r="H207">
        <f>'All Girls &amp; Descendants - Edit'!I206</f>
        <v>1982</v>
      </c>
      <c r="I207" t="str">
        <f>'All Girls &amp; Descendants - Edit'!J206</f>
        <v/>
      </c>
      <c r="J207" s="101">
        <f>'All Girls &amp; Descendants - Edit'!K206</f>
        <v>0</v>
      </c>
      <c r="K207" s="3" t="str">
        <f>'All Girls &amp; Descendants - Edit'!L206</f>
        <v>20/02/1982</v>
      </c>
      <c r="L207" s="3">
        <f>'All Girls &amp; Descendants - Edit'!M206</f>
        <v>30002</v>
      </c>
      <c r="M207" s="3">
        <f>'All Girls &amp; Descendants - Edit'!N206</f>
        <v>0</v>
      </c>
      <c r="N207" s="3">
        <f>'All Girls &amp; Descendants - Edit'!O206</f>
        <v>0</v>
      </c>
      <c r="O207" s="3" t="str">
        <f>'All Girls &amp; Descendants - Edit'!P206</f>
        <v/>
      </c>
      <c r="P207" t="str">
        <f t="shared" si="61"/>
        <v>92da</v>
      </c>
      <c r="Q207" s="116">
        <f t="shared" si="62"/>
        <v>2</v>
      </c>
      <c r="R207" s="31" t="str">
        <f t="shared" si="63"/>
        <v>Jonathan William Robert SURTEES</v>
      </c>
      <c r="S207" t="str">
        <f t="shared" si="64"/>
        <v>Jonathan SURTEES (1982 - : #92da)</v>
      </c>
    </row>
    <row r="208" spans="1:19">
      <c r="A208">
        <f>'All Girls &amp; Descendants - Edit'!B207</f>
        <v>92</v>
      </c>
      <c r="B208" t="str">
        <f>'All Girls &amp; Descendants - Edit'!C207</f>
        <v>92db</v>
      </c>
      <c r="C208" t="str">
        <f>'All Girls &amp; Descendants - Edit'!D207</f>
        <v>SURTEES</v>
      </c>
      <c r="D208" t="str">
        <f>'All Girls &amp; Descendants - Edit'!E207</f>
        <v>Rosamund</v>
      </c>
      <c r="E208" t="str">
        <f>IF('All Girls &amp; Descendants - Edit'!F207="","",'All Girls &amp; Descendants - Edit'!F207)</f>
        <v>Daphne</v>
      </c>
      <c r="F208" t="str">
        <f>IF('All Girls &amp; Descendants - Edit'!G207="","",'All Girls &amp; Descendants - Edit'!G207)</f>
        <v>Patricia</v>
      </c>
      <c r="G208" t="str">
        <f>IF('All Girls &amp; Descendants - Edit'!H207="",D208,'All Girls &amp; Descendants - Edit'!H207)</f>
        <v>Rosamund</v>
      </c>
      <c r="H208">
        <f>'All Girls &amp; Descendants - Edit'!I207</f>
        <v>1987</v>
      </c>
      <c r="I208" t="str">
        <f>'All Girls &amp; Descendants - Edit'!J207</f>
        <v/>
      </c>
      <c r="J208" s="101">
        <f>'All Girls &amp; Descendants - Edit'!K207</f>
        <v>0</v>
      </c>
      <c r="K208" s="3" t="str">
        <f>'All Girls &amp; Descendants - Edit'!L207</f>
        <v>08/02/1987</v>
      </c>
      <c r="L208" s="3">
        <f>'All Girls &amp; Descendants - Edit'!M207</f>
        <v>31816</v>
      </c>
      <c r="M208" s="3">
        <f>'All Girls &amp; Descendants - Edit'!N207</f>
        <v>0</v>
      </c>
      <c r="N208" s="3">
        <f>'All Girls &amp; Descendants - Edit'!O207</f>
        <v>0</v>
      </c>
      <c r="O208" s="3" t="str">
        <f>'All Girls &amp; Descendants - Edit'!P207</f>
        <v/>
      </c>
      <c r="P208" t="str">
        <f t="shared" si="61"/>
        <v>92db</v>
      </c>
      <c r="Q208" s="116">
        <f t="shared" si="62"/>
        <v>2</v>
      </c>
      <c r="R208" s="31" t="str">
        <f t="shared" si="63"/>
        <v>Rosamund Daphne Patricia SURTEES</v>
      </c>
      <c r="S208" t="str">
        <f t="shared" si="64"/>
        <v>Rosamund SURTEES (1987 - : #92db)</v>
      </c>
    </row>
    <row r="209" spans="1:19">
      <c r="A209">
        <f>'All Girls &amp; Descendants - Edit'!B208</f>
        <v>95</v>
      </c>
      <c r="B209" t="str">
        <f>'All Girls &amp; Descendants - Edit'!C208</f>
        <v>95ba</v>
      </c>
      <c r="C209" t="str">
        <f>'All Girls &amp; Descendants - Edit'!D208</f>
        <v>VESTEY</v>
      </c>
      <c r="D209" t="str">
        <f>'All Girls &amp; Descendants - Edit'!E208</f>
        <v>THE Hon William</v>
      </c>
      <c r="E209" t="str">
        <f>IF('All Girls &amp; Descendants - Edit'!F208="","",'All Girls &amp; Descendants - Edit'!F208)</f>
        <v>Guy</v>
      </c>
      <c r="F209" t="str">
        <f>IF('All Girls &amp; Descendants - Edit'!G208="","",'All Girls &amp; Descendants - Edit'!G208)</f>
        <v/>
      </c>
      <c r="G209" t="str">
        <f>IF('All Girls &amp; Descendants - Edit'!H208="",D209,'All Girls &amp; Descendants - Edit'!H208)</f>
        <v>THE Hon William</v>
      </c>
      <c r="H209">
        <f>'All Girls &amp; Descendants - Edit'!I208</f>
        <v>1983</v>
      </c>
      <c r="I209" t="str">
        <f>'All Girls &amp; Descendants - Edit'!J208</f>
        <v/>
      </c>
      <c r="J209" s="101">
        <f>'All Girls &amp; Descendants - Edit'!K208</f>
        <v>0</v>
      </c>
      <c r="K209" s="3" t="str">
        <f>'All Girls &amp; Descendants - Edit'!L208</f>
        <v>27/08/1983</v>
      </c>
      <c r="L209" s="3">
        <f>'All Girls &amp; Descendants - Edit'!M208</f>
        <v>30555</v>
      </c>
      <c r="M209" s="3">
        <f>'All Girls &amp; Descendants - Edit'!N208</f>
        <v>41181</v>
      </c>
      <c r="N209" s="3">
        <f>'All Girls &amp; Descendants - Edit'!O208</f>
        <v>0</v>
      </c>
      <c r="O209" s="3" t="str">
        <f>'All Girls &amp; Descendants - Edit'!P208</f>
        <v/>
      </c>
      <c r="P209" t="str">
        <f t="shared" si="61"/>
        <v>95ba</v>
      </c>
      <c r="Q209" s="116">
        <f t="shared" si="62"/>
        <v>2</v>
      </c>
      <c r="R209" s="31" t="str">
        <f t="shared" si="63"/>
        <v>THE Hon William Guy  VESTEY</v>
      </c>
      <c r="S209" t="str">
        <f t="shared" si="64"/>
        <v>THE Hon William VESTEY (1983 - : #95ba)</v>
      </c>
    </row>
    <row r="210" spans="1:19">
      <c r="A210">
        <f>'All Girls &amp; Descendants - Edit'!B209</f>
        <v>95</v>
      </c>
      <c r="B210" t="str">
        <f>'All Girls &amp; Descendants - Edit'!C209</f>
        <v>95bb</v>
      </c>
      <c r="C210" t="str">
        <f>'All Girls &amp; Descendants - Edit'!D209</f>
        <v>VESTEY</v>
      </c>
      <c r="D210" t="str">
        <f>'All Girls &amp; Descendants - Edit'!E209</f>
        <v>THE Hon Arthur</v>
      </c>
      <c r="E210" t="str">
        <f>IF('All Girls &amp; Descendants - Edit'!F209="","",'All Girls &amp; Descendants - Edit'!F209)</f>
        <v>George</v>
      </c>
      <c r="F210" t="str">
        <f>IF('All Girls &amp; Descendants - Edit'!G209="","",'All Girls &amp; Descendants - Edit'!G209)</f>
        <v/>
      </c>
      <c r="G210" t="str">
        <f>IF('All Girls &amp; Descendants - Edit'!H209="",D210,'All Girls &amp; Descendants - Edit'!H209)</f>
        <v>THE Hon Arthur</v>
      </c>
      <c r="H210">
        <f>'All Girls &amp; Descendants - Edit'!I209</f>
        <v>1985</v>
      </c>
      <c r="I210" t="str">
        <f>'All Girls &amp; Descendants - Edit'!J209</f>
        <v/>
      </c>
      <c r="J210" s="101">
        <f>'All Girls &amp; Descendants - Edit'!K209</f>
        <v>0</v>
      </c>
      <c r="K210" s="3" t="str">
        <f>'All Girls &amp; Descendants - Edit'!L209</f>
        <v>11/07/1985</v>
      </c>
      <c r="L210" s="3">
        <f>'All Girls &amp; Descendants - Edit'!M209</f>
        <v>31239</v>
      </c>
      <c r="M210" s="3">
        <f>'All Girls &amp; Descendants - Edit'!N209</f>
        <v>0</v>
      </c>
      <c r="N210" s="3">
        <f>'All Girls &amp; Descendants - Edit'!O209</f>
        <v>0</v>
      </c>
      <c r="O210" s="3" t="str">
        <f>'All Girls &amp; Descendants - Edit'!P209</f>
        <v/>
      </c>
      <c r="P210" t="str">
        <f t="shared" si="61"/>
        <v>95bb</v>
      </c>
      <c r="Q210" s="116">
        <f t="shared" si="62"/>
        <v>2</v>
      </c>
      <c r="R210" s="31" t="str">
        <f t="shared" si="63"/>
        <v>THE Hon Arthur George  VESTEY</v>
      </c>
      <c r="S210" t="str">
        <f t="shared" si="64"/>
        <v>THE Hon Arthur VESTEY (1985 - : #95bb)</v>
      </c>
    </row>
    <row r="211" spans="1:19">
      <c r="A211">
        <f>'All Girls &amp; Descendants - Edit'!B210</f>
        <v>95</v>
      </c>
      <c r="B211" t="str">
        <f>'All Girls &amp; Descendants - Edit'!C210</f>
        <v>95bc</v>
      </c>
      <c r="C211" t="str">
        <f>'All Girls &amp; Descendants - Edit'!D210</f>
        <v>VESTEY</v>
      </c>
      <c r="D211" t="str">
        <f>'All Girls &amp; Descendants - Edit'!E210</f>
        <v>The Hon Mary</v>
      </c>
      <c r="E211" t="str">
        <f>IF('All Girls &amp; Descendants - Edit'!F210="","",'All Girls &amp; Descendants - Edit'!F210)</f>
        <v>Henrietta</v>
      </c>
      <c r="F211" t="str">
        <f>IF('All Girls &amp; Descendants - Edit'!G210="","",'All Girls &amp; Descendants - Edit'!G210)</f>
        <v/>
      </c>
      <c r="G211" t="str">
        <f>IF('All Girls &amp; Descendants - Edit'!H210="",D211,'All Girls &amp; Descendants - Edit'!H210)</f>
        <v>The Hon Mary</v>
      </c>
      <c r="H211">
        <f>'All Girls &amp; Descendants - Edit'!I210</f>
        <v>1992</v>
      </c>
      <c r="I211" t="str">
        <f>'All Girls &amp; Descendants - Edit'!J210</f>
        <v/>
      </c>
      <c r="J211" s="101">
        <f>'All Girls &amp; Descendants - Edit'!K210</f>
        <v>0</v>
      </c>
      <c r="K211" s="3" t="str">
        <f>'All Girls &amp; Descendants - Edit'!L210</f>
        <v>27/04/1992</v>
      </c>
      <c r="L211" s="3">
        <f>'All Girls &amp; Descendants - Edit'!M210</f>
        <v>33721</v>
      </c>
      <c r="M211" s="3">
        <f>'All Girls &amp; Descendants - Edit'!N210</f>
        <v>0</v>
      </c>
      <c r="N211" s="3">
        <f>'All Girls &amp; Descendants - Edit'!O210</f>
        <v>0</v>
      </c>
      <c r="O211" s="3" t="str">
        <f>'All Girls &amp; Descendants - Edit'!P210</f>
        <v/>
      </c>
      <c r="P211" t="str">
        <f t="shared" si="61"/>
        <v>95bc</v>
      </c>
      <c r="Q211" s="116">
        <f t="shared" si="62"/>
        <v>2</v>
      </c>
      <c r="R211" s="31" t="str">
        <f t="shared" si="63"/>
        <v>The Hon Mary Henrietta  VESTEY</v>
      </c>
      <c r="S211" t="str">
        <f t="shared" si="64"/>
        <v>The Hon Mary VESTEY (1992 - : #95bc)</v>
      </c>
    </row>
    <row r="212" spans="1:19">
      <c r="A212">
        <f>'All Girls &amp; Descendants - Edit'!B211</f>
        <v>97</v>
      </c>
      <c r="B212" t="str">
        <f>'All Girls &amp; Descendants - Edit'!C211</f>
        <v>97aa</v>
      </c>
      <c r="C212" t="str">
        <f>'All Girls &amp; Descendants - Edit'!D211</f>
        <v>SALE</v>
      </c>
      <c r="D212" t="str">
        <f>'All Girls &amp; Descendants - Edit'!E211</f>
        <v>Alexander</v>
      </c>
      <c r="E212" t="str">
        <f>IF('All Girls &amp; Descendants - Edit'!F211="","",'All Girls &amp; Descendants - Edit'!F211)</f>
        <v>Robert</v>
      </c>
      <c r="F212" t="str">
        <f>IF('All Girls &amp; Descendants - Edit'!G211="","",'All Girls &amp; Descendants - Edit'!G211)</f>
        <v>Loyd</v>
      </c>
      <c r="G212" t="str">
        <f>IF('All Girls &amp; Descendants - Edit'!H211="",D212,'All Girls &amp; Descendants - Edit'!H211)</f>
        <v>Alexander</v>
      </c>
      <c r="H212">
        <f>'All Girls &amp; Descendants - Edit'!I211</f>
        <v>1991</v>
      </c>
      <c r="I212" t="str">
        <f>'All Girls &amp; Descendants - Edit'!J211</f>
        <v/>
      </c>
      <c r="J212" s="101">
        <f>'All Girls &amp; Descendants - Edit'!K211</f>
        <v>0</v>
      </c>
      <c r="K212" s="3" t="str">
        <f>'All Girls &amp; Descendants - Edit'!L211</f>
        <v>17/03/1991</v>
      </c>
      <c r="L212" s="3">
        <f>'All Girls &amp; Descendants - Edit'!M211</f>
        <v>33314</v>
      </c>
      <c r="M212" s="3">
        <f>'All Girls &amp; Descendants - Edit'!N211</f>
        <v>0</v>
      </c>
      <c r="N212" s="3">
        <f>'All Girls &amp; Descendants - Edit'!O211</f>
        <v>0</v>
      </c>
      <c r="O212" s="3" t="str">
        <f>'All Girls &amp; Descendants - Edit'!P211</f>
        <v/>
      </c>
      <c r="P212" t="str">
        <f t="shared" si="61"/>
        <v>97aa</v>
      </c>
      <c r="Q212" s="116">
        <f t="shared" si="62"/>
        <v>2</v>
      </c>
      <c r="R212" s="31" t="str">
        <f t="shared" si="63"/>
        <v>Alexander Robert Loyd SALE</v>
      </c>
      <c r="S212" t="str">
        <f t="shared" si="64"/>
        <v>Alexander SALE (1991 - : #97aa)</v>
      </c>
    </row>
    <row r="213" spans="1:19">
      <c r="A213">
        <f>'All Girls &amp; Descendants - Edit'!B212</f>
        <v>97</v>
      </c>
      <c r="B213" t="str">
        <f>'All Girls &amp; Descendants - Edit'!C212</f>
        <v>97ab</v>
      </c>
      <c r="C213" t="str">
        <f>'All Girls &amp; Descendants - Edit'!D212</f>
        <v>SALE</v>
      </c>
      <c r="D213" t="str">
        <f>'All Girls &amp; Descendants - Edit'!E212</f>
        <v>Oliver</v>
      </c>
      <c r="E213" t="str">
        <f>IF('All Girls &amp; Descendants - Edit'!F212="","",'All Girls &amp; Descendants - Edit'!F212)</f>
        <v>Edward</v>
      </c>
      <c r="F213" t="str">
        <f>IF('All Girls &amp; Descendants - Edit'!G212="","",'All Girls &amp; Descendants - Edit'!G212)</f>
        <v>David</v>
      </c>
      <c r="G213" t="str">
        <f>IF('All Girls &amp; Descendants - Edit'!H212="",D213,'All Girls &amp; Descendants - Edit'!H212)</f>
        <v>Oliver</v>
      </c>
      <c r="H213">
        <f>'All Girls &amp; Descendants - Edit'!I212</f>
        <v>1995</v>
      </c>
      <c r="I213" t="str">
        <f>'All Girls &amp; Descendants - Edit'!J212</f>
        <v/>
      </c>
      <c r="J213" s="101">
        <f>'All Girls &amp; Descendants - Edit'!K212</f>
        <v>0</v>
      </c>
      <c r="K213" s="3" t="str">
        <f>'All Girls &amp; Descendants - Edit'!L212</f>
        <v>15/09/1995</v>
      </c>
      <c r="L213" s="3">
        <f>'All Girls &amp; Descendants - Edit'!M212</f>
        <v>34957</v>
      </c>
      <c r="M213" s="3">
        <f>'All Girls &amp; Descendants - Edit'!N212</f>
        <v>0</v>
      </c>
      <c r="N213" s="3">
        <f>'All Girls &amp; Descendants - Edit'!O212</f>
        <v>0</v>
      </c>
      <c r="O213" s="3" t="str">
        <f>'All Girls &amp; Descendants - Edit'!P212</f>
        <v/>
      </c>
      <c r="P213" t="str">
        <f t="shared" si="61"/>
        <v>97ab</v>
      </c>
      <c r="Q213" s="116">
        <f t="shared" si="62"/>
        <v>2</v>
      </c>
      <c r="R213" s="31" t="str">
        <f t="shared" si="63"/>
        <v>Oliver Edward David SALE</v>
      </c>
      <c r="S213" t="str">
        <f t="shared" si="64"/>
        <v>Oliver SALE (1995 - : #97ab)</v>
      </c>
    </row>
    <row r="214" spans="1:19">
      <c r="A214">
        <f>'All Girls &amp; Descendants - Edit'!B213</f>
        <v>97</v>
      </c>
      <c r="B214" t="str">
        <f>'All Girls &amp; Descendants - Edit'!C213</f>
        <v>97ea</v>
      </c>
      <c r="C214" t="str">
        <f>'All Girls &amp; Descendants - Edit'!D213</f>
        <v>SALE</v>
      </c>
      <c r="D214" t="str">
        <f>'All Girls &amp; Descendants - Edit'!E213</f>
        <v>Frank</v>
      </c>
      <c r="E214" t="str">
        <f>IF('All Girls &amp; Descendants - Edit'!F213="","",'All Girls &amp; Descendants - Edit'!F213)</f>
        <v>Thomas</v>
      </c>
      <c r="F214" t="str">
        <f>IF('All Girls &amp; Descendants - Edit'!G213="","",'All Girls &amp; Descendants - Edit'!G213)</f>
        <v>Arthur</v>
      </c>
      <c r="G214" t="str">
        <f>IF('All Girls &amp; Descendants - Edit'!H213="",D214,'All Girls &amp; Descendants - Edit'!H213)</f>
        <v>Frank</v>
      </c>
      <c r="H214">
        <f>'All Girls &amp; Descendants - Edit'!I213</f>
        <v>1995</v>
      </c>
      <c r="I214" t="str">
        <f>'All Girls &amp; Descendants - Edit'!J213</f>
        <v/>
      </c>
      <c r="J214" s="101">
        <f>'All Girls &amp; Descendants - Edit'!K213</f>
        <v>0</v>
      </c>
      <c r="K214" s="3" t="str">
        <f>'All Girls &amp; Descendants - Edit'!L213</f>
        <v>21/08/1995</v>
      </c>
      <c r="L214" s="3">
        <f>'All Girls &amp; Descendants - Edit'!M213</f>
        <v>34932</v>
      </c>
      <c r="M214" s="3">
        <f>'All Girls &amp; Descendants - Edit'!N213</f>
        <v>0</v>
      </c>
      <c r="N214" s="3">
        <f>'All Girls &amp; Descendants - Edit'!O213</f>
        <v>0</v>
      </c>
      <c r="O214" s="3" t="str">
        <f>'All Girls &amp; Descendants - Edit'!P213</f>
        <v/>
      </c>
      <c r="P214" t="str">
        <f t="shared" si="61"/>
        <v>97ea</v>
      </c>
      <c r="Q214" s="116">
        <f t="shared" si="62"/>
        <v>2</v>
      </c>
      <c r="R214" s="31" t="str">
        <f t="shared" si="63"/>
        <v>Frank Thomas Arthur SALE</v>
      </c>
      <c r="S214" t="str">
        <f t="shared" si="64"/>
        <v>Frank SALE (1995 - : #97ea)</v>
      </c>
    </row>
    <row r="215" spans="1:19">
      <c r="A215">
        <f>'All Girls &amp; Descendants - Edit'!B214</f>
        <v>97</v>
      </c>
      <c r="B215" t="str">
        <f>'All Girls &amp; Descendants - Edit'!C214</f>
        <v>97eb</v>
      </c>
      <c r="C215" t="str">
        <f>'All Girls &amp; Descendants - Edit'!D214</f>
        <v>SALE</v>
      </c>
      <c r="D215" t="str">
        <f>'All Girls &amp; Descendants - Edit'!E214</f>
        <v>Constancy</v>
      </c>
      <c r="E215" t="str">
        <f>IF('All Girls &amp; Descendants - Edit'!F214="","",'All Girls &amp; Descendants - Edit'!F214)</f>
        <v>Nancy</v>
      </c>
      <c r="F215" t="str">
        <f>IF('All Girls &amp; Descendants - Edit'!G214="","",'All Girls &amp; Descendants - Edit'!G214)</f>
        <v/>
      </c>
      <c r="G215" t="str">
        <f>IF('All Girls &amp; Descendants - Edit'!H214="",D215,'All Girls &amp; Descendants - Edit'!H214)</f>
        <v>Connie</v>
      </c>
      <c r="H215">
        <f>'All Girls &amp; Descendants - Edit'!I214</f>
        <v>1997</v>
      </c>
      <c r="I215" t="str">
        <f>'All Girls &amp; Descendants - Edit'!J214</f>
        <v/>
      </c>
      <c r="J215" s="101">
        <f>'All Girls &amp; Descendants - Edit'!K214</f>
        <v>0</v>
      </c>
      <c r="K215" s="3" t="str">
        <f>'All Girls &amp; Descendants - Edit'!L214</f>
        <v>31/12/1997</v>
      </c>
      <c r="L215" s="3">
        <f>'All Girls &amp; Descendants - Edit'!M214</f>
        <v>35795</v>
      </c>
      <c r="M215" s="3">
        <f>'All Girls &amp; Descendants - Edit'!N214</f>
        <v>0</v>
      </c>
      <c r="N215" s="3">
        <f>'All Girls &amp; Descendants - Edit'!O214</f>
        <v>0</v>
      </c>
      <c r="O215" s="3" t="str">
        <f>'All Girls &amp; Descendants - Edit'!P214</f>
        <v/>
      </c>
      <c r="P215" t="str">
        <f t="shared" si="61"/>
        <v>97eb</v>
      </c>
      <c r="Q215" s="116">
        <f t="shared" si="62"/>
        <v>2</v>
      </c>
      <c r="R215" s="31" t="str">
        <f t="shared" si="63"/>
        <v>Constancy Nancy  SALE</v>
      </c>
      <c r="S215" t="str">
        <f t="shared" si="64"/>
        <v>Connie SALE (1997 - : #97eb)</v>
      </c>
    </row>
    <row r="216" spans="1:19">
      <c r="A216">
        <f>'All Girls &amp; Descendants - Edit'!B215</f>
        <v>97</v>
      </c>
      <c r="B216" t="str">
        <f>'All Girls &amp; Descendants - Edit'!C215</f>
        <v>97ec</v>
      </c>
      <c r="C216" t="str">
        <f>'All Girls &amp; Descendants - Edit'!D215</f>
        <v>SALE</v>
      </c>
      <c r="D216" t="str">
        <f>'All Girls &amp; Descendants - Edit'!E215</f>
        <v>Grace</v>
      </c>
      <c r="E216" t="str">
        <f>IF('All Girls &amp; Descendants - Edit'!F215="","",'All Girls &amp; Descendants - Edit'!F215)</f>
        <v>Alice</v>
      </c>
      <c r="F216" t="str">
        <f>IF('All Girls &amp; Descendants - Edit'!G215="","",'All Girls &amp; Descendants - Edit'!G215)</f>
        <v/>
      </c>
      <c r="G216" t="str">
        <f>IF('All Girls &amp; Descendants - Edit'!H215="",D216,'All Girls &amp; Descendants - Edit'!H215)</f>
        <v>Grace</v>
      </c>
      <c r="H216">
        <f>'All Girls &amp; Descendants - Edit'!I215</f>
        <v>2002</v>
      </c>
      <c r="I216">
        <f>'All Girls &amp; Descendants - Edit'!J215</f>
        <v>0</v>
      </c>
      <c r="J216" s="101">
        <f>'All Girls &amp; Descendants - Edit'!K215</f>
        <v>0</v>
      </c>
      <c r="K216" s="3" t="str">
        <f>'All Girls &amp; Descendants - Edit'!L215</f>
        <v>24/01/2002</v>
      </c>
      <c r="L216" s="3">
        <f>'All Girls &amp; Descendants - Edit'!M215</f>
        <v>37280</v>
      </c>
      <c r="M216" s="3">
        <f>'All Girls &amp; Descendants - Edit'!N215</f>
        <v>0</v>
      </c>
      <c r="N216" s="3">
        <f>'All Girls &amp; Descendants - Edit'!O215</f>
        <v>0</v>
      </c>
      <c r="O216" s="3">
        <f>'All Girls &amp; Descendants - Edit'!P215</f>
        <v>0</v>
      </c>
      <c r="P216" t="str">
        <f t="shared" si="61"/>
        <v>97ec</v>
      </c>
      <c r="Q216" s="116">
        <f t="shared" si="62"/>
        <v>2</v>
      </c>
      <c r="R216" s="31" t="str">
        <f t="shared" si="63"/>
        <v>Grace Alice  SALE</v>
      </c>
      <c r="S216" t="str">
        <f t="shared" si="64"/>
        <v>Grace SALE (2002 - 0: #97ec)</v>
      </c>
    </row>
    <row r="217" spans="1:19">
      <c r="A217">
        <f>'All Girls &amp; Descendants - Edit'!B216</f>
        <v>101</v>
      </c>
      <c r="B217" t="str">
        <f>'All Girls &amp; Descendants - Edit'!C216</f>
        <v>101aa</v>
      </c>
      <c r="C217" t="str">
        <f>'All Girls &amp; Descendants - Edit'!D216</f>
        <v>TIMPSON</v>
      </c>
      <c r="D217" t="str">
        <f>'All Girls &amp; Descendants - Edit'!E216</f>
        <v>Lawrence</v>
      </c>
      <c r="E217" t="str">
        <f>IF('All Girls &amp; Descendants - Edit'!F216="","",'All Girls &amp; Descendants - Edit'!F216)</f>
        <v>Rupert</v>
      </c>
      <c r="F217" t="str">
        <f>IF('All Girls &amp; Descendants - Edit'!G216="","",'All Girls &amp; Descendants - Edit'!G216)</f>
        <v>John</v>
      </c>
      <c r="G217" t="str">
        <f>IF('All Girls &amp; Descendants - Edit'!H216="",D217,'All Girls &amp; Descendants - Edit'!H216)</f>
        <v>Lawrence</v>
      </c>
      <c r="H217">
        <f>'All Girls &amp; Descendants - Edit'!I216</f>
        <v>1974</v>
      </c>
      <c r="I217" t="str">
        <f>'All Girls &amp; Descendants - Edit'!J216</f>
        <v/>
      </c>
      <c r="J217" s="101">
        <f>'All Girls &amp; Descendants - Edit'!K216</f>
        <v>0</v>
      </c>
      <c r="K217" s="3" t="str">
        <f>'All Girls &amp; Descendants - Edit'!L216</f>
        <v>05/07/1974</v>
      </c>
      <c r="L217" s="3">
        <f>'All Girls &amp; Descendants - Edit'!M216</f>
        <v>27215</v>
      </c>
      <c r="M217" s="3">
        <f>'All Girls &amp; Descendants - Edit'!N216</f>
        <v>0</v>
      </c>
      <c r="N217" s="3">
        <f>'All Girls &amp; Descendants - Edit'!O216</f>
        <v>0</v>
      </c>
      <c r="O217" s="3" t="str">
        <f>'All Girls &amp; Descendants - Edit'!P216</f>
        <v/>
      </c>
      <c r="P217" t="str">
        <f t="shared" si="61"/>
        <v>101aa</v>
      </c>
      <c r="Q217" s="116">
        <f t="shared" si="62"/>
        <v>2</v>
      </c>
      <c r="R217" s="31" t="str">
        <f t="shared" si="63"/>
        <v>Lawrence Rupert John TIMPSON</v>
      </c>
      <c r="S217" t="str">
        <f t="shared" si="64"/>
        <v>Lawrence TIMPSON (1974 - : #101aa)</v>
      </c>
    </row>
    <row r="218" spans="1:19">
      <c r="A218">
        <f>'All Girls &amp; Descendants - Edit'!B217</f>
        <v>101</v>
      </c>
      <c r="B218" t="str">
        <f>'All Girls &amp; Descendants - Edit'!C217</f>
        <v>101ab</v>
      </c>
      <c r="C218" t="str">
        <f>'All Girls &amp; Descendants - Edit'!D217</f>
        <v>TIMPSON</v>
      </c>
      <c r="D218" t="str">
        <f>'All Girls &amp; Descendants - Edit'!E217</f>
        <v>Catherine</v>
      </c>
      <c r="E218" t="str">
        <f>IF('All Girls &amp; Descendants - Edit'!F217="","",'All Girls &amp; Descendants - Edit'!F217)</f>
        <v>Selina</v>
      </c>
      <c r="F218" t="str">
        <f>IF('All Girls &amp; Descendants - Edit'!G217="","",'All Girls &amp; Descendants - Edit'!G217)</f>
        <v>Alexandra</v>
      </c>
      <c r="G218" t="str">
        <f>IF('All Girls &amp; Descendants - Edit'!H217="",D218,'All Girls &amp; Descendants - Edit'!H217)</f>
        <v>Catherine</v>
      </c>
      <c r="H218">
        <f>'All Girls &amp; Descendants - Edit'!I217</f>
        <v>1979</v>
      </c>
      <c r="I218" t="str">
        <f>'All Girls &amp; Descendants - Edit'!J217</f>
        <v/>
      </c>
      <c r="J218" s="101">
        <f>'All Girls &amp; Descendants - Edit'!K217</f>
        <v>0</v>
      </c>
      <c r="K218" s="3" t="str">
        <f>'All Girls &amp; Descendants - Edit'!L217</f>
        <v>13/01/1979</v>
      </c>
      <c r="L218" s="3">
        <f>'All Girls &amp; Descendants - Edit'!M217</f>
        <v>28868</v>
      </c>
      <c r="M218" s="3">
        <f>'All Girls &amp; Descendants - Edit'!N217</f>
        <v>0</v>
      </c>
      <c r="N218" s="3">
        <f>'All Girls &amp; Descendants - Edit'!O217</f>
        <v>0</v>
      </c>
      <c r="O218" s="3" t="str">
        <f>'All Girls &amp; Descendants - Edit'!P217</f>
        <v/>
      </c>
      <c r="P218" t="str">
        <f t="shared" si="61"/>
        <v>101ab</v>
      </c>
      <c r="Q218" s="116">
        <f t="shared" si="62"/>
        <v>2</v>
      </c>
      <c r="R218" s="31" t="str">
        <f t="shared" si="63"/>
        <v>Catherine Selina Alexandra TIMPSON</v>
      </c>
      <c r="S218" t="str">
        <f t="shared" si="64"/>
        <v>Catherine TIMPSON (1979 - : #101ab)</v>
      </c>
    </row>
    <row r="219" spans="1:19">
      <c r="A219">
        <f>'All Girls &amp; Descendants - Edit'!B218</f>
        <v>101</v>
      </c>
      <c r="B219" t="str">
        <f>'All Girls &amp; Descendants - Edit'!C218</f>
        <v>101ba</v>
      </c>
      <c r="C219" t="str">
        <f>'All Girls &amp; Descendants - Edit'!D218</f>
        <v>LOWRY-CORRY</v>
      </c>
      <c r="D219" t="str">
        <f>'All Girls &amp; Descendants - Edit'!E218</f>
        <v>Viscount John</v>
      </c>
      <c r="E219" t="str">
        <f>IF('All Girls &amp; Descendants - Edit'!F218="","",'All Girls &amp; Descendants - Edit'!F218)</f>
        <v>Armar</v>
      </c>
      <c r="F219" t="str">
        <f>IF('All Girls &amp; Descendants - Edit'!G218="","",'All Girls &amp; Descendants - Edit'!G218)</f>
        <v>Galbraith</v>
      </c>
      <c r="G219" t="str">
        <f>IF('All Girls &amp; Descendants - Edit'!H218="",D219,'All Girls &amp; Descendants - Edit'!H218)</f>
        <v>Viscount John</v>
      </c>
      <c r="H219">
        <f>'All Girls &amp; Descendants - Edit'!I218</f>
        <v>1985</v>
      </c>
      <c r="I219" t="str">
        <f>'All Girls &amp; Descendants - Edit'!J218</f>
        <v/>
      </c>
      <c r="J219" s="101">
        <f>'All Girls &amp; Descendants - Edit'!K218</f>
        <v>0</v>
      </c>
      <c r="K219" s="3" t="str">
        <f>'All Girls &amp; Descendants - Edit'!L218</f>
        <v>02/11/1985</v>
      </c>
      <c r="L219" s="3">
        <f>'All Girls &amp; Descendants - Edit'!M218</f>
        <v>31353</v>
      </c>
      <c r="M219" s="3">
        <f>'All Girls &amp; Descendants - Edit'!N218</f>
        <v>0</v>
      </c>
      <c r="N219" s="3">
        <f>'All Girls &amp; Descendants - Edit'!O218</f>
        <v>0</v>
      </c>
      <c r="O219" s="3" t="str">
        <f>'All Girls &amp; Descendants - Edit'!P218</f>
        <v/>
      </c>
      <c r="P219" t="str">
        <f t="shared" si="61"/>
        <v>101ba</v>
      </c>
      <c r="Q219" s="116">
        <f t="shared" si="62"/>
        <v>2</v>
      </c>
      <c r="R219" s="31" t="str">
        <f t="shared" si="63"/>
        <v>Viscount John Armar Galbraith LOWRY-CORRY</v>
      </c>
      <c r="S219" t="str">
        <f t="shared" si="64"/>
        <v>Viscount John LOWRY-CORRY (1985 - : #101ba)</v>
      </c>
    </row>
    <row r="220" spans="1:19">
      <c r="A220">
        <f>'All Girls &amp; Descendants - Edit'!B219</f>
        <v>101</v>
      </c>
      <c r="B220" t="str">
        <f>'All Girls &amp; Descendants - Edit'!C219</f>
        <v>101bb</v>
      </c>
      <c r="C220" t="str">
        <f>'All Girls &amp; Descendants - Edit'!D219</f>
        <v>LOWRY-CORRY</v>
      </c>
      <c r="D220" t="str">
        <f>'All Girls &amp; Descendants - Edit'!E219</f>
        <v>The Hon Montagu</v>
      </c>
      <c r="E220" t="str">
        <f>IF('All Girls &amp; Descendants - Edit'!F219="","",'All Girls &amp; Descendants - Edit'!F219)</f>
        <v>Gilford</v>
      </c>
      <c r="F220" t="str">
        <f>IF('All Girls &amp; Descendants - Edit'!G219="","",'All Girls &amp; Descendants - Edit'!G219)</f>
        <v>George</v>
      </c>
      <c r="G220" t="str">
        <f>IF('All Girls &amp; Descendants - Edit'!H219="",D220,'All Girls &amp; Descendants - Edit'!H219)</f>
        <v>The Hon Montagu</v>
      </c>
      <c r="H220">
        <f>'All Girls &amp; Descendants - Edit'!I219</f>
        <v>1989</v>
      </c>
      <c r="I220" t="str">
        <f>'All Girls &amp; Descendants - Edit'!J219</f>
        <v/>
      </c>
      <c r="J220" s="101">
        <f>'All Girls &amp; Descendants - Edit'!K219</f>
        <v>0</v>
      </c>
      <c r="K220" s="3" t="str">
        <f>'All Girls &amp; Descendants - Edit'!L219</f>
        <v>30/03/1989</v>
      </c>
      <c r="L220" s="3">
        <f>'All Girls &amp; Descendants - Edit'!M219</f>
        <v>32597</v>
      </c>
      <c r="M220" s="3">
        <f>'All Girls &amp; Descendants - Edit'!N219</f>
        <v>0</v>
      </c>
      <c r="N220" s="3">
        <f>'All Girls &amp; Descendants - Edit'!O219</f>
        <v>0</v>
      </c>
      <c r="O220" s="3" t="str">
        <f>'All Girls &amp; Descendants - Edit'!P219</f>
        <v/>
      </c>
      <c r="P220" t="str">
        <f t="shared" si="61"/>
        <v>101bb</v>
      </c>
      <c r="Q220" s="116">
        <f t="shared" si="62"/>
        <v>2</v>
      </c>
      <c r="R220" s="31" t="str">
        <f t="shared" si="63"/>
        <v>The Hon Montagu Gilford George LOWRY-CORRY</v>
      </c>
      <c r="S220" t="str">
        <f t="shared" si="64"/>
        <v>The Hon Montagu LOWRY-CORRY (1989 - : #101bb)</v>
      </c>
    </row>
    <row r="221" spans="1:19">
      <c r="A221">
        <f>'All Girls &amp; Descendants - Edit'!B220</f>
        <v>101</v>
      </c>
      <c r="B221" t="str">
        <f>'All Girls &amp; Descendants - Edit'!C220</f>
        <v>101bc</v>
      </c>
      <c r="C221" t="str">
        <f>'All Girls &amp; Descendants - Edit'!D220</f>
        <v>LOWRY-CORRY</v>
      </c>
      <c r="D221" t="str">
        <f>'All Girls &amp; Descendants - Edit'!E220</f>
        <v>Lady Martha</v>
      </c>
      <c r="E221" t="str">
        <f>IF('All Girls &amp; Descendants - Edit'!F220="","",'All Girls &amp; Descendants - Edit'!F220)</f>
        <v>Catherine</v>
      </c>
      <c r="F221" t="str">
        <f>IF('All Girls &amp; Descendants - Edit'!G220="","",'All Girls &amp; Descendants - Edit'!G220)</f>
        <v/>
      </c>
      <c r="G221" t="str">
        <f>IF('All Girls &amp; Descendants - Edit'!H220="",D221,'All Girls &amp; Descendants - Edit'!H220)</f>
        <v>Lady Martha</v>
      </c>
      <c r="H221">
        <f>'All Girls &amp; Descendants - Edit'!I220</f>
        <v>1992</v>
      </c>
      <c r="I221" t="str">
        <f>'All Girls &amp; Descendants - Edit'!J220</f>
        <v/>
      </c>
      <c r="J221" s="101">
        <f>'All Girls &amp; Descendants - Edit'!K220</f>
        <v>0</v>
      </c>
      <c r="K221" s="3" t="str">
        <f>'All Girls &amp; Descendants - Edit'!L220</f>
        <v>27/05/1992</v>
      </c>
      <c r="L221" s="3">
        <f>'All Girls &amp; Descendants - Edit'!M220</f>
        <v>33751</v>
      </c>
      <c r="M221" s="3">
        <f>'All Girls &amp; Descendants - Edit'!N220</f>
        <v>0</v>
      </c>
      <c r="N221" s="3">
        <f>'All Girls &amp; Descendants - Edit'!O220</f>
        <v>0</v>
      </c>
      <c r="O221" s="3" t="str">
        <f>'All Girls &amp; Descendants - Edit'!P220</f>
        <v/>
      </c>
      <c r="P221" t="str">
        <f t="shared" si="61"/>
        <v>101bc</v>
      </c>
      <c r="Q221" s="116">
        <f t="shared" si="62"/>
        <v>2</v>
      </c>
      <c r="R221" s="31" t="str">
        <f t="shared" si="63"/>
        <v>Lady Martha Catherine  LOWRY-CORRY</v>
      </c>
      <c r="S221" t="str">
        <f t="shared" si="64"/>
        <v>Lady Martha LOWRY-CORRY (1992 - : #101bc)</v>
      </c>
    </row>
    <row r="222" spans="1:19">
      <c r="A222">
        <f>'All Girls &amp; Descendants - Edit'!B221</f>
        <v>101</v>
      </c>
      <c r="B222" t="str">
        <f>'All Girls &amp; Descendants - Edit'!C221</f>
        <v>101ca</v>
      </c>
      <c r="C222" t="str">
        <f>'All Girls &amp; Descendants - Edit'!D221</f>
        <v>HISCOX</v>
      </c>
      <c r="D222" t="str">
        <f>'All Girls &amp; Descendants - Edit'!E221</f>
        <v>Milo</v>
      </c>
      <c r="E222" t="str">
        <f>IF('All Girls &amp; Descendants - Edit'!F221="","",'All Girls &amp; Descendants - Edit'!F221)</f>
        <v>Edmund</v>
      </c>
      <c r="F222" t="str">
        <f>IF('All Girls &amp; Descendants - Edit'!G221="","",'All Girls &amp; Descendants - Edit'!G221)</f>
        <v/>
      </c>
      <c r="G222" t="str">
        <f>IF('All Girls &amp; Descendants - Edit'!H221="",D222,'All Girls &amp; Descendants - Edit'!H221)</f>
        <v>Milo</v>
      </c>
      <c r="H222">
        <f>'All Girls &amp; Descendants - Edit'!I221</f>
        <v>1987</v>
      </c>
      <c r="I222" t="str">
        <f>'All Girls &amp; Descendants - Edit'!J221</f>
        <v/>
      </c>
      <c r="J222" s="101">
        <f>'All Girls &amp; Descendants - Edit'!K221</f>
        <v>0</v>
      </c>
      <c r="K222" s="3" t="str">
        <f>'All Girls &amp; Descendants - Edit'!L221</f>
        <v>04/01/1987</v>
      </c>
      <c r="L222" s="3">
        <f>'All Girls &amp; Descendants - Edit'!M221</f>
        <v>31781</v>
      </c>
      <c r="M222" s="3">
        <f>'All Girls &amp; Descendants - Edit'!N221</f>
        <v>0</v>
      </c>
      <c r="N222" s="3">
        <f>'All Girls &amp; Descendants - Edit'!O221</f>
        <v>0</v>
      </c>
      <c r="O222" s="3" t="str">
        <f>'All Girls &amp; Descendants - Edit'!P221</f>
        <v/>
      </c>
      <c r="P222" t="str">
        <f t="shared" si="61"/>
        <v>101ca</v>
      </c>
      <c r="Q222" s="116">
        <f t="shared" si="62"/>
        <v>2</v>
      </c>
      <c r="R222" s="31" t="str">
        <f t="shared" si="63"/>
        <v>Milo Edmund  HISCOX</v>
      </c>
      <c r="S222" t="str">
        <f t="shared" si="64"/>
        <v>Milo HISCOX (1987 - : #101ca)</v>
      </c>
    </row>
    <row r="223" spans="1:19">
      <c r="A223">
        <f>'All Girls &amp; Descendants - Edit'!B222</f>
        <v>101</v>
      </c>
      <c r="B223" t="str">
        <f>'All Girls &amp; Descendants - Edit'!C222</f>
        <v>101cb</v>
      </c>
      <c r="C223" t="str">
        <f>'All Girls &amp; Descendants - Edit'!D222</f>
        <v>HISCOX</v>
      </c>
      <c r="D223" t="str">
        <f>'All Girls &amp; Descendants - Edit'!E222</f>
        <v>Henry</v>
      </c>
      <c r="E223" t="str">
        <f>IF('All Girls &amp; Descendants - Edit'!F222="","",'All Girls &amp; Descendants - Edit'!F222)</f>
        <v>Charles</v>
      </c>
      <c r="F223" t="str">
        <f>IF('All Girls &amp; Descendants - Edit'!G222="","",'All Girls &amp; Descendants - Edit'!G222)</f>
        <v/>
      </c>
      <c r="G223" t="str">
        <f>IF('All Girls &amp; Descendants - Edit'!H222="",D223,'All Girls &amp; Descendants - Edit'!H222)</f>
        <v>Henry</v>
      </c>
      <c r="H223">
        <f>'All Girls &amp; Descendants - Edit'!I222</f>
        <v>1989</v>
      </c>
      <c r="I223" t="str">
        <f>'All Girls &amp; Descendants - Edit'!J222</f>
        <v/>
      </c>
      <c r="J223" s="101">
        <f>'All Girls &amp; Descendants - Edit'!K222</f>
        <v>0</v>
      </c>
      <c r="K223" s="3" t="str">
        <f>'All Girls &amp; Descendants - Edit'!L222</f>
        <v>23/09/1989</v>
      </c>
      <c r="L223" s="3">
        <f>'All Girls &amp; Descendants - Edit'!M222</f>
        <v>32774</v>
      </c>
      <c r="M223" s="3">
        <f>'All Girls &amp; Descendants - Edit'!N222</f>
        <v>0</v>
      </c>
      <c r="N223" s="3">
        <f>'All Girls &amp; Descendants - Edit'!O222</f>
        <v>0</v>
      </c>
      <c r="O223" s="3" t="str">
        <f>'All Girls &amp; Descendants - Edit'!P222</f>
        <v/>
      </c>
      <c r="P223" t="str">
        <f t="shared" si="61"/>
        <v>101cb</v>
      </c>
      <c r="Q223" s="116">
        <f t="shared" si="62"/>
        <v>2</v>
      </c>
      <c r="R223" s="31" t="str">
        <f t="shared" si="63"/>
        <v>Henry Charles  HISCOX</v>
      </c>
      <c r="S223" t="str">
        <f t="shared" si="64"/>
        <v>Henry HISCOX (1989 - : #101cb)</v>
      </c>
    </row>
    <row r="224" spans="1:19">
      <c r="A224">
        <f>'All Girls &amp; Descendants - Edit'!B223</f>
        <v>101</v>
      </c>
      <c r="B224" t="str">
        <f>'All Girls &amp; Descendants - Edit'!C223</f>
        <v>101cc</v>
      </c>
      <c r="C224" t="str">
        <f>'All Girls &amp; Descendants - Edit'!D223</f>
        <v>HISCOX</v>
      </c>
      <c r="D224" t="str">
        <f>'All Girls &amp; Descendants - Edit'!E223</f>
        <v>Sydney</v>
      </c>
      <c r="E224" t="str">
        <f>IF('All Girls &amp; Descendants - Edit'!F223="","",'All Girls &amp; Descendants - Edit'!F223)</f>
        <v>John</v>
      </c>
      <c r="F224" t="str">
        <f>IF('All Girls &amp; Descendants - Edit'!G223="","",'All Girls &amp; Descendants - Edit'!G223)</f>
        <v/>
      </c>
      <c r="G224" t="str">
        <f>IF('All Girls &amp; Descendants - Edit'!H223="",D224,'All Girls &amp; Descendants - Edit'!H223)</f>
        <v>Sydney</v>
      </c>
      <c r="H224">
        <f>'All Girls &amp; Descendants - Edit'!I223</f>
        <v>1993</v>
      </c>
      <c r="I224" t="str">
        <f>'All Girls &amp; Descendants - Edit'!J223</f>
        <v/>
      </c>
      <c r="J224" s="101">
        <f>'All Girls &amp; Descendants - Edit'!K223</f>
        <v>0</v>
      </c>
      <c r="K224" s="3" t="str">
        <f>'All Girls &amp; Descendants - Edit'!L223</f>
        <v>24/01/1993</v>
      </c>
      <c r="L224" s="3">
        <f>'All Girls &amp; Descendants - Edit'!M223</f>
        <v>33993</v>
      </c>
      <c r="M224" s="3">
        <f>'All Girls &amp; Descendants - Edit'!N223</f>
        <v>0</v>
      </c>
      <c r="N224" s="3">
        <f>'All Girls &amp; Descendants - Edit'!O223</f>
        <v>0</v>
      </c>
      <c r="O224" s="3" t="str">
        <f>'All Girls &amp; Descendants - Edit'!P223</f>
        <v/>
      </c>
      <c r="P224" t="str">
        <f t="shared" si="61"/>
        <v>101cc</v>
      </c>
      <c r="Q224" s="116">
        <f t="shared" si="62"/>
        <v>2</v>
      </c>
      <c r="R224" s="31" t="str">
        <f t="shared" si="63"/>
        <v>Sydney John  HISCOX</v>
      </c>
      <c r="S224" t="str">
        <f t="shared" si="64"/>
        <v>Sydney HISCOX (1993 - : #101cc)</v>
      </c>
    </row>
    <row r="225" spans="1:19">
      <c r="A225">
        <f>'All Girls &amp; Descendants - Edit'!B224</f>
        <v>101</v>
      </c>
      <c r="B225" t="str">
        <f>'All Girls &amp; Descendants - Edit'!C224</f>
        <v>101da</v>
      </c>
      <c r="C225" t="str">
        <f>'All Girls &amp; Descendants - Edit'!D224</f>
        <v>REID</v>
      </c>
      <c r="D225" t="str">
        <f>'All Girls &amp; Descendants - Edit'!E224</f>
        <v>Nicholas</v>
      </c>
      <c r="E225" t="str">
        <f>IF('All Girls &amp; Descendants - Edit'!F224="","",'All Girls &amp; Descendants - Edit'!F224)</f>
        <v>John</v>
      </c>
      <c r="F225" t="str">
        <f>IF('All Girls &amp; Descendants - Edit'!G224="","",'All Girls &amp; Descendants - Edit'!G224)</f>
        <v>Howard</v>
      </c>
      <c r="G225" t="str">
        <f>IF('All Girls &amp; Descendants - Edit'!H224="",D225,'All Girls &amp; Descendants - Edit'!H224)</f>
        <v>Nicholas</v>
      </c>
      <c r="H225">
        <f>'All Girls &amp; Descendants - Edit'!I224</f>
        <v>1982</v>
      </c>
      <c r="I225" t="str">
        <f>'All Girls &amp; Descendants - Edit'!J224</f>
        <v/>
      </c>
      <c r="J225" s="101">
        <f>'All Girls &amp; Descendants - Edit'!K224</f>
        <v>0</v>
      </c>
      <c r="K225" s="3" t="str">
        <f>'All Girls &amp; Descendants - Edit'!L224</f>
        <v>30/12/1982</v>
      </c>
      <c r="L225" s="3" t="str">
        <f>'All Girls &amp; Descendants - Edit'!M224</f>
        <v>30/12/1982</v>
      </c>
      <c r="M225" s="3">
        <f>'All Girls &amp; Descendants - Edit'!N224</f>
        <v>0</v>
      </c>
      <c r="N225" s="3">
        <f>'All Girls &amp; Descendants - Edit'!O224</f>
        <v>0</v>
      </c>
      <c r="O225" s="3" t="str">
        <f>'All Girls &amp; Descendants - Edit'!P224</f>
        <v/>
      </c>
      <c r="P225" t="str">
        <f t="shared" si="61"/>
        <v>101da</v>
      </c>
      <c r="Q225" s="116">
        <f t="shared" si="62"/>
        <v>2</v>
      </c>
      <c r="R225" s="31" t="str">
        <f t="shared" si="63"/>
        <v>Nicholas John Howard REID</v>
      </c>
      <c r="S225" t="str">
        <f t="shared" si="64"/>
        <v>Nicholas REID (1982 - : #101da)</v>
      </c>
    </row>
    <row r="226" spans="1:19">
      <c r="A226">
        <f>'All Girls &amp; Descendants - Edit'!B225</f>
        <v>101</v>
      </c>
      <c r="B226" t="str">
        <f>'All Girls &amp; Descendants - Edit'!C225</f>
        <v>101db</v>
      </c>
      <c r="C226" t="str">
        <f>'All Girls &amp; Descendants - Edit'!D225</f>
        <v>REID</v>
      </c>
      <c r="D226" t="str">
        <f>'All Girls &amp; Descendants - Edit'!E225</f>
        <v>Amelia</v>
      </c>
      <c r="E226" t="str">
        <f>IF('All Girls &amp; Descendants - Edit'!F225="","",'All Girls &amp; Descendants - Edit'!F225)</f>
        <v>Louise</v>
      </c>
      <c r="F226" t="str">
        <f>IF('All Girls &amp; Descendants - Edit'!G225="","",'All Girls &amp; Descendants - Edit'!G225)</f>
        <v>Catherine</v>
      </c>
      <c r="G226" t="str">
        <f>IF('All Girls &amp; Descendants - Edit'!H225="",D226,'All Girls &amp; Descendants - Edit'!H225)</f>
        <v>Amelia</v>
      </c>
      <c r="H226">
        <f>'All Girls &amp; Descendants - Edit'!I225</f>
        <v>1984</v>
      </c>
      <c r="I226" t="str">
        <f>'All Girls &amp; Descendants - Edit'!J225</f>
        <v/>
      </c>
      <c r="J226" s="101">
        <f>'All Girls &amp; Descendants - Edit'!K225</f>
        <v>0</v>
      </c>
      <c r="K226" s="3" t="str">
        <f>'All Girls &amp; Descendants - Edit'!L225</f>
        <v>24/12/1984</v>
      </c>
      <c r="L226" s="3">
        <f>'All Girls &amp; Descendants - Edit'!M225</f>
        <v>31040</v>
      </c>
      <c r="M226" s="3">
        <f>'All Girls &amp; Descendants - Edit'!N225</f>
        <v>0</v>
      </c>
      <c r="N226" s="3">
        <f>'All Girls &amp; Descendants - Edit'!O225</f>
        <v>0</v>
      </c>
      <c r="O226" s="3" t="str">
        <f>'All Girls &amp; Descendants - Edit'!P225</f>
        <v/>
      </c>
      <c r="P226" t="str">
        <f t="shared" si="61"/>
        <v>101db</v>
      </c>
      <c r="Q226" s="116">
        <f t="shared" si="62"/>
        <v>2</v>
      </c>
      <c r="R226" s="31" t="str">
        <f t="shared" si="63"/>
        <v>Amelia Louise Catherine REID</v>
      </c>
      <c r="S226" t="str">
        <f t="shared" si="64"/>
        <v>Amelia REID (1984 - : #101db)</v>
      </c>
    </row>
    <row r="227" spans="1:19">
      <c r="A227">
        <f>'All Girls &amp; Descendants - Edit'!B226</f>
        <v>101</v>
      </c>
      <c r="B227" t="str">
        <f>'All Girls &amp; Descendants - Edit'!C226</f>
        <v>101dc</v>
      </c>
      <c r="C227" t="str">
        <f>'All Girls &amp; Descendants - Edit'!D226</f>
        <v>REID</v>
      </c>
      <c r="D227" t="str">
        <f>'All Girls &amp; Descendants - Edit'!E226</f>
        <v>Clementine</v>
      </c>
      <c r="E227" t="str">
        <f>IF('All Girls &amp; Descendants - Edit'!F226="","",'All Girls &amp; Descendants - Edit'!F226)</f>
        <v>Julia</v>
      </c>
      <c r="F227" t="str">
        <f>IF('All Girls &amp; Descendants - Edit'!G226="","",'All Girls &amp; Descendants - Edit'!G226)</f>
        <v/>
      </c>
      <c r="G227" t="str">
        <f>IF('All Girls &amp; Descendants - Edit'!H226="",D227,'All Girls &amp; Descendants - Edit'!H226)</f>
        <v>Clementine</v>
      </c>
      <c r="H227">
        <f>'All Girls &amp; Descendants - Edit'!I226</f>
        <v>1988</v>
      </c>
      <c r="I227" t="str">
        <f>'All Girls &amp; Descendants - Edit'!J226</f>
        <v/>
      </c>
      <c r="J227" s="101">
        <f>'All Girls &amp; Descendants - Edit'!K226</f>
        <v>0</v>
      </c>
      <c r="K227" s="3" t="str">
        <f>'All Girls &amp; Descendants - Edit'!L226</f>
        <v>09/09/1988</v>
      </c>
      <c r="L227" s="3">
        <f>'All Girls &amp; Descendants - Edit'!M226</f>
        <v>32395</v>
      </c>
      <c r="M227" s="3">
        <f>'All Girls &amp; Descendants - Edit'!N226</f>
        <v>0</v>
      </c>
      <c r="N227" s="3">
        <f>'All Girls &amp; Descendants - Edit'!O226</f>
        <v>0</v>
      </c>
      <c r="O227" s="3" t="str">
        <f>'All Girls &amp; Descendants - Edit'!P226</f>
        <v/>
      </c>
      <c r="P227" t="str">
        <f t="shared" si="61"/>
        <v>101dc</v>
      </c>
      <c r="Q227" s="116">
        <f t="shared" si="62"/>
        <v>2</v>
      </c>
      <c r="R227" s="31" t="str">
        <f t="shared" si="63"/>
        <v>Clementine Julia  REID</v>
      </c>
      <c r="S227" t="str">
        <f t="shared" si="64"/>
        <v>Clementine REID (1988 - : #101dc)</v>
      </c>
    </row>
    <row r="228" spans="1:19">
      <c r="A228">
        <f>'All Girls &amp; Descendants - Edit'!B227</f>
        <v>101</v>
      </c>
      <c r="B228" t="str">
        <f>'All Girls &amp; Descendants - Edit'!C227</f>
        <v>101ea</v>
      </c>
      <c r="C228" t="str">
        <f>'All Girls &amp; Descendants - Edit'!D227</f>
        <v>WILLS</v>
      </c>
      <c r="D228" t="str">
        <f>'All Girls &amp; Descendants - Edit'!E227</f>
        <v>Thomas</v>
      </c>
      <c r="E228" t="str">
        <f>IF('All Girls &amp; Descendants - Edit'!F227="","",'All Girls &amp; Descendants - Edit'!F227)</f>
        <v>Robert</v>
      </c>
      <c r="F228" t="str">
        <f>IF('All Girls &amp; Descendants - Edit'!G227="","",'All Girls &amp; Descendants - Edit'!G227)</f>
        <v>Hamilton</v>
      </c>
      <c r="G228" t="str">
        <f>IF('All Girls &amp; Descendants - Edit'!H227="",D228,'All Girls &amp; Descendants - Edit'!H227)</f>
        <v>Thomas</v>
      </c>
      <c r="H228">
        <f>'All Girls &amp; Descendants - Edit'!I227</f>
        <v>1991</v>
      </c>
      <c r="I228" t="str">
        <f>'All Girls &amp; Descendants - Edit'!J227</f>
        <v/>
      </c>
      <c r="J228" s="101">
        <f>'All Girls &amp; Descendants - Edit'!K227</f>
        <v>0</v>
      </c>
      <c r="K228" s="3" t="str">
        <f>'All Girls &amp; Descendants - Edit'!L227</f>
        <v>04/07/1991</v>
      </c>
      <c r="L228" s="3">
        <f>'All Girls &amp; Descendants - Edit'!M227</f>
        <v>33423</v>
      </c>
      <c r="M228" s="3">
        <f>'All Girls &amp; Descendants - Edit'!N227</f>
        <v>0</v>
      </c>
      <c r="N228" s="3">
        <f>'All Girls &amp; Descendants - Edit'!O227</f>
        <v>0</v>
      </c>
      <c r="O228" s="3" t="str">
        <f>'All Girls &amp; Descendants - Edit'!P227</f>
        <v/>
      </c>
      <c r="P228" t="str">
        <f t="shared" si="61"/>
        <v>101ea</v>
      </c>
      <c r="Q228" s="116">
        <f t="shared" si="62"/>
        <v>2</v>
      </c>
      <c r="R228" s="31" t="str">
        <f t="shared" si="63"/>
        <v>Thomas Robert Hamilton WILLS</v>
      </c>
      <c r="S228" t="str">
        <f t="shared" si="64"/>
        <v>Thomas WILLS (1991 - : #101ea)</v>
      </c>
    </row>
    <row r="229" spans="1:19">
      <c r="A229">
        <f>'All Girls &amp; Descendants - Edit'!B228</f>
        <v>101</v>
      </c>
      <c r="B229" t="str">
        <f>'All Girls &amp; Descendants - Edit'!C228</f>
        <v>101eb</v>
      </c>
      <c r="C229" t="str">
        <f>'All Girls &amp; Descendants - Edit'!D228</f>
        <v>WILLS</v>
      </c>
      <c r="D229" t="str">
        <f>'All Girls &amp; Descendants - Edit'!E228</f>
        <v>George</v>
      </c>
      <c r="E229" t="str">
        <f>IF('All Girls &amp; Descendants - Edit'!F228="","",'All Girls &amp; Descendants - Edit'!F228)</f>
        <v>Edmund</v>
      </c>
      <c r="F229" t="str">
        <f>IF('All Girls &amp; Descendants - Edit'!G228="","",'All Girls &amp; Descendants - Edit'!G228)</f>
        <v>Hamilton</v>
      </c>
      <c r="G229" t="str">
        <f>IF('All Girls &amp; Descendants - Edit'!H228="",D229,'All Girls &amp; Descendants - Edit'!H228)</f>
        <v>George</v>
      </c>
      <c r="H229">
        <f>'All Girls &amp; Descendants - Edit'!I228</f>
        <v>1993</v>
      </c>
      <c r="I229" t="str">
        <f>'All Girls &amp; Descendants - Edit'!J228</f>
        <v/>
      </c>
      <c r="J229" s="101">
        <f>'All Girls &amp; Descendants - Edit'!K228</f>
        <v>0</v>
      </c>
      <c r="K229" s="3" t="str">
        <f>'All Girls &amp; Descendants - Edit'!L228</f>
        <v>29/08/1993</v>
      </c>
      <c r="L229" s="3">
        <f>'All Girls &amp; Descendants - Edit'!M228</f>
        <v>34210</v>
      </c>
      <c r="M229" s="3">
        <f>'All Girls &amp; Descendants - Edit'!N228</f>
        <v>0</v>
      </c>
      <c r="N229" s="3">
        <f>'All Girls &amp; Descendants - Edit'!O228</f>
        <v>0</v>
      </c>
      <c r="O229" s="3" t="str">
        <f>'All Girls &amp; Descendants - Edit'!P228</f>
        <v/>
      </c>
      <c r="P229" t="str">
        <f t="shared" si="61"/>
        <v>101eb</v>
      </c>
      <c r="Q229" s="116">
        <f t="shared" si="62"/>
        <v>2</v>
      </c>
      <c r="R229" s="31" t="str">
        <f t="shared" si="63"/>
        <v>George Edmund Hamilton WILLS</v>
      </c>
      <c r="S229" t="str">
        <f t="shared" si="64"/>
        <v>George WILLS (1993 - : #101eb)</v>
      </c>
    </row>
    <row r="230" spans="1:19">
      <c r="A230">
        <f>'All Girls &amp; Descendants - Edit'!B229</f>
        <v>101</v>
      </c>
      <c r="B230" t="str">
        <f>'All Girls &amp; Descendants - Edit'!C229</f>
        <v>101ec</v>
      </c>
      <c r="C230" t="str">
        <f>'All Girls &amp; Descendants - Edit'!D229</f>
        <v>WILLS</v>
      </c>
      <c r="D230" t="str">
        <f>'All Girls &amp; Descendants - Edit'!E229</f>
        <v>Laura</v>
      </c>
      <c r="E230" t="str">
        <f>IF('All Girls &amp; Descendants - Edit'!F229="","",'All Girls &amp; Descendants - Edit'!F229)</f>
        <v>Felicity</v>
      </c>
      <c r="F230" t="str">
        <f>IF('All Girls &amp; Descendants - Edit'!G229="","",'All Girls &amp; Descendants - Edit'!G229)</f>
        <v>Hamilton</v>
      </c>
      <c r="G230" t="str">
        <f>IF('All Girls &amp; Descendants - Edit'!H229="",D230,'All Girls &amp; Descendants - Edit'!H229)</f>
        <v>Laura</v>
      </c>
      <c r="H230">
        <f>'All Girls &amp; Descendants - Edit'!I229</f>
        <v>1996</v>
      </c>
      <c r="I230" t="str">
        <f>'All Girls &amp; Descendants - Edit'!J229</f>
        <v/>
      </c>
      <c r="J230" s="101">
        <f>'All Girls &amp; Descendants - Edit'!K229</f>
        <v>0</v>
      </c>
      <c r="K230" s="3" t="str">
        <f>'All Girls &amp; Descendants - Edit'!L229</f>
        <v>14/02/1996</v>
      </c>
      <c r="L230" s="3">
        <f>'All Girls &amp; Descendants - Edit'!M229</f>
        <v>35109</v>
      </c>
      <c r="M230" s="3">
        <f>'All Girls &amp; Descendants - Edit'!N229</f>
        <v>0</v>
      </c>
      <c r="N230" s="3">
        <f>'All Girls &amp; Descendants - Edit'!O229</f>
        <v>0</v>
      </c>
      <c r="O230" s="3" t="str">
        <f>'All Girls &amp; Descendants - Edit'!P229</f>
        <v/>
      </c>
      <c r="P230" t="str">
        <f t="shared" si="61"/>
        <v>101ec</v>
      </c>
      <c r="Q230" s="116">
        <f t="shared" si="62"/>
        <v>2</v>
      </c>
      <c r="R230" s="31" t="str">
        <f t="shared" si="63"/>
        <v>Laura Felicity Hamilton WILLS</v>
      </c>
      <c r="S230" t="str">
        <f t="shared" si="64"/>
        <v>Laura WILLS (1996 - : #101ec)</v>
      </c>
    </row>
    <row r="231" spans="1:19">
      <c r="A231">
        <f>'All Girls &amp; Descendants - Edit'!B230</f>
        <v>101</v>
      </c>
      <c r="B231" t="str">
        <f>'All Girls &amp; Descendants - Edit'!C230</f>
        <v>101fa</v>
      </c>
      <c r="C231" t="str">
        <f>'All Girls &amp; Descendants - Edit'!D230</f>
        <v>HEYWOOD</v>
      </c>
      <c r="D231" t="str">
        <f>'All Girls &amp; Descendants - Edit'!E230</f>
        <v>Richard</v>
      </c>
      <c r="E231" t="str">
        <f>IF('All Girls &amp; Descendants - Edit'!F230="","",'All Girls &amp; Descendants - Edit'!F230)</f>
        <v>Garnett</v>
      </c>
      <c r="F231" t="str">
        <f>IF('All Girls &amp; Descendants - Edit'!G230="","",'All Girls &amp; Descendants - Edit'!G230)</f>
        <v/>
      </c>
      <c r="G231" t="str">
        <f>IF('All Girls &amp; Descendants - Edit'!H230="",D231,'All Girls &amp; Descendants - Edit'!H230)</f>
        <v>Richard</v>
      </c>
      <c r="H231">
        <f>'All Girls &amp; Descendants - Edit'!I230</f>
        <v>1993</v>
      </c>
      <c r="I231" t="str">
        <f>'All Girls &amp; Descendants - Edit'!J230</f>
        <v/>
      </c>
      <c r="J231" s="101">
        <f>'All Girls &amp; Descendants - Edit'!K230</f>
        <v>0</v>
      </c>
      <c r="K231" s="3" t="str">
        <f>'All Girls &amp; Descendants - Edit'!L230</f>
        <v>13/12/1993</v>
      </c>
      <c r="L231" s="3">
        <f>'All Girls &amp; Descendants - Edit'!M230</f>
        <v>34316</v>
      </c>
      <c r="M231" s="3">
        <f>'All Girls &amp; Descendants - Edit'!N230</f>
        <v>0</v>
      </c>
      <c r="N231" s="3">
        <f>'All Girls &amp; Descendants - Edit'!O230</f>
        <v>0</v>
      </c>
      <c r="O231" s="3" t="str">
        <f>'All Girls &amp; Descendants - Edit'!P230</f>
        <v/>
      </c>
      <c r="P231" t="str">
        <f t="shared" si="61"/>
        <v>101fa</v>
      </c>
      <c r="Q231" s="116">
        <f t="shared" si="62"/>
        <v>2</v>
      </c>
      <c r="R231" s="31" t="str">
        <f t="shared" si="63"/>
        <v>Richard Garnett  HEYWOOD</v>
      </c>
      <c r="S231" t="str">
        <f t="shared" si="64"/>
        <v>Richard HEYWOOD (1993 - : #101fa)</v>
      </c>
    </row>
    <row r="232" spans="1:19">
      <c r="A232">
        <f>'All Girls &amp; Descendants - Edit'!B231</f>
        <v>101</v>
      </c>
      <c r="B232" t="str">
        <f>'All Girls &amp; Descendants - Edit'!C231</f>
        <v>101fb</v>
      </c>
      <c r="C232" t="str">
        <f>'All Girls &amp; Descendants - Edit'!D231</f>
        <v>HEYWOOD</v>
      </c>
      <c r="D232" t="str">
        <f>'All Girls &amp; Descendants - Edit'!E231</f>
        <v>Alec</v>
      </c>
      <c r="E232" t="str">
        <f>IF('All Girls &amp; Descendants - Edit'!F231="","",'All Girls &amp; Descendants - Edit'!F231)</f>
        <v>Garnett</v>
      </c>
      <c r="F232" t="str">
        <f>IF('All Girls &amp; Descendants - Edit'!G231="","",'All Girls &amp; Descendants - Edit'!G231)</f>
        <v/>
      </c>
      <c r="G232" t="str">
        <f>IF('All Girls &amp; Descendants - Edit'!H231="",D232,'All Girls &amp; Descendants - Edit'!H231)</f>
        <v>Alec</v>
      </c>
      <c r="H232">
        <f>'All Girls &amp; Descendants - Edit'!I231</f>
        <v>1996</v>
      </c>
      <c r="I232" t="str">
        <f>'All Girls &amp; Descendants - Edit'!J231</f>
        <v/>
      </c>
      <c r="J232" s="101">
        <f>'All Girls &amp; Descendants - Edit'!K231</f>
        <v>0</v>
      </c>
      <c r="K232" s="3" t="str">
        <f>'All Girls &amp; Descendants - Edit'!L231</f>
        <v>22/02/1996</v>
      </c>
      <c r="L232" s="3">
        <f>'All Girls &amp; Descendants - Edit'!M231</f>
        <v>35117</v>
      </c>
      <c r="M232" s="3">
        <f>'All Girls &amp; Descendants - Edit'!N231</f>
        <v>0</v>
      </c>
      <c r="N232" s="3">
        <f>'All Girls &amp; Descendants - Edit'!O231</f>
        <v>0</v>
      </c>
      <c r="O232" s="3" t="str">
        <f>'All Girls &amp; Descendants - Edit'!P231</f>
        <v/>
      </c>
      <c r="P232" t="str">
        <f t="shared" si="61"/>
        <v>101fb</v>
      </c>
      <c r="Q232" s="116">
        <f t="shared" si="62"/>
        <v>2</v>
      </c>
      <c r="R232" s="31" t="str">
        <f t="shared" si="63"/>
        <v>Alec Garnett  HEYWOOD</v>
      </c>
      <c r="S232" t="str">
        <f t="shared" si="64"/>
        <v>Alec HEYWOOD (1996 - : #101fb)</v>
      </c>
    </row>
    <row r="233" spans="1:19">
      <c r="A233">
        <f>'All Girls &amp; Descendants - Edit'!B232</f>
        <v>102</v>
      </c>
      <c r="B233" t="str">
        <f>'All Girls &amp; Descendants - Edit'!C232</f>
        <v>102ba</v>
      </c>
      <c r="C233" t="str">
        <f>'All Girls &amp; Descendants - Edit'!D232</f>
        <v>DUNLOP</v>
      </c>
      <c r="D233" t="str">
        <f>'All Girls &amp; Descendants - Edit'!E232</f>
        <v>Ella</v>
      </c>
      <c r="E233" t="str">
        <f>IF('All Girls &amp; Descendants - Edit'!F232="","",'All Girls &amp; Descendants - Edit'!F232)</f>
        <v>Genevieve</v>
      </c>
      <c r="F233" t="str">
        <f>IF('All Girls &amp; Descendants - Edit'!G232="","",'All Girls &amp; Descendants - Edit'!G232)</f>
        <v>Elgin</v>
      </c>
      <c r="G233" t="str">
        <f>IF('All Girls &amp; Descendants - Edit'!H232="",D233,'All Girls &amp; Descendants - Edit'!H232)</f>
        <v>Ella</v>
      </c>
      <c r="H233">
        <f>'All Girls &amp; Descendants - Edit'!I232</f>
        <v>1998</v>
      </c>
      <c r="I233" t="str">
        <f>'All Girls &amp; Descendants - Edit'!J232</f>
        <v/>
      </c>
      <c r="J233" s="101">
        <f>'All Girls &amp; Descendants - Edit'!K232</f>
        <v>0</v>
      </c>
      <c r="K233" s="3" t="str">
        <f>'All Girls &amp; Descendants - Edit'!L232</f>
        <v>25/03/1998</v>
      </c>
      <c r="L233" s="3">
        <f>'All Girls &amp; Descendants - Edit'!M232</f>
        <v>35879</v>
      </c>
      <c r="M233" s="3">
        <f>'All Girls &amp; Descendants - Edit'!N232</f>
        <v>0</v>
      </c>
      <c r="N233" s="3">
        <f>'All Girls &amp; Descendants - Edit'!O232</f>
        <v>0</v>
      </c>
      <c r="O233" s="3" t="str">
        <f>'All Girls &amp; Descendants - Edit'!P232</f>
        <v/>
      </c>
      <c r="P233" t="str">
        <f t="shared" si="61"/>
        <v>102ba</v>
      </c>
      <c r="Q233" s="116">
        <f t="shared" si="62"/>
        <v>2</v>
      </c>
      <c r="R233" s="31" t="str">
        <f t="shared" si="63"/>
        <v>Ella Genevieve Elgin DUNLOP</v>
      </c>
      <c r="S233" t="str">
        <f t="shared" si="64"/>
        <v>Ella DUNLOP (1998 - : #102ba)</v>
      </c>
    </row>
    <row r="234" spans="1:19">
      <c r="A234">
        <f>'All Girls &amp; Descendants - Edit'!B233</f>
        <v>102</v>
      </c>
      <c r="B234" t="str">
        <f>'All Girls &amp; Descendants - Edit'!C233</f>
        <v>102bb</v>
      </c>
      <c r="C234" t="str">
        <f>'All Girls &amp; Descendants - Edit'!D233</f>
        <v>DUNLOP</v>
      </c>
      <c r="D234" t="str">
        <f>'All Girls &amp; Descendants - Edit'!E233</f>
        <v>John</v>
      </c>
      <c r="E234" t="str">
        <f>IF('All Girls &amp; Descendants - Edit'!F233="","",'All Girls &amp; Descendants - Edit'!F233)</f>
        <v>Fergus</v>
      </c>
      <c r="F234" t="str">
        <f>IF('All Girls &amp; Descendants - Edit'!G233="","",'All Girls &amp; Descendants - Edit'!G233)</f>
        <v>Elgin</v>
      </c>
      <c r="G234" t="str">
        <f>IF('All Girls &amp; Descendants - Edit'!H233="",D234,'All Girls &amp; Descendants - Edit'!H233)</f>
        <v>John</v>
      </c>
      <c r="H234">
        <f>'All Girls &amp; Descendants - Edit'!I233</f>
        <v>2000</v>
      </c>
      <c r="I234">
        <f>'All Girls &amp; Descendants - Edit'!J233</f>
        <v>0</v>
      </c>
      <c r="J234" s="101">
        <f>'All Girls &amp; Descendants - Edit'!K233</f>
        <v>0</v>
      </c>
      <c r="K234" s="3" t="str">
        <f>'All Girls &amp; Descendants - Edit'!L233</f>
        <v>04/07/2000</v>
      </c>
      <c r="L234" s="3">
        <f>'All Girls &amp; Descendants - Edit'!M233</f>
        <v>36711</v>
      </c>
      <c r="M234" s="3">
        <f>'All Girls &amp; Descendants - Edit'!N233</f>
        <v>0</v>
      </c>
      <c r="N234" s="3">
        <f>'All Girls &amp; Descendants - Edit'!O233</f>
        <v>0</v>
      </c>
      <c r="O234" s="3">
        <f>'All Girls &amp; Descendants - Edit'!P233</f>
        <v>0</v>
      </c>
      <c r="P234" t="str">
        <f t="shared" si="61"/>
        <v>102bb</v>
      </c>
      <c r="Q234" s="116">
        <f t="shared" si="62"/>
        <v>2</v>
      </c>
      <c r="R234" s="31" t="str">
        <f t="shared" si="63"/>
        <v>John Fergus Elgin DUNLOP</v>
      </c>
      <c r="S234" t="str">
        <f t="shared" si="64"/>
        <v>John DUNLOP (2000 - 0: #102bb)</v>
      </c>
    </row>
    <row r="235" spans="1:19">
      <c r="A235">
        <f>'All Girls &amp; Descendants - Edit'!B234</f>
        <v>103</v>
      </c>
      <c r="B235" t="str">
        <f>'All Girls &amp; Descendants - Edit'!C234</f>
        <v>103aa</v>
      </c>
      <c r="C235" t="str">
        <f>'All Girls &amp; Descendants - Edit'!D234</f>
        <v>GORE-BROWNE</v>
      </c>
      <c r="D235" t="str">
        <f>'All Girls &amp; Descendants - Edit'!E234</f>
        <v>Marina</v>
      </c>
      <c r="E235" t="str">
        <f>IF('All Girls &amp; Descendants - Edit'!F234="","",'All Girls &amp; Descendants - Edit'!F234)</f>
        <v>Harriet</v>
      </c>
      <c r="F235" t="str">
        <f>IF('All Girls &amp; Descendants - Edit'!G234="","",'All Girls &amp; Descendants - Edit'!G234)</f>
        <v/>
      </c>
      <c r="G235" t="str">
        <f>IF('All Girls &amp; Descendants - Edit'!H234="",D235,'All Girls &amp; Descendants - Edit'!H234)</f>
        <v>Marina</v>
      </c>
      <c r="H235">
        <f>'All Girls &amp; Descendants - Edit'!I234</f>
        <v>1984</v>
      </c>
      <c r="I235" t="str">
        <f>'All Girls &amp; Descendants - Edit'!J234</f>
        <v/>
      </c>
      <c r="J235" s="101">
        <f>'All Girls &amp; Descendants - Edit'!K234</f>
        <v>0</v>
      </c>
      <c r="K235" s="3" t="str">
        <f>'All Girls &amp; Descendants - Edit'!L234</f>
        <v>19/12/1984</v>
      </c>
      <c r="L235" s="3">
        <f>'All Girls &amp; Descendants - Edit'!M234</f>
        <v>31035</v>
      </c>
      <c r="M235" s="3">
        <f>'All Girls &amp; Descendants - Edit'!N234</f>
        <v>0</v>
      </c>
      <c r="N235" s="3">
        <f>'All Girls &amp; Descendants - Edit'!O234</f>
        <v>0</v>
      </c>
      <c r="O235" s="3" t="str">
        <f>'All Girls &amp; Descendants - Edit'!P234</f>
        <v/>
      </c>
      <c r="P235" t="str">
        <f t="shared" si="61"/>
        <v>103aa</v>
      </c>
      <c r="Q235" s="116">
        <f t="shared" si="62"/>
        <v>2</v>
      </c>
      <c r="R235" s="31" t="str">
        <f t="shared" si="63"/>
        <v>Marina Harriet  GORE-BROWNE</v>
      </c>
      <c r="S235" t="str">
        <f t="shared" si="64"/>
        <v>Marina GORE-BROWNE (1984 - : #103aa)</v>
      </c>
    </row>
    <row r="236" spans="1:19">
      <c r="A236">
        <f>'All Girls &amp; Descendants - Edit'!B235</f>
        <v>103</v>
      </c>
      <c r="B236" t="str">
        <f>'All Girls &amp; Descendants - Edit'!C235</f>
        <v>103ab</v>
      </c>
      <c r="C236" t="str">
        <f>'All Girls &amp; Descendants - Edit'!D235</f>
        <v>GORE-BROWNE</v>
      </c>
      <c r="D236" t="str">
        <f>'All Girls &amp; Descendants - Edit'!E235</f>
        <v>Frederick</v>
      </c>
      <c r="E236" t="str">
        <f>IF('All Girls &amp; Descendants - Edit'!F235="","",'All Girls &amp; Descendants - Edit'!F235)</f>
        <v>Henry</v>
      </c>
      <c r="F236" t="str">
        <f>IF('All Girls &amp; Descendants - Edit'!G235="","",'All Girls &amp; Descendants - Edit'!G235)</f>
        <v/>
      </c>
      <c r="G236" t="str">
        <f>IF('All Girls &amp; Descendants - Edit'!H235="",D236,'All Girls &amp; Descendants - Edit'!H235)</f>
        <v>Frederick</v>
      </c>
      <c r="H236">
        <f>'All Girls &amp; Descendants - Edit'!I235</f>
        <v>1987</v>
      </c>
      <c r="I236" t="str">
        <f>'All Girls &amp; Descendants - Edit'!J235</f>
        <v/>
      </c>
      <c r="J236" s="101">
        <f>'All Girls &amp; Descendants - Edit'!K235</f>
        <v>0</v>
      </c>
      <c r="K236" s="3" t="str">
        <f>'All Girls &amp; Descendants - Edit'!L235</f>
        <v>21/01/1987</v>
      </c>
      <c r="L236" s="3">
        <f>'All Girls &amp; Descendants - Edit'!M235</f>
        <v>31798</v>
      </c>
      <c r="M236" s="3">
        <f>'All Girls &amp; Descendants - Edit'!N235</f>
        <v>0</v>
      </c>
      <c r="N236" s="3">
        <f>'All Girls &amp; Descendants - Edit'!O235</f>
        <v>0</v>
      </c>
      <c r="O236" s="3" t="str">
        <f>'All Girls &amp; Descendants - Edit'!P235</f>
        <v/>
      </c>
      <c r="P236" t="str">
        <f t="shared" si="61"/>
        <v>103ab</v>
      </c>
      <c r="Q236" s="116">
        <f t="shared" si="62"/>
        <v>2</v>
      </c>
      <c r="R236" s="31" t="str">
        <f t="shared" si="63"/>
        <v>Frederick Henry  GORE-BROWNE</v>
      </c>
      <c r="S236" t="str">
        <f t="shared" si="64"/>
        <v>Frederick GORE-BROWNE (1987 - : #103ab)</v>
      </c>
    </row>
    <row r="237" spans="1:19">
      <c r="A237">
        <f>'All Girls &amp; Descendants - Edit'!B236</f>
        <v>103</v>
      </c>
      <c r="B237" t="str">
        <f>'All Girls &amp; Descendants - Edit'!C236</f>
        <v>103ac</v>
      </c>
      <c r="C237" t="str">
        <f>'All Girls &amp; Descendants - Edit'!D236</f>
        <v>GORE-BROWNE</v>
      </c>
      <c r="D237" t="str">
        <f>'All Girls &amp; Descendants - Edit'!E236</f>
        <v>Harry</v>
      </c>
      <c r="E237" t="str">
        <f>IF('All Girls &amp; Descendants - Edit'!F236="","",'All Girls &amp; Descendants - Edit'!F236)</f>
        <v>Alastair</v>
      </c>
      <c r="F237" t="str">
        <f>IF('All Girls &amp; Descendants - Edit'!G236="","",'All Girls &amp; Descendants - Edit'!G236)</f>
        <v/>
      </c>
      <c r="G237" t="str">
        <f>IF('All Girls &amp; Descendants - Edit'!H236="",D237,'All Girls &amp; Descendants - Edit'!H236)</f>
        <v>Harry</v>
      </c>
      <c r="H237">
        <f>'All Girls &amp; Descendants - Edit'!I236</f>
        <v>1988</v>
      </c>
      <c r="I237" t="str">
        <f>'All Girls &amp; Descendants - Edit'!J236</f>
        <v/>
      </c>
      <c r="J237" s="101">
        <f>'All Girls &amp; Descendants - Edit'!K236</f>
        <v>0</v>
      </c>
      <c r="K237" s="3" t="str">
        <f>'All Girls &amp; Descendants - Edit'!L236</f>
        <v>20/04/1988</v>
      </c>
      <c r="L237" s="3">
        <f>'All Girls &amp; Descendants - Edit'!M236</f>
        <v>32253</v>
      </c>
      <c r="M237" s="3">
        <f>'All Girls &amp; Descendants - Edit'!N236</f>
        <v>0</v>
      </c>
      <c r="N237" s="3">
        <f>'All Girls &amp; Descendants - Edit'!O236</f>
        <v>0</v>
      </c>
      <c r="O237" s="3" t="str">
        <f>'All Girls &amp; Descendants - Edit'!P236</f>
        <v/>
      </c>
      <c r="P237" t="str">
        <f t="shared" si="61"/>
        <v>103ac</v>
      </c>
      <c r="Q237" s="116">
        <f t="shared" si="62"/>
        <v>2</v>
      </c>
      <c r="R237" s="31" t="str">
        <f t="shared" si="63"/>
        <v>Harry Alastair  GORE-BROWNE</v>
      </c>
      <c r="S237" t="str">
        <f t="shared" si="64"/>
        <v>Harry GORE-BROWNE (1988 - : #103ac)</v>
      </c>
    </row>
    <row r="238" spans="1:19">
      <c r="A238">
        <f>'All Girls &amp; Descendants - Edit'!B237</f>
        <v>103</v>
      </c>
      <c r="B238" t="str">
        <f>'All Girls &amp; Descendants - Edit'!C237</f>
        <v>103ba</v>
      </c>
      <c r="C238" t="str">
        <f>'All Girls &amp; Descendants - Edit'!D237</f>
        <v>PILKINGTON</v>
      </c>
      <c r="D238" t="str">
        <f>'All Girls &amp; Descendants - Edit'!E237</f>
        <v>Edward</v>
      </c>
      <c r="E238" t="str">
        <f>IF('All Girls &amp; Descendants - Edit'!F237="","",'All Girls &amp; Descendants - Edit'!F237)</f>
        <v>Thomas</v>
      </c>
      <c r="F238" t="str">
        <f>IF('All Girls &amp; Descendants - Edit'!G237="","",'All Girls &amp; Descendants - Edit'!G237)</f>
        <v/>
      </c>
      <c r="G238" t="str">
        <f>IF('All Girls &amp; Descendants - Edit'!H237="",D238,'All Girls &amp; Descendants - Edit'!H237)</f>
        <v>Edward</v>
      </c>
      <c r="H238">
        <f>'All Girls &amp; Descendants - Edit'!I237</f>
        <v>1971</v>
      </c>
      <c r="I238" t="str">
        <f>'All Girls &amp; Descendants - Edit'!J237</f>
        <v/>
      </c>
      <c r="J238" s="101">
        <f>'All Girls &amp; Descendants - Edit'!K237</f>
        <v>0</v>
      </c>
      <c r="K238" s="3" t="str">
        <f>'All Girls &amp; Descendants - Edit'!L237</f>
        <v>15/09/1971</v>
      </c>
      <c r="L238" s="3">
        <f>'All Girls &amp; Descendants - Edit'!M237</f>
        <v>26191</v>
      </c>
      <c r="M238" s="3">
        <f>'All Girls &amp; Descendants - Edit'!N237</f>
        <v>0</v>
      </c>
      <c r="N238" s="3">
        <f>'All Girls &amp; Descendants - Edit'!O237</f>
        <v>0</v>
      </c>
      <c r="O238" s="3" t="str">
        <f>'All Girls &amp; Descendants - Edit'!P237</f>
        <v/>
      </c>
      <c r="P238" t="str">
        <f t="shared" si="61"/>
        <v>103ba</v>
      </c>
      <c r="Q238" s="116">
        <f t="shared" si="62"/>
        <v>2</v>
      </c>
      <c r="R238" s="31" t="str">
        <f t="shared" si="63"/>
        <v>Edward Thomas  PILKINGTON</v>
      </c>
      <c r="S238" t="str">
        <f t="shared" si="64"/>
        <v>Edward PILKINGTON (1971 - : #103ba)</v>
      </c>
    </row>
    <row r="239" spans="1:19">
      <c r="A239">
        <f>'All Girls &amp; Descendants - Edit'!B238</f>
        <v>103</v>
      </c>
      <c r="B239" t="str">
        <f>'All Girls &amp; Descendants - Edit'!C238</f>
        <v>103bb</v>
      </c>
      <c r="C239" t="str">
        <f>'All Girls &amp; Descendants - Edit'!D238</f>
        <v>PILKINGTON</v>
      </c>
      <c r="D239" t="str">
        <f>'All Girls &amp; Descendants - Edit'!E238</f>
        <v>Lucinda</v>
      </c>
      <c r="E239" t="str">
        <f>IF('All Girls &amp; Descendants - Edit'!F238="","",'All Girls &amp; Descendants - Edit'!F238)</f>
        <v>Mary</v>
      </c>
      <c r="F239" t="str">
        <f>IF('All Girls &amp; Descendants - Edit'!G238="","",'All Girls &amp; Descendants - Edit'!G238)</f>
        <v/>
      </c>
      <c r="G239" t="str">
        <f>IF('All Girls &amp; Descendants - Edit'!H238="",D239,'All Girls &amp; Descendants - Edit'!H238)</f>
        <v>Lucy</v>
      </c>
      <c r="H239">
        <f>'All Girls &amp; Descendants - Edit'!I238</f>
        <v>1973</v>
      </c>
      <c r="I239" t="str">
        <f>'All Girls &amp; Descendants - Edit'!J238</f>
        <v/>
      </c>
      <c r="J239" s="101">
        <f>'All Girls &amp; Descendants - Edit'!K238</f>
        <v>0</v>
      </c>
      <c r="K239" s="3" t="str">
        <f>'All Girls &amp; Descendants - Edit'!L238</f>
        <v>24/05/1973</v>
      </c>
      <c r="L239" s="3">
        <f>'All Girls &amp; Descendants - Edit'!M238</f>
        <v>26808</v>
      </c>
      <c r="M239" s="3">
        <f>'All Girls &amp; Descendants - Edit'!N238</f>
        <v>0</v>
      </c>
      <c r="N239" s="3">
        <f>'All Girls &amp; Descendants - Edit'!O238</f>
        <v>0</v>
      </c>
      <c r="O239" s="3" t="str">
        <f>'All Girls &amp; Descendants - Edit'!P238</f>
        <v/>
      </c>
      <c r="P239" t="str">
        <f t="shared" si="61"/>
        <v>103bb</v>
      </c>
      <c r="Q239" s="116">
        <f t="shared" si="62"/>
        <v>2</v>
      </c>
      <c r="R239" s="31" t="str">
        <f t="shared" si="63"/>
        <v>Lucinda Mary  PILKINGTON</v>
      </c>
      <c r="S239" t="str">
        <f t="shared" si="64"/>
        <v>Lucy PILKINGTON (1973 - : #103bb)</v>
      </c>
    </row>
    <row r="240" spans="1:19">
      <c r="A240">
        <f>'All Girls &amp; Descendants - Edit'!B239</f>
        <v>103</v>
      </c>
      <c r="B240" t="str">
        <f>'All Girls &amp; Descendants - Edit'!C239</f>
        <v>103bc</v>
      </c>
      <c r="C240" t="str">
        <f>'All Girls &amp; Descendants - Edit'!D239</f>
        <v>PILKINGTON</v>
      </c>
      <c r="D240" t="str">
        <f>'All Girls &amp; Descendants - Edit'!E239</f>
        <v>Nicholas</v>
      </c>
      <c r="E240" t="str">
        <f>IF('All Girls &amp; Descendants - Edit'!F239="","",'All Girls &amp; Descendants - Edit'!F239)</f>
        <v>James</v>
      </c>
      <c r="F240" t="str">
        <f>IF('All Girls &amp; Descendants - Edit'!G239="","",'All Girls &amp; Descendants - Edit'!G239)</f>
        <v/>
      </c>
      <c r="G240" t="str">
        <f>IF('All Girls &amp; Descendants - Edit'!H239="",D240,'All Girls &amp; Descendants - Edit'!H239)</f>
        <v>Nicholas</v>
      </c>
      <c r="H240">
        <f>'All Girls &amp; Descendants - Edit'!I239</f>
        <v>1976</v>
      </c>
      <c r="I240" t="str">
        <f>'All Girls &amp; Descendants - Edit'!J239</f>
        <v/>
      </c>
      <c r="J240" s="101">
        <f>'All Girls &amp; Descendants - Edit'!K239</f>
        <v>0</v>
      </c>
      <c r="K240" s="3" t="str">
        <f>'All Girls &amp; Descendants - Edit'!L239</f>
        <v>29/04/1976</v>
      </c>
      <c r="L240" s="3">
        <f>'All Girls &amp; Descendants - Edit'!M239</f>
        <v>27879</v>
      </c>
      <c r="M240" s="3">
        <f>'All Girls &amp; Descendants - Edit'!N239</f>
        <v>0</v>
      </c>
      <c r="N240" s="3">
        <f>'All Girls &amp; Descendants - Edit'!O239</f>
        <v>0</v>
      </c>
      <c r="O240" s="3" t="str">
        <f>'All Girls &amp; Descendants - Edit'!P239</f>
        <v/>
      </c>
      <c r="P240" t="str">
        <f t="shared" si="61"/>
        <v>103bc</v>
      </c>
      <c r="Q240" s="116">
        <f t="shared" si="62"/>
        <v>2</v>
      </c>
      <c r="R240" s="31" t="str">
        <f t="shared" si="63"/>
        <v>Nicholas James  PILKINGTON</v>
      </c>
      <c r="S240" t="str">
        <f t="shared" si="64"/>
        <v>Nicholas PILKINGTON (1976 - : #103bc)</v>
      </c>
    </row>
    <row r="241" spans="1:19">
      <c r="A241">
        <f>'All Girls &amp; Descendants - Edit'!B240</f>
        <v>103</v>
      </c>
      <c r="B241" t="str">
        <f>'All Girls &amp; Descendants - Edit'!C240</f>
        <v>103bd</v>
      </c>
      <c r="C241" t="str">
        <f>'All Girls &amp; Descendants - Edit'!D240</f>
        <v>PILKINGTON</v>
      </c>
      <c r="D241" t="str">
        <f>'All Girls &amp; Descendants - Edit'!E240</f>
        <v>Claire</v>
      </c>
      <c r="E241" t="str">
        <f>IF('All Girls &amp; Descendants - Edit'!F240="","",'All Girls &amp; Descendants - Edit'!F240)</f>
        <v>Georgina</v>
      </c>
      <c r="F241" t="str">
        <f>IF('All Girls &amp; Descendants - Edit'!G240="","",'All Girls &amp; Descendants - Edit'!G240)</f>
        <v/>
      </c>
      <c r="G241" t="str">
        <f>IF('All Girls &amp; Descendants - Edit'!H240="",D241,'All Girls &amp; Descendants - Edit'!H240)</f>
        <v>Claire</v>
      </c>
      <c r="H241">
        <f>'All Girls &amp; Descendants - Edit'!I240</f>
        <v>1979</v>
      </c>
      <c r="I241" t="str">
        <f>'All Girls &amp; Descendants - Edit'!J240</f>
        <v/>
      </c>
      <c r="J241" s="101">
        <f>'All Girls &amp; Descendants - Edit'!K240</f>
        <v>0</v>
      </c>
      <c r="K241" s="3" t="str">
        <f>'All Girls &amp; Descendants - Edit'!L240</f>
        <v>03/01/1979</v>
      </c>
      <c r="L241" s="3">
        <f>'All Girls &amp; Descendants - Edit'!M240</f>
        <v>28858</v>
      </c>
      <c r="M241" s="3">
        <f>'All Girls &amp; Descendants - Edit'!N240</f>
        <v>0</v>
      </c>
      <c r="N241" s="3">
        <f>'All Girls &amp; Descendants - Edit'!O240</f>
        <v>0</v>
      </c>
      <c r="O241" s="3" t="str">
        <f>'All Girls &amp; Descendants - Edit'!P240</f>
        <v/>
      </c>
      <c r="P241" t="str">
        <f t="shared" si="61"/>
        <v>103bd</v>
      </c>
      <c r="Q241" s="116">
        <f t="shared" si="62"/>
        <v>2</v>
      </c>
      <c r="R241" s="31" t="str">
        <f t="shared" si="63"/>
        <v>Claire Georgina  PILKINGTON</v>
      </c>
      <c r="S241" t="str">
        <f t="shared" si="64"/>
        <v>Claire PILKINGTON (1979 - : #103bd)</v>
      </c>
    </row>
    <row r="242" spans="1:19">
      <c r="A242">
        <f>'All Girls &amp; Descendants - Edit'!B241</f>
        <v>103</v>
      </c>
      <c r="B242" t="str">
        <f>'All Girls &amp; Descendants - Edit'!C241</f>
        <v>103ca</v>
      </c>
      <c r="C242" t="str">
        <f>'All Girls &amp; Descendants - Edit'!D241</f>
        <v>GORE-BROWNE</v>
      </c>
      <c r="D242" t="str">
        <f>'All Girls &amp; Descendants - Edit'!E241</f>
        <v>William</v>
      </c>
      <c r="E242" t="str">
        <f>IF('All Girls &amp; Descendants - Edit'!F241="","",'All Girls &amp; Descendants - Edit'!F241)</f>
        <v>Thomas</v>
      </c>
      <c r="F242" t="str">
        <f>IF('All Girls &amp; Descendants - Edit'!G241="","",'All Girls &amp; Descendants - Edit'!G241)</f>
        <v/>
      </c>
      <c r="G242" t="str">
        <f>IF('All Girls &amp; Descendants - Edit'!H241="",D242,'All Girls &amp; Descendants - Edit'!H241)</f>
        <v>William</v>
      </c>
      <c r="H242">
        <f>'All Girls &amp; Descendants - Edit'!I241</f>
        <v>1988</v>
      </c>
      <c r="I242" t="str">
        <f>'All Girls &amp; Descendants - Edit'!J241</f>
        <v/>
      </c>
      <c r="J242" s="101">
        <f>'All Girls &amp; Descendants - Edit'!K241</f>
        <v>0</v>
      </c>
      <c r="K242" s="3" t="str">
        <f>'All Girls &amp; Descendants - Edit'!L241</f>
        <v>28/05/1988</v>
      </c>
      <c r="L242" s="3">
        <f>'All Girls &amp; Descendants - Edit'!M241</f>
        <v>32291</v>
      </c>
      <c r="M242" s="3">
        <f>'All Girls &amp; Descendants - Edit'!N241</f>
        <v>0</v>
      </c>
      <c r="N242" s="3">
        <f>'All Girls &amp; Descendants - Edit'!O241</f>
        <v>0</v>
      </c>
      <c r="O242" s="3" t="str">
        <f>'All Girls &amp; Descendants - Edit'!P241</f>
        <v/>
      </c>
      <c r="P242" t="str">
        <f t="shared" si="61"/>
        <v>103ca</v>
      </c>
      <c r="Q242" s="116">
        <f t="shared" si="62"/>
        <v>2</v>
      </c>
      <c r="R242" s="31" t="str">
        <f t="shared" si="63"/>
        <v>William Thomas  GORE-BROWNE</v>
      </c>
      <c r="S242" t="str">
        <f t="shared" si="64"/>
        <v>William GORE-BROWNE (1988 - : #103ca)</v>
      </c>
    </row>
    <row r="243" spans="1:19">
      <c r="A243">
        <f>'All Girls &amp; Descendants - Edit'!B242</f>
        <v>103</v>
      </c>
      <c r="B243" t="str">
        <f>'All Girls &amp; Descendants - Edit'!C242</f>
        <v>103cb</v>
      </c>
      <c r="C243" t="str">
        <f>'All Girls &amp; Descendants - Edit'!D242</f>
        <v>GORE-BROWNE</v>
      </c>
      <c r="D243" t="str">
        <f>'All Girls &amp; Descendants - Edit'!E242</f>
        <v>Heather</v>
      </c>
      <c r="E243" t="str">
        <f>IF('All Girls &amp; Descendants - Edit'!F242="","",'All Girls &amp; Descendants - Edit'!F242)</f>
        <v>Caroline</v>
      </c>
      <c r="F243" t="str">
        <f>IF('All Girls &amp; Descendants - Edit'!G242="","",'All Girls &amp; Descendants - Edit'!G242)</f>
        <v>Mona</v>
      </c>
      <c r="G243" t="str">
        <f>IF('All Girls &amp; Descendants - Edit'!H242="",D243,'All Girls &amp; Descendants - Edit'!H242)</f>
        <v>Heather</v>
      </c>
      <c r="H243">
        <f>'All Girls &amp; Descendants - Edit'!I242</f>
        <v>1990</v>
      </c>
      <c r="I243" t="str">
        <f>'All Girls &amp; Descendants - Edit'!J242</f>
        <v/>
      </c>
      <c r="J243" s="101">
        <f>'All Girls &amp; Descendants - Edit'!K242</f>
        <v>0</v>
      </c>
      <c r="K243" s="3" t="str">
        <f>'All Girls &amp; Descendants - Edit'!L242</f>
        <v>17/02/1990</v>
      </c>
      <c r="L243" s="3">
        <f>'All Girls &amp; Descendants - Edit'!M242</f>
        <v>32921</v>
      </c>
      <c r="M243" s="3">
        <f>'All Girls &amp; Descendants - Edit'!N242</f>
        <v>0</v>
      </c>
      <c r="N243" s="3">
        <f>'All Girls &amp; Descendants - Edit'!O242</f>
        <v>0</v>
      </c>
      <c r="O243" s="3" t="str">
        <f>'All Girls &amp; Descendants - Edit'!P242</f>
        <v/>
      </c>
      <c r="P243" t="str">
        <f t="shared" si="61"/>
        <v>103cb</v>
      </c>
      <c r="Q243" s="116">
        <f t="shared" si="62"/>
        <v>2</v>
      </c>
      <c r="R243" s="31" t="str">
        <f t="shared" si="63"/>
        <v>Heather Caroline Mona GORE-BROWNE</v>
      </c>
      <c r="S243" t="str">
        <f t="shared" si="64"/>
        <v>Heather GORE-BROWNE (1990 - : #103cb)</v>
      </c>
    </row>
    <row r="244" spans="1:19">
      <c r="A244">
        <f>'All Girls &amp; Descendants - Edit'!B243</f>
        <v>103</v>
      </c>
      <c r="B244" t="str">
        <f>'All Girls &amp; Descendants - Edit'!C243</f>
        <v>103cc</v>
      </c>
      <c r="C244" t="str">
        <f>'All Girls &amp; Descendants - Edit'!D243</f>
        <v>GORE-BROWNE</v>
      </c>
      <c r="D244" t="str">
        <f>'All Girls &amp; Descendants - Edit'!E243</f>
        <v>Rose</v>
      </c>
      <c r="E244" t="str">
        <f>IF('All Girls &amp; Descendants - Edit'!F243="","",'All Girls &amp; Descendants - Edit'!F243)</f>
        <v>Elizabeth</v>
      </c>
      <c r="F244" t="str">
        <f>IF('All Girls &amp; Descendants - Edit'!G243="","",'All Girls &amp; Descendants - Edit'!G243)</f>
        <v>Lavinia</v>
      </c>
      <c r="G244" t="str">
        <f>IF('All Girls &amp; Descendants - Edit'!H243="",D244,'All Girls &amp; Descendants - Edit'!H243)</f>
        <v>Rose</v>
      </c>
      <c r="H244">
        <f>'All Girls &amp; Descendants - Edit'!I243</f>
        <v>1991</v>
      </c>
      <c r="I244" t="str">
        <f>'All Girls &amp; Descendants - Edit'!J243</f>
        <v/>
      </c>
      <c r="J244" s="101">
        <f>'All Girls &amp; Descendants - Edit'!K243</f>
        <v>0</v>
      </c>
      <c r="K244" s="3" t="str">
        <f>'All Girls &amp; Descendants - Edit'!L243</f>
        <v>27/10/1991</v>
      </c>
      <c r="L244" s="3">
        <f>'All Girls &amp; Descendants - Edit'!M243</f>
        <v>33538</v>
      </c>
      <c r="M244" s="3">
        <f>'All Girls &amp; Descendants - Edit'!N243</f>
        <v>0</v>
      </c>
      <c r="N244" s="3">
        <f>'All Girls &amp; Descendants - Edit'!O243</f>
        <v>0</v>
      </c>
      <c r="O244" s="3" t="str">
        <f>'All Girls &amp; Descendants - Edit'!P243</f>
        <v/>
      </c>
      <c r="P244" t="str">
        <f t="shared" si="61"/>
        <v>103cc</v>
      </c>
      <c r="Q244" s="116">
        <f t="shared" si="62"/>
        <v>2</v>
      </c>
      <c r="R244" s="31" t="str">
        <f t="shared" si="63"/>
        <v>Rose Elizabeth Lavinia GORE-BROWNE</v>
      </c>
      <c r="S244" t="str">
        <f t="shared" si="64"/>
        <v>Rose GORE-BROWNE (1991 - : #103cc)</v>
      </c>
    </row>
    <row r="245" spans="1:19">
      <c r="A245">
        <f>'All Girls &amp; Descendants - Edit'!B244</f>
        <v>103</v>
      </c>
      <c r="B245" t="str">
        <f>'All Girls &amp; Descendants - Edit'!C244</f>
        <v>103da</v>
      </c>
      <c r="C245" t="str">
        <f>'All Girls &amp; Descendants - Edit'!D244</f>
        <v>GORE-BROWNE</v>
      </c>
      <c r="D245" t="str">
        <f>'All Girls &amp; Descendants - Edit'!E244</f>
        <v>Sophie</v>
      </c>
      <c r="E245" t="str">
        <f>IF('All Girls &amp; Descendants - Edit'!F244="","",'All Girls &amp; Descendants - Edit'!F244)</f>
        <v>Mary</v>
      </c>
      <c r="F245" t="str">
        <f>IF('All Girls &amp; Descendants - Edit'!G244="","",'All Girls &amp; Descendants - Edit'!G244)</f>
        <v/>
      </c>
      <c r="G245" t="str">
        <f>IF('All Girls &amp; Descendants - Edit'!H244="",D245,'All Girls &amp; Descendants - Edit'!H244)</f>
        <v>Sophie</v>
      </c>
      <c r="H245">
        <f>'All Girls &amp; Descendants - Edit'!I244</f>
        <v>1985</v>
      </c>
      <c r="I245" t="str">
        <f>'All Girls &amp; Descendants - Edit'!J244</f>
        <v/>
      </c>
      <c r="J245" s="101">
        <f>'All Girls &amp; Descendants - Edit'!K244</f>
        <v>0</v>
      </c>
      <c r="K245" s="3" t="str">
        <f>'All Girls &amp; Descendants - Edit'!L244</f>
        <v>28/03/1985</v>
      </c>
      <c r="L245" s="3">
        <f>'All Girls &amp; Descendants - Edit'!M244</f>
        <v>31134</v>
      </c>
      <c r="M245" s="3">
        <f>'All Girls &amp; Descendants - Edit'!N244</f>
        <v>0</v>
      </c>
      <c r="N245" s="3">
        <f>'All Girls &amp; Descendants - Edit'!O244</f>
        <v>0</v>
      </c>
      <c r="O245" s="3" t="str">
        <f>'All Girls &amp; Descendants - Edit'!P244</f>
        <v/>
      </c>
      <c r="P245" t="str">
        <f t="shared" si="61"/>
        <v>103da</v>
      </c>
      <c r="Q245" s="116">
        <f t="shared" si="62"/>
        <v>2</v>
      </c>
      <c r="R245" s="31" t="str">
        <f t="shared" si="63"/>
        <v>Sophie Mary  GORE-BROWNE</v>
      </c>
      <c r="S245" t="str">
        <f t="shared" si="64"/>
        <v>Sophie GORE-BROWNE (1985 - : #103da)</v>
      </c>
    </row>
    <row r="246" spans="1:19">
      <c r="A246">
        <f>'All Girls &amp; Descendants - Edit'!B245</f>
        <v>103</v>
      </c>
      <c r="B246" t="str">
        <f>'All Girls &amp; Descendants - Edit'!C245</f>
        <v>103db</v>
      </c>
      <c r="C246" t="str">
        <f>'All Girls &amp; Descendants - Edit'!D245</f>
        <v>GORE-BROWNE</v>
      </c>
      <c r="D246" t="str">
        <f>'All Girls &amp; Descendants - Edit'!E245</f>
        <v>Elizabeth</v>
      </c>
      <c r="E246" t="str">
        <f>IF('All Girls &amp; Descendants - Edit'!F245="","",'All Girls &amp; Descendants - Edit'!F245)</f>
        <v>Clare</v>
      </c>
      <c r="F246" t="str">
        <f>IF('All Girls &amp; Descendants - Edit'!G245="","",'All Girls &amp; Descendants - Edit'!G245)</f>
        <v/>
      </c>
      <c r="G246" t="str">
        <f>IF('All Girls &amp; Descendants - Edit'!H245="",D246,'All Girls &amp; Descendants - Edit'!H245)</f>
        <v>Elizabeth</v>
      </c>
      <c r="H246">
        <f>'All Girls &amp; Descendants - Edit'!I245</f>
        <v>1988</v>
      </c>
      <c r="I246" t="str">
        <f>'All Girls &amp; Descendants - Edit'!J245</f>
        <v/>
      </c>
      <c r="J246" s="101">
        <f>'All Girls &amp; Descendants - Edit'!K245</f>
        <v>0</v>
      </c>
      <c r="K246" s="3" t="str">
        <f>'All Girls &amp; Descendants - Edit'!L245</f>
        <v>18/05/1988</v>
      </c>
      <c r="L246" s="3">
        <f>'All Girls &amp; Descendants - Edit'!M245</f>
        <v>32281</v>
      </c>
      <c r="M246" s="3">
        <f>'All Girls &amp; Descendants - Edit'!N245</f>
        <v>0</v>
      </c>
      <c r="N246" s="3">
        <f>'All Girls &amp; Descendants - Edit'!O245</f>
        <v>0</v>
      </c>
      <c r="O246" s="3" t="str">
        <f>'All Girls &amp; Descendants - Edit'!P245</f>
        <v/>
      </c>
      <c r="P246" t="str">
        <f t="shared" si="61"/>
        <v>103db</v>
      </c>
      <c r="Q246" s="116">
        <f t="shared" si="62"/>
        <v>2</v>
      </c>
      <c r="R246" s="31" t="str">
        <f t="shared" si="63"/>
        <v>Elizabeth Clare  GORE-BROWNE</v>
      </c>
      <c r="S246" t="str">
        <f t="shared" si="64"/>
        <v>Elizabeth GORE-BROWNE (1988 - : #103db)</v>
      </c>
    </row>
    <row r="247" spans="1:19">
      <c r="A247">
        <f>'All Girls &amp; Descendants - Edit'!B246</f>
        <v>103</v>
      </c>
      <c r="B247" t="str">
        <f>'All Girls &amp; Descendants - Edit'!C246</f>
        <v>103dc</v>
      </c>
      <c r="C247" t="str">
        <f>'All Girls &amp; Descendants - Edit'!D246</f>
        <v>GORE-BROWNE</v>
      </c>
      <c r="D247" t="str">
        <f>'All Girls &amp; Descendants - Edit'!E246</f>
        <v>Georgina</v>
      </c>
      <c r="E247" t="str">
        <f>IF('All Girls &amp; Descendants - Edit'!F246="","",'All Girls &amp; Descendants - Edit'!F246)</f>
        <v>Sarah</v>
      </c>
      <c r="F247" t="str">
        <f>IF('All Girls &amp; Descendants - Edit'!G246="","",'All Girls &amp; Descendants - Edit'!G246)</f>
        <v/>
      </c>
      <c r="G247" t="str">
        <f>IF('All Girls &amp; Descendants - Edit'!H246="",D247,'All Girls &amp; Descendants - Edit'!H246)</f>
        <v>Georgina</v>
      </c>
      <c r="H247">
        <f>'All Girls &amp; Descendants - Edit'!I246</f>
        <v>1992</v>
      </c>
      <c r="I247" t="str">
        <f>'All Girls &amp; Descendants - Edit'!J246</f>
        <v/>
      </c>
      <c r="J247" s="101">
        <f>'All Girls &amp; Descendants - Edit'!K246</f>
        <v>0</v>
      </c>
      <c r="K247" s="3" t="str">
        <f>'All Girls &amp; Descendants - Edit'!L246</f>
        <v>14/03/1992</v>
      </c>
      <c r="L247" s="3">
        <f>'All Girls &amp; Descendants - Edit'!M246</f>
        <v>33677</v>
      </c>
      <c r="M247" s="3">
        <f>'All Girls &amp; Descendants - Edit'!N246</f>
        <v>0</v>
      </c>
      <c r="N247" s="3">
        <f>'All Girls &amp; Descendants - Edit'!O246</f>
        <v>0</v>
      </c>
      <c r="O247" s="3" t="str">
        <f>'All Girls &amp; Descendants - Edit'!P246</f>
        <v/>
      </c>
      <c r="P247" t="str">
        <f t="shared" si="61"/>
        <v>103dc</v>
      </c>
      <c r="Q247" s="116">
        <f t="shared" si="62"/>
        <v>2</v>
      </c>
      <c r="R247" s="31" t="str">
        <f t="shared" si="63"/>
        <v>Georgina Sarah  GORE-BROWNE</v>
      </c>
      <c r="S247" t="str">
        <f t="shared" si="64"/>
        <v>Georgina GORE-BROWNE (1992 - : #103dc)</v>
      </c>
    </row>
    <row r="248" spans="1:19">
      <c r="A248">
        <f>'All Girls &amp; Descendants - Edit'!B247</f>
        <v>106</v>
      </c>
      <c r="B248" t="str">
        <f>'All Girls &amp; Descendants - Edit'!C247</f>
        <v>106aa</v>
      </c>
      <c r="C248" t="str">
        <f>'All Girls &amp; Descendants - Edit'!D247</f>
        <v>BLACKETT</v>
      </c>
      <c r="D248" t="str">
        <f>'All Girls &amp; Descendants - Edit'!E247</f>
        <v>Helena</v>
      </c>
      <c r="E248" t="str">
        <f>IF('All Girls &amp; Descendants - Edit'!F247="","",'All Girls &amp; Descendants - Edit'!F247)</f>
        <v>Charlotte</v>
      </c>
      <c r="F248" t="str">
        <f>IF('All Girls &amp; Descendants - Edit'!G247="","",'All Girls &amp; Descendants - Edit'!G247)</f>
        <v>Rose</v>
      </c>
      <c r="G248" t="str">
        <f>IF('All Girls &amp; Descendants - Edit'!H247="",D248,'All Girls &amp; Descendants - Edit'!H247)</f>
        <v>Charlotte</v>
      </c>
      <c r="H248">
        <f>'All Girls &amp; Descendants - Edit'!I247</f>
        <v>1988</v>
      </c>
      <c r="I248" t="str">
        <f>'All Girls &amp; Descendants - Edit'!J247</f>
        <v/>
      </c>
      <c r="J248" s="101">
        <f>'All Girls &amp; Descendants - Edit'!K247</f>
        <v>0</v>
      </c>
      <c r="K248" s="3" t="str">
        <f>'All Girls &amp; Descendants - Edit'!L247</f>
        <v>22/09/1988</v>
      </c>
      <c r="L248" s="3">
        <f>'All Girls &amp; Descendants - Edit'!M247</f>
        <v>32408</v>
      </c>
      <c r="M248" s="3">
        <f>'All Girls &amp; Descendants - Edit'!N247</f>
        <v>0</v>
      </c>
      <c r="N248" s="3">
        <f>'All Girls &amp; Descendants - Edit'!O247</f>
        <v>0</v>
      </c>
      <c r="O248" s="3" t="str">
        <f>'All Girls &amp; Descendants - Edit'!P247</f>
        <v/>
      </c>
      <c r="P248" t="str">
        <f t="shared" si="61"/>
        <v>106aa</v>
      </c>
      <c r="Q248" s="116">
        <f t="shared" si="62"/>
        <v>2</v>
      </c>
      <c r="R248" s="31" t="str">
        <f t="shared" si="63"/>
        <v>Helena Charlotte Rose BLACKETT</v>
      </c>
      <c r="S248" t="str">
        <f t="shared" si="64"/>
        <v>Charlotte BLACKETT (1988 - : #106aa)</v>
      </c>
    </row>
    <row r="249" spans="1:19">
      <c r="A249">
        <f>'All Girls &amp; Descendants - Edit'!B248</f>
        <v>106</v>
      </c>
      <c r="B249" t="str">
        <f>'All Girls &amp; Descendants - Edit'!C248</f>
        <v>106ab</v>
      </c>
      <c r="C249" t="str">
        <f>'All Girls &amp; Descendants - Edit'!D248</f>
        <v>BLACKETT</v>
      </c>
      <c r="D249" t="str">
        <f>'All Girls &amp; Descendants - Edit'!E248</f>
        <v>Camilla</v>
      </c>
      <c r="E249" t="str">
        <f>IF('All Girls &amp; Descendants - Edit'!F248="","",'All Girls &amp; Descendants - Edit'!F248)</f>
        <v>Harriet</v>
      </c>
      <c r="F249" t="str">
        <f>IF('All Girls &amp; Descendants - Edit'!G248="","",'All Girls &amp; Descendants - Edit'!G248)</f>
        <v>Eve</v>
      </c>
      <c r="G249" t="str">
        <f>IF('All Girls &amp; Descendants - Edit'!H248="",D249,'All Girls &amp; Descendants - Edit'!H248)</f>
        <v>Eve</v>
      </c>
      <c r="H249">
        <f>'All Girls &amp; Descendants - Edit'!I248</f>
        <v>1989</v>
      </c>
      <c r="I249" t="str">
        <f>'All Girls &amp; Descendants - Edit'!J248</f>
        <v/>
      </c>
      <c r="J249" s="101">
        <f>'All Girls &amp; Descendants - Edit'!K248</f>
        <v>0</v>
      </c>
      <c r="K249" s="3" t="str">
        <f>'All Girls &amp; Descendants - Edit'!L248</f>
        <v>23/11/1989</v>
      </c>
      <c r="L249" s="3">
        <f>'All Girls &amp; Descendants - Edit'!M248</f>
        <v>32835</v>
      </c>
      <c r="M249" s="3">
        <f>'All Girls &amp; Descendants - Edit'!N248</f>
        <v>0</v>
      </c>
      <c r="N249" s="3">
        <f>'All Girls &amp; Descendants - Edit'!O248</f>
        <v>0</v>
      </c>
      <c r="O249" s="3" t="str">
        <f>'All Girls &amp; Descendants - Edit'!P248</f>
        <v/>
      </c>
      <c r="P249" t="str">
        <f t="shared" si="61"/>
        <v>106ab</v>
      </c>
      <c r="Q249" s="116">
        <f t="shared" si="62"/>
        <v>2</v>
      </c>
      <c r="R249" s="31" t="str">
        <f t="shared" si="63"/>
        <v>Camilla Harriet Eve BLACKETT</v>
      </c>
      <c r="S249" t="str">
        <f t="shared" si="64"/>
        <v>Eve BLACKETT (1989 - : #106ab)</v>
      </c>
    </row>
    <row r="250" spans="1:19">
      <c r="A250">
        <f>'All Girls &amp; Descendants - Edit'!B249</f>
        <v>106</v>
      </c>
      <c r="B250" t="str">
        <f>'All Girls &amp; Descendants - Edit'!C249</f>
        <v>106ac</v>
      </c>
      <c r="C250" t="str">
        <f>'All Girls &amp; Descendants - Edit'!D249</f>
        <v>BLACKETT</v>
      </c>
      <c r="D250" t="str">
        <f>'All Girls &amp; Descendants - Edit'!E249</f>
        <v>Letitia</v>
      </c>
      <c r="E250" t="str">
        <f>IF('All Girls &amp; Descendants - Edit'!F249="","",'All Girls &amp; Descendants - Edit'!F249)</f>
        <v>Sarah</v>
      </c>
      <c r="F250" t="str">
        <f>IF('All Girls &amp; Descendants - Edit'!G249="","",'All Girls &amp; Descendants - Edit'!G249)</f>
        <v>Alice</v>
      </c>
      <c r="G250" t="str">
        <f>IF('All Girls &amp; Descendants - Edit'!H249="",D250,'All Girls &amp; Descendants - Edit'!H249)</f>
        <v>Lettie</v>
      </c>
      <c r="H250">
        <f>'All Girls &amp; Descendants - Edit'!I249</f>
        <v>1991</v>
      </c>
      <c r="I250" t="str">
        <f>'All Girls &amp; Descendants - Edit'!J249</f>
        <v/>
      </c>
      <c r="J250" s="101">
        <f>'All Girls &amp; Descendants - Edit'!K249</f>
        <v>0</v>
      </c>
      <c r="K250" s="3" t="str">
        <f>'All Girls &amp; Descendants - Edit'!L249</f>
        <v>06/08/1991</v>
      </c>
      <c r="L250" s="3">
        <f>'All Girls &amp; Descendants - Edit'!M249</f>
        <v>33456</v>
      </c>
      <c r="M250" s="3">
        <f>'All Girls &amp; Descendants - Edit'!N249</f>
        <v>0</v>
      </c>
      <c r="N250" s="3">
        <f>'All Girls &amp; Descendants - Edit'!O249</f>
        <v>0</v>
      </c>
      <c r="O250" s="3" t="str">
        <f>'All Girls &amp; Descendants - Edit'!P249</f>
        <v/>
      </c>
      <c r="P250" t="str">
        <f t="shared" si="61"/>
        <v>106ac</v>
      </c>
      <c r="Q250" s="116">
        <f t="shared" si="62"/>
        <v>2</v>
      </c>
      <c r="R250" s="31" t="str">
        <f t="shared" si="63"/>
        <v>Letitia Sarah Alice BLACKETT</v>
      </c>
      <c r="S250" t="str">
        <f t="shared" si="64"/>
        <v>Lettie BLACKETT (1991 - : #106ac)</v>
      </c>
    </row>
    <row r="251" spans="1:19">
      <c r="A251">
        <f>'All Girls &amp; Descendants - Edit'!B250</f>
        <v>106</v>
      </c>
      <c r="B251" t="str">
        <f>'All Girls &amp; Descendants - Edit'!C250</f>
        <v>106ad</v>
      </c>
      <c r="C251" t="str">
        <f>'All Girls &amp; Descendants - Edit'!D250</f>
        <v>BLACKETT</v>
      </c>
      <c r="D251" t="str">
        <f>'All Girls &amp; Descendants - Edit'!E250</f>
        <v>Annabel</v>
      </c>
      <c r="E251" t="str">
        <f>IF('All Girls &amp; Descendants - Edit'!F250="","",'All Girls &amp; Descendants - Edit'!F250)</f>
        <v>Victoria</v>
      </c>
      <c r="F251" t="str">
        <f>IF('All Girls &amp; Descendants - Edit'!G250="","",'All Girls &amp; Descendants - Edit'!G250)</f>
        <v>Louisa</v>
      </c>
      <c r="G251" t="str">
        <f>IF('All Girls &amp; Descendants - Edit'!H250="",D251,'All Girls &amp; Descendants - Edit'!H250)</f>
        <v>Annabel</v>
      </c>
      <c r="H251">
        <f>'All Girls &amp; Descendants - Edit'!I250</f>
        <v>1993</v>
      </c>
      <c r="I251" t="str">
        <f>'All Girls &amp; Descendants - Edit'!J250</f>
        <v/>
      </c>
      <c r="J251" s="101">
        <f>'All Girls &amp; Descendants - Edit'!K250</f>
        <v>0</v>
      </c>
      <c r="K251" s="3" t="str">
        <f>'All Girls &amp; Descendants - Edit'!L250</f>
        <v>24/03/1993</v>
      </c>
      <c r="L251" s="3">
        <f>'All Girls &amp; Descendants - Edit'!M250</f>
        <v>34052</v>
      </c>
      <c r="M251" s="3">
        <f>'All Girls &amp; Descendants - Edit'!N250</f>
        <v>0</v>
      </c>
      <c r="N251" s="3">
        <f>'All Girls &amp; Descendants - Edit'!O250</f>
        <v>0</v>
      </c>
      <c r="O251" s="3" t="str">
        <f>'All Girls &amp; Descendants - Edit'!P250</f>
        <v/>
      </c>
      <c r="P251" t="str">
        <f t="shared" si="61"/>
        <v>106ad</v>
      </c>
      <c r="Q251" s="116">
        <f t="shared" si="62"/>
        <v>2</v>
      </c>
      <c r="R251" s="31" t="str">
        <f t="shared" si="63"/>
        <v>Annabel Victoria Louisa BLACKETT</v>
      </c>
      <c r="S251" t="str">
        <f t="shared" si="64"/>
        <v>Annabel BLACKETT (1993 - : #106ad)</v>
      </c>
    </row>
    <row r="252" spans="1:19">
      <c r="A252">
        <f>'All Girls &amp; Descendants - Edit'!B251</f>
        <v>106</v>
      </c>
      <c r="B252" t="str">
        <f>'All Girls &amp; Descendants - Edit'!C251</f>
        <v>106ba</v>
      </c>
      <c r="C252" t="str">
        <f>'All Girls &amp; Descendants - Edit'!D251</f>
        <v>WINN</v>
      </c>
      <c r="D252" t="str">
        <f>'All Girls &amp; Descendants - Edit'!E251</f>
        <v>The Hon Rowland</v>
      </c>
      <c r="E252" t="str">
        <f>IF('All Girls &amp; Descendants - Edit'!F251="","",'All Girls &amp; Descendants - Edit'!F251)</f>
        <v>Charles</v>
      </c>
      <c r="F252" t="str">
        <f>IF('All Girls &amp; Descendants - Edit'!G251="","",'All Girls &amp; Descendants - Edit'!G251)</f>
        <v>Sebastian Henry</v>
      </c>
      <c r="G252" t="str">
        <f>IF('All Girls &amp; Descendants - Edit'!H251="",D252,'All Girls &amp; Descendants - Edit'!H251)</f>
        <v>The Hon Rowland</v>
      </c>
      <c r="H252">
        <f>'All Girls &amp; Descendants - Edit'!I251</f>
        <v>1986</v>
      </c>
      <c r="I252" t="str">
        <f>'All Girls &amp; Descendants - Edit'!J251</f>
        <v/>
      </c>
      <c r="J252" s="101">
        <f>'All Girls &amp; Descendants - Edit'!K251</f>
        <v>0</v>
      </c>
      <c r="K252" s="3" t="str">
        <f>'All Girls &amp; Descendants - Edit'!L251</f>
        <v>15/04/1986</v>
      </c>
      <c r="L252" s="3">
        <f>'All Girls &amp; Descendants - Edit'!M251</f>
        <v>31517</v>
      </c>
      <c r="M252" s="3">
        <f>'All Girls &amp; Descendants - Edit'!N251</f>
        <v>0</v>
      </c>
      <c r="N252" s="3">
        <f>'All Girls &amp; Descendants - Edit'!O251</f>
        <v>0</v>
      </c>
      <c r="O252" s="3" t="str">
        <f>'All Girls &amp; Descendants - Edit'!P251</f>
        <v/>
      </c>
      <c r="P252" t="str">
        <f t="shared" si="61"/>
        <v>106ba</v>
      </c>
      <c r="Q252" s="116">
        <f t="shared" si="62"/>
        <v>2</v>
      </c>
      <c r="R252" s="31" t="str">
        <f t="shared" si="63"/>
        <v>The Hon Rowland Charles Sebastian Henry WINN</v>
      </c>
      <c r="S252" t="str">
        <f t="shared" si="64"/>
        <v>The Hon Rowland WINN (1986 - : #106ba)</v>
      </c>
    </row>
    <row r="253" spans="1:19">
      <c r="A253">
        <f>'All Girls &amp; Descendants - Edit'!B252</f>
        <v>106</v>
      </c>
      <c r="B253" t="str">
        <f>'All Girls &amp; Descendants - Edit'!C252</f>
        <v>106bb</v>
      </c>
      <c r="C253" t="str">
        <f>'All Girls &amp; Descendants - Edit'!D252</f>
        <v>WINN</v>
      </c>
      <c r="D253" t="str">
        <f>'All Girls &amp; Descendants - Edit'!E252</f>
        <v>The Hon Henrietta</v>
      </c>
      <c r="E253" t="str">
        <f>IF('All Girls &amp; Descendants - Edit'!F252="","",'All Girls &amp; Descendants - Edit'!F252)</f>
        <v>Sophia</v>
      </c>
      <c r="F253" t="str">
        <f>IF('All Girls &amp; Descendants - Edit'!G252="","",'All Girls &amp; Descendants - Edit'!G252)</f>
        <v>Alexandra</v>
      </c>
      <c r="G253" t="str">
        <f>IF('All Girls &amp; Descendants - Edit'!H252="",D253,'All Girls &amp; Descendants - Edit'!H252)</f>
        <v>The Hon Henrietta</v>
      </c>
      <c r="H253">
        <f>'All Girls &amp; Descendants - Edit'!I252</f>
        <v>1993</v>
      </c>
      <c r="I253" t="str">
        <f>'All Girls &amp; Descendants - Edit'!J252</f>
        <v/>
      </c>
      <c r="J253" s="101">
        <f>'All Girls &amp; Descendants - Edit'!K252</f>
        <v>0</v>
      </c>
      <c r="K253" s="3" t="str">
        <f>'All Girls &amp; Descendants - Edit'!L252</f>
        <v>22/04/1993</v>
      </c>
      <c r="L253" s="3">
        <f>'All Girls &amp; Descendants - Edit'!M252</f>
        <v>34081</v>
      </c>
      <c r="M253" s="3">
        <f>'All Girls &amp; Descendants - Edit'!N252</f>
        <v>0</v>
      </c>
      <c r="N253" s="3">
        <f>'All Girls &amp; Descendants - Edit'!O252</f>
        <v>0</v>
      </c>
      <c r="O253" s="3" t="str">
        <f>'All Girls &amp; Descendants - Edit'!P252</f>
        <v/>
      </c>
      <c r="P253" t="str">
        <f t="shared" si="61"/>
        <v>106bb</v>
      </c>
      <c r="Q253" s="116">
        <f t="shared" si="62"/>
        <v>2</v>
      </c>
      <c r="R253" s="31" t="str">
        <f t="shared" si="63"/>
        <v>The Hon Henrietta Sophia Alexandra WINN</v>
      </c>
      <c r="S253" t="str">
        <f t="shared" si="64"/>
        <v>The Hon Henrietta WINN (1993 - : #106bb)</v>
      </c>
    </row>
    <row r="254" spans="1:19">
      <c r="A254">
        <f>'All Girls &amp; Descendants - Edit'!B253</f>
        <v>107</v>
      </c>
      <c r="B254" t="str">
        <f>'All Girls &amp; Descendants - Edit'!C253</f>
        <v>107aa</v>
      </c>
      <c r="C254" t="str">
        <f>'All Girls &amp; Descendants - Edit'!D253</f>
        <v>RUSSELL</v>
      </c>
      <c r="D254" t="str">
        <f>'All Girls &amp; Descendants - Edit'!E253</f>
        <v>Edward</v>
      </c>
      <c r="E254" t="str">
        <f>IF('All Girls &amp; Descendants - Edit'!F253="","",'All Girls &amp; Descendants - Edit'!F253)</f>
        <v>Allen</v>
      </c>
      <c r="F254" t="str">
        <f>IF('All Girls &amp; Descendants - Edit'!G253="","",'All Girls &amp; Descendants - Edit'!G253)</f>
        <v/>
      </c>
      <c r="G254" t="str">
        <f>IF('All Girls &amp; Descendants - Edit'!H253="",D254,'All Girls &amp; Descendants - Edit'!H253)</f>
        <v>Edward</v>
      </c>
      <c r="H254">
        <f>'All Girls &amp; Descendants - Edit'!I253</f>
        <v>1976</v>
      </c>
      <c r="I254" t="str">
        <f>'All Girls &amp; Descendants - Edit'!J253</f>
        <v/>
      </c>
      <c r="J254" s="101">
        <f>'All Girls &amp; Descendants - Edit'!K253</f>
        <v>0</v>
      </c>
      <c r="K254" s="3" t="str">
        <f>'All Girls &amp; Descendants - Edit'!L253</f>
        <v>09/09/1976</v>
      </c>
      <c r="L254" s="3">
        <f>'All Girls &amp; Descendants - Edit'!M253</f>
        <v>28012</v>
      </c>
      <c r="M254" s="3">
        <f>'All Girls &amp; Descendants - Edit'!N253</f>
        <v>0</v>
      </c>
      <c r="N254" s="3">
        <f>'All Girls &amp; Descendants - Edit'!O253</f>
        <v>0</v>
      </c>
      <c r="O254" s="3" t="str">
        <f>'All Girls &amp; Descendants - Edit'!P253</f>
        <v/>
      </c>
      <c r="P254" t="str">
        <f t="shared" si="61"/>
        <v>107aa</v>
      </c>
      <c r="Q254" s="116">
        <f t="shared" si="62"/>
        <v>2</v>
      </c>
      <c r="R254" s="31" t="str">
        <f t="shared" si="63"/>
        <v>Edward Allen  RUSSELL</v>
      </c>
      <c r="S254" t="str">
        <f t="shared" si="64"/>
        <v>Edward RUSSELL (1976 - : #107aa)</v>
      </c>
    </row>
    <row r="255" spans="1:19">
      <c r="A255">
        <f>'All Girls &amp; Descendants - Edit'!B254</f>
        <v>107</v>
      </c>
      <c r="B255" t="str">
        <f>'All Girls &amp; Descendants - Edit'!C254</f>
        <v>107ab</v>
      </c>
      <c r="C255" t="str">
        <f>'All Girls &amp; Descendants - Edit'!D254</f>
        <v>AMY</v>
      </c>
      <c r="D255" t="str">
        <f>'All Girls &amp; Descendants - Edit'!E254</f>
        <v>Mathew</v>
      </c>
      <c r="E255" t="str">
        <f>IF('All Girls &amp; Descendants - Edit'!F254="","",'All Girls &amp; Descendants - Edit'!F254)</f>
        <v>Howard</v>
      </c>
      <c r="F255" t="str">
        <f>IF('All Girls &amp; Descendants - Edit'!G254="","",'All Girls &amp; Descendants - Edit'!G254)</f>
        <v/>
      </c>
      <c r="G255" t="str">
        <f>IF('All Girls &amp; Descendants - Edit'!H254="",D255,'All Girls &amp; Descendants - Edit'!H254)</f>
        <v>Mathew</v>
      </c>
      <c r="H255">
        <f>'All Girls &amp; Descendants - Edit'!I254</f>
        <v>1981</v>
      </c>
      <c r="I255" t="str">
        <f>'All Girls &amp; Descendants - Edit'!J254</f>
        <v/>
      </c>
      <c r="J255" s="101">
        <f>'All Girls &amp; Descendants - Edit'!K254</f>
        <v>0</v>
      </c>
      <c r="K255" s="3" t="str">
        <f>'All Girls &amp; Descendants - Edit'!L254</f>
        <v>06/06/1981</v>
      </c>
      <c r="L255" s="3">
        <f>'All Girls &amp; Descendants - Edit'!M254</f>
        <v>29743</v>
      </c>
      <c r="M255" s="3">
        <f>'All Girls &amp; Descendants - Edit'!N254</f>
        <v>0</v>
      </c>
      <c r="N255" s="3">
        <f>'All Girls &amp; Descendants - Edit'!O254</f>
        <v>0</v>
      </c>
      <c r="O255" s="3" t="str">
        <f>'All Girls &amp; Descendants - Edit'!P254</f>
        <v/>
      </c>
      <c r="P255" t="str">
        <f t="shared" si="61"/>
        <v>107ab</v>
      </c>
      <c r="Q255" s="116">
        <f t="shared" si="62"/>
        <v>2</v>
      </c>
      <c r="R255" s="31" t="str">
        <f t="shared" si="63"/>
        <v>Mathew Howard  AMY</v>
      </c>
      <c r="S255" t="str">
        <f t="shared" si="64"/>
        <v>Mathew AMY (1981 - : #107ab)</v>
      </c>
    </row>
    <row r="256" spans="1:19">
      <c r="A256">
        <f>'All Girls &amp; Descendants - Edit'!B255</f>
        <v>107</v>
      </c>
      <c r="B256" t="str">
        <f>'All Girls &amp; Descendants - Edit'!C255</f>
        <v>107ac</v>
      </c>
      <c r="C256" t="str">
        <f>'All Girls &amp; Descendants - Edit'!D255</f>
        <v>AMY</v>
      </c>
      <c r="D256" t="str">
        <f>'All Girls &amp; Descendants - Edit'!E255</f>
        <v>Michael</v>
      </c>
      <c r="E256" t="str">
        <f>IF('All Girls &amp; Descendants - Edit'!F255="","",'All Girls &amp; Descendants - Edit'!F255)</f>
        <v>William</v>
      </c>
      <c r="F256" t="str">
        <f>IF('All Girls &amp; Descendants - Edit'!G255="","",'All Girls &amp; Descendants - Edit'!G255)</f>
        <v/>
      </c>
      <c r="G256" t="str">
        <f>IF('All Girls &amp; Descendants - Edit'!H255="",D256,'All Girls &amp; Descendants - Edit'!H255)</f>
        <v>Michael</v>
      </c>
      <c r="H256">
        <f>'All Girls &amp; Descendants - Edit'!I255</f>
        <v>1981</v>
      </c>
      <c r="I256" t="str">
        <f>'All Girls &amp; Descendants - Edit'!J255</f>
        <v/>
      </c>
      <c r="J256" s="101">
        <f>'All Girls &amp; Descendants - Edit'!K255</f>
        <v>0</v>
      </c>
      <c r="K256" s="3" t="str">
        <f>'All Girls &amp; Descendants - Edit'!L255</f>
        <v>06/06/1981</v>
      </c>
      <c r="L256" s="3">
        <f>'All Girls &amp; Descendants - Edit'!M255</f>
        <v>29743</v>
      </c>
      <c r="M256" s="3">
        <f>'All Girls &amp; Descendants - Edit'!N255</f>
        <v>0</v>
      </c>
      <c r="N256" s="3">
        <f>'All Girls &amp; Descendants - Edit'!O255</f>
        <v>0</v>
      </c>
      <c r="O256" s="3" t="str">
        <f>'All Girls &amp; Descendants - Edit'!P255</f>
        <v/>
      </c>
      <c r="P256" t="str">
        <f t="shared" si="61"/>
        <v>107ac</v>
      </c>
      <c r="Q256" s="116">
        <f t="shared" si="62"/>
        <v>2</v>
      </c>
      <c r="R256" s="31" t="str">
        <f t="shared" si="63"/>
        <v>Michael William  AMY</v>
      </c>
      <c r="S256" t="str">
        <f t="shared" si="64"/>
        <v>Michael AMY (1981 - : #107ac)</v>
      </c>
    </row>
    <row r="257" spans="1:19">
      <c r="A257">
        <f>'All Girls &amp; Descendants - Edit'!B256</f>
        <v>107</v>
      </c>
      <c r="B257" t="str">
        <f>'All Girls &amp; Descendants - Edit'!C256</f>
        <v>107ad</v>
      </c>
      <c r="C257" t="str">
        <f>'All Girls &amp; Descendants - Edit'!D256</f>
        <v>AMY</v>
      </c>
      <c r="D257" t="str">
        <f>'All Girls &amp; Descendants - Edit'!E256</f>
        <v>Jonathon</v>
      </c>
      <c r="E257" t="str">
        <f>IF('All Girls &amp; Descendants - Edit'!F256="","",'All Girls &amp; Descendants - Edit'!F256)</f>
        <v>Glen</v>
      </c>
      <c r="F257" t="str">
        <f>IF('All Girls &amp; Descendants - Edit'!G256="","",'All Girls &amp; Descendants - Edit'!G256)</f>
        <v/>
      </c>
      <c r="G257" t="str">
        <f>IF('All Girls &amp; Descendants - Edit'!H256="",D257,'All Girls &amp; Descendants - Edit'!H256)</f>
        <v>Jonathon</v>
      </c>
      <c r="H257">
        <f>'All Girls &amp; Descendants - Edit'!I256</f>
        <v>1983</v>
      </c>
      <c r="I257" t="str">
        <f>'All Girls &amp; Descendants - Edit'!J256</f>
        <v/>
      </c>
      <c r="J257" s="101">
        <f>'All Girls &amp; Descendants - Edit'!K256</f>
        <v>0</v>
      </c>
      <c r="K257" s="3" t="str">
        <f>'All Girls &amp; Descendants - Edit'!L256</f>
        <v>31/07/1983</v>
      </c>
      <c r="L257" s="3">
        <f>'All Girls &amp; Descendants - Edit'!M256</f>
        <v>30528</v>
      </c>
      <c r="M257" s="3">
        <f>'All Girls &amp; Descendants - Edit'!N256</f>
        <v>0</v>
      </c>
      <c r="N257" s="3">
        <f>'All Girls &amp; Descendants - Edit'!O256</f>
        <v>0</v>
      </c>
      <c r="O257" s="3" t="str">
        <f>'All Girls &amp; Descendants - Edit'!P256</f>
        <v/>
      </c>
      <c r="P257" t="str">
        <f t="shared" si="61"/>
        <v>107ad</v>
      </c>
      <c r="Q257" s="116">
        <f t="shared" si="62"/>
        <v>2</v>
      </c>
      <c r="R257" s="31" t="str">
        <f t="shared" si="63"/>
        <v>Jonathon Glen  AMY</v>
      </c>
      <c r="S257" t="str">
        <f t="shared" si="64"/>
        <v>Jonathon AMY (1983 - : #107ad)</v>
      </c>
    </row>
    <row r="258" spans="1:19">
      <c r="A258">
        <f>'All Girls &amp; Descendants - Edit'!B257</f>
        <v>107</v>
      </c>
      <c r="B258" t="str">
        <f>'All Girls &amp; Descendants - Edit'!C257</f>
        <v>107ba</v>
      </c>
      <c r="C258" t="str">
        <f>'All Girls &amp; Descendants - Edit'!D257</f>
        <v>THOMPSON</v>
      </c>
      <c r="D258" t="str">
        <f>'All Girls &amp; Descendants - Edit'!E257</f>
        <v>Christopher</v>
      </c>
      <c r="E258" t="str">
        <f>IF('All Girls &amp; Descendants - Edit'!F257="","",'All Girls &amp; Descendants - Edit'!F257)</f>
        <v>Allen</v>
      </c>
      <c r="F258" t="str">
        <f>IF('All Girls &amp; Descendants - Edit'!G257="","",'All Girls &amp; Descendants - Edit'!G257)</f>
        <v/>
      </c>
      <c r="G258" t="str">
        <f>IF('All Girls &amp; Descendants - Edit'!H257="",D258,'All Girls &amp; Descendants - Edit'!H257)</f>
        <v>Christopher</v>
      </c>
      <c r="H258">
        <f>'All Girls &amp; Descendants - Edit'!I257</f>
        <v>1973</v>
      </c>
      <c r="I258" t="str">
        <f>'All Girls &amp; Descendants - Edit'!J257</f>
        <v/>
      </c>
      <c r="J258" s="101">
        <f>'All Girls &amp; Descendants - Edit'!K257</f>
        <v>0</v>
      </c>
      <c r="K258" s="3" t="str">
        <f>'All Girls &amp; Descendants - Edit'!L257</f>
        <v>14/10/1973</v>
      </c>
      <c r="L258" s="3">
        <f>'All Girls &amp; Descendants - Edit'!M257</f>
        <v>26951</v>
      </c>
      <c r="M258" s="3">
        <f>'All Girls &amp; Descendants - Edit'!N257</f>
        <v>0</v>
      </c>
      <c r="N258" s="3">
        <f>'All Girls &amp; Descendants - Edit'!O257</f>
        <v>0</v>
      </c>
      <c r="O258" s="3" t="str">
        <f>'All Girls &amp; Descendants - Edit'!P257</f>
        <v/>
      </c>
      <c r="P258" t="str">
        <f t="shared" si="61"/>
        <v>107ba</v>
      </c>
      <c r="Q258" s="116">
        <f t="shared" si="62"/>
        <v>2</v>
      </c>
      <c r="R258" s="31" t="str">
        <f t="shared" si="63"/>
        <v>Christopher Allen  THOMPSON</v>
      </c>
      <c r="S258" t="str">
        <f t="shared" si="64"/>
        <v>Christopher THOMPSON (1973 - : #107ba)</v>
      </c>
    </row>
    <row r="259" spans="1:19">
      <c r="A259">
        <f>'All Girls &amp; Descendants - Edit'!B258</f>
        <v>107</v>
      </c>
      <c r="B259" t="str">
        <f>'All Girls &amp; Descendants - Edit'!C258</f>
        <v>107bb</v>
      </c>
      <c r="C259" t="str">
        <f>'All Girls &amp; Descendants - Edit'!D258</f>
        <v>THOMPSON</v>
      </c>
      <c r="D259" t="str">
        <f>'All Girls &amp; Descendants - Edit'!E258</f>
        <v>George</v>
      </c>
      <c r="E259" t="str">
        <f>IF('All Girls &amp; Descendants - Edit'!F258="","",'All Girls &amp; Descendants - Edit'!F258)</f>
        <v>William</v>
      </c>
      <c r="F259" t="str">
        <f>IF('All Girls &amp; Descendants - Edit'!G258="","",'All Girls &amp; Descendants - Edit'!G258)</f>
        <v/>
      </c>
      <c r="G259" t="str">
        <f>IF('All Girls &amp; Descendants - Edit'!H258="",D259,'All Girls &amp; Descendants - Edit'!H258)</f>
        <v>George</v>
      </c>
      <c r="H259">
        <f>'All Girls &amp; Descendants - Edit'!I258</f>
        <v>1976</v>
      </c>
      <c r="I259" t="str">
        <f>'All Girls &amp; Descendants - Edit'!J258</f>
        <v/>
      </c>
      <c r="J259" s="101">
        <f>'All Girls &amp; Descendants - Edit'!K258</f>
        <v>0</v>
      </c>
      <c r="K259" s="3" t="str">
        <f>'All Girls &amp; Descendants - Edit'!L258</f>
        <v>26/09/1976</v>
      </c>
      <c r="L259" s="3">
        <f>'All Girls &amp; Descendants - Edit'!M258</f>
        <v>28029</v>
      </c>
      <c r="M259" s="3">
        <f>'All Girls &amp; Descendants - Edit'!N258</f>
        <v>0</v>
      </c>
      <c r="N259" s="3">
        <f>'All Girls &amp; Descendants - Edit'!O258</f>
        <v>0</v>
      </c>
      <c r="O259" s="3" t="str">
        <f>'All Girls &amp; Descendants - Edit'!P258</f>
        <v/>
      </c>
      <c r="P259" t="str">
        <f t="shared" si="61"/>
        <v>107bb</v>
      </c>
      <c r="Q259" s="116">
        <f t="shared" si="62"/>
        <v>2</v>
      </c>
      <c r="R259" s="31" t="str">
        <f t="shared" si="63"/>
        <v>George William  THOMPSON</v>
      </c>
      <c r="S259" t="str">
        <f t="shared" si="64"/>
        <v>George THOMPSON (1976 - : #107bb)</v>
      </c>
    </row>
    <row r="260" spans="1:19">
      <c r="A260">
        <f>'All Girls &amp; Descendants - Edit'!B259</f>
        <v>107</v>
      </c>
      <c r="B260" t="str">
        <f>'All Girls &amp; Descendants - Edit'!C259</f>
        <v>107bc</v>
      </c>
      <c r="C260" t="str">
        <f>'All Girls &amp; Descendants - Edit'!D259</f>
        <v>THOMPSON</v>
      </c>
      <c r="D260" t="str">
        <f>'All Girls &amp; Descendants - Edit'!E259</f>
        <v>Jeremy</v>
      </c>
      <c r="E260" t="str">
        <f>IF('All Girls &amp; Descendants - Edit'!F259="","",'All Girls &amp; Descendants - Edit'!F259)</f>
        <v>James</v>
      </c>
      <c r="F260" t="str">
        <f>IF('All Girls &amp; Descendants - Edit'!G259="","",'All Girls &amp; Descendants - Edit'!G259)</f>
        <v/>
      </c>
      <c r="G260" t="str">
        <f>IF('All Girls &amp; Descendants - Edit'!H259="",D260,'All Girls &amp; Descendants - Edit'!H259)</f>
        <v>Jeremy</v>
      </c>
      <c r="H260">
        <f>'All Girls &amp; Descendants - Edit'!I259</f>
        <v>1979</v>
      </c>
      <c r="I260" t="str">
        <f>'All Girls &amp; Descendants - Edit'!J259</f>
        <v/>
      </c>
      <c r="J260" s="101">
        <f>'All Girls &amp; Descendants - Edit'!K259</f>
        <v>0</v>
      </c>
      <c r="K260" s="3" t="str">
        <f>'All Girls &amp; Descendants - Edit'!L259</f>
        <v>18/04/1979</v>
      </c>
      <c r="L260" s="3">
        <f>'All Girls &amp; Descendants - Edit'!M259</f>
        <v>28963</v>
      </c>
      <c r="M260" s="3">
        <f>'All Girls &amp; Descendants - Edit'!N259</f>
        <v>0</v>
      </c>
      <c r="N260" s="3">
        <f>'All Girls &amp; Descendants - Edit'!O259</f>
        <v>0</v>
      </c>
      <c r="O260" s="3" t="str">
        <f>'All Girls &amp; Descendants - Edit'!P259</f>
        <v/>
      </c>
      <c r="P260" t="str">
        <f t="shared" si="61"/>
        <v>107bc</v>
      </c>
      <c r="Q260" s="116">
        <f t="shared" si="62"/>
        <v>2</v>
      </c>
      <c r="R260" s="31" t="str">
        <f t="shared" si="63"/>
        <v>Jeremy James  THOMPSON</v>
      </c>
      <c r="S260" t="str">
        <f t="shared" si="64"/>
        <v>Jeremy THOMPSON (1979 - : #107bc)</v>
      </c>
    </row>
    <row r="261" spans="1:19">
      <c r="A261">
        <f>'All Girls &amp; Descendants - Edit'!B260</f>
        <v>107</v>
      </c>
      <c r="B261" t="str">
        <f>'All Girls &amp; Descendants - Edit'!C260</f>
        <v>107ca</v>
      </c>
      <c r="C261" t="str">
        <f>'All Girls &amp; Descendants - Edit'!D260</f>
        <v>ORR</v>
      </c>
      <c r="D261" t="str">
        <f>'All Girls &amp; Descendants - Edit'!E260</f>
        <v>Charitie</v>
      </c>
      <c r="E261" t="str">
        <f>IF('All Girls &amp; Descendants - Edit'!F260="","",'All Girls &amp; Descendants - Edit'!F260)</f>
        <v>Lee</v>
      </c>
      <c r="F261" t="str">
        <f>IF('All Girls &amp; Descendants - Edit'!G260="","",'All Girls &amp; Descendants - Edit'!G260)</f>
        <v/>
      </c>
      <c r="G261" t="str">
        <f>IF('All Girls &amp; Descendants - Edit'!H260="",D261,'All Girls &amp; Descendants - Edit'!H260)</f>
        <v>Charitie</v>
      </c>
      <c r="H261">
        <f>'All Girls &amp; Descendants - Edit'!I260</f>
        <v>1978</v>
      </c>
      <c r="I261" t="str">
        <f>'All Girls &amp; Descendants - Edit'!J260</f>
        <v/>
      </c>
      <c r="J261" s="101">
        <f>'All Girls &amp; Descendants - Edit'!K260</f>
        <v>0</v>
      </c>
      <c r="K261" s="3" t="str">
        <f>'All Girls &amp; Descendants - Edit'!L260</f>
        <v>24/07/1978</v>
      </c>
      <c r="L261" s="3">
        <f>'All Girls &amp; Descendants - Edit'!M260</f>
        <v>28695</v>
      </c>
      <c r="M261" s="3">
        <f>'All Girls &amp; Descendants - Edit'!N260</f>
        <v>0</v>
      </c>
      <c r="N261" s="3">
        <f>'All Girls &amp; Descendants - Edit'!O260</f>
        <v>0</v>
      </c>
      <c r="O261" s="3" t="str">
        <f>'All Girls &amp; Descendants - Edit'!P260</f>
        <v/>
      </c>
      <c r="P261" t="str">
        <f t="shared" ref="P261:P324" si="65">B261</f>
        <v>107ca</v>
      </c>
      <c r="Q261" s="116">
        <f t="shared" ref="Q261:Q324" si="66">LEN(B261)-LEN(A261)</f>
        <v>2</v>
      </c>
      <c r="R261" s="31" t="str">
        <f t="shared" ref="R261:R324" si="67">_xlfn.CONCAT(D261," ",E261," ",F261," ",C261)</f>
        <v>Charitie Lee  ORR</v>
      </c>
      <c r="S261" t="str">
        <f t="shared" ref="S261:S324" si="68">_xlfn.CONCAT(G261," ",C261," (",H261," - ",I261,": #",B261,")")</f>
        <v>Charitie ORR (1978 - : #107ca)</v>
      </c>
    </row>
    <row r="262" spans="1:19">
      <c r="A262">
        <f>'All Girls &amp; Descendants - Edit'!B261</f>
        <v>107</v>
      </c>
      <c r="B262" t="str">
        <f>'All Girls &amp; Descendants - Edit'!C261</f>
        <v>107cb</v>
      </c>
      <c r="C262" t="str">
        <f>'All Girls &amp; Descendants - Edit'!D261</f>
        <v>ORR</v>
      </c>
      <c r="D262" t="str">
        <f>'All Girls &amp; Descendants - Edit'!E261</f>
        <v>Audrey</v>
      </c>
      <c r="E262" t="str">
        <f>IF('All Girls &amp; Descendants - Edit'!F261="","",'All Girls &amp; Descendants - Edit'!F261)</f>
        <v>Dawn</v>
      </c>
      <c r="F262" t="str">
        <f>IF('All Girls &amp; Descendants - Edit'!G261="","",'All Girls &amp; Descendants - Edit'!G261)</f>
        <v/>
      </c>
      <c r="G262" t="str">
        <f>IF('All Girls &amp; Descendants - Edit'!H261="",D262,'All Girls &amp; Descendants - Edit'!H261)</f>
        <v>Audrey</v>
      </c>
      <c r="H262">
        <f>'All Girls &amp; Descendants - Edit'!I261</f>
        <v>1980</v>
      </c>
      <c r="I262" t="str">
        <f>'All Girls &amp; Descendants - Edit'!J261</f>
        <v/>
      </c>
      <c r="J262" s="101">
        <f>'All Girls &amp; Descendants - Edit'!K261</f>
        <v>0</v>
      </c>
      <c r="K262" s="3" t="str">
        <f>'All Girls &amp; Descendants - Edit'!L261</f>
        <v>12/07/1980</v>
      </c>
      <c r="L262" s="3">
        <f>'All Girls &amp; Descendants - Edit'!M261</f>
        <v>29414</v>
      </c>
      <c r="M262" s="3">
        <f>'All Girls &amp; Descendants - Edit'!N261</f>
        <v>0</v>
      </c>
      <c r="N262" s="3">
        <f>'All Girls &amp; Descendants - Edit'!O261</f>
        <v>0</v>
      </c>
      <c r="O262" s="3" t="str">
        <f>'All Girls &amp; Descendants - Edit'!P261</f>
        <v/>
      </c>
      <c r="P262" t="str">
        <f t="shared" si="65"/>
        <v>107cb</v>
      </c>
      <c r="Q262" s="116">
        <f t="shared" si="66"/>
        <v>2</v>
      </c>
      <c r="R262" s="31" t="str">
        <f t="shared" si="67"/>
        <v>Audrey Dawn  ORR</v>
      </c>
      <c r="S262" t="str">
        <f t="shared" si="68"/>
        <v>Audrey ORR (1980 - : #107cb)</v>
      </c>
    </row>
    <row r="263" spans="1:19">
      <c r="A263">
        <f>'All Girls &amp; Descendants - Edit'!B262</f>
        <v>107</v>
      </c>
      <c r="B263" t="str">
        <f>'All Girls &amp; Descendants - Edit'!C262</f>
        <v>107cc</v>
      </c>
      <c r="C263" t="str">
        <f>'All Girls &amp; Descendants - Edit'!D262</f>
        <v>ORR</v>
      </c>
      <c r="D263" t="str">
        <f>'All Girls &amp; Descendants - Edit'!E262</f>
        <v>Michael</v>
      </c>
      <c r="E263" t="str">
        <f>IF('All Girls &amp; Descendants - Edit'!F262="","",'All Girls &amp; Descendants - Edit'!F262)</f>
        <v>Travis</v>
      </c>
      <c r="F263" t="str">
        <f>IF('All Girls &amp; Descendants - Edit'!G262="","",'All Girls &amp; Descendants - Edit'!G262)</f>
        <v>Kirkman</v>
      </c>
      <c r="G263" t="str">
        <f>IF('All Girls &amp; Descendants - Edit'!H262="",D263,'All Girls &amp; Descendants - Edit'!H262)</f>
        <v>Michael</v>
      </c>
      <c r="H263">
        <f>'All Girls &amp; Descendants - Edit'!I262</f>
        <v>1984</v>
      </c>
      <c r="I263" t="str">
        <f>'All Girls &amp; Descendants - Edit'!J262</f>
        <v/>
      </c>
      <c r="J263" s="101">
        <f>'All Girls &amp; Descendants - Edit'!K262</f>
        <v>0</v>
      </c>
      <c r="K263" s="3" t="str">
        <f>'All Girls &amp; Descendants - Edit'!L262</f>
        <v>12/04/1984</v>
      </c>
      <c r="L263" s="3">
        <f>'All Girls &amp; Descendants - Edit'!M262</f>
        <v>30784</v>
      </c>
      <c r="M263" s="3">
        <f>'All Girls &amp; Descendants - Edit'!N262</f>
        <v>0</v>
      </c>
      <c r="N263" s="3">
        <f>'All Girls &amp; Descendants - Edit'!O262</f>
        <v>0</v>
      </c>
      <c r="O263" s="3" t="str">
        <f>'All Girls &amp; Descendants - Edit'!P262</f>
        <v/>
      </c>
      <c r="P263" t="str">
        <f t="shared" si="65"/>
        <v>107cc</v>
      </c>
      <c r="Q263" s="116">
        <f t="shared" si="66"/>
        <v>2</v>
      </c>
      <c r="R263" s="31" t="str">
        <f t="shared" si="67"/>
        <v>Michael Travis Kirkman ORR</v>
      </c>
      <c r="S263" t="str">
        <f t="shared" si="68"/>
        <v>Michael ORR (1984 - : #107cc)</v>
      </c>
    </row>
    <row r="264" spans="1:19">
      <c r="A264">
        <f>'All Girls &amp; Descendants - Edit'!B263</f>
        <v>107</v>
      </c>
      <c r="B264" t="str">
        <f>'All Girls &amp; Descendants - Edit'!C263</f>
        <v>107cd</v>
      </c>
      <c r="C264" t="str">
        <f>'All Girls &amp; Descendants - Edit'!D263</f>
        <v>ORR</v>
      </c>
      <c r="D264" t="str">
        <f>'All Girls &amp; Descendants - Edit'!E263</f>
        <v>Seth</v>
      </c>
      <c r="E264" t="str">
        <f>IF('All Girls &amp; Descendants - Edit'!F263="","",'All Girls &amp; Descendants - Edit'!F263)</f>
        <v>Edward</v>
      </c>
      <c r="F264" t="str">
        <f>IF('All Girls &amp; Descendants - Edit'!G263="","",'All Girls &amp; Descendants - Edit'!G263)</f>
        <v/>
      </c>
      <c r="G264" t="str">
        <f>IF('All Girls &amp; Descendants - Edit'!H263="",D264,'All Girls &amp; Descendants - Edit'!H263)</f>
        <v>Seth</v>
      </c>
      <c r="H264">
        <f>'All Girls &amp; Descendants - Edit'!I263</f>
        <v>1986</v>
      </c>
      <c r="I264" t="str">
        <f>'All Girls &amp; Descendants - Edit'!J263</f>
        <v/>
      </c>
      <c r="J264" s="101">
        <f>'All Girls &amp; Descendants - Edit'!K263</f>
        <v>0</v>
      </c>
      <c r="K264" s="3" t="str">
        <f>'All Girls &amp; Descendants - Edit'!L263</f>
        <v>26/10/1986</v>
      </c>
      <c r="L264" s="3">
        <f>'All Girls &amp; Descendants - Edit'!M263</f>
        <v>31711</v>
      </c>
      <c r="M264" s="3">
        <f>'All Girls &amp; Descendants - Edit'!N263</f>
        <v>0</v>
      </c>
      <c r="N264" s="3">
        <f>'All Girls &amp; Descendants - Edit'!O263</f>
        <v>0</v>
      </c>
      <c r="O264" s="3" t="str">
        <f>'All Girls &amp; Descendants - Edit'!P263</f>
        <v/>
      </c>
      <c r="P264" t="str">
        <f t="shared" si="65"/>
        <v>107cd</v>
      </c>
      <c r="Q264" s="116">
        <f t="shared" si="66"/>
        <v>2</v>
      </c>
      <c r="R264" s="31" t="str">
        <f t="shared" si="67"/>
        <v>Seth Edward  ORR</v>
      </c>
      <c r="S264" t="str">
        <f t="shared" si="68"/>
        <v>Seth ORR (1986 - : #107cd)</v>
      </c>
    </row>
    <row r="265" spans="1:19">
      <c r="A265">
        <f>'All Girls &amp; Descendants - Edit'!B264</f>
        <v>107</v>
      </c>
      <c r="B265" t="str">
        <f>'All Girls &amp; Descendants - Edit'!C264</f>
        <v>107da</v>
      </c>
      <c r="C265" t="str">
        <f>'All Girls &amp; Descendants - Edit'!D264</f>
        <v>ORR</v>
      </c>
      <c r="D265" t="str">
        <f>'All Girls &amp; Descendants - Edit'!E264</f>
        <v>Brandy</v>
      </c>
      <c r="E265" t="str">
        <f>IF('All Girls &amp; Descendants - Edit'!F264="","",'All Girls &amp; Descendants - Edit'!F264)</f>
        <v>Marie</v>
      </c>
      <c r="F265" t="str">
        <f>IF('All Girls &amp; Descendants - Edit'!G264="","",'All Girls &amp; Descendants - Edit'!G264)</f>
        <v/>
      </c>
      <c r="G265" t="str">
        <f>IF('All Girls &amp; Descendants - Edit'!H264="",D265,'All Girls &amp; Descendants - Edit'!H264)</f>
        <v>Brandy</v>
      </c>
      <c r="H265">
        <f>'All Girls &amp; Descendants - Edit'!I264</f>
        <v>1979</v>
      </c>
      <c r="I265" t="str">
        <f>'All Girls &amp; Descendants - Edit'!J264</f>
        <v/>
      </c>
      <c r="J265" s="101">
        <f>'All Girls &amp; Descendants - Edit'!K264</f>
        <v>0</v>
      </c>
      <c r="K265" s="3" t="str">
        <f>'All Girls &amp; Descendants - Edit'!L264</f>
        <v>13/03/1979</v>
      </c>
      <c r="L265" s="3">
        <f>'All Girls &amp; Descendants - Edit'!M264</f>
        <v>28927</v>
      </c>
      <c r="M265" s="3">
        <f>'All Girls &amp; Descendants - Edit'!N264</f>
        <v>0</v>
      </c>
      <c r="N265" s="3">
        <f>'All Girls &amp; Descendants - Edit'!O264</f>
        <v>0</v>
      </c>
      <c r="O265" s="3" t="str">
        <f>'All Girls &amp; Descendants - Edit'!P264</f>
        <v/>
      </c>
      <c r="P265" t="str">
        <f t="shared" si="65"/>
        <v>107da</v>
      </c>
      <c r="Q265" s="116">
        <f t="shared" si="66"/>
        <v>2</v>
      </c>
      <c r="R265" s="31" t="str">
        <f t="shared" si="67"/>
        <v>Brandy Marie  ORR</v>
      </c>
      <c r="S265" t="str">
        <f t="shared" si="68"/>
        <v>Brandy ORR (1979 - : #107da)</v>
      </c>
    </row>
    <row r="266" spans="1:19">
      <c r="A266">
        <f>'All Girls &amp; Descendants - Edit'!B265</f>
        <v>107</v>
      </c>
      <c r="B266" t="str">
        <f>'All Girls &amp; Descendants - Edit'!C265</f>
        <v>107db</v>
      </c>
      <c r="C266" t="str">
        <f>'All Girls &amp; Descendants - Edit'!D265</f>
        <v>ORR</v>
      </c>
      <c r="D266" t="str">
        <f>'All Girls &amp; Descendants - Edit'!E265</f>
        <v>Timothy</v>
      </c>
      <c r="E266" t="str">
        <f>IF('All Girls &amp; Descendants - Edit'!F265="","",'All Girls &amp; Descendants - Edit'!F265)</f>
        <v>James</v>
      </c>
      <c r="F266" t="str">
        <f>IF('All Girls &amp; Descendants - Edit'!G265="","",'All Girls &amp; Descendants - Edit'!G265)</f>
        <v/>
      </c>
      <c r="G266" t="str">
        <f>IF('All Girls &amp; Descendants - Edit'!H265="",D266,'All Girls &amp; Descendants - Edit'!H265)</f>
        <v>Timothy</v>
      </c>
      <c r="H266">
        <f>'All Girls &amp; Descendants - Edit'!I265</f>
        <v>1980</v>
      </c>
      <c r="I266" t="str">
        <f>'All Girls &amp; Descendants - Edit'!J265</f>
        <v/>
      </c>
      <c r="J266" s="101">
        <f>'All Girls &amp; Descendants - Edit'!K265</f>
        <v>0</v>
      </c>
      <c r="K266" s="3" t="str">
        <f>'All Girls &amp; Descendants - Edit'!L265</f>
        <v>26/05/1980</v>
      </c>
      <c r="L266" s="3">
        <f>'All Girls &amp; Descendants - Edit'!M265</f>
        <v>29367</v>
      </c>
      <c r="M266" s="3">
        <f>'All Girls &amp; Descendants - Edit'!N265</f>
        <v>0</v>
      </c>
      <c r="N266" s="3">
        <f>'All Girls &amp; Descendants - Edit'!O265</f>
        <v>0</v>
      </c>
      <c r="O266" s="3" t="str">
        <f>'All Girls &amp; Descendants - Edit'!P265</f>
        <v/>
      </c>
      <c r="P266" t="str">
        <f t="shared" si="65"/>
        <v>107db</v>
      </c>
      <c r="Q266" s="116">
        <f t="shared" si="66"/>
        <v>2</v>
      </c>
      <c r="R266" s="31" t="str">
        <f t="shared" si="67"/>
        <v>Timothy James  ORR</v>
      </c>
      <c r="S266" t="str">
        <f t="shared" si="68"/>
        <v>Timothy ORR (1980 - : #107db)</v>
      </c>
    </row>
    <row r="267" spans="1:19">
      <c r="A267">
        <f>'All Girls &amp; Descendants - Edit'!B266</f>
        <v>108</v>
      </c>
      <c r="B267" t="str">
        <f>'All Girls &amp; Descendants - Edit'!C266</f>
        <v>108aa</v>
      </c>
      <c r="C267" t="str">
        <f>'All Girls &amp; Descendants - Edit'!D266</f>
        <v>CARTER</v>
      </c>
      <c r="D267" t="str">
        <f>'All Girls &amp; Descendants - Edit'!E266</f>
        <v>Daniel</v>
      </c>
      <c r="E267" t="str">
        <f>IF('All Girls &amp; Descendants - Edit'!F266="","",'All Girls &amp; Descendants - Edit'!F266)</f>
        <v>John</v>
      </c>
      <c r="F267" t="str">
        <f>IF('All Girls &amp; Descendants - Edit'!G266="","",'All Girls &amp; Descendants - Edit'!G266)</f>
        <v/>
      </c>
      <c r="G267" t="str">
        <f>IF('All Girls &amp; Descendants - Edit'!H266="",D267,'All Girls &amp; Descendants - Edit'!H266)</f>
        <v>Daniel</v>
      </c>
      <c r="H267">
        <f>'All Girls &amp; Descendants - Edit'!I266</f>
        <v>1976</v>
      </c>
      <c r="I267" t="str">
        <f>'All Girls &amp; Descendants - Edit'!J266</f>
        <v/>
      </c>
      <c r="J267" s="101">
        <f>'All Girls &amp; Descendants - Edit'!K266</f>
        <v>0</v>
      </c>
      <c r="K267" s="3" t="str">
        <f>'All Girls &amp; Descendants - Edit'!L266</f>
        <v>22/09/1976</v>
      </c>
      <c r="L267" s="3">
        <f>'All Girls &amp; Descendants - Edit'!M266</f>
        <v>28025</v>
      </c>
      <c r="M267" s="3">
        <f>'All Girls &amp; Descendants - Edit'!N266</f>
        <v>0</v>
      </c>
      <c r="N267" s="3">
        <f>'All Girls &amp; Descendants - Edit'!O266</f>
        <v>0</v>
      </c>
      <c r="O267" s="3" t="str">
        <f>'All Girls &amp; Descendants - Edit'!P266</f>
        <v/>
      </c>
      <c r="P267" t="str">
        <f t="shared" si="65"/>
        <v>108aa</v>
      </c>
      <c r="Q267" s="116">
        <f t="shared" si="66"/>
        <v>2</v>
      </c>
      <c r="R267" s="31" t="str">
        <f t="shared" si="67"/>
        <v>Daniel John  CARTER</v>
      </c>
      <c r="S267" t="str">
        <f t="shared" si="68"/>
        <v>Daniel CARTER (1976 - : #108aa)</v>
      </c>
    </row>
    <row r="268" spans="1:19">
      <c r="A268">
        <f>'All Girls &amp; Descendants - Edit'!B267</f>
        <v>108</v>
      </c>
      <c r="B268" t="str">
        <f>'All Girls &amp; Descendants - Edit'!C267</f>
        <v>108ab</v>
      </c>
      <c r="C268" t="str">
        <f>'All Girls &amp; Descendants - Edit'!D267</f>
        <v>CARTER</v>
      </c>
      <c r="D268" t="str">
        <f>'All Girls &amp; Descendants - Edit'!E267</f>
        <v>Simon</v>
      </c>
      <c r="E268" t="str">
        <f>IF('All Girls &amp; Descendants - Edit'!F267="","",'All Girls &amp; Descendants - Edit'!F267)</f>
        <v>Peter</v>
      </c>
      <c r="F268" t="str">
        <f>IF('All Girls &amp; Descendants - Edit'!G267="","",'All Girls &amp; Descendants - Edit'!G267)</f>
        <v/>
      </c>
      <c r="G268" t="str">
        <f>IF('All Girls &amp; Descendants - Edit'!H267="",D268,'All Girls &amp; Descendants - Edit'!H267)</f>
        <v>Simon</v>
      </c>
      <c r="H268">
        <f>'All Girls &amp; Descendants - Edit'!I267</f>
        <v>1982</v>
      </c>
      <c r="I268" t="str">
        <f>'All Girls &amp; Descendants - Edit'!J267</f>
        <v/>
      </c>
      <c r="J268" s="101">
        <f>'All Girls &amp; Descendants - Edit'!K267</f>
        <v>0</v>
      </c>
      <c r="K268" s="3" t="str">
        <f>'All Girls &amp; Descendants - Edit'!L267</f>
        <v>28/05/1982</v>
      </c>
      <c r="L268" s="3">
        <f>'All Girls &amp; Descendants - Edit'!M267</f>
        <v>30099</v>
      </c>
      <c r="M268" s="3">
        <f>'All Girls &amp; Descendants - Edit'!N267</f>
        <v>0</v>
      </c>
      <c r="N268" s="3">
        <f>'All Girls &amp; Descendants - Edit'!O267</f>
        <v>0</v>
      </c>
      <c r="O268" s="3" t="str">
        <f>'All Girls &amp; Descendants - Edit'!P267</f>
        <v/>
      </c>
      <c r="P268" t="str">
        <f t="shared" si="65"/>
        <v>108ab</v>
      </c>
      <c r="Q268" s="116">
        <f t="shared" si="66"/>
        <v>2</v>
      </c>
      <c r="R268" s="31" t="str">
        <f t="shared" si="67"/>
        <v>Simon Peter  CARTER</v>
      </c>
      <c r="S268" t="str">
        <f t="shared" si="68"/>
        <v>Simon CARTER (1982 - : #108ab)</v>
      </c>
    </row>
    <row r="269" spans="1:19">
      <c r="A269">
        <f>'All Girls &amp; Descendants - Edit'!B268</f>
        <v>108</v>
      </c>
      <c r="B269" t="str">
        <f>'All Girls &amp; Descendants - Edit'!C268</f>
        <v>108ba</v>
      </c>
      <c r="C269" t="str">
        <f>'All Girls &amp; Descendants - Edit'!D268</f>
        <v>HOYLE</v>
      </c>
      <c r="D269" t="str">
        <f>'All Girls &amp; Descendants - Edit'!E268</f>
        <v>Matthew</v>
      </c>
      <c r="E269" t="str">
        <f>IF('All Girls &amp; Descendants - Edit'!F268="","",'All Girls &amp; Descendants - Edit'!F268)</f>
        <v>Christopher</v>
      </c>
      <c r="F269" t="str">
        <f>IF('All Girls &amp; Descendants - Edit'!G268="","",'All Girls &amp; Descendants - Edit'!G268)</f>
        <v>Richard</v>
      </c>
      <c r="G269" t="str">
        <f>IF('All Girls &amp; Descendants - Edit'!H268="",D269,'All Girls &amp; Descendants - Edit'!H268)</f>
        <v>Matthew</v>
      </c>
      <c r="H269">
        <f>'All Girls &amp; Descendants - Edit'!I268</f>
        <v>1982</v>
      </c>
      <c r="I269" t="str">
        <f>'All Girls &amp; Descendants - Edit'!J268</f>
        <v/>
      </c>
      <c r="J269" s="101">
        <f>'All Girls &amp; Descendants - Edit'!K268</f>
        <v>0</v>
      </c>
      <c r="K269" s="3" t="str">
        <f>'All Girls &amp; Descendants - Edit'!L268</f>
        <v>31/05/1982</v>
      </c>
      <c r="L269" s="3">
        <f>'All Girls &amp; Descendants - Edit'!M268</f>
        <v>30102</v>
      </c>
      <c r="M269" s="3">
        <f>'All Girls &amp; Descendants - Edit'!N268</f>
        <v>0</v>
      </c>
      <c r="N269" s="3">
        <f>'All Girls &amp; Descendants - Edit'!O268</f>
        <v>0</v>
      </c>
      <c r="O269" s="3" t="str">
        <f>'All Girls &amp; Descendants - Edit'!P268</f>
        <v/>
      </c>
      <c r="P269" t="str">
        <f t="shared" si="65"/>
        <v>108ba</v>
      </c>
      <c r="Q269" s="116">
        <f t="shared" si="66"/>
        <v>2</v>
      </c>
      <c r="R269" s="31" t="str">
        <f t="shared" si="67"/>
        <v>Matthew Christopher Richard HOYLE</v>
      </c>
      <c r="S269" t="str">
        <f t="shared" si="68"/>
        <v>Matthew HOYLE (1982 - : #108ba)</v>
      </c>
    </row>
    <row r="270" spans="1:19">
      <c r="A270">
        <f>'All Girls &amp; Descendants - Edit'!B269</f>
        <v>108</v>
      </c>
      <c r="B270" t="str">
        <f>'All Girls &amp; Descendants - Edit'!C269</f>
        <v>108bb</v>
      </c>
      <c r="C270" t="str">
        <f>'All Girls &amp; Descendants - Edit'!D269</f>
        <v>HOYLE</v>
      </c>
      <c r="D270" t="str">
        <f>'All Girls &amp; Descendants - Edit'!E269</f>
        <v>Darren</v>
      </c>
      <c r="E270" t="str">
        <f>IF('All Girls &amp; Descendants - Edit'!F269="","",'All Girls &amp; Descendants - Edit'!F269)</f>
        <v>Andrew</v>
      </c>
      <c r="F270" t="str">
        <f>IF('All Girls &amp; Descendants - Edit'!G269="","",'All Girls &amp; Descendants - Edit'!G269)</f>
        <v/>
      </c>
      <c r="G270" t="str">
        <f>IF('All Girls &amp; Descendants - Edit'!H269="",D270,'All Girls &amp; Descendants - Edit'!H269)</f>
        <v>Darren</v>
      </c>
      <c r="H270">
        <f>'All Girls &amp; Descendants - Edit'!I269</f>
        <v>1985</v>
      </c>
      <c r="I270" t="str">
        <f>'All Girls &amp; Descendants - Edit'!J269</f>
        <v/>
      </c>
      <c r="J270" s="101">
        <f>'All Girls &amp; Descendants - Edit'!K269</f>
        <v>0</v>
      </c>
      <c r="K270" s="3" t="str">
        <f>'All Girls &amp; Descendants - Edit'!L269</f>
        <v>28/08/1985</v>
      </c>
      <c r="L270" s="3">
        <f>'All Girls &amp; Descendants - Edit'!M269</f>
        <v>31287</v>
      </c>
      <c r="M270" s="3">
        <f>'All Girls &amp; Descendants - Edit'!N269</f>
        <v>0</v>
      </c>
      <c r="N270" s="3">
        <f>'All Girls &amp; Descendants - Edit'!O269</f>
        <v>0</v>
      </c>
      <c r="O270" s="3" t="str">
        <f>'All Girls &amp; Descendants - Edit'!P269</f>
        <v/>
      </c>
      <c r="P270" t="str">
        <f t="shared" si="65"/>
        <v>108bb</v>
      </c>
      <c r="Q270" s="116">
        <f t="shared" si="66"/>
        <v>2</v>
      </c>
      <c r="R270" s="31" t="str">
        <f t="shared" si="67"/>
        <v>Darren Andrew  HOYLE</v>
      </c>
      <c r="S270" t="str">
        <f t="shared" si="68"/>
        <v>Darren HOYLE (1985 - : #108bb)</v>
      </c>
    </row>
    <row r="271" spans="1:19">
      <c r="A271">
        <f>'All Girls &amp; Descendants - Edit'!B270</f>
        <v>108</v>
      </c>
      <c r="B271" t="str">
        <f>'All Girls &amp; Descendants - Edit'!C270</f>
        <v>108ca</v>
      </c>
      <c r="C271" t="str">
        <f>'All Girls &amp; Descendants - Edit'!D270</f>
        <v>HOYLE</v>
      </c>
      <c r="D271" t="str">
        <f>'All Girls &amp; Descendants - Edit'!E270</f>
        <v>Tanya</v>
      </c>
      <c r="E271" t="str">
        <f>IF('All Girls &amp; Descendants - Edit'!F270="","",'All Girls &amp; Descendants - Edit'!F270)</f>
        <v>Louise</v>
      </c>
      <c r="F271" t="str">
        <f>IF('All Girls &amp; Descendants - Edit'!G270="","",'All Girls &amp; Descendants - Edit'!G270)</f>
        <v/>
      </c>
      <c r="G271" t="str">
        <f>IF('All Girls &amp; Descendants - Edit'!H270="",D271,'All Girls &amp; Descendants - Edit'!H270)</f>
        <v>Tanya</v>
      </c>
      <c r="H271">
        <f>'All Girls &amp; Descendants - Edit'!I270</f>
        <v>1985</v>
      </c>
      <c r="I271" t="str">
        <f>'All Girls &amp; Descendants - Edit'!J270</f>
        <v/>
      </c>
      <c r="J271" s="101">
        <f>'All Girls &amp; Descendants - Edit'!K270</f>
        <v>0</v>
      </c>
      <c r="K271" s="3" t="str">
        <f>'All Girls &amp; Descendants - Edit'!L270</f>
        <v>14/11/1985</v>
      </c>
      <c r="L271" s="3">
        <f>'All Girls &amp; Descendants - Edit'!M270</f>
        <v>31365</v>
      </c>
      <c r="M271" s="3">
        <f>'All Girls &amp; Descendants - Edit'!N270</f>
        <v>0</v>
      </c>
      <c r="N271" s="3">
        <f>'All Girls &amp; Descendants - Edit'!O270</f>
        <v>0</v>
      </c>
      <c r="O271" s="3" t="str">
        <f>'All Girls &amp; Descendants - Edit'!P270</f>
        <v/>
      </c>
      <c r="P271" t="str">
        <f t="shared" si="65"/>
        <v>108ca</v>
      </c>
      <c r="Q271" s="116">
        <f t="shared" si="66"/>
        <v>2</v>
      </c>
      <c r="R271" s="31" t="str">
        <f t="shared" si="67"/>
        <v>Tanya Louise  HOYLE</v>
      </c>
      <c r="S271" t="str">
        <f t="shared" si="68"/>
        <v>Tanya HOYLE (1985 - : #108ca)</v>
      </c>
    </row>
    <row r="272" spans="1:19">
      <c r="A272">
        <f>'All Girls &amp; Descendants - Edit'!B271</f>
        <v>109</v>
      </c>
      <c r="B272" t="str">
        <f>'All Girls &amp; Descendants - Edit'!C271</f>
        <v>109ba</v>
      </c>
      <c r="C272" t="str">
        <f>'All Girls &amp; Descendants - Edit'!D271</f>
        <v>WALTON</v>
      </c>
      <c r="D272" t="str">
        <f>'All Girls &amp; Descendants - Edit'!E271</f>
        <v>Toby</v>
      </c>
      <c r="E272" t="str">
        <f>IF('All Girls &amp; Descendants - Edit'!F271="","",'All Girls &amp; Descendants - Edit'!F271)</f>
        <v>Chui</v>
      </c>
      <c r="F272" t="str">
        <f>IF('All Girls &amp; Descendants - Edit'!G271="","",'All Girls &amp; Descendants - Edit'!G271)</f>
        <v xml:space="preserve">Bao </v>
      </c>
      <c r="G272" t="str">
        <f>IF('All Girls &amp; Descendants - Edit'!H271="",D272,'All Girls &amp; Descendants - Edit'!H271)</f>
        <v>Toby</v>
      </c>
      <c r="H272">
        <f>'All Girls &amp; Descendants - Edit'!I271</f>
        <v>2008</v>
      </c>
      <c r="I272" t="str">
        <f>'All Girls &amp; Descendants - Edit'!J271</f>
        <v/>
      </c>
      <c r="J272" s="101">
        <f>'All Girls &amp; Descendants - Edit'!K271</f>
        <v>0</v>
      </c>
      <c r="K272" s="3" t="str">
        <f>'All Girls &amp; Descendants - Edit'!L271</f>
        <v>29/03/2008</v>
      </c>
      <c r="L272" s="3">
        <f>'All Girls &amp; Descendants - Edit'!M271</f>
        <v>39536</v>
      </c>
      <c r="M272" s="3">
        <f>'All Girls &amp; Descendants - Edit'!N271</f>
        <v>0</v>
      </c>
      <c r="N272" s="3">
        <f>'All Girls &amp; Descendants - Edit'!O271</f>
        <v>0</v>
      </c>
      <c r="O272" s="3">
        <f>'All Girls &amp; Descendants - Edit'!P271</f>
        <v>0</v>
      </c>
      <c r="P272" t="str">
        <f t="shared" si="65"/>
        <v>109ba</v>
      </c>
      <c r="Q272" s="116">
        <f t="shared" si="66"/>
        <v>2</v>
      </c>
      <c r="R272" s="31" t="str">
        <f t="shared" si="67"/>
        <v>Toby Chui Bao  WALTON</v>
      </c>
      <c r="S272" t="str">
        <f t="shared" si="68"/>
        <v>Toby WALTON (2008 - : #109ba)</v>
      </c>
    </row>
    <row r="273" spans="1:19">
      <c r="A273">
        <f>'All Girls &amp; Descendants - Edit'!B272</f>
        <v>109</v>
      </c>
      <c r="B273" t="str">
        <f>'All Girls &amp; Descendants - Edit'!C272</f>
        <v>109bb</v>
      </c>
      <c r="C273" t="str">
        <f>'All Girls &amp; Descendants - Edit'!D272</f>
        <v>WALTON</v>
      </c>
      <c r="D273" t="str">
        <f>'All Girls &amp; Descendants - Edit'!E272</f>
        <v>Leo</v>
      </c>
      <c r="E273" t="str">
        <f>IF('All Girls &amp; Descendants - Edit'!F272="","",'All Girls &amp; Descendants - Edit'!F272)</f>
        <v>Giap</v>
      </c>
      <c r="F273" t="str">
        <f>IF('All Girls &amp; Descendants - Edit'!G272="","",'All Girls &amp; Descendants - Edit'!G272)</f>
        <v/>
      </c>
      <c r="G273" t="str">
        <f>IF('All Girls &amp; Descendants - Edit'!H272="",D273,'All Girls &amp; Descendants - Edit'!H272)</f>
        <v>Leo</v>
      </c>
      <c r="H273">
        <f>'All Girls &amp; Descendants - Edit'!I272</f>
        <v>2012</v>
      </c>
      <c r="I273" t="str">
        <f>'All Girls &amp; Descendants - Edit'!J272</f>
        <v/>
      </c>
      <c r="J273" s="101">
        <f>'All Girls &amp; Descendants - Edit'!K272</f>
        <v>0</v>
      </c>
      <c r="K273" s="3" t="str">
        <f>'All Girls &amp; Descendants - Edit'!L272</f>
        <v>30/04/2012</v>
      </c>
      <c r="L273" s="3">
        <f>'All Girls &amp; Descendants - Edit'!M272</f>
        <v>41029</v>
      </c>
      <c r="M273" s="3">
        <f>'All Girls &amp; Descendants - Edit'!N272</f>
        <v>0</v>
      </c>
      <c r="N273" s="3">
        <f>'All Girls &amp; Descendants - Edit'!O272</f>
        <v>0</v>
      </c>
      <c r="O273" s="3">
        <f>'All Girls &amp; Descendants - Edit'!P272</f>
        <v>0</v>
      </c>
      <c r="P273" t="str">
        <f t="shared" si="65"/>
        <v>109bb</v>
      </c>
      <c r="Q273" s="116">
        <f t="shared" si="66"/>
        <v>2</v>
      </c>
      <c r="R273" s="31" t="str">
        <f t="shared" si="67"/>
        <v>Leo Giap  WALTON</v>
      </c>
      <c r="S273" t="str">
        <f t="shared" si="68"/>
        <v>Leo WALTON (2012 - : #109bb)</v>
      </c>
    </row>
    <row r="274" spans="1:19">
      <c r="A274">
        <f>'All Girls &amp; Descendants - Edit'!B273</f>
        <v>109</v>
      </c>
      <c r="B274" t="str">
        <f>'All Girls &amp; Descendants - Edit'!C273</f>
        <v>109bc</v>
      </c>
      <c r="C274" t="str">
        <f>'All Girls &amp; Descendants - Edit'!D273</f>
        <v>WALTON</v>
      </c>
      <c r="D274" t="str">
        <f>'All Girls &amp; Descendants - Edit'!E273</f>
        <v>Benjamin</v>
      </c>
      <c r="E274" t="str">
        <f>IF('All Girls &amp; Descendants - Edit'!F273="","",'All Girls &amp; Descendants - Edit'!F273)</f>
        <v>Hai</v>
      </c>
      <c r="F274" t="str">
        <f>IF('All Girls &amp; Descendants - Edit'!G273="","",'All Girls &amp; Descendants - Edit'!G273)</f>
        <v>Nam</v>
      </c>
      <c r="G274" t="str">
        <f>IF('All Girls &amp; Descendants - Edit'!H273="",D274,'All Girls &amp; Descendants - Edit'!H273)</f>
        <v>Benjamin</v>
      </c>
      <c r="H274">
        <f>'All Girls &amp; Descendants - Edit'!I273</f>
        <v>2013</v>
      </c>
      <c r="I274" t="str">
        <f>'All Girls &amp; Descendants - Edit'!J273</f>
        <v/>
      </c>
      <c r="J274" s="101">
        <f>'All Girls &amp; Descendants - Edit'!K273</f>
        <v>0</v>
      </c>
      <c r="K274" s="3" t="str">
        <f>'All Girls &amp; Descendants - Edit'!L273</f>
        <v>17/10/2013</v>
      </c>
      <c r="L274" s="3">
        <f>'All Girls &amp; Descendants - Edit'!M273</f>
        <v>41564</v>
      </c>
      <c r="M274" s="3">
        <f>'All Girls &amp; Descendants - Edit'!N273</f>
        <v>0</v>
      </c>
      <c r="N274" s="3">
        <f>'All Girls &amp; Descendants - Edit'!O273</f>
        <v>0</v>
      </c>
      <c r="O274" s="3">
        <f>'All Girls &amp; Descendants - Edit'!P273</f>
        <v>0</v>
      </c>
      <c r="P274" t="str">
        <f t="shared" si="65"/>
        <v>109bc</v>
      </c>
      <c r="Q274" s="116">
        <f t="shared" si="66"/>
        <v>2</v>
      </c>
      <c r="R274" s="31" t="str">
        <f t="shared" si="67"/>
        <v>Benjamin Hai Nam WALTON</v>
      </c>
      <c r="S274" t="str">
        <f t="shared" si="68"/>
        <v>Benjamin WALTON (2013 - : #109bc)</v>
      </c>
    </row>
    <row r="275" spans="1:19">
      <c r="A275">
        <f>'All Girls &amp; Descendants - Edit'!B274</f>
        <v>109</v>
      </c>
      <c r="B275" t="str">
        <f>'All Girls &amp; Descendants - Edit'!C274</f>
        <v>109bd</v>
      </c>
      <c r="C275" t="str">
        <f>'All Girls &amp; Descendants - Edit'!D274</f>
        <v>WALTON</v>
      </c>
      <c r="D275" t="str">
        <f>'All Girls &amp; Descendants - Edit'!E274</f>
        <v>Isabel</v>
      </c>
      <c r="E275" t="str">
        <f>IF('All Girls &amp; Descendants - Edit'!F274="","",'All Girls &amp; Descendants - Edit'!F274)</f>
        <v>Xuyen</v>
      </c>
      <c r="F275" t="str">
        <f>IF('All Girls &amp; Descendants - Edit'!G274="","",'All Girls &amp; Descendants - Edit'!G274)</f>
        <v>Mai</v>
      </c>
      <c r="G275" t="str">
        <f>IF('All Girls &amp; Descendants - Edit'!H274="",D275,'All Girls &amp; Descendants - Edit'!H274)</f>
        <v>Isabel</v>
      </c>
      <c r="H275">
        <f>'All Girls &amp; Descendants - Edit'!I274</f>
        <v>2016</v>
      </c>
      <c r="I275" t="str">
        <f>'All Girls &amp; Descendants - Edit'!J274</f>
        <v/>
      </c>
      <c r="J275" s="101">
        <f>'All Girls &amp; Descendants - Edit'!K274</f>
        <v>0</v>
      </c>
      <c r="K275" s="3" t="str">
        <f>'All Girls &amp; Descendants - Edit'!L274</f>
        <v>25/01/2016</v>
      </c>
      <c r="L275" s="3">
        <f>'All Girls &amp; Descendants - Edit'!M274</f>
        <v>42394</v>
      </c>
      <c r="M275" s="3">
        <f>'All Girls &amp; Descendants - Edit'!N274</f>
        <v>0</v>
      </c>
      <c r="N275" s="3">
        <f>'All Girls &amp; Descendants - Edit'!O274</f>
        <v>0</v>
      </c>
      <c r="O275" s="3">
        <f>'All Girls &amp; Descendants - Edit'!P274</f>
        <v>0</v>
      </c>
      <c r="P275" t="str">
        <f t="shared" si="65"/>
        <v>109bd</v>
      </c>
      <c r="Q275" s="116">
        <f t="shared" si="66"/>
        <v>2</v>
      </c>
      <c r="R275" s="31" t="str">
        <f t="shared" si="67"/>
        <v>Isabel Xuyen Mai WALTON</v>
      </c>
      <c r="S275" t="str">
        <f t="shared" si="68"/>
        <v>Isabel WALTON (2016 - : #109bd)</v>
      </c>
    </row>
    <row r="276" spans="1:19">
      <c r="A276">
        <f>'All Girls &amp; Descendants - Edit'!B275</f>
        <v>110</v>
      </c>
      <c r="B276" t="str">
        <f>'All Girls &amp; Descendants - Edit'!C275</f>
        <v>110aa</v>
      </c>
      <c r="C276" t="str">
        <f>'All Girls &amp; Descendants - Edit'!D275</f>
        <v>BOYCE</v>
      </c>
      <c r="D276" t="str">
        <f>'All Girls &amp; Descendants - Edit'!E275</f>
        <v>Christopher</v>
      </c>
      <c r="E276" t="str">
        <f>IF('All Girls &amp; Descendants - Edit'!F275="","",'All Girls &amp; Descendants - Edit'!F275)</f>
        <v>Drummond</v>
      </c>
      <c r="F276" t="str">
        <f>IF('All Girls &amp; Descendants - Edit'!G275="","",'All Girls &amp; Descendants - Edit'!G275)</f>
        <v/>
      </c>
      <c r="G276" t="str">
        <f>IF('All Girls &amp; Descendants - Edit'!H275="",D276,'All Girls &amp; Descendants - Edit'!H275)</f>
        <v>Christopher</v>
      </c>
      <c r="H276">
        <f>'All Girls &amp; Descendants - Edit'!I275</f>
        <v>1990</v>
      </c>
      <c r="I276" t="str">
        <f>'All Girls &amp; Descendants - Edit'!J275</f>
        <v/>
      </c>
      <c r="J276" s="101">
        <f>'All Girls &amp; Descendants - Edit'!K275</f>
        <v>0</v>
      </c>
      <c r="K276" s="3" t="str">
        <f>'All Girls &amp; Descendants - Edit'!L275</f>
        <v>08/01/1990</v>
      </c>
      <c r="L276" s="3">
        <f>'All Girls &amp; Descendants - Edit'!M275</f>
        <v>32881</v>
      </c>
      <c r="M276" s="3">
        <f>'All Girls &amp; Descendants - Edit'!N275</f>
        <v>0</v>
      </c>
      <c r="N276" s="3">
        <f>'All Girls &amp; Descendants - Edit'!O275</f>
        <v>0</v>
      </c>
      <c r="O276" s="3" t="str">
        <f>'All Girls &amp; Descendants - Edit'!P275</f>
        <v/>
      </c>
      <c r="P276" t="str">
        <f t="shared" si="65"/>
        <v>110aa</v>
      </c>
      <c r="Q276" s="116">
        <f t="shared" si="66"/>
        <v>2</v>
      </c>
      <c r="R276" s="31" t="str">
        <f t="shared" si="67"/>
        <v>Christopher Drummond  BOYCE</v>
      </c>
      <c r="S276" t="str">
        <f t="shared" si="68"/>
        <v>Christopher BOYCE (1990 - : #110aa)</v>
      </c>
    </row>
    <row r="277" spans="1:19">
      <c r="A277">
        <f>'All Girls &amp; Descendants - Edit'!B276</f>
        <v>110</v>
      </c>
      <c r="B277" t="str">
        <f>'All Girls &amp; Descendants - Edit'!C276</f>
        <v>110ab</v>
      </c>
      <c r="C277" t="str">
        <f>'All Girls &amp; Descendants - Edit'!D276</f>
        <v>BOYCE</v>
      </c>
      <c r="D277" t="str">
        <f>'All Girls &amp; Descendants - Edit'!E276</f>
        <v>Andrew</v>
      </c>
      <c r="E277" t="str">
        <f>IF('All Girls &amp; Descendants - Edit'!F276="","",'All Girls &amp; Descendants - Edit'!F276)</f>
        <v>Alexander</v>
      </c>
      <c r="F277" t="str">
        <f>IF('All Girls &amp; Descendants - Edit'!G276="","",'All Girls &amp; Descendants - Edit'!G276)</f>
        <v/>
      </c>
      <c r="G277" t="str">
        <f>IF('All Girls &amp; Descendants - Edit'!H276="",D277,'All Girls &amp; Descendants - Edit'!H276)</f>
        <v>Andrew</v>
      </c>
      <c r="H277">
        <f>'All Girls &amp; Descendants - Edit'!I276</f>
        <v>1991</v>
      </c>
      <c r="I277" t="str">
        <f>'All Girls &amp; Descendants - Edit'!J276</f>
        <v/>
      </c>
      <c r="J277" s="101">
        <f>'All Girls &amp; Descendants - Edit'!K276</f>
        <v>0</v>
      </c>
      <c r="K277" s="3" t="str">
        <f>'All Girls &amp; Descendants - Edit'!L276</f>
        <v>07/08/1991</v>
      </c>
      <c r="L277" s="3">
        <f>'All Girls &amp; Descendants - Edit'!M276</f>
        <v>33457</v>
      </c>
      <c r="M277" s="3">
        <f>'All Girls &amp; Descendants - Edit'!N276</f>
        <v>0</v>
      </c>
      <c r="N277" s="3">
        <f>'All Girls &amp; Descendants - Edit'!O276</f>
        <v>0</v>
      </c>
      <c r="O277" s="3" t="str">
        <f>'All Girls &amp; Descendants - Edit'!P276</f>
        <v/>
      </c>
      <c r="P277" t="str">
        <f t="shared" si="65"/>
        <v>110ab</v>
      </c>
      <c r="Q277" s="116">
        <f t="shared" si="66"/>
        <v>2</v>
      </c>
      <c r="R277" s="31" t="str">
        <f t="shared" si="67"/>
        <v>Andrew Alexander  BOYCE</v>
      </c>
      <c r="S277" t="str">
        <f t="shared" si="68"/>
        <v>Andrew BOYCE (1991 - : #110ab)</v>
      </c>
    </row>
    <row r="278" spans="1:19">
      <c r="A278">
        <f>'All Girls &amp; Descendants - Edit'!B277</f>
        <v>110</v>
      </c>
      <c r="B278" t="str">
        <f>'All Girls &amp; Descendants - Edit'!C277</f>
        <v>110ac</v>
      </c>
      <c r="C278" t="str">
        <f>'All Girls &amp; Descendants - Edit'!D277</f>
        <v>BOYCE</v>
      </c>
      <c r="D278" t="str">
        <f>'All Girls &amp; Descendants - Edit'!E277</f>
        <v>Robin</v>
      </c>
      <c r="E278" t="str">
        <f>IF('All Girls &amp; Descendants - Edit'!F277="","",'All Girls &amp; Descendants - Edit'!F277)</f>
        <v>Oscar</v>
      </c>
      <c r="F278" t="str">
        <f>IF('All Girls &amp; Descendants - Edit'!G277="","",'All Girls &amp; Descendants - Edit'!G277)</f>
        <v/>
      </c>
      <c r="G278" t="str">
        <f>IF('All Girls &amp; Descendants - Edit'!H277="",D278,'All Girls &amp; Descendants - Edit'!H277)</f>
        <v>Robin</v>
      </c>
      <c r="H278">
        <f>'All Girls &amp; Descendants - Edit'!I277</f>
        <v>1997</v>
      </c>
      <c r="I278">
        <f>'All Girls &amp; Descendants - Edit'!J277</f>
        <v>2019</v>
      </c>
      <c r="J278" s="101">
        <f>'All Girls &amp; Descendants - Edit'!K277</f>
        <v>0</v>
      </c>
      <c r="K278" s="3" t="str">
        <f>'All Girls &amp; Descendants - Edit'!L277</f>
        <v>24/09/1997</v>
      </c>
      <c r="L278" s="3">
        <f>'All Girls &amp; Descendants - Edit'!M277</f>
        <v>35697</v>
      </c>
      <c r="M278" s="3">
        <f>'All Girls &amp; Descendants - Edit'!N277</f>
        <v>0</v>
      </c>
      <c r="N278" s="3">
        <f>'All Girls &amp; Descendants - Edit'!O277</f>
        <v>43623</v>
      </c>
      <c r="O278" s="3" t="str">
        <f>'All Girls &amp; Descendants - Edit'!P277</f>
        <v>07/06/2019</v>
      </c>
      <c r="P278" t="str">
        <f t="shared" si="65"/>
        <v>110ac</v>
      </c>
      <c r="Q278" s="116">
        <f t="shared" si="66"/>
        <v>2</v>
      </c>
      <c r="R278" s="31" t="str">
        <f t="shared" si="67"/>
        <v>Robin Oscar  BOYCE</v>
      </c>
      <c r="S278" t="str">
        <f t="shared" si="68"/>
        <v>Robin BOYCE (1997 - 2019: #110ac)</v>
      </c>
    </row>
    <row r="279" spans="1:19">
      <c r="A279">
        <f>'All Girls &amp; Descendants - Edit'!B278</f>
        <v>110</v>
      </c>
      <c r="B279" t="str">
        <f>'All Girls &amp; Descendants - Edit'!C278</f>
        <v>110ca</v>
      </c>
      <c r="C279" t="str">
        <f>'All Girls &amp; Descendants - Edit'!D278</f>
        <v>BOYCE</v>
      </c>
      <c r="D279" t="str">
        <f>'All Girls &amp; Descendants - Edit'!E278</f>
        <v>Hannah</v>
      </c>
      <c r="E279" t="str">
        <f>IF('All Girls &amp; Descendants - Edit'!F278="","",'All Girls &amp; Descendants - Edit'!F278)</f>
        <v>Catherine</v>
      </c>
      <c r="F279" t="str">
        <f>IF('All Girls &amp; Descendants - Edit'!G278="","",'All Girls &amp; Descendants - Edit'!G278)</f>
        <v/>
      </c>
      <c r="G279" t="str">
        <f>IF('All Girls &amp; Descendants - Edit'!H278="",D279,'All Girls &amp; Descendants - Edit'!H278)</f>
        <v>Hannah</v>
      </c>
      <c r="H279">
        <f>'All Girls &amp; Descendants - Edit'!I278</f>
        <v>2011</v>
      </c>
      <c r="I279" t="str">
        <f>'All Girls &amp; Descendants - Edit'!J278</f>
        <v/>
      </c>
      <c r="J279" s="101">
        <f>'All Girls &amp; Descendants - Edit'!K278</f>
        <v>0</v>
      </c>
      <c r="K279" s="3" t="str">
        <f>'All Girls &amp; Descendants - Edit'!L278</f>
        <v>15/10/2011</v>
      </c>
      <c r="L279" s="3">
        <f>'All Girls &amp; Descendants - Edit'!M278</f>
        <v>40831</v>
      </c>
      <c r="M279" s="3">
        <f>'All Girls &amp; Descendants - Edit'!N278</f>
        <v>0</v>
      </c>
      <c r="N279" s="3">
        <f>'All Girls &amp; Descendants - Edit'!O278</f>
        <v>0</v>
      </c>
      <c r="O279" s="3">
        <f>'All Girls &amp; Descendants - Edit'!P278</f>
        <v>0</v>
      </c>
      <c r="P279" t="str">
        <f t="shared" si="65"/>
        <v>110ca</v>
      </c>
      <c r="Q279" s="116">
        <f t="shared" si="66"/>
        <v>2</v>
      </c>
      <c r="R279" s="31" t="str">
        <f t="shared" si="67"/>
        <v>Hannah Catherine  BOYCE</v>
      </c>
      <c r="S279" t="str">
        <f t="shared" si="68"/>
        <v>Hannah BOYCE (2011 - : #110ca)</v>
      </c>
    </row>
    <row r="280" spans="1:19">
      <c r="A280">
        <f>'All Girls &amp; Descendants - Edit'!B279</f>
        <v>110</v>
      </c>
      <c r="B280" t="str">
        <f>'All Girls &amp; Descendants - Edit'!C279</f>
        <v>110da</v>
      </c>
      <c r="C280" t="str">
        <f>'All Girls &amp; Descendants - Edit'!D279</f>
        <v>BOYCE de CASTRO</v>
      </c>
      <c r="D280" t="str">
        <f>'All Girls &amp; Descendants - Edit'!E279</f>
        <v>Karina</v>
      </c>
      <c r="E280" t="str">
        <f>IF('All Girls &amp; Descendants - Edit'!F279="","",'All Girls &amp; Descendants - Edit'!F279)</f>
        <v>Boyce</v>
      </c>
      <c r="F280" t="str">
        <f>IF('All Girls &amp; Descendants - Edit'!G279="","",'All Girls &amp; Descendants - Edit'!G279)</f>
        <v/>
      </c>
      <c r="G280" t="str">
        <f>IF('All Girls &amp; Descendants - Edit'!H279="",D280,'All Girls &amp; Descendants - Edit'!H279)</f>
        <v>Karina</v>
      </c>
      <c r="H280">
        <f>'All Girls &amp; Descendants - Edit'!I279</f>
        <v>1999</v>
      </c>
      <c r="I280" t="str">
        <f>'All Girls &amp; Descendants - Edit'!J279</f>
        <v/>
      </c>
      <c r="J280" s="101">
        <f>'All Girls &amp; Descendants - Edit'!K279</f>
        <v>0</v>
      </c>
      <c r="K280" s="3" t="str">
        <f>'All Girls &amp; Descendants - Edit'!L279</f>
        <v>11/02/1999</v>
      </c>
      <c r="L280" s="3">
        <f>'All Girls &amp; Descendants - Edit'!M279</f>
        <v>36202</v>
      </c>
      <c r="M280" s="3">
        <f>'All Girls &amp; Descendants - Edit'!N279</f>
        <v>0</v>
      </c>
      <c r="N280" s="3">
        <f>'All Girls &amp; Descendants - Edit'!O279</f>
        <v>0</v>
      </c>
      <c r="O280" s="3" t="str">
        <f>'All Girls &amp; Descendants - Edit'!P279</f>
        <v/>
      </c>
      <c r="P280" t="str">
        <f t="shared" si="65"/>
        <v>110da</v>
      </c>
      <c r="Q280" s="116">
        <f t="shared" si="66"/>
        <v>2</v>
      </c>
      <c r="R280" s="31" t="str">
        <f t="shared" si="67"/>
        <v>Karina Boyce  BOYCE de CASTRO</v>
      </c>
      <c r="S280" t="str">
        <f t="shared" si="68"/>
        <v>Karina BOYCE de CASTRO (1999 - : #110da)</v>
      </c>
    </row>
    <row r="281" spans="1:19">
      <c r="A281">
        <f>'All Girls &amp; Descendants - Edit'!B280</f>
        <v>110</v>
      </c>
      <c r="B281" t="str">
        <f>'All Girls &amp; Descendants - Edit'!C280</f>
        <v>110db</v>
      </c>
      <c r="C281" t="str">
        <f>'All Girls &amp; Descendants - Edit'!D280</f>
        <v>BOYCE de CASTRO</v>
      </c>
      <c r="D281" t="str">
        <f>'All Girls &amp; Descendants - Edit'!E280</f>
        <v>Matheus</v>
      </c>
      <c r="E281" t="str">
        <f>IF('All Girls &amp; Descendants - Edit'!F280="","",'All Girls &amp; Descendants - Edit'!F280)</f>
        <v>Drummond</v>
      </c>
      <c r="F281" t="str">
        <f>IF('All Girls &amp; Descendants - Edit'!G280="","",'All Girls &amp; Descendants - Edit'!G280)</f>
        <v/>
      </c>
      <c r="G281" t="str">
        <f>IF('All Girls &amp; Descendants - Edit'!H280="",D281,'All Girls &amp; Descendants - Edit'!H280)</f>
        <v>Matheus</v>
      </c>
      <c r="H281">
        <f>'All Girls &amp; Descendants - Edit'!I280</f>
        <v>2002</v>
      </c>
      <c r="I281">
        <f>'All Girls &amp; Descendants - Edit'!J280</f>
        <v>0</v>
      </c>
      <c r="J281" s="101">
        <f>'All Girls &amp; Descendants - Edit'!K280</f>
        <v>0</v>
      </c>
      <c r="K281" s="3" t="str">
        <f>'All Girls &amp; Descendants - Edit'!L280</f>
        <v>18/10/2002</v>
      </c>
      <c r="L281" s="3">
        <f>'All Girls &amp; Descendants - Edit'!M280</f>
        <v>37547</v>
      </c>
      <c r="M281" s="3">
        <f>'All Girls &amp; Descendants - Edit'!N280</f>
        <v>0</v>
      </c>
      <c r="N281" s="3">
        <f>'All Girls &amp; Descendants - Edit'!O280</f>
        <v>0</v>
      </c>
      <c r="O281" s="3">
        <f>'All Girls &amp; Descendants - Edit'!P280</f>
        <v>0</v>
      </c>
      <c r="P281" t="str">
        <f t="shared" si="65"/>
        <v>110db</v>
      </c>
      <c r="Q281" s="116">
        <f t="shared" si="66"/>
        <v>2</v>
      </c>
      <c r="R281" s="31" t="str">
        <f t="shared" si="67"/>
        <v>Matheus Drummond  BOYCE de CASTRO</v>
      </c>
      <c r="S281" t="str">
        <f t="shared" si="68"/>
        <v>Matheus BOYCE de CASTRO (2002 - 0: #110db)</v>
      </c>
    </row>
    <row r="282" spans="1:19">
      <c r="A282">
        <f>'All Girls &amp; Descendants - Edit'!B281</f>
        <v>115</v>
      </c>
      <c r="B282" t="str">
        <f>'All Girls &amp; Descendants - Edit'!C281</f>
        <v>115aa</v>
      </c>
      <c r="C282" t="str">
        <f>'All Girls &amp; Descendants - Edit'!D281</f>
        <v>CATOR</v>
      </c>
      <c r="D282" t="str">
        <f>'All Girls &amp; Descendants - Edit'!E281</f>
        <v>Benjamin</v>
      </c>
      <c r="E282" t="str">
        <f>IF('All Girls &amp; Descendants - Edit'!F281="","",'All Girls &amp; Descendants - Edit'!F281)</f>
        <v/>
      </c>
      <c r="F282" t="str">
        <f>IF('All Girls &amp; Descendants - Edit'!G281="","",'All Girls &amp; Descendants - Edit'!G281)</f>
        <v/>
      </c>
      <c r="G282" t="str">
        <f>IF('All Girls &amp; Descendants - Edit'!H281="",D282,'All Girls &amp; Descendants - Edit'!H281)</f>
        <v>Benjamin</v>
      </c>
      <c r="H282">
        <f>'All Girls &amp; Descendants - Edit'!I281</f>
        <v>1988</v>
      </c>
      <c r="I282" t="str">
        <f>'All Girls &amp; Descendants - Edit'!J281</f>
        <v/>
      </c>
      <c r="J282" s="101">
        <f>'All Girls &amp; Descendants - Edit'!K281</f>
        <v>0</v>
      </c>
      <c r="K282" s="3" t="str">
        <f>'All Girls &amp; Descendants - Edit'!L281</f>
        <v>17/10/1988</v>
      </c>
      <c r="L282" s="3">
        <f>'All Girls &amp; Descendants - Edit'!M281</f>
        <v>32433</v>
      </c>
      <c r="M282" s="3">
        <f>'All Girls &amp; Descendants - Edit'!N281</f>
        <v>0</v>
      </c>
      <c r="N282" s="3">
        <f>'All Girls &amp; Descendants - Edit'!O281</f>
        <v>0</v>
      </c>
      <c r="O282" s="3" t="str">
        <f>'All Girls &amp; Descendants - Edit'!P281</f>
        <v/>
      </c>
      <c r="P282" t="str">
        <f t="shared" si="65"/>
        <v>115aa</v>
      </c>
      <c r="Q282" s="116">
        <f t="shared" si="66"/>
        <v>2</v>
      </c>
      <c r="R282" s="31" t="str">
        <f t="shared" si="67"/>
        <v>Benjamin   CATOR</v>
      </c>
      <c r="S282" t="str">
        <f t="shared" si="68"/>
        <v>Benjamin CATOR (1988 - : #115aa)</v>
      </c>
    </row>
    <row r="283" spans="1:19">
      <c r="A283">
        <f>'All Girls &amp; Descendants - Edit'!B282</f>
        <v>115</v>
      </c>
      <c r="B283" t="str">
        <f>'All Girls &amp; Descendants - Edit'!C282</f>
        <v>115ab</v>
      </c>
      <c r="C283" t="str">
        <f>'All Girls &amp; Descendants - Edit'!D282</f>
        <v>CATOR</v>
      </c>
      <c r="D283" t="str">
        <f>'All Girls &amp; Descendants - Edit'!E282</f>
        <v>Lara</v>
      </c>
      <c r="E283" t="str">
        <f>IF('All Girls &amp; Descendants - Edit'!F282="","",'All Girls &amp; Descendants - Edit'!F282)</f>
        <v/>
      </c>
      <c r="F283" t="str">
        <f>IF('All Girls &amp; Descendants - Edit'!G282="","",'All Girls &amp; Descendants - Edit'!G282)</f>
        <v/>
      </c>
      <c r="G283" t="str">
        <f>IF('All Girls &amp; Descendants - Edit'!H282="",D283,'All Girls &amp; Descendants - Edit'!H282)</f>
        <v>Lara</v>
      </c>
      <c r="H283">
        <f>'All Girls &amp; Descendants - Edit'!I282</f>
        <v>1992</v>
      </c>
      <c r="I283" t="str">
        <f>'All Girls &amp; Descendants - Edit'!J282</f>
        <v/>
      </c>
      <c r="J283" s="101">
        <f>'All Girls &amp; Descendants - Edit'!K282</f>
        <v>0</v>
      </c>
      <c r="K283" s="3" t="str">
        <f>'All Girls &amp; Descendants - Edit'!L282</f>
        <v>11/09/1992</v>
      </c>
      <c r="L283" s="3">
        <f>'All Girls &amp; Descendants - Edit'!M282</f>
        <v>33858</v>
      </c>
      <c r="M283" s="3">
        <f>'All Girls &amp; Descendants - Edit'!N282</f>
        <v>0</v>
      </c>
      <c r="N283" s="3">
        <f>'All Girls &amp; Descendants - Edit'!O282</f>
        <v>0</v>
      </c>
      <c r="O283" s="3" t="str">
        <f>'All Girls &amp; Descendants - Edit'!P282</f>
        <v/>
      </c>
      <c r="P283" t="str">
        <f t="shared" si="65"/>
        <v>115ab</v>
      </c>
      <c r="Q283" s="116">
        <f t="shared" si="66"/>
        <v>2</v>
      </c>
      <c r="R283" s="31" t="str">
        <f t="shared" si="67"/>
        <v>Lara   CATOR</v>
      </c>
      <c r="S283" t="str">
        <f t="shared" si="68"/>
        <v>Lara CATOR (1992 - : #115ab)</v>
      </c>
    </row>
    <row r="284" spans="1:19">
      <c r="A284">
        <f>'All Girls &amp; Descendants - Edit'!B283</f>
        <v>115</v>
      </c>
      <c r="B284" t="str">
        <f>'All Girls &amp; Descendants - Edit'!C283</f>
        <v>115ac</v>
      </c>
      <c r="C284" t="str">
        <f>'All Girls &amp; Descendants - Edit'!D283</f>
        <v>CATOR</v>
      </c>
      <c r="D284" t="str">
        <f>'All Girls &amp; Descendants - Edit'!E283</f>
        <v>Oscar</v>
      </c>
      <c r="E284" t="str">
        <f>IF('All Girls &amp; Descendants - Edit'!F283="","",'All Girls &amp; Descendants - Edit'!F283)</f>
        <v/>
      </c>
      <c r="F284" t="str">
        <f>IF('All Girls &amp; Descendants - Edit'!G283="","",'All Girls &amp; Descendants - Edit'!G283)</f>
        <v/>
      </c>
      <c r="G284" t="str">
        <f>IF('All Girls &amp; Descendants - Edit'!H283="",D284,'All Girls &amp; Descendants - Edit'!H283)</f>
        <v>Oscar</v>
      </c>
      <c r="H284">
        <f>'All Girls &amp; Descendants - Edit'!I283</f>
        <v>1996</v>
      </c>
      <c r="I284" t="str">
        <f>'All Girls &amp; Descendants - Edit'!J283</f>
        <v/>
      </c>
      <c r="J284" s="101">
        <f>'All Girls &amp; Descendants - Edit'!K283</f>
        <v>0</v>
      </c>
      <c r="K284" s="3" t="str">
        <f>'All Girls &amp; Descendants - Edit'!L283</f>
        <v>28/02/1996</v>
      </c>
      <c r="L284" s="3">
        <f>'All Girls &amp; Descendants - Edit'!M283</f>
        <v>35123</v>
      </c>
      <c r="M284" s="3">
        <f>'All Girls &amp; Descendants - Edit'!N283</f>
        <v>0</v>
      </c>
      <c r="N284" s="3">
        <f>'All Girls &amp; Descendants - Edit'!O283</f>
        <v>0</v>
      </c>
      <c r="O284" s="3" t="str">
        <f>'All Girls &amp; Descendants - Edit'!P283</f>
        <v/>
      </c>
      <c r="P284" t="str">
        <f t="shared" si="65"/>
        <v>115ac</v>
      </c>
      <c r="Q284" s="116">
        <f t="shared" si="66"/>
        <v>2</v>
      </c>
      <c r="R284" s="31" t="str">
        <f t="shared" si="67"/>
        <v>Oscar   CATOR</v>
      </c>
      <c r="S284" t="str">
        <f t="shared" si="68"/>
        <v>Oscar CATOR (1996 - : #115ac)</v>
      </c>
    </row>
    <row r="285" spans="1:19">
      <c r="A285">
        <f>'All Girls &amp; Descendants - Edit'!B284</f>
        <v>115</v>
      </c>
      <c r="B285" t="str">
        <f>'All Girls &amp; Descendants - Edit'!C284</f>
        <v>115ba</v>
      </c>
      <c r="C285" t="str">
        <f>'All Girls &amp; Descendants - Edit'!D284</f>
        <v>SOAMES</v>
      </c>
      <c r="D285" t="str">
        <f>'All Girls &amp; Descendants - Edit'!E284</f>
        <v>Milo</v>
      </c>
      <c r="E285" t="str">
        <f>IF('All Girls &amp; Descendants - Edit'!F284="","",'All Girls &amp; Descendants - Edit'!F284)</f>
        <v/>
      </c>
      <c r="F285" t="str">
        <f>IF('All Girls &amp; Descendants - Edit'!G284="","",'All Girls &amp; Descendants - Edit'!G284)</f>
        <v/>
      </c>
      <c r="G285" t="str">
        <f>IF('All Girls &amp; Descendants - Edit'!H284="",D285,'All Girls &amp; Descendants - Edit'!H284)</f>
        <v>Milo</v>
      </c>
      <c r="H285">
        <f>'All Girls &amp; Descendants - Edit'!I284</f>
        <v>1995</v>
      </c>
      <c r="I285" t="str">
        <f>'All Girls &amp; Descendants - Edit'!J284</f>
        <v/>
      </c>
      <c r="J285" s="101">
        <f>'All Girls &amp; Descendants - Edit'!K284</f>
        <v>0</v>
      </c>
      <c r="K285" s="3" t="str">
        <f>'All Girls &amp; Descendants - Edit'!L284</f>
        <v>21/12/1995</v>
      </c>
      <c r="L285" s="3">
        <f>'All Girls &amp; Descendants - Edit'!M284</f>
        <v>35054</v>
      </c>
      <c r="M285" s="3">
        <f>'All Girls &amp; Descendants - Edit'!N284</f>
        <v>0</v>
      </c>
      <c r="N285" s="3">
        <f>'All Girls &amp; Descendants - Edit'!O284</f>
        <v>0</v>
      </c>
      <c r="O285" s="3" t="str">
        <f>'All Girls &amp; Descendants - Edit'!P284</f>
        <v/>
      </c>
      <c r="P285" t="str">
        <f t="shared" si="65"/>
        <v>115ba</v>
      </c>
      <c r="Q285" s="116">
        <f t="shared" si="66"/>
        <v>2</v>
      </c>
      <c r="R285" s="31" t="str">
        <f t="shared" si="67"/>
        <v>Milo   SOAMES</v>
      </c>
      <c r="S285" t="str">
        <f t="shared" si="68"/>
        <v>Milo SOAMES (1995 - : #115ba)</v>
      </c>
    </row>
    <row r="286" spans="1:19">
      <c r="A286">
        <f>'All Girls &amp; Descendants - Edit'!B285</f>
        <v>115</v>
      </c>
      <c r="B286" t="str">
        <f>'All Girls &amp; Descendants - Edit'!C285</f>
        <v>115bb</v>
      </c>
      <c r="C286" t="str">
        <f>'All Girls &amp; Descendants - Edit'!D285</f>
        <v>SOAMES</v>
      </c>
      <c r="D286" t="str">
        <f>'All Girls &amp; Descendants - Edit'!E285</f>
        <v>Tommy</v>
      </c>
      <c r="E286" t="str">
        <f>IF('All Girls &amp; Descendants - Edit'!F285="","",'All Girls &amp; Descendants - Edit'!F285)</f>
        <v/>
      </c>
      <c r="F286" t="str">
        <f>IF('All Girls &amp; Descendants - Edit'!G285="","",'All Girls &amp; Descendants - Edit'!G285)</f>
        <v/>
      </c>
      <c r="G286" t="str">
        <f>IF('All Girls &amp; Descendants - Edit'!H285="",D286,'All Girls &amp; Descendants - Edit'!H285)</f>
        <v>Tommy</v>
      </c>
      <c r="H286">
        <f>'All Girls &amp; Descendants - Edit'!I285</f>
        <v>1997</v>
      </c>
      <c r="I286" t="str">
        <f>'All Girls &amp; Descendants - Edit'!J285</f>
        <v/>
      </c>
      <c r="J286" s="101">
        <f>'All Girls &amp; Descendants - Edit'!K285</f>
        <v>0</v>
      </c>
      <c r="K286" s="3" t="str">
        <f>'All Girls &amp; Descendants - Edit'!L285</f>
        <v>21/08/1997</v>
      </c>
      <c r="L286" s="3">
        <f>'All Girls &amp; Descendants - Edit'!M285</f>
        <v>35663</v>
      </c>
      <c r="M286" s="3">
        <f>'All Girls &amp; Descendants - Edit'!N285</f>
        <v>0</v>
      </c>
      <c r="N286" s="3">
        <f>'All Girls &amp; Descendants - Edit'!O285</f>
        <v>0</v>
      </c>
      <c r="O286" s="3" t="str">
        <f>'All Girls &amp; Descendants - Edit'!P285</f>
        <v/>
      </c>
      <c r="P286" t="str">
        <f t="shared" si="65"/>
        <v>115bb</v>
      </c>
      <c r="Q286" s="116">
        <f t="shared" si="66"/>
        <v>2</v>
      </c>
      <c r="R286" s="31" t="str">
        <f t="shared" si="67"/>
        <v>Tommy   SOAMES</v>
      </c>
      <c r="S286" t="str">
        <f t="shared" si="68"/>
        <v>Tommy SOAMES (1997 - : #115bb)</v>
      </c>
    </row>
    <row r="287" spans="1:19">
      <c r="A287">
        <f>'All Girls &amp; Descendants - Edit'!B286</f>
        <v>115</v>
      </c>
      <c r="B287" t="str">
        <f>'All Girls &amp; Descendants - Edit'!C286</f>
        <v>115bc</v>
      </c>
      <c r="C287" t="str">
        <f>'All Girls &amp; Descendants - Edit'!D286</f>
        <v>SOAMES</v>
      </c>
      <c r="D287" t="str">
        <f>'All Girls &amp; Descendants - Edit'!E286</f>
        <v>Mary</v>
      </c>
      <c r="E287" t="str">
        <f>IF('All Girls &amp; Descendants - Edit'!F286="","",'All Girls &amp; Descendants - Edit'!F286)</f>
        <v>Alicia</v>
      </c>
      <c r="F287" t="str">
        <f>IF('All Girls &amp; Descendants - Edit'!G286="","",'All Girls &amp; Descendants - Edit'!G286)</f>
        <v>Claire</v>
      </c>
      <c r="G287" t="str">
        <f>IF('All Girls &amp; Descendants - Edit'!H286="",D287,'All Girls &amp; Descendants - Edit'!H286)</f>
        <v>Mary</v>
      </c>
      <c r="H287">
        <f>'All Girls &amp; Descendants - Edit'!I286</f>
        <v>1999</v>
      </c>
      <c r="I287" t="str">
        <f>'All Girls &amp; Descendants - Edit'!J286</f>
        <v/>
      </c>
      <c r="J287" s="101">
        <f>'All Girls &amp; Descendants - Edit'!K286</f>
        <v>0</v>
      </c>
      <c r="K287" s="3" t="str">
        <f>'All Girls &amp; Descendants - Edit'!L286</f>
        <v>10/05/1999</v>
      </c>
      <c r="L287" s="3">
        <f>'All Girls &amp; Descendants - Edit'!M286</f>
        <v>36290</v>
      </c>
      <c r="M287" s="3">
        <f>'All Girls &amp; Descendants - Edit'!N286</f>
        <v>0</v>
      </c>
      <c r="N287" s="3">
        <f>'All Girls &amp; Descendants - Edit'!O286</f>
        <v>0</v>
      </c>
      <c r="O287" s="3" t="str">
        <f>'All Girls &amp; Descendants - Edit'!P286</f>
        <v/>
      </c>
      <c r="P287" t="str">
        <f t="shared" si="65"/>
        <v>115bc</v>
      </c>
      <c r="Q287" s="116">
        <f t="shared" si="66"/>
        <v>2</v>
      </c>
      <c r="R287" s="31" t="str">
        <f t="shared" si="67"/>
        <v>Mary Alicia Claire SOAMES</v>
      </c>
      <c r="S287" t="str">
        <f t="shared" si="68"/>
        <v>Mary SOAMES (1999 - : #115bc)</v>
      </c>
    </row>
    <row r="288" spans="1:19">
      <c r="A288">
        <f>'All Girls &amp; Descendants - Edit'!B287</f>
        <v>123</v>
      </c>
      <c r="B288" t="str">
        <f>'All Girls &amp; Descendants - Edit'!C287</f>
        <v>123aa</v>
      </c>
      <c r="C288" t="str">
        <f>'All Girls &amp; Descendants - Edit'!D287</f>
        <v>TALBOT</v>
      </c>
      <c r="D288" t="str">
        <f>'All Girls &amp; Descendants - Edit'!E287</f>
        <v>Eva</v>
      </c>
      <c r="E288" t="str">
        <f>IF('All Girls &amp; Descendants - Edit'!F287="","",'All Girls &amp; Descendants - Edit'!F287)</f>
        <v>Charlotte</v>
      </c>
      <c r="F288" t="str">
        <f>IF('All Girls &amp; Descendants - Edit'!G287="","",'All Girls &amp; Descendants - Edit'!G287)</f>
        <v>Loyd</v>
      </c>
      <c r="G288" t="str">
        <f>IF('All Girls &amp; Descendants - Edit'!H287="",D288,'All Girls &amp; Descendants - Edit'!H287)</f>
        <v>Evie</v>
      </c>
      <c r="H288">
        <f>'All Girls &amp; Descendants - Edit'!I287</f>
        <v>2012</v>
      </c>
      <c r="I288" t="str">
        <f>'All Girls &amp; Descendants - Edit'!J287</f>
        <v/>
      </c>
      <c r="J288" s="101">
        <f>'All Girls &amp; Descendants - Edit'!K287</f>
        <v>0</v>
      </c>
      <c r="K288" s="3" t="str">
        <f>'All Girls &amp; Descendants - Edit'!L287</f>
        <v>20/10/2012</v>
      </c>
      <c r="L288" s="3">
        <f>'All Girls &amp; Descendants - Edit'!M287</f>
        <v>41202</v>
      </c>
      <c r="M288" s="3">
        <f>'All Girls &amp; Descendants - Edit'!N287</f>
        <v>0</v>
      </c>
      <c r="N288" s="3">
        <f>'All Girls &amp; Descendants - Edit'!O287</f>
        <v>0</v>
      </c>
      <c r="O288" s="3">
        <f>'All Girls &amp; Descendants - Edit'!P287</f>
        <v>0</v>
      </c>
      <c r="P288" t="str">
        <f t="shared" si="65"/>
        <v>123aa</v>
      </c>
      <c r="Q288" s="116">
        <f t="shared" si="66"/>
        <v>2</v>
      </c>
      <c r="R288" s="31" t="str">
        <f t="shared" si="67"/>
        <v>Eva Charlotte Loyd TALBOT</v>
      </c>
      <c r="S288" t="str">
        <f t="shared" si="68"/>
        <v>Evie TALBOT (2012 - : #123aa)</v>
      </c>
    </row>
    <row r="289" spans="1:19">
      <c r="A289">
        <f>'All Girls &amp; Descendants - Edit'!B288</f>
        <v>123</v>
      </c>
      <c r="B289" t="str">
        <f>'All Girls &amp; Descendants - Edit'!C288</f>
        <v>123ab</v>
      </c>
      <c r="C289" t="str">
        <f>'All Girls &amp; Descendants - Edit'!D288</f>
        <v>TALBOT</v>
      </c>
      <c r="D289" t="str">
        <f>'All Girls &amp; Descendants - Edit'!E288</f>
        <v>Arlo</v>
      </c>
      <c r="E289" t="str">
        <f>IF('All Girls &amp; Descendants - Edit'!F288="","",'All Girls &amp; Descendants - Edit'!F288)</f>
        <v>Terrence</v>
      </c>
      <c r="F289" t="str">
        <f>IF('All Girls &amp; Descendants - Edit'!G288="","",'All Girls &amp; Descendants - Edit'!G288)</f>
        <v>Peter</v>
      </c>
      <c r="G289" t="str">
        <f>IF('All Girls &amp; Descendants - Edit'!H288="",D289,'All Girls &amp; Descendants - Edit'!H288)</f>
        <v>Arlo</v>
      </c>
      <c r="H289">
        <f>'All Girls &amp; Descendants - Edit'!I288</f>
        <v>2015</v>
      </c>
      <c r="I289" t="str">
        <f>'All Girls &amp; Descendants - Edit'!J288</f>
        <v/>
      </c>
      <c r="J289" s="101">
        <f>'All Girls &amp; Descendants - Edit'!K288</f>
        <v>0</v>
      </c>
      <c r="K289" s="3" t="str">
        <f>'All Girls &amp; Descendants - Edit'!L288</f>
        <v>19/03/2015</v>
      </c>
      <c r="L289" s="3">
        <f>'All Girls &amp; Descendants - Edit'!M288</f>
        <v>42082</v>
      </c>
      <c r="M289" s="3">
        <f>'All Girls &amp; Descendants - Edit'!N288</f>
        <v>0</v>
      </c>
      <c r="N289" s="3">
        <f>'All Girls &amp; Descendants - Edit'!O288</f>
        <v>0</v>
      </c>
      <c r="O289" s="3">
        <f>'All Girls &amp; Descendants - Edit'!P288</f>
        <v>0</v>
      </c>
      <c r="P289" t="str">
        <f t="shared" si="65"/>
        <v>123ab</v>
      </c>
      <c r="Q289" s="116">
        <f t="shared" si="66"/>
        <v>2</v>
      </c>
      <c r="R289" s="31" t="str">
        <f t="shared" si="67"/>
        <v>Arlo Terrence Peter TALBOT</v>
      </c>
      <c r="S289" t="str">
        <f t="shared" si="68"/>
        <v>Arlo TALBOT (2015 - : #123ab)</v>
      </c>
    </row>
    <row r="290" spans="1:19">
      <c r="A290">
        <f>'All Girls &amp; Descendants - Edit'!B289</f>
        <v>123</v>
      </c>
      <c r="B290" t="str">
        <f>'All Girls &amp; Descendants - Edit'!C289</f>
        <v>123ba</v>
      </c>
      <c r="C290" t="str">
        <f>'All Girls &amp; Descendants - Edit'!D289</f>
        <v>CORVINO</v>
      </c>
      <c r="D290" t="str">
        <f>'All Girls &amp; Descendants - Edit'!E289</f>
        <v>Rufus</v>
      </c>
      <c r="E290" t="str">
        <f>IF('All Girls &amp; Descendants - Edit'!F289="","",'All Girls &amp; Descendants - Edit'!F289)</f>
        <v>Mali</v>
      </c>
      <c r="F290" t="str">
        <f>IF('All Girls &amp; Descendants - Edit'!G289="","",'All Girls &amp; Descendants - Edit'!G289)</f>
        <v/>
      </c>
      <c r="G290" t="str">
        <f>IF('All Girls &amp; Descendants - Edit'!H289="",D290,'All Girls &amp; Descendants - Edit'!H289)</f>
        <v>Rufus</v>
      </c>
      <c r="H290">
        <f>'All Girls &amp; Descendants - Edit'!I289</f>
        <v>2005</v>
      </c>
      <c r="I290" t="str">
        <f>'All Girls &amp; Descendants - Edit'!J289</f>
        <v/>
      </c>
      <c r="J290" s="101">
        <f>'All Girls &amp; Descendants - Edit'!K289</f>
        <v>0</v>
      </c>
      <c r="K290" s="3" t="str">
        <f>'All Girls &amp; Descendants - Edit'!L289</f>
        <v>24/04/2005</v>
      </c>
      <c r="L290" s="3">
        <f>'All Girls &amp; Descendants - Edit'!M289</f>
        <v>38466</v>
      </c>
      <c r="M290" s="3">
        <f>'All Girls &amp; Descendants - Edit'!N289</f>
        <v>0</v>
      </c>
      <c r="N290" s="3">
        <f>'All Girls &amp; Descendants - Edit'!O289</f>
        <v>0</v>
      </c>
      <c r="O290" s="3">
        <f>'All Girls &amp; Descendants - Edit'!P289</f>
        <v>0</v>
      </c>
      <c r="P290" t="str">
        <f t="shared" si="65"/>
        <v>123ba</v>
      </c>
      <c r="Q290" s="116">
        <f t="shared" si="66"/>
        <v>2</v>
      </c>
      <c r="R290" s="31" t="str">
        <f t="shared" si="67"/>
        <v>Rufus Mali  CORVINO</v>
      </c>
      <c r="S290" t="str">
        <f t="shared" si="68"/>
        <v>Rufus CORVINO (2005 - : #123ba)</v>
      </c>
    </row>
    <row r="291" spans="1:19">
      <c r="A291">
        <f>'All Girls &amp; Descendants - Edit'!B290</f>
        <v>123</v>
      </c>
      <c r="B291" t="str">
        <f>'All Girls &amp; Descendants - Edit'!C290</f>
        <v>123bb</v>
      </c>
      <c r="C291" t="str">
        <f>'All Girls &amp; Descendants - Edit'!D290</f>
        <v>BOSMAN</v>
      </c>
      <c r="D291" t="str">
        <f>'All Girls &amp; Descendants - Edit'!E290</f>
        <v>Hal</v>
      </c>
      <c r="E291" t="str">
        <f>IF('All Girls &amp; Descendants - Edit'!F290="","",'All Girls &amp; Descendants - Edit'!F290)</f>
        <v>Alfred</v>
      </c>
      <c r="F291" t="str">
        <f>IF('All Girls &amp; Descendants - Edit'!G290="","",'All Girls &amp; Descendants - Edit'!G290)</f>
        <v>Layzell</v>
      </c>
      <c r="G291" t="str">
        <f>IF('All Girls &amp; Descendants - Edit'!H290="",D291,'All Girls &amp; Descendants - Edit'!H290)</f>
        <v>Hal</v>
      </c>
      <c r="H291">
        <f>'All Girls &amp; Descendants - Edit'!I290</f>
        <v>2017</v>
      </c>
      <c r="I291" t="str">
        <f>'All Girls &amp; Descendants - Edit'!J290</f>
        <v/>
      </c>
      <c r="J291" s="101">
        <f>'All Girls &amp; Descendants - Edit'!K290</f>
        <v>0</v>
      </c>
      <c r="K291" s="3" t="str">
        <f>'All Girls &amp; Descendants - Edit'!L290</f>
        <v>29/01/2017</v>
      </c>
      <c r="L291" s="3">
        <f>'All Girls &amp; Descendants - Edit'!M290</f>
        <v>42764</v>
      </c>
      <c r="M291" s="3">
        <f>'All Girls &amp; Descendants - Edit'!N290</f>
        <v>0</v>
      </c>
      <c r="N291" s="3">
        <f>'All Girls &amp; Descendants - Edit'!O290</f>
        <v>0</v>
      </c>
      <c r="O291" s="3">
        <f>'All Girls &amp; Descendants - Edit'!P290</f>
        <v>0</v>
      </c>
      <c r="P291" t="str">
        <f t="shared" si="65"/>
        <v>123bb</v>
      </c>
      <c r="Q291" s="116">
        <f t="shared" si="66"/>
        <v>2</v>
      </c>
      <c r="R291" s="31" t="str">
        <f t="shared" si="67"/>
        <v>Hal Alfred Layzell BOSMAN</v>
      </c>
      <c r="S291" t="str">
        <f t="shared" si="68"/>
        <v>Hal BOSMAN (2017 - : #123bb)</v>
      </c>
    </row>
    <row r="292" spans="1:19">
      <c r="A292">
        <f>'All Girls &amp; Descendants - Edit'!B291</f>
        <v>123</v>
      </c>
      <c r="B292" t="str">
        <f>'All Girls &amp; Descendants - Edit'!C291</f>
        <v>123bc</v>
      </c>
      <c r="C292" t="str">
        <f>'All Girls &amp; Descendants - Edit'!D291</f>
        <v>BOSMAN</v>
      </c>
      <c r="D292" t="str">
        <f>'All Girls &amp; Descendants - Edit'!E291</f>
        <v>Rocky</v>
      </c>
      <c r="E292" t="str">
        <f>IF('All Girls &amp; Descendants - Edit'!F291="","",'All Girls &amp; Descendants - Edit'!F291)</f>
        <v>Terrence</v>
      </c>
      <c r="F292" t="str">
        <f>IF('All Girls &amp; Descendants - Edit'!G291="","",'All Girls &amp; Descendants - Edit'!G291)</f>
        <v/>
      </c>
      <c r="G292" t="str">
        <f>IF('All Girls &amp; Descendants - Edit'!H291="",D292,'All Girls &amp; Descendants - Edit'!H291)</f>
        <v>Rocky</v>
      </c>
      <c r="H292">
        <f>'All Girls &amp; Descendants - Edit'!I291</f>
        <v>2020</v>
      </c>
      <c r="I292" t="str">
        <f>'All Girls &amp; Descendants - Edit'!J291</f>
        <v/>
      </c>
      <c r="J292" s="101">
        <f>'All Girls &amp; Descendants - Edit'!K291</f>
        <v>0</v>
      </c>
      <c r="K292" s="3" t="str">
        <f>'All Girls &amp; Descendants - Edit'!L291</f>
        <v>11/04/2020</v>
      </c>
      <c r="L292" s="3">
        <f>'All Girls &amp; Descendants - Edit'!M291</f>
        <v>43932</v>
      </c>
      <c r="M292" s="3">
        <f>'All Girls &amp; Descendants - Edit'!N291</f>
        <v>0</v>
      </c>
      <c r="N292" s="3">
        <f>'All Girls &amp; Descendants - Edit'!O291</f>
        <v>0</v>
      </c>
      <c r="O292" s="3">
        <f>'All Girls &amp; Descendants - Edit'!P291</f>
        <v>0</v>
      </c>
      <c r="P292" t="str">
        <f t="shared" si="65"/>
        <v>123bc</v>
      </c>
      <c r="Q292" s="116">
        <f t="shared" si="66"/>
        <v>2</v>
      </c>
      <c r="R292" s="31" t="str">
        <f t="shared" si="67"/>
        <v>Rocky Terrence  BOSMAN</v>
      </c>
      <c r="S292" t="str">
        <f t="shared" si="68"/>
        <v>Rocky BOSMAN (2020 - : #123bc)</v>
      </c>
    </row>
    <row r="293" spans="1:19">
      <c r="A293">
        <f>'All Girls &amp; Descendants - Edit'!B292</f>
        <v>143</v>
      </c>
      <c r="B293" t="str">
        <f>'All Girls &amp; Descendants - Edit'!C292</f>
        <v>143aa</v>
      </c>
      <c r="C293" t="str">
        <f>'All Girls &amp; Descendants - Edit'!D292</f>
        <v>RUSSELL-STONEHAM</v>
      </c>
      <c r="D293" t="str">
        <f>'All Girls &amp; Descendants - Edit'!E292</f>
        <v>Alice</v>
      </c>
      <c r="E293" t="str">
        <f>IF('All Girls &amp; Descendants - Edit'!F292="","",'All Girls &amp; Descendants - Edit'!F292)</f>
        <v>Isla</v>
      </c>
      <c r="F293" t="str">
        <f>IF('All Girls &amp; Descendants - Edit'!G292="","",'All Girls &amp; Descendants - Edit'!G292)</f>
        <v/>
      </c>
      <c r="G293" t="str">
        <f>IF('All Girls &amp; Descendants - Edit'!H292="",D293,'All Girls &amp; Descendants - Edit'!H292)</f>
        <v>Alice</v>
      </c>
      <c r="H293">
        <f>'All Girls &amp; Descendants - Edit'!I292</f>
        <v>2020</v>
      </c>
      <c r="I293" t="str">
        <f>'All Girls &amp; Descendants - Edit'!J292</f>
        <v/>
      </c>
      <c r="J293" s="101" t="str">
        <f>'All Girls &amp; Descendants - Edit'!K292</f>
        <v>100 (143): 2020</v>
      </c>
      <c r="K293" s="3" t="str">
        <f>'All Girls &amp; Descendants - Edit'!L292</f>
        <v>21/10/2020</v>
      </c>
      <c r="L293" s="3">
        <f>'All Girls &amp; Descendants - Edit'!M292</f>
        <v>44125</v>
      </c>
      <c r="M293" s="3">
        <f>'All Girls &amp; Descendants - Edit'!N292</f>
        <v>0</v>
      </c>
      <c r="N293" s="3">
        <f>'All Girls &amp; Descendants - Edit'!O292</f>
        <v>0</v>
      </c>
      <c r="O293" s="3" t="str">
        <f>'All Girls &amp; Descendants - Edit'!P292</f>
        <v/>
      </c>
      <c r="P293" t="str">
        <f t="shared" si="65"/>
        <v>143aa</v>
      </c>
      <c r="Q293" s="116">
        <f t="shared" si="66"/>
        <v>2</v>
      </c>
      <c r="R293" s="31" t="str">
        <f t="shared" si="67"/>
        <v>Alice Isla  RUSSELL-STONEHAM</v>
      </c>
      <c r="S293" t="str">
        <f t="shared" si="68"/>
        <v>Alice RUSSELL-STONEHAM (2020 - : #143aa)</v>
      </c>
    </row>
    <row r="294" spans="1:19">
      <c r="A294">
        <f>'All Girls &amp; Descendants - Edit'!B293</f>
        <v>2</v>
      </c>
      <c r="B294" t="str">
        <f>'All Girls &amp; Descendants - Edit'!C293</f>
        <v>2aaa</v>
      </c>
      <c r="C294" t="str">
        <f>'All Girls &amp; Descendants - Edit'!D293</f>
        <v>DAVIES</v>
      </c>
      <c r="D294" t="str">
        <f>'All Girls &amp; Descendants - Edit'!E293</f>
        <v>William</v>
      </c>
      <c r="E294" t="str">
        <f>IF('All Girls &amp; Descendants - Edit'!F293="","",'All Girls &amp; Descendants - Edit'!F293)</f>
        <v/>
      </c>
      <c r="F294" t="str">
        <f>IF('All Girls &amp; Descendants - Edit'!G293="","",'All Girls &amp; Descendants - Edit'!G293)</f>
        <v/>
      </c>
      <c r="G294" t="str">
        <f>IF('All Girls &amp; Descendants - Edit'!H293="",D294,'All Girls &amp; Descendants - Edit'!H293)</f>
        <v>William</v>
      </c>
      <c r="H294" t="str">
        <f>'All Girls &amp; Descendants - Edit'!I293</f>
        <v>1860/61</v>
      </c>
      <c r="I294">
        <f>'All Girls &amp; Descendants - Edit'!J293</f>
        <v>1943</v>
      </c>
      <c r="J294" s="101">
        <f>'All Girls &amp; Descendants - Edit'!K293</f>
        <v>0</v>
      </c>
      <c r="K294" s="3" t="str">
        <f>'All Girls &amp; Descendants - Edit'!L293</f>
        <v>1860 or 61</v>
      </c>
      <c r="L294" s="3" t="str">
        <f>'All Girls &amp; Descendants - Edit'!M293</f>
        <v>1860 or 61</v>
      </c>
      <c r="M294" s="3">
        <f>'All Girls &amp; Descendants - Edit'!N293</f>
        <v>0</v>
      </c>
      <c r="N294" s="3">
        <f>'All Girls &amp; Descendants - Edit'!O293</f>
        <v>15847</v>
      </c>
      <c r="O294" s="3" t="str">
        <f>'All Girls &amp; Descendants - Edit'!P293</f>
        <v>21/05/1943</v>
      </c>
      <c r="P294" t="str">
        <f t="shared" si="65"/>
        <v>2aaa</v>
      </c>
      <c r="Q294" s="116">
        <f t="shared" si="66"/>
        <v>3</v>
      </c>
      <c r="R294" s="31" t="str">
        <f t="shared" si="67"/>
        <v>William   DAVIES</v>
      </c>
      <c r="S294" t="str">
        <f t="shared" si="68"/>
        <v>William DAVIES (1860/61 - 1943: #2aaa)</v>
      </c>
    </row>
    <row r="295" spans="1:19">
      <c r="A295">
        <f>'All Girls &amp; Descendants - Edit'!B294</f>
        <v>2</v>
      </c>
      <c r="B295" t="str">
        <f>'All Girls &amp; Descendants - Edit'!C294</f>
        <v>2caa</v>
      </c>
      <c r="C295" t="str">
        <f>'All Girls &amp; Descendants - Edit'!D294</f>
        <v>PROTHEROE</v>
      </c>
      <c r="D295" t="str">
        <f>'All Girls &amp; Descendants - Edit'!E294</f>
        <v>The REV Roderick</v>
      </c>
      <c r="E295" t="str">
        <f>IF('All Girls &amp; Descendants - Edit'!F294="","",'All Girls &amp; Descendants - Edit'!F294)</f>
        <v>Loyd</v>
      </c>
      <c r="F295" t="str">
        <f>IF('All Girls &amp; Descendants - Edit'!G294="","",'All Girls &amp; Descendants - Edit'!G294)</f>
        <v/>
      </c>
      <c r="G295" t="str">
        <f>IF('All Girls &amp; Descendants - Edit'!H294="",D295,'All Girls &amp; Descendants - Edit'!H294)</f>
        <v>The REV Roderick</v>
      </c>
      <c r="H295">
        <f>'All Girls &amp; Descendants - Edit'!I294</f>
        <v>1852</v>
      </c>
      <c r="I295">
        <f>'All Girls &amp; Descendants - Edit'!J294</f>
        <v>1905</v>
      </c>
      <c r="J295" s="101">
        <f>'All Girls &amp; Descendants - Edit'!K294</f>
        <v>0</v>
      </c>
      <c r="K295" s="3">
        <f>'All Girls &amp; Descendants - Edit'!L294</f>
        <v>1852</v>
      </c>
      <c r="L295" s="3" t="str">
        <f>'All Girls &amp; Descendants - Edit'!M294</f>
        <v>1852</v>
      </c>
      <c r="M295" s="3">
        <f>'All Girls &amp; Descendants - Edit'!N294</f>
        <v>0</v>
      </c>
      <c r="N295" s="3" t="str">
        <f>'All Girls &amp; Descendants - Edit'!O294</f>
        <v>1894</v>
      </c>
      <c r="O295" s="3" t="str">
        <f>'All Girls &amp; Descendants - Edit'!P294</f>
        <v>1894</v>
      </c>
      <c r="P295" t="str">
        <f t="shared" si="65"/>
        <v>2caa</v>
      </c>
      <c r="Q295" s="116">
        <f t="shared" si="66"/>
        <v>3</v>
      </c>
      <c r="R295" s="31" t="str">
        <f t="shared" si="67"/>
        <v>The REV Roderick Loyd  PROTHEROE</v>
      </c>
      <c r="S295" t="str">
        <f t="shared" si="68"/>
        <v>The REV Roderick PROTHEROE (1852 - 1905: #2caa)</v>
      </c>
    </row>
    <row r="296" spans="1:19">
      <c r="A296">
        <f>'All Girls &amp; Descendants - Edit'!B295</f>
        <v>2</v>
      </c>
      <c r="B296" t="str">
        <f>'All Girls &amp; Descendants - Edit'!C295</f>
        <v>2cab</v>
      </c>
      <c r="C296" t="str">
        <f>'All Girls &amp; Descendants - Edit'!D295</f>
        <v>PROTHEROE</v>
      </c>
      <c r="D296" t="str">
        <f>'All Girls &amp; Descendants - Edit'!E295</f>
        <v>The REV William</v>
      </c>
      <c r="E296" t="str">
        <f>IF('All Girls &amp; Descendants - Edit'!F295="","",'All Girls &amp; Descendants - Edit'!F295)</f>
        <v>Loyd</v>
      </c>
      <c r="F296" t="str">
        <f>IF('All Girls &amp; Descendants - Edit'!G295="","",'All Girls &amp; Descendants - Edit'!G295)</f>
        <v/>
      </c>
      <c r="G296" t="str">
        <f>IF('All Girls &amp; Descendants - Edit'!H295="",D296,'All Girls &amp; Descendants - Edit'!H295)</f>
        <v>The REV William</v>
      </c>
      <c r="H296">
        <f>'All Girls &amp; Descendants - Edit'!I295</f>
        <v>1855</v>
      </c>
      <c r="I296" t="str">
        <f>'All Girls &amp; Descendants - Edit'!J295</f>
        <v>1915</v>
      </c>
      <c r="J296" s="101">
        <f>'All Girls &amp; Descendants - Edit'!K295</f>
        <v>0</v>
      </c>
      <c r="K296" s="3" t="str">
        <f>'All Girls &amp; Descendants - Edit'!L295</f>
        <v>10/03/1855</v>
      </c>
      <c r="L296" s="3" t="str">
        <f>'All Girls &amp; Descendants - Edit'!M295</f>
        <v>10/03/1855</v>
      </c>
      <c r="M296" s="3" t="str">
        <f>'All Girls &amp; Descendants - Edit'!N295</f>
        <v>07/02/1884</v>
      </c>
      <c r="N296" s="3" t="str">
        <f>'All Girls &amp; Descendants - Edit'!O295</f>
        <v>1915</v>
      </c>
      <c r="O296" s="3" t="str">
        <f>'All Girls &amp; Descendants - Edit'!P295</f>
        <v>1915</v>
      </c>
      <c r="P296" t="str">
        <f t="shared" si="65"/>
        <v>2cab</v>
      </c>
      <c r="Q296" s="116">
        <f t="shared" si="66"/>
        <v>3</v>
      </c>
      <c r="R296" s="31" t="str">
        <f t="shared" si="67"/>
        <v>The REV William Loyd  PROTHEROE</v>
      </c>
      <c r="S296" t="str">
        <f t="shared" si="68"/>
        <v>The REV William PROTHEROE (1855 - 1915: #2cab)</v>
      </c>
    </row>
    <row r="297" spans="1:19">
      <c r="A297">
        <f>'All Girls &amp; Descendants - Edit'!B296</f>
        <v>18</v>
      </c>
      <c r="B297" t="str">
        <f>'All Girls &amp; Descendants - Edit'!C296</f>
        <v>18bba</v>
      </c>
      <c r="C297" t="str">
        <f>'All Girls &amp; Descendants - Edit'!D296</f>
        <v>WARNER</v>
      </c>
      <c r="D297" t="str">
        <f>'All Girls &amp; Descendants - Edit'!E296</f>
        <v>Sir Edward</v>
      </c>
      <c r="E297" t="str">
        <f>IF('All Girls &amp; Descendants - Edit'!F296="","",'All Girls &amp; Descendants - Edit'!F296)</f>
        <v>Redston</v>
      </c>
      <c r="F297" t="str">
        <f>IF('All Girls &amp; Descendants - Edit'!G296="","",'All Girls &amp; Descendants - Edit'!G296)</f>
        <v/>
      </c>
      <c r="G297" t="str">
        <f>IF('All Girls &amp; Descendants - Edit'!H296="",D297,'All Girls &amp; Descendants - Edit'!H296)</f>
        <v>Sir Edward</v>
      </c>
      <c r="H297">
        <f>'All Girls &amp; Descendants - Edit'!I296</f>
        <v>1991</v>
      </c>
      <c r="I297">
        <f>'All Girls &amp; Descendants - Edit'!J296</f>
        <v>2002</v>
      </c>
      <c r="J297" s="101">
        <f>'All Girls &amp; Descendants - Edit'!K296</f>
        <v>0</v>
      </c>
      <c r="K297" s="3" t="str">
        <f>'All Girls &amp; Descendants - Edit'!L296</f>
        <v>23/03/1991</v>
      </c>
      <c r="L297" s="3">
        <f>'All Girls &amp; Descendants - Edit'!M296</f>
        <v>33320</v>
      </c>
      <c r="M297" s="3">
        <f>'All Girls &amp; Descendants - Edit'!N296</f>
        <v>15845</v>
      </c>
      <c r="N297" s="3">
        <f>'All Girls &amp; Descendants - Edit'!O296</f>
        <v>37295</v>
      </c>
      <c r="O297" s="3" t="str">
        <f>'All Girls &amp; Descendants - Edit'!P296</f>
        <v>08/02/2002</v>
      </c>
      <c r="P297" t="str">
        <f t="shared" si="65"/>
        <v>18bba</v>
      </c>
      <c r="Q297" s="116">
        <f t="shared" si="66"/>
        <v>3</v>
      </c>
      <c r="R297" s="31" t="str">
        <f t="shared" si="67"/>
        <v>Sir Edward Redston  WARNER</v>
      </c>
      <c r="S297" t="str">
        <f t="shared" si="68"/>
        <v>Sir Edward WARNER (1991 - 2002: #18bba)</v>
      </c>
    </row>
    <row r="298" spans="1:19">
      <c r="A298">
        <f>'All Girls &amp; Descendants - Edit'!B297</f>
        <v>18</v>
      </c>
      <c r="B298" t="str">
        <f>'All Girls &amp; Descendants - Edit'!C297</f>
        <v>18bbb</v>
      </c>
      <c r="C298" t="str">
        <f>'All Girls &amp; Descendants - Edit'!D297</f>
        <v>WARNER (later NICOL)</v>
      </c>
      <c r="D298" t="str">
        <f>'All Girls &amp; Descendants - Edit'!E297</f>
        <v>John</v>
      </c>
      <c r="E298" t="str">
        <f>IF('All Girls &amp; Descendants - Edit'!F297="","",'All Girls &amp; Descendants - Edit'!F297)</f>
        <v>Wilmot</v>
      </c>
      <c r="F298" t="str">
        <f>IF('All Girls &amp; Descendants - Edit'!G297="","",'All Girls &amp; Descendants - Edit'!G297)</f>
        <v/>
      </c>
      <c r="G298" t="str">
        <f>IF('All Girls &amp; Descendants - Edit'!H297="",D298,'All Girls &amp; Descendants - Edit'!H297)</f>
        <v>John</v>
      </c>
      <c r="H298">
        <f>'All Girls &amp; Descendants - Edit'!I297</f>
        <v>1912</v>
      </c>
      <c r="I298">
        <f>'All Girls &amp; Descendants - Edit'!J297</f>
        <v>2008</v>
      </c>
      <c r="J298" s="101">
        <f>'All Girls &amp; Descendants - Edit'!K297</f>
        <v>0</v>
      </c>
      <c r="K298" s="3" t="str">
        <f>'All Girls &amp; Descendants - Edit'!L297</f>
        <v>13/06/1912</v>
      </c>
      <c r="L298" s="3">
        <f>'All Girls &amp; Descendants - Edit'!M297</f>
        <v>4548</v>
      </c>
      <c r="M298" s="3">
        <f>'All Girls &amp; Descendants - Edit'!N297</f>
        <v>16968</v>
      </c>
      <c r="N298" s="3">
        <f>'All Girls &amp; Descendants - Edit'!O297</f>
        <v>39720</v>
      </c>
      <c r="O298" s="3" t="str">
        <f>'All Girls &amp; Descendants - Edit'!P297</f>
        <v>29/09/2008</v>
      </c>
      <c r="P298" t="str">
        <f t="shared" si="65"/>
        <v>18bbb</v>
      </c>
      <c r="Q298" s="116">
        <f t="shared" si="66"/>
        <v>3</v>
      </c>
      <c r="R298" s="31" t="str">
        <f t="shared" si="67"/>
        <v>John Wilmot  WARNER (later NICOL)</v>
      </c>
      <c r="S298" t="str">
        <f t="shared" si="68"/>
        <v>John WARNER (later NICOL) (1912 - 2008: #18bbb)</v>
      </c>
    </row>
    <row r="299" spans="1:19">
      <c r="A299">
        <f>'All Girls &amp; Descendants - Edit'!B298</f>
        <v>18</v>
      </c>
      <c r="B299" t="str">
        <f>'All Girls &amp; Descendants - Edit'!C298</f>
        <v>18bbc</v>
      </c>
      <c r="C299" t="str">
        <f>'All Girls &amp; Descendants - Edit'!D298</f>
        <v>WARNER</v>
      </c>
      <c r="D299" t="str">
        <f>'All Girls &amp; Descendants - Edit'!E298</f>
        <v>Peter</v>
      </c>
      <c r="E299" t="str">
        <f>IF('All Girls &amp; Descendants - Edit'!F298="","",'All Girls &amp; Descendants - Edit'!F298)</f>
        <v>Eric</v>
      </c>
      <c r="F299" t="str">
        <f>IF('All Girls &amp; Descendants - Edit'!G298="","",'All Girls &amp; Descendants - Edit'!G298)</f>
        <v>Henry</v>
      </c>
      <c r="G299" t="str">
        <f>IF('All Girls &amp; Descendants - Edit'!H298="",D299,'All Girls &amp; Descendants - Edit'!H298)</f>
        <v>Peter</v>
      </c>
      <c r="H299">
        <f>'All Girls &amp; Descendants - Edit'!I298</f>
        <v>1915</v>
      </c>
      <c r="I299">
        <f>'All Girls &amp; Descendants - Edit'!J298</f>
        <v>2003</v>
      </c>
      <c r="J299" s="101">
        <f>'All Girls &amp; Descendants - Edit'!K298</f>
        <v>0</v>
      </c>
      <c r="K299" s="3" t="str">
        <f>'All Girls &amp; Descendants - Edit'!L298</f>
        <v>30/03/1915</v>
      </c>
      <c r="L299" s="3">
        <f>'All Girls &amp; Descendants - Edit'!M298</f>
        <v>5568</v>
      </c>
      <c r="M299" s="3">
        <f>'All Girls &amp; Descendants - Edit'!N298</f>
        <v>0</v>
      </c>
      <c r="N299" s="3">
        <f>'All Girls &amp; Descendants - Edit'!O298</f>
        <v>37929</v>
      </c>
      <c r="O299" s="3" t="str">
        <f>'All Girls &amp; Descendants - Edit'!P298</f>
        <v>04/11/2003</v>
      </c>
      <c r="P299" t="str">
        <f t="shared" si="65"/>
        <v>18bbc</v>
      </c>
      <c r="Q299" s="116">
        <f t="shared" si="66"/>
        <v>3</v>
      </c>
      <c r="R299" s="31" t="str">
        <f t="shared" si="67"/>
        <v>Peter Eric Henry WARNER</v>
      </c>
      <c r="S299" t="str">
        <f t="shared" si="68"/>
        <v>Peter WARNER (1915 - 2003: #18bbc)</v>
      </c>
    </row>
    <row r="300" spans="1:19">
      <c r="A300">
        <f>'All Girls &amp; Descendants - Edit'!B299</f>
        <v>18</v>
      </c>
      <c r="B300" t="str">
        <f>'All Girls &amp; Descendants - Edit'!C299</f>
        <v>18eaa</v>
      </c>
      <c r="C300" t="str">
        <f>'All Girls &amp; Descendants - Edit'!D299</f>
        <v>DUGDALE</v>
      </c>
      <c r="D300" t="str">
        <f>'All Girls &amp; Descendants - Edit'!E299</f>
        <v>Brenda</v>
      </c>
      <c r="E300" t="str">
        <f>IF('All Girls &amp; Descendants - Edit'!F299="","",'All Girls &amp; Descendants - Edit'!F299)</f>
        <v/>
      </c>
      <c r="F300" t="str">
        <f>IF('All Girls &amp; Descendants - Edit'!G299="","",'All Girls &amp; Descendants - Edit'!G299)</f>
        <v/>
      </c>
      <c r="G300" t="str">
        <f>IF('All Girls &amp; Descendants - Edit'!H299="",D300,'All Girls &amp; Descendants - Edit'!H299)</f>
        <v>Brenda</v>
      </c>
      <c r="H300">
        <f>'All Girls &amp; Descendants - Edit'!I299</f>
        <v>1911</v>
      </c>
      <c r="I300">
        <f>'All Girls &amp; Descendants - Edit'!J299</f>
        <v>1987</v>
      </c>
      <c r="J300" s="101">
        <f>'All Girls &amp; Descendants - Edit'!K299</f>
        <v>0</v>
      </c>
      <c r="K300" s="3" t="str">
        <f>'All Girls &amp; Descendants - Edit'!L299</f>
        <v>09/09/1911</v>
      </c>
      <c r="L300" s="3">
        <f>'All Girls &amp; Descendants - Edit'!M299</f>
        <v>4270</v>
      </c>
      <c r="M300" s="3">
        <f>'All Girls &amp; Descendants - Edit'!N299</f>
        <v>0</v>
      </c>
      <c r="N300" s="3">
        <f>'All Girls &amp; Descendants - Edit'!O299</f>
        <v>31997</v>
      </c>
      <c r="O300" s="3" t="str">
        <f>'All Girls &amp; Descendants - Edit'!P299</f>
        <v>08/08/1987</v>
      </c>
      <c r="P300" t="str">
        <f t="shared" si="65"/>
        <v>18eaa</v>
      </c>
      <c r="Q300" s="116">
        <f t="shared" si="66"/>
        <v>3</v>
      </c>
      <c r="R300" s="31" t="str">
        <f t="shared" si="67"/>
        <v>Brenda   DUGDALE</v>
      </c>
      <c r="S300" t="str">
        <f t="shared" si="68"/>
        <v>Brenda DUGDALE (1911 - 1987: #18eaa)</v>
      </c>
    </row>
    <row r="301" spans="1:19">
      <c r="A301">
        <f>'All Girls &amp; Descendants - Edit'!B300</f>
        <v>36</v>
      </c>
      <c r="B301" t="str">
        <f>'All Girls &amp; Descendants - Edit'!C300</f>
        <v>36dba</v>
      </c>
      <c r="C301" t="str">
        <f>'All Girls &amp; Descendants - Edit'!D300</f>
        <v>POWELL</v>
      </c>
      <c r="D301" t="str">
        <f>'All Girls &amp; Descendants - Edit'!E300</f>
        <v>Elizabeth</v>
      </c>
      <c r="E301" t="str">
        <f>IF('All Girls &amp; Descendants - Edit'!F300="","",'All Girls &amp; Descendants - Edit'!F300)</f>
        <v>Clare</v>
      </c>
      <c r="F301" t="str">
        <f>IF('All Girls &amp; Descendants - Edit'!G300="","",'All Girls &amp; Descendants - Edit'!G300)</f>
        <v/>
      </c>
      <c r="G301" t="str">
        <f>IF('All Girls &amp; Descendants - Edit'!H300="",D301,'All Girls &amp; Descendants - Edit'!H300)</f>
        <v>Toodie</v>
      </c>
      <c r="H301">
        <f>'All Girls &amp; Descendants - Edit'!I300</f>
        <v>1942</v>
      </c>
      <c r="I301" t="str">
        <f>'All Girls &amp; Descendants - Edit'!J300</f>
        <v/>
      </c>
      <c r="J301" s="101">
        <f>'All Girls &amp; Descendants - Edit'!K300</f>
        <v>0</v>
      </c>
      <c r="K301" s="3" t="str">
        <f>'All Girls &amp; Descendants - Edit'!L300</f>
        <v>30/05/1942</v>
      </c>
      <c r="L301" s="3">
        <f>'All Girls &amp; Descendants - Edit'!M300</f>
        <v>15491</v>
      </c>
      <c r="M301" s="3">
        <f>'All Girls &amp; Descendants - Edit'!N300</f>
        <v>24016</v>
      </c>
      <c r="N301" s="3">
        <f>'All Girls &amp; Descendants - Edit'!O300</f>
        <v>0</v>
      </c>
      <c r="O301" s="3" t="str">
        <f>'All Girls &amp; Descendants - Edit'!P300</f>
        <v/>
      </c>
      <c r="P301" t="str">
        <f t="shared" si="65"/>
        <v>36dba</v>
      </c>
      <c r="Q301" s="116">
        <f t="shared" si="66"/>
        <v>3</v>
      </c>
      <c r="R301" s="31" t="str">
        <f t="shared" si="67"/>
        <v>Elizabeth Clare  POWELL</v>
      </c>
      <c r="S301" t="str">
        <f t="shared" si="68"/>
        <v>Toodie POWELL (1942 - : #36dba)</v>
      </c>
    </row>
    <row r="302" spans="1:19">
      <c r="A302">
        <f>'All Girls &amp; Descendants - Edit'!B301</f>
        <v>36</v>
      </c>
      <c r="B302" t="str">
        <f>'All Girls &amp; Descendants - Edit'!C301</f>
        <v>36dbb</v>
      </c>
      <c r="C302" t="str">
        <f>'All Girls &amp; Descendants - Edit'!D301</f>
        <v>POWELL</v>
      </c>
      <c r="D302" t="str">
        <f>'All Girls &amp; Descendants - Edit'!E301</f>
        <v>Margaret</v>
      </c>
      <c r="E302" t="str">
        <f>IF('All Girls &amp; Descendants - Edit'!F301="","",'All Girls &amp; Descendants - Edit'!F301)</f>
        <v>Ann</v>
      </c>
      <c r="F302" t="str">
        <f>IF('All Girls &amp; Descendants - Edit'!G301="","",'All Girls &amp; Descendants - Edit'!G301)</f>
        <v/>
      </c>
      <c r="G302" t="str">
        <f>IF('All Girls &amp; Descendants - Edit'!H301="",D302,'All Girls &amp; Descendants - Edit'!H301)</f>
        <v>Margaret</v>
      </c>
      <c r="H302">
        <f>'All Girls &amp; Descendants - Edit'!I301</f>
        <v>1944</v>
      </c>
      <c r="I302" t="str">
        <f>'All Girls &amp; Descendants - Edit'!J301</f>
        <v/>
      </c>
      <c r="J302" s="101">
        <f>'All Girls &amp; Descendants - Edit'!K301</f>
        <v>0</v>
      </c>
      <c r="K302" s="3" t="str">
        <f>'All Girls &amp; Descendants - Edit'!L301</f>
        <v>09/07/1944</v>
      </c>
      <c r="L302" s="3">
        <f>'All Girls &amp; Descendants - Edit'!M301</f>
        <v>16262</v>
      </c>
      <c r="M302" s="3">
        <f>'All Girls &amp; Descendants - Edit'!N301</f>
        <v>24115</v>
      </c>
      <c r="N302" s="3">
        <f>'All Girls &amp; Descendants - Edit'!O301</f>
        <v>0</v>
      </c>
      <c r="O302" s="3" t="str">
        <f>'All Girls &amp; Descendants - Edit'!P301</f>
        <v/>
      </c>
      <c r="P302" t="str">
        <f t="shared" si="65"/>
        <v>36dbb</v>
      </c>
      <c r="Q302" s="116">
        <f t="shared" si="66"/>
        <v>3</v>
      </c>
      <c r="R302" s="31" t="str">
        <f t="shared" si="67"/>
        <v>Margaret Ann  POWELL</v>
      </c>
      <c r="S302" t="str">
        <f t="shared" si="68"/>
        <v>Margaret POWELL (1944 - : #36dbb)</v>
      </c>
    </row>
    <row r="303" spans="1:19">
      <c r="A303">
        <f>'All Girls &amp; Descendants - Edit'!B302</f>
        <v>47</v>
      </c>
      <c r="B303" t="str">
        <f>'All Girls &amp; Descendants - Edit'!C302</f>
        <v>47aaa</v>
      </c>
      <c r="C303" t="str">
        <f>'All Girls &amp; Descendants - Edit'!D302</f>
        <v>HARDCASTLE</v>
      </c>
      <c r="D303" t="str">
        <f>'All Girls &amp; Descendants - Edit'!E302</f>
        <v>Mary</v>
      </c>
      <c r="E303" t="str">
        <f>IF('All Girls &amp; Descendants - Edit'!F302="","",'All Girls &amp; Descendants - Edit'!F302)</f>
        <v>Jean</v>
      </c>
      <c r="F303" t="str">
        <f>IF('All Girls &amp; Descendants - Edit'!G302="","",'All Girls &amp; Descendants - Edit'!G302)</f>
        <v/>
      </c>
      <c r="G303" t="str">
        <f>IF('All Girls &amp; Descendants - Edit'!H302="",D303,'All Girls &amp; Descendants - Edit'!H302)</f>
        <v>Mary</v>
      </c>
      <c r="H303">
        <f>'All Girls &amp; Descendants - Edit'!I302</f>
        <v>1951</v>
      </c>
      <c r="I303" t="str">
        <f>'All Girls &amp; Descendants - Edit'!J302</f>
        <v/>
      </c>
      <c r="J303" s="101">
        <f>'All Girls &amp; Descendants - Edit'!K302</f>
        <v>0</v>
      </c>
      <c r="K303" s="3" t="str">
        <f>'All Girls &amp; Descendants - Edit'!L302</f>
        <v>06/08/1951</v>
      </c>
      <c r="L303" s="3">
        <f>'All Girls &amp; Descendants - Edit'!M302</f>
        <v>18846</v>
      </c>
      <c r="M303" s="3">
        <f>'All Girls &amp; Descendants - Edit'!N302</f>
        <v>27901</v>
      </c>
      <c r="N303" s="3">
        <f>'All Girls &amp; Descendants - Edit'!O302</f>
        <v>0</v>
      </c>
      <c r="O303" s="3" t="str">
        <f>'All Girls &amp; Descendants - Edit'!P302</f>
        <v/>
      </c>
      <c r="P303" t="str">
        <f t="shared" si="65"/>
        <v>47aaa</v>
      </c>
      <c r="Q303" s="116">
        <f t="shared" si="66"/>
        <v>3</v>
      </c>
      <c r="R303" s="31" t="str">
        <f t="shared" si="67"/>
        <v>Mary Jean  HARDCASTLE</v>
      </c>
      <c r="S303" t="str">
        <f t="shared" si="68"/>
        <v>Mary HARDCASTLE (1951 - : #47aaa)</v>
      </c>
    </row>
    <row r="304" spans="1:19">
      <c r="A304">
        <f>'All Girls &amp; Descendants - Edit'!B303</f>
        <v>47</v>
      </c>
      <c r="B304" t="str">
        <f>'All Girls &amp; Descendants - Edit'!C303</f>
        <v>47aab</v>
      </c>
      <c r="C304" t="str">
        <f>'All Girls &amp; Descendants - Edit'!D303</f>
        <v>HARDCASTLE</v>
      </c>
      <c r="D304" t="str">
        <f>'All Girls &amp; Descendants - Edit'!E303</f>
        <v>John</v>
      </c>
      <c r="E304" t="str">
        <f>IF('All Girls &amp; Descendants - Edit'!F303="","",'All Girls &amp; Descendants - Edit'!F303)</f>
        <v>Michael</v>
      </c>
      <c r="F304" t="str">
        <f>IF('All Girls &amp; Descendants - Edit'!G303="","",'All Girls &amp; Descendants - Edit'!G303)</f>
        <v/>
      </c>
      <c r="G304" t="str">
        <f>IF('All Girls &amp; Descendants - Edit'!H303="",D304,'All Girls &amp; Descendants - Edit'!H303)</f>
        <v>Michael</v>
      </c>
      <c r="H304">
        <f>'All Girls &amp; Descendants - Edit'!I303</f>
        <v>1953</v>
      </c>
      <c r="I304" t="str">
        <f>'All Girls &amp; Descendants - Edit'!J303</f>
        <v/>
      </c>
      <c r="J304" s="101">
        <f>'All Girls &amp; Descendants - Edit'!K303</f>
        <v>0</v>
      </c>
      <c r="K304" s="3" t="str">
        <f>'All Girls &amp; Descendants - Edit'!L303</f>
        <v>27/01/1953</v>
      </c>
      <c r="L304" s="3">
        <f>'All Girls &amp; Descendants - Edit'!M303</f>
        <v>19386</v>
      </c>
      <c r="M304" s="3">
        <f>'All Girls &amp; Descendants - Edit'!N303</f>
        <v>29365</v>
      </c>
      <c r="N304" s="3">
        <f>'All Girls &amp; Descendants - Edit'!O303</f>
        <v>0</v>
      </c>
      <c r="O304" s="3" t="str">
        <f>'All Girls &amp; Descendants - Edit'!P303</f>
        <v/>
      </c>
      <c r="P304" t="str">
        <f t="shared" si="65"/>
        <v>47aab</v>
      </c>
      <c r="Q304" s="116">
        <f t="shared" si="66"/>
        <v>3</v>
      </c>
      <c r="R304" s="31" t="str">
        <f t="shared" si="67"/>
        <v>John Michael  HARDCASTLE</v>
      </c>
      <c r="S304" t="str">
        <f t="shared" si="68"/>
        <v>Michael HARDCASTLE (1953 - : #47aab)</v>
      </c>
    </row>
    <row r="305" spans="1:19">
      <c r="A305">
        <f>'All Girls &amp; Descendants - Edit'!B304</f>
        <v>47</v>
      </c>
      <c r="B305" t="str">
        <f>'All Girls &amp; Descendants - Edit'!C304</f>
        <v>47aac</v>
      </c>
      <c r="C305" t="str">
        <f>'All Girls &amp; Descendants - Edit'!D304</f>
        <v>HARDCASTLE</v>
      </c>
      <c r="D305" t="str">
        <f>'All Girls &amp; Descendants - Edit'!E304</f>
        <v>Anthony</v>
      </c>
      <c r="E305" t="str">
        <f>IF('All Girls &amp; Descendants - Edit'!F304="","",'All Girls &amp; Descendants - Edit'!F304)</f>
        <v>David</v>
      </c>
      <c r="F305" t="str">
        <f>IF('All Girls &amp; Descendants - Edit'!G304="","",'All Girls &amp; Descendants - Edit'!G304)</f>
        <v/>
      </c>
      <c r="G305" t="str">
        <f>IF('All Girls &amp; Descendants - Edit'!H304="",D305,'All Girls &amp; Descendants - Edit'!H304)</f>
        <v>David</v>
      </c>
      <c r="H305">
        <f>'All Girls &amp; Descendants - Edit'!I304</f>
        <v>1954</v>
      </c>
      <c r="I305" t="str">
        <f>'All Girls &amp; Descendants - Edit'!J304</f>
        <v/>
      </c>
      <c r="J305" s="101">
        <f>'All Girls &amp; Descendants - Edit'!K304</f>
        <v>0</v>
      </c>
      <c r="K305" s="3" t="str">
        <f>'All Girls &amp; Descendants - Edit'!L304</f>
        <v>07/06/1954</v>
      </c>
      <c r="L305" s="3">
        <f>'All Girls &amp; Descendants - Edit'!M304</f>
        <v>19882</v>
      </c>
      <c r="M305" s="3">
        <f>'All Girls &amp; Descendants - Edit'!N304</f>
        <v>29799</v>
      </c>
      <c r="N305" s="3">
        <f>'All Girls &amp; Descendants - Edit'!O304</f>
        <v>0</v>
      </c>
      <c r="O305" s="3" t="str">
        <f>'All Girls &amp; Descendants - Edit'!P304</f>
        <v/>
      </c>
      <c r="P305" t="str">
        <f t="shared" si="65"/>
        <v>47aac</v>
      </c>
      <c r="Q305" s="116">
        <f t="shared" si="66"/>
        <v>3</v>
      </c>
      <c r="R305" s="31" t="str">
        <f t="shared" si="67"/>
        <v>Anthony David  HARDCASTLE</v>
      </c>
      <c r="S305" t="str">
        <f t="shared" si="68"/>
        <v>David HARDCASTLE (1954 - : #47aac)</v>
      </c>
    </row>
    <row r="306" spans="1:19">
      <c r="A306">
        <f>'All Girls &amp; Descendants - Edit'!B305</f>
        <v>47</v>
      </c>
      <c r="B306" t="str">
        <f>'All Girls &amp; Descendants - Edit'!C305</f>
        <v>47aba</v>
      </c>
      <c r="C306" t="str">
        <f>'All Girls &amp; Descendants - Edit'!D305</f>
        <v>DREWE</v>
      </c>
      <c r="D306" t="str">
        <f>'All Girls &amp; Descendants - Edit'!E305</f>
        <v>Martin</v>
      </c>
      <c r="E306" t="str">
        <f>IF('All Girls &amp; Descendants - Edit'!F305="","",'All Girls &amp; Descendants - Edit'!F305)</f>
        <v>Christopher</v>
      </c>
      <c r="F306" t="str">
        <f>IF('All Girls &amp; Descendants - Edit'!G305="","",'All Girls &amp; Descendants - Edit'!G305)</f>
        <v/>
      </c>
      <c r="G306" t="str">
        <f>IF('All Girls &amp; Descendants - Edit'!H305="",D306,'All Girls &amp; Descendants - Edit'!H305)</f>
        <v>Martin</v>
      </c>
      <c r="H306">
        <f>'All Girls &amp; Descendants - Edit'!I305</f>
        <v>1951</v>
      </c>
      <c r="I306" t="str">
        <f>'All Girls &amp; Descendants - Edit'!J305</f>
        <v/>
      </c>
      <c r="J306" s="101">
        <f>'All Girls &amp; Descendants - Edit'!K305</f>
        <v>0</v>
      </c>
      <c r="K306" s="3" t="str">
        <f>'All Girls &amp; Descendants - Edit'!L305</f>
        <v>27/05/1951</v>
      </c>
      <c r="L306" s="3">
        <f>'All Girls &amp; Descendants - Edit'!M305</f>
        <v>18775</v>
      </c>
      <c r="M306" s="3">
        <f>'All Girls &amp; Descendants - Edit'!N305</f>
        <v>35096</v>
      </c>
      <c r="N306" s="3">
        <f>'All Girls &amp; Descendants - Edit'!O305</f>
        <v>0</v>
      </c>
      <c r="O306" s="3" t="str">
        <f>'All Girls &amp; Descendants - Edit'!P305</f>
        <v/>
      </c>
      <c r="P306" t="str">
        <f t="shared" si="65"/>
        <v>47aba</v>
      </c>
      <c r="Q306" s="116">
        <f t="shared" si="66"/>
        <v>3</v>
      </c>
      <c r="R306" s="31" t="str">
        <f t="shared" si="67"/>
        <v>Martin Christopher  DREWE</v>
      </c>
      <c r="S306" t="str">
        <f t="shared" si="68"/>
        <v>Martin DREWE (1951 - : #47aba)</v>
      </c>
    </row>
    <row r="307" spans="1:19">
      <c r="A307">
        <f>'All Girls &amp; Descendants - Edit'!B306</f>
        <v>47</v>
      </c>
      <c r="B307" t="str">
        <f>'All Girls &amp; Descendants - Edit'!C306</f>
        <v>47abb</v>
      </c>
      <c r="C307" t="str">
        <f>'All Girls &amp; Descendants - Edit'!D306</f>
        <v>DREWE</v>
      </c>
      <c r="D307" t="str">
        <f>'All Girls &amp; Descendants - Edit'!E306</f>
        <v>Gillian</v>
      </c>
      <c r="E307" t="str">
        <f>IF('All Girls &amp; Descendants - Edit'!F306="","",'All Girls &amp; Descendants - Edit'!F306)</f>
        <v>Frances</v>
      </c>
      <c r="F307" t="str">
        <f>IF('All Girls &amp; Descendants - Edit'!G306="","",'All Girls &amp; Descendants - Edit'!G306)</f>
        <v/>
      </c>
      <c r="G307" t="str">
        <f>IF('All Girls &amp; Descendants - Edit'!H306="",D307,'All Girls &amp; Descendants - Edit'!H306)</f>
        <v>Gillian</v>
      </c>
      <c r="H307">
        <f>'All Girls &amp; Descendants - Edit'!I306</f>
        <v>1953</v>
      </c>
      <c r="I307" t="str">
        <f>'All Girls &amp; Descendants - Edit'!J306</f>
        <v/>
      </c>
      <c r="J307" s="101">
        <f>'All Girls &amp; Descendants - Edit'!K306</f>
        <v>0</v>
      </c>
      <c r="K307" s="3" t="str">
        <f>'All Girls &amp; Descendants - Edit'!L306</f>
        <v>20/07/1953</v>
      </c>
      <c r="L307" s="3">
        <f>'All Girls &amp; Descendants - Edit'!M306</f>
        <v>19560</v>
      </c>
      <c r="M307" s="3">
        <f>'All Girls &amp; Descendants - Edit'!N306</f>
        <v>29666</v>
      </c>
      <c r="N307" s="3">
        <f>'All Girls &amp; Descendants - Edit'!O306</f>
        <v>0</v>
      </c>
      <c r="O307" s="3" t="str">
        <f>'All Girls &amp; Descendants - Edit'!P306</f>
        <v/>
      </c>
      <c r="P307" t="str">
        <f t="shared" si="65"/>
        <v>47abb</v>
      </c>
      <c r="Q307" s="116">
        <f t="shared" si="66"/>
        <v>3</v>
      </c>
      <c r="R307" s="31" t="str">
        <f t="shared" si="67"/>
        <v>Gillian Frances  DREWE</v>
      </c>
      <c r="S307" t="str">
        <f t="shared" si="68"/>
        <v>Gillian DREWE (1953 - : #47abb)</v>
      </c>
    </row>
    <row r="308" spans="1:19">
      <c r="A308">
        <f>'All Girls &amp; Descendants - Edit'!B307</f>
        <v>47</v>
      </c>
      <c r="B308" t="str">
        <f>'All Girls &amp; Descendants - Edit'!C307</f>
        <v>47abc</v>
      </c>
      <c r="C308" t="str">
        <f>'All Girls &amp; Descendants - Edit'!D307</f>
        <v>DREWE</v>
      </c>
      <c r="D308" t="str">
        <f>'All Girls &amp; Descendants - Edit'!E307</f>
        <v>Charles</v>
      </c>
      <c r="E308" t="str">
        <f>IF('All Girls &amp; Descendants - Edit'!F307="","",'All Girls &amp; Descendants - Edit'!F307)</f>
        <v>Loyd</v>
      </c>
      <c r="F308" t="str">
        <f>IF('All Girls &amp; Descendants - Edit'!G307="","",'All Girls &amp; Descendants - Edit'!G307)</f>
        <v/>
      </c>
      <c r="G308" t="str">
        <f>IF('All Girls &amp; Descendants - Edit'!H307="",D308,'All Girls &amp; Descendants - Edit'!H307)</f>
        <v>Charles</v>
      </c>
      <c r="H308">
        <f>'All Girls &amp; Descendants - Edit'!I307</f>
        <v>1957</v>
      </c>
      <c r="I308" t="str">
        <f>'All Girls &amp; Descendants - Edit'!J307</f>
        <v/>
      </c>
      <c r="J308" s="101">
        <f>'All Girls &amp; Descendants - Edit'!K307</f>
        <v>0</v>
      </c>
      <c r="K308" s="3" t="str">
        <f>'All Girls &amp; Descendants - Edit'!L307</f>
        <v>24/10/1957</v>
      </c>
      <c r="L308" s="3" t="str">
        <f>'All Girls &amp; Descendants - Edit'!M307</f>
        <v>24/10/1957</v>
      </c>
      <c r="M308" s="3">
        <f>'All Girls &amp; Descendants - Edit'!N307</f>
        <v>31765</v>
      </c>
      <c r="N308" s="3">
        <f>'All Girls &amp; Descendants - Edit'!O307</f>
        <v>0</v>
      </c>
      <c r="O308" s="3" t="str">
        <f>'All Girls &amp; Descendants - Edit'!P307</f>
        <v/>
      </c>
      <c r="P308" t="str">
        <f t="shared" si="65"/>
        <v>47abc</v>
      </c>
      <c r="Q308" s="116">
        <f t="shared" si="66"/>
        <v>3</v>
      </c>
      <c r="R308" s="31" t="str">
        <f t="shared" si="67"/>
        <v>Charles Loyd  DREWE</v>
      </c>
      <c r="S308" t="str">
        <f t="shared" si="68"/>
        <v>Charles DREWE (1957 - : #47abc)</v>
      </c>
    </row>
    <row r="309" spans="1:19">
      <c r="A309">
        <f>'All Girls &amp; Descendants - Edit'!B308</f>
        <v>63</v>
      </c>
      <c r="B309" t="str">
        <f>'All Girls &amp; Descendants - Edit'!C308</f>
        <v>63aba</v>
      </c>
      <c r="C309" t="str">
        <f>'All Girls &amp; Descendants - Edit'!D308</f>
        <v>MOORE</v>
      </c>
      <c r="D309" t="str">
        <f>'All Girls &amp; Descendants - Edit'!E308</f>
        <v>Isabel</v>
      </c>
      <c r="E309" t="str">
        <f>IF('All Girls &amp; Descendants - Edit'!F308="","",'All Girls &amp; Descendants - Edit'!F308)</f>
        <v>Eleanor</v>
      </c>
      <c r="F309" t="str">
        <f>IF('All Girls &amp; Descendants - Edit'!G308="","",'All Girls &amp; Descendants - Edit'!G308)</f>
        <v/>
      </c>
      <c r="G309" t="str">
        <f>IF('All Girls &amp; Descendants - Edit'!H308="",D309,'All Girls &amp; Descendants - Edit'!H308)</f>
        <v>Isabel</v>
      </c>
      <c r="H309">
        <f>'All Girls &amp; Descendants - Edit'!I308</f>
        <v>1989</v>
      </c>
      <c r="I309">
        <f>'All Girls &amp; Descendants - Edit'!J308</f>
        <v>2021</v>
      </c>
      <c r="J309" s="101">
        <f>'All Girls &amp; Descendants - Edit'!K308</f>
        <v>0</v>
      </c>
      <c r="K309" s="3" t="str">
        <f>'All Girls &amp; Descendants - Edit'!L308</f>
        <v>26/04/1989</v>
      </c>
      <c r="L309" s="3">
        <f>'All Girls &amp; Descendants - Edit'!M308</f>
        <v>32624</v>
      </c>
      <c r="M309" s="3">
        <f>'All Girls &amp; Descendants - Edit'!N308</f>
        <v>0</v>
      </c>
      <c r="N309" s="3">
        <f>'All Girls &amp; Descendants - Edit'!O308</f>
        <v>44468</v>
      </c>
      <c r="O309" s="3" t="str">
        <f>'All Girls &amp; Descendants - Edit'!P308</f>
        <v>29/09/2021</v>
      </c>
      <c r="P309" t="str">
        <f t="shared" si="65"/>
        <v>63aba</v>
      </c>
      <c r="Q309" s="116">
        <f t="shared" si="66"/>
        <v>3</v>
      </c>
      <c r="R309" s="31" t="str">
        <f t="shared" si="67"/>
        <v>Isabel Eleanor  MOORE</v>
      </c>
      <c r="S309" t="str">
        <f t="shared" si="68"/>
        <v>Isabel MOORE (1989 - 2021: #63aba)</v>
      </c>
    </row>
    <row r="310" spans="1:19">
      <c r="A310">
        <f>'All Girls &amp; Descendants - Edit'!B309</f>
        <v>63</v>
      </c>
      <c r="B310" t="str">
        <f>'All Girls &amp; Descendants - Edit'!C309</f>
        <v>63abb</v>
      </c>
      <c r="C310" t="str">
        <f>'All Girls &amp; Descendants - Edit'!D309</f>
        <v>MOORE</v>
      </c>
      <c r="D310" t="str">
        <f>'All Girls &amp; Descendants - Edit'!E309</f>
        <v>Alistair</v>
      </c>
      <c r="E310" t="str">
        <f>IF('All Girls &amp; Descendants - Edit'!F309="","",'All Girls &amp; Descendants - Edit'!F309)</f>
        <v>William</v>
      </c>
      <c r="F310" t="str">
        <f>IF('All Girls &amp; Descendants - Edit'!G309="","",'All Girls &amp; Descendants - Edit'!G309)</f>
        <v/>
      </c>
      <c r="G310" t="str">
        <f>IF('All Girls &amp; Descendants - Edit'!H309="",D310,'All Girls &amp; Descendants - Edit'!H309)</f>
        <v>Alistair</v>
      </c>
      <c r="H310">
        <f>'All Girls &amp; Descendants - Edit'!I309</f>
        <v>1991</v>
      </c>
      <c r="I310" t="str">
        <f>'All Girls &amp; Descendants - Edit'!J309</f>
        <v/>
      </c>
      <c r="J310" s="101">
        <f>'All Girls &amp; Descendants - Edit'!K309</f>
        <v>0</v>
      </c>
      <c r="K310" s="3" t="str">
        <f>'All Girls &amp; Descendants - Edit'!L309</f>
        <v>21/04/1991</v>
      </c>
      <c r="L310" s="3">
        <f>'All Girls &amp; Descendants - Edit'!M309</f>
        <v>33349</v>
      </c>
      <c r="M310" s="3">
        <f>'All Girls &amp; Descendants - Edit'!N309</f>
        <v>0</v>
      </c>
      <c r="N310" s="3">
        <f>'All Girls &amp; Descendants - Edit'!O309</f>
        <v>0</v>
      </c>
      <c r="O310" s="3" t="str">
        <f>'All Girls &amp; Descendants - Edit'!P309</f>
        <v/>
      </c>
      <c r="P310" t="str">
        <f t="shared" si="65"/>
        <v>63abb</v>
      </c>
      <c r="Q310" s="116">
        <f t="shared" si="66"/>
        <v>3</v>
      </c>
      <c r="R310" s="31" t="str">
        <f t="shared" si="67"/>
        <v>Alistair William  MOORE</v>
      </c>
      <c r="S310" t="str">
        <f t="shared" si="68"/>
        <v>Alistair MOORE (1991 - : #63abb)</v>
      </c>
    </row>
    <row r="311" spans="1:19">
      <c r="A311">
        <f>'All Girls &amp; Descendants - Edit'!B310</f>
        <v>70</v>
      </c>
      <c r="B311" t="str">
        <f>'All Girls &amp; Descendants - Edit'!C310</f>
        <v>70aaa</v>
      </c>
      <c r="C311" t="str">
        <f>'All Girls &amp; Descendants - Edit'!D310</f>
        <v>SHEARER</v>
      </c>
      <c r="D311" t="str">
        <f>'All Girls &amp; Descendants - Edit'!E310</f>
        <v>Henry</v>
      </c>
      <c r="E311" t="str">
        <f>IF('All Girls &amp; Descendants - Edit'!F310="","",'All Girls &amp; Descendants - Edit'!F310)</f>
        <v>Charles</v>
      </c>
      <c r="F311" t="str">
        <f>IF('All Girls &amp; Descendants - Edit'!G310="","",'All Girls &amp; Descendants - Edit'!G310)</f>
        <v>Anthony</v>
      </c>
      <c r="G311" t="str">
        <f>IF('All Girls &amp; Descendants - Edit'!H310="",D311,'All Girls &amp; Descendants - Edit'!H310)</f>
        <v>Henry</v>
      </c>
      <c r="H311">
        <f>'All Girls &amp; Descendants - Edit'!I310</f>
        <v>1981</v>
      </c>
      <c r="I311" t="str">
        <f>'All Girls &amp; Descendants - Edit'!J310</f>
        <v/>
      </c>
      <c r="J311" s="101">
        <f>'All Girls &amp; Descendants - Edit'!K310</f>
        <v>0</v>
      </c>
      <c r="K311" s="3" t="str">
        <f>'All Girls &amp; Descendants - Edit'!L310</f>
        <v>07/11/1981</v>
      </c>
      <c r="L311" s="3">
        <f>'All Girls &amp; Descendants - Edit'!M310</f>
        <v>29897</v>
      </c>
      <c r="M311" s="3">
        <f>'All Girls &amp; Descendants - Edit'!N310</f>
        <v>0</v>
      </c>
      <c r="N311" s="3">
        <f>'All Girls &amp; Descendants - Edit'!O310</f>
        <v>0</v>
      </c>
      <c r="O311" s="3" t="str">
        <f>'All Girls &amp; Descendants - Edit'!P310</f>
        <v/>
      </c>
      <c r="P311" t="str">
        <f t="shared" si="65"/>
        <v>70aaa</v>
      </c>
      <c r="Q311" s="116">
        <f t="shared" si="66"/>
        <v>3</v>
      </c>
      <c r="R311" s="31" t="str">
        <f t="shared" si="67"/>
        <v>Henry Charles Anthony SHEARER</v>
      </c>
      <c r="S311" t="str">
        <f t="shared" si="68"/>
        <v>Henry SHEARER (1981 - : #70aaa)</v>
      </c>
    </row>
    <row r="312" spans="1:19">
      <c r="A312">
        <f>'All Girls &amp; Descendants - Edit'!B311</f>
        <v>70</v>
      </c>
      <c r="B312" t="str">
        <f>'All Girls &amp; Descendants - Edit'!C311</f>
        <v>70aab</v>
      </c>
      <c r="C312" t="str">
        <f>'All Girls &amp; Descendants - Edit'!D311</f>
        <v>SHEARER</v>
      </c>
      <c r="D312" t="str">
        <f>'All Girls &amp; Descendants - Edit'!E311</f>
        <v>Emma</v>
      </c>
      <c r="E312" t="str">
        <f>IF('All Girls &amp; Descendants - Edit'!F311="","",'All Girls &amp; Descendants - Edit'!F311)</f>
        <v>Jane</v>
      </c>
      <c r="F312" t="str">
        <f>IF('All Girls &amp; Descendants - Edit'!G311="","",'All Girls &amp; Descendants - Edit'!G311)</f>
        <v/>
      </c>
      <c r="G312" t="str">
        <f>IF('All Girls &amp; Descendants - Edit'!H311="",D312,'All Girls &amp; Descendants - Edit'!H311)</f>
        <v>Emma</v>
      </c>
      <c r="H312">
        <f>'All Girls &amp; Descendants - Edit'!I311</f>
        <v>1986</v>
      </c>
      <c r="I312" t="str">
        <f>'All Girls &amp; Descendants - Edit'!J311</f>
        <v/>
      </c>
      <c r="J312" s="101">
        <f>'All Girls &amp; Descendants - Edit'!K311</f>
        <v>0</v>
      </c>
      <c r="K312" s="3" t="str">
        <f>'All Girls &amp; Descendants - Edit'!L311</f>
        <v>12/09/1986</v>
      </c>
      <c r="L312" s="3" t="str">
        <f>'All Girls &amp; Descendants - Edit'!M311</f>
        <v>12/09/1986</v>
      </c>
      <c r="M312" s="3">
        <f>'All Girls &amp; Descendants - Edit'!N311</f>
        <v>0</v>
      </c>
      <c r="N312" s="3">
        <f>'All Girls &amp; Descendants - Edit'!O311</f>
        <v>0</v>
      </c>
      <c r="O312" s="3" t="str">
        <f>'All Girls &amp; Descendants - Edit'!P311</f>
        <v/>
      </c>
      <c r="P312" t="str">
        <f t="shared" si="65"/>
        <v>70aab</v>
      </c>
      <c r="Q312" s="116">
        <f t="shared" si="66"/>
        <v>3</v>
      </c>
      <c r="R312" s="31" t="str">
        <f t="shared" si="67"/>
        <v>Emma Jane  SHEARER</v>
      </c>
      <c r="S312" t="str">
        <f t="shared" si="68"/>
        <v>Emma SHEARER (1986 - : #70aab)</v>
      </c>
    </row>
    <row r="313" spans="1:19">
      <c r="A313">
        <f>'All Girls &amp; Descendants - Edit'!B312</f>
        <v>70</v>
      </c>
      <c r="B313" t="str">
        <f>'All Girls &amp; Descendants - Edit'!C312</f>
        <v>70aba</v>
      </c>
      <c r="C313" t="str">
        <f>'All Girls &amp; Descendants - Edit'!D312</f>
        <v>ANDREY</v>
      </c>
      <c r="D313" t="str">
        <f>'All Girls &amp; Descendants - Edit'!E312</f>
        <v>Christopher</v>
      </c>
      <c r="E313" t="str">
        <f>IF('All Girls &amp; Descendants - Edit'!F312="","",'All Girls &amp; Descendants - Edit'!F312)</f>
        <v>John</v>
      </c>
      <c r="F313" t="str">
        <f>IF('All Girls &amp; Descendants - Edit'!G312="","",'All Girls &amp; Descendants - Edit'!G312)</f>
        <v/>
      </c>
      <c r="G313" t="str">
        <f>IF('All Girls &amp; Descendants - Edit'!H312="",D313,'All Girls &amp; Descendants - Edit'!H312)</f>
        <v>Christopher</v>
      </c>
      <c r="H313">
        <f>'All Girls &amp; Descendants - Edit'!I312</f>
        <v>1982</v>
      </c>
      <c r="I313" t="str">
        <f>'All Girls &amp; Descendants - Edit'!J312</f>
        <v/>
      </c>
      <c r="J313" s="101">
        <f>'All Girls &amp; Descendants - Edit'!K312</f>
        <v>0</v>
      </c>
      <c r="K313" s="3" t="str">
        <f>'All Girls &amp; Descendants - Edit'!L312</f>
        <v>14/10/1982</v>
      </c>
      <c r="L313" s="3" t="str">
        <f>'All Girls &amp; Descendants - Edit'!M312</f>
        <v>14/10/1982</v>
      </c>
      <c r="M313" s="3">
        <f>'All Girls &amp; Descendants - Edit'!N312</f>
        <v>0</v>
      </c>
      <c r="N313" s="3">
        <f>'All Girls &amp; Descendants - Edit'!O312</f>
        <v>0</v>
      </c>
      <c r="O313" s="3" t="str">
        <f>'All Girls &amp; Descendants - Edit'!P312</f>
        <v/>
      </c>
      <c r="P313" t="str">
        <f t="shared" si="65"/>
        <v>70aba</v>
      </c>
      <c r="Q313" s="116">
        <f t="shared" si="66"/>
        <v>3</v>
      </c>
      <c r="R313" s="31" t="str">
        <f t="shared" si="67"/>
        <v>Christopher John  ANDREY</v>
      </c>
      <c r="S313" t="str">
        <f t="shared" si="68"/>
        <v>Christopher ANDREY (1982 - : #70aba)</v>
      </c>
    </row>
    <row r="314" spans="1:19">
      <c r="A314">
        <f>'All Girls &amp; Descendants - Edit'!B313</f>
        <v>70</v>
      </c>
      <c r="B314" t="str">
        <f>'All Girls &amp; Descendants - Edit'!C313</f>
        <v>70abb</v>
      </c>
      <c r="C314" t="str">
        <f>'All Girls &amp; Descendants - Edit'!D313</f>
        <v>ANDREY</v>
      </c>
      <c r="D314" t="str">
        <f>'All Girls &amp; Descendants - Edit'!E313</f>
        <v>Amanda</v>
      </c>
      <c r="E314" t="str">
        <f>IF('All Girls &amp; Descendants - Edit'!F313="","",'All Girls &amp; Descendants - Edit'!F313)</f>
        <v>Charlotte</v>
      </c>
      <c r="F314" t="str">
        <f>IF('All Girls &amp; Descendants - Edit'!G313="","",'All Girls &amp; Descendants - Edit'!G313)</f>
        <v/>
      </c>
      <c r="G314" t="str">
        <f>IF('All Girls &amp; Descendants - Edit'!H313="",D314,'All Girls &amp; Descendants - Edit'!H313)</f>
        <v>Amanda</v>
      </c>
      <c r="H314">
        <f>'All Girls &amp; Descendants - Edit'!I313</f>
        <v>1987</v>
      </c>
      <c r="I314" t="str">
        <f>'All Girls &amp; Descendants - Edit'!J313</f>
        <v/>
      </c>
      <c r="J314" s="101">
        <f>'All Girls &amp; Descendants - Edit'!K313</f>
        <v>0</v>
      </c>
      <c r="K314" s="3" t="str">
        <f>'All Girls &amp; Descendants - Edit'!L313</f>
        <v>18/02/1987</v>
      </c>
      <c r="L314" s="3" t="str">
        <f>'All Girls &amp; Descendants - Edit'!M313</f>
        <v>18/02/1987</v>
      </c>
      <c r="M314" s="3">
        <f>'All Girls &amp; Descendants - Edit'!N313</f>
        <v>0</v>
      </c>
      <c r="N314" s="3">
        <f>'All Girls &amp; Descendants - Edit'!O313</f>
        <v>0</v>
      </c>
      <c r="O314" s="3" t="str">
        <f>'All Girls &amp; Descendants - Edit'!P313</f>
        <v/>
      </c>
      <c r="P314" t="str">
        <f t="shared" si="65"/>
        <v>70abb</v>
      </c>
      <c r="Q314" s="116">
        <f t="shared" si="66"/>
        <v>3</v>
      </c>
      <c r="R314" s="31" t="str">
        <f t="shared" si="67"/>
        <v>Amanda Charlotte  ANDREY</v>
      </c>
      <c r="S314" t="str">
        <f t="shared" si="68"/>
        <v>Amanda ANDREY (1987 - : #70abb)</v>
      </c>
    </row>
    <row r="315" spans="1:19">
      <c r="A315">
        <f>'All Girls &amp; Descendants - Edit'!B314</f>
        <v>70</v>
      </c>
      <c r="B315" t="str">
        <f>'All Girls &amp; Descendants - Edit'!C314</f>
        <v>70baa</v>
      </c>
      <c r="C315" t="str">
        <f>'All Girls &amp; Descendants - Edit'!D314</f>
        <v>MELITUS</v>
      </c>
      <c r="D315" t="str">
        <f>'All Girls &amp; Descendants - Edit'!E314</f>
        <v>Zoe</v>
      </c>
      <c r="E315" t="str">
        <f>IF('All Girls &amp; Descendants - Edit'!F314="","",'All Girls &amp; Descendants - Edit'!F314)</f>
        <v>Adele</v>
      </c>
      <c r="F315" t="str">
        <f>IF('All Girls &amp; Descendants - Edit'!G314="","",'All Girls &amp; Descendants - Edit'!G314)</f>
        <v/>
      </c>
      <c r="G315" t="str">
        <f>IF('All Girls &amp; Descendants - Edit'!H314="",D315,'All Girls &amp; Descendants - Edit'!H314)</f>
        <v>Zoe</v>
      </c>
      <c r="H315">
        <f>'All Girls &amp; Descendants - Edit'!I314</f>
        <v>1979</v>
      </c>
      <c r="I315" t="str">
        <f>'All Girls &amp; Descendants - Edit'!J314</f>
        <v/>
      </c>
      <c r="J315" s="101">
        <f>'All Girls &amp; Descendants - Edit'!K314</f>
        <v>0</v>
      </c>
      <c r="K315" s="3" t="str">
        <f>'All Girls &amp; Descendants - Edit'!L314</f>
        <v>30/10/1979</v>
      </c>
      <c r="L315" s="3">
        <f>'All Girls &amp; Descendants - Edit'!M314</f>
        <v>29158</v>
      </c>
      <c r="M315" s="3">
        <f>'All Girls &amp; Descendants - Edit'!N314</f>
        <v>0</v>
      </c>
      <c r="N315" s="3">
        <f>'All Girls &amp; Descendants - Edit'!O314</f>
        <v>0</v>
      </c>
      <c r="O315" s="3" t="str">
        <f>'All Girls &amp; Descendants - Edit'!P314</f>
        <v/>
      </c>
      <c r="P315" t="str">
        <f t="shared" si="65"/>
        <v>70baa</v>
      </c>
      <c r="Q315" s="116">
        <f t="shared" si="66"/>
        <v>3</v>
      </c>
      <c r="R315" s="31" t="str">
        <f t="shared" si="67"/>
        <v>Zoe Adele  MELITUS</v>
      </c>
      <c r="S315" t="str">
        <f t="shared" si="68"/>
        <v>Zoe MELITUS (1979 - : #70baa)</v>
      </c>
    </row>
    <row r="316" spans="1:19">
      <c r="A316">
        <f>'All Girls &amp; Descendants - Edit'!B315</f>
        <v>70</v>
      </c>
      <c r="B316" t="str">
        <f>'All Girls &amp; Descendants - Edit'!C315</f>
        <v>70bab</v>
      </c>
      <c r="C316" t="str">
        <f>'All Girls &amp; Descendants - Edit'!D315</f>
        <v>MELITUS</v>
      </c>
      <c r="D316" t="str">
        <f>'All Girls &amp; Descendants - Edit'!E315</f>
        <v>Jonathan</v>
      </c>
      <c r="E316" t="str">
        <f>IF('All Girls &amp; Descendants - Edit'!F315="","",'All Girls &amp; Descendants - Edit'!F315)</f>
        <v>Peter</v>
      </c>
      <c r="F316" t="str">
        <f>IF('All Girls &amp; Descendants - Edit'!G315="","",'All Girls &amp; Descendants - Edit'!G315)</f>
        <v/>
      </c>
      <c r="G316" t="str">
        <f>IF('All Girls &amp; Descendants - Edit'!H315="",D316,'All Girls &amp; Descendants - Edit'!H315)</f>
        <v>Peter</v>
      </c>
      <c r="H316">
        <f>'All Girls &amp; Descendants - Edit'!I315</f>
        <v>1988</v>
      </c>
      <c r="I316" t="str">
        <f>'All Girls &amp; Descendants - Edit'!J315</f>
        <v/>
      </c>
      <c r="J316" s="101">
        <f>'All Girls &amp; Descendants - Edit'!K315</f>
        <v>0</v>
      </c>
      <c r="K316" s="3" t="str">
        <f>'All Girls &amp; Descendants - Edit'!L315</f>
        <v>25/06/1988</v>
      </c>
      <c r="L316" s="3">
        <f>'All Girls &amp; Descendants - Edit'!M315</f>
        <v>32319</v>
      </c>
      <c r="M316" s="3">
        <f>'All Girls &amp; Descendants - Edit'!N315</f>
        <v>0</v>
      </c>
      <c r="N316" s="3">
        <f>'All Girls &amp; Descendants - Edit'!O315</f>
        <v>0</v>
      </c>
      <c r="O316" s="3" t="str">
        <f>'All Girls &amp; Descendants - Edit'!P315</f>
        <v/>
      </c>
      <c r="P316" t="str">
        <f t="shared" si="65"/>
        <v>70bab</v>
      </c>
      <c r="Q316" s="116">
        <f t="shared" si="66"/>
        <v>3</v>
      </c>
      <c r="R316" s="31" t="str">
        <f t="shared" si="67"/>
        <v>Jonathan Peter  MELITUS</v>
      </c>
      <c r="S316" t="str">
        <f t="shared" si="68"/>
        <v>Peter MELITUS (1988 - : #70bab)</v>
      </c>
    </row>
    <row r="317" spans="1:19">
      <c r="A317">
        <f>'All Girls &amp; Descendants - Edit'!B316</f>
        <v>70</v>
      </c>
      <c r="B317" t="str">
        <f>'All Girls &amp; Descendants - Edit'!C316</f>
        <v>70bba</v>
      </c>
      <c r="C317" t="str">
        <f>'All Girls &amp; Descendants - Edit'!D316</f>
        <v>CHALDECOTT</v>
      </c>
      <c r="D317" t="str">
        <f>'All Girls &amp; Descendants - Edit'!E316</f>
        <v>Sophia</v>
      </c>
      <c r="E317" t="str">
        <f>IF('All Girls &amp; Descendants - Edit'!F316="","",'All Girls &amp; Descendants - Edit'!F316)</f>
        <v>Caroline</v>
      </c>
      <c r="F317" t="str">
        <f>IF('All Girls &amp; Descendants - Edit'!G316="","",'All Girls &amp; Descendants - Edit'!G316)</f>
        <v/>
      </c>
      <c r="G317" t="str">
        <f>IF('All Girls &amp; Descendants - Edit'!H316="",D317,'All Girls &amp; Descendants - Edit'!H316)</f>
        <v>Sophia</v>
      </c>
      <c r="H317">
        <f>'All Girls &amp; Descendants - Edit'!I316</f>
        <v>1989</v>
      </c>
      <c r="I317" t="str">
        <f>'All Girls &amp; Descendants - Edit'!J316</f>
        <v/>
      </c>
      <c r="J317" s="101">
        <f>'All Girls &amp; Descendants - Edit'!K316</f>
        <v>0</v>
      </c>
      <c r="K317" s="3" t="str">
        <f>'All Girls &amp; Descendants - Edit'!L316</f>
        <v>26/01/1989</v>
      </c>
      <c r="L317" s="3">
        <f>'All Girls &amp; Descendants - Edit'!M316</f>
        <v>32534</v>
      </c>
      <c r="M317" s="3">
        <f>'All Girls &amp; Descendants - Edit'!N316</f>
        <v>0</v>
      </c>
      <c r="N317" s="3">
        <f>'All Girls &amp; Descendants - Edit'!O316</f>
        <v>0</v>
      </c>
      <c r="O317" s="3" t="str">
        <f>'All Girls &amp; Descendants - Edit'!P316</f>
        <v/>
      </c>
      <c r="P317" t="str">
        <f t="shared" si="65"/>
        <v>70bba</v>
      </c>
      <c r="Q317" s="116">
        <f t="shared" si="66"/>
        <v>3</v>
      </c>
      <c r="R317" s="31" t="str">
        <f t="shared" si="67"/>
        <v>Sophia Caroline  CHALDECOTT</v>
      </c>
      <c r="S317" t="str">
        <f t="shared" si="68"/>
        <v>Sophia CHALDECOTT (1989 - : #70bba)</v>
      </c>
    </row>
    <row r="318" spans="1:19">
      <c r="A318">
        <f>'All Girls &amp; Descendants - Edit'!B317</f>
        <v>70</v>
      </c>
      <c r="B318" t="str">
        <f>'All Girls &amp; Descendants - Edit'!C317</f>
        <v>70bbb</v>
      </c>
      <c r="C318" t="str">
        <f>'All Girls &amp; Descendants - Edit'!D317</f>
        <v>CHALDECOTT</v>
      </c>
      <c r="D318" t="str">
        <f>'All Girls &amp; Descendants - Edit'!E317</f>
        <v>Lucy</v>
      </c>
      <c r="E318" t="str">
        <f>IF('All Girls &amp; Descendants - Edit'!F317="","",'All Girls &amp; Descendants - Edit'!F317)</f>
        <v>Maria</v>
      </c>
      <c r="F318" t="str">
        <f>IF('All Girls &amp; Descendants - Edit'!G317="","",'All Girls &amp; Descendants - Edit'!G317)</f>
        <v/>
      </c>
      <c r="G318" t="str">
        <f>IF('All Girls &amp; Descendants - Edit'!H317="",D318,'All Girls &amp; Descendants - Edit'!H317)</f>
        <v>Lucy</v>
      </c>
      <c r="H318">
        <f>'All Girls &amp; Descendants - Edit'!I317</f>
        <v>1992</v>
      </c>
      <c r="I318" t="str">
        <f>'All Girls &amp; Descendants - Edit'!J317</f>
        <v/>
      </c>
      <c r="J318" s="101">
        <f>'All Girls &amp; Descendants - Edit'!K317</f>
        <v>0</v>
      </c>
      <c r="K318" s="3" t="str">
        <f>'All Girls &amp; Descendants - Edit'!L317</f>
        <v>05/03/1992</v>
      </c>
      <c r="L318" s="3">
        <f>'All Girls &amp; Descendants - Edit'!M317</f>
        <v>33668</v>
      </c>
      <c r="M318" s="3">
        <f>'All Girls &amp; Descendants - Edit'!N317</f>
        <v>0</v>
      </c>
      <c r="N318" s="3">
        <f>'All Girls &amp; Descendants - Edit'!O317</f>
        <v>0</v>
      </c>
      <c r="O318" s="3" t="str">
        <f>'All Girls &amp; Descendants - Edit'!P317</f>
        <v/>
      </c>
      <c r="P318" t="str">
        <f t="shared" si="65"/>
        <v>70bbb</v>
      </c>
      <c r="Q318" s="116">
        <f t="shared" si="66"/>
        <v>3</v>
      </c>
      <c r="R318" s="31" t="str">
        <f t="shared" si="67"/>
        <v>Lucy Maria  CHALDECOTT</v>
      </c>
      <c r="S318" t="str">
        <f t="shared" si="68"/>
        <v>Lucy CHALDECOTT (1992 - : #70bbb)</v>
      </c>
    </row>
    <row r="319" spans="1:19">
      <c r="A319">
        <f>'All Girls &amp; Descendants - Edit'!B318</f>
        <v>70</v>
      </c>
      <c r="B319" t="str">
        <f>'All Girls &amp; Descendants - Edit'!C318</f>
        <v>70bbc</v>
      </c>
      <c r="C319" t="str">
        <f>'All Girls &amp; Descendants - Edit'!D318</f>
        <v>CHALDECOTT</v>
      </c>
      <c r="D319" t="str">
        <f>'All Girls &amp; Descendants - Edit'!E318</f>
        <v>Thomas</v>
      </c>
      <c r="E319" t="str">
        <f>IF('All Girls &amp; Descendants - Edit'!F318="","",'All Girls &amp; Descendants - Edit'!F318)</f>
        <v>Owen</v>
      </c>
      <c r="F319" t="str">
        <f>IF('All Girls &amp; Descendants - Edit'!G318="","",'All Girls &amp; Descendants - Edit'!G318)</f>
        <v/>
      </c>
      <c r="G319" t="str">
        <f>IF('All Girls &amp; Descendants - Edit'!H318="",D319,'All Girls &amp; Descendants - Edit'!H318)</f>
        <v>Thomas</v>
      </c>
      <c r="H319">
        <f>'All Girls &amp; Descendants - Edit'!I318</f>
        <v>1999</v>
      </c>
      <c r="I319" t="str">
        <f>'All Girls &amp; Descendants - Edit'!J318</f>
        <v/>
      </c>
      <c r="J319" s="101">
        <f>'All Girls &amp; Descendants - Edit'!K318</f>
        <v>0</v>
      </c>
      <c r="K319" s="3" t="str">
        <f>'All Girls &amp; Descendants - Edit'!L318</f>
        <v>31/10/1999</v>
      </c>
      <c r="L319" s="3">
        <f>'All Girls &amp; Descendants - Edit'!M318</f>
        <v>36464</v>
      </c>
      <c r="M319" s="3">
        <f>'All Girls &amp; Descendants - Edit'!N318</f>
        <v>0</v>
      </c>
      <c r="N319" s="3">
        <f>'All Girls &amp; Descendants - Edit'!O318</f>
        <v>0</v>
      </c>
      <c r="O319" s="3" t="str">
        <f>'All Girls &amp; Descendants - Edit'!P318</f>
        <v/>
      </c>
      <c r="P319" t="str">
        <f t="shared" si="65"/>
        <v>70bbc</v>
      </c>
      <c r="Q319" s="116">
        <f t="shared" si="66"/>
        <v>3</v>
      </c>
      <c r="R319" s="31" t="str">
        <f t="shared" si="67"/>
        <v>Thomas Owen  CHALDECOTT</v>
      </c>
      <c r="S319" t="str">
        <f t="shared" si="68"/>
        <v>Thomas CHALDECOTT (1999 - : #70bbc)</v>
      </c>
    </row>
    <row r="320" spans="1:19">
      <c r="A320">
        <f>'All Girls &amp; Descendants - Edit'!B319</f>
        <v>70</v>
      </c>
      <c r="B320" t="str">
        <f>'All Girls &amp; Descendants - Edit'!C319</f>
        <v>70cca</v>
      </c>
      <c r="C320" t="str">
        <f>'All Girls &amp; Descendants - Edit'!D319</f>
        <v>PAGE</v>
      </c>
      <c r="D320" t="str">
        <f>'All Girls &amp; Descendants - Edit'!E319</f>
        <v>George</v>
      </c>
      <c r="E320" t="str">
        <f>IF('All Girls &amp; Descendants - Edit'!F319="","",'All Girls &amp; Descendants - Edit'!F319)</f>
        <v>Arthur</v>
      </c>
      <c r="F320" t="str">
        <f>IF('All Girls &amp; Descendants - Edit'!G319="","",'All Girls &amp; Descendants - Edit'!G319)</f>
        <v>Louis</v>
      </c>
      <c r="G320" t="str">
        <f>IF('All Girls &amp; Descendants - Edit'!H319="",D320,'All Girls &amp; Descendants - Edit'!H319)</f>
        <v>George</v>
      </c>
      <c r="H320">
        <f>'All Girls &amp; Descendants - Edit'!I319</f>
        <v>1998</v>
      </c>
      <c r="I320" t="str">
        <f>'All Girls &amp; Descendants - Edit'!J319</f>
        <v/>
      </c>
      <c r="J320" s="101">
        <f>'All Girls &amp; Descendants - Edit'!K319</f>
        <v>0</v>
      </c>
      <c r="K320" s="3" t="str">
        <f>'All Girls &amp; Descendants - Edit'!L319</f>
        <v>28/03/1998</v>
      </c>
      <c r="L320" s="3">
        <f>'All Girls &amp; Descendants - Edit'!M319</f>
        <v>35882</v>
      </c>
      <c r="M320" s="3">
        <f>'All Girls &amp; Descendants - Edit'!N319</f>
        <v>0</v>
      </c>
      <c r="N320" s="3">
        <f>'All Girls &amp; Descendants - Edit'!O319</f>
        <v>0</v>
      </c>
      <c r="O320" s="3" t="str">
        <f>'All Girls &amp; Descendants - Edit'!P319</f>
        <v/>
      </c>
      <c r="P320" t="str">
        <f t="shared" si="65"/>
        <v>70cca</v>
      </c>
      <c r="Q320" s="116">
        <f t="shared" si="66"/>
        <v>3</v>
      </c>
      <c r="R320" s="31" t="str">
        <f t="shared" si="67"/>
        <v>George Arthur Louis PAGE</v>
      </c>
      <c r="S320" t="str">
        <f t="shared" si="68"/>
        <v>George PAGE (1998 - : #70cca)</v>
      </c>
    </row>
    <row r="321" spans="1:19">
      <c r="A321">
        <f>'All Girls &amp; Descendants - Edit'!B320</f>
        <v>70</v>
      </c>
      <c r="B321" t="str">
        <f>'All Girls &amp; Descendants - Edit'!C320</f>
        <v>70dca</v>
      </c>
      <c r="C321" t="str">
        <f>'All Girls &amp; Descendants - Edit'!D320</f>
        <v>GOW</v>
      </c>
      <c r="D321" t="str">
        <f>'All Girls &amp; Descendants - Edit'!E320</f>
        <v>Simeon</v>
      </c>
      <c r="E321" t="str">
        <f>IF('All Girls &amp; Descendants - Edit'!F320="","",'All Girls &amp; Descendants - Edit'!F320)</f>
        <v>Nathaniel</v>
      </c>
      <c r="F321" t="str">
        <f>IF('All Girls &amp; Descendants - Edit'!G320="","",'All Girls &amp; Descendants - Edit'!G320)</f>
        <v>Benjamin</v>
      </c>
      <c r="G321" t="str">
        <f>IF('All Girls &amp; Descendants - Edit'!H320="",D321,'All Girls &amp; Descendants - Edit'!H320)</f>
        <v>Simeon</v>
      </c>
      <c r="H321">
        <f>'All Girls &amp; Descendants - Edit'!I320</f>
        <v>1990</v>
      </c>
      <c r="I321" t="str">
        <f>'All Girls &amp; Descendants - Edit'!J320</f>
        <v/>
      </c>
      <c r="J321" s="101">
        <f>'All Girls &amp; Descendants - Edit'!K320</f>
        <v>0</v>
      </c>
      <c r="K321" s="3" t="str">
        <f>'All Girls &amp; Descendants - Edit'!L320</f>
        <v>23/10/1990</v>
      </c>
      <c r="L321" s="3">
        <f>'All Girls &amp; Descendants - Edit'!M320</f>
        <v>33169</v>
      </c>
      <c r="M321" s="3">
        <f>'All Girls &amp; Descendants - Edit'!N320</f>
        <v>0</v>
      </c>
      <c r="N321" s="3">
        <f>'All Girls &amp; Descendants - Edit'!O320</f>
        <v>0</v>
      </c>
      <c r="O321" s="3" t="str">
        <f>'All Girls &amp; Descendants - Edit'!P320</f>
        <v/>
      </c>
      <c r="P321" t="str">
        <f t="shared" si="65"/>
        <v>70dca</v>
      </c>
      <c r="Q321" s="116">
        <f t="shared" si="66"/>
        <v>3</v>
      </c>
      <c r="R321" s="31" t="str">
        <f t="shared" si="67"/>
        <v>Simeon Nathaniel Benjamin GOW</v>
      </c>
      <c r="S321" t="str">
        <f t="shared" si="68"/>
        <v>Simeon GOW (1990 - : #70dca)</v>
      </c>
    </row>
    <row r="322" spans="1:19">
      <c r="A322">
        <f>'All Girls &amp; Descendants - Edit'!B321</f>
        <v>70</v>
      </c>
      <c r="B322" t="str">
        <f>'All Girls &amp; Descendants - Edit'!C321</f>
        <v>70dcb</v>
      </c>
      <c r="C322" t="str">
        <f>'All Girls &amp; Descendants - Edit'!D321</f>
        <v>GOW</v>
      </c>
      <c r="D322" t="str">
        <f>'All Girls &amp; Descendants - Edit'!E321</f>
        <v>Christopher</v>
      </c>
      <c r="E322" t="str">
        <f>IF('All Girls &amp; Descendants - Edit'!F321="","",'All Girls &amp; Descendants - Edit'!F321)</f>
        <v>Gavin</v>
      </c>
      <c r="F322" t="str">
        <f>IF('All Girls &amp; Descendants - Edit'!G321="","",'All Girls &amp; Descendants - Edit'!G321)</f>
        <v>Thomas</v>
      </c>
      <c r="G322" t="str">
        <f>IF('All Girls &amp; Descendants - Edit'!H321="",D322,'All Girls &amp; Descendants - Edit'!H321)</f>
        <v>Christopher</v>
      </c>
      <c r="H322">
        <f>'All Girls &amp; Descendants - Edit'!I321</f>
        <v>1996</v>
      </c>
      <c r="I322" t="str">
        <f>'All Girls &amp; Descendants - Edit'!J321</f>
        <v/>
      </c>
      <c r="J322" s="101">
        <f>'All Girls &amp; Descendants - Edit'!K321</f>
        <v>0</v>
      </c>
      <c r="K322" s="3" t="str">
        <f>'All Girls &amp; Descendants - Edit'!L321</f>
        <v>19/04/1996</v>
      </c>
      <c r="L322" s="3">
        <f>'All Girls &amp; Descendants - Edit'!M321</f>
        <v>35174</v>
      </c>
      <c r="M322" s="3">
        <f>'All Girls &amp; Descendants - Edit'!N321</f>
        <v>0</v>
      </c>
      <c r="N322" s="3">
        <f>'All Girls &amp; Descendants - Edit'!O321</f>
        <v>0</v>
      </c>
      <c r="O322" s="3" t="str">
        <f>'All Girls &amp; Descendants - Edit'!P321</f>
        <v/>
      </c>
      <c r="P322" t="str">
        <f t="shared" si="65"/>
        <v>70dcb</v>
      </c>
      <c r="Q322" s="116">
        <f t="shared" si="66"/>
        <v>3</v>
      </c>
      <c r="R322" s="31" t="str">
        <f t="shared" si="67"/>
        <v>Christopher Gavin Thomas GOW</v>
      </c>
      <c r="S322" t="str">
        <f t="shared" si="68"/>
        <v>Christopher GOW (1996 - : #70dcb)</v>
      </c>
    </row>
    <row r="323" spans="1:19">
      <c r="A323">
        <f>'All Girls &amp; Descendants - Edit'!B322</f>
        <v>70</v>
      </c>
      <c r="B323" t="str">
        <f>'All Girls &amp; Descendants - Edit'!C322</f>
        <v>70dcc</v>
      </c>
      <c r="C323" t="str">
        <f>'All Girls &amp; Descendants - Edit'!D322</f>
        <v>GOW</v>
      </c>
      <c r="D323" t="str">
        <f>'All Girls &amp; Descendants - Edit'!E322</f>
        <v>Joanna</v>
      </c>
      <c r="E323" t="str">
        <f>IF('All Girls &amp; Descendants - Edit'!F322="","",'All Girls &amp; Descendants - Edit'!F322)</f>
        <v>Louise</v>
      </c>
      <c r="F323" t="str">
        <f>IF('All Girls &amp; Descendants - Edit'!G322="","",'All Girls &amp; Descendants - Edit'!G322)</f>
        <v/>
      </c>
      <c r="G323" t="str">
        <f>IF('All Girls &amp; Descendants - Edit'!H322="",D323,'All Girls &amp; Descendants - Edit'!H322)</f>
        <v>Joanna</v>
      </c>
      <c r="H323">
        <f>'All Girls &amp; Descendants - Edit'!I322</f>
        <v>1998</v>
      </c>
      <c r="I323" t="str">
        <f>'All Girls &amp; Descendants - Edit'!J322</f>
        <v/>
      </c>
      <c r="J323" s="101">
        <f>'All Girls &amp; Descendants - Edit'!K322</f>
        <v>0</v>
      </c>
      <c r="K323" s="3" t="str">
        <f>'All Girls &amp; Descendants - Edit'!L322</f>
        <v>14/05/1998</v>
      </c>
      <c r="L323" s="3">
        <f>'All Girls &amp; Descendants - Edit'!M322</f>
        <v>35929</v>
      </c>
      <c r="M323" s="3">
        <f>'All Girls &amp; Descendants - Edit'!N322</f>
        <v>0</v>
      </c>
      <c r="N323" s="3">
        <f>'All Girls &amp; Descendants - Edit'!O322</f>
        <v>0</v>
      </c>
      <c r="O323" s="3" t="str">
        <f>'All Girls &amp; Descendants - Edit'!P322</f>
        <v/>
      </c>
      <c r="P323" t="str">
        <f t="shared" si="65"/>
        <v>70dcc</v>
      </c>
      <c r="Q323" s="116">
        <f t="shared" si="66"/>
        <v>3</v>
      </c>
      <c r="R323" s="31" t="str">
        <f t="shared" si="67"/>
        <v>Joanna Louise  GOW</v>
      </c>
      <c r="S323" t="str">
        <f t="shared" si="68"/>
        <v>Joanna GOW (1998 - : #70dcc)</v>
      </c>
    </row>
    <row r="324" spans="1:19">
      <c r="A324">
        <f>'All Girls &amp; Descendants - Edit'!B323</f>
        <v>85</v>
      </c>
      <c r="B324" t="str">
        <f>'All Girls &amp; Descendants - Edit'!C323</f>
        <v>85aaa</v>
      </c>
      <c r="C324" t="str">
        <f>'All Girls &amp; Descendants - Edit'!D323</f>
        <v>ELLIS</v>
      </c>
      <c r="D324" t="str">
        <f>'All Girls &amp; Descendants - Edit'!E323</f>
        <v>Matilda</v>
      </c>
      <c r="E324" t="str">
        <f>IF('All Girls &amp; Descendants - Edit'!F323="","",'All Girls &amp; Descendants - Edit'!F323)</f>
        <v>Prudence</v>
      </c>
      <c r="F324" t="str">
        <f>IF('All Girls &amp; Descendants - Edit'!G323="","",'All Girls &amp; Descendants - Edit'!G323)</f>
        <v/>
      </c>
      <c r="G324" t="str">
        <f>IF('All Girls &amp; Descendants - Edit'!H323="",D324,'All Girls &amp; Descendants - Edit'!H323)</f>
        <v>Matilda</v>
      </c>
      <c r="H324">
        <f>'All Girls &amp; Descendants - Edit'!I323</f>
        <v>1995</v>
      </c>
      <c r="I324" t="str">
        <f>'All Girls &amp; Descendants - Edit'!J323</f>
        <v/>
      </c>
      <c r="J324" s="101">
        <f>'All Girls &amp; Descendants - Edit'!K323</f>
        <v>0</v>
      </c>
      <c r="K324" s="3" t="str">
        <f>'All Girls &amp; Descendants - Edit'!L323</f>
        <v>25/07/1995</v>
      </c>
      <c r="L324" s="3">
        <f>'All Girls &amp; Descendants - Edit'!M323</f>
        <v>34905</v>
      </c>
      <c r="M324" s="3">
        <f>'All Girls &amp; Descendants - Edit'!N323</f>
        <v>0</v>
      </c>
      <c r="N324" s="3">
        <f>'All Girls &amp; Descendants - Edit'!O323</f>
        <v>0</v>
      </c>
      <c r="O324" s="3" t="str">
        <f>'All Girls &amp; Descendants - Edit'!P323</f>
        <v/>
      </c>
      <c r="P324" t="str">
        <f t="shared" si="65"/>
        <v>85aaa</v>
      </c>
      <c r="Q324" s="116">
        <f t="shared" si="66"/>
        <v>3</v>
      </c>
      <c r="R324" s="31" t="str">
        <f t="shared" si="67"/>
        <v>Matilda Prudence  ELLIS</v>
      </c>
      <c r="S324" t="str">
        <f t="shared" si="68"/>
        <v>Matilda ELLIS (1995 - : #85aaa)</v>
      </c>
    </row>
    <row r="325" spans="1:19">
      <c r="A325">
        <f>'All Girls &amp; Descendants - Edit'!B324</f>
        <v>85</v>
      </c>
      <c r="B325" t="str">
        <f>'All Girls &amp; Descendants - Edit'!C324</f>
        <v>85aab</v>
      </c>
      <c r="C325" t="str">
        <f>'All Girls &amp; Descendants - Edit'!D324</f>
        <v>ELLIS</v>
      </c>
      <c r="D325" t="str">
        <f>'All Girls &amp; Descendants - Edit'!E324</f>
        <v>Tabitha</v>
      </c>
      <c r="E325" t="str">
        <f>IF('All Girls &amp; Descendants - Edit'!F324="","",'All Girls &amp; Descendants - Edit'!F324)</f>
        <v>Hope</v>
      </c>
      <c r="F325" t="str">
        <f>IF('All Girls &amp; Descendants - Edit'!G324="","",'All Girls &amp; Descendants - Edit'!G324)</f>
        <v/>
      </c>
      <c r="G325" t="str">
        <f>IF('All Girls &amp; Descendants - Edit'!H324="",D325,'All Girls &amp; Descendants - Edit'!H324)</f>
        <v>Tabitha</v>
      </c>
      <c r="H325">
        <f>'All Girls &amp; Descendants - Edit'!I324</f>
        <v>1997</v>
      </c>
      <c r="I325" t="str">
        <f>'All Girls &amp; Descendants - Edit'!J324</f>
        <v/>
      </c>
      <c r="J325" s="101">
        <f>'All Girls &amp; Descendants - Edit'!K324</f>
        <v>0</v>
      </c>
      <c r="K325" s="3" t="str">
        <f>'All Girls &amp; Descendants - Edit'!L324</f>
        <v>03/10/1997</v>
      </c>
      <c r="L325" s="3">
        <f>'All Girls &amp; Descendants - Edit'!M324</f>
        <v>35706</v>
      </c>
      <c r="M325" s="3">
        <f>'All Girls &amp; Descendants - Edit'!N324</f>
        <v>0</v>
      </c>
      <c r="N325" s="3">
        <f>'All Girls &amp; Descendants - Edit'!O324</f>
        <v>0</v>
      </c>
      <c r="O325" s="3" t="str">
        <f>'All Girls &amp; Descendants - Edit'!P324</f>
        <v/>
      </c>
      <c r="P325" t="str">
        <f t="shared" ref="P325:P388" si="69">B325</f>
        <v>85aab</v>
      </c>
      <c r="Q325" s="116">
        <f t="shared" ref="Q325:Q388" si="70">LEN(B325)-LEN(A325)</f>
        <v>3</v>
      </c>
      <c r="R325" s="31" t="str">
        <f t="shared" ref="R325:R388" si="71">_xlfn.CONCAT(D325," ",E325," ",F325," ",C325)</f>
        <v>Tabitha Hope  ELLIS</v>
      </c>
      <c r="S325" t="str">
        <f t="shared" ref="S325:S388" si="72">_xlfn.CONCAT(G325," ",C325," (",H325," - ",I325,": #",B325,")")</f>
        <v>Tabitha ELLIS (1997 - : #85aab)</v>
      </c>
    </row>
    <row r="326" spans="1:19">
      <c r="A326">
        <f>'All Girls &amp; Descendants - Edit'!B325</f>
        <v>85</v>
      </c>
      <c r="B326" t="str">
        <f>'All Girls &amp; Descendants - Edit'!C325</f>
        <v>85aba</v>
      </c>
      <c r="C326" t="str">
        <f>'All Girls &amp; Descendants - Edit'!D325</f>
        <v>LANE FOX</v>
      </c>
      <c r="D326" t="str">
        <f>'All Girls &amp; Descendants - Edit'!E325</f>
        <v>Esme</v>
      </c>
      <c r="E326" t="str">
        <f>IF('All Girls &amp; Descendants - Edit'!F325="","",'All Girls &amp; Descendants - Edit'!F325)</f>
        <v>Grace G</v>
      </c>
      <c r="F326" t="str">
        <f>IF('All Girls &amp; Descendants - Edit'!G325="","",'All Girls &amp; Descendants - Edit'!G325)</f>
        <v/>
      </c>
      <c r="G326" t="str">
        <f>IF('All Girls &amp; Descendants - Edit'!H325="",D326,'All Girls &amp; Descendants - Edit'!H325)</f>
        <v>Esme</v>
      </c>
      <c r="H326">
        <f>'All Girls &amp; Descendants - Edit'!I325</f>
        <v>1998</v>
      </c>
      <c r="I326" t="str">
        <f>'All Girls &amp; Descendants - Edit'!J325</f>
        <v/>
      </c>
      <c r="J326" s="101">
        <f>'All Girls &amp; Descendants - Edit'!K325</f>
        <v>0</v>
      </c>
      <c r="K326" s="3" t="str">
        <f>'All Girls &amp; Descendants - Edit'!L325</f>
        <v>24/07/1998</v>
      </c>
      <c r="L326" s="3">
        <f>'All Girls &amp; Descendants - Edit'!M325</f>
        <v>36000</v>
      </c>
      <c r="M326" s="3">
        <f>'All Girls &amp; Descendants - Edit'!N325</f>
        <v>0</v>
      </c>
      <c r="N326" s="3">
        <f>'All Girls &amp; Descendants - Edit'!O325</f>
        <v>0</v>
      </c>
      <c r="O326" s="3" t="str">
        <f>'All Girls &amp; Descendants - Edit'!P325</f>
        <v/>
      </c>
      <c r="P326" t="str">
        <f t="shared" si="69"/>
        <v>85aba</v>
      </c>
      <c r="Q326" s="116">
        <f t="shared" si="70"/>
        <v>3</v>
      </c>
      <c r="R326" s="31" t="str">
        <f t="shared" si="71"/>
        <v>Esme Grace G  LANE FOX</v>
      </c>
      <c r="S326" t="str">
        <f t="shared" si="72"/>
        <v>Esme LANE FOX (1998 - : #85aba)</v>
      </c>
    </row>
    <row r="327" spans="1:19">
      <c r="A327">
        <f>'All Girls &amp; Descendants - Edit'!B326</f>
        <v>85</v>
      </c>
      <c r="B327" t="str">
        <f>'All Girls &amp; Descendants - Edit'!C326</f>
        <v>85abb</v>
      </c>
      <c r="C327" t="str">
        <f>'All Girls &amp; Descendants - Edit'!D326</f>
        <v>LANE FOX</v>
      </c>
      <c r="D327" t="str">
        <f>'All Girls &amp; Descendants - Edit'!E326</f>
        <v>Georgia</v>
      </c>
      <c r="E327" t="str">
        <f>IF('All Girls &amp; Descendants - Edit'!F326="","",'All Girls &amp; Descendants - Edit'!F326)</f>
        <v>Rose</v>
      </c>
      <c r="F327" t="str">
        <f>IF('All Girls &amp; Descendants - Edit'!G326="","",'All Girls &amp; Descendants - Edit'!G326)</f>
        <v/>
      </c>
      <c r="G327" t="str">
        <f>IF('All Girls &amp; Descendants - Edit'!H326="",D327,'All Girls &amp; Descendants - Edit'!H326)</f>
        <v>Georgia</v>
      </c>
      <c r="H327">
        <f>'All Girls &amp; Descendants - Edit'!I326</f>
        <v>2000</v>
      </c>
      <c r="I327" t="str">
        <f>'All Girls &amp; Descendants - Edit'!J326</f>
        <v/>
      </c>
      <c r="J327" s="101">
        <f>'All Girls &amp; Descendants - Edit'!K326</f>
        <v>0</v>
      </c>
      <c r="K327" s="3" t="str">
        <f>'All Girls &amp; Descendants - Edit'!L326</f>
        <v>23/06/2000</v>
      </c>
      <c r="L327" s="3">
        <f>'All Girls &amp; Descendants - Edit'!M326</f>
        <v>36700</v>
      </c>
      <c r="M327" s="3">
        <f>'All Girls &amp; Descendants - Edit'!N326</f>
        <v>0</v>
      </c>
      <c r="N327" s="3">
        <f>'All Girls &amp; Descendants - Edit'!O326</f>
        <v>0</v>
      </c>
      <c r="O327" s="3" t="str">
        <f>'All Girls &amp; Descendants - Edit'!P326</f>
        <v/>
      </c>
      <c r="P327" t="str">
        <f t="shared" si="69"/>
        <v>85abb</v>
      </c>
      <c r="Q327" s="116">
        <f t="shared" si="70"/>
        <v>3</v>
      </c>
      <c r="R327" s="31" t="str">
        <f t="shared" si="71"/>
        <v>Georgia Rose  LANE FOX</v>
      </c>
      <c r="S327" t="str">
        <f t="shared" si="72"/>
        <v>Georgia LANE FOX (2000 - : #85abb)</v>
      </c>
    </row>
    <row r="328" spans="1:19">
      <c r="A328">
        <f>'All Girls &amp; Descendants - Edit'!B327</f>
        <v>85</v>
      </c>
      <c r="B328" t="str">
        <f>'All Girls &amp; Descendants - Edit'!C327</f>
        <v>85bca</v>
      </c>
      <c r="C328" t="str">
        <f>'All Girls &amp; Descendants - Edit'!D327</f>
        <v>GASZTOWTT</v>
      </c>
      <c r="D328" t="str">
        <f>'All Girls &amp; Descendants - Edit'!E327</f>
        <v>Lily</v>
      </c>
      <c r="E328" t="str">
        <f>IF('All Girls &amp; Descendants - Edit'!F327="","",'All Girls &amp; Descendants - Edit'!F327)</f>
        <v>Joanna</v>
      </c>
      <c r="F328" t="str">
        <f>IF('All Girls &amp; Descendants - Edit'!G327="","",'All Girls &amp; Descendants - Edit'!G327)</f>
        <v/>
      </c>
      <c r="G328" t="str">
        <f>IF('All Girls &amp; Descendants - Edit'!H327="",D328,'All Girls &amp; Descendants - Edit'!H327)</f>
        <v>Lily</v>
      </c>
      <c r="H328">
        <f>'All Girls &amp; Descendants - Edit'!I327</f>
        <v>1997</v>
      </c>
      <c r="I328" t="str">
        <f>'All Girls &amp; Descendants - Edit'!J327</f>
        <v/>
      </c>
      <c r="J328" s="101">
        <f>'All Girls &amp; Descendants - Edit'!K327</f>
        <v>0</v>
      </c>
      <c r="K328" s="3" t="str">
        <f>'All Girls &amp; Descendants - Edit'!L327</f>
        <v>01/07/1997</v>
      </c>
      <c r="L328" s="3">
        <f>'All Girls &amp; Descendants - Edit'!M327</f>
        <v>35612</v>
      </c>
      <c r="M328" s="3">
        <f>'All Girls &amp; Descendants - Edit'!N327</f>
        <v>0</v>
      </c>
      <c r="N328" s="3">
        <f>'All Girls &amp; Descendants - Edit'!O327</f>
        <v>0</v>
      </c>
      <c r="O328" s="3" t="str">
        <f>'All Girls &amp; Descendants - Edit'!P327</f>
        <v/>
      </c>
      <c r="P328" t="str">
        <f t="shared" si="69"/>
        <v>85bca</v>
      </c>
      <c r="Q328" s="116">
        <f t="shared" si="70"/>
        <v>3</v>
      </c>
      <c r="R328" s="31" t="str">
        <f t="shared" si="71"/>
        <v>Lily Joanna  GASZTOWTT</v>
      </c>
      <c r="S328" t="str">
        <f t="shared" si="72"/>
        <v>Lily GASZTOWTT (1997 - : #85bca)</v>
      </c>
    </row>
    <row r="329" spans="1:19">
      <c r="A329">
        <f>'All Girls &amp; Descendants - Edit'!B328</f>
        <v>88</v>
      </c>
      <c r="B329" t="str">
        <f>'All Girls &amp; Descendants - Edit'!C328</f>
        <v>88aaa</v>
      </c>
      <c r="C329" t="str">
        <f>'All Girls &amp; Descendants - Edit'!D328</f>
        <v>HOLMAN-BAIRD</v>
      </c>
      <c r="D329" t="str">
        <f>'All Girls &amp; Descendants - Edit'!E328</f>
        <v>Louise</v>
      </c>
      <c r="E329" t="str">
        <f>IF('All Girls &amp; Descendants - Edit'!F328="","",'All Girls &amp; Descendants - Edit'!F328)</f>
        <v>Saragh</v>
      </c>
      <c r="F329" t="str">
        <f>IF('All Girls &amp; Descendants - Edit'!G328="","",'All Girls &amp; Descendants - Edit'!G328)</f>
        <v/>
      </c>
      <c r="G329" t="str">
        <f>IF('All Girls &amp; Descendants - Edit'!H328="",D329,'All Girls &amp; Descendants - Edit'!H328)</f>
        <v>Louise</v>
      </c>
      <c r="H329">
        <f>'All Girls &amp; Descendants - Edit'!I328</f>
        <v>1986</v>
      </c>
      <c r="I329" t="str">
        <f>'All Girls &amp; Descendants - Edit'!J328</f>
        <v/>
      </c>
      <c r="J329" s="101">
        <f>'All Girls &amp; Descendants - Edit'!K328</f>
        <v>0</v>
      </c>
      <c r="K329" s="3" t="str">
        <f>'All Girls &amp; Descendants - Edit'!L328</f>
        <v>31/12/1986</v>
      </c>
      <c r="L329" s="3" t="str">
        <f>'All Girls &amp; Descendants - Edit'!M328</f>
        <v>31/12/1986</v>
      </c>
      <c r="M329" s="3">
        <f>'All Girls &amp; Descendants - Edit'!N328</f>
        <v>0</v>
      </c>
      <c r="N329" s="3">
        <f>'All Girls &amp; Descendants - Edit'!O328</f>
        <v>0</v>
      </c>
      <c r="O329" s="3" t="str">
        <f>'All Girls &amp; Descendants - Edit'!P328</f>
        <v/>
      </c>
      <c r="P329" t="str">
        <f t="shared" si="69"/>
        <v>88aaa</v>
      </c>
      <c r="Q329" s="116">
        <f t="shared" si="70"/>
        <v>3</v>
      </c>
      <c r="R329" s="31" t="str">
        <f t="shared" si="71"/>
        <v>Louise Saragh  HOLMAN-BAIRD</v>
      </c>
      <c r="S329" t="str">
        <f t="shared" si="72"/>
        <v>Louise HOLMAN-BAIRD (1986 - : #88aaa)</v>
      </c>
    </row>
    <row r="330" spans="1:19">
      <c r="A330">
        <f>'All Girls &amp; Descendants - Edit'!B329</f>
        <v>88</v>
      </c>
      <c r="B330" t="str">
        <f>'All Girls &amp; Descendants - Edit'!C329</f>
        <v>88aab</v>
      </c>
      <c r="C330" t="str">
        <f>'All Girls &amp; Descendants - Edit'!D329</f>
        <v>HOLMAN-BAIRD</v>
      </c>
      <c r="D330" t="str">
        <f>'All Girls &amp; Descendants - Edit'!E329</f>
        <v>Angus</v>
      </c>
      <c r="E330" t="str">
        <f>IF('All Girls &amp; Descendants - Edit'!F329="","",'All Girls &amp; Descendants - Edit'!F329)</f>
        <v>John</v>
      </c>
      <c r="F330" t="str">
        <f>IF('All Girls &amp; Descendants - Edit'!G329="","",'All Girls &amp; Descendants - Edit'!G329)</f>
        <v/>
      </c>
      <c r="G330" t="str">
        <f>IF('All Girls &amp; Descendants - Edit'!H329="",D330,'All Girls &amp; Descendants - Edit'!H329)</f>
        <v>Angus</v>
      </c>
      <c r="H330">
        <f>'All Girls &amp; Descendants - Edit'!I329</f>
        <v>1997</v>
      </c>
      <c r="I330" t="str">
        <f>'All Girls &amp; Descendants - Edit'!J329</f>
        <v/>
      </c>
      <c r="J330" s="101">
        <f>'All Girls &amp; Descendants - Edit'!K329</f>
        <v>0</v>
      </c>
      <c r="K330" s="3" t="str">
        <f>'All Girls &amp; Descendants - Edit'!L329</f>
        <v>14/01/1997</v>
      </c>
      <c r="L330" s="3">
        <f>'All Girls &amp; Descendants - Edit'!M329</f>
        <v>35444</v>
      </c>
      <c r="M330" s="3">
        <f>'All Girls &amp; Descendants - Edit'!N329</f>
        <v>0</v>
      </c>
      <c r="N330" s="3">
        <f>'All Girls &amp; Descendants - Edit'!O329</f>
        <v>0</v>
      </c>
      <c r="O330" s="3" t="str">
        <f>'All Girls &amp; Descendants - Edit'!P329</f>
        <v/>
      </c>
      <c r="P330" t="str">
        <f t="shared" si="69"/>
        <v>88aab</v>
      </c>
      <c r="Q330" s="116">
        <f t="shared" si="70"/>
        <v>3</v>
      </c>
      <c r="R330" s="31" t="str">
        <f t="shared" si="71"/>
        <v>Angus John  HOLMAN-BAIRD</v>
      </c>
      <c r="S330" t="str">
        <f t="shared" si="72"/>
        <v>Angus HOLMAN-BAIRD (1997 - : #88aab)</v>
      </c>
    </row>
    <row r="331" spans="1:19">
      <c r="A331">
        <f>'All Girls &amp; Descendants - Edit'!B330</f>
        <v>88</v>
      </c>
      <c r="B331" t="str">
        <f>'All Girls &amp; Descendants - Edit'!C330</f>
        <v>88aac</v>
      </c>
      <c r="C331" t="str">
        <f>'All Girls &amp; Descendants - Edit'!D330</f>
        <v>HOLMAN-BAIRD</v>
      </c>
      <c r="D331" t="str">
        <f>'All Girls &amp; Descendants - Edit'!E330</f>
        <v>Amelia</v>
      </c>
      <c r="E331" t="str">
        <f>IF('All Girls &amp; Descendants - Edit'!F330="","",'All Girls &amp; Descendants - Edit'!F330)</f>
        <v>Jo</v>
      </c>
      <c r="F331" t="str">
        <f>IF('All Girls &amp; Descendants - Edit'!G330="","",'All Girls &amp; Descendants - Edit'!G330)</f>
        <v/>
      </c>
      <c r="G331" t="str">
        <f>IF('All Girls &amp; Descendants - Edit'!H330="",D331,'All Girls &amp; Descendants - Edit'!H330)</f>
        <v>Amelia</v>
      </c>
      <c r="H331">
        <f>'All Girls &amp; Descendants - Edit'!I330</f>
        <v>1998</v>
      </c>
      <c r="I331" t="str">
        <f>'All Girls &amp; Descendants - Edit'!J330</f>
        <v/>
      </c>
      <c r="J331" s="101">
        <f>'All Girls &amp; Descendants - Edit'!K330</f>
        <v>0</v>
      </c>
      <c r="K331" s="3" t="str">
        <f>'All Girls &amp; Descendants - Edit'!L330</f>
        <v>29/12/1998</v>
      </c>
      <c r="L331" s="3">
        <f>'All Girls &amp; Descendants - Edit'!M330</f>
        <v>36158</v>
      </c>
      <c r="M331" s="3">
        <f>'All Girls &amp; Descendants - Edit'!N330</f>
        <v>0</v>
      </c>
      <c r="N331" s="3">
        <f>'All Girls &amp; Descendants - Edit'!O330</f>
        <v>0</v>
      </c>
      <c r="O331" s="3" t="str">
        <f>'All Girls &amp; Descendants - Edit'!P330</f>
        <v/>
      </c>
      <c r="P331" t="str">
        <f t="shared" si="69"/>
        <v>88aac</v>
      </c>
      <c r="Q331" s="116">
        <f t="shared" si="70"/>
        <v>3</v>
      </c>
      <c r="R331" s="31" t="str">
        <f t="shared" si="71"/>
        <v>Amelia Jo  HOLMAN-BAIRD</v>
      </c>
      <c r="S331" t="str">
        <f t="shared" si="72"/>
        <v>Amelia HOLMAN-BAIRD (1998 - : #88aac)</v>
      </c>
    </row>
    <row r="332" spans="1:19">
      <c r="A332">
        <f>'All Girls &amp; Descendants - Edit'!B331</f>
        <v>88</v>
      </c>
      <c r="B332" t="str">
        <f>'All Girls &amp; Descendants - Edit'!C331</f>
        <v>88aca</v>
      </c>
      <c r="C332" t="str">
        <f>'All Girls &amp; Descendants - Edit'!D331</f>
        <v>STIRRUP</v>
      </c>
      <c r="D332" t="str">
        <f>'All Girls &amp; Descendants - Edit'!E331</f>
        <v>William</v>
      </c>
      <c r="E332" t="str">
        <f>IF('All Girls &amp; Descendants - Edit'!F331="","",'All Girls &amp; Descendants - Edit'!F331)</f>
        <v>John</v>
      </c>
      <c r="F332" t="str">
        <f>IF('All Girls &amp; Descendants - Edit'!G331="","",'All Girls &amp; Descendants - Edit'!G331)</f>
        <v/>
      </c>
      <c r="G332" t="str">
        <f>IF('All Girls &amp; Descendants - Edit'!H331="",D332,'All Girls &amp; Descendants - Edit'!H331)</f>
        <v>William</v>
      </c>
      <c r="H332">
        <f>'All Girls &amp; Descendants - Edit'!I331</f>
        <v>1992</v>
      </c>
      <c r="I332" t="str">
        <f>'All Girls &amp; Descendants - Edit'!J331</f>
        <v/>
      </c>
      <c r="J332" s="101">
        <f>'All Girls &amp; Descendants - Edit'!K331</f>
        <v>0</v>
      </c>
      <c r="K332" s="3" t="str">
        <f>'All Girls &amp; Descendants - Edit'!L331</f>
        <v>10/09/1992</v>
      </c>
      <c r="L332" s="3">
        <f>'All Girls &amp; Descendants - Edit'!M331</f>
        <v>33857</v>
      </c>
      <c r="M332" s="3">
        <f>'All Girls &amp; Descendants - Edit'!N331</f>
        <v>0</v>
      </c>
      <c r="N332" s="3">
        <f>'All Girls &amp; Descendants - Edit'!O331</f>
        <v>0</v>
      </c>
      <c r="O332" s="3" t="str">
        <f>'All Girls &amp; Descendants - Edit'!P331</f>
        <v/>
      </c>
      <c r="P332" t="str">
        <f t="shared" si="69"/>
        <v>88aca</v>
      </c>
      <c r="Q332" s="116">
        <f t="shared" si="70"/>
        <v>3</v>
      </c>
      <c r="R332" s="31" t="str">
        <f t="shared" si="71"/>
        <v>William John  STIRRUP</v>
      </c>
      <c r="S332" t="str">
        <f t="shared" si="72"/>
        <v>William STIRRUP (1992 - : #88aca)</v>
      </c>
    </row>
    <row r="333" spans="1:19">
      <c r="A333">
        <f>'All Girls &amp; Descendants - Edit'!B332</f>
        <v>88</v>
      </c>
      <c r="B333" t="str">
        <f>'All Girls &amp; Descendants - Edit'!C332</f>
        <v>88acb</v>
      </c>
      <c r="C333" t="str">
        <f>'All Girls &amp; Descendants - Edit'!D332</f>
        <v>STIRRUP</v>
      </c>
      <c r="D333" t="str">
        <f>'All Girls &amp; Descendants - Edit'!E332</f>
        <v>Timothy</v>
      </c>
      <c r="E333" t="str">
        <f>IF('All Girls &amp; Descendants - Edit'!F332="","",'All Girls &amp; Descendants - Edit'!F332)</f>
        <v>Charles</v>
      </c>
      <c r="F333" t="str">
        <f>IF('All Girls &amp; Descendants - Edit'!G332="","",'All Girls &amp; Descendants - Edit'!G332)</f>
        <v/>
      </c>
      <c r="G333" t="str">
        <f>IF('All Girls &amp; Descendants - Edit'!H332="",D333,'All Girls &amp; Descendants - Edit'!H332)</f>
        <v>Timothy</v>
      </c>
      <c r="H333">
        <f>'All Girls &amp; Descendants - Edit'!I332</f>
        <v>1994</v>
      </c>
      <c r="I333" t="str">
        <f>'All Girls &amp; Descendants - Edit'!J332</f>
        <v/>
      </c>
      <c r="J333" s="101">
        <f>'All Girls &amp; Descendants - Edit'!K332</f>
        <v>0</v>
      </c>
      <c r="K333" s="3" t="str">
        <f>'All Girls &amp; Descendants - Edit'!L332</f>
        <v>06/06/1994</v>
      </c>
      <c r="L333" s="3">
        <f>'All Girls &amp; Descendants - Edit'!M332</f>
        <v>34491</v>
      </c>
      <c r="M333" s="3">
        <f>'All Girls &amp; Descendants - Edit'!N332</f>
        <v>0</v>
      </c>
      <c r="N333" s="3">
        <f>'All Girls &amp; Descendants - Edit'!O332</f>
        <v>0</v>
      </c>
      <c r="O333" s="3" t="str">
        <f>'All Girls &amp; Descendants - Edit'!P332</f>
        <v/>
      </c>
      <c r="P333" t="str">
        <f t="shared" si="69"/>
        <v>88acb</v>
      </c>
      <c r="Q333" s="116">
        <f t="shared" si="70"/>
        <v>3</v>
      </c>
      <c r="R333" s="31" t="str">
        <f t="shared" si="71"/>
        <v>Timothy Charles  STIRRUP</v>
      </c>
      <c r="S333" t="str">
        <f t="shared" si="72"/>
        <v>Timothy STIRRUP (1994 - : #88acb)</v>
      </c>
    </row>
    <row r="334" spans="1:19">
      <c r="A334">
        <f>'All Girls &amp; Descendants - Edit'!B333</f>
        <v>88</v>
      </c>
      <c r="B334" t="str">
        <f>'All Girls &amp; Descendants - Edit'!C333</f>
        <v>88acc</v>
      </c>
      <c r="C334" t="str">
        <f>'All Girls &amp; Descendants - Edit'!D333</f>
        <v>STIRRUP</v>
      </c>
      <c r="D334" t="str">
        <f>'All Girls &amp; Descendants - Edit'!E333</f>
        <v>Isabelle</v>
      </c>
      <c r="E334" t="str">
        <f>IF('All Girls &amp; Descendants - Edit'!F333="","",'All Girls &amp; Descendants - Edit'!F333)</f>
        <v>Diana</v>
      </c>
      <c r="F334" t="str">
        <f>IF('All Girls &amp; Descendants - Edit'!G333="","",'All Girls &amp; Descendants - Edit'!G333)</f>
        <v/>
      </c>
      <c r="G334" t="str">
        <f>IF('All Girls &amp; Descendants - Edit'!H333="",D334,'All Girls &amp; Descendants - Edit'!H333)</f>
        <v>Isabelle</v>
      </c>
      <c r="H334">
        <f>'All Girls &amp; Descendants - Edit'!I333</f>
        <v>1997</v>
      </c>
      <c r="I334" t="str">
        <f>'All Girls &amp; Descendants - Edit'!J333</f>
        <v/>
      </c>
      <c r="J334" s="101">
        <f>'All Girls &amp; Descendants - Edit'!K333</f>
        <v>0</v>
      </c>
      <c r="K334" s="3" t="str">
        <f>'All Girls &amp; Descendants - Edit'!L333</f>
        <v>14/04/1997</v>
      </c>
      <c r="L334" s="3">
        <f>'All Girls &amp; Descendants - Edit'!M333</f>
        <v>35534</v>
      </c>
      <c r="M334" s="3">
        <f>'All Girls &amp; Descendants - Edit'!N333</f>
        <v>0</v>
      </c>
      <c r="N334" s="3">
        <f>'All Girls &amp; Descendants - Edit'!O333</f>
        <v>0</v>
      </c>
      <c r="O334" s="3" t="str">
        <f>'All Girls &amp; Descendants - Edit'!P333</f>
        <v/>
      </c>
      <c r="P334" t="str">
        <f t="shared" si="69"/>
        <v>88acc</v>
      </c>
      <c r="Q334" s="116">
        <f t="shared" si="70"/>
        <v>3</v>
      </c>
      <c r="R334" s="31" t="str">
        <f t="shared" si="71"/>
        <v>Isabelle Diana  STIRRUP</v>
      </c>
      <c r="S334" t="str">
        <f t="shared" si="72"/>
        <v>Isabelle STIRRUP (1997 - : #88acc)</v>
      </c>
    </row>
    <row r="335" spans="1:19">
      <c r="A335">
        <f>'All Girls &amp; Descendants - Edit'!B334</f>
        <v>88</v>
      </c>
      <c r="B335" t="str">
        <f>'All Girls &amp; Descendants - Edit'!C334</f>
        <v>88ada</v>
      </c>
      <c r="C335" t="str">
        <f>'All Girls &amp; Descendants - Edit'!D334</f>
        <v>COLE</v>
      </c>
      <c r="D335" t="str">
        <f>'All Girls &amp; Descendants - Edit'!E334</f>
        <v>Sophie</v>
      </c>
      <c r="E335" t="str">
        <f>IF('All Girls &amp; Descendants - Edit'!F334="","",'All Girls &amp; Descendants - Edit'!F334)</f>
        <v>Charlotte</v>
      </c>
      <c r="F335" t="str">
        <f>IF('All Girls &amp; Descendants - Edit'!G334="","",'All Girls &amp; Descendants - Edit'!G334)</f>
        <v/>
      </c>
      <c r="G335" t="str">
        <f>IF('All Girls &amp; Descendants - Edit'!H334="",D335,'All Girls &amp; Descendants - Edit'!H334)</f>
        <v>Sophie</v>
      </c>
      <c r="H335">
        <f>'All Girls &amp; Descendants - Edit'!I334</f>
        <v>1992</v>
      </c>
      <c r="I335" t="str">
        <f>'All Girls &amp; Descendants - Edit'!J334</f>
        <v/>
      </c>
      <c r="J335" s="101">
        <f>'All Girls &amp; Descendants - Edit'!K334</f>
        <v>0</v>
      </c>
      <c r="K335" s="3" t="str">
        <f>'All Girls &amp; Descendants - Edit'!L334</f>
        <v>04/08/1992</v>
      </c>
      <c r="L335" s="3">
        <f>'All Girls &amp; Descendants - Edit'!M334</f>
        <v>33820</v>
      </c>
      <c r="M335" s="3">
        <f>'All Girls &amp; Descendants - Edit'!N334</f>
        <v>0</v>
      </c>
      <c r="N335" s="3">
        <f>'All Girls &amp; Descendants - Edit'!O334</f>
        <v>0</v>
      </c>
      <c r="O335" s="3" t="str">
        <f>'All Girls &amp; Descendants - Edit'!P334</f>
        <v/>
      </c>
      <c r="P335" t="str">
        <f t="shared" si="69"/>
        <v>88ada</v>
      </c>
      <c r="Q335" s="116">
        <f t="shared" si="70"/>
        <v>3</v>
      </c>
      <c r="R335" s="31" t="str">
        <f t="shared" si="71"/>
        <v>Sophie Charlotte  COLE</v>
      </c>
      <c r="S335" t="str">
        <f t="shared" si="72"/>
        <v>Sophie COLE (1992 - : #88ada)</v>
      </c>
    </row>
    <row r="336" spans="1:19">
      <c r="A336">
        <f>'All Girls &amp; Descendants - Edit'!B335</f>
        <v>88</v>
      </c>
      <c r="B336" t="str">
        <f>'All Girls &amp; Descendants - Edit'!C335</f>
        <v>88adb</v>
      </c>
      <c r="C336" t="str">
        <f>'All Girls &amp; Descendants - Edit'!D335</f>
        <v>COLE</v>
      </c>
      <c r="D336" t="str">
        <f>'All Girls &amp; Descendants - Edit'!E335</f>
        <v>Patrick</v>
      </c>
      <c r="E336" t="str">
        <f>IF('All Girls &amp; Descendants - Edit'!F335="","",'All Girls &amp; Descendants - Edit'!F335)</f>
        <v>James</v>
      </c>
      <c r="F336" t="str">
        <f>IF('All Girls &amp; Descendants - Edit'!G335="","",'All Girls &amp; Descendants - Edit'!G335)</f>
        <v/>
      </c>
      <c r="G336" t="str">
        <f>IF('All Girls &amp; Descendants - Edit'!H335="",D336,'All Girls &amp; Descendants - Edit'!H335)</f>
        <v>Patrick</v>
      </c>
      <c r="H336">
        <f>'All Girls &amp; Descendants - Edit'!I335</f>
        <v>1994</v>
      </c>
      <c r="I336" t="str">
        <f>'All Girls &amp; Descendants - Edit'!J335</f>
        <v/>
      </c>
      <c r="J336" s="101">
        <f>'All Girls &amp; Descendants - Edit'!K335</f>
        <v>0</v>
      </c>
      <c r="K336" s="3" t="str">
        <f>'All Girls &amp; Descendants - Edit'!L335</f>
        <v>15/03/1994</v>
      </c>
      <c r="L336" s="3">
        <f>'All Girls &amp; Descendants - Edit'!M335</f>
        <v>34408</v>
      </c>
      <c r="M336" s="3">
        <f>'All Girls &amp; Descendants - Edit'!N335</f>
        <v>0</v>
      </c>
      <c r="N336" s="3">
        <f>'All Girls &amp; Descendants - Edit'!O335</f>
        <v>0</v>
      </c>
      <c r="O336" s="3" t="str">
        <f>'All Girls &amp; Descendants - Edit'!P335</f>
        <v/>
      </c>
      <c r="P336" t="str">
        <f t="shared" si="69"/>
        <v>88adb</v>
      </c>
      <c r="Q336" s="116">
        <f t="shared" si="70"/>
        <v>3</v>
      </c>
      <c r="R336" s="31" t="str">
        <f t="shared" si="71"/>
        <v>Patrick James  COLE</v>
      </c>
      <c r="S336" t="str">
        <f t="shared" si="72"/>
        <v>Patrick COLE (1994 - : #88adb)</v>
      </c>
    </row>
    <row r="337" spans="1:19">
      <c r="A337">
        <f>'All Girls &amp; Descendants - Edit'!B336</f>
        <v>92</v>
      </c>
      <c r="B337" t="str">
        <f>'All Girls &amp; Descendants - Edit'!C336</f>
        <v>92aaa</v>
      </c>
      <c r="C337" t="str">
        <f>'All Girls &amp; Descendants - Edit'!D336</f>
        <v>TATTON-BROWN</v>
      </c>
      <c r="D337" t="str">
        <f>'All Girls &amp; Descendants - Edit'!E336</f>
        <v>Jake</v>
      </c>
      <c r="E337" t="str">
        <f>IF('All Girls &amp; Descendants - Edit'!F336="","",'All Girls &amp; Descendants - Edit'!F336)</f>
        <v>Michael</v>
      </c>
      <c r="F337" t="str">
        <f>IF('All Girls &amp; Descendants - Edit'!G336="","",'All Girls &amp; Descendants - Edit'!G336)</f>
        <v/>
      </c>
      <c r="G337" t="str">
        <f>IF('All Girls &amp; Descendants - Edit'!H336="",D337,'All Girls &amp; Descendants - Edit'!H336)</f>
        <v>Jake</v>
      </c>
      <c r="H337">
        <f>'All Girls &amp; Descendants - Edit'!I336</f>
        <v>2016</v>
      </c>
      <c r="I337" t="str">
        <f>'All Girls &amp; Descendants - Edit'!J336</f>
        <v/>
      </c>
      <c r="J337" s="101">
        <f>'All Girls &amp; Descendants - Edit'!K336</f>
        <v>0</v>
      </c>
      <c r="K337" s="3" t="str">
        <f>'All Girls &amp; Descendants - Edit'!L336</f>
        <v>02/07/2016</v>
      </c>
      <c r="L337" s="3">
        <f>'All Girls &amp; Descendants - Edit'!M336</f>
        <v>42553</v>
      </c>
      <c r="M337" s="3">
        <f>'All Girls &amp; Descendants - Edit'!N336</f>
        <v>0</v>
      </c>
      <c r="N337" s="3">
        <f>'All Girls &amp; Descendants - Edit'!O336</f>
        <v>0</v>
      </c>
      <c r="O337" s="3">
        <f>'All Girls &amp; Descendants - Edit'!P336</f>
        <v>0</v>
      </c>
      <c r="P337" t="str">
        <f t="shared" si="69"/>
        <v>92aaa</v>
      </c>
      <c r="Q337" s="116">
        <f t="shared" si="70"/>
        <v>3</v>
      </c>
      <c r="R337" s="31" t="str">
        <f t="shared" si="71"/>
        <v>Jake Michael  TATTON-BROWN</v>
      </c>
      <c r="S337" t="str">
        <f t="shared" si="72"/>
        <v>Jake TATTON-BROWN (2016 - : #92aaa)</v>
      </c>
    </row>
    <row r="338" spans="1:19">
      <c r="A338">
        <f>'All Girls &amp; Descendants - Edit'!B337</f>
        <v>92</v>
      </c>
      <c r="B338" t="str">
        <f>'All Girls &amp; Descendants - Edit'!C337</f>
        <v>92aab</v>
      </c>
      <c r="C338" t="str">
        <f>'All Girls &amp; Descendants - Edit'!D337</f>
        <v>TATTON-BROWN</v>
      </c>
      <c r="D338" t="str">
        <f>'All Girls &amp; Descendants - Edit'!E337</f>
        <v>Zachery</v>
      </c>
      <c r="E338" t="str">
        <f>IF('All Girls &amp; Descendants - Edit'!F337="","",'All Girls &amp; Descendants - Edit'!F337)</f>
        <v>Finn</v>
      </c>
      <c r="F338" t="str">
        <f>IF('All Girls &amp; Descendants - Edit'!G337="","",'All Girls &amp; Descendants - Edit'!G337)</f>
        <v/>
      </c>
      <c r="G338" t="str">
        <f>IF('All Girls &amp; Descendants - Edit'!H337="",D338,'All Girls &amp; Descendants - Edit'!H337)</f>
        <v>Zachery</v>
      </c>
      <c r="H338">
        <f>'All Girls &amp; Descendants - Edit'!I337</f>
        <v>2016</v>
      </c>
      <c r="I338" t="str">
        <f>'All Girls &amp; Descendants - Edit'!J337</f>
        <v/>
      </c>
      <c r="J338" s="101">
        <f>'All Girls &amp; Descendants - Edit'!K337</f>
        <v>0</v>
      </c>
      <c r="K338" s="3" t="str">
        <f>'All Girls &amp; Descendants - Edit'!L337</f>
        <v>08/07/2016</v>
      </c>
      <c r="L338" s="3">
        <f>'All Girls &amp; Descendants - Edit'!M337</f>
        <v>42559</v>
      </c>
      <c r="M338" s="3">
        <f>'All Girls &amp; Descendants - Edit'!N337</f>
        <v>0</v>
      </c>
      <c r="N338" s="3">
        <f>'All Girls &amp; Descendants - Edit'!O337</f>
        <v>0</v>
      </c>
      <c r="O338" s="3">
        <f>'All Girls &amp; Descendants - Edit'!P337</f>
        <v>0</v>
      </c>
      <c r="P338" t="str">
        <f t="shared" si="69"/>
        <v>92aab</v>
      </c>
      <c r="Q338" s="116">
        <f t="shared" si="70"/>
        <v>3</v>
      </c>
      <c r="R338" s="31" t="str">
        <f t="shared" si="71"/>
        <v>Zachery Finn  TATTON-BROWN</v>
      </c>
      <c r="S338" t="str">
        <f t="shared" si="72"/>
        <v>Zachery TATTON-BROWN (2016 - : #92aab)</v>
      </c>
    </row>
    <row r="339" spans="1:19">
      <c r="A339">
        <f>'All Girls &amp; Descendants - Edit'!B338</f>
        <v>92</v>
      </c>
      <c r="B339" t="str">
        <f>'All Girls &amp; Descendants - Edit'!C338</f>
        <v>92aca</v>
      </c>
      <c r="C339" t="str">
        <f>'All Girls &amp; Descendants - Edit'!D338</f>
        <v>BATTEY</v>
      </c>
      <c r="D339" t="str">
        <f>'All Girls &amp; Descendants - Edit'!E338</f>
        <v>Maia</v>
      </c>
      <c r="E339" t="str">
        <f>IF('All Girls &amp; Descendants - Edit'!F338="","",'All Girls &amp; Descendants - Edit'!F338)</f>
        <v>Veronica</v>
      </c>
      <c r="F339" t="str">
        <f>IF('All Girls &amp; Descendants - Edit'!G338="","",'All Girls &amp; Descendants - Edit'!G338)</f>
        <v>Kaur</v>
      </c>
      <c r="G339" t="str">
        <f>IF('All Girls &amp; Descendants - Edit'!H338="",D339,'All Girls &amp; Descendants - Edit'!H338)</f>
        <v>Maia</v>
      </c>
      <c r="H339">
        <f>'All Girls &amp; Descendants - Edit'!I338</f>
        <v>2014</v>
      </c>
      <c r="I339" t="str">
        <f>'All Girls &amp; Descendants - Edit'!J338</f>
        <v/>
      </c>
      <c r="J339" s="101">
        <f>'All Girls &amp; Descendants - Edit'!K338</f>
        <v>0</v>
      </c>
      <c r="K339" s="3" t="str">
        <f>'All Girls &amp; Descendants - Edit'!L338</f>
        <v>10/12/2014</v>
      </c>
      <c r="L339" s="3">
        <f>'All Girls &amp; Descendants - Edit'!M338</f>
        <v>41983</v>
      </c>
      <c r="M339" s="3">
        <f>'All Girls &amp; Descendants - Edit'!N338</f>
        <v>0</v>
      </c>
      <c r="N339" s="3">
        <f>'All Girls &amp; Descendants - Edit'!O338</f>
        <v>0</v>
      </c>
      <c r="O339" s="3">
        <f>'All Girls &amp; Descendants - Edit'!P338</f>
        <v>0</v>
      </c>
      <c r="P339" t="str">
        <f t="shared" si="69"/>
        <v>92aca</v>
      </c>
      <c r="Q339" s="116">
        <f t="shared" si="70"/>
        <v>3</v>
      </c>
      <c r="R339" s="31" t="str">
        <f t="shared" si="71"/>
        <v>Maia Veronica Kaur BATTEY</v>
      </c>
      <c r="S339" t="str">
        <f t="shared" si="72"/>
        <v>Maia BATTEY (2014 - : #92aca)</v>
      </c>
    </row>
    <row r="340" spans="1:19">
      <c r="A340">
        <f>'All Girls &amp; Descendants - Edit'!B339</f>
        <v>92</v>
      </c>
      <c r="B340" t="str">
        <f>'All Girls &amp; Descendants - Edit'!C339</f>
        <v>92acb</v>
      </c>
      <c r="C340" t="str">
        <f>'All Girls &amp; Descendants - Edit'!D339</f>
        <v>BATTEY</v>
      </c>
      <c r="D340" t="str">
        <f>'All Girls &amp; Descendants - Edit'!E339</f>
        <v>Cara</v>
      </c>
      <c r="E340" t="str">
        <f>IF('All Girls &amp; Descendants - Edit'!F339="","",'All Girls &amp; Descendants - Edit'!F339)</f>
        <v>Ann</v>
      </c>
      <c r="F340" t="str">
        <f>IF('All Girls &amp; Descendants - Edit'!G339="","",'All Girls &amp; Descendants - Edit'!G339)</f>
        <v>Rose</v>
      </c>
      <c r="G340" t="str">
        <f>IF('All Girls &amp; Descendants - Edit'!H339="",D340,'All Girls &amp; Descendants - Edit'!H339)</f>
        <v>Cara</v>
      </c>
      <c r="H340">
        <f>'All Girls &amp; Descendants - Edit'!I339</f>
        <v>2017</v>
      </c>
      <c r="I340" t="str">
        <f>'All Girls &amp; Descendants - Edit'!J339</f>
        <v/>
      </c>
      <c r="J340" s="101">
        <f>'All Girls &amp; Descendants - Edit'!K339</f>
        <v>0</v>
      </c>
      <c r="K340" s="3" t="str">
        <f>'All Girls &amp; Descendants - Edit'!L339</f>
        <v>21/02/2017</v>
      </c>
      <c r="L340" s="3">
        <f>'All Girls &amp; Descendants - Edit'!M339</f>
        <v>42787</v>
      </c>
      <c r="M340" s="3">
        <f>'All Girls &amp; Descendants - Edit'!N339</f>
        <v>0</v>
      </c>
      <c r="N340" s="3">
        <f>'All Girls &amp; Descendants - Edit'!O339</f>
        <v>0</v>
      </c>
      <c r="O340" s="3">
        <f>'All Girls &amp; Descendants - Edit'!P339</f>
        <v>0</v>
      </c>
      <c r="P340" t="str">
        <f t="shared" si="69"/>
        <v>92acb</v>
      </c>
      <c r="Q340" s="116">
        <f t="shared" si="70"/>
        <v>3</v>
      </c>
      <c r="R340" s="31" t="str">
        <f t="shared" si="71"/>
        <v>Cara Ann Rose BATTEY</v>
      </c>
      <c r="S340" t="str">
        <f t="shared" si="72"/>
        <v>Cara BATTEY (2017 - : #92acb)</v>
      </c>
    </row>
    <row r="341" spans="1:19">
      <c r="A341">
        <f>'All Girls &amp; Descendants - Edit'!B340</f>
        <v>92</v>
      </c>
      <c r="B341" t="str">
        <f>'All Girls &amp; Descendants - Edit'!C340</f>
        <v>92baa</v>
      </c>
      <c r="C341" t="str">
        <f>'All Girls &amp; Descendants - Edit'!D340</f>
        <v>ANDERSEN</v>
      </c>
      <c r="D341" t="str">
        <f>'All Girls &amp; Descendants - Edit'!E340</f>
        <v>Octavia</v>
      </c>
      <c r="E341" t="str">
        <f>IF('All Girls &amp; Descendants - Edit'!F340="","",'All Girls &amp; Descendants - Edit'!F340)</f>
        <v>Kenya</v>
      </c>
      <c r="F341" t="str">
        <f>IF('All Girls &amp; Descendants - Edit'!G340="","",'All Girls &amp; Descendants - Edit'!G340)</f>
        <v/>
      </c>
      <c r="G341" t="str">
        <f>IF('All Girls &amp; Descendants - Edit'!H340="",D341,'All Girls &amp; Descendants - Edit'!H340)</f>
        <v>Octavia</v>
      </c>
      <c r="H341">
        <f>'All Girls &amp; Descendants - Edit'!I340</f>
        <v>1999</v>
      </c>
      <c r="I341" t="str">
        <f>'All Girls &amp; Descendants - Edit'!J340</f>
        <v/>
      </c>
      <c r="J341" s="101">
        <f>'All Girls &amp; Descendants - Edit'!K340</f>
        <v>0</v>
      </c>
      <c r="K341" s="3" t="str">
        <f>'All Girls &amp; Descendants - Edit'!L340</f>
        <v>11/03/1999</v>
      </c>
      <c r="L341" s="3">
        <f>'All Girls &amp; Descendants - Edit'!M340</f>
        <v>36230</v>
      </c>
      <c r="M341" s="3">
        <f>'All Girls &amp; Descendants - Edit'!N340</f>
        <v>0</v>
      </c>
      <c r="N341" s="3">
        <f>'All Girls &amp; Descendants - Edit'!O340</f>
        <v>0</v>
      </c>
      <c r="O341" s="3" t="str">
        <f>'All Girls &amp; Descendants - Edit'!P340</f>
        <v/>
      </c>
      <c r="P341" t="str">
        <f t="shared" si="69"/>
        <v>92baa</v>
      </c>
      <c r="Q341" s="116">
        <f t="shared" si="70"/>
        <v>3</v>
      </c>
      <c r="R341" s="31" t="str">
        <f t="shared" si="71"/>
        <v>Octavia Kenya  ANDERSEN</v>
      </c>
      <c r="S341" t="str">
        <f t="shared" si="72"/>
        <v>Octavia ANDERSEN (1999 - : #92baa)</v>
      </c>
    </row>
    <row r="342" spans="1:19">
      <c r="A342">
        <f>'All Girls &amp; Descendants - Edit'!B341</f>
        <v>92</v>
      </c>
      <c r="B342" t="str">
        <f>'All Girls &amp; Descendants - Edit'!C341</f>
        <v>92bab</v>
      </c>
      <c r="C342" t="str">
        <f>'All Girls &amp; Descendants - Edit'!D341</f>
        <v>ANDERSEN</v>
      </c>
      <c r="D342" t="str">
        <f>'All Girls &amp; Descendants - Edit'!E341</f>
        <v>Augustus</v>
      </c>
      <c r="E342" t="str">
        <f>IF('All Girls &amp; Descendants - Edit'!F341="","",'All Girls &amp; Descendants - Edit'!F341)</f>
        <v>Eden</v>
      </c>
      <c r="F342" t="str">
        <f>IF('All Girls &amp; Descendants - Edit'!G341="","",'All Girls &amp; Descendants - Edit'!G341)</f>
        <v/>
      </c>
      <c r="G342" t="str">
        <f>IF('All Girls &amp; Descendants - Edit'!H341="",D342,'All Girls &amp; Descendants - Edit'!H341)</f>
        <v>Augustus</v>
      </c>
      <c r="H342">
        <f>'All Girls &amp; Descendants - Edit'!I341</f>
        <v>2003</v>
      </c>
      <c r="I342" t="str">
        <f>'All Girls &amp; Descendants - Edit'!J341</f>
        <v/>
      </c>
      <c r="J342" s="101">
        <f>'All Girls &amp; Descendants - Edit'!K341</f>
        <v>0</v>
      </c>
      <c r="K342" s="3" t="str">
        <f>'All Girls &amp; Descendants - Edit'!L341</f>
        <v>22/06/2003</v>
      </c>
      <c r="L342" s="3">
        <f>'All Girls &amp; Descendants - Edit'!M341</f>
        <v>37794</v>
      </c>
      <c r="M342" s="3">
        <f>'All Girls &amp; Descendants - Edit'!N341</f>
        <v>0</v>
      </c>
      <c r="N342" s="3">
        <f>'All Girls &amp; Descendants - Edit'!O341</f>
        <v>0</v>
      </c>
      <c r="O342" s="3">
        <f>'All Girls &amp; Descendants - Edit'!P341</f>
        <v>0</v>
      </c>
      <c r="P342" t="str">
        <f t="shared" si="69"/>
        <v>92bab</v>
      </c>
      <c r="Q342" s="116">
        <f t="shared" si="70"/>
        <v>3</v>
      </c>
      <c r="R342" s="31" t="str">
        <f t="shared" si="71"/>
        <v>Augustus Eden  ANDERSEN</v>
      </c>
      <c r="S342" t="str">
        <f t="shared" si="72"/>
        <v>Augustus ANDERSEN (2003 - : #92bab)</v>
      </c>
    </row>
    <row r="343" spans="1:19">
      <c r="A343">
        <f>'All Girls &amp; Descendants - Edit'!B342</f>
        <v>92</v>
      </c>
      <c r="B343" t="str">
        <f>'All Girls &amp; Descendants - Edit'!C342</f>
        <v>92bba</v>
      </c>
      <c r="C343" t="str">
        <f>'All Girls &amp; Descendants - Edit'!D342</f>
        <v>TATTON-BROWN</v>
      </c>
      <c r="D343" t="str">
        <f>'All Girls &amp; Descendants - Edit'!E342</f>
        <v>Felix</v>
      </c>
      <c r="E343" t="str">
        <f>IF('All Girls &amp; Descendants - Edit'!F342="","",'All Girls &amp; Descendants - Edit'!F342)</f>
        <v>Edgar</v>
      </c>
      <c r="F343" t="str">
        <f>IF('All Girls &amp; Descendants - Edit'!G342="","",'All Girls &amp; Descendants - Edit'!G342)</f>
        <v>Oliver</v>
      </c>
      <c r="G343" t="str">
        <f>IF('All Girls &amp; Descendants - Edit'!H342="",D343,'All Girls &amp; Descendants - Edit'!H342)</f>
        <v>Felix</v>
      </c>
      <c r="H343">
        <f>'All Girls &amp; Descendants - Edit'!I342</f>
        <v>2004</v>
      </c>
      <c r="I343" t="str">
        <f>'All Girls &amp; Descendants - Edit'!J342</f>
        <v/>
      </c>
      <c r="J343" s="101">
        <f>'All Girls &amp; Descendants - Edit'!K342</f>
        <v>0</v>
      </c>
      <c r="K343" s="3" t="str">
        <f>'All Girls &amp; Descendants - Edit'!L342</f>
        <v>07/10/2004</v>
      </c>
      <c r="L343" s="3">
        <f>'All Girls &amp; Descendants - Edit'!M342</f>
        <v>38267</v>
      </c>
      <c r="M343" s="3">
        <f>'All Girls &amp; Descendants - Edit'!N342</f>
        <v>0</v>
      </c>
      <c r="N343" s="3">
        <f>'All Girls &amp; Descendants - Edit'!O342</f>
        <v>0</v>
      </c>
      <c r="O343" s="3">
        <f>'All Girls &amp; Descendants - Edit'!P342</f>
        <v>0</v>
      </c>
      <c r="P343" t="str">
        <f t="shared" si="69"/>
        <v>92bba</v>
      </c>
      <c r="Q343" s="116">
        <f t="shared" si="70"/>
        <v>3</v>
      </c>
      <c r="R343" s="31" t="str">
        <f t="shared" si="71"/>
        <v>Felix Edgar Oliver TATTON-BROWN</v>
      </c>
      <c r="S343" t="str">
        <f t="shared" si="72"/>
        <v>Felix TATTON-BROWN (2004 - : #92bba)</v>
      </c>
    </row>
    <row r="344" spans="1:19">
      <c r="A344">
        <f>'All Girls &amp; Descendants - Edit'!B343</f>
        <v>92</v>
      </c>
      <c r="B344" t="str">
        <f>'All Girls &amp; Descendants - Edit'!C343</f>
        <v>92bbb</v>
      </c>
      <c r="C344" t="str">
        <f>'All Girls &amp; Descendants - Edit'!D343</f>
        <v>TATTON-BROWN</v>
      </c>
      <c r="D344" t="str">
        <f>'All Girls &amp; Descendants - Edit'!E343</f>
        <v>Marius</v>
      </c>
      <c r="E344" t="str">
        <f>IF('All Girls &amp; Descendants - Edit'!F343="","",'All Girls &amp; Descendants - Edit'!F343)</f>
        <v>Cesar</v>
      </c>
      <c r="F344" t="str">
        <f>IF('All Girls &amp; Descendants - Edit'!G343="","",'All Girls &amp; Descendants - Edit'!G343)</f>
        <v>Fabien</v>
      </c>
      <c r="G344" t="str">
        <f>IF('All Girls &amp; Descendants - Edit'!H343="",D344,'All Girls &amp; Descendants - Edit'!H343)</f>
        <v>Marius</v>
      </c>
      <c r="H344">
        <f>'All Girls &amp; Descendants - Edit'!I343</f>
        <v>2004</v>
      </c>
      <c r="I344" t="str">
        <f>'All Girls &amp; Descendants - Edit'!J343</f>
        <v/>
      </c>
      <c r="J344" s="101">
        <f>'All Girls &amp; Descendants - Edit'!K343</f>
        <v>0</v>
      </c>
      <c r="K344" s="3" t="str">
        <f>'All Girls &amp; Descendants - Edit'!L343</f>
        <v>07/10/2004</v>
      </c>
      <c r="L344" s="3">
        <f>'All Girls &amp; Descendants - Edit'!M343</f>
        <v>38267</v>
      </c>
      <c r="M344" s="3">
        <f>'All Girls &amp; Descendants - Edit'!N343</f>
        <v>0</v>
      </c>
      <c r="N344" s="3">
        <f>'All Girls &amp; Descendants - Edit'!O343</f>
        <v>0</v>
      </c>
      <c r="O344" s="3">
        <f>'All Girls &amp; Descendants - Edit'!P343</f>
        <v>0</v>
      </c>
      <c r="P344" t="str">
        <f t="shared" si="69"/>
        <v>92bbb</v>
      </c>
      <c r="Q344" s="116">
        <f t="shared" si="70"/>
        <v>3</v>
      </c>
      <c r="R344" s="31" t="str">
        <f t="shared" si="71"/>
        <v>Marius Cesar Fabien TATTON-BROWN</v>
      </c>
      <c r="S344" t="str">
        <f t="shared" si="72"/>
        <v>Marius TATTON-BROWN (2004 - : #92bbb)</v>
      </c>
    </row>
    <row r="345" spans="1:19">
      <c r="A345">
        <f>'All Girls &amp; Descendants - Edit'!B344</f>
        <v>92</v>
      </c>
      <c r="B345" t="str">
        <f>'All Girls &amp; Descendants - Edit'!C344</f>
        <v>92bbc</v>
      </c>
      <c r="C345" t="str">
        <f>'All Girls &amp; Descendants - Edit'!D344</f>
        <v>TATTON-BROWN</v>
      </c>
      <c r="D345" t="str">
        <f>'All Girls &amp; Descendants - Edit'!E344</f>
        <v>Poppy</v>
      </c>
      <c r="E345" t="str">
        <f>IF('All Girls &amp; Descendants - Edit'!F344="","",'All Girls &amp; Descendants - Edit'!F344)</f>
        <v>May</v>
      </c>
      <c r="F345" t="str">
        <f>IF('All Girls &amp; Descendants - Edit'!G344="","",'All Girls &amp; Descendants - Edit'!G344)</f>
        <v/>
      </c>
      <c r="G345" t="str">
        <f>IF('All Girls &amp; Descendants - Edit'!H344="",D345,'All Girls &amp; Descendants - Edit'!H344)</f>
        <v>Poppy</v>
      </c>
      <c r="H345">
        <f>'All Girls &amp; Descendants - Edit'!I344</f>
        <v>2008</v>
      </c>
      <c r="I345" t="str">
        <f>'All Girls &amp; Descendants - Edit'!J344</f>
        <v/>
      </c>
      <c r="J345" s="101">
        <f>'All Girls &amp; Descendants - Edit'!K344</f>
        <v>0</v>
      </c>
      <c r="K345" s="3" t="str">
        <f>'All Girls &amp; Descendants - Edit'!L344</f>
        <v>12/09/2008</v>
      </c>
      <c r="L345" s="3">
        <f>'All Girls &amp; Descendants - Edit'!M344</f>
        <v>39703</v>
      </c>
      <c r="M345" s="3">
        <f>'All Girls &amp; Descendants - Edit'!N344</f>
        <v>0</v>
      </c>
      <c r="N345" s="3">
        <f>'All Girls &amp; Descendants - Edit'!O344</f>
        <v>0</v>
      </c>
      <c r="O345" s="3">
        <f>'All Girls &amp; Descendants - Edit'!P344</f>
        <v>0</v>
      </c>
      <c r="P345" t="str">
        <f t="shared" si="69"/>
        <v>92bbc</v>
      </c>
      <c r="Q345" s="116">
        <f t="shared" si="70"/>
        <v>3</v>
      </c>
      <c r="R345" s="31" t="str">
        <f t="shared" si="71"/>
        <v>Poppy May  TATTON-BROWN</v>
      </c>
      <c r="S345" t="str">
        <f t="shared" si="72"/>
        <v>Poppy TATTON-BROWN (2008 - : #92bbc)</v>
      </c>
    </row>
    <row r="346" spans="1:19">
      <c r="A346">
        <f>'All Girls &amp; Descendants - Edit'!B345</f>
        <v>92</v>
      </c>
      <c r="B346" t="str">
        <f>'All Girls &amp; Descendants - Edit'!C345</f>
        <v>92bca</v>
      </c>
      <c r="C346" t="str">
        <f>'All Girls &amp; Descendants - Edit'!D345</f>
        <v>BOURNE</v>
      </c>
      <c r="D346" t="str">
        <f>'All Girls &amp; Descendants - Edit'!E345</f>
        <v>Rose</v>
      </c>
      <c r="E346" t="str">
        <f>IF('All Girls &amp; Descendants - Edit'!F345="","",'All Girls &amp; Descendants - Edit'!F345)</f>
        <v>Henrietta</v>
      </c>
      <c r="F346" t="str">
        <f>IF('All Girls &amp; Descendants - Edit'!G345="","",'All Girls &amp; Descendants - Edit'!G345)</f>
        <v/>
      </c>
      <c r="G346" t="str">
        <f>IF('All Girls &amp; Descendants - Edit'!H345="",D346,'All Girls &amp; Descendants - Edit'!H345)</f>
        <v>Rose</v>
      </c>
      <c r="H346">
        <f>'All Girls &amp; Descendants - Edit'!I345</f>
        <v>2014</v>
      </c>
      <c r="I346" t="str">
        <f>'All Girls &amp; Descendants - Edit'!J345</f>
        <v/>
      </c>
      <c r="J346" s="101">
        <f>'All Girls &amp; Descendants - Edit'!K345</f>
        <v>0</v>
      </c>
      <c r="K346" s="3" t="str">
        <f>'All Girls &amp; Descendants - Edit'!L345</f>
        <v>18/04/2014</v>
      </c>
      <c r="L346" s="3">
        <f>'All Girls &amp; Descendants - Edit'!M345</f>
        <v>41747</v>
      </c>
      <c r="M346" s="3">
        <f>'All Girls &amp; Descendants - Edit'!N345</f>
        <v>0</v>
      </c>
      <c r="N346" s="3">
        <f>'All Girls &amp; Descendants - Edit'!O345</f>
        <v>0</v>
      </c>
      <c r="O346" s="3">
        <f>'All Girls &amp; Descendants - Edit'!P345</f>
        <v>0</v>
      </c>
      <c r="P346" t="str">
        <f t="shared" si="69"/>
        <v>92bca</v>
      </c>
      <c r="Q346" s="116">
        <f t="shared" si="70"/>
        <v>3</v>
      </c>
      <c r="R346" s="31" t="str">
        <f t="shared" si="71"/>
        <v>Rose Henrietta  BOURNE</v>
      </c>
      <c r="S346" t="str">
        <f t="shared" si="72"/>
        <v>Rose BOURNE (2014 - : #92bca)</v>
      </c>
    </row>
    <row r="347" spans="1:19">
      <c r="A347">
        <f>'All Girls &amp; Descendants - Edit'!B346</f>
        <v>92</v>
      </c>
      <c r="B347" t="str">
        <f>'All Girls &amp; Descendants - Edit'!C346</f>
        <v>92bcb</v>
      </c>
      <c r="C347" t="str">
        <f>'All Girls &amp; Descendants - Edit'!D346</f>
        <v>BOURNE</v>
      </c>
      <c r="D347" t="str">
        <f>'All Girls &amp; Descendants - Edit'!E346</f>
        <v>Basil</v>
      </c>
      <c r="E347" t="str">
        <f>IF('All Girls &amp; Descendants - Edit'!F346="","",'All Girls &amp; Descendants - Edit'!F346)</f>
        <v>Louis</v>
      </c>
      <c r="F347" t="str">
        <f>IF('All Girls &amp; Descendants - Edit'!G346="","",'All Girls &amp; Descendants - Edit'!G346)</f>
        <v/>
      </c>
      <c r="G347" t="str">
        <f>IF('All Girls &amp; Descendants - Edit'!H346="",D347,'All Girls &amp; Descendants - Edit'!H346)</f>
        <v>Basil</v>
      </c>
      <c r="H347">
        <f>'All Girls &amp; Descendants - Edit'!I346</f>
        <v>2016</v>
      </c>
      <c r="I347" t="str">
        <f>'All Girls &amp; Descendants - Edit'!J346</f>
        <v/>
      </c>
      <c r="J347" s="101">
        <f>'All Girls &amp; Descendants - Edit'!K346</f>
        <v>0</v>
      </c>
      <c r="K347" s="3" t="str">
        <f>'All Girls &amp; Descendants - Edit'!L346</f>
        <v>30/01/2016</v>
      </c>
      <c r="L347" s="3">
        <f>'All Girls &amp; Descendants - Edit'!M346</f>
        <v>42399</v>
      </c>
      <c r="M347" s="3">
        <f>'All Girls &amp; Descendants - Edit'!N346</f>
        <v>0</v>
      </c>
      <c r="N347" s="3">
        <f>'All Girls &amp; Descendants - Edit'!O346</f>
        <v>0</v>
      </c>
      <c r="O347" s="3">
        <f>'All Girls &amp; Descendants - Edit'!P346</f>
        <v>0</v>
      </c>
      <c r="P347" t="str">
        <f t="shared" si="69"/>
        <v>92bcb</v>
      </c>
      <c r="Q347" s="116">
        <f t="shared" si="70"/>
        <v>3</v>
      </c>
      <c r="R347" s="31" t="str">
        <f t="shared" si="71"/>
        <v>Basil Louis  BOURNE</v>
      </c>
      <c r="S347" t="str">
        <f t="shared" si="72"/>
        <v>Basil BOURNE (2016 - : #92bcb)</v>
      </c>
    </row>
    <row r="348" spans="1:19">
      <c r="A348">
        <f>'All Girls &amp; Descendants - Edit'!B347</f>
        <v>92</v>
      </c>
      <c r="B348" t="str">
        <f>'All Girls &amp; Descendants - Edit'!C347</f>
        <v>92bcc</v>
      </c>
      <c r="C348" t="str">
        <f>'All Girls &amp; Descendants - Edit'!D347</f>
        <v>BOURNE</v>
      </c>
      <c r="D348" t="str">
        <f>'All Girls &amp; Descendants - Edit'!E347</f>
        <v>Montague</v>
      </c>
      <c r="E348" t="str">
        <f>IF('All Girls &amp; Descendants - Edit'!F347="","",'All Girls &amp; Descendants - Edit'!F347)</f>
        <v>Alfred</v>
      </c>
      <c r="F348" t="str">
        <f>IF('All Girls &amp; Descendants - Edit'!G347="","",'All Girls &amp; Descendants - Edit'!G347)</f>
        <v/>
      </c>
      <c r="G348" t="str">
        <f>IF('All Girls &amp; Descendants - Edit'!H347="",D348,'All Girls &amp; Descendants - Edit'!H347)</f>
        <v>Montague</v>
      </c>
      <c r="H348">
        <f>'All Girls &amp; Descendants - Edit'!I347</f>
        <v>2020</v>
      </c>
      <c r="I348" t="str">
        <f>'All Girls &amp; Descendants - Edit'!J347</f>
        <v/>
      </c>
      <c r="J348" s="101">
        <f>'All Girls &amp; Descendants - Edit'!K347</f>
        <v>0</v>
      </c>
      <c r="K348" s="3" t="str">
        <f>'All Girls &amp; Descendants - Edit'!L347</f>
        <v>23/11/2020</v>
      </c>
      <c r="L348" s="3">
        <f>'All Girls &amp; Descendants - Edit'!M347</f>
        <v>44158</v>
      </c>
      <c r="M348" s="3">
        <f>'All Girls &amp; Descendants - Edit'!N347</f>
        <v>0</v>
      </c>
      <c r="N348" s="3">
        <f>'All Girls &amp; Descendants - Edit'!O347</f>
        <v>0</v>
      </c>
      <c r="O348" s="3">
        <f>'All Girls &amp; Descendants - Edit'!P347</f>
        <v>0</v>
      </c>
      <c r="P348" t="str">
        <f t="shared" si="69"/>
        <v>92bcc</v>
      </c>
      <c r="Q348" s="116">
        <f t="shared" si="70"/>
        <v>3</v>
      </c>
      <c r="R348" s="31" t="str">
        <f t="shared" si="71"/>
        <v>Montague Alfred  BOURNE</v>
      </c>
      <c r="S348" t="str">
        <f t="shared" si="72"/>
        <v>Montague BOURNE (2020 - : #92bcc)</v>
      </c>
    </row>
    <row r="349" spans="1:19">
      <c r="A349">
        <f>'All Girls &amp; Descendants - Edit'!B348</f>
        <v>92</v>
      </c>
      <c r="B349" t="str">
        <f>'All Girls &amp; Descendants - Edit'!C348</f>
        <v>92bda</v>
      </c>
      <c r="C349" t="str">
        <f>'All Girls &amp; Descendants - Edit'!D348</f>
        <v>TATTON-BROWN</v>
      </c>
      <c r="D349" t="str">
        <f>'All Girls &amp; Descendants - Edit'!E348</f>
        <v>Alice</v>
      </c>
      <c r="E349" t="str">
        <f>IF('All Girls &amp; Descendants - Edit'!F348="","",'All Girls &amp; Descendants - Edit'!F348)</f>
        <v>Clementine</v>
      </c>
      <c r="F349" t="str">
        <f>IF('All Girls &amp; Descendants - Edit'!G348="","",'All Girls &amp; Descendants - Edit'!G348)</f>
        <v>Mary</v>
      </c>
      <c r="G349" t="str">
        <f>IF('All Girls &amp; Descendants - Edit'!H348="",D349,'All Girls &amp; Descendants - Edit'!H348)</f>
        <v>Alice</v>
      </c>
      <c r="H349">
        <f>'All Girls &amp; Descendants - Edit'!I348</f>
        <v>2013</v>
      </c>
      <c r="I349" t="str">
        <f>'All Girls &amp; Descendants - Edit'!J348</f>
        <v/>
      </c>
      <c r="J349" s="101">
        <f>'All Girls &amp; Descendants - Edit'!K348</f>
        <v>0</v>
      </c>
      <c r="K349" s="3" t="str">
        <f>'All Girls &amp; Descendants - Edit'!L348</f>
        <v>20/10/2013</v>
      </c>
      <c r="L349" s="3">
        <f>'All Girls &amp; Descendants - Edit'!M348</f>
        <v>41567</v>
      </c>
      <c r="M349" s="3">
        <f>'All Girls &amp; Descendants - Edit'!N348</f>
        <v>0</v>
      </c>
      <c r="N349" s="3">
        <f>'All Girls &amp; Descendants - Edit'!O348</f>
        <v>0</v>
      </c>
      <c r="O349" s="3">
        <f>'All Girls &amp; Descendants - Edit'!P348</f>
        <v>0</v>
      </c>
      <c r="P349" t="str">
        <f t="shared" si="69"/>
        <v>92bda</v>
      </c>
      <c r="Q349" s="116">
        <f t="shared" si="70"/>
        <v>3</v>
      </c>
      <c r="R349" s="31" t="str">
        <f t="shared" si="71"/>
        <v>Alice Clementine Mary TATTON-BROWN</v>
      </c>
      <c r="S349" t="str">
        <f t="shared" si="72"/>
        <v>Alice TATTON-BROWN (2013 - : #92bda)</v>
      </c>
    </row>
    <row r="350" spans="1:19">
      <c r="A350">
        <f>'All Girls &amp; Descendants - Edit'!B349</f>
        <v>92</v>
      </c>
      <c r="B350" t="str">
        <f>'All Girls &amp; Descendants - Edit'!C349</f>
        <v>92bdb</v>
      </c>
      <c r="C350" t="str">
        <f>'All Girls &amp; Descendants - Edit'!D349</f>
        <v>TATTON-BROWN</v>
      </c>
      <c r="D350" t="str">
        <f>'All Girls &amp; Descendants - Edit'!E349</f>
        <v>Théodore</v>
      </c>
      <c r="E350" t="str">
        <f>IF('All Girls &amp; Descendants - Edit'!F349="","",'All Girls &amp; Descendants - Edit'!F349)</f>
        <v>Eden</v>
      </c>
      <c r="F350" t="str">
        <f>IF('All Girls &amp; Descendants - Edit'!G349="","",'All Girls &amp; Descendants - Edit'!G349)</f>
        <v>Louis</v>
      </c>
      <c r="G350" t="str">
        <f>IF('All Girls &amp; Descendants - Edit'!H349="",D350,'All Girls &amp; Descendants - Edit'!H349)</f>
        <v>Théodore</v>
      </c>
      <c r="H350">
        <f>'All Girls &amp; Descendants - Edit'!I349</f>
        <v>2018</v>
      </c>
      <c r="I350" t="str">
        <f>'All Girls &amp; Descendants - Edit'!J349</f>
        <v/>
      </c>
      <c r="J350" s="101">
        <f>'All Girls &amp; Descendants - Edit'!K349</f>
        <v>0</v>
      </c>
      <c r="K350" s="3" t="str">
        <f>'All Girls &amp; Descendants - Edit'!L349</f>
        <v>09/06/2018</v>
      </c>
      <c r="L350" s="3">
        <f>'All Girls &amp; Descendants - Edit'!M349</f>
        <v>43260</v>
      </c>
      <c r="M350" s="3">
        <f>'All Girls &amp; Descendants - Edit'!N349</f>
        <v>0</v>
      </c>
      <c r="N350" s="3">
        <f>'All Girls &amp; Descendants - Edit'!O349</f>
        <v>0</v>
      </c>
      <c r="O350" s="3">
        <f>'All Girls &amp; Descendants - Edit'!P349</f>
        <v>0</v>
      </c>
      <c r="P350" t="str">
        <f t="shared" si="69"/>
        <v>92bdb</v>
      </c>
      <c r="Q350" s="116">
        <f t="shared" si="70"/>
        <v>3</v>
      </c>
      <c r="R350" s="31" t="str">
        <f t="shared" si="71"/>
        <v>Théodore Eden Louis TATTON-BROWN</v>
      </c>
      <c r="S350" t="str">
        <f t="shared" si="72"/>
        <v>Théodore TATTON-BROWN (2018 - : #92bdb)</v>
      </c>
    </row>
    <row r="351" spans="1:19">
      <c r="A351">
        <f>'All Girls &amp; Descendants - Edit'!B350</f>
        <v>92</v>
      </c>
      <c r="B351" t="str">
        <f>'All Girls &amp; Descendants - Edit'!C350</f>
        <v>92bdc</v>
      </c>
      <c r="C351" t="str">
        <f>'All Girls &amp; Descendants - Edit'!D350</f>
        <v>TATTON-BROWN</v>
      </c>
      <c r="D351" t="str">
        <f>'All Girls &amp; Descendants - Edit'!E350</f>
        <v>Oscar</v>
      </c>
      <c r="E351" t="str">
        <f>IF('All Girls &amp; Descendants - Edit'!F350="","",'All Girls &amp; Descendants - Edit'!F350)</f>
        <v>Arthur</v>
      </c>
      <c r="F351" t="str">
        <f>IF('All Girls &amp; Descendants - Edit'!G350="","",'All Girls &amp; Descendants - Edit'!G350)</f>
        <v>Alexandre</v>
      </c>
      <c r="G351" t="str">
        <f>IF('All Girls &amp; Descendants - Edit'!H350="",D351,'All Girls &amp; Descendants - Edit'!H350)</f>
        <v>Oscar</v>
      </c>
      <c r="H351">
        <f>'All Girls &amp; Descendants - Edit'!I350</f>
        <v>2021</v>
      </c>
      <c r="I351" t="str">
        <f>'All Girls &amp; Descendants - Edit'!J350</f>
        <v/>
      </c>
      <c r="J351" s="101">
        <f>'All Girls &amp; Descendants - Edit'!K350</f>
        <v>0</v>
      </c>
      <c r="K351" s="3" t="str">
        <f>'All Girls &amp; Descendants - Edit'!L350</f>
        <v>12/02/2021</v>
      </c>
      <c r="L351" s="3">
        <f>'All Girls &amp; Descendants - Edit'!M350</f>
        <v>44239</v>
      </c>
      <c r="M351" s="3">
        <f>'All Girls &amp; Descendants - Edit'!N350</f>
        <v>0</v>
      </c>
      <c r="N351" s="3">
        <f>'All Girls &amp; Descendants - Edit'!O350</f>
        <v>0</v>
      </c>
      <c r="O351" s="3">
        <f>'All Girls &amp; Descendants - Edit'!P350</f>
        <v>0</v>
      </c>
      <c r="P351" t="str">
        <f t="shared" si="69"/>
        <v>92bdc</v>
      </c>
      <c r="Q351" s="116">
        <f t="shared" si="70"/>
        <v>3</v>
      </c>
      <c r="R351" s="31" t="str">
        <f t="shared" si="71"/>
        <v>Oscar Arthur Alexandre TATTON-BROWN</v>
      </c>
      <c r="S351" t="str">
        <f t="shared" si="72"/>
        <v>Oscar TATTON-BROWN (2021 - : #92bdc)</v>
      </c>
    </row>
    <row r="352" spans="1:19">
      <c r="A352">
        <f>'All Girls &amp; Descendants - Edit'!B351</f>
        <v>95</v>
      </c>
      <c r="B352" t="str">
        <f>'All Girls &amp; Descendants - Edit'!C351</f>
        <v>95baa</v>
      </c>
      <c r="C352" t="str">
        <f>'All Girls &amp; Descendants - Edit'!D351</f>
        <v>VESTEY</v>
      </c>
      <c r="D352" t="str">
        <f>'All Girls &amp; Descendants - Edit'!E351</f>
        <v>Ella</v>
      </c>
      <c r="E352" t="str">
        <f>IF('All Girls &amp; Descendants - Edit'!F351="","",'All Girls &amp; Descendants - Edit'!F351)</f>
        <v>Victoria</v>
      </c>
      <c r="F352" t="str">
        <f>IF('All Girls &amp; Descendants - Edit'!G351="","",'All Girls &amp; Descendants - Edit'!G351)</f>
        <v/>
      </c>
      <c r="G352" t="str">
        <f>IF('All Girls &amp; Descendants - Edit'!H351="",D352,'All Girls &amp; Descendants - Edit'!H351)</f>
        <v>Ella</v>
      </c>
      <c r="H352">
        <f>'All Girls &amp; Descendants - Edit'!I351</f>
        <v>2015</v>
      </c>
      <c r="I352" t="str">
        <f>'All Girls &amp; Descendants - Edit'!J351</f>
        <v/>
      </c>
      <c r="J352" s="101">
        <f>'All Girls &amp; Descendants - Edit'!K351</f>
        <v>0</v>
      </c>
      <c r="K352" s="3" t="str">
        <f>'All Girls &amp; Descendants - Edit'!L351</f>
        <v>13/07/2015</v>
      </c>
      <c r="L352" s="3">
        <f>'All Girls &amp; Descendants - Edit'!M351</f>
        <v>42198</v>
      </c>
      <c r="M352" s="3">
        <f>'All Girls &amp; Descendants - Edit'!N351</f>
        <v>0</v>
      </c>
      <c r="N352" s="3">
        <f>'All Girls &amp; Descendants - Edit'!O351</f>
        <v>0</v>
      </c>
      <c r="O352" s="3">
        <f>'All Girls &amp; Descendants - Edit'!P351</f>
        <v>0</v>
      </c>
      <c r="P352" t="str">
        <f t="shared" si="69"/>
        <v>95baa</v>
      </c>
      <c r="Q352" s="116">
        <f t="shared" si="70"/>
        <v>3</v>
      </c>
      <c r="R352" s="31" t="str">
        <f t="shared" si="71"/>
        <v>Ella Victoria  VESTEY</v>
      </c>
      <c r="S352" t="str">
        <f t="shared" si="72"/>
        <v>Ella VESTEY (2015 - : #95baa)</v>
      </c>
    </row>
    <row r="353" spans="1:19">
      <c r="A353">
        <f>'All Girls &amp; Descendants - Edit'!B352</f>
        <v>95</v>
      </c>
      <c r="B353" t="str">
        <f>'All Girls &amp; Descendants - Edit'!C352</f>
        <v>95bab</v>
      </c>
      <c r="C353" t="str">
        <f>'All Girls &amp; Descendants - Edit'!D352</f>
        <v>VESTEY</v>
      </c>
      <c r="D353" t="str">
        <f>'All Girls &amp; Descendants - Edit'!E352</f>
        <v>Samuel</v>
      </c>
      <c r="E353" t="str">
        <f>IF('All Girls &amp; Descendants - Edit'!F352="","",'All Girls &amp; Descendants - Edit'!F352)</f>
        <v>Oscar</v>
      </c>
      <c r="F353" t="str">
        <f>IF('All Girls &amp; Descendants - Edit'!G352="","",'All Girls &amp; Descendants - Edit'!G352)</f>
        <v>Mark</v>
      </c>
      <c r="G353" t="str">
        <f>IF('All Girls &amp; Descendants - Edit'!H352="",D353,'All Girls &amp; Descendants - Edit'!H352)</f>
        <v>Samuel</v>
      </c>
      <c r="H353">
        <f>'All Girls &amp; Descendants - Edit'!I352</f>
        <v>2018</v>
      </c>
      <c r="I353" t="str">
        <f>'All Girls &amp; Descendants - Edit'!J352</f>
        <v/>
      </c>
      <c r="J353" s="101">
        <f>'All Girls &amp; Descendants - Edit'!K352</f>
        <v>0</v>
      </c>
      <c r="K353" s="3" t="str">
        <f>'All Girls &amp; Descendants - Edit'!L352</f>
        <v>07/11/2018</v>
      </c>
      <c r="L353" s="3">
        <f>'All Girls &amp; Descendants - Edit'!M352</f>
        <v>43411</v>
      </c>
      <c r="M353" s="3">
        <f>'All Girls &amp; Descendants - Edit'!N352</f>
        <v>0</v>
      </c>
      <c r="N353" s="3">
        <f>'All Girls &amp; Descendants - Edit'!O352</f>
        <v>0</v>
      </c>
      <c r="O353" s="3">
        <f>'All Girls &amp; Descendants - Edit'!P352</f>
        <v>0</v>
      </c>
      <c r="P353" t="str">
        <f t="shared" si="69"/>
        <v>95bab</v>
      </c>
      <c r="Q353" s="116">
        <f t="shared" si="70"/>
        <v>3</v>
      </c>
      <c r="R353" s="31" t="str">
        <f t="shared" si="71"/>
        <v>Samuel Oscar Mark VESTEY</v>
      </c>
      <c r="S353" t="str">
        <f t="shared" si="72"/>
        <v>Samuel VESTEY (2018 - : #95bab)</v>
      </c>
    </row>
    <row r="354" spans="1:19">
      <c r="A354">
        <f>'All Girls &amp; Descendants - Edit'!B353</f>
        <v>95</v>
      </c>
      <c r="B354" t="str">
        <f>'All Girls &amp; Descendants - Edit'!C353</f>
        <v>95bba</v>
      </c>
      <c r="C354" t="str">
        <f>'All Girls &amp; Descendants - Edit'!D353</f>
        <v>VESTEY</v>
      </c>
      <c r="D354" t="str">
        <f>'All Girls &amp; Descendants - Edit'!E353</f>
        <v>Frank</v>
      </c>
      <c r="E354" t="str">
        <f>IF('All Girls &amp; Descendants - Edit'!F353="","",'All Girls &amp; Descendants - Edit'!F353)</f>
        <v>William</v>
      </c>
      <c r="F354" t="str">
        <f>IF('All Girls &amp; Descendants - Edit'!G353="","",'All Girls &amp; Descendants - Edit'!G353)</f>
        <v/>
      </c>
      <c r="G354" t="str">
        <f>IF('All Girls &amp; Descendants - Edit'!H353="",D354,'All Girls &amp; Descendants - Edit'!H353)</f>
        <v>Frank</v>
      </c>
      <c r="H354">
        <f>'All Girls &amp; Descendants - Edit'!I353</f>
        <v>2016</v>
      </c>
      <c r="I354" t="str">
        <f>'All Girls &amp; Descendants - Edit'!J353</f>
        <v/>
      </c>
      <c r="J354" s="101">
        <f>'All Girls &amp; Descendants - Edit'!K353</f>
        <v>0</v>
      </c>
      <c r="K354" s="3" t="str">
        <f>'All Girls &amp; Descendants - Edit'!L353</f>
        <v>25/07/2016</v>
      </c>
      <c r="L354" s="3">
        <f>'All Girls &amp; Descendants - Edit'!M353</f>
        <v>42576</v>
      </c>
      <c r="M354" s="3">
        <f>'All Girls &amp; Descendants - Edit'!N353</f>
        <v>0</v>
      </c>
      <c r="N354" s="3">
        <f>'All Girls &amp; Descendants - Edit'!O353</f>
        <v>0</v>
      </c>
      <c r="O354" s="3">
        <f>'All Girls &amp; Descendants - Edit'!P353</f>
        <v>0</v>
      </c>
      <c r="P354" t="str">
        <f t="shared" si="69"/>
        <v>95bba</v>
      </c>
      <c r="Q354" s="116">
        <f t="shared" si="70"/>
        <v>3</v>
      </c>
      <c r="R354" s="31" t="str">
        <f t="shared" si="71"/>
        <v>Frank William  VESTEY</v>
      </c>
      <c r="S354" t="str">
        <f t="shared" si="72"/>
        <v>Frank VESTEY (2016 - : #95bba)</v>
      </c>
    </row>
    <row r="355" spans="1:19">
      <c r="A355">
        <f>'All Girls &amp; Descendants - Edit'!B354</f>
        <v>95</v>
      </c>
      <c r="B355" t="str">
        <f>'All Girls &amp; Descendants - Edit'!C354</f>
        <v>95bbb</v>
      </c>
      <c r="C355" t="str">
        <f>'All Girls &amp; Descendants - Edit'!D354</f>
        <v>VESTEY</v>
      </c>
      <c r="D355" t="str">
        <f>'All Girls &amp; Descendants - Edit'!E354</f>
        <v>Cosima </v>
      </c>
      <c r="E355" t="str">
        <f>IF('All Girls &amp; Descendants - Edit'!F354="","",'All Girls &amp; Descendants - Edit'!F354)</f>
        <v>Dora</v>
      </c>
      <c r="F355" t="str">
        <f>IF('All Girls &amp; Descendants - Edit'!G354="","",'All Girls &amp; Descendants - Edit'!G354)</f>
        <v/>
      </c>
      <c r="G355" t="str">
        <f>IF('All Girls &amp; Descendants - Edit'!H354="",D355,'All Girls &amp; Descendants - Edit'!H354)</f>
        <v>Cosima </v>
      </c>
      <c r="H355">
        <f>'All Girls &amp; Descendants - Edit'!I354</f>
        <v>2018</v>
      </c>
      <c r="I355" t="str">
        <f>'All Girls &amp; Descendants - Edit'!J354</f>
        <v/>
      </c>
      <c r="J355" s="101">
        <f>'All Girls &amp; Descendants - Edit'!K354</f>
        <v>0</v>
      </c>
      <c r="K355" s="3" t="str">
        <f>'All Girls &amp; Descendants - Edit'!L354</f>
        <v>30/11/2018</v>
      </c>
      <c r="L355" s="3">
        <f>'All Girls &amp; Descendants - Edit'!M354</f>
        <v>43434</v>
      </c>
      <c r="M355" s="3">
        <f>'All Girls &amp; Descendants - Edit'!N354</f>
        <v>0</v>
      </c>
      <c r="N355" s="3">
        <f>'All Girls &amp; Descendants - Edit'!O354</f>
        <v>0</v>
      </c>
      <c r="O355" s="3">
        <f>'All Girls &amp; Descendants - Edit'!P354</f>
        <v>0</v>
      </c>
      <c r="P355" t="str">
        <f t="shared" si="69"/>
        <v>95bbb</v>
      </c>
      <c r="Q355" s="116">
        <f t="shared" si="70"/>
        <v>3</v>
      </c>
      <c r="R355" s="31" t="str">
        <f t="shared" si="71"/>
        <v>Cosima  Dora  VESTEY</v>
      </c>
      <c r="S355" t="str">
        <f t="shared" si="72"/>
        <v>Cosima  VESTEY (2018 - : #95bbb)</v>
      </c>
    </row>
    <row r="356" spans="1:19">
      <c r="A356">
        <f>'All Girls &amp; Descendants - Edit'!B355</f>
        <v>95</v>
      </c>
      <c r="B356" t="str">
        <f>'All Girls &amp; Descendants - Edit'!C355</f>
        <v>95bbc</v>
      </c>
      <c r="C356" t="str">
        <f>'All Girls &amp; Descendants - Edit'!D355</f>
        <v>VESTEY</v>
      </c>
      <c r="D356" t="str">
        <f>'All Girls &amp; Descendants - Edit'!E355</f>
        <v>Daisy</v>
      </c>
      <c r="E356" t="str">
        <f>IF('All Girls &amp; Descendants - Edit'!F355="","",'All Girls &amp; Descendants - Edit'!F355)</f>
        <v>Celia</v>
      </c>
      <c r="F356" t="str">
        <f>IF('All Girls &amp; Descendants - Edit'!G355="","",'All Girls &amp; Descendants - Edit'!G355)</f>
        <v/>
      </c>
      <c r="G356" t="str">
        <f>IF('All Girls &amp; Descendants - Edit'!H355="",D356,'All Girls &amp; Descendants - Edit'!H355)</f>
        <v>Daisy</v>
      </c>
      <c r="H356">
        <f>'All Girls &amp; Descendants - Edit'!I355</f>
        <v>2021</v>
      </c>
      <c r="I356" t="str">
        <f>'All Girls &amp; Descendants - Edit'!J355</f>
        <v/>
      </c>
      <c r="J356" s="101">
        <f>'All Girls &amp; Descendants - Edit'!K355</f>
        <v>0</v>
      </c>
      <c r="K356" s="3" t="str">
        <f>'All Girls &amp; Descendants - Edit'!L355</f>
        <v>12/01/2021</v>
      </c>
      <c r="L356" s="3">
        <f>'All Girls &amp; Descendants - Edit'!M355</f>
        <v>44208</v>
      </c>
      <c r="M356" s="3">
        <f>'All Girls &amp; Descendants - Edit'!N355</f>
        <v>0</v>
      </c>
      <c r="N356" s="3">
        <f>'All Girls &amp; Descendants - Edit'!O355</f>
        <v>0</v>
      </c>
      <c r="O356" s="3">
        <f>'All Girls &amp; Descendants - Edit'!P355</f>
        <v>0</v>
      </c>
      <c r="P356" t="str">
        <f t="shared" si="69"/>
        <v>95bbc</v>
      </c>
      <c r="Q356" s="116">
        <f t="shared" si="70"/>
        <v>3</v>
      </c>
      <c r="R356" s="31" t="str">
        <f t="shared" si="71"/>
        <v>Daisy Celia  VESTEY</v>
      </c>
      <c r="S356" t="str">
        <f t="shared" si="72"/>
        <v>Daisy VESTEY (2021 - : #95bbc)</v>
      </c>
    </row>
    <row r="357" spans="1:19">
      <c r="A357">
        <f>'All Girls &amp; Descendants - Edit'!B356</f>
        <v>95</v>
      </c>
      <c r="B357" t="str">
        <f>'All Girls &amp; Descendants - Edit'!C356</f>
        <v>95bca</v>
      </c>
      <c r="C357" t="str">
        <f>'All Girls &amp; Descendants - Edit'!D356</f>
        <v>VESTEY</v>
      </c>
      <c r="D357" t="str">
        <f>'All Girls &amp; Descendants - Edit'!E356</f>
        <v>Lyra</v>
      </c>
      <c r="E357" t="str">
        <f>IF('All Girls &amp; Descendants - Edit'!F356="","",'All Girls &amp; Descendants - Edit'!F356)</f>
        <v>Celia</v>
      </c>
      <c r="F357" t="str">
        <f>IF('All Girls &amp; Descendants - Edit'!G356="","",'All Girls &amp; Descendants - Edit'!G356)</f>
        <v/>
      </c>
      <c r="G357" t="str">
        <f>IF('All Girls &amp; Descendants - Edit'!H356="",D357,'All Girls &amp; Descendants - Edit'!H356)</f>
        <v>Lyra</v>
      </c>
      <c r="H357">
        <f>'All Girls &amp; Descendants - Edit'!I356</f>
        <v>2021</v>
      </c>
      <c r="I357" t="str">
        <f>'All Girls &amp; Descendants - Edit'!J356</f>
        <v/>
      </c>
      <c r="J357" s="101">
        <f>'All Girls &amp; Descendants - Edit'!K356</f>
        <v>0</v>
      </c>
      <c r="K357" s="3" t="str">
        <f>'All Girls &amp; Descendants - Edit'!L356</f>
        <v>18/11/2021</v>
      </c>
      <c r="L357" s="3">
        <f>'All Girls &amp; Descendants - Edit'!M356</f>
        <v>44518</v>
      </c>
      <c r="M357" s="3">
        <f>'All Girls &amp; Descendants - Edit'!N356</f>
        <v>0</v>
      </c>
      <c r="N357" s="3">
        <f>'All Girls &amp; Descendants - Edit'!O356</f>
        <v>0</v>
      </c>
      <c r="O357" s="3">
        <f>'All Girls &amp; Descendants - Edit'!P356</f>
        <v>0</v>
      </c>
      <c r="P357" t="str">
        <f t="shared" si="69"/>
        <v>95bca</v>
      </c>
      <c r="Q357" s="116">
        <f t="shared" si="70"/>
        <v>3</v>
      </c>
      <c r="R357" s="31" t="str">
        <f t="shared" si="71"/>
        <v>Lyra Celia  VESTEY</v>
      </c>
      <c r="S357" t="str">
        <f t="shared" si="72"/>
        <v>Lyra VESTEY (2021 - : #95bca)</v>
      </c>
    </row>
    <row r="358" spans="1:19">
      <c r="A358">
        <f>'All Girls &amp; Descendants - Edit'!B357</f>
        <v>106</v>
      </c>
      <c r="B358" t="str">
        <f>'All Girls &amp; Descendants - Edit'!C357</f>
        <v>106aaa</v>
      </c>
      <c r="C358" t="str">
        <f>'All Girls &amp; Descendants - Edit'!D357</f>
        <v>HOLLAND</v>
      </c>
      <c r="D358" t="str">
        <f>'All Girls &amp; Descendants - Edit'!E357</f>
        <v>Frederick</v>
      </c>
      <c r="E358" t="str">
        <f>IF('All Girls &amp; Descendants - Edit'!F357="","",'All Girls &amp; Descendants - Edit'!F357)</f>
        <v>John</v>
      </c>
      <c r="F358" t="str">
        <f>IF('All Girls &amp; Descendants - Edit'!G357="","",'All Girls &amp; Descendants - Edit'!G357)</f>
        <v>Wilfred</v>
      </c>
      <c r="G358" t="str">
        <f>IF('All Girls &amp; Descendants - Edit'!H357="",D358,'All Girls &amp; Descendants - Edit'!H357)</f>
        <v>Frederick</v>
      </c>
      <c r="H358">
        <f>'All Girls &amp; Descendants - Edit'!I357</f>
        <v>2019</v>
      </c>
      <c r="I358" t="str">
        <f>'All Girls &amp; Descendants - Edit'!J357</f>
        <v/>
      </c>
      <c r="J358" s="101">
        <f>'All Girls &amp; Descendants - Edit'!K357</f>
        <v>0</v>
      </c>
      <c r="K358" s="3" t="str">
        <f>'All Girls &amp; Descendants - Edit'!L357</f>
        <v>04/08/2019</v>
      </c>
      <c r="L358" s="3">
        <f>'All Girls &amp; Descendants - Edit'!M357</f>
        <v>43681</v>
      </c>
      <c r="M358" s="3">
        <f>'All Girls &amp; Descendants - Edit'!N357</f>
        <v>0</v>
      </c>
      <c r="N358" s="3">
        <f>'All Girls &amp; Descendants - Edit'!O357</f>
        <v>0</v>
      </c>
      <c r="O358" s="3">
        <f>'All Girls &amp; Descendants - Edit'!P357</f>
        <v>0</v>
      </c>
      <c r="P358" t="str">
        <f t="shared" si="69"/>
        <v>106aaa</v>
      </c>
      <c r="Q358" s="116">
        <f t="shared" si="70"/>
        <v>3</v>
      </c>
      <c r="R358" s="31" t="str">
        <f t="shared" si="71"/>
        <v>Frederick John Wilfred HOLLAND</v>
      </c>
      <c r="S358" t="str">
        <f t="shared" si="72"/>
        <v>Frederick HOLLAND (2019 - : #106aaa)</v>
      </c>
    </row>
    <row r="359" spans="1:19">
      <c r="A359">
        <f>'All Girls &amp; Descendants - Edit'!B358</f>
        <v>106</v>
      </c>
      <c r="B359" t="str">
        <f>'All Girls &amp; Descendants - Edit'!C358</f>
        <v>106aab</v>
      </c>
      <c r="C359" t="str">
        <f>'All Girls &amp; Descendants - Edit'!D358</f>
        <v>HOLLAND</v>
      </c>
      <c r="D359" t="str">
        <f>'All Girls &amp; Descendants - Edit'!E358</f>
        <v>Zander</v>
      </c>
      <c r="E359" t="str">
        <f>IF('All Girls &amp; Descendants - Edit'!F358="","",'All Girls &amp; Descendants - Edit'!F358)</f>
        <v>Edward</v>
      </c>
      <c r="F359" t="str">
        <f>IF('All Girls &amp; Descendants - Edit'!G358="","",'All Girls &amp; Descendants - Edit'!G358)</f>
        <v>William</v>
      </c>
      <c r="G359" t="str">
        <f>IF('All Girls &amp; Descendants - Edit'!H358="",D359,'All Girls &amp; Descendants - Edit'!H358)</f>
        <v>Zander</v>
      </c>
      <c r="H359">
        <f>'All Girls &amp; Descendants - Edit'!I358</f>
        <v>2022</v>
      </c>
      <c r="I359">
        <f>'All Girls &amp; Descendants - Edit'!J358</f>
        <v>2022</v>
      </c>
      <c r="J359" s="101">
        <f>'All Girls &amp; Descendants - Edit'!K358</f>
        <v>0</v>
      </c>
      <c r="K359" s="3" t="str">
        <f>'All Girls &amp; Descendants - Edit'!L358</f>
        <v>15/05/2022</v>
      </c>
      <c r="L359" s="3">
        <f>'All Girls &amp; Descendants - Edit'!M358</f>
        <v>44696</v>
      </c>
      <c r="M359" s="3">
        <f>'All Girls &amp; Descendants - Edit'!N358</f>
        <v>0</v>
      </c>
      <c r="N359" s="3">
        <f>'All Girls &amp; Descendants - Edit'!O358</f>
        <v>44696</v>
      </c>
      <c r="O359" s="3" t="str">
        <f>'All Girls &amp; Descendants - Edit'!P358</f>
        <v>15/05/2022</v>
      </c>
      <c r="P359" t="str">
        <f t="shared" si="69"/>
        <v>106aab</v>
      </c>
      <c r="Q359" s="116">
        <f t="shared" si="70"/>
        <v>3</v>
      </c>
      <c r="R359" s="31" t="str">
        <f t="shared" si="71"/>
        <v>Zander Edward William HOLLAND</v>
      </c>
      <c r="S359" t="str">
        <f t="shared" si="72"/>
        <v>Zander HOLLAND (2022 - 2022: #106aab)</v>
      </c>
    </row>
    <row r="360" spans="1:19">
      <c r="A360">
        <f>'All Girls &amp; Descendants - Edit'!B359</f>
        <v>106</v>
      </c>
      <c r="B360" t="str">
        <f>'All Girls &amp; Descendants - Edit'!C359</f>
        <v>106aba</v>
      </c>
      <c r="C360" t="str">
        <f>'All Girls &amp; Descendants - Edit'!D359</f>
        <v>TELFORD</v>
      </c>
      <c r="D360" t="str">
        <f>'All Girls &amp; Descendants - Edit'!E359</f>
        <v>Rupert</v>
      </c>
      <c r="E360" t="str">
        <f>IF('All Girls &amp; Descendants - Edit'!F359="","",'All Girls &amp; Descendants - Edit'!F359)</f>
        <v>Leo</v>
      </c>
      <c r="F360" t="str">
        <f>IF('All Girls &amp; Descendants - Edit'!G359="","",'All Girls &amp; Descendants - Edit'!G359)</f>
        <v>James</v>
      </c>
      <c r="G360" t="str">
        <f>IF('All Girls &amp; Descendants - Edit'!H359="",D360,'All Girls &amp; Descendants - Edit'!H359)</f>
        <v>Rupert</v>
      </c>
      <c r="H360">
        <f>'All Girls &amp; Descendants - Edit'!I359</f>
        <v>2022</v>
      </c>
      <c r="I360">
        <f>'All Girls &amp; Descendants - Edit'!J359</f>
        <v>0</v>
      </c>
      <c r="J360" s="101">
        <f>'All Girls &amp; Descendants - Edit'!K359</f>
        <v>0</v>
      </c>
      <c r="K360" s="3" t="str">
        <f>'All Girls &amp; Descendants - Edit'!L359</f>
        <v>16/05/2022</v>
      </c>
      <c r="L360" s="3">
        <f>'All Girls &amp; Descendants - Edit'!M359</f>
        <v>44697</v>
      </c>
      <c r="M360" s="3">
        <f>'All Girls &amp; Descendants - Edit'!N359</f>
        <v>0</v>
      </c>
      <c r="N360" s="3">
        <f>'All Girls &amp; Descendants - Edit'!O359</f>
        <v>0</v>
      </c>
      <c r="O360" s="3">
        <f>'All Girls &amp; Descendants - Edit'!P359</f>
        <v>0</v>
      </c>
      <c r="P360" t="str">
        <f t="shared" si="69"/>
        <v>106aba</v>
      </c>
      <c r="Q360" s="116">
        <f t="shared" si="70"/>
        <v>3</v>
      </c>
      <c r="R360" s="31" t="str">
        <f t="shared" si="71"/>
        <v>Rupert Leo James TELFORD</v>
      </c>
      <c r="S360" t="str">
        <f t="shared" si="72"/>
        <v>Rupert TELFORD (2022 - 0: #106aba)</v>
      </c>
    </row>
    <row r="361" spans="1:19">
      <c r="A361">
        <f>'All Girls &amp; Descendants - Edit'!B360</f>
        <v>110</v>
      </c>
      <c r="B361" t="str">
        <f>'All Girls &amp; Descendants - Edit'!C360</f>
        <v>110aaa</v>
      </c>
      <c r="C361" t="str">
        <f>'All Girls &amp; Descendants - Edit'!D360</f>
        <v>BOYCE</v>
      </c>
      <c r="D361" t="str">
        <f>'All Girls &amp; Descendants - Edit'!E360</f>
        <v>Rowan</v>
      </c>
      <c r="E361" t="str">
        <f>IF('All Girls &amp; Descendants - Edit'!F360="","",'All Girls &amp; Descendants - Edit'!F360)</f>
        <v>Emily</v>
      </c>
      <c r="F361" t="str">
        <f>IF('All Girls &amp; Descendants - Edit'!G360="","",'All Girls &amp; Descendants - Edit'!G360)</f>
        <v/>
      </c>
      <c r="G361" t="str">
        <f>IF('All Girls &amp; Descendants - Edit'!H360="",D361,'All Girls &amp; Descendants - Edit'!H360)</f>
        <v>Rowan</v>
      </c>
      <c r="H361">
        <f>'All Girls &amp; Descendants - Edit'!I360</f>
        <v>2021</v>
      </c>
      <c r="I361" t="str">
        <f>'All Girls &amp; Descendants - Edit'!J360</f>
        <v/>
      </c>
      <c r="J361" s="101">
        <f>'All Girls &amp; Descendants - Edit'!K360</f>
        <v>0</v>
      </c>
      <c r="K361" s="3" t="str">
        <f>'All Girls &amp; Descendants - Edit'!L360</f>
        <v>20/03/2021</v>
      </c>
      <c r="L361" s="3">
        <f>'All Girls &amp; Descendants - Edit'!M360</f>
        <v>44275</v>
      </c>
      <c r="M361" s="3">
        <f>'All Girls &amp; Descendants - Edit'!N360</f>
        <v>0</v>
      </c>
      <c r="N361" s="3">
        <f>'All Girls &amp; Descendants - Edit'!O360</f>
        <v>0</v>
      </c>
      <c r="O361" s="3">
        <f>'All Girls &amp; Descendants - Edit'!P360</f>
        <v>0</v>
      </c>
      <c r="P361" t="str">
        <f t="shared" si="69"/>
        <v>110aaa</v>
      </c>
      <c r="Q361" s="116">
        <f t="shared" si="70"/>
        <v>3</v>
      </c>
      <c r="R361" s="31" t="str">
        <f t="shared" si="71"/>
        <v>Rowan Emily  BOYCE</v>
      </c>
      <c r="S361" t="str">
        <f t="shared" si="72"/>
        <v>Rowan BOYCE (2021 - : #110aaa)</v>
      </c>
    </row>
    <row r="362" spans="1:19">
      <c r="A362">
        <f>'All Girls &amp; Descendants - Edit'!B361</f>
        <v>2</v>
      </c>
      <c r="B362" t="str">
        <f>'All Girls &amp; Descendants - Edit'!C361</f>
        <v>2aaaa</v>
      </c>
      <c r="C362" t="str">
        <f>'All Girls &amp; Descendants - Edit'!D361</f>
        <v>DAVIES</v>
      </c>
      <c r="D362" t="str">
        <f>'All Girls &amp; Descendants - Edit'!E361</f>
        <v>Margaret</v>
      </c>
      <c r="E362" t="str">
        <f>IF('All Girls &amp; Descendants - Edit'!F361="","",'All Girls &amp; Descendants - Edit'!F361)</f>
        <v>Elizabeth</v>
      </c>
      <c r="F362" t="str">
        <f>IF('All Girls &amp; Descendants - Edit'!G361="","",'All Girls &amp; Descendants - Edit'!G361)</f>
        <v/>
      </c>
      <c r="G362" t="str">
        <f>IF('All Girls &amp; Descendants - Edit'!H361="",D362,'All Girls &amp; Descendants - Edit'!H361)</f>
        <v>Margaret</v>
      </c>
      <c r="H362">
        <f>'All Girls &amp; Descendants - Edit'!I361</f>
        <v>1897</v>
      </c>
      <c r="I362">
        <f>'All Girls &amp; Descendants - Edit'!J361</f>
        <v>1982</v>
      </c>
      <c r="J362" s="101">
        <f>'All Girls &amp; Descendants - Edit'!K361</f>
        <v>0</v>
      </c>
      <c r="K362" s="3" t="str">
        <f>'All Girls &amp; Descendants - Edit'!L361</f>
        <v>05/09/1897</v>
      </c>
      <c r="L362" s="3" t="str">
        <f>'All Girls &amp; Descendants - Edit'!M361</f>
        <v>05/09/1897</v>
      </c>
      <c r="M362" s="3">
        <f>'All Girls &amp; Descendants - Edit'!N361</f>
        <v>0</v>
      </c>
      <c r="N362" s="3">
        <f>'All Girls &amp; Descendants - Edit'!O361</f>
        <v>30297</v>
      </c>
      <c r="O362" s="3" t="str">
        <f>'All Girls &amp; Descendants - Edit'!P361</f>
        <v>12/12/1982</v>
      </c>
      <c r="P362" t="str">
        <f t="shared" si="69"/>
        <v>2aaaa</v>
      </c>
      <c r="Q362" s="116">
        <f t="shared" si="70"/>
        <v>4</v>
      </c>
      <c r="R362" s="31" t="str">
        <f t="shared" si="71"/>
        <v>Margaret Elizabeth  DAVIES</v>
      </c>
      <c r="S362" t="str">
        <f t="shared" si="72"/>
        <v>Margaret DAVIES (1897 - 1982: #2aaaa)</v>
      </c>
    </row>
    <row r="363" spans="1:19">
      <c r="A363">
        <f>'All Girls &amp; Descendants - Edit'!B362</f>
        <v>2</v>
      </c>
      <c r="B363" t="str">
        <f>'All Girls &amp; Descendants - Edit'!C362</f>
        <v>2caba</v>
      </c>
      <c r="C363" t="str">
        <f>'All Girls &amp; Descendants - Edit'!D362</f>
        <v>PROTHEROE</v>
      </c>
      <c r="D363" t="str">
        <f>'All Girls &amp; Descendants - Edit'!E362</f>
        <v>Canon William</v>
      </c>
      <c r="E363" t="str">
        <f>IF('All Girls &amp; Descendants - Edit'!F362="","",'All Girls &amp; Descendants - Edit'!F362)</f>
        <v>Loyd</v>
      </c>
      <c r="F363" t="str">
        <f>IF('All Girls &amp; Descendants - Edit'!G362="","",'All Girls &amp; Descendants - Edit'!G362)</f>
        <v>Musgrave</v>
      </c>
      <c r="G363" t="str">
        <f>IF('All Girls &amp; Descendants - Edit'!H362="",D363,'All Girls &amp; Descendants - Edit'!H362)</f>
        <v>Canon William</v>
      </c>
      <c r="H363">
        <f>'All Girls &amp; Descendants - Edit'!I362</f>
        <v>1885</v>
      </c>
      <c r="I363">
        <f>'All Girls &amp; Descendants - Edit'!J362</f>
        <v>1962</v>
      </c>
      <c r="J363" s="101">
        <f>'All Girls &amp; Descendants - Edit'!K362</f>
        <v>0</v>
      </c>
      <c r="K363" s="3" t="str">
        <f>'All Girls &amp; Descendants - Edit'!L362</f>
        <v>1885</v>
      </c>
      <c r="L363" s="3" t="str">
        <f>'All Girls &amp; Descendants - Edit'!M362</f>
        <v>1885</v>
      </c>
      <c r="M363" s="3">
        <f>'All Girls &amp; Descendants - Edit'!N362</f>
        <v>7507</v>
      </c>
      <c r="N363" s="3">
        <f>'All Girls &amp; Descendants - Edit'!O362</f>
        <v>22919</v>
      </c>
      <c r="O363" s="3" t="str">
        <f>'All Girls &amp; Descendants - Edit'!P362</f>
        <v>30/09/1962</v>
      </c>
      <c r="P363" t="str">
        <f t="shared" si="69"/>
        <v>2caba</v>
      </c>
      <c r="Q363" s="116">
        <f t="shared" si="70"/>
        <v>4</v>
      </c>
      <c r="R363" s="31" t="str">
        <f t="shared" si="71"/>
        <v>Canon William Loyd Musgrave PROTHEROE</v>
      </c>
      <c r="S363" t="str">
        <f t="shared" si="72"/>
        <v>Canon William PROTHEROE (1885 - 1962: #2caba)</v>
      </c>
    </row>
    <row r="364" spans="1:19">
      <c r="A364">
        <f>'All Girls &amp; Descendants - Edit'!B363</f>
        <v>2</v>
      </c>
      <c r="B364" t="str">
        <f>'All Girls &amp; Descendants - Edit'!C363</f>
        <v>2cabb</v>
      </c>
      <c r="C364" t="str">
        <f>'All Girls &amp; Descendants - Edit'!D363</f>
        <v>PROTHEROE</v>
      </c>
      <c r="D364" t="str">
        <f>'All Girls &amp; Descendants - Edit'!E363</f>
        <v>Alice</v>
      </c>
      <c r="E364" t="str">
        <f>IF('All Girls &amp; Descendants - Edit'!F363="","",'All Girls &amp; Descendants - Edit'!F363)</f>
        <v>Muriel</v>
      </c>
      <c r="F364" t="str">
        <f>IF('All Girls &amp; Descendants - Edit'!G363="","",'All Girls &amp; Descendants - Edit'!G363)</f>
        <v>Loyd</v>
      </c>
      <c r="G364" t="str">
        <f>IF('All Girls &amp; Descendants - Edit'!H363="",D364,'All Girls &amp; Descendants - Edit'!H363)</f>
        <v>Alice</v>
      </c>
      <c r="H364">
        <f>'All Girls &amp; Descendants - Edit'!I363</f>
        <v>1886</v>
      </c>
      <c r="I364" t="str">
        <f>'All Girls &amp; Descendants - Edit'!J363</f>
        <v/>
      </c>
      <c r="J364" s="101">
        <f>'All Girls &amp; Descendants - Edit'!K363</f>
        <v>0</v>
      </c>
      <c r="K364" s="3" t="str">
        <f>'All Girls &amp; Descendants - Edit'!L363</f>
        <v>1886</v>
      </c>
      <c r="L364" s="3" t="str">
        <f>'All Girls &amp; Descendants - Edit'!M363</f>
        <v>1886</v>
      </c>
      <c r="M364" s="3" t="str">
        <f>'All Girls &amp; Descendants - Edit'!N363</f>
        <v>1920</v>
      </c>
      <c r="N364" s="3">
        <f>'All Girls &amp; Descendants - Edit'!O363</f>
        <v>0</v>
      </c>
      <c r="O364" s="3" t="str">
        <f>'All Girls &amp; Descendants - Edit'!P363</f>
        <v/>
      </c>
      <c r="P364" t="str">
        <f t="shared" si="69"/>
        <v>2cabb</v>
      </c>
      <c r="Q364" s="116">
        <f t="shared" si="70"/>
        <v>4</v>
      </c>
      <c r="R364" s="31" t="str">
        <f t="shared" si="71"/>
        <v>Alice Muriel Loyd PROTHEROE</v>
      </c>
      <c r="S364" t="str">
        <f t="shared" si="72"/>
        <v>Alice PROTHEROE (1886 - : #2cabb)</v>
      </c>
    </row>
    <row r="365" spans="1:19">
      <c r="A365">
        <f>'All Girls &amp; Descendants - Edit'!B364</f>
        <v>2</v>
      </c>
      <c r="B365" t="str">
        <f>'All Girls &amp; Descendants - Edit'!C364</f>
        <v>2cabc</v>
      </c>
      <c r="C365" t="str">
        <f>'All Girls &amp; Descendants - Edit'!D364</f>
        <v>PROTHEROE</v>
      </c>
      <c r="D365" t="str">
        <f>'All Girls &amp; Descendants - Edit'!E364</f>
        <v>Edward</v>
      </c>
      <c r="E365" t="str">
        <f>IF('All Girls &amp; Descendants - Edit'!F364="","",'All Girls &amp; Descendants - Edit'!F364)</f>
        <v>Loyd</v>
      </c>
      <c r="F365" t="str">
        <f>IF('All Girls &amp; Descendants - Edit'!G364="","",'All Girls &amp; Descendants - Edit'!G364)</f>
        <v>Musgrave</v>
      </c>
      <c r="G365" t="str">
        <f>IF('All Girls &amp; Descendants - Edit'!H364="",D365,'All Girls &amp; Descendants - Edit'!H364)</f>
        <v>Edward</v>
      </c>
      <c r="H365">
        <f>'All Girls &amp; Descendants - Edit'!I364</f>
        <v>1888</v>
      </c>
      <c r="I365">
        <f>'All Girls &amp; Descendants - Edit'!J364</f>
        <v>1905</v>
      </c>
      <c r="J365" s="101">
        <f>'All Girls &amp; Descendants - Edit'!K364</f>
        <v>0</v>
      </c>
      <c r="K365" s="3" t="str">
        <f>'All Girls &amp; Descendants - Edit'!L364</f>
        <v>1888</v>
      </c>
      <c r="L365" s="3" t="str">
        <f>'All Girls &amp; Descendants - Edit'!M364</f>
        <v>1888</v>
      </c>
      <c r="M365" s="3" t="str">
        <f>'All Girls &amp; Descendants - Edit'!N364</f>
        <v>1932</v>
      </c>
      <c r="N365" s="3" t="str">
        <f>'All Girls &amp; Descendants - Edit'!O364</f>
        <v>1970</v>
      </c>
      <c r="O365" s="3" t="str">
        <f>'All Girls &amp; Descendants - Edit'!P364</f>
        <v>1970</v>
      </c>
      <c r="P365" t="str">
        <f t="shared" si="69"/>
        <v>2cabc</v>
      </c>
      <c r="Q365" s="116">
        <f t="shared" si="70"/>
        <v>4</v>
      </c>
      <c r="R365" s="31" t="str">
        <f t="shared" si="71"/>
        <v>Edward Loyd Musgrave PROTHEROE</v>
      </c>
      <c r="S365" t="str">
        <f t="shared" si="72"/>
        <v>Edward PROTHEROE (1888 - 1905: #2cabc)</v>
      </c>
    </row>
    <row r="366" spans="1:19">
      <c r="A366">
        <f>'All Girls &amp; Descendants - Edit'!B365</f>
        <v>2</v>
      </c>
      <c r="B366" t="str">
        <f>'All Girls &amp; Descendants - Edit'!C365</f>
        <v>2cabd</v>
      </c>
      <c r="C366" t="str">
        <f>'All Girls &amp; Descendants - Edit'!D365</f>
        <v>PROTHEROE</v>
      </c>
      <c r="D366" t="str">
        <f>'All Girls &amp; Descendants - Edit'!E365</f>
        <v>Roderick</v>
      </c>
      <c r="E366" t="str">
        <f>IF('All Girls &amp; Descendants - Edit'!F365="","",'All Girls &amp; Descendants - Edit'!F365)</f>
        <v>Norman</v>
      </c>
      <c r="F366" t="str">
        <f>IF('All Girls &amp; Descendants - Edit'!G365="","",'All Girls &amp; Descendants - Edit'!G365)</f>
        <v>Loyd</v>
      </c>
      <c r="G366" t="str">
        <f>IF('All Girls &amp; Descendants - Edit'!H365="",D366,'All Girls &amp; Descendants - Edit'!H365)</f>
        <v>Roderick</v>
      </c>
      <c r="H366">
        <f>'All Girls &amp; Descendants - Edit'!I365</f>
        <v>1890</v>
      </c>
      <c r="I366">
        <f>'All Girls &amp; Descendants - Edit'!J365</f>
        <v>1905</v>
      </c>
      <c r="J366" s="101">
        <f>'All Girls &amp; Descendants - Edit'!K365</f>
        <v>0</v>
      </c>
      <c r="K366" s="3" t="str">
        <f>'All Girls &amp; Descendants - Edit'!L365</f>
        <v>1890</v>
      </c>
      <c r="L366" s="3" t="str">
        <f>'All Girls &amp; Descendants - Edit'!M365</f>
        <v>1890</v>
      </c>
      <c r="M366" s="3">
        <f>'All Girls &amp; Descendants - Edit'!N365</f>
        <v>0</v>
      </c>
      <c r="N366" s="3" t="str">
        <f>'All Girls &amp; Descendants - Edit'!O365</f>
        <v>1948</v>
      </c>
      <c r="O366" s="3" t="str">
        <f>'All Girls &amp; Descendants - Edit'!P365</f>
        <v>1948</v>
      </c>
      <c r="P366" t="str">
        <f t="shared" si="69"/>
        <v>2cabd</v>
      </c>
      <c r="Q366" s="116">
        <f t="shared" si="70"/>
        <v>4</v>
      </c>
      <c r="R366" s="31" t="str">
        <f t="shared" si="71"/>
        <v>Roderick Norman Loyd PROTHEROE</v>
      </c>
      <c r="S366" t="str">
        <f t="shared" si="72"/>
        <v>Roderick PROTHEROE (1890 - 1905: #2cabd)</v>
      </c>
    </row>
    <row r="367" spans="1:19">
      <c r="A367">
        <f>'All Girls &amp; Descendants - Edit'!B366</f>
        <v>2</v>
      </c>
      <c r="B367" t="str">
        <f>'All Girls &amp; Descendants - Edit'!C366</f>
        <v>2cabe</v>
      </c>
      <c r="C367" t="str">
        <f>'All Girls &amp; Descendants - Edit'!D366</f>
        <v>PROTHEROE</v>
      </c>
      <c r="D367" t="str">
        <f>'All Girls &amp; Descendants - Edit'!E366</f>
        <v>Norah</v>
      </c>
      <c r="E367" t="str">
        <f>IF('All Girls &amp; Descendants - Edit'!F366="","",'All Girls &amp; Descendants - Edit'!F366)</f>
        <v>Evelyn</v>
      </c>
      <c r="F367" t="str">
        <f>IF('All Girls &amp; Descendants - Edit'!G366="","",'All Girls &amp; Descendants - Edit'!G366)</f>
        <v>Loyd</v>
      </c>
      <c r="G367" t="str">
        <f>IF('All Girls &amp; Descendants - Edit'!H366="",D367,'All Girls &amp; Descendants - Edit'!H366)</f>
        <v>Norah</v>
      </c>
      <c r="H367">
        <f>'All Girls &amp; Descendants - Edit'!I366</f>
        <v>1899</v>
      </c>
      <c r="I367">
        <f>'All Girls &amp; Descendants - Edit'!J366</f>
        <v>1905</v>
      </c>
      <c r="J367" s="101">
        <f>'All Girls &amp; Descendants - Edit'!K366</f>
        <v>0</v>
      </c>
      <c r="K367" s="3" t="str">
        <f>'All Girls &amp; Descendants - Edit'!L366</f>
        <v>1899</v>
      </c>
      <c r="L367" s="3" t="str">
        <f>'All Girls &amp; Descendants - Edit'!M366</f>
        <v>1899</v>
      </c>
      <c r="M367" s="3" t="str">
        <f>'All Girls &amp; Descendants - Edit'!N366</f>
        <v>Unmarried</v>
      </c>
      <c r="N367" s="3" t="str">
        <f>'All Girls &amp; Descendants - Edit'!O366</f>
        <v>1945</v>
      </c>
      <c r="O367" s="3" t="str">
        <f>'All Girls &amp; Descendants - Edit'!P366</f>
        <v>1945</v>
      </c>
      <c r="P367" t="str">
        <f t="shared" si="69"/>
        <v>2cabe</v>
      </c>
      <c r="Q367" s="116">
        <f t="shared" si="70"/>
        <v>4</v>
      </c>
      <c r="R367" s="31" t="str">
        <f t="shared" si="71"/>
        <v>Norah Evelyn Loyd PROTHEROE</v>
      </c>
      <c r="S367" t="str">
        <f t="shared" si="72"/>
        <v>Norah PROTHEROE (1899 - 1905: #2cabe)</v>
      </c>
    </row>
    <row r="368" spans="1:19">
      <c r="A368">
        <f>'All Girls &amp; Descendants - Edit'!B367</f>
        <v>18</v>
      </c>
      <c r="B368" t="str">
        <f>'All Girls &amp; Descendants - Edit'!C367</f>
        <v>18bbaa</v>
      </c>
      <c r="C368" t="str">
        <f>'All Girls &amp; Descendants - Edit'!D367</f>
        <v>WARNER (later RAMSAY)</v>
      </c>
      <c r="D368" t="str">
        <f>'All Girls &amp; Descendants - Edit'!E367</f>
        <v>Robert</v>
      </c>
      <c r="E368" t="str">
        <f>IF('All Girls &amp; Descendants - Edit'!F367="","",'All Girls &amp; Descendants - Edit'!F367)</f>
        <v>Paul</v>
      </c>
      <c r="F368" t="str">
        <f>IF('All Girls &amp; Descendants - Edit'!G367="","",'All Girls &amp; Descendants - Edit'!G367)</f>
        <v>Redston</v>
      </c>
      <c r="G368" t="str">
        <f>IF('All Girls &amp; Descendants - Edit'!H367="",D368,'All Girls &amp; Descendants - Edit'!H367)</f>
        <v>Robert</v>
      </c>
      <c r="H368">
        <f>'All Girls &amp; Descendants - Edit'!I367</f>
        <v>1945</v>
      </c>
      <c r="I368" t="str">
        <f>'All Girls &amp; Descendants - Edit'!J367</f>
        <v/>
      </c>
      <c r="J368" s="101">
        <f>'All Girls &amp; Descendants - Edit'!K367</f>
        <v>0</v>
      </c>
      <c r="K368" s="3" t="str">
        <f>'All Girls &amp; Descendants - Edit'!L367</f>
        <v>30/10/1945</v>
      </c>
      <c r="L368" s="3">
        <f>'All Girls &amp; Descendants - Edit'!M367</f>
        <v>16740</v>
      </c>
      <c r="M368" s="3">
        <f>'All Girls &amp; Descendants - Edit'!N367</f>
        <v>28938</v>
      </c>
      <c r="N368" s="3">
        <f>'All Girls &amp; Descendants - Edit'!O367</f>
        <v>0</v>
      </c>
      <c r="O368" s="3" t="str">
        <f>'All Girls &amp; Descendants - Edit'!P367</f>
        <v/>
      </c>
      <c r="P368" t="str">
        <f t="shared" si="69"/>
        <v>18bbaa</v>
      </c>
      <c r="Q368" s="116">
        <f t="shared" si="70"/>
        <v>4</v>
      </c>
      <c r="R368" s="31" t="str">
        <f t="shared" si="71"/>
        <v>Robert Paul Redston WARNER (later RAMSAY)</v>
      </c>
      <c r="S368" t="str">
        <f t="shared" si="72"/>
        <v>Robert WARNER (later RAMSAY) (1945 - : #18bbaa)</v>
      </c>
    </row>
    <row r="369" spans="1:19">
      <c r="A369">
        <f>'All Girls &amp; Descendants - Edit'!B368</f>
        <v>18</v>
      </c>
      <c r="B369" t="str">
        <f>'All Girls &amp; Descendants - Edit'!C368</f>
        <v>18bbab</v>
      </c>
      <c r="C369" t="str">
        <f>'All Girls &amp; Descendants - Edit'!D368</f>
        <v>WARNER</v>
      </c>
      <c r="D369" t="str">
        <f>'All Girls &amp; Descendants - Edit'!E368</f>
        <v>Elizabeth</v>
      </c>
      <c r="E369" t="str">
        <f>IF('All Girls &amp; Descendants - Edit'!F368="","",'All Girls &amp; Descendants - Edit'!F368)</f>
        <v>Margery</v>
      </c>
      <c r="F369" t="str">
        <f>IF('All Girls &amp; Descendants - Edit'!G368="","",'All Girls &amp; Descendants - Edit'!G368)</f>
        <v/>
      </c>
      <c r="G369" t="str">
        <f>IF('All Girls &amp; Descendants - Edit'!H368="",D369,'All Girls &amp; Descendants - Edit'!H368)</f>
        <v>Elizabeth</v>
      </c>
      <c r="H369">
        <f>'All Girls &amp; Descendants - Edit'!I368</f>
        <v>1947</v>
      </c>
      <c r="I369" t="str">
        <f>'All Girls &amp; Descendants - Edit'!J368</f>
        <v/>
      </c>
      <c r="J369" s="101">
        <f>'All Girls &amp; Descendants - Edit'!K368</f>
        <v>0</v>
      </c>
      <c r="K369" s="3" t="str">
        <f>'All Girls &amp; Descendants - Edit'!L368</f>
        <v>14/12/1947</v>
      </c>
      <c r="L369" s="3">
        <f>'All Girls &amp; Descendants - Edit'!M368</f>
        <v>17515</v>
      </c>
      <c r="M369" s="3">
        <f>'All Girls &amp; Descendants - Edit'!N368</f>
        <v>27013</v>
      </c>
      <c r="N369" s="3">
        <f>'All Girls &amp; Descendants - Edit'!O368</f>
        <v>0</v>
      </c>
      <c r="O369" s="3" t="str">
        <f>'All Girls &amp; Descendants - Edit'!P368</f>
        <v/>
      </c>
      <c r="P369" t="str">
        <f t="shared" si="69"/>
        <v>18bbab</v>
      </c>
      <c r="Q369" s="116">
        <f t="shared" si="70"/>
        <v>4</v>
      </c>
      <c r="R369" s="31" t="str">
        <f t="shared" si="71"/>
        <v>Elizabeth Margery  WARNER</v>
      </c>
      <c r="S369" t="str">
        <f t="shared" si="72"/>
        <v>Elizabeth WARNER (1947 - : #18bbab)</v>
      </c>
    </row>
    <row r="370" spans="1:19">
      <c r="A370">
        <f>'All Girls &amp; Descendants - Edit'!B369</f>
        <v>18</v>
      </c>
      <c r="B370" t="str">
        <f>'All Girls &amp; Descendants - Edit'!C369</f>
        <v>18bbac</v>
      </c>
      <c r="C370" t="str">
        <f>'All Girls &amp; Descendants - Edit'!D369</f>
        <v>WARNER</v>
      </c>
      <c r="D370" t="str">
        <f>'All Girls &amp; Descendants - Edit'!E369</f>
        <v>Nigel</v>
      </c>
      <c r="E370" t="str">
        <f>IF('All Girls &amp; Descendants - Edit'!F369="","",'All Girls &amp; Descendants - Edit'!F369)</f>
        <v>George</v>
      </c>
      <c r="F370" t="str">
        <f>IF('All Girls &amp; Descendants - Edit'!G369="","",'All Girls &amp; Descendants - Edit'!G369)</f>
        <v/>
      </c>
      <c r="G370" t="str">
        <f>IF('All Girls &amp; Descendants - Edit'!H369="",D370,'All Girls &amp; Descendants - Edit'!H369)</f>
        <v>Nigel</v>
      </c>
      <c r="H370">
        <f>'All Girls &amp; Descendants - Edit'!I369</f>
        <v>1947</v>
      </c>
      <c r="I370" t="str">
        <f>'All Girls &amp; Descendants - Edit'!J369</f>
        <v/>
      </c>
      <c r="J370" s="101">
        <f>'All Girls &amp; Descendants - Edit'!K369</f>
        <v>0</v>
      </c>
      <c r="K370" s="3" t="str">
        <f>'All Girls &amp; Descendants - Edit'!L369</f>
        <v>14/12/1947</v>
      </c>
      <c r="L370" s="3">
        <f>'All Girls &amp; Descendants - Edit'!M369</f>
        <v>17515</v>
      </c>
      <c r="M370" s="3">
        <f>'All Girls &amp; Descendants - Edit'!N369</f>
        <v>0</v>
      </c>
      <c r="N370" s="3">
        <f>'All Girls &amp; Descendants - Edit'!O369</f>
        <v>0</v>
      </c>
      <c r="O370" s="3" t="str">
        <f>'All Girls &amp; Descendants - Edit'!P369</f>
        <v/>
      </c>
      <c r="P370" t="str">
        <f t="shared" si="69"/>
        <v>18bbac</v>
      </c>
      <c r="Q370" s="116">
        <f t="shared" si="70"/>
        <v>4</v>
      </c>
      <c r="R370" s="31" t="str">
        <f t="shared" si="71"/>
        <v>Nigel George  WARNER</v>
      </c>
      <c r="S370" t="str">
        <f t="shared" si="72"/>
        <v>Nigel WARNER (1947 - : #18bbac)</v>
      </c>
    </row>
    <row r="371" spans="1:19">
      <c r="A371">
        <f>'All Girls &amp; Descendants - Edit'!B370</f>
        <v>18</v>
      </c>
      <c r="B371" t="str">
        <f>'All Girls &amp; Descendants - Edit'!C370</f>
        <v>18bbad</v>
      </c>
      <c r="C371" t="str">
        <f>'All Girls &amp; Descendants - Edit'!D370</f>
        <v>WARNER</v>
      </c>
      <c r="D371" t="str">
        <f>'All Girls &amp; Descendants - Edit'!E370</f>
        <v>Alan</v>
      </c>
      <c r="E371" t="str">
        <f>IF('All Girls &amp; Descendants - Edit'!F370="","",'All Girls &amp; Descendants - Edit'!F370)</f>
        <v>Tristram</v>
      </c>
      <c r="F371" t="str">
        <f>IF('All Girls &amp; Descendants - Edit'!G370="","",'All Girls &amp; Descendants - Edit'!G370)</f>
        <v>Nicholas</v>
      </c>
      <c r="G371" t="str">
        <f>IF('All Girls &amp; Descendants - Edit'!H370="",D371,'All Girls &amp; Descendants - Edit'!H370)</f>
        <v>Alan</v>
      </c>
      <c r="H371">
        <f>'All Girls &amp; Descendants - Edit'!I370</f>
        <v>1949</v>
      </c>
      <c r="I371" t="str">
        <f>'All Girls &amp; Descendants - Edit'!J370</f>
        <v/>
      </c>
      <c r="J371" s="101">
        <f>'All Girls &amp; Descendants - Edit'!K370</f>
        <v>0</v>
      </c>
      <c r="K371" s="3" t="str">
        <f>'All Girls &amp; Descendants - Edit'!L370</f>
        <v>18/10/1949</v>
      </c>
      <c r="L371" s="3">
        <f>'All Girls &amp; Descendants - Edit'!M370</f>
        <v>18189</v>
      </c>
      <c r="M371" s="3">
        <f>'All Girls &amp; Descendants - Edit'!N370</f>
        <v>30688</v>
      </c>
      <c r="N371" s="3">
        <f>'All Girls &amp; Descendants - Edit'!O370</f>
        <v>0</v>
      </c>
      <c r="O371" s="3" t="str">
        <f>'All Girls &amp; Descendants - Edit'!P370</f>
        <v/>
      </c>
      <c r="P371" t="str">
        <f t="shared" si="69"/>
        <v>18bbad</v>
      </c>
      <c r="Q371" s="116">
        <f t="shared" si="70"/>
        <v>4</v>
      </c>
      <c r="R371" s="31" t="str">
        <f t="shared" si="71"/>
        <v>Alan Tristram Nicholas WARNER</v>
      </c>
      <c r="S371" t="str">
        <f t="shared" si="72"/>
        <v>Alan WARNER (1949 - : #18bbad)</v>
      </c>
    </row>
    <row r="372" spans="1:19">
      <c r="A372">
        <f>'All Girls &amp; Descendants - Edit'!B371</f>
        <v>18</v>
      </c>
      <c r="B372" t="str">
        <f>'All Girls &amp; Descendants - Edit'!C371</f>
        <v>18bbba</v>
      </c>
      <c r="C372" t="str">
        <f>'All Girls &amp; Descendants - Edit'!D371</f>
        <v>NICOL</v>
      </c>
      <c r="D372" t="str">
        <f>'All Girls &amp; Descendants - Edit'!E371</f>
        <v>Randall</v>
      </c>
      <c r="E372" t="str">
        <f>IF('All Girls &amp; Descendants - Edit'!F371="","",'All Girls &amp; Descendants - Edit'!F371)</f>
        <v>Lewis</v>
      </c>
      <c r="F372" t="str">
        <f>IF('All Girls &amp; Descendants - Edit'!G371="","",'All Girls &amp; Descendants - Edit'!G371)</f>
        <v/>
      </c>
      <c r="G372" t="str">
        <f>IF('All Girls &amp; Descendants - Edit'!H371="",D372,'All Girls &amp; Descendants - Edit'!H371)</f>
        <v>Randall</v>
      </c>
      <c r="H372">
        <f>'All Girls &amp; Descendants - Edit'!I371</f>
        <v>1947</v>
      </c>
      <c r="I372" t="str">
        <f>'All Girls &amp; Descendants - Edit'!J371</f>
        <v/>
      </c>
      <c r="J372" s="101">
        <f>'All Girls &amp; Descendants - Edit'!K371</f>
        <v>0</v>
      </c>
      <c r="K372" s="3" t="str">
        <f>'All Girls &amp; Descendants - Edit'!L371</f>
        <v>22/05/1947</v>
      </c>
      <c r="L372" s="3">
        <f>'All Girls &amp; Descendants - Edit'!M371</f>
        <v>17309</v>
      </c>
      <c r="M372" s="3">
        <f>'All Girls &amp; Descendants - Edit'!N371</f>
        <v>0</v>
      </c>
      <c r="N372" s="3">
        <f>'All Girls &amp; Descendants - Edit'!O371</f>
        <v>0</v>
      </c>
      <c r="O372" s="3" t="str">
        <f>'All Girls &amp; Descendants - Edit'!P371</f>
        <v/>
      </c>
      <c r="P372" t="str">
        <f t="shared" si="69"/>
        <v>18bbba</v>
      </c>
      <c r="Q372" s="116">
        <f t="shared" si="70"/>
        <v>4</v>
      </c>
      <c r="R372" s="31" t="str">
        <f t="shared" si="71"/>
        <v>Randall Lewis  NICOL</v>
      </c>
      <c r="S372" t="str">
        <f t="shared" si="72"/>
        <v>Randall NICOL (1947 - : #18bbba)</v>
      </c>
    </row>
    <row r="373" spans="1:19">
      <c r="A373">
        <f>'All Girls &amp; Descendants - Edit'!B372</f>
        <v>18</v>
      </c>
      <c r="B373" t="str">
        <f>'All Girls &amp; Descendants - Edit'!C372</f>
        <v>18bbbb</v>
      </c>
      <c r="C373" t="str">
        <f>'All Girls &amp; Descendants - Edit'!D372</f>
        <v>NICOL</v>
      </c>
      <c r="D373" t="str">
        <f>'All Girls &amp; Descendants - Edit'!E372</f>
        <v>Andrew</v>
      </c>
      <c r="E373" t="str">
        <f>IF('All Girls &amp; Descendants - Edit'!F372="","",'All Girls &amp; Descendants - Edit'!F372)</f>
        <v>Harry</v>
      </c>
      <c r="F373" t="str">
        <f>IF('All Girls &amp; Descendants - Edit'!G372="","",'All Girls &amp; Descendants - Edit'!G372)</f>
        <v/>
      </c>
      <c r="G373" t="str">
        <f>IF('All Girls &amp; Descendants - Edit'!H372="",D373,'All Girls &amp; Descendants - Edit'!H372)</f>
        <v>Andrew</v>
      </c>
      <c r="H373">
        <f>'All Girls &amp; Descendants - Edit'!I372</f>
        <v>1949</v>
      </c>
      <c r="I373" t="str">
        <f>'All Girls &amp; Descendants - Edit'!J372</f>
        <v/>
      </c>
      <c r="J373" s="101">
        <f>'All Girls &amp; Descendants - Edit'!K372</f>
        <v>0</v>
      </c>
      <c r="K373" s="3" t="str">
        <f>'All Girls &amp; Descendants - Edit'!L372</f>
        <v>31/07/1949</v>
      </c>
      <c r="L373" s="3">
        <f>'All Girls &amp; Descendants - Edit'!M372</f>
        <v>18110</v>
      </c>
      <c r="M373" s="3">
        <f>'All Girls &amp; Descendants - Edit'!N372</f>
        <v>28756</v>
      </c>
      <c r="N373" s="3">
        <f>'All Girls &amp; Descendants - Edit'!O372</f>
        <v>0</v>
      </c>
      <c r="O373" s="3" t="str">
        <f>'All Girls &amp; Descendants - Edit'!P372</f>
        <v/>
      </c>
      <c r="P373" t="str">
        <f t="shared" si="69"/>
        <v>18bbbb</v>
      </c>
      <c r="Q373" s="116">
        <f t="shared" si="70"/>
        <v>4</v>
      </c>
      <c r="R373" s="31" t="str">
        <f t="shared" si="71"/>
        <v>Andrew Harry  NICOL</v>
      </c>
      <c r="S373" t="str">
        <f t="shared" si="72"/>
        <v>Andrew NICOL (1949 - : #18bbbb)</v>
      </c>
    </row>
    <row r="374" spans="1:19">
      <c r="A374">
        <f>'All Girls &amp; Descendants - Edit'!B373</f>
        <v>18</v>
      </c>
      <c r="B374" t="str">
        <f>'All Girls &amp; Descendants - Edit'!C373</f>
        <v>18bbbc</v>
      </c>
      <c r="C374" t="str">
        <f>'All Girls &amp; Descendants - Edit'!D373</f>
        <v>NICOL</v>
      </c>
      <c r="D374" t="str">
        <f>'All Girls &amp; Descendants - Edit'!E373</f>
        <v>Malcolm</v>
      </c>
      <c r="E374" t="str">
        <f>IF('All Girls &amp; Descendants - Edit'!F373="","",'All Girls &amp; Descendants - Edit'!F373)</f>
        <v>James</v>
      </c>
      <c r="F374" t="str">
        <f>IF('All Girls &amp; Descendants - Edit'!G373="","",'All Girls &amp; Descendants - Edit'!G373)</f>
        <v/>
      </c>
      <c r="G374" t="str">
        <f>IF('All Girls &amp; Descendants - Edit'!H373="",D374,'All Girls &amp; Descendants - Edit'!H373)</f>
        <v>Malcolm</v>
      </c>
      <c r="H374">
        <f>'All Girls &amp; Descendants - Edit'!I373</f>
        <v>1953</v>
      </c>
      <c r="I374" t="str">
        <f>'All Girls &amp; Descendants - Edit'!J373</f>
        <v/>
      </c>
      <c r="J374" s="101">
        <f>'All Girls &amp; Descendants - Edit'!K373</f>
        <v>0</v>
      </c>
      <c r="K374" s="3" t="str">
        <f>'All Girls &amp; Descendants - Edit'!L373</f>
        <v>02/04/1953</v>
      </c>
      <c r="L374" s="3">
        <f>'All Girls &amp; Descendants - Edit'!M373</f>
        <v>19451</v>
      </c>
      <c r="M374" s="3">
        <f>'All Girls &amp; Descendants - Edit'!N373</f>
        <v>31017</v>
      </c>
      <c r="N374" s="3">
        <f>'All Girls &amp; Descendants - Edit'!O373</f>
        <v>0</v>
      </c>
      <c r="O374" s="3" t="str">
        <f>'All Girls &amp; Descendants - Edit'!P373</f>
        <v/>
      </c>
      <c r="P374" t="str">
        <f t="shared" si="69"/>
        <v>18bbbc</v>
      </c>
      <c r="Q374" s="116">
        <f t="shared" si="70"/>
        <v>4</v>
      </c>
      <c r="R374" s="31" t="str">
        <f t="shared" si="71"/>
        <v>Malcolm James  NICOL</v>
      </c>
      <c r="S374" t="str">
        <f t="shared" si="72"/>
        <v>Malcolm NICOL (1953 - : #18bbbc)</v>
      </c>
    </row>
    <row r="375" spans="1:19">
      <c r="A375">
        <f>'All Girls &amp; Descendants - Edit'!B374</f>
        <v>36</v>
      </c>
      <c r="B375" t="str">
        <f>'All Girls &amp; Descendants - Edit'!C374</f>
        <v>36dbaa</v>
      </c>
      <c r="C375" t="str">
        <f>'All Girls &amp; Descendants - Edit'!D374</f>
        <v>SCOTT-DEMPSTER</v>
      </c>
      <c r="D375" t="str">
        <f>'All Girls &amp; Descendants - Edit'!E374</f>
        <v>Robert</v>
      </c>
      <c r="E375" t="str">
        <f>IF('All Girls &amp; Descendants - Edit'!F374="","",'All Girls &amp; Descendants - Edit'!F374)</f>
        <v>Andrew</v>
      </c>
      <c r="F375" t="str">
        <f>IF('All Girls &amp; Descendants - Edit'!G374="","",'All Girls &amp; Descendants - Edit'!G374)</f>
        <v/>
      </c>
      <c r="G375" t="str">
        <f>IF('All Girls &amp; Descendants - Edit'!H374="",D375,'All Girls &amp; Descendants - Edit'!H374)</f>
        <v>Robert</v>
      </c>
      <c r="H375">
        <f>'All Girls &amp; Descendants - Edit'!I374</f>
        <v>1967</v>
      </c>
      <c r="I375" t="str">
        <f>'All Girls &amp; Descendants - Edit'!J374</f>
        <v/>
      </c>
      <c r="J375" s="101">
        <f>'All Girls &amp; Descendants - Edit'!K374</f>
        <v>0</v>
      </c>
      <c r="K375" s="3" t="str">
        <f>'All Girls &amp; Descendants - Edit'!L374</f>
        <v>30/04/1967</v>
      </c>
      <c r="L375" s="3">
        <f>'All Girls &amp; Descendants - Edit'!M374</f>
        <v>24592</v>
      </c>
      <c r="M375" s="3">
        <f>'All Girls &amp; Descendants - Edit'!N374</f>
        <v>34776</v>
      </c>
      <c r="N375" s="3">
        <f>'All Girls &amp; Descendants - Edit'!O374</f>
        <v>0</v>
      </c>
      <c r="O375" s="3" t="str">
        <f>'All Girls &amp; Descendants - Edit'!P374</f>
        <v/>
      </c>
      <c r="P375" t="str">
        <f t="shared" si="69"/>
        <v>36dbaa</v>
      </c>
      <c r="Q375" s="116">
        <f t="shared" si="70"/>
        <v>4</v>
      </c>
      <c r="R375" s="31" t="str">
        <f t="shared" si="71"/>
        <v>Robert Andrew  SCOTT-DEMPSTER</v>
      </c>
      <c r="S375" t="str">
        <f t="shared" si="72"/>
        <v>Robert SCOTT-DEMPSTER (1967 - : #36dbaa)</v>
      </c>
    </row>
    <row r="376" spans="1:19">
      <c r="A376">
        <f>'All Girls &amp; Descendants - Edit'!B375</f>
        <v>36</v>
      </c>
      <c r="B376" t="str">
        <f>'All Girls &amp; Descendants - Edit'!C375</f>
        <v>36dbab</v>
      </c>
      <c r="C376" t="str">
        <f>'All Girls &amp; Descendants - Edit'!D375</f>
        <v>SCOTT-DEMPSTER</v>
      </c>
      <c r="D376" t="str">
        <f>'All Girls &amp; Descendants - Edit'!E375</f>
        <v>Clare</v>
      </c>
      <c r="E376" t="str">
        <f>IF('All Girls &amp; Descendants - Edit'!F375="","",'All Girls &amp; Descendants - Edit'!F375)</f>
        <v>Ann</v>
      </c>
      <c r="F376" t="str">
        <f>IF('All Girls &amp; Descendants - Edit'!G375="","",'All Girls &amp; Descendants - Edit'!G375)</f>
        <v/>
      </c>
      <c r="G376" t="str">
        <f>IF('All Girls &amp; Descendants - Edit'!H375="",D376,'All Girls &amp; Descendants - Edit'!H375)</f>
        <v>Clare</v>
      </c>
      <c r="H376">
        <f>'All Girls &amp; Descendants - Edit'!I375</f>
        <v>1969</v>
      </c>
      <c r="I376" t="str">
        <f>'All Girls &amp; Descendants - Edit'!J375</f>
        <v/>
      </c>
      <c r="J376" s="101">
        <f>'All Girls &amp; Descendants - Edit'!K375</f>
        <v>0</v>
      </c>
      <c r="K376" s="3" t="str">
        <f>'All Girls &amp; Descendants - Edit'!L375</f>
        <v>07/06/1969</v>
      </c>
      <c r="L376" s="3">
        <f>'All Girls &amp; Descendants - Edit'!M375</f>
        <v>25361</v>
      </c>
      <c r="M376" s="3">
        <f>'All Girls &amp; Descendants - Edit'!N375</f>
        <v>0</v>
      </c>
      <c r="N376" s="3">
        <f>'All Girls &amp; Descendants - Edit'!O375</f>
        <v>0</v>
      </c>
      <c r="O376" s="3" t="str">
        <f>'All Girls &amp; Descendants - Edit'!P375</f>
        <v/>
      </c>
      <c r="P376" t="str">
        <f t="shared" si="69"/>
        <v>36dbab</v>
      </c>
      <c r="Q376" s="116">
        <f t="shared" si="70"/>
        <v>4</v>
      </c>
      <c r="R376" s="31" t="str">
        <f t="shared" si="71"/>
        <v>Clare Ann  SCOTT-DEMPSTER</v>
      </c>
      <c r="S376" t="str">
        <f t="shared" si="72"/>
        <v>Clare SCOTT-DEMPSTER (1969 - : #36dbab)</v>
      </c>
    </row>
    <row r="377" spans="1:19">
      <c r="A377">
        <f>'All Girls &amp; Descendants - Edit'!B376</f>
        <v>36</v>
      </c>
      <c r="B377" t="str">
        <f>'All Girls &amp; Descendants - Edit'!C376</f>
        <v>36dbac</v>
      </c>
      <c r="C377" t="str">
        <f>'All Girls &amp; Descendants - Edit'!D376</f>
        <v>SCOTT-DEMPSTER</v>
      </c>
      <c r="D377" t="str">
        <f>'All Girls &amp; Descendants - Edit'!E376</f>
        <v>Harry</v>
      </c>
      <c r="E377" t="str">
        <f>IF('All Girls &amp; Descendants - Edit'!F376="","",'All Girls &amp; Descendants - Edit'!F376)</f>
        <v>Colin</v>
      </c>
      <c r="F377" t="str">
        <f>IF('All Girls &amp; Descendants - Edit'!G376="","",'All Girls &amp; Descendants - Edit'!G376)</f>
        <v/>
      </c>
      <c r="G377" t="str">
        <f>IF('All Girls &amp; Descendants - Edit'!H376="",D377,'All Girls &amp; Descendants - Edit'!H376)</f>
        <v>Ann</v>
      </c>
      <c r="H377">
        <f>'All Girls &amp; Descendants - Edit'!I376</f>
        <v>1985</v>
      </c>
      <c r="I377" t="str">
        <f>'All Girls &amp; Descendants - Edit'!J376</f>
        <v/>
      </c>
      <c r="J377" s="101">
        <f>'All Girls &amp; Descendants - Edit'!K376</f>
        <v>0</v>
      </c>
      <c r="K377" s="3" t="str">
        <f>'All Girls &amp; Descendants - Edit'!L376</f>
        <v>28/08/1985</v>
      </c>
      <c r="L377" s="3" t="str">
        <f>'All Girls &amp; Descendants - Edit'!M376</f>
        <v>28/08/1985</v>
      </c>
      <c r="M377" s="3">
        <f>'All Girls &amp; Descendants - Edit'!N376</f>
        <v>0</v>
      </c>
      <c r="N377" s="3">
        <f>'All Girls &amp; Descendants - Edit'!O376</f>
        <v>0</v>
      </c>
      <c r="O377" s="3" t="str">
        <f>'All Girls &amp; Descendants - Edit'!P376</f>
        <v/>
      </c>
      <c r="P377" t="str">
        <f t="shared" si="69"/>
        <v>36dbac</v>
      </c>
      <c r="Q377" s="116">
        <f t="shared" si="70"/>
        <v>4</v>
      </c>
      <c r="R377" s="31" t="str">
        <f t="shared" si="71"/>
        <v>Harry Colin  SCOTT-DEMPSTER</v>
      </c>
      <c r="S377" t="str">
        <f t="shared" si="72"/>
        <v>Ann SCOTT-DEMPSTER (1985 - : #36dbac)</v>
      </c>
    </row>
    <row r="378" spans="1:19">
      <c r="A378">
        <f>'All Girls &amp; Descendants - Edit'!B377</f>
        <v>36</v>
      </c>
      <c r="B378" t="str">
        <f>'All Girls &amp; Descendants - Edit'!C377</f>
        <v>36dbba</v>
      </c>
      <c r="C378" t="str">
        <f>'All Girls &amp; Descendants - Edit'!D377</f>
        <v>LINDSAY</v>
      </c>
      <c r="D378" t="str">
        <f>'All Girls &amp; Descendants - Edit'!E377</f>
        <v>Jane</v>
      </c>
      <c r="E378" t="str">
        <f>IF('All Girls &amp; Descendants - Edit'!F377="","",'All Girls &amp; Descendants - Edit'!F377)</f>
        <v>Margaret</v>
      </c>
      <c r="F378" t="str">
        <f>IF('All Girls &amp; Descendants - Edit'!G377="","",'All Girls &amp; Descendants - Edit'!G377)</f>
        <v/>
      </c>
      <c r="G378" t="str">
        <f>IF('All Girls &amp; Descendants - Edit'!H377="",D378,'All Girls &amp; Descendants - Edit'!H377)</f>
        <v>Jane</v>
      </c>
      <c r="H378">
        <f>'All Girls &amp; Descendants - Edit'!I377</f>
        <v>1966</v>
      </c>
      <c r="I378" t="str">
        <f>'All Girls &amp; Descendants - Edit'!J377</f>
        <v/>
      </c>
      <c r="J378" s="101">
        <f>'All Girls &amp; Descendants - Edit'!K377</f>
        <v>0</v>
      </c>
      <c r="K378" s="3" t="str">
        <f>'All Girls &amp; Descendants - Edit'!L377</f>
        <v>17/12/1966</v>
      </c>
      <c r="L378" s="3">
        <f>'All Girls &amp; Descendants - Edit'!M377</f>
        <v>24458</v>
      </c>
      <c r="M378" s="3">
        <f>'All Girls &amp; Descendants - Edit'!N377</f>
        <v>0</v>
      </c>
      <c r="N378" s="3">
        <f>'All Girls &amp; Descendants - Edit'!O377</f>
        <v>0</v>
      </c>
      <c r="O378" s="3" t="str">
        <f>'All Girls &amp; Descendants - Edit'!P377</f>
        <v/>
      </c>
      <c r="P378" t="str">
        <f t="shared" si="69"/>
        <v>36dbba</v>
      </c>
      <c r="Q378" s="116">
        <f t="shared" si="70"/>
        <v>4</v>
      </c>
      <c r="R378" s="31" t="str">
        <f t="shared" si="71"/>
        <v>Jane Margaret  LINDSAY</v>
      </c>
      <c r="S378" t="str">
        <f t="shared" si="72"/>
        <v>Jane LINDSAY (1966 - : #36dbba)</v>
      </c>
    </row>
    <row r="379" spans="1:19">
      <c r="A379">
        <f>'All Girls &amp; Descendants - Edit'!B378</f>
        <v>36</v>
      </c>
      <c r="B379" t="str">
        <f>'All Girls &amp; Descendants - Edit'!C378</f>
        <v>36dbbb</v>
      </c>
      <c r="C379" t="str">
        <f>'All Girls &amp; Descendants - Edit'!D378</f>
        <v>LINDSAY</v>
      </c>
      <c r="D379" t="str">
        <f>'All Girls &amp; Descendants - Edit'!E378</f>
        <v>Richard</v>
      </c>
      <c r="E379" t="str">
        <f>IF('All Girls &amp; Descendants - Edit'!F378="","",'All Girls &amp; Descendants - Edit'!F378)</f>
        <v>Stephen</v>
      </c>
      <c r="F379" t="str">
        <f>IF('All Girls &amp; Descendants - Edit'!G378="","",'All Girls &amp; Descendants - Edit'!G378)</f>
        <v/>
      </c>
      <c r="G379" t="str">
        <f>IF('All Girls &amp; Descendants - Edit'!H378="",D379,'All Girls &amp; Descendants - Edit'!H378)</f>
        <v>Richard</v>
      </c>
      <c r="H379">
        <f>'All Girls &amp; Descendants - Edit'!I378</f>
        <v>1969</v>
      </c>
      <c r="I379" t="str">
        <f>'All Girls &amp; Descendants - Edit'!J378</f>
        <v/>
      </c>
      <c r="J379" s="101">
        <f>'All Girls &amp; Descendants - Edit'!K378</f>
        <v>0</v>
      </c>
      <c r="K379" s="3" t="str">
        <f>'All Girls &amp; Descendants - Edit'!L378</f>
        <v>18/02/1969</v>
      </c>
      <c r="L379" s="3">
        <f>'All Girls &amp; Descendants - Edit'!M378</f>
        <v>25252</v>
      </c>
      <c r="M379" s="3">
        <f>'All Girls &amp; Descendants - Edit'!N378</f>
        <v>0</v>
      </c>
      <c r="N379" s="3">
        <f>'All Girls &amp; Descendants - Edit'!O378</f>
        <v>0</v>
      </c>
      <c r="O379" s="3" t="str">
        <f>'All Girls &amp; Descendants - Edit'!P378</f>
        <v/>
      </c>
      <c r="P379" t="str">
        <f t="shared" si="69"/>
        <v>36dbbb</v>
      </c>
      <c r="Q379" s="116">
        <f t="shared" si="70"/>
        <v>4</v>
      </c>
      <c r="R379" s="31" t="str">
        <f t="shared" si="71"/>
        <v>Richard Stephen  LINDSAY</v>
      </c>
      <c r="S379" t="str">
        <f t="shared" si="72"/>
        <v>Richard LINDSAY (1969 - : #36dbbb)</v>
      </c>
    </row>
    <row r="380" spans="1:19">
      <c r="A380">
        <f>'All Girls &amp; Descendants - Edit'!B379</f>
        <v>36</v>
      </c>
      <c r="B380" t="str">
        <f>'All Girls &amp; Descendants - Edit'!C379</f>
        <v>36dbbc</v>
      </c>
      <c r="C380" t="str">
        <f>'All Girls &amp; Descendants - Edit'!D379</f>
        <v>LINDSAY</v>
      </c>
      <c r="D380" t="str">
        <f>'All Girls &amp; Descendants - Edit'!E379</f>
        <v>Charles</v>
      </c>
      <c r="E380" t="str">
        <f>IF('All Girls &amp; Descendants - Edit'!F379="","",'All Girls &amp; Descendants - Edit'!F379)</f>
        <v>Ludovic</v>
      </c>
      <c r="F380" t="str">
        <f>IF('All Girls &amp; Descendants - Edit'!G379="","",'All Girls &amp; Descendants - Edit'!G379)</f>
        <v/>
      </c>
      <c r="G380" t="str">
        <f>IF('All Girls &amp; Descendants - Edit'!H379="",D380,'All Girls &amp; Descendants - Edit'!H379)</f>
        <v>Charles</v>
      </c>
      <c r="H380">
        <f>'All Girls &amp; Descendants - Edit'!I379</f>
        <v>1974</v>
      </c>
      <c r="I380" t="str">
        <f>'All Girls &amp; Descendants - Edit'!J379</f>
        <v/>
      </c>
      <c r="J380" s="101">
        <f>'All Girls &amp; Descendants - Edit'!K379</f>
        <v>0</v>
      </c>
      <c r="K380" s="3" t="str">
        <f>'All Girls &amp; Descendants - Edit'!L379</f>
        <v>24/04/1974</v>
      </c>
      <c r="L380" s="3">
        <f>'All Girls &amp; Descendants - Edit'!M379</f>
        <v>27143</v>
      </c>
      <c r="M380" s="3">
        <f>'All Girls &amp; Descendants - Edit'!N379</f>
        <v>0</v>
      </c>
      <c r="N380" s="3">
        <f>'All Girls &amp; Descendants - Edit'!O379</f>
        <v>0</v>
      </c>
      <c r="O380" s="3" t="str">
        <f>'All Girls &amp; Descendants - Edit'!P379</f>
        <v/>
      </c>
      <c r="P380" t="str">
        <f t="shared" si="69"/>
        <v>36dbbc</v>
      </c>
      <c r="Q380" s="116">
        <f t="shared" si="70"/>
        <v>4</v>
      </c>
      <c r="R380" s="31" t="str">
        <f t="shared" si="71"/>
        <v>Charles Ludovic  LINDSAY</v>
      </c>
      <c r="S380" t="str">
        <f t="shared" si="72"/>
        <v>Charles LINDSAY (1974 - : #36dbbc)</v>
      </c>
    </row>
    <row r="381" spans="1:19">
      <c r="A381">
        <f>'All Girls &amp; Descendants - Edit'!B380</f>
        <v>36</v>
      </c>
      <c r="B381" t="str">
        <f>'All Girls &amp; Descendants - Edit'!C380</f>
        <v>36dbbd</v>
      </c>
      <c r="C381" t="str">
        <f>'All Girls &amp; Descendants - Edit'!D380</f>
        <v>LINDSAY</v>
      </c>
      <c r="D381" t="str">
        <f>'All Girls &amp; Descendants - Edit'!E380</f>
        <v>Andrew</v>
      </c>
      <c r="E381" t="str">
        <f>IF('All Girls &amp; Descendants - Edit'!F380="","",'All Girls &amp; Descendants - Edit'!F380)</f>
        <v>James</v>
      </c>
      <c r="F381" t="str">
        <f>IF('All Girls &amp; Descendants - Edit'!G380="","",'All Girls &amp; Descendants - Edit'!G380)</f>
        <v>Ronald</v>
      </c>
      <c r="G381" t="str">
        <f>IF('All Girls &amp; Descendants - Edit'!H380="",D381,'All Girls &amp; Descendants - Edit'!H380)</f>
        <v>Andrew</v>
      </c>
      <c r="H381">
        <f>'All Girls &amp; Descendants - Edit'!I380</f>
        <v>1977</v>
      </c>
      <c r="I381" t="str">
        <f>'All Girls &amp; Descendants - Edit'!J380</f>
        <v/>
      </c>
      <c r="J381" s="101">
        <f>'All Girls &amp; Descendants - Edit'!K380</f>
        <v>0</v>
      </c>
      <c r="K381" s="3" t="str">
        <f>'All Girls &amp; Descendants - Edit'!L380</f>
        <v>25/03/1977</v>
      </c>
      <c r="L381" s="3">
        <f>'All Girls &amp; Descendants - Edit'!M380</f>
        <v>28209</v>
      </c>
      <c r="M381" s="3">
        <f>'All Girls &amp; Descendants - Edit'!N380</f>
        <v>0</v>
      </c>
      <c r="N381" s="3">
        <f>'All Girls &amp; Descendants - Edit'!O380</f>
        <v>0</v>
      </c>
      <c r="O381" s="3" t="str">
        <f>'All Girls &amp; Descendants - Edit'!P380</f>
        <v/>
      </c>
      <c r="P381" t="str">
        <f t="shared" si="69"/>
        <v>36dbbd</v>
      </c>
      <c r="Q381" s="116">
        <f t="shared" si="70"/>
        <v>4</v>
      </c>
      <c r="R381" s="31" t="str">
        <f t="shared" si="71"/>
        <v>Andrew James Ronald LINDSAY</v>
      </c>
      <c r="S381" t="str">
        <f t="shared" si="72"/>
        <v>Andrew LINDSAY (1977 - : #36dbbd)</v>
      </c>
    </row>
    <row r="382" spans="1:19">
      <c r="A382">
        <f>'All Girls &amp; Descendants - Edit'!B381</f>
        <v>47</v>
      </c>
      <c r="B382" t="str">
        <f>'All Girls &amp; Descendants - Edit'!C381</f>
        <v>47aaaa</v>
      </c>
      <c r="C382" t="str">
        <f>'All Girls &amp; Descendants - Edit'!D381</f>
        <v>HALLETT</v>
      </c>
      <c r="D382" t="str">
        <f>'All Girls &amp; Descendants - Edit'!E381</f>
        <v>Florence</v>
      </c>
      <c r="E382" t="str">
        <f>IF('All Girls &amp; Descendants - Edit'!F381="","",'All Girls &amp; Descendants - Edit'!F381)</f>
        <v>Mary</v>
      </c>
      <c r="F382" t="str">
        <f>IF('All Girls &amp; Descendants - Edit'!G381="","",'All Girls &amp; Descendants - Edit'!G381)</f>
        <v/>
      </c>
      <c r="G382" t="str">
        <f>IF('All Girls &amp; Descendants - Edit'!H381="",D382,'All Girls &amp; Descendants - Edit'!H381)</f>
        <v>Florence</v>
      </c>
      <c r="H382">
        <f>'All Girls &amp; Descendants - Edit'!I381</f>
        <v>1977</v>
      </c>
      <c r="I382" t="str">
        <f>'All Girls &amp; Descendants - Edit'!J381</f>
        <v/>
      </c>
      <c r="J382" s="101">
        <f>'All Girls &amp; Descendants - Edit'!K381</f>
        <v>0</v>
      </c>
      <c r="K382" s="3" t="str">
        <f>'All Girls &amp; Descendants - Edit'!L381</f>
        <v>18/07/1977</v>
      </c>
      <c r="L382" s="3">
        <f>'All Girls &amp; Descendants - Edit'!M381</f>
        <v>28324</v>
      </c>
      <c r="M382" s="3">
        <f>'All Girls &amp; Descendants - Edit'!N381</f>
        <v>0</v>
      </c>
      <c r="N382" s="3">
        <f>'All Girls &amp; Descendants - Edit'!O381</f>
        <v>0</v>
      </c>
      <c r="O382" s="3" t="str">
        <f>'All Girls &amp; Descendants - Edit'!P381</f>
        <v/>
      </c>
      <c r="P382" t="str">
        <f t="shared" si="69"/>
        <v>47aaaa</v>
      </c>
      <c r="Q382" s="116">
        <f t="shared" si="70"/>
        <v>4</v>
      </c>
      <c r="R382" s="31" t="str">
        <f t="shared" si="71"/>
        <v>Florence Mary  HALLETT</v>
      </c>
      <c r="S382" t="str">
        <f t="shared" si="72"/>
        <v>Florence HALLETT (1977 - : #47aaaa)</v>
      </c>
    </row>
    <row r="383" spans="1:19">
      <c r="A383">
        <f>'All Girls &amp; Descendants - Edit'!B382</f>
        <v>47</v>
      </c>
      <c r="B383" t="str">
        <f>'All Girls &amp; Descendants - Edit'!C382</f>
        <v>47aaab</v>
      </c>
      <c r="C383" t="str">
        <f>'All Girls &amp; Descendants - Edit'!D382</f>
        <v>HALLETT</v>
      </c>
      <c r="D383" t="str">
        <f>'All Girls &amp; Descendants - Edit'!E382</f>
        <v>Lillian</v>
      </c>
      <c r="E383" t="str">
        <f>IF('All Girls &amp; Descendants - Edit'!F382="","",'All Girls &amp; Descendants - Edit'!F382)</f>
        <v>Alice</v>
      </c>
      <c r="F383" t="str">
        <f>IF('All Girls &amp; Descendants - Edit'!G382="","",'All Girls &amp; Descendants - Edit'!G382)</f>
        <v/>
      </c>
      <c r="G383" t="str">
        <f>IF('All Girls &amp; Descendants - Edit'!H382="",D383,'All Girls &amp; Descendants - Edit'!H382)</f>
        <v>Lillian</v>
      </c>
      <c r="H383">
        <f>'All Girls &amp; Descendants - Edit'!I382</f>
        <v>1980</v>
      </c>
      <c r="I383" t="str">
        <f>'All Girls &amp; Descendants - Edit'!J382</f>
        <v/>
      </c>
      <c r="J383" s="101">
        <f>'All Girls &amp; Descendants - Edit'!K382</f>
        <v>0</v>
      </c>
      <c r="K383" s="3" t="str">
        <f>'All Girls &amp; Descendants - Edit'!L382</f>
        <v>02/08/1980</v>
      </c>
      <c r="L383" s="3">
        <f>'All Girls &amp; Descendants - Edit'!M382</f>
        <v>29435</v>
      </c>
      <c r="M383" s="3">
        <f>'All Girls &amp; Descendants - Edit'!N382</f>
        <v>0</v>
      </c>
      <c r="N383" s="3">
        <f>'All Girls &amp; Descendants - Edit'!O382</f>
        <v>0</v>
      </c>
      <c r="O383" s="3" t="str">
        <f>'All Girls &amp; Descendants - Edit'!P382</f>
        <v/>
      </c>
      <c r="P383" t="str">
        <f t="shared" si="69"/>
        <v>47aaab</v>
      </c>
      <c r="Q383" s="116">
        <f t="shared" si="70"/>
        <v>4</v>
      </c>
      <c r="R383" s="31" t="str">
        <f t="shared" si="71"/>
        <v>Lillian Alice  HALLETT</v>
      </c>
      <c r="S383" t="str">
        <f t="shared" si="72"/>
        <v>Lillian HALLETT (1980 - : #47aaab)</v>
      </c>
    </row>
    <row r="384" spans="1:19">
      <c r="A384">
        <f>'All Girls &amp; Descendants - Edit'!B383</f>
        <v>47</v>
      </c>
      <c r="B384" t="str">
        <f>'All Girls &amp; Descendants - Edit'!C383</f>
        <v>47aaba</v>
      </c>
      <c r="C384" t="str">
        <f>'All Girls &amp; Descendants - Edit'!D383</f>
        <v>HARDCASTLE</v>
      </c>
      <c r="D384" t="str">
        <f>'All Girls &amp; Descendants - Edit'!E383</f>
        <v>Linda</v>
      </c>
      <c r="E384" t="str">
        <f>IF('All Girls &amp; Descendants - Edit'!F383="","",'All Girls &amp; Descendants - Edit'!F383)</f>
        <v>Constance</v>
      </c>
      <c r="F384" t="str">
        <f>IF('All Girls &amp; Descendants - Edit'!G383="","",'All Girls &amp; Descendants - Edit'!G383)</f>
        <v>Elizabeth</v>
      </c>
      <c r="G384" t="str">
        <f>IF('All Girls &amp; Descendants - Edit'!H383="",D384,'All Girls &amp; Descendants - Edit'!H383)</f>
        <v>Linda</v>
      </c>
      <c r="H384">
        <f>'All Girls &amp; Descendants - Edit'!I383</f>
        <v>1979</v>
      </c>
      <c r="I384" t="str">
        <f>'All Girls &amp; Descendants - Edit'!J383</f>
        <v/>
      </c>
      <c r="J384" s="101">
        <f>'All Girls &amp; Descendants - Edit'!K383</f>
        <v>0</v>
      </c>
      <c r="K384" s="3" t="str">
        <f>'All Girls &amp; Descendants - Edit'!L383</f>
        <v>12/03/1979</v>
      </c>
      <c r="L384" s="3">
        <f>'All Girls &amp; Descendants - Edit'!M383</f>
        <v>28926</v>
      </c>
      <c r="M384" s="3" t="str">
        <f>'All Girls &amp; Descendants - Edit'!N383</f>
        <v>22/088/1998</v>
      </c>
      <c r="N384" s="3">
        <f>'All Girls &amp; Descendants - Edit'!O383</f>
        <v>0</v>
      </c>
      <c r="O384" s="3" t="str">
        <f>'All Girls &amp; Descendants - Edit'!P383</f>
        <v/>
      </c>
      <c r="P384" t="str">
        <f t="shared" si="69"/>
        <v>47aaba</v>
      </c>
      <c r="Q384" s="116">
        <f t="shared" si="70"/>
        <v>4</v>
      </c>
      <c r="R384" s="31" t="str">
        <f t="shared" si="71"/>
        <v>Linda Constance Elizabeth HARDCASTLE</v>
      </c>
      <c r="S384" t="str">
        <f t="shared" si="72"/>
        <v>Linda HARDCASTLE (1979 - : #47aaba)</v>
      </c>
    </row>
    <row r="385" spans="1:19">
      <c r="A385">
        <f>'All Girls &amp; Descendants - Edit'!B384</f>
        <v>47</v>
      </c>
      <c r="B385" t="str">
        <f>'All Girls &amp; Descendants - Edit'!C384</f>
        <v>47aabb</v>
      </c>
      <c r="C385" t="str">
        <f>'All Girls &amp; Descendants - Edit'!D384</f>
        <v>HARDCASTLE</v>
      </c>
      <c r="D385" t="str">
        <f>'All Girls &amp; Descendants - Edit'!E384</f>
        <v>Susan</v>
      </c>
      <c r="E385" t="str">
        <f>IF('All Girls &amp; Descendants - Edit'!F384="","",'All Girls &amp; Descendants - Edit'!F384)</f>
        <v>Jean</v>
      </c>
      <c r="F385" t="str">
        <f>IF('All Girls &amp; Descendants - Edit'!G384="","",'All Girls &amp; Descendants - Edit'!G384)</f>
        <v>Alexandra</v>
      </c>
      <c r="G385" t="str">
        <f>IF('All Girls &amp; Descendants - Edit'!H384="",D385,'All Girls &amp; Descendants - Edit'!H384)</f>
        <v>Susan</v>
      </c>
      <c r="H385">
        <f>'All Girls &amp; Descendants - Edit'!I384</f>
        <v>1980</v>
      </c>
      <c r="I385" t="str">
        <f>'All Girls &amp; Descendants - Edit'!J384</f>
        <v/>
      </c>
      <c r="J385" s="101">
        <f>'All Girls &amp; Descendants - Edit'!K384</f>
        <v>0</v>
      </c>
      <c r="K385" s="3" t="str">
        <f>'All Girls &amp; Descendants - Edit'!L384</f>
        <v>19/08/1980</v>
      </c>
      <c r="L385" s="3">
        <f>'All Girls &amp; Descendants - Edit'!M384</f>
        <v>29452</v>
      </c>
      <c r="M385" s="3">
        <f>'All Girls &amp; Descendants - Edit'!N384</f>
        <v>0</v>
      </c>
      <c r="N385" s="3">
        <f>'All Girls &amp; Descendants - Edit'!O384</f>
        <v>0</v>
      </c>
      <c r="O385" s="3" t="str">
        <f>'All Girls &amp; Descendants - Edit'!P384</f>
        <v/>
      </c>
      <c r="P385" t="str">
        <f t="shared" si="69"/>
        <v>47aabb</v>
      </c>
      <c r="Q385" s="116">
        <f t="shared" si="70"/>
        <v>4</v>
      </c>
      <c r="R385" s="31" t="str">
        <f t="shared" si="71"/>
        <v>Susan Jean Alexandra HARDCASTLE</v>
      </c>
      <c r="S385" t="str">
        <f t="shared" si="72"/>
        <v>Susan HARDCASTLE (1980 - : #47aabb)</v>
      </c>
    </row>
    <row r="386" spans="1:19">
      <c r="A386">
        <f>'All Girls &amp; Descendants - Edit'!B385</f>
        <v>47</v>
      </c>
      <c r="B386" t="str">
        <f>'All Girls &amp; Descendants - Edit'!C385</f>
        <v>47aabc</v>
      </c>
      <c r="C386" t="str">
        <f>'All Girls &amp; Descendants - Edit'!D385</f>
        <v>HARDCASTLE</v>
      </c>
      <c r="D386" t="str">
        <f>'All Girls &amp; Descendants - Edit'!E385</f>
        <v>David</v>
      </c>
      <c r="E386" t="str">
        <f>IF('All Girls &amp; Descendants - Edit'!F385="","",'All Girls &amp; Descendants - Edit'!F385)</f>
        <v>Robert</v>
      </c>
      <c r="F386" t="str">
        <f>IF('All Girls &amp; Descendants - Edit'!G385="","",'All Girls &amp; Descendants - Edit'!G385)</f>
        <v>Edwin</v>
      </c>
      <c r="G386" t="str">
        <f>IF('All Girls &amp; Descendants - Edit'!H385="",D386,'All Girls &amp; Descendants - Edit'!H385)</f>
        <v>David</v>
      </c>
      <c r="H386">
        <f>'All Girls &amp; Descendants - Edit'!I385</f>
        <v>1982</v>
      </c>
      <c r="I386" t="str">
        <f>'All Girls &amp; Descendants - Edit'!J385</f>
        <v/>
      </c>
      <c r="J386" s="101">
        <f>'All Girls &amp; Descendants - Edit'!K385</f>
        <v>0</v>
      </c>
      <c r="K386" s="3" t="str">
        <f>'All Girls &amp; Descendants - Edit'!L385</f>
        <v>26/10/1982</v>
      </c>
      <c r="L386" s="3" t="str">
        <f>'All Girls &amp; Descendants - Edit'!M385</f>
        <v>26/10/1982</v>
      </c>
      <c r="M386" s="3">
        <f>'All Girls &amp; Descendants - Edit'!N385</f>
        <v>0</v>
      </c>
      <c r="N386" s="3">
        <f>'All Girls &amp; Descendants - Edit'!O385</f>
        <v>0</v>
      </c>
      <c r="O386" s="3" t="str">
        <f>'All Girls &amp; Descendants - Edit'!P385</f>
        <v/>
      </c>
      <c r="P386" t="str">
        <f t="shared" si="69"/>
        <v>47aabc</v>
      </c>
      <c r="Q386" s="116">
        <f t="shared" si="70"/>
        <v>4</v>
      </c>
      <c r="R386" s="31" t="str">
        <f t="shared" si="71"/>
        <v>David Robert Edwin HARDCASTLE</v>
      </c>
      <c r="S386" t="str">
        <f t="shared" si="72"/>
        <v>David HARDCASTLE (1982 - : #47aabc)</v>
      </c>
    </row>
    <row r="387" spans="1:19">
      <c r="A387">
        <f>'All Girls &amp; Descendants - Edit'!B386</f>
        <v>47</v>
      </c>
      <c r="B387" t="str">
        <f>'All Girls &amp; Descendants - Edit'!C386</f>
        <v>47abca</v>
      </c>
      <c r="C387" t="str">
        <f>'All Girls &amp; Descendants - Edit'!D386</f>
        <v>DREWE</v>
      </c>
      <c r="D387" t="str">
        <f>'All Girls &amp; Descendants - Edit'!E386</f>
        <v>Michael</v>
      </c>
      <c r="E387" t="str">
        <f>IF('All Girls &amp; Descendants - Edit'!F386="","",'All Girls &amp; Descendants - Edit'!F386)</f>
        <v>Alwyn</v>
      </c>
      <c r="F387" t="str">
        <f>IF('All Girls &amp; Descendants - Edit'!G386="","",'All Girls &amp; Descendants - Edit'!G386)</f>
        <v>Karel</v>
      </c>
      <c r="G387" t="str">
        <f>IF('All Girls &amp; Descendants - Edit'!H386="",D387,'All Girls &amp; Descendants - Edit'!H386)</f>
        <v>Michael</v>
      </c>
      <c r="H387">
        <f>'All Girls &amp; Descendants - Edit'!I386</f>
        <v>1987</v>
      </c>
      <c r="I387" t="str">
        <f>'All Girls &amp; Descendants - Edit'!J386</f>
        <v/>
      </c>
      <c r="J387" s="101">
        <f>'All Girls &amp; Descendants - Edit'!K386</f>
        <v>0</v>
      </c>
      <c r="K387" s="3" t="str">
        <f>'All Girls &amp; Descendants - Edit'!L386</f>
        <v>03/10/1987</v>
      </c>
      <c r="L387" s="3">
        <f>'All Girls &amp; Descendants - Edit'!M386</f>
        <v>32053</v>
      </c>
      <c r="M387" s="3">
        <f>'All Girls &amp; Descendants - Edit'!N386</f>
        <v>0</v>
      </c>
      <c r="N387" s="3">
        <f>'All Girls &amp; Descendants - Edit'!O386</f>
        <v>0</v>
      </c>
      <c r="O387" s="3" t="str">
        <f>'All Girls &amp; Descendants - Edit'!P386</f>
        <v/>
      </c>
      <c r="P387" t="str">
        <f t="shared" si="69"/>
        <v>47abca</v>
      </c>
      <c r="Q387" s="116">
        <f t="shared" si="70"/>
        <v>4</v>
      </c>
      <c r="R387" s="31" t="str">
        <f t="shared" si="71"/>
        <v>Michael Alwyn Karel DREWE</v>
      </c>
      <c r="S387" t="str">
        <f t="shared" si="72"/>
        <v>Michael DREWE (1987 - : #47abca)</v>
      </c>
    </row>
    <row r="388" spans="1:19">
      <c r="A388">
        <f>'All Girls &amp; Descendants - Edit'!B387</f>
        <v>2</v>
      </c>
      <c r="B388" t="str">
        <f>'All Girls &amp; Descendants - Edit'!C387</f>
        <v>2cabaa</v>
      </c>
      <c r="C388" t="str">
        <f>'All Girls &amp; Descendants - Edit'!D387</f>
        <v>PROTHEROE</v>
      </c>
      <c r="D388" t="str">
        <f>'All Girls &amp; Descendants - Edit'!E387</f>
        <v>William</v>
      </c>
      <c r="E388" t="str">
        <f>IF('All Girls &amp; Descendants - Edit'!F387="","",'All Girls &amp; Descendants - Edit'!F387)</f>
        <v>Loyd</v>
      </c>
      <c r="F388" t="str">
        <f>IF('All Girls &amp; Descendants - Edit'!G387="","",'All Girls &amp; Descendants - Edit'!G387)</f>
        <v/>
      </c>
      <c r="G388" t="str">
        <f>IF('All Girls &amp; Descendants - Edit'!H387="",D388,'All Girls &amp; Descendants - Edit'!H387)</f>
        <v>William</v>
      </c>
      <c r="H388">
        <f>'All Girls &amp; Descendants - Edit'!I387</f>
        <v>1921</v>
      </c>
      <c r="I388">
        <f>'All Girls &amp; Descendants - Edit'!J387</f>
        <v>1942</v>
      </c>
      <c r="J388" s="101">
        <f>'All Girls &amp; Descendants - Edit'!K387</f>
        <v>0</v>
      </c>
      <c r="K388" s="3" t="str">
        <f>'All Girls &amp; Descendants - Edit'!L387</f>
        <v>1921</v>
      </c>
      <c r="L388" s="3" t="str">
        <f>'All Girls &amp; Descendants - Edit'!M387</f>
        <v>1921</v>
      </c>
      <c r="M388" s="3">
        <f>'All Girls &amp; Descendants - Edit'!N387</f>
        <v>0</v>
      </c>
      <c r="N388" s="3">
        <f>'All Girls &amp; Descendants - Edit'!O387</f>
        <v>15565</v>
      </c>
      <c r="O388" s="3" t="str">
        <f>'All Girls &amp; Descendants - Edit'!P387</f>
        <v>12/08/1942</v>
      </c>
      <c r="P388" t="str">
        <f t="shared" si="69"/>
        <v>2cabaa</v>
      </c>
      <c r="Q388" s="116">
        <f t="shared" si="70"/>
        <v>5</v>
      </c>
      <c r="R388" s="31" t="str">
        <f t="shared" si="71"/>
        <v>William Loyd  PROTHEROE</v>
      </c>
      <c r="S388" t="str">
        <f t="shared" si="72"/>
        <v>William PROTHEROE (1921 - 1942: #2cabaa)</v>
      </c>
    </row>
    <row r="389" spans="1:19">
      <c r="A389">
        <f>'All Girls &amp; Descendants - Edit'!B388</f>
        <v>2</v>
      </c>
      <c r="B389" t="str">
        <f>'All Girls &amp; Descendants - Edit'!C388</f>
        <v>2cabab</v>
      </c>
      <c r="C389" t="str">
        <f>'All Girls &amp; Descendants - Edit'!D388</f>
        <v>PROTHEROE</v>
      </c>
      <c r="D389" t="str">
        <f>'All Girls &amp; Descendants - Edit'!E388</f>
        <v>Sheila</v>
      </c>
      <c r="E389" t="str">
        <f>IF('All Girls &amp; Descendants - Edit'!F388="","",'All Girls &amp; Descendants - Edit'!F388)</f>
        <v>Evelyn</v>
      </c>
      <c r="F389" t="str">
        <f>IF('All Girls &amp; Descendants - Edit'!G388="","",'All Girls &amp; Descendants - Edit'!G388)</f>
        <v/>
      </c>
      <c r="G389" t="str">
        <f>IF('All Girls &amp; Descendants - Edit'!H388="",D389,'All Girls &amp; Descendants - Edit'!H388)</f>
        <v>Sheila</v>
      </c>
      <c r="H389">
        <f>'All Girls &amp; Descendants - Edit'!I388</f>
        <v>1924</v>
      </c>
      <c r="I389" t="str">
        <f>'All Girls &amp; Descendants - Edit'!J388</f>
        <v/>
      </c>
      <c r="J389" s="101">
        <f>'All Girls &amp; Descendants - Edit'!K388</f>
        <v>0</v>
      </c>
      <c r="K389" s="3" t="str">
        <f>'All Girls &amp; Descendants - Edit'!L388</f>
        <v>1924</v>
      </c>
      <c r="L389" s="3" t="str">
        <f>'All Girls &amp; Descendants - Edit'!M388</f>
        <v>1924</v>
      </c>
      <c r="M389" s="3" t="str">
        <f>'All Girls &amp; Descendants - Edit'!N388</f>
        <v>1952</v>
      </c>
      <c r="N389" s="3">
        <f>'All Girls &amp; Descendants - Edit'!O388</f>
        <v>0</v>
      </c>
      <c r="O389" s="3" t="str">
        <f>'All Girls &amp; Descendants - Edit'!P388</f>
        <v/>
      </c>
      <c r="P389" t="str">
        <f t="shared" ref="P389:P420" si="73">B389</f>
        <v>2cabab</v>
      </c>
      <c r="Q389" s="116">
        <f t="shared" ref="Q389:Q420" si="74">LEN(B389)-LEN(A389)</f>
        <v>5</v>
      </c>
      <c r="R389" s="31" t="str">
        <f t="shared" ref="R389:R420" si="75">_xlfn.CONCAT(D389," ",E389," ",F389," ",C389)</f>
        <v>Sheila Evelyn  PROTHEROE</v>
      </c>
      <c r="S389" t="str">
        <f t="shared" ref="S389:S420" si="76">_xlfn.CONCAT(G389," ",C389," (",H389," - ",I389,": #",B389,")")</f>
        <v>Sheila PROTHEROE (1924 - : #2cabab)</v>
      </c>
    </row>
    <row r="390" spans="1:19">
      <c r="A390">
        <f>'All Girls &amp; Descendants - Edit'!B389</f>
        <v>2</v>
      </c>
      <c r="B390" t="str">
        <f>'All Girls &amp; Descendants - Edit'!C389</f>
        <v>2cabba</v>
      </c>
      <c r="C390" t="str">
        <f>'All Girls &amp; Descendants - Edit'!D389</f>
        <v>APPS</v>
      </c>
      <c r="D390" t="str">
        <f>'All Girls &amp; Descendants - Edit'!E389</f>
        <v>Beryl</v>
      </c>
      <c r="E390" t="str">
        <f>IF('All Girls &amp; Descendants - Edit'!F389="","",'All Girls &amp; Descendants - Edit'!F389)</f>
        <v>Mary</v>
      </c>
      <c r="F390" t="str">
        <f>IF('All Girls &amp; Descendants - Edit'!G389="","",'All Girls &amp; Descendants - Edit'!G389)</f>
        <v>Loyd</v>
      </c>
      <c r="G390" t="str">
        <f>IF('All Girls &amp; Descendants - Edit'!H389="",D390,'All Girls &amp; Descendants - Edit'!H389)</f>
        <v>Beryl</v>
      </c>
      <c r="H390">
        <f>'All Girls &amp; Descendants - Edit'!I389</f>
        <v>1925</v>
      </c>
      <c r="I390" t="str">
        <f>'All Girls &amp; Descendants - Edit'!J389</f>
        <v/>
      </c>
      <c r="J390" s="101">
        <f>'All Girls &amp; Descendants - Edit'!K389</f>
        <v>0</v>
      </c>
      <c r="K390" s="3" t="str">
        <f>'All Girls &amp; Descendants - Edit'!L389</f>
        <v>20/12/1925</v>
      </c>
      <c r="L390" s="3">
        <f>'All Girls &amp; Descendants - Edit'!M389</f>
        <v>9486</v>
      </c>
      <c r="M390" s="3">
        <f>'All Girls &amp; Descendants - Edit'!N389</f>
        <v>18683</v>
      </c>
      <c r="N390" s="3">
        <f>'All Girls &amp; Descendants - Edit'!O389</f>
        <v>0</v>
      </c>
      <c r="O390" s="3" t="str">
        <f>'All Girls &amp; Descendants - Edit'!P389</f>
        <v/>
      </c>
      <c r="P390" t="str">
        <f t="shared" si="73"/>
        <v>2cabba</v>
      </c>
      <c r="Q390" s="116">
        <f t="shared" si="74"/>
        <v>5</v>
      </c>
      <c r="R390" s="31" t="str">
        <f t="shared" si="75"/>
        <v>Beryl Mary Loyd APPS</v>
      </c>
      <c r="S390" t="str">
        <f t="shared" si="76"/>
        <v>Beryl APPS (1925 - : #2cabba)</v>
      </c>
    </row>
    <row r="391" spans="1:19">
      <c r="A391">
        <f>'All Girls &amp; Descendants - Edit'!B390</f>
        <v>18</v>
      </c>
      <c r="B391" t="str">
        <f>'All Girls &amp; Descendants - Edit'!C390</f>
        <v>18bbaaa</v>
      </c>
      <c r="C391" t="str">
        <f>'All Girls &amp; Descendants - Edit'!D390</f>
        <v>RAMSAY</v>
      </c>
      <c r="D391" t="str">
        <f>'All Girls &amp; Descendants - Edit'!E390</f>
        <v>Gilbert</v>
      </c>
      <c r="E391" t="str">
        <f>IF('All Girls &amp; Descendants - Edit'!F390="","",'All Girls &amp; Descendants - Edit'!F390)</f>
        <v>Aubrey</v>
      </c>
      <c r="F391" t="str">
        <f>IF('All Girls &amp; Descendants - Edit'!G390="","",'All Girls &amp; Descendants - Edit'!G390)</f>
        <v>Warner</v>
      </c>
      <c r="G391" t="str">
        <f>IF('All Girls &amp; Descendants - Edit'!H390="",D391,'All Girls &amp; Descendants - Edit'!H390)</f>
        <v>Gilbert</v>
      </c>
      <c r="H391">
        <f>'All Girls &amp; Descendants - Edit'!I390</f>
        <v>1980</v>
      </c>
      <c r="I391" t="str">
        <f>'All Girls &amp; Descendants - Edit'!J390</f>
        <v/>
      </c>
      <c r="J391" s="101">
        <f>'All Girls &amp; Descendants - Edit'!K390</f>
        <v>0</v>
      </c>
      <c r="K391" s="3" t="str">
        <f>'All Girls &amp; Descendants - Edit'!L390</f>
        <v>24/09/1980</v>
      </c>
      <c r="L391" s="3">
        <f>'All Girls &amp; Descendants - Edit'!M390</f>
        <v>29488</v>
      </c>
      <c r="M391" s="3">
        <f>'All Girls &amp; Descendants - Edit'!N390</f>
        <v>0</v>
      </c>
      <c r="N391" s="3">
        <f>'All Girls &amp; Descendants - Edit'!O390</f>
        <v>0</v>
      </c>
      <c r="O391" s="3" t="str">
        <f>'All Girls &amp; Descendants - Edit'!P390</f>
        <v/>
      </c>
      <c r="P391" t="str">
        <f t="shared" si="73"/>
        <v>18bbaaa</v>
      </c>
      <c r="Q391" s="116">
        <f t="shared" si="74"/>
        <v>5</v>
      </c>
      <c r="R391" s="31" t="str">
        <f t="shared" si="75"/>
        <v>Gilbert Aubrey Warner RAMSAY</v>
      </c>
      <c r="S391" t="str">
        <f t="shared" si="76"/>
        <v>Gilbert RAMSAY (1980 - : #18bbaaa)</v>
      </c>
    </row>
    <row r="392" spans="1:19">
      <c r="A392">
        <f>'All Girls &amp; Descendants - Edit'!B391</f>
        <v>18</v>
      </c>
      <c r="B392" t="str">
        <f>'All Girls &amp; Descendants - Edit'!C391</f>
        <v>18bbaab</v>
      </c>
      <c r="C392" t="str">
        <f>'All Girls &amp; Descendants - Edit'!D391</f>
        <v>RAMSAY</v>
      </c>
      <c r="D392" t="str">
        <f>'All Girls &amp; Descendants - Edit'!E391</f>
        <v>Sophie</v>
      </c>
      <c r="E392" t="str">
        <f>IF('All Girls &amp; Descendants - Edit'!F391="","",'All Girls &amp; Descendants - Edit'!F391)</f>
        <v>Charlotte</v>
      </c>
      <c r="F392" t="str">
        <f>IF('All Girls &amp; Descendants - Edit'!G391="","",'All Girls &amp; Descendants - Edit'!G391)</f>
        <v/>
      </c>
      <c r="G392" t="str">
        <f>IF('All Girls &amp; Descendants - Edit'!H391="",D392,'All Girls &amp; Descendants - Edit'!H391)</f>
        <v>Sophie</v>
      </c>
      <c r="H392">
        <f>'All Girls &amp; Descendants - Edit'!I391</f>
        <v>1982</v>
      </c>
      <c r="I392" t="str">
        <f>'All Girls &amp; Descendants - Edit'!J391</f>
        <v/>
      </c>
      <c r="J392" s="101">
        <f>'All Girls &amp; Descendants - Edit'!K391</f>
        <v>0</v>
      </c>
      <c r="K392" s="3" t="str">
        <f>'All Girls &amp; Descendants - Edit'!L391</f>
        <v>30/11/1982</v>
      </c>
      <c r="L392" s="3" t="str">
        <f>'All Girls &amp; Descendants - Edit'!M391</f>
        <v>30/11/1982</v>
      </c>
      <c r="M392" s="3">
        <f>'All Girls &amp; Descendants - Edit'!N391</f>
        <v>0</v>
      </c>
      <c r="N392" s="3">
        <f>'All Girls &amp; Descendants - Edit'!O391</f>
        <v>0</v>
      </c>
      <c r="O392" s="3" t="str">
        <f>'All Girls &amp; Descendants - Edit'!P391</f>
        <v/>
      </c>
      <c r="P392" t="str">
        <f t="shared" si="73"/>
        <v>18bbaab</v>
      </c>
      <c r="Q392" s="116">
        <f t="shared" si="74"/>
        <v>5</v>
      </c>
      <c r="R392" s="31" t="str">
        <f t="shared" si="75"/>
        <v>Sophie Charlotte  RAMSAY</v>
      </c>
      <c r="S392" t="str">
        <f t="shared" si="76"/>
        <v>Sophie RAMSAY (1982 - : #18bbaab)</v>
      </c>
    </row>
    <row r="393" spans="1:19">
      <c r="A393">
        <f>'All Girls &amp; Descendants - Edit'!B392</f>
        <v>18</v>
      </c>
      <c r="B393" t="str">
        <f>'All Girls &amp; Descendants - Edit'!C392</f>
        <v>18bbaac</v>
      </c>
      <c r="C393" t="str">
        <f>'All Girls &amp; Descendants - Edit'!D392</f>
        <v>RAMSAY</v>
      </c>
      <c r="D393" t="str">
        <f>'All Girls &amp; Descendants - Edit'!E392</f>
        <v>Adam</v>
      </c>
      <c r="E393" t="str">
        <f>IF('All Girls &amp; Descendants - Edit'!F392="","",'All Girls &amp; Descendants - Edit'!F392)</f>
        <v>Alexander</v>
      </c>
      <c r="F393" t="str">
        <f>IF('All Girls &amp; Descendants - Edit'!G392="","",'All Girls &amp; Descendants - Edit'!G392)</f>
        <v/>
      </c>
      <c r="G393" t="str">
        <f>IF('All Girls &amp; Descendants - Edit'!H392="",D393,'All Girls &amp; Descendants - Edit'!H392)</f>
        <v>Adam</v>
      </c>
      <c r="H393">
        <f>'All Girls &amp; Descendants - Edit'!I392</f>
        <v>1985</v>
      </c>
      <c r="I393" t="str">
        <f>'All Girls &amp; Descendants - Edit'!J392</f>
        <v/>
      </c>
      <c r="J393" s="101">
        <f>'All Girls &amp; Descendants - Edit'!K392</f>
        <v>0</v>
      </c>
      <c r="K393" s="3" t="str">
        <f>'All Girls &amp; Descendants - Edit'!L392</f>
        <v>09/07/1985</v>
      </c>
      <c r="L393" s="3" t="str">
        <f>'All Girls &amp; Descendants - Edit'!M392</f>
        <v>09/07/1985</v>
      </c>
      <c r="M393" s="3">
        <f>'All Girls &amp; Descendants - Edit'!N392</f>
        <v>0</v>
      </c>
      <c r="N393" s="3">
        <f>'All Girls &amp; Descendants - Edit'!O392</f>
        <v>0</v>
      </c>
      <c r="O393" s="3" t="str">
        <f>'All Girls &amp; Descendants - Edit'!P392</f>
        <v/>
      </c>
      <c r="P393" t="str">
        <f t="shared" si="73"/>
        <v>18bbaac</v>
      </c>
      <c r="Q393" s="116">
        <f t="shared" si="74"/>
        <v>5</v>
      </c>
      <c r="R393" s="31" t="str">
        <f t="shared" si="75"/>
        <v>Adam Alexander  RAMSAY</v>
      </c>
      <c r="S393" t="str">
        <f t="shared" si="76"/>
        <v>Adam RAMSAY (1985 - : #18bbaac)</v>
      </c>
    </row>
    <row r="394" spans="1:19">
      <c r="A394">
        <f>'All Girls &amp; Descendants - Edit'!B393</f>
        <v>18</v>
      </c>
      <c r="B394" t="str">
        <f>'All Girls &amp; Descendants - Edit'!C393</f>
        <v>18bbaad</v>
      </c>
      <c r="C394" t="str">
        <f>'All Girls &amp; Descendants - Edit'!D393</f>
        <v>RAMSAY</v>
      </c>
      <c r="D394" t="str">
        <f>'All Girls &amp; Descendants - Edit'!E393</f>
        <v>George</v>
      </c>
      <c r="E394" t="str">
        <f>IF('All Girls &amp; Descendants - Edit'!F393="","",'All Girls &amp; Descendants - Edit'!F393)</f>
        <v>Finlay</v>
      </c>
      <c r="F394" t="str">
        <f>IF('All Girls &amp; Descendants - Edit'!G393="","",'All Girls &amp; Descendants - Edit'!G393)</f>
        <v/>
      </c>
      <c r="G394" t="str">
        <f>IF('All Girls &amp; Descendants - Edit'!H393="",D394,'All Girls &amp; Descendants - Edit'!H393)</f>
        <v>George</v>
      </c>
      <c r="H394">
        <f>'All Girls &amp; Descendants - Edit'!I393</f>
        <v>1988</v>
      </c>
      <c r="I394" t="str">
        <f>'All Girls &amp; Descendants - Edit'!J393</f>
        <v/>
      </c>
      <c r="J394" s="101">
        <f>'All Girls &amp; Descendants - Edit'!K393</f>
        <v>0</v>
      </c>
      <c r="K394" s="3" t="str">
        <f>'All Girls &amp; Descendants - Edit'!L393</f>
        <v>30/10/1988</v>
      </c>
      <c r="L394" s="3">
        <f>'All Girls &amp; Descendants - Edit'!M393</f>
        <v>32446</v>
      </c>
      <c r="M394" s="3">
        <f>'All Girls &amp; Descendants - Edit'!N393</f>
        <v>0</v>
      </c>
      <c r="N394" s="3">
        <f>'All Girls &amp; Descendants - Edit'!O393</f>
        <v>0</v>
      </c>
      <c r="O394" s="3" t="str">
        <f>'All Girls &amp; Descendants - Edit'!P393</f>
        <v/>
      </c>
      <c r="P394" t="str">
        <f t="shared" si="73"/>
        <v>18bbaad</v>
      </c>
      <c r="Q394" s="116">
        <f t="shared" si="74"/>
        <v>5</v>
      </c>
      <c r="R394" s="31" t="str">
        <f t="shared" si="75"/>
        <v>George Finlay  RAMSAY</v>
      </c>
      <c r="S394" t="str">
        <f t="shared" si="76"/>
        <v>George RAMSAY (1988 - : #18bbaad)</v>
      </c>
    </row>
    <row r="395" spans="1:19">
      <c r="A395">
        <f>'All Girls &amp; Descendants - Edit'!B394</f>
        <v>18</v>
      </c>
      <c r="B395" t="str">
        <f>'All Girls &amp; Descendants - Edit'!C394</f>
        <v>18bbaba</v>
      </c>
      <c r="C395" t="str">
        <f>'All Girls &amp; Descendants - Edit'!D394</f>
        <v>BERRY</v>
      </c>
      <c r="D395" t="str">
        <f>'All Girls &amp; Descendants - Edit'!E394</f>
        <v>John</v>
      </c>
      <c r="E395" t="str">
        <f>IF('All Girls &amp; Descendants - Edit'!F394="","",'All Girls &amp; Descendants - Edit'!F394)</f>
        <v/>
      </c>
      <c r="F395" t="str">
        <f>IF('All Girls &amp; Descendants - Edit'!G394="","",'All Girls &amp; Descendants - Edit'!G394)</f>
        <v/>
      </c>
      <c r="G395" t="str">
        <f>IF('All Girls &amp; Descendants - Edit'!H394="",D395,'All Girls &amp; Descendants - Edit'!H394)</f>
        <v>John</v>
      </c>
      <c r="H395">
        <f>'All Girls &amp; Descendants - Edit'!I394</f>
        <v>1976</v>
      </c>
      <c r="I395" t="str">
        <f>'All Girls &amp; Descendants - Edit'!J394</f>
        <v/>
      </c>
      <c r="J395" s="101">
        <f>'All Girls &amp; Descendants - Edit'!K394</f>
        <v>0</v>
      </c>
      <c r="K395" s="3" t="str">
        <f>'All Girls &amp; Descendants - Edit'!L394</f>
        <v>22/02/1976</v>
      </c>
      <c r="L395" s="3" t="str">
        <f>'All Girls &amp; Descendants - Edit'!M394</f>
        <v>22/02/1976</v>
      </c>
      <c r="M395" s="3">
        <f>'All Girls &amp; Descendants - Edit'!N394</f>
        <v>0</v>
      </c>
      <c r="N395" s="3">
        <f>'All Girls &amp; Descendants - Edit'!O394</f>
        <v>0</v>
      </c>
      <c r="O395" s="3" t="str">
        <f>'All Girls &amp; Descendants - Edit'!P394</f>
        <v/>
      </c>
      <c r="P395" t="str">
        <f t="shared" si="73"/>
        <v>18bbaba</v>
      </c>
      <c r="Q395" s="116">
        <f t="shared" si="74"/>
        <v>5</v>
      </c>
      <c r="R395" s="31" t="str">
        <f t="shared" si="75"/>
        <v>John   BERRY</v>
      </c>
      <c r="S395" t="str">
        <f t="shared" si="76"/>
        <v>John BERRY (1976 - : #18bbaba)</v>
      </c>
    </row>
    <row r="396" spans="1:19">
      <c r="A396">
        <f>'All Girls &amp; Descendants - Edit'!B395</f>
        <v>18</v>
      </c>
      <c r="B396" t="str">
        <f>'All Girls &amp; Descendants - Edit'!C395</f>
        <v>18bbabb</v>
      </c>
      <c r="C396" t="str">
        <f>'All Girls &amp; Descendants - Edit'!D395</f>
        <v>BERRY</v>
      </c>
      <c r="D396" t="str">
        <f>'All Girls &amp; Descendants - Edit'!E395</f>
        <v>Robert</v>
      </c>
      <c r="E396" t="str">
        <f>IF('All Girls &amp; Descendants - Edit'!F395="","",'All Girls &amp; Descendants - Edit'!F395)</f>
        <v/>
      </c>
      <c r="F396" t="str">
        <f>IF('All Girls &amp; Descendants - Edit'!G395="","",'All Girls &amp; Descendants - Edit'!G395)</f>
        <v/>
      </c>
      <c r="G396" t="str">
        <f>IF('All Girls &amp; Descendants - Edit'!H395="",D396,'All Girls &amp; Descendants - Edit'!H395)</f>
        <v>Robert</v>
      </c>
      <c r="H396">
        <f>'All Girls &amp; Descendants - Edit'!I395</f>
        <v>1978</v>
      </c>
      <c r="I396" t="str">
        <f>'All Girls &amp; Descendants - Edit'!J395</f>
        <v/>
      </c>
      <c r="J396" s="101">
        <f>'All Girls &amp; Descendants - Edit'!K395</f>
        <v>0</v>
      </c>
      <c r="K396" s="3" t="str">
        <f>'All Girls &amp; Descendants - Edit'!L395</f>
        <v>15/07/1978</v>
      </c>
      <c r="L396" s="3" t="str">
        <f>'All Girls &amp; Descendants - Edit'!M395</f>
        <v>15/07/1978</v>
      </c>
      <c r="M396" s="3">
        <f>'All Girls &amp; Descendants - Edit'!N395</f>
        <v>0</v>
      </c>
      <c r="N396" s="3">
        <f>'All Girls &amp; Descendants - Edit'!O395</f>
        <v>0</v>
      </c>
      <c r="O396" s="3" t="str">
        <f>'All Girls &amp; Descendants - Edit'!P395</f>
        <v/>
      </c>
      <c r="P396" t="str">
        <f t="shared" si="73"/>
        <v>18bbabb</v>
      </c>
      <c r="Q396" s="116">
        <f t="shared" si="74"/>
        <v>5</v>
      </c>
      <c r="R396" s="31" t="str">
        <f t="shared" si="75"/>
        <v>Robert   BERRY</v>
      </c>
      <c r="S396" t="str">
        <f t="shared" si="76"/>
        <v>Robert BERRY (1978 - : #18bbabb)</v>
      </c>
    </row>
    <row r="397" spans="1:19">
      <c r="A397">
        <f>'All Girls &amp; Descendants - Edit'!B396</f>
        <v>18</v>
      </c>
      <c r="B397" t="str">
        <f>'All Girls &amp; Descendants - Edit'!C396</f>
        <v>18bbada</v>
      </c>
      <c r="C397" t="str">
        <f>'All Girls &amp; Descendants - Edit'!D396</f>
        <v>WARNER</v>
      </c>
      <c r="D397" t="str">
        <f>'All Girls &amp; Descendants - Edit'!E396</f>
        <v>Nicholas</v>
      </c>
      <c r="E397" t="str">
        <f>IF('All Girls &amp; Descendants - Edit'!F396="","",'All Girls &amp; Descendants - Edit'!F396)</f>
        <v>Redston</v>
      </c>
      <c r="F397" t="str">
        <f>IF('All Girls &amp; Descendants - Edit'!G396="","",'All Girls &amp; Descendants - Edit'!G396)</f>
        <v/>
      </c>
      <c r="G397" t="str">
        <f>IF('All Girls &amp; Descendants - Edit'!H396="",D397,'All Girls &amp; Descendants - Edit'!H396)</f>
        <v>Nick</v>
      </c>
      <c r="H397">
        <f>'All Girls &amp; Descendants - Edit'!I396</f>
        <v>1985</v>
      </c>
      <c r="I397" t="str">
        <f>'All Girls &amp; Descendants - Edit'!J396</f>
        <v/>
      </c>
      <c r="J397" s="101">
        <f>'All Girls &amp; Descendants - Edit'!K396</f>
        <v>0</v>
      </c>
      <c r="K397" s="3" t="str">
        <f>'All Girls &amp; Descendants - Edit'!L396</f>
        <v>15/04/1985</v>
      </c>
      <c r="L397" s="3" t="str">
        <f>'All Girls &amp; Descendants - Edit'!M396</f>
        <v>15/04/1985</v>
      </c>
      <c r="M397" s="3">
        <f>'All Girls &amp; Descendants - Edit'!N396</f>
        <v>41769</v>
      </c>
      <c r="N397" s="3">
        <f>'All Girls &amp; Descendants - Edit'!O396</f>
        <v>0</v>
      </c>
      <c r="O397" s="3" t="str">
        <f>'All Girls &amp; Descendants - Edit'!P396</f>
        <v/>
      </c>
      <c r="P397" t="str">
        <f t="shared" si="73"/>
        <v>18bbada</v>
      </c>
      <c r="Q397" s="116">
        <f t="shared" si="74"/>
        <v>5</v>
      </c>
      <c r="R397" s="31" t="str">
        <f t="shared" si="75"/>
        <v>Nicholas Redston  WARNER</v>
      </c>
      <c r="S397" t="str">
        <f t="shared" si="76"/>
        <v>Nick WARNER (1985 - : #18bbada)</v>
      </c>
    </row>
    <row r="398" spans="1:19">
      <c r="A398">
        <f>'All Girls &amp; Descendants - Edit'!B397</f>
        <v>18</v>
      </c>
      <c r="B398" t="str">
        <f>'All Girls &amp; Descendants - Edit'!C397</f>
        <v>18bbadb</v>
      </c>
      <c r="C398" t="str">
        <f>'All Girls &amp; Descendants - Edit'!D397</f>
        <v>WARNER</v>
      </c>
      <c r="D398" t="str">
        <f>'All Girls &amp; Descendants - Edit'!E397</f>
        <v>Harriet</v>
      </c>
      <c r="E398" t="str">
        <f>IF('All Girls &amp; Descendants - Edit'!F397="","",'All Girls &amp; Descendants - Edit'!F397)</f>
        <v>Voase</v>
      </c>
      <c r="F398" t="str">
        <f>IF('All Girls &amp; Descendants - Edit'!G397="","",'All Girls &amp; Descendants - Edit'!G397)</f>
        <v/>
      </c>
      <c r="G398" t="str">
        <f>IF('All Girls &amp; Descendants - Edit'!H397="",D398,'All Girls &amp; Descendants - Edit'!H397)</f>
        <v>Harriet</v>
      </c>
      <c r="H398">
        <f>'All Girls &amp; Descendants - Edit'!I397</f>
        <v>1988</v>
      </c>
      <c r="I398" t="str">
        <f>'All Girls &amp; Descendants - Edit'!J397</f>
        <v/>
      </c>
      <c r="J398" s="101">
        <f>'All Girls &amp; Descendants - Edit'!K397</f>
        <v>0</v>
      </c>
      <c r="K398" s="3" t="str">
        <f>'All Girls &amp; Descendants - Edit'!L397</f>
        <v>09/02/1988</v>
      </c>
      <c r="L398" s="3">
        <f>'All Girls &amp; Descendants - Edit'!M397</f>
        <v>32182</v>
      </c>
      <c r="M398" s="3">
        <f>'All Girls &amp; Descendants - Edit'!N397</f>
        <v>0</v>
      </c>
      <c r="N398" s="3">
        <f>'All Girls &amp; Descendants - Edit'!O397</f>
        <v>0</v>
      </c>
      <c r="O398" s="3" t="str">
        <f>'All Girls &amp; Descendants - Edit'!P397</f>
        <v/>
      </c>
      <c r="P398" t="str">
        <f t="shared" si="73"/>
        <v>18bbadb</v>
      </c>
      <c r="Q398" s="116">
        <f t="shared" si="74"/>
        <v>5</v>
      </c>
      <c r="R398" s="31" t="str">
        <f t="shared" si="75"/>
        <v>Harriet Voase  WARNER</v>
      </c>
      <c r="S398" t="str">
        <f t="shared" si="76"/>
        <v>Harriet WARNER (1988 - : #18bbadb)</v>
      </c>
    </row>
    <row r="399" spans="1:19">
      <c r="A399">
        <f>'All Girls &amp; Descendants - Edit'!B398</f>
        <v>18</v>
      </c>
      <c r="B399" t="str">
        <f>'All Girls &amp; Descendants - Edit'!C398</f>
        <v>18bbbba</v>
      </c>
      <c r="C399" t="str">
        <f>'All Girls &amp; Descendants - Edit'!D398</f>
        <v>NICOL</v>
      </c>
      <c r="D399" t="str">
        <f>'All Girls &amp; Descendants - Edit'!E398</f>
        <v>Helen</v>
      </c>
      <c r="E399" t="str">
        <f>IF('All Girls &amp; Descendants - Edit'!F398="","",'All Girls &amp; Descendants - Edit'!F398)</f>
        <v>Louise</v>
      </c>
      <c r="F399" t="str">
        <f>IF('All Girls &amp; Descendants - Edit'!G398="","",'All Girls &amp; Descendants - Edit'!G398)</f>
        <v/>
      </c>
      <c r="G399" t="str">
        <f>IF('All Girls &amp; Descendants - Edit'!H398="",D399,'All Girls &amp; Descendants - Edit'!H398)</f>
        <v>Helen</v>
      </c>
      <c r="H399">
        <f>'All Girls &amp; Descendants - Edit'!I398</f>
        <v>1982</v>
      </c>
      <c r="I399" t="str">
        <f>'All Girls &amp; Descendants - Edit'!J398</f>
        <v/>
      </c>
      <c r="J399" s="101">
        <f>'All Girls &amp; Descendants - Edit'!K398</f>
        <v>0</v>
      </c>
      <c r="K399" s="3" t="str">
        <f>'All Girls &amp; Descendants - Edit'!L398</f>
        <v>23/03/1982</v>
      </c>
      <c r="L399" s="3">
        <f>'All Girls &amp; Descendants - Edit'!M398</f>
        <v>30033</v>
      </c>
      <c r="M399" s="3">
        <f>'All Girls &amp; Descendants - Edit'!N398</f>
        <v>0</v>
      </c>
      <c r="N399" s="3">
        <f>'All Girls &amp; Descendants - Edit'!O398</f>
        <v>0</v>
      </c>
      <c r="O399" s="3" t="str">
        <f>'All Girls &amp; Descendants - Edit'!P398</f>
        <v/>
      </c>
      <c r="P399" t="str">
        <f t="shared" si="73"/>
        <v>18bbbba</v>
      </c>
      <c r="Q399" s="116">
        <f t="shared" si="74"/>
        <v>5</v>
      </c>
      <c r="R399" s="31" t="str">
        <f t="shared" si="75"/>
        <v>Helen Louise  NICOL</v>
      </c>
      <c r="S399" t="str">
        <f t="shared" si="76"/>
        <v>Helen NICOL (1982 - : #18bbbba)</v>
      </c>
    </row>
    <row r="400" spans="1:19">
      <c r="A400">
        <f>'All Girls &amp; Descendants - Edit'!B399</f>
        <v>18</v>
      </c>
      <c r="B400" t="str">
        <f>'All Girls &amp; Descendants - Edit'!C399</f>
        <v>18bbbbb</v>
      </c>
      <c r="C400" t="str">
        <f>'All Girls &amp; Descendants - Edit'!D399</f>
        <v>NICOL</v>
      </c>
      <c r="D400" t="str">
        <f>'All Girls &amp; Descendants - Edit'!E399</f>
        <v>Lucinda</v>
      </c>
      <c r="E400" t="str">
        <f>IF('All Girls &amp; Descendants - Edit'!F399="","",'All Girls &amp; Descendants - Edit'!F399)</f>
        <v>Rachel</v>
      </c>
      <c r="F400" t="str">
        <f>IF('All Girls &amp; Descendants - Edit'!G399="","",'All Girls &amp; Descendants - Edit'!G399)</f>
        <v/>
      </c>
      <c r="G400" t="str">
        <f>IF('All Girls &amp; Descendants - Edit'!H399="",D400,'All Girls &amp; Descendants - Edit'!H399)</f>
        <v>Lucy</v>
      </c>
      <c r="H400">
        <f>'All Girls &amp; Descendants - Edit'!I399</f>
        <v>1984</v>
      </c>
      <c r="I400" t="str">
        <f>'All Girls &amp; Descendants - Edit'!J399</f>
        <v/>
      </c>
      <c r="J400" s="101">
        <f>'All Girls &amp; Descendants - Edit'!K399</f>
        <v>0</v>
      </c>
      <c r="K400" s="3" t="str">
        <f>'All Girls &amp; Descendants - Edit'!L399</f>
        <v>24/02/1984</v>
      </c>
      <c r="L400" s="3">
        <f>'All Girls &amp; Descendants - Edit'!M399</f>
        <v>30736</v>
      </c>
      <c r="M400" s="3">
        <f>'All Girls &amp; Descendants - Edit'!N399</f>
        <v>0</v>
      </c>
      <c r="N400" s="3">
        <f>'All Girls &amp; Descendants - Edit'!O399</f>
        <v>0</v>
      </c>
      <c r="O400" s="3" t="str">
        <f>'All Girls &amp; Descendants - Edit'!P399</f>
        <v/>
      </c>
      <c r="P400" t="str">
        <f t="shared" si="73"/>
        <v>18bbbbb</v>
      </c>
      <c r="Q400" s="116">
        <f t="shared" si="74"/>
        <v>5</v>
      </c>
      <c r="R400" s="31" t="str">
        <f t="shared" si="75"/>
        <v>Lucinda Rachel  NICOL</v>
      </c>
      <c r="S400" t="str">
        <f t="shared" si="76"/>
        <v>Lucy NICOL (1984 - : #18bbbbb)</v>
      </c>
    </row>
    <row r="401" spans="1:19">
      <c r="A401">
        <f>'All Girls &amp; Descendants - Edit'!B400</f>
        <v>18</v>
      </c>
      <c r="B401" t="str">
        <f>'All Girls &amp; Descendants - Edit'!C400</f>
        <v>18bbbbc</v>
      </c>
      <c r="C401" t="str">
        <f>'All Girls &amp; Descendants - Edit'!D400</f>
        <v>NICOL</v>
      </c>
      <c r="D401" t="str">
        <f>'All Girls &amp; Descendants - Edit'!E400</f>
        <v>Johnathan</v>
      </c>
      <c r="E401" t="str">
        <f>IF('All Girls &amp; Descendants - Edit'!F400="","",'All Girls &amp; Descendants - Edit'!F400)</f>
        <v>Michael</v>
      </c>
      <c r="F401" t="str">
        <f>IF('All Girls &amp; Descendants - Edit'!G400="","",'All Girls &amp; Descendants - Edit'!G400)</f>
        <v/>
      </c>
      <c r="G401" t="str">
        <f>IF('All Girls &amp; Descendants - Edit'!H400="",D401,'All Girls &amp; Descendants - Edit'!H400)</f>
        <v>Johnathan</v>
      </c>
      <c r="H401">
        <f>'All Girls &amp; Descendants - Edit'!I400</f>
        <v>1987</v>
      </c>
      <c r="I401">
        <f>'All Girls &amp; Descendants - Edit'!J400</f>
        <v>1988</v>
      </c>
      <c r="J401" s="101">
        <f>'All Girls &amp; Descendants - Edit'!K400</f>
        <v>0</v>
      </c>
      <c r="K401" s="3" t="str">
        <f>'All Girls &amp; Descendants - Edit'!L400</f>
        <v>08/11/1987</v>
      </c>
      <c r="L401" s="3">
        <f>'All Girls &amp; Descendants - Edit'!M400</f>
        <v>32089</v>
      </c>
      <c r="M401" s="3">
        <f>'All Girls &amp; Descendants - Edit'!N400</f>
        <v>0</v>
      </c>
      <c r="N401" s="3">
        <f>'All Girls &amp; Descendants - Edit'!O400</f>
        <v>32188</v>
      </c>
      <c r="O401" s="3" t="str">
        <f>'All Girls &amp; Descendants - Edit'!P400</f>
        <v>15/02/1988</v>
      </c>
      <c r="P401" t="str">
        <f t="shared" si="73"/>
        <v>18bbbbc</v>
      </c>
      <c r="Q401" s="116">
        <f t="shared" si="74"/>
        <v>5</v>
      </c>
      <c r="R401" s="31" t="str">
        <f t="shared" si="75"/>
        <v>Johnathan Michael  NICOL</v>
      </c>
      <c r="S401" t="str">
        <f t="shared" si="76"/>
        <v>Johnathan NICOL (1987 - 1988: #18bbbbc)</v>
      </c>
    </row>
    <row r="402" spans="1:19">
      <c r="A402">
        <f>'All Girls &amp; Descendants - Edit'!B401</f>
        <v>18</v>
      </c>
      <c r="B402" t="str">
        <f>'All Girls &amp; Descendants - Edit'!C401</f>
        <v>18bbbbd</v>
      </c>
      <c r="C402" t="str">
        <f>'All Girls &amp; Descendants - Edit'!D401</f>
        <v>NICOL</v>
      </c>
      <c r="D402" t="str">
        <f>'All Girls &amp; Descendants - Edit'!E401</f>
        <v>James</v>
      </c>
      <c r="E402" t="str">
        <f>IF('All Girls &amp; Descendants - Edit'!F401="","",'All Girls &amp; Descendants - Edit'!F401)</f>
        <v>Peter</v>
      </c>
      <c r="F402" t="str">
        <f>IF('All Girls &amp; Descendants - Edit'!G401="","",'All Girls &amp; Descendants - Edit'!G401)</f>
        <v>Robert</v>
      </c>
      <c r="G402" t="str">
        <f>IF('All Girls &amp; Descendants - Edit'!H401="",D402,'All Girls &amp; Descendants - Edit'!H401)</f>
        <v>James</v>
      </c>
      <c r="H402">
        <f>'All Girls &amp; Descendants - Edit'!I401</f>
        <v>1991</v>
      </c>
      <c r="I402" t="str">
        <f>'All Girls &amp; Descendants - Edit'!J401</f>
        <v/>
      </c>
      <c r="J402" s="101">
        <f>'All Girls &amp; Descendants - Edit'!K401</f>
        <v>0</v>
      </c>
      <c r="K402" s="3" t="str">
        <f>'All Girls &amp; Descendants - Edit'!L401</f>
        <v>23/01/1991</v>
      </c>
      <c r="L402" s="3">
        <f>'All Girls &amp; Descendants - Edit'!M401</f>
        <v>33261</v>
      </c>
      <c r="M402" s="3">
        <f>'All Girls &amp; Descendants - Edit'!N401</f>
        <v>0</v>
      </c>
      <c r="N402" s="3">
        <f>'All Girls &amp; Descendants - Edit'!O401</f>
        <v>0</v>
      </c>
      <c r="O402" s="3" t="str">
        <f>'All Girls &amp; Descendants - Edit'!P401</f>
        <v/>
      </c>
      <c r="P402" t="str">
        <f t="shared" si="73"/>
        <v>18bbbbd</v>
      </c>
      <c r="Q402" s="116">
        <f t="shared" si="74"/>
        <v>5</v>
      </c>
      <c r="R402" s="31" t="str">
        <f t="shared" si="75"/>
        <v>James Peter Robert NICOL</v>
      </c>
      <c r="S402" t="str">
        <f t="shared" si="76"/>
        <v>James NICOL (1991 - : #18bbbbd)</v>
      </c>
    </row>
    <row r="403" spans="1:19">
      <c r="A403">
        <f>'All Girls &amp; Descendants - Edit'!B402</f>
        <v>18</v>
      </c>
      <c r="B403" t="str">
        <f>'All Girls &amp; Descendants - Edit'!C402</f>
        <v>18bbbca</v>
      </c>
      <c r="C403" t="str">
        <f>'All Girls &amp; Descendants - Edit'!D402</f>
        <v>NICOL</v>
      </c>
      <c r="D403" t="str">
        <f>'All Girls &amp; Descendants - Edit'!E402</f>
        <v>Abigail</v>
      </c>
      <c r="E403" t="str">
        <f>IF('All Girls &amp; Descendants - Edit'!F402="","",'All Girls &amp; Descendants - Edit'!F402)</f>
        <v>Elizabeth</v>
      </c>
      <c r="F403" t="str">
        <f>IF('All Girls &amp; Descendants - Edit'!G402="","",'All Girls &amp; Descendants - Edit'!G402)</f>
        <v/>
      </c>
      <c r="G403" t="str">
        <f>IF('All Girls &amp; Descendants - Edit'!H402="",D403,'All Girls &amp; Descendants - Edit'!H402)</f>
        <v>Abigail</v>
      </c>
      <c r="H403">
        <f>'All Girls &amp; Descendants - Edit'!I402</f>
        <v>1985</v>
      </c>
      <c r="I403" t="str">
        <f>'All Girls &amp; Descendants - Edit'!J402</f>
        <v/>
      </c>
      <c r="J403" s="101">
        <f>'All Girls &amp; Descendants - Edit'!K402</f>
        <v>0</v>
      </c>
      <c r="K403" s="3" t="str">
        <f>'All Girls &amp; Descendants - Edit'!L402</f>
        <v>24/11/1985</v>
      </c>
      <c r="L403" s="3">
        <f>'All Girls &amp; Descendants - Edit'!M402</f>
        <v>31375</v>
      </c>
      <c r="M403" s="3">
        <f>'All Girls &amp; Descendants - Edit'!N402</f>
        <v>0</v>
      </c>
      <c r="N403" s="3">
        <f>'All Girls &amp; Descendants - Edit'!O402</f>
        <v>0</v>
      </c>
      <c r="O403" s="3" t="str">
        <f>'All Girls &amp; Descendants - Edit'!P402</f>
        <v/>
      </c>
      <c r="P403" t="str">
        <f t="shared" si="73"/>
        <v>18bbbca</v>
      </c>
      <c r="Q403" s="116">
        <f t="shared" si="74"/>
        <v>5</v>
      </c>
      <c r="R403" s="31" t="str">
        <f t="shared" si="75"/>
        <v>Abigail Elizabeth  NICOL</v>
      </c>
      <c r="S403" t="str">
        <f t="shared" si="76"/>
        <v>Abigail NICOL (1985 - : #18bbbca)</v>
      </c>
    </row>
    <row r="404" spans="1:19">
      <c r="A404">
        <f>'All Girls &amp; Descendants - Edit'!B403</f>
        <v>18</v>
      </c>
      <c r="B404" t="str">
        <f>'All Girls &amp; Descendants - Edit'!C403</f>
        <v>18bbbcb</v>
      </c>
      <c r="C404" t="str">
        <f>'All Girls &amp; Descendants - Edit'!D403</f>
        <v>NICOL</v>
      </c>
      <c r="D404" t="str">
        <f>'All Girls &amp; Descendants - Edit'!E403</f>
        <v>Jennifer</v>
      </c>
      <c r="E404" t="str">
        <f>IF('All Girls &amp; Descendants - Edit'!F403="","",'All Girls &amp; Descendants - Edit'!F403)</f>
        <v>Catherine</v>
      </c>
      <c r="F404" t="str">
        <f>IF('All Girls &amp; Descendants - Edit'!G403="","",'All Girls &amp; Descendants - Edit'!G403)</f>
        <v/>
      </c>
      <c r="G404" t="str">
        <f>IF('All Girls &amp; Descendants - Edit'!H403="",D404,'All Girls &amp; Descendants - Edit'!H403)</f>
        <v>Jennifer</v>
      </c>
      <c r="H404">
        <f>'All Girls &amp; Descendants - Edit'!I403</f>
        <v>1985</v>
      </c>
      <c r="I404" t="str">
        <f>'All Girls &amp; Descendants - Edit'!J403</f>
        <v/>
      </c>
      <c r="J404" s="101">
        <f>'All Girls &amp; Descendants - Edit'!K403</f>
        <v>0</v>
      </c>
      <c r="K404" s="3" t="str">
        <f>'All Girls &amp; Descendants - Edit'!L403</f>
        <v>24/11/1985</v>
      </c>
      <c r="L404" s="3">
        <f>'All Girls &amp; Descendants - Edit'!M403</f>
        <v>31375</v>
      </c>
      <c r="M404" s="3">
        <f>'All Girls &amp; Descendants - Edit'!N403</f>
        <v>0</v>
      </c>
      <c r="N404" s="3">
        <f>'All Girls &amp; Descendants - Edit'!O403</f>
        <v>0</v>
      </c>
      <c r="O404" s="3" t="str">
        <f>'All Girls &amp; Descendants - Edit'!P403</f>
        <v/>
      </c>
      <c r="P404" t="str">
        <f t="shared" si="73"/>
        <v>18bbbcb</v>
      </c>
      <c r="Q404" s="116">
        <f t="shared" si="74"/>
        <v>5</v>
      </c>
      <c r="R404" s="31" t="str">
        <f t="shared" si="75"/>
        <v>Jennifer Catherine  NICOL</v>
      </c>
      <c r="S404" t="str">
        <f t="shared" si="76"/>
        <v>Jennifer NICOL (1985 - : #18bbbcb)</v>
      </c>
    </row>
    <row r="405" spans="1:19">
      <c r="A405">
        <f>'All Girls &amp; Descendants - Edit'!B404</f>
        <v>18</v>
      </c>
      <c r="B405" t="str">
        <f>'All Girls &amp; Descendants - Edit'!C404</f>
        <v>18bbbcc</v>
      </c>
      <c r="C405" t="str">
        <f>'All Girls &amp; Descendants - Edit'!D404</f>
        <v>NICOL</v>
      </c>
      <c r="D405" t="str">
        <f>'All Girls &amp; Descendants - Edit'!E404</f>
        <v>Alice</v>
      </c>
      <c r="E405" t="str">
        <f>IF('All Girls &amp; Descendants - Edit'!F404="","",'All Girls &amp; Descendants - Edit'!F404)</f>
        <v>Mary</v>
      </c>
      <c r="F405" t="str">
        <f>IF('All Girls &amp; Descendants - Edit'!G404="","",'All Girls &amp; Descendants - Edit'!G404)</f>
        <v>Rose</v>
      </c>
      <c r="G405" t="str">
        <f>IF('All Girls &amp; Descendants - Edit'!H404="",D405,'All Girls &amp; Descendants - Edit'!H404)</f>
        <v>Alice</v>
      </c>
      <c r="H405">
        <f>'All Girls &amp; Descendants - Edit'!I404</f>
        <v>1988</v>
      </c>
      <c r="I405" t="str">
        <f>'All Girls &amp; Descendants - Edit'!J404</f>
        <v/>
      </c>
      <c r="J405" s="101">
        <f>'All Girls &amp; Descendants - Edit'!K404</f>
        <v>0</v>
      </c>
      <c r="K405" s="3" t="str">
        <f>'All Girls &amp; Descendants - Edit'!L404</f>
        <v>21/01/1988</v>
      </c>
      <c r="L405" s="3">
        <f>'All Girls &amp; Descendants - Edit'!M404</f>
        <v>32163</v>
      </c>
      <c r="M405" s="3">
        <f>'All Girls &amp; Descendants - Edit'!N404</f>
        <v>0</v>
      </c>
      <c r="N405" s="3">
        <f>'All Girls &amp; Descendants - Edit'!O404</f>
        <v>0</v>
      </c>
      <c r="O405" s="3" t="str">
        <f>'All Girls &amp; Descendants - Edit'!P404</f>
        <v/>
      </c>
      <c r="P405" t="str">
        <f t="shared" si="73"/>
        <v>18bbbcc</v>
      </c>
      <c r="Q405" s="116">
        <f t="shared" si="74"/>
        <v>5</v>
      </c>
      <c r="R405" s="31" t="str">
        <f t="shared" si="75"/>
        <v>Alice Mary Rose NICOL</v>
      </c>
      <c r="S405" t="str">
        <f t="shared" si="76"/>
        <v>Alice NICOL (1988 - : #18bbbcc)</v>
      </c>
    </row>
    <row r="406" spans="1:19">
      <c r="A406">
        <f>'All Girls &amp; Descendants - Edit'!B405</f>
        <v>18</v>
      </c>
      <c r="B406" t="str">
        <f>'All Girls &amp; Descendants - Edit'!C405</f>
        <v>18bbbcd</v>
      </c>
      <c r="C406" t="str">
        <f>'All Girls &amp; Descendants - Edit'!D405</f>
        <v>NICOL</v>
      </c>
      <c r="D406" t="str">
        <f>'All Girls &amp; Descendants - Edit'!E405</f>
        <v>Catherine</v>
      </c>
      <c r="E406" t="str">
        <f>IF('All Girls &amp; Descendants - Edit'!F405="","",'All Girls &amp; Descendants - Edit'!F405)</f>
        <v>Margaret</v>
      </c>
      <c r="F406" t="str">
        <f>IF('All Girls &amp; Descendants - Edit'!G405="","",'All Girls &amp; Descendants - Edit'!G405)</f>
        <v/>
      </c>
      <c r="G406" t="str">
        <f>IF('All Girls &amp; Descendants - Edit'!H405="",D406,'All Girls &amp; Descendants - Edit'!H405)</f>
        <v>Catherine</v>
      </c>
      <c r="H406">
        <f>'All Girls &amp; Descendants - Edit'!I405</f>
        <v>1990</v>
      </c>
      <c r="I406" t="str">
        <f>'All Girls &amp; Descendants - Edit'!J405</f>
        <v/>
      </c>
      <c r="J406" s="101">
        <f>'All Girls &amp; Descendants - Edit'!K405</f>
        <v>0</v>
      </c>
      <c r="K406" s="3" t="str">
        <f>'All Girls &amp; Descendants - Edit'!L405</f>
        <v>24/04/1990</v>
      </c>
      <c r="L406" s="3">
        <f>'All Girls &amp; Descendants - Edit'!M405</f>
        <v>32987</v>
      </c>
      <c r="M406" s="3">
        <f>'All Girls &amp; Descendants - Edit'!N405</f>
        <v>0</v>
      </c>
      <c r="N406" s="3">
        <f>'All Girls &amp; Descendants - Edit'!O405</f>
        <v>0</v>
      </c>
      <c r="O406" s="3" t="str">
        <f>'All Girls &amp; Descendants - Edit'!P405</f>
        <v/>
      </c>
      <c r="P406" t="str">
        <f t="shared" si="73"/>
        <v>18bbbcd</v>
      </c>
      <c r="Q406" s="116">
        <f t="shared" si="74"/>
        <v>5</v>
      </c>
      <c r="R406" s="31" t="str">
        <f t="shared" si="75"/>
        <v>Catherine Margaret  NICOL</v>
      </c>
      <c r="S406" t="str">
        <f t="shared" si="76"/>
        <v>Catherine NICOL (1990 - : #18bbbcd)</v>
      </c>
    </row>
    <row r="407" spans="1:19">
      <c r="A407">
        <f>'All Girls &amp; Descendants - Edit'!B406</f>
        <v>18</v>
      </c>
      <c r="B407" t="str">
        <f>'All Girls &amp; Descendants - Edit'!C406</f>
        <v>18bbbce</v>
      </c>
      <c r="C407" t="str">
        <f>'All Girls &amp; Descendants - Edit'!D406</f>
        <v>NICOL</v>
      </c>
      <c r="D407" t="str">
        <f>'All Girls &amp; Descendants - Edit'!E406</f>
        <v>Elisabeth</v>
      </c>
      <c r="E407" t="str">
        <f>IF('All Girls &amp; Descendants - Edit'!F406="","",'All Girls &amp; Descendants - Edit'!F406)</f>
        <v>Iona</v>
      </c>
      <c r="F407" t="str">
        <f>IF('All Girls &amp; Descendants - Edit'!G406="","",'All Girls &amp; Descendants - Edit'!G406)</f>
        <v/>
      </c>
      <c r="G407" t="str">
        <f>IF('All Girls &amp; Descendants - Edit'!H406="",D407,'All Girls &amp; Descendants - Edit'!H406)</f>
        <v>Elisabeth</v>
      </c>
      <c r="H407">
        <f>'All Girls &amp; Descendants - Edit'!I406</f>
        <v>1990</v>
      </c>
      <c r="I407" t="str">
        <f>'All Girls &amp; Descendants - Edit'!J406</f>
        <v/>
      </c>
      <c r="J407" s="101">
        <f>'All Girls &amp; Descendants - Edit'!K406</f>
        <v>0</v>
      </c>
      <c r="K407" s="3" t="str">
        <f>'All Girls &amp; Descendants - Edit'!L406</f>
        <v>25/04/1990</v>
      </c>
      <c r="L407" s="3">
        <f>'All Girls &amp; Descendants - Edit'!M406</f>
        <v>32988</v>
      </c>
      <c r="M407" s="3">
        <f>'All Girls &amp; Descendants - Edit'!N406</f>
        <v>0</v>
      </c>
      <c r="N407" s="3">
        <f>'All Girls &amp; Descendants - Edit'!O406</f>
        <v>0</v>
      </c>
      <c r="O407" s="3" t="str">
        <f>'All Girls &amp; Descendants - Edit'!P406</f>
        <v/>
      </c>
      <c r="P407" t="str">
        <f t="shared" si="73"/>
        <v>18bbbce</v>
      </c>
      <c r="Q407" s="116">
        <f t="shared" si="74"/>
        <v>5</v>
      </c>
      <c r="R407" s="31" t="str">
        <f t="shared" si="75"/>
        <v>Elisabeth Iona  NICOL</v>
      </c>
      <c r="S407" t="str">
        <f t="shared" si="76"/>
        <v>Elisabeth NICOL (1990 - : #18bbbce)</v>
      </c>
    </row>
    <row r="408" spans="1:19">
      <c r="A408">
        <f>'All Girls &amp; Descendants - Edit'!B407</f>
        <v>18</v>
      </c>
      <c r="B408" t="str">
        <f>'All Girls &amp; Descendants - Edit'!C407</f>
        <v>18bbbcf</v>
      </c>
      <c r="C408" t="str">
        <f>'All Girls &amp; Descendants - Edit'!D407</f>
        <v>NICOL</v>
      </c>
      <c r="D408" t="str">
        <f>'All Girls &amp; Descendants - Edit'!E407</f>
        <v>Lydia</v>
      </c>
      <c r="E408" t="str">
        <f>IF('All Girls &amp; Descendants - Edit'!F407="","",'All Girls &amp; Descendants - Edit'!F407)</f>
        <v>Clare</v>
      </c>
      <c r="F408" t="str">
        <f>IF('All Girls &amp; Descendants - Edit'!G407="","",'All Girls &amp; Descendants - Edit'!G407)</f>
        <v>Diana</v>
      </c>
      <c r="G408" t="str">
        <f>IF('All Girls &amp; Descendants - Edit'!H407="",D408,'All Girls &amp; Descendants - Edit'!H407)</f>
        <v>Lydia</v>
      </c>
      <c r="H408">
        <f>'All Girls &amp; Descendants - Edit'!I407</f>
        <v>1992</v>
      </c>
      <c r="I408" t="str">
        <f>'All Girls &amp; Descendants - Edit'!J407</f>
        <v/>
      </c>
      <c r="J408" s="101">
        <f>'All Girls &amp; Descendants - Edit'!K407</f>
        <v>0</v>
      </c>
      <c r="K408" s="3" t="str">
        <f>'All Girls &amp; Descendants - Edit'!L407</f>
        <v>19/03/1992</v>
      </c>
      <c r="L408" s="3">
        <f>'All Girls &amp; Descendants - Edit'!M407</f>
        <v>33682</v>
      </c>
      <c r="M408" s="3">
        <f>'All Girls &amp; Descendants - Edit'!N407</f>
        <v>0</v>
      </c>
      <c r="N408" s="3">
        <f>'All Girls &amp; Descendants - Edit'!O407</f>
        <v>0</v>
      </c>
      <c r="O408" s="3" t="str">
        <f>'All Girls &amp; Descendants - Edit'!P407</f>
        <v/>
      </c>
      <c r="P408" t="str">
        <f t="shared" si="73"/>
        <v>18bbbcf</v>
      </c>
      <c r="Q408" s="116">
        <f t="shared" si="74"/>
        <v>5</v>
      </c>
      <c r="R408" s="31" t="str">
        <f t="shared" si="75"/>
        <v>Lydia Clare Diana NICOL</v>
      </c>
      <c r="S408" t="str">
        <f t="shared" si="76"/>
        <v>Lydia NICOL (1992 - : #18bbbcf)</v>
      </c>
    </row>
    <row r="409" spans="1:19">
      <c r="A409">
        <f>'All Girls &amp; Descendants - Edit'!B408</f>
        <v>18</v>
      </c>
      <c r="B409" t="str">
        <f>'All Girls &amp; Descendants - Edit'!C408</f>
        <v>18bbbcg</v>
      </c>
      <c r="C409" t="str">
        <f>'All Girls &amp; Descendants - Edit'!D408</f>
        <v>NICOL</v>
      </c>
      <c r="D409" t="str">
        <f>'All Girls &amp; Descendants - Edit'!E408</f>
        <v>Patrick</v>
      </c>
      <c r="E409" t="str">
        <f>IF('All Girls &amp; Descendants - Edit'!F408="","",'All Girls &amp; Descendants - Edit'!F408)</f>
        <v>William</v>
      </c>
      <c r="F409" t="str">
        <f>IF('All Girls &amp; Descendants - Edit'!G408="","",'All Girls &amp; Descendants - Edit'!G408)</f>
        <v>John Perry</v>
      </c>
      <c r="G409" t="str">
        <f>IF('All Girls &amp; Descendants - Edit'!H408="",D409,'All Girls &amp; Descendants - Edit'!H408)</f>
        <v>Patrick</v>
      </c>
      <c r="H409">
        <f>'All Girls &amp; Descendants - Edit'!I408</f>
        <v>1995</v>
      </c>
      <c r="I409" t="str">
        <f>'All Girls &amp; Descendants - Edit'!J408</f>
        <v/>
      </c>
      <c r="J409" s="101">
        <f>'All Girls &amp; Descendants - Edit'!K408</f>
        <v>0</v>
      </c>
      <c r="K409" s="3" t="str">
        <f>'All Girls &amp; Descendants - Edit'!L408</f>
        <v>28/12/1995</v>
      </c>
      <c r="L409" s="3">
        <f>'All Girls &amp; Descendants - Edit'!M408</f>
        <v>35061</v>
      </c>
      <c r="M409" s="3">
        <f>'All Girls &amp; Descendants - Edit'!N408</f>
        <v>0</v>
      </c>
      <c r="N409" s="3">
        <f>'All Girls &amp; Descendants - Edit'!O408</f>
        <v>0</v>
      </c>
      <c r="O409" s="3" t="str">
        <f>'All Girls &amp; Descendants - Edit'!P408</f>
        <v/>
      </c>
      <c r="P409" t="str">
        <f t="shared" si="73"/>
        <v>18bbbcg</v>
      </c>
      <c r="Q409" s="116">
        <f t="shared" si="74"/>
        <v>5</v>
      </c>
      <c r="R409" s="31" t="str">
        <f t="shared" si="75"/>
        <v>Patrick William John Perry NICOL</v>
      </c>
      <c r="S409" t="str">
        <f t="shared" si="76"/>
        <v>Patrick NICOL (1995 - : #18bbbcg)</v>
      </c>
    </row>
    <row r="410" spans="1:19">
      <c r="A410">
        <f>'All Girls &amp; Descendants - Edit'!B409</f>
        <v>36</v>
      </c>
      <c r="B410" t="str">
        <f>'All Girls &amp; Descendants - Edit'!C409</f>
        <v>36dbaaa</v>
      </c>
      <c r="C410" t="str">
        <f>'All Girls &amp; Descendants - Edit'!D409</f>
        <v>SCOTT-DEMPSTER</v>
      </c>
      <c r="D410" t="str">
        <f>'All Girls &amp; Descendants - Edit'!E409</f>
        <v>Lorne</v>
      </c>
      <c r="E410" t="str">
        <f>IF('All Girls &amp; Descendants - Edit'!F409="","",'All Girls &amp; Descendants - Edit'!F409)</f>
        <v>Robert</v>
      </c>
      <c r="F410" t="str">
        <f>IF('All Girls &amp; Descendants - Edit'!G409="","",'All Girls &amp; Descendants - Edit'!G409)</f>
        <v/>
      </c>
      <c r="G410" t="str">
        <f>IF('All Girls &amp; Descendants - Edit'!H409="",D410,'All Girls &amp; Descendants - Edit'!H409)</f>
        <v>Lorne</v>
      </c>
      <c r="H410">
        <f>'All Girls &amp; Descendants - Edit'!I409</f>
        <v>1998</v>
      </c>
      <c r="I410" t="str">
        <f>'All Girls &amp; Descendants - Edit'!J409</f>
        <v/>
      </c>
      <c r="J410" s="101">
        <f>'All Girls &amp; Descendants - Edit'!K409</f>
        <v>0</v>
      </c>
      <c r="K410" s="3" t="str">
        <f>'All Girls &amp; Descendants - Edit'!L409</f>
        <v>06/12/1998</v>
      </c>
      <c r="L410" s="3">
        <f>'All Girls &amp; Descendants - Edit'!M409</f>
        <v>36135</v>
      </c>
      <c r="M410" s="3">
        <f>'All Girls &amp; Descendants - Edit'!N409</f>
        <v>0</v>
      </c>
      <c r="N410" s="3">
        <f>'All Girls &amp; Descendants - Edit'!O409</f>
        <v>0</v>
      </c>
      <c r="O410" s="3" t="str">
        <f>'All Girls &amp; Descendants - Edit'!P409</f>
        <v/>
      </c>
      <c r="P410" t="str">
        <f t="shared" si="73"/>
        <v>36dbaaa</v>
      </c>
      <c r="Q410" s="116">
        <f t="shared" si="74"/>
        <v>5</v>
      </c>
      <c r="R410" s="31" t="str">
        <f t="shared" si="75"/>
        <v>Lorne Robert  SCOTT-DEMPSTER</v>
      </c>
      <c r="S410" t="str">
        <f t="shared" si="76"/>
        <v>Lorne SCOTT-DEMPSTER (1998 - : #36dbaaa)</v>
      </c>
    </row>
    <row r="411" spans="1:19">
      <c r="A411">
        <f>'All Girls &amp; Descendants - Edit'!B410</f>
        <v>36</v>
      </c>
      <c r="B411" t="str">
        <f>'All Girls &amp; Descendants - Edit'!C410</f>
        <v>36dbbaa</v>
      </c>
      <c r="C411" t="str">
        <f>'All Girls &amp; Descendants - Edit'!D410</f>
        <v>GRAHAM</v>
      </c>
      <c r="D411" t="str">
        <f>'All Girls &amp; Descendants - Edit'!E410</f>
        <v>Cosmo</v>
      </c>
      <c r="E411" t="str">
        <f>IF('All Girls &amp; Descendants - Edit'!F410="","",'All Girls &amp; Descendants - Edit'!F410)</f>
        <v>Stephen</v>
      </c>
      <c r="F411" t="str">
        <f>IF('All Girls &amp; Descendants - Edit'!G410="","",'All Girls &amp; Descendants - Edit'!G410)</f>
        <v>Buckle</v>
      </c>
      <c r="G411" t="str">
        <f>IF('All Girls &amp; Descendants - Edit'!H410="",D411,'All Girls &amp; Descendants - Edit'!H410)</f>
        <v>Cosmo</v>
      </c>
      <c r="H411">
        <f>'All Girls &amp; Descendants - Edit'!I410</f>
        <v>1995</v>
      </c>
      <c r="I411" t="str">
        <f>'All Girls &amp; Descendants - Edit'!J410</f>
        <v/>
      </c>
      <c r="J411" s="101">
        <f>'All Girls &amp; Descendants - Edit'!K410</f>
        <v>0</v>
      </c>
      <c r="K411" s="3" t="str">
        <f>'All Girls &amp; Descendants - Edit'!L410</f>
        <v>05/09/1995</v>
      </c>
      <c r="L411" s="3">
        <f>'All Girls &amp; Descendants - Edit'!M410</f>
        <v>34947</v>
      </c>
      <c r="M411" s="3">
        <f>'All Girls &amp; Descendants - Edit'!N410</f>
        <v>0</v>
      </c>
      <c r="N411" s="3">
        <f>'All Girls &amp; Descendants - Edit'!O410</f>
        <v>0</v>
      </c>
      <c r="O411" s="3" t="str">
        <f>'All Girls &amp; Descendants - Edit'!P410</f>
        <v/>
      </c>
      <c r="P411" t="str">
        <f t="shared" si="73"/>
        <v>36dbbaa</v>
      </c>
      <c r="Q411" s="116">
        <f t="shared" si="74"/>
        <v>5</v>
      </c>
      <c r="R411" s="31" t="str">
        <f t="shared" si="75"/>
        <v>Cosmo Stephen Buckle GRAHAM</v>
      </c>
      <c r="S411" t="str">
        <f t="shared" si="76"/>
        <v>Cosmo GRAHAM (1995 - : #36dbbaa)</v>
      </c>
    </row>
    <row r="412" spans="1:19">
      <c r="A412">
        <f>'All Girls &amp; Descendants - Edit'!B411</f>
        <v>36</v>
      </c>
      <c r="B412" t="str">
        <f>'All Girls &amp; Descendants - Edit'!C411</f>
        <v>36dbbab</v>
      </c>
      <c r="C412" t="str">
        <f>'All Girls &amp; Descendants - Edit'!D411</f>
        <v>GRAHAM</v>
      </c>
      <c r="D412" t="str">
        <f>'All Girls &amp; Descendants - Edit'!E411</f>
        <v>Ludovic</v>
      </c>
      <c r="E412" t="str">
        <f>IF('All Girls &amp; Descendants - Edit'!F411="","",'All Girls &amp; Descendants - Edit'!F411)</f>
        <v>James</v>
      </c>
      <c r="F412" t="str">
        <f>IF('All Girls &amp; Descendants - Edit'!G411="","",'All Girls &amp; Descendants - Edit'!G411)</f>
        <v>Buckle</v>
      </c>
      <c r="G412" t="str">
        <f>IF('All Girls &amp; Descendants - Edit'!H411="",D412,'All Girls &amp; Descendants - Edit'!H411)</f>
        <v>Ludovic</v>
      </c>
      <c r="H412">
        <f>'All Girls &amp; Descendants - Edit'!I411</f>
        <v>1997</v>
      </c>
      <c r="I412" t="str">
        <f>'All Girls &amp; Descendants - Edit'!J411</f>
        <v/>
      </c>
      <c r="J412" s="101">
        <f>'All Girls &amp; Descendants - Edit'!K411</f>
        <v>0</v>
      </c>
      <c r="K412" s="3" t="str">
        <f>'All Girls &amp; Descendants - Edit'!L411</f>
        <v>18/08/1997</v>
      </c>
      <c r="L412" s="3">
        <f>'All Girls &amp; Descendants - Edit'!M411</f>
        <v>35660</v>
      </c>
      <c r="M412" s="3">
        <f>'All Girls &amp; Descendants - Edit'!N411</f>
        <v>0</v>
      </c>
      <c r="N412" s="3">
        <f>'All Girls &amp; Descendants - Edit'!O411</f>
        <v>0</v>
      </c>
      <c r="O412" s="3" t="str">
        <f>'All Girls &amp; Descendants - Edit'!P411</f>
        <v/>
      </c>
      <c r="P412" t="str">
        <f t="shared" si="73"/>
        <v>36dbbab</v>
      </c>
      <c r="Q412" s="116">
        <f t="shared" si="74"/>
        <v>5</v>
      </c>
      <c r="R412" s="31" t="str">
        <f t="shared" si="75"/>
        <v>Ludovic James Buckle GRAHAM</v>
      </c>
      <c r="S412" t="str">
        <f t="shared" si="76"/>
        <v>Ludovic GRAHAM (1997 - : #36dbbab)</v>
      </c>
    </row>
    <row r="413" spans="1:19">
      <c r="A413">
        <f>'All Girls &amp; Descendants - Edit'!B412</f>
        <v>36</v>
      </c>
      <c r="B413" t="str">
        <f>'All Girls &amp; Descendants - Edit'!C412</f>
        <v>36dbbba</v>
      </c>
      <c r="C413" t="str">
        <f>'All Girls &amp; Descendants - Edit'!D412</f>
        <v>LINDSAY</v>
      </c>
      <c r="D413" t="str">
        <f>'All Girls &amp; Descendants - Edit'!E412</f>
        <v>Oscar</v>
      </c>
      <c r="E413" t="str">
        <f>IF('All Girls &amp; Descendants - Edit'!F412="","",'All Girls &amp; Descendants - Edit'!F412)</f>
        <v>James</v>
      </c>
      <c r="F413" t="str">
        <f>IF('All Girls &amp; Descendants - Edit'!G412="","",'All Girls &amp; Descendants - Edit'!G412)</f>
        <v>Montague</v>
      </c>
      <c r="G413" t="str">
        <f>IF('All Girls &amp; Descendants - Edit'!H412="",D413,'All Girls &amp; Descendants - Edit'!H412)</f>
        <v>Oscar</v>
      </c>
      <c r="H413">
        <f>'All Girls &amp; Descendants - Edit'!I412</f>
        <v>1998</v>
      </c>
      <c r="I413" t="str">
        <f>'All Girls &amp; Descendants - Edit'!J412</f>
        <v/>
      </c>
      <c r="J413" s="101">
        <f>'All Girls &amp; Descendants - Edit'!K412</f>
        <v>0</v>
      </c>
      <c r="K413" s="3" t="str">
        <f>'All Girls &amp; Descendants - Edit'!L412</f>
        <v>02/07/1998</v>
      </c>
      <c r="L413" s="3">
        <f>'All Girls &amp; Descendants - Edit'!M412</f>
        <v>35978</v>
      </c>
      <c r="M413" s="3">
        <f>'All Girls &amp; Descendants - Edit'!N412</f>
        <v>0</v>
      </c>
      <c r="N413" s="3">
        <f>'All Girls &amp; Descendants - Edit'!O412</f>
        <v>0</v>
      </c>
      <c r="O413" s="3" t="str">
        <f>'All Girls &amp; Descendants - Edit'!P412</f>
        <v/>
      </c>
      <c r="P413" t="str">
        <f t="shared" si="73"/>
        <v>36dbbba</v>
      </c>
      <c r="Q413" s="116">
        <f t="shared" si="74"/>
        <v>5</v>
      </c>
      <c r="R413" s="31" t="str">
        <f t="shared" si="75"/>
        <v>Oscar James Montague LINDSAY</v>
      </c>
      <c r="S413" t="str">
        <f t="shared" si="76"/>
        <v>Oscar LINDSAY (1998 - : #36dbbba)</v>
      </c>
    </row>
    <row r="414" spans="1:19">
      <c r="A414">
        <f>'All Girls &amp; Descendants - Edit'!B413</f>
        <v>18</v>
      </c>
      <c r="B414" t="str">
        <f>'All Girls &amp; Descendants - Edit'!C413</f>
        <v>18bbabaa</v>
      </c>
      <c r="C414" t="str">
        <f>'All Girls &amp; Descendants - Edit'!D413</f>
        <v>BERRY</v>
      </c>
      <c r="D414" t="str">
        <f>'All Girls &amp; Descendants - Edit'!E413</f>
        <v>William</v>
      </c>
      <c r="E414" t="str">
        <f>IF('All Girls &amp; Descendants - Edit'!F413="","",'All Girls &amp; Descendants - Edit'!F413)</f>
        <v/>
      </c>
      <c r="F414" t="str">
        <f>IF('All Girls &amp; Descendants - Edit'!G413="","",'All Girls &amp; Descendants - Edit'!G413)</f>
        <v/>
      </c>
      <c r="G414" t="str">
        <f>IF('All Girls &amp; Descendants - Edit'!H413="",D414,'All Girls &amp; Descendants - Edit'!H413)</f>
        <v>William</v>
      </c>
      <c r="H414">
        <f>'All Girls &amp; Descendants - Edit'!I413</f>
        <v>2008</v>
      </c>
      <c r="I414" t="str">
        <f>'All Girls &amp; Descendants - Edit'!J413</f>
        <v/>
      </c>
      <c r="J414" s="101">
        <f>'All Girls &amp; Descendants - Edit'!K413</f>
        <v>0</v>
      </c>
      <c r="K414" s="3" t="str">
        <f>'All Girls &amp; Descendants - Edit'!L413</f>
        <v>29/06/2008</v>
      </c>
      <c r="L414" s="3">
        <f>'All Girls &amp; Descendants - Edit'!M413</f>
        <v>39628</v>
      </c>
      <c r="M414" s="3">
        <f>'All Girls &amp; Descendants - Edit'!N413</f>
        <v>0</v>
      </c>
      <c r="N414" s="3">
        <f>'All Girls &amp; Descendants - Edit'!O413</f>
        <v>0</v>
      </c>
      <c r="O414" s="3">
        <f>'All Girls &amp; Descendants - Edit'!P413</f>
        <v>0</v>
      </c>
      <c r="P414" t="str">
        <f t="shared" si="73"/>
        <v>18bbabaa</v>
      </c>
      <c r="Q414" s="116">
        <f t="shared" si="74"/>
        <v>6</v>
      </c>
      <c r="R414" s="31" t="str">
        <f t="shared" si="75"/>
        <v>William   BERRY</v>
      </c>
      <c r="S414" t="str">
        <f t="shared" si="76"/>
        <v>William BERRY (2008 - : #18bbabaa)</v>
      </c>
    </row>
    <row r="415" spans="1:19">
      <c r="A415">
        <f>'All Girls &amp; Descendants - Edit'!B414</f>
        <v>18</v>
      </c>
      <c r="B415" t="str">
        <f>'All Girls &amp; Descendants - Edit'!C414</f>
        <v>18bbabab</v>
      </c>
      <c r="C415" t="str">
        <f>'All Girls &amp; Descendants - Edit'!D414</f>
        <v>BERRY</v>
      </c>
      <c r="D415" t="str">
        <f>'All Girls &amp; Descendants - Edit'!E414</f>
        <v>Mungo</v>
      </c>
      <c r="E415" t="str">
        <f>IF('All Girls &amp; Descendants - Edit'!F414="","",'All Girls &amp; Descendants - Edit'!F414)</f>
        <v>James</v>
      </c>
      <c r="F415" t="str">
        <f>IF('All Girls &amp; Descendants - Edit'!G414="","",'All Girls &amp; Descendants - Edit'!G414)</f>
        <v/>
      </c>
      <c r="G415" t="str">
        <f>IF('All Girls &amp; Descendants - Edit'!H414="",D415,'All Girls &amp; Descendants - Edit'!H414)</f>
        <v>Mungo</v>
      </c>
      <c r="H415">
        <f>'All Girls &amp; Descendants - Edit'!I414</f>
        <v>2010</v>
      </c>
      <c r="I415" t="str">
        <f>'All Girls &amp; Descendants - Edit'!J414</f>
        <v/>
      </c>
      <c r="J415" s="101">
        <f>'All Girls &amp; Descendants - Edit'!K414</f>
        <v>0</v>
      </c>
      <c r="K415" s="3" t="str">
        <f>'All Girls &amp; Descendants - Edit'!L414</f>
        <v>19/03/2010</v>
      </c>
      <c r="L415" s="3">
        <f>'All Girls &amp; Descendants - Edit'!M414</f>
        <v>40256</v>
      </c>
      <c r="M415" s="3">
        <f>'All Girls &amp; Descendants - Edit'!N414</f>
        <v>0</v>
      </c>
      <c r="N415" s="3">
        <f>'All Girls &amp; Descendants - Edit'!O414</f>
        <v>0</v>
      </c>
      <c r="O415" s="3">
        <f>'All Girls &amp; Descendants - Edit'!P414</f>
        <v>0</v>
      </c>
      <c r="P415" t="str">
        <f t="shared" si="73"/>
        <v>18bbabab</v>
      </c>
      <c r="Q415" s="116">
        <f t="shared" si="74"/>
        <v>6</v>
      </c>
      <c r="R415" s="31" t="str">
        <f t="shared" si="75"/>
        <v>Mungo James  BERRY</v>
      </c>
      <c r="S415" t="str">
        <f t="shared" si="76"/>
        <v>Mungo BERRY (2010 - : #18bbabab)</v>
      </c>
    </row>
    <row r="416" spans="1:19">
      <c r="A416">
        <f>'All Girls &amp; Descendants - Edit'!B415</f>
        <v>18</v>
      </c>
      <c r="B416" t="str">
        <f>'All Girls &amp; Descendants - Edit'!C415</f>
        <v>18bbabba</v>
      </c>
      <c r="C416" t="str">
        <f>'All Girls &amp; Descendants - Edit'!D415</f>
        <v>BERRY</v>
      </c>
      <c r="D416" t="str">
        <f>'All Girls &amp; Descendants - Edit'!E415</f>
        <v>Ursula</v>
      </c>
      <c r="E416" t="str">
        <f>IF('All Girls &amp; Descendants - Edit'!F415="","",'All Girls &amp; Descendants - Edit'!F415)</f>
        <v>Hermione</v>
      </c>
      <c r="F416" t="str">
        <f>IF('All Girls &amp; Descendants - Edit'!G415="","",'All Girls &amp; Descendants - Edit'!G415)</f>
        <v>Grace</v>
      </c>
      <c r="G416" t="str">
        <f>IF('All Girls &amp; Descendants - Edit'!H415="",D416,'All Girls &amp; Descendants - Edit'!H415)</f>
        <v>Ursula</v>
      </c>
      <c r="H416">
        <f>'All Girls &amp; Descendants - Edit'!I415</f>
        <v>2010</v>
      </c>
      <c r="I416" t="str">
        <f>'All Girls &amp; Descendants - Edit'!J415</f>
        <v/>
      </c>
      <c r="J416" s="101">
        <f>'All Girls &amp; Descendants - Edit'!K415</f>
        <v>0</v>
      </c>
      <c r="K416" s="3" t="str">
        <f>'All Girls &amp; Descendants - Edit'!L415</f>
        <v>29/05/2010</v>
      </c>
      <c r="L416" s="3">
        <f>'All Girls &amp; Descendants - Edit'!M415</f>
        <v>40327</v>
      </c>
      <c r="M416" s="3">
        <f>'All Girls &amp; Descendants - Edit'!N415</f>
        <v>0</v>
      </c>
      <c r="N416" s="3">
        <f>'All Girls &amp; Descendants - Edit'!O415</f>
        <v>0</v>
      </c>
      <c r="O416" s="3">
        <f>'All Girls &amp; Descendants - Edit'!P415</f>
        <v>0</v>
      </c>
      <c r="P416" t="str">
        <f t="shared" si="73"/>
        <v>18bbabba</v>
      </c>
      <c r="Q416" s="116">
        <f t="shared" si="74"/>
        <v>6</v>
      </c>
      <c r="R416" s="31" t="str">
        <f t="shared" si="75"/>
        <v>Ursula Hermione Grace BERRY</v>
      </c>
      <c r="S416" t="str">
        <f t="shared" si="76"/>
        <v>Ursula BERRY (2010 - : #18bbabba)</v>
      </c>
    </row>
    <row r="417" spans="1:19">
      <c r="A417">
        <f>'All Girls &amp; Descendants - Edit'!B416</f>
        <v>18</v>
      </c>
      <c r="B417" t="str">
        <f>'All Girls &amp; Descendants - Edit'!C416</f>
        <v>18bbabbb</v>
      </c>
      <c r="C417" t="str">
        <f>'All Girls &amp; Descendants - Edit'!D416</f>
        <v>BERRY</v>
      </c>
      <c r="D417" t="str">
        <f>'All Girls &amp; Descendants - Edit'!E416</f>
        <v>Arthur</v>
      </c>
      <c r="E417" t="str">
        <f>IF('All Girls &amp; Descendants - Edit'!F416="","",'All Girls &amp; Descendants - Edit'!F416)</f>
        <v>Oran</v>
      </c>
      <c r="F417" t="str">
        <f>IF('All Girls &amp; Descendants - Edit'!G416="","",'All Girls &amp; Descendants - Edit'!G416)</f>
        <v>James</v>
      </c>
      <c r="G417" t="str">
        <f>IF('All Girls &amp; Descendants - Edit'!H416="",D417,'All Girls &amp; Descendants - Edit'!H416)</f>
        <v>Arthur</v>
      </c>
      <c r="H417">
        <f>'All Girls &amp; Descendants - Edit'!I416</f>
        <v>2013</v>
      </c>
      <c r="I417" t="str">
        <f>'All Girls &amp; Descendants - Edit'!J416</f>
        <v/>
      </c>
      <c r="J417" s="101">
        <f>'All Girls &amp; Descendants - Edit'!K416</f>
        <v>0</v>
      </c>
      <c r="K417" s="3" t="str">
        <f>'All Girls &amp; Descendants - Edit'!L416</f>
        <v>28/10/2013</v>
      </c>
      <c r="L417" s="3">
        <f>'All Girls &amp; Descendants - Edit'!M416</f>
        <v>41575</v>
      </c>
      <c r="M417" s="3">
        <f>'All Girls &amp; Descendants - Edit'!N416</f>
        <v>0</v>
      </c>
      <c r="N417" s="3">
        <f>'All Girls &amp; Descendants - Edit'!O416</f>
        <v>0</v>
      </c>
      <c r="O417" s="3">
        <f>'All Girls &amp; Descendants - Edit'!P416</f>
        <v>0</v>
      </c>
      <c r="P417" t="str">
        <f t="shared" si="73"/>
        <v>18bbabbb</v>
      </c>
      <c r="Q417" s="116">
        <f t="shared" si="74"/>
        <v>6</v>
      </c>
      <c r="R417" s="31" t="str">
        <f t="shared" si="75"/>
        <v>Arthur Oran James BERRY</v>
      </c>
      <c r="S417" t="str">
        <f t="shared" si="76"/>
        <v>Arthur BERRY (2013 - : #18bbabbb)</v>
      </c>
    </row>
    <row r="418" spans="1:19">
      <c r="A418">
        <f>'All Girls &amp; Descendants - Edit'!B417</f>
        <v>18</v>
      </c>
      <c r="B418" t="str">
        <f>'All Girls &amp; Descendants - Edit'!C417</f>
        <v>18bbadaa</v>
      </c>
      <c r="C418" t="str">
        <f>'All Girls &amp; Descendants - Edit'!D417</f>
        <v>WARNER</v>
      </c>
      <c r="D418" t="str">
        <f>'All Girls &amp; Descendants - Edit'!E417</f>
        <v>Camilla</v>
      </c>
      <c r="E418" t="str">
        <f>IF('All Girls &amp; Descendants - Edit'!F417="","",'All Girls &amp; Descendants - Edit'!F417)</f>
        <v>Rose</v>
      </c>
      <c r="F418" t="str">
        <f>IF('All Girls &amp; Descendants - Edit'!G417="","",'All Girls &amp; Descendants - Edit'!G417)</f>
        <v>Aimee</v>
      </c>
      <c r="G418" t="str">
        <f>IF('All Girls &amp; Descendants - Edit'!H417="",D418,'All Girls &amp; Descendants - Edit'!H417)</f>
        <v>Camilla</v>
      </c>
      <c r="H418">
        <f>'All Girls &amp; Descendants - Edit'!I417</f>
        <v>2017</v>
      </c>
      <c r="I418" t="str">
        <f>'All Girls &amp; Descendants - Edit'!J417</f>
        <v/>
      </c>
      <c r="J418" s="101">
        <f>'All Girls &amp; Descendants - Edit'!K417</f>
        <v>0</v>
      </c>
      <c r="K418" s="3" t="str">
        <f>'All Girls &amp; Descendants - Edit'!L417</f>
        <v>18/04/2017</v>
      </c>
      <c r="L418" s="3">
        <f>'All Girls &amp; Descendants - Edit'!M417</f>
        <v>42843</v>
      </c>
      <c r="M418" s="3">
        <f>'All Girls &amp; Descendants - Edit'!N417</f>
        <v>0</v>
      </c>
      <c r="N418" s="3">
        <f>'All Girls &amp; Descendants - Edit'!O417</f>
        <v>0</v>
      </c>
      <c r="O418" s="3">
        <f>'All Girls &amp; Descendants - Edit'!P417</f>
        <v>0</v>
      </c>
      <c r="P418" t="str">
        <f t="shared" si="73"/>
        <v>18bbadaa</v>
      </c>
      <c r="Q418" s="116">
        <f t="shared" si="74"/>
        <v>6</v>
      </c>
      <c r="R418" s="31" t="str">
        <f t="shared" si="75"/>
        <v>Camilla Rose Aimee WARNER</v>
      </c>
      <c r="S418" t="str">
        <f t="shared" si="76"/>
        <v>Camilla WARNER (2017 - : #18bbadaa)</v>
      </c>
    </row>
    <row r="419" spans="1:19">
      <c r="A419">
        <f>'All Girls &amp; Descendants - Edit'!B418</f>
        <v>18</v>
      </c>
      <c r="B419" t="str">
        <f>'All Girls &amp; Descendants - Edit'!C418</f>
        <v>18bbadab</v>
      </c>
      <c r="C419" t="str">
        <f>'All Girls &amp; Descendants - Edit'!D418</f>
        <v>WARNER</v>
      </c>
      <c r="D419" t="str">
        <f>'All Girls &amp; Descendants - Edit'!E418</f>
        <v>William</v>
      </c>
      <c r="E419" t="str">
        <f>IF('All Girls &amp; Descendants - Edit'!F418="","",'All Girls &amp; Descendants - Edit'!F418)</f>
        <v>Peter</v>
      </c>
      <c r="F419" t="str">
        <f>IF('All Girls &amp; Descendants - Edit'!G418="","",'All Girls &amp; Descendants - Edit'!G418)</f>
        <v>Redston</v>
      </c>
      <c r="G419" t="str">
        <f>IF('All Girls &amp; Descendants - Edit'!H418="",D419,'All Girls &amp; Descendants - Edit'!H418)</f>
        <v>William</v>
      </c>
      <c r="H419">
        <f>'All Girls &amp; Descendants - Edit'!I418</f>
        <v>2018</v>
      </c>
      <c r="I419" t="str">
        <f>'All Girls &amp; Descendants - Edit'!J418</f>
        <v/>
      </c>
      <c r="J419" s="101">
        <f>'All Girls &amp; Descendants - Edit'!K418</f>
        <v>0</v>
      </c>
      <c r="K419" s="3" t="str">
        <f>'All Girls &amp; Descendants - Edit'!L418</f>
        <v>18/12/2018</v>
      </c>
      <c r="L419" s="3">
        <f>'All Girls &amp; Descendants - Edit'!M418</f>
        <v>43452</v>
      </c>
      <c r="M419" s="3">
        <f>'All Girls &amp; Descendants - Edit'!N418</f>
        <v>0</v>
      </c>
      <c r="N419" s="3">
        <f>'All Girls &amp; Descendants - Edit'!O418</f>
        <v>0</v>
      </c>
      <c r="O419" s="3">
        <f>'All Girls &amp; Descendants - Edit'!P418</f>
        <v>0</v>
      </c>
      <c r="P419" t="str">
        <f t="shared" si="73"/>
        <v>18bbadab</v>
      </c>
      <c r="Q419" s="116">
        <f t="shared" si="74"/>
        <v>6</v>
      </c>
      <c r="R419" s="31" t="str">
        <f t="shared" si="75"/>
        <v>William Peter Redston WARNER</v>
      </c>
      <c r="S419" t="str">
        <f t="shared" si="76"/>
        <v>William WARNER (2018 - : #18bbadab)</v>
      </c>
    </row>
    <row r="420" spans="1:19">
      <c r="A420">
        <f>'All Girls &amp; Descendants - Edit'!B419</f>
        <v>18</v>
      </c>
      <c r="B420" t="str">
        <f>'All Girls &amp; Descendants - Edit'!C419</f>
        <v>18bbadac</v>
      </c>
      <c r="C420" t="str">
        <f>'All Girls &amp; Descendants - Edit'!D419</f>
        <v>WARNER</v>
      </c>
      <c r="D420" t="str">
        <f>'All Girls &amp; Descendants - Edit'!E419</f>
        <v>Oliver</v>
      </c>
      <c r="E420" t="str">
        <f>IF('All Girls &amp; Descendants - Edit'!F419="","",'All Girls &amp; Descendants - Edit'!F419)</f>
        <v>James</v>
      </c>
      <c r="F420" t="str">
        <f>IF('All Girls &amp; Descendants - Edit'!G419="","",'All Girls &amp; Descendants - Edit'!G419)</f>
        <v>Robert</v>
      </c>
      <c r="G420" t="str">
        <f>IF('All Girls &amp; Descendants - Edit'!H419="",D420,'All Girls &amp; Descendants - Edit'!H419)</f>
        <v>Oliver</v>
      </c>
      <c r="H420">
        <f>'All Girls &amp; Descendants - Edit'!I419</f>
        <v>2020</v>
      </c>
      <c r="I420" t="str">
        <f>'All Girls &amp; Descendants - Edit'!J419</f>
        <v/>
      </c>
      <c r="J420" s="101">
        <f>'All Girls &amp; Descendants - Edit'!K419</f>
        <v>0</v>
      </c>
      <c r="K420" s="3" t="str">
        <f>'All Girls &amp; Descendants - Edit'!L419</f>
        <v>22/12/2020</v>
      </c>
      <c r="L420" s="3">
        <f>'All Girls &amp; Descendants - Edit'!M419</f>
        <v>44187</v>
      </c>
      <c r="M420" s="3">
        <f>'All Girls &amp; Descendants - Edit'!N419</f>
        <v>0</v>
      </c>
      <c r="N420" s="3">
        <f>'All Girls &amp; Descendants - Edit'!O419</f>
        <v>0</v>
      </c>
      <c r="O420" s="3">
        <f>'All Girls &amp; Descendants - Edit'!P419</f>
        <v>0</v>
      </c>
      <c r="P420" t="str">
        <f t="shared" si="73"/>
        <v>18bbadac</v>
      </c>
      <c r="Q420" s="116">
        <f t="shared" si="74"/>
        <v>6</v>
      </c>
      <c r="R420" s="31" t="str">
        <f t="shared" si="75"/>
        <v>Oliver James Robert WARNER</v>
      </c>
      <c r="S420" t="str">
        <f t="shared" si="76"/>
        <v>Oliver WARNER (2020 - : #18bbadac)</v>
      </c>
    </row>
    <row r="421" spans="1:19">
      <c r="J421" s="101"/>
      <c r="K421" s="3"/>
      <c r="L421" s="3"/>
      <c r="M421" s="3"/>
      <c r="N421" s="3"/>
      <c r="O421" s="3"/>
      <c r="Q421" s="116"/>
      <c r="R421" s="31"/>
    </row>
    <row r="422" spans="1:19">
      <c r="J422" s="101"/>
      <c r="K422" s="3"/>
      <c r="L422" s="3"/>
      <c r="M422" s="3"/>
      <c r="N422" s="3"/>
      <c r="O422" s="3"/>
      <c r="Q422" s="116"/>
      <c r="R422" s="31"/>
    </row>
    <row r="423" spans="1:19">
      <c r="J423" s="101"/>
      <c r="K423" s="3"/>
      <c r="L423" s="3"/>
      <c r="M423" s="3"/>
      <c r="N423" s="3"/>
      <c r="O423" s="3"/>
      <c r="Q423" s="116"/>
      <c r="R423" s="31"/>
    </row>
    <row r="424" spans="1:19">
      <c r="J424" s="101"/>
      <c r="K424" s="3"/>
      <c r="L424" s="3"/>
      <c r="M424" s="3"/>
      <c r="N424" s="3"/>
      <c r="O424" s="3"/>
      <c r="Q424" s="116"/>
      <c r="R424" s="31"/>
    </row>
    <row r="425" spans="1:19">
      <c r="J425" s="101"/>
      <c r="K425" s="3"/>
      <c r="L425" s="3"/>
      <c r="M425" s="3"/>
      <c r="N425" s="3"/>
      <c r="O425" s="3"/>
      <c r="Q425" s="116"/>
      <c r="R425" s="31"/>
    </row>
    <row r="426" spans="1:19">
      <c r="J426" s="101"/>
      <c r="K426" s="3"/>
      <c r="L426" s="3"/>
      <c r="M426" s="3"/>
      <c r="N426" s="3"/>
      <c r="O426" s="3"/>
      <c r="Q426" s="116"/>
      <c r="R426" s="31"/>
    </row>
    <row r="427" spans="1:19">
      <c r="J427" s="101"/>
      <c r="K427" s="3"/>
      <c r="L427" s="3"/>
      <c r="M427" s="3"/>
      <c r="N427" s="3"/>
      <c r="O427" s="3"/>
      <c r="Q427" s="116"/>
      <c r="R427" s="31"/>
    </row>
    <row r="428" spans="1:19">
      <c r="J428" s="101"/>
      <c r="K428" s="3"/>
      <c r="L428" s="3"/>
      <c r="M428" s="3"/>
      <c r="N428" s="3"/>
      <c r="O428" s="3"/>
      <c r="Q428" s="116"/>
      <c r="R428" s="31"/>
    </row>
    <row r="429" spans="1:19">
      <c r="J429" s="101"/>
      <c r="K429" s="3"/>
      <c r="L429" s="3"/>
      <c r="M429" s="3"/>
      <c r="N429" s="3"/>
      <c r="O429" s="3"/>
      <c r="Q429" s="116"/>
      <c r="R429" s="31"/>
    </row>
    <row r="430" spans="1:19">
      <c r="J430" s="101"/>
      <c r="K430" s="3"/>
      <c r="L430" s="3"/>
      <c r="M430" s="3"/>
      <c r="N430" s="3"/>
      <c r="O430" s="3"/>
      <c r="Q430" s="116"/>
      <c r="R430" s="31"/>
    </row>
    <row r="431" spans="1:19">
      <c r="Q431" s="116"/>
      <c r="R431" s="31"/>
    </row>
    <row r="432" spans="1:19">
      <c r="Q432" s="116"/>
      <c r="R432" s="31"/>
    </row>
    <row r="433" spans="17:18">
      <c r="Q433" s="116"/>
      <c r="R433" s="31"/>
    </row>
    <row r="434" spans="17:18">
      <c r="Q434" s="116"/>
      <c r="R434" s="31"/>
    </row>
    <row r="435" spans="17:18">
      <c r="Q435" s="116"/>
      <c r="R435" s="31"/>
    </row>
    <row r="436" spans="17:18">
      <c r="Q436" s="116"/>
      <c r="R436" s="31"/>
    </row>
    <row r="437" spans="17:18">
      <c r="Q437" s="116"/>
      <c r="R437" s="31"/>
    </row>
    <row r="438" spans="17:18">
      <c r="Q438" s="116"/>
      <c r="R438" s="31"/>
    </row>
  </sheetData>
  <autoFilter ref="A3:S438" xr:uid="{04FF4440-CB61-DF48-9F23-164CE55A42F8}"/>
  <sortState xmlns:xlrd2="http://schemas.microsoft.com/office/spreadsheetml/2017/richdata2" ref="FU5:FV39">
    <sortCondition ref="FU5:FU39"/>
  </sortState>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AC79-F4E7-9F45-AC04-DEBF59F5FB24}">
  <dimension ref="A1:IG197"/>
  <sheetViews>
    <sheetView topLeftCell="AJ3" zoomScale="84" zoomScaleNormal="84" workbookViewId="0">
      <selection activeCell="AF12" sqref="AF12"/>
    </sheetView>
  </sheetViews>
  <sheetFormatPr baseColWidth="10" defaultRowHeight="16"/>
  <cols>
    <col min="2" max="2" width="34.33203125" bestFit="1" customWidth="1"/>
    <col min="4" max="4" width="27.83203125" bestFit="1" customWidth="1"/>
    <col min="7" max="7" width="22.6640625" customWidth="1"/>
    <col min="8" max="8" width="12.1640625" customWidth="1"/>
    <col min="27" max="27" width="21.5" bestFit="1" customWidth="1"/>
    <col min="28" max="28" width="29" bestFit="1" customWidth="1"/>
    <col min="29" max="29" width="24.5" bestFit="1" customWidth="1"/>
    <col min="30" max="30" width="26.33203125" bestFit="1" customWidth="1"/>
    <col min="31" max="31" width="24.33203125" bestFit="1" customWidth="1"/>
    <col min="32" max="32" width="24.83203125" bestFit="1" customWidth="1"/>
    <col min="33" max="33" width="22.6640625" bestFit="1" customWidth="1"/>
    <col min="34" max="34" width="22" bestFit="1" customWidth="1"/>
    <col min="35" max="35" width="24.83203125" bestFit="1" customWidth="1"/>
    <col min="37" max="37" width="23.6640625" bestFit="1" customWidth="1"/>
    <col min="44" max="44" width="22.83203125" customWidth="1"/>
    <col min="45" max="45" width="199.1640625" customWidth="1"/>
    <col min="46" max="46" width="107.33203125" customWidth="1"/>
    <col min="47" max="47" width="43.1640625" customWidth="1"/>
    <col min="49" max="49" width="13" bestFit="1" customWidth="1"/>
    <col min="50" max="50" width="15.5" bestFit="1" customWidth="1"/>
    <col min="51" max="58" width="2.1640625" bestFit="1" customWidth="1"/>
    <col min="59" max="148" width="3.1640625" bestFit="1" customWidth="1"/>
    <col min="149" max="231" width="4.1640625" bestFit="1" customWidth="1"/>
    <col min="232" max="232" width="7" bestFit="1" customWidth="1"/>
    <col min="233" max="240" width="4.1640625" bestFit="1" customWidth="1"/>
    <col min="241" max="241" width="10.83203125" bestFit="1" customWidth="1"/>
    <col min="242" max="242" width="15.6640625" bestFit="1" customWidth="1"/>
    <col min="243" max="243" width="12.83203125" bestFit="1" customWidth="1"/>
    <col min="244" max="244" width="15.6640625" bestFit="1" customWidth="1"/>
    <col min="245" max="245" width="12.83203125" bestFit="1" customWidth="1"/>
    <col min="246" max="246" width="15.6640625" bestFit="1" customWidth="1"/>
    <col min="247" max="247" width="12.83203125" bestFit="1" customWidth="1"/>
    <col min="248" max="248" width="15.6640625" bestFit="1" customWidth="1"/>
    <col min="249" max="249" width="12.83203125" bestFit="1" customWidth="1"/>
    <col min="250" max="250" width="15.6640625" bestFit="1" customWidth="1"/>
    <col min="251" max="251" width="12.83203125" bestFit="1" customWidth="1"/>
    <col min="252" max="252" width="15.6640625" bestFit="1" customWidth="1"/>
    <col min="253" max="253" width="12.83203125" bestFit="1" customWidth="1"/>
    <col min="254" max="254" width="15.6640625" bestFit="1" customWidth="1"/>
    <col min="255" max="255" width="12.83203125" bestFit="1" customWidth="1"/>
    <col min="256" max="256" width="15.6640625" bestFit="1" customWidth="1"/>
    <col min="257" max="257" width="12.83203125" bestFit="1" customWidth="1"/>
    <col min="258" max="258" width="15.6640625" bestFit="1" customWidth="1"/>
    <col min="259" max="259" width="12.83203125" bestFit="1" customWidth="1"/>
    <col min="260" max="260" width="15.6640625" bestFit="1" customWidth="1"/>
    <col min="261" max="261" width="12.83203125" bestFit="1" customWidth="1"/>
    <col min="262" max="262" width="15.6640625" bestFit="1" customWidth="1"/>
    <col min="263" max="263" width="12.83203125" bestFit="1" customWidth="1"/>
    <col min="264" max="264" width="15.6640625" bestFit="1" customWidth="1"/>
    <col min="265" max="265" width="12.83203125" bestFit="1" customWidth="1"/>
    <col min="266" max="266" width="15.6640625" bestFit="1" customWidth="1"/>
    <col min="267" max="267" width="12.83203125" bestFit="1" customWidth="1"/>
    <col min="268" max="268" width="15.6640625" bestFit="1" customWidth="1"/>
    <col min="269" max="269" width="12.83203125" bestFit="1" customWidth="1"/>
    <col min="270" max="270" width="15.6640625" bestFit="1" customWidth="1"/>
    <col min="271" max="271" width="12.83203125" bestFit="1" customWidth="1"/>
    <col min="272" max="272" width="15.6640625" bestFit="1" customWidth="1"/>
    <col min="273" max="273" width="12.83203125" bestFit="1" customWidth="1"/>
    <col min="274" max="274" width="15.6640625" bestFit="1" customWidth="1"/>
    <col min="275" max="275" width="12.83203125" bestFit="1" customWidth="1"/>
    <col min="276" max="276" width="15.6640625" bestFit="1" customWidth="1"/>
    <col min="277" max="277" width="12.83203125" bestFit="1" customWidth="1"/>
    <col min="278" max="278" width="15.6640625" bestFit="1" customWidth="1"/>
    <col min="279" max="279" width="12.83203125" bestFit="1" customWidth="1"/>
    <col min="280" max="280" width="15.6640625" bestFit="1" customWidth="1"/>
    <col min="281" max="281" width="12.83203125" bestFit="1" customWidth="1"/>
    <col min="282" max="282" width="15.6640625" bestFit="1" customWidth="1"/>
    <col min="283" max="283" width="12.83203125" bestFit="1" customWidth="1"/>
    <col min="284" max="284" width="15.6640625" bestFit="1" customWidth="1"/>
    <col min="285" max="285" width="12.83203125" bestFit="1" customWidth="1"/>
    <col min="286" max="286" width="15.6640625" bestFit="1" customWidth="1"/>
    <col min="287" max="287" width="12.83203125" bestFit="1" customWidth="1"/>
    <col min="288" max="288" width="15.6640625" bestFit="1" customWidth="1"/>
    <col min="289" max="289" width="12.83203125" bestFit="1" customWidth="1"/>
    <col min="290" max="290" width="15.6640625" bestFit="1" customWidth="1"/>
    <col min="291" max="291" width="12.83203125" bestFit="1" customWidth="1"/>
    <col min="292" max="292" width="15.6640625" bestFit="1" customWidth="1"/>
    <col min="293" max="293" width="12.83203125" bestFit="1" customWidth="1"/>
    <col min="294" max="294" width="15.6640625" bestFit="1" customWidth="1"/>
    <col min="295" max="295" width="12.83203125" bestFit="1" customWidth="1"/>
    <col min="296" max="296" width="15.6640625" bestFit="1" customWidth="1"/>
    <col min="297" max="297" width="12.83203125" bestFit="1" customWidth="1"/>
    <col min="298" max="298" width="15.6640625" bestFit="1" customWidth="1"/>
    <col min="299" max="299" width="12.83203125" bestFit="1" customWidth="1"/>
    <col min="300" max="300" width="15.6640625" bestFit="1" customWidth="1"/>
    <col min="301" max="301" width="12.83203125" bestFit="1" customWidth="1"/>
    <col min="302" max="302" width="15.6640625" bestFit="1" customWidth="1"/>
    <col min="303" max="303" width="12.83203125" bestFit="1" customWidth="1"/>
    <col min="304" max="304" width="15.6640625" bestFit="1" customWidth="1"/>
    <col min="305" max="305" width="12.83203125" bestFit="1" customWidth="1"/>
    <col min="306" max="306" width="15.6640625" bestFit="1" customWidth="1"/>
    <col min="307" max="307" width="12.83203125" bestFit="1" customWidth="1"/>
    <col min="308" max="308" width="15.6640625" bestFit="1" customWidth="1"/>
    <col min="309" max="309" width="12.83203125" bestFit="1" customWidth="1"/>
    <col min="310" max="310" width="15.6640625" bestFit="1" customWidth="1"/>
    <col min="311" max="311" width="12.83203125" bestFit="1" customWidth="1"/>
    <col min="312" max="312" width="15.6640625" bestFit="1" customWidth="1"/>
    <col min="313" max="313" width="12.83203125" bestFit="1" customWidth="1"/>
    <col min="314" max="314" width="15.6640625" bestFit="1" customWidth="1"/>
    <col min="315" max="315" width="12.83203125" bestFit="1" customWidth="1"/>
    <col min="316" max="316" width="15.6640625" bestFit="1" customWidth="1"/>
    <col min="317" max="317" width="12.83203125" bestFit="1" customWidth="1"/>
    <col min="318" max="318" width="15.6640625" bestFit="1" customWidth="1"/>
    <col min="319" max="319" width="12.83203125" bestFit="1" customWidth="1"/>
    <col min="320" max="320" width="15.6640625" bestFit="1" customWidth="1"/>
    <col min="321" max="321" width="12.83203125" bestFit="1" customWidth="1"/>
    <col min="322" max="322" width="15.6640625" bestFit="1" customWidth="1"/>
    <col min="323" max="323" width="12.83203125" bestFit="1" customWidth="1"/>
    <col min="324" max="324" width="15.6640625" bestFit="1" customWidth="1"/>
    <col min="325" max="325" width="12.83203125" bestFit="1" customWidth="1"/>
    <col min="326" max="326" width="15.6640625" bestFit="1" customWidth="1"/>
    <col min="327" max="327" width="12.83203125" bestFit="1" customWidth="1"/>
    <col min="328" max="328" width="15.6640625" bestFit="1" customWidth="1"/>
    <col min="329" max="329" width="12.83203125" bestFit="1" customWidth="1"/>
    <col min="330" max="330" width="15.6640625" bestFit="1" customWidth="1"/>
    <col min="331" max="331" width="12.83203125" bestFit="1" customWidth="1"/>
    <col min="332" max="332" width="15.6640625" bestFit="1" customWidth="1"/>
    <col min="333" max="333" width="12.83203125" bestFit="1" customWidth="1"/>
    <col min="334" max="334" width="15.6640625" bestFit="1" customWidth="1"/>
    <col min="335" max="335" width="12.83203125" bestFit="1" customWidth="1"/>
    <col min="336" max="336" width="15.6640625" bestFit="1" customWidth="1"/>
    <col min="337" max="337" width="12.83203125" bestFit="1" customWidth="1"/>
    <col min="338" max="338" width="15.6640625" bestFit="1" customWidth="1"/>
    <col min="339" max="339" width="12.83203125" bestFit="1" customWidth="1"/>
    <col min="340" max="340" width="15.6640625" bestFit="1" customWidth="1"/>
    <col min="341" max="341" width="12.83203125" bestFit="1" customWidth="1"/>
    <col min="342" max="342" width="15.6640625" bestFit="1" customWidth="1"/>
    <col min="343" max="343" width="12.83203125" bestFit="1" customWidth="1"/>
    <col min="344" max="344" width="15.6640625" bestFit="1" customWidth="1"/>
    <col min="345" max="345" width="12.83203125" bestFit="1" customWidth="1"/>
    <col min="346" max="346" width="15.6640625" bestFit="1" customWidth="1"/>
    <col min="347" max="347" width="12.83203125" bestFit="1" customWidth="1"/>
    <col min="348" max="348" width="15.6640625" bestFit="1" customWidth="1"/>
    <col min="349" max="349" width="12.83203125" bestFit="1" customWidth="1"/>
    <col min="350" max="350" width="15.6640625" bestFit="1" customWidth="1"/>
    <col min="351" max="351" width="12.83203125" bestFit="1" customWidth="1"/>
    <col min="352" max="352" width="15.6640625" bestFit="1" customWidth="1"/>
    <col min="353" max="353" width="12.83203125" bestFit="1" customWidth="1"/>
    <col min="354" max="354" width="15.6640625" bestFit="1" customWidth="1"/>
    <col min="355" max="355" width="12.83203125" bestFit="1" customWidth="1"/>
    <col min="356" max="356" width="15.6640625" bestFit="1" customWidth="1"/>
    <col min="357" max="357" width="12.83203125" bestFit="1" customWidth="1"/>
    <col min="358" max="358" width="15.6640625" bestFit="1" customWidth="1"/>
    <col min="359" max="359" width="12.83203125" bestFit="1" customWidth="1"/>
    <col min="360" max="360" width="15.6640625" bestFit="1" customWidth="1"/>
    <col min="361" max="361" width="12.83203125" bestFit="1" customWidth="1"/>
    <col min="362" max="362" width="15.6640625" bestFit="1" customWidth="1"/>
    <col min="363" max="363" width="12.83203125" bestFit="1" customWidth="1"/>
    <col min="364" max="364" width="15.6640625" bestFit="1" customWidth="1"/>
    <col min="365" max="365" width="12.83203125" bestFit="1" customWidth="1"/>
    <col min="366" max="366" width="15.6640625" bestFit="1" customWidth="1"/>
    <col min="367" max="367" width="12.83203125" bestFit="1" customWidth="1"/>
    <col min="368" max="368" width="15.6640625" bestFit="1" customWidth="1"/>
    <col min="369" max="369" width="12.83203125" bestFit="1" customWidth="1"/>
    <col min="370" max="370" width="15.6640625" bestFit="1" customWidth="1"/>
    <col min="371" max="371" width="12.83203125" bestFit="1" customWidth="1"/>
    <col min="372" max="372" width="15.6640625" bestFit="1" customWidth="1"/>
    <col min="373" max="373" width="12.83203125" bestFit="1" customWidth="1"/>
    <col min="374" max="374" width="15.6640625" bestFit="1" customWidth="1"/>
    <col min="375" max="375" width="12.83203125" bestFit="1" customWidth="1"/>
    <col min="376" max="376" width="15.6640625" bestFit="1" customWidth="1"/>
    <col min="377" max="377" width="12.83203125" bestFit="1" customWidth="1"/>
    <col min="378" max="378" width="15.6640625" bestFit="1" customWidth="1"/>
    <col min="379" max="379" width="12.83203125" bestFit="1" customWidth="1"/>
    <col min="380" max="380" width="15.6640625" bestFit="1" customWidth="1"/>
    <col min="381" max="381" width="12.83203125" bestFit="1" customWidth="1"/>
    <col min="382" max="382" width="15.6640625" bestFit="1" customWidth="1"/>
    <col min="383" max="383" width="12.83203125" bestFit="1" customWidth="1"/>
    <col min="384" max="384" width="15.6640625" bestFit="1" customWidth="1"/>
    <col min="385" max="385" width="12.83203125" bestFit="1" customWidth="1"/>
    <col min="386" max="386" width="15.6640625" bestFit="1" customWidth="1"/>
    <col min="387" max="387" width="12.83203125" bestFit="1" customWidth="1"/>
    <col min="388" max="388" width="15.6640625" bestFit="1" customWidth="1"/>
    <col min="389" max="389" width="12.83203125" bestFit="1" customWidth="1"/>
    <col min="390" max="390" width="15.6640625" bestFit="1" customWidth="1"/>
    <col min="391" max="391" width="12.83203125" bestFit="1" customWidth="1"/>
    <col min="392" max="392" width="15.6640625" bestFit="1" customWidth="1"/>
    <col min="393" max="393" width="12.83203125" bestFit="1" customWidth="1"/>
    <col min="394" max="394" width="15.6640625" bestFit="1" customWidth="1"/>
    <col min="395" max="395" width="12.83203125" bestFit="1" customWidth="1"/>
    <col min="396" max="396" width="15.6640625" bestFit="1" customWidth="1"/>
    <col min="397" max="397" width="12.83203125" bestFit="1" customWidth="1"/>
    <col min="398" max="398" width="15.6640625" bestFit="1" customWidth="1"/>
    <col min="399" max="399" width="12.83203125" bestFit="1" customWidth="1"/>
    <col min="400" max="400" width="15.6640625" bestFit="1" customWidth="1"/>
    <col min="401" max="401" width="12.83203125" bestFit="1" customWidth="1"/>
    <col min="402" max="402" width="15.6640625" bestFit="1" customWidth="1"/>
    <col min="403" max="403" width="12.83203125" bestFit="1" customWidth="1"/>
    <col min="404" max="404" width="15.6640625" bestFit="1" customWidth="1"/>
    <col min="405" max="405" width="12.83203125" bestFit="1" customWidth="1"/>
    <col min="406" max="406" width="15.6640625" bestFit="1" customWidth="1"/>
    <col min="407" max="407" width="12.83203125" bestFit="1" customWidth="1"/>
    <col min="408" max="408" width="15.6640625" bestFit="1" customWidth="1"/>
    <col min="409" max="409" width="12.83203125" bestFit="1" customWidth="1"/>
    <col min="410" max="410" width="15.6640625" bestFit="1" customWidth="1"/>
    <col min="411" max="411" width="12.83203125" bestFit="1" customWidth="1"/>
    <col min="412" max="412" width="15.6640625" bestFit="1" customWidth="1"/>
    <col min="413" max="413" width="12.83203125" bestFit="1" customWidth="1"/>
    <col min="414" max="414" width="15.6640625" bestFit="1" customWidth="1"/>
    <col min="415" max="415" width="12.83203125" bestFit="1" customWidth="1"/>
    <col min="416" max="416" width="15.6640625" bestFit="1" customWidth="1"/>
    <col min="417" max="417" width="12.83203125" bestFit="1" customWidth="1"/>
    <col min="418" max="418" width="15.6640625" bestFit="1" customWidth="1"/>
    <col min="419" max="419" width="12.83203125" bestFit="1" customWidth="1"/>
    <col min="420" max="420" width="15.6640625" bestFit="1" customWidth="1"/>
    <col min="421" max="421" width="12.83203125" bestFit="1" customWidth="1"/>
    <col min="422" max="422" width="15.6640625" bestFit="1" customWidth="1"/>
    <col min="423" max="423" width="12.83203125" bestFit="1" customWidth="1"/>
    <col min="424" max="424" width="15.6640625" bestFit="1" customWidth="1"/>
    <col min="425" max="425" width="12.83203125" bestFit="1" customWidth="1"/>
    <col min="426" max="426" width="15.6640625" bestFit="1" customWidth="1"/>
    <col min="427" max="427" width="12.83203125" bestFit="1" customWidth="1"/>
    <col min="428" max="428" width="15.6640625" bestFit="1" customWidth="1"/>
    <col min="429" max="429" width="12.83203125" bestFit="1" customWidth="1"/>
    <col min="430" max="430" width="15.6640625" bestFit="1" customWidth="1"/>
    <col min="431" max="431" width="12.83203125" bestFit="1" customWidth="1"/>
    <col min="432" max="432" width="20.5" bestFit="1" customWidth="1"/>
    <col min="433" max="433" width="17.6640625" bestFit="1" customWidth="1"/>
    <col min="434" max="434" width="12.83203125" bestFit="1" customWidth="1"/>
    <col min="435" max="435" width="15.6640625" bestFit="1" customWidth="1"/>
    <col min="436" max="436" width="12.83203125" bestFit="1" customWidth="1"/>
    <col min="437" max="437" width="15.6640625" bestFit="1" customWidth="1"/>
    <col min="438" max="438" width="12.83203125" bestFit="1" customWidth="1"/>
    <col min="439" max="439" width="15.6640625" bestFit="1" customWidth="1"/>
    <col min="440" max="440" width="12.83203125" bestFit="1" customWidth="1"/>
    <col min="441" max="441" width="15.6640625" bestFit="1" customWidth="1"/>
    <col min="442" max="442" width="12.83203125" bestFit="1" customWidth="1"/>
    <col min="443" max="443" width="15.6640625" bestFit="1" customWidth="1"/>
    <col min="444" max="444" width="12.83203125" bestFit="1" customWidth="1"/>
    <col min="445" max="445" width="15.6640625" bestFit="1" customWidth="1"/>
    <col min="446" max="446" width="12.83203125" bestFit="1" customWidth="1"/>
    <col min="447" max="447" width="15.6640625" bestFit="1" customWidth="1"/>
    <col min="448" max="448" width="12.83203125" bestFit="1" customWidth="1"/>
    <col min="449" max="449" width="15.6640625" bestFit="1" customWidth="1"/>
    <col min="450" max="450" width="12.83203125" bestFit="1" customWidth="1"/>
    <col min="451" max="451" width="15.6640625" bestFit="1" customWidth="1"/>
    <col min="452" max="452" width="12.83203125" bestFit="1" customWidth="1"/>
    <col min="453" max="453" width="15.6640625" bestFit="1" customWidth="1"/>
    <col min="454" max="454" width="12.83203125" bestFit="1" customWidth="1"/>
    <col min="455" max="455" width="15.6640625" bestFit="1" customWidth="1"/>
    <col min="456" max="456" width="12.83203125" bestFit="1" customWidth="1"/>
    <col min="457" max="457" width="15.6640625" bestFit="1" customWidth="1"/>
    <col min="458" max="458" width="12.83203125" bestFit="1" customWidth="1"/>
    <col min="459" max="459" width="15.6640625" bestFit="1" customWidth="1"/>
    <col min="460" max="460" width="12.83203125" bestFit="1" customWidth="1"/>
    <col min="461" max="461" width="15.6640625" bestFit="1" customWidth="1"/>
    <col min="462" max="462" width="12.83203125" bestFit="1" customWidth="1"/>
    <col min="463" max="463" width="15.6640625" bestFit="1" customWidth="1"/>
    <col min="464" max="464" width="12.83203125" bestFit="1" customWidth="1"/>
    <col min="465" max="465" width="15.6640625" bestFit="1" customWidth="1"/>
    <col min="466" max="466" width="12.83203125" bestFit="1" customWidth="1"/>
    <col min="467" max="467" width="15.6640625" bestFit="1" customWidth="1"/>
    <col min="468" max="468" width="12.83203125" bestFit="1" customWidth="1"/>
    <col min="469" max="469" width="15.6640625" bestFit="1" customWidth="1"/>
    <col min="470" max="470" width="12.83203125" bestFit="1" customWidth="1"/>
    <col min="471" max="471" width="15.6640625" bestFit="1" customWidth="1"/>
    <col min="472" max="472" width="12.83203125" bestFit="1" customWidth="1"/>
    <col min="473" max="473" width="15.6640625" bestFit="1" customWidth="1"/>
    <col min="474" max="474" width="12.83203125" bestFit="1" customWidth="1"/>
    <col min="475" max="475" width="15.6640625" bestFit="1" customWidth="1"/>
    <col min="476" max="476" width="12.83203125" bestFit="1" customWidth="1"/>
    <col min="477" max="477" width="15.6640625" bestFit="1" customWidth="1"/>
    <col min="478" max="478" width="12.83203125" bestFit="1" customWidth="1"/>
    <col min="479" max="479" width="15.6640625" bestFit="1" customWidth="1"/>
    <col min="480" max="480" width="12.83203125" bestFit="1" customWidth="1"/>
    <col min="481" max="481" width="15.6640625" bestFit="1" customWidth="1"/>
    <col min="482" max="482" width="12.83203125" bestFit="1" customWidth="1"/>
    <col min="483" max="483" width="15.6640625" bestFit="1" customWidth="1"/>
    <col min="484" max="484" width="12.83203125" bestFit="1" customWidth="1"/>
    <col min="485" max="485" width="15.6640625" bestFit="1" customWidth="1"/>
    <col min="486" max="486" width="12.83203125" bestFit="1" customWidth="1"/>
    <col min="487" max="487" width="15.6640625" bestFit="1" customWidth="1"/>
    <col min="488" max="488" width="12.83203125" bestFit="1" customWidth="1"/>
    <col min="489" max="489" width="15.6640625" bestFit="1" customWidth="1"/>
    <col min="490" max="490" width="12.83203125" bestFit="1" customWidth="1"/>
    <col min="491" max="491" width="15.6640625" bestFit="1" customWidth="1"/>
    <col min="492" max="492" width="12.83203125" bestFit="1" customWidth="1"/>
    <col min="493" max="493" width="15.6640625" bestFit="1" customWidth="1"/>
    <col min="494" max="494" width="12.83203125" bestFit="1" customWidth="1"/>
    <col min="495" max="495" width="15.6640625" bestFit="1" customWidth="1"/>
    <col min="496" max="496" width="12.83203125" bestFit="1" customWidth="1"/>
    <col min="497" max="497" width="15.6640625" bestFit="1" customWidth="1"/>
    <col min="498" max="498" width="12.83203125" bestFit="1" customWidth="1"/>
    <col min="499" max="499" width="15.6640625" bestFit="1" customWidth="1"/>
    <col min="500" max="500" width="12.83203125" bestFit="1" customWidth="1"/>
    <col min="501" max="501" width="15.6640625" bestFit="1" customWidth="1"/>
    <col min="502" max="502" width="12.83203125" bestFit="1" customWidth="1"/>
    <col min="503" max="503" width="15.6640625" bestFit="1" customWidth="1"/>
    <col min="504" max="504" width="12.83203125" bestFit="1" customWidth="1"/>
    <col min="505" max="505" width="15.6640625" bestFit="1" customWidth="1"/>
    <col min="506" max="506" width="12.83203125" bestFit="1" customWidth="1"/>
    <col min="507" max="507" width="15.6640625" bestFit="1" customWidth="1"/>
    <col min="508" max="508" width="12.83203125" bestFit="1" customWidth="1"/>
    <col min="509" max="509" width="15.6640625" bestFit="1" customWidth="1"/>
    <col min="510" max="510" width="12.83203125" bestFit="1" customWidth="1"/>
    <col min="511" max="511" width="15.6640625" bestFit="1" customWidth="1"/>
    <col min="512" max="512" width="12.83203125" bestFit="1" customWidth="1"/>
    <col min="513" max="513" width="15.6640625" bestFit="1" customWidth="1"/>
    <col min="514" max="514" width="12.83203125" bestFit="1" customWidth="1"/>
    <col min="515" max="515" width="15.6640625" bestFit="1" customWidth="1"/>
    <col min="516" max="516" width="12.83203125" bestFit="1" customWidth="1"/>
    <col min="517" max="517" width="15.6640625" bestFit="1" customWidth="1"/>
    <col min="518" max="518" width="12.83203125" bestFit="1" customWidth="1"/>
    <col min="519" max="519" width="15.6640625" bestFit="1" customWidth="1"/>
    <col min="520" max="520" width="12.83203125" bestFit="1" customWidth="1"/>
    <col min="521" max="521" width="15.6640625" bestFit="1" customWidth="1"/>
    <col min="522" max="522" width="12.83203125" bestFit="1" customWidth="1"/>
    <col min="523" max="523" width="15.6640625" bestFit="1" customWidth="1"/>
    <col min="524" max="524" width="12.83203125" bestFit="1" customWidth="1"/>
    <col min="525" max="525" width="15.6640625" bestFit="1" customWidth="1"/>
    <col min="526" max="526" width="12.83203125" bestFit="1" customWidth="1"/>
    <col min="527" max="527" width="15.6640625" bestFit="1" customWidth="1"/>
    <col min="528" max="528" width="12.83203125" bestFit="1" customWidth="1"/>
    <col min="529" max="529" width="15.6640625" bestFit="1" customWidth="1"/>
    <col min="530" max="530" width="12.83203125" bestFit="1" customWidth="1"/>
    <col min="531" max="531" width="15.6640625" bestFit="1" customWidth="1"/>
    <col min="532" max="532" width="12.83203125" bestFit="1" customWidth="1"/>
    <col min="533" max="533" width="15.6640625" bestFit="1" customWidth="1"/>
    <col min="534" max="534" width="12.83203125" bestFit="1" customWidth="1"/>
    <col min="535" max="535" width="15.6640625" bestFit="1" customWidth="1"/>
    <col min="536" max="536" width="12.83203125" bestFit="1" customWidth="1"/>
    <col min="537" max="537" width="15.6640625" bestFit="1" customWidth="1"/>
    <col min="538" max="538" width="12.83203125" bestFit="1" customWidth="1"/>
    <col min="539" max="539" width="15.6640625" bestFit="1" customWidth="1"/>
    <col min="540" max="540" width="12.83203125" bestFit="1" customWidth="1"/>
    <col min="541" max="541" width="15.6640625" bestFit="1" customWidth="1"/>
    <col min="542" max="542" width="12.83203125" bestFit="1" customWidth="1"/>
    <col min="543" max="543" width="15.6640625" bestFit="1" customWidth="1"/>
    <col min="544" max="544" width="12.83203125" bestFit="1" customWidth="1"/>
    <col min="545" max="545" width="15.6640625" bestFit="1" customWidth="1"/>
    <col min="546" max="546" width="12.83203125" bestFit="1" customWidth="1"/>
    <col min="547" max="547" width="15.6640625" bestFit="1" customWidth="1"/>
    <col min="548" max="548" width="12.83203125" bestFit="1" customWidth="1"/>
    <col min="549" max="549" width="15.6640625" bestFit="1" customWidth="1"/>
    <col min="550" max="550" width="12.83203125" bestFit="1" customWidth="1"/>
    <col min="551" max="551" width="15.6640625" bestFit="1" customWidth="1"/>
    <col min="552" max="552" width="12.83203125" bestFit="1" customWidth="1"/>
    <col min="553" max="553" width="15.6640625" bestFit="1" customWidth="1"/>
    <col min="554" max="554" width="12.83203125" bestFit="1" customWidth="1"/>
    <col min="555" max="555" width="15.6640625" bestFit="1" customWidth="1"/>
    <col min="556" max="556" width="12.83203125" bestFit="1" customWidth="1"/>
    <col min="557" max="557" width="15.6640625" bestFit="1" customWidth="1"/>
    <col min="558" max="558" width="12.83203125" bestFit="1" customWidth="1"/>
    <col min="559" max="559" width="15.6640625" bestFit="1" customWidth="1"/>
    <col min="560" max="560" width="12.83203125" bestFit="1" customWidth="1"/>
    <col min="561" max="561" width="15.6640625" bestFit="1" customWidth="1"/>
    <col min="562" max="562" width="12.83203125" bestFit="1" customWidth="1"/>
    <col min="563" max="563" width="15.6640625" bestFit="1" customWidth="1"/>
    <col min="564" max="564" width="12.83203125" bestFit="1" customWidth="1"/>
    <col min="565" max="565" width="15.6640625" bestFit="1" customWidth="1"/>
    <col min="566" max="566" width="12.83203125" bestFit="1" customWidth="1"/>
    <col min="567" max="567" width="15.6640625" bestFit="1" customWidth="1"/>
    <col min="568" max="568" width="12.83203125" bestFit="1" customWidth="1"/>
    <col min="569" max="569" width="15.6640625" bestFit="1" customWidth="1"/>
    <col min="570" max="570" width="12.83203125" bestFit="1" customWidth="1"/>
    <col min="571" max="571" width="15.6640625" bestFit="1" customWidth="1"/>
    <col min="572" max="572" width="12.83203125" bestFit="1" customWidth="1"/>
    <col min="573" max="573" width="15.6640625" bestFit="1" customWidth="1"/>
    <col min="574" max="574" width="12.83203125" bestFit="1" customWidth="1"/>
    <col min="575" max="575" width="15.6640625" bestFit="1" customWidth="1"/>
    <col min="576" max="576" width="12.83203125" bestFit="1" customWidth="1"/>
    <col min="577" max="577" width="15.6640625" bestFit="1" customWidth="1"/>
    <col min="578" max="578" width="12.83203125" bestFit="1" customWidth="1"/>
    <col min="579" max="579" width="15.6640625" bestFit="1" customWidth="1"/>
    <col min="580" max="580" width="12.83203125" bestFit="1" customWidth="1"/>
    <col min="581" max="581" width="15.6640625" bestFit="1" customWidth="1"/>
    <col min="582" max="582" width="12.83203125" bestFit="1" customWidth="1"/>
    <col min="583" max="583" width="15.6640625" bestFit="1" customWidth="1"/>
    <col min="584" max="584" width="12.83203125" bestFit="1" customWidth="1"/>
    <col min="585" max="585" width="15.6640625" bestFit="1" customWidth="1"/>
    <col min="586" max="586" width="12.83203125" bestFit="1" customWidth="1"/>
    <col min="587" max="587" width="15.6640625" bestFit="1" customWidth="1"/>
    <col min="588" max="588" width="12.83203125" bestFit="1" customWidth="1"/>
    <col min="589" max="589" width="15.6640625" bestFit="1" customWidth="1"/>
    <col min="590" max="590" width="12.83203125" bestFit="1" customWidth="1"/>
    <col min="591" max="591" width="15.6640625" bestFit="1" customWidth="1"/>
    <col min="592" max="592" width="12.83203125" bestFit="1" customWidth="1"/>
    <col min="593" max="593" width="15.6640625" bestFit="1" customWidth="1"/>
    <col min="594" max="594" width="12.83203125" bestFit="1" customWidth="1"/>
    <col min="595" max="595" width="15.6640625" bestFit="1" customWidth="1"/>
    <col min="596" max="596" width="12.83203125" bestFit="1" customWidth="1"/>
    <col min="597" max="597" width="15.6640625" bestFit="1" customWidth="1"/>
    <col min="598" max="598" width="12.83203125" bestFit="1" customWidth="1"/>
    <col min="599" max="599" width="15.6640625" bestFit="1" customWidth="1"/>
    <col min="600" max="600" width="17.6640625" bestFit="1" customWidth="1"/>
    <col min="601" max="601" width="20.5" bestFit="1" customWidth="1"/>
  </cols>
  <sheetData>
    <row r="1" spans="1:241" ht="40" customHeight="1" thickBot="1">
      <c r="A1" s="12" t="str">
        <f>'Book Details - NO EDIT'!A2</f>
        <v>Loyd #</v>
      </c>
      <c r="B1" s="45" t="str">
        <f>'Loyd List 1-190 - Edit'!Q1</f>
        <v>Name</v>
      </c>
      <c r="C1" s="44" t="str">
        <f>'Loyd List 1-190 - Edit'!R1</f>
        <v>Father's Loyd #</v>
      </c>
      <c r="D1" s="44" t="str">
        <f>'Loyd List 1-190 - Edit'!T1</f>
        <v>GParent #</v>
      </c>
      <c r="H1" t="s">
        <v>2819</v>
      </c>
      <c r="I1">
        <v>1</v>
      </c>
      <c r="J1">
        <f>I1+1</f>
        <v>2</v>
      </c>
      <c r="K1">
        <f t="shared" ref="K1:P1" si="0">J1+1</f>
        <v>3</v>
      </c>
      <c r="L1">
        <f t="shared" si="0"/>
        <v>4</v>
      </c>
      <c r="M1">
        <f t="shared" si="0"/>
        <v>5</v>
      </c>
      <c r="N1">
        <f>M1+1</f>
        <v>6</v>
      </c>
      <c r="O1">
        <f t="shared" si="0"/>
        <v>7</v>
      </c>
      <c r="P1">
        <f t="shared" si="0"/>
        <v>8</v>
      </c>
      <c r="Q1">
        <f>P1+1</f>
        <v>9</v>
      </c>
      <c r="R1">
        <f t="shared" ref="R1:X1" si="1">Q1+1</f>
        <v>10</v>
      </c>
      <c r="S1">
        <f t="shared" si="1"/>
        <v>11</v>
      </c>
      <c r="T1">
        <f t="shared" si="1"/>
        <v>12</v>
      </c>
      <c r="U1">
        <f t="shared" si="1"/>
        <v>13</v>
      </c>
      <c r="V1">
        <f t="shared" si="1"/>
        <v>14</v>
      </c>
      <c r="W1">
        <f t="shared" si="1"/>
        <v>15</v>
      </c>
      <c r="X1">
        <f t="shared" si="1"/>
        <v>16</v>
      </c>
      <c r="AA1" s="116">
        <f t="shared" ref="AA1:AP1" si="2">I1</f>
        <v>1</v>
      </c>
      <c r="AB1" s="116">
        <f t="shared" si="2"/>
        <v>2</v>
      </c>
      <c r="AC1" s="116">
        <f t="shared" si="2"/>
        <v>3</v>
      </c>
      <c r="AD1" s="116">
        <f t="shared" si="2"/>
        <v>4</v>
      </c>
      <c r="AE1" s="116">
        <f t="shared" si="2"/>
        <v>5</v>
      </c>
      <c r="AF1" s="116">
        <f t="shared" si="2"/>
        <v>6</v>
      </c>
      <c r="AG1" s="116">
        <f t="shared" si="2"/>
        <v>7</v>
      </c>
      <c r="AH1" s="116">
        <f t="shared" si="2"/>
        <v>8</v>
      </c>
      <c r="AI1" s="116">
        <f t="shared" si="2"/>
        <v>9</v>
      </c>
      <c r="AJ1" s="116">
        <f t="shared" si="2"/>
        <v>10</v>
      </c>
      <c r="AK1" s="116">
        <f t="shared" si="2"/>
        <v>11</v>
      </c>
      <c r="AL1" s="116">
        <f t="shared" si="2"/>
        <v>12</v>
      </c>
      <c r="AM1" s="116">
        <f t="shared" si="2"/>
        <v>13</v>
      </c>
      <c r="AN1" s="116">
        <f t="shared" si="2"/>
        <v>14</v>
      </c>
      <c r="AO1" s="116">
        <f t="shared" si="2"/>
        <v>15</v>
      </c>
      <c r="AP1" s="116">
        <f t="shared" si="2"/>
        <v>16</v>
      </c>
      <c r="AQ1" s="116" t="s">
        <v>780</v>
      </c>
      <c r="AR1" t="s">
        <v>2969</v>
      </c>
      <c r="AW1" s="111" t="s">
        <v>2968</v>
      </c>
      <c r="AX1" s="111" t="s">
        <v>2813</v>
      </c>
    </row>
    <row r="2" spans="1:241" ht="17" thickBot="1">
      <c r="A2" s="12">
        <f>'Book Details - NO EDIT'!A3</f>
        <v>1</v>
      </c>
      <c r="B2" s="112" t="str">
        <f>'Book Details - NO EDIT'!X3</f>
        <v>William (1729–1800: #1)</v>
      </c>
      <c r="C2" s="113">
        <f>'Book Details - NO EDIT'!L3</f>
        <v>0</v>
      </c>
      <c r="D2" s="44">
        <f>'Loyd List 1-190 - Edit'!T3</f>
        <v>-1</v>
      </c>
      <c r="G2" t="s">
        <v>3026</v>
      </c>
      <c r="H2" t="s">
        <v>2817</v>
      </c>
      <c r="I2" t="s">
        <v>2816</v>
      </c>
      <c r="J2" t="s">
        <v>2816</v>
      </c>
      <c r="K2" t="s">
        <v>2816</v>
      </c>
      <c r="L2" t="s">
        <v>2816</v>
      </c>
      <c r="M2" t="s">
        <v>2816</v>
      </c>
      <c r="N2" t="s">
        <v>2816</v>
      </c>
      <c r="O2" t="s">
        <v>2816</v>
      </c>
      <c r="P2" t="s">
        <v>2816</v>
      </c>
      <c r="Q2" t="s">
        <v>2816</v>
      </c>
      <c r="AW2" s="111" t="s">
        <v>2811</v>
      </c>
      <c r="AX2">
        <v>1</v>
      </c>
      <c r="AY2">
        <v>2</v>
      </c>
      <c r="AZ2">
        <v>3</v>
      </c>
      <c r="BA2">
        <v>4</v>
      </c>
      <c r="BB2">
        <v>5</v>
      </c>
      <c r="BC2">
        <v>6</v>
      </c>
      <c r="BD2">
        <v>7</v>
      </c>
      <c r="BE2">
        <v>8</v>
      </c>
      <c r="BF2">
        <v>9</v>
      </c>
      <c r="BG2">
        <v>10</v>
      </c>
      <c r="BH2">
        <v>11</v>
      </c>
      <c r="BI2">
        <v>12</v>
      </c>
      <c r="BJ2">
        <v>13</v>
      </c>
      <c r="BK2">
        <v>14</v>
      </c>
      <c r="BL2">
        <v>15</v>
      </c>
      <c r="BM2">
        <v>16</v>
      </c>
      <c r="BN2">
        <v>17</v>
      </c>
      <c r="BO2">
        <v>18</v>
      </c>
      <c r="BP2">
        <v>19</v>
      </c>
      <c r="BQ2">
        <v>20</v>
      </c>
      <c r="BR2">
        <v>21</v>
      </c>
      <c r="BS2">
        <v>22</v>
      </c>
      <c r="BT2">
        <v>23</v>
      </c>
      <c r="BU2">
        <v>24</v>
      </c>
      <c r="BV2">
        <v>25</v>
      </c>
      <c r="BW2">
        <v>26</v>
      </c>
      <c r="BX2">
        <v>27</v>
      </c>
      <c r="BY2">
        <v>28</v>
      </c>
      <c r="BZ2">
        <v>29</v>
      </c>
      <c r="CA2">
        <v>30</v>
      </c>
      <c r="CB2">
        <v>31</v>
      </c>
      <c r="CC2">
        <v>32</v>
      </c>
      <c r="CD2">
        <v>33</v>
      </c>
      <c r="CE2">
        <v>34</v>
      </c>
      <c r="CF2">
        <v>35</v>
      </c>
      <c r="CG2">
        <v>36</v>
      </c>
      <c r="CH2">
        <v>37</v>
      </c>
      <c r="CI2">
        <v>38</v>
      </c>
      <c r="CJ2">
        <v>39</v>
      </c>
      <c r="CK2">
        <v>40</v>
      </c>
      <c r="CL2">
        <v>41</v>
      </c>
      <c r="CM2">
        <v>42</v>
      </c>
      <c r="CN2">
        <v>43</v>
      </c>
      <c r="CO2">
        <v>44</v>
      </c>
      <c r="CP2">
        <v>45</v>
      </c>
      <c r="CQ2">
        <v>46</v>
      </c>
      <c r="CR2">
        <v>47</v>
      </c>
      <c r="CS2">
        <v>48</v>
      </c>
      <c r="CT2">
        <v>49</v>
      </c>
      <c r="CU2">
        <v>50</v>
      </c>
      <c r="CV2">
        <v>51</v>
      </c>
      <c r="CW2">
        <v>52</v>
      </c>
      <c r="CX2">
        <v>53</v>
      </c>
      <c r="CY2">
        <v>54</v>
      </c>
      <c r="CZ2">
        <v>55</v>
      </c>
      <c r="DA2">
        <v>56</v>
      </c>
      <c r="DB2">
        <v>57</v>
      </c>
      <c r="DC2">
        <v>58</v>
      </c>
      <c r="DD2">
        <v>59</v>
      </c>
      <c r="DE2">
        <v>60</v>
      </c>
      <c r="DF2">
        <v>61</v>
      </c>
      <c r="DG2">
        <v>62</v>
      </c>
      <c r="DH2">
        <v>63</v>
      </c>
      <c r="DI2">
        <v>64</v>
      </c>
      <c r="DJ2">
        <v>65</v>
      </c>
      <c r="DK2">
        <v>66</v>
      </c>
      <c r="DL2">
        <v>67</v>
      </c>
      <c r="DM2">
        <v>68</v>
      </c>
      <c r="DN2">
        <v>69</v>
      </c>
      <c r="DO2">
        <v>70</v>
      </c>
      <c r="DP2">
        <v>71</v>
      </c>
      <c r="DQ2">
        <v>72</v>
      </c>
      <c r="DR2">
        <v>73</v>
      </c>
      <c r="DS2">
        <v>74</v>
      </c>
      <c r="DT2">
        <v>75</v>
      </c>
      <c r="DU2">
        <v>76</v>
      </c>
      <c r="DV2">
        <v>77</v>
      </c>
      <c r="DW2">
        <v>78</v>
      </c>
      <c r="DX2">
        <v>79</v>
      </c>
      <c r="DY2">
        <v>80</v>
      </c>
      <c r="DZ2">
        <v>81</v>
      </c>
      <c r="EA2">
        <v>82</v>
      </c>
      <c r="EB2">
        <v>83</v>
      </c>
      <c r="EC2">
        <v>84</v>
      </c>
      <c r="ED2">
        <v>85</v>
      </c>
      <c r="EE2">
        <v>86</v>
      </c>
      <c r="EF2">
        <v>87</v>
      </c>
      <c r="EG2">
        <v>88</v>
      </c>
      <c r="EH2">
        <v>89</v>
      </c>
      <c r="EI2">
        <v>90</v>
      </c>
      <c r="EJ2">
        <v>91</v>
      </c>
      <c r="EK2">
        <v>92</v>
      </c>
      <c r="EL2">
        <v>93</v>
      </c>
      <c r="EM2">
        <v>94</v>
      </c>
      <c r="EN2">
        <v>95</v>
      </c>
      <c r="EO2">
        <v>96</v>
      </c>
      <c r="EP2">
        <v>97</v>
      </c>
      <c r="EQ2">
        <v>98</v>
      </c>
      <c r="ER2">
        <v>99</v>
      </c>
      <c r="ES2">
        <v>100</v>
      </c>
      <c r="ET2">
        <v>101</v>
      </c>
      <c r="EU2">
        <v>102</v>
      </c>
      <c r="EV2">
        <v>103</v>
      </c>
      <c r="EW2">
        <v>104</v>
      </c>
      <c r="EX2">
        <v>105</v>
      </c>
      <c r="EY2">
        <v>106</v>
      </c>
      <c r="EZ2">
        <v>107</v>
      </c>
      <c r="FA2">
        <v>108</v>
      </c>
      <c r="FB2">
        <v>109</v>
      </c>
      <c r="FC2">
        <v>110</v>
      </c>
      <c r="FD2">
        <v>111</v>
      </c>
      <c r="FE2">
        <v>112</v>
      </c>
      <c r="FF2">
        <v>113</v>
      </c>
      <c r="FG2">
        <v>114</v>
      </c>
      <c r="FH2">
        <v>115</v>
      </c>
      <c r="FI2">
        <v>116</v>
      </c>
      <c r="FJ2">
        <v>117</v>
      </c>
      <c r="FK2">
        <v>118</v>
      </c>
      <c r="FL2">
        <v>119</v>
      </c>
      <c r="FM2">
        <v>120</v>
      </c>
      <c r="FN2">
        <v>121</v>
      </c>
      <c r="FO2">
        <v>122</v>
      </c>
      <c r="FP2">
        <v>123</v>
      </c>
      <c r="FQ2">
        <v>124</v>
      </c>
      <c r="FR2">
        <v>125</v>
      </c>
      <c r="FS2">
        <v>126</v>
      </c>
      <c r="FT2">
        <v>127</v>
      </c>
      <c r="FU2">
        <v>128</v>
      </c>
      <c r="FV2">
        <v>129</v>
      </c>
      <c r="FW2">
        <v>130</v>
      </c>
      <c r="FX2">
        <v>131</v>
      </c>
      <c r="FY2">
        <v>132</v>
      </c>
      <c r="FZ2">
        <v>133</v>
      </c>
      <c r="GA2">
        <v>134</v>
      </c>
      <c r="GB2">
        <v>135</v>
      </c>
      <c r="GC2">
        <v>136</v>
      </c>
      <c r="GD2">
        <v>137</v>
      </c>
      <c r="GE2">
        <v>138</v>
      </c>
      <c r="GF2">
        <v>139</v>
      </c>
      <c r="GG2">
        <v>140</v>
      </c>
      <c r="GH2">
        <v>141</v>
      </c>
      <c r="GI2">
        <v>142</v>
      </c>
      <c r="GJ2">
        <v>143</v>
      </c>
      <c r="GK2">
        <v>144</v>
      </c>
      <c r="GL2">
        <v>145</v>
      </c>
      <c r="GM2">
        <v>146</v>
      </c>
      <c r="GN2">
        <v>147</v>
      </c>
      <c r="GO2">
        <v>148</v>
      </c>
      <c r="GP2">
        <v>149</v>
      </c>
      <c r="GQ2">
        <v>150</v>
      </c>
      <c r="GR2">
        <v>151</v>
      </c>
      <c r="GS2">
        <v>152</v>
      </c>
      <c r="GT2">
        <v>153</v>
      </c>
      <c r="GU2">
        <v>154</v>
      </c>
      <c r="GV2">
        <v>155</v>
      </c>
      <c r="GW2">
        <v>156</v>
      </c>
      <c r="GX2">
        <v>157</v>
      </c>
      <c r="GY2">
        <v>158</v>
      </c>
      <c r="GZ2">
        <v>159</v>
      </c>
      <c r="HA2">
        <v>160</v>
      </c>
      <c r="HB2">
        <v>161</v>
      </c>
      <c r="HC2">
        <v>162</v>
      </c>
      <c r="HD2">
        <v>163</v>
      </c>
      <c r="HE2">
        <v>164</v>
      </c>
      <c r="HF2">
        <v>165</v>
      </c>
      <c r="HG2">
        <v>166</v>
      </c>
      <c r="HH2">
        <v>167</v>
      </c>
      <c r="HI2">
        <v>168</v>
      </c>
      <c r="HJ2">
        <v>169</v>
      </c>
      <c r="HK2">
        <v>170</v>
      </c>
      <c r="HL2">
        <v>171</v>
      </c>
      <c r="HM2">
        <v>172</v>
      </c>
      <c r="HN2">
        <v>173</v>
      </c>
      <c r="HO2">
        <v>174</v>
      </c>
      <c r="HP2">
        <v>175</v>
      </c>
      <c r="HQ2">
        <v>176</v>
      </c>
      <c r="HR2">
        <v>177</v>
      </c>
      <c r="HS2">
        <v>178</v>
      </c>
      <c r="HT2">
        <v>179</v>
      </c>
      <c r="HU2">
        <v>180</v>
      </c>
      <c r="HV2">
        <v>181</v>
      </c>
      <c r="HW2">
        <v>182</v>
      </c>
      <c r="HX2" t="s">
        <v>3138</v>
      </c>
      <c r="HY2">
        <v>183</v>
      </c>
      <c r="HZ2">
        <v>184</v>
      </c>
      <c r="IA2">
        <v>185</v>
      </c>
      <c r="IB2">
        <v>186</v>
      </c>
      <c r="IC2">
        <v>187</v>
      </c>
      <c r="ID2">
        <v>188</v>
      </c>
      <c r="IE2">
        <v>189</v>
      </c>
      <c r="IF2">
        <v>190</v>
      </c>
      <c r="IG2" t="s">
        <v>2812</v>
      </c>
    </row>
    <row r="3" spans="1:241" ht="18" thickBot="1">
      <c r="A3" s="12">
        <f>'Book Details - NO EDIT'!A4</f>
        <v>2</v>
      </c>
      <c r="B3" s="112" t="str">
        <f>'Book Details - NO EDIT'!X4</f>
        <v>Jane (1765–1832: #2)</v>
      </c>
      <c r="C3" s="113">
        <f>'Book Details - NO EDIT'!L4</f>
        <v>1</v>
      </c>
      <c r="D3" s="44">
        <f>'Loyd List 1-190 - Edit'!T4</f>
        <v>0</v>
      </c>
      <c r="G3">
        <f t="shared" ref="G3:G39" si="3">AW3</f>
        <v>-1</v>
      </c>
      <c r="H3">
        <f>COUNTIF(AX3:IF3,"&gt;0")</f>
        <v>1</v>
      </c>
      <c r="I3">
        <f t="shared" ref="I3:I39" si="4">IF($H3&gt;=I$1,LARGE($AX3:$IF3,$H3-I$1+1),"")</f>
        <v>1</v>
      </c>
      <c r="J3" t="str">
        <f t="shared" ref="J3:X4" si="5">IF($H3&gt;=J$1,LARGE($AX3:$IF3,$H3-J$1+1),"")</f>
        <v/>
      </c>
      <c r="K3" t="str">
        <f t="shared" si="5"/>
        <v/>
      </c>
      <c r="L3" t="str">
        <f t="shared" si="5"/>
        <v/>
      </c>
      <c r="M3" t="str">
        <f t="shared" si="5"/>
        <v/>
      </c>
      <c r="N3" t="str">
        <f t="shared" si="5"/>
        <v/>
      </c>
      <c r="O3" t="str">
        <f t="shared" si="5"/>
        <v/>
      </c>
      <c r="P3" t="str">
        <f t="shared" si="5"/>
        <v/>
      </c>
      <c r="Q3" t="str">
        <f t="shared" si="5"/>
        <v/>
      </c>
      <c r="R3" t="str">
        <f t="shared" si="5"/>
        <v/>
      </c>
      <c r="S3" t="str">
        <f t="shared" si="5"/>
        <v/>
      </c>
      <c r="T3" t="str">
        <f t="shared" si="5"/>
        <v/>
      </c>
      <c r="U3" t="str">
        <f t="shared" si="5"/>
        <v/>
      </c>
      <c r="V3" t="str">
        <f t="shared" si="5"/>
        <v/>
      </c>
      <c r="W3" t="str">
        <f t="shared" si="5"/>
        <v/>
      </c>
      <c r="X3" t="str">
        <f t="shared" si="5"/>
        <v/>
      </c>
      <c r="AA3" t="str">
        <f>IF(LEN(I3)&gt;0,VLOOKUP(I3,$A$2:$B$220,2,FALSE),"")</f>
        <v>William (1729–1800: #1)</v>
      </c>
      <c r="AB3" t="str">
        <f t="shared" ref="AB3:AP18" si="6">IF(LEN(J3)&gt;0,VLOOKUP(J3,$A$2:$B$220,2,FALSE),"")</f>
        <v/>
      </c>
      <c r="AC3" t="str">
        <f t="shared" si="6"/>
        <v/>
      </c>
      <c r="AD3" t="str">
        <f t="shared" si="6"/>
        <v/>
      </c>
      <c r="AE3" t="str">
        <f t="shared" si="6"/>
        <v/>
      </c>
      <c r="AF3" t="str">
        <f t="shared" si="6"/>
        <v/>
      </c>
      <c r="AG3" t="str">
        <f t="shared" si="6"/>
        <v/>
      </c>
      <c r="AH3" t="str">
        <f t="shared" si="6"/>
        <v/>
      </c>
      <c r="AI3" t="str">
        <f t="shared" si="6"/>
        <v/>
      </c>
      <c r="AJ3" t="str">
        <f t="shared" si="6"/>
        <v/>
      </c>
      <c r="AK3" t="str">
        <f t="shared" si="6"/>
        <v/>
      </c>
      <c r="AL3" t="str">
        <f t="shared" si="6"/>
        <v/>
      </c>
      <c r="AM3" t="str">
        <f t="shared" si="6"/>
        <v/>
      </c>
      <c r="AN3" t="str">
        <f t="shared" si="6"/>
        <v/>
      </c>
      <c r="AO3" t="str">
        <f t="shared" si="6"/>
        <v/>
      </c>
      <c r="AP3" t="str">
        <f t="shared" si="6"/>
        <v/>
      </c>
      <c r="AQ3" s="60">
        <f>G3</f>
        <v>-1</v>
      </c>
      <c r="AR3" s="126">
        <f>AU3</f>
        <v>1</v>
      </c>
      <c r="AS3" s="60" t="str">
        <f>_xlfn.CONCAT(IF(AB3="",AA3,IF(AC3="",_xlfn.CONCAT(AA3,"; ",AB3),IF(AD3="",_xlfn.CONCAT(AA3,"; ",AB3,"; ",AC3),IF(AE3="",_xlfn.CONCAT(AA3,"; ",AB3,"; ",AC3,"; ",AD3),IF(AF3="",_xlfn.CONCAT(AA3,"; ",AB3,"; ",AC3,"; ",AD3,"; ",AE3),IF(AG3="",_xlfn.CONCAT(AA3,"; ",AB3,"; ",AC3,"; ",AD3,"; ",AE3,"; ",AF3),IF(AH3="",_xlfn.CONCAT(AA3,"; ",AB3,"; ",AC3,"; ",AD3,"; ",AE3,"; ",AF3,"; ",AG3),IF(AI3="",_xlfn.CONCAT(AA3,"; ",AB3,"; ",AC3,"; ",AD3,"; ",AE3,"; ",AF3,"; ",AG3,"; ",AH3),IF(AJ3="",_xlfn.CONCAT(AA3,"; ",AB3,"; ",AC3,"; ",AD3,"; ",AE3,"; ",AF3,"; ",AG3,"; ",AH3,"; ",AI3),IF(AK3="",_xlfn.CONCAT(AA3,"; ",AB3,"; ",AC3,"; ",AD3,"; ",AE3,"; ",AF3,"; ",AG3,"; ",AH3,"; ",AI3,"; ",AJ3),IF(AL3="",_xlfn.CONCAT(AA3,"; ",AB3,"; ",AC3,"; ",AD3,"; ",AE3,"; ",AF3,"; ",AG3,"; ",AH3,"; ",AI3,"; ",AJ3,"; ",AK3),IF(AM3="",_xlfn.CONCAT(AA3,"; ",AB3,"; ",AC3,"; ",AD3,"; ",AE3,"; ",AF3,"; ",AG3,"; ",AH3,"; ",AI3,"; ",AJ3,"; ",AK3,"; ",AL3),IF(AN3="",_xlfn.CONCAT(AA3,"; ",AB3,"; ",AC3,"; ",AD3,"; ",AE3,"; ",AF3,"; ",AG3,"; ",AH3,"; ",AI3,"; ",AJ3,"; ",AK3,"; ",AL3,"; ",AM3),IF(AO3="",_xlfn.CONCAT(AA3,"; ",AB3,"; ",AC3,"; ",AD3,"; ",AE3,"; ",AF3,"; ",AG3,"; ",AH3,"; ",AI3,"; ",AJ3,"; ",AK3,"; ",AL3,"; ",AM3,"; ",AN3),IF(AP3="",_xlfn.CONCAT(AA3,"; ",AB3,"; ",AC3,"; ",AD3,"; ",AE3,"; ",AF3,"; ",AG3,"; ",AH3,"; ",AI3,"; ",AJ3,"; ",AK3,"; ",AL3,"; ",AM3,"; ",AN3," ;",AO3),_xlfn.CONCAT(AA3,"; ",AB3,"; ",AC3,"; ",AD3,"; ",AE3,"; ",AF3,"; ",AG3,"; ",AH3,"; ",AI3,"; ",AJ3,"; ",AK3,"; ",AL3,"; ",AM3,"; ",AN3," ;",AO3,"; ",AP3)))))))))))))))))</f>
        <v>William (1729–1800: #1)</v>
      </c>
      <c r="AT3" s="97" t="str">
        <f>_xlfn.CONCAT(AR3," - ",_xlfn.CONCAT(IF(AB3="",AA3,IF(AC3="",_xlfn.CONCAT(AA3,"; ",AB3),IF(AD3="",_xlfn.CONCAT(AA3,"; ",AB3,"; ",AC3),IF(AE3="",_xlfn.CONCAT(AA3,"; ",AB3,"; ",AC3,"; ",AD3),IF(AF3="",_xlfn.CONCAT(AA3,"; ",AB3,"; ",AC3,"; ",AD3,"; ",AE3),IF(AG3="",_xlfn.CONCAT(AA3,"; ",AB3,"; ",AC3,"; ",AD3,"; ",AE3,"; ",AF3),IF(AH3="",_xlfn.CONCAT(AA3,"; ",AB3,"; ",AC3,"; ",AD3,"; ",AE3,"; ",AF3,"; ",AG3),IF(AI3="",_xlfn.CONCAT(AA3,"; ",AB3,"; ",AC3,"; ",AD3,"; ",AE3,"; ",AF3,"; ",AG3,"; ",AH3),IF(AJ3="",_xlfn.CONCAT(AA3,"; ",AB3,"; ",AC3,"; ",AD3,"; ",AE3,"; ",AF3,"; ",AG3,"; ",AH3,"; ",AI3),IF(AK3="",_xlfn.CONCAT(AA3,"; ",AB3,"; ",AC3,"; ",AD3,"; ",AE3,"; ",AF3,"; ",AG3,"; ",AH3,"; ",AI3,"; ",AJ3),IF(AL3="",_xlfn.CONCAT(AA3,"; ",AB3,"; ",AC3,"; ",AD3,"; ",AE3,"; ",AF3,"; ",AG3,"; ",AH3,"; ",AI3,"; ",AJ3,"; ",AK3),IF(AM3="",_xlfn.CONCAT(AA3,"; ",AB3,"; ",AC3,"; ",AD3,"; ",AE3,"; ",AF3,"; ",AG3,"; ",AH3,"; ",AI3,"; ",AJ3,"; ",AK3,"; ",AL3),IF(AN3="",_xlfn.CONCAT(AA3,"; ",AB3,"; ",AC3,"; ",AD3,"; ",AE3,"; ",AF3,"; ",AG3,"; ",AH3,"; ",AI3,"; ",AJ3,"; ",AK3,"; ",AL3,"; ",AM3),IF(AO3="",_xlfn.CONCAT(AA3,"; ",AB3,"; ",AC3,"; ",AD3,"; ",AE3,"; ",AF3,"; ",AG3,"; ",AH3,"; ",AI3,"; ",AJ3,"; ",AK3,"; ",AL3,"; ",AM3,"; ",AN3),IF(AP3="",_xlfn.CONCAT(AA3,"; ",AB3,"; ",AC3,"; ",AD3,"; ",AE3,"; ",AF3,"; ",AG3,"; ",AH3,"; ",AI3,"; ",AJ3,"; ",AK3,"; ",AL3,"; ",AM3,"; ",AN3," ;",AO3),_xlfn.CONCAT(AA3,"; ",AB3,"; ",AC3,"; ",AD3,"; ",AE3,"; ",AF3,"; ",AG3,"; ",AH3,"; ",AI3,"; ",AJ3,"; ",AK3,"; ",AL3,"; ",AM3,"; ",AN3," ;",AO3,"; ",AP3))))))))))))))))))</f>
        <v>1 - William (1729–1800: #1)</v>
      </c>
      <c r="AU3" s="116">
        <f>COUNTIF(AX3:IF3,"&gt;0")</f>
        <v>1</v>
      </c>
      <c r="AW3" s="72">
        <v>-1</v>
      </c>
      <c r="AX3">
        <v>1</v>
      </c>
      <c r="IG3">
        <v>1</v>
      </c>
    </row>
    <row r="4" spans="1:241" ht="35" thickBot="1">
      <c r="A4" s="12">
        <f>'Book Details - NO EDIT'!A5</f>
        <v>3</v>
      </c>
      <c r="B4" s="112" t="str">
        <f>'Book Details - NO EDIT'!X5</f>
        <v>Lewis LOYD (1768–1858: #3)</v>
      </c>
      <c r="C4" s="113">
        <f>'Book Details - NO EDIT'!L5</f>
        <v>1</v>
      </c>
      <c r="D4" s="44">
        <f>'Loyd List 1-190 - Edit'!T5</f>
        <v>0</v>
      </c>
      <c r="G4">
        <f t="shared" si="3"/>
        <v>0</v>
      </c>
      <c r="H4">
        <f t="shared" ref="H4:H39" si="7">COUNTIF(AX4:IF4,"&gt;0")</f>
        <v>7</v>
      </c>
      <c r="I4">
        <f t="shared" si="4"/>
        <v>2</v>
      </c>
      <c r="J4">
        <f t="shared" si="5"/>
        <v>3</v>
      </c>
      <c r="K4">
        <f t="shared" si="5"/>
        <v>4</v>
      </c>
      <c r="L4">
        <f t="shared" si="5"/>
        <v>5</v>
      </c>
      <c r="M4">
        <f t="shared" si="5"/>
        <v>6</v>
      </c>
      <c r="N4">
        <f t="shared" si="5"/>
        <v>7</v>
      </c>
      <c r="O4">
        <f t="shared" si="5"/>
        <v>8</v>
      </c>
      <c r="P4" t="str">
        <f t="shared" si="5"/>
        <v/>
      </c>
      <c r="Q4" t="str">
        <f t="shared" si="5"/>
        <v/>
      </c>
      <c r="R4" t="str">
        <f t="shared" si="5"/>
        <v/>
      </c>
      <c r="S4" t="str">
        <f t="shared" si="5"/>
        <v/>
      </c>
      <c r="T4" t="str">
        <f t="shared" si="5"/>
        <v/>
      </c>
      <c r="U4" t="str">
        <f t="shared" si="5"/>
        <v/>
      </c>
      <c r="V4" t="str">
        <f t="shared" si="5"/>
        <v/>
      </c>
      <c r="W4" t="str">
        <f t="shared" si="5"/>
        <v/>
      </c>
      <c r="X4" t="str">
        <f t="shared" si="5"/>
        <v/>
      </c>
      <c r="AA4" t="str">
        <f t="shared" ref="AA4:AA57" si="8">IF(LEN(I4)&gt;0,VLOOKUP(I4,$A$2:$B$220,2,FALSE),"")</f>
        <v>Jane (1765–1832: #2)</v>
      </c>
      <c r="AB4" t="str">
        <f t="shared" si="6"/>
        <v>Lewis LOYD (1768–1858: #3)</v>
      </c>
      <c r="AC4" t="str">
        <f t="shared" si="6"/>
        <v>William (1770–1828: #4)</v>
      </c>
      <c r="AD4" t="str">
        <f t="shared" si="6"/>
        <v>Catherine (1772–1798: #5)</v>
      </c>
      <c r="AE4" t="str">
        <f t="shared" si="6"/>
        <v>Thomas (1775–1853: #6)</v>
      </c>
      <c r="AF4" t="str">
        <f t="shared" si="6"/>
        <v>Gwenllian (1777–1779: #7)</v>
      </c>
      <c r="AG4" t="str">
        <f t="shared" si="6"/>
        <v>Edward (1780–1863: #8)</v>
      </c>
      <c r="AH4" t="str">
        <f t="shared" si="6"/>
        <v/>
      </c>
      <c r="AI4" t="str">
        <f t="shared" si="6"/>
        <v/>
      </c>
      <c r="AJ4" t="str">
        <f t="shared" si="6"/>
        <v/>
      </c>
      <c r="AK4" t="str">
        <f t="shared" si="6"/>
        <v/>
      </c>
      <c r="AL4" t="str">
        <f t="shared" si="6"/>
        <v/>
      </c>
      <c r="AM4" t="str">
        <f t="shared" si="6"/>
        <v/>
      </c>
      <c r="AN4" t="str">
        <f t="shared" si="6"/>
        <v/>
      </c>
      <c r="AO4" t="str">
        <f t="shared" si="6"/>
        <v/>
      </c>
      <c r="AP4" t="str">
        <f t="shared" si="6"/>
        <v/>
      </c>
      <c r="AQ4" s="60">
        <f t="shared" ref="AQ4:AQ36" si="9">G4</f>
        <v>0</v>
      </c>
      <c r="AR4" s="126">
        <f t="shared" ref="AR4:AR35" si="10">AU4</f>
        <v>7</v>
      </c>
      <c r="AS4" s="60" t="str">
        <f t="shared" ref="AS4:AS57" si="11">_xlfn.CONCAT(IF(AB4="",AA4,IF(AC4="",_xlfn.CONCAT(AA4,"; ",AB4),IF(AD4="",_xlfn.CONCAT(AA4,"; ",AB4,"; ",AC4),IF(AE4="",_xlfn.CONCAT(AA4,"; ",AB4,"; ",AC4,"; ",AD4),IF(AF4="",_xlfn.CONCAT(AA4,"; ",AB4,"; ",AC4,"; ",AD4,"; ",AE4),IF(AG4="",_xlfn.CONCAT(AA4,"; ",AB4,"; ",AC4,"; ",AD4,"; ",AE4,"; ",AF4),IF(AH4="",_xlfn.CONCAT(AA4,"; ",AB4,"; ",AC4,"; ",AD4,"; ",AE4,"; ",AF4,"; ",AG4),IF(AI4="",_xlfn.CONCAT(AA4,"; ",AB4,"; ",AC4,"; ",AD4,"; ",AE4,"; ",AF4,"; ",AG4,"; ",AH4),IF(AJ4="",_xlfn.CONCAT(AA4,"; ",AB4,"; ",AC4,"; ",AD4,"; ",AE4,"; ",AF4,"; ",AG4,"; ",AH4,"; ",AI4),IF(AK4="",_xlfn.CONCAT(AA4,"; ",AB4,"; ",AC4,"; ",AD4,"; ",AE4,"; ",AF4,"; ",AG4,"; ",AH4,"; ",AI4,"; ",AJ4),IF(AL4="",_xlfn.CONCAT(AA4,"; ",AB4,"; ",AC4,"; ",AD4,"; ",AE4,"; ",AF4,"; ",AG4,"; ",AH4,"; ",AI4,"; ",AJ4,"; ",AK4),IF(AM4="",_xlfn.CONCAT(AA4,"; ",AB4,"; ",AC4,"; ",AD4,"; ",AE4,"; ",AF4,"; ",AG4,"; ",AH4,"; ",AI4,"; ",AJ4,"; ",AK4,"; ",AL4),IF(AN4="",_xlfn.CONCAT(AA4,"; ",AB4,"; ",AC4,"; ",AD4,"; ",AE4,"; ",AF4,"; ",AG4,"; ",AH4,"; ",AI4,"; ",AJ4,"; ",AK4,"; ",AL4,"; ",AM4),IF(AO4="",_xlfn.CONCAT(AA4,"; ",AB4,"; ",AC4,"; ",AD4,"; ",AE4,"; ",AF4,"; ",AG4,"; ",AH4,"; ",AI4,"; ",AJ4,"; ",AK4,"; ",AL4,"; ",AM4,"; ",AN4),IF(AP4="",_xlfn.CONCAT(AA4,"; ",AB4,"; ",AC4,"; ",AD4,"; ",AE4,"; ",AF4,"; ",AG4,"; ",AH4,"; ",AI4,"; ",AJ4,"; ",AK4,"; ",AL4,"; ",AM4,"; ",AN4," ;",AO4),_xlfn.CONCAT(AA4,"; ",AB4,"; ",AC4,"; ",AD4,"; ",AE4,"; ",AF4,"; ",AG4,"; ",AH4,"; ",AI4,"; ",AJ4,"; ",AK4,"; ",AL4,"; ",AM4,"; ",AN4," ;",AO4,"; ",AP4)))))))))))))))))</f>
        <v>Jane (1765–1832: #2); Lewis LOYD (1768–1858: #3); William (1770–1828: #4); Catherine (1772–1798: #5); Thomas (1775–1853: #6); Gwenllian (1777–1779: #7); Edward (1780–1863: #8)</v>
      </c>
      <c r="AT4" s="97" t="str">
        <f t="shared" ref="AT4:AT37" si="12">_xlfn.CONCAT(AR4," - ",_xlfn.CONCAT(IF(AB4="",AA4,IF(AC4="",_xlfn.CONCAT(AA4,"; ",AB4),IF(AD4="",_xlfn.CONCAT(AA4,"; ",AB4,"; ",AC4),IF(AE4="",_xlfn.CONCAT(AA4,"; ",AB4,"; ",AC4,"; ",AD4),IF(AF4="",_xlfn.CONCAT(AA4,"; ",AB4,"; ",AC4,"; ",AD4,"; ",AE4),IF(AG4="",_xlfn.CONCAT(AA4,"; ",AB4,"; ",AC4,"; ",AD4,"; ",AE4,"; ",AF4),IF(AH4="",_xlfn.CONCAT(AA4,"; ",AB4,"; ",AC4,"; ",AD4,"; ",AE4,"; ",AF4,"; ",AG4),IF(AI4="",_xlfn.CONCAT(AA4,"; ",AB4,"; ",AC4,"; ",AD4,"; ",AE4,"; ",AF4,"; ",AG4,"; ",AH4),IF(AJ4="",_xlfn.CONCAT(AA4,"; ",AB4,"; ",AC4,"; ",AD4,"; ",AE4,"; ",AF4,"; ",AG4,"; ",AH4,"; ",AI4),IF(AK4="",_xlfn.CONCAT(AA4,"; ",AB4,"; ",AC4,"; ",AD4,"; ",AE4,"; ",AF4,"; ",AG4,"; ",AH4,"; ",AI4,"; ",AJ4),IF(AL4="",_xlfn.CONCAT(AA4,"; ",AB4,"; ",AC4,"; ",AD4,"; ",AE4,"; ",AF4,"; ",AG4,"; ",AH4,"; ",AI4,"; ",AJ4,"; ",AK4),IF(AM4="",_xlfn.CONCAT(AA4,"; ",AB4,"; ",AC4,"; ",AD4,"; ",AE4,"; ",AF4,"; ",AG4,"; ",AH4,"; ",AI4,"; ",AJ4,"; ",AK4,"; ",AL4),IF(AN4="",_xlfn.CONCAT(AA4,"; ",AB4,"; ",AC4,"; ",AD4,"; ",AE4,"; ",AF4,"; ",AG4,"; ",AH4,"; ",AI4,"; ",AJ4,"; ",AK4,"; ",AL4,"; ",AM4),IF(AO4="",_xlfn.CONCAT(AA4,"; ",AB4,"; ",AC4,"; ",AD4,"; ",AE4,"; ",AF4,"; ",AG4,"; ",AH4,"; ",AI4,"; ",AJ4,"; ",AK4,"; ",AL4,"; ",AM4,"; ",AN4),IF(AP4="",_xlfn.CONCAT(AA4,"; ",AB4,"; ",AC4,"; ",AD4,"; ",AE4,"; ",AF4,"; ",AG4,"; ",AH4,"; ",AI4,"; ",AJ4,"; ",AK4,"; ",AL4,"; ",AM4,"; ",AN4," ;",AO4),_xlfn.CONCAT(AA4,"; ",AB4,"; ",AC4,"; ",AD4,"; ",AE4,"; ",AF4,"; ",AG4,"; ",AH4,"; ",AI4,"; ",AJ4,"; ",AK4,"; ",AL4,"; ",AM4,"; ",AN4," ;",AO4,"; ",AP4))))))))))))))))))</f>
        <v>7 - Jane (1765–1832: #2); Lewis LOYD (1768–1858: #3); William (1770–1828: #4); Catherine (1772–1798: #5); Thomas (1775–1853: #6); Gwenllian (1777–1779: #7); Edward (1780–1863: #8)</v>
      </c>
      <c r="AU4" s="116">
        <f t="shared" ref="AU4:AU35" si="13">COUNTIF(AX4:IF4,"&gt;0")</f>
        <v>7</v>
      </c>
      <c r="AW4" s="72">
        <v>0</v>
      </c>
      <c r="AY4">
        <v>2</v>
      </c>
      <c r="AZ4">
        <v>3</v>
      </c>
      <c r="BA4">
        <v>4</v>
      </c>
      <c r="BB4">
        <v>5</v>
      </c>
      <c r="BC4">
        <v>6</v>
      </c>
      <c r="BD4">
        <v>7</v>
      </c>
      <c r="BE4">
        <v>8</v>
      </c>
      <c r="IG4">
        <v>35</v>
      </c>
    </row>
    <row r="5" spans="1:241" ht="69" thickBot="1">
      <c r="A5" s="12">
        <f>'Book Details - NO EDIT'!A6</f>
        <v>4</v>
      </c>
      <c r="B5" s="112" t="str">
        <f>'Book Details - NO EDIT'!X6</f>
        <v>William (1770–1828: #4)</v>
      </c>
      <c r="C5" s="113">
        <f>'Book Details - NO EDIT'!L6</f>
        <v>1</v>
      </c>
      <c r="D5" s="44">
        <f>'Loyd List 1-190 - Edit'!T6</f>
        <v>0</v>
      </c>
      <c r="G5">
        <f t="shared" si="3"/>
        <v>1</v>
      </c>
      <c r="H5">
        <f t="shared" si="7"/>
        <v>16</v>
      </c>
      <c r="I5">
        <f t="shared" si="4"/>
        <v>9</v>
      </c>
      <c r="J5">
        <f t="shared" ref="J5:X21" si="14">IF($H5&gt;=J$1,LARGE($AX5:$IF5,$H5-J$1+1),"")</f>
        <v>10</v>
      </c>
      <c r="K5">
        <f t="shared" si="14"/>
        <v>11</v>
      </c>
      <c r="L5">
        <f t="shared" si="14"/>
        <v>12</v>
      </c>
      <c r="M5">
        <f t="shared" si="14"/>
        <v>13</v>
      </c>
      <c r="N5">
        <f t="shared" si="14"/>
        <v>14</v>
      </c>
      <c r="O5">
        <f t="shared" si="14"/>
        <v>15</v>
      </c>
      <c r="P5">
        <f t="shared" si="14"/>
        <v>16</v>
      </c>
      <c r="Q5">
        <f t="shared" si="14"/>
        <v>17</v>
      </c>
      <c r="R5">
        <f t="shared" si="14"/>
        <v>18</v>
      </c>
      <c r="S5">
        <f t="shared" si="14"/>
        <v>19</v>
      </c>
      <c r="T5">
        <f t="shared" si="14"/>
        <v>20</v>
      </c>
      <c r="U5">
        <f t="shared" si="14"/>
        <v>21</v>
      </c>
      <c r="V5">
        <f t="shared" si="14"/>
        <v>22</v>
      </c>
      <c r="W5">
        <f t="shared" si="14"/>
        <v>23</v>
      </c>
      <c r="X5">
        <f t="shared" si="14"/>
        <v>24</v>
      </c>
      <c r="AA5" t="str">
        <f t="shared" si="8"/>
        <v>Samuel (1796–1883: #9)</v>
      </c>
      <c r="AB5" t="str">
        <f t="shared" si="6"/>
        <v>William (1809–1879: #10)</v>
      </c>
      <c r="AC5" t="str">
        <f t="shared" si="6"/>
        <v>Sarah (1810–1858: #11)</v>
      </c>
      <c r="AD5" t="str">
        <f t="shared" si="6"/>
        <v>Eliza (1810–1861: #12)</v>
      </c>
      <c r="AE5" t="str">
        <f t="shared" si="6"/>
        <v>Lewis (1811–1891: #13)</v>
      </c>
      <c r="AF5" t="str">
        <f t="shared" si="6"/>
        <v>Thomas (1812–1857: #14)</v>
      </c>
      <c r="AG5" t="str">
        <f t="shared" si="6"/>
        <v>Annie (1813–1834: #15)</v>
      </c>
      <c r="AH5" t="str">
        <f t="shared" si="6"/>
        <v>Maria (1814–1900: #16)</v>
      </c>
      <c r="AI5" t="str">
        <f t="shared" si="6"/>
        <v>Edward (1815–1815: #17)</v>
      </c>
      <c r="AJ5" t="str">
        <f t="shared" si="6"/>
        <v>Kate (1815–1905: #18)</v>
      </c>
      <c r="AK5" t="str">
        <f t="shared" si="6"/>
        <v>Hannah (1817–1907: #19)</v>
      </c>
      <c r="AL5" t="str">
        <f t="shared" si="6"/>
        <v>John (1817–1818: #20)</v>
      </c>
      <c r="AM5" t="str">
        <f t="shared" si="6"/>
        <v>Lewis (1819–1841: #21)</v>
      </c>
      <c r="AN5" t="str">
        <f t="shared" si="6"/>
        <v>Edward (1820–1890: #22)</v>
      </c>
      <c r="AO5" t="str">
        <f t="shared" si="6"/>
        <v>William (1821–1885: #23)</v>
      </c>
      <c r="AP5" t="str">
        <f t="shared" si="6"/>
        <v>Fanny (1824–1856: #24)</v>
      </c>
      <c r="AQ5" s="60">
        <f t="shared" si="9"/>
        <v>1</v>
      </c>
      <c r="AR5" s="126">
        <f t="shared" si="10"/>
        <v>16</v>
      </c>
      <c r="AS5" s="60" t="str">
        <f t="shared" si="11"/>
        <v>Samuel (1796–1883: #9); William (1809–1879: #10); Sarah (1810–1858: #11); Eliza (1810–1861: #12); Lewis (1811–1891: #13); Thomas (1812–1857: #14); Annie (1813–1834: #15); Maria (1814–1900: #16); Edward (1815–1815: #17); Kate (1815–1905: #18); Hannah (1817–1907: #19); John (1817–1818: #20); Lewis (1819–1841: #21); Edward (1820–1890: #22) ;William (1821–1885: #23); Fanny (1824–1856: #24)</v>
      </c>
      <c r="AT5" s="97" t="str">
        <f t="shared" si="12"/>
        <v>16 - Samuel (1796–1883: #9); William (1809–1879: #10); Sarah (1810–1858: #11); Eliza (1810–1861: #12); Lewis (1811–1891: #13); Thomas (1812–1857: #14); Annie (1813–1834: #15); Maria (1814–1900: #16); Edward (1815–1815: #17); Kate (1815–1905: #18); Hannah (1817–1907: #19); John (1817–1818: #20); Lewis (1819–1841: #21); Edward (1820–1890: #22) ;William (1821–1885: #23); Fanny (1824–1856: #24)</v>
      </c>
      <c r="AU5" s="116">
        <f t="shared" si="13"/>
        <v>16</v>
      </c>
      <c r="AW5" s="72">
        <v>1</v>
      </c>
      <c r="BF5">
        <v>9</v>
      </c>
      <c r="BG5">
        <v>10</v>
      </c>
      <c r="BH5">
        <v>11</v>
      </c>
      <c r="BI5">
        <v>12</v>
      </c>
      <c r="BJ5">
        <v>13</v>
      </c>
      <c r="BK5">
        <v>14</v>
      </c>
      <c r="BL5">
        <v>15</v>
      </c>
      <c r="BM5">
        <v>16</v>
      </c>
      <c r="BN5">
        <v>17</v>
      </c>
      <c r="BO5">
        <v>18</v>
      </c>
      <c r="BP5">
        <v>19</v>
      </c>
      <c r="BQ5">
        <v>20</v>
      </c>
      <c r="BR5">
        <v>21</v>
      </c>
      <c r="BS5">
        <v>22</v>
      </c>
      <c r="BT5">
        <v>23</v>
      </c>
      <c r="BU5">
        <v>24</v>
      </c>
      <c r="IG5">
        <v>264</v>
      </c>
    </row>
    <row r="6" spans="1:241" ht="18" thickBot="1">
      <c r="A6" s="12">
        <f>'Book Details - NO EDIT'!A7</f>
        <v>5</v>
      </c>
      <c r="B6" s="112" t="str">
        <f>'Book Details - NO EDIT'!X7</f>
        <v>Catherine (1772–1798: #5)</v>
      </c>
      <c r="C6" s="113">
        <f>'Book Details - NO EDIT'!L7</f>
        <v>1</v>
      </c>
      <c r="D6" s="44">
        <f>'Loyd List 1-190 - Edit'!T7</f>
        <v>0</v>
      </c>
      <c r="G6">
        <f t="shared" si="3"/>
        <v>3</v>
      </c>
      <c r="H6">
        <f t="shared" si="7"/>
        <v>2</v>
      </c>
      <c r="I6">
        <f t="shared" si="4"/>
        <v>25</v>
      </c>
      <c r="J6">
        <f t="shared" si="14"/>
        <v>26</v>
      </c>
      <c r="K6" t="str">
        <f t="shared" si="14"/>
        <v/>
      </c>
      <c r="L6" t="str">
        <f t="shared" si="14"/>
        <v/>
      </c>
      <c r="M6" t="str">
        <f t="shared" si="14"/>
        <v/>
      </c>
      <c r="N6" t="str">
        <f t="shared" si="14"/>
        <v/>
      </c>
      <c r="O6" t="str">
        <f t="shared" si="14"/>
        <v/>
      </c>
      <c r="P6" t="str">
        <f t="shared" si="14"/>
        <v/>
      </c>
      <c r="Q6" t="str">
        <f t="shared" si="14"/>
        <v/>
      </c>
      <c r="R6" t="str">
        <f t="shared" si="14"/>
        <v/>
      </c>
      <c r="S6" t="str">
        <f t="shared" si="14"/>
        <v/>
      </c>
      <c r="T6" t="str">
        <f t="shared" si="14"/>
        <v/>
      </c>
      <c r="U6" t="str">
        <f t="shared" si="14"/>
        <v/>
      </c>
      <c r="V6" t="str">
        <f t="shared" si="14"/>
        <v/>
      </c>
      <c r="W6" t="str">
        <f t="shared" si="14"/>
        <v/>
      </c>
      <c r="X6" t="str">
        <f t="shared" si="14"/>
        <v/>
      </c>
      <c r="AA6" t="str">
        <f t="shared" si="8"/>
        <v>Henry (1832–1833: #25)</v>
      </c>
      <c r="AB6" t="str">
        <f t="shared" si="6"/>
        <v>The Hon Harriet (1837–1920: #26)</v>
      </c>
      <c r="AC6" t="str">
        <f t="shared" si="6"/>
        <v/>
      </c>
      <c r="AD6" t="str">
        <f t="shared" si="6"/>
        <v/>
      </c>
      <c r="AE6" t="str">
        <f t="shared" si="6"/>
        <v/>
      </c>
      <c r="AF6" t="str">
        <f t="shared" si="6"/>
        <v/>
      </c>
      <c r="AG6" t="str">
        <f t="shared" si="6"/>
        <v/>
      </c>
      <c r="AH6" t="str">
        <f t="shared" si="6"/>
        <v/>
      </c>
      <c r="AI6" t="str">
        <f t="shared" si="6"/>
        <v/>
      </c>
      <c r="AJ6" t="str">
        <f t="shared" si="6"/>
        <v/>
      </c>
      <c r="AK6" t="str">
        <f t="shared" si="6"/>
        <v/>
      </c>
      <c r="AL6" t="str">
        <f t="shared" si="6"/>
        <v/>
      </c>
      <c r="AM6" t="str">
        <f t="shared" si="6"/>
        <v/>
      </c>
      <c r="AN6" t="str">
        <f t="shared" si="6"/>
        <v/>
      </c>
      <c r="AO6" t="str">
        <f t="shared" si="6"/>
        <v/>
      </c>
      <c r="AP6" t="str">
        <f t="shared" si="6"/>
        <v/>
      </c>
      <c r="AQ6" s="60">
        <f t="shared" si="9"/>
        <v>3</v>
      </c>
      <c r="AR6" s="126">
        <f t="shared" si="10"/>
        <v>2</v>
      </c>
      <c r="AS6" s="60" t="str">
        <f t="shared" si="11"/>
        <v>Henry (1832–1833: #25); The Hon Harriet (1837–1920: #26)</v>
      </c>
      <c r="AT6" s="97" t="str">
        <f t="shared" si="12"/>
        <v>2 - Henry (1832–1833: #25); The Hon Harriet (1837–1920: #26)</v>
      </c>
      <c r="AU6" s="116">
        <f t="shared" si="13"/>
        <v>2</v>
      </c>
      <c r="AW6" s="72">
        <v>3</v>
      </c>
      <c r="BV6">
        <v>25</v>
      </c>
      <c r="BW6">
        <v>26</v>
      </c>
      <c r="IG6">
        <v>51</v>
      </c>
    </row>
    <row r="7" spans="1:241" ht="35" thickBot="1">
      <c r="A7" s="12">
        <f>'Book Details - NO EDIT'!A8</f>
        <v>6</v>
      </c>
      <c r="B7" s="112" t="str">
        <f>'Book Details - NO EDIT'!X8</f>
        <v>Thomas (1775–1853: #6)</v>
      </c>
      <c r="C7" s="113">
        <f>'Book Details - NO EDIT'!L8</f>
        <v>1</v>
      </c>
      <c r="D7" s="44">
        <f>'Loyd List 1-190 - Edit'!T8</f>
        <v>0</v>
      </c>
      <c r="G7">
        <f t="shared" si="3"/>
        <v>4</v>
      </c>
      <c r="H7">
        <f t="shared" si="7"/>
        <v>8</v>
      </c>
      <c r="I7">
        <f t="shared" si="4"/>
        <v>27</v>
      </c>
      <c r="J7">
        <f t="shared" si="14"/>
        <v>28</v>
      </c>
      <c r="K7">
        <f t="shared" si="14"/>
        <v>29</v>
      </c>
      <c r="L7">
        <f t="shared" si="14"/>
        <v>30</v>
      </c>
      <c r="M7">
        <f t="shared" si="14"/>
        <v>32</v>
      </c>
      <c r="N7">
        <f t="shared" si="14"/>
        <v>33</v>
      </c>
      <c r="O7">
        <f t="shared" si="14"/>
        <v>34</v>
      </c>
      <c r="P7">
        <f t="shared" si="14"/>
        <v>37</v>
      </c>
      <c r="Q7" t="str">
        <f t="shared" si="14"/>
        <v/>
      </c>
      <c r="R7" t="str">
        <f t="shared" si="14"/>
        <v/>
      </c>
      <c r="S7" t="str">
        <f t="shared" si="14"/>
        <v/>
      </c>
      <c r="T7" t="str">
        <f t="shared" si="14"/>
        <v/>
      </c>
      <c r="U7" t="str">
        <f t="shared" si="14"/>
        <v/>
      </c>
      <c r="V7" t="str">
        <f t="shared" si="14"/>
        <v/>
      </c>
      <c r="W7" t="str">
        <f t="shared" si="14"/>
        <v/>
      </c>
      <c r="X7" t="str">
        <f t="shared" si="14"/>
        <v/>
      </c>
      <c r="AA7" t="str">
        <f t="shared" si="8"/>
        <v>William (1843–1843: #27)</v>
      </c>
      <c r="AB7" t="str">
        <f t="shared" si="6"/>
        <v>The Rev Lewis (1844–1905: #28)</v>
      </c>
      <c r="AC7" t="str">
        <f t="shared" si="6"/>
        <v>Arthur (1845–1930: #29)</v>
      </c>
      <c r="AD7" t="str">
        <f t="shared" si="6"/>
        <v>Archie (1847–1922: #30)</v>
      </c>
      <c r="AE7" t="str">
        <f t="shared" si="6"/>
        <v>Frank (1848–1934: #32)</v>
      </c>
      <c r="AF7" t="str">
        <f t="shared" si="6"/>
        <v>Alfred (1849–1881: #33)</v>
      </c>
      <c r="AG7" t="str">
        <f t="shared" si="6"/>
        <v>Ted (1851–1922: #34)</v>
      </c>
      <c r="AH7" t="str">
        <f t="shared" si="6"/>
        <v>Annie (1853–1946: #37)</v>
      </c>
      <c r="AI7" t="str">
        <f t="shared" si="6"/>
        <v/>
      </c>
      <c r="AJ7" t="str">
        <f t="shared" si="6"/>
        <v/>
      </c>
      <c r="AK7" t="str">
        <f t="shared" si="6"/>
        <v/>
      </c>
      <c r="AL7" t="str">
        <f t="shared" si="6"/>
        <v/>
      </c>
      <c r="AM7" t="str">
        <f t="shared" si="6"/>
        <v/>
      </c>
      <c r="AN7" t="str">
        <f t="shared" si="6"/>
        <v/>
      </c>
      <c r="AO7" t="str">
        <f t="shared" si="6"/>
        <v/>
      </c>
      <c r="AP7" t="str">
        <f t="shared" si="6"/>
        <v/>
      </c>
      <c r="AQ7" s="60">
        <f t="shared" si="9"/>
        <v>4</v>
      </c>
      <c r="AR7" s="126">
        <f t="shared" si="10"/>
        <v>8</v>
      </c>
      <c r="AS7" s="60" t="str">
        <f t="shared" si="11"/>
        <v>William (1843–1843: #27); The Rev Lewis (1844–1905: #28); Arthur (1845–1930: #29); Archie (1847–1922: #30); Frank (1848–1934: #32); Alfred (1849–1881: #33); Ted (1851–1922: #34); Annie (1853–1946: #37)</v>
      </c>
      <c r="AT7" s="97" t="str">
        <f t="shared" si="12"/>
        <v>8 - William (1843–1843: #27); The Rev Lewis (1844–1905: #28); Arthur (1845–1930: #29); Archie (1847–1922: #30); Frank (1848–1934: #32); Alfred (1849–1881: #33); Ted (1851–1922: #34); Annie (1853–1946: #37)</v>
      </c>
      <c r="AU7" s="116">
        <f t="shared" si="13"/>
        <v>8</v>
      </c>
      <c r="AW7" s="72">
        <v>4</v>
      </c>
      <c r="BX7">
        <v>27</v>
      </c>
      <c r="BY7">
        <v>28</v>
      </c>
      <c r="BZ7">
        <v>29</v>
      </c>
      <c r="CA7">
        <v>30</v>
      </c>
      <c r="CC7">
        <v>32</v>
      </c>
      <c r="CD7">
        <v>33</v>
      </c>
      <c r="CE7">
        <v>34</v>
      </c>
      <c r="CH7">
        <v>37</v>
      </c>
      <c r="IG7">
        <v>250</v>
      </c>
    </row>
    <row r="8" spans="1:241" ht="69" thickBot="1">
      <c r="A8" s="12">
        <f>'Book Details - NO EDIT'!A9</f>
        <v>7</v>
      </c>
      <c r="B8" s="112" t="str">
        <f>'Book Details - NO EDIT'!X9</f>
        <v>Gwenllian (1777–1779: #7)</v>
      </c>
      <c r="C8" s="113">
        <f>'Book Details - NO EDIT'!L9</f>
        <v>1</v>
      </c>
      <c r="D8" s="44">
        <f>'Loyd List 1-190 - Edit'!T9</f>
        <v>0</v>
      </c>
      <c r="G8">
        <f t="shared" si="3"/>
        <v>8</v>
      </c>
      <c r="H8">
        <f t="shared" si="7"/>
        <v>16</v>
      </c>
      <c r="I8">
        <f t="shared" si="4"/>
        <v>31</v>
      </c>
      <c r="J8">
        <f t="shared" si="14"/>
        <v>35</v>
      </c>
      <c r="K8">
        <f t="shared" si="14"/>
        <v>36</v>
      </c>
      <c r="L8">
        <f t="shared" si="14"/>
        <v>38</v>
      </c>
      <c r="M8">
        <f t="shared" si="14"/>
        <v>39</v>
      </c>
      <c r="N8">
        <f t="shared" si="14"/>
        <v>40</v>
      </c>
      <c r="O8">
        <f t="shared" si="14"/>
        <v>41</v>
      </c>
      <c r="P8">
        <f t="shared" si="14"/>
        <v>42</v>
      </c>
      <c r="Q8">
        <f t="shared" si="14"/>
        <v>43</v>
      </c>
      <c r="R8">
        <f t="shared" si="14"/>
        <v>44</v>
      </c>
      <c r="S8">
        <f t="shared" si="14"/>
        <v>45</v>
      </c>
      <c r="T8">
        <f t="shared" si="14"/>
        <v>46</v>
      </c>
      <c r="U8">
        <f t="shared" si="14"/>
        <v>47</v>
      </c>
      <c r="V8">
        <f t="shared" si="14"/>
        <v>48</v>
      </c>
      <c r="W8">
        <f t="shared" si="14"/>
        <v>49</v>
      </c>
      <c r="X8">
        <f t="shared" si="14"/>
        <v>50</v>
      </c>
      <c r="AA8" t="str">
        <f t="shared" si="8"/>
        <v>Mary (1848–1934: #31)</v>
      </c>
      <c r="AB8" t="str">
        <f t="shared" si="6"/>
        <v>Lewis (1852–1908: #35)</v>
      </c>
      <c r="AC8" t="str">
        <f t="shared" si="6"/>
        <v>Elinor (1853–1895: #36)</v>
      </c>
      <c r="AD8" t="str">
        <f t="shared" si="6"/>
        <v>Gertrude (1854–1924: #38)</v>
      </c>
      <c r="AE8" t="str">
        <f t="shared" si="6"/>
        <v>Fa (1855–1927: #39)</v>
      </c>
      <c r="AF8" t="str">
        <f t="shared" si="6"/>
        <v>Harriet (1856–1921: #40)</v>
      </c>
      <c r="AG8" t="str">
        <f t="shared" si="6"/>
        <v>Frederic (1856–1936: #41)</v>
      </c>
      <c r="AH8" t="str">
        <f t="shared" si="6"/>
        <v>Dulcie (1858–1905: #42)</v>
      </c>
      <c r="AI8" t="str">
        <f t="shared" si="6"/>
        <v>Meg (1859–1936: #43)</v>
      </c>
      <c r="AJ8" t="str">
        <f t="shared" si="6"/>
        <v>Harry (1861–1938: #44)</v>
      </c>
      <c r="AK8" t="str">
        <f t="shared" si="6"/>
        <v>Llewellyn (1861–1939: #45)</v>
      </c>
      <c r="AL8" t="str">
        <f t="shared" si="6"/>
        <v>William (1863–1923: #46)</v>
      </c>
      <c r="AM8" t="str">
        <f t="shared" si="6"/>
        <v>Caroline (1864–1940: #47)</v>
      </c>
      <c r="AN8" t="str">
        <f t="shared" si="6"/>
        <v>Caroline (1865–1938: #48)</v>
      </c>
      <c r="AO8" t="str">
        <f t="shared" si="6"/>
        <v>Mary (1867–1867: #49)</v>
      </c>
      <c r="AP8" t="str">
        <f t="shared" si="6"/>
        <v>Arthur (1868–1911: #50)</v>
      </c>
      <c r="AQ8" s="60">
        <f t="shared" si="9"/>
        <v>8</v>
      </c>
      <c r="AR8" s="126">
        <f t="shared" si="10"/>
        <v>16</v>
      </c>
      <c r="AS8" s="60" t="str">
        <f t="shared" si="11"/>
        <v>Mary (1848–1934: #31); Lewis (1852–1908: #35); Elinor (1853–1895: #36); Gertrude (1854–1924: #38); Fa (1855–1927: #39); Harriet (1856–1921: #40); Frederic (1856–1936: #41); Dulcie (1858–1905: #42); Meg (1859–1936: #43); Harry (1861–1938: #44); Llewellyn (1861–1939: #45); William (1863–1923: #46); Caroline (1864–1940: #47); Caroline (1865–1938: #48) ;Mary (1867–1867: #49); Arthur (1868–1911: #50)</v>
      </c>
      <c r="AT8" s="97" t="str">
        <f t="shared" si="12"/>
        <v>16 - Mary (1848–1934: #31); Lewis (1852–1908: #35); Elinor (1853–1895: #36); Gertrude (1854–1924: #38); Fa (1855–1927: #39); Harriet (1856–1921: #40); Frederic (1856–1936: #41); Dulcie (1858–1905: #42); Meg (1859–1936: #43); Harry (1861–1938: #44); Llewellyn (1861–1939: #45); William (1863–1923: #46); Caroline (1864–1940: #47); Caroline (1865–1938: #48) ;Mary (1867–1867: #49); Arthur (1868–1911: #50)</v>
      </c>
      <c r="AU8" s="116">
        <f t="shared" si="13"/>
        <v>16</v>
      </c>
      <c r="AW8" s="72">
        <v>8</v>
      </c>
      <c r="CB8">
        <v>31</v>
      </c>
      <c r="CF8">
        <v>35</v>
      </c>
      <c r="CG8">
        <v>36</v>
      </c>
      <c r="CI8">
        <v>38</v>
      </c>
      <c r="CJ8">
        <v>39</v>
      </c>
      <c r="CK8">
        <v>40</v>
      </c>
      <c r="CL8">
        <v>41</v>
      </c>
      <c r="CM8">
        <v>42</v>
      </c>
      <c r="CN8">
        <v>43</v>
      </c>
      <c r="CO8">
        <v>44</v>
      </c>
      <c r="CP8">
        <v>45</v>
      </c>
      <c r="CQ8">
        <v>46</v>
      </c>
      <c r="CR8">
        <v>47</v>
      </c>
      <c r="CS8">
        <v>48</v>
      </c>
      <c r="CT8">
        <v>49</v>
      </c>
      <c r="CU8">
        <v>50</v>
      </c>
      <c r="IG8">
        <v>674</v>
      </c>
    </row>
    <row r="9" spans="1:241" ht="69" thickBot="1">
      <c r="A9" s="12">
        <f>'Book Details - NO EDIT'!A10</f>
        <v>8</v>
      </c>
      <c r="B9" s="112" t="str">
        <f>'Book Details - NO EDIT'!X10</f>
        <v>Edward (1780–1863: #8)</v>
      </c>
      <c r="C9" s="113">
        <f>'Book Details - NO EDIT'!L10</f>
        <v>1</v>
      </c>
      <c r="D9" s="44">
        <f>'Loyd List 1-190 - Edit'!T10</f>
        <v>0</v>
      </c>
      <c r="G9">
        <f t="shared" si="3"/>
        <v>14</v>
      </c>
      <c r="H9">
        <f t="shared" si="7"/>
        <v>14</v>
      </c>
      <c r="I9">
        <f t="shared" si="4"/>
        <v>51</v>
      </c>
      <c r="J9">
        <f t="shared" si="14"/>
        <v>54</v>
      </c>
      <c r="K9">
        <f t="shared" si="14"/>
        <v>56</v>
      </c>
      <c r="L9">
        <f t="shared" si="14"/>
        <v>58</v>
      </c>
      <c r="M9">
        <f t="shared" si="14"/>
        <v>60</v>
      </c>
      <c r="N9">
        <f t="shared" si="14"/>
        <v>61</v>
      </c>
      <c r="O9">
        <f t="shared" si="14"/>
        <v>62</v>
      </c>
      <c r="P9">
        <f t="shared" si="14"/>
        <v>65</v>
      </c>
      <c r="Q9">
        <f t="shared" si="14"/>
        <v>67</v>
      </c>
      <c r="R9">
        <f t="shared" si="14"/>
        <v>69</v>
      </c>
      <c r="S9">
        <f t="shared" si="14"/>
        <v>71</v>
      </c>
      <c r="T9">
        <f t="shared" si="14"/>
        <v>76</v>
      </c>
      <c r="U9">
        <f t="shared" si="14"/>
        <v>77</v>
      </c>
      <c r="V9">
        <f t="shared" si="14"/>
        <v>80</v>
      </c>
      <c r="W9" t="str">
        <f t="shared" si="14"/>
        <v/>
      </c>
      <c r="X9" t="str">
        <f t="shared" si="14"/>
        <v/>
      </c>
      <c r="AA9" t="str">
        <f t="shared" si="8"/>
        <v>Lewis (1875–1947: #51)</v>
      </c>
      <c r="AB9" t="str">
        <f t="shared" si="6"/>
        <v>Alfred (1882–1919: #54)</v>
      </c>
      <c r="AC9" t="str">
        <f t="shared" si="6"/>
        <v>Tommy (1882–1944: #56)</v>
      </c>
      <c r="AD9" t="str">
        <f t="shared" si="6"/>
        <v>Rt Rev Philip (1884–1952: #58)</v>
      </c>
      <c r="AE9" t="str">
        <f t="shared" si="6"/>
        <v>Kitty (1885–1989: #60)</v>
      </c>
      <c r="AF9" t="str">
        <f t="shared" si="6"/>
        <v>Reggie (1886–1961: #61)</v>
      </c>
      <c r="AG9" t="str">
        <f t="shared" si="6"/>
        <v>Bobby (1887–1977: #62)</v>
      </c>
      <c r="AH9" t="str">
        <f t="shared" si="6"/>
        <v>Nan (1889–1967: #65)</v>
      </c>
      <c r="AI9" t="str">
        <f t="shared" si="6"/>
        <v>Tony/Dodo (1889–1956: #67)</v>
      </c>
      <c r="AJ9" t="str">
        <f t="shared" si="6"/>
        <v>Geoffrey (1890–1914: #69)</v>
      </c>
      <c r="AK9" t="str">
        <f t="shared" si="6"/>
        <v>Arthur (1890–1974: #71)</v>
      </c>
      <c r="AL9" t="str">
        <f t="shared" si="6"/>
        <v>Edward (1893–1932: #76)</v>
      </c>
      <c r="AM9" t="str">
        <f t="shared" si="6"/>
        <v>Wilfrid (1893–1971: #77)</v>
      </c>
      <c r="AN9" t="str">
        <f t="shared" si="6"/>
        <v>Eric (1894–1963: #80)</v>
      </c>
      <c r="AO9" t="str">
        <f t="shared" si="6"/>
        <v/>
      </c>
      <c r="AP9" t="str">
        <f t="shared" si="6"/>
        <v/>
      </c>
      <c r="AQ9" s="60">
        <f t="shared" si="9"/>
        <v>14</v>
      </c>
      <c r="AR9" s="126">
        <f t="shared" si="10"/>
        <v>14</v>
      </c>
      <c r="AS9" s="60" t="str">
        <f t="shared" si="11"/>
        <v>Lewis (1875–1947: #51); Alfred (1882–1919: #54); Tommy (1882–1944: #56); Rt Rev Philip (1884–1952: #58); Kitty (1885–1989: #60); Reggie (1886–1961: #61); Bobby (1887–1977: #62); Nan (1889–1967: #65); Tony/Dodo (1889–1956: #67); Geoffrey (1890–1914: #69); Arthur (1890–1974: #71); Edward (1893–1932: #76); Wilfrid (1893–1971: #77); Eric (1894–1963: #80)</v>
      </c>
      <c r="AT9" s="97" t="str">
        <f t="shared" si="12"/>
        <v>14 - Lewis (1875–1947: #51); Alfred (1882–1919: #54); Tommy (1882–1944: #56); Rt Rev Philip (1884–1952: #58); Kitty (1885–1989: #60); Reggie (1886–1961: #61); Bobby (1887–1977: #62); Nan (1889–1967: #65); Tony/Dodo (1889–1956: #67); Geoffrey (1890–1914: #69); Arthur (1890–1974: #71); Edward (1893–1932: #76); Wilfrid (1893–1971: #77); Eric (1894–1963: #80)</v>
      </c>
      <c r="AU9" s="116">
        <f t="shared" si="13"/>
        <v>14</v>
      </c>
      <c r="AW9" s="72">
        <v>14</v>
      </c>
      <c r="CV9">
        <v>51</v>
      </c>
      <c r="CY9">
        <v>54</v>
      </c>
      <c r="DA9">
        <v>56</v>
      </c>
      <c r="DC9">
        <v>58</v>
      </c>
      <c r="DE9">
        <v>60</v>
      </c>
      <c r="DF9">
        <v>61</v>
      </c>
      <c r="DG9">
        <v>62</v>
      </c>
      <c r="DJ9">
        <v>65</v>
      </c>
      <c r="DL9">
        <v>67</v>
      </c>
      <c r="DN9">
        <v>69</v>
      </c>
      <c r="DP9">
        <v>71</v>
      </c>
      <c r="DU9">
        <v>76</v>
      </c>
      <c r="DV9">
        <v>77</v>
      </c>
      <c r="DY9">
        <v>80</v>
      </c>
      <c r="IG9">
        <v>907</v>
      </c>
    </row>
    <row r="10" spans="1:241" ht="35" thickBot="1">
      <c r="A10" s="12">
        <f>'Book Details - NO EDIT'!A11</f>
        <v>9</v>
      </c>
      <c r="B10" s="112" t="str">
        <f>'Book Details - NO EDIT'!X11</f>
        <v>Samuel (1796–1883: #9)</v>
      </c>
      <c r="C10" s="113">
        <f>'Book Details - NO EDIT'!L11</f>
        <v>3</v>
      </c>
      <c r="D10" s="44">
        <f>'Loyd List 1-190 - Edit'!T11</f>
        <v>1</v>
      </c>
      <c r="G10">
        <f t="shared" si="3"/>
        <v>22</v>
      </c>
      <c r="H10">
        <f t="shared" si="7"/>
        <v>9</v>
      </c>
      <c r="I10">
        <f t="shared" si="4"/>
        <v>52</v>
      </c>
      <c r="J10">
        <f t="shared" si="14"/>
        <v>53</v>
      </c>
      <c r="K10">
        <f t="shared" si="14"/>
        <v>59</v>
      </c>
      <c r="L10">
        <f t="shared" si="14"/>
        <v>63</v>
      </c>
      <c r="M10">
        <f t="shared" si="14"/>
        <v>68</v>
      </c>
      <c r="N10">
        <f t="shared" si="14"/>
        <v>73</v>
      </c>
      <c r="O10">
        <f t="shared" si="14"/>
        <v>74</v>
      </c>
      <c r="P10">
        <f t="shared" si="14"/>
        <v>79</v>
      </c>
      <c r="Q10">
        <f t="shared" si="14"/>
        <v>83</v>
      </c>
      <c r="R10" t="str">
        <f t="shared" si="14"/>
        <v/>
      </c>
      <c r="S10" t="str">
        <f t="shared" si="14"/>
        <v/>
      </c>
      <c r="T10" t="str">
        <f t="shared" si="14"/>
        <v/>
      </c>
      <c r="U10" t="str">
        <f t="shared" si="14"/>
        <v/>
      </c>
      <c r="V10" t="str">
        <f t="shared" si="14"/>
        <v/>
      </c>
      <c r="W10" t="str">
        <f t="shared" si="14"/>
        <v/>
      </c>
      <c r="X10" t="str">
        <f t="shared" si="14"/>
        <v/>
      </c>
      <c r="AA10" t="str">
        <f t="shared" si="8"/>
        <v>Lewis (1880–1918: #52)</v>
      </c>
      <c r="AB10" t="str">
        <f t="shared" si="6"/>
        <v>Edward (1881–1962: #53)</v>
      </c>
      <c r="AC10" t="str">
        <f t="shared" si="6"/>
        <v>Evelyn (1885–1962: #59)</v>
      </c>
      <c r="AD10" t="str">
        <f t="shared" si="6"/>
        <v>Mary (1887–1968: #63)</v>
      </c>
      <c r="AE10" t="str">
        <f t="shared" si="6"/>
        <v>Cecil (1890–1963: #68)</v>
      </c>
      <c r="AF10" t="str">
        <f t="shared" si="6"/>
        <v>Eric (1891–1967: #73)</v>
      </c>
      <c r="AG10" t="str">
        <f t="shared" si="6"/>
        <v>Cecily (1891–1891: #74)</v>
      </c>
      <c r="AH10" t="str">
        <f t="shared" si="6"/>
        <v>Alwyne (1894–1917: #79)</v>
      </c>
      <c r="AI10" t="str">
        <f t="shared" si="6"/>
        <v>Ruby (1898–1977: #83)</v>
      </c>
      <c r="AJ10" t="str">
        <f t="shared" si="6"/>
        <v/>
      </c>
      <c r="AK10" t="str">
        <f t="shared" si="6"/>
        <v/>
      </c>
      <c r="AL10" t="str">
        <f t="shared" si="6"/>
        <v/>
      </c>
      <c r="AM10" t="str">
        <f t="shared" si="6"/>
        <v/>
      </c>
      <c r="AN10" t="str">
        <f t="shared" si="6"/>
        <v/>
      </c>
      <c r="AO10" t="str">
        <f t="shared" si="6"/>
        <v/>
      </c>
      <c r="AP10" t="str">
        <f t="shared" si="6"/>
        <v/>
      </c>
      <c r="AQ10" s="60">
        <f t="shared" si="9"/>
        <v>22</v>
      </c>
      <c r="AR10" s="126">
        <f t="shared" si="10"/>
        <v>9</v>
      </c>
      <c r="AS10" s="60" t="str">
        <f t="shared" si="11"/>
        <v>Lewis (1880–1918: #52); Edward (1881–1962: #53); Evelyn (1885–1962: #59); Mary (1887–1968: #63); Cecil (1890–1963: #68); Eric (1891–1967: #73); Cecily (1891–1891: #74); Alwyne (1894–1917: #79); Ruby (1898–1977: #83)</v>
      </c>
      <c r="AT10" s="97" t="str">
        <f t="shared" si="12"/>
        <v>9 - Lewis (1880–1918: #52); Edward (1881–1962: #53); Evelyn (1885–1962: #59); Mary (1887–1968: #63); Cecil (1890–1963: #68); Eric (1891–1967: #73); Cecily (1891–1891: #74); Alwyne (1894–1917: #79); Ruby (1898–1977: #83)</v>
      </c>
      <c r="AU10" s="116">
        <f t="shared" si="13"/>
        <v>9</v>
      </c>
      <c r="AW10" s="72">
        <v>22</v>
      </c>
      <c r="CW10">
        <v>52</v>
      </c>
      <c r="CX10">
        <v>53</v>
      </c>
      <c r="DD10">
        <v>59</v>
      </c>
      <c r="DH10">
        <v>63</v>
      </c>
      <c r="DM10">
        <v>68</v>
      </c>
      <c r="DR10">
        <v>73</v>
      </c>
      <c r="DS10">
        <v>74</v>
      </c>
      <c r="DX10">
        <v>79</v>
      </c>
      <c r="EB10">
        <v>83</v>
      </c>
      <c r="IG10">
        <v>604</v>
      </c>
    </row>
    <row r="11" spans="1:241" ht="52" thickBot="1">
      <c r="A11" s="12">
        <f>'Book Details - NO EDIT'!A12</f>
        <v>10</v>
      </c>
      <c r="B11" s="112" t="str">
        <f>'Book Details - NO EDIT'!X12</f>
        <v>William (1809–1879: #10)</v>
      </c>
      <c r="C11" s="113">
        <f>'Book Details - NO EDIT'!L12</f>
        <v>4</v>
      </c>
      <c r="D11" s="44">
        <f>'Loyd List 1-190 - Edit'!T12</f>
        <v>1</v>
      </c>
      <c r="G11">
        <f t="shared" si="3"/>
        <v>23</v>
      </c>
      <c r="H11">
        <f t="shared" si="7"/>
        <v>11</v>
      </c>
      <c r="I11">
        <f t="shared" si="4"/>
        <v>55</v>
      </c>
      <c r="J11">
        <f t="shared" si="14"/>
        <v>57</v>
      </c>
      <c r="K11">
        <f t="shared" si="14"/>
        <v>64</v>
      </c>
      <c r="L11">
        <f t="shared" si="14"/>
        <v>66</v>
      </c>
      <c r="M11">
        <f t="shared" si="14"/>
        <v>70</v>
      </c>
      <c r="N11">
        <f t="shared" si="14"/>
        <v>72</v>
      </c>
      <c r="O11">
        <f t="shared" si="14"/>
        <v>75</v>
      </c>
      <c r="P11">
        <f t="shared" si="14"/>
        <v>78</v>
      </c>
      <c r="Q11">
        <f t="shared" si="14"/>
        <v>81</v>
      </c>
      <c r="R11">
        <f t="shared" si="14"/>
        <v>82</v>
      </c>
      <c r="S11">
        <f t="shared" si="14"/>
        <v>84</v>
      </c>
      <c r="T11" t="str">
        <f t="shared" si="14"/>
        <v/>
      </c>
      <c r="U11" t="str">
        <f t="shared" si="14"/>
        <v/>
      </c>
      <c r="V11" t="str">
        <f t="shared" si="14"/>
        <v/>
      </c>
      <c r="W11" t="str">
        <f t="shared" si="14"/>
        <v/>
      </c>
      <c r="X11" t="str">
        <f t="shared" si="14"/>
        <v/>
      </c>
      <c r="AA11" t="str">
        <f t="shared" si="8"/>
        <v>Dick (1882–1950: #55)</v>
      </c>
      <c r="AB11" t="str">
        <f t="shared" si="6"/>
        <v>Robert (1884–1917: #57)</v>
      </c>
      <c r="AC11" t="str">
        <f t="shared" si="6"/>
        <v>Gertrude (1887–1917: #64)</v>
      </c>
      <c r="AD11" t="str">
        <f t="shared" si="6"/>
        <v>William (1889–1947: #66)</v>
      </c>
      <c r="AE11" t="str">
        <f t="shared" si="6"/>
        <v>Diana (1890–1963: #70)</v>
      </c>
      <c r="AF11" t="str">
        <f t="shared" si="6"/>
        <v>Charles (1891–1973: #72)</v>
      </c>
      <c r="AG11" t="str">
        <f t="shared" si="6"/>
        <v>Godfrey (1893–1917: #75)</v>
      </c>
      <c r="AH11" t="str">
        <f t="shared" si="6"/>
        <v>Vivian (1894–1972: #78)</v>
      </c>
      <c r="AI11" t="str">
        <f t="shared" si="6"/>
        <v>Reginald (1885–1917: #81)</v>
      </c>
      <c r="AJ11" t="str">
        <f t="shared" si="6"/>
        <v>Wilfred (1896–1955: #82)</v>
      </c>
      <c r="AK11" t="str">
        <f t="shared" si="6"/>
        <v>Eddie (1902–1942: #84)</v>
      </c>
      <c r="AL11" t="str">
        <f t="shared" si="6"/>
        <v/>
      </c>
      <c r="AM11" t="str">
        <f t="shared" si="6"/>
        <v/>
      </c>
      <c r="AN11" t="str">
        <f t="shared" si="6"/>
        <v/>
      </c>
      <c r="AO11" t="str">
        <f t="shared" si="6"/>
        <v/>
      </c>
      <c r="AP11" t="str">
        <f t="shared" si="6"/>
        <v/>
      </c>
      <c r="AQ11" s="60">
        <f t="shared" si="9"/>
        <v>23</v>
      </c>
      <c r="AR11" s="126">
        <f t="shared" si="10"/>
        <v>11</v>
      </c>
      <c r="AS11" s="60" t="str">
        <f t="shared" si="11"/>
        <v>Dick (1882–1950: #55); Robert (1884–1917: #57); Gertrude (1887–1917: #64); William (1889–1947: #66); Diana (1890–1963: #70); Charles (1891–1973: #72); Godfrey (1893–1917: #75); Vivian (1894–1972: #78); Reginald (1885–1917: #81); Wilfred (1896–1955: #82); Eddie (1902–1942: #84)</v>
      </c>
      <c r="AT11" s="97" t="str">
        <f t="shared" si="12"/>
        <v>11 - Dick (1882–1950: #55); Robert (1884–1917: #57); Gertrude (1887–1917: #64); William (1889–1947: #66); Diana (1890–1963: #70); Charles (1891–1973: #72); Godfrey (1893–1917: #75); Vivian (1894–1972: #78); Reginald (1885–1917: #81); Wilfred (1896–1955: #82); Eddie (1902–1942: #84)</v>
      </c>
      <c r="AU11" s="116">
        <f t="shared" si="13"/>
        <v>11</v>
      </c>
      <c r="AW11" s="72">
        <v>23</v>
      </c>
      <c r="CZ11">
        <v>55</v>
      </c>
      <c r="DB11">
        <v>57</v>
      </c>
      <c r="DI11">
        <v>64</v>
      </c>
      <c r="DK11">
        <v>66</v>
      </c>
      <c r="DO11">
        <v>70</v>
      </c>
      <c r="DQ11">
        <v>72</v>
      </c>
      <c r="DT11">
        <v>75</v>
      </c>
      <c r="DW11">
        <v>78</v>
      </c>
      <c r="DZ11">
        <v>81</v>
      </c>
      <c r="EA11">
        <v>82</v>
      </c>
      <c r="EC11">
        <v>84</v>
      </c>
      <c r="IG11">
        <v>784</v>
      </c>
    </row>
    <row r="12" spans="1:241" ht="35" thickBot="1">
      <c r="A12" s="12">
        <f>'Book Details - NO EDIT'!A13</f>
        <v>11</v>
      </c>
      <c r="B12" s="112" t="str">
        <f>'Book Details - NO EDIT'!X13</f>
        <v>Sarah (1810–1858: #11)</v>
      </c>
      <c r="C12" s="113">
        <f>'Book Details - NO EDIT'!L13</f>
        <v>8</v>
      </c>
      <c r="D12" s="44">
        <f>'Loyd List 1-190 - Edit'!T13</f>
        <v>1</v>
      </c>
      <c r="G12">
        <f t="shared" si="3"/>
        <v>28</v>
      </c>
      <c r="H12">
        <f t="shared" si="7"/>
        <v>6</v>
      </c>
      <c r="I12">
        <f t="shared" si="4"/>
        <v>85</v>
      </c>
      <c r="J12">
        <f t="shared" si="14"/>
        <v>87</v>
      </c>
      <c r="K12">
        <f t="shared" si="14"/>
        <v>91</v>
      </c>
      <c r="L12">
        <f t="shared" si="14"/>
        <v>95</v>
      </c>
      <c r="M12">
        <f t="shared" si="14"/>
        <v>100</v>
      </c>
      <c r="N12">
        <f t="shared" si="14"/>
        <v>101</v>
      </c>
      <c r="O12" t="str">
        <f t="shared" si="14"/>
        <v/>
      </c>
      <c r="P12" t="str">
        <f t="shared" si="14"/>
        <v/>
      </c>
      <c r="Q12" t="str">
        <f t="shared" si="14"/>
        <v/>
      </c>
      <c r="R12" t="str">
        <f t="shared" si="14"/>
        <v/>
      </c>
      <c r="S12" t="str">
        <f t="shared" si="14"/>
        <v/>
      </c>
      <c r="T12" t="str">
        <f t="shared" si="14"/>
        <v/>
      </c>
      <c r="U12" t="str">
        <f t="shared" si="14"/>
        <v/>
      </c>
      <c r="V12" t="str">
        <f t="shared" si="14"/>
        <v/>
      </c>
      <c r="W12" t="str">
        <f t="shared" si="14"/>
        <v/>
      </c>
      <c r="X12" t="str">
        <f t="shared" si="14"/>
        <v/>
      </c>
      <c r="AA12" t="str">
        <f t="shared" si="8"/>
        <v>Anne (1912–2004: #85)</v>
      </c>
      <c r="AB12" t="str">
        <f t="shared" si="6"/>
        <v>John (1913–1943: #87)</v>
      </c>
      <c r="AC12" t="str">
        <f t="shared" si="6"/>
        <v>Martin (1917–1926: #91)</v>
      </c>
      <c r="AD12" t="str">
        <f t="shared" si="6"/>
        <v>Hester (1920–2002: #95)</v>
      </c>
      <c r="AE12" t="str">
        <f t="shared" si="6"/>
        <v>Christopher (1923–2013: #100)</v>
      </c>
      <c r="AF12" t="str">
        <f t="shared" si="6"/>
        <v>Catherine (1923–2014: #101)</v>
      </c>
      <c r="AG12" t="str">
        <f t="shared" ref="AG12" si="15">IF(LEN(O12)&gt;0,VLOOKUP(O12,$A$2:$B$220,2,FALSE),"")</f>
        <v/>
      </c>
      <c r="AH12" t="str">
        <f t="shared" ref="AH12" si="16">IF(LEN(P12)&gt;0,VLOOKUP(P12,$A$2:$B$220,2,FALSE),"")</f>
        <v/>
      </c>
      <c r="AI12" t="str">
        <f t="shared" si="6"/>
        <v/>
      </c>
      <c r="AJ12" t="str">
        <f t="shared" si="6"/>
        <v/>
      </c>
      <c r="AK12" t="str">
        <f t="shared" si="6"/>
        <v/>
      </c>
      <c r="AL12" t="str">
        <f t="shared" si="6"/>
        <v/>
      </c>
      <c r="AM12" t="str">
        <f t="shared" si="6"/>
        <v/>
      </c>
      <c r="AN12" t="str">
        <f t="shared" si="6"/>
        <v/>
      </c>
      <c r="AO12" t="str">
        <f t="shared" si="6"/>
        <v/>
      </c>
      <c r="AP12" t="str">
        <f t="shared" si="6"/>
        <v/>
      </c>
      <c r="AQ12" s="60">
        <f t="shared" si="9"/>
        <v>28</v>
      </c>
      <c r="AR12" s="126">
        <f t="shared" si="10"/>
        <v>6</v>
      </c>
      <c r="AS12" s="60" t="str">
        <f t="shared" si="11"/>
        <v>Anne (1912–2004: #85); John (1913–1943: #87); Martin (1917–1926: #91); Hester (1920–2002: #95); Christopher (1923–2013: #100); Catherine (1923–2014: #101)</v>
      </c>
      <c r="AT12" s="97" t="str">
        <f t="shared" si="12"/>
        <v>6 - Anne (1912–2004: #85); John (1913–1943: #87); Martin (1917–1926: #91); Hester (1920–2002: #95); Christopher (1923–2013: #100); Catherine (1923–2014: #101)</v>
      </c>
      <c r="AU12" s="116">
        <f t="shared" si="13"/>
        <v>6</v>
      </c>
      <c r="AW12" s="72">
        <v>28</v>
      </c>
      <c r="ED12">
        <v>85</v>
      </c>
      <c r="EF12">
        <v>87</v>
      </c>
      <c r="EJ12">
        <v>91</v>
      </c>
      <c r="EN12">
        <v>95</v>
      </c>
      <c r="ES12">
        <v>100</v>
      </c>
      <c r="ET12">
        <v>101</v>
      </c>
      <c r="IG12">
        <v>559</v>
      </c>
    </row>
    <row r="13" spans="1:241" ht="18" thickBot="1">
      <c r="A13" s="12">
        <f>'Book Details - NO EDIT'!A14</f>
        <v>12</v>
      </c>
      <c r="B13" s="112" t="str">
        <f>'Book Details - NO EDIT'!X14</f>
        <v>Eliza (1810–1861: #12)</v>
      </c>
      <c r="C13" s="113">
        <f>'Book Details - NO EDIT'!L14</f>
        <v>4</v>
      </c>
      <c r="D13" s="44">
        <f>'Loyd List 1-190 - Edit'!T14</f>
        <v>1</v>
      </c>
      <c r="G13">
        <f t="shared" si="3"/>
        <v>29</v>
      </c>
      <c r="H13">
        <f t="shared" si="7"/>
        <v>4</v>
      </c>
      <c r="I13">
        <f t="shared" si="4"/>
        <v>109</v>
      </c>
      <c r="J13">
        <f t="shared" si="14"/>
        <v>110</v>
      </c>
      <c r="K13">
        <f t="shared" si="14"/>
        <v>114</v>
      </c>
      <c r="L13">
        <f t="shared" si="14"/>
        <v>119</v>
      </c>
      <c r="M13" t="str">
        <f t="shared" si="14"/>
        <v/>
      </c>
      <c r="N13" t="str">
        <f t="shared" si="14"/>
        <v/>
      </c>
      <c r="O13" t="str">
        <f t="shared" si="14"/>
        <v/>
      </c>
      <c r="P13" t="str">
        <f t="shared" si="14"/>
        <v/>
      </c>
      <c r="Q13" t="str">
        <f t="shared" si="14"/>
        <v/>
      </c>
      <c r="R13" t="str">
        <f t="shared" si="14"/>
        <v/>
      </c>
      <c r="S13" t="str">
        <f t="shared" si="14"/>
        <v/>
      </c>
      <c r="T13" t="str">
        <f t="shared" si="14"/>
        <v/>
      </c>
      <c r="U13" t="str">
        <f t="shared" si="14"/>
        <v/>
      </c>
      <c r="V13" t="str">
        <f t="shared" si="14"/>
        <v/>
      </c>
      <c r="W13" t="str">
        <f t="shared" si="14"/>
        <v/>
      </c>
      <c r="X13" t="str">
        <f t="shared" si="14"/>
        <v/>
      </c>
      <c r="AA13" t="str">
        <f t="shared" si="8"/>
        <v>Margaret (1932–: #109)</v>
      </c>
      <c r="AB13" t="str">
        <f t="shared" si="6"/>
        <v>Jean (1933–: #110)</v>
      </c>
      <c r="AC13" t="str">
        <f t="shared" si="6"/>
        <v>Michael (1938–: #114)</v>
      </c>
      <c r="AD13" t="str">
        <f t="shared" si="6"/>
        <v>Peter (1942–: #119)</v>
      </c>
      <c r="AE13" t="str">
        <f t="shared" si="6"/>
        <v/>
      </c>
      <c r="AF13" t="str">
        <f t="shared" si="6"/>
        <v/>
      </c>
      <c r="AG13" t="str">
        <f t="shared" si="6"/>
        <v/>
      </c>
      <c r="AH13" t="str">
        <f t="shared" si="6"/>
        <v/>
      </c>
      <c r="AI13" t="str">
        <f t="shared" si="6"/>
        <v/>
      </c>
      <c r="AJ13" t="str">
        <f t="shared" si="6"/>
        <v/>
      </c>
      <c r="AK13" t="str">
        <f t="shared" si="6"/>
        <v/>
      </c>
      <c r="AL13" t="str">
        <f t="shared" si="6"/>
        <v/>
      </c>
      <c r="AM13" t="str">
        <f t="shared" si="6"/>
        <v/>
      </c>
      <c r="AN13" t="str">
        <f t="shared" si="6"/>
        <v/>
      </c>
      <c r="AO13" t="str">
        <f t="shared" si="6"/>
        <v/>
      </c>
      <c r="AP13" t="str">
        <f t="shared" si="6"/>
        <v/>
      </c>
      <c r="AQ13" s="60">
        <f t="shared" si="9"/>
        <v>29</v>
      </c>
      <c r="AR13" s="126">
        <f t="shared" si="10"/>
        <v>4</v>
      </c>
      <c r="AS13" s="60" t="str">
        <f t="shared" si="11"/>
        <v>Margaret (1932–: #109); Jean (1933–: #110); Michael (1938–: #114); Peter (1942–: #119)</v>
      </c>
      <c r="AT13" s="97" t="str">
        <f t="shared" si="12"/>
        <v>4 - Margaret (1932–: #109); Jean (1933–: #110); Michael (1938–: #114); Peter (1942–: #119)</v>
      </c>
      <c r="AU13" s="116">
        <f t="shared" si="13"/>
        <v>4</v>
      </c>
      <c r="AW13" s="72">
        <v>29</v>
      </c>
      <c r="FB13">
        <v>109</v>
      </c>
      <c r="FC13">
        <v>110</v>
      </c>
      <c r="FG13">
        <v>114</v>
      </c>
      <c r="FL13">
        <v>119</v>
      </c>
      <c r="IG13">
        <v>452</v>
      </c>
    </row>
    <row r="14" spans="1:241" ht="35" thickBot="1">
      <c r="A14" s="12">
        <f>'Book Details - NO EDIT'!A15</f>
        <v>13</v>
      </c>
      <c r="B14" s="112" t="str">
        <f>'Book Details - NO EDIT'!X15</f>
        <v>Lewis (1811–1891: #13)</v>
      </c>
      <c r="C14" s="113">
        <f>'Book Details - NO EDIT'!L15</f>
        <v>8</v>
      </c>
      <c r="D14" s="44">
        <f>'Loyd List 1-190 - Edit'!T15</f>
        <v>1</v>
      </c>
      <c r="G14">
        <f t="shared" si="3"/>
        <v>30</v>
      </c>
      <c r="H14">
        <f t="shared" si="7"/>
        <v>5</v>
      </c>
      <c r="I14">
        <f t="shared" si="4"/>
        <v>98</v>
      </c>
      <c r="J14">
        <f t="shared" si="14"/>
        <v>102</v>
      </c>
      <c r="K14">
        <f t="shared" si="14"/>
        <v>105</v>
      </c>
      <c r="L14">
        <f t="shared" si="14"/>
        <v>106</v>
      </c>
      <c r="M14">
        <f t="shared" si="14"/>
        <v>111</v>
      </c>
      <c r="N14" t="str">
        <f t="shared" si="14"/>
        <v/>
      </c>
      <c r="O14" t="str">
        <f t="shared" si="14"/>
        <v/>
      </c>
      <c r="P14" t="str">
        <f t="shared" si="14"/>
        <v/>
      </c>
      <c r="Q14" t="str">
        <f t="shared" si="14"/>
        <v/>
      </c>
      <c r="R14" t="str">
        <f t="shared" si="14"/>
        <v/>
      </c>
      <c r="S14" t="str">
        <f t="shared" si="14"/>
        <v/>
      </c>
      <c r="T14" t="str">
        <f t="shared" si="14"/>
        <v/>
      </c>
      <c r="U14" t="str">
        <f t="shared" si="14"/>
        <v/>
      </c>
      <c r="V14" t="str">
        <f t="shared" si="14"/>
        <v/>
      </c>
      <c r="W14" t="str">
        <f t="shared" si="14"/>
        <v/>
      </c>
      <c r="X14" t="str">
        <f t="shared" si="14"/>
        <v/>
      </c>
      <c r="AA14" t="str">
        <f t="shared" si="8"/>
        <v>Peter (1922–2022: #98)</v>
      </c>
      <c r="AB14" t="str">
        <f t="shared" si="6"/>
        <v>Zelda (1923–2014: #102)</v>
      </c>
      <c r="AC14" t="str">
        <f t="shared" si="6"/>
        <v>Geoffrey (1926–2018: #105)</v>
      </c>
      <c r="AD14" t="str">
        <f t="shared" si="6"/>
        <v>Denise (1928–: #106)</v>
      </c>
      <c r="AE14" t="str">
        <f t="shared" si="6"/>
        <v>Andrew (1934–1975: #111)</v>
      </c>
      <c r="AF14" t="str">
        <f t="shared" si="6"/>
        <v/>
      </c>
      <c r="AG14" t="str">
        <f t="shared" si="6"/>
        <v/>
      </c>
      <c r="AH14" t="str">
        <f t="shared" si="6"/>
        <v/>
      </c>
      <c r="AI14" t="str">
        <f t="shared" si="6"/>
        <v/>
      </c>
      <c r="AJ14" t="str">
        <f t="shared" si="6"/>
        <v/>
      </c>
      <c r="AK14" t="str">
        <f t="shared" si="6"/>
        <v/>
      </c>
      <c r="AL14" t="str">
        <f t="shared" si="6"/>
        <v/>
      </c>
      <c r="AM14" t="str">
        <f t="shared" si="6"/>
        <v/>
      </c>
      <c r="AN14" t="str">
        <f t="shared" si="6"/>
        <v/>
      </c>
      <c r="AO14" t="str">
        <f t="shared" si="6"/>
        <v/>
      </c>
      <c r="AP14" t="str">
        <f t="shared" si="6"/>
        <v/>
      </c>
      <c r="AQ14" s="60">
        <f t="shared" si="9"/>
        <v>30</v>
      </c>
      <c r="AR14" s="126">
        <f t="shared" si="10"/>
        <v>5</v>
      </c>
      <c r="AS14" s="60" t="str">
        <f t="shared" si="11"/>
        <v>Peter (1922–2022: #98); Zelda (1923–2014: #102); Geoffrey (1926–2018: #105); Denise (1928–: #106); Andrew (1934–1975: #111)</v>
      </c>
      <c r="AT14" s="97" t="str">
        <f t="shared" si="12"/>
        <v>5 - Peter (1922–2022: #98); Zelda (1923–2014: #102); Geoffrey (1926–2018: #105); Denise (1928–: #106); Andrew (1934–1975: #111)</v>
      </c>
      <c r="AU14" s="116">
        <f t="shared" si="13"/>
        <v>5</v>
      </c>
      <c r="AW14" s="72">
        <v>30</v>
      </c>
      <c r="EQ14">
        <v>98</v>
      </c>
      <c r="EU14">
        <v>102</v>
      </c>
      <c r="EX14">
        <v>105</v>
      </c>
      <c r="EY14">
        <v>106</v>
      </c>
      <c r="FD14">
        <v>111</v>
      </c>
      <c r="IG14">
        <v>522</v>
      </c>
    </row>
    <row r="15" spans="1:241" ht="18" thickBot="1">
      <c r="A15" s="12">
        <f>'Book Details - NO EDIT'!A16</f>
        <v>14</v>
      </c>
      <c r="B15" s="112" t="str">
        <f>'Book Details - NO EDIT'!X16</f>
        <v>Thomas (1812–1857: #14)</v>
      </c>
      <c r="C15" s="113">
        <f>'Book Details - NO EDIT'!L16</f>
        <v>4</v>
      </c>
      <c r="D15" s="44">
        <f>'Loyd List 1-190 - Edit'!T16</f>
        <v>1</v>
      </c>
      <c r="G15">
        <f t="shared" si="3"/>
        <v>32</v>
      </c>
      <c r="H15">
        <f t="shared" si="7"/>
        <v>2</v>
      </c>
      <c r="I15">
        <f t="shared" si="4"/>
        <v>89</v>
      </c>
      <c r="J15">
        <f t="shared" si="14"/>
        <v>92</v>
      </c>
      <c r="K15" t="str">
        <f t="shared" si="14"/>
        <v/>
      </c>
      <c r="L15" t="str">
        <f t="shared" si="14"/>
        <v/>
      </c>
      <c r="M15" t="str">
        <f t="shared" si="14"/>
        <v/>
      </c>
      <c r="N15" t="str">
        <f t="shared" si="14"/>
        <v/>
      </c>
      <c r="O15" t="str">
        <f t="shared" si="14"/>
        <v/>
      </c>
      <c r="P15" t="str">
        <f t="shared" si="14"/>
        <v/>
      </c>
      <c r="Q15" t="str">
        <f t="shared" si="14"/>
        <v/>
      </c>
      <c r="R15" t="str">
        <f t="shared" si="14"/>
        <v/>
      </c>
      <c r="S15" t="str">
        <f t="shared" si="14"/>
        <v/>
      </c>
      <c r="T15" t="str">
        <f t="shared" si="14"/>
        <v/>
      </c>
      <c r="U15" t="str">
        <f t="shared" si="14"/>
        <v/>
      </c>
      <c r="V15" t="str">
        <f t="shared" si="14"/>
        <v/>
      </c>
      <c r="W15" t="str">
        <f t="shared" si="14"/>
        <v/>
      </c>
      <c r="X15" t="str">
        <f t="shared" si="14"/>
        <v/>
      </c>
      <c r="AA15" t="str">
        <f t="shared" si="8"/>
        <v>Sir Francis/Frank (1916–2006: #89)</v>
      </c>
      <c r="AB15" t="str">
        <f t="shared" si="6"/>
        <v>Daphne (1917–1992: #92)</v>
      </c>
      <c r="AC15" t="str">
        <f t="shared" si="6"/>
        <v/>
      </c>
      <c r="AD15" t="str">
        <f t="shared" si="6"/>
        <v/>
      </c>
      <c r="AE15" t="str">
        <f t="shared" si="6"/>
        <v/>
      </c>
      <c r="AF15" t="str">
        <f t="shared" si="6"/>
        <v/>
      </c>
      <c r="AG15" t="str">
        <f t="shared" si="6"/>
        <v/>
      </c>
      <c r="AH15" t="str">
        <f t="shared" si="6"/>
        <v/>
      </c>
      <c r="AI15" t="str">
        <f t="shared" si="6"/>
        <v/>
      </c>
      <c r="AJ15" t="str">
        <f t="shared" si="6"/>
        <v/>
      </c>
      <c r="AK15" t="str">
        <f t="shared" si="6"/>
        <v/>
      </c>
      <c r="AL15" t="str">
        <f t="shared" si="6"/>
        <v/>
      </c>
      <c r="AM15" t="str">
        <f t="shared" si="6"/>
        <v/>
      </c>
      <c r="AN15" t="str">
        <f t="shared" si="6"/>
        <v/>
      </c>
      <c r="AO15" t="str">
        <f t="shared" si="6"/>
        <v/>
      </c>
      <c r="AP15" t="str">
        <f t="shared" si="6"/>
        <v/>
      </c>
      <c r="AQ15" s="60">
        <f t="shared" si="9"/>
        <v>32</v>
      </c>
      <c r="AR15" s="126">
        <f t="shared" si="10"/>
        <v>2</v>
      </c>
      <c r="AS15" s="60" t="str">
        <f t="shared" si="11"/>
        <v>Sir Francis/Frank (1916–2006: #89); Daphne (1917–1992: #92)</v>
      </c>
      <c r="AT15" s="97" t="str">
        <f t="shared" si="12"/>
        <v>2 - Sir Francis/Frank (1916–2006: #89); Daphne (1917–1992: #92)</v>
      </c>
      <c r="AU15" s="116">
        <f t="shared" si="13"/>
        <v>2</v>
      </c>
      <c r="AW15" s="72">
        <v>32</v>
      </c>
      <c r="EH15">
        <v>89</v>
      </c>
      <c r="EK15">
        <v>92</v>
      </c>
      <c r="IG15">
        <v>181</v>
      </c>
    </row>
    <row r="16" spans="1:241" ht="18" thickBot="1">
      <c r="A16" s="12">
        <f>'Book Details - NO EDIT'!A17</f>
        <v>15</v>
      </c>
      <c r="B16" s="112" t="str">
        <f>'Book Details - NO EDIT'!X17</f>
        <v>Annie (1813–1834: #15)</v>
      </c>
      <c r="C16" s="113">
        <f>'Book Details - NO EDIT'!L17</f>
        <v>8</v>
      </c>
      <c r="D16" s="44">
        <f>'Loyd List 1-190 - Edit'!T17</f>
        <v>1</v>
      </c>
      <c r="G16">
        <f t="shared" si="3"/>
        <v>34</v>
      </c>
      <c r="H16">
        <f t="shared" si="7"/>
        <v>2</v>
      </c>
      <c r="I16">
        <f t="shared" si="4"/>
        <v>86</v>
      </c>
      <c r="J16">
        <f t="shared" si="14"/>
        <v>107</v>
      </c>
      <c r="K16" t="str">
        <f t="shared" si="14"/>
        <v/>
      </c>
      <c r="L16" t="str">
        <f t="shared" si="14"/>
        <v/>
      </c>
      <c r="M16" t="str">
        <f t="shared" si="14"/>
        <v/>
      </c>
      <c r="N16" t="str">
        <f t="shared" si="14"/>
        <v/>
      </c>
      <c r="O16" t="str">
        <f t="shared" si="14"/>
        <v/>
      </c>
      <c r="P16" t="str">
        <f t="shared" si="14"/>
        <v/>
      </c>
      <c r="Q16" t="str">
        <f t="shared" si="14"/>
        <v/>
      </c>
      <c r="R16" t="str">
        <f t="shared" si="14"/>
        <v/>
      </c>
      <c r="S16" t="str">
        <f t="shared" si="14"/>
        <v/>
      </c>
      <c r="T16" t="str">
        <f t="shared" si="14"/>
        <v/>
      </c>
      <c r="U16" t="str">
        <f t="shared" si="14"/>
        <v/>
      </c>
      <c r="V16" t="str">
        <f t="shared" si="14"/>
        <v/>
      </c>
      <c r="W16" t="str">
        <f t="shared" si="14"/>
        <v/>
      </c>
      <c r="X16" t="str">
        <f t="shared" si="14"/>
        <v/>
      </c>
      <c r="AA16" t="str">
        <f t="shared" si="8"/>
        <v>Peter (1913–2008: #86)</v>
      </c>
      <c r="AB16" t="str">
        <f t="shared" si="6"/>
        <v>Wooie (1928–1996: #107)</v>
      </c>
      <c r="AC16" t="str">
        <f t="shared" si="6"/>
        <v/>
      </c>
      <c r="AD16" t="str">
        <f t="shared" si="6"/>
        <v/>
      </c>
      <c r="AE16" t="str">
        <f t="shared" si="6"/>
        <v/>
      </c>
      <c r="AF16" t="str">
        <f t="shared" si="6"/>
        <v/>
      </c>
      <c r="AG16" t="str">
        <f t="shared" si="6"/>
        <v/>
      </c>
      <c r="AH16" t="str">
        <f t="shared" si="6"/>
        <v/>
      </c>
      <c r="AI16" t="str">
        <f t="shared" si="6"/>
        <v/>
      </c>
      <c r="AJ16" t="str">
        <f t="shared" si="6"/>
        <v/>
      </c>
      <c r="AK16" t="str">
        <f t="shared" si="6"/>
        <v/>
      </c>
      <c r="AL16" t="str">
        <f t="shared" si="6"/>
        <v/>
      </c>
      <c r="AM16" t="str">
        <f t="shared" si="6"/>
        <v/>
      </c>
      <c r="AN16" t="str">
        <f t="shared" si="6"/>
        <v/>
      </c>
      <c r="AO16" t="str">
        <f t="shared" si="6"/>
        <v/>
      </c>
      <c r="AP16" t="str">
        <f t="shared" si="6"/>
        <v/>
      </c>
      <c r="AQ16" s="60">
        <f t="shared" si="9"/>
        <v>34</v>
      </c>
      <c r="AR16" s="126">
        <f t="shared" si="10"/>
        <v>2</v>
      </c>
      <c r="AS16" s="60" t="str">
        <f t="shared" si="11"/>
        <v>Peter (1913–2008: #86); Wooie (1928–1996: #107)</v>
      </c>
      <c r="AT16" s="97" t="str">
        <f t="shared" si="12"/>
        <v>2 - Peter (1913–2008: #86); Wooie (1928–1996: #107)</v>
      </c>
      <c r="AU16" s="116">
        <f t="shared" si="13"/>
        <v>2</v>
      </c>
      <c r="AW16" s="72">
        <v>34</v>
      </c>
      <c r="EE16">
        <v>86</v>
      </c>
      <c r="EZ16">
        <v>107</v>
      </c>
      <c r="IG16">
        <v>193</v>
      </c>
    </row>
    <row r="17" spans="1:241" ht="18" thickBot="1">
      <c r="A17" s="12">
        <f>'Book Details - NO EDIT'!A18</f>
        <v>16</v>
      </c>
      <c r="B17" s="112" t="str">
        <f>'Book Details - NO EDIT'!X18</f>
        <v>Maria (1814–1900: #16)</v>
      </c>
      <c r="C17" s="113">
        <f>'Book Details - NO EDIT'!L18</f>
        <v>4</v>
      </c>
      <c r="D17" s="44">
        <f>'Loyd List 1-190 - Edit'!T18</f>
        <v>1</v>
      </c>
      <c r="G17">
        <f t="shared" si="3"/>
        <v>35</v>
      </c>
      <c r="H17">
        <f t="shared" si="7"/>
        <v>5</v>
      </c>
      <c r="I17">
        <f t="shared" si="4"/>
        <v>108</v>
      </c>
      <c r="J17">
        <f t="shared" si="14"/>
        <v>112</v>
      </c>
      <c r="K17">
        <f t="shared" si="14"/>
        <v>116</v>
      </c>
      <c r="L17">
        <f t="shared" si="14"/>
        <v>117</v>
      </c>
      <c r="M17">
        <f t="shared" si="14"/>
        <v>118</v>
      </c>
      <c r="N17" t="str">
        <f t="shared" si="14"/>
        <v/>
      </c>
      <c r="O17" t="str">
        <f t="shared" si="14"/>
        <v/>
      </c>
      <c r="P17" t="str">
        <f t="shared" si="14"/>
        <v/>
      </c>
      <c r="Q17" t="str">
        <f t="shared" si="14"/>
        <v/>
      </c>
      <c r="R17" t="str">
        <f t="shared" si="14"/>
        <v/>
      </c>
      <c r="S17" t="str">
        <f t="shared" si="14"/>
        <v/>
      </c>
      <c r="T17" t="str">
        <f t="shared" si="14"/>
        <v/>
      </c>
      <c r="U17" t="str">
        <f t="shared" si="14"/>
        <v/>
      </c>
      <c r="V17" t="str">
        <f t="shared" si="14"/>
        <v/>
      </c>
      <c r="W17" t="str">
        <f t="shared" si="14"/>
        <v/>
      </c>
      <c r="X17" t="str">
        <f t="shared" si="14"/>
        <v/>
      </c>
      <c r="AA17" t="str">
        <f t="shared" si="8"/>
        <v>Jos (1931–: #108)</v>
      </c>
      <c r="AB17" t="str">
        <f t="shared" si="6"/>
        <v>Deen (1936–2016: #112)</v>
      </c>
      <c r="AC17" t="str">
        <f t="shared" si="6"/>
        <v>Peggy (1939–: #116)</v>
      </c>
      <c r="AD17" t="str">
        <f t="shared" si="6"/>
        <v>Patrick (1942–: #117)</v>
      </c>
      <c r="AE17" t="str">
        <f t="shared" si="6"/>
        <v>Patricia (1942–1942: #118)</v>
      </c>
      <c r="AF17" t="str">
        <f t="shared" si="6"/>
        <v/>
      </c>
      <c r="AG17" t="str">
        <f t="shared" si="6"/>
        <v/>
      </c>
      <c r="AH17" t="str">
        <f t="shared" si="6"/>
        <v/>
      </c>
      <c r="AI17" t="str">
        <f t="shared" si="6"/>
        <v/>
      </c>
      <c r="AJ17" t="str">
        <f t="shared" si="6"/>
        <v/>
      </c>
      <c r="AK17" t="str">
        <f t="shared" si="6"/>
        <v/>
      </c>
      <c r="AL17" t="str">
        <f t="shared" si="6"/>
        <v/>
      </c>
      <c r="AM17" t="str">
        <f t="shared" si="6"/>
        <v/>
      </c>
      <c r="AN17" t="str">
        <f t="shared" si="6"/>
        <v/>
      </c>
      <c r="AO17" t="str">
        <f t="shared" si="6"/>
        <v/>
      </c>
      <c r="AP17" t="str">
        <f t="shared" si="6"/>
        <v/>
      </c>
      <c r="AQ17" s="60">
        <f t="shared" si="9"/>
        <v>35</v>
      </c>
      <c r="AR17" s="126">
        <f t="shared" si="10"/>
        <v>5</v>
      </c>
      <c r="AS17" s="60" t="str">
        <f t="shared" si="11"/>
        <v>Jos (1931–: #108); Deen (1936–2016: #112); Peggy (1939–: #116); Patrick (1942–: #117); Patricia (1942–1942: #118)</v>
      </c>
      <c r="AT17" s="97" t="str">
        <f t="shared" si="12"/>
        <v>5 - Jos (1931–: #108); Deen (1936–2016: #112); Peggy (1939–: #116); Patrick (1942–: #117); Patricia (1942–1942: #118)</v>
      </c>
      <c r="AU17" s="116">
        <f t="shared" si="13"/>
        <v>5</v>
      </c>
      <c r="AW17" s="72">
        <v>35</v>
      </c>
      <c r="FA17">
        <v>108</v>
      </c>
      <c r="FE17">
        <v>112</v>
      </c>
      <c r="FI17">
        <v>116</v>
      </c>
      <c r="FJ17">
        <v>117</v>
      </c>
      <c r="FK17">
        <v>118</v>
      </c>
      <c r="IG17">
        <v>571</v>
      </c>
    </row>
    <row r="18" spans="1:241" ht="18" thickBot="1">
      <c r="A18" s="12">
        <f>'Book Details - NO EDIT'!A19</f>
        <v>17</v>
      </c>
      <c r="B18" s="112" t="str">
        <f>'Book Details - NO EDIT'!X19</f>
        <v>Edward (1815–1815: #17)</v>
      </c>
      <c r="C18" s="113">
        <f>'Book Details - NO EDIT'!L19</f>
        <v>4</v>
      </c>
      <c r="D18" s="44">
        <f>'Loyd List 1-190 - Edit'!T19</f>
        <v>1</v>
      </c>
      <c r="G18">
        <f t="shared" si="3"/>
        <v>41</v>
      </c>
      <c r="H18">
        <f t="shared" si="7"/>
        <v>2</v>
      </c>
      <c r="I18">
        <f t="shared" si="4"/>
        <v>90</v>
      </c>
      <c r="J18">
        <f t="shared" si="14"/>
        <v>97</v>
      </c>
      <c r="K18" t="str">
        <f t="shared" si="14"/>
        <v/>
      </c>
      <c r="L18" t="str">
        <f t="shared" si="14"/>
        <v/>
      </c>
      <c r="M18" t="str">
        <f t="shared" si="14"/>
        <v/>
      </c>
      <c r="N18" t="str">
        <f t="shared" si="14"/>
        <v/>
      </c>
      <c r="O18" t="str">
        <f t="shared" si="14"/>
        <v/>
      </c>
      <c r="P18" t="str">
        <f t="shared" si="14"/>
        <v/>
      </c>
      <c r="Q18" t="str">
        <f t="shared" si="14"/>
        <v/>
      </c>
      <c r="R18" t="str">
        <f t="shared" si="14"/>
        <v/>
      </c>
      <c r="S18" t="str">
        <f t="shared" si="14"/>
        <v/>
      </c>
      <c r="T18" t="str">
        <f t="shared" si="14"/>
        <v/>
      </c>
      <c r="U18" t="str">
        <f t="shared" si="14"/>
        <v/>
      </c>
      <c r="V18" t="str">
        <f t="shared" si="14"/>
        <v/>
      </c>
      <c r="W18" t="str">
        <f t="shared" si="14"/>
        <v/>
      </c>
      <c r="X18" t="str">
        <f t="shared" si="14"/>
        <v/>
      </c>
      <c r="AA18" t="str">
        <f t="shared" si="8"/>
        <v>Averil (1917–1993: #90)</v>
      </c>
      <c r="AB18" t="str">
        <f t="shared" si="6"/>
        <v>Audrey (1922–2005: #97)</v>
      </c>
      <c r="AC18" t="str">
        <f t="shared" si="6"/>
        <v/>
      </c>
      <c r="AD18" t="str">
        <f t="shared" si="6"/>
        <v/>
      </c>
      <c r="AE18" t="str">
        <f t="shared" si="6"/>
        <v/>
      </c>
      <c r="AF18" t="str">
        <f t="shared" si="6"/>
        <v/>
      </c>
      <c r="AG18" t="str">
        <f t="shared" si="6"/>
        <v/>
      </c>
      <c r="AH18" t="str">
        <f t="shared" si="6"/>
        <v/>
      </c>
      <c r="AI18" t="str">
        <f t="shared" si="6"/>
        <v/>
      </c>
      <c r="AJ18" t="str">
        <f t="shared" si="6"/>
        <v/>
      </c>
      <c r="AK18" t="str">
        <f t="shared" si="6"/>
        <v/>
      </c>
      <c r="AL18" t="str">
        <f t="shared" si="6"/>
        <v/>
      </c>
      <c r="AM18" t="str">
        <f t="shared" si="6"/>
        <v/>
      </c>
      <c r="AN18" t="str">
        <f t="shared" si="6"/>
        <v/>
      </c>
      <c r="AO18" t="str">
        <f t="shared" si="6"/>
        <v/>
      </c>
      <c r="AP18" t="str">
        <f t="shared" si="6"/>
        <v/>
      </c>
      <c r="AQ18" s="60">
        <f t="shared" si="9"/>
        <v>41</v>
      </c>
      <c r="AR18" s="126">
        <f t="shared" si="10"/>
        <v>2</v>
      </c>
      <c r="AS18" s="60" t="str">
        <f t="shared" si="11"/>
        <v>Averil (1917–1993: #90); Audrey (1922–2005: #97)</v>
      </c>
      <c r="AT18" s="97" t="str">
        <f t="shared" si="12"/>
        <v>2 - Averil (1917–1993: #90); Audrey (1922–2005: #97)</v>
      </c>
      <c r="AU18" s="116">
        <f t="shared" si="13"/>
        <v>2</v>
      </c>
      <c r="AW18" s="72">
        <v>41</v>
      </c>
      <c r="EI18">
        <v>90</v>
      </c>
      <c r="EP18">
        <v>97</v>
      </c>
      <c r="IG18">
        <v>187</v>
      </c>
    </row>
    <row r="19" spans="1:241" ht="35" thickBot="1">
      <c r="A19" s="12">
        <f>'Book Details - NO EDIT'!A20</f>
        <v>18</v>
      </c>
      <c r="B19" s="112" t="str">
        <f>'Book Details - NO EDIT'!X20</f>
        <v>Kate (1815–1905: #18)</v>
      </c>
      <c r="C19" s="113">
        <f>'Book Details - NO EDIT'!L20</f>
        <v>8</v>
      </c>
      <c r="D19" s="44">
        <f>'Loyd List 1-190 - Edit'!T20</f>
        <v>1</v>
      </c>
      <c r="G19">
        <f t="shared" si="3"/>
        <v>44</v>
      </c>
      <c r="H19">
        <f t="shared" si="7"/>
        <v>5</v>
      </c>
      <c r="I19">
        <f t="shared" si="4"/>
        <v>88</v>
      </c>
      <c r="J19">
        <f t="shared" si="14"/>
        <v>96</v>
      </c>
      <c r="K19">
        <f t="shared" si="14"/>
        <v>99</v>
      </c>
      <c r="L19">
        <f t="shared" si="14"/>
        <v>103</v>
      </c>
      <c r="M19">
        <f t="shared" si="14"/>
        <v>104</v>
      </c>
      <c r="N19" t="str">
        <f t="shared" si="14"/>
        <v/>
      </c>
      <c r="O19" t="str">
        <f t="shared" si="14"/>
        <v/>
      </c>
      <c r="P19" t="str">
        <f t="shared" si="14"/>
        <v/>
      </c>
      <c r="Q19" t="str">
        <f t="shared" si="14"/>
        <v/>
      </c>
      <c r="R19" t="str">
        <f t="shared" si="14"/>
        <v/>
      </c>
      <c r="S19" t="str">
        <f t="shared" si="14"/>
        <v/>
      </c>
      <c r="T19" t="str">
        <f t="shared" si="14"/>
        <v/>
      </c>
      <c r="U19" t="str">
        <f t="shared" si="14"/>
        <v/>
      </c>
      <c r="V19" t="str">
        <f t="shared" si="14"/>
        <v/>
      </c>
      <c r="W19" t="str">
        <f t="shared" si="14"/>
        <v/>
      </c>
      <c r="X19" t="str">
        <f t="shared" si="14"/>
        <v/>
      </c>
      <c r="AA19" t="str">
        <f t="shared" si="8"/>
        <v>Delia (1915–2007: #88)</v>
      </c>
      <c r="AB19" t="str">
        <f t="shared" ref="AB19:AB39" si="17">IF(LEN(J19)&gt;0,VLOOKUP(J19,$A$2:$B$220,2,FALSE),"")</f>
        <v>Edward (1921–1977: #96)</v>
      </c>
      <c r="AC19" t="str">
        <f t="shared" ref="AC19:AC39" si="18">IF(LEN(K19)&gt;0,VLOOKUP(K19,$A$2:$B$220,2,FALSE),"")</f>
        <v>Peter (1923–1974: #99)</v>
      </c>
      <c r="AD19" t="str">
        <f t="shared" ref="AD19:AD39" si="19">IF(LEN(L19)&gt;0,VLOOKUP(L19,$A$2:$B$220,2,FALSE),"")</f>
        <v>Lavinia (1923–1995: #103)</v>
      </c>
      <c r="AE19" t="str">
        <f t="shared" ref="AE19:AE39" si="20">IF(LEN(M19)&gt;0,VLOOKUP(M19,$A$2:$B$220,2,FALSE),"")</f>
        <v>Sir Julian (1926–2018: #104)</v>
      </c>
      <c r="AF19" t="str">
        <f t="shared" ref="AF19:AF39" si="21">IF(LEN(N19)&gt;0,VLOOKUP(N19,$A$2:$B$220,2,FALSE),"")</f>
        <v/>
      </c>
      <c r="AG19" t="str">
        <f t="shared" ref="AG19:AG39" si="22">IF(LEN(O19)&gt;0,VLOOKUP(O19,$A$2:$B$220,2,FALSE),"")</f>
        <v/>
      </c>
      <c r="AH19" t="str">
        <f t="shared" ref="AH19:AH39" si="23">IF(LEN(P19)&gt;0,VLOOKUP(P19,$A$2:$B$220,2,FALSE),"")</f>
        <v/>
      </c>
      <c r="AI19" t="str">
        <f t="shared" ref="AI19:AI39" si="24">IF(LEN(Q19)&gt;0,VLOOKUP(Q19,$A$2:$B$220,2,FALSE),"")</f>
        <v/>
      </c>
      <c r="AJ19" t="str">
        <f t="shared" ref="AJ19:AJ39" si="25">IF(LEN(R19)&gt;0,VLOOKUP(R19,$A$2:$B$220,2,FALSE),"")</f>
        <v/>
      </c>
      <c r="AK19" t="str">
        <f t="shared" ref="AK19:AK39" si="26">IF(LEN(S19)&gt;0,VLOOKUP(S19,$A$2:$B$220,2,FALSE),"")</f>
        <v/>
      </c>
      <c r="AL19" t="str">
        <f t="shared" ref="AL19:AL39" si="27">IF(LEN(T19)&gt;0,VLOOKUP(T19,$A$2:$B$220,2,FALSE),"")</f>
        <v/>
      </c>
      <c r="AM19" t="str">
        <f t="shared" ref="AM19:AM39" si="28">IF(LEN(U19)&gt;0,VLOOKUP(U19,$A$2:$B$220,2,FALSE),"")</f>
        <v/>
      </c>
      <c r="AN19" t="str">
        <f t="shared" ref="AN19:AN39" si="29">IF(LEN(V19)&gt;0,VLOOKUP(V19,$A$2:$B$220,2,FALSE),"")</f>
        <v/>
      </c>
      <c r="AO19" t="str">
        <f t="shared" ref="AO19:AO39" si="30">IF(LEN(W19)&gt;0,VLOOKUP(W19,$A$2:$B$220,2,FALSE),"")</f>
        <v/>
      </c>
      <c r="AP19" t="str">
        <f t="shared" ref="AP19:AP39" si="31">IF(LEN(X19)&gt;0,VLOOKUP(X19,$A$2:$B$220,2,FALSE),"")</f>
        <v/>
      </c>
      <c r="AQ19" s="60">
        <f t="shared" si="9"/>
        <v>44</v>
      </c>
      <c r="AR19" s="126">
        <f t="shared" si="10"/>
        <v>5</v>
      </c>
      <c r="AS19" s="60" t="str">
        <f t="shared" si="11"/>
        <v>Delia (1915–2007: #88); Edward (1921–1977: #96); Peter (1923–1974: #99); Lavinia (1923–1995: #103); Sir Julian (1926–2018: #104)</v>
      </c>
      <c r="AT19" s="97" t="str">
        <f t="shared" si="12"/>
        <v>5 - Delia (1915–2007: #88); Edward (1921–1977: #96); Peter (1923–1974: #99); Lavinia (1923–1995: #103); Sir Julian (1926–2018: #104)</v>
      </c>
      <c r="AU19" s="116">
        <f t="shared" si="13"/>
        <v>5</v>
      </c>
      <c r="AW19" s="72">
        <v>44</v>
      </c>
      <c r="EG19">
        <v>88</v>
      </c>
      <c r="EO19">
        <v>96</v>
      </c>
      <c r="ER19">
        <v>99</v>
      </c>
      <c r="EV19">
        <v>103</v>
      </c>
      <c r="EW19">
        <v>104</v>
      </c>
      <c r="IG19">
        <v>490</v>
      </c>
    </row>
    <row r="20" spans="1:241" ht="18" thickBot="1">
      <c r="A20" s="12">
        <f>'Book Details - NO EDIT'!A21</f>
        <v>19</v>
      </c>
      <c r="B20" s="112" t="str">
        <f>'Book Details - NO EDIT'!X21</f>
        <v>Hannah (1817–1907: #19)</v>
      </c>
      <c r="C20" s="113">
        <f>'Book Details - NO EDIT'!L21</f>
        <v>8</v>
      </c>
      <c r="D20" s="44">
        <f>'Loyd List 1-190 - Edit'!T21</f>
        <v>1</v>
      </c>
      <c r="G20">
        <f t="shared" si="3"/>
        <v>45</v>
      </c>
      <c r="H20">
        <f t="shared" si="7"/>
        <v>2</v>
      </c>
      <c r="I20">
        <f t="shared" si="4"/>
        <v>93</v>
      </c>
      <c r="J20">
        <f t="shared" si="14"/>
        <v>94</v>
      </c>
      <c r="K20" t="str">
        <f t="shared" si="14"/>
        <v/>
      </c>
      <c r="L20" t="str">
        <f t="shared" si="14"/>
        <v/>
      </c>
      <c r="M20" t="str">
        <f t="shared" si="14"/>
        <v/>
      </c>
      <c r="N20" t="str">
        <f t="shared" si="14"/>
        <v/>
      </c>
      <c r="O20" t="str">
        <f t="shared" si="14"/>
        <v/>
      </c>
      <c r="P20" t="str">
        <f t="shared" si="14"/>
        <v/>
      </c>
      <c r="Q20" t="str">
        <f t="shared" si="14"/>
        <v/>
      </c>
      <c r="R20" t="str">
        <f t="shared" si="14"/>
        <v/>
      </c>
      <c r="S20" t="str">
        <f t="shared" si="14"/>
        <v/>
      </c>
      <c r="T20" t="str">
        <f t="shared" si="14"/>
        <v/>
      </c>
      <c r="U20" t="str">
        <f t="shared" si="14"/>
        <v/>
      </c>
      <c r="V20" t="str">
        <f t="shared" si="14"/>
        <v/>
      </c>
      <c r="W20" t="str">
        <f t="shared" si="14"/>
        <v/>
      </c>
      <c r="X20" t="str">
        <f t="shared" si="14"/>
        <v/>
      </c>
      <c r="AA20" t="str">
        <f t="shared" si="8"/>
        <v>Jill (1920–2002: #93)</v>
      </c>
      <c r="AB20" t="str">
        <f t="shared" si="17"/>
        <v>Alwyne (1920–2014: #94)</v>
      </c>
      <c r="AC20" t="str">
        <f t="shared" si="18"/>
        <v/>
      </c>
      <c r="AD20" t="str">
        <f t="shared" si="19"/>
        <v/>
      </c>
      <c r="AE20" t="str">
        <f t="shared" si="20"/>
        <v/>
      </c>
      <c r="AF20" t="str">
        <f t="shared" si="21"/>
        <v/>
      </c>
      <c r="AG20" t="str">
        <f t="shared" si="22"/>
        <v/>
      </c>
      <c r="AH20" t="str">
        <f t="shared" si="23"/>
        <v/>
      </c>
      <c r="AI20" t="str">
        <f t="shared" si="24"/>
        <v/>
      </c>
      <c r="AJ20" t="str">
        <f t="shared" si="25"/>
        <v/>
      </c>
      <c r="AK20" t="str">
        <f t="shared" si="26"/>
        <v/>
      </c>
      <c r="AL20" t="str">
        <f t="shared" si="27"/>
        <v/>
      </c>
      <c r="AM20" t="str">
        <f t="shared" si="28"/>
        <v/>
      </c>
      <c r="AN20" t="str">
        <f t="shared" si="29"/>
        <v/>
      </c>
      <c r="AO20" t="str">
        <f t="shared" si="30"/>
        <v/>
      </c>
      <c r="AP20" t="str">
        <f t="shared" si="31"/>
        <v/>
      </c>
      <c r="AQ20" s="60">
        <f t="shared" si="9"/>
        <v>45</v>
      </c>
      <c r="AR20" s="126">
        <f t="shared" si="10"/>
        <v>2</v>
      </c>
      <c r="AS20" s="60" t="str">
        <f t="shared" si="11"/>
        <v>Jill (1920–2002: #93); Alwyne (1920–2014: #94)</v>
      </c>
      <c r="AT20" s="97" t="str">
        <f t="shared" si="12"/>
        <v>2 - Jill (1920–2002: #93); Alwyne (1920–2014: #94)</v>
      </c>
      <c r="AU20" s="116">
        <f t="shared" si="13"/>
        <v>2</v>
      </c>
      <c r="AW20" s="72">
        <v>45</v>
      </c>
      <c r="EL20">
        <v>93</v>
      </c>
      <c r="EM20">
        <v>94</v>
      </c>
      <c r="IG20">
        <v>187</v>
      </c>
    </row>
    <row r="21" spans="1:241" ht="18" thickBot="1">
      <c r="A21" s="12">
        <f>'Book Details - NO EDIT'!A22</f>
        <v>20</v>
      </c>
      <c r="B21" s="112" t="str">
        <f>'Book Details - NO EDIT'!X22</f>
        <v>John (1817–1818: #20)</v>
      </c>
      <c r="C21" s="113">
        <f>'Book Details - NO EDIT'!L22</f>
        <v>4</v>
      </c>
      <c r="D21" s="44">
        <f>'Loyd List 1-190 - Edit'!T22</f>
        <v>1</v>
      </c>
      <c r="G21">
        <f t="shared" si="3"/>
        <v>46</v>
      </c>
      <c r="H21">
        <f t="shared" si="7"/>
        <v>4</v>
      </c>
      <c r="I21">
        <f t="shared" si="4"/>
        <v>113</v>
      </c>
      <c r="J21">
        <f t="shared" si="14"/>
        <v>115</v>
      </c>
      <c r="K21">
        <f t="shared" si="14"/>
        <v>127</v>
      </c>
      <c r="L21">
        <f t="shared" si="14"/>
        <v>140</v>
      </c>
      <c r="M21" t="str">
        <f t="shared" si="14"/>
        <v/>
      </c>
      <c r="N21" t="str">
        <f t="shared" si="14"/>
        <v/>
      </c>
      <c r="O21" t="str">
        <f t="shared" si="14"/>
        <v/>
      </c>
      <c r="P21" t="str">
        <f t="shared" si="14"/>
        <v/>
      </c>
      <c r="Q21" t="str">
        <f t="shared" si="14"/>
        <v/>
      </c>
      <c r="R21" t="str">
        <f t="shared" si="14"/>
        <v/>
      </c>
      <c r="S21" t="str">
        <f t="shared" si="14"/>
        <v/>
      </c>
      <c r="T21" t="str">
        <f t="shared" si="14"/>
        <v/>
      </c>
      <c r="U21" t="str">
        <f t="shared" si="14"/>
        <v/>
      </c>
      <c r="V21" t="str">
        <f t="shared" si="14"/>
        <v/>
      </c>
      <c r="W21" t="str">
        <f t="shared" si="14"/>
        <v/>
      </c>
      <c r="X21" t="str">
        <f t="shared" si="14"/>
        <v/>
      </c>
      <c r="AA21" t="str">
        <f t="shared" si="8"/>
        <v>Willie (1937–1994: #113)</v>
      </c>
      <c r="AB21" t="str">
        <f t="shared" si="17"/>
        <v>Belinda (1939–2018: #115)</v>
      </c>
      <c r="AC21" t="str">
        <f t="shared" si="18"/>
        <v>Vivian (1951–: #127)</v>
      </c>
      <c r="AD21" t="str">
        <f t="shared" si="19"/>
        <v>Ginie (1961–: #140)</v>
      </c>
      <c r="AE21" t="str">
        <f t="shared" si="20"/>
        <v/>
      </c>
      <c r="AF21" t="str">
        <f t="shared" si="21"/>
        <v/>
      </c>
      <c r="AG21" t="str">
        <f t="shared" si="22"/>
        <v/>
      </c>
      <c r="AH21" t="str">
        <f t="shared" si="23"/>
        <v/>
      </c>
      <c r="AI21" t="str">
        <f t="shared" si="24"/>
        <v/>
      </c>
      <c r="AJ21" t="str">
        <f t="shared" si="25"/>
        <v/>
      </c>
      <c r="AK21" t="str">
        <f t="shared" si="26"/>
        <v/>
      </c>
      <c r="AL21" t="str">
        <f t="shared" si="27"/>
        <v/>
      </c>
      <c r="AM21" t="str">
        <f t="shared" si="28"/>
        <v/>
      </c>
      <c r="AN21" t="str">
        <f t="shared" si="29"/>
        <v/>
      </c>
      <c r="AO21" t="str">
        <f t="shared" si="30"/>
        <v/>
      </c>
      <c r="AP21" t="str">
        <f t="shared" si="31"/>
        <v/>
      </c>
      <c r="AQ21" s="60">
        <f t="shared" si="9"/>
        <v>46</v>
      </c>
      <c r="AR21" s="126">
        <f t="shared" si="10"/>
        <v>4</v>
      </c>
      <c r="AS21" s="60" t="str">
        <f t="shared" si="11"/>
        <v>Willie (1937–1994: #113); Belinda (1939–2018: #115); Vivian (1951–: #127); Ginie (1961–: #140)</v>
      </c>
      <c r="AT21" s="97" t="str">
        <f t="shared" si="12"/>
        <v>4 - Willie (1937–1994: #113); Belinda (1939–2018: #115); Vivian (1951–: #127); Ginie (1961–: #140)</v>
      </c>
      <c r="AU21" s="116">
        <f t="shared" si="13"/>
        <v>4</v>
      </c>
      <c r="AW21" s="72">
        <v>46</v>
      </c>
      <c r="FF21">
        <v>113</v>
      </c>
      <c r="FH21">
        <v>115</v>
      </c>
      <c r="FT21">
        <v>127</v>
      </c>
      <c r="GG21">
        <v>140</v>
      </c>
      <c r="IG21">
        <v>495</v>
      </c>
    </row>
    <row r="22" spans="1:241" ht="18" thickBot="1">
      <c r="A22" s="12">
        <f>'Book Details - NO EDIT'!A23</f>
        <v>21</v>
      </c>
      <c r="B22" s="112" t="str">
        <f>'Book Details - NO EDIT'!X23</f>
        <v>Lewis (1819–1841: #21)</v>
      </c>
      <c r="C22" s="113">
        <f>'Book Details - NO EDIT'!L23</f>
        <v>4</v>
      </c>
      <c r="D22" s="44">
        <f>'Loyd List 1-190 - Edit'!T23</f>
        <v>1</v>
      </c>
      <c r="G22">
        <f t="shared" si="3"/>
        <v>54</v>
      </c>
      <c r="H22">
        <f t="shared" si="7"/>
        <v>2</v>
      </c>
      <c r="I22">
        <f t="shared" si="4"/>
        <v>123</v>
      </c>
      <c r="J22">
        <f t="shared" ref="J22:X37" si="32">IF($H22&gt;=J$1,LARGE($AX22:$IF22,$H22-J$1+1),"")</f>
        <v>129</v>
      </c>
      <c r="K22" t="str">
        <f t="shared" si="32"/>
        <v/>
      </c>
      <c r="L22" t="str">
        <f t="shared" si="32"/>
        <v/>
      </c>
      <c r="M22" t="str">
        <f t="shared" si="32"/>
        <v/>
      </c>
      <c r="N22" t="str">
        <f t="shared" si="32"/>
        <v/>
      </c>
      <c r="O22" t="str">
        <f t="shared" si="32"/>
        <v/>
      </c>
      <c r="P22" t="str">
        <f t="shared" si="32"/>
        <v/>
      </c>
      <c r="Q22" t="str">
        <f t="shared" si="32"/>
        <v/>
      </c>
      <c r="R22" t="str">
        <f t="shared" si="32"/>
        <v/>
      </c>
      <c r="S22" t="str">
        <f t="shared" si="32"/>
        <v/>
      </c>
      <c r="T22" t="str">
        <f t="shared" si="32"/>
        <v/>
      </c>
      <c r="U22" t="str">
        <f t="shared" si="32"/>
        <v/>
      </c>
      <c r="V22" t="str">
        <f t="shared" si="32"/>
        <v/>
      </c>
      <c r="W22" t="str">
        <f t="shared" si="32"/>
        <v/>
      </c>
      <c r="X22" t="str">
        <f t="shared" si="32"/>
        <v/>
      </c>
      <c r="AA22" t="str">
        <f t="shared" si="8"/>
        <v>Janet (1949–: #123)</v>
      </c>
      <c r="AB22" t="str">
        <f t="shared" si="17"/>
        <v>Diana (1952–: #129)</v>
      </c>
      <c r="AC22" t="str">
        <f t="shared" si="18"/>
        <v/>
      </c>
      <c r="AD22" t="str">
        <f t="shared" si="19"/>
        <v/>
      </c>
      <c r="AE22" t="str">
        <f t="shared" si="20"/>
        <v/>
      </c>
      <c r="AF22" t="str">
        <f t="shared" si="21"/>
        <v/>
      </c>
      <c r="AG22" t="str">
        <f t="shared" si="22"/>
        <v/>
      </c>
      <c r="AH22" t="str">
        <f t="shared" si="23"/>
        <v/>
      </c>
      <c r="AI22" t="str">
        <f t="shared" si="24"/>
        <v/>
      </c>
      <c r="AJ22" t="str">
        <f t="shared" si="25"/>
        <v/>
      </c>
      <c r="AK22" t="str">
        <f t="shared" si="26"/>
        <v/>
      </c>
      <c r="AL22" t="str">
        <f t="shared" si="27"/>
        <v/>
      </c>
      <c r="AM22" t="str">
        <f t="shared" si="28"/>
        <v/>
      </c>
      <c r="AN22" t="str">
        <f t="shared" si="29"/>
        <v/>
      </c>
      <c r="AO22" t="str">
        <f t="shared" si="30"/>
        <v/>
      </c>
      <c r="AP22" t="str">
        <f t="shared" si="31"/>
        <v/>
      </c>
      <c r="AQ22" s="60">
        <f t="shared" si="9"/>
        <v>54</v>
      </c>
      <c r="AR22" s="126">
        <f t="shared" si="10"/>
        <v>2</v>
      </c>
      <c r="AS22" s="60" t="str">
        <f t="shared" si="11"/>
        <v>Janet (1949–: #123); Diana (1952–: #129)</v>
      </c>
      <c r="AT22" s="97" t="str">
        <f t="shared" si="12"/>
        <v>2 - Janet (1949–: #123); Diana (1952–: #129)</v>
      </c>
      <c r="AU22" s="116">
        <f t="shared" si="13"/>
        <v>2</v>
      </c>
      <c r="AW22" s="72">
        <v>54</v>
      </c>
      <c r="FP22">
        <v>123</v>
      </c>
      <c r="FV22">
        <v>129</v>
      </c>
      <c r="IG22">
        <v>252</v>
      </c>
    </row>
    <row r="23" spans="1:241" ht="18" thickBot="1">
      <c r="A23" s="12">
        <f>'Book Details - NO EDIT'!A24</f>
        <v>22</v>
      </c>
      <c r="B23" s="112" t="str">
        <f>'Book Details - NO EDIT'!X24</f>
        <v>Edward (1820–1890: #22)</v>
      </c>
      <c r="C23" s="113">
        <f>'Book Details - NO EDIT'!L24</f>
        <v>8</v>
      </c>
      <c r="D23" s="44">
        <f>'Loyd List 1-190 - Edit'!T24</f>
        <v>1</v>
      </c>
      <c r="G23">
        <f t="shared" si="3"/>
        <v>55</v>
      </c>
      <c r="H23">
        <f t="shared" si="7"/>
        <v>3</v>
      </c>
      <c r="I23">
        <f t="shared" si="4"/>
        <v>147</v>
      </c>
      <c r="J23">
        <f t="shared" si="32"/>
        <v>151</v>
      </c>
      <c r="K23">
        <f t="shared" si="32"/>
        <v>153</v>
      </c>
      <c r="L23" t="str">
        <f t="shared" si="32"/>
        <v/>
      </c>
      <c r="M23" t="str">
        <f t="shared" si="32"/>
        <v/>
      </c>
      <c r="N23" t="str">
        <f t="shared" si="32"/>
        <v/>
      </c>
      <c r="O23" t="str">
        <f t="shared" si="32"/>
        <v/>
      </c>
      <c r="P23" t="str">
        <f t="shared" si="32"/>
        <v/>
      </c>
      <c r="Q23" t="str">
        <f t="shared" si="32"/>
        <v/>
      </c>
      <c r="R23" t="str">
        <f t="shared" si="32"/>
        <v/>
      </c>
      <c r="S23" t="str">
        <f t="shared" si="32"/>
        <v/>
      </c>
      <c r="T23" t="str">
        <f t="shared" si="32"/>
        <v/>
      </c>
      <c r="U23" t="str">
        <f t="shared" si="32"/>
        <v/>
      </c>
      <c r="V23" t="str">
        <f t="shared" si="32"/>
        <v/>
      </c>
      <c r="W23" t="str">
        <f t="shared" si="32"/>
        <v/>
      </c>
      <c r="X23" t="str">
        <f t="shared" si="32"/>
        <v/>
      </c>
      <c r="AA23" t="str">
        <f t="shared" si="8"/>
        <v>Susannah (1965–: #147)</v>
      </c>
      <c r="AB23" t="str">
        <f t="shared" si="17"/>
        <v>Elspeth (1967–: #151)</v>
      </c>
      <c r="AC23" t="str">
        <f t="shared" si="18"/>
        <v>Richard (1968–: #153)</v>
      </c>
      <c r="AD23" t="str">
        <f t="shared" si="19"/>
        <v/>
      </c>
      <c r="AE23" t="str">
        <f t="shared" si="20"/>
        <v/>
      </c>
      <c r="AF23" t="str">
        <f t="shared" si="21"/>
        <v/>
      </c>
      <c r="AG23" t="str">
        <f t="shared" si="22"/>
        <v/>
      </c>
      <c r="AH23" t="str">
        <f t="shared" si="23"/>
        <v/>
      </c>
      <c r="AI23" t="str">
        <f t="shared" si="24"/>
        <v/>
      </c>
      <c r="AJ23" t="str">
        <f t="shared" si="25"/>
        <v/>
      </c>
      <c r="AK23" t="str">
        <f t="shared" si="26"/>
        <v/>
      </c>
      <c r="AL23" t="str">
        <f t="shared" si="27"/>
        <v/>
      </c>
      <c r="AM23" t="str">
        <f t="shared" si="28"/>
        <v/>
      </c>
      <c r="AN23" t="str">
        <f t="shared" si="29"/>
        <v/>
      </c>
      <c r="AO23" t="str">
        <f t="shared" si="30"/>
        <v/>
      </c>
      <c r="AP23" t="str">
        <f t="shared" si="31"/>
        <v/>
      </c>
      <c r="AQ23" s="60">
        <f t="shared" si="9"/>
        <v>55</v>
      </c>
      <c r="AR23" s="126">
        <f t="shared" si="10"/>
        <v>3</v>
      </c>
      <c r="AS23" s="60" t="str">
        <f t="shared" si="11"/>
        <v>Susannah (1965–: #147); Elspeth (1967–: #151); Richard (1968–: #153)</v>
      </c>
      <c r="AT23" s="97" t="str">
        <f t="shared" si="12"/>
        <v>3 - Susannah (1965–: #147); Elspeth (1967–: #151); Richard (1968–: #153)</v>
      </c>
      <c r="AU23" s="116">
        <f t="shared" si="13"/>
        <v>3</v>
      </c>
      <c r="AW23" s="72">
        <v>55</v>
      </c>
      <c r="GN23">
        <v>147</v>
      </c>
      <c r="GR23">
        <v>151</v>
      </c>
      <c r="GT23">
        <v>153</v>
      </c>
      <c r="IG23">
        <v>451</v>
      </c>
    </row>
    <row r="24" spans="1:241" ht="18" thickBot="1">
      <c r="A24" s="12">
        <f>'Book Details - NO EDIT'!A25</f>
        <v>23</v>
      </c>
      <c r="B24" s="112" t="str">
        <f>'Book Details - NO EDIT'!X25</f>
        <v>William (1821–1885: #23)</v>
      </c>
      <c r="C24" s="113">
        <f>'Book Details - NO EDIT'!L25</f>
        <v>8</v>
      </c>
      <c r="D24" s="44">
        <f>'Loyd List 1-190 - Edit'!T25</f>
        <v>1</v>
      </c>
      <c r="G24">
        <f t="shared" si="3"/>
        <v>56</v>
      </c>
      <c r="H24">
        <f t="shared" si="7"/>
        <v>3</v>
      </c>
      <c r="I24">
        <f t="shared" si="4"/>
        <v>138</v>
      </c>
      <c r="J24">
        <f t="shared" si="32"/>
        <v>143</v>
      </c>
      <c r="K24">
        <f t="shared" si="32"/>
        <v>150</v>
      </c>
      <c r="L24" t="str">
        <f t="shared" si="32"/>
        <v/>
      </c>
      <c r="M24" t="str">
        <f t="shared" si="32"/>
        <v/>
      </c>
      <c r="N24" t="str">
        <f t="shared" si="32"/>
        <v/>
      </c>
      <c r="O24" t="str">
        <f t="shared" si="32"/>
        <v/>
      </c>
      <c r="P24" t="str">
        <f t="shared" si="32"/>
        <v/>
      </c>
      <c r="Q24" t="str">
        <f t="shared" si="32"/>
        <v/>
      </c>
      <c r="R24" t="str">
        <f t="shared" si="32"/>
        <v/>
      </c>
      <c r="S24" t="str">
        <f t="shared" si="32"/>
        <v/>
      </c>
      <c r="T24" t="str">
        <f t="shared" si="32"/>
        <v/>
      </c>
      <c r="U24" t="str">
        <f t="shared" si="32"/>
        <v/>
      </c>
      <c r="V24" t="str">
        <f t="shared" si="32"/>
        <v/>
      </c>
      <c r="W24" t="str">
        <f t="shared" si="32"/>
        <v/>
      </c>
      <c r="X24" t="str">
        <f t="shared" si="32"/>
        <v/>
      </c>
      <c r="AA24" t="str">
        <f t="shared" si="8"/>
        <v>Thomas (1959–: #138)</v>
      </c>
      <c r="AB24" t="str">
        <f t="shared" si="17"/>
        <v>Harriet (1962–: #143)</v>
      </c>
      <c r="AC24" t="str">
        <f t="shared" si="18"/>
        <v>James (1966–: #150)</v>
      </c>
      <c r="AD24" t="str">
        <f t="shared" si="19"/>
        <v/>
      </c>
      <c r="AE24" t="str">
        <f t="shared" si="20"/>
        <v/>
      </c>
      <c r="AF24" t="str">
        <f t="shared" si="21"/>
        <v/>
      </c>
      <c r="AG24" t="str">
        <f t="shared" si="22"/>
        <v/>
      </c>
      <c r="AH24" t="str">
        <f t="shared" si="23"/>
        <v/>
      </c>
      <c r="AI24" t="str">
        <f t="shared" si="24"/>
        <v/>
      </c>
      <c r="AJ24" t="str">
        <f t="shared" si="25"/>
        <v/>
      </c>
      <c r="AK24" t="str">
        <f t="shared" si="26"/>
        <v/>
      </c>
      <c r="AL24" t="str">
        <f t="shared" si="27"/>
        <v/>
      </c>
      <c r="AM24" t="str">
        <f t="shared" si="28"/>
        <v/>
      </c>
      <c r="AN24" t="str">
        <f t="shared" si="29"/>
        <v/>
      </c>
      <c r="AO24" t="str">
        <f t="shared" si="30"/>
        <v/>
      </c>
      <c r="AP24" t="str">
        <f t="shared" si="31"/>
        <v/>
      </c>
      <c r="AQ24" s="60">
        <f t="shared" si="9"/>
        <v>56</v>
      </c>
      <c r="AR24" s="126">
        <f t="shared" si="10"/>
        <v>3</v>
      </c>
      <c r="AS24" s="60" t="str">
        <f t="shared" si="11"/>
        <v>Thomas (1959–: #138); Harriet (1962–: #143); James (1966–: #150)</v>
      </c>
      <c r="AT24" s="97" t="str">
        <f t="shared" si="12"/>
        <v>3 - Thomas (1959–: #138); Harriet (1962–: #143); James (1966–: #150)</v>
      </c>
      <c r="AU24" s="116">
        <f t="shared" si="13"/>
        <v>3</v>
      </c>
      <c r="AW24" s="72">
        <v>56</v>
      </c>
      <c r="GE24">
        <v>138</v>
      </c>
      <c r="GJ24">
        <v>143</v>
      </c>
      <c r="GQ24">
        <v>150</v>
      </c>
      <c r="IG24">
        <v>431</v>
      </c>
    </row>
    <row r="25" spans="1:241" ht="18" thickBot="1">
      <c r="A25" s="12">
        <f>'Book Details - NO EDIT'!A26</f>
        <v>24</v>
      </c>
      <c r="B25" s="112" t="str">
        <f>'Book Details - NO EDIT'!X26</f>
        <v>Fanny (1824–1856: #24)</v>
      </c>
      <c r="C25" s="113">
        <f>'Book Details - NO EDIT'!L26</f>
        <v>8</v>
      </c>
      <c r="D25" s="44">
        <f>'Loyd List 1-190 - Edit'!T26</f>
        <v>1</v>
      </c>
      <c r="G25">
        <f t="shared" si="3"/>
        <v>66</v>
      </c>
      <c r="H25">
        <f t="shared" si="7"/>
        <v>4</v>
      </c>
      <c r="I25">
        <f t="shared" si="4"/>
        <v>120</v>
      </c>
      <c r="J25">
        <f t="shared" si="32"/>
        <v>121</v>
      </c>
      <c r="K25">
        <f t="shared" si="32"/>
        <v>137</v>
      </c>
      <c r="L25">
        <f t="shared" si="32"/>
        <v>144</v>
      </c>
      <c r="M25" t="str">
        <f t="shared" si="32"/>
        <v/>
      </c>
      <c r="N25" t="str">
        <f t="shared" si="32"/>
        <v/>
      </c>
      <c r="O25" t="str">
        <f t="shared" si="32"/>
        <v/>
      </c>
      <c r="P25" t="str">
        <f t="shared" si="32"/>
        <v/>
      </c>
      <c r="Q25" t="str">
        <f t="shared" si="32"/>
        <v/>
      </c>
      <c r="R25" t="str">
        <f t="shared" si="32"/>
        <v/>
      </c>
      <c r="S25" t="str">
        <f t="shared" si="32"/>
        <v/>
      </c>
      <c r="T25" t="str">
        <f t="shared" si="32"/>
        <v/>
      </c>
      <c r="U25" t="str">
        <f t="shared" si="32"/>
        <v/>
      </c>
      <c r="V25" t="str">
        <f t="shared" si="32"/>
        <v/>
      </c>
      <c r="W25" t="str">
        <f t="shared" si="32"/>
        <v/>
      </c>
      <c r="X25" t="str">
        <f t="shared" si="32"/>
        <v/>
      </c>
      <c r="AA25" t="str">
        <f t="shared" si="8"/>
        <v>Caroline (1947–2022: #120)</v>
      </c>
      <c r="AB25" t="str">
        <f t="shared" si="17"/>
        <v>David (1949–: #121)</v>
      </c>
      <c r="AC25" t="str">
        <f t="shared" si="18"/>
        <v>Henrietta (1959–: #137)</v>
      </c>
      <c r="AD25" t="str">
        <f t="shared" si="19"/>
        <v>Andrew (1962–: #144)</v>
      </c>
      <c r="AE25" t="str">
        <f t="shared" si="20"/>
        <v/>
      </c>
      <c r="AF25" t="str">
        <f t="shared" si="21"/>
        <v/>
      </c>
      <c r="AG25" t="str">
        <f t="shared" si="22"/>
        <v/>
      </c>
      <c r="AH25" t="str">
        <f t="shared" si="23"/>
        <v/>
      </c>
      <c r="AI25" t="str">
        <f t="shared" si="24"/>
        <v/>
      </c>
      <c r="AJ25" t="str">
        <f t="shared" si="25"/>
        <v/>
      </c>
      <c r="AK25" t="str">
        <f t="shared" si="26"/>
        <v/>
      </c>
      <c r="AL25" t="str">
        <f t="shared" si="27"/>
        <v/>
      </c>
      <c r="AM25" t="str">
        <f t="shared" si="28"/>
        <v/>
      </c>
      <c r="AN25" t="str">
        <f t="shared" si="29"/>
        <v/>
      </c>
      <c r="AO25" t="str">
        <f t="shared" si="30"/>
        <v/>
      </c>
      <c r="AP25" t="str">
        <f t="shared" si="31"/>
        <v/>
      </c>
      <c r="AQ25" s="60">
        <f t="shared" si="9"/>
        <v>66</v>
      </c>
      <c r="AR25" s="126">
        <f t="shared" si="10"/>
        <v>4</v>
      </c>
      <c r="AS25" s="60" t="str">
        <f t="shared" si="11"/>
        <v>Caroline (1947–2022: #120); David (1949–: #121); Henrietta (1959–: #137); Andrew (1962–: #144)</v>
      </c>
      <c r="AT25" s="97" t="str">
        <f t="shared" si="12"/>
        <v>4 - Caroline (1947–2022: #120); David (1949–: #121); Henrietta (1959–: #137); Andrew (1962–: #144)</v>
      </c>
      <c r="AU25" s="116">
        <f t="shared" si="13"/>
        <v>4</v>
      </c>
      <c r="AW25" s="72">
        <v>66</v>
      </c>
      <c r="FM25">
        <v>120</v>
      </c>
      <c r="FN25">
        <v>121</v>
      </c>
      <c r="GD25">
        <v>137</v>
      </c>
      <c r="GK25">
        <v>144</v>
      </c>
      <c r="IG25">
        <v>522</v>
      </c>
    </row>
    <row r="26" spans="1:241" ht="35" thickBot="1">
      <c r="A26" s="12">
        <f>'Book Details - NO EDIT'!A27</f>
        <v>25</v>
      </c>
      <c r="B26" s="112" t="str">
        <f>'Book Details - NO EDIT'!X27</f>
        <v>Henry (1832–1833: #25)</v>
      </c>
      <c r="C26" s="113">
        <f>'Book Details - NO EDIT'!L27</f>
        <v>9</v>
      </c>
      <c r="D26" s="44">
        <f>'Loyd List 1-190 - Edit'!T27</f>
        <v>3</v>
      </c>
      <c r="G26">
        <f t="shared" si="3"/>
        <v>68</v>
      </c>
      <c r="H26">
        <f t="shared" si="7"/>
        <v>6</v>
      </c>
      <c r="I26">
        <f t="shared" si="4"/>
        <v>124</v>
      </c>
      <c r="J26">
        <f t="shared" si="32"/>
        <v>126</v>
      </c>
      <c r="K26">
        <f t="shared" si="32"/>
        <v>131</v>
      </c>
      <c r="L26">
        <f t="shared" si="32"/>
        <v>136</v>
      </c>
      <c r="M26">
        <f t="shared" si="32"/>
        <v>139</v>
      </c>
      <c r="N26">
        <f t="shared" si="32"/>
        <v>142</v>
      </c>
      <c r="O26" t="str">
        <f t="shared" si="32"/>
        <v/>
      </c>
      <c r="P26" t="str">
        <f t="shared" si="32"/>
        <v/>
      </c>
      <c r="Q26" t="str">
        <f t="shared" si="32"/>
        <v/>
      </c>
      <c r="R26" t="str">
        <f t="shared" si="32"/>
        <v/>
      </c>
      <c r="S26" t="str">
        <f t="shared" si="32"/>
        <v/>
      </c>
      <c r="T26" t="str">
        <f t="shared" si="32"/>
        <v/>
      </c>
      <c r="U26" t="str">
        <f t="shared" si="32"/>
        <v/>
      </c>
      <c r="V26" t="str">
        <f t="shared" si="32"/>
        <v/>
      </c>
      <c r="W26" t="str">
        <f t="shared" si="32"/>
        <v/>
      </c>
      <c r="X26" t="str">
        <f t="shared" si="32"/>
        <v/>
      </c>
      <c r="AA26" t="str">
        <f t="shared" si="8"/>
        <v>Rob (1949–: #124)</v>
      </c>
      <c r="AB26" t="str">
        <f t="shared" si="17"/>
        <v>Paddy (1951–: #126)</v>
      </c>
      <c r="AC26" t="str">
        <f t="shared" si="18"/>
        <v>Dominic (1953–: #131)</v>
      </c>
      <c r="AD26" t="str">
        <f t="shared" si="19"/>
        <v>Tim (1957–: #136)</v>
      </c>
      <c r="AE26" t="str">
        <f t="shared" si="20"/>
        <v>Alex (1959–: #139)</v>
      </c>
      <c r="AF26" t="str">
        <f t="shared" si="21"/>
        <v>Rick (1962–: #142)</v>
      </c>
      <c r="AG26" t="str">
        <f t="shared" si="22"/>
        <v/>
      </c>
      <c r="AH26" t="str">
        <f t="shared" si="23"/>
        <v/>
      </c>
      <c r="AI26" t="str">
        <f t="shared" si="24"/>
        <v/>
      </c>
      <c r="AJ26" t="str">
        <f t="shared" si="25"/>
        <v/>
      </c>
      <c r="AK26" t="str">
        <f t="shared" si="26"/>
        <v/>
      </c>
      <c r="AL26" t="str">
        <f t="shared" si="27"/>
        <v/>
      </c>
      <c r="AM26" t="str">
        <f t="shared" si="28"/>
        <v/>
      </c>
      <c r="AN26" t="str">
        <f t="shared" si="29"/>
        <v/>
      </c>
      <c r="AO26" t="str">
        <f t="shared" si="30"/>
        <v/>
      </c>
      <c r="AP26" t="str">
        <f t="shared" si="31"/>
        <v/>
      </c>
      <c r="AQ26" s="60">
        <f t="shared" si="9"/>
        <v>68</v>
      </c>
      <c r="AR26" s="126">
        <f t="shared" si="10"/>
        <v>6</v>
      </c>
      <c r="AS26" s="60" t="str">
        <f t="shared" si="11"/>
        <v>Rob (1949–: #124); Paddy (1951–: #126); Dominic (1953–: #131); Tim (1957–: #136); Alex (1959–: #139); Rick (1962–: #142)</v>
      </c>
      <c r="AT26" s="97" t="str">
        <f t="shared" si="12"/>
        <v>6 - Rob (1949–: #124); Paddy (1951–: #126); Dominic (1953–: #131); Tim (1957–: #136); Alex (1959–: #139); Rick (1962–: #142)</v>
      </c>
      <c r="AU26" s="116">
        <f t="shared" si="13"/>
        <v>6</v>
      </c>
      <c r="AW26" s="72">
        <v>68</v>
      </c>
      <c r="FQ26">
        <v>124</v>
      </c>
      <c r="FS26">
        <v>126</v>
      </c>
      <c r="FX26">
        <v>131</v>
      </c>
      <c r="GC26">
        <v>136</v>
      </c>
      <c r="GF26">
        <v>139</v>
      </c>
      <c r="GI26">
        <v>142</v>
      </c>
      <c r="IG26">
        <v>798</v>
      </c>
    </row>
    <row r="27" spans="1:241" ht="18" thickBot="1">
      <c r="A27" s="12">
        <f>'Book Details - NO EDIT'!A28</f>
        <v>26</v>
      </c>
      <c r="B27" s="112" t="str">
        <f>'Book Details - NO EDIT'!X28</f>
        <v>The Hon Harriet (1837–1920: #26)</v>
      </c>
      <c r="C27" s="113">
        <f>'Book Details - NO EDIT'!L28</f>
        <v>9</v>
      </c>
      <c r="D27" s="44">
        <f>'Loyd List 1-190 - Edit'!T28</f>
        <v>3</v>
      </c>
      <c r="G27">
        <f t="shared" si="3"/>
        <v>71</v>
      </c>
      <c r="H27">
        <f t="shared" si="7"/>
        <v>3</v>
      </c>
      <c r="I27">
        <f t="shared" si="4"/>
        <v>125</v>
      </c>
      <c r="J27">
        <f t="shared" si="32"/>
        <v>130</v>
      </c>
      <c r="K27">
        <f t="shared" si="32"/>
        <v>135</v>
      </c>
      <c r="L27" t="str">
        <f t="shared" si="32"/>
        <v/>
      </c>
      <c r="M27" t="str">
        <f t="shared" si="32"/>
        <v/>
      </c>
      <c r="N27" t="str">
        <f t="shared" si="32"/>
        <v/>
      </c>
      <c r="O27" t="str">
        <f t="shared" si="32"/>
        <v/>
      </c>
      <c r="P27" t="str">
        <f t="shared" si="32"/>
        <v/>
      </c>
      <c r="Q27" t="str">
        <f t="shared" si="32"/>
        <v/>
      </c>
      <c r="R27" t="str">
        <f t="shared" si="32"/>
        <v/>
      </c>
      <c r="S27" t="str">
        <f t="shared" si="32"/>
        <v/>
      </c>
      <c r="T27" t="str">
        <f t="shared" si="32"/>
        <v/>
      </c>
      <c r="U27" t="str">
        <f t="shared" si="32"/>
        <v/>
      </c>
      <c r="V27" t="str">
        <f t="shared" si="32"/>
        <v/>
      </c>
      <c r="W27" t="str">
        <f t="shared" si="32"/>
        <v/>
      </c>
      <c r="X27" t="str">
        <f t="shared" si="32"/>
        <v/>
      </c>
      <c r="AA27" t="str">
        <f t="shared" si="8"/>
        <v>Rona (1951–: #125)</v>
      </c>
      <c r="AB27" t="str">
        <f t="shared" si="17"/>
        <v>David (1952–: #130)</v>
      </c>
      <c r="AC27" t="str">
        <f t="shared" si="18"/>
        <v>Jim (1955–: #135)</v>
      </c>
      <c r="AD27" t="str">
        <f t="shared" si="19"/>
        <v/>
      </c>
      <c r="AE27" t="str">
        <f t="shared" si="20"/>
        <v/>
      </c>
      <c r="AF27" t="str">
        <f t="shared" si="21"/>
        <v/>
      </c>
      <c r="AG27" t="str">
        <f t="shared" si="22"/>
        <v/>
      </c>
      <c r="AH27" t="str">
        <f t="shared" si="23"/>
        <v/>
      </c>
      <c r="AI27" t="str">
        <f t="shared" si="24"/>
        <v/>
      </c>
      <c r="AJ27" t="str">
        <f t="shared" si="25"/>
        <v/>
      </c>
      <c r="AK27" t="str">
        <f t="shared" si="26"/>
        <v/>
      </c>
      <c r="AL27" t="str">
        <f t="shared" si="27"/>
        <v/>
      </c>
      <c r="AM27" t="str">
        <f t="shared" si="28"/>
        <v/>
      </c>
      <c r="AN27" t="str">
        <f t="shared" si="29"/>
        <v/>
      </c>
      <c r="AO27" t="str">
        <f t="shared" si="30"/>
        <v/>
      </c>
      <c r="AP27" t="str">
        <f t="shared" si="31"/>
        <v/>
      </c>
      <c r="AQ27" s="60">
        <f t="shared" si="9"/>
        <v>71</v>
      </c>
      <c r="AR27" s="126">
        <f t="shared" si="10"/>
        <v>3</v>
      </c>
      <c r="AS27" s="60" t="str">
        <f t="shared" si="11"/>
        <v>Rona (1951–: #125); David (1952–: #130); Jim (1955–: #135)</v>
      </c>
      <c r="AT27" s="97" t="str">
        <f t="shared" si="12"/>
        <v>3 - Rona (1951–: #125); David (1952–: #130); Jim (1955–: #135)</v>
      </c>
      <c r="AU27" s="116">
        <f t="shared" si="13"/>
        <v>3</v>
      </c>
      <c r="AW27" s="72">
        <v>71</v>
      </c>
      <c r="FR27">
        <v>125</v>
      </c>
      <c r="FW27">
        <v>130</v>
      </c>
      <c r="GB27">
        <v>135</v>
      </c>
      <c r="IG27">
        <v>390</v>
      </c>
    </row>
    <row r="28" spans="1:241" ht="18" thickBot="1">
      <c r="A28" s="12">
        <f>'Book Details - NO EDIT'!A29</f>
        <v>27</v>
      </c>
      <c r="B28" s="112" t="str">
        <f>'Book Details - NO EDIT'!X29</f>
        <v>William (1843–1843: #27)</v>
      </c>
      <c r="C28" s="113">
        <f>'Book Details - NO EDIT'!L29</f>
        <v>14</v>
      </c>
      <c r="D28" s="44">
        <f>'Loyd List 1-190 - Edit'!T29</f>
        <v>4</v>
      </c>
      <c r="G28">
        <f t="shared" si="3"/>
        <v>72</v>
      </c>
      <c r="H28">
        <f t="shared" si="7"/>
        <v>4</v>
      </c>
      <c r="I28">
        <f t="shared" si="4"/>
        <v>141</v>
      </c>
      <c r="J28">
        <f t="shared" si="32"/>
        <v>146</v>
      </c>
      <c r="K28">
        <f t="shared" si="32"/>
        <v>148</v>
      </c>
      <c r="L28">
        <f t="shared" si="32"/>
        <v>152</v>
      </c>
      <c r="M28" t="str">
        <f t="shared" si="32"/>
        <v/>
      </c>
      <c r="N28" t="str">
        <f t="shared" si="32"/>
        <v/>
      </c>
      <c r="O28" t="str">
        <f t="shared" si="32"/>
        <v/>
      </c>
      <c r="P28" t="str">
        <f t="shared" si="32"/>
        <v/>
      </c>
      <c r="Q28" t="str">
        <f t="shared" si="32"/>
        <v/>
      </c>
      <c r="R28" t="str">
        <f t="shared" si="32"/>
        <v/>
      </c>
      <c r="S28" t="str">
        <f t="shared" si="32"/>
        <v/>
      </c>
      <c r="T28" t="str">
        <f t="shared" si="32"/>
        <v/>
      </c>
      <c r="U28" t="str">
        <f t="shared" si="32"/>
        <v/>
      </c>
      <c r="V28" t="str">
        <f t="shared" si="32"/>
        <v/>
      </c>
      <c r="W28" t="str">
        <f t="shared" si="32"/>
        <v/>
      </c>
      <c r="X28" t="str">
        <f t="shared" si="32"/>
        <v/>
      </c>
      <c r="AA28" t="str">
        <f t="shared" si="8"/>
        <v>Alexandra (1961–: #141)</v>
      </c>
      <c r="AB28" t="str">
        <f t="shared" si="17"/>
        <v>Charles (1963–: #146)</v>
      </c>
      <c r="AC28" t="str">
        <f t="shared" si="18"/>
        <v>Toby (1966–1966: #148)</v>
      </c>
      <c r="AD28" t="str">
        <f t="shared" si="19"/>
        <v>Mary Rose (1967–: #152)</v>
      </c>
      <c r="AE28" t="str">
        <f t="shared" si="20"/>
        <v/>
      </c>
      <c r="AF28" t="str">
        <f t="shared" si="21"/>
        <v/>
      </c>
      <c r="AG28" t="str">
        <f t="shared" si="22"/>
        <v/>
      </c>
      <c r="AH28" t="str">
        <f t="shared" si="23"/>
        <v/>
      </c>
      <c r="AI28" t="str">
        <f t="shared" si="24"/>
        <v/>
      </c>
      <c r="AJ28" t="str">
        <f t="shared" si="25"/>
        <v/>
      </c>
      <c r="AK28" t="str">
        <f t="shared" si="26"/>
        <v/>
      </c>
      <c r="AL28" t="str">
        <f t="shared" si="27"/>
        <v/>
      </c>
      <c r="AM28" t="str">
        <f t="shared" si="28"/>
        <v/>
      </c>
      <c r="AN28" t="str">
        <f t="shared" si="29"/>
        <v/>
      </c>
      <c r="AO28" t="str">
        <f t="shared" si="30"/>
        <v/>
      </c>
      <c r="AP28" t="str">
        <f t="shared" si="31"/>
        <v/>
      </c>
      <c r="AQ28" s="60">
        <f t="shared" si="9"/>
        <v>72</v>
      </c>
      <c r="AR28" s="126">
        <f t="shared" si="10"/>
        <v>4</v>
      </c>
      <c r="AS28" s="60" t="str">
        <f t="shared" si="11"/>
        <v>Alexandra (1961–: #141); Charles (1963–: #146); Toby (1966–1966: #148); Mary Rose (1967–: #152)</v>
      </c>
      <c r="AT28" s="97" t="str">
        <f t="shared" si="12"/>
        <v>4 - Alexandra (1961–: #141); Charles (1963–: #146); Toby (1966–1966: #148); Mary Rose (1967–: #152)</v>
      </c>
      <c r="AU28" s="116">
        <f t="shared" si="13"/>
        <v>4</v>
      </c>
      <c r="AW28" s="72">
        <v>72</v>
      </c>
      <c r="GH28">
        <v>141</v>
      </c>
      <c r="GM28">
        <v>146</v>
      </c>
      <c r="GO28">
        <v>148</v>
      </c>
      <c r="GS28">
        <v>152</v>
      </c>
      <c r="IG28">
        <v>587</v>
      </c>
    </row>
    <row r="29" spans="1:241" ht="35" thickBot="1">
      <c r="A29" s="12">
        <f>'Book Details - NO EDIT'!A30</f>
        <v>28</v>
      </c>
      <c r="B29" s="112" t="str">
        <f>'Book Details - NO EDIT'!X30</f>
        <v>The Rev Lewis (1844–1905: #28)</v>
      </c>
      <c r="C29" s="113">
        <f>'Book Details - NO EDIT'!L30</f>
        <v>14</v>
      </c>
      <c r="D29" s="44">
        <f>'Loyd List 1-190 - Edit'!T30</f>
        <v>4</v>
      </c>
      <c r="G29">
        <f t="shared" si="3"/>
        <v>77</v>
      </c>
      <c r="H29">
        <f t="shared" si="7"/>
        <v>7</v>
      </c>
      <c r="I29">
        <f t="shared" si="4"/>
        <v>122</v>
      </c>
      <c r="J29">
        <f t="shared" si="32"/>
        <v>128</v>
      </c>
      <c r="K29">
        <f t="shared" si="32"/>
        <v>132</v>
      </c>
      <c r="L29">
        <f t="shared" si="32"/>
        <v>133</v>
      </c>
      <c r="M29">
        <f t="shared" si="32"/>
        <v>134</v>
      </c>
      <c r="N29">
        <f t="shared" si="32"/>
        <v>145</v>
      </c>
      <c r="O29">
        <f t="shared" si="32"/>
        <v>154</v>
      </c>
      <c r="P29" t="str">
        <f t="shared" si="32"/>
        <v/>
      </c>
      <c r="Q29" t="str">
        <f t="shared" si="32"/>
        <v/>
      </c>
      <c r="R29" t="str">
        <f t="shared" si="32"/>
        <v/>
      </c>
      <c r="S29" t="str">
        <f t="shared" si="32"/>
        <v/>
      </c>
      <c r="T29" t="str">
        <f t="shared" si="32"/>
        <v/>
      </c>
      <c r="U29" t="str">
        <f t="shared" si="32"/>
        <v/>
      </c>
      <c r="V29" t="str">
        <f t="shared" si="32"/>
        <v/>
      </c>
      <c r="W29" t="str">
        <f t="shared" si="32"/>
        <v/>
      </c>
      <c r="X29" t="str">
        <f t="shared" si="32"/>
        <v/>
      </c>
      <c r="AA29" t="str">
        <f t="shared" si="8"/>
        <v>Martin (1949–: #122)</v>
      </c>
      <c r="AB29" t="str">
        <f t="shared" si="17"/>
        <v>Julie (1952–: #128)</v>
      </c>
      <c r="AC29" t="str">
        <f t="shared" si="18"/>
        <v>Penelope (1954–1954: #132)</v>
      </c>
      <c r="AD29" t="str">
        <f t="shared" si="19"/>
        <v>Jeremy (1954–: #133)</v>
      </c>
      <c r="AE29" t="str">
        <f t="shared" si="20"/>
        <v>William (1955–: #134)</v>
      </c>
      <c r="AF29" t="str">
        <f t="shared" si="21"/>
        <v>Tony (1963–: #145)</v>
      </c>
      <c r="AG29" t="str">
        <f t="shared" si="22"/>
        <v>Sophie (1969–: #154)</v>
      </c>
      <c r="AH29" t="str">
        <f t="shared" si="23"/>
        <v/>
      </c>
      <c r="AI29" t="str">
        <f t="shared" si="24"/>
        <v/>
      </c>
      <c r="AJ29" t="str">
        <f t="shared" si="25"/>
        <v/>
      </c>
      <c r="AK29" t="str">
        <f t="shared" si="26"/>
        <v/>
      </c>
      <c r="AL29" t="str">
        <f t="shared" si="27"/>
        <v/>
      </c>
      <c r="AM29" t="str">
        <f t="shared" si="28"/>
        <v/>
      </c>
      <c r="AN29" t="str">
        <f t="shared" si="29"/>
        <v/>
      </c>
      <c r="AO29" t="str">
        <f t="shared" si="30"/>
        <v/>
      </c>
      <c r="AP29" t="str">
        <f t="shared" si="31"/>
        <v/>
      </c>
      <c r="AQ29" s="60">
        <f t="shared" si="9"/>
        <v>77</v>
      </c>
      <c r="AR29" s="126">
        <f t="shared" si="10"/>
        <v>7</v>
      </c>
      <c r="AS29" s="60" t="str">
        <f t="shared" si="11"/>
        <v>Martin (1949–: #122); Julie (1952–: #128); Penelope (1954–1954: #132); Jeremy (1954–: #133); William (1955–: #134); Tony (1963–: #145); Sophie (1969–: #154)</v>
      </c>
      <c r="AT29" s="97" t="str">
        <f t="shared" si="12"/>
        <v>7 - Martin (1949–: #122); Julie (1952–: #128); Penelope (1954–1954: #132); Jeremy (1954–: #133); William (1955–: #134); Tony (1963–: #145); Sophie (1969–: #154)</v>
      </c>
      <c r="AU29" s="116">
        <f t="shared" si="13"/>
        <v>7</v>
      </c>
      <c r="AW29" s="72">
        <v>77</v>
      </c>
      <c r="FO29">
        <v>122</v>
      </c>
      <c r="FU29">
        <v>128</v>
      </c>
      <c r="FY29">
        <v>132</v>
      </c>
      <c r="FZ29">
        <v>133</v>
      </c>
      <c r="GA29">
        <v>134</v>
      </c>
      <c r="GL29">
        <v>145</v>
      </c>
      <c r="GU29">
        <v>154</v>
      </c>
      <c r="IG29">
        <v>948</v>
      </c>
    </row>
    <row r="30" spans="1:241" ht="18" thickBot="1">
      <c r="A30" s="12">
        <f>'Book Details - NO EDIT'!A31</f>
        <v>29</v>
      </c>
      <c r="B30" s="112" t="str">
        <f>'Book Details - NO EDIT'!X31</f>
        <v>Arthur (1845–1930: #29)</v>
      </c>
      <c r="C30" s="113">
        <f>'Book Details - NO EDIT'!L31</f>
        <v>14</v>
      </c>
      <c r="D30" s="44">
        <f>'Loyd List 1-190 - Edit'!T31</f>
        <v>4</v>
      </c>
      <c r="G30">
        <f t="shared" si="3"/>
        <v>78</v>
      </c>
      <c r="H30">
        <f t="shared" si="7"/>
        <v>1</v>
      </c>
      <c r="I30">
        <f t="shared" si="4"/>
        <v>149</v>
      </c>
      <c r="J30" t="str">
        <f t="shared" si="32"/>
        <v/>
      </c>
      <c r="K30" t="str">
        <f t="shared" si="32"/>
        <v/>
      </c>
      <c r="L30" t="str">
        <f t="shared" si="32"/>
        <v/>
      </c>
      <c r="M30" t="str">
        <f t="shared" si="32"/>
        <v/>
      </c>
      <c r="N30" t="str">
        <f t="shared" si="32"/>
        <v/>
      </c>
      <c r="O30" t="str">
        <f t="shared" si="32"/>
        <v/>
      </c>
      <c r="P30" t="str">
        <f t="shared" si="32"/>
        <v/>
      </c>
      <c r="Q30" t="str">
        <f t="shared" si="32"/>
        <v/>
      </c>
      <c r="R30" t="str">
        <f t="shared" si="32"/>
        <v/>
      </c>
      <c r="S30" t="str">
        <f t="shared" si="32"/>
        <v/>
      </c>
      <c r="T30" t="str">
        <f t="shared" si="32"/>
        <v/>
      </c>
      <c r="U30" t="str">
        <f t="shared" si="32"/>
        <v/>
      </c>
      <c r="V30" t="str">
        <f t="shared" si="32"/>
        <v/>
      </c>
      <c r="W30" t="str">
        <f t="shared" si="32"/>
        <v/>
      </c>
      <c r="X30" t="str">
        <f t="shared" si="32"/>
        <v/>
      </c>
      <c r="AA30" t="str">
        <f t="shared" si="8"/>
        <v>Anthony (1966–: #149)</v>
      </c>
      <c r="AB30" t="str">
        <f t="shared" si="17"/>
        <v/>
      </c>
      <c r="AC30" t="str">
        <f t="shared" si="18"/>
        <v/>
      </c>
      <c r="AD30" t="str">
        <f t="shared" si="19"/>
        <v/>
      </c>
      <c r="AE30" t="str">
        <f t="shared" si="20"/>
        <v/>
      </c>
      <c r="AF30" t="str">
        <f t="shared" si="21"/>
        <v/>
      </c>
      <c r="AG30" t="str">
        <f t="shared" si="22"/>
        <v/>
      </c>
      <c r="AH30" t="str">
        <f t="shared" si="23"/>
        <v/>
      </c>
      <c r="AI30" t="str">
        <f t="shared" si="24"/>
        <v/>
      </c>
      <c r="AJ30" t="str">
        <f t="shared" si="25"/>
        <v/>
      </c>
      <c r="AK30" t="str">
        <f t="shared" si="26"/>
        <v/>
      </c>
      <c r="AL30" t="str">
        <f t="shared" si="27"/>
        <v/>
      </c>
      <c r="AM30" t="str">
        <f t="shared" si="28"/>
        <v/>
      </c>
      <c r="AN30" t="str">
        <f t="shared" si="29"/>
        <v/>
      </c>
      <c r="AO30" t="str">
        <f t="shared" si="30"/>
        <v/>
      </c>
      <c r="AP30" t="str">
        <f t="shared" si="31"/>
        <v/>
      </c>
      <c r="AQ30" s="60">
        <f t="shared" si="9"/>
        <v>78</v>
      </c>
      <c r="AR30" s="126">
        <f t="shared" si="10"/>
        <v>1</v>
      </c>
      <c r="AS30" s="60" t="str">
        <f t="shared" si="11"/>
        <v>Anthony (1966–: #149)</v>
      </c>
      <c r="AT30" s="97" t="str">
        <f t="shared" si="12"/>
        <v>1 - Anthony (1966–: #149)</v>
      </c>
      <c r="AU30" s="116">
        <f t="shared" si="13"/>
        <v>1</v>
      </c>
      <c r="AW30" s="72">
        <v>78</v>
      </c>
      <c r="GP30">
        <v>149</v>
      </c>
      <c r="IG30">
        <v>149</v>
      </c>
    </row>
    <row r="31" spans="1:241" ht="35" thickBot="1">
      <c r="A31" s="12">
        <f>'Book Details - NO EDIT'!A32</f>
        <v>30</v>
      </c>
      <c r="B31" s="112" t="str">
        <f>'Book Details - NO EDIT'!X32</f>
        <v>Archie (1847–1922: #30)</v>
      </c>
      <c r="C31" s="113">
        <f>'Book Details - NO EDIT'!L32</f>
        <v>14</v>
      </c>
      <c r="D31" s="44">
        <f>'Loyd List 1-190 - Edit'!T32</f>
        <v>4</v>
      </c>
      <c r="G31">
        <f t="shared" si="3"/>
        <v>80</v>
      </c>
      <c r="H31">
        <f t="shared" si="7"/>
        <v>7</v>
      </c>
      <c r="I31">
        <f t="shared" si="4"/>
        <v>155</v>
      </c>
      <c r="J31">
        <f t="shared" si="32"/>
        <v>156</v>
      </c>
      <c r="K31">
        <f t="shared" si="32"/>
        <v>157</v>
      </c>
      <c r="L31">
        <f t="shared" si="32"/>
        <v>158</v>
      </c>
      <c r="M31">
        <f t="shared" si="32"/>
        <v>159</v>
      </c>
      <c r="N31">
        <f t="shared" si="32"/>
        <v>161</v>
      </c>
      <c r="O31">
        <f t="shared" si="32"/>
        <v>163</v>
      </c>
      <c r="P31" t="str">
        <f t="shared" si="32"/>
        <v/>
      </c>
      <c r="Q31" t="str">
        <f t="shared" si="32"/>
        <v/>
      </c>
      <c r="R31" t="str">
        <f t="shared" si="32"/>
        <v/>
      </c>
      <c r="S31" t="str">
        <f t="shared" si="32"/>
        <v/>
      </c>
      <c r="T31" t="str">
        <f t="shared" si="32"/>
        <v/>
      </c>
      <c r="U31" t="str">
        <f t="shared" si="32"/>
        <v/>
      </c>
      <c r="V31" t="str">
        <f t="shared" si="32"/>
        <v/>
      </c>
      <c r="W31" t="str">
        <f t="shared" si="32"/>
        <v/>
      </c>
      <c r="X31" t="str">
        <f t="shared" si="32"/>
        <v/>
      </c>
      <c r="AA31" t="str">
        <f t="shared" si="8"/>
        <v>William (1973–: #155)</v>
      </c>
      <c r="AB31" t="str">
        <f t="shared" si="17"/>
        <v>Amy (1975–: #156)</v>
      </c>
      <c r="AC31" t="str">
        <f t="shared" si="18"/>
        <v>Tess (1975–: #157)</v>
      </c>
      <c r="AD31" t="str">
        <f t="shared" si="19"/>
        <v>Chloe (1977–: #158)</v>
      </c>
      <c r="AE31" t="str">
        <f t="shared" si="20"/>
        <v>Daisy (1979–: #159)</v>
      </c>
      <c r="AF31" t="str">
        <f t="shared" si="21"/>
        <v>Molly (1982–: #161)</v>
      </c>
      <c r="AG31" t="str">
        <f t="shared" si="22"/>
        <v>Harriet (1984–: #163)</v>
      </c>
      <c r="AH31" t="str">
        <f t="shared" si="23"/>
        <v/>
      </c>
      <c r="AI31" t="str">
        <f t="shared" si="24"/>
        <v/>
      </c>
      <c r="AJ31" t="str">
        <f t="shared" si="25"/>
        <v/>
      </c>
      <c r="AK31" t="str">
        <f t="shared" si="26"/>
        <v/>
      </c>
      <c r="AL31" t="str">
        <f t="shared" si="27"/>
        <v/>
      </c>
      <c r="AM31" t="str">
        <f t="shared" si="28"/>
        <v/>
      </c>
      <c r="AN31" t="str">
        <f t="shared" si="29"/>
        <v/>
      </c>
      <c r="AO31" t="str">
        <f t="shared" si="30"/>
        <v/>
      </c>
      <c r="AP31" t="str">
        <f t="shared" si="31"/>
        <v/>
      </c>
      <c r="AQ31" s="60">
        <f t="shared" si="9"/>
        <v>80</v>
      </c>
      <c r="AR31" s="126">
        <f t="shared" si="10"/>
        <v>7</v>
      </c>
      <c r="AS31" s="60" t="str">
        <f t="shared" si="11"/>
        <v>William (1973–: #155); Amy (1975–: #156); Tess (1975–: #157); Chloe (1977–: #158); Daisy (1979–: #159); Molly (1982–: #161); Harriet (1984–: #163)</v>
      </c>
      <c r="AT31" s="97" t="str">
        <f t="shared" si="12"/>
        <v>7 - William (1973–: #155); Amy (1975–: #156); Tess (1975–: #157); Chloe (1977–: #158); Daisy (1979–: #159); Molly (1982–: #161); Harriet (1984–: #163)</v>
      </c>
      <c r="AU31" s="116">
        <f t="shared" si="13"/>
        <v>7</v>
      </c>
      <c r="AW31" s="72">
        <v>80</v>
      </c>
      <c r="GV31">
        <v>155</v>
      </c>
      <c r="GW31">
        <v>156</v>
      </c>
      <c r="GX31">
        <v>157</v>
      </c>
      <c r="GY31">
        <v>158</v>
      </c>
      <c r="GZ31">
        <v>159</v>
      </c>
      <c r="HB31">
        <v>161</v>
      </c>
      <c r="HD31">
        <v>163</v>
      </c>
      <c r="IG31">
        <v>1109</v>
      </c>
    </row>
    <row r="32" spans="1:241" ht="18" thickBot="1">
      <c r="A32" s="12">
        <f>'Book Details - NO EDIT'!A33</f>
        <v>31</v>
      </c>
      <c r="B32" s="112" t="str">
        <f>'Book Details - NO EDIT'!X33</f>
        <v>Mary (1848–1934: #31)</v>
      </c>
      <c r="C32" s="113">
        <f>'Book Details - NO EDIT'!L33</f>
        <v>22</v>
      </c>
      <c r="D32" s="44">
        <f>'Loyd List 1-190 - Edit'!T33</f>
        <v>8</v>
      </c>
      <c r="G32">
        <f t="shared" si="3"/>
        <v>86</v>
      </c>
      <c r="H32">
        <f t="shared" si="7"/>
        <v>3</v>
      </c>
      <c r="I32">
        <f t="shared" si="4"/>
        <v>166</v>
      </c>
      <c r="J32">
        <f t="shared" si="32"/>
        <v>173</v>
      </c>
      <c r="K32">
        <f t="shared" si="32"/>
        <v>177</v>
      </c>
      <c r="L32" t="str">
        <f t="shared" si="32"/>
        <v/>
      </c>
      <c r="M32" t="str">
        <f t="shared" si="32"/>
        <v/>
      </c>
      <c r="N32" t="str">
        <f t="shared" si="32"/>
        <v/>
      </c>
      <c r="O32" t="str">
        <f t="shared" si="32"/>
        <v/>
      </c>
      <c r="P32" t="str">
        <f t="shared" si="32"/>
        <v/>
      </c>
      <c r="Q32" t="str">
        <f t="shared" si="32"/>
        <v/>
      </c>
      <c r="R32" t="str">
        <f t="shared" si="32"/>
        <v/>
      </c>
      <c r="S32" t="str">
        <f t="shared" si="32"/>
        <v/>
      </c>
      <c r="T32" t="str">
        <f t="shared" si="32"/>
        <v/>
      </c>
      <c r="U32" t="str">
        <f t="shared" si="32"/>
        <v/>
      </c>
      <c r="V32" t="str">
        <f t="shared" si="32"/>
        <v/>
      </c>
      <c r="W32" t="str">
        <f t="shared" si="32"/>
        <v/>
      </c>
      <c r="X32" t="str">
        <f t="shared" si="32"/>
        <v/>
      </c>
      <c r="AA32" t="str">
        <f t="shared" si="8"/>
        <v>Gareth (1988–: #166)</v>
      </c>
      <c r="AB32" t="str">
        <f t="shared" si="17"/>
        <v>Curtis (1992–: #173)</v>
      </c>
      <c r="AC32" t="str">
        <f t="shared" si="18"/>
        <v>Spencer (1995–: #177)</v>
      </c>
      <c r="AD32" t="str">
        <f t="shared" si="19"/>
        <v/>
      </c>
      <c r="AE32" t="str">
        <f t="shared" si="20"/>
        <v/>
      </c>
      <c r="AF32" t="str">
        <f t="shared" si="21"/>
        <v/>
      </c>
      <c r="AG32" t="str">
        <f t="shared" si="22"/>
        <v/>
      </c>
      <c r="AH32" t="str">
        <f t="shared" si="23"/>
        <v/>
      </c>
      <c r="AI32" t="str">
        <f t="shared" si="24"/>
        <v/>
      </c>
      <c r="AJ32" t="str">
        <f t="shared" si="25"/>
        <v/>
      </c>
      <c r="AK32" t="str">
        <f t="shared" si="26"/>
        <v/>
      </c>
      <c r="AL32" t="str">
        <f t="shared" si="27"/>
        <v/>
      </c>
      <c r="AM32" t="str">
        <f t="shared" si="28"/>
        <v/>
      </c>
      <c r="AN32" t="str">
        <f t="shared" si="29"/>
        <v/>
      </c>
      <c r="AO32" t="str">
        <f t="shared" si="30"/>
        <v/>
      </c>
      <c r="AP32" t="str">
        <f t="shared" si="31"/>
        <v/>
      </c>
      <c r="AQ32" s="60">
        <f t="shared" si="9"/>
        <v>86</v>
      </c>
      <c r="AR32" s="126">
        <f t="shared" si="10"/>
        <v>3</v>
      </c>
      <c r="AS32" s="60" t="str">
        <f t="shared" si="11"/>
        <v>Gareth (1988–: #166); Curtis (1992–: #173); Spencer (1995–: #177)</v>
      </c>
      <c r="AT32" s="97" t="str">
        <f t="shared" si="12"/>
        <v>3 - Gareth (1988–: #166); Curtis (1992–: #173); Spencer (1995–: #177)</v>
      </c>
      <c r="AU32" s="116">
        <f t="shared" si="13"/>
        <v>3</v>
      </c>
      <c r="AW32" s="72">
        <v>86</v>
      </c>
      <c r="HG32">
        <v>166</v>
      </c>
      <c r="HN32">
        <v>173</v>
      </c>
      <c r="HR32">
        <v>177</v>
      </c>
      <c r="IG32">
        <v>516</v>
      </c>
    </row>
    <row r="33" spans="1:241" ht="35" thickBot="1">
      <c r="A33" s="12">
        <f>'Book Details - NO EDIT'!A34</f>
        <v>32</v>
      </c>
      <c r="B33" s="112" t="str">
        <f>'Book Details - NO EDIT'!X34</f>
        <v>Frank (1848–1934: #32)</v>
      </c>
      <c r="C33" s="113">
        <f>'Book Details - NO EDIT'!L34</f>
        <v>14</v>
      </c>
      <c r="D33" s="44">
        <f>'Loyd List 1-190 - Edit'!T34</f>
        <v>4</v>
      </c>
      <c r="G33">
        <f t="shared" si="3"/>
        <v>94</v>
      </c>
      <c r="H33">
        <f t="shared" si="7"/>
        <v>8</v>
      </c>
      <c r="I33">
        <f t="shared" si="4"/>
        <v>160</v>
      </c>
      <c r="J33">
        <f t="shared" si="32"/>
        <v>162</v>
      </c>
      <c r="K33">
        <f t="shared" si="32"/>
        <v>164</v>
      </c>
      <c r="L33">
        <f t="shared" si="32"/>
        <v>165</v>
      </c>
      <c r="M33">
        <f t="shared" si="32"/>
        <v>167</v>
      </c>
      <c r="N33">
        <f t="shared" si="32"/>
        <v>172</v>
      </c>
      <c r="O33">
        <f t="shared" si="32"/>
        <v>176</v>
      </c>
      <c r="P33">
        <f t="shared" si="32"/>
        <v>179</v>
      </c>
      <c r="Q33" t="str">
        <f t="shared" si="32"/>
        <v/>
      </c>
      <c r="R33" t="str">
        <f t="shared" si="32"/>
        <v/>
      </c>
      <c r="S33" t="str">
        <f t="shared" si="32"/>
        <v/>
      </c>
      <c r="T33" t="str">
        <f t="shared" si="32"/>
        <v/>
      </c>
      <c r="U33" t="str">
        <f t="shared" si="32"/>
        <v/>
      </c>
      <c r="V33" t="str">
        <f t="shared" si="32"/>
        <v/>
      </c>
      <c r="W33" t="str">
        <f t="shared" si="32"/>
        <v/>
      </c>
      <c r="X33" t="str">
        <f t="shared" si="32"/>
        <v/>
      </c>
      <c r="AA33" t="str">
        <f t="shared" si="8"/>
        <v>John (1982–: #160)</v>
      </c>
      <c r="AB33" t="str">
        <f t="shared" si="17"/>
        <v>David (1984–: #162)</v>
      </c>
      <c r="AC33" t="str">
        <f t="shared" si="18"/>
        <v>Poppy (1984–: #164)</v>
      </c>
      <c r="AD33" t="str">
        <f t="shared" si="19"/>
        <v>Rose (1986–: #165)</v>
      </c>
      <c r="AE33" t="str">
        <f t="shared" si="20"/>
        <v>Ben (1988–: #167)</v>
      </c>
      <c r="AF33" t="str">
        <f t="shared" si="21"/>
        <v>Florina (1991–: #172)</v>
      </c>
      <c r="AG33" t="str">
        <f t="shared" si="22"/>
        <v>Sam (1994–: #176)</v>
      </c>
      <c r="AH33" t="str">
        <f t="shared" si="23"/>
        <v>Josh (1996–: #179)</v>
      </c>
      <c r="AI33" t="str">
        <f t="shared" si="24"/>
        <v/>
      </c>
      <c r="AJ33" t="str">
        <f t="shared" si="25"/>
        <v/>
      </c>
      <c r="AK33" t="str">
        <f t="shared" si="26"/>
        <v/>
      </c>
      <c r="AL33" t="str">
        <f t="shared" si="27"/>
        <v/>
      </c>
      <c r="AM33" t="str">
        <f t="shared" si="28"/>
        <v/>
      </c>
      <c r="AN33" t="str">
        <f t="shared" si="29"/>
        <v/>
      </c>
      <c r="AO33" t="str">
        <f t="shared" si="30"/>
        <v/>
      </c>
      <c r="AP33" t="str">
        <f t="shared" si="31"/>
        <v/>
      </c>
      <c r="AQ33" s="60">
        <f t="shared" si="9"/>
        <v>94</v>
      </c>
      <c r="AR33" s="126">
        <f t="shared" si="10"/>
        <v>8</v>
      </c>
      <c r="AS33" s="60" t="str">
        <f t="shared" si="11"/>
        <v>John (1982–: #160); David (1984–: #162); Poppy (1984–: #164); Rose (1986–: #165); Ben (1988–: #167); Florina (1991–: #172); Sam (1994–: #176); Josh (1996–: #179)</v>
      </c>
      <c r="AT33" s="97" t="str">
        <f t="shared" si="12"/>
        <v>8 - John (1982–: #160); David (1984–: #162); Poppy (1984–: #164); Rose (1986–: #165); Ben (1988–: #167); Florina (1991–: #172); Sam (1994–: #176); Josh (1996–: #179)</v>
      </c>
      <c r="AU33" s="116">
        <f t="shared" si="13"/>
        <v>8</v>
      </c>
      <c r="AW33" s="72">
        <v>94</v>
      </c>
      <c r="HA33">
        <v>160</v>
      </c>
      <c r="HC33">
        <v>162</v>
      </c>
      <c r="HE33">
        <v>164</v>
      </c>
      <c r="HF33">
        <v>165</v>
      </c>
      <c r="HH33">
        <v>167</v>
      </c>
      <c r="HM33">
        <v>172</v>
      </c>
      <c r="HQ33">
        <v>176</v>
      </c>
      <c r="HT33">
        <v>179</v>
      </c>
      <c r="IG33">
        <v>1345</v>
      </c>
    </row>
    <row r="34" spans="1:241" ht="18" thickBot="1">
      <c r="A34" s="12">
        <f>'Book Details - NO EDIT'!A35</f>
        <v>33</v>
      </c>
      <c r="B34" s="112" t="str">
        <f>'Book Details - NO EDIT'!X35</f>
        <v>Alfred (1849–1881: #33)</v>
      </c>
      <c r="C34" s="113">
        <f>'Book Details - NO EDIT'!L35</f>
        <v>14</v>
      </c>
      <c r="D34" s="44">
        <f>'Loyd List 1-190 - Edit'!T35</f>
        <v>4</v>
      </c>
      <c r="G34">
        <f t="shared" si="3"/>
        <v>96</v>
      </c>
      <c r="H34">
        <f t="shared" si="7"/>
        <v>3</v>
      </c>
      <c r="I34">
        <f t="shared" si="4"/>
        <v>169</v>
      </c>
      <c r="J34">
        <f t="shared" si="32"/>
        <v>171</v>
      </c>
      <c r="K34">
        <f t="shared" si="32"/>
        <v>174</v>
      </c>
      <c r="L34" t="str">
        <f t="shared" si="32"/>
        <v/>
      </c>
      <c r="M34" t="str">
        <f t="shared" si="32"/>
        <v/>
      </c>
      <c r="N34" t="str">
        <f t="shared" si="32"/>
        <v/>
      </c>
      <c r="O34" t="str">
        <f t="shared" si="32"/>
        <v/>
      </c>
      <c r="P34" t="str">
        <f t="shared" si="32"/>
        <v/>
      </c>
      <c r="Q34" t="str">
        <f t="shared" si="32"/>
        <v/>
      </c>
      <c r="R34" t="str">
        <f t="shared" si="32"/>
        <v/>
      </c>
      <c r="S34" t="str">
        <f t="shared" si="32"/>
        <v/>
      </c>
      <c r="T34" t="str">
        <f t="shared" si="32"/>
        <v/>
      </c>
      <c r="U34" t="str">
        <f t="shared" si="32"/>
        <v/>
      </c>
      <c r="V34" t="str">
        <f t="shared" si="32"/>
        <v/>
      </c>
      <c r="W34" t="str">
        <f t="shared" si="32"/>
        <v/>
      </c>
      <c r="X34" t="str">
        <f t="shared" si="32"/>
        <v/>
      </c>
      <c r="AA34" t="str">
        <f t="shared" si="8"/>
        <v>James (1988–: #169)</v>
      </c>
      <c r="AB34" t="str">
        <f t="shared" si="17"/>
        <v>Rupert (1990–: #171)</v>
      </c>
      <c r="AC34" t="str">
        <f t="shared" si="18"/>
        <v>Tabitha (1992–: #174)</v>
      </c>
      <c r="AD34" t="str">
        <f t="shared" si="19"/>
        <v/>
      </c>
      <c r="AE34" t="str">
        <f t="shared" si="20"/>
        <v/>
      </c>
      <c r="AF34" t="str">
        <f t="shared" si="21"/>
        <v/>
      </c>
      <c r="AG34" t="str">
        <f t="shared" si="22"/>
        <v/>
      </c>
      <c r="AH34" t="str">
        <f t="shared" si="23"/>
        <v/>
      </c>
      <c r="AI34" t="str">
        <f t="shared" si="24"/>
        <v/>
      </c>
      <c r="AJ34" t="str">
        <f t="shared" si="25"/>
        <v/>
      </c>
      <c r="AK34" t="str">
        <f t="shared" si="26"/>
        <v/>
      </c>
      <c r="AL34" t="str">
        <f t="shared" si="27"/>
        <v/>
      </c>
      <c r="AM34" t="str">
        <f t="shared" si="28"/>
        <v/>
      </c>
      <c r="AN34" t="str">
        <f t="shared" si="29"/>
        <v/>
      </c>
      <c r="AO34" t="str">
        <f t="shared" si="30"/>
        <v/>
      </c>
      <c r="AP34" t="str">
        <f t="shared" si="31"/>
        <v/>
      </c>
      <c r="AQ34" s="60">
        <f t="shared" si="9"/>
        <v>96</v>
      </c>
      <c r="AR34" s="126">
        <f t="shared" si="10"/>
        <v>3</v>
      </c>
      <c r="AS34" s="60" t="str">
        <f t="shared" si="11"/>
        <v>James (1988–: #169); Rupert (1990–: #171); Tabitha (1992–: #174)</v>
      </c>
      <c r="AT34" s="97" t="str">
        <f t="shared" si="12"/>
        <v>3 - James (1988–: #169); Rupert (1990–: #171); Tabitha (1992–: #174)</v>
      </c>
      <c r="AU34" s="116">
        <f t="shared" si="13"/>
        <v>3</v>
      </c>
      <c r="AW34" s="72">
        <v>96</v>
      </c>
      <c r="HJ34">
        <v>169</v>
      </c>
      <c r="HL34">
        <v>171</v>
      </c>
      <c r="HO34">
        <v>174</v>
      </c>
      <c r="IG34">
        <v>514</v>
      </c>
    </row>
    <row r="35" spans="1:241" ht="18" thickBot="1">
      <c r="A35" s="12">
        <f>'Book Details - NO EDIT'!A36</f>
        <v>34</v>
      </c>
      <c r="B35" s="112" t="str">
        <f>'Book Details - NO EDIT'!X36</f>
        <v>Ted (1851–1922: #34)</v>
      </c>
      <c r="C35" s="113">
        <f>'Book Details - NO EDIT'!L36</f>
        <v>14</v>
      </c>
      <c r="D35" s="44">
        <f>'Loyd List 1-190 - Edit'!T36</f>
        <v>4</v>
      </c>
      <c r="G35">
        <f t="shared" si="3"/>
        <v>100</v>
      </c>
      <c r="H35">
        <f t="shared" si="7"/>
        <v>5</v>
      </c>
      <c r="I35">
        <f t="shared" si="4"/>
        <v>168</v>
      </c>
      <c r="J35">
        <f t="shared" si="32"/>
        <v>170</v>
      </c>
      <c r="K35">
        <f t="shared" si="32"/>
        <v>175</v>
      </c>
      <c r="L35">
        <f t="shared" si="32"/>
        <v>178</v>
      </c>
      <c r="M35">
        <f t="shared" si="32"/>
        <v>181</v>
      </c>
      <c r="N35" t="str">
        <f t="shared" si="32"/>
        <v/>
      </c>
      <c r="O35" t="str">
        <f t="shared" si="32"/>
        <v/>
      </c>
      <c r="P35" t="str">
        <f t="shared" si="32"/>
        <v/>
      </c>
      <c r="Q35" t="str">
        <f t="shared" si="32"/>
        <v/>
      </c>
      <c r="R35" t="str">
        <f t="shared" si="32"/>
        <v/>
      </c>
      <c r="S35" t="str">
        <f t="shared" si="32"/>
        <v/>
      </c>
      <c r="T35" t="str">
        <f t="shared" si="32"/>
        <v/>
      </c>
      <c r="U35" t="str">
        <f t="shared" si="32"/>
        <v/>
      </c>
      <c r="V35" t="str">
        <f t="shared" si="32"/>
        <v/>
      </c>
      <c r="W35" t="str">
        <f t="shared" si="32"/>
        <v/>
      </c>
      <c r="X35" t="str">
        <f t="shared" si="32"/>
        <v/>
      </c>
      <c r="AA35" t="str">
        <f t="shared" si="8"/>
        <v>Camilla (1988–: #168)</v>
      </c>
      <c r="AB35" t="str">
        <f t="shared" si="17"/>
        <v>Sophie (1989–: #170)</v>
      </c>
      <c r="AC35" t="str">
        <f t="shared" si="18"/>
        <v>Kit (1993–: #175)</v>
      </c>
      <c r="AD35" t="str">
        <f t="shared" si="19"/>
        <v>William (1996–: #178)</v>
      </c>
      <c r="AE35" t="str">
        <f t="shared" si="20"/>
        <v>Eliza (1999–: #181)</v>
      </c>
      <c r="AF35" t="str">
        <f t="shared" si="21"/>
        <v/>
      </c>
      <c r="AG35" t="str">
        <f t="shared" si="22"/>
        <v/>
      </c>
      <c r="AH35" t="str">
        <f t="shared" si="23"/>
        <v/>
      </c>
      <c r="AI35" t="str">
        <f t="shared" si="24"/>
        <v/>
      </c>
      <c r="AJ35" t="str">
        <f t="shared" si="25"/>
        <v/>
      </c>
      <c r="AK35" t="str">
        <f t="shared" si="26"/>
        <v/>
      </c>
      <c r="AL35" t="str">
        <f t="shared" si="27"/>
        <v/>
      </c>
      <c r="AM35" t="str">
        <f t="shared" si="28"/>
        <v/>
      </c>
      <c r="AN35" t="str">
        <f t="shared" si="29"/>
        <v/>
      </c>
      <c r="AO35" t="str">
        <f t="shared" si="30"/>
        <v/>
      </c>
      <c r="AP35" t="str">
        <f t="shared" si="31"/>
        <v/>
      </c>
      <c r="AQ35" s="60">
        <f t="shared" si="9"/>
        <v>100</v>
      </c>
      <c r="AR35" s="126">
        <f t="shared" si="10"/>
        <v>5</v>
      </c>
      <c r="AS35" s="60" t="str">
        <f t="shared" si="11"/>
        <v>Camilla (1988–: #168); Sophie (1989–: #170); Kit (1993–: #175); William (1996–: #178); Eliza (1999–: #181)</v>
      </c>
      <c r="AT35" s="97" t="str">
        <f t="shared" si="12"/>
        <v>5 - Camilla (1988–: #168); Sophie (1989–: #170); Kit (1993–: #175); William (1996–: #178); Eliza (1999–: #181)</v>
      </c>
      <c r="AU35" s="116">
        <f t="shared" si="13"/>
        <v>5</v>
      </c>
      <c r="AW35" s="72">
        <v>100</v>
      </c>
      <c r="HI35">
        <v>168</v>
      </c>
      <c r="HK35">
        <v>170</v>
      </c>
      <c r="HP35">
        <v>175</v>
      </c>
      <c r="HS35">
        <v>178</v>
      </c>
      <c r="HV35">
        <v>181</v>
      </c>
      <c r="IG35">
        <v>872</v>
      </c>
    </row>
    <row r="36" spans="1:241" ht="18" thickBot="1">
      <c r="A36" s="12">
        <f>'Book Details - NO EDIT'!A37</f>
        <v>35</v>
      </c>
      <c r="B36" s="112" t="str">
        <f>'Book Details - NO EDIT'!X37</f>
        <v>Lewis (1852–1908: #35)</v>
      </c>
      <c r="C36" s="113">
        <f>'Book Details - NO EDIT'!L37</f>
        <v>23</v>
      </c>
      <c r="D36" s="44">
        <f>'Loyd List 1-190 - Edit'!T37</f>
        <v>8</v>
      </c>
      <c r="G36">
        <f t="shared" si="3"/>
        <v>104</v>
      </c>
      <c r="H36">
        <f t="shared" si="7"/>
        <v>2</v>
      </c>
      <c r="I36">
        <f t="shared" si="4"/>
        <v>180</v>
      </c>
      <c r="J36">
        <f t="shared" si="32"/>
        <v>182</v>
      </c>
      <c r="K36" t="str">
        <f t="shared" si="32"/>
        <v/>
      </c>
      <c r="L36" t="str">
        <f t="shared" si="32"/>
        <v/>
      </c>
      <c r="M36" t="str">
        <f t="shared" si="32"/>
        <v/>
      </c>
      <c r="N36" t="str">
        <f t="shared" si="32"/>
        <v/>
      </c>
      <c r="O36" t="str">
        <f t="shared" si="32"/>
        <v/>
      </c>
      <c r="P36" t="str">
        <f t="shared" si="32"/>
        <v/>
      </c>
      <c r="Q36" t="str">
        <f t="shared" si="32"/>
        <v/>
      </c>
      <c r="R36" t="str">
        <f t="shared" si="32"/>
        <v/>
      </c>
      <c r="S36" t="str">
        <f t="shared" si="32"/>
        <v/>
      </c>
      <c r="T36" t="str">
        <f t="shared" si="32"/>
        <v/>
      </c>
      <c r="U36" t="str">
        <f t="shared" si="32"/>
        <v/>
      </c>
      <c r="V36" t="str">
        <f t="shared" si="32"/>
        <v/>
      </c>
      <c r="W36" t="str">
        <f t="shared" si="32"/>
        <v/>
      </c>
      <c r="X36" t="str">
        <f t="shared" si="32"/>
        <v/>
      </c>
      <c r="AA36" t="str">
        <f t="shared" si="8"/>
        <v>George (1998–: #180)</v>
      </c>
      <c r="AB36" t="str">
        <f t="shared" si="17"/>
        <v>Rosanna (2000–: #182)</v>
      </c>
      <c r="AC36" t="str">
        <f t="shared" si="18"/>
        <v/>
      </c>
      <c r="AD36" t="str">
        <f t="shared" si="19"/>
        <v/>
      </c>
      <c r="AE36" t="str">
        <f t="shared" si="20"/>
        <v/>
      </c>
      <c r="AF36" t="str">
        <f t="shared" si="21"/>
        <v/>
      </c>
      <c r="AG36" t="str">
        <f t="shared" si="22"/>
        <v/>
      </c>
      <c r="AH36" t="str">
        <f t="shared" si="23"/>
        <v/>
      </c>
      <c r="AI36" t="str">
        <f t="shared" si="24"/>
        <v/>
      </c>
      <c r="AJ36" t="str">
        <f t="shared" si="25"/>
        <v/>
      </c>
      <c r="AK36" t="str">
        <f t="shared" si="26"/>
        <v/>
      </c>
      <c r="AL36" t="str">
        <f t="shared" si="27"/>
        <v/>
      </c>
      <c r="AM36" t="str">
        <f t="shared" si="28"/>
        <v/>
      </c>
      <c r="AN36" t="str">
        <f t="shared" si="29"/>
        <v/>
      </c>
      <c r="AO36" t="str">
        <f t="shared" si="30"/>
        <v/>
      </c>
      <c r="AP36" t="str">
        <f t="shared" si="31"/>
        <v/>
      </c>
      <c r="AQ36" s="60">
        <f t="shared" si="9"/>
        <v>104</v>
      </c>
      <c r="AR36" s="126">
        <f>AU36</f>
        <v>2</v>
      </c>
      <c r="AS36" s="60" t="str">
        <f t="shared" si="11"/>
        <v>George (1998–: #180); Rosanna (2000–: #182)</v>
      </c>
      <c r="AT36" s="97" t="str">
        <f t="shared" si="12"/>
        <v>2 - George (1998–: #180); Rosanna (2000–: #182)</v>
      </c>
      <c r="AU36" s="116">
        <f>COUNTIF(AX36:IF36,"&gt;0")</f>
        <v>2</v>
      </c>
      <c r="AW36" s="72">
        <v>104</v>
      </c>
      <c r="HU36">
        <v>180</v>
      </c>
      <c r="HW36">
        <v>182</v>
      </c>
      <c r="IG36">
        <v>362</v>
      </c>
    </row>
    <row r="37" spans="1:241" ht="18" thickBot="1">
      <c r="A37" s="12">
        <f>'Book Details - NO EDIT'!A38</f>
        <v>36</v>
      </c>
      <c r="B37" s="112" t="str">
        <f>'Book Details - NO EDIT'!X38</f>
        <v>Elinor (1853–1895: #36)</v>
      </c>
      <c r="C37" s="113">
        <f>'Book Details - NO EDIT'!L38</f>
        <v>22</v>
      </c>
      <c r="D37" s="44">
        <f>'Loyd List 1-190 - Edit'!T38</f>
        <v>8</v>
      </c>
      <c r="G37">
        <f t="shared" si="3"/>
        <v>113</v>
      </c>
      <c r="H37">
        <f>COUNTIF(AX37:IF37,"&gt;0")</f>
        <v>1</v>
      </c>
      <c r="I37">
        <f t="shared" si="4"/>
        <v>184</v>
      </c>
      <c r="J37" t="str">
        <f t="shared" si="32"/>
        <v/>
      </c>
      <c r="K37" t="str">
        <f t="shared" si="32"/>
        <v/>
      </c>
      <c r="L37" t="str">
        <f t="shared" si="32"/>
        <v/>
      </c>
      <c r="M37" t="str">
        <f t="shared" si="32"/>
        <v/>
      </c>
      <c r="N37" t="str">
        <f t="shared" si="32"/>
        <v/>
      </c>
      <c r="O37" t="str">
        <f t="shared" si="32"/>
        <v/>
      </c>
      <c r="P37" t="str">
        <f t="shared" si="32"/>
        <v/>
      </c>
      <c r="Q37" t="str">
        <f t="shared" si="32"/>
        <v/>
      </c>
      <c r="R37" t="str">
        <f t="shared" si="32"/>
        <v/>
      </c>
      <c r="S37" t="str">
        <f t="shared" si="32"/>
        <v/>
      </c>
      <c r="T37" t="str">
        <f t="shared" si="32"/>
        <v/>
      </c>
      <c r="U37" t="str">
        <f t="shared" si="32"/>
        <v/>
      </c>
      <c r="V37" t="str">
        <f t="shared" si="32"/>
        <v/>
      </c>
      <c r="W37" t="str">
        <f t="shared" si="32"/>
        <v/>
      </c>
      <c r="X37" t="str">
        <f t="shared" si="32"/>
        <v/>
      </c>
      <c r="AA37" t="str">
        <f t="shared" si="8"/>
        <v>Delilah (2006–: #184)</v>
      </c>
      <c r="AB37" t="str">
        <f t="shared" si="17"/>
        <v/>
      </c>
      <c r="AC37" t="str">
        <f t="shared" si="18"/>
        <v/>
      </c>
      <c r="AD37" t="str">
        <f t="shared" si="19"/>
        <v/>
      </c>
      <c r="AE37" t="str">
        <f t="shared" si="20"/>
        <v/>
      </c>
      <c r="AF37" t="str">
        <f t="shared" si="21"/>
        <v/>
      </c>
      <c r="AG37" t="str">
        <f t="shared" si="22"/>
        <v/>
      </c>
      <c r="AH37" t="str">
        <f t="shared" si="23"/>
        <v/>
      </c>
      <c r="AI37" t="str">
        <f t="shared" si="24"/>
        <v/>
      </c>
      <c r="AJ37" t="str">
        <f t="shared" si="25"/>
        <v/>
      </c>
      <c r="AK37" t="str">
        <f t="shared" si="26"/>
        <v/>
      </c>
      <c r="AL37" t="str">
        <f t="shared" si="27"/>
        <v/>
      </c>
      <c r="AM37" t="str">
        <f t="shared" si="28"/>
        <v/>
      </c>
      <c r="AN37" t="str">
        <f t="shared" si="29"/>
        <v/>
      </c>
      <c r="AO37" t="str">
        <f t="shared" si="30"/>
        <v/>
      </c>
      <c r="AP37" t="str">
        <f t="shared" si="31"/>
        <v/>
      </c>
      <c r="AQ37" s="60">
        <f>G37</f>
        <v>113</v>
      </c>
      <c r="AR37" s="126">
        <f>AU37</f>
        <v>1</v>
      </c>
      <c r="AS37" s="60" t="str">
        <f t="shared" si="11"/>
        <v>Delilah (2006–: #184)</v>
      </c>
      <c r="AT37" s="97" t="str">
        <f t="shared" si="12"/>
        <v>1 - Delilah (2006–: #184)</v>
      </c>
      <c r="AU37" s="116">
        <f>COUNTIF(AX37:IF37,"&gt;0")</f>
        <v>1</v>
      </c>
      <c r="AW37" s="72">
        <v>113</v>
      </c>
      <c r="HZ37">
        <v>184</v>
      </c>
      <c r="IG37">
        <v>184</v>
      </c>
    </row>
    <row r="38" spans="1:241" ht="18" thickBot="1">
      <c r="A38" s="12">
        <f>'Book Details - NO EDIT'!A39</f>
        <v>37</v>
      </c>
      <c r="B38" s="112" t="str">
        <f>'Book Details - NO EDIT'!X39</f>
        <v>Annie (1853–1946: #37)</v>
      </c>
      <c r="C38" s="113">
        <f>'Book Details - NO EDIT'!L39</f>
        <v>14</v>
      </c>
      <c r="D38" s="44">
        <f>'Loyd List 1-190 - Edit'!T39</f>
        <v>4</v>
      </c>
      <c r="G38">
        <f t="shared" si="3"/>
        <v>119</v>
      </c>
      <c r="H38">
        <f t="shared" si="7"/>
        <v>3</v>
      </c>
      <c r="I38">
        <f t="shared" si="4"/>
        <v>183</v>
      </c>
      <c r="J38">
        <f t="shared" ref="J38:X39" si="33">IF($H38&gt;=J$1,LARGE($AX38:$IF38,$H38-J$1+1),"")</f>
        <v>185</v>
      </c>
      <c r="K38">
        <f t="shared" si="33"/>
        <v>186</v>
      </c>
      <c r="L38" t="str">
        <f t="shared" si="33"/>
        <v/>
      </c>
      <c r="M38" t="str">
        <f t="shared" si="33"/>
        <v/>
      </c>
      <c r="N38" t="str">
        <f t="shared" si="33"/>
        <v/>
      </c>
      <c r="O38" t="str">
        <f t="shared" si="33"/>
        <v/>
      </c>
      <c r="P38" t="str">
        <f t="shared" si="33"/>
        <v/>
      </c>
      <c r="Q38" t="str">
        <f t="shared" si="33"/>
        <v/>
      </c>
      <c r="R38" t="str">
        <f t="shared" si="33"/>
        <v/>
      </c>
      <c r="S38" t="str">
        <f t="shared" si="33"/>
        <v/>
      </c>
      <c r="T38" t="str">
        <f t="shared" si="33"/>
        <v/>
      </c>
      <c r="U38" t="str">
        <f t="shared" si="33"/>
        <v/>
      </c>
      <c r="V38" t="str">
        <f t="shared" si="33"/>
        <v/>
      </c>
      <c r="W38" t="str">
        <f t="shared" si="33"/>
        <v/>
      </c>
      <c r="X38" t="str">
        <f t="shared" si="33"/>
        <v/>
      </c>
      <c r="AA38" t="str">
        <f t="shared" si="8"/>
        <v>Matilda (2006–: #183)</v>
      </c>
      <c r="AB38" t="str">
        <f t="shared" si="17"/>
        <v>Katherine (2007–: #185)</v>
      </c>
      <c r="AC38" t="str">
        <f t="shared" si="18"/>
        <v>Henry (2010–: #186)</v>
      </c>
      <c r="AD38" t="str">
        <f t="shared" si="19"/>
        <v/>
      </c>
      <c r="AE38" t="str">
        <f t="shared" si="20"/>
        <v/>
      </c>
      <c r="AF38" t="str">
        <f t="shared" si="21"/>
        <v/>
      </c>
      <c r="AG38" t="str">
        <f t="shared" si="22"/>
        <v/>
      </c>
      <c r="AH38" t="str">
        <f t="shared" si="23"/>
        <v/>
      </c>
      <c r="AI38" t="str">
        <f t="shared" si="24"/>
        <v/>
      </c>
      <c r="AJ38" t="str">
        <f t="shared" si="25"/>
        <v/>
      </c>
      <c r="AK38" t="str">
        <f t="shared" si="26"/>
        <v/>
      </c>
      <c r="AL38" t="str">
        <f t="shared" si="27"/>
        <v/>
      </c>
      <c r="AM38" t="str">
        <f t="shared" si="28"/>
        <v/>
      </c>
      <c r="AN38" t="str">
        <f t="shared" si="29"/>
        <v/>
      </c>
      <c r="AO38" t="str">
        <f t="shared" si="30"/>
        <v/>
      </c>
      <c r="AP38" t="str">
        <f t="shared" si="31"/>
        <v/>
      </c>
      <c r="AQ38" s="60">
        <f>G38</f>
        <v>119</v>
      </c>
      <c r="AR38" s="126">
        <f>AU38</f>
        <v>3</v>
      </c>
      <c r="AS38" s="60" t="str">
        <f t="shared" si="11"/>
        <v>Matilda (2006–: #183); Katherine (2007–: #185); Henry (2010–: #186)</v>
      </c>
      <c r="AT38" s="97" t="str">
        <f>_xlfn.CONCAT(AR38," - ",_xlfn.CONCAT(IF(AB38="",AA38,IF(AC38="",_xlfn.CONCAT(AA38,"; ",AB38),IF(AD38="",_xlfn.CONCAT(AA38,"; ",AB38,"; ",AC38),IF(AE38="",_xlfn.CONCAT(AA38,"; ",AB38,"; ",AC38,"; ",AD38),IF(AF38="",_xlfn.CONCAT(AA38,"; ",AB38,"; ",AC38,"; ",AD38,"; ",AE38),IF(AG38="",_xlfn.CONCAT(AA38,"; ",AB38,"; ",AC38,"; ",AD38,"; ",AE38,"; ",AF38),IF(AH38="",_xlfn.CONCAT(AA38,"; ",AB38,"; ",AC38,"; ",AD38,"; ",AE38,"; ",AF38,"; ",AG38),IF(AI38="",_xlfn.CONCAT(AA38,"; ",AB38,"; ",AC38,"; ",AD38,"; ",AE38,"; ",AF38,"; ",AG38,"; ",AH38),IF(AJ38="",_xlfn.CONCAT(AA38,"; ",AB38,"; ",AC38,"; ",AD38,"; ",AE38,"; ",AF38,"; ",AG38,"; ",AH38,"; ",AI38),IF(AK38="",_xlfn.CONCAT(AA38,"; ",AB38,"; ",AC38,"; ",AD38,"; ",AE38,"; ",AF38,"; ",AG38,"; ",AH38,"; ",AI38,"; ",AJ38),IF(AL38="",_xlfn.CONCAT(AA38,"; ",AB38,"; ",AC38,"; ",AD38,"; ",AE38,"; ",AF38,"; ",AG38,"; ",AH38,"; ",AI38,"; ",AJ38,"; ",AK38),IF(AM38="",_xlfn.CONCAT(AA38,"; ",AB38,"; ",AC38,"; ",AD38,"; ",AE38,"; ",AF38,"; ",AG38,"; ",AH38,"; ",AI38,"; ",AJ38,"; ",AK38,"; ",AL38),IF(AN38="",_xlfn.CONCAT(AA38,"; ",AB38,"; ",AC38,"; ",AD38,"; ",AE38,"; ",AF38,"; ",AG38,"; ",AH38,"; ",AI38,"; ",AJ38,"; ",AK38,"; ",AL38,"; ",AM38),IF(AO38="",_xlfn.CONCAT(AA38,"; ",AB38,"; ",AC38,"; ",AD38,"; ",AE38,"; ",AF38,"; ",AG38,"; ",AH38,"; ",AI38,"; ",AJ38,"; ",AK38,"; ",AL38,"; ",AM38,"; ",AN38),IF(AP38="",_xlfn.CONCAT(AA38,"; ",AB38,"; ",AC38,"; ",AD38,"; ",AE38,"; ",AF38,"; ",AG38,"; ",AH38,"; ",AI38,"; ",AJ38,"; ",AK38,"; ",AL38,"; ",AM38,"; ",AN38," ;",AO38),_xlfn.CONCAT(AA38,"; ",AB38,"; ",AC38,"; ",AD38,"; ",AE38,"; ",AF38,"; ",AG38,"; ",AH38,"; ",AI38,"; ",AJ38,"; ",AK38,"; ",AL38,"; ",AM38,"; ",AN38," ;",AO38,"; ",AP38))))))))))))))))))</f>
        <v>3 - Matilda (2006–: #183); Katherine (2007–: #185); Henry (2010–: #186)</v>
      </c>
      <c r="AU38" s="116">
        <f>COUNTIF(AX38:IF38,"&gt;0")</f>
        <v>3</v>
      </c>
      <c r="AW38" s="72">
        <v>119</v>
      </c>
      <c r="HY38">
        <v>183</v>
      </c>
      <c r="IA38">
        <v>185</v>
      </c>
      <c r="IB38">
        <v>186</v>
      </c>
      <c r="IG38">
        <v>554</v>
      </c>
    </row>
    <row r="39" spans="1:241" ht="18" thickBot="1">
      <c r="A39" s="12">
        <f>'Book Details - NO EDIT'!A40</f>
        <v>38</v>
      </c>
      <c r="B39" s="112" t="str">
        <f>'Book Details - NO EDIT'!X40</f>
        <v>Gertrude (1854–1924: #38)</v>
      </c>
      <c r="C39" s="113">
        <f>'Book Details - NO EDIT'!L40</f>
        <v>23</v>
      </c>
      <c r="D39" s="44">
        <f>'Loyd List 1-190 - Edit'!T40</f>
        <v>8</v>
      </c>
      <c r="G39">
        <f t="shared" si="3"/>
        <v>131</v>
      </c>
      <c r="H39">
        <f t="shared" si="7"/>
        <v>4</v>
      </c>
      <c r="I39">
        <f t="shared" si="4"/>
        <v>187</v>
      </c>
      <c r="J39">
        <f t="shared" si="33"/>
        <v>188</v>
      </c>
      <c r="K39">
        <f t="shared" si="33"/>
        <v>189</v>
      </c>
      <c r="L39">
        <f t="shared" si="33"/>
        <v>190</v>
      </c>
      <c r="M39" t="str">
        <f t="shared" si="33"/>
        <v/>
      </c>
      <c r="N39" t="str">
        <f t="shared" si="33"/>
        <v/>
      </c>
      <c r="O39" t="str">
        <f t="shared" si="33"/>
        <v/>
      </c>
      <c r="P39" t="str">
        <f t="shared" si="33"/>
        <v/>
      </c>
      <c r="Q39" t="str">
        <f t="shared" si="33"/>
        <v/>
      </c>
      <c r="R39" t="str">
        <f t="shared" si="33"/>
        <v/>
      </c>
      <c r="S39" t="str">
        <f t="shared" si="33"/>
        <v/>
      </c>
      <c r="T39" t="str">
        <f t="shared" si="33"/>
        <v/>
      </c>
      <c r="U39" t="str">
        <f t="shared" si="33"/>
        <v/>
      </c>
      <c r="V39" t="str">
        <f t="shared" si="33"/>
        <v/>
      </c>
      <c r="W39" t="str">
        <f t="shared" si="33"/>
        <v/>
      </c>
      <c r="X39" t="str">
        <f t="shared" si="33"/>
        <v/>
      </c>
      <c r="AA39" t="str">
        <f t="shared" si="8"/>
        <v>Olivia (2014–: #187)</v>
      </c>
      <c r="AB39" t="str">
        <f t="shared" si="17"/>
        <v>Archie (2017–: #188)</v>
      </c>
      <c r="AC39" t="str">
        <f t="shared" si="18"/>
        <v>Rory (2019–: #189)</v>
      </c>
      <c r="AD39" t="str">
        <f t="shared" si="19"/>
        <v>Daisy (2021–: #190)</v>
      </c>
      <c r="AE39" t="str">
        <f t="shared" si="20"/>
        <v/>
      </c>
      <c r="AF39" t="str">
        <f t="shared" si="21"/>
        <v/>
      </c>
      <c r="AG39" t="str">
        <f t="shared" si="22"/>
        <v/>
      </c>
      <c r="AH39" t="str">
        <f t="shared" si="23"/>
        <v/>
      </c>
      <c r="AI39" t="str">
        <f t="shared" si="24"/>
        <v/>
      </c>
      <c r="AJ39" t="str">
        <f t="shared" si="25"/>
        <v/>
      </c>
      <c r="AK39" t="str">
        <f t="shared" si="26"/>
        <v/>
      </c>
      <c r="AL39" t="str">
        <f t="shared" si="27"/>
        <v/>
      </c>
      <c r="AM39" t="str">
        <f t="shared" si="28"/>
        <v/>
      </c>
      <c r="AN39" t="str">
        <f t="shared" si="29"/>
        <v/>
      </c>
      <c r="AO39" t="str">
        <f t="shared" si="30"/>
        <v/>
      </c>
      <c r="AP39" t="str">
        <f t="shared" si="31"/>
        <v/>
      </c>
      <c r="AQ39" s="60">
        <f>G39</f>
        <v>131</v>
      </c>
      <c r="AR39" s="126">
        <f>AU39</f>
        <v>4</v>
      </c>
      <c r="AS39" s="60" t="str">
        <f t="shared" si="11"/>
        <v>Olivia (2014–: #187); Archie (2017–: #188); Rory (2019–: #189); Daisy (2021–: #190)</v>
      </c>
      <c r="AT39" s="97" t="str">
        <f>_xlfn.CONCAT(AR39," - ",_xlfn.CONCAT(IF(AB39="",AA39,IF(AC39="",_xlfn.CONCAT(AA39,"; ",AB39),IF(AD39="",_xlfn.CONCAT(AA39,"; ",AB39,"; ",AC39),IF(AE39="",_xlfn.CONCAT(AA39,"; ",AB39,"; ",AC39,"; ",AD39),IF(AF39="",_xlfn.CONCAT(AA39,"; ",AB39,"; ",AC39,"; ",AD39,"; ",AE39),IF(AG39="",_xlfn.CONCAT(AA39,"; ",AB39,"; ",AC39,"; ",AD39,"; ",AE39,"; ",AF39),IF(AH39="",_xlfn.CONCAT(AA39,"; ",AB39,"; ",AC39,"; ",AD39,"; ",AE39,"; ",AF39,"; ",AG39),IF(AI39="",_xlfn.CONCAT(AA39,"; ",AB39,"; ",AC39,"; ",AD39,"; ",AE39,"; ",AF39,"; ",AG39,"; ",AH39),IF(AJ39="",_xlfn.CONCAT(AA39,"; ",AB39,"; ",AC39,"; ",AD39,"; ",AE39,"; ",AF39,"; ",AG39,"; ",AH39,"; ",AI39),IF(AK39="",_xlfn.CONCAT(AA39,"; ",AB39,"; ",AC39,"; ",AD39,"; ",AE39,"; ",AF39,"; ",AG39,"; ",AH39,"; ",AI39,"; ",AJ39),IF(AL39="",_xlfn.CONCAT(AA39,"; ",AB39,"; ",AC39,"; ",AD39,"; ",AE39,"; ",AF39,"; ",AG39,"; ",AH39,"; ",AI39,"; ",AJ39,"; ",AK39),IF(AM39="",_xlfn.CONCAT(AA39,"; ",AB39,"; ",AC39,"; ",AD39,"; ",AE39,"; ",AF39,"; ",AG39,"; ",AH39,"; ",AI39,"; ",AJ39,"; ",AK39,"; ",AL39),IF(AN39="",_xlfn.CONCAT(AA39,"; ",AB39,"; ",AC39,"; ",AD39,"; ",AE39,"; ",AF39,"; ",AG39,"; ",AH39,"; ",AI39,"; ",AJ39,"; ",AK39,"; ",AL39,"; ",AM39),IF(AO39="",_xlfn.CONCAT(AA39,"; ",AB39,"; ",AC39,"; ",AD39,"; ",AE39,"; ",AF39,"; ",AG39,"; ",AH39,"; ",AI39,"; ",AJ39,"; ",AK39,"; ",AL39,"; ",AM39,"; ",AN39),IF(AP39="",_xlfn.CONCAT(AA39,"; ",AB39,"; ",AC39,"; ",AD39,"; ",AE39,"; ",AF39,"; ",AG39,"; ",AH39,"; ",AI39,"; ",AJ39,"; ",AK39,"; ",AL39,"; ",AM39,"; ",AN39," ;",AO39),_xlfn.CONCAT(AA39,"; ",AB39,"; ",AC39,"; ",AD39,"; ",AE39,"; ",AF39,"; ",AG39,"; ",AH39,"; ",AI39,"; ",AJ39,"; ",AK39,"; ",AL39,"; ",AM39,"; ",AN39," ;",AO39,"; ",AP39))))))))))))))))))</f>
        <v>4 - Olivia (2014–: #187); Archie (2017–: #188); Rory (2019–: #189); Daisy (2021–: #190)</v>
      </c>
      <c r="AU39" s="116">
        <f>COUNTIF(AX39:IF39,"&gt;0")</f>
        <v>4</v>
      </c>
      <c r="AW39" s="72">
        <v>131</v>
      </c>
      <c r="IC39">
        <v>187</v>
      </c>
      <c r="ID39">
        <v>188</v>
      </c>
      <c r="IE39">
        <v>189</v>
      </c>
      <c r="IF39">
        <v>190</v>
      </c>
      <c r="IG39">
        <v>754</v>
      </c>
    </row>
    <row r="40" spans="1:241" ht="17" thickBot="1">
      <c r="A40" s="12">
        <f>'Book Details - NO EDIT'!A41</f>
        <v>39</v>
      </c>
      <c r="B40" s="112" t="str">
        <f>'Book Details - NO EDIT'!X41</f>
        <v>Fa (1855–1927: #39)</v>
      </c>
      <c r="C40" s="113">
        <f>'Book Details - NO EDIT'!L41</f>
        <v>22</v>
      </c>
      <c r="D40" s="44">
        <f>'Loyd List 1-190 - Edit'!T41</f>
        <v>8</v>
      </c>
      <c r="AA40" t="str">
        <f t="shared" si="8"/>
        <v/>
      </c>
      <c r="AB40" t="str">
        <f t="shared" ref="AB40:AB57" si="34">IF(LEN(J40)&gt;0,VLOOKUP(J40,$A$2:$B$183,2,FALSE),"")</f>
        <v/>
      </c>
      <c r="AC40" t="str">
        <f t="shared" ref="AC40:AC57" si="35">IF(LEN(K40)&gt;0,VLOOKUP(K40,$A$2:$B$183,2,FALSE),"")</f>
        <v/>
      </c>
      <c r="AD40" t="str">
        <f t="shared" ref="AD40:AD57" si="36">IF(LEN(L40)&gt;0,VLOOKUP(L40,$A$2:$B$183,2,FALSE),"")</f>
        <v/>
      </c>
      <c r="AE40" t="str">
        <f t="shared" ref="AE40:AE57" si="37">IF(LEN(M40)&gt;0,VLOOKUP(M40,$A$2:$B$183,2,FALSE),"")</f>
        <v/>
      </c>
      <c r="AF40" t="str">
        <f t="shared" ref="AF40:AF57" si="38">IF(LEN(N40)&gt;0,VLOOKUP(N40,$A$2:$B$183,2,FALSE),"")</f>
        <v/>
      </c>
      <c r="AG40" t="str">
        <f t="shared" ref="AG40:AG57" si="39">IF(LEN(O40)&gt;0,VLOOKUP(O40,$A$2:$B$183,2,FALSE),"")</f>
        <v/>
      </c>
      <c r="AH40" t="str">
        <f t="shared" ref="AH40:AH57" si="40">IF(LEN(P40)&gt;0,VLOOKUP(P40,$A$2:$B$183,2,FALSE),"")</f>
        <v/>
      </c>
      <c r="AI40" t="str">
        <f t="shared" ref="AI40:AI57" si="41">IF(LEN(Q40)&gt;0,VLOOKUP(Q40,$A$2:$B$183,2,FALSE),"")</f>
        <v/>
      </c>
      <c r="AS40" s="60" t="str">
        <f t="shared" si="11"/>
        <v/>
      </c>
      <c r="AT40" s="97"/>
      <c r="AW40" s="72" t="s">
        <v>3138</v>
      </c>
    </row>
    <row r="41" spans="1:241" ht="17" thickBot="1">
      <c r="A41" s="12">
        <f>'Book Details - NO EDIT'!A42</f>
        <v>40</v>
      </c>
      <c r="B41" s="112" t="str">
        <f>'Book Details - NO EDIT'!X42</f>
        <v>Harriet (1856–1921: #40)</v>
      </c>
      <c r="C41" s="113">
        <f>'Book Details - NO EDIT'!L42</f>
        <v>23</v>
      </c>
      <c r="D41" s="44">
        <f>'Loyd List 1-190 - Edit'!T42</f>
        <v>8</v>
      </c>
      <c r="AA41" t="str">
        <f t="shared" si="8"/>
        <v/>
      </c>
      <c r="AB41" t="str">
        <f t="shared" si="34"/>
        <v/>
      </c>
      <c r="AC41" t="str">
        <f t="shared" si="35"/>
        <v/>
      </c>
      <c r="AD41" t="str">
        <f t="shared" si="36"/>
        <v/>
      </c>
      <c r="AE41" t="str">
        <f t="shared" si="37"/>
        <v/>
      </c>
      <c r="AF41" t="str">
        <f t="shared" si="38"/>
        <v/>
      </c>
      <c r="AG41" t="str">
        <f t="shared" si="39"/>
        <v/>
      </c>
      <c r="AH41" t="str">
        <f t="shared" si="40"/>
        <v/>
      </c>
      <c r="AI41" t="str">
        <f t="shared" si="41"/>
        <v/>
      </c>
      <c r="AS41" s="60" t="str">
        <f t="shared" si="11"/>
        <v/>
      </c>
      <c r="AT41" s="97"/>
      <c r="AW41" s="72" t="s">
        <v>2812</v>
      </c>
      <c r="AX41">
        <v>1</v>
      </c>
      <c r="AY41">
        <v>2</v>
      </c>
      <c r="AZ41">
        <v>3</v>
      </c>
      <c r="BA41">
        <v>4</v>
      </c>
      <c r="BB41">
        <v>5</v>
      </c>
      <c r="BC41">
        <v>6</v>
      </c>
      <c r="BD41">
        <v>7</v>
      </c>
      <c r="BE41">
        <v>8</v>
      </c>
      <c r="BF41">
        <v>9</v>
      </c>
      <c r="BG41">
        <v>10</v>
      </c>
      <c r="BH41">
        <v>11</v>
      </c>
      <c r="BI41">
        <v>12</v>
      </c>
      <c r="BJ41">
        <v>13</v>
      </c>
      <c r="BK41">
        <v>14</v>
      </c>
      <c r="BL41">
        <v>15</v>
      </c>
      <c r="BM41">
        <v>16</v>
      </c>
      <c r="BN41">
        <v>17</v>
      </c>
      <c r="BO41">
        <v>18</v>
      </c>
      <c r="BP41">
        <v>19</v>
      </c>
      <c r="BQ41">
        <v>20</v>
      </c>
      <c r="BR41">
        <v>21</v>
      </c>
      <c r="BS41">
        <v>22</v>
      </c>
      <c r="BT41">
        <v>23</v>
      </c>
      <c r="BU41">
        <v>24</v>
      </c>
      <c r="BV41">
        <v>25</v>
      </c>
      <c r="BW41">
        <v>26</v>
      </c>
      <c r="BX41">
        <v>27</v>
      </c>
      <c r="BY41">
        <v>28</v>
      </c>
      <c r="BZ41">
        <v>29</v>
      </c>
      <c r="CA41">
        <v>30</v>
      </c>
      <c r="CB41">
        <v>31</v>
      </c>
      <c r="CC41">
        <v>32</v>
      </c>
      <c r="CD41">
        <v>33</v>
      </c>
      <c r="CE41">
        <v>34</v>
      </c>
      <c r="CF41">
        <v>35</v>
      </c>
      <c r="CG41">
        <v>36</v>
      </c>
      <c r="CH41">
        <v>37</v>
      </c>
      <c r="CI41">
        <v>38</v>
      </c>
      <c r="CJ41">
        <v>39</v>
      </c>
      <c r="CK41">
        <v>40</v>
      </c>
      <c r="CL41">
        <v>41</v>
      </c>
      <c r="CM41">
        <v>42</v>
      </c>
      <c r="CN41">
        <v>43</v>
      </c>
      <c r="CO41">
        <v>44</v>
      </c>
      <c r="CP41">
        <v>45</v>
      </c>
      <c r="CQ41">
        <v>46</v>
      </c>
      <c r="CR41">
        <v>47</v>
      </c>
      <c r="CS41">
        <v>48</v>
      </c>
      <c r="CT41">
        <v>49</v>
      </c>
      <c r="CU41">
        <v>50</v>
      </c>
      <c r="CV41">
        <v>51</v>
      </c>
      <c r="CW41">
        <v>52</v>
      </c>
      <c r="CX41">
        <v>53</v>
      </c>
      <c r="CY41">
        <v>54</v>
      </c>
      <c r="CZ41">
        <v>55</v>
      </c>
      <c r="DA41">
        <v>56</v>
      </c>
      <c r="DB41">
        <v>57</v>
      </c>
      <c r="DC41">
        <v>58</v>
      </c>
      <c r="DD41">
        <v>59</v>
      </c>
      <c r="DE41">
        <v>60</v>
      </c>
      <c r="DF41">
        <v>61</v>
      </c>
      <c r="DG41">
        <v>62</v>
      </c>
      <c r="DH41">
        <v>63</v>
      </c>
      <c r="DI41">
        <v>64</v>
      </c>
      <c r="DJ41">
        <v>65</v>
      </c>
      <c r="DK41">
        <v>66</v>
      </c>
      <c r="DL41">
        <v>67</v>
      </c>
      <c r="DM41">
        <v>68</v>
      </c>
      <c r="DN41">
        <v>69</v>
      </c>
      <c r="DO41">
        <v>70</v>
      </c>
      <c r="DP41">
        <v>71</v>
      </c>
      <c r="DQ41">
        <v>72</v>
      </c>
      <c r="DR41">
        <v>73</v>
      </c>
      <c r="DS41">
        <v>74</v>
      </c>
      <c r="DT41">
        <v>75</v>
      </c>
      <c r="DU41">
        <v>76</v>
      </c>
      <c r="DV41">
        <v>77</v>
      </c>
      <c r="DW41">
        <v>78</v>
      </c>
      <c r="DX41">
        <v>79</v>
      </c>
      <c r="DY41">
        <v>80</v>
      </c>
      <c r="DZ41">
        <v>81</v>
      </c>
      <c r="EA41">
        <v>82</v>
      </c>
      <c r="EB41">
        <v>83</v>
      </c>
      <c r="EC41">
        <v>84</v>
      </c>
      <c r="ED41">
        <v>85</v>
      </c>
      <c r="EE41">
        <v>86</v>
      </c>
      <c r="EF41">
        <v>87</v>
      </c>
      <c r="EG41">
        <v>88</v>
      </c>
      <c r="EH41">
        <v>89</v>
      </c>
      <c r="EI41">
        <v>90</v>
      </c>
      <c r="EJ41">
        <v>91</v>
      </c>
      <c r="EK41">
        <v>92</v>
      </c>
      <c r="EL41">
        <v>93</v>
      </c>
      <c r="EM41">
        <v>94</v>
      </c>
      <c r="EN41">
        <v>95</v>
      </c>
      <c r="EO41">
        <v>96</v>
      </c>
      <c r="EP41">
        <v>97</v>
      </c>
      <c r="EQ41">
        <v>98</v>
      </c>
      <c r="ER41">
        <v>99</v>
      </c>
      <c r="ES41">
        <v>100</v>
      </c>
      <c r="ET41">
        <v>101</v>
      </c>
      <c r="EU41">
        <v>102</v>
      </c>
      <c r="EV41">
        <v>103</v>
      </c>
      <c r="EW41">
        <v>104</v>
      </c>
      <c r="EX41">
        <v>105</v>
      </c>
      <c r="EY41">
        <v>106</v>
      </c>
      <c r="EZ41">
        <v>107</v>
      </c>
      <c r="FA41">
        <v>108</v>
      </c>
      <c r="FB41">
        <v>109</v>
      </c>
      <c r="FC41">
        <v>110</v>
      </c>
      <c r="FD41">
        <v>111</v>
      </c>
      <c r="FE41">
        <v>112</v>
      </c>
      <c r="FF41">
        <v>113</v>
      </c>
      <c r="FG41">
        <v>114</v>
      </c>
      <c r="FH41">
        <v>115</v>
      </c>
      <c r="FI41">
        <v>116</v>
      </c>
      <c r="FJ41">
        <v>117</v>
      </c>
      <c r="FK41">
        <v>118</v>
      </c>
      <c r="FL41">
        <v>119</v>
      </c>
      <c r="FM41">
        <v>120</v>
      </c>
      <c r="FN41">
        <v>121</v>
      </c>
      <c r="FO41">
        <v>122</v>
      </c>
      <c r="FP41">
        <v>123</v>
      </c>
      <c r="FQ41">
        <v>124</v>
      </c>
      <c r="FR41">
        <v>125</v>
      </c>
      <c r="FS41">
        <v>126</v>
      </c>
      <c r="FT41">
        <v>127</v>
      </c>
      <c r="FU41">
        <v>128</v>
      </c>
      <c r="FV41">
        <v>129</v>
      </c>
      <c r="FW41">
        <v>130</v>
      </c>
      <c r="FX41">
        <v>131</v>
      </c>
      <c r="FY41">
        <v>132</v>
      </c>
      <c r="FZ41">
        <v>133</v>
      </c>
      <c r="GA41">
        <v>134</v>
      </c>
      <c r="GB41">
        <v>135</v>
      </c>
      <c r="GC41">
        <v>136</v>
      </c>
      <c r="GD41">
        <v>137</v>
      </c>
      <c r="GE41">
        <v>138</v>
      </c>
      <c r="GF41">
        <v>139</v>
      </c>
      <c r="GG41">
        <v>140</v>
      </c>
      <c r="GH41">
        <v>141</v>
      </c>
      <c r="GI41">
        <v>142</v>
      </c>
      <c r="GJ41">
        <v>143</v>
      </c>
      <c r="GK41">
        <v>144</v>
      </c>
      <c r="GL41">
        <v>145</v>
      </c>
      <c r="GM41">
        <v>146</v>
      </c>
      <c r="GN41">
        <v>147</v>
      </c>
      <c r="GO41">
        <v>148</v>
      </c>
      <c r="GP41">
        <v>149</v>
      </c>
      <c r="GQ41">
        <v>150</v>
      </c>
      <c r="GR41">
        <v>151</v>
      </c>
      <c r="GS41">
        <v>152</v>
      </c>
      <c r="GT41">
        <v>153</v>
      </c>
      <c r="GU41">
        <v>154</v>
      </c>
      <c r="GV41">
        <v>155</v>
      </c>
      <c r="GW41">
        <v>156</v>
      </c>
      <c r="GX41">
        <v>157</v>
      </c>
      <c r="GY41">
        <v>158</v>
      </c>
      <c r="GZ41">
        <v>159</v>
      </c>
      <c r="HA41">
        <v>160</v>
      </c>
      <c r="HB41">
        <v>161</v>
      </c>
      <c r="HC41">
        <v>162</v>
      </c>
      <c r="HD41">
        <v>163</v>
      </c>
      <c r="HE41">
        <v>164</v>
      </c>
      <c r="HF41">
        <v>165</v>
      </c>
      <c r="HG41">
        <v>166</v>
      </c>
      <c r="HH41">
        <v>167</v>
      </c>
      <c r="HI41">
        <v>168</v>
      </c>
      <c r="HJ41">
        <v>169</v>
      </c>
      <c r="HK41">
        <v>170</v>
      </c>
      <c r="HL41">
        <v>171</v>
      </c>
      <c r="HM41">
        <v>172</v>
      </c>
      <c r="HN41">
        <v>173</v>
      </c>
      <c r="HO41">
        <v>174</v>
      </c>
      <c r="HP41">
        <v>175</v>
      </c>
      <c r="HQ41">
        <v>176</v>
      </c>
      <c r="HR41">
        <v>177</v>
      </c>
      <c r="HS41">
        <v>178</v>
      </c>
      <c r="HT41">
        <v>179</v>
      </c>
      <c r="HU41">
        <v>180</v>
      </c>
      <c r="HV41">
        <v>181</v>
      </c>
      <c r="HW41">
        <v>182</v>
      </c>
      <c r="HY41">
        <v>183</v>
      </c>
      <c r="HZ41">
        <v>184</v>
      </c>
      <c r="IA41">
        <v>185</v>
      </c>
      <c r="IB41">
        <v>186</v>
      </c>
      <c r="IC41">
        <v>187</v>
      </c>
      <c r="ID41">
        <v>188</v>
      </c>
      <c r="IE41">
        <v>189</v>
      </c>
      <c r="IF41">
        <v>190</v>
      </c>
      <c r="IG41">
        <v>18145</v>
      </c>
    </row>
    <row r="42" spans="1:241" ht="17" thickBot="1">
      <c r="A42" s="12">
        <f>'Book Details - NO EDIT'!A43</f>
        <v>41</v>
      </c>
      <c r="B42" s="112" t="str">
        <f>'Book Details - NO EDIT'!X43</f>
        <v>Frederic (1856–1936: #41)</v>
      </c>
      <c r="C42" s="113">
        <f>'Book Details - NO EDIT'!L43</f>
        <v>22</v>
      </c>
      <c r="D42" s="44">
        <f>'Loyd List 1-190 - Edit'!T43</f>
        <v>8</v>
      </c>
      <c r="AA42" t="str">
        <f t="shared" si="8"/>
        <v/>
      </c>
      <c r="AB42" t="str">
        <f t="shared" si="34"/>
        <v/>
      </c>
      <c r="AC42" t="str">
        <f t="shared" si="35"/>
        <v/>
      </c>
      <c r="AD42" t="str">
        <f t="shared" si="36"/>
        <v/>
      </c>
      <c r="AE42" t="str">
        <f t="shared" si="37"/>
        <v/>
      </c>
      <c r="AF42" t="str">
        <f t="shared" si="38"/>
        <v/>
      </c>
      <c r="AG42" t="str">
        <f t="shared" si="39"/>
        <v/>
      </c>
      <c r="AH42" t="str">
        <f t="shared" si="40"/>
        <v/>
      </c>
      <c r="AI42" t="str">
        <f t="shared" si="41"/>
        <v/>
      </c>
      <c r="AS42" s="60" t="str">
        <f t="shared" si="11"/>
        <v/>
      </c>
      <c r="AT42" s="97"/>
    </row>
    <row r="43" spans="1:241" ht="17" thickBot="1">
      <c r="A43" s="12">
        <f>'Book Details - NO EDIT'!A44</f>
        <v>42</v>
      </c>
      <c r="B43" s="112" t="str">
        <f>'Book Details - NO EDIT'!X44</f>
        <v>Dulcie (1858–1905: #42)</v>
      </c>
      <c r="C43" s="113">
        <f>'Book Details - NO EDIT'!L44</f>
        <v>23</v>
      </c>
      <c r="D43" s="44">
        <f>'Loyd List 1-190 - Edit'!T44</f>
        <v>8</v>
      </c>
      <c r="AA43" t="str">
        <f t="shared" si="8"/>
        <v/>
      </c>
      <c r="AB43" t="str">
        <f t="shared" si="34"/>
        <v/>
      </c>
      <c r="AC43" t="str">
        <f t="shared" si="35"/>
        <v/>
      </c>
      <c r="AD43" t="str">
        <f t="shared" si="36"/>
        <v/>
      </c>
      <c r="AE43" t="str">
        <f t="shared" si="37"/>
        <v/>
      </c>
      <c r="AF43" t="str">
        <f t="shared" si="38"/>
        <v/>
      </c>
      <c r="AG43" t="str">
        <f t="shared" si="39"/>
        <v/>
      </c>
      <c r="AH43" t="str">
        <f t="shared" si="40"/>
        <v/>
      </c>
      <c r="AI43" t="str">
        <f t="shared" si="41"/>
        <v/>
      </c>
      <c r="AS43" s="60" t="str">
        <f t="shared" si="11"/>
        <v/>
      </c>
      <c r="AT43" s="97"/>
    </row>
    <row r="44" spans="1:241" ht="17" thickBot="1">
      <c r="A44" s="12">
        <f>'Book Details - NO EDIT'!A45</f>
        <v>43</v>
      </c>
      <c r="B44" s="112" t="str">
        <f>'Book Details - NO EDIT'!X45</f>
        <v>Meg (1859–1936: #43)</v>
      </c>
      <c r="C44" s="113">
        <f>'Book Details - NO EDIT'!L45</f>
        <v>22</v>
      </c>
      <c r="D44" s="44">
        <f>'Loyd List 1-190 - Edit'!T45</f>
        <v>8</v>
      </c>
      <c r="AA44" t="str">
        <f t="shared" si="8"/>
        <v/>
      </c>
      <c r="AB44" t="str">
        <f t="shared" si="34"/>
        <v/>
      </c>
      <c r="AC44" t="str">
        <f t="shared" si="35"/>
        <v/>
      </c>
      <c r="AD44" t="str">
        <f t="shared" si="36"/>
        <v/>
      </c>
      <c r="AE44" t="str">
        <f t="shared" si="37"/>
        <v/>
      </c>
      <c r="AF44" t="str">
        <f t="shared" si="38"/>
        <v/>
      </c>
      <c r="AG44" t="str">
        <f t="shared" si="39"/>
        <v/>
      </c>
      <c r="AH44" t="str">
        <f t="shared" si="40"/>
        <v/>
      </c>
      <c r="AI44" t="str">
        <f t="shared" si="41"/>
        <v/>
      </c>
      <c r="AS44" s="60" t="str">
        <f t="shared" si="11"/>
        <v/>
      </c>
      <c r="AT44" s="97"/>
    </row>
    <row r="45" spans="1:241" ht="17" thickBot="1">
      <c r="A45" s="12">
        <f>'Book Details - NO EDIT'!A46</f>
        <v>44</v>
      </c>
      <c r="B45" s="112" t="str">
        <f>'Book Details - NO EDIT'!X46</f>
        <v>Harry (1861–1938: #44)</v>
      </c>
      <c r="C45" s="113">
        <f>'Book Details - NO EDIT'!L46</f>
        <v>23</v>
      </c>
      <c r="D45" s="44">
        <f>'Loyd List 1-190 - Edit'!T46</f>
        <v>8</v>
      </c>
      <c r="AA45" t="str">
        <f t="shared" si="8"/>
        <v/>
      </c>
      <c r="AB45" t="str">
        <f t="shared" si="34"/>
        <v/>
      </c>
      <c r="AC45" t="str">
        <f t="shared" si="35"/>
        <v/>
      </c>
      <c r="AD45" t="str">
        <f t="shared" si="36"/>
        <v/>
      </c>
      <c r="AE45" t="str">
        <f t="shared" si="37"/>
        <v/>
      </c>
      <c r="AF45" t="str">
        <f t="shared" si="38"/>
        <v/>
      </c>
      <c r="AG45" t="str">
        <f t="shared" si="39"/>
        <v/>
      </c>
      <c r="AH45" t="str">
        <f t="shared" si="40"/>
        <v/>
      </c>
      <c r="AI45" t="str">
        <f t="shared" si="41"/>
        <v/>
      </c>
      <c r="AS45" s="60" t="str">
        <f t="shared" si="11"/>
        <v/>
      </c>
      <c r="AT45" s="97"/>
    </row>
    <row r="46" spans="1:241" ht="17" thickBot="1">
      <c r="A46" s="12">
        <f>'Book Details - NO EDIT'!A47</f>
        <v>45</v>
      </c>
      <c r="B46" s="112" t="str">
        <f>'Book Details - NO EDIT'!X47</f>
        <v>Llewellyn (1861–1939: #45)</v>
      </c>
      <c r="C46" s="113">
        <f>'Book Details - NO EDIT'!L47</f>
        <v>22</v>
      </c>
      <c r="D46" s="44">
        <f>'Loyd List 1-190 - Edit'!T47</f>
        <v>8</v>
      </c>
      <c r="AA46" t="str">
        <f t="shared" si="8"/>
        <v/>
      </c>
      <c r="AB46" t="str">
        <f t="shared" si="34"/>
        <v/>
      </c>
      <c r="AC46" t="str">
        <f t="shared" si="35"/>
        <v/>
      </c>
      <c r="AD46" t="str">
        <f t="shared" si="36"/>
        <v/>
      </c>
      <c r="AE46" t="str">
        <f t="shared" si="37"/>
        <v/>
      </c>
      <c r="AF46" t="str">
        <f t="shared" si="38"/>
        <v/>
      </c>
      <c r="AG46" t="str">
        <f t="shared" si="39"/>
        <v/>
      </c>
      <c r="AH46" t="str">
        <f t="shared" si="40"/>
        <v/>
      </c>
      <c r="AI46" t="str">
        <f t="shared" si="41"/>
        <v/>
      </c>
      <c r="AS46" s="60" t="str">
        <f t="shared" si="11"/>
        <v/>
      </c>
      <c r="AT46" s="97"/>
    </row>
    <row r="47" spans="1:241" ht="17" thickBot="1">
      <c r="A47" s="12">
        <f>'Book Details - NO EDIT'!A48</f>
        <v>46</v>
      </c>
      <c r="B47" s="112" t="str">
        <f>'Book Details - NO EDIT'!X48</f>
        <v>William (1863–1923: #46)</v>
      </c>
      <c r="C47" s="113">
        <f>'Book Details - NO EDIT'!L48</f>
        <v>23</v>
      </c>
      <c r="D47" s="44">
        <f>'Loyd List 1-190 - Edit'!T48</f>
        <v>8</v>
      </c>
      <c r="AA47" t="str">
        <f t="shared" si="8"/>
        <v/>
      </c>
      <c r="AB47" t="str">
        <f t="shared" si="34"/>
        <v/>
      </c>
      <c r="AC47" t="str">
        <f t="shared" si="35"/>
        <v/>
      </c>
      <c r="AD47" t="str">
        <f t="shared" si="36"/>
        <v/>
      </c>
      <c r="AE47" t="str">
        <f t="shared" si="37"/>
        <v/>
      </c>
      <c r="AF47" t="str">
        <f t="shared" si="38"/>
        <v/>
      </c>
      <c r="AG47" t="str">
        <f t="shared" si="39"/>
        <v/>
      </c>
      <c r="AH47" t="str">
        <f t="shared" si="40"/>
        <v/>
      </c>
      <c r="AI47" t="str">
        <f t="shared" si="41"/>
        <v/>
      </c>
      <c r="AS47" s="60" t="str">
        <f t="shared" si="11"/>
        <v/>
      </c>
      <c r="AT47" s="97"/>
    </row>
    <row r="48" spans="1:241" ht="17" thickBot="1">
      <c r="A48" s="12">
        <f>'Book Details - NO EDIT'!A49</f>
        <v>47</v>
      </c>
      <c r="B48" s="112" t="str">
        <f>'Book Details - NO EDIT'!X49</f>
        <v>Caroline (1864–1940: #47)</v>
      </c>
      <c r="C48" s="113">
        <f>'Book Details - NO EDIT'!L49</f>
        <v>22</v>
      </c>
      <c r="D48" s="44">
        <f>'Loyd List 1-190 - Edit'!T49</f>
        <v>8</v>
      </c>
      <c r="AA48" t="str">
        <f t="shared" si="8"/>
        <v/>
      </c>
      <c r="AB48" t="str">
        <f t="shared" si="34"/>
        <v/>
      </c>
      <c r="AC48" t="str">
        <f t="shared" si="35"/>
        <v/>
      </c>
      <c r="AD48" t="str">
        <f t="shared" si="36"/>
        <v/>
      </c>
      <c r="AE48" t="str">
        <f t="shared" si="37"/>
        <v/>
      </c>
      <c r="AF48" t="str">
        <f t="shared" si="38"/>
        <v/>
      </c>
      <c r="AG48" t="str">
        <f t="shared" si="39"/>
        <v/>
      </c>
      <c r="AH48" t="str">
        <f t="shared" si="40"/>
        <v/>
      </c>
      <c r="AI48" t="str">
        <f t="shared" si="41"/>
        <v/>
      </c>
      <c r="AS48" s="60" t="str">
        <f t="shared" si="11"/>
        <v/>
      </c>
      <c r="AT48" s="97"/>
    </row>
    <row r="49" spans="1:46" ht="17" thickBot="1">
      <c r="A49" s="12">
        <f>'Book Details - NO EDIT'!A50</f>
        <v>48</v>
      </c>
      <c r="B49" s="112" t="str">
        <f>'Book Details - NO EDIT'!X50</f>
        <v>Caroline (1865–1938: #48)</v>
      </c>
      <c r="C49" s="113">
        <f>'Book Details - NO EDIT'!L50</f>
        <v>23</v>
      </c>
      <c r="D49" s="44">
        <f>'Loyd List 1-190 - Edit'!T50</f>
        <v>8</v>
      </c>
      <c r="AA49" t="str">
        <f t="shared" si="8"/>
        <v/>
      </c>
      <c r="AB49" t="str">
        <f t="shared" si="34"/>
        <v/>
      </c>
      <c r="AC49" t="str">
        <f t="shared" si="35"/>
        <v/>
      </c>
      <c r="AD49" t="str">
        <f t="shared" si="36"/>
        <v/>
      </c>
      <c r="AE49" t="str">
        <f t="shared" si="37"/>
        <v/>
      </c>
      <c r="AF49" t="str">
        <f t="shared" si="38"/>
        <v/>
      </c>
      <c r="AG49" t="str">
        <f t="shared" si="39"/>
        <v/>
      </c>
      <c r="AH49" t="str">
        <f t="shared" si="40"/>
        <v/>
      </c>
      <c r="AI49" t="str">
        <f t="shared" si="41"/>
        <v/>
      </c>
      <c r="AS49" s="60" t="str">
        <f t="shared" si="11"/>
        <v/>
      </c>
      <c r="AT49" s="97"/>
    </row>
    <row r="50" spans="1:46" ht="17" thickBot="1">
      <c r="A50" s="12">
        <f>'Book Details - NO EDIT'!A51</f>
        <v>49</v>
      </c>
      <c r="B50" s="112" t="str">
        <f>'Book Details - NO EDIT'!X51</f>
        <v>Mary (1867–1867: #49)</v>
      </c>
      <c r="C50" s="113">
        <f>'Book Details - NO EDIT'!L51</f>
        <v>23</v>
      </c>
      <c r="D50" s="44">
        <f>'Loyd List 1-190 - Edit'!T51</f>
        <v>8</v>
      </c>
      <c r="AA50" t="str">
        <f t="shared" si="8"/>
        <v/>
      </c>
      <c r="AB50" t="str">
        <f t="shared" si="34"/>
        <v/>
      </c>
      <c r="AC50" t="str">
        <f t="shared" si="35"/>
        <v/>
      </c>
      <c r="AD50" t="str">
        <f t="shared" si="36"/>
        <v/>
      </c>
      <c r="AE50" t="str">
        <f t="shared" si="37"/>
        <v/>
      </c>
      <c r="AF50" t="str">
        <f t="shared" si="38"/>
        <v/>
      </c>
      <c r="AG50" t="str">
        <f t="shared" si="39"/>
        <v/>
      </c>
      <c r="AH50" t="str">
        <f t="shared" si="40"/>
        <v/>
      </c>
      <c r="AI50" t="str">
        <f t="shared" si="41"/>
        <v/>
      </c>
      <c r="AS50" s="60" t="str">
        <f t="shared" si="11"/>
        <v/>
      </c>
      <c r="AT50" s="97"/>
    </row>
    <row r="51" spans="1:46" ht="17" thickBot="1">
      <c r="A51" s="12">
        <f>'Book Details - NO EDIT'!A52</f>
        <v>50</v>
      </c>
      <c r="B51" s="112" t="str">
        <f>'Book Details - NO EDIT'!X52</f>
        <v>Arthur (1868–1911: #50)</v>
      </c>
      <c r="C51" s="113">
        <f>'Book Details - NO EDIT'!L52</f>
        <v>23</v>
      </c>
      <c r="D51" s="44">
        <f>'Loyd List 1-190 - Edit'!T52</f>
        <v>8</v>
      </c>
      <c r="AA51" t="str">
        <f t="shared" si="8"/>
        <v/>
      </c>
      <c r="AB51" t="str">
        <f t="shared" si="34"/>
        <v/>
      </c>
      <c r="AC51" t="str">
        <f t="shared" si="35"/>
        <v/>
      </c>
      <c r="AD51" t="str">
        <f t="shared" si="36"/>
        <v/>
      </c>
      <c r="AE51" t="str">
        <f t="shared" si="37"/>
        <v/>
      </c>
      <c r="AF51" t="str">
        <f t="shared" si="38"/>
        <v/>
      </c>
      <c r="AG51" t="str">
        <f t="shared" si="39"/>
        <v/>
      </c>
      <c r="AH51" t="str">
        <f t="shared" si="40"/>
        <v/>
      </c>
      <c r="AI51" t="str">
        <f t="shared" si="41"/>
        <v/>
      </c>
      <c r="AS51" s="60" t="str">
        <f t="shared" si="11"/>
        <v/>
      </c>
      <c r="AT51" s="97"/>
    </row>
    <row r="52" spans="1:46" ht="17" thickBot="1">
      <c r="A52" s="12">
        <f>'Book Details - NO EDIT'!A53</f>
        <v>51</v>
      </c>
      <c r="B52" s="112" t="str">
        <f>'Book Details - NO EDIT'!X53</f>
        <v>Lewis (1875–1947: #51)</v>
      </c>
      <c r="C52" s="113">
        <f>'Book Details - NO EDIT'!L53</f>
        <v>28</v>
      </c>
      <c r="D52" s="44">
        <f>'Loyd List 1-190 - Edit'!T53</f>
        <v>14</v>
      </c>
      <c r="AA52" t="str">
        <f t="shared" si="8"/>
        <v/>
      </c>
      <c r="AB52" t="str">
        <f t="shared" si="34"/>
        <v/>
      </c>
      <c r="AC52" t="str">
        <f t="shared" si="35"/>
        <v/>
      </c>
      <c r="AD52" t="str">
        <f t="shared" si="36"/>
        <v/>
      </c>
      <c r="AE52" t="str">
        <f t="shared" si="37"/>
        <v/>
      </c>
      <c r="AF52" t="str">
        <f t="shared" si="38"/>
        <v/>
      </c>
      <c r="AG52" t="str">
        <f t="shared" si="39"/>
        <v/>
      </c>
      <c r="AH52" t="str">
        <f t="shared" si="40"/>
        <v/>
      </c>
      <c r="AI52" t="str">
        <f t="shared" si="41"/>
        <v/>
      </c>
      <c r="AS52" s="60" t="str">
        <f t="shared" si="11"/>
        <v/>
      </c>
      <c r="AT52" s="97"/>
    </row>
    <row r="53" spans="1:46" ht="17" thickBot="1">
      <c r="A53" s="12">
        <f>'Book Details - NO EDIT'!A54</f>
        <v>52</v>
      </c>
      <c r="B53" s="112" t="str">
        <f>'Book Details - NO EDIT'!X54</f>
        <v>Lewis (1880–1918: #52)</v>
      </c>
      <c r="C53" s="113">
        <f>'Book Details - NO EDIT'!L54</f>
        <v>41</v>
      </c>
      <c r="D53" s="44">
        <f>'Loyd List 1-190 - Edit'!T54</f>
        <v>22</v>
      </c>
      <c r="AA53" t="str">
        <f t="shared" si="8"/>
        <v/>
      </c>
      <c r="AB53" t="str">
        <f t="shared" si="34"/>
        <v/>
      </c>
      <c r="AC53" t="str">
        <f t="shared" si="35"/>
        <v/>
      </c>
      <c r="AD53" t="str">
        <f t="shared" si="36"/>
        <v/>
      </c>
      <c r="AE53" t="str">
        <f t="shared" si="37"/>
        <v/>
      </c>
      <c r="AF53" t="str">
        <f t="shared" si="38"/>
        <v/>
      </c>
      <c r="AG53" t="str">
        <f t="shared" si="39"/>
        <v/>
      </c>
      <c r="AH53" t="str">
        <f t="shared" si="40"/>
        <v/>
      </c>
      <c r="AI53" t="str">
        <f t="shared" si="41"/>
        <v/>
      </c>
      <c r="AS53" s="60" t="str">
        <f t="shared" si="11"/>
        <v/>
      </c>
      <c r="AT53" s="97"/>
    </row>
    <row r="54" spans="1:46" ht="17" thickBot="1">
      <c r="A54" s="12">
        <f>'Book Details - NO EDIT'!A55</f>
        <v>53</v>
      </c>
      <c r="B54" s="112" t="str">
        <f>'Book Details - NO EDIT'!X55</f>
        <v>Edward (1881–1962: #53)</v>
      </c>
      <c r="C54" s="113">
        <f>'Book Details - NO EDIT'!L55</f>
        <v>41</v>
      </c>
      <c r="D54" s="44">
        <f>'Loyd List 1-190 - Edit'!T55</f>
        <v>22</v>
      </c>
      <c r="AA54" t="str">
        <f t="shared" si="8"/>
        <v/>
      </c>
      <c r="AB54" t="str">
        <f t="shared" si="34"/>
        <v/>
      </c>
      <c r="AC54" t="str">
        <f t="shared" si="35"/>
        <v/>
      </c>
      <c r="AD54" t="str">
        <f t="shared" si="36"/>
        <v/>
      </c>
      <c r="AE54" t="str">
        <f t="shared" si="37"/>
        <v/>
      </c>
      <c r="AF54" t="str">
        <f t="shared" si="38"/>
        <v/>
      </c>
      <c r="AG54" t="str">
        <f t="shared" si="39"/>
        <v/>
      </c>
      <c r="AH54" t="str">
        <f t="shared" si="40"/>
        <v/>
      </c>
      <c r="AI54" t="str">
        <f t="shared" si="41"/>
        <v/>
      </c>
      <c r="AS54" s="60" t="str">
        <f t="shared" si="11"/>
        <v/>
      </c>
      <c r="AT54" s="97"/>
    </row>
    <row r="55" spans="1:46" ht="17" thickBot="1">
      <c r="A55" s="12">
        <f>'Book Details - NO EDIT'!A56</f>
        <v>54</v>
      </c>
      <c r="B55" s="112" t="str">
        <f>'Book Details - NO EDIT'!X56</f>
        <v>Alfred (1882–1919: #54)</v>
      </c>
      <c r="C55" s="113">
        <f>'Book Details - NO EDIT'!L56</f>
        <v>32</v>
      </c>
      <c r="D55" s="44">
        <f>'Loyd List 1-190 - Edit'!T56</f>
        <v>14</v>
      </c>
      <c r="AA55" t="str">
        <f t="shared" si="8"/>
        <v/>
      </c>
      <c r="AB55" t="str">
        <f t="shared" si="34"/>
        <v/>
      </c>
      <c r="AC55" t="str">
        <f t="shared" si="35"/>
        <v/>
      </c>
      <c r="AD55" t="str">
        <f t="shared" si="36"/>
        <v/>
      </c>
      <c r="AE55" t="str">
        <f t="shared" si="37"/>
        <v/>
      </c>
      <c r="AF55" t="str">
        <f t="shared" si="38"/>
        <v/>
      </c>
      <c r="AG55" t="str">
        <f t="shared" si="39"/>
        <v/>
      </c>
      <c r="AH55" t="str">
        <f t="shared" si="40"/>
        <v/>
      </c>
      <c r="AI55" t="str">
        <f t="shared" si="41"/>
        <v/>
      </c>
      <c r="AS55" s="60" t="str">
        <f t="shared" si="11"/>
        <v/>
      </c>
      <c r="AT55" s="97"/>
    </row>
    <row r="56" spans="1:46" ht="17" thickBot="1">
      <c r="A56" s="12">
        <f>'Book Details - NO EDIT'!A57</f>
        <v>55</v>
      </c>
      <c r="B56" s="112" t="str">
        <f>'Book Details - NO EDIT'!X57</f>
        <v>Dick (1882–1950: #55)</v>
      </c>
      <c r="C56" s="113">
        <f>'Book Details - NO EDIT'!L57</f>
        <v>35</v>
      </c>
      <c r="D56" s="44">
        <f>'Loyd List 1-190 - Edit'!T57</f>
        <v>23</v>
      </c>
      <c r="AA56" t="str">
        <f t="shared" si="8"/>
        <v/>
      </c>
      <c r="AB56" t="str">
        <f t="shared" si="34"/>
        <v/>
      </c>
      <c r="AC56" t="str">
        <f t="shared" si="35"/>
        <v/>
      </c>
      <c r="AD56" t="str">
        <f t="shared" si="36"/>
        <v/>
      </c>
      <c r="AE56" t="str">
        <f t="shared" si="37"/>
        <v/>
      </c>
      <c r="AF56" t="str">
        <f t="shared" si="38"/>
        <v/>
      </c>
      <c r="AG56" t="str">
        <f t="shared" si="39"/>
        <v/>
      </c>
      <c r="AH56" t="str">
        <f t="shared" si="40"/>
        <v/>
      </c>
      <c r="AI56" t="str">
        <f t="shared" si="41"/>
        <v/>
      </c>
      <c r="AS56" s="60" t="str">
        <f t="shared" si="11"/>
        <v/>
      </c>
      <c r="AT56" s="97"/>
    </row>
    <row r="57" spans="1:46" ht="17" thickBot="1">
      <c r="A57" s="12">
        <f>'Book Details - NO EDIT'!A58</f>
        <v>56</v>
      </c>
      <c r="B57" s="112" t="str">
        <f>'Book Details - NO EDIT'!X58</f>
        <v>Tommy (1882–1944: #56)</v>
      </c>
      <c r="C57" s="113">
        <f>'Book Details - NO EDIT'!L58</f>
        <v>28</v>
      </c>
      <c r="D57" s="44">
        <f>'Loyd List 1-190 - Edit'!T58</f>
        <v>14</v>
      </c>
      <c r="AA57" t="str">
        <f t="shared" si="8"/>
        <v/>
      </c>
      <c r="AB57" t="str">
        <f t="shared" si="34"/>
        <v/>
      </c>
      <c r="AC57" t="str">
        <f t="shared" si="35"/>
        <v/>
      </c>
      <c r="AD57" t="str">
        <f t="shared" si="36"/>
        <v/>
      </c>
      <c r="AE57" t="str">
        <f t="shared" si="37"/>
        <v/>
      </c>
      <c r="AF57" t="str">
        <f t="shared" si="38"/>
        <v/>
      </c>
      <c r="AG57" t="str">
        <f t="shared" si="39"/>
        <v/>
      </c>
      <c r="AH57" t="str">
        <f t="shared" si="40"/>
        <v/>
      </c>
      <c r="AI57" t="str">
        <f t="shared" si="41"/>
        <v/>
      </c>
      <c r="AS57" s="60" t="str">
        <f t="shared" si="11"/>
        <v/>
      </c>
      <c r="AT57" s="97"/>
    </row>
    <row r="58" spans="1:46" ht="17" thickBot="1">
      <c r="A58" s="12">
        <f>'Book Details - NO EDIT'!A59</f>
        <v>57</v>
      </c>
      <c r="B58" s="112" t="str">
        <f>'Book Details - NO EDIT'!X59</f>
        <v>Robert (1884–1917: #57)</v>
      </c>
      <c r="C58" s="113">
        <f>'Book Details - NO EDIT'!L59</f>
        <v>35</v>
      </c>
      <c r="D58" s="44">
        <f>'Loyd List 1-190 - Edit'!T59</f>
        <v>23</v>
      </c>
    </row>
    <row r="59" spans="1:46" ht="17" thickBot="1">
      <c r="A59" s="12">
        <f>'Book Details - NO EDIT'!A60</f>
        <v>58</v>
      </c>
      <c r="B59" s="112" t="str">
        <f>'Book Details - NO EDIT'!X60</f>
        <v>Rt Rev Philip (1884–1952: #58)</v>
      </c>
      <c r="C59" s="113">
        <f>'Book Details - NO EDIT'!L60</f>
        <v>28</v>
      </c>
      <c r="D59" s="44">
        <f>'Loyd List 1-190 - Edit'!T60</f>
        <v>14</v>
      </c>
    </row>
    <row r="60" spans="1:46" ht="17" thickBot="1">
      <c r="A60" s="12">
        <f>'Book Details - NO EDIT'!A61</f>
        <v>59</v>
      </c>
      <c r="B60" s="112" t="str">
        <f>'Book Details - NO EDIT'!X61</f>
        <v>Evelyn (1885–1962: #59)</v>
      </c>
      <c r="C60" s="113">
        <f>'Book Details - NO EDIT'!L61</f>
        <v>41</v>
      </c>
      <c r="D60" s="44">
        <f>'Loyd List 1-190 - Edit'!T61</f>
        <v>22</v>
      </c>
    </row>
    <row r="61" spans="1:46" ht="17" thickBot="1">
      <c r="A61" s="12">
        <f>'Book Details - NO EDIT'!A62</f>
        <v>60</v>
      </c>
      <c r="B61" s="112" t="str">
        <f>'Book Details - NO EDIT'!X62</f>
        <v>Kitty (1885–1989: #60)</v>
      </c>
      <c r="C61" s="113">
        <f>'Book Details - NO EDIT'!L62</f>
        <v>28</v>
      </c>
      <c r="D61" s="44">
        <f>'Loyd List 1-190 - Edit'!T62</f>
        <v>14</v>
      </c>
    </row>
    <row r="62" spans="1:46" ht="17" thickBot="1">
      <c r="A62" s="12">
        <f>'Book Details - NO EDIT'!A63</f>
        <v>61</v>
      </c>
      <c r="B62" s="112" t="str">
        <f>'Book Details - NO EDIT'!X63</f>
        <v>Reggie (1886–1961: #61)</v>
      </c>
      <c r="C62" s="113">
        <f>'Book Details - NO EDIT'!L63</f>
        <v>30</v>
      </c>
      <c r="D62" s="44">
        <f>'Loyd List 1-190 - Edit'!T63</f>
        <v>14</v>
      </c>
    </row>
    <row r="63" spans="1:46" ht="17" thickBot="1">
      <c r="A63" s="12">
        <f>'Book Details - NO EDIT'!A64</f>
        <v>62</v>
      </c>
      <c r="B63" s="112" t="str">
        <f>'Book Details - NO EDIT'!X64</f>
        <v>Bobby (1887–1977: #62)</v>
      </c>
      <c r="C63" s="113">
        <f>'Book Details - NO EDIT'!L64</f>
        <v>30</v>
      </c>
      <c r="D63" s="44">
        <f>'Loyd List 1-190 - Edit'!T64</f>
        <v>14</v>
      </c>
    </row>
    <row r="64" spans="1:46" ht="17" thickBot="1">
      <c r="A64" s="12">
        <f>'Book Details - NO EDIT'!A65</f>
        <v>63</v>
      </c>
      <c r="B64" s="112" t="str">
        <f>'Book Details - NO EDIT'!X65</f>
        <v>Mary (1887–1968: #63)</v>
      </c>
      <c r="C64" s="113">
        <f>'Book Details - NO EDIT'!L65</f>
        <v>41</v>
      </c>
      <c r="D64" s="44">
        <f>'Loyd List 1-190 - Edit'!T65</f>
        <v>22</v>
      </c>
    </row>
    <row r="65" spans="1:4" ht="17" thickBot="1">
      <c r="A65" s="12">
        <f>'Book Details - NO EDIT'!A66</f>
        <v>64</v>
      </c>
      <c r="B65" s="112" t="str">
        <f>'Book Details - NO EDIT'!X66</f>
        <v>Gertrude (1887–1917: #64)</v>
      </c>
      <c r="C65" s="113">
        <f>'Book Details - NO EDIT'!L66</f>
        <v>35</v>
      </c>
      <c r="D65" s="44">
        <f>'Loyd List 1-190 - Edit'!T66</f>
        <v>23</v>
      </c>
    </row>
    <row r="66" spans="1:4" ht="17" thickBot="1">
      <c r="A66" s="12">
        <f>'Book Details - NO EDIT'!A67</f>
        <v>65</v>
      </c>
      <c r="B66" s="112" t="str">
        <f>'Book Details - NO EDIT'!X67</f>
        <v>Nan (1889–1967: #65)</v>
      </c>
      <c r="C66" s="113">
        <f>'Book Details - NO EDIT'!L67</f>
        <v>34</v>
      </c>
      <c r="D66" s="44">
        <f>'Loyd List 1-190 - Edit'!T67</f>
        <v>14</v>
      </c>
    </row>
    <row r="67" spans="1:4" ht="17" thickBot="1">
      <c r="A67" s="12">
        <f>'Book Details - NO EDIT'!A68</f>
        <v>66</v>
      </c>
      <c r="B67" s="112" t="str">
        <f>'Book Details - NO EDIT'!X68</f>
        <v>William (1889–1947: #66)</v>
      </c>
      <c r="C67" s="113">
        <f>'Book Details - NO EDIT'!L68</f>
        <v>44</v>
      </c>
      <c r="D67" s="44">
        <f>'Loyd List 1-190 - Edit'!T68</f>
        <v>23</v>
      </c>
    </row>
    <row r="68" spans="1:4" ht="17" thickBot="1">
      <c r="A68" s="12">
        <f>'Book Details - NO EDIT'!A69</f>
        <v>67</v>
      </c>
      <c r="B68" s="112" t="str">
        <f>'Book Details - NO EDIT'!X69</f>
        <v>Tony/Dodo (1889–1956: #67)</v>
      </c>
      <c r="C68" s="113">
        <f>'Book Details - NO EDIT'!L69</f>
        <v>32</v>
      </c>
      <c r="D68" s="44">
        <f>'Loyd List 1-190 - Edit'!T69</f>
        <v>14</v>
      </c>
    </row>
    <row r="69" spans="1:4" ht="17" thickBot="1">
      <c r="A69" s="12">
        <f>'Book Details - NO EDIT'!A70</f>
        <v>68</v>
      </c>
      <c r="B69" s="112" t="str">
        <f>'Book Details - NO EDIT'!X70</f>
        <v>Cecil (1890–1963: #68)</v>
      </c>
      <c r="C69" s="113">
        <f>'Book Details - NO EDIT'!L70</f>
        <v>45</v>
      </c>
      <c r="D69" s="44">
        <f>'Loyd List 1-190 - Edit'!T70</f>
        <v>22</v>
      </c>
    </row>
    <row r="70" spans="1:4" ht="17" thickBot="1">
      <c r="A70" s="12">
        <f>'Book Details - NO EDIT'!A71</f>
        <v>69</v>
      </c>
      <c r="B70" s="112" t="str">
        <f>'Book Details - NO EDIT'!X71</f>
        <v>Geoffrey (1890–1914: #69)</v>
      </c>
      <c r="C70" s="113">
        <f>'Book Details - NO EDIT'!L71</f>
        <v>30</v>
      </c>
      <c r="D70" s="44">
        <f>'Loyd List 1-190 - Edit'!T71</f>
        <v>14</v>
      </c>
    </row>
    <row r="71" spans="1:4" ht="17" thickBot="1">
      <c r="A71" s="12">
        <f>'Book Details - NO EDIT'!A72</f>
        <v>70</v>
      </c>
      <c r="B71" s="112" t="str">
        <f>'Book Details - NO EDIT'!X72</f>
        <v>Diana (1890–1963: #70)</v>
      </c>
      <c r="C71" s="113">
        <f>'Book Details - NO EDIT'!L72</f>
        <v>46</v>
      </c>
      <c r="D71" s="44">
        <f>'Loyd List 1-190 - Edit'!T72</f>
        <v>23</v>
      </c>
    </row>
    <row r="72" spans="1:4" ht="17" thickBot="1">
      <c r="A72" s="12">
        <f>'Book Details - NO EDIT'!A73</f>
        <v>71</v>
      </c>
      <c r="B72" s="112" t="str">
        <f>'Book Details - NO EDIT'!X73</f>
        <v>Arthur (1890–1974: #71)</v>
      </c>
      <c r="C72" s="113">
        <f>'Book Details - NO EDIT'!L73</f>
        <v>34</v>
      </c>
      <c r="D72" s="44">
        <f>'Loyd List 1-190 - Edit'!T73</f>
        <v>14</v>
      </c>
    </row>
    <row r="73" spans="1:4" ht="17" thickBot="1">
      <c r="A73" s="12">
        <f>'Book Details - NO EDIT'!A74</f>
        <v>72</v>
      </c>
      <c r="B73" s="112" t="str">
        <f>'Book Details - NO EDIT'!X74</f>
        <v>Charles (1891–1973: #72)</v>
      </c>
      <c r="C73" s="113">
        <f>'Book Details - NO EDIT'!L74</f>
        <v>44</v>
      </c>
      <c r="D73" s="44">
        <f>'Loyd List 1-190 - Edit'!T74</f>
        <v>23</v>
      </c>
    </row>
    <row r="74" spans="1:4" ht="17" thickBot="1">
      <c r="A74" s="12">
        <f>'Book Details - NO EDIT'!A75</f>
        <v>73</v>
      </c>
      <c r="B74" s="112" t="str">
        <f>'Book Details - NO EDIT'!X75</f>
        <v>Eric (1891–1967: #73)</v>
      </c>
      <c r="C74" s="113">
        <f>'Book Details - NO EDIT'!L75</f>
        <v>45</v>
      </c>
      <c r="D74" s="44">
        <f>'Loyd List 1-190 - Edit'!T75</f>
        <v>22</v>
      </c>
    </row>
    <row r="75" spans="1:4" ht="17" thickBot="1">
      <c r="A75" s="12">
        <f>'Book Details - NO EDIT'!A76</f>
        <v>74</v>
      </c>
      <c r="B75" s="112" t="str">
        <f>'Book Details - NO EDIT'!X76</f>
        <v>Cecily (1891–1891: #74)</v>
      </c>
      <c r="C75" s="113">
        <f>'Book Details - NO EDIT'!L76</f>
        <v>41</v>
      </c>
      <c r="D75" s="44">
        <f>'Loyd List 1-190 - Edit'!T76</f>
        <v>22</v>
      </c>
    </row>
    <row r="76" spans="1:4" ht="17" thickBot="1">
      <c r="A76" s="12">
        <f>'Book Details - NO EDIT'!A77</f>
        <v>75</v>
      </c>
      <c r="B76" s="112" t="str">
        <f>'Book Details - NO EDIT'!X77</f>
        <v>Godfrey (1893–1917: #75)</v>
      </c>
      <c r="C76" s="113">
        <f>'Book Details - NO EDIT'!L77</f>
        <v>46</v>
      </c>
      <c r="D76" s="44">
        <f>'Loyd List 1-190 - Edit'!T77</f>
        <v>23</v>
      </c>
    </row>
    <row r="77" spans="1:4" ht="17" thickBot="1">
      <c r="A77" s="12">
        <f>'Book Details - NO EDIT'!A78</f>
        <v>76</v>
      </c>
      <c r="B77" s="112" t="str">
        <f>'Book Details - NO EDIT'!X78</f>
        <v>Edward (1893–1932: #76)</v>
      </c>
      <c r="C77" s="113">
        <f>'Book Details - NO EDIT'!L78</f>
        <v>34</v>
      </c>
      <c r="D77" s="44">
        <f>'Loyd List 1-190 - Edit'!T78</f>
        <v>14</v>
      </c>
    </row>
    <row r="78" spans="1:4" ht="17" thickBot="1">
      <c r="A78" s="12">
        <f>'Book Details - NO EDIT'!A79</f>
        <v>77</v>
      </c>
      <c r="B78" s="112" t="str">
        <f>'Book Details - NO EDIT'!X79</f>
        <v>Wilfrid (1893–1971: #77)</v>
      </c>
      <c r="C78" s="113">
        <f>'Book Details - NO EDIT'!L79</f>
        <v>30</v>
      </c>
      <c r="D78" s="44">
        <f>'Loyd List 1-190 - Edit'!T79</f>
        <v>14</v>
      </c>
    </row>
    <row r="79" spans="1:4" ht="17" thickBot="1">
      <c r="A79" s="12">
        <f>'Book Details - NO EDIT'!A80</f>
        <v>78</v>
      </c>
      <c r="B79" s="112" t="str">
        <f>'Book Details - NO EDIT'!X80</f>
        <v>Vivian (1894–1972: #78)</v>
      </c>
      <c r="C79" s="113">
        <f>'Book Details - NO EDIT'!L80</f>
        <v>46</v>
      </c>
      <c r="D79" s="44">
        <f>'Loyd List 1-190 - Edit'!T80</f>
        <v>23</v>
      </c>
    </row>
    <row r="80" spans="1:4" ht="17" thickBot="1">
      <c r="A80" s="12">
        <f>'Book Details - NO EDIT'!A81</f>
        <v>79</v>
      </c>
      <c r="B80" s="112" t="str">
        <f>'Book Details - NO EDIT'!X81</f>
        <v>Alwyne (1894–1917: #79)</v>
      </c>
      <c r="C80" s="113">
        <f>'Book Details - NO EDIT'!L81</f>
        <v>45</v>
      </c>
      <c r="D80" s="44">
        <f>'Loyd List 1-190 - Edit'!T81</f>
        <v>22</v>
      </c>
    </row>
    <row r="81" spans="1:4" ht="17" thickBot="1">
      <c r="A81" s="12">
        <f>'Book Details - NO EDIT'!A82</f>
        <v>80</v>
      </c>
      <c r="B81" s="112" t="str">
        <f>'Book Details - NO EDIT'!X82</f>
        <v>Eric (1894–1963: #80)</v>
      </c>
      <c r="C81" s="113">
        <f>'Book Details - NO EDIT'!L82</f>
        <v>29</v>
      </c>
      <c r="D81" s="44">
        <f>'Loyd List 1-190 - Edit'!T82</f>
        <v>14</v>
      </c>
    </row>
    <row r="82" spans="1:4" ht="17" thickBot="1">
      <c r="A82" s="12">
        <f>'Book Details - NO EDIT'!A83</f>
        <v>81</v>
      </c>
      <c r="B82" s="112" t="str">
        <f>'Book Details - NO EDIT'!X83</f>
        <v>Reginald (1885–1917: #81)</v>
      </c>
      <c r="C82" s="113">
        <f>'Book Details - NO EDIT'!L83</f>
        <v>44</v>
      </c>
      <c r="D82" s="44">
        <f>'Loyd List 1-190 - Edit'!T83</f>
        <v>23</v>
      </c>
    </row>
    <row r="83" spans="1:4" ht="17" thickBot="1">
      <c r="A83" s="12">
        <f>'Book Details - NO EDIT'!A84</f>
        <v>82</v>
      </c>
      <c r="B83" s="112" t="str">
        <f>'Book Details - NO EDIT'!X84</f>
        <v>Wilfred (1896–1955: #82)</v>
      </c>
      <c r="C83" s="113">
        <f>'Book Details - NO EDIT'!L84</f>
        <v>46</v>
      </c>
      <c r="D83" s="44">
        <f>'Loyd List 1-190 - Edit'!T84</f>
        <v>23</v>
      </c>
    </row>
    <row r="84" spans="1:4" ht="17" thickBot="1">
      <c r="A84" s="12">
        <f>'Book Details - NO EDIT'!A85</f>
        <v>83</v>
      </c>
      <c r="B84" s="112" t="str">
        <f>'Book Details - NO EDIT'!X85</f>
        <v>Ruby (1898–1977: #83)</v>
      </c>
      <c r="C84" s="113">
        <f>'Book Details - NO EDIT'!L85</f>
        <v>45</v>
      </c>
      <c r="D84" s="44">
        <f>'Loyd List 1-190 - Edit'!T85</f>
        <v>22</v>
      </c>
    </row>
    <row r="85" spans="1:4" ht="17" thickBot="1">
      <c r="A85" s="12">
        <f>'Book Details - NO EDIT'!A86</f>
        <v>84</v>
      </c>
      <c r="B85" s="112" t="str">
        <f>'Book Details - NO EDIT'!X86</f>
        <v>Eddie (1902–1942: #84)</v>
      </c>
      <c r="C85" s="113">
        <f>'Book Details - NO EDIT'!L86</f>
        <v>46</v>
      </c>
      <c r="D85" s="44">
        <f>'Loyd List 1-190 - Edit'!T86</f>
        <v>23</v>
      </c>
    </row>
    <row r="86" spans="1:4" ht="17" thickBot="1">
      <c r="A86" s="12">
        <f>'Book Details - NO EDIT'!A87</f>
        <v>85</v>
      </c>
      <c r="B86" s="112" t="str">
        <f>'Book Details - NO EDIT'!X87</f>
        <v>Anne (1912–2004: #85)</v>
      </c>
      <c r="C86" s="113">
        <f>'Book Details - NO EDIT'!L87</f>
        <v>56</v>
      </c>
      <c r="D86" s="44">
        <f>'Loyd List 1-190 - Edit'!T87</f>
        <v>28</v>
      </c>
    </row>
    <row r="87" spans="1:4" ht="17" thickBot="1">
      <c r="A87" s="12">
        <f>'Book Details - NO EDIT'!A88</f>
        <v>86</v>
      </c>
      <c r="B87" s="112" t="str">
        <f>'Book Details - NO EDIT'!X88</f>
        <v>Peter (1913–2008: #86)</v>
      </c>
      <c r="C87" s="113">
        <f>'Book Details - NO EDIT'!L88</f>
        <v>71</v>
      </c>
      <c r="D87" s="44">
        <f>'Loyd List 1-190 - Edit'!T88</f>
        <v>34</v>
      </c>
    </row>
    <row r="88" spans="1:4" ht="17" thickBot="1">
      <c r="A88" s="12">
        <f>'Book Details - NO EDIT'!A89</f>
        <v>87</v>
      </c>
      <c r="B88" s="112" t="str">
        <f>'Book Details - NO EDIT'!X89</f>
        <v>John (1913–1943: #87)</v>
      </c>
      <c r="C88" s="113">
        <f>'Book Details - NO EDIT'!L89</f>
        <v>56</v>
      </c>
      <c r="D88" s="44">
        <f>'Loyd List 1-190 - Edit'!T89</f>
        <v>28</v>
      </c>
    </row>
    <row r="89" spans="1:4" ht="17" thickBot="1">
      <c r="A89" s="12">
        <f>'Book Details - NO EDIT'!A90</f>
        <v>88</v>
      </c>
      <c r="B89" s="112" t="str">
        <f>'Book Details - NO EDIT'!X90</f>
        <v>Delia (1915–2007: #88)</v>
      </c>
      <c r="C89" s="113">
        <f>'Book Details - NO EDIT'!L90</f>
        <v>66</v>
      </c>
      <c r="D89" s="44">
        <f>'Loyd List 1-190 - Edit'!T90</f>
        <v>44</v>
      </c>
    </row>
    <row r="90" spans="1:4" ht="17" thickBot="1">
      <c r="A90" s="12">
        <f>'Book Details - NO EDIT'!A91</f>
        <v>89</v>
      </c>
      <c r="B90" s="112" t="str">
        <f>'Book Details - NO EDIT'!X91</f>
        <v>Sir Francis/Frank (1916–2006: #89)</v>
      </c>
      <c r="C90" s="113">
        <f>'Book Details - NO EDIT'!L91</f>
        <v>54</v>
      </c>
      <c r="D90" s="44">
        <f>'Loyd List 1-190 - Edit'!T91</f>
        <v>32</v>
      </c>
    </row>
    <row r="91" spans="1:4" ht="17" thickBot="1">
      <c r="A91" s="12">
        <f>'Book Details - NO EDIT'!A92</f>
        <v>90</v>
      </c>
      <c r="B91" s="112" t="str">
        <f>'Book Details - NO EDIT'!X92</f>
        <v>Averil (1917–1993: #90)</v>
      </c>
      <c r="C91" s="113">
        <f>'Book Details - NO EDIT'!L92</f>
        <v>52</v>
      </c>
      <c r="D91" s="44">
        <f>'Loyd List 1-190 - Edit'!T92</f>
        <v>41</v>
      </c>
    </row>
    <row r="92" spans="1:4" ht="17" thickBot="1">
      <c r="A92" s="12">
        <f>'Book Details - NO EDIT'!A93</f>
        <v>91</v>
      </c>
      <c r="B92" s="112" t="str">
        <f>'Book Details - NO EDIT'!X93</f>
        <v>Martin (1917–1926: #91)</v>
      </c>
      <c r="C92" s="113">
        <f>'Book Details - NO EDIT'!L93</f>
        <v>56</v>
      </c>
      <c r="D92" s="44">
        <f>'Loyd List 1-190 - Edit'!T93</f>
        <v>28</v>
      </c>
    </row>
    <row r="93" spans="1:4" ht="17" thickBot="1">
      <c r="A93" s="12">
        <f>'Book Details - NO EDIT'!A94</f>
        <v>92</v>
      </c>
      <c r="B93" s="112" t="str">
        <f>'Book Details - NO EDIT'!X94</f>
        <v>Daphne (1917–1992: #92)</v>
      </c>
      <c r="C93" s="113">
        <f>'Book Details - NO EDIT'!L94</f>
        <v>54</v>
      </c>
      <c r="D93" s="44">
        <f>'Loyd List 1-190 - Edit'!T94</f>
        <v>32</v>
      </c>
    </row>
    <row r="94" spans="1:4" ht="17" thickBot="1">
      <c r="A94" s="12">
        <f>'Book Details - NO EDIT'!A95</f>
        <v>93</v>
      </c>
      <c r="B94" s="112" t="str">
        <f>'Book Details - NO EDIT'!X95</f>
        <v>Jill (1920–2002: #93)</v>
      </c>
      <c r="C94" s="113">
        <f>'Book Details - NO EDIT'!L95</f>
        <v>68</v>
      </c>
      <c r="D94" s="44">
        <f>'Loyd List 1-190 - Edit'!T95</f>
        <v>45</v>
      </c>
    </row>
    <row r="95" spans="1:4" ht="17" thickBot="1">
      <c r="A95" s="12">
        <f>'Book Details - NO EDIT'!A96</f>
        <v>94</v>
      </c>
      <c r="B95" s="112" t="str">
        <f>'Book Details - NO EDIT'!X96</f>
        <v>Alwyne (1920–2014: #94)</v>
      </c>
      <c r="C95" s="113">
        <f>'Book Details - NO EDIT'!L96</f>
        <v>68</v>
      </c>
      <c r="D95" s="44">
        <f>'Loyd List 1-190 - Edit'!T96</f>
        <v>45</v>
      </c>
    </row>
    <row r="96" spans="1:4" ht="17" thickBot="1">
      <c r="A96" s="12">
        <f>'Book Details - NO EDIT'!A97</f>
        <v>95</v>
      </c>
      <c r="B96" s="112" t="str">
        <f>'Book Details - NO EDIT'!X97</f>
        <v>Hester (1920–2002: #95)</v>
      </c>
      <c r="C96" s="113">
        <f>'Book Details - NO EDIT'!L97</f>
        <v>56</v>
      </c>
      <c r="D96" s="44">
        <f>'Loyd List 1-190 - Edit'!T97</f>
        <v>28</v>
      </c>
    </row>
    <row r="97" spans="1:4" ht="17" thickBot="1">
      <c r="A97" s="12">
        <f>'Book Details - NO EDIT'!A98</f>
        <v>96</v>
      </c>
      <c r="B97" s="112" t="str">
        <f>'Book Details - NO EDIT'!X98</f>
        <v>Edward (1921–1977: #96)</v>
      </c>
      <c r="C97" s="113">
        <f>'Book Details - NO EDIT'!L98</f>
        <v>66</v>
      </c>
      <c r="D97" s="44">
        <f>'Loyd List 1-190 - Edit'!T98</f>
        <v>44</v>
      </c>
    </row>
    <row r="98" spans="1:4" ht="17" thickBot="1">
      <c r="A98" s="12">
        <f>'Book Details - NO EDIT'!A99</f>
        <v>97</v>
      </c>
      <c r="B98" s="112" t="str">
        <f>'Book Details - NO EDIT'!X99</f>
        <v>Audrey (1922–2005: #97)</v>
      </c>
      <c r="C98" s="113">
        <f>'Book Details - NO EDIT'!L99</f>
        <v>53</v>
      </c>
      <c r="D98" s="44">
        <f>'Loyd List 1-190 - Edit'!T99</f>
        <v>41</v>
      </c>
    </row>
    <row r="99" spans="1:4" ht="17" thickBot="1">
      <c r="A99" s="12">
        <f>'Book Details - NO EDIT'!A100</f>
        <v>98</v>
      </c>
      <c r="B99" s="112" t="str">
        <f>'Book Details - NO EDIT'!X100</f>
        <v>Peter (1922–2022: #98)</v>
      </c>
      <c r="C99" s="113">
        <f>'Book Details - NO EDIT'!L100</f>
        <v>77</v>
      </c>
      <c r="D99" s="44">
        <f>'Loyd List 1-190 - Edit'!T100</f>
        <v>30</v>
      </c>
    </row>
    <row r="100" spans="1:4" ht="17" thickBot="1">
      <c r="A100" s="12">
        <f>'Book Details - NO EDIT'!A101</f>
        <v>99</v>
      </c>
      <c r="B100" s="112" t="str">
        <f>'Book Details - NO EDIT'!X101</f>
        <v>Peter (1923–1974: #99)</v>
      </c>
      <c r="C100" s="113">
        <f>'Book Details - NO EDIT'!L101</f>
        <v>66</v>
      </c>
      <c r="D100" s="44">
        <f>'Loyd List 1-190 - Edit'!T101</f>
        <v>44</v>
      </c>
    </row>
    <row r="101" spans="1:4" ht="17" thickBot="1">
      <c r="A101" s="12">
        <f>'Book Details - NO EDIT'!A102</f>
        <v>100</v>
      </c>
      <c r="B101" s="112" t="str">
        <f>'Book Details - NO EDIT'!X102</f>
        <v>Christopher (1923–2013: #100)</v>
      </c>
      <c r="C101" s="113">
        <f>'Book Details - NO EDIT'!L102</f>
        <v>56</v>
      </c>
      <c r="D101" s="44">
        <f>'Loyd List 1-190 - Edit'!T102</f>
        <v>28</v>
      </c>
    </row>
    <row r="102" spans="1:4" ht="17" thickBot="1">
      <c r="A102" s="12">
        <f>'Book Details - NO EDIT'!A103</f>
        <v>101</v>
      </c>
      <c r="B102" s="112" t="str">
        <f>'Book Details - NO EDIT'!X103</f>
        <v>Catherine (1923–2014: #101)</v>
      </c>
      <c r="C102" s="113">
        <f>'Book Details - NO EDIT'!L103</f>
        <v>56</v>
      </c>
      <c r="D102" s="44">
        <f>'Loyd List 1-190 - Edit'!T103</f>
        <v>28</v>
      </c>
    </row>
    <row r="103" spans="1:4" ht="17" thickBot="1">
      <c r="A103" s="12">
        <f>'Book Details - NO EDIT'!A104</f>
        <v>102</v>
      </c>
      <c r="B103" s="112" t="str">
        <f>'Book Details - NO EDIT'!X104</f>
        <v>Zelda (1923–2014: #102)</v>
      </c>
      <c r="C103" s="113">
        <f>'Book Details - NO EDIT'!L104</f>
        <v>62</v>
      </c>
      <c r="D103" s="44">
        <f>'Loyd List 1-190 - Edit'!T104</f>
        <v>30</v>
      </c>
    </row>
    <row r="104" spans="1:4" ht="17" thickBot="1">
      <c r="A104" s="12">
        <f>'Book Details - NO EDIT'!A105</f>
        <v>103</v>
      </c>
      <c r="B104" s="112" t="str">
        <f>'Book Details - NO EDIT'!X105</f>
        <v>Lavinia (1923–1995: #103)</v>
      </c>
      <c r="C104" s="113">
        <f>'Book Details - NO EDIT'!L105</f>
        <v>72</v>
      </c>
      <c r="D104" s="44">
        <f>'Loyd List 1-190 - Edit'!T105</f>
        <v>44</v>
      </c>
    </row>
    <row r="105" spans="1:4" ht="17" thickBot="1">
      <c r="A105" s="12">
        <f>'Book Details - NO EDIT'!A106</f>
        <v>104</v>
      </c>
      <c r="B105" s="112" t="str">
        <f>'Book Details - NO EDIT'!X106</f>
        <v>Sir Julian (1926–2018: #104)</v>
      </c>
      <c r="C105" s="113">
        <f>'Book Details - NO EDIT'!L106</f>
        <v>72</v>
      </c>
      <c r="D105" s="44">
        <f>'Loyd List 1-190 - Edit'!T106</f>
        <v>44</v>
      </c>
    </row>
    <row r="106" spans="1:4" ht="17" thickBot="1">
      <c r="A106" s="12">
        <f>'Book Details - NO EDIT'!A107</f>
        <v>105</v>
      </c>
      <c r="B106" s="112" t="str">
        <f>'Book Details - NO EDIT'!X107</f>
        <v>Geoffrey (1926–2018: #105)</v>
      </c>
      <c r="C106" s="113">
        <f>'Book Details - NO EDIT'!L107</f>
        <v>77</v>
      </c>
      <c r="D106" s="44">
        <f>'Loyd List 1-190 - Edit'!T107</f>
        <v>30</v>
      </c>
    </row>
    <row r="107" spans="1:4" ht="17" thickBot="1">
      <c r="A107" s="12">
        <f>'Book Details - NO EDIT'!A108</f>
        <v>106</v>
      </c>
      <c r="B107" s="112" t="str">
        <f>'Book Details - NO EDIT'!X108</f>
        <v>Denise (1928–: #106)</v>
      </c>
      <c r="C107" s="113">
        <f>'Book Details - NO EDIT'!L108</f>
        <v>77</v>
      </c>
      <c r="D107" s="44">
        <f>'Loyd List 1-190 - Edit'!T108</f>
        <v>30</v>
      </c>
    </row>
    <row r="108" spans="1:4" ht="17" thickBot="1">
      <c r="A108" s="12">
        <f>'Book Details - NO EDIT'!A109</f>
        <v>107</v>
      </c>
      <c r="B108" s="112" t="str">
        <f>'Book Details - NO EDIT'!X109</f>
        <v>Wooie (1928–1996: #107)</v>
      </c>
      <c r="C108" s="113">
        <f>'Book Details - NO EDIT'!L109</f>
        <v>76</v>
      </c>
      <c r="D108" s="44">
        <f>'Loyd List 1-190 - Edit'!T109</f>
        <v>34</v>
      </c>
    </row>
    <row r="109" spans="1:4" ht="17" thickBot="1">
      <c r="A109" s="12">
        <f>'Book Details - NO EDIT'!A110</f>
        <v>108</v>
      </c>
      <c r="B109" s="112" t="str">
        <f>'Book Details - NO EDIT'!X110</f>
        <v>Jos (1931–: #108)</v>
      </c>
      <c r="C109" s="113">
        <f>'Book Details - NO EDIT'!L110</f>
        <v>55</v>
      </c>
      <c r="D109" s="44">
        <f>'Loyd List 1-190 - Edit'!T110</f>
        <v>35</v>
      </c>
    </row>
    <row r="110" spans="1:4" ht="17" thickBot="1">
      <c r="A110" s="12">
        <f>'Book Details - NO EDIT'!A111</f>
        <v>109</v>
      </c>
      <c r="B110" s="112" t="str">
        <f>'Book Details - NO EDIT'!X111</f>
        <v>Margaret (1932–: #109)</v>
      </c>
      <c r="C110" s="113">
        <f>'Book Details - NO EDIT'!L111</f>
        <v>80</v>
      </c>
      <c r="D110" s="44">
        <f>'Loyd List 1-190 - Edit'!T111</f>
        <v>29</v>
      </c>
    </row>
    <row r="111" spans="1:4" ht="17" thickBot="1">
      <c r="A111" s="12">
        <f>'Book Details - NO EDIT'!A112</f>
        <v>110</v>
      </c>
      <c r="B111" s="112" t="str">
        <f>'Book Details - NO EDIT'!X112</f>
        <v>Jean (1933–: #110)</v>
      </c>
      <c r="C111" s="113">
        <f>'Book Details - NO EDIT'!L112</f>
        <v>80</v>
      </c>
      <c r="D111" s="44">
        <f>'Loyd List 1-190 - Edit'!T112</f>
        <v>29</v>
      </c>
    </row>
    <row r="112" spans="1:4" ht="17" thickBot="1">
      <c r="A112" s="12">
        <f>'Book Details - NO EDIT'!A113</f>
        <v>111</v>
      </c>
      <c r="B112" s="112" t="str">
        <f>'Book Details - NO EDIT'!X113</f>
        <v>Andrew (1934–1975: #111)</v>
      </c>
      <c r="C112" s="113">
        <f>'Book Details - NO EDIT'!L113</f>
        <v>77</v>
      </c>
      <c r="D112" s="44">
        <f>'Loyd List 1-190 - Edit'!T113</f>
        <v>30</v>
      </c>
    </row>
    <row r="113" spans="1:4" ht="17" thickBot="1">
      <c r="A113" s="12">
        <f>'Book Details - NO EDIT'!A114</f>
        <v>112</v>
      </c>
      <c r="B113" s="112" t="str">
        <f>'Book Details - NO EDIT'!X114</f>
        <v>Deen (1936–2016: #112)</v>
      </c>
      <c r="C113" s="113">
        <f>'Book Details - NO EDIT'!L114</f>
        <v>55</v>
      </c>
      <c r="D113" s="44">
        <f>'Loyd List 1-190 - Edit'!T114</f>
        <v>35</v>
      </c>
    </row>
    <row r="114" spans="1:4" ht="17" thickBot="1">
      <c r="A114" s="12">
        <f>'Book Details - NO EDIT'!A115</f>
        <v>113</v>
      </c>
      <c r="B114" s="112" t="str">
        <f>'Book Details - NO EDIT'!X115</f>
        <v>Willie (1937–1994: #113)</v>
      </c>
      <c r="C114" s="113">
        <f>'Book Details - NO EDIT'!L115</f>
        <v>78</v>
      </c>
      <c r="D114" s="44">
        <f>'Loyd List 1-190 - Edit'!T115</f>
        <v>46</v>
      </c>
    </row>
    <row r="115" spans="1:4" ht="17" thickBot="1">
      <c r="A115" s="12">
        <f>'Book Details - NO EDIT'!A116</f>
        <v>114</v>
      </c>
      <c r="B115" s="112" t="str">
        <f>'Book Details - NO EDIT'!X116</f>
        <v>Michael (1938–: #114)</v>
      </c>
      <c r="C115" s="113">
        <f>'Book Details - NO EDIT'!L116</f>
        <v>80</v>
      </c>
      <c r="D115" s="44">
        <f>'Loyd List 1-190 - Edit'!T116</f>
        <v>29</v>
      </c>
    </row>
    <row r="116" spans="1:4" ht="17" thickBot="1">
      <c r="A116" s="12">
        <f>'Book Details - NO EDIT'!A117</f>
        <v>115</v>
      </c>
      <c r="B116" s="112" t="str">
        <f>'Book Details - NO EDIT'!X117</f>
        <v>Belinda (1939–2018: #115)</v>
      </c>
      <c r="C116" s="113">
        <f>'Book Details - NO EDIT'!L117</f>
        <v>78</v>
      </c>
      <c r="D116" s="44">
        <f>'Loyd List 1-190 - Edit'!T117</f>
        <v>46</v>
      </c>
    </row>
    <row r="117" spans="1:4" ht="17" thickBot="1">
      <c r="A117" s="12">
        <f>'Book Details - NO EDIT'!A118</f>
        <v>116</v>
      </c>
      <c r="B117" s="112" t="str">
        <f>'Book Details - NO EDIT'!X118</f>
        <v>Peggy (1939–: #116)</v>
      </c>
      <c r="C117" s="113">
        <f>'Book Details - NO EDIT'!L118</f>
        <v>55</v>
      </c>
      <c r="D117" s="44">
        <f>'Loyd List 1-190 - Edit'!T118</f>
        <v>35</v>
      </c>
    </row>
    <row r="118" spans="1:4" ht="17" thickBot="1">
      <c r="A118" s="12">
        <f>'Book Details - NO EDIT'!A119</f>
        <v>117</v>
      </c>
      <c r="B118" s="112" t="str">
        <f>'Book Details - NO EDIT'!X119</f>
        <v>Patrick (1942–: #117)</v>
      </c>
      <c r="C118" s="113">
        <f>'Book Details - NO EDIT'!L119</f>
        <v>55</v>
      </c>
      <c r="D118" s="44">
        <f>'Loyd List 1-190 - Edit'!T119</f>
        <v>35</v>
      </c>
    </row>
    <row r="119" spans="1:4" ht="17" thickBot="1">
      <c r="A119" s="12">
        <f>'Book Details - NO EDIT'!A120</f>
        <v>118</v>
      </c>
      <c r="B119" s="112" t="str">
        <f>'Book Details - NO EDIT'!X120</f>
        <v>Patricia (1942–1942: #118)</v>
      </c>
      <c r="C119" s="113">
        <f>'Book Details - NO EDIT'!L120</f>
        <v>55</v>
      </c>
      <c r="D119" s="44">
        <f>'Loyd List 1-190 - Edit'!T120</f>
        <v>35</v>
      </c>
    </row>
    <row r="120" spans="1:4" ht="17" thickBot="1">
      <c r="A120" s="12">
        <f>'Book Details - NO EDIT'!A121</f>
        <v>119</v>
      </c>
      <c r="B120" s="112" t="str">
        <f>'Book Details - NO EDIT'!X121</f>
        <v>Peter (1942–: #119)</v>
      </c>
      <c r="C120" s="113">
        <f>'Book Details - NO EDIT'!L121</f>
        <v>80</v>
      </c>
      <c r="D120" s="44">
        <f>'Loyd List 1-190 - Edit'!T121</f>
        <v>29</v>
      </c>
    </row>
    <row r="121" spans="1:4" ht="17" thickBot="1">
      <c r="A121" s="12">
        <f>'Book Details - NO EDIT'!A122</f>
        <v>120</v>
      </c>
      <c r="B121" s="112" t="str">
        <f>'Book Details - NO EDIT'!X122</f>
        <v>Caroline (1947–2022: #120)</v>
      </c>
      <c r="C121" s="113">
        <f>'Book Details - NO EDIT'!L122</f>
        <v>96</v>
      </c>
      <c r="D121" s="44">
        <f>'Loyd List 1-190 - Edit'!T122</f>
        <v>66</v>
      </c>
    </row>
    <row r="122" spans="1:4" ht="17" thickBot="1">
      <c r="A122" s="12">
        <f>'Book Details - NO EDIT'!A123</f>
        <v>121</v>
      </c>
      <c r="B122" s="112" t="str">
        <f>'Book Details - NO EDIT'!X123</f>
        <v>David (1949–: #121)</v>
      </c>
      <c r="C122" s="113">
        <f>'Book Details - NO EDIT'!L123</f>
        <v>96</v>
      </c>
      <c r="D122" s="44">
        <f>'Loyd List 1-190 - Edit'!T123</f>
        <v>66</v>
      </c>
    </row>
    <row r="123" spans="1:4" ht="17" thickBot="1">
      <c r="A123" s="12">
        <f>'Book Details - NO EDIT'!A124</f>
        <v>122</v>
      </c>
      <c r="B123" s="112" t="str">
        <f>'Book Details - NO EDIT'!X124</f>
        <v>Martin (1949–: #122)</v>
      </c>
      <c r="C123" s="113">
        <f>'Book Details - NO EDIT'!L124</f>
        <v>105</v>
      </c>
      <c r="D123" s="44">
        <f>'Loyd List 1-190 - Edit'!T124</f>
        <v>77</v>
      </c>
    </row>
    <row r="124" spans="1:4" ht="17" thickBot="1">
      <c r="A124" s="12">
        <f>'Book Details - NO EDIT'!A125</f>
        <v>123</v>
      </c>
      <c r="B124" s="112" t="str">
        <f>'Book Details - NO EDIT'!X125</f>
        <v>Janet (1949–: #123)</v>
      </c>
      <c r="C124" s="113">
        <f>'Book Details - NO EDIT'!L125</f>
        <v>89</v>
      </c>
      <c r="D124" s="44">
        <f>'Loyd List 1-190 - Edit'!T125</f>
        <v>54</v>
      </c>
    </row>
    <row r="125" spans="1:4" ht="17" thickBot="1">
      <c r="A125" s="12">
        <f>'Book Details - NO EDIT'!A126</f>
        <v>124</v>
      </c>
      <c r="B125" s="112" t="str">
        <f>'Book Details - NO EDIT'!X126</f>
        <v>Rob (1949–: #124)</v>
      </c>
      <c r="C125" s="113">
        <f>'Book Details - NO EDIT'!L126</f>
        <v>94</v>
      </c>
      <c r="D125" s="44">
        <f>'Loyd List 1-190 - Edit'!T126</f>
        <v>68</v>
      </c>
    </row>
    <row r="126" spans="1:4" ht="17" thickBot="1">
      <c r="A126" s="12">
        <f>'Book Details - NO EDIT'!A127</f>
        <v>125</v>
      </c>
      <c r="B126" s="112" t="str">
        <f>'Book Details - NO EDIT'!X127</f>
        <v>Rona (1951–: #125)</v>
      </c>
      <c r="C126" s="113">
        <f>'Book Details - NO EDIT'!L127</f>
        <v>86</v>
      </c>
      <c r="D126" s="44">
        <f>'Loyd List 1-190 - Edit'!T127</f>
        <v>71</v>
      </c>
    </row>
    <row r="127" spans="1:4" ht="17" thickBot="1">
      <c r="A127" s="12">
        <f>'Book Details - NO EDIT'!A128</f>
        <v>126</v>
      </c>
      <c r="B127" s="112" t="str">
        <f>'Book Details - NO EDIT'!X128</f>
        <v>Paddy (1951–: #126)</v>
      </c>
      <c r="C127" s="113">
        <f>'Book Details - NO EDIT'!L128</f>
        <v>94</v>
      </c>
      <c r="D127" s="44">
        <f>'Loyd List 1-190 - Edit'!T128</f>
        <v>68</v>
      </c>
    </row>
    <row r="128" spans="1:4" ht="17" thickBot="1">
      <c r="A128" s="12">
        <f>'Book Details - NO EDIT'!A129</f>
        <v>127</v>
      </c>
      <c r="B128" s="112" t="str">
        <f>'Book Details - NO EDIT'!X129</f>
        <v>Vivian (1951–: #127)</v>
      </c>
      <c r="C128" s="113">
        <f>'Book Details - NO EDIT'!L129</f>
        <v>78</v>
      </c>
      <c r="D128" s="44">
        <f>'Loyd List 1-190 - Edit'!T129</f>
        <v>46</v>
      </c>
    </row>
    <row r="129" spans="1:4" ht="17" thickBot="1">
      <c r="A129" s="12">
        <f>'Book Details - NO EDIT'!A130</f>
        <v>128</v>
      </c>
      <c r="B129" s="112" t="str">
        <f>'Book Details - NO EDIT'!X130</f>
        <v>Julie (1952–: #128)</v>
      </c>
      <c r="C129" s="113">
        <f>'Book Details - NO EDIT'!L130</f>
        <v>98</v>
      </c>
      <c r="D129" s="44">
        <f>'Loyd List 1-190 - Edit'!T130</f>
        <v>77</v>
      </c>
    </row>
    <row r="130" spans="1:4" ht="17" thickBot="1">
      <c r="A130" s="12">
        <f>'Book Details - NO EDIT'!A131</f>
        <v>129</v>
      </c>
      <c r="B130" s="112" t="str">
        <f>'Book Details - NO EDIT'!X131</f>
        <v>Diana (1952–: #129)</v>
      </c>
      <c r="C130" s="113">
        <f>'Book Details - NO EDIT'!L131</f>
        <v>89</v>
      </c>
      <c r="D130" s="44">
        <f>'Loyd List 1-190 - Edit'!T131</f>
        <v>54</v>
      </c>
    </row>
    <row r="131" spans="1:4" ht="17" thickBot="1">
      <c r="A131" s="12">
        <f>'Book Details - NO EDIT'!A132</f>
        <v>130</v>
      </c>
      <c r="B131" s="112" t="str">
        <f>'Book Details - NO EDIT'!X132</f>
        <v>David (1952–: #130)</v>
      </c>
      <c r="C131" s="113">
        <f>'Book Details - NO EDIT'!L132</f>
        <v>86</v>
      </c>
      <c r="D131" s="44">
        <f>'Loyd List 1-190 - Edit'!T132</f>
        <v>71</v>
      </c>
    </row>
    <row r="132" spans="1:4" ht="17" thickBot="1">
      <c r="A132" s="12">
        <f>'Book Details - NO EDIT'!A133</f>
        <v>131</v>
      </c>
      <c r="B132" s="112" t="str">
        <f>'Book Details - NO EDIT'!X133</f>
        <v>Dominic (1953–: #131)</v>
      </c>
      <c r="C132" s="113">
        <f>'Book Details - NO EDIT'!L133</f>
        <v>94</v>
      </c>
      <c r="D132" s="44">
        <f>'Loyd List 1-190 - Edit'!T133</f>
        <v>68</v>
      </c>
    </row>
    <row r="133" spans="1:4" ht="17" thickBot="1">
      <c r="A133" s="12">
        <f>'Book Details - NO EDIT'!A134</f>
        <v>132</v>
      </c>
      <c r="B133" s="112" t="str">
        <f>'Book Details - NO EDIT'!X134</f>
        <v>Penelope (1954–1954: #132)</v>
      </c>
      <c r="C133" s="113">
        <f>'Book Details - NO EDIT'!L134</f>
        <v>98</v>
      </c>
      <c r="D133" s="44">
        <f>'Loyd List 1-190 - Edit'!T134</f>
        <v>77</v>
      </c>
    </row>
    <row r="134" spans="1:4" ht="17" thickBot="1">
      <c r="A134" s="12">
        <f>'Book Details - NO EDIT'!A135</f>
        <v>133</v>
      </c>
      <c r="B134" s="112" t="str">
        <f>'Book Details - NO EDIT'!X135</f>
        <v>Jeremy (1954–: #133)</v>
      </c>
      <c r="C134" s="113">
        <f>'Book Details - NO EDIT'!L135</f>
        <v>105</v>
      </c>
      <c r="D134" s="44">
        <f>'Loyd List 1-190 - Edit'!T135</f>
        <v>77</v>
      </c>
    </row>
    <row r="135" spans="1:4" ht="17" thickBot="1">
      <c r="A135" s="12">
        <f>'Book Details - NO EDIT'!A136</f>
        <v>134</v>
      </c>
      <c r="B135" s="112" t="str">
        <f>'Book Details - NO EDIT'!X136</f>
        <v>William (1955–: #134)</v>
      </c>
      <c r="C135" s="113">
        <f>'Book Details - NO EDIT'!L136</f>
        <v>98</v>
      </c>
      <c r="D135" s="44">
        <f>'Loyd List 1-190 - Edit'!T136</f>
        <v>77</v>
      </c>
    </row>
    <row r="136" spans="1:4" ht="17" thickBot="1">
      <c r="A136" s="12">
        <f>'Book Details - NO EDIT'!A137</f>
        <v>135</v>
      </c>
      <c r="B136" s="112" t="str">
        <f>'Book Details - NO EDIT'!X137</f>
        <v>Jim (1955–: #135)</v>
      </c>
      <c r="C136" s="113">
        <f>'Book Details - NO EDIT'!L137</f>
        <v>86</v>
      </c>
      <c r="D136" s="44">
        <f>'Loyd List 1-190 - Edit'!T137</f>
        <v>71</v>
      </c>
    </row>
    <row r="137" spans="1:4" ht="17" thickBot="1">
      <c r="A137" s="12">
        <f>'Book Details - NO EDIT'!A138</f>
        <v>136</v>
      </c>
      <c r="B137" s="112" t="str">
        <f>'Book Details - NO EDIT'!X138</f>
        <v>Tim (1957–: #136)</v>
      </c>
      <c r="C137" s="113">
        <f>'Book Details - NO EDIT'!L138</f>
        <v>94</v>
      </c>
      <c r="D137" s="44">
        <f>'Loyd List 1-190 - Edit'!T138</f>
        <v>68</v>
      </c>
    </row>
    <row r="138" spans="1:4" ht="17" thickBot="1">
      <c r="A138" s="12">
        <f>'Book Details - NO EDIT'!A139</f>
        <v>137</v>
      </c>
      <c r="B138" s="112" t="str">
        <f>'Book Details - NO EDIT'!X139</f>
        <v>Henrietta (1959–: #137)</v>
      </c>
      <c r="C138" s="113">
        <f>'Book Details - NO EDIT'!L139</f>
        <v>99</v>
      </c>
      <c r="D138" s="44">
        <f>'Loyd List 1-190 - Edit'!T139</f>
        <v>66</v>
      </c>
    </row>
    <row r="139" spans="1:4" ht="17" thickBot="1">
      <c r="A139" s="12">
        <f>'Book Details - NO EDIT'!A140</f>
        <v>138</v>
      </c>
      <c r="B139" s="112" t="str">
        <f>'Book Details - NO EDIT'!X140</f>
        <v>Thomas (1959–: #138)</v>
      </c>
      <c r="C139" s="113">
        <f>'Book Details - NO EDIT'!L140</f>
        <v>100</v>
      </c>
      <c r="D139" s="44">
        <f>'Loyd List 1-190 - Edit'!T140</f>
        <v>56</v>
      </c>
    </row>
    <row r="140" spans="1:4" ht="17" thickBot="1">
      <c r="A140" s="12">
        <f>'Book Details - NO EDIT'!A141</f>
        <v>139</v>
      </c>
      <c r="B140" s="112" t="str">
        <f>'Book Details - NO EDIT'!X141</f>
        <v>Alex (1959–: #139)</v>
      </c>
      <c r="C140" s="113">
        <f>'Book Details - NO EDIT'!L141</f>
        <v>94</v>
      </c>
      <c r="D140" s="44">
        <f>'Loyd List 1-190 - Edit'!T141</f>
        <v>68</v>
      </c>
    </row>
    <row r="141" spans="1:4" ht="17" thickBot="1">
      <c r="A141" s="12">
        <f>'Book Details - NO EDIT'!A142</f>
        <v>140</v>
      </c>
      <c r="B141" s="112" t="str">
        <f>'Book Details - NO EDIT'!X142</f>
        <v>Ginie (1961–: #140)</v>
      </c>
      <c r="C141" s="113">
        <f>'Book Details - NO EDIT'!L142</f>
        <v>78</v>
      </c>
      <c r="D141" s="44">
        <f>'Loyd List 1-190 - Edit'!T142</f>
        <v>46</v>
      </c>
    </row>
    <row r="142" spans="1:4" ht="17" thickBot="1">
      <c r="A142" s="12">
        <f>'Book Details - NO EDIT'!A143</f>
        <v>141</v>
      </c>
      <c r="B142" s="112" t="str">
        <f>'Book Details - NO EDIT'!X143</f>
        <v>Alexandra (1961–: #141)</v>
      </c>
      <c r="C142" s="113">
        <f>'Book Details - NO EDIT'!L143</f>
        <v>104</v>
      </c>
      <c r="D142" s="44">
        <f>'Loyd List 1-190 - Edit'!T143</f>
        <v>72</v>
      </c>
    </row>
    <row r="143" spans="1:4" ht="17" thickBot="1">
      <c r="A143" s="12">
        <f>'Book Details - NO EDIT'!A144</f>
        <v>142</v>
      </c>
      <c r="B143" s="112" t="str">
        <f>'Book Details - NO EDIT'!X144</f>
        <v>Rick (1962–: #142)</v>
      </c>
      <c r="C143" s="113">
        <f>'Book Details - NO EDIT'!L144</f>
        <v>94</v>
      </c>
      <c r="D143" s="44">
        <f>'Loyd List 1-190 - Edit'!T144</f>
        <v>68</v>
      </c>
    </row>
    <row r="144" spans="1:4" ht="17" thickBot="1">
      <c r="A144" s="12">
        <f>'Book Details - NO EDIT'!A145</f>
        <v>143</v>
      </c>
      <c r="B144" s="112" t="str">
        <f>'Book Details - NO EDIT'!X145</f>
        <v>Harriet (1962–: #143)</v>
      </c>
      <c r="C144" s="113">
        <f>'Book Details - NO EDIT'!L145</f>
        <v>100</v>
      </c>
      <c r="D144" s="44">
        <f>'Loyd List 1-190 - Edit'!T145</f>
        <v>56</v>
      </c>
    </row>
    <row r="145" spans="1:4" ht="17" thickBot="1">
      <c r="A145" s="12">
        <f>'Book Details - NO EDIT'!A146</f>
        <v>144</v>
      </c>
      <c r="B145" s="112" t="str">
        <f>'Book Details - NO EDIT'!X146</f>
        <v>Andrew (1962–: #144)</v>
      </c>
      <c r="C145" s="113">
        <f>'Book Details - NO EDIT'!L146</f>
        <v>99</v>
      </c>
      <c r="D145" s="44">
        <f>'Loyd List 1-190 - Edit'!T146</f>
        <v>66</v>
      </c>
    </row>
    <row r="146" spans="1:4" ht="17" thickBot="1">
      <c r="A146" s="12">
        <f>'Book Details - NO EDIT'!A147</f>
        <v>145</v>
      </c>
      <c r="B146" s="112" t="str">
        <f>'Book Details - NO EDIT'!X147</f>
        <v>Tony (1963–: #145)</v>
      </c>
      <c r="C146" s="113">
        <f>'Book Details - NO EDIT'!L147</f>
        <v>98</v>
      </c>
      <c r="D146" s="44">
        <f>'Loyd List 1-190 - Edit'!T147</f>
        <v>77</v>
      </c>
    </row>
    <row r="147" spans="1:4" ht="17" thickBot="1">
      <c r="A147" s="12">
        <f>'Book Details - NO EDIT'!A148</f>
        <v>146</v>
      </c>
      <c r="B147" s="112" t="str">
        <f>'Book Details - NO EDIT'!X148</f>
        <v>Charles (1963–: #146)</v>
      </c>
      <c r="C147" s="113">
        <f>'Book Details - NO EDIT'!L148</f>
        <v>104</v>
      </c>
      <c r="D147" s="44">
        <f>'Loyd List 1-190 - Edit'!T148</f>
        <v>72</v>
      </c>
    </row>
    <row r="148" spans="1:4" ht="17" thickBot="1">
      <c r="A148" s="12">
        <f>'Book Details - NO EDIT'!A149</f>
        <v>147</v>
      </c>
      <c r="B148" s="112" t="str">
        <f>'Book Details - NO EDIT'!X149</f>
        <v>Susannah (1965–: #147)</v>
      </c>
      <c r="C148" s="113">
        <f>'Book Details - NO EDIT'!L149</f>
        <v>117</v>
      </c>
      <c r="D148" s="44">
        <f>'Loyd List 1-190 - Edit'!T149</f>
        <v>55</v>
      </c>
    </row>
    <row r="149" spans="1:4" ht="17" thickBot="1">
      <c r="A149" s="12">
        <f>'Book Details - NO EDIT'!A150</f>
        <v>148</v>
      </c>
      <c r="B149" s="112" t="str">
        <f>'Book Details - NO EDIT'!X150</f>
        <v>Toby (1966–1966: #148)</v>
      </c>
      <c r="C149" s="113">
        <f>'Book Details - NO EDIT'!L150</f>
        <v>104</v>
      </c>
      <c r="D149" s="44">
        <f>'Loyd List 1-190 - Edit'!T150</f>
        <v>72</v>
      </c>
    </row>
    <row r="150" spans="1:4" ht="17" thickBot="1">
      <c r="A150" s="12">
        <f>'Book Details - NO EDIT'!A151</f>
        <v>149</v>
      </c>
      <c r="B150" s="112" t="str">
        <f>'Book Details - NO EDIT'!X151</f>
        <v>Anthony (1966–: #149)</v>
      </c>
      <c r="C150" s="113">
        <f>'Book Details - NO EDIT'!L151</f>
        <v>113</v>
      </c>
      <c r="D150" s="44">
        <f>'Loyd List 1-190 - Edit'!T151</f>
        <v>78</v>
      </c>
    </row>
    <row r="151" spans="1:4" ht="17" thickBot="1">
      <c r="A151" s="12">
        <f>'Book Details - NO EDIT'!A152</f>
        <v>150</v>
      </c>
      <c r="B151" s="112" t="str">
        <f>'Book Details - NO EDIT'!X152</f>
        <v>James (1966–: #150)</v>
      </c>
      <c r="C151" s="113">
        <f>'Book Details - NO EDIT'!L152</f>
        <v>100</v>
      </c>
      <c r="D151" s="44">
        <f>'Loyd List 1-190 - Edit'!T152</f>
        <v>56</v>
      </c>
    </row>
    <row r="152" spans="1:4" ht="17" thickBot="1">
      <c r="A152" s="12">
        <f>'Book Details - NO EDIT'!A153</f>
        <v>151</v>
      </c>
      <c r="B152" s="112" t="str">
        <f>'Book Details - NO EDIT'!X153</f>
        <v>Elspeth (1967–: #151)</v>
      </c>
      <c r="C152" s="113">
        <f>'Book Details - NO EDIT'!L153</f>
        <v>117</v>
      </c>
      <c r="D152" s="44">
        <f>'Loyd List 1-190 - Edit'!T153</f>
        <v>55</v>
      </c>
    </row>
    <row r="153" spans="1:4" ht="17" thickBot="1">
      <c r="A153" s="12">
        <f>'Book Details - NO EDIT'!A154</f>
        <v>152</v>
      </c>
      <c r="B153" s="112" t="str">
        <f>'Book Details - NO EDIT'!X154</f>
        <v>Mary Rose (1967–: #152)</v>
      </c>
      <c r="C153" s="113">
        <f>'Book Details - NO EDIT'!L154</f>
        <v>104</v>
      </c>
      <c r="D153" s="44">
        <f>'Loyd List 1-190 - Edit'!T154</f>
        <v>72</v>
      </c>
    </row>
    <row r="154" spans="1:4" ht="17" thickBot="1">
      <c r="A154" s="12">
        <f>'Book Details - NO EDIT'!A155</f>
        <v>153</v>
      </c>
      <c r="B154" s="112" t="str">
        <f>'Book Details - NO EDIT'!X155</f>
        <v>Richard (1968–: #153)</v>
      </c>
      <c r="C154" s="113">
        <f>'Book Details - NO EDIT'!L155</f>
        <v>117</v>
      </c>
      <c r="D154" s="44">
        <f>'Loyd List 1-190 - Edit'!T155</f>
        <v>55</v>
      </c>
    </row>
    <row r="155" spans="1:4" ht="17" thickBot="1">
      <c r="A155" s="12">
        <f>'Book Details - NO EDIT'!A156</f>
        <v>154</v>
      </c>
      <c r="B155" s="112" t="str">
        <f>'Book Details - NO EDIT'!X156</f>
        <v>Sophie (1969–: #154)</v>
      </c>
      <c r="C155" s="113">
        <f>'Book Details - NO EDIT'!L156</f>
        <v>98</v>
      </c>
      <c r="D155" s="44">
        <f>'Loyd List 1-190 - Edit'!T156</f>
        <v>77</v>
      </c>
    </row>
    <row r="156" spans="1:4" ht="17" thickBot="1">
      <c r="A156" s="12">
        <f>'Book Details - NO EDIT'!A157</f>
        <v>155</v>
      </c>
      <c r="B156" s="112" t="str">
        <f>'Book Details - NO EDIT'!X157</f>
        <v>William (1973–: #155)</v>
      </c>
      <c r="C156" s="113">
        <f>'Book Details - NO EDIT'!L157</f>
        <v>119</v>
      </c>
      <c r="D156" s="44">
        <f>'Loyd List 1-190 - Edit'!T157</f>
        <v>80</v>
      </c>
    </row>
    <row r="157" spans="1:4" ht="17" thickBot="1">
      <c r="A157" s="12">
        <f>'Book Details - NO EDIT'!A158</f>
        <v>156</v>
      </c>
      <c r="B157" s="112" t="str">
        <f>'Book Details - NO EDIT'!X158</f>
        <v>Amy (1975–: #156)</v>
      </c>
      <c r="C157" s="113">
        <f>'Book Details - NO EDIT'!L158</f>
        <v>119</v>
      </c>
      <c r="D157" s="44">
        <f>'Loyd List 1-190 - Edit'!T158</f>
        <v>80</v>
      </c>
    </row>
    <row r="158" spans="1:4" ht="17" thickBot="1">
      <c r="A158" s="12">
        <f>'Book Details - NO EDIT'!A159</f>
        <v>157</v>
      </c>
      <c r="B158" s="112" t="str">
        <f>'Book Details - NO EDIT'!X159</f>
        <v>Tess (1975–: #157)</v>
      </c>
      <c r="C158" s="113">
        <f>'Book Details - NO EDIT'!L159</f>
        <v>114</v>
      </c>
      <c r="D158" s="44">
        <f>'Loyd List 1-190 - Edit'!T159</f>
        <v>80</v>
      </c>
    </row>
    <row r="159" spans="1:4" ht="17" thickBot="1">
      <c r="A159" s="12">
        <f>'Book Details - NO EDIT'!A160</f>
        <v>158</v>
      </c>
      <c r="B159" s="112" t="str">
        <f>'Book Details - NO EDIT'!X160</f>
        <v>Chloe (1977–: #158)</v>
      </c>
      <c r="C159" s="113">
        <f>'Book Details - NO EDIT'!L160</f>
        <v>114</v>
      </c>
      <c r="D159" s="44">
        <f>'Loyd List 1-190 - Edit'!T160</f>
        <v>80</v>
      </c>
    </row>
    <row r="160" spans="1:4" ht="17" thickBot="1">
      <c r="A160" s="12">
        <f>'Book Details - NO EDIT'!A161</f>
        <v>159</v>
      </c>
      <c r="B160" s="112" t="str">
        <f>'Book Details - NO EDIT'!X161</f>
        <v>Daisy (1979–: #159)</v>
      </c>
      <c r="C160" s="113">
        <f>'Book Details - NO EDIT'!L161</f>
        <v>114</v>
      </c>
      <c r="D160" s="44">
        <f>'Loyd List 1-190 - Edit'!T161</f>
        <v>80</v>
      </c>
    </row>
    <row r="161" spans="1:4" ht="17" thickBot="1">
      <c r="A161" s="12">
        <f>'Book Details - NO EDIT'!A162</f>
        <v>160</v>
      </c>
      <c r="B161" s="112" t="str">
        <f>'Book Details - NO EDIT'!X162</f>
        <v>John (1982–: #160)</v>
      </c>
      <c r="C161" s="113">
        <f>'Book Details - NO EDIT'!L162</f>
        <v>131</v>
      </c>
      <c r="D161" s="44">
        <f>'Loyd List 1-190 - Edit'!T162</f>
        <v>94</v>
      </c>
    </row>
    <row r="162" spans="1:4" ht="17" thickBot="1">
      <c r="A162" s="12">
        <f>'Book Details - NO EDIT'!A163</f>
        <v>161</v>
      </c>
      <c r="B162" s="112" t="str">
        <f>'Book Details - NO EDIT'!X163</f>
        <v>Molly (1982–: #161)</v>
      </c>
      <c r="C162" s="113">
        <f>'Book Details - NO EDIT'!L163</f>
        <v>119</v>
      </c>
      <c r="D162" s="44">
        <f>'Loyd List 1-190 - Edit'!T163</f>
        <v>80</v>
      </c>
    </row>
    <row r="163" spans="1:4" ht="17" thickBot="1">
      <c r="A163" s="12">
        <f>'Book Details - NO EDIT'!A164</f>
        <v>162</v>
      </c>
      <c r="B163" s="112" t="str">
        <f>'Book Details - NO EDIT'!X164</f>
        <v>David (1984–: #162)</v>
      </c>
      <c r="C163" s="113">
        <f>'Book Details - NO EDIT'!L164</f>
        <v>131</v>
      </c>
      <c r="D163" s="44">
        <f>'Loyd List 1-190 - Edit'!T164</f>
        <v>94</v>
      </c>
    </row>
    <row r="164" spans="1:4" ht="17" thickBot="1">
      <c r="A164" s="12">
        <f>'Book Details - NO EDIT'!A165</f>
        <v>163</v>
      </c>
      <c r="B164" s="112" t="str">
        <f>'Book Details - NO EDIT'!X165</f>
        <v>Harriet (1984–: #163)</v>
      </c>
      <c r="C164" s="113">
        <f>'Book Details - NO EDIT'!L165</f>
        <v>119</v>
      </c>
      <c r="D164" s="44">
        <f>'Loyd List 1-190 - Edit'!T165</f>
        <v>80</v>
      </c>
    </row>
    <row r="165" spans="1:4" ht="17" thickBot="1">
      <c r="A165" s="12">
        <f>'Book Details - NO EDIT'!A166</f>
        <v>164</v>
      </c>
      <c r="B165" s="112" t="str">
        <f>'Book Details - NO EDIT'!X166</f>
        <v>Poppy (1984–: #164)</v>
      </c>
      <c r="C165" s="113">
        <f>'Book Details - NO EDIT'!L166</f>
        <v>136</v>
      </c>
      <c r="D165" s="44">
        <f>'Loyd List 1-190 - Edit'!T166</f>
        <v>94</v>
      </c>
    </row>
    <row r="166" spans="1:4" ht="17" thickBot="1">
      <c r="A166" s="12">
        <f>'Book Details - NO EDIT'!A167</f>
        <v>165</v>
      </c>
      <c r="B166" s="112" t="str">
        <f>'Book Details - NO EDIT'!X167</f>
        <v>Rose (1986–: #165)</v>
      </c>
      <c r="C166" s="113">
        <f>'Book Details - NO EDIT'!L167</f>
        <v>136</v>
      </c>
      <c r="D166" s="44">
        <f>'Loyd List 1-190 - Edit'!T167</f>
        <v>94</v>
      </c>
    </row>
    <row r="167" spans="1:4" ht="17" thickBot="1">
      <c r="A167" s="12">
        <f>'Book Details - NO EDIT'!A168</f>
        <v>166</v>
      </c>
      <c r="B167" s="112" t="str">
        <f>'Book Details - NO EDIT'!X168</f>
        <v>Gareth (1988–: #166)</v>
      </c>
      <c r="C167" s="113">
        <f>'Book Details - NO EDIT'!L168</f>
        <v>130</v>
      </c>
      <c r="D167" s="44">
        <f>'Loyd List 1-190 - Edit'!T168</f>
        <v>86</v>
      </c>
    </row>
    <row r="168" spans="1:4" ht="17" thickBot="1">
      <c r="A168" s="12">
        <f>'Book Details - NO EDIT'!A169</f>
        <v>167</v>
      </c>
      <c r="B168" s="112" t="str">
        <f>'Book Details - NO EDIT'!X169</f>
        <v>Ben (1988–: #167)</v>
      </c>
      <c r="C168" s="113">
        <f>'Book Details - NO EDIT'!L169</f>
        <v>131</v>
      </c>
      <c r="D168" s="44">
        <f>'Loyd List 1-190 - Edit'!T169</f>
        <v>94</v>
      </c>
    </row>
    <row r="169" spans="1:4" ht="17" thickBot="1">
      <c r="A169" s="12">
        <f>'Book Details - NO EDIT'!A170</f>
        <v>168</v>
      </c>
      <c r="B169" s="112" t="str">
        <f>'Book Details - NO EDIT'!X170</f>
        <v>Camilla (1988–: #168)</v>
      </c>
      <c r="C169" s="113">
        <f>'Book Details - NO EDIT'!L170</f>
        <v>138</v>
      </c>
      <c r="D169" s="44">
        <f>'Loyd List 1-190 - Edit'!T170</f>
        <v>100</v>
      </c>
    </row>
    <row r="170" spans="1:4" ht="17" thickBot="1">
      <c r="A170" s="12">
        <f>'Book Details - NO EDIT'!A171</f>
        <v>169</v>
      </c>
      <c r="B170" s="112" t="str">
        <f>'Book Details - NO EDIT'!X171</f>
        <v>James (1988–: #169)</v>
      </c>
      <c r="C170" s="113">
        <f>'Book Details - NO EDIT'!L171</f>
        <v>121</v>
      </c>
      <c r="D170" s="44">
        <f>'Loyd List 1-190 - Edit'!T171</f>
        <v>96</v>
      </c>
    </row>
    <row r="171" spans="1:4" ht="17" thickBot="1">
      <c r="A171" s="12">
        <f>'Book Details - NO EDIT'!A172</f>
        <v>170</v>
      </c>
      <c r="B171" s="112" t="str">
        <f>'Book Details - NO EDIT'!X172</f>
        <v>Sophie (1989–: #170)</v>
      </c>
      <c r="C171" s="113">
        <f>'Book Details - NO EDIT'!L172</f>
        <v>138</v>
      </c>
      <c r="D171" s="44">
        <f>'Loyd List 1-190 - Edit'!T172</f>
        <v>100</v>
      </c>
    </row>
    <row r="172" spans="1:4" ht="17" thickBot="1">
      <c r="A172" s="12">
        <f>'Book Details - NO EDIT'!A173</f>
        <v>171</v>
      </c>
      <c r="B172" s="112" t="str">
        <f>'Book Details - NO EDIT'!X173</f>
        <v>Rupert (1990–: #171)</v>
      </c>
      <c r="C172" s="113">
        <f>'Book Details - NO EDIT'!L173</f>
        <v>121</v>
      </c>
      <c r="D172" s="44">
        <f>'Loyd List 1-190 - Edit'!T173</f>
        <v>96</v>
      </c>
    </row>
    <row r="173" spans="1:4" ht="17" thickBot="1">
      <c r="A173" s="12">
        <f>'Book Details - NO EDIT'!A174</f>
        <v>172</v>
      </c>
      <c r="B173" s="112" t="str">
        <f>'Book Details - NO EDIT'!X174</f>
        <v>Florina (1991–: #172)</v>
      </c>
      <c r="C173" s="113">
        <f>'Book Details - NO EDIT'!L174</f>
        <v>136</v>
      </c>
      <c r="D173" s="44">
        <f>'Loyd List 1-190 - Edit'!T174</f>
        <v>94</v>
      </c>
    </row>
    <row r="174" spans="1:4" ht="17" thickBot="1">
      <c r="A174" s="12">
        <f>'Book Details - NO EDIT'!A175</f>
        <v>173</v>
      </c>
      <c r="B174" s="112" t="str">
        <f>'Book Details - NO EDIT'!X175</f>
        <v>Curtis (1992–: #173)</v>
      </c>
      <c r="C174" s="113">
        <f>'Book Details - NO EDIT'!L175</f>
        <v>135</v>
      </c>
      <c r="D174" s="44">
        <f>'Loyd List 1-190 - Edit'!T175</f>
        <v>86</v>
      </c>
    </row>
    <row r="175" spans="1:4" ht="17" thickBot="1">
      <c r="A175" s="12">
        <f>'Book Details - NO EDIT'!A176</f>
        <v>174</v>
      </c>
      <c r="B175" s="112" t="str">
        <f>'Book Details - NO EDIT'!X176</f>
        <v>Tabitha (1992–: #174)</v>
      </c>
      <c r="C175" s="113">
        <f>'Book Details - NO EDIT'!L176</f>
        <v>121</v>
      </c>
      <c r="D175" s="44">
        <f>'Loyd List 1-190 - Edit'!T176</f>
        <v>96</v>
      </c>
    </row>
    <row r="176" spans="1:4" ht="17" thickBot="1">
      <c r="A176" s="12">
        <f>'Book Details - NO EDIT'!A177</f>
        <v>175</v>
      </c>
      <c r="B176" s="112" t="str">
        <f>'Book Details - NO EDIT'!X177</f>
        <v>Kit (1993–: #175)</v>
      </c>
      <c r="C176" s="113">
        <f>'Book Details - NO EDIT'!L177</f>
        <v>138</v>
      </c>
      <c r="D176" s="44">
        <f>'Loyd List 1-190 - Edit'!T177</f>
        <v>100</v>
      </c>
    </row>
    <row r="177" spans="1:4" ht="17" thickBot="1">
      <c r="A177" s="12">
        <f>'Book Details - NO EDIT'!A178</f>
        <v>176</v>
      </c>
      <c r="B177" s="112" t="str">
        <f>'Book Details - NO EDIT'!X178</f>
        <v>Sam (1994–: #176)</v>
      </c>
      <c r="C177" s="113">
        <f>'Book Details - NO EDIT'!L178</f>
        <v>142</v>
      </c>
      <c r="D177" s="44">
        <f>'Loyd List 1-190 - Edit'!T178</f>
        <v>94</v>
      </c>
    </row>
    <row r="178" spans="1:4" ht="17" thickBot="1">
      <c r="A178" s="12">
        <f>'Book Details - NO EDIT'!A179</f>
        <v>177</v>
      </c>
      <c r="B178" s="112" t="str">
        <f>'Book Details - NO EDIT'!X179</f>
        <v>Spencer (1995–: #177)</v>
      </c>
      <c r="C178" s="113">
        <f>'Book Details - NO EDIT'!L179</f>
        <v>135</v>
      </c>
      <c r="D178" s="44">
        <f>'Loyd List 1-190 - Edit'!T179</f>
        <v>86</v>
      </c>
    </row>
    <row r="179" spans="1:4" ht="17" thickBot="1">
      <c r="A179" s="12">
        <f>'Book Details - NO EDIT'!A180</f>
        <v>178</v>
      </c>
      <c r="B179" s="112" t="str">
        <f>'Book Details - NO EDIT'!X180</f>
        <v>William (1996–: #178)</v>
      </c>
      <c r="C179" s="113">
        <f>'Book Details - NO EDIT'!L180</f>
        <v>150</v>
      </c>
      <c r="D179" s="44">
        <f>'Loyd List 1-190 - Edit'!T180</f>
        <v>100</v>
      </c>
    </row>
    <row r="180" spans="1:4" ht="17" thickBot="1">
      <c r="A180" s="12">
        <f>'Book Details - NO EDIT'!A181</f>
        <v>179</v>
      </c>
      <c r="B180" s="112" t="str">
        <f>'Book Details - NO EDIT'!X181</f>
        <v>Josh (1996–: #179)</v>
      </c>
      <c r="C180" s="113">
        <f>'Book Details - NO EDIT'!L181</f>
        <v>142</v>
      </c>
      <c r="D180" s="44">
        <f>'Loyd List 1-190 - Edit'!T181</f>
        <v>94</v>
      </c>
    </row>
    <row r="181" spans="1:4" ht="17" thickBot="1">
      <c r="A181" s="12">
        <f>'Book Details - NO EDIT'!A182</f>
        <v>180</v>
      </c>
      <c r="B181" s="112" t="str">
        <f>'Book Details - NO EDIT'!X182</f>
        <v>George (1998–: #180)</v>
      </c>
      <c r="C181" s="113">
        <f>'Book Details - NO EDIT'!L182</f>
        <v>146</v>
      </c>
      <c r="D181" s="44">
        <f>'Loyd List 1-190 - Edit'!T182</f>
        <v>104</v>
      </c>
    </row>
    <row r="182" spans="1:4" ht="17" thickBot="1">
      <c r="A182" s="12">
        <f>'Book Details - NO EDIT'!A183</f>
        <v>181</v>
      </c>
      <c r="B182" s="112" t="str">
        <f>'Book Details - NO EDIT'!X183</f>
        <v>Eliza (1999–: #181)</v>
      </c>
      <c r="C182" s="113">
        <f>'Book Details - NO EDIT'!L183</f>
        <v>150</v>
      </c>
      <c r="D182" s="44">
        <f>'Loyd List 1-190 - Edit'!T183</f>
        <v>100</v>
      </c>
    </row>
    <row r="183" spans="1:4" ht="17" thickBot="1">
      <c r="A183" s="12">
        <f>'Book Details - NO EDIT'!A184</f>
        <v>182</v>
      </c>
      <c r="B183" s="112" t="str">
        <f>'Book Details - NO EDIT'!X184</f>
        <v>Rosanna (2000–: #182)</v>
      </c>
      <c r="C183" s="113">
        <f>'Book Details - NO EDIT'!L184</f>
        <v>146</v>
      </c>
      <c r="D183" s="44">
        <f>'Loyd List 1-190 - Edit'!T184</f>
        <v>104</v>
      </c>
    </row>
    <row r="184" spans="1:4" ht="17" thickBot="1">
      <c r="A184" s="12">
        <f>'Book Details - NO EDIT'!A185</f>
        <v>183</v>
      </c>
      <c r="B184" s="112" t="str">
        <f>'Book Details - NO EDIT'!X185</f>
        <v>Matilda (2006–: #183)</v>
      </c>
      <c r="C184" s="113">
        <f>'Book Details - NO EDIT'!L185</f>
        <v>155</v>
      </c>
      <c r="D184" s="44">
        <f>'Loyd List 1-190 - Edit'!T185</f>
        <v>119</v>
      </c>
    </row>
    <row r="185" spans="1:4" ht="17" thickBot="1">
      <c r="A185" s="12">
        <f>'Book Details - NO EDIT'!A186</f>
        <v>184</v>
      </c>
      <c r="B185" s="112" t="str">
        <f>'Book Details - NO EDIT'!X186</f>
        <v>Delilah (2006–: #184)</v>
      </c>
      <c r="C185" s="113">
        <f>'Book Details - NO EDIT'!L186</f>
        <v>149</v>
      </c>
      <c r="D185" s="44">
        <f>'Loyd List 1-190 - Edit'!T186</f>
        <v>113</v>
      </c>
    </row>
    <row r="186" spans="1:4" ht="17" thickBot="1">
      <c r="A186" s="12">
        <f>'Book Details - NO EDIT'!A187</f>
        <v>185</v>
      </c>
      <c r="B186" s="112" t="str">
        <f>'Book Details - NO EDIT'!X187</f>
        <v>Katherine (2007–: #185)</v>
      </c>
      <c r="C186" s="113">
        <f>'Book Details - NO EDIT'!L187</f>
        <v>155</v>
      </c>
      <c r="D186" s="44">
        <f>'Loyd List 1-190 - Edit'!T187</f>
        <v>119</v>
      </c>
    </row>
    <row r="187" spans="1:4" ht="17" thickBot="1">
      <c r="A187" s="12">
        <f>'Book Details - NO EDIT'!A188</f>
        <v>186</v>
      </c>
      <c r="B187" s="112" t="str">
        <f>'Book Details - NO EDIT'!X188</f>
        <v>Henry (2010–: #186)</v>
      </c>
      <c r="C187" s="113">
        <f>'Book Details - NO EDIT'!L188</f>
        <v>155</v>
      </c>
      <c r="D187" s="44">
        <f>'Loyd List 1-190 - Edit'!T188</f>
        <v>119</v>
      </c>
    </row>
    <row r="188" spans="1:4" ht="17" thickBot="1">
      <c r="A188" s="12">
        <f>'Book Details - NO EDIT'!A189</f>
        <v>187</v>
      </c>
      <c r="B188" s="112" t="str">
        <f>'Book Details - NO EDIT'!X189</f>
        <v>Olivia (2014–: #187)</v>
      </c>
      <c r="C188" s="113">
        <f>'Book Details - NO EDIT'!L189</f>
        <v>167</v>
      </c>
      <c r="D188" s="44">
        <f>'Loyd List 1-190 - Edit'!T189</f>
        <v>131</v>
      </c>
    </row>
    <row r="189" spans="1:4" ht="17" thickBot="1">
      <c r="A189" s="12">
        <f>'Book Details - NO EDIT'!A190</f>
        <v>188</v>
      </c>
      <c r="B189" s="112" t="str">
        <f>'Book Details - NO EDIT'!X190</f>
        <v>Archie (2017–: #188)</v>
      </c>
      <c r="C189" s="113">
        <f>'Book Details - NO EDIT'!L190</f>
        <v>162</v>
      </c>
      <c r="D189" s="44">
        <f>'Loyd List 1-190 - Edit'!T190</f>
        <v>131</v>
      </c>
    </row>
    <row r="190" spans="1:4" ht="17" thickBot="1">
      <c r="A190" s="12">
        <f>'Book Details - NO EDIT'!A191</f>
        <v>189</v>
      </c>
      <c r="B190" s="112" t="str">
        <f>'Book Details - NO EDIT'!X191</f>
        <v>Rory (2019–: #189)</v>
      </c>
      <c r="C190" s="113">
        <f>'Book Details - NO EDIT'!L191</f>
        <v>162</v>
      </c>
      <c r="D190" s="44">
        <f>'Loyd List 1-190 - Edit'!T191</f>
        <v>131</v>
      </c>
    </row>
    <row r="191" spans="1:4" ht="17" thickBot="1">
      <c r="A191" s="12">
        <f>'Book Details - NO EDIT'!A192</f>
        <v>190</v>
      </c>
      <c r="B191" s="112" t="str">
        <f>'Book Details - NO EDIT'!X192</f>
        <v>Daisy (2021–: #190)</v>
      </c>
      <c r="C191" s="113">
        <f>'Book Details - NO EDIT'!L192</f>
        <v>167</v>
      </c>
      <c r="D191" s="44">
        <f>'Loyd List 1-190 - Edit'!T192</f>
        <v>131</v>
      </c>
    </row>
    <row r="192" spans="1:4" ht="17" thickBot="1">
      <c r="A192" s="12"/>
      <c r="B192" s="112"/>
      <c r="C192" s="113"/>
      <c r="D192" s="44"/>
    </row>
    <row r="193" spans="1:4" ht="17" thickBot="1">
      <c r="A193" s="12"/>
      <c r="B193" s="112"/>
      <c r="C193" s="113"/>
      <c r="D193" s="44"/>
    </row>
    <row r="194" spans="1:4" ht="17" thickBot="1">
      <c r="A194" s="12"/>
      <c r="B194" s="112"/>
      <c r="C194" s="113"/>
      <c r="D194" s="44"/>
    </row>
    <row r="195" spans="1:4" ht="17" thickBot="1">
      <c r="A195" s="12"/>
      <c r="B195" s="112"/>
      <c r="C195" s="113"/>
      <c r="D195" s="44"/>
    </row>
    <row r="196" spans="1:4" ht="17" thickBot="1">
      <c r="A196" s="12"/>
      <c r="B196" s="112"/>
      <c r="C196" s="113"/>
      <c r="D196" s="44"/>
    </row>
    <row r="197" spans="1:4" ht="17" thickBot="1">
      <c r="A197" s="12"/>
      <c r="B197" s="112"/>
      <c r="C197" s="113"/>
      <c r="D197" s="44"/>
    </row>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2B272-13EC-2547-BEF5-2D8590E44C4B}">
  <dimension ref="A2:MA448"/>
  <sheetViews>
    <sheetView zoomScale="97" zoomScaleNormal="97" workbookViewId="0">
      <pane xSplit="4" ySplit="3" topLeftCell="AF9" activePane="bottomRight" state="frozen"/>
      <selection pane="topRight" activeCell="E1" sqref="E1"/>
      <selection pane="bottomLeft" activeCell="A4" sqref="A4"/>
      <selection pane="bottomRight" activeCell="AL14" sqref="AL14"/>
    </sheetView>
  </sheetViews>
  <sheetFormatPr baseColWidth="10" defaultRowHeight="16"/>
  <cols>
    <col min="3" max="3" width="21" customWidth="1"/>
    <col min="8" max="8" width="11.5" bestFit="1" customWidth="1"/>
    <col min="9" max="9" width="18.6640625" customWidth="1"/>
    <col min="10" max="10" width="22.33203125" bestFit="1" customWidth="1"/>
    <col min="11" max="11" width="10.83203125" style="7"/>
    <col min="15" max="16" width="15" customWidth="1"/>
    <col min="17" max="17" width="19.83203125" customWidth="1"/>
    <col min="18" max="18" width="46.33203125" bestFit="1" customWidth="1"/>
    <col min="19" max="19" width="53.5" customWidth="1"/>
    <col min="20" max="20" width="25" customWidth="1"/>
    <col min="21" max="21" width="12.33203125" bestFit="1" customWidth="1"/>
    <col min="23" max="23" width="13.1640625" customWidth="1"/>
    <col min="24" max="24" width="17" bestFit="1" customWidth="1"/>
    <col min="25" max="25" width="22" bestFit="1" customWidth="1"/>
    <col min="26" max="26" width="17" customWidth="1"/>
    <col min="27" max="27" width="12" bestFit="1" customWidth="1"/>
    <col min="28" max="28" width="12" customWidth="1"/>
    <col min="32" max="32" width="24.1640625" bestFit="1" customWidth="1"/>
    <col min="33" max="39" width="13.6640625" bestFit="1" customWidth="1"/>
    <col min="52" max="52" width="73.6640625" customWidth="1"/>
    <col min="53" max="53" width="39.83203125" bestFit="1" customWidth="1"/>
    <col min="54" max="54" width="37" bestFit="1" customWidth="1"/>
    <col min="55" max="55" width="34.33203125" customWidth="1"/>
    <col min="56" max="56" width="30.1640625" bestFit="1" customWidth="1"/>
    <col min="57" max="57" width="31.5" bestFit="1" customWidth="1"/>
    <col min="58" max="58" width="34.5" bestFit="1" customWidth="1"/>
    <col min="59" max="59" width="34.1640625" bestFit="1" customWidth="1"/>
    <col min="60" max="60" width="35.5" bestFit="1" customWidth="1"/>
    <col min="61" max="73" width="35.5" customWidth="1"/>
    <col min="75" max="75" width="24.5" bestFit="1" customWidth="1"/>
    <col min="76" max="76" width="16" bestFit="1" customWidth="1"/>
    <col min="77" max="77" width="4.33203125" bestFit="1" customWidth="1"/>
    <col min="78" max="144" width="5.33203125" bestFit="1" customWidth="1"/>
    <col min="145" max="221" width="6.33203125" bestFit="1" customWidth="1"/>
    <col min="222" max="223" width="5.33203125" bestFit="1" customWidth="1"/>
    <col min="224" max="224" width="11.1640625" bestFit="1" customWidth="1"/>
    <col min="225" max="366" width="24.5" bestFit="1" customWidth="1"/>
    <col min="367" max="367" width="29.5" bestFit="1" customWidth="1"/>
    <col min="368" max="368" width="24.1640625" bestFit="1" customWidth="1"/>
  </cols>
  <sheetData>
    <row r="2" spans="1:339">
      <c r="B2">
        <v>1</v>
      </c>
      <c r="C2">
        <v>2</v>
      </c>
      <c r="D2">
        <v>3</v>
      </c>
      <c r="E2">
        <v>4</v>
      </c>
      <c r="F2">
        <v>5</v>
      </c>
      <c r="G2">
        <v>6</v>
      </c>
      <c r="AG2" s="116"/>
      <c r="AH2" s="116"/>
      <c r="AI2" s="116"/>
      <c r="AJ2" s="116"/>
      <c r="AK2" s="116"/>
      <c r="AL2" s="116"/>
      <c r="AM2" s="116"/>
      <c r="AN2" s="116"/>
      <c r="AO2" s="116"/>
      <c r="AP2" s="116"/>
      <c r="AQ2" s="116"/>
      <c r="AR2" s="116"/>
      <c r="AS2" s="116"/>
      <c r="AT2" s="116"/>
      <c r="AU2" s="116"/>
      <c r="AV2" s="116"/>
      <c r="AW2" s="116"/>
      <c r="AX2" s="116"/>
      <c r="AY2" s="116"/>
      <c r="AZ2" s="116"/>
    </row>
    <row r="3" spans="1:339" ht="34">
      <c r="A3" t="str">
        <f>'All Girls &amp; Descendants'!B1</f>
        <v>Loyd #</v>
      </c>
      <c r="B3" t="str">
        <f>'All Girls &amp; Descendants'!C1</f>
        <v>Loyd ##</v>
      </c>
      <c r="C3" t="str">
        <f>'All Girls &amp; Descendants'!D1</f>
        <v>Surname</v>
      </c>
      <c r="D3" t="str">
        <f>'All Girls &amp; Descendants'!E1</f>
        <v>1st Name</v>
      </c>
      <c r="E3" t="str">
        <f>'All Girls &amp; Descendants'!F1</f>
        <v>2nd Name</v>
      </c>
      <c r="F3" t="str">
        <f>'All Girls &amp; Descendants'!G1</f>
        <v>3rd Name</v>
      </c>
      <c r="G3" t="str">
        <f>'All Girls &amp; Descendants'!H1</f>
        <v>Known as</v>
      </c>
      <c r="H3" t="str">
        <f>'All Girls &amp; Descendants'!I1</f>
        <v>Year of Birth</v>
      </c>
      <c r="I3" t="str">
        <f>'All Girls &amp; Descendants'!J1</f>
        <v>Year of Death</v>
      </c>
      <c r="J3" t="str">
        <f>'All Girls &amp; Descendants'!K1</f>
        <v>Forename (Loyd#) Yr of B</v>
      </c>
      <c r="K3" s="7" t="str">
        <f>'All Girls &amp; Descendants'!M1</f>
        <v>Dob Entered</v>
      </c>
      <c r="L3" t="str">
        <f>'All Girls &amp; Descendants'!N1</f>
        <v xml:space="preserve">DoM </v>
      </c>
      <c r="M3" t="str">
        <f>'All Girls &amp; Descendants'!O1</f>
        <v>DoD</v>
      </c>
      <c r="N3" t="str">
        <f>'All Girls &amp; Descendants'!P1</f>
        <v>DOD Entered</v>
      </c>
      <c r="O3" t="str">
        <f>'All Girls &amp; Descendants'!Q1</f>
        <v>PARENT's Loyd #</v>
      </c>
      <c r="P3" t="str">
        <f>B3</f>
        <v>Loyd ##</v>
      </c>
      <c r="Q3" t="s">
        <v>3000</v>
      </c>
      <c r="R3" t="s">
        <v>3017</v>
      </c>
      <c r="S3" t="s">
        <v>3019</v>
      </c>
      <c r="U3" s="116" t="s">
        <v>3022</v>
      </c>
      <c r="V3" s="116" t="s">
        <v>3020</v>
      </c>
      <c r="W3" s="116" t="s">
        <v>3021</v>
      </c>
      <c r="X3" s="116" t="s">
        <v>3013</v>
      </c>
      <c r="Y3" s="116" t="s">
        <v>3023</v>
      </c>
      <c r="Z3" s="116"/>
      <c r="AB3" s="116"/>
      <c r="AG3" s="116">
        <v>1</v>
      </c>
      <c r="AH3" s="116">
        <v>2</v>
      </c>
      <c r="AI3" s="116">
        <v>3</v>
      </c>
      <c r="AJ3" s="116">
        <v>4</v>
      </c>
      <c r="AK3" s="116">
        <v>5</v>
      </c>
      <c r="AL3" s="116">
        <v>6</v>
      </c>
      <c r="AM3" s="116">
        <v>7</v>
      </c>
      <c r="AN3" s="116">
        <v>8</v>
      </c>
      <c r="AO3" s="116">
        <v>9</v>
      </c>
      <c r="AP3" s="116">
        <v>10</v>
      </c>
      <c r="AQ3" s="116">
        <v>11</v>
      </c>
      <c r="AR3" s="116">
        <v>12</v>
      </c>
      <c r="AS3" s="116">
        <v>13</v>
      </c>
      <c r="AT3" s="116">
        <v>14</v>
      </c>
      <c r="AU3" s="116">
        <v>15</v>
      </c>
      <c r="AV3" s="116">
        <v>16</v>
      </c>
      <c r="AW3" s="116"/>
      <c r="AX3" s="116"/>
      <c r="AY3" s="116"/>
      <c r="AZ3" s="116"/>
      <c r="BA3" s="116">
        <f t="shared" ref="BA3:BF3" si="0">AG3</f>
        <v>1</v>
      </c>
      <c r="BB3" s="116">
        <f t="shared" si="0"/>
        <v>2</v>
      </c>
      <c r="BC3" s="116">
        <f t="shared" si="0"/>
        <v>3</v>
      </c>
      <c r="BD3" s="116">
        <f t="shared" si="0"/>
        <v>4</v>
      </c>
      <c r="BE3" s="116">
        <f t="shared" si="0"/>
        <v>5</v>
      </c>
      <c r="BF3" s="116">
        <f t="shared" si="0"/>
        <v>6</v>
      </c>
      <c r="BG3" s="116">
        <f t="shared" ref="BG3:BP3" si="1">AM3</f>
        <v>7</v>
      </c>
      <c r="BH3" s="116">
        <f t="shared" si="1"/>
        <v>8</v>
      </c>
      <c r="BI3" s="116">
        <f t="shared" si="1"/>
        <v>9</v>
      </c>
      <c r="BJ3" s="116">
        <f t="shared" si="1"/>
        <v>10</v>
      </c>
      <c r="BK3" s="116">
        <f t="shared" si="1"/>
        <v>11</v>
      </c>
      <c r="BL3" s="116">
        <f t="shared" si="1"/>
        <v>12</v>
      </c>
      <c r="BM3" s="116">
        <f t="shared" si="1"/>
        <v>13</v>
      </c>
      <c r="BN3" s="116">
        <f t="shared" si="1"/>
        <v>14</v>
      </c>
      <c r="BO3" s="116">
        <f t="shared" si="1"/>
        <v>15</v>
      </c>
      <c r="BP3" s="116">
        <f t="shared" si="1"/>
        <v>16</v>
      </c>
      <c r="BQ3" s="116"/>
      <c r="BR3" s="116"/>
      <c r="BS3" s="116"/>
      <c r="BT3" s="116"/>
      <c r="BU3" s="116"/>
      <c r="BW3" s="111" t="s">
        <v>3024</v>
      </c>
      <c r="BX3" s="111" t="s">
        <v>2813</v>
      </c>
    </row>
    <row r="4" spans="1:339" ht="17">
      <c r="A4">
        <f>'All Girls &amp; Descendants'!B2</f>
        <v>2</v>
      </c>
      <c r="B4" t="str">
        <f>'All Girls &amp; Descendants'!C2</f>
        <v>2a</v>
      </c>
      <c r="C4" t="str">
        <f>'All Girls &amp; Descendants'!D2</f>
        <v>DAVIES or DANIEL</v>
      </c>
      <c r="D4" t="str">
        <f>'All Girls &amp; Descendants'!E2</f>
        <v>Lewis</v>
      </c>
      <c r="E4" t="str">
        <f>IF('All Girls &amp; Descendants'!F2="","",'All Girls &amp; Descendants'!F2)</f>
        <v/>
      </c>
      <c r="F4" t="str">
        <f>IF('All Girls &amp; Descendants'!G2="","",'All Girls &amp; Descendants'!G2)</f>
        <v/>
      </c>
      <c r="G4" t="str">
        <f>IF('All Girls &amp; Descendants'!H2="",D4,'All Girls &amp; Descendants'!H2)</f>
        <v>Lewis</v>
      </c>
      <c r="H4" t="str">
        <f>'All Girls &amp; Descendants'!I2</f>
        <v>Unknown</v>
      </c>
      <c r="I4" t="str">
        <f>'All Girls &amp; Descendants'!J2</f>
        <v>Unknown</v>
      </c>
      <c r="J4">
        <f>'All Girls &amp; Descendants'!K2</f>
        <v>0</v>
      </c>
      <c r="K4" s="7" t="str">
        <f>'All Girls &amp; Descendants'!M2</f>
        <v>Unknown</v>
      </c>
      <c r="L4" t="str">
        <f>'All Girls &amp; Descendants'!N2</f>
        <v xml:space="preserve"> - </v>
      </c>
      <c r="M4" t="str">
        <f>'All Girls &amp; Descendants'!O2</f>
        <v/>
      </c>
      <c r="N4" t="str">
        <f>'All Girls &amp; Descendants'!P2</f>
        <v/>
      </c>
      <c r="O4">
        <f>'All Girls &amp; Descendants'!Q2</f>
        <v>1</v>
      </c>
      <c r="P4" t="str">
        <f>B4</f>
        <v>2a</v>
      </c>
      <c r="Q4" s="116">
        <f>LEN(B4)-LEN(A4)</f>
        <v>1</v>
      </c>
      <c r="R4" s="31" t="str">
        <f>_xlfn.CONCAT(D4," ",E4," ",F4," ",C4)</f>
        <v>Lewis   DAVIES or DANIEL</v>
      </c>
      <c r="S4" s="31" t="str">
        <f>_xlfn.CONCAT(G4," ",C4," (",H4," -",I4,": #",B4,")")</f>
        <v>Lewis DAVIES or DANIEL (Unknown -Unknown: #2a)</v>
      </c>
      <c r="U4" s="117">
        <f>W4*100+10*VLOOKUP(X4,$AB$4:$AC$13,2,FALSE)+VLOOKUP(Y4,$AB$4:$AC$13,2,FALSE)</f>
        <v>211</v>
      </c>
      <c r="V4" t="s">
        <v>1960</v>
      </c>
      <c r="W4" s="116">
        <f>VALUE(LEFT(V4,1))</f>
        <v>2</v>
      </c>
      <c r="X4" s="116" t="str">
        <f>MID(V4,2,1)</f>
        <v>a</v>
      </c>
      <c r="Y4" s="116" t="str">
        <f>RIGHT(V4,1)</f>
        <v>a</v>
      </c>
      <c r="Z4" s="116"/>
      <c r="AB4" t="s">
        <v>3003</v>
      </c>
      <c r="AC4">
        <v>1</v>
      </c>
      <c r="AF4" t="s">
        <v>3025</v>
      </c>
      <c r="AG4" t="s">
        <v>2816</v>
      </c>
      <c r="AH4" t="s">
        <v>2816</v>
      </c>
      <c r="AI4" t="s">
        <v>2816</v>
      </c>
      <c r="AJ4" t="s">
        <v>2816</v>
      </c>
      <c r="AK4" t="s">
        <v>2816</v>
      </c>
      <c r="AL4" t="s">
        <v>2816</v>
      </c>
      <c r="AM4" t="s">
        <v>2816</v>
      </c>
      <c r="AN4" t="s">
        <v>2816</v>
      </c>
      <c r="AY4" s="60" t="s">
        <v>3032</v>
      </c>
      <c r="AZ4" s="60" t="s">
        <v>3027</v>
      </c>
      <c r="BW4" s="111" t="s">
        <v>2811</v>
      </c>
      <c r="BX4">
        <v>211</v>
      </c>
      <c r="BY4">
        <v>231</v>
      </c>
      <c r="BZ4">
        <v>1821</v>
      </c>
      <c r="CA4">
        <v>1822</v>
      </c>
      <c r="CB4">
        <v>1823</v>
      </c>
      <c r="CC4">
        <v>1824</v>
      </c>
      <c r="CD4">
        <v>1851</v>
      </c>
      <c r="CE4">
        <v>3611</v>
      </c>
      <c r="CF4">
        <v>3612</v>
      </c>
      <c r="CG4">
        <v>3641</v>
      </c>
      <c r="CH4">
        <v>3642</v>
      </c>
      <c r="CI4">
        <v>4711</v>
      </c>
      <c r="CJ4">
        <v>4712</v>
      </c>
      <c r="CK4">
        <v>6311</v>
      </c>
      <c r="CL4">
        <v>6312</v>
      </c>
      <c r="CM4">
        <v>6531</v>
      </c>
      <c r="CN4">
        <v>6532</v>
      </c>
      <c r="CO4">
        <v>7011</v>
      </c>
      <c r="CP4">
        <v>7012</v>
      </c>
      <c r="CQ4">
        <v>7013</v>
      </c>
      <c r="CR4">
        <v>7021</v>
      </c>
      <c r="CS4">
        <v>7022</v>
      </c>
      <c r="CT4">
        <v>7031</v>
      </c>
      <c r="CU4">
        <v>7032</v>
      </c>
      <c r="CV4">
        <v>7033</v>
      </c>
      <c r="CW4">
        <v>7034</v>
      </c>
      <c r="CX4">
        <v>7041</v>
      </c>
      <c r="CY4">
        <v>7042</v>
      </c>
      <c r="CZ4">
        <v>7043</v>
      </c>
      <c r="DA4">
        <v>8511</v>
      </c>
      <c r="DB4">
        <v>8512</v>
      </c>
      <c r="DC4">
        <v>8513</v>
      </c>
      <c r="DD4">
        <v>8521</v>
      </c>
      <c r="DE4">
        <v>8522</v>
      </c>
      <c r="DF4">
        <v>8523</v>
      </c>
      <c r="DG4">
        <v>8524</v>
      </c>
      <c r="DH4">
        <v>8531</v>
      </c>
      <c r="DI4">
        <v>8532</v>
      </c>
      <c r="DJ4">
        <v>8541</v>
      </c>
      <c r="DK4">
        <v>8542</v>
      </c>
      <c r="DL4">
        <v>8811</v>
      </c>
      <c r="DM4">
        <v>8812</v>
      </c>
      <c r="DN4">
        <v>8813</v>
      </c>
      <c r="DO4">
        <v>8814</v>
      </c>
      <c r="DP4">
        <v>8821</v>
      </c>
      <c r="DQ4">
        <v>8831</v>
      </c>
      <c r="DR4">
        <v>9011</v>
      </c>
      <c r="DS4">
        <v>9012</v>
      </c>
      <c r="DT4">
        <v>9021</v>
      </c>
      <c r="DU4">
        <v>9022</v>
      </c>
      <c r="DV4">
        <v>9031</v>
      </c>
      <c r="DW4">
        <v>9032</v>
      </c>
      <c r="DX4">
        <v>9033</v>
      </c>
      <c r="DY4">
        <v>9211</v>
      </c>
      <c r="DZ4">
        <v>9212</v>
      </c>
      <c r="EA4">
        <v>9213</v>
      </c>
      <c r="EB4">
        <v>9214</v>
      </c>
      <c r="EC4">
        <v>9221</v>
      </c>
      <c r="ED4">
        <v>9222</v>
      </c>
      <c r="EE4">
        <v>9223</v>
      </c>
      <c r="EF4">
        <v>9224</v>
      </c>
      <c r="EG4">
        <v>9241</v>
      </c>
      <c r="EH4">
        <v>9242</v>
      </c>
      <c r="EI4">
        <v>9521</v>
      </c>
      <c r="EJ4">
        <v>9522</v>
      </c>
      <c r="EK4">
        <v>9523</v>
      </c>
      <c r="EL4">
        <v>9711</v>
      </c>
      <c r="EM4">
        <v>9712</v>
      </c>
      <c r="EN4">
        <v>9751</v>
      </c>
      <c r="EO4">
        <v>10111</v>
      </c>
      <c r="EP4">
        <v>10112</v>
      </c>
      <c r="EQ4">
        <v>10121</v>
      </c>
      <c r="ER4">
        <v>10122</v>
      </c>
      <c r="ES4">
        <v>10123</v>
      </c>
      <c r="ET4">
        <v>10131</v>
      </c>
      <c r="EU4">
        <v>10132</v>
      </c>
      <c r="EV4">
        <v>10133</v>
      </c>
      <c r="EW4">
        <v>10141</v>
      </c>
      <c r="EX4">
        <v>10142</v>
      </c>
      <c r="EY4">
        <v>10143</v>
      </c>
      <c r="EZ4">
        <v>10151</v>
      </c>
      <c r="FA4">
        <v>10152</v>
      </c>
      <c r="FB4">
        <v>10153</v>
      </c>
      <c r="FC4">
        <v>10161</v>
      </c>
      <c r="FD4">
        <v>10162</v>
      </c>
      <c r="FE4">
        <v>10221</v>
      </c>
      <c r="FF4">
        <v>10222</v>
      </c>
      <c r="FG4">
        <v>10311</v>
      </c>
      <c r="FH4">
        <v>10312</v>
      </c>
      <c r="FI4">
        <v>10313</v>
      </c>
      <c r="FJ4">
        <v>10321</v>
      </c>
      <c r="FK4">
        <v>10322</v>
      </c>
      <c r="FL4">
        <v>10323</v>
      </c>
      <c r="FM4">
        <v>10324</v>
      </c>
      <c r="FN4">
        <v>10331</v>
      </c>
      <c r="FO4">
        <v>10332</v>
      </c>
      <c r="FP4">
        <v>10333</v>
      </c>
      <c r="FQ4">
        <v>10341</v>
      </c>
      <c r="FR4">
        <v>10342</v>
      </c>
      <c r="FS4">
        <v>10343</v>
      </c>
      <c r="FT4">
        <v>10611</v>
      </c>
      <c r="FU4">
        <v>10612</v>
      </c>
      <c r="FV4">
        <v>10613</v>
      </c>
      <c r="FW4">
        <v>10614</v>
      </c>
      <c r="FX4">
        <v>10621</v>
      </c>
      <c r="FY4">
        <v>10622</v>
      </c>
      <c r="FZ4">
        <v>10711</v>
      </c>
      <c r="GA4">
        <v>10712</v>
      </c>
      <c r="GB4">
        <v>10713</v>
      </c>
      <c r="GC4">
        <v>10714</v>
      </c>
      <c r="GD4">
        <v>10721</v>
      </c>
      <c r="GE4">
        <v>10722</v>
      </c>
      <c r="GF4">
        <v>10723</v>
      </c>
      <c r="GG4">
        <v>10731</v>
      </c>
      <c r="GH4">
        <v>10732</v>
      </c>
      <c r="GI4">
        <v>10733</v>
      </c>
      <c r="GJ4">
        <v>10734</v>
      </c>
      <c r="GK4">
        <v>10741</v>
      </c>
      <c r="GL4">
        <v>10742</v>
      </c>
      <c r="GM4">
        <v>10811</v>
      </c>
      <c r="GN4">
        <v>10812</v>
      </c>
      <c r="GO4">
        <v>10821</v>
      </c>
      <c r="GP4">
        <v>10822</v>
      </c>
      <c r="GQ4">
        <v>10831</v>
      </c>
      <c r="GR4">
        <v>10921</v>
      </c>
      <c r="GS4">
        <v>10922</v>
      </c>
      <c r="GT4">
        <v>10923</v>
      </c>
      <c r="GU4">
        <v>10924</v>
      </c>
      <c r="GV4">
        <v>11011</v>
      </c>
      <c r="GW4">
        <v>11012</v>
      </c>
      <c r="GX4">
        <v>11013</v>
      </c>
      <c r="GY4">
        <v>11031</v>
      </c>
      <c r="GZ4">
        <v>11041</v>
      </c>
      <c r="HA4">
        <v>11042</v>
      </c>
      <c r="HB4">
        <v>11511</v>
      </c>
      <c r="HC4">
        <v>11512</v>
      </c>
      <c r="HD4">
        <v>11513</v>
      </c>
      <c r="HE4">
        <v>11521</v>
      </c>
      <c r="HF4">
        <v>11522</v>
      </c>
      <c r="HG4">
        <v>11523</v>
      </c>
      <c r="HH4">
        <v>12311</v>
      </c>
      <c r="HI4">
        <v>12312</v>
      </c>
      <c r="HJ4">
        <v>12321</v>
      </c>
      <c r="HK4">
        <v>12322</v>
      </c>
      <c r="HL4">
        <v>12323</v>
      </c>
      <c r="HM4">
        <v>14311</v>
      </c>
      <c r="HN4">
        <v>9752</v>
      </c>
      <c r="HO4">
        <v>9753</v>
      </c>
      <c r="HP4" t="s">
        <v>2812</v>
      </c>
    </row>
    <row r="5" spans="1:339" ht="79" customHeight="1">
      <c r="A5">
        <f>'All Girls &amp; Descendants'!B3</f>
        <v>2</v>
      </c>
      <c r="B5" t="str">
        <f>'All Girls &amp; Descendants'!C3</f>
        <v>2b</v>
      </c>
      <c r="C5" t="str">
        <f>'All Girls &amp; Descendants'!D3</f>
        <v>DAVIES or DANIEL</v>
      </c>
      <c r="D5" t="str">
        <f>'All Girls &amp; Descendants'!E3</f>
        <v>Ann</v>
      </c>
      <c r="E5" t="str">
        <f>IF('All Girls &amp; Descendants'!F3="","",'All Girls &amp; Descendants'!F3)</f>
        <v/>
      </c>
      <c r="F5" t="str">
        <f>IF('All Girls &amp; Descendants'!G3="","",'All Girls &amp; Descendants'!G3)</f>
        <v/>
      </c>
      <c r="G5" t="str">
        <f>IF('All Girls &amp; Descendants'!H3="",D5,'All Girls &amp; Descendants'!H3)</f>
        <v>Ann</v>
      </c>
      <c r="H5" t="str">
        <f>'All Girls &amp; Descendants'!I3</f>
        <v>Unknown</v>
      </c>
      <c r="I5" t="str">
        <f>'All Girls &amp; Descendants'!J3</f>
        <v>Unknown</v>
      </c>
      <c r="J5">
        <f>'All Girls &amp; Descendants'!K3</f>
        <v>0</v>
      </c>
      <c r="K5" s="7" t="str">
        <f>'All Girls &amp; Descendants'!M3</f>
        <v>Unknown</v>
      </c>
      <c r="L5" t="str">
        <f>'All Girls &amp; Descendants'!N3</f>
        <v xml:space="preserve"> - </v>
      </c>
      <c r="M5" t="str">
        <f>'All Girls &amp; Descendants'!O3</f>
        <v/>
      </c>
      <c r="N5" t="str">
        <f>'All Girls &amp; Descendants'!P3</f>
        <v/>
      </c>
      <c r="O5" t="str">
        <f>'All Girls &amp; Descendants'!Q3</f>
        <v>2</v>
      </c>
      <c r="P5" t="str">
        <f t="shared" ref="P5:P68" si="2">B5</f>
        <v>2b</v>
      </c>
      <c r="Q5" s="116">
        <f t="shared" ref="Q5:Q68" si="3">LEN(B5)-LEN(A5)</f>
        <v>1</v>
      </c>
      <c r="R5" s="31" t="str">
        <f t="shared" ref="R5:R68" si="4">_xlfn.CONCAT(D5," ",E5," ",F5," ",C5)</f>
        <v>Ann   DAVIES or DANIEL</v>
      </c>
      <c r="S5" s="31" t="str">
        <f t="shared" ref="S5:S68" si="5">_xlfn.CONCAT(G5," ",C5," (",H5," -",I5,": #",B5,")")</f>
        <v>Ann DAVIES or DANIEL (Unknown -Unknown: #2b)</v>
      </c>
      <c r="U5" s="117">
        <f t="shared" ref="U5:U68" si="6">W5*100+10*VLOOKUP(X5,$AB$4:$AC$13,2,FALSE)+VLOOKUP(Y5,$AB$4:$AC$13,2,FALSE)</f>
        <v>231</v>
      </c>
      <c r="V5" t="s">
        <v>1970</v>
      </c>
      <c r="W5" s="116">
        <f>VALUE(LEFT(V5,1))</f>
        <v>2</v>
      </c>
      <c r="X5" s="116" t="str">
        <f>MID(V5,2,1)</f>
        <v>c</v>
      </c>
      <c r="Y5" s="116" t="str">
        <f t="shared" ref="Y5:Y68" si="7">RIGHT(V5,1)</f>
        <v>a</v>
      </c>
      <c r="Z5" s="116"/>
      <c r="AB5" t="s">
        <v>3004</v>
      </c>
      <c r="AC5">
        <v>2</v>
      </c>
      <c r="AE5" s="99">
        <f t="shared" ref="AE5:AE25" si="8">BW5</f>
        <v>2</v>
      </c>
      <c r="AF5" s="116">
        <f>COUNTIF(BX5:HO5,"&gt;0")</f>
        <v>2</v>
      </c>
      <c r="AG5" s="117" t="str">
        <f t="shared" ref="AG5:AH26" si="9">VLOOKUP(IF(ISNUMBER(SMALL($BX5:$HO5,AG$3)),SMALL($BX5:$HO5,AG$3),""),$U$4:$V$160,2,FALSE)</f>
        <v>2aa</v>
      </c>
      <c r="AH5" s="117" t="str">
        <f t="shared" si="9"/>
        <v>2ca</v>
      </c>
      <c r="AI5" s="117"/>
      <c r="AJ5" s="117"/>
      <c r="AK5" s="117"/>
      <c r="AL5" s="117"/>
      <c r="AM5" s="117"/>
      <c r="AN5" s="117"/>
      <c r="AO5" s="117"/>
      <c r="AP5" s="117"/>
      <c r="AQ5" s="117"/>
      <c r="AR5" s="117"/>
      <c r="AS5" s="117"/>
      <c r="AT5" s="117"/>
      <c r="AU5" s="117"/>
      <c r="AV5" s="117"/>
      <c r="AW5" s="117"/>
      <c r="AX5" s="128">
        <f>AE5</f>
        <v>2</v>
      </c>
      <c r="AY5" s="128">
        <f>AF5</f>
        <v>2</v>
      </c>
      <c r="AZ5" s="97" t="str">
        <f>_xlfn.CONCAT(BA5," ",BB5," ",BC5," ",BD5," ",BE5," ",BF5," ",BG5," ",BH5," ",BI5," ",BJ5," ",BK5," ",BL5," ",BM5," ",BN5," ",BO5," ",BP5)</f>
        <v xml:space="preserve">William DAVIES (Date unknown -1908: #2aa) Catherine DAVIES (1829 -1866: #2ca)              </v>
      </c>
      <c r="BA5" t="str">
        <f>IF(AG5&lt;&gt;"",VLOOKUP(AG5,$P$3:$T$426,4,FALSE),"")</f>
        <v>William DAVIES (Date unknown -1908: #2aa)</v>
      </c>
      <c r="BB5" t="str">
        <f>IF(AH5&lt;&gt;"",VLOOKUP(AH5,$P$3:$T$426,4,FALSE),"")</f>
        <v>Catherine DAVIES (1829 -1866: #2ca)</v>
      </c>
      <c r="BD5" t="str">
        <f t="shared" ref="BD5:BD25" si="10">IF(AJ5&lt;&gt;"",VLOOKUP(AJ5,$P$3:$T$426,4,FALSE),"")</f>
        <v/>
      </c>
      <c r="BE5" t="str">
        <f t="shared" ref="BE5:BE25" si="11">IF(AK5&lt;&gt;"",VLOOKUP(AK5,$P$3:$T$426,4,FALSE),"")</f>
        <v/>
      </c>
      <c r="BF5" t="str">
        <f t="shared" ref="BF5:BF25" si="12">IF(AL5&lt;&gt;"",VLOOKUP(AL5,$P$3:$T$426,4,FALSE),"")</f>
        <v/>
      </c>
      <c r="BG5" t="str">
        <f t="shared" ref="BG5:BG25" si="13">IF(AM5&lt;&gt;"",VLOOKUP(AM5,$P$3:$T$426,4,FALSE),"")</f>
        <v/>
      </c>
      <c r="BH5" t="str">
        <f t="shared" ref="BH5:BH25" si="14">IF(AN5&lt;&gt;"",VLOOKUP(AN5,$P$3:$T$426,4,FALSE),"")</f>
        <v/>
      </c>
      <c r="BI5" t="str">
        <f t="shared" ref="BI5:BI25" si="15">IF(AO5&lt;&gt;"",VLOOKUP(AO5,$P$3:$T$426,4,FALSE),"")</f>
        <v/>
      </c>
      <c r="BJ5" t="str">
        <f t="shared" ref="BJ5:BJ25" si="16">IF(AP5&lt;&gt;"",VLOOKUP(AP5,$P$3:$T$426,4,FALSE),"")</f>
        <v/>
      </c>
      <c r="BK5" t="str">
        <f t="shared" ref="BK5:BK25" si="17">IF(AQ5&lt;&gt;"",VLOOKUP(AQ5,$P$3:$T$426,4,FALSE),"")</f>
        <v/>
      </c>
      <c r="BL5" t="str">
        <f t="shared" ref="BL5:BL25" si="18">IF(AR5&lt;&gt;"",VLOOKUP(AR5,$P$3:$T$426,4,FALSE),"")</f>
        <v/>
      </c>
      <c r="BM5" t="str">
        <f t="shared" ref="BM5:BM25" si="19">IF(AS5&lt;&gt;"",VLOOKUP(AS5,$P$3:$T$426,4,FALSE),"")</f>
        <v/>
      </c>
      <c r="BN5" t="str">
        <f t="shared" ref="BN5:BN25" si="20">IF(AT5&lt;&gt;"",VLOOKUP(AT5,$P$3:$T$426,4,FALSE),"")</f>
        <v/>
      </c>
      <c r="BO5" t="str">
        <f t="shared" ref="BO5:BO25" si="21">IF(AU5&lt;&gt;"",VLOOKUP(AU5,$P$3:$T$426,4,FALSE),"")</f>
        <v/>
      </c>
      <c r="BP5" t="str">
        <f t="shared" ref="BP5:BP25" si="22">IF(AV5&lt;&gt;"",VLOOKUP(AV5,$P$3:$T$426,4,FALSE),"")</f>
        <v/>
      </c>
      <c r="BW5" s="72">
        <v>2</v>
      </c>
      <c r="BX5">
        <v>211</v>
      </c>
      <c r="BY5">
        <v>231</v>
      </c>
      <c r="HP5">
        <v>442</v>
      </c>
    </row>
    <row r="6" spans="1:339" ht="61" customHeight="1">
      <c r="A6">
        <f>'All Girls &amp; Descendants'!B4</f>
        <v>2</v>
      </c>
      <c r="B6" t="str">
        <f>'All Girls &amp; Descendants'!C4</f>
        <v>2c</v>
      </c>
      <c r="C6" t="str">
        <f>'All Girls &amp; Descendants'!D4</f>
        <v>DAVIES or DANIEL</v>
      </c>
      <c r="D6" t="str">
        <f>'All Girls &amp; Descendants'!E4</f>
        <v>William</v>
      </c>
      <c r="E6" t="str">
        <f>IF('All Girls &amp; Descendants'!F4="","",'All Girls &amp; Descendants'!F4)</f>
        <v/>
      </c>
      <c r="F6" t="str">
        <f>IF('All Girls &amp; Descendants'!G4="","",'All Girls &amp; Descendants'!G4)</f>
        <v/>
      </c>
      <c r="G6" t="str">
        <f>IF('All Girls &amp; Descendants'!H4="",D6,'All Girls &amp; Descendants'!H4)</f>
        <v>William</v>
      </c>
      <c r="H6">
        <f>'All Girls &amp; Descendants'!I4</f>
        <v>1800</v>
      </c>
      <c r="I6">
        <f>'All Girls &amp; Descendants'!J4</f>
        <v>1832</v>
      </c>
      <c r="J6">
        <f>'All Girls &amp; Descendants'!K4</f>
        <v>0</v>
      </c>
      <c r="K6" s="7" t="str">
        <f>'All Girls &amp; Descendants'!M4</f>
        <v>04/05/1800</v>
      </c>
      <c r="L6" t="str">
        <f>'All Girls &amp; Descendants'!N4</f>
        <v xml:space="preserve"> - </v>
      </c>
      <c r="M6" t="str">
        <f>'All Girls &amp; Descendants'!O4</f>
        <v>11/05/1832</v>
      </c>
      <c r="N6" t="str">
        <f>'All Girls &amp; Descendants'!P4</f>
        <v>11/05/1832</v>
      </c>
      <c r="O6" t="str">
        <f>'All Girls &amp; Descendants'!Q4</f>
        <v>2</v>
      </c>
      <c r="P6" t="str">
        <f t="shared" si="2"/>
        <v>2c</v>
      </c>
      <c r="Q6" s="116">
        <f t="shared" si="3"/>
        <v>1</v>
      </c>
      <c r="R6" s="31" t="str">
        <f t="shared" si="4"/>
        <v>William   DAVIES or DANIEL</v>
      </c>
      <c r="S6" s="31" t="str">
        <f t="shared" si="5"/>
        <v>William DAVIES or DANIEL (1800 -1832: #2c)</v>
      </c>
      <c r="U6" s="117">
        <f t="shared" si="6"/>
        <v>1821</v>
      </c>
      <c r="V6" t="s">
        <v>2034</v>
      </c>
      <c r="W6" s="116">
        <f>VALUE(LEFT(V6,2))</f>
        <v>18</v>
      </c>
      <c r="X6" s="116" t="str">
        <f>MID(V6,3,1)</f>
        <v>b</v>
      </c>
      <c r="Y6" s="116" t="str">
        <f t="shared" si="7"/>
        <v>a</v>
      </c>
      <c r="Z6" s="116"/>
      <c r="AB6" t="s">
        <v>3005</v>
      </c>
      <c r="AC6">
        <v>3</v>
      </c>
      <c r="AE6" s="99">
        <f t="shared" si="8"/>
        <v>18</v>
      </c>
      <c r="AF6" s="116">
        <f t="shared" ref="AF6:AF28" si="23">COUNTIF(BX6:HO6,"&gt;0")</f>
        <v>5</v>
      </c>
      <c r="AG6" s="117" t="str">
        <f t="shared" si="9"/>
        <v>18ba</v>
      </c>
      <c r="AH6" s="117" t="str">
        <f t="shared" si="9"/>
        <v>18bb</v>
      </c>
      <c r="AI6" s="117" t="str">
        <f>VLOOKUP(IF(ISNUMBER(SMALL($BX6:$HO6,AI$3)),SMALL($BX6:$HO6,AI$3),""),$U$4:$V$160,2,FALSE)</f>
        <v>18bc</v>
      </c>
      <c r="AJ6" s="117" t="str">
        <f>VLOOKUP(IF(ISNUMBER(SMALL($BX6:$HO6,AJ$3)),SMALL($BX6:$HO6,AJ$3),""),$U$4:$V$160,2,FALSE)</f>
        <v>18bd</v>
      </c>
      <c r="AK6" s="117" t="str">
        <f>VLOOKUP(IF(ISNUMBER(SMALL($BX6:$HO6,AK$3)),SMALL($BX6:$HO6,AK$3),""),$U$4:$V$160,2,FALSE)</f>
        <v>18ea</v>
      </c>
      <c r="AL6" s="117"/>
      <c r="AM6" s="117"/>
      <c r="AN6" s="117"/>
      <c r="AO6" s="117"/>
      <c r="AP6" s="117"/>
      <c r="AQ6" s="117"/>
      <c r="AR6" s="117"/>
      <c r="AS6" s="117"/>
      <c r="AT6" s="117"/>
      <c r="AU6" s="117"/>
      <c r="AV6" s="117"/>
      <c r="AW6" s="117"/>
      <c r="AX6" s="128">
        <f t="shared" ref="AX6:AX26" si="24">AE6</f>
        <v>18</v>
      </c>
      <c r="AY6" s="128">
        <f t="shared" ref="AY6:AY26" si="25">AF6</f>
        <v>5</v>
      </c>
      <c r="AZ6" s="97" t="str">
        <f t="shared" ref="AZ6:AZ26" si="26">_xlfn.CONCAT(BA6," ",BB6," ",BC6," ",BD6," ",BE6," ",BF6," ",BG6," ",BH6," ",BI6," ",BJ6," ",BK6," ",BL6," ",BM6," ",BN6," ",BO6," ",BP6)</f>
        <v xml:space="preserve">Malcolm NICOL (1879 -1891: #18ba) Margery NICOL (1880 -1963: #18bb) Randall NICOL (1882 -1941: #18bc) Dorothy NICOL (1885 -1964: #18bd) Violet NICOL (1887 -1957: #18ea)           </v>
      </c>
      <c r="BA6" t="str">
        <f>IF(AG6&lt;&gt;"",VLOOKUP(AG6,$P$3:$T$426,4,FALSE),"")</f>
        <v>Malcolm NICOL (1879 -1891: #18ba)</v>
      </c>
      <c r="BB6" t="str">
        <f>IF(AH6&lt;&gt;"",VLOOKUP(AH6,$P$3:$T$426,4,FALSE),"")</f>
        <v>Margery NICOL (1880 -1963: #18bb)</v>
      </c>
      <c r="BC6" t="str">
        <f t="shared" ref="BC6:BC39" si="27">IF(AI6&lt;&gt;"",VLOOKUP(AI6,$P$3:$T$426,4,FALSE),"")</f>
        <v>Randall NICOL (1882 -1941: #18bc)</v>
      </c>
      <c r="BD6" t="str">
        <f t="shared" si="10"/>
        <v>Dorothy NICOL (1885 -1964: #18bd)</v>
      </c>
      <c r="BE6" t="str">
        <f t="shared" si="11"/>
        <v>Violet NICOL (1887 -1957: #18ea)</v>
      </c>
      <c r="BF6" t="str">
        <f t="shared" si="12"/>
        <v/>
      </c>
      <c r="BG6" t="str">
        <f t="shared" si="13"/>
        <v/>
      </c>
      <c r="BH6" t="str">
        <f t="shared" si="14"/>
        <v/>
      </c>
      <c r="BI6" t="str">
        <f t="shared" si="15"/>
        <v/>
      </c>
      <c r="BJ6" t="str">
        <f t="shared" si="16"/>
        <v/>
      </c>
      <c r="BK6" t="str">
        <f t="shared" si="17"/>
        <v/>
      </c>
      <c r="BL6" t="str">
        <f t="shared" si="18"/>
        <v/>
      </c>
      <c r="BM6" t="str">
        <f t="shared" si="19"/>
        <v/>
      </c>
      <c r="BN6" t="str">
        <f t="shared" si="20"/>
        <v/>
      </c>
      <c r="BO6" t="str">
        <f t="shared" si="21"/>
        <v/>
      </c>
      <c r="BP6" t="str">
        <f t="shared" si="22"/>
        <v/>
      </c>
      <c r="BW6" s="72">
        <v>18</v>
      </c>
      <c r="BZ6">
        <v>1821</v>
      </c>
      <c r="CA6">
        <v>1822</v>
      </c>
      <c r="CB6">
        <v>1823</v>
      </c>
      <c r="CC6">
        <v>1824</v>
      </c>
      <c r="CD6">
        <v>1851</v>
      </c>
      <c r="HP6">
        <v>9141</v>
      </c>
    </row>
    <row r="7" spans="1:339" ht="66" customHeight="1">
      <c r="A7">
        <f>'All Girls &amp; Descendants'!B5</f>
        <v>11</v>
      </c>
      <c r="B7" t="str">
        <f>'All Girls &amp; Descendants'!C5</f>
        <v>11a</v>
      </c>
      <c r="C7" t="str">
        <f>'All Girls &amp; Descendants'!D5</f>
        <v>BENYON</v>
      </c>
      <c r="D7" t="str">
        <f>'All Girls &amp; Descendants'!E5</f>
        <v>Emma</v>
      </c>
      <c r="E7" t="str">
        <f>IF('All Girls &amp; Descendants'!F5="","",'All Girls &amp; Descendants'!F5)</f>
        <v/>
      </c>
      <c r="F7" t="str">
        <f>IF('All Girls &amp; Descendants'!G5="","",'All Girls &amp; Descendants'!G5)</f>
        <v/>
      </c>
      <c r="G7" t="str">
        <f>IF('All Girls &amp; Descendants'!H5="",D7,'All Girls &amp; Descendants'!H5)</f>
        <v>Emma</v>
      </c>
      <c r="H7">
        <f>'All Girls &amp; Descendants'!I5</f>
        <v>1838</v>
      </c>
      <c r="I7">
        <f>'All Girls &amp; Descendants'!J5</f>
        <v>1913</v>
      </c>
      <c r="J7">
        <f>'All Girls &amp; Descendants'!K5</f>
        <v>0</v>
      </c>
      <c r="K7" s="7" t="str">
        <f>'All Girls &amp; Descendants'!M5</f>
        <v>09/03/1838</v>
      </c>
      <c r="L7" t="str">
        <f>'All Girls &amp; Descendants'!N5</f>
        <v>Unmarried</v>
      </c>
      <c r="M7">
        <f>'All Girls &amp; Descendants'!O5</f>
        <v>5016</v>
      </c>
      <c r="N7" t="str">
        <f>'All Girls &amp; Descendants'!P5</f>
        <v>24/09/1913</v>
      </c>
      <c r="O7" t="str">
        <f>'All Girls &amp; Descendants'!Q5</f>
        <v>11</v>
      </c>
      <c r="P7" t="str">
        <f t="shared" si="2"/>
        <v>11a</v>
      </c>
      <c r="Q7" s="116">
        <f t="shared" si="3"/>
        <v>1</v>
      </c>
      <c r="R7" s="31" t="str">
        <f t="shared" si="4"/>
        <v>Emma   BENYON</v>
      </c>
      <c r="S7" s="31" t="str">
        <f t="shared" si="5"/>
        <v>Emma BENYON (1838 -1913: #11a)</v>
      </c>
      <c r="U7" s="117">
        <f t="shared" si="6"/>
        <v>1822</v>
      </c>
      <c r="V7" t="s">
        <v>2035</v>
      </c>
      <c r="W7" s="116">
        <f>VALUE(LEFT(V7,2))</f>
        <v>18</v>
      </c>
      <c r="X7" s="116" t="str">
        <f t="shared" ref="X7:X70" si="28">MID(V7,3,1)</f>
        <v>b</v>
      </c>
      <c r="Y7" s="116" t="str">
        <f t="shared" si="7"/>
        <v>b</v>
      </c>
      <c r="Z7" s="116"/>
      <c r="AB7" t="s">
        <v>3006</v>
      </c>
      <c r="AC7">
        <v>4</v>
      </c>
      <c r="AE7" s="99">
        <f t="shared" si="8"/>
        <v>36</v>
      </c>
      <c r="AF7" s="116">
        <f t="shared" si="23"/>
        <v>4</v>
      </c>
      <c r="AG7" s="117" t="str">
        <f t="shared" si="9"/>
        <v>36aa</v>
      </c>
      <c r="AH7" s="117" t="str">
        <f t="shared" si="9"/>
        <v>36ab</v>
      </c>
      <c r="AI7" s="117" t="str">
        <f>VLOOKUP(IF(ISNUMBER(SMALL($BX7:$HO7,AI$3)),SMALL($BX7:$HO7,AI$3),""),$U$4:$V$160,2,FALSE)</f>
        <v>36da</v>
      </c>
      <c r="AJ7" s="117" t="str">
        <f>VLOOKUP(IF(ISNUMBER(SMALL($BX7:$HO7,AJ$3)),SMALL($BX7:$HO7,AJ$3),""),$U$4:$V$160,2,FALSE)</f>
        <v>36db</v>
      </c>
      <c r="AK7" s="117"/>
      <c r="AL7" s="117"/>
      <c r="AM7" s="117"/>
      <c r="AN7" s="117"/>
      <c r="AO7" s="117"/>
      <c r="AP7" s="117"/>
      <c r="AQ7" s="117"/>
      <c r="AR7" s="117"/>
      <c r="AS7" s="117"/>
      <c r="AT7" s="117"/>
      <c r="AU7" s="117"/>
      <c r="AV7" s="117"/>
      <c r="AW7" s="117"/>
      <c r="AX7" s="128">
        <f t="shared" si="24"/>
        <v>36</v>
      </c>
      <c r="AY7" s="128">
        <f t="shared" si="25"/>
        <v>4</v>
      </c>
      <c r="AZ7" s="97" t="str">
        <f t="shared" si="26"/>
        <v xml:space="preserve">Beryl COURTHOPE (1900 -1974: #36aa) Daphne COURTHOPE (1902 -1980: #36ab) Elinor POWELL (1911 -1997: #36da) John POWELL (1913 -1944: #36db)            </v>
      </c>
      <c r="BA7" t="str">
        <f t="shared" ref="BA7:BA28" si="29">IF(AG7&lt;&gt;"",VLOOKUP(AG7,$P$3:$T$426,4,FALSE),"")</f>
        <v>Beryl COURTHOPE (1900 -1974: #36aa)</v>
      </c>
      <c r="BB7" t="str">
        <f t="shared" ref="BB7:BB39" si="30">IF(AH7&lt;&gt;"",VLOOKUP(AH7,$P$3:$T$426,4,FALSE),"")</f>
        <v>Daphne COURTHOPE (1902 -1980: #36ab)</v>
      </c>
      <c r="BC7" t="str">
        <f t="shared" si="27"/>
        <v>Elinor POWELL (1911 -1997: #36da)</v>
      </c>
      <c r="BD7" t="str">
        <f t="shared" si="10"/>
        <v>John POWELL (1913 -1944: #36db)</v>
      </c>
      <c r="BE7" t="str">
        <f t="shared" si="11"/>
        <v/>
      </c>
      <c r="BF7" t="str">
        <f t="shared" si="12"/>
        <v/>
      </c>
      <c r="BG7" t="str">
        <f t="shared" si="13"/>
        <v/>
      </c>
      <c r="BH7" t="str">
        <f t="shared" si="14"/>
        <v/>
      </c>
      <c r="BI7" t="str">
        <f t="shared" si="15"/>
        <v/>
      </c>
      <c r="BJ7" t="str">
        <f t="shared" si="16"/>
        <v/>
      </c>
      <c r="BK7" t="str">
        <f t="shared" si="17"/>
        <v/>
      </c>
      <c r="BL7" t="str">
        <f t="shared" si="18"/>
        <v/>
      </c>
      <c r="BM7" t="str">
        <f t="shared" si="19"/>
        <v/>
      </c>
      <c r="BN7" t="str">
        <f t="shared" si="20"/>
        <v/>
      </c>
      <c r="BO7" t="str">
        <f t="shared" si="21"/>
        <v/>
      </c>
      <c r="BP7" t="str">
        <f t="shared" si="22"/>
        <v/>
      </c>
      <c r="BW7" s="72">
        <v>36</v>
      </c>
      <c r="CE7">
        <v>3611</v>
      </c>
      <c r="CF7">
        <v>3612</v>
      </c>
      <c r="CG7">
        <v>3641</v>
      </c>
      <c r="CH7">
        <v>3642</v>
      </c>
      <c r="HP7">
        <v>14506</v>
      </c>
    </row>
    <row r="8" spans="1:339" s="5" customFormat="1" ht="43" customHeight="1">
      <c r="A8">
        <f>'All Girls &amp; Descendants'!B6</f>
        <v>11</v>
      </c>
      <c r="B8" t="str">
        <f>'All Girls &amp; Descendants'!C6</f>
        <v>11b</v>
      </c>
      <c r="C8" t="str">
        <f>'All Girls &amp; Descendants'!D6</f>
        <v>BENYON</v>
      </c>
      <c r="D8" t="str">
        <f>'All Girls &amp; Descendants'!E6</f>
        <v>Sarah</v>
      </c>
      <c r="E8" t="str">
        <f>IF('All Girls &amp; Descendants'!F6="","",'All Girls &amp; Descendants'!F6)</f>
        <v/>
      </c>
      <c r="F8" t="str">
        <f>IF('All Girls &amp; Descendants'!G6="","",'All Girls &amp; Descendants'!G6)</f>
        <v/>
      </c>
      <c r="G8" t="str">
        <f>IF('All Girls &amp; Descendants'!H6="",D8,'All Girls &amp; Descendants'!H6)</f>
        <v>Sarah</v>
      </c>
      <c r="H8">
        <f>'All Girls &amp; Descendants'!I6</f>
        <v>1839</v>
      </c>
      <c r="I8">
        <f>'All Girls &amp; Descendants'!J6</f>
        <v>1863</v>
      </c>
      <c r="J8">
        <f>'All Girls &amp; Descendants'!K6</f>
        <v>0</v>
      </c>
      <c r="K8" s="7" t="str">
        <f>'All Girls &amp; Descendants'!M6</f>
        <v>02/09/1839</v>
      </c>
      <c r="L8" t="str">
        <f>'All Girls &amp; Descendants'!N6</f>
        <v>Unmarried</v>
      </c>
      <c r="M8" t="str">
        <f>'All Girls &amp; Descendants'!O6</f>
        <v>01/05/1863</v>
      </c>
      <c r="N8" t="str">
        <f>'All Girls &amp; Descendants'!P6</f>
        <v>01/05/1863</v>
      </c>
      <c r="O8" t="str">
        <f>'All Girls &amp; Descendants'!Q6</f>
        <v>11</v>
      </c>
      <c r="P8" t="str">
        <f t="shared" si="2"/>
        <v>11b</v>
      </c>
      <c r="Q8" s="116">
        <f t="shared" si="3"/>
        <v>1</v>
      </c>
      <c r="R8" s="31" t="str">
        <f t="shared" si="4"/>
        <v>Sarah   BENYON</v>
      </c>
      <c r="S8" s="31" t="str">
        <f t="shared" si="5"/>
        <v>Sarah BENYON (1839 -1863: #11b)</v>
      </c>
      <c r="U8" s="117">
        <f t="shared" si="6"/>
        <v>1823</v>
      </c>
      <c r="V8" t="s">
        <v>2089</v>
      </c>
      <c r="W8" s="100">
        <f t="shared" ref="W8:W72" si="31">VALUE(LEFT(V8,2))</f>
        <v>18</v>
      </c>
      <c r="X8" s="116" t="str">
        <f t="shared" si="28"/>
        <v>b</v>
      </c>
      <c r="Y8" s="116" t="str">
        <f t="shared" si="7"/>
        <v>c</v>
      </c>
      <c r="Z8" s="100"/>
      <c r="AB8" s="5" t="s">
        <v>3007</v>
      </c>
      <c r="AC8" s="5">
        <v>5</v>
      </c>
      <c r="AE8" s="105">
        <f t="shared" si="8"/>
        <v>47</v>
      </c>
      <c r="AF8" s="116">
        <f t="shared" si="23"/>
        <v>2</v>
      </c>
      <c r="AG8" s="117" t="str">
        <f t="shared" si="9"/>
        <v>47aa</v>
      </c>
      <c r="AH8" s="117" t="str">
        <f t="shared" si="9"/>
        <v>47ab</v>
      </c>
      <c r="AI8" s="117"/>
      <c r="AJ8" s="127"/>
      <c r="AK8" s="127"/>
      <c r="AL8" s="127"/>
      <c r="AM8" s="127"/>
      <c r="AN8" s="127"/>
      <c r="AO8" s="127"/>
      <c r="AP8" s="127"/>
      <c r="AQ8" s="127"/>
      <c r="AR8" s="127"/>
      <c r="AS8" s="127"/>
      <c r="AT8" s="127"/>
      <c r="AU8" s="127"/>
      <c r="AV8" s="127"/>
      <c r="AW8" s="127"/>
      <c r="AX8" s="128">
        <f t="shared" si="24"/>
        <v>47</v>
      </c>
      <c r="AY8" s="128">
        <f t="shared" si="25"/>
        <v>2</v>
      </c>
      <c r="AZ8" s="97" t="str">
        <f t="shared" si="26"/>
        <v xml:space="preserve">John HARDCASTLE (1923 -: #47aa) Priscilla HARDCASTLE (1954 -: #47ab)              </v>
      </c>
      <c r="BA8" t="str">
        <f t="shared" si="29"/>
        <v>John HARDCASTLE (1923 -: #47aa)</v>
      </c>
      <c r="BB8" s="5" t="str">
        <f t="shared" si="30"/>
        <v>Priscilla HARDCASTLE (1954 -: #47ab)</v>
      </c>
      <c r="BC8" s="5" t="str">
        <f t="shared" si="27"/>
        <v/>
      </c>
      <c r="BD8" s="5" t="str">
        <f t="shared" si="10"/>
        <v/>
      </c>
      <c r="BE8" s="5" t="str">
        <f t="shared" si="11"/>
        <v/>
      </c>
      <c r="BF8" s="5" t="str">
        <f t="shared" si="12"/>
        <v/>
      </c>
      <c r="BG8" s="5" t="str">
        <f t="shared" si="13"/>
        <v/>
      </c>
      <c r="BH8" s="5" t="str">
        <f t="shared" si="14"/>
        <v/>
      </c>
      <c r="BI8" s="5" t="str">
        <f t="shared" si="15"/>
        <v/>
      </c>
      <c r="BJ8" s="5" t="str">
        <f t="shared" si="16"/>
        <v/>
      </c>
      <c r="BK8" s="5" t="str">
        <f t="shared" si="17"/>
        <v/>
      </c>
      <c r="BL8" s="5" t="str">
        <f t="shared" si="18"/>
        <v/>
      </c>
      <c r="BM8" s="5" t="str">
        <f t="shared" si="19"/>
        <v/>
      </c>
      <c r="BN8" s="5" t="str">
        <f t="shared" si="20"/>
        <v/>
      </c>
      <c r="BO8" s="5" t="str">
        <f t="shared" si="21"/>
        <v/>
      </c>
      <c r="BP8" s="5" t="str">
        <f t="shared" si="22"/>
        <v/>
      </c>
      <c r="BW8" s="72">
        <v>47</v>
      </c>
      <c r="BX8"/>
      <c r="BY8"/>
      <c r="BZ8"/>
      <c r="CA8"/>
      <c r="CB8"/>
      <c r="CC8"/>
      <c r="CD8"/>
      <c r="CE8"/>
      <c r="CF8"/>
      <c r="CG8"/>
      <c r="CH8"/>
      <c r="CI8">
        <v>4711</v>
      </c>
      <c r="CJ8">
        <v>4712</v>
      </c>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v>9423</v>
      </c>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row>
    <row r="9" spans="1:339" ht="45" customHeight="1">
      <c r="A9">
        <f>'All Girls &amp; Descendants'!B7</f>
        <v>11</v>
      </c>
      <c r="B9" t="str">
        <f>'All Girls &amp; Descendants'!C7</f>
        <v>11c</v>
      </c>
      <c r="C9" t="str">
        <f>'All Girls &amp; Descendants'!D7</f>
        <v>BENYON</v>
      </c>
      <c r="D9" t="str">
        <f>'All Girls &amp; Descendants'!E7</f>
        <v>Henry</v>
      </c>
      <c r="E9" t="str">
        <f>IF('All Girls &amp; Descendants'!F7="","",'All Girls &amp; Descendants'!F7)</f>
        <v/>
      </c>
      <c r="F9" t="str">
        <f>IF('All Girls &amp; Descendants'!G7="","",'All Girls &amp; Descendants'!G7)</f>
        <v/>
      </c>
      <c r="G9" t="str">
        <f>IF('All Girls &amp; Descendants'!H7="",D9,'All Girls &amp; Descendants'!H7)</f>
        <v>Henry</v>
      </c>
      <c r="H9">
        <f>'All Girls &amp; Descendants'!I7</f>
        <v>1841</v>
      </c>
      <c r="I9">
        <f>'All Girls &amp; Descendants'!J7</f>
        <v>1861</v>
      </c>
      <c r="J9">
        <f>'All Girls &amp; Descendants'!K7</f>
        <v>0</v>
      </c>
      <c r="K9" s="7" t="str">
        <f>'All Girls &amp; Descendants'!M7</f>
        <v>15/01/1841</v>
      </c>
      <c r="L9" t="str">
        <f>'All Girls &amp; Descendants'!N7</f>
        <v>Unmarried</v>
      </c>
      <c r="M9" t="str">
        <f>'All Girls &amp; Descendants'!O7</f>
        <v>01/03/1861</v>
      </c>
      <c r="N9" t="str">
        <f>'All Girls &amp; Descendants'!P7</f>
        <v>01/03/1861</v>
      </c>
      <c r="O9" t="str">
        <f>'All Girls &amp; Descendants'!Q7</f>
        <v>11</v>
      </c>
      <c r="P9" t="str">
        <f t="shared" si="2"/>
        <v>11c</v>
      </c>
      <c r="Q9" s="116">
        <f t="shared" si="3"/>
        <v>1</v>
      </c>
      <c r="R9" s="31" t="str">
        <f t="shared" si="4"/>
        <v>Henry   BENYON</v>
      </c>
      <c r="S9" s="31" t="str">
        <f t="shared" si="5"/>
        <v>Henry BENYON (1841 -1861: #11c)</v>
      </c>
      <c r="U9" s="117">
        <f t="shared" si="6"/>
        <v>1824</v>
      </c>
      <c r="V9" t="s">
        <v>2093</v>
      </c>
      <c r="W9" s="116">
        <f t="shared" si="31"/>
        <v>18</v>
      </c>
      <c r="X9" s="116" t="str">
        <f t="shared" si="28"/>
        <v>b</v>
      </c>
      <c r="Y9" s="116" t="str">
        <f t="shared" si="7"/>
        <v>d</v>
      </c>
      <c r="Z9" s="116"/>
      <c r="AB9" t="s">
        <v>3008</v>
      </c>
      <c r="AC9">
        <v>6</v>
      </c>
      <c r="AE9" s="99">
        <f t="shared" si="8"/>
        <v>63</v>
      </c>
      <c r="AF9" s="116">
        <f t="shared" si="23"/>
        <v>2</v>
      </c>
      <c r="AG9" s="117" t="str">
        <f t="shared" si="9"/>
        <v>63aa</v>
      </c>
      <c r="AH9" s="117" t="str">
        <f t="shared" si="9"/>
        <v>63ab</v>
      </c>
      <c r="AI9" s="117"/>
      <c r="AJ9" s="117"/>
      <c r="AK9" s="117"/>
      <c r="AL9" s="117"/>
      <c r="AM9" s="117"/>
      <c r="AN9" s="117"/>
      <c r="AO9" s="117"/>
      <c r="AP9" s="117"/>
      <c r="AQ9" s="117"/>
      <c r="AR9" s="117"/>
      <c r="AS9" s="117"/>
      <c r="AT9" s="117"/>
      <c r="AU9" s="117"/>
      <c r="AV9" s="117"/>
      <c r="AW9" s="117"/>
      <c r="AX9" s="128">
        <f t="shared" si="24"/>
        <v>63</v>
      </c>
      <c r="AY9" s="128">
        <f t="shared" si="25"/>
        <v>2</v>
      </c>
      <c r="AZ9" s="97" t="str">
        <f t="shared" si="26"/>
        <v xml:space="preserve">Arthur MOORE (1950 -: #63aa) Gareth MOORE (1985 -: #63ab)              </v>
      </c>
      <c r="BA9" t="str">
        <f t="shared" si="29"/>
        <v>Arthur MOORE (1950 -: #63aa)</v>
      </c>
      <c r="BB9" t="str">
        <f t="shared" si="30"/>
        <v>Gareth MOORE (1985 -: #63ab)</v>
      </c>
      <c r="BC9" t="str">
        <f t="shared" si="27"/>
        <v/>
      </c>
      <c r="BD9" t="str">
        <f t="shared" si="10"/>
        <v/>
      </c>
      <c r="BE9" t="str">
        <f t="shared" si="11"/>
        <v/>
      </c>
      <c r="BF9" t="str">
        <f t="shared" si="12"/>
        <v/>
      </c>
      <c r="BG9" t="str">
        <f t="shared" si="13"/>
        <v/>
      </c>
      <c r="BH9" t="str">
        <f t="shared" si="14"/>
        <v/>
      </c>
      <c r="BI9" t="str">
        <f t="shared" si="15"/>
        <v/>
      </c>
      <c r="BJ9" t="str">
        <f t="shared" si="16"/>
        <v/>
      </c>
      <c r="BK9" t="str">
        <f t="shared" si="17"/>
        <v/>
      </c>
      <c r="BL9" t="str">
        <f t="shared" si="18"/>
        <v/>
      </c>
      <c r="BM9" t="str">
        <f t="shared" si="19"/>
        <v/>
      </c>
      <c r="BN9" t="str">
        <f t="shared" si="20"/>
        <v/>
      </c>
      <c r="BO9" t="str">
        <f t="shared" si="21"/>
        <v/>
      </c>
      <c r="BP9" t="str">
        <f t="shared" si="22"/>
        <v/>
      </c>
      <c r="BW9" s="72">
        <v>63</v>
      </c>
      <c r="CK9">
        <v>6311</v>
      </c>
      <c r="CL9">
        <v>6312</v>
      </c>
      <c r="HP9">
        <v>12623</v>
      </c>
    </row>
    <row r="10" spans="1:339" ht="74" customHeight="1">
      <c r="A10">
        <f>'All Girls &amp; Descendants'!B8</f>
        <v>11</v>
      </c>
      <c r="B10" t="str">
        <f>'All Girls &amp; Descendants'!C8</f>
        <v>11d</v>
      </c>
      <c r="C10" t="str">
        <f>'All Girls &amp; Descendants'!D8</f>
        <v>BENYON</v>
      </c>
      <c r="D10" t="str">
        <f>'All Girls &amp; Descendants'!E8</f>
        <v>Fanny</v>
      </c>
      <c r="E10" t="str">
        <f>IF('All Girls &amp; Descendants'!F8="","",'All Girls &amp; Descendants'!F8)</f>
        <v/>
      </c>
      <c r="F10" t="str">
        <f>IF('All Girls &amp; Descendants'!G8="","",'All Girls &amp; Descendants'!G8)</f>
        <v/>
      </c>
      <c r="G10" t="str">
        <f>IF('All Girls &amp; Descendants'!H8="",D10,'All Girls &amp; Descendants'!H8)</f>
        <v>Fanny</v>
      </c>
      <c r="H10">
        <f>'All Girls &amp; Descendants'!I8</f>
        <v>1842</v>
      </c>
      <c r="I10">
        <f>'All Girls &amp; Descendants'!J8</f>
        <v>1845</v>
      </c>
      <c r="J10">
        <f>'All Girls &amp; Descendants'!K8</f>
        <v>0</v>
      </c>
      <c r="K10" s="7" t="str">
        <f>'All Girls &amp; Descendants'!M8</f>
        <v>02/02/1842</v>
      </c>
      <c r="L10" t="str">
        <f>'All Girls &amp; Descendants'!N8</f>
        <v>Unmarried</v>
      </c>
      <c r="M10" t="str">
        <f>'All Girls &amp; Descendants'!O8</f>
        <v>30/01/1845</v>
      </c>
      <c r="N10" t="str">
        <f>'All Girls &amp; Descendants'!P8</f>
        <v>30/01/1845</v>
      </c>
      <c r="O10" t="str">
        <f>'All Girls &amp; Descendants'!Q8</f>
        <v>11</v>
      </c>
      <c r="P10" t="str">
        <f t="shared" si="2"/>
        <v>11d</v>
      </c>
      <c r="Q10" s="116">
        <f t="shared" si="3"/>
        <v>1</v>
      </c>
      <c r="R10" s="31" t="str">
        <f t="shared" si="4"/>
        <v>Fanny   BENYON</v>
      </c>
      <c r="S10" s="31" t="str">
        <f t="shared" si="5"/>
        <v>Fanny BENYON (1842 -1845: #11d)</v>
      </c>
      <c r="U10" s="117">
        <f t="shared" si="6"/>
        <v>1851</v>
      </c>
      <c r="V10" t="s">
        <v>2103</v>
      </c>
      <c r="W10" s="116">
        <f t="shared" si="31"/>
        <v>18</v>
      </c>
      <c r="X10" s="116" t="str">
        <f t="shared" si="28"/>
        <v>e</v>
      </c>
      <c r="Y10" s="116" t="str">
        <f t="shared" si="7"/>
        <v>a</v>
      </c>
      <c r="Z10" s="116"/>
      <c r="AB10" t="s">
        <v>3009</v>
      </c>
      <c r="AC10">
        <v>7</v>
      </c>
      <c r="AE10" s="99">
        <f t="shared" si="8"/>
        <v>65</v>
      </c>
      <c r="AF10" s="116">
        <f t="shared" si="23"/>
        <v>2</v>
      </c>
      <c r="AG10" s="117" t="str">
        <f t="shared" si="9"/>
        <v>65ca</v>
      </c>
      <c r="AH10" s="117" t="str">
        <f t="shared" si="9"/>
        <v>65cb</v>
      </c>
      <c r="AI10" s="117"/>
      <c r="AJ10" s="117"/>
      <c r="AK10" s="117"/>
      <c r="AL10" s="117"/>
      <c r="AM10" s="117"/>
      <c r="AN10" s="117"/>
      <c r="AO10" s="117"/>
      <c r="AP10" s="117"/>
      <c r="AQ10" s="117"/>
      <c r="AR10" s="117"/>
      <c r="AS10" s="117"/>
      <c r="AT10" s="117"/>
      <c r="AU10" s="117"/>
      <c r="AV10" s="117"/>
      <c r="AW10" s="117"/>
      <c r="AX10" s="128">
        <f t="shared" si="24"/>
        <v>65</v>
      </c>
      <c r="AY10" s="128">
        <f t="shared" si="25"/>
        <v>2</v>
      </c>
      <c r="AZ10" s="97" t="str">
        <f t="shared" si="26"/>
        <v xml:space="preserve">Vanessa WHEELER (1971 -: #65ca) Karen WHEELER (1973 -: #65cb)              </v>
      </c>
      <c r="BA10" t="str">
        <f t="shared" si="29"/>
        <v>Vanessa WHEELER (1971 -: #65ca)</v>
      </c>
      <c r="BB10" t="str">
        <f t="shared" si="30"/>
        <v>Karen WHEELER (1973 -: #65cb)</v>
      </c>
      <c r="BC10" t="str">
        <f t="shared" si="27"/>
        <v/>
      </c>
      <c r="BD10" t="str">
        <f t="shared" si="10"/>
        <v/>
      </c>
      <c r="BE10" t="str">
        <f t="shared" si="11"/>
        <v/>
      </c>
      <c r="BF10" t="str">
        <f t="shared" si="12"/>
        <v/>
      </c>
      <c r="BG10" t="str">
        <f t="shared" si="13"/>
        <v/>
      </c>
      <c r="BH10" t="str">
        <f t="shared" si="14"/>
        <v/>
      </c>
      <c r="BI10" t="str">
        <f t="shared" si="15"/>
        <v/>
      </c>
      <c r="BJ10" t="str">
        <f t="shared" si="16"/>
        <v/>
      </c>
      <c r="BK10" t="str">
        <f t="shared" si="17"/>
        <v/>
      </c>
      <c r="BL10" t="str">
        <f t="shared" si="18"/>
        <v/>
      </c>
      <c r="BM10" t="str">
        <f t="shared" si="19"/>
        <v/>
      </c>
      <c r="BN10" t="str">
        <f t="shared" si="20"/>
        <v/>
      </c>
      <c r="BO10" t="str">
        <f t="shared" si="21"/>
        <v/>
      </c>
      <c r="BP10" t="str">
        <f t="shared" si="22"/>
        <v/>
      </c>
      <c r="BW10" s="72">
        <v>65</v>
      </c>
      <c r="CM10">
        <v>6531</v>
      </c>
      <c r="CN10">
        <v>6532</v>
      </c>
      <c r="HP10">
        <v>13063</v>
      </c>
    </row>
    <row r="11" spans="1:339" ht="101" customHeight="1">
      <c r="A11">
        <f>'All Girls &amp; Descendants'!B9</f>
        <v>11</v>
      </c>
      <c r="B11" t="str">
        <f>'All Girls &amp; Descendants'!C9</f>
        <v>11e</v>
      </c>
      <c r="C11" t="str">
        <f>'All Girls &amp; Descendants'!D9</f>
        <v>BENYON</v>
      </c>
      <c r="D11" t="str">
        <f>'All Girls &amp; Descendants'!E9</f>
        <v>Edward</v>
      </c>
      <c r="E11" t="str">
        <f>IF('All Girls &amp; Descendants'!F9="","",'All Girls &amp; Descendants'!F9)</f>
        <v>Loyd</v>
      </c>
      <c r="F11" t="str">
        <f>IF('All Girls &amp; Descendants'!G9="","",'All Girls &amp; Descendants'!G9)</f>
        <v/>
      </c>
      <c r="G11" t="str">
        <f>IF('All Girls &amp; Descendants'!H9="",D11,'All Girls &amp; Descendants'!H9)</f>
        <v>Edward</v>
      </c>
      <c r="H11">
        <f>'All Girls &amp; Descendants'!I9</f>
        <v>1845</v>
      </c>
      <c r="I11">
        <f>'All Girls &amp; Descendants'!J9</f>
        <v>1903</v>
      </c>
      <c r="J11">
        <f>'All Girls &amp; Descendants'!K9</f>
        <v>0</v>
      </c>
      <c r="K11" s="7" t="str">
        <f>'All Girls &amp; Descendants'!M9</f>
        <v>25/11/1845</v>
      </c>
      <c r="L11" t="str">
        <f>'All Girls &amp; Descendants'!N9</f>
        <v>03/12/1879</v>
      </c>
      <c r="M11">
        <f>'All Girls &amp; Descendants'!O9</f>
        <v>1103</v>
      </c>
      <c r="N11" t="str">
        <f>'All Girls &amp; Descendants'!P9</f>
        <v>07/01/1903</v>
      </c>
      <c r="O11" t="str">
        <f>'All Girls &amp; Descendants'!Q9</f>
        <v>11</v>
      </c>
      <c r="P11" t="str">
        <f t="shared" si="2"/>
        <v>11e</v>
      </c>
      <c r="Q11" s="116">
        <f t="shared" si="3"/>
        <v>1</v>
      </c>
      <c r="R11" s="31" t="str">
        <f t="shared" si="4"/>
        <v>Edward Loyd  BENYON</v>
      </c>
      <c r="S11" s="31" t="str">
        <f t="shared" si="5"/>
        <v>Edward BENYON (1845 -1903: #11e)</v>
      </c>
      <c r="U11" s="117">
        <f t="shared" si="6"/>
        <v>3611</v>
      </c>
      <c r="V11" t="s">
        <v>2138</v>
      </c>
      <c r="W11" s="116">
        <f t="shared" si="31"/>
        <v>36</v>
      </c>
      <c r="X11" s="116" t="str">
        <f t="shared" si="28"/>
        <v>a</v>
      </c>
      <c r="Y11" s="116" t="str">
        <f t="shared" si="7"/>
        <v>a</v>
      </c>
      <c r="Z11" s="116"/>
      <c r="AB11" t="s">
        <v>3010</v>
      </c>
      <c r="AC11">
        <v>8</v>
      </c>
      <c r="AE11" s="99">
        <f t="shared" si="8"/>
        <v>70</v>
      </c>
      <c r="AF11" s="116">
        <f t="shared" si="23"/>
        <v>12</v>
      </c>
      <c r="AG11" s="117" t="str">
        <f t="shared" si="9"/>
        <v>70aa</v>
      </c>
      <c r="AH11" s="117" t="str">
        <f t="shared" si="9"/>
        <v>70ab</v>
      </c>
      <c r="AI11" s="117" t="str">
        <f t="shared" ref="AI11:AR12" si="32">VLOOKUP(IF(ISNUMBER(SMALL($BX11:$HO11,AI$3)),SMALL($BX11:$HO11,AI$3),""),$U$4:$V$160,2,FALSE)</f>
        <v>70ac</v>
      </c>
      <c r="AJ11" s="117" t="str">
        <f t="shared" si="32"/>
        <v>70ba</v>
      </c>
      <c r="AK11" s="117" t="str">
        <f t="shared" si="32"/>
        <v>70bb</v>
      </c>
      <c r="AL11" s="117" t="str">
        <f t="shared" si="32"/>
        <v>70ca</v>
      </c>
      <c r="AM11" s="117" t="str">
        <f t="shared" si="32"/>
        <v>70cb</v>
      </c>
      <c r="AN11" s="117" t="str">
        <f t="shared" si="32"/>
        <v>70cc</v>
      </c>
      <c r="AO11" s="117" t="str">
        <f t="shared" si="32"/>
        <v>70cd</v>
      </c>
      <c r="AP11" s="117" t="str">
        <f t="shared" si="32"/>
        <v>70da</v>
      </c>
      <c r="AQ11" s="117" t="str">
        <f t="shared" si="32"/>
        <v>70db</v>
      </c>
      <c r="AR11" s="117" t="str">
        <f t="shared" si="32"/>
        <v>70dc</v>
      </c>
      <c r="AS11" s="117"/>
      <c r="AT11" s="117"/>
      <c r="AU11" s="117"/>
      <c r="AV11" s="117"/>
      <c r="AW11" s="117"/>
      <c r="AX11" s="128">
        <f t="shared" si="24"/>
        <v>70</v>
      </c>
      <c r="AY11" s="128">
        <f t="shared" si="25"/>
        <v>12</v>
      </c>
      <c r="AZ11" s="97" t="str">
        <f t="shared" si="26"/>
        <v xml:space="preserve">William SHEARER (1951 -: #70aa) Rosemary SHEARER (1952 -: #70ab) Andrew SHEARER (1960 -: #70ac) Peter MELITUS (1955 -: #70ba) Caroline MELITUS (1959 -: #70bb) Hugo PAGE (1951 -: #70ca) Nat PAGE (1953 -: #70cb) Henry PAGE (1953 -: #70cc) Rupert PAGE (1963 -: #70cd) Philippa MICKLEM (1958 -: #70da) Jeremy MICKLEM (1961 -: #70db) Sylvie MICKLEM (1964 -: #70dc)    </v>
      </c>
      <c r="BA11" t="str">
        <f t="shared" si="29"/>
        <v>William SHEARER (1951 -: #70aa)</v>
      </c>
      <c r="BB11" s="99" t="str">
        <f t="shared" si="30"/>
        <v>Rosemary SHEARER (1952 -: #70ab)</v>
      </c>
      <c r="BC11" s="99" t="str">
        <f t="shared" si="27"/>
        <v>Andrew SHEARER (1960 -: #70ac)</v>
      </c>
      <c r="BD11" s="99" t="str">
        <f t="shared" si="10"/>
        <v>Peter MELITUS (1955 -: #70ba)</v>
      </c>
      <c r="BE11" s="99" t="str">
        <f t="shared" si="11"/>
        <v>Caroline MELITUS (1959 -: #70bb)</v>
      </c>
      <c r="BF11" s="99" t="str">
        <f t="shared" si="12"/>
        <v>Hugo PAGE (1951 -: #70ca)</v>
      </c>
      <c r="BG11" s="99" t="str">
        <f t="shared" si="13"/>
        <v>Nat PAGE (1953 -: #70cb)</v>
      </c>
      <c r="BH11" s="99" t="str">
        <f t="shared" si="14"/>
        <v>Henry PAGE (1953 -: #70cc)</v>
      </c>
      <c r="BI11" s="99" t="str">
        <f t="shared" si="15"/>
        <v>Rupert PAGE (1963 -: #70cd)</v>
      </c>
      <c r="BJ11" s="99" t="str">
        <f t="shared" si="16"/>
        <v>Philippa MICKLEM (1958 -: #70da)</v>
      </c>
      <c r="BK11" s="99" t="str">
        <f t="shared" si="17"/>
        <v>Jeremy MICKLEM (1961 -: #70db)</v>
      </c>
      <c r="BL11" s="99" t="str">
        <f t="shared" si="18"/>
        <v>Sylvie MICKLEM (1964 -: #70dc)</v>
      </c>
      <c r="BM11" s="99" t="str">
        <f t="shared" si="19"/>
        <v/>
      </c>
      <c r="BN11" s="99" t="str">
        <f t="shared" si="20"/>
        <v/>
      </c>
      <c r="BO11" s="99" t="str">
        <f t="shared" si="21"/>
        <v/>
      </c>
      <c r="BP11" s="99" t="str">
        <f t="shared" si="22"/>
        <v/>
      </c>
      <c r="BQ11" s="99"/>
      <c r="BR11" s="99"/>
      <c r="BS11" s="99"/>
      <c r="BT11" s="99"/>
      <c r="BU11" s="99"/>
      <c r="BV11" s="99"/>
      <c r="BW11" s="72">
        <v>70</v>
      </c>
      <c r="CO11">
        <v>7011</v>
      </c>
      <c r="CP11">
        <v>7012</v>
      </c>
      <c r="CQ11">
        <v>7013</v>
      </c>
      <c r="CR11">
        <v>7021</v>
      </c>
      <c r="CS11">
        <v>7022</v>
      </c>
      <c r="CT11">
        <v>7031</v>
      </c>
      <c r="CU11">
        <v>7032</v>
      </c>
      <c r="CV11">
        <v>7033</v>
      </c>
      <c r="CW11">
        <v>7034</v>
      </c>
      <c r="CX11">
        <v>7041</v>
      </c>
      <c r="CY11">
        <v>7042</v>
      </c>
      <c r="CZ11">
        <v>7043</v>
      </c>
      <c r="HP11">
        <v>84335</v>
      </c>
    </row>
    <row r="12" spans="1:339" ht="104" customHeight="1">
      <c r="A12">
        <f>'All Girls &amp; Descendants'!B10</f>
        <v>18</v>
      </c>
      <c r="B12" t="str">
        <f>'All Girls &amp; Descendants'!C10</f>
        <v>18a</v>
      </c>
      <c r="C12" t="str">
        <f>'All Girls &amp; Descendants'!D10</f>
        <v>NICOL</v>
      </c>
      <c r="D12" t="str">
        <f>'All Girls &amp; Descendants'!E10</f>
        <v>Margaret</v>
      </c>
      <c r="E12" t="str">
        <f>IF('All Girls &amp; Descendants'!F10="","",'All Girls &amp; Descendants'!F10)</f>
        <v>Dyce</v>
      </c>
      <c r="F12" t="str">
        <f>IF('All Girls &amp; Descendants'!G10="","",'All Girls &amp; Descendants'!G10)</f>
        <v/>
      </c>
      <c r="G12" t="str">
        <f>IF('All Girls &amp; Descendants'!H10="",D12,'All Girls &amp; Descendants'!H10)</f>
        <v>Margaret</v>
      </c>
      <c r="H12">
        <f>'All Girls &amp; Descendants'!I10</f>
        <v>1844</v>
      </c>
      <c r="I12">
        <f>'All Girls &amp; Descendants'!J10</f>
        <v>1927</v>
      </c>
      <c r="J12">
        <f>'All Girls &amp; Descendants'!K10</f>
        <v>0</v>
      </c>
      <c r="K12" s="7" t="str">
        <f>'All Girls &amp; Descendants'!M10</f>
        <v>15/12/1844</v>
      </c>
      <c r="L12" t="str">
        <f>'All Girls &amp; Descendants'!N10</f>
        <v>Unmarried</v>
      </c>
      <c r="M12">
        <f>'All Girls &amp; Descendants'!O10</f>
        <v>10173</v>
      </c>
      <c r="N12" t="str">
        <f>'All Girls &amp; Descendants'!P10</f>
        <v>07/11/1927</v>
      </c>
      <c r="O12" t="str">
        <f>'All Girls &amp; Descendants'!Q10</f>
        <v>18</v>
      </c>
      <c r="P12" t="str">
        <f t="shared" si="2"/>
        <v>18a</v>
      </c>
      <c r="Q12" s="116">
        <f t="shared" si="3"/>
        <v>1</v>
      </c>
      <c r="R12" s="31" t="str">
        <f t="shared" si="4"/>
        <v>Margaret Dyce  NICOL</v>
      </c>
      <c r="S12" s="31" t="str">
        <f t="shared" si="5"/>
        <v>Margaret NICOL (1844 -1927: #18a)</v>
      </c>
      <c r="U12" s="117">
        <f t="shared" si="6"/>
        <v>3612</v>
      </c>
      <c r="V12" t="s">
        <v>2139</v>
      </c>
      <c r="W12" s="116">
        <f t="shared" si="31"/>
        <v>36</v>
      </c>
      <c r="X12" s="116" t="str">
        <f t="shared" si="28"/>
        <v>a</v>
      </c>
      <c r="Y12" s="116" t="str">
        <f t="shared" si="7"/>
        <v>b</v>
      </c>
      <c r="Z12" s="116"/>
      <c r="AB12" t="s">
        <v>3011</v>
      </c>
      <c r="AC12">
        <v>9</v>
      </c>
      <c r="AE12" s="99">
        <f t="shared" si="8"/>
        <v>85</v>
      </c>
      <c r="AF12" s="116">
        <f t="shared" si="23"/>
        <v>11</v>
      </c>
      <c r="AG12" s="117" t="str">
        <f t="shared" si="9"/>
        <v>85aa</v>
      </c>
      <c r="AH12" s="117" t="str">
        <f t="shared" si="9"/>
        <v>85ab</v>
      </c>
      <c r="AI12" s="117" t="str">
        <f t="shared" si="32"/>
        <v>85ac</v>
      </c>
      <c r="AJ12" s="117" t="str">
        <f t="shared" si="32"/>
        <v>85ba</v>
      </c>
      <c r="AK12" s="117" t="str">
        <f t="shared" si="32"/>
        <v>85bb</v>
      </c>
      <c r="AL12" s="117" t="str">
        <f t="shared" si="32"/>
        <v>85bc</v>
      </c>
      <c r="AM12" s="117" t="str">
        <f t="shared" si="32"/>
        <v>85bd</v>
      </c>
      <c r="AN12" s="117" t="str">
        <f t="shared" si="32"/>
        <v>85ca</v>
      </c>
      <c r="AO12" s="117" t="str">
        <f t="shared" si="32"/>
        <v>85cb</v>
      </c>
      <c r="AP12" s="117" t="str">
        <f t="shared" si="32"/>
        <v>85da</v>
      </c>
      <c r="AQ12" s="117" t="str">
        <f t="shared" si="32"/>
        <v>85db</v>
      </c>
      <c r="AR12" s="117"/>
      <c r="AS12" s="117"/>
      <c r="AT12" s="117"/>
      <c r="AU12" s="117"/>
      <c r="AV12" s="117"/>
      <c r="AW12" s="117"/>
      <c r="AX12" s="128">
        <f t="shared" si="24"/>
        <v>85</v>
      </c>
      <c r="AY12" s="128">
        <f t="shared" si="25"/>
        <v>11</v>
      </c>
      <c r="AZ12" s="97" t="str">
        <f t="shared" si="26"/>
        <v xml:space="preserve">Charlotte LANE FOX (1967 -: #85aa) Oliver LANE FOX (1968 -: #85ab) Sophie LANE FOX (1972 -: #85ac) Lucy LANE FOX (1965 -: #85ba) Serena LANE FOX (1967 -: #85bb) Emily LANE FOX (1969 -: #85bc) Charles LANE FOX (1977 -: #85bd) James TENNYSON d'EYNCOURT (1978 -: #85ca) Frances TENNYSON d'EYNCOURT (1980 -: #85cb) Martha LANE FOX (1973 -: #85da) Henry LANE FOX (1974 -: #85db)     </v>
      </c>
      <c r="BA12" t="str">
        <f t="shared" si="29"/>
        <v>Charlotte LANE FOX (1967 -: #85aa)</v>
      </c>
      <c r="BB12" s="99" t="str">
        <f t="shared" si="30"/>
        <v>Oliver LANE FOX (1968 -: #85ab)</v>
      </c>
      <c r="BC12" s="99" t="str">
        <f t="shared" si="27"/>
        <v>Sophie LANE FOX (1972 -: #85ac)</v>
      </c>
      <c r="BD12" s="99" t="str">
        <f t="shared" si="10"/>
        <v>Lucy LANE FOX (1965 -: #85ba)</v>
      </c>
      <c r="BE12" s="99" t="str">
        <f t="shared" si="11"/>
        <v>Serena LANE FOX (1967 -: #85bb)</v>
      </c>
      <c r="BF12" s="99" t="str">
        <f t="shared" si="12"/>
        <v>Emily LANE FOX (1969 -: #85bc)</v>
      </c>
      <c r="BG12" s="99" t="str">
        <f t="shared" si="13"/>
        <v>Charles LANE FOX (1977 -: #85bd)</v>
      </c>
      <c r="BH12" s="99" t="str">
        <f t="shared" si="14"/>
        <v>James TENNYSON d'EYNCOURT (1978 -: #85ca)</v>
      </c>
      <c r="BI12" s="99" t="str">
        <f t="shared" si="15"/>
        <v>Frances TENNYSON d'EYNCOURT (1980 -: #85cb)</v>
      </c>
      <c r="BJ12" s="99" t="str">
        <f t="shared" si="16"/>
        <v>Martha LANE FOX (1973 -: #85da)</v>
      </c>
      <c r="BK12" s="99" t="str">
        <f t="shared" si="17"/>
        <v>Henry LANE FOX (1974 -: #85db)</v>
      </c>
      <c r="BL12" s="99" t="str">
        <f t="shared" si="18"/>
        <v/>
      </c>
      <c r="BM12" s="99" t="str">
        <f t="shared" si="19"/>
        <v/>
      </c>
      <c r="BN12" s="99" t="str">
        <f t="shared" si="20"/>
        <v/>
      </c>
      <c r="BO12" s="99" t="str">
        <f t="shared" si="21"/>
        <v/>
      </c>
      <c r="BP12" s="99" t="str">
        <f t="shared" si="22"/>
        <v/>
      </c>
      <c r="BQ12" s="99"/>
      <c r="BR12" s="99"/>
      <c r="BS12" s="99"/>
      <c r="BT12" s="99"/>
      <c r="BU12" s="99"/>
      <c r="BV12" s="99"/>
      <c r="BW12" s="72">
        <v>85</v>
      </c>
      <c r="DA12">
        <v>8511</v>
      </c>
      <c r="DB12">
        <v>8512</v>
      </c>
      <c r="DC12">
        <v>8513</v>
      </c>
      <c r="DD12">
        <v>8521</v>
      </c>
      <c r="DE12">
        <v>8522</v>
      </c>
      <c r="DF12">
        <v>8523</v>
      </c>
      <c r="DG12">
        <v>8524</v>
      </c>
      <c r="DH12">
        <v>8531</v>
      </c>
      <c r="DI12">
        <v>8532</v>
      </c>
      <c r="DJ12">
        <v>8541</v>
      </c>
      <c r="DK12">
        <v>8542</v>
      </c>
      <c r="HP12">
        <v>93772</v>
      </c>
    </row>
    <row r="13" spans="1:339" ht="51">
      <c r="A13">
        <f>'All Girls &amp; Descendants'!B11</f>
        <v>18</v>
      </c>
      <c r="B13" t="str">
        <f>'All Girls &amp; Descendants'!C11</f>
        <v>18b</v>
      </c>
      <c r="C13" t="str">
        <f>'All Girls &amp; Descendants'!D11</f>
        <v>NICOL</v>
      </c>
      <c r="D13" t="str">
        <f>'All Girls &amp; Descendants'!E11</f>
        <v>William</v>
      </c>
      <c r="E13" t="str">
        <f>IF('All Girls &amp; Descendants'!F11="","",'All Girls &amp; Descendants'!F11)</f>
        <v>Edward</v>
      </c>
      <c r="F13" t="str">
        <f>IF('All Girls &amp; Descendants'!G11="","",'All Girls &amp; Descendants'!G11)</f>
        <v/>
      </c>
      <c r="G13" t="str">
        <f>IF('All Girls &amp; Descendants'!H11="",D13,'All Girls &amp; Descendants'!H11)</f>
        <v>William</v>
      </c>
      <c r="H13">
        <f>'All Girls &amp; Descendants'!I11</f>
        <v>1846</v>
      </c>
      <c r="I13">
        <f>'All Girls &amp; Descendants'!J11</f>
        <v>1914</v>
      </c>
      <c r="J13">
        <f>'All Girls &amp; Descendants'!K11</f>
        <v>0</v>
      </c>
      <c r="K13" s="7" t="str">
        <f>'All Girls &amp; Descendants'!M11</f>
        <v>02/11/1846</v>
      </c>
      <c r="L13" t="str">
        <f>'All Girls &amp; Descendants'!N11</f>
        <v>20/11/1873</v>
      </c>
      <c r="M13">
        <f>'All Girls &amp; Descendants'!O11</f>
        <v>5345</v>
      </c>
      <c r="N13" t="str">
        <f>'All Girls &amp; Descendants'!P11</f>
        <v>19/08/1914</v>
      </c>
      <c r="O13" t="str">
        <f>'All Girls &amp; Descendants'!Q11</f>
        <v>18</v>
      </c>
      <c r="P13" t="str">
        <f t="shared" si="2"/>
        <v>18b</v>
      </c>
      <c r="Q13" s="116">
        <f t="shared" si="3"/>
        <v>1</v>
      </c>
      <c r="R13" s="31" t="str">
        <f t="shared" si="4"/>
        <v>William Edward  NICOL</v>
      </c>
      <c r="S13" s="31" t="str">
        <f t="shared" si="5"/>
        <v>William NICOL (1846 -1914: #18b)</v>
      </c>
      <c r="U13" s="117">
        <f t="shared" si="6"/>
        <v>3641</v>
      </c>
      <c r="V13" t="s">
        <v>2152</v>
      </c>
      <c r="W13" s="116">
        <f t="shared" si="31"/>
        <v>36</v>
      </c>
      <c r="X13" s="116" t="str">
        <f t="shared" si="28"/>
        <v>d</v>
      </c>
      <c r="Y13" s="116" t="str">
        <f t="shared" si="7"/>
        <v>a</v>
      </c>
      <c r="Z13" s="116"/>
      <c r="AB13" t="s">
        <v>3012</v>
      </c>
      <c r="AC13">
        <v>10</v>
      </c>
      <c r="AE13" s="99">
        <f t="shared" si="8"/>
        <v>88</v>
      </c>
      <c r="AF13" s="116">
        <f t="shared" si="23"/>
        <v>6</v>
      </c>
      <c r="AG13" s="117" t="str">
        <f t="shared" si="9"/>
        <v>88aa</v>
      </c>
      <c r="AH13" s="117" t="str">
        <f t="shared" si="9"/>
        <v>88ab</v>
      </c>
      <c r="AI13" s="117" t="str">
        <f t="shared" ref="AI13:AL15" si="33">VLOOKUP(IF(ISNUMBER(SMALL($BX13:$HO13,AI$3)),SMALL($BX13:$HO13,AI$3),""),$U$4:$V$160,2,FALSE)</f>
        <v>88ac</v>
      </c>
      <c r="AJ13" s="117" t="str">
        <f t="shared" si="33"/>
        <v>88ad</v>
      </c>
      <c r="AK13" s="117" t="str">
        <f t="shared" si="33"/>
        <v>88ba</v>
      </c>
      <c r="AL13" s="117" t="str">
        <f t="shared" si="33"/>
        <v>88ca</v>
      </c>
      <c r="AM13" s="117"/>
      <c r="AN13" s="117"/>
      <c r="AO13" s="117"/>
      <c r="AP13" s="117"/>
      <c r="AQ13" s="117"/>
      <c r="AR13" s="117"/>
      <c r="AS13" s="117"/>
      <c r="AT13" s="117"/>
      <c r="AU13" s="117"/>
      <c r="AV13" s="117"/>
      <c r="AW13" s="117"/>
      <c r="AX13" s="128">
        <f t="shared" si="24"/>
        <v>88</v>
      </c>
      <c r="AY13" s="128">
        <f t="shared" si="25"/>
        <v>6</v>
      </c>
      <c r="AZ13" s="97" t="str">
        <f t="shared" si="26"/>
        <v xml:space="preserve">Richard HOLMAN (1958 -: #88aa) Edward HOLMAN (1960 -: #88ab) Georgina HOLMAN (1964 -: #88ac) Emma HOLMAN (1966 -: #88ad) James KEITH (1976 -: #88ba) The Honourable Iona KEITH (1978 -: #88ca)          </v>
      </c>
      <c r="BA13" t="str">
        <f t="shared" si="29"/>
        <v>Richard HOLMAN (1958 -: #88aa)</v>
      </c>
      <c r="BB13" s="99" t="str">
        <f t="shared" si="30"/>
        <v>Edward HOLMAN (1960 -: #88ab)</v>
      </c>
      <c r="BC13" s="99" t="str">
        <f t="shared" si="27"/>
        <v>Georgina HOLMAN (1964 -: #88ac)</v>
      </c>
      <c r="BD13" s="99" t="str">
        <f t="shared" si="10"/>
        <v>Emma HOLMAN (1966 -: #88ad)</v>
      </c>
      <c r="BE13" s="99" t="str">
        <f t="shared" si="11"/>
        <v>James KEITH (1976 -: #88ba)</v>
      </c>
      <c r="BF13" s="99" t="str">
        <f t="shared" si="12"/>
        <v>The Honourable Iona KEITH (1978 -: #88ca)</v>
      </c>
      <c r="BG13" s="99" t="str">
        <f t="shared" si="13"/>
        <v/>
      </c>
      <c r="BH13" s="99" t="str">
        <f t="shared" si="14"/>
        <v/>
      </c>
      <c r="BI13" s="99" t="str">
        <f t="shared" si="15"/>
        <v/>
      </c>
      <c r="BJ13" s="99" t="str">
        <f t="shared" si="16"/>
        <v/>
      </c>
      <c r="BK13" s="99" t="str">
        <f t="shared" si="17"/>
        <v/>
      </c>
      <c r="BL13" s="99" t="str">
        <f t="shared" si="18"/>
        <v/>
      </c>
      <c r="BM13" s="99" t="str">
        <f t="shared" si="19"/>
        <v/>
      </c>
      <c r="BN13" s="99" t="str">
        <f t="shared" si="20"/>
        <v/>
      </c>
      <c r="BO13" s="99" t="str">
        <f t="shared" si="21"/>
        <v/>
      </c>
      <c r="BP13" s="99" t="str">
        <f t="shared" si="22"/>
        <v/>
      </c>
      <c r="BQ13" s="99"/>
      <c r="BR13" s="99"/>
      <c r="BS13" s="99"/>
      <c r="BT13" s="99"/>
      <c r="BU13" s="99"/>
      <c r="BV13" s="99"/>
      <c r="BW13" s="72">
        <v>88</v>
      </c>
      <c r="DL13">
        <v>8811</v>
      </c>
      <c r="DM13">
        <v>8812</v>
      </c>
      <c r="DN13">
        <v>8813</v>
      </c>
      <c r="DO13">
        <v>8814</v>
      </c>
      <c r="DP13">
        <v>8821</v>
      </c>
      <c r="DQ13">
        <v>8831</v>
      </c>
      <c r="HP13">
        <v>52902</v>
      </c>
    </row>
    <row r="14" spans="1:339" ht="51">
      <c r="A14">
        <f>'All Girls &amp; Descendants'!B12</f>
        <v>18</v>
      </c>
      <c r="B14" t="str">
        <f>'All Girls &amp; Descendants'!C12</f>
        <v>18c</v>
      </c>
      <c r="C14" t="str">
        <f>'All Girls &amp; Descendants'!D12</f>
        <v>NICOL</v>
      </c>
      <c r="D14" t="str">
        <f>'All Girls &amp; Descendants'!E12</f>
        <v>James</v>
      </c>
      <c r="E14" t="str">
        <f>IF('All Girls &amp; Descendants'!F12="","",'All Girls &amp; Descendants'!F12)</f>
        <v>Dyce</v>
      </c>
      <c r="F14" t="str">
        <f>IF('All Girls &amp; Descendants'!G12="","",'All Girls &amp; Descendants'!G12)</f>
        <v/>
      </c>
      <c r="G14" t="str">
        <f>IF('All Girls &amp; Descendants'!H12="",D14,'All Girls &amp; Descendants'!H12)</f>
        <v>James</v>
      </c>
      <c r="H14">
        <f>'All Girls &amp; Descendants'!I12</f>
        <v>1848</v>
      </c>
      <c r="I14">
        <f>'All Girls &amp; Descendants'!J12</f>
        <v>1938</v>
      </c>
      <c r="J14">
        <f>'All Girls &amp; Descendants'!K12</f>
        <v>0</v>
      </c>
      <c r="K14" s="7" t="str">
        <f>'All Girls &amp; Descendants'!M12</f>
        <v>30/06/1848</v>
      </c>
      <c r="L14" t="str">
        <f>'All Girls &amp; Descendants'!N12</f>
        <v>05/10/1898</v>
      </c>
      <c r="M14">
        <f>'All Girls &amp; Descendants'!O12</f>
        <v>14158</v>
      </c>
      <c r="N14" t="str">
        <f>'All Girls &amp; Descendants'!P12</f>
        <v>05/10/1938</v>
      </c>
      <c r="O14" t="str">
        <f>'All Girls &amp; Descendants'!Q12</f>
        <v>18</v>
      </c>
      <c r="P14" t="str">
        <f t="shared" si="2"/>
        <v>18c</v>
      </c>
      <c r="Q14" s="116">
        <f t="shared" si="3"/>
        <v>1</v>
      </c>
      <c r="R14" s="31" t="str">
        <f t="shared" si="4"/>
        <v>James Dyce  NICOL</v>
      </c>
      <c r="S14" s="31" t="str">
        <f t="shared" si="5"/>
        <v>James NICOL (1848 -1938: #18c)</v>
      </c>
      <c r="U14" s="117">
        <f t="shared" si="6"/>
        <v>3642</v>
      </c>
      <c r="V14" t="s">
        <v>2154</v>
      </c>
      <c r="W14" s="116">
        <f t="shared" si="31"/>
        <v>36</v>
      </c>
      <c r="X14" s="116" t="str">
        <f t="shared" si="28"/>
        <v>d</v>
      </c>
      <c r="Y14" s="116" t="str">
        <f t="shared" si="7"/>
        <v>b</v>
      </c>
      <c r="Z14" s="116"/>
      <c r="AB14" s="116"/>
      <c r="AE14" s="99">
        <f t="shared" si="8"/>
        <v>90</v>
      </c>
      <c r="AF14" s="116">
        <f t="shared" si="23"/>
        <v>7</v>
      </c>
      <c r="AG14" s="117" t="str">
        <f t="shared" si="9"/>
        <v>90aa</v>
      </c>
      <c r="AH14" s="117" t="str">
        <f t="shared" si="9"/>
        <v>90ab</v>
      </c>
      <c r="AI14" s="117" t="str">
        <f t="shared" si="33"/>
        <v>90ba</v>
      </c>
      <c r="AJ14" s="117" t="str">
        <f t="shared" si="33"/>
        <v>90bb</v>
      </c>
      <c r="AK14" s="117" t="str">
        <f t="shared" si="33"/>
        <v>90ca</v>
      </c>
      <c r="AL14" s="117" t="str">
        <f t="shared" si="33"/>
        <v>90cb</v>
      </c>
      <c r="AM14" s="117" t="str">
        <f>VLOOKUP(IF(ISNUMBER(SMALL($BX14:$HO14,AM$3)),SMALL($BX14:$HO14,AM$3),""),$U$4:$V$160,2,FALSE)</f>
        <v>90cc</v>
      </c>
      <c r="AN14" s="117"/>
      <c r="AO14" s="117"/>
      <c r="AP14" s="117"/>
      <c r="AQ14" s="117"/>
      <c r="AR14" s="117"/>
      <c r="AS14" s="117"/>
      <c r="AT14" s="117"/>
      <c r="AU14" s="117"/>
      <c r="AV14" s="117"/>
      <c r="AW14" s="117"/>
      <c r="AX14" s="128">
        <f t="shared" si="24"/>
        <v>90</v>
      </c>
      <c r="AY14" s="128">
        <f t="shared" si="25"/>
        <v>7</v>
      </c>
      <c r="AZ14" s="97" t="str">
        <f t="shared" si="26"/>
        <v xml:space="preserve">Emily NORMAN (1975 -: #90aa) Lachlan RANKIN (1980 -: #90ab) Cesare STUDIATI BERNI (1972 -: #90ba) Viola STUDIATI BERNI (1975 -: #90bb) Georgina  CLARKE (1976 -: #90ca) Philippa CLARKE (1980 -1980: #90cb) Marina CLARKE (1982 -: #90cc)         </v>
      </c>
      <c r="BA14" t="str">
        <f t="shared" si="29"/>
        <v>Emily NORMAN (1975 -: #90aa)</v>
      </c>
      <c r="BB14" s="99" t="str">
        <f t="shared" si="30"/>
        <v>Lachlan RANKIN (1980 -: #90ab)</v>
      </c>
      <c r="BC14" s="99" t="str">
        <f t="shared" si="27"/>
        <v>Cesare STUDIATI BERNI (1972 -: #90ba)</v>
      </c>
      <c r="BD14" s="99" t="str">
        <f t="shared" si="10"/>
        <v>Viola STUDIATI BERNI (1975 -: #90bb)</v>
      </c>
      <c r="BE14" s="99" t="str">
        <f t="shared" si="11"/>
        <v>Georgina  CLARKE (1976 -: #90ca)</v>
      </c>
      <c r="BF14" s="99" t="str">
        <f t="shared" si="12"/>
        <v>Philippa CLARKE (1980 -1980: #90cb)</v>
      </c>
      <c r="BG14" s="99" t="str">
        <f t="shared" si="13"/>
        <v>Marina CLARKE (1982 -: #90cc)</v>
      </c>
      <c r="BH14" s="99" t="str">
        <f t="shared" si="14"/>
        <v/>
      </c>
      <c r="BI14" s="99" t="str">
        <f t="shared" si="15"/>
        <v/>
      </c>
      <c r="BJ14" s="99" t="str">
        <f t="shared" si="16"/>
        <v/>
      </c>
      <c r="BK14" s="99" t="str">
        <f t="shared" si="17"/>
        <v/>
      </c>
      <c r="BL14" s="99" t="str">
        <f t="shared" si="18"/>
        <v/>
      </c>
      <c r="BM14" s="99" t="str">
        <f t="shared" si="19"/>
        <v/>
      </c>
      <c r="BN14" s="99" t="str">
        <f t="shared" si="20"/>
        <v/>
      </c>
      <c r="BO14" s="99" t="str">
        <f t="shared" si="21"/>
        <v/>
      </c>
      <c r="BP14" s="99" t="str">
        <f t="shared" si="22"/>
        <v/>
      </c>
      <c r="BQ14" s="99"/>
      <c r="BR14" s="99"/>
      <c r="BS14" s="99"/>
      <c r="BT14" s="99"/>
      <c r="BU14" s="99"/>
      <c r="BV14" s="99"/>
      <c r="BW14" s="72">
        <v>90</v>
      </c>
      <c r="DR14">
        <v>9011</v>
      </c>
      <c r="DS14">
        <v>9012</v>
      </c>
      <c r="DT14">
        <v>9021</v>
      </c>
      <c r="DU14">
        <v>9022</v>
      </c>
      <c r="DV14">
        <v>9031</v>
      </c>
      <c r="DW14">
        <v>9032</v>
      </c>
      <c r="DX14">
        <v>9033</v>
      </c>
      <c r="HP14">
        <v>63162</v>
      </c>
    </row>
    <row r="15" spans="1:339" ht="85">
      <c r="A15">
        <f>'All Girls &amp; Descendants'!B13</f>
        <v>18</v>
      </c>
      <c r="B15" t="str">
        <f>'All Girls &amp; Descendants'!C13</f>
        <v>18d</v>
      </c>
      <c r="C15" t="str">
        <f>'All Girls &amp; Descendants'!D13</f>
        <v>NICOL</v>
      </c>
      <c r="D15" t="str">
        <f>'All Girls &amp; Descendants'!E13</f>
        <v>Sarah</v>
      </c>
      <c r="E15" t="str">
        <f>IF('All Girls &amp; Descendants'!F13="","",'All Girls &amp; Descendants'!F13)</f>
        <v>Loyd</v>
      </c>
      <c r="F15" t="str">
        <f>IF('All Girls &amp; Descendants'!G13="","",'All Girls &amp; Descendants'!G13)</f>
        <v/>
      </c>
      <c r="G15" t="str">
        <f>IF('All Girls &amp; Descendants'!H13="",D15,'All Girls &amp; Descendants'!H13)</f>
        <v>Sarah</v>
      </c>
      <c r="H15">
        <f>'All Girls &amp; Descendants'!I13</f>
        <v>1854</v>
      </c>
      <c r="I15">
        <f>'All Girls &amp; Descendants'!J13</f>
        <v>1943</v>
      </c>
      <c r="J15">
        <f>'All Girls &amp; Descendants'!K13</f>
        <v>0</v>
      </c>
      <c r="K15" s="7" t="str">
        <f>'All Girls &amp; Descendants'!M13</f>
        <v>23/05/1854</v>
      </c>
      <c r="L15" t="str">
        <f>'All Girls &amp; Descendants'!N13</f>
        <v xml:space="preserve"> - </v>
      </c>
      <c r="M15">
        <f>'All Girls &amp; Descendants'!O13</f>
        <v>15875</v>
      </c>
      <c r="N15" t="str">
        <f>'All Girls &amp; Descendants'!P13</f>
        <v>18/06/1943</v>
      </c>
      <c r="O15" t="str">
        <f>'All Girls &amp; Descendants'!Q13</f>
        <v>18</v>
      </c>
      <c r="P15" t="str">
        <f t="shared" si="2"/>
        <v>18d</v>
      </c>
      <c r="Q15" s="116">
        <f t="shared" si="3"/>
        <v>1</v>
      </c>
      <c r="R15" s="31" t="str">
        <f t="shared" si="4"/>
        <v>Sarah Loyd  NICOL</v>
      </c>
      <c r="S15" s="31" t="str">
        <f t="shared" si="5"/>
        <v>Sarah NICOL (1854 -1943: #18d)</v>
      </c>
      <c r="U15" s="117">
        <f t="shared" si="6"/>
        <v>4711</v>
      </c>
      <c r="V15" t="s">
        <v>2207</v>
      </c>
      <c r="W15" s="116">
        <f t="shared" si="31"/>
        <v>47</v>
      </c>
      <c r="X15" s="116" t="str">
        <f t="shared" si="28"/>
        <v>a</v>
      </c>
      <c r="Y15" s="116" t="str">
        <f t="shared" si="7"/>
        <v>a</v>
      </c>
      <c r="Z15" s="116"/>
      <c r="AB15" s="116"/>
      <c r="AE15" s="99">
        <f t="shared" si="8"/>
        <v>92</v>
      </c>
      <c r="AF15" s="116">
        <f t="shared" si="23"/>
        <v>10</v>
      </c>
      <c r="AG15" s="117" t="str">
        <f t="shared" si="9"/>
        <v>92aa</v>
      </c>
      <c r="AH15" s="117" t="str">
        <f t="shared" si="9"/>
        <v>92ab</v>
      </c>
      <c r="AI15" s="117" t="str">
        <f t="shared" si="33"/>
        <v>92ac</v>
      </c>
      <c r="AJ15" s="117" t="str">
        <f t="shared" si="33"/>
        <v>92ad</v>
      </c>
      <c r="AK15" s="117" t="str">
        <f t="shared" si="33"/>
        <v>92ba</v>
      </c>
      <c r="AL15" s="117" t="str">
        <f t="shared" si="33"/>
        <v>92bb</v>
      </c>
      <c r="AM15" s="117" t="str">
        <f>VLOOKUP(IF(ISNUMBER(SMALL($BX15:$HO15,AM$3)),SMALL($BX15:$HO15,AM$3),""),$U$4:$V$160,2,FALSE)</f>
        <v>92bc</v>
      </c>
      <c r="AN15" s="117" t="str">
        <f>VLOOKUP(IF(ISNUMBER(SMALL($BX15:$HO15,AN$3)),SMALL($BX15:$HO15,AN$3),""),$U$4:$V$160,2,FALSE)</f>
        <v>92bd</v>
      </c>
      <c r="AO15" s="117" t="str">
        <f>VLOOKUP(IF(ISNUMBER(SMALL($BX15:$HO15,AO$3)),SMALL($BX15:$HO15,AO$3),""),$U$4:$V$160,2,FALSE)</f>
        <v>92da</v>
      </c>
      <c r="AP15" s="117" t="str">
        <f>VLOOKUP(IF(ISNUMBER(SMALL($BX15:$HO15,AP$3)),SMALL($BX15:$HO15,AP$3),""),$U$4:$V$160,2,FALSE)</f>
        <v>92db</v>
      </c>
      <c r="AQ15" s="117"/>
      <c r="AR15" s="117"/>
      <c r="AS15" s="117"/>
      <c r="AT15" s="117"/>
      <c r="AU15" s="117"/>
      <c r="AV15" s="117"/>
      <c r="AW15" s="117"/>
      <c r="AX15" s="128">
        <f t="shared" si="24"/>
        <v>92</v>
      </c>
      <c r="AY15" s="128">
        <f t="shared" si="25"/>
        <v>10</v>
      </c>
      <c r="AZ15" s="97" t="str">
        <f t="shared" si="26"/>
        <v xml:space="preserve">Hugh TATTON-BROWN (1980 -: #92aa) Miranda TATTON-BROWN (1983 -: #92ab) Lucy TATTON-BROWN (1984 -: #92ac) Robert TATTON-BROWN (1993 -: #92ad) Olivia TATTON-BROWN (1971 -: #92ba) Ben TATTON-BROWN (1973 -: #92bb) Daisy TATTON-BROWN (1983 -: #92bc) Gregory TATTON-BROWN (1985 -: #92bd) Jonathan SURTEES (1982 -: #92da) Rosamund SURTEES (1987 -: #92db)      </v>
      </c>
      <c r="BA15" t="str">
        <f t="shared" si="29"/>
        <v>Hugh TATTON-BROWN (1980 -: #92aa)</v>
      </c>
      <c r="BB15" s="99" t="str">
        <f t="shared" si="30"/>
        <v>Miranda TATTON-BROWN (1983 -: #92ab)</v>
      </c>
      <c r="BC15" s="99" t="str">
        <f t="shared" si="27"/>
        <v>Lucy TATTON-BROWN (1984 -: #92ac)</v>
      </c>
      <c r="BD15" s="99" t="str">
        <f t="shared" si="10"/>
        <v>Robert TATTON-BROWN (1993 -: #92ad)</v>
      </c>
      <c r="BE15" s="99" t="str">
        <f t="shared" si="11"/>
        <v>Olivia TATTON-BROWN (1971 -: #92ba)</v>
      </c>
      <c r="BF15" s="99" t="str">
        <f t="shared" si="12"/>
        <v>Ben TATTON-BROWN (1973 -: #92bb)</v>
      </c>
      <c r="BG15" s="99" t="str">
        <f t="shared" si="13"/>
        <v>Daisy TATTON-BROWN (1983 -: #92bc)</v>
      </c>
      <c r="BH15" s="99" t="str">
        <f t="shared" si="14"/>
        <v>Gregory TATTON-BROWN (1985 -: #92bd)</v>
      </c>
      <c r="BI15" s="99" t="str">
        <f t="shared" si="15"/>
        <v>Jonathan SURTEES (1982 -: #92da)</v>
      </c>
      <c r="BJ15" s="99" t="str">
        <f t="shared" si="16"/>
        <v>Rosamund SURTEES (1987 -: #92db)</v>
      </c>
      <c r="BK15" s="99" t="str">
        <f t="shared" si="17"/>
        <v/>
      </c>
      <c r="BL15" s="99" t="str">
        <f t="shared" si="18"/>
        <v/>
      </c>
      <c r="BM15" s="99" t="str">
        <f t="shared" si="19"/>
        <v/>
      </c>
      <c r="BN15" s="99" t="str">
        <f t="shared" si="20"/>
        <v/>
      </c>
      <c r="BO15" s="99" t="str">
        <f t="shared" si="21"/>
        <v/>
      </c>
      <c r="BP15" s="99" t="str">
        <f t="shared" si="22"/>
        <v/>
      </c>
      <c r="BQ15" s="99"/>
      <c r="BR15" s="99"/>
      <c r="BS15" s="99"/>
      <c r="BT15" s="99"/>
      <c r="BU15" s="99"/>
      <c r="BV15" s="99"/>
      <c r="BW15" s="72">
        <v>92</v>
      </c>
      <c r="DY15">
        <v>9211</v>
      </c>
      <c r="DZ15">
        <v>9212</v>
      </c>
      <c r="EA15">
        <v>9213</v>
      </c>
      <c r="EB15">
        <v>9214</v>
      </c>
      <c r="EC15">
        <v>9221</v>
      </c>
      <c r="ED15">
        <v>9222</v>
      </c>
      <c r="EE15">
        <v>9223</v>
      </c>
      <c r="EF15">
        <v>9224</v>
      </c>
      <c r="EG15">
        <v>9241</v>
      </c>
      <c r="EH15">
        <v>9242</v>
      </c>
      <c r="HP15">
        <v>92223</v>
      </c>
    </row>
    <row r="16" spans="1:339" ht="34">
      <c r="A16">
        <f>'All Girls &amp; Descendants'!B14</f>
        <v>18</v>
      </c>
      <c r="B16" t="str">
        <f>'All Girls &amp; Descendants'!C14</f>
        <v>18e</v>
      </c>
      <c r="C16" t="str">
        <f>'All Girls &amp; Descendants'!D14</f>
        <v>NICOL</v>
      </c>
      <c r="D16" t="str">
        <f>'All Girls &amp; Descendants'!E14</f>
        <v>Lewis</v>
      </c>
      <c r="E16" t="str">
        <f>IF('All Girls &amp; Descendants'!F14="","",'All Girls &amp; Descendants'!F14)</f>
        <v>Loyd</v>
      </c>
      <c r="F16" t="str">
        <f>IF('All Girls &amp; Descendants'!G14="","",'All Girls &amp; Descendants'!G14)</f>
        <v/>
      </c>
      <c r="G16" t="str">
        <f>IF('All Girls &amp; Descendants'!H14="",D16,'All Girls &amp; Descendants'!H14)</f>
        <v>Lewis</v>
      </c>
      <c r="H16">
        <f>'All Girls &amp; Descendants'!I14</f>
        <v>1858</v>
      </c>
      <c r="I16">
        <f>'All Girls &amp; Descendants'!J14</f>
        <v>1935</v>
      </c>
      <c r="J16">
        <f>'All Girls &amp; Descendants'!K14</f>
        <v>0</v>
      </c>
      <c r="K16" s="7" t="str">
        <f>'All Girls &amp; Descendants'!M14</f>
        <v>10/04/1858</v>
      </c>
      <c r="L16" t="str">
        <f>'All Girls &amp; Descendants'!N14</f>
        <v>16/06/1886</v>
      </c>
      <c r="M16">
        <f>'All Girls &amp; Descendants'!O14</f>
        <v>12925</v>
      </c>
      <c r="N16" t="str">
        <f>'All Girls &amp; Descendants'!P14</f>
        <v>21/05/1935</v>
      </c>
      <c r="O16" t="str">
        <f>'All Girls &amp; Descendants'!Q14</f>
        <v>18</v>
      </c>
      <c r="P16" t="str">
        <f t="shared" si="2"/>
        <v>18e</v>
      </c>
      <c r="Q16" s="116">
        <f t="shared" si="3"/>
        <v>1</v>
      </c>
      <c r="R16" s="31" t="str">
        <f t="shared" si="4"/>
        <v>Lewis Loyd  NICOL</v>
      </c>
      <c r="S16" s="31" t="str">
        <f t="shared" si="5"/>
        <v>Lewis NICOL (1858 -1935: #18e)</v>
      </c>
      <c r="U16" s="117">
        <f t="shared" si="6"/>
        <v>4712</v>
      </c>
      <c r="V16" t="s">
        <v>2226</v>
      </c>
      <c r="W16" s="116">
        <f t="shared" si="31"/>
        <v>47</v>
      </c>
      <c r="X16" s="116" t="str">
        <f t="shared" si="28"/>
        <v>a</v>
      </c>
      <c r="Y16" s="116" t="str">
        <f t="shared" si="7"/>
        <v>b</v>
      </c>
      <c r="Z16" s="116"/>
      <c r="AB16" s="116"/>
      <c r="AE16" s="99">
        <f t="shared" si="8"/>
        <v>95</v>
      </c>
      <c r="AF16" s="116">
        <f t="shared" si="23"/>
        <v>3</v>
      </c>
      <c r="AG16" s="117" t="str">
        <f t="shared" si="9"/>
        <v>95ba</v>
      </c>
      <c r="AH16" s="117" t="str">
        <f t="shared" si="9"/>
        <v>95bb</v>
      </c>
      <c r="AI16" s="117" t="str">
        <f>VLOOKUP(IF(ISNUMBER(SMALL($BX16:$HO16,AI$3)),SMALL($BX16:$HO16,AI$3),""),$U$4:$V$160,2,FALSE)</f>
        <v>95bc</v>
      </c>
      <c r="AJ16" s="117"/>
      <c r="AK16" s="117"/>
      <c r="AL16" s="117"/>
      <c r="AM16" s="117"/>
      <c r="AN16" s="117"/>
      <c r="AO16" s="117"/>
      <c r="AP16" s="117"/>
      <c r="AQ16" s="117"/>
      <c r="AR16" s="117"/>
      <c r="AS16" s="117"/>
      <c r="AT16" s="117"/>
      <c r="AU16" s="117"/>
      <c r="AV16" s="117"/>
      <c r="AW16" s="117"/>
      <c r="AX16" s="128">
        <f t="shared" si="24"/>
        <v>95</v>
      </c>
      <c r="AY16" s="128">
        <f t="shared" si="25"/>
        <v>3</v>
      </c>
      <c r="AZ16" s="97" t="str">
        <f t="shared" si="26"/>
        <v xml:space="preserve">THE Hon William VESTEY (1983 -: #95ba) THE Hon Arthur VESTEY (1985 -: #95bb) The Hon Mary VESTEY (1992 -: #95bc)             </v>
      </c>
      <c r="BA16" t="str">
        <f t="shared" si="29"/>
        <v>THE Hon William VESTEY (1983 -: #95ba)</v>
      </c>
      <c r="BB16" s="99" t="str">
        <f t="shared" si="30"/>
        <v>THE Hon Arthur VESTEY (1985 -: #95bb)</v>
      </c>
      <c r="BC16" s="99" t="str">
        <f t="shared" si="27"/>
        <v>The Hon Mary VESTEY (1992 -: #95bc)</v>
      </c>
      <c r="BD16" s="99" t="str">
        <f t="shared" si="10"/>
        <v/>
      </c>
      <c r="BE16" s="99" t="str">
        <f t="shared" si="11"/>
        <v/>
      </c>
      <c r="BF16" s="99" t="str">
        <f t="shared" si="12"/>
        <v/>
      </c>
      <c r="BG16" s="99" t="str">
        <f t="shared" si="13"/>
        <v/>
      </c>
      <c r="BH16" s="99" t="str">
        <f t="shared" si="14"/>
        <v/>
      </c>
      <c r="BI16" s="99" t="str">
        <f t="shared" si="15"/>
        <v/>
      </c>
      <c r="BJ16" s="99" t="str">
        <f t="shared" si="16"/>
        <v/>
      </c>
      <c r="BK16" s="99" t="str">
        <f t="shared" si="17"/>
        <v/>
      </c>
      <c r="BL16" s="99" t="str">
        <f t="shared" si="18"/>
        <v/>
      </c>
      <c r="BM16" s="99" t="str">
        <f t="shared" si="19"/>
        <v/>
      </c>
      <c r="BN16" s="99" t="str">
        <f t="shared" si="20"/>
        <v/>
      </c>
      <c r="BO16" s="99" t="str">
        <f t="shared" si="21"/>
        <v/>
      </c>
      <c r="BP16" s="99" t="str">
        <f t="shared" si="22"/>
        <v/>
      </c>
      <c r="BQ16" s="99"/>
      <c r="BR16" s="99"/>
      <c r="BS16" s="99"/>
      <c r="BT16" s="99"/>
      <c r="BU16" s="99"/>
      <c r="BV16" s="99"/>
      <c r="BW16" s="72">
        <v>95</v>
      </c>
      <c r="EI16">
        <v>9521</v>
      </c>
      <c r="EJ16">
        <v>9522</v>
      </c>
      <c r="EK16">
        <v>9523</v>
      </c>
      <c r="HP16">
        <v>28566</v>
      </c>
    </row>
    <row r="17" spans="1:224" ht="34">
      <c r="A17">
        <f>'All Girls &amp; Descendants'!B15</f>
        <v>19</v>
      </c>
      <c r="B17" t="str">
        <f>'All Girls &amp; Descendants'!C15</f>
        <v>19a</v>
      </c>
      <c r="C17" t="str">
        <f>'All Girls &amp; Descendants'!D15</f>
        <v>ENTWISLE</v>
      </c>
      <c r="D17" t="str">
        <f>'All Girls &amp; Descendants'!E15</f>
        <v>William</v>
      </c>
      <c r="E17" t="str">
        <f>IF('All Girls &amp; Descendants'!F15="","",'All Girls &amp; Descendants'!F15)</f>
        <v/>
      </c>
      <c r="F17" t="str">
        <f>IF('All Girls &amp; Descendants'!G15="","",'All Girls &amp; Descendants'!G15)</f>
        <v/>
      </c>
      <c r="G17" t="str">
        <f>IF('All Girls &amp; Descendants'!H15="",D17,'All Girls &amp; Descendants'!H15)</f>
        <v>William</v>
      </c>
      <c r="H17">
        <f>'All Girls &amp; Descendants'!I15</f>
        <v>1839</v>
      </c>
      <c r="I17">
        <f>'All Girls &amp; Descendants'!J15</f>
        <v>1860</v>
      </c>
      <c r="J17">
        <f>'All Girls &amp; Descendants'!K15</f>
        <v>0</v>
      </c>
      <c r="K17" s="7" t="str">
        <f>'All Girls &amp; Descendants'!M15</f>
        <v>14/05/1839</v>
      </c>
      <c r="L17" t="str">
        <f>'All Girls &amp; Descendants'!N15</f>
        <v>Unmarried</v>
      </c>
      <c r="M17" t="str">
        <f>'All Girls &amp; Descendants'!O15</f>
        <v>27/08/1860</v>
      </c>
      <c r="N17" t="str">
        <f>'All Girls &amp; Descendants'!P15</f>
        <v>27/08/1860</v>
      </c>
      <c r="O17" t="str">
        <f>'All Girls &amp; Descendants'!Q15</f>
        <v>19</v>
      </c>
      <c r="P17" t="str">
        <f t="shared" si="2"/>
        <v>19a</v>
      </c>
      <c r="Q17" s="116">
        <f t="shared" si="3"/>
        <v>1</v>
      </c>
      <c r="R17" s="31" t="str">
        <f t="shared" si="4"/>
        <v>William   ENTWISLE</v>
      </c>
      <c r="S17" s="31" t="str">
        <f t="shared" si="5"/>
        <v>William ENTWISLE (1839 -1860: #19a)</v>
      </c>
      <c r="U17" s="117">
        <f t="shared" si="6"/>
        <v>6311</v>
      </c>
      <c r="V17" t="s">
        <v>2250</v>
      </c>
      <c r="W17" s="116">
        <f t="shared" si="31"/>
        <v>63</v>
      </c>
      <c r="X17" s="116" t="str">
        <f t="shared" si="28"/>
        <v>a</v>
      </c>
      <c r="Y17" s="116" t="str">
        <f t="shared" si="7"/>
        <v>a</v>
      </c>
      <c r="Z17" s="116"/>
      <c r="AB17" s="116"/>
      <c r="AE17" s="99">
        <f t="shared" si="8"/>
        <v>97</v>
      </c>
      <c r="AF17" s="116">
        <f t="shared" si="23"/>
        <v>5</v>
      </c>
      <c r="AG17" s="117" t="str">
        <f t="shared" si="9"/>
        <v>97aa</v>
      </c>
      <c r="AH17" s="117" t="str">
        <f t="shared" si="9"/>
        <v>97ab</v>
      </c>
      <c r="AI17" s="117" t="str">
        <f>VLOOKUP(IF(ISNUMBER(SMALL($BX17:$HO17,AI$3)),SMALL($BX17:$HO17,AI$3),""),$U$4:$V$160,2,FALSE)</f>
        <v>97ea</v>
      </c>
      <c r="AJ17" s="117" t="str">
        <f>VLOOKUP(IF(ISNUMBER(SMALL($BX17:$HO17,AJ$3)),SMALL($BX17:$HO17,AJ$3),""),$U$4:$V$160,2,FALSE)</f>
        <v>97eb</v>
      </c>
      <c r="AK17" s="117" t="str">
        <f>VLOOKUP(IF(ISNUMBER(SMALL($BX17:$HO17,AK$3)),SMALL($BX17:$HO17,AK$3),""),$U$4:$V$160,2,FALSE)</f>
        <v>97ec</v>
      </c>
      <c r="AL17" s="117"/>
      <c r="AM17" s="117"/>
      <c r="AN17" s="117"/>
      <c r="AO17" s="117"/>
      <c r="AP17" s="117"/>
      <c r="AQ17" s="117"/>
      <c r="AR17" s="117"/>
      <c r="AS17" s="117"/>
      <c r="AT17" s="117"/>
      <c r="AU17" s="117"/>
      <c r="AV17" s="117"/>
      <c r="AW17" s="117"/>
      <c r="AX17" s="128">
        <f t="shared" si="24"/>
        <v>97</v>
      </c>
      <c r="AY17" s="128">
        <f t="shared" si="25"/>
        <v>5</v>
      </c>
      <c r="AZ17" s="97" t="str">
        <f t="shared" si="26"/>
        <v xml:space="preserve">Alexander SALE (1991 -: #97aa) Oliver SALE (1995 -: #97ab) Frank SALE (1995 -: #97ea) Connie SALE (1997 -: #97eb) Grace SALE (2002 -0: #97ec)           </v>
      </c>
      <c r="BA17" t="str">
        <f t="shared" si="29"/>
        <v>Alexander SALE (1991 -: #97aa)</v>
      </c>
      <c r="BB17" s="99" t="str">
        <f t="shared" si="30"/>
        <v>Oliver SALE (1995 -: #97ab)</v>
      </c>
      <c r="BC17" s="99" t="str">
        <f t="shared" si="27"/>
        <v>Frank SALE (1995 -: #97ea)</v>
      </c>
      <c r="BD17" s="99" t="str">
        <f t="shared" si="10"/>
        <v>Connie SALE (1997 -: #97eb)</v>
      </c>
      <c r="BE17" s="99" t="str">
        <f t="shared" si="11"/>
        <v>Grace SALE (2002 -0: #97ec)</v>
      </c>
      <c r="BF17" s="99" t="str">
        <f t="shared" si="12"/>
        <v/>
      </c>
      <c r="BG17" s="99" t="str">
        <f t="shared" si="13"/>
        <v/>
      </c>
      <c r="BH17" s="99" t="str">
        <f t="shared" si="14"/>
        <v/>
      </c>
      <c r="BI17" s="99" t="str">
        <f t="shared" si="15"/>
        <v/>
      </c>
      <c r="BJ17" s="99" t="str">
        <f t="shared" si="16"/>
        <v/>
      </c>
      <c r="BK17" s="99" t="str">
        <f t="shared" si="17"/>
        <v/>
      </c>
      <c r="BL17" s="99" t="str">
        <f t="shared" si="18"/>
        <v/>
      </c>
      <c r="BM17" s="99" t="str">
        <f t="shared" si="19"/>
        <v/>
      </c>
      <c r="BN17" s="99" t="str">
        <f t="shared" si="20"/>
        <v/>
      </c>
      <c r="BO17" s="99" t="str">
        <f t="shared" si="21"/>
        <v/>
      </c>
      <c r="BP17" s="99" t="str">
        <f t="shared" si="22"/>
        <v/>
      </c>
      <c r="BQ17" s="99"/>
      <c r="BR17" s="99"/>
      <c r="BS17" s="99"/>
      <c r="BT17" s="99"/>
      <c r="BU17" s="99"/>
      <c r="BV17" s="99"/>
      <c r="BW17" s="72">
        <v>97</v>
      </c>
      <c r="EL17">
        <v>9711</v>
      </c>
      <c r="EM17">
        <v>9712</v>
      </c>
      <c r="EN17">
        <v>9751</v>
      </c>
      <c r="HN17">
        <v>9752</v>
      </c>
      <c r="HO17">
        <v>9753</v>
      </c>
      <c r="HP17">
        <v>48679</v>
      </c>
    </row>
    <row r="18" spans="1:224" ht="119">
      <c r="A18">
        <f>'All Girls &amp; Descendants'!B16</f>
        <v>19</v>
      </c>
      <c r="B18" t="str">
        <f>'All Girls &amp; Descendants'!C16</f>
        <v>19b</v>
      </c>
      <c r="C18" t="str">
        <f>'All Girls &amp; Descendants'!D16</f>
        <v>ENTWISLE</v>
      </c>
      <c r="D18" t="str">
        <f>'All Girls &amp; Descendants'!E16</f>
        <v>Richard</v>
      </c>
      <c r="E18" t="str">
        <f>IF('All Girls &amp; Descendants'!F16="","",'All Girls &amp; Descendants'!F16)</f>
        <v/>
      </c>
      <c r="F18" t="str">
        <f>IF('All Girls &amp; Descendants'!G16="","",'All Girls &amp; Descendants'!G16)</f>
        <v/>
      </c>
      <c r="G18" t="str">
        <f>IF('All Girls &amp; Descendants'!H16="",D18,'All Girls &amp; Descendants'!H16)</f>
        <v>Richard</v>
      </c>
      <c r="H18">
        <f>'All Girls &amp; Descendants'!I16</f>
        <v>1840</v>
      </c>
      <c r="I18">
        <f>'All Girls &amp; Descendants'!J16</f>
        <v>1894</v>
      </c>
      <c r="J18">
        <f>'All Girls &amp; Descendants'!K16</f>
        <v>0</v>
      </c>
      <c r="K18" s="7" t="str">
        <f>'All Girls &amp; Descendants'!M16</f>
        <v>02/10/1840</v>
      </c>
      <c r="L18" t="str">
        <f>'All Girls &amp; Descendants'!N16</f>
        <v>Unmarried</v>
      </c>
      <c r="M18" t="str">
        <f>'All Girls &amp; Descendants'!O16</f>
        <v>04/10/1894</v>
      </c>
      <c r="N18" t="str">
        <f>'All Girls &amp; Descendants'!P16</f>
        <v>04/10/1894</v>
      </c>
      <c r="O18" t="str">
        <f>'All Girls &amp; Descendants'!Q16</f>
        <v>19</v>
      </c>
      <c r="P18" t="str">
        <f t="shared" si="2"/>
        <v>19b</v>
      </c>
      <c r="Q18" s="116">
        <f t="shared" si="3"/>
        <v>1</v>
      </c>
      <c r="R18" s="31" t="str">
        <f t="shared" si="4"/>
        <v>Richard   ENTWISLE</v>
      </c>
      <c r="S18" s="31" t="str">
        <f t="shared" si="5"/>
        <v>Richard ENTWISLE (1840 -1894: #19b)</v>
      </c>
      <c r="U18" s="117">
        <f t="shared" si="6"/>
        <v>6312</v>
      </c>
      <c r="V18" t="s">
        <v>2251</v>
      </c>
      <c r="W18" s="116">
        <f t="shared" si="31"/>
        <v>63</v>
      </c>
      <c r="X18" s="116" t="str">
        <f t="shared" si="28"/>
        <v>a</v>
      </c>
      <c r="Y18" s="116" t="str">
        <f t="shared" si="7"/>
        <v>b</v>
      </c>
      <c r="Z18" s="116"/>
      <c r="AB18" s="116"/>
      <c r="AE18" s="99">
        <f t="shared" si="8"/>
        <v>101</v>
      </c>
      <c r="AF18" s="116">
        <f t="shared" si="23"/>
        <v>16</v>
      </c>
      <c r="AG18" s="117" t="str">
        <f t="shared" si="9"/>
        <v>101aa</v>
      </c>
      <c r="AH18" s="117" t="str">
        <f t="shared" si="9"/>
        <v>101ab</v>
      </c>
      <c r="AI18" s="117" t="str">
        <f>VLOOKUP(IF(ISNUMBER(SMALL($BX18:$HO18,AI$3)),SMALL($BX18:$HO18,AI$3),""),$U$4:$V$160,2,FALSE)</f>
        <v>101ba</v>
      </c>
      <c r="AJ18" s="117" t="str">
        <f>VLOOKUP(IF(ISNUMBER(SMALL($BX18:$HO18,AJ$3)),SMALL($BX18:$HO18,AJ$3),""),$U$4:$V$160,2,FALSE)</f>
        <v>101bb</v>
      </c>
      <c r="AK18" s="117" t="str">
        <f>VLOOKUP(IF(ISNUMBER(SMALL($BX18:$HO18,AK$3)),SMALL($BX18:$HO18,AK$3),""),$U$4:$V$160,2,FALSE)</f>
        <v>101bc</v>
      </c>
      <c r="AL18" s="117" t="str">
        <f t="shared" ref="AL18:AV18" si="34">VLOOKUP(IF(ISNUMBER(SMALL($BX18:$HO18,AL$3)),SMALL($BX18:$HO18,AL$3),""),$U$4:$V$160,2,FALSE)</f>
        <v>101ca</v>
      </c>
      <c r="AM18" s="117" t="str">
        <f t="shared" si="34"/>
        <v>101cb</v>
      </c>
      <c r="AN18" s="117" t="str">
        <f t="shared" si="34"/>
        <v>101cc</v>
      </c>
      <c r="AO18" s="117" t="str">
        <f t="shared" si="34"/>
        <v>101da</v>
      </c>
      <c r="AP18" s="117" t="str">
        <f t="shared" si="34"/>
        <v>101db</v>
      </c>
      <c r="AQ18" s="117" t="str">
        <f t="shared" si="34"/>
        <v>101dc</v>
      </c>
      <c r="AR18" s="117" t="str">
        <f t="shared" si="34"/>
        <v>101ea</v>
      </c>
      <c r="AS18" s="117" t="str">
        <f t="shared" si="34"/>
        <v>101eb</v>
      </c>
      <c r="AT18" s="117" t="str">
        <f t="shared" si="34"/>
        <v>101ec</v>
      </c>
      <c r="AU18" s="117" t="str">
        <f t="shared" si="34"/>
        <v>101fa</v>
      </c>
      <c r="AV18" s="117" t="str">
        <f t="shared" si="34"/>
        <v>101fb</v>
      </c>
      <c r="AW18" s="117"/>
      <c r="AX18" s="128">
        <f t="shared" si="24"/>
        <v>101</v>
      </c>
      <c r="AY18" s="128">
        <f t="shared" si="25"/>
        <v>16</v>
      </c>
      <c r="AZ18" s="97" t="str">
        <f t="shared" si="26"/>
        <v>Lawrence TIMPSON (1974 -: #101aa) Catherine TIMPSON (1979 -: #101ab) Viscount John LOWRY-CORRY (1985 -: #101ba) The Hon Montagu LOWRY-CORRY (1989 -: #101bb) Lady Martha LOWRY-CORRY (1992 -: #101bc) Milo HISCOX (1987 -: #101ca) Henry HISCOX (1989 -: #101cb) Sydney HISCOX (1993 -: #101cc) Nicholas REID (1982 -: #101da) Amelia REID (1984 -: #101db) Clementine REID (1988 -: #101dc) Thomas WILLS (1991 -: #101ea) George WILLS (1993 -: #101eb) Laura WILLS (1996 -: #101ec) Richard HEYWOOD (1993 -: #101fa) Alec HEYWOOD (1996 -: #101fb)</v>
      </c>
      <c r="BA18" t="str">
        <f t="shared" si="29"/>
        <v>Lawrence TIMPSON (1974 -: #101aa)</v>
      </c>
      <c r="BB18" s="99" t="str">
        <f t="shared" si="30"/>
        <v>Catherine TIMPSON (1979 -: #101ab)</v>
      </c>
      <c r="BC18" s="99" t="str">
        <f t="shared" si="27"/>
        <v>Viscount John LOWRY-CORRY (1985 -: #101ba)</v>
      </c>
      <c r="BD18" s="99" t="str">
        <f t="shared" si="10"/>
        <v>The Hon Montagu LOWRY-CORRY (1989 -: #101bb)</v>
      </c>
      <c r="BE18" s="99" t="str">
        <f t="shared" si="11"/>
        <v>Lady Martha LOWRY-CORRY (1992 -: #101bc)</v>
      </c>
      <c r="BF18" s="99" t="str">
        <f t="shared" si="12"/>
        <v>Milo HISCOX (1987 -: #101ca)</v>
      </c>
      <c r="BG18" s="99" t="str">
        <f t="shared" si="13"/>
        <v>Henry HISCOX (1989 -: #101cb)</v>
      </c>
      <c r="BH18" s="99" t="str">
        <f t="shared" si="14"/>
        <v>Sydney HISCOX (1993 -: #101cc)</v>
      </c>
      <c r="BI18" s="99" t="str">
        <f t="shared" si="15"/>
        <v>Nicholas REID (1982 -: #101da)</v>
      </c>
      <c r="BJ18" s="99" t="str">
        <f t="shared" si="16"/>
        <v>Amelia REID (1984 -: #101db)</v>
      </c>
      <c r="BK18" s="99" t="str">
        <f t="shared" si="17"/>
        <v>Clementine REID (1988 -: #101dc)</v>
      </c>
      <c r="BL18" s="99" t="str">
        <f t="shared" si="18"/>
        <v>Thomas WILLS (1991 -: #101ea)</v>
      </c>
      <c r="BM18" s="99" t="str">
        <f t="shared" si="19"/>
        <v>George WILLS (1993 -: #101eb)</v>
      </c>
      <c r="BN18" s="99" t="str">
        <f t="shared" si="20"/>
        <v>Laura WILLS (1996 -: #101ec)</v>
      </c>
      <c r="BO18" s="99" t="str">
        <f t="shared" si="21"/>
        <v>Richard HEYWOOD (1993 -: #101fa)</v>
      </c>
      <c r="BP18" s="99" t="str">
        <f t="shared" si="22"/>
        <v>Alec HEYWOOD (1996 -: #101fb)</v>
      </c>
      <c r="BQ18" s="99"/>
      <c r="BR18" s="99"/>
      <c r="BS18" s="99"/>
      <c r="BT18" s="99"/>
      <c r="BU18" s="99"/>
      <c r="BV18" s="99"/>
      <c r="BW18" s="72">
        <v>101</v>
      </c>
      <c r="EO18">
        <v>10111</v>
      </c>
      <c r="EP18">
        <v>10112</v>
      </c>
      <c r="EQ18">
        <v>10121</v>
      </c>
      <c r="ER18">
        <v>10122</v>
      </c>
      <c r="ES18">
        <v>10123</v>
      </c>
      <c r="ET18">
        <v>10131</v>
      </c>
      <c r="EU18">
        <v>10132</v>
      </c>
      <c r="EV18">
        <v>10133</v>
      </c>
      <c r="EW18">
        <v>10141</v>
      </c>
      <c r="EX18">
        <v>10142</v>
      </c>
      <c r="EY18">
        <v>10143</v>
      </c>
      <c r="EZ18">
        <v>10151</v>
      </c>
      <c r="FA18">
        <v>10152</v>
      </c>
      <c r="FB18">
        <v>10153</v>
      </c>
      <c r="FC18">
        <v>10161</v>
      </c>
      <c r="FD18">
        <v>10162</v>
      </c>
      <c r="HP18">
        <v>162190</v>
      </c>
    </row>
    <row r="19" spans="1:224" ht="17">
      <c r="A19">
        <f>'All Girls &amp; Descendants'!B17</f>
        <v>19</v>
      </c>
      <c r="B19" t="str">
        <f>'All Girls &amp; Descendants'!C17</f>
        <v>19c</v>
      </c>
      <c r="C19" t="str">
        <f>'All Girls &amp; Descendants'!D17</f>
        <v>ENTWISLE</v>
      </c>
      <c r="D19" t="str">
        <f>'All Girls &amp; Descendants'!E17</f>
        <v>Frederica</v>
      </c>
      <c r="E19" t="str">
        <f>IF('All Girls &amp; Descendants'!F17="","",'All Girls &amp; Descendants'!F17)</f>
        <v>Frances</v>
      </c>
      <c r="F19" t="str">
        <f>IF('All Girls &amp; Descendants'!G17="","",'All Girls &amp; Descendants'!G17)</f>
        <v/>
      </c>
      <c r="G19" t="str">
        <f>IF('All Girls &amp; Descendants'!H17="",D19,'All Girls &amp; Descendants'!H17)</f>
        <v>Frederica</v>
      </c>
      <c r="H19">
        <f>'All Girls &amp; Descendants'!I17</f>
        <v>1842</v>
      </c>
      <c r="I19">
        <f>'All Girls &amp; Descendants'!J17</f>
        <v>1916</v>
      </c>
      <c r="J19">
        <f>'All Girls &amp; Descendants'!K17</f>
        <v>0</v>
      </c>
      <c r="K19" s="7" t="str">
        <f>'All Girls &amp; Descendants'!M17</f>
        <v>24/09/1842</v>
      </c>
      <c r="L19" t="str">
        <f>'All Girls &amp; Descendants'!N17</f>
        <v>08/04/1863</v>
      </c>
      <c r="M19">
        <f>'All Girls &amp; Descendants'!O17</f>
        <v>5949</v>
      </c>
      <c r="N19" t="str">
        <f>'All Girls &amp; Descendants'!P17</f>
        <v>14/04/1916</v>
      </c>
      <c r="O19" t="str">
        <f>'All Girls &amp; Descendants'!Q17</f>
        <v>19</v>
      </c>
      <c r="P19" t="str">
        <f t="shared" si="2"/>
        <v>19c</v>
      </c>
      <c r="Q19" s="116">
        <f t="shared" si="3"/>
        <v>1</v>
      </c>
      <c r="R19" s="31" t="str">
        <f t="shared" si="4"/>
        <v>Frederica Frances  ENTWISLE</v>
      </c>
      <c r="S19" s="31" t="str">
        <f t="shared" si="5"/>
        <v>Frederica ENTWISLE (1842 -1916: #19c)</v>
      </c>
      <c r="U19" s="117">
        <f t="shared" si="6"/>
        <v>6531</v>
      </c>
      <c r="V19" t="s">
        <v>2273</v>
      </c>
      <c r="W19" s="116">
        <f t="shared" si="31"/>
        <v>65</v>
      </c>
      <c r="X19" s="116" t="str">
        <f t="shared" si="28"/>
        <v>c</v>
      </c>
      <c r="Y19" s="116" t="str">
        <f t="shared" si="7"/>
        <v>a</v>
      </c>
      <c r="Z19" s="116"/>
      <c r="AB19" s="116"/>
      <c r="AE19" s="99">
        <f t="shared" si="8"/>
        <v>102</v>
      </c>
      <c r="AF19" s="116">
        <f t="shared" si="23"/>
        <v>2</v>
      </c>
      <c r="AG19" s="117" t="str">
        <f t="shared" si="9"/>
        <v>102ba</v>
      </c>
      <c r="AH19" s="117" t="str">
        <f t="shared" si="9"/>
        <v>102bb</v>
      </c>
      <c r="AI19" s="117"/>
      <c r="AJ19" s="117"/>
      <c r="AK19" s="117"/>
      <c r="AL19" s="117"/>
      <c r="AM19" s="117"/>
      <c r="AN19" s="117"/>
      <c r="AO19" s="117"/>
      <c r="AP19" s="117"/>
      <c r="AQ19" s="117"/>
      <c r="AR19" s="117"/>
      <c r="AS19" s="117"/>
      <c r="AT19" s="117"/>
      <c r="AU19" s="117"/>
      <c r="AV19" s="117"/>
      <c r="AW19" s="117"/>
      <c r="AX19" s="128">
        <f t="shared" si="24"/>
        <v>102</v>
      </c>
      <c r="AY19" s="128">
        <f t="shared" si="25"/>
        <v>2</v>
      </c>
      <c r="AZ19" s="97" t="str">
        <f t="shared" si="26"/>
        <v xml:space="preserve">Ella DUNLOP (1998 -: #102ba) John DUNLOP (2000 -0: #102bb)              </v>
      </c>
      <c r="BA19" t="str">
        <f t="shared" si="29"/>
        <v>Ella DUNLOP (1998 -: #102ba)</v>
      </c>
      <c r="BB19" s="99" t="str">
        <f t="shared" si="30"/>
        <v>John DUNLOP (2000 -0: #102bb)</v>
      </c>
      <c r="BC19" s="99" t="str">
        <f t="shared" si="27"/>
        <v/>
      </c>
      <c r="BD19" s="99" t="str">
        <f t="shared" si="10"/>
        <v/>
      </c>
      <c r="BE19" s="99" t="str">
        <f t="shared" si="11"/>
        <v/>
      </c>
      <c r="BF19" s="99" t="str">
        <f t="shared" si="12"/>
        <v/>
      </c>
      <c r="BG19" s="99" t="str">
        <f t="shared" si="13"/>
        <v/>
      </c>
      <c r="BH19" s="99" t="str">
        <f t="shared" si="14"/>
        <v/>
      </c>
      <c r="BI19" s="99" t="str">
        <f t="shared" si="15"/>
        <v/>
      </c>
      <c r="BJ19" s="99" t="str">
        <f t="shared" si="16"/>
        <v/>
      </c>
      <c r="BK19" s="99" t="str">
        <f t="shared" si="17"/>
        <v/>
      </c>
      <c r="BL19" s="99" t="str">
        <f t="shared" si="18"/>
        <v/>
      </c>
      <c r="BM19" s="99" t="str">
        <f t="shared" si="19"/>
        <v/>
      </c>
      <c r="BN19" s="99" t="str">
        <f t="shared" si="20"/>
        <v/>
      </c>
      <c r="BO19" s="99" t="str">
        <f t="shared" si="21"/>
        <v/>
      </c>
      <c r="BP19" s="99" t="str">
        <f t="shared" si="22"/>
        <v/>
      </c>
      <c r="BQ19" s="99"/>
      <c r="BR19" s="99"/>
      <c r="BS19" s="99"/>
      <c r="BT19" s="99"/>
      <c r="BU19" s="99"/>
      <c r="BV19" s="99"/>
      <c r="BW19" s="72">
        <v>102</v>
      </c>
      <c r="FE19">
        <v>10221</v>
      </c>
      <c r="FF19">
        <v>10222</v>
      </c>
      <c r="HP19">
        <v>20443</v>
      </c>
    </row>
    <row r="20" spans="1:224" ht="119">
      <c r="A20">
        <f>'All Girls &amp; Descendants'!B18</f>
        <v>19</v>
      </c>
      <c r="B20" t="str">
        <f>'All Girls &amp; Descendants'!C18</f>
        <v>19d</v>
      </c>
      <c r="C20" t="str">
        <f>'All Girls &amp; Descendants'!D18</f>
        <v>ENTWISLE</v>
      </c>
      <c r="D20" t="str">
        <f>'All Girls &amp; Descendants'!E18</f>
        <v>Bernard</v>
      </c>
      <c r="E20" t="str">
        <f>IF('All Girls &amp; Descendants'!F18="","",'All Girls &amp; Descendants'!F18)</f>
        <v>Henry</v>
      </c>
      <c r="F20" t="str">
        <f>IF('All Girls &amp; Descendants'!G18="","",'All Girls &amp; Descendants'!G18)</f>
        <v/>
      </c>
      <c r="G20" t="str">
        <f>IF('All Girls &amp; Descendants'!H18="",D20,'All Girls &amp; Descendants'!H18)</f>
        <v>Bernard</v>
      </c>
      <c r="H20">
        <f>'All Girls &amp; Descendants'!I18</f>
        <v>1847</v>
      </c>
      <c r="I20">
        <f>'All Girls &amp; Descendants'!J18</f>
        <v>1877</v>
      </c>
      <c r="J20">
        <f>'All Girls &amp; Descendants'!K18</f>
        <v>0</v>
      </c>
      <c r="K20" s="7" t="str">
        <f>'All Girls &amp; Descendants'!M18</f>
        <v>25/02/1847</v>
      </c>
      <c r="L20" t="str">
        <f>'All Girls &amp; Descendants'!N18</f>
        <v>08/01 or 06/1875</v>
      </c>
      <c r="M20" t="str">
        <f>'All Girls &amp; Descendants'!O18</f>
        <v>22/09/1877</v>
      </c>
      <c r="N20" t="str">
        <f>'All Girls &amp; Descendants'!P18</f>
        <v>22/09/1877</v>
      </c>
      <c r="O20" t="str">
        <f>'All Girls &amp; Descendants'!Q18</f>
        <v>19</v>
      </c>
      <c r="P20" t="str">
        <f t="shared" si="2"/>
        <v>19d</v>
      </c>
      <c r="Q20" s="116">
        <f t="shared" si="3"/>
        <v>1</v>
      </c>
      <c r="R20" s="31" t="str">
        <f t="shared" si="4"/>
        <v>Bernard Henry  ENTWISLE</v>
      </c>
      <c r="S20" s="31" t="str">
        <f t="shared" si="5"/>
        <v>Bernard ENTWISLE (1847 -1877: #19d)</v>
      </c>
      <c r="U20" s="117">
        <f t="shared" si="6"/>
        <v>6532</v>
      </c>
      <c r="V20" t="s">
        <v>2275</v>
      </c>
      <c r="W20" s="116">
        <f t="shared" si="31"/>
        <v>65</v>
      </c>
      <c r="X20" s="116" t="str">
        <f t="shared" si="28"/>
        <v>c</v>
      </c>
      <c r="Y20" s="116" t="str">
        <f t="shared" si="7"/>
        <v>b</v>
      </c>
      <c r="Z20" s="116"/>
      <c r="AB20" s="116"/>
      <c r="AE20" s="99">
        <f t="shared" si="8"/>
        <v>103</v>
      </c>
      <c r="AF20" s="116">
        <f t="shared" si="23"/>
        <v>13</v>
      </c>
      <c r="AG20" s="117" t="str">
        <f t="shared" si="9"/>
        <v>103aa</v>
      </c>
      <c r="AH20" s="117" t="str">
        <f t="shared" si="9"/>
        <v>103ab</v>
      </c>
      <c r="AI20" s="117" t="str">
        <f t="shared" ref="AI20:AS20" si="35">VLOOKUP(IF(ISNUMBER(SMALL($BX20:$HO20,AI$3)),SMALL($BX20:$HO20,AI$3),""),$U$4:$V$160,2,FALSE)</f>
        <v>103ac</v>
      </c>
      <c r="AJ20" s="117" t="str">
        <f t="shared" si="35"/>
        <v>103ba</v>
      </c>
      <c r="AK20" s="117" t="str">
        <f t="shared" si="35"/>
        <v>103bb</v>
      </c>
      <c r="AL20" s="117" t="str">
        <f t="shared" si="35"/>
        <v>103bc</v>
      </c>
      <c r="AM20" s="117" t="str">
        <f t="shared" si="35"/>
        <v>103bd</v>
      </c>
      <c r="AN20" s="117" t="str">
        <f t="shared" si="35"/>
        <v>103ca</v>
      </c>
      <c r="AO20" s="117" t="str">
        <f t="shared" si="35"/>
        <v>103cb</v>
      </c>
      <c r="AP20" s="117" t="str">
        <f t="shared" si="35"/>
        <v>103cc</v>
      </c>
      <c r="AQ20" s="117" t="str">
        <f t="shared" si="35"/>
        <v>103da</v>
      </c>
      <c r="AR20" s="117" t="str">
        <f t="shared" si="35"/>
        <v>103db</v>
      </c>
      <c r="AS20" s="117" t="str">
        <f t="shared" si="35"/>
        <v>103dc</v>
      </c>
      <c r="AT20" s="117"/>
      <c r="AU20" s="117"/>
      <c r="AV20" s="117"/>
      <c r="AW20" s="117"/>
      <c r="AX20" s="128">
        <f t="shared" si="24"/>
        <v>103</v>
      </c>
      <c r="AY20" s="128">
        <f t="shared" si="25"/>
        <v>13</v>
      </c>
      <c r="AZ20" s="97" t="str">
        <f t="shared" si="26"/>
        <v xml:space="preserve">Marina GORE-BROWNE (1984 -: #103aa) Frederick GORE-BROWNE (1987 -: #103ab) Harry GORE-BROWNE (1988 -: #103ac) Edward PILKINGTON (1971 -: #103ba) Lucy PILKINGTON (1973 -: #103bb) Nicholas PILKINGTON (1976 -: #103bc) Claire PILKINGTON (1979 -: #103bd) William GORE-BROWNE (1988 -: #103ca) Heather GORE-BROWNE (1990 -: #103cb) Rose GORE-BROWNE (1991 -: #103cc) Sophie GORE-BROWNE (1985 -: #103da) Elizabeth GORE-BROWNE (1988 -: #103db) Georgina GORE-BROWNE (1992 -: #103dc)   </v>
      </c>
      <c r="BA20" t="str">
        <f t="shared" si="29"/>
        <v>Marina GORE-BROWNE (1984 -: #103aa)</v>
      </c>
      <c r="BB20" s="99" t="str">
        <f t="shared" si="30"/>
        <v>Frederick GORE-BROWNE (1987 -: #103ab)</v>
      </c>
      <c r="BC20" s="99" t="str">
        <f t="shared" si="27"/>
        <v>Harry GORE-BROWNE (1988 -: #103ac)</v>
      </c>
      <c r="BD20" s="99" t="str">
        <f t="shared" si="10"/>
        <v>Edward PILKINGTON (1971 -: #103ba)</v>
      </c>
      <c r="BE20" s="99" t="str">
        <f t="shared" si="11"/>
        <v>Lucy PILKINGTON (1973 -: #103bb)</v>
      </c>
      <c r="BF20" s="99" t="str">
        <f t="shared" si="12"/>
        <v>Nicholas PILKINGTON (1976 -: #103bc)</v>
      </c>
      <c r="BG20" s="99" t="str">
        <f t="shared" si="13"/>
        <v>Claire PILKINGTON (1979 -: #103bd)</v>
      </c>
      <c r="BH20" s="99" t="str">
        <f t="shared" si="14"/>
        <v>William GORE-BROWNE (1988 -: #103ca)</v>
      </c>
      <c r="BI20" s="99" t="str">
        <f t="shared" si="15"/>
        <v>Heather GORE-BROWNE (1990 -: #103cb)</v>
      </c>
      <c r="BJ20" s="99" t="str">
        <f t="shared" si="16"/>
        <v>Rose GORE-BROWNE (1991 -: #103cc)</v>
      </c>
      <c r="BK20" s="99" t="str">
        <f t="shared" si="17"/>
        <v>Sophie GORE-BROWNE (1985 -: #103da)</v>
      </c>
      <c r="BL20" s="99" t="str">
        <f t="shared" si="18"/>
        <v>Elizabeth GORE-BROWNE (1988 -: #103db)</v>
      </c>
      <c r="BM20" s="99" t="str">
        <f t="shared" si="19"/>
        <v>Georgina GORE-BROWNE (1992 -: #103dc)</v>
      </c>
      <c r="BN20" s="99" t="str">
        <f t="shared" si="20"/>
        <v/>
      </c>
      <c r="BO20" s="99" t="str">
        <f t="shared" si="21"/>
        <v/>
      </c>
      <c r="BP20" s="99" t="str">
        <f t="shared" si="22"/>
        <v/>
      </c>
      <c r="BQ20" s="99"/>
      <c r="BR20" s="99"/>
      <c r="BS20" s="99"/>
      <c r="BT20" s="99"/>
      <c r="BU20" s="99"/>
      <c r="BV20" s="99"/>
      <c r="BW20" s="72">
        <v>103</v>
      </c>
      <c r="FG20">
        <v>10311</v>
      </c>
      <c r="FH20">
        <v>10312</v>
      </c>
      <c r="FI20">
        <v>10313</v>
      </c>
      <c r="FJ20">
        <v>10321</v>
      </c>
      <c r="FK20">
        <v>10322</v>
      </c>
      <c r="FL20">
        <v>10323</v>
      </c>
      <c r="FM20">
        <v>10324</v>
      </c>
      <c r="FN20">
        <v>10331</v>
      </c>
      <c r="FO20">
        <v>10332</v>
      </c>
      <c r="FP20">
        <v>10333</v>
      </c>
      <c r="FQ20">
        <v>10341</v>
      </c>
      <c r="FR20">
        <v>10342</v>
      </c>
      <c r="FS20">
        <v>10343</v>
      </c>
      <c r="HP20">
        <v>134248</v>
      </c>
    </row>
    <row r="21" spans="1:224" ht="51">
      <c r="A21">
        <f>'All Girls &amp; Descendants'!B19</f>
        <v>19</v>
      </c>
      <c r="B21" t="str">
        <f>'All Girls &amp; Descendants'!C19</f>
        <v>19e</v>
      </c>
      <c r="C21" t="str">
        <f>'All Girls &amp; Descendants'!D19</f>
        <v>ENTWISLE</v>
      </c>
      <c r="D21" t="str">
        <f>'All Girls &amp; Descendants'!E19</f>
        <v>Edward</v>
      </c>
      <c r="E21" t="str">
        <f>IF('All Girls &amp; Descendants'!F19="","",'All Girls &amp; Descendants'!F19)</f>
        <v>Loyd</v>
      </c>
      <c r="F21" t="str">
        <f>IF('All Girls &amp; Descendants'!G19="","",'All Girls &amp; Descendants'!G19)</f>
        <v/>
      </c>
      <c r="G21" t="str">
        <f>IF('All Girls &amp; Descendants'!H19="",D21,'All Girls &amp; Descendants'!H19)</f>
        <v>Edward</v>
      </c>
      <c r="H21">
        <f>'All Girls &amp; Descendants'!I19</f>
        <v>1852</v>
      </c>
      <c r="I21">
        <f>'All Girls &amp; Descendants'!J19</f>
        <v>1881</v>
      </c>
      <c r="J21">
        <f>'All Girls &amp; Descendants'!K19</f>
        <v>0</v>
      </c>
      <c r="K21" s="7" t="str">
        <f>'All Girls &amp; Descendants'!M19</f>
        <v>13/02/1852</v>
      </c>
      <c r="L21" t="str">
        <f>'All Girls &amp; Descendants'!N19</f>
        <v>16/07/1880</v>
      </c>
      <c r="M21" t="str">
        <f>'All Girls &amp; Descendants'!O19</f>
        <v>16/01/1881</v>
      </c>
      <c r="N21" t="str">
        <f>'All Girls &amp; Descendants'!P19</f>
        <v>16/01/1881</v>
      </c>
      <c r="O21" t="str">
        <f>'All Girls &amp; Descendants'!Q19</f>
        <v>19</v>
      </c>
      <c r="P21" t="str">
        <f t="shared" si="2"/>
        <v>19e</v>
      </c>
      <c r="Q21" s="116">
        <f t="shared" si="3"/>
        <v>1</v>
      </c>
      <c r="R21" s="31" t="str">
        <f t="shared" si="4"/>
        <v>Edward Loyd  ENTWISLE</v>
      </c>
      <c r="S21" s="31" t="str">
        <f t="shared" si="5"/>
        <v>Edward ENTWISLE (1852 -1881: #19e)</v>
      </c>
      <c r="U21" s="117">
        <f t="shared" si="6"/>
        <v>7011</v>
      </c>
      <c r="V21" t="s">
        <v>2282</v>
      </c>
      <c r="W21" s="116">
        <f t="shared" si="31"/>
        <v>70</v>
      </c>
      <c r="X21" s="116" t="str">
        <f t="shared" si="28"/>
        <v>a</v>
      </c>
      <c r="Y21" s="116" t="str">
        <f t="shared" si="7"/>
        <v>a</v>
      </c>
      <c r="Z21" s="116"/>
      <c r="AB21" s="116"/>
      <c r="AE21" s="99">
        <f t="shared" si="8"/>
        <v>106</v>
      </c>
      <c r="AF21" s="116">
        <f t="shared" si="23"/>
        <v>6</v>
      </c>
      <c r="AG21" s="117" t="str">
        <f t="shared" si="9"/>
        <v>106aa</v>
      </c>
      <c r="AH21" s="117" t="str">
        <f t="shared" si="9"/>
        <v>106ab</v>
      </c>
      <c r="AI21" s="117" t="str">
        <f t="shared" ref="AI21:AL22" si="36">VLOOKUP(IF(ISNUMBER(SMALL($BX21:$HO21,AI$3)),SMALL($BX21:$HO21,AI$3),""),$U$4:$V$160,2,FALSE)</f>
        <v>106ac</v>
      </c>
      <c r="AJ21" s="117" t="str">
        <f t="shared" si="36"/>
        <v>106ad</v>
      </c>
      <c r="AK21" s="117" t="str">
        <f t="shared" si="36"/>
        <v>106ba</v>
      </c>
      <c r="AL21" s="117" t="str">
        <f t="shared" si="36"/>
        <v>106bb</v>
      </c>
      <c r="AM21" s="117"/>
      <c r="AN21" s="117"/>
      <c r="AO21" s="117"/>
      <c r="AP21" s="117"/>
      <c r="AQ21" s="117"/>
      <c r="AR21" s="117"/>
      <c r="AS21" s="117"/>
      <c r="AT21" s="117"/>
      <c r="AU21" s="117"/>
      <c r="AV21" s="117"/>
      <c r="AW21" s="117"/>
      <c r="AX21" s="128">
        <f t="shared" si="24"/>
        <v>106</v>
      </c>
      <c r="AY21" s="128">
        <f t="shared" si="25"/>
        <v>6</v>
      </c>
      <c r="AZ21" s="97" t="str">
        <f t="shared" si="26"/>
        <v xml:space="preserve">Charlotte BLACKETT (1988 -: #106aa) Eve BLACKETT (1989 -: #106ab) Lettie BLACKETT (1991 -: #106ac) Annabel BLACKETT (1993 -: #106ad) The Hon Rowland WINN (1986 -: #106ba) The Hon Henrietta WINN (1993 -: #106bb)          </v>
      </c>
      <c r="BA21" t="str">
        <f t="shared" si="29"/>
        <v>Charlotte BLACKETT (1988 -: #106aa)</v>
      </c>
      <c r="BB21" s="99" t="str">
        <f t="shared" si="30"/>
        <v>Eve BLACKETT (1989 -: #106ab)</v>
      </c>
      <c r="BC21" s="99" t="str">
        <f t="shared" si="27"/>
        <v>Lettie BLACKETT (1991 -: #106ac)</v>
      </c>
      <c r="BD21" s="99" t="str">
        <f t="shared" si="10"/>
        <v>Annabel BLACKETT (1993 -: #106ad)</v>
      </c>
      <c r="BE21" s="99" t="str">
        <f t="shared" si="11"/>
        <v>The Hon Rowland WINN (1986 -: #106ba)</v>
      </c>
      <c r="BF21" s="99" t="str">
        <f t="shared" si="12"/>
        <v>The Hon Henrietta WINN (1993 -: #106bb)</v>
      </c>
      <c r="BG21" s="99" t="str">
        <f t="shared" si="13"/>
        <v/>
      </c>
      <c r="BH21" s="99" t="str">
        <f t="shared" si="14"/>
        <v/>
      </c>
      <c r="BI21" s="99" t="str">
        <f t="shared" si="15"/>
        <v/>
      </c>
      <c r="BJ21" s="99" t="str">
        <f t="shared" si="16"/>
        <v/>
      </c>
      <c r="BK21" s="99" t="str">
        <f t="shared" si="17"/>
        <v/>
      </c>
      <c r="BL21" s="99" t="str">
        <f t="shared" si="18"/>
        <v/>
      </c>
      <c r="BM21" s="99" t="str">
        <f t="shared" si="19"/>
        <v/>
      </c>
      <c r="BN21" s="99" t="str">
        <f t="shared" si="20"/>
        <v/>
      </c>
      <c r="BO21" s="99" t="str">
        <f t="shared" si="21"/>
        <v/>
      </c>
      <c r="BP21" s="99" t="str">
        <f t="shared" si="22"/>
        <v/>
      </c>
      <c r="BQ21" s="99"/>
      <c r="BR21" s="99"/>
      <c r="BS21" s="99"/>
      <c r="BT21" s="99"/>
      <c r="BU21" s="99"/>
      <c r="BV21" s="99"/>
      <c r="BW21" s="72">
        <v>106</v>
      </c>
      <c r="FT21">
        <v>10611</v>
      </c>
      <c r="FU21">
        <v>10612</v>
      </c>
      <c r="FV21">
        <v>10613</v>
      </c>
      <c r="FW21">
        <v>10614</v>
      </c>
      <c r="FX21">
        <v>10621</v>
      </c>
      <c r="FY21">
        <v>10622</v>
      </c>
      <c r="HP21">
        <v>63693</v>
      </c>
    </row>
    <row r="22" spans="1:224" ht="102">
      <c r="A22">
        <f>'All Girls &amp; Descendants'!B20</f>
        <v>36</v>
      </c>
      <c r="B22" t="str">
        <f>'All Girls &amp; Descendants'!C20</f>
        <v>36a</v>
      </c>
      <c r="C22" t="str">
        <f>'All Girls &amp; Descendants'!D20</f>
        <v>COURTHOPE</v>
      </c>
      <c r="D22" t="str">
        <f>'All Girls &amp; Descendants'!E20</f>
        <v>George</v>
      </c>
      <c r="E22" t="str">
        <f>IF('All Girls &amp; Descendants'!F20="","",'All Girls &amp; Descendants'!F20)</f>
        <v>Loyd</v>
      </c>
      <c r="F22" t="str">
        <f>IF('All Girls &amp; Descendants'!G20="","",'All Girls &amp; Descendants'!G20)</f>
        <v/>
      </c>
      <c r="G22" t="str">
        <f>IF('All Girls &amp; Descendants'!H20="",D22,'All Girls &amp; Descendants'!H20)</f>
        <v>George</v>
      </c>
      <c r="H22">
        <f>'All Girls &amp; Descendants'!I20</f>
        <v>1877</v>
      </c>
      <c r="I22">
        <f>'All Girls &amp; Descendants'!J20</f>
        <v>1955</v>
      </c>
      <c r="J22">
        <f>'All Girls &amp; Descendants'!K20</f>
        <v>0</v>
      </c>
      <c r="K22" s="7" t="str">
        <f>'All Girls &amp; Descendants'!M20</f>
        <v>12/06/1877</v>
      </c>
      <c r="L22" t="str">
        <f>'All Girls &amp; Descendants'!N20</f>
        <v>14/06/1899</v>
      </c>
      <c r="M22">
        <f>'All Girls &amp; Descendants'!O20</f>
        <v>20334</v>
      </c>
      <c r="N22" t="str">
        <f>'All Girls &amp; Descendants'!P20</f>
        <v>02/09/1955</v>
      </c>
      <c r="O22" t="str">
        <f>'All Girls &amp; Descendants'!Q20</f>
        <v>36</v>
      </c>
      <c r="P22" t="str">
        <f t="shared" si="2"/>
        <v>36a</v>
      </c>
      <c r="Q22" s="116">
        <f t="shared" si="3"/>
        <v>1</v>
      </c>
      <c r="R22" s="31" t="str">
        <f t="shared" si="4"/>
        <v>George Loyd  COURTHOPE</v>
      </c>
      <c r="S22" s="31" t="str">
        <f t="shared" si="5"/>
        <v>George COURTHOPE (1877 -1955: #36a)</v>
      </c>
      <c r="U22" s="117">
        <f t="shared" si="6"/>
        <v>7012</v>
      </c>
      <c r="V22" t="s">
        <v>2287</v>
      </c>
      <c r="W22" s="116">
        <f t="shared" si="31"/>
        <v>70</v>
      </c>
      <c r="X22" s="116" t="str">
        <f t="shared" si="28"/>
        <v>a</v>
      </c>
      <c r="Y22" s="116" t="str">
        <f t="shared" si="7"/>
        <v>b</v>
      </c>
      <c r="Z22" s="116"/>
      <c r="AB22" s="116"/>
      <c r="AE22" s="99">
        <f t="shared" si="8"/>
        <v>107</v>
      </c>
      <c r="AF22" s="116">
        <f t="shared" si="23"/>
        <v>13</v>
      </c>
      <c r="AG22" s="117" t="str">
        <f t="shared" si="9"/>
        <v>107aa</v>
      </c>
      <c r="AH22" s="117" t="str">
        <f t="shared" si="9"/>
        <v>107ab</v>
      </c>
      <c r="AI22" s="117" t="str">
        <f t="shared" si="36"/>
        <v>107ac</v>
      </c>
      <c r="AJ22" s="117" t="str">
        <f t="shared" si="36"/>
        <v>107ad</v>
      </c>
      <c r="AK22" s="117" t="str">
        <f t="shared" si="36"/>
        <v>107ba</v>
      </c>
      <c r="AL22" s="117" t="str">
        <f t="shared" si="36"/>
        <v>107bb</v>
      </c>
      <c r="AM22" s="117" t="str">
        <f t="shared" ref="AM22:AS22" si="37">VLOOKUP(IF(ISNUMBER(SMALL($BX22:$HO22,AM$3)),SMALL($BX22:$HO22,AM$3),""),$U$4:$V$160,2,FALSE)</f>
        <v>107bc</v>
      </c>
      <c r="AN22" s="117" t="str">
        <f t="shared" si="37"/>
        <v>107ca</v>
      </c>
      <c r="AO22" s="117" t="str">
        <f t="shared" si="37"/>
        <v>107cb</v>
      </c>
      <c r="AP22" s="117" t="str">
        <f t="shared" si="37"/>
        <v>107cc</v>
      </c>
      <c r="AQ22" s="117" t="str">
        <f t="shared" si="37"/>
        <v>107cd</v>
      </c>
      <c r="AR22" s="117" t="str">
        <f t="shared" si="37"/>
        <v>107da</v>
      </c>
      <c r="AS22" s="117" t="str">
        <f t="shared" si="37"/>
        <v>107db</v>
      </c>
      <c r="AT22" s="117"/>
      <c r="AU22" s="117"/>
      <c r="AV22" s="117"/>
      <c r="AW22" s="117"/>
      <c r="AX22" s="128">
        <f t="shared" si="24"/>
        <v>107</v>
      </c>
      <c r="AY22" s="128">
        <f t="shared" si="25"/>
        <v>13</v>
      </c>
      <c r="AZ22" s="97" t="str">
        <f t="shared" si="26"/>
        <v xml:space="preserve">Edward RUSSELL (1976 -: #107aa) Mathew AMY (1981 -: #107ab) Michael AMY (1981 -: #107ac) Jonathon AMY (1983 -: #107ad) Christopher THOMPSON (1973 -: #107ba) George THOMPSON (1976 -: #107bb) Jeremy THOMPSON (1979 -: #107bc) Charitie ORR (1978 -: #107ca) Audrey ORR (1980 -: #107cb) Michael ORR (1984 -: #107cc) Seth ORR (1986 -: #107cd) Brandy ORR (1979 -: #107da) Timothy ORR (1980 -: #107db)   </v>
      </c>
      <c r="BA22" t="str">
        <f t="shared" si="29"/>
        <v>Edward RUSSELL (1976 -: #107aa)</v>
      </c>
      <c r="BB22" s="99" t="str">
        <f t="shared" si="30"/>
        <v>Mathew AMY (1981 -: #107ab)</v>
      </c>
      <c r="BC22" s="99" t="str">
        <f t="shared" si="27"/>
        <v>Michael AMY (1981 -: #107ac)</v>
      </c>
      <c r="BD22" s="99" t="str">
        <f t="shared" si="10"/>
        <v>Jonathon AMY (1983 -: #107ad)</v>
      </c>
      <c r="BE22" s="99" t="str">
        <f t="shared" si="11"/>
        <v>Christopher THOMPSON (1973 -: #107ba)</v>
      </c>
      <c r="BF22" s="99" t="str">
        <f t="shared" si="12"/>
        <v>George THOMPSON (1976 -: #107bb)</v>
      </c>
      <c r="BG22" s="99" t="str">
        <f t="shared" si="13"/>
        <v>Jeremy THOMPSON (1979 -: #107bc)</v>
      </c>
      <c r="BH22" s="99" t="str">
        <f t="shared" si="14"/>
        <v>Charitie ORR (1978 -: #107ca)</v>
      </c>
      <c r="BI22" s="99" t="str">
        <f t="shared" si="15"/>
        <v>Audrey ORR (1980 -: #107cb)</v>
      </c>
      <c r="BJ22" s="99" t="str">
        <f t="shared" si="16"/>
        <v>Michael ORR (1984 -: #107cc)</v>
      </c>
      <c r="BK22" s="99" t="str">
        <f t="shared" si="17"/>
        <v>Seth ORR (1986 -: #107cd)</v>
      </c>
      <c r="BL22" s="99" t="str">
        <f t="shared" si="18"/>
        <v>Brandy ORR (1979 -: #107da)</v>
      </c>
      <c r="BM22" s="99" t="str">
        <f t="shared" si="19"/>
        <v>Timothy ORR (1980 -: #107db)</v>
      </c>
      <c r="BN22" s="99" t="str">
        <f t="shared" si="20"/>
        <v/>
      </c>
      <c r="BO22" s="99" t="str">
        <f t="shared" si="21"/>
        <v/>
      </c>
      <c r="BP22" s="99" t="str">
        <f t="shared" si="22"/>
        <v/>
      </c>
      <c r="BQ22" s="99"/>
      <c r="BR22" s="99"/>
      <c r="BS22" s="99"/>
      <c r="BT22" s="99"/>
      <c r="BU22" s="99"/>
      <c r="BV22" s="99"/>
      <c r="BW22" s="72">
        <v>107</v>
      </c>
      <c r="FZ22">
        <v>10711</v>
      </c>
      <c r="GA22">
        <v>10712</v>
      </c>
      <c r="GB22">
        <v>10713</v>
      </c>
      <c r="GC22">
        <v>10714</v>
      </c>
      <c r="GD22">
        <v>10721</v>
      </c>
      <c r="GE22">
        <v>10722</v>
      </c>
      <c r="GF22">
        <v>10723</v>
      </c>
      <c r="GG22">
        <v>10731</v>
      </c>
      <c r="GH22">
        <v>10732</v>
      </c>
      <c r="GI22">
        <v>10733</v>
      </c>
      <c r="GJ22">
        <v>10734</v>
      </c>
      <c r="GK22">
        <v>10741</v>
      </c>
      <c r="GL22">
        <v>10742</v>
      </c>
      <c r="HP22">
        <v>139429</v>
      </c>
    </row>
    <row r="23" spans="1:224" ht="34">
      <c r="A23">
        <f>'All Girls &amp; Descendants'!B21</f>
        <v>36</v>
      </c>
      <c r="B23" t="str">
        <f>'All Girls &amp; Descendants'!C21</f>
        <v>36b</v>
      </c>
      <c r="C23" t="str">
        <f>'All Girls &amp; Descendants'!D21</f>
        <v>COURTHOPE</v>
      </c>
      <c r="D23" t="str">
        <f>'All Girls &amp; Descendants'!E21</f>
        <v>Alexander</v>
      </c>
      <c r="E23" t="str">
        <f>IF('All Girls &amp; Descendants'!F21="","",'All Girls &amp; Descendants'!F21)</f>
        <v/>
      </c>
      <c r="F23" t="str">
        <f>IF('All Girls &amp; Descendants'!G21="","",'All Girls &amp; Descendants'!G21)</f>
        <v/>
      </c>
      <c r="G23" t="str">
        <f>IF('All Girls &amp; Descendants'!H21="",D23,'All Girls &amp; Descendants'!H21)</f>
        <v>Alexander</v>
      </c>
      <c r="H23">
        <f>'All Girls &amp; Descendants'!I21</f>
        <v>1878</v>
      </c>
      <c r="I23">
        <f>'All Girls &amp; Descendants'!J21</f>
        <v>1892</v>
      </c>
      <c r="J23">
        <f>'All Girls &amp; Descendants'!K21</f>
        <v>0</v>
      </c>
      <c r="K23" s="7" t="str">
        <f>'All Girls &amp; Descendants'!M21</f>
        <v>14/09/1878</v>
      </c>
      <c r="L23" t="str">
        <f>'All Girls &amp; Descendants'!N21</f>
        <v xml:space="preserve"> - </v>
      </c>
      <c r="M23" t="str">
        <f>'All Girls &amp; Descendants'!O21</f>
        <v>29/07/1892</v>
      </c>
      <c r="N23" t="str">
        <f>'All Girls &amp; Descendants'!P21</f>
        <v>29/07/1892</v>
      </c>
      <c r="O23" t="str">
        <f>'All Girls &amp; Descendants'!Q21</f>
        <v>36</v>
      </c>
      <c r="P23" t="str">
        <f t="shared" si="2"/>
        <v>36b</v>
      </c>
      <c r="Q23" s="116">
        <f t="shared" si="3"/>
        <v>1</v>
      </c>
      <c r="R23" s="31" t="str">
        <f t="shared" si="4"/>
        <v>Alexander   COURTHOPE</v>
      </c>
      <c r="S23" s="31" t="str">
        <f t="shared" si="5"/>
        <v>Alexander COURTHOPE (1878 -1892: #36b)</v>
      </c>
      <c r="U23" s="117">
        <f t="shared" si="6"/>
        <v>7013</v>
      </c>
      <c r="V23" t="s">
        <v>2294</v>
      </c>
      <c r="W23" s="116">
        <f t="shared" si="31"/>
        <v>70</v>
      </c>
      <c r="X23" s="116" t="str">
        <f t="shared" si="28"/>
        <v>a</v>
      </c>
      <c r="Y23" s="116" t="str">
        <f t="shared" si="7"/>
        <v>c</v>
      </c>
      <c r="Z23" s="116"/>
      <c r="AB23" s="116"/>
      <c r="AE23" s="99">
        <f t="shared" si="8"/>
        <v>108</v>
      </c>
      <c r="AF23" s="116">
        <f t="shared" si="23"/>
        <v>5</v>
      </c>
      <c r="AG23" s="117" t="str">
        <f t="shared" si="9"/>
        <v>108aa</v>
      </c>
      <c r="AH23" s="117" t="str">
        <f t="shared" si="9"/>
        <v>108ab</v>
      </c>
      <c r="AI23" s="117" t="str">
        <f>VLOOKUP(IF(ISNUMBER(SMALL($BX23:$HO23,AI$3)),SMALL($BX23:$HO23,AI$3),""),$U$4:$V$160,2,FALSE)</f>
        <v>108ba</v>
      </c>
      <c r="AJ23" s="117" t="str">
        <f>VLOOKUP(IF(ISNUMBER(SMALL($BX23:$HO23,AJ$3)),SMALL($BX23:$HO23,AJ$3),""),$U$4:$V$160,2,FALSE)</f>
        <v>108bb</v>
      </c>
      <c r="AK23" s="117" t="str">
        <f>VLOOKUP(IF(ISNUMBER(SMALL($BX23:$HO23,AK$3)),SMALL($BX23:$HO23,AK$3),""),$U$4:$V$160,2,FALSE)</f>
        <v>108ca</v>
      </c>
      <c r="AL23" s="117"/>
      <c r="AM23" s="117"/>
      <c r="AN23" s="117"/>
      <c r="AO23" s="117"/>
      <c r="AP23" s="117"/>
      <c r="AQ23" s="117"/>
      <c r="AR23" s="117"/>
      <c r="AS23" s="117"/>
      <c r="AT23" s="117"/>
      <c r="AU23" s="117"/>
      <c r="AV23" s="117"/>
      <c r="AW23" s="117"/>
      <c r="AX23" s="128">
        <f t="shared" si="24"/>
        <v>108</v>
      </c>
      <c r="AY23" s="128">
        <f t="shared" si="25"/>
        <v>5</v>
      </c>
      <c r="AZ23" s="97" t="str">
        <f t="shared" si="26"/>
        <v xml:space="preserve">Daniel CARTER (1976 -: #108aa) Simon CARTER (1982 -: #108ab) Matthew HOYLE (1982 -: #108ba) Darren HOYLE (1985 -: #108bb) Tanya HOYLE (1985 -: #108ca)           </v>
      </c>
      <c r="BA23" t="str">
        <f t="shared" si="29"/>
        <v>Daniel CARTER (1976 -: #108aa)</v>
      </c>
      <c r="BB23" s="99" t="str">
        <f t="shared" si="30"/>
        <v>Simon CARTER (1982 -: #108ab)</v>
      </c>
      <c r="BC23" s="99" t="str">
        <f t="shared" si="27"/>
        <v>Matthew HOYLE (1982 -: #108ba)</v>
      </c>
      <c r="BD23" s="99" t="str">
        <f t="shared" si="10"/>
        <v>Darren HOYLE (1985 -: #108bb)</v>
      </c>
      <c r="BE23" s="99" t="str">
        <f t="shared" si="11"/>
        <v>Tanya HOYLE (1985 -: #108ca)</v>
      </c>
      <c r="BF23" s="99" t="str">
        <f t="shared" si="12"/>
        <v/>
      </c>
      <c r="BG23" s="99" t="str">
        <f t="shared" si="13"/>
        <v/>
      </c>
      <c r="BH23" s="99" t="str">
        <f t="shared" si="14"/>
        <v/>
      </c>
      <c r="BI23" s="99" t="str">
        <f t="shared" si="15"/>
        <v/>
      </c>
      <c r="BJ23" s="99" t="str">
        <f t="shared" si="16"/>
        <v/>
      </c>
      <c r="BK23" s="99" t="str">
        <f t="shared" si="17"/>
        <v/>
      </c>
      <c r="BL23" s="99" t="str">
        <f t="shared" si="18"/>
        <v/>
      </c>
      <c r="BM23" s="99" t="str">
        <f t="shared" si="19"/>
        <v/>
      </c>
      <c r="BN23" s="99" t="str">
        <f t="shared" si="20"/>
        <v/>
      </c>
      <c r="BO23" s="99" t="str">
        <f t="shared" si="21"/>
        <v/>
      </c>
      <c r="BP23" s="99" t="str">
        <f t="shared" si="22"/>
        <v/>
      </c>
      <c r="BQ23" s="99"/>
      <c r="BR23" s="99"/>
      <c r="BS23" s="99"/>
      <c r="BT23" s="99"/>
      <c r="BU23" s="99"/>
      <c r="BV23" s="99"/>
      <c r="BW23" s="72">
        <v>108</v>
      </c>
      <c r="GM23">
        <v>10811</v>
      </c>
      <c r="GN23">
        <v>10812</v>
      </c>
      <c r="GO23">
        <v>10821</v>
      </c>
      <c r="GP23">
        <v>10822</v>
      </c>
      <c r="GQ23">
        <v>10831</v>
      </c>
      <c r="HP23">
        <v>54097</v>
      </c>
    </row>
    <row r="24" spans="1:224" ht="34">
      <c r="A24">
        <f>'All Girls &amp; Descendants'!B22</f>
        <v>36</v>
      </c>
      <c r="B24" t="str">
        <f>'All Girls &amp; Descendants'!C22</f>
        <v>36c</v>
      </c>
      <c r="C24" t="str">
        <f>'All Girls &amp; Descendants'!D22</f>
        <v>COURTHOPE</v>
      </c>
      <c r="D24" t="str">
        <f>'All Girls &amp; Descendants'!E22</f>
        <v>John</v>
      </c>
      <c r="E24" t="str">
        <f>IF('All Girls &amp; Descendants'!F22="","",'All Girls &amp; Descendants'!F22)</f>
        <v>Edward</v>
      </c>
      <c r="F24" t="str">
        <f>IF('All Girls &amp; Descendants'!G22="","",'All Girls &amp; Descendants'!G22)</f>
        <v/>
      </c>
      <c r="G24" t="str">
        <f>IF('All Girls &amp; Descendants'!H22="",D24,'All Girls &amp; Descendants'!H22)</f>
        <v>John</v>
      </c>
      <c r="H24">
        <f>'All Girls &amp; Descendants'!I22</f>
        <v>1882</v>
      </c>
      <c r="I24">
        <f>'All Girls &amp; Descendants'!J22</f>
        <v>1954</v>
      </c>
      <c r="J24">
        <f>'All Girls &amp; Descendants'!K22</f>
        <v>0</v>
      </c>
      <c r="K24" s="7" t="str">
        <f>'All Girls &amp; Descendants'!M22</f>
        <v>28/01/1882</v>
      </c>
      <c r="L24" t="str">
        <f>'All Girls &amp; Descendants'!N22</f>
        <v>Unmarried</v>
      </c>
      <c r="M24">
        <f>'All Girls &amp; Descendants'!O22</f>
        <v>19816</v>
      </c>
      <c r="N24" t="str">
        <f>'All Girls &amp; Descendants'!P22</f>
        <v>02/04/1954</v>
      </c>
      <c r="O24" t="str">
        <f>'All Girls &amp; Descendants'!Q22</f>
        <v>36</v>
      </c>
      <c r="P24" t="str">
        <f t="shared" si="2"/>
        <v>36c</v>
      </c>
      <c r="Q24" s="116">
        <f t="shared" si="3"/>
        <v>1</v>
      </c>
      <c r="R24" s="31" t="str">
        <f t="shared" si="4"/>
        <v>John Edward  COURTHOPE</v>
      </c>
      <c r="S24" s="31" t="str">
        <f t="shared" si="5"/>
        <v>John COURTHOPE (1882 -1954: #36c)</v>
      </c>
      <c r="U24" s="117">
        <f t="shared" si="6"/>
        <v>7021</v>
      </c>
      <c r="V24" t="s">
        <v>2299</v>
      </c>
      <c r="W24" s="116">
        <f t="shared" si="31"/>
        <v>70</v>
      </c>
      <c r="X24" s="116" t="str">
        <f t="shared" si="28"/>
        <v>b</v>
      </c>
      <c r="Y24" s="116" t="str">
        <f t="shared" si="7"/>
        <v>a</v>
      </c>
      <c r="Z24" s="116"/>
      <c r="AB24" s="116"/>
      <c r="AE24" s="99">
        <f t="shared" si="8"/>
        <v>109</v>
      </c>
      <c r="AF24" s="116">
        <f t="shared" si="23"/>
        <v>4</v>
      </c>
      <c r="AG24" s="117" t="str">
        <f t="shared" si="9"/>
        <v>109ba</v>
      </c>
      <c r="AH24" s="117" t="str">
        <f t="shared" si="9"/>
        <v>109bb</v>
      </c>
      <c r="AI24" s="117" t="str">
        <f t="shared" ref="AI24:AJ26" si="38">VLOOKUP(IF(ISNUMBER(SMALL($BX24:$HO24,AI$3)),SMALL($BX24:$HO24,AI$3),""),$U$4:$V$160,2,FALSE)</f>
        <v>109bc</v>
      </c>
      <c r="AJ24" s="117" t="str">
        <f t="shared" si="38"/>
        <v>109bd</v>
      </c>
      <c r="AK24" s="117"/>
      <c r="AL24" s="117"/>
      <c r="AM24" s="117"/>
      <c r="AN24" s="117"/>
      <c r="AO24" s="117"/>
      <c r="AP24" s="117"/>
      <c r="AQ24" s="117"/>
      <c r="AR24" s="117"/>
      <c r="AS24" s="117"/>
      <c r="AT24" s="117"/>
      <c r="AU24" s="117"/>
      <c r="AV24" s="117"/>
      <c r="AW24" s="117"/>
      <c r="AX24" s="128">
        <f t="shared" si="24"/>
        <v>109</v>
      </c>
      <c r="AY24" s="128">
        <f t="shared" si="25"/>
        <v>4</v>
      </c>
      <c r="AZ24" s="97" t="str">
        <f t="shared" si="26"/>
        <v xml:space="preserve">Toby WALTON (2008 -: #109ba) Leo WALTON (2012 -: #109bb) Benjamin WALTON (2013 -: #109bc) Isabel WALTON (2016 -: #109bd)            </v>
      </c>
      <c r="BA24" t="str">
        <f t="shared" si="29"/>
        <v>Toby WALTON (2008 -: #109ba)</v>
      </c>
      <c r="BB24" s="99" t="str">
        <f t="shared" si="30"/>
        <v>Leo WALTON (2012 -: #109bb)</v>
      </c>
      <c r="BC24" s="99" t="str">
        <f t="shared" si="27"/>
        <v>Benjamin WALTON (2013 -: #109bc)</v>
      </c>
      <c r="BD24" s="99" t="str">
        <f t="shared" si="10"/>
        <v>Isabel WALTON (2016 -: #109bd)</v>
      </c>
      <c r="BE24" s="99" t="str">
        <f t="shared" si="11"/>
        <v/>
      </c>
      <c r="BF24" s="99" t="str">
        <f t="shared" si="12"/>
        <v/>
      </c>
      <c r="BG24" s="99" t="str">
        <f t="shared" si="13"/>
        <v/>
      </c>
      <c r="BH24" s="99" t="str">
        <f t="shared" si="14"/>
        <v/>
      </c>
      <c r="BI24" s="99" t="str">
        <f t="shared" si="15"/>
        <v/>
      </c>
      <c r="BJ24" s="99" t="str">
        <f t="shared" si="16"/>
        <v/>
      </c>
      <c r="BK24" s="99" t="str">
        <f t="shared" si="17"/>
        <v/>
      </c>
      <c r="BL24" s="99" t="str">
        <f t="shared" si="18"/>
        <v/>
      </c>
      <c r="BM24" s="99" t="str">
        <f t="shared" si="19"/>
        <v/>
      </c>
      <c r="BN24" s="99" t="str">
        <f t="shared" si="20"/>
        <v/>
      </c>
      <c r="BO24" s="99" t="str">
        <f t="shared" si="21"/>
        <v/>
      </c>
      <c r="BP24" s="99" t="str">
        <f t="shared" si="22"/>
        <v/>
      </c>
      <c r="BQ24" s="99"/>
      <c r="BR24" s="99"/>
      <c r="BS24" s="99"/>
      <c r="BT24" s="99"/>
      <c r="BU24" s="99"/>
      <c r="BV24" s="99"/>
      <c r="BW24" s="72">
        <v>109</v>
      </c>
      <c r="GR24">
        <v>10921</v>
      </c>
      <c r="GS24">
        <v>10922</v>
      </c>
      <c r="GT24">
        <v>10923</v>
      </c>
      <c r="GU24">
        <v>10924</v>
      </c>
      <c r="HP24">
        <v>43690</v>
      </c>
    </row>
    <row r="25" spans="1:224" ht="51">
      <c r="A25">
        <f>'All Girls &amp; Descendants'!B23</f>
        <v>36</v>
      </c>
      <c r="B25" t="str">
        <f>'All Girls &amp; Descendants'!C23</f>
        <v>36d</v>
      </c>
      <c r="C25" t="str">
        <f>'All Girls &amp; Descendants'!D23</f>
        <v>COURTHOPE</v>
      </c>
      <c r="D25" t="str">
        <f>'All Girls &amp; Descendants'!E23</f>
        <v>Barbara</v>
      </c>
      <c r="E25" t="str">
        <f>IF('All Girls &amp; Descendants'!F23="","",'All Girls &amp; Descendants'!F23)</f>
        <v>Frances</v>
      </c>
      <c r="F25" t="str">
        <f>IF('All Girls &amp; Descendants'!G23="","",'All Girls &amp; Descendants'!G23)</f>
        <v/>
      </c>
      <c r="G25" t="str">
        <f>IF('All Girls &amp; Descendants'!H23="",D25,'All Girls &amp; Descendants'!H23)</f>
        <v>Barbara</v>
      </c>
      <c r="H25">
        <f>'All Girls &amp; Descendants'!I23</f>
        <v>1883</v>
      </c>
      <c r="I25">
        <f>'All Girls &amp; Descendants'!J23</f>
        <v>1972</v>
      </c>
      <c r="J25">
        <f>'All Girls &amp; Descendants'!K23</f>
        <v>0</v>
      </c>
      <c r="K25" s="7" t="str">
        <f>'All Girls &amp; Descendants'!M23</f>
        <v>23/12/1883</v>
      </c>
      <c r="L25">
        <f>'All Girls &amp; Descendants'!N23</f>
        <v>3966</v>
      </c>
      <c r="M25">
        <f>'All Girls &amp; Descendants'!O23</f>
        <v>26373</v>
      </c>
      <c r="N25" t="str">
        <f>'All Girls &amp; Descendants'!P23</f>
        <v>15/03/1972</v>
      </c>
      <c r="O25" t="str">
        <f>'All Girls &amp; Descendants'!Q23</f>
        <v>36</v>
      </c>
      <c r="P25" t="str">
        <f t="shared" si="2"/>
        <v>36d</v>
      </c>
      <c r="Q25" s="116">
        <f t="shared" si="3"/>
        <v>1</v>
      </c>
      <c r="R25" s="31" t="str">
        <f t="shared" si="4"/>
        <v>Barbara Frances  COURTHOPE</v>
      </c>
      <c r="S25" s="31" t="str">
        <f t="shared" si="5"/>
        <v>Barbara COURTHOPE (1883 -1972: #36d)</v>
      </c>
      <c r="U25" s="117">
        <f t="shared" si="6"/>
        <v>7022</v>
      </c>
      <c r="V25" t="s">
        <v>2305</v>
      </c>
      <c r="W25" s="116">
        <f t="shared" si="31"/>
        <v>70</v>
      </c>
      <c r="X25" s="116" t="str">
        <f t="shared" si="28"/>
        <v>b</v>
      </c>
      <c r="Y25" s="116" t="str">
        <f t="shared" si="7"/>
        <v>b</v>
      </c>
      <c r="Z25" s="116"/>
      <c r="AB25" s="116"/>
      <c r="AE25" s="99">
        <f t="shared" si="8"/>
        <v>110</v>
      </c>
      <c r="AF25" s="116">
        <f t="shared" si="23"/>
        <v>6</v>
      </c>
      <c r="AG25" s="117" t="str">
        <f t="shared" si="9"/>
        <v>110aa</v>
      </c>
      <c r="AH25" s="117" t="str">
        <f t="shared" si="9"/>
        <v>110ab</v>
      </c>
      <c r="AI25" s="117" t="str">
        <f t="shared" si="38"/>
        <v>110ac</v>
      </c>
      <c r="AJ25" s="117" t="str">
        <f t="shared" si="38"/>
        <v>110ca</v>
      </c>
      <c r="AK25" s="117" t="str">
        <f>VLOOKUP(IF(ISNUMBER(SMALL($BX25:$HO25,AK$3)),SMALL($BX25:$HO25,AK$3),""),$U$4:$V$160,2,FALSE)</f>
        <v>110da</v>
      </c>
      <c r="AL25" s="117" t="str">
        <f>VLOOKUP(IF(ISNUMBER(SMALL($BX25:$HO25,AL$3)),SMALL($BX25:$HO25,AL$3),""),$U$4:$V$160,2,FALSE)</f>
        <v>110db</v>
      </c>
      <c r="AM25" s="117"/>
      <c r="AN25" s="117"/>
      <c r="AO25" s="117"/>
      <c r="AP25" s="117"/>
      <c r="AQ25" s="117"/>
      <c r="AR25" s="117"/>
      <c r="AS25" s="117"/>
      <c r="AT25" s="117"/>
      <c r="AU25" s="117"/>
      <c r="AV25" s="117"/>
      <c r="AW25" s="117"/>
      <c r="AX25" s="128">
        <f t="shared" si="24"/>
        <v>110</v>
      </c>
      <c r="AY25" s="128">
        <f t="shared" si="25"/>
        <v>6</v>
      </c>
      <c r="AZ25" s="97" t="str">
        <f t="shared" si="26"/>
        <v xml:space="preserve">Christopher BOYCE (1990 -: #110aa) Andrew BOYCE (1991 -: #110ab) Robin BOYCE (1997 -2019: #110ac) Hannah BOYCE (2011 -: #110ca) Karina BOYCE de CASTRO (1999 -: #110da) Matheus BOYCE de CASTRO (2002 -0: #110db)          </v>
      </c>
      <c r="BA25" t="str">
        <f t="shared" si="29"/>
        <v>Christopher BOYCE (1990 -: #110aa)</v>
      </c>
      <c r="BB25" s="99" t="str">
        <f t="shared" si="30"/>
        <v>Andrew BOYCE (1991 -: #110ab)</v>
      </c>
      <c r="BC25" s="99" t="str">
        <f t="shared" si="27"/>
        <v>Robin BOYCE (1997 -2019: #110ac)</v>
      </c>
      <c r="BD25" s="99" t="str">
        <f t="shared" si="10"/>
        <v>Hannah BOYCE (2011 -: #110ca)</v>
      </c>
      <c r="BE25" s="99" t="str">
        <f t="shared" si="11"/>
        <v>Karina BOYCE de CASTRO (1999 -: #110da)</v>
      </c>
      <c r="BF25" s="99" t="str">
        <f t="shared" si="12"/>
        <v>Matheus BOYCE de CASTRO (2002 -0: #110db)</v>
      </c>
      <c r="BG25" s="99" t="str">
        <f t="shared" si="13"/>
        <v/>
      </c>
      <c r="BH25" s="99" t="str">
        <f t="shared" si="14"/>
        <v/>
      </c>
      <c r="BI25" s="99" t="str">
        <f t="shared" si="15"/>
        <v/>
      </c>
      <c r="BJ25" s="99" t="str">
        <f t="shared" si="16"/>
        <v/>
      </c>
      <c r="BK25" s="99" t="str">
        <f t="shared" si="17"/>
        <v/>
      </c>
      <c r="BL25" s="99" t="str">
        <f t="shared" si="18"/>
        <v/>
      </c>
      <c r="BM25" s="99" t="str">
        <f t="shared" si="19"/>
        <v/>
      </c>
      <c r="BN25" s="99" t="str">
        <f t="shared" si="20"/>
        <v/>
      </c>
      <c r="BO25" s="99" t="str">
        <f t="shared" si="21"/>
        <v/>
      </c>
      <c r="BP25" s="99" t="str">
        <f t="shared" si="22"/>
        <v/>
      </c>
      <c r="BQ25" s="99"/>
      <c r="BR25" s="99"/>
      <c r="BS25" s="99"/>
      <c r="BT25" s="99"/>
      <c r="BU25" s="99"/>
      <c r="BV25" s="99"/>
      <c r="BW25" s="72">
        <v>110</v>
      </c>
      <c r="GV25">
        <v>11011</v>
      </c>
      <c r="GW25">
        <v>11012</v>
      </c>
      <c r="GX25">
        <v>11013</v>
      </c>
      <c r="GY25">
        <v>11031</v>
      </c>
      <c r="GZ25">
        <v>11041</v>
      </c>
      <c r="HA25">
        <v>11042</v>
      </c>
      <c r="HP25">
        <v>66150</v>
      </c>
    </row>
    <row r="26" spans="1:224" ht="51">
      <c r="A26">
        <f>'All Girls &amp; Descendants'!B24</f>
        <v>36</v>
      </c>
      <c r="B26" t="str">
        <f>'All Girls &amp; Descendants'!C24</f>
        <v>36e</v>
      </c>
      <c r="C26" t="str">
        <f>'All Girls &amp; Descendants'!D24</f>
        <v>COURTHOPE</v>
      </c>
      <c r="D26" t="str">
        <f>'All Girls &amp; Descendants'!E24</f>
        <v>Elinor</v>
      </c>
      <c r="E26" t="str">
        <f>IF('All Girls &amp; Descendants'!F24="","",'All Girls &amp; Descendants'!F24)</f>
        <v>Joan</v>
      </c>
      <c r="F26" t="str">
        <f>IF('All Girls &amp; Descendants'!G24="","",'All Girls &amp; Descendants'!G24)</f>
        <v/>
      </c>
      <c r="G26" t="str">
        <f>IF('All Girls &amp; Descendants'!H24="",D26,'All Girls &amp; Descendants'!H24)</f>
        <v>Elinor</v>
      </c>
      <c r="H26">
        <f>'All Girls &amp; Descendants'!I24</f>
        <v>1886</v>
      </c>
      <c r="I26">
        <f>'All Girls &amp; Descendants'!J24</f>
        <v>1974</v>
      </c>
      <c r="J26">
        <f>'All Girls &amp; Descendants'!K24</f>
        <v>0</v>
      </c>
      <c r="K26" s="7" t="str">
        <f>'All Girls &amp; Descendants'!M24</f>
        <v>03/06/1886</v>
      </c>
      <c r="L26" t="str">
        <f>'All Girls &amp; Descendants'!N24</f>
        <v xml:space="preserve"> - </v>
      </c>
      <c r="M26">
        <f>'All Girls &amp; Descendants'!O24</f>
        <v>27072</v>
      </c>
      <c r="N26" t="str">
        <f>'All Girls &amp; Descendants'!P24</f>
        <v>12/02/1974</v>
      </c>
      <c r="O26" t="str">
        <f>'All Girls &amp; Descendants'!Q24</f>
        <v>36</v>
      </c>
      <c r="P26" t="str">
        <f t="shared" si="2"/>
        <v>36e</v>
      </c>
      <c r="Q26" s="116">
        <f t="shared" si="3"/>
        <v>1</v>
      </c>
      <c r="R26" s="31" t="str">
        <f t="shared" si="4"/>
        <v>Elinor Joan  COURTHOPE</v>
      </c>
      <c r="S26" s="31" t="str">
        <f t="shared" si="5"/>
        <v>Elinor COURTHOPE (1886 -1974: #36e)</v>
      </c>
      <c r="U26" s="117">
        <f t="shared" si="6"/>
        <v>7031</v>
      </c>
      <c r="V26" t="s">
        <v>2317</v>
      </c>
      <c r="W26" s="116">
        <f t="shared" si="31"/>
        <v>70</v>
      </c>
      <c r="X26" s="116" t="str">
        <f t="shared" si="28"/>
        <v>c</v>
      </c>
      <c r="Y26" s="116" t="str">
        <f t="shared" si="7"/>
        <v>a</v>
      </c>
      <c r="Z26" s="116"/>
      <c r="AB26" s="116"/>
      <c r="AE26" s="99">
        <f>BW26</f>
        <v>115</v>
      </c>
      <c r="AF26" s="116">
        <f t="shared" si="23"/>
        <v>6</v>
      </c>
      <c r="AG26" s="117" t="str">
        <f t="shared" si="9"/>
        <v>115aa</v>
      </c>
      <c r="AH26" s="117" t="str">
        <f t="shared" si="9"/>
        <v>115ab</v>
      </c>
      <c r="AI26" s="117" t="str">
        <f t="shared" si="38"/>
        <v>115ac</v>
      </c>
      <c r="AJ26" s="117" t="str">
        <f t="shared" si="38"/>
        <v>115ba</v>
      </c>
      <c r="AK26" s="117" t="str">
        <f>VLOOKUP(IF(ISNUMBER(SMALL($BX26:$HO26,AK$3)),SMALL($BX26:$HO26,AK$3),""),$U$4:$V$160,2,FALSE)</f>
        <v>115bb</v>
      </c>
      <c r="AL26" s="117" t="str">
        <f>VLOOKUP(IF(ISNUMBER(SMALL($BX26:$HO26,AL$3)),SMALL($BX26:$HO26,AL$3),""),$U$4:$V$160,2,FALSE)</f>
        <v>115bc</v>
      </c>
      <c r="AM26" s="117"/>
      <c r="AN26" s="117"/>
      <c r="AO26" s="117"/>
      <c r="AP26" s="117"/>
      <c r="AQ26" s="117"/>
      <c r="AR26" s="117"/>
      <c r="AS26" s="117"/>
      <c r="AT26" s="117"/>
      <c r="AU26" s="117"/>
      <c r="AV26" s="117"/>
      <c r="AW26" s="117"/>
      <c r="AX26" s="128">
        <f t="shared" si="24"/>
        <v>115</v>
      </c>
      <c r="AY26" s="128">
        <f t="shared" si="25"/>
        <v>6</v>
      </c>
      <c r="AZ26" s="97" t="str">
        <f t="shared" si="26"/>
        <v xml:space="preserve">Benjamin CATOR (1988 -: #115aa) Lara CATOR (1992 -: #115ab) Oscar CATOR (1996 -: #115ac) Milo SOAMES (1995 -: #115ba) Tommy SOAMES (1997 -: #115bb) Mary SOAMES (1999 -: #115bc)          </v>
      </c>
      <c r="BA26" t="str">
        <f t="shared" si="29"/>
        <v>Benjamin CATOR (1988 -: #115aa)</v>
      </c>
      <c r="BB26" s="99" t="str">
        <f t="shared" si="30"/>
        <v>Lara CATOR (1992 -: #115ab)</v>
      </c>
      <c r="BC26" s="99" t="str">
        <f t="shared" si="27"/>
        <v>Oscar CATOR (1996 -: #115ac)</v>
      </c>
      <c r="BD26" s="99" t="str">
        <f t="shared" ref="BD26:BD39" si="39">IF(AJ26&lt;&gt;"",VLOOKUP(AJ26,$P$3:$T$426,4,FALSE),"")</f>
        <v>Milo SOAMES (1995 -: #115ba)</v>
      </c>
      <c r="BE26" s="99" t="str">
        <f t="shared" ref="BE26:BE39" si="40">IF(AK26&lt;&gt;"",VLOOKUP(AK26,$P$3:$T$426,4,FALSE),"")</f>
        <v>Tommy SOAMES (1997 -: #115bb)</v>
      </c>
      <c r="BF26" s="99" t="str">
        <f t="shared" ref="BF26:BF39" si="41">IF(AL26&lt;&gt;"",VLOOKUP(AL26,$P$3:$T$426,4,FALSE),"")</f>
        <v>Mary SOAMES (1999 -: #115bc)</v>
      </c>
      <c r="BG26" s="99" t="str">
        <f t="shared" ref="BG26:BG39" si="42">IF(AM26&lt;&gt;"",VLOOKUP(AM26,$P$3:$T$426,4,FALSE),"")</f>
        <v/>
      </c>
      <c r="BH26" s="99" t="str">
        <f t="shared" ref="BH26:BH39" si="43">IF(AN26&lt;&gt;"",VLOOKUP(AN26,$P$3:$T$426,4,FALSE),"")</f>
        <v/>
      </c>
      <c r="BI26" s="99"/>
      <c r="BJ26" s="99"/>
      <c r="BK26" s="99"/>
      <c r="BL26" s="99"/>
      <c r="BM26" s="99"/>
      <c r="BN26" s="99"/>
      <c r="BO26" s="99"/>
      <c r="BP26" s="99"/>
      <c r="BQ26" s="99"/>
      <c r="BR26" s="99"/>
      <c r="BS26" s="99"/>
      <c r="BT26" s="99"/>
      <c r="BU26" s="99"/>
      <c r="BV26" s="99"/>
      <c r="BW26" s="72">
        <v>115</v>
      </c>
      <c r="HB26">
        <v>11511</v>
      </c>
      <c r="HC26">
        <v>11512</v>
      </c>
      <c r="HD26">
        <v>11513</v>
      </c>
      <c r="HE26">
        <v>11521</v>
      </c>
      <c r="HF26">
        <v>11522</v>
      </c>
      <c r="HG26">
        <v>11523</v>
      </c>
      <c r="HP26">
        <v>69102</v>
      </c>
    </row>
    <row r="27" spans="1:224" ht="34">
      <c r="A27">
        <f>'All Girls &amp; Descendants'!B25</f>
        <v>36</v>
      </c>
      <c r="B27" t="str">
        <f>'All Girls &amp; Descendants'!C25</f>
        <v>36f</v>
      </c>
      <c r="C27" t="str">
        <f>'All Girls &amp; Descendants'!D25</f>
        <v>COURTHOPE</v>
      </c>
      <c r="D27" t="str">
        <f>'All Girls &amp; Descendants'!E25</f>
        <v>Richard</v>
      </c>
      <c r="E27" t="str">
        <f>IF('All Girls &amp; Descendants'!F25="","",'All Girls &amp; Descendants'!F25)</f>
        <v>Foster</v>
      </c>
      <c r="F27" t="str">
        <f>IF('All Girls &amp; Descendants'!G25="","",'All Girls &amp; Descendants'!G25)</f>
        <v/>
      </c>
      <c r="G27" t="str">
        <f>IF('All Girls &amp; Descendants'!H25="",D27,'All Girls &amp; Descendants'!H25)</f>
        <v>Richard</v>
      </c>
      <c r="H27">
        <f>'All Girls &amp; Descendants'!I25</f>
        <v>1888</v>
      </c>
      <c r="I27">
        <f>'All Girls &amp; Descendants'!J25</f>
        <v>1889</v>
      </c>
      <c r="J27">
        <f>'All Girls &amp; Descendants'!K25</f>
        <v>0</v>
      </c>
      <c r="K27" s="7" t="str">
        <f>'All Girls &amp; Descendants'!M25</f>
        <v>21/10/1888</v>
      </c>
      <c r="L27" t="str">
        <f>'All Girls &amp; Descendants'!N25</f>
        <v xml:space="preserve"> - </v>
      </c>
      <c r="M27" t="str">
        <f>'All Girls &amp; Descendants'!O25</f>
        <v>28/05/1889</v>
      </c>
      <c r="N27" t="str">
        <f>'All Girls &amp; Descendants'!P25</f>
        <v>28/05/1889</v>
      </c>
      <c r="O27" t="str">
        <f>'All Girls &amp; Descendants'!Q25</f>
        <v>36</v>
      </c>
      <c r="P27" t="str">
        <f t="shared" si="2"/>
        <v>36f</v>
      </c>
      <c r="Q27" s="116">
        <f t="shared" si="3"/>
        <v>1</v>
      </c>
      <c r="R27" s="31" t="str">
        <f t="shared" si="4"/>
        <v>Richard Foster  COURTHOPE</v>
      </c>
      <c r="S27" s="31" t="str">
        <f t="shared" si="5"/>
        <v>Richard COURTHOPE (1888 -1889: #36f)</v>
      </c>
      <c r="U27" s="117">
        <f t="shared" si="6"/>
        <v>7032</v>
      </c>
      <c r="V27" t="s">
        <v>3296</v>
      </c>
      <c r="W27" s="116">
        <f t="shared" si="31"/>
        <v>70</v>
      </c>
      <c r="X27" s="116" t="str">
        <f t="shared" si="28"/>
        <v>c</v>
      </c>
      <c r="Y27" s="116" t="str">
        <f t="shared" si="7"/>
        <v>b</v>
      </c>
      <c r="Z27" s="116"/>
      <c r="AB27" s="116"/>
      <c r="AE27" s="99">
        <f>BW27</f>
        <v>123</v>
      </c>
      <c r="AF27" s="116">
        <f t="shared" si="23"/>
        <v>5</v>
      </c>
      <c r="AG27" s="117" t="str">
        <f>VLOOKUP(IF(ISNUMBER(SMALL($BX27:$HO27,AG$3)),SMALL($BX27:$HO27,AG$3),""),$U$4:$V$160,2,FALSE)</f>
        <v>123aa</v>
      </c>
      <c r="AH27" s="117" t="str">
        <f>VLOOKUP(IF(ISNUMBER(SMALL($BX27:$HM27,AH$3)),SMALL($BX27:$HM27,AH$3),""),$U$4:$V$160,2,FALSE)</f>
        <v>123ab</v>
      </c>
      <c r="AI27" s="117" t="str">
        <f>VLOOKUP(IF(ISNUMBER(SMALL($BX27:$HM27,AI$3)),SMALL($BX27:$HM27,AI$3),""),$U$4:$V$160,2,FALSE)</f>
        <v>123ba</v>
      </c>
      <c r="AJ27" s="117" t="str">
        <f>VLOOKUP(IF(ISNUMBER(SMALL($BX27:$HM27,AJ$3)),SMALL($BX27:$HM27,AJ$3),""),$U$4:$V$160,2,FALSE)</f>
        <v>123bb</v>
      </c>
      <c r="AK27" s="117" t="str">
        <f>VLOOKUP(IF(ISNUMBER(SMALL($BX27:$HM27,AK$3)),SMALL($BX27:$HM27,AK$3),""),$U$4:$V$160,2,FALSE)</f>
        <v>123bc</v>
      </c>
      <c r="AL27" s="117"/>
      <c r="AM27" s="117"/>
      <c r="AN27" s="117"/>
      <c r="AO27" s="117"/>
      <c r="AP27" s="117"/>
      <c r="AQ27" s="117"/>
      <c r="AR27" s="117"/>
      <c r="AS27" s="117"/>
      <c r="AT27" s="117"/>
      <c r="AU27" s="117"/>
      <c r="AV27" s="117"/>
      <c r="AW27" s="117"/>
      <c r="AX27" s="128">
        <f>AE27</f>
        <v>123</v>
      </c>
      <c r="AY27" s="128">
        <f>AF27</f>
        <v>5</v>
      </c>
      <c r="AZ27" s="97" t="str">
        <f>_xlfn.CONCAT(BA27," ",BB27," ",BC27," ",BD27," ",BE27," ",BF27," ",BG27," ",BH27," ",BI27," ",BJ27," ",BK27," ",BL27," ",BM27," ",BN27," ",BO27," ",BP27)</f>
        <v xml:space="preserve">Evie TALBOT (2012 -: #123aa) Arlo TALBOT (2015 -: #123ab) Rufus CORVINO (2005 -: #123ba) Hal BOSMAN (2017 -: #123bb) Rocky BOSMAN (2020 -: #123bc)           </v>
      </c>
      <c r="BA27" t="str">
        <f t="shared" si="29"/>
        <v>Evie TALBOT (2012 -: #123aa)</v>
      </c>
      <c r="BB27" t="str">
        <f t="shared" si="30"/>
        <v>Arlo TALBOT (2015 -: #123ab)</v>
      </c>
      <c r="BC27" t="str">
        <f t="shared" si="27"/>
        <v>Rufus CORVINO (2005 -: #123ba)</v>
      </c>
      <c r="BD27" t="str">
        <f t="shared" si="39"/>
        <v>Hal BOSMAN (2017 -: #123bb)</v>
      </c>
      <c r="BE27" t="str">
        <f t="shared" si="40"/>
        <v>Rocky BOSMAN (2020 -: #123bc)</v>
      </c>
      <c r="BF27" t="str">
        <f t="shared" si="41"/>
        <v/>
      </c>
      <c r="BG27" t="str">
        <f t="shared" si="42"/>
        <v/>
      </c>
      <c r="BH27" t="str">
        <f t="shared" si="43"/>
        <v/>
      </c>
      <c r="BW27" s="72">
        <v>123</v>
      </c>
      <c r="HH27">
        <v>12311</v>
      </c>
      <c r="HI27">
        <v>12312</v>
      </c>
      <c r="HJ27">
        <v>12321</v>
      </c>
      <c r="HK27">
        <v>12322</v>
      </c>
      <c r="HL27">
        <v>12323</v>
      </c>
      <c r="HP27">
        <v>61589</v>
      </c>
    </row>
    <row r="28" spans="1:224" ht="17">
      <c r="A28">
        <f>'All Girls &amp; Descendants'!B26</f>
        <v>36</v>
      </c>
      <c r="B28" t="str">
        <f>'All Girls &amp; Descendants'!C26</f>
        <v>36g</v>
      </c>
      <c r="C28" t="str">
        <f>'All Girls &amp; Descendants'!D26</f>
        <v>COURTHOPE</v>
      </c>
      <c r="D28" t="str">
        <f>'All Girls &amp; Descendants'!E26</f>
        <v>Robert</v>
      </c>
      <c r="E28" t="str">
        <f>IF('All Girls &amp; Descendants'!F26="","",'All Girls &amp; Descendants'!F26)</f>
        <v/>
      </c>
      <c r="F28" t="str">
        <f>IF('All Girls &amp; Descendants'!G26="","",'All Girls &amp; Descendants'!G26)</f>
        <v/>
      </c>
      <c r="G28" t="str">
        <f>IF('All Girls &amp; Descendants'!H26="",D28,'All Girls &amp; Descendants'!H26)</f>
        <v>Robert</v>
      </c>
      <c r="H28">
        <f>'All Girls &amp; Descendants'!I26</f>
        <v>1891</v>
      </c>
      <c r="I28">
        <f>'All Girls &amp; Descendants'!J26</f>
        <v>1966</v>
      </c>
      <c r="J28">
        <f>'All Girls &amp; Descendants'!K26</f>
        <v>0</v>
      </c>
      <c r="K28" s="7" t="str">
        <f>'All Girls &amp; Descendants'!M26</f>
        <v>15/03/1891</v>
      </c>
      <c r="L28" t="str">
        <f>'All Girls &amp; Descendants'!N26</f>
        <v xml:space="preserve"> - </v>
      </c>
      <c r="M28">
        <f>'All Girls &amp; Descendants'!O26</f>
        <v>24198</v>
      </c>
      <c r="N28" t="str">
        <f>'All Girls &amp; Descendants'!P26</f>
        <v>01/04/1966</v>
      </c>
      <c r="O28" t="str">
        <f>'All Girls &amp; Descendants'!Q26</f>
        <v>36</v>
      </c>
      <c r="P28" t="str">
        <f t="shared" si="2"/>
        <v>36g</v>
      </c>
      <c r="Q28" s="116">
        <f t="shared" si="3"/>
        <v>1</v>
      </c>
      <c r="R28" s="31" t="str">
        <f t="shared" si="4"/>
        <v>Robert   COURTHOPE</v>
      </c>
      <c r="S28" s="31" t="str">
        <f t="shared" si="5"/>
        <v>Robert COURTHOPE (1891 -1966: #36g)</v>
      </c>
      <c r="U28" s="117">
        <f t="shared" si="6"/>
        <v>7033</v>
      </c>
      <c r="V28" t="s">
        <v>3297</v>
      </c>
      <c r="W28" s="116">
        <f t="shared" si="31"/>
        <v>70</v>
      </c>
      <c r="X28" s="116" t="str">
        <f t="shared" si="28"/>
        <v>c</v>
      </c>
      <c r="Y28" s="116" t="str">
        <f t="shared" si="7"/>
        <v>c</v>
      </c>
      <c r="Z28" s="116"/>
      <c r="AB28" s="116"/>
      <c r="AE28" s="99">
        <f>BW28</f>
        <v>143</v>
      </c>
      <c r="AF28" s="116">
        <f t="shared" si="23"/>
        <v>1</v>
      </c>
      <c r="AG28" s="117" t="str">
        <f>VLOOKUP(IF(ISNUMBER(SMALL($BX28:$HO28,AG$3)),SMALL($BX28:$HO28,AG$3),""),$U$4:$V$160,2,FALSE)</f>
        <v>143aa</v>
      </c>
      <c r="AH28" s="117"/>
      <c r="AI28" s="117"/>
      <c r="AJ28" s="117"/>
      <c r="AK28" s="117"/>
      <c r="AL28" s="117"/>
      <c r="AM28" s="117"/>
      <c r="AN28" s="117"/>
      <c r="AO28" s="117"/>
      <c r="AP28" s="117"/>
      <c r="AQ28" s="117"/>
      <c r="AR28" s="117"/>
      <c r="AS28" s="117"/>
      <c r="AT28" s="117"/>
      <c r="AU28" s="117"/>
      <c r="AV28" s="117"/>
      <c r="AW28" s="117"/>
      <c r="AX28" s="128">
        <f>AE28</f>
        <v>143</v>
      </c>
      <c r="AY28" s="128">
        <f>AF28</f>
        <v>1</v>
      </c>
      <c r="AZ28" s="97" t="str">
        <f>_xlfn.CONCAT(BA28," ",BB28," ",BC28," ",BD28," ",BE28," ",BF28," ",BG28," ",BH28," ",BI28," ",BJ28," ",BK28," ",BL28," ",BM28," ",BN28," ",BO28," ",BP28)</f>
        <v xml:space="preserve">Alice RUSSELL-STONEHAM (2020 -: #143aa)               </v>
      </c>
      <c r="BA28" t="str">
        <f t="shared" si="29"/>
        <v>Alice RUSSELL-STONEHAM (2020 -: #143aa)</v>
      </c>
      <c r="BB28" t="str">
        <f t="shared" si="30"/>
        <v/>
      </c>
      <c r="BC28" t="str">
        <f t="shared" si="27"/>
        <v/>
      </c>
      <c r="BD28" t="str">
        <f t="shared" si="39"/>
        <v/>
      </c>
      <c r="BE28" t="str">
        <f t="shared" si="40"/>
        <v/>
      </c>
      <c r="BF28" t="str">
        <f t="shared" si="41"/>
        <v/>
      </c>
      <c r="BG28" t="str">
        <f t="shared" si="42"/>
        <v/>
      </c>
      <c r="BH28" t="str">
        <f t="shared" si="43"/>
        <v/>
      </c>
      <c r="BW28" s="72">
        <v>143</v>
      </c>
      <c r="HM28">
        <v>14311</v>
      </c>
      <c r="HP28">
        <v>14311</v>
      </c>
    </row>
    <row r="29" spans="1:224" ht="17">
      <c r="A29">
        <f>'All Girls &amp; Descendants'!B27</f>
        <v>36</v>
      </c>
      <c r="B29" t="str">
        <f>'All Girls &amp; Descendants'!C27</f>
        <v>36h</v>
      </c>
      <c r="C29" t="str">
        <f>'All Girls &amp; Descendants'!D27</f>
        <v>COURTHOPE</v>
      </c>
      <c r="D29" t="str">
        <f>'All Girls &amp; Descendants'!E27</f>
        <v>Margery</v>
      </c>
      <c r="E29" t="str">
        <f>IF('All Girls &amp; Descendants'!F27="","",'All Girls &amp; Descendants'!F27)</f>
        <v/>
      </c>
      <c r="F29" t="str">
        <f>IF('All Girls &amp; Descendants'!G27="","",'All Girls &amp; Descendants'!G27)</f>
        <v/>
      </c>
      <c r="G29" t="str">
        <f>IF('All Girls &amp; Descendants'!H27="",D29,'All Girls &amp; Descendants'!H27)</f>
        <v>Margery</v>
      </c>
      <c r="H29">
        <f>'All Girls &amp; Descendants'!I27</f>
        <v>1893</v>
      </c>
      <c r="I29">
        <f>'All Girls &amp; Descendants'!J27</f>
        <v>1901</v>
      </c>
      <c r="J29">
        <f>'All Girls &amp; Descendants'!K27</f>
        <v>0</v>
      </c>
      <c r="K29" s="7" t="str">
        <f>'All Girls &amp; Descendants'!M27</f>
        <v>29/03/1893</v>
      </c>
      <c r="L29" t="str">
        <f>'All Girls &amp; Descendants'!N27</f>
        <v xml:space="preserve"> - </v>
      </c>
      <c r="M29">
        <f>'All Girls &amp; Descendants'!O27</f>
        <v>710</v>
      </c>
      <c r="N29" t="str">
        <f>'All Girls &amp; Descendants'!P27</f>
        <v>10/12/1901</v>
      </c>
      <c r="O29" t="str">
        <f>'All Girls &amp; Descendants'!Q27</f>
        <v>36</v>
      </c>
      <c r="P29" t="str">
        <f t="shared" si="2"/>
        <v>36h</v>
      </c>
      <c r="Q29" s="116">
        <f t="shared" si="3"/>
        <v>1</v>
      </c>
      <c r="R29" s="31" t="str">
        <f t="shared" si="4"/>
        <v>Margery   COURTHOPE</v>
      </c>
      <c r="S29" s="31" t="str">
        <f t="shared" si="5"/>
        <v>Margery COURTHOPE (1893 -1901: #36h)</v>
      </c>
      <c r="U29" s="117">
        <f t="shared" si="6"/>
        <v>7034</v>
      </c>
      <c r="V29" t="s">
        <v>2320</v>
      </c>
      <c r="W29" s="116">
        <f t="shared" si="31"/>
        <v>70</v>
      </c>
      <c r="X29" s="116" t="str">
        <f t="shared" si="28"/>
        <v>c</v>
      </c>
      <c r="Y29" s="116" t="str">
        <f t="shared" si="7"/>
        <v>d</v>
      </c>
      <c r="Z29" s="116"/>
      <c r="AB29" s="116"/>
      <c r="AE29" s="99"/>
      <c r="AF29" s="116"/>
      <c r="AG29" s="117"/>
      <c r="AH29" s="117"/>
      <c r="AI29" s="117"/>
      <c r="AJ29" s="117"/>
      <c r="AK29" s="117"/>
      <c r="AL29" s="117"/>
      <c r="AM29" s="117"/>
      <c r="AN29" s="117"/>
      <c r="AO29" s="117"/>
      <c r="AP29" s="117"/>
      <c r="AQ29" s="117"/>
      <c r="AR29" s="117"/>
      <c r="AS29" s="117"/>
      <c r="AT29" s="117"/>
      <c r="AU29" s="117"/>
      <c r="AV29" s="117"/>
      <c r="AW29" s="117"/>
      <c r="AX29" s="128"/>
      <c r="AY29" s="117"/>
      <c r="AZ29" s="110"/>
      <c r="BB29" t="str">
        <f t="shared" si="30"/>
        <v/>
      </c>
      <c r="BC29" t="str">
        <f t="shared" si="27"/>
        <v/>
      </c>
      <c r="BD29" t="str">
        <f t="shared" si="39"/>
        <v/>
      </c>
      <c r="BE29" t="str">
        <f t="shared" si="40"/>
        <v/>
      </c>
      <c r="BF29" t="str">
        <f t="shared" si="41"/>
        <v/>
      </c>
      <c r="BG29" t="str">
        <f t="shared" si="42"/>
        <v/>
      </c>
      <c r="BH29" t="str">
        <f t="shared" si="43"/>
        <v/>
      </c>
      <c r="BW29" s="72" t="s">
        <v>2812</v>
      </c>
      <c r="BX29">
        <v>211</v>
      </c>
      <c r="BY29">
        <v>231</v>
      </c>
      <c r="BZ29">
        <v>1821</v>
      </c>
      <c r="CA29">
        <v>1822</v>
      </c>
      <c r="CB29">
        <v>1823</v>
      </c>
      <c r="CC29">
        <v>1824</v>
      </c>
      <c r="CD29">
        <v>1851</v>
      </c>
      <c r="CE29">
        <v>3611</v>
      </c>
      <c r="CF29">
        <v>3612</v>
      </c>
      <c r="CG29">
        <v>3641</v>
      </c>
      <c r="CH29">
        <v>3642</v>
      </c>
      <c r="CI29">
        <v>4711</v>
      </c>
      <c r="CJ29">
        <v>4712</v>
      </c>
      <c r="CK29">
        <v>6311</v>
      </c>
      <c r="CL29">
        <v>6312</v>
      </c>
      <c r="CM29">
        <v>6531</v>
      </c>
      <c r="CN29">
        <v>6532</v>
      </c>
      <c r="CO29">
        <v>7011</v>
      </c>
      <c r="CP29">
        <v>7012</v>
      </c>
      <c r="CQ29">
        <v>7013</v>
      </c>
      <c r="CR29">
        <v>7021</v>
      </c>
      <c r="CS29">
        <v>7022</v>
      </c>
      <c r="CT29">
        <v>7031</v>
      </c>
      <c r="CU29">
        <v>7032</v>
      </c>
      <c r="CV29">
        <v>7033</v>
      </c>
      <c r="CW29">
        <v>7034</v>
      </c>
      <c r="CX29">
        <v>7041</v>
      </c>
      <c r="CY29">
        <v>7042</v>
      </c>
      <c r="CZ29">
        <v>7043</v>
      </c>
      <c r="DA29">
        <v>8511</v>
      </c>
      <c r="DB29">
        <v>8512</v>
      </c>
      <c r="DC29">
        <v>8513</v>
      </c>
      <c r="DD29">
        <v>8521</v>
      </c>
      <c r="DE29">
        <v>8522</v>
      </c>
      <c r="DF29">
        <v>8523</v>
      </c>
      <c r="DG29">
        <v>8524</v>
      </c>
      <c r="DH29">
        <v>8531</v>
      </c>
      <c r="DI29">
        <v>8532</v>
      </c>
      <c r="DJ29">
        <v>8541</v>
      </c>
      <c r="DK29">
        <v>8542</v>
      </c>
      <c r="DL29">
        <v>8811</v>
      </c>
      <c r="DM29">
        <v>8812</v>
      </c>
      <c r="DN29">
        <v>8813</v>
      </c>
      <c r="DO29">
        <v>8814</v>
      </c>
      <c r="DP29">
        <v>8821</v>
      </c>
      <c r="DQ29">
        <v>8831</v>
      </c>
      <c r="DR29">
        <v>9011</v>
      </c>
      <c r="DS29">
        <v>9012</v>
      </c>
      <c r="DT29">
        <v>9021</v>
      </c>
      <c r="DU29">
        <v>9022</v>
      </c>
      <c r="DV29">
        <v>9031</v>
      </c>
      <c r="DW29">
        <v>9032</v>
      </c>
      <c r="DX29">
        <v>9033</v>
      </c>
      <c r="DY29">
        <v>9211</v>
      </c>
      <c r="DZ29">
        <v>9212</v>
      </c>
      <c r="EA29">
        <v>9213</v>
      </c>
      <c r="EB29">
        <v>9214</v>
      </c>
      <c r="EC29">
        <v>9221</v>
      </c>
      <c r="ED29">
        <v>9222</v>
      </c>
      <c r="EE29">
        <v>9223</v>
      </c>
      <c r="EF29">
        <v>9224</v>
      </c>
      <c r="EG29">
        <v>9241</v>
      </c>
      <c r="EH29">
        <v>9242</v>
      </c>
      <c r="EI29">
        <v>9521</v>
      </c>
      <c r="EJ29">
        <v>9522</v>
      </c>
      <c r="EK29">
        <v>9523</v>
      </c>
      <c r="EL29">
        <v>9711</v>
      </c>
      <c r="EM29">
        <v>9712</v>
      </c>
      <c r="EN29">
        <v>9751</v>
      </c>
      <c r="EO29">
        <v>10111</v>
      </c>
      <c r="EP29">
        <v>10112</v>
      </c>
      <c r="EQ29">
        <v>10121</v>
      </c>
      <c r="ER29">
        <v>10122</v>
      </c>
      <c r="ES29">
        <v>10123</v>
      </c>
      <c r="ET29">
        <v>10131</v>
      </c>
      <c r="EU29">
        <v>10132</v>
      </c>
      <c r="EV29">
        <v>10133</v>
      </c>
      <c r="EW29">
        <v>10141</v>
      </c>
      <c r="EX29">
        <v>10142</v>
      </c>
      <c r="EY29">
        <v>10143</v>
      </c>
      <c r="EZ29">
        <v>10151</v>
      </c>
      <c r="FA29">
        <v>10152</v>
      </c>
      <c r="FB29">
        <v>10153</v>
      </c>
      <c r="FC29">
        <v>10161</v>
      </c>
      <c r="FD29">
        <v>10162</v>
      </c>
      <c r="FE29">
        <v>10221</v>
      </c>
      <c r="FF29">
        <v>10222</v>
      </c>
      <c r="FG29">
        <v>10311</v>
      </c>
      <c r="FH29">
        <v>10312</v>
      </c>
      <c r="FI29">
        <v>10313</v>
      </c>
      <c r="FJ29">
        <v>10321</v>
      </c>
      <c r="FK29">
        <v>10322</v>
      </c>
      <c r="FL29">
        <v>10323</v>
      </c>
      <c r="FM29">
        <v>10324</v>
      </c>
      <c r="FN29">
        <v>10331</v>
      </c>
      <c r="FO29">
        <v>10332</v>
      </c>
      <c r="FP29">
        <v>10333</v>
      </c>
      <c r="FQ29">
        <v>10341</v>
      </c>
      <c r="FR29">
        <v>10342</v>
      </c>
      <c r="FS29">
        <v>10343</v>
      </c>
      <c r="FT29">
        <v>10611</v>
      </c>
      <c r="FU29">
        <v>10612</v>
      </c>
      <c r="FV29">
        <v>10613</v>
      </c>
      <c r="FW29">
        <v>10614</v>
      </c>
      <c r="FX29">
        <v>10621</v>
      </c>
      <c r="FY29">
        <v>10622</v>
      </c>
      <c r="FZ29">
        <v>10711</v>
      </c>
      <c r="GA29">
        <v>10712</v>
      </c>
      <c r="GB29">
        <v>10713</v>
      </c>
      <c r="GC29">
        <v>10714</v>
      </c>
      <c r="GD29">
        <v>10721</v>
      </c>
      <c r="GE29">
        <v>10722</v>
      </c>
      <c r="GF29">
        <v>10723</v>
      </c>
      <c r="GG29">
        <v>10731</v>
      </c>
      <c r="GH29">
        <v>10732</v>
      </c>
      <c r="GI29">
        <v>10733</v>
      </c>
      <c r="GJ29">
        <v>10734</v>
      </c>
      <c r="GK29">
        <v>10741</v>
      </c>
      <c r="GL29">
        <v>10742</v>
      </c>
      <c r="GM29">
        <v>10811</v>
      </c>
      <c r="GN29">
        <v>10812</v>
      </c>
      <c r="GO29">
        <v>10821</v>
      </c>
      <c r="GP29">
        <v>10822</v>
      </c>
      <c r="GQ29">
        <v>10831</v>
      </c>
      <c r="GR29">
        <v>10921</v>
      </c>
      <c r="GS29">
        <v>10922</v>
      </c>
      <c r="GT29">
        <v>10923</v>
      </c>
      <c r="GU29">
        <v>10924</v>
      </c>
      <c r="GV29">
        <v>11011</v>
      </c>
      <c r="GW29">
        <v>11012</v>
      </c>
      <c r="GX29">
        <v>11013</v>
      </c>
      <c r="GY29">
        <v>11031</v>
      </c>
      <c r="GZ29">
        <v>11041</v>
      </c>
      <c r="HA29">
        <v>11042</v>
      </c>
      <c r="HB29">
        <v>11511</v>
      </c>
      <c r="HC29">
        <v>11512</v>
      </c>
      <c r="HD29">
        <v>11513</v>
      </c>
      <c r="HE29">
        <v>11521</v>
      </c>
      <c r="HF29">
        <v>11522</v>
      </c>
      <c r="HG29">
        <v>11523</v>
      </c>
      <c r="HH29">
        <v>12311</v>
      </c>
      <c r="HI29">
        <v>12312</v>
      </c>
      <c r="HJ29">
        <v>12321</v>
      </c>
      <c r="HK29">
        <v>12322</v>
      </c>
      <c r="HL29">
        <v>12323</v>
      </c>
      <c r="HM29">
        <v>14311</v>
      </c>
      <c r="HN29">
        <v>9752</v>
      </c>
      <c r="HO29">
        <v>9753</v>
      </c>
      <c r="HP29">
        <v>1351779</v>
      </c>
    </row>
    <row r="30" spans="1:224" ht="17">
      <c r="A30">
        <f>'All Girls &amp; Descendants'!B28</f>
        <v>42</v>
      </c>
      <c r="B30" t="str">
        <f>'All Girls &amp; Descendants'!C28</f>
        <v>42a</v>
      </c>
      <c r="C30" t="str">
        <f>'All Girls &amp; Descendants'!D28</f>
        <v>GODDARD</v>
      </c>
      <c r="D30" t="str">
        <f>'All Girls &amp; Descendants'!E28</f>
        <v>Ambrose</v>
      </c>
      <c r="E30" t="str">
        <f>IF('All Girls &amp; Descendants'!F28="","",'All Girls &amp; Descendants'!F28)</f>
        <v>William</v>
      </c>
      <c r="F30" t="str">
        <f>IF('All Girls &amp; Descendants'!G28="","",'All Girls &amp; Descendants'!G28)</f>
        <v/>
      </c>
      <c r="G30" t="str">
        <f>IF('All Girls &amp; Descendants'!H28="",D30,'All Girls &amp; Descendants'!H28)</f>
        <v>Ambrose</v>
      </c>
      <c r="H30">
        <f>'All Girls &amp; Descendants'!I28</f>
        <v>1892</v>
      </c>
      <c r="I30" t="str">
        <f>'All Girls &amp; Descendants'!J28</f>
        <v/>
      </c>
      <c r="J30">
        <f>'All Girls &amp; Descendants'!K28</f>
        <v>0</v>
      </c>
      <c r="K30" s="7" t="str">
        <f>'All Girls &amp; Descendants'!M28</f>
        <v>13/03/1892</v>
      </c>
      <c r="L30">
        <f>'All Girls &amp; Descendants'!N28</f>
        <v>8333</v>
      </c>
      <c r="M30" t="str">
        <f>'All Girls &amp; Descendants'!O28</f>
        <v/>
      </c>
      <c r="N30" t="str">
        <f>'All Girls &amp; Descendants'!P28</f>
        <v/>
      </c>
      <c r="O30" t="str">
        <f>'All Girls &amp; Descendants'!Q28</f>
        <v>42</v>
      </c>
      <c r="P30" t="str">
        <f t="shared" si="2"/>
        <v>42a</v>
      </c>
      <c r="Q30" s="116">
        <f t="shared" si="3"/>
        <v>1</v>
      </c>
      <c r="R30" s="31" t="str">
        <f t="shared" si="4"/>
        <v>Ambrose William  GODDARD</v>
      </c>
      <c r="S30" s="31" t="str">
        <f t="shared" si="5"/>
        <v>Ambrose GODDARD (1892 -: #42a)</v>
      </c>
      <c r="U30" s="117">
        <f t="shared" si="6"/>
        <v>7041</v>
      </c>
      <c r="V30" t="s">
        <v>2332</v>
      </c>
      <c r="W30" s="116">
        <f t="shared" si="31"/>
        <v>70</v>
      </c>
      <c r="X30" s="116" t="str">
        <f t="shared" si="28"/>
        <v>d</v>
      </c>
      <c r="Y30" s="116" t="str">
        <f t="shared" si="7"/>
        <v>a</v>
      </c>
      <c r="Z30" s="116"/>
      <c r="AB30" s="116"/>
      <c r="AE30" s="99"/>
      <c r="AF30" s="116"/>
      <c r="AG30" s="117"/>
      <c r="AH30" s="117"/>
      <c r="AI30" s="117"/>
      <c r="AJ30" s="117"/>
      <c r="AK30" s="117"/>
      <c r="AL30" s="117"/>
      <c r="AM30" s="117"/>
      <c r="AN30" s="117"/>
      <c r="AO30" s="117"/>
      <c r="AP30" s="117"/>
      <c r="AQ30" s="117"/>
      <c r="AR30" s="117"/>
      <c r="AS30" s="117"/>
      <c r="AT30" s="117"/>
      <c r="AU30" s="117"/>
      <c r="AV30" s="117"/>
      <c r="AW30" s="117"/>
      <c r="AX30" s="128"/>
      <c r="AY30" s="117"/>
      <c r="AZ30" s="110"/>
      <c r="BB30" t="str">
        <f t="shared" si="30"/>
        <v/>
      </c>
      <c r="BC30" t="str">
        <f t="shared" si="27"/>
        <v/>
      </c>
      <c r="BD30" t="str">
        <f t="shared" si="39"/>
        <v/>
      </c>
      <c r="BE30" t="str">
        <f t="shared" si="40"/>
        <v/>
      </c>
      <c r="BF30" t="str">
        <f t="shared" si="41"/>
        <v/>
      </c>
      <c r="BG30" t="str">
        <f t="shared" si="42"/>
        <v/>
      </c>
      <c r="BH30" t="str">
        <f t="shared" si="43"/>
        <v/>
      </c>
    </row>
    <row r="31" spans="1:224" ht="17">
      <c r="A31">
        <f>'All Girls &amp; Descendants'!B29</f>
        <v>47</v>
      </c>
      <c r="B31" t="str">
        <f>'All Girls &amp; Descendants'!C29</f>
        <v>47a</v>
      </c>
      <c r="C31" t="str">
        <f>'All Girls &amp; Descendants'!D29</f>
        <v>HARDCASTLE</v>
      </c>
      <c r="D31" t="str">
        <f>'All Girls &amp; Descendants'!E29</f>
        <v>Alfred</v>
      </c>
      <c r="E31" t="str">
        <f>IF('All Girls &amp; Descendants'!F29="","",'All Girls &amp; Descendants'!F29)</f>
        <v>Edward</v>
      </c>
      <c r="F31" t="str">
        <f>IF('All Girls &amp; Descendants'!G29="","",'All Girls &amp; Descendants'!G29)</f>
        <v>Loyd</v>
      </c>
      <c r="G31" t="str">
        <f>IF('All Girls &amp; Descendants'!H29="",D31,'All Girls &amp; Descendants'!H29)</f>
        <v>Loyd</v>
      </c>
      <c r="H31">
        <f>'All Girls &amp; Descendants'!I29</f>
        <v>1893</v>
      </c>
      <c r="I31">
        <f>'All Girls &amp; Descendants'!J29</f>
        <v>1955</v>
      </c>
      <c r="J31">
        <f>'All Girls &amp; Descendants'!K29</f>
        <v>0</v>
      </c>
      <c r="K31" s="7" t="str">
        <f>'All Girls &amp; Descendants'!M29</f>
        <v>06/06/1893</v>
      </c>
      <c r="L31">
        <f>'All Girls &amp; Descendants'!N29</f>
        <v>7824</v>
      </c>
      <c r="M31">
        <f>'All Girls &amp; Descendants'!O29</f>
        <v>20111</v>
      </c>
      <c r="N31" t="str">
        <f>'All Girls &amp; Descendants'!P29</f>
        <v>22/01/1955</v>
      </c>
      <c r="O31" t="str">
        <f>'All Girls &amp; Descendants'!Q29</f>
        <v>47</v>
      </c>
      <c r="P31" t="str">
        <f t="shared" si="2"/>
        <v>47a</v>
      </c>
      <c r="Q31" s="116">
        <f t="shared" si="3"/>
        <v>1</v>
      </c>
      <c r="R31" s="31" t="str">
        <f t="shared" si="4"/>
        <v>Alfred Edward Loyd HARDCASTLE</v>
      </c>
      <c r="S31" s="31" t="str">
        <f t="shared" si="5"/>
        <v>Loyd HARDCASTLE (1893 -1955: #47a)</v>
      </c>
      <c r="U31" s="117">
        <f t="shared" si="6"/>
        <v>7042</v>
      </c>
      <c r="V31" t="s">
        <v>2334</v>
      </c>
      <c r="W31" s="116">
        <f t="shared" si="31"/>
        <v>70</v>
      </c>
      <c r="X31" s="116" t="str">
        <f t="shared" si="28"/>
        <v>d</v>
      </c>
      <c r="Y31" s="116" t="str">
        <f t="shared" si="7"/>
        <v>b</v>
      </c>
      <c r="Z31" s="116"/>
      <c r="AB31" s="116"/>
      <c r="AE31" s="99"/>
      <c r="AF31" s="116"/>
      <c r="AG31" s="117"/>
      <c r="AH31" s="117"/>
      <c r="AI31" s="117"/>
      <c r="AJ31" s="117"/>
      <c r="AK31" s="117"/>
      <c r="AL31" s="117"/>
      <c r="AM31" s="117"/>
      <c r="AN31" s="117"/>
      <c r="AO31" s="117"/>
      <c r="AP31" s="117"/>
      <c r="AQ31" s="117"/>
      <c r="AR31" s="117"/>
      <c r="AS31" s="117"/>
      <c r="AT31" s="117"/>
      <c r="AU31" s="117"/>
      <c r="AV31" s="117"/>
      <c r="AW31" s="117"/>
      <c r="AX31" s="117"/>
      <c r="AY31" s="117"/>
      <c r="AZ31" s="110"/>
      <c r="BB31" t="str">
        <f t="shared" si="30"/>
        <v/>
      </c>
      <c r="BC31" t="str">
        <f t="shared" si="27"/>
        <v/>
      </c>
      <c r="BD31" t="str">
        <f t="shared" si="39"/>
        <v/>
      </c>
      <c r="BE31" t="str">
        <f t="shared" si="40"/>
        <v/>
      </c>
      <c r="BF31" t="str">
        <f t="shared" si="41"/>
        <v/>
      </c>
      <c r="BG31" t="str">
        <f t="shared" si="42"/>
        <v/>
      </c>
      <c r="BH31" t="str">
        <f t="shared" si="43"/>
        <v/>
      </c>
    </row>
    <row r="32" spans="1:224" ht="17">
      <c r="A32">
        <f>'All Girls &amp; Descendants'!B30</f>
        <v>47</v>
      </c>
      <c r="B32" t="str">
        <f>'All Girls &amp; Descendants'!C30</f>
        <v>47b</v>
      </c>
      <c r="C32" t="str">
        <f>'All Girls &amp; Descendants'!D30</f>
        <v>HARDCASTLE</v>
      </c>
      <c r="D32" t="str">
        <f>'All Girls &amp; Descendants'!E30</f>
        <v>Canon Joseph</v>
      </c>
      <c r="E32" t="str">
        <f>IF('All Girls &amp; Descendants'!F30="","",'All Girls &amp; Descendants'!F30)</f>
        <v>Anthony</v>
      </c>
      <c r="F32" t="str">
        <f>IF('All Girls &amp; Descendants'!G30="","",'All Girls &amp; Descendants'!G30)</f>
        <v>Loyd</v>
      </c>
      <c r="G32" t="str">
        <f>IF('All Girls &amp; Descendants'!H30="",D32,'All Girls &amp; Descendants'!H30)</f>
        <v>Canon Joseph</v>
      </c>
      <c r="H32">
        <f>'All Girls &amp; Descendants'!I30</f>
        <v>1899</v>
      </c>
      <c r="I32">
        <f>'All Girls &amp; Descendants'!J30</f>
        <v>1972</v>
      </c>
      <c r="J32">
        <f>'All Girls &amp; Descendants'!K30</f>
        <v>0</v>
      </c>
      <c r="K32" s="7" t="str">
        <f>'All Girls &amp; Descendants'!M30</f>
        <v>19/07/1899</v>
      </c>
      <c r="L32">
        <f>'All Girls &amp; Descendants'!N30</f>
        <v>14626</v>
      </c>
      <c r="M32">
        <f>'All Girls &amp; Descendants'!O30</f>
        <v>26646</v>
      </c>
      <c r="N32" t="str">
        <f>'All Girls &amp; Descendants'!P30</f>
        <v>13/12/1972</v>
      </c>
      <c r="O32" t="str">
        <f>'All Girls &amp; Descendants'!Q30</f>
        <v>47</v>
      </c>
      <c r="P32" t="str">
        <f t="shared" si="2"/>
        <v>47b</v>
      </c>
      <c r="Q32" s="116">
        <f t="shared" si="3"/>
        <v>1</v>
      </c>
      <c r="R32" s="31" t="str">
        <f t="shared" si="4"/>
        <v>Canon Joseph Anthony Loyd HARDCASTLE</v>
      </c>
      <c r="S32" s="31" t="str">
        <f t="shared" si="5"/>
        <v>Canon Joseph HARDCASTLE (1899 -1972: #47b)</v>
      </c>
      <c r="U32" s="117">
        <f t="shared" si="6"/>
        <v>7043</v>
      </c>
      <c r="V32" t="s">
        <v>2338</v>
      </c>
      <c r="W32" s="116">
        <f t="shared" si="31"/>
        <v>70</v>
      </c>
      <c r="X32" s="116" t="str">
        <f t="shared" si="28"/>
        <v>d</v>
      </c>
      <c r="Y32" s="116" t="str">
        <f t="shared" si="7"/>
        <v>c</v>
      </c>
      <c r="Z32" s="116"/>
      <c r="AB32" s="116"/>
      <c r="AE32" s="99"/>
      <c r="AF32" s="116"/>
      <c r="AH32" s="117"/>
      <c r="AI32" s="117"/>
      <c r="AJ32" s="117"/>
      <c r="AK32" s="117"/>
      <c r="AL32" s="117"/>
      <c r="AM32" s="117"/>
      <c r="AN32" s="117"/>
      <c r="AO32" s="117"/>
      <c r="AP32" s="117"/>
      <c r="AQ32" s="117"/>
      <c r="AR32" s="117"/>
      <c r="AS32" s="117"/>
      <c r="AT32" s="117"/>
      <c r="AU32" s="117"/>
      <c r="AV32" s="117"/>
      <c r="AW32" s="117"/>
      <c r="AX32" s="117"/>
      <c r="AY32" s="117"/>
      <c r="AZ32" s="110"/>
      <c r="BB32" t="str">
        <f t="shared" si="30"/>
        <v/>
      </c>
      <c r="BC32" t="str">
        <f t="shared" si="27"/>
        <v/>
      </c>
      <c r="BD32" t="str">
        <f t="shared" si="39"/>
        <v/>
      </c>
      <c r="BE32" t="str">
        <f t="shared" si="40"/>
        <v/>
      </c>
      <c r="BF32" t="str">
        <f t="shared" si="41"/>
        <v/>
      </c>
      <c r="BG32" t="str">
        <f t="shared" si="42"/>
        <v/>
      </c>
      <c r="BH32" t="str">
        <f t="shared" si="43"/>
        <v/>
      </c>
    </row>
    <row r="33" spans="1:60">
      <c r="A33">
        <f>'All Girls &amp; Descendants'!B31</f>
        <v>48</v>
      </c>
      <c r="B33" t="str">
        <f>'All Girls &amp; Descendants'!C31</f>
        <v>48a</v>
      </c>
      <c r="C33" t="str">
        <f>'All Girls &amp; Descendants'!D31</f>
        <v>D'OYLY</v>
      </c>
      <c r="D33" t="str">
        <f>'All Girls &amp; Descendants'!E31</f>
        <v>Louisa</v>
      </c>
      <c r="E33" t="str">
        <f>IF('All Girls &amp; Descendants'!F31="","",'All Girls &amp; Descendants'!F31)</f>
        <v>Mabell</v>
      </c>
      <c r="F33" t="str">
        <f>IF('All Girls &amp; Descendants'!G31="","",'All Girls &amp; Descendants'!G31)</f>
        <v/>
      </c>
      <c r="G33" t="str">
        <f>IF('All Girls &amp; Descendants'!H31="",D33,'All Girls &amp; Descendants'!H31)</f>
        <v>Mabell</v>
      </c>
      <c r="H33">
        <f>'All Girls &amp; Descendants'!I31</f>
        <v>1904</v>
      </c>
      <c r="I33">
        <f>'All Girls &amp; Descendants'!J31</f>
        <v>1983</v>
      </c>
      <c r="J33">
        <f>'All Girls &amp; Descendants'!K31</f>
        <v>0</v>
      </c>
      <c r="K33" s="7">
        <f>'All Girls &amp; Descendants'!M31</f>
        <v>1628</v>
      </c>
      <c r="L33" t="str">
        <f>'All Girls &amp; Descendants'!N31</f>
        <v>Unmarried</v>
      </c>
      <c r="M33">
        <f>'All Girls &amp; Descendants'!O31</f>
        <v>30447</v>
      </c>
      <c r="N33" t="str">
        <f>'All Girls &amp; Descendants'!P31</f>
        <v>11/05/1983</v>
      </c>
      <c r="O33" t="str">
        <f>'All Girls &amp; Descendants'!Q31</f>
        <v>48</v>
      </c>
      <c r="P33" t="str">
        <f t="shared" si="2"/>
        <v>48a</v>
      </c>
      <c r="Q33" s="116">
        <f t="shared" si="3"/>
        <v>1</v>
      </c>
      <c r="R33" s="31" t="str">
        <f t="shared" si="4"/>
        <v>Louisa Mabell  D'OYLY</v>
      </c>
      <c r="S33" s="31" t="str">
        <f t="shared" si="5"/>
        <v>Mabell D'OYLY (1904 -1983: #48a)</v>
      </c>
      <c r="U33" s="117">
        <f t="shared" si="6"/>
        <v>8511</v>
      </c>
      <c r="V33" t="s">
        <v>1360</v>
      </c>
      <c r="W33" s="116">
        <f t="shared" si="31"/>
        <v>85</v>
      </c>
      <c r="X33" s="116" t="str">
        <f t="shared" si="28"/>
        <v>a</v>
      </c>
      <c r="Y33" s="116" t="str">
        <f t="shared" si="7"/>
        <v>a</v>
      </c>
      <c r="Z33" s="116"/>
      <c r="AB33" s="116"/>
      <c r="AE33" s="99"/>
      <c r="AF33" s="116"/>
      <c r="AH33" s="117"/>
      <c r="AI33" s="117"/>
      <c r="AJ33" s="117"/>
      <c r="AK33" s="117"/>
      <c r="AL33" s="117"/>
      <c r="AM33" s="117"/>
      <c r="AN33" s="117"/>
      <c r="AO33" s="117"/>
      <c r="AP33" s="117"/>
      <c r="AQ33" s="117"/>
      <c r="AR33" s="117"/>
      <c r="AS33" s="117"/>
      <c r="AT33" s="117"/>
      <c r="AU33" s="117"/>
      <c r="AV33" s="117"/>
      <c r="AW33" s="117"/>
      <c r="AX33" s="117"/>
      <c r="AY33" s="117"/>
      <c r="AZ33" s="110"/>
      <c r="BB33" t="str">
        <f t="shared" si="30"/>
        <v/>
      </c>
      <c r="BC33" t="str">
        <f t="shared" si="27"/>
        <v/>
      </c>
      <c r="BD33" t="str">
        <f t="shared" si="39"/>
        <v/>
      </c>
      <c r="BE33" t="str">
        <f t="shared" si="40"/>
        <v/>
      </c>
      <c r="BF33" t="str">
        <f t="shared" si="41"/>
        <v/>
      </c>
      <c r="BG33" t="str">
        <f t="shared" si="42"/>
        <v/>
      </c>
      <c r="BH33" t="str">
        <f t="shared" si="43"/>
        <v/>
      </c>
    </row>
    <row r="34" spans="1:60">
      <c r="A34">
        <f>'All Girls &amp; Descendants'!B32</f>
        <v>63</v>
      </c>
      <c r="B34" t="str">
        <f>'All Girls &amp; Descendants'!C32</f>
        <v>63a</v>
      </c>
      <c r="C34" t="str">
        <f>'All Girls &amp; Descendants'!D32</f>
        <v>MOORE</v>
      </c>
      <c r="D34" t="str">
        <f>'All Girls &amp; Descendants'!E32</f>
        <v>Frederic</v>
      </c>
      <c r="E34" t="str">
        <f>IF('All Girls &amp; Descendants'!F32="","",'All Girls &amp; Descendants'!F32)</f>
        <v>Withers</v>
      </c>
      <c r="F34" t="str">
        <f>IF('All Girls &amp; Descendants'!G32="","",'All Girls &amp; Descendants'!G32)</f>
        <v>Loyd</v>
      </c>
      <c r="G34" t="str">
        <f>IF('All Girls &amp; Descendants'!H32="",D34,'All Girls &amp; Descendants'!H32)</f>
        <v>Loyd</v>
      </c>
      <c r="H34">
        <f>'All Girls &amp; Descendants'!I32</f>
        <v>1926</v>
      </c>
      <c r="I34">
        <f>'All Girls &amp; Descendants'!J32</f>
        <v>2019</v>
      </c>
      <c r="J34">
        <f>'All Girls &amp; Descendants'!K32</f>
        <v>0</v>
      </c>
      <c r="K34" s="7">
        <f>'All Girls &amp; Descendants'!M32</f>
        <v>9820</v>
      </c>
      <c r="L34">
        <f>'All Girls &amp; Descendants'!N32</f>
        <v>17896</v>
      </c>
      <c r="M34">
        <f>'All Girls &amp; Descendants'!O32</f>
        <v>43737</v>
      </c>
      <c r="N34" t="str">
        <f>'All Girls &amp; Descendants'!P32</f>
        <v>29/09/2019</v>
      </c>
      <c r="O34" t="str">
        <f>'All Girls &amp; Descendants'!Q32</f>
        <v>63</v>
      </c>
      <c r="P34" t="str">
        <f t="shared" si="2"/>
        <v>63a</v>
      </c>
      <c r="Q34" s="116">
        <f t="shared" si="3"/>
        <v>1</v>
      </c>
      <c r="R34" s="31" t="str">
        <f t="shared" si="4"/>
        <v>Frederic Withers Loyd MOORE</v>
      </c>
      <c r="S34" s="31" t="str">
        <f t="shared" si="5"/>
        <v>Loyd MOORE (1926 -2019: #63a)</v>
      </c>
      <c r="U34" s="117">
        <f t="shared" si="6"/>
        <v>8512</v>
      </c>
      <c r="V34" t="s">
        <v>1366</v>
      </c>
      <c r="W34" s="116">
        <f t="shared" si="31"/>
        <v>85</v>
      </c>
      <c r="X34" s="116" t="str">
        <f t="shared" si="28"/>
        <v>a</v>
      </c>
      <c r="Y34" s="116" t="str">
        <f t="shared" si="7"/>
        <v>b</v>
      </c>
      <c r="Z34" s="116"/>
      <c r="AB34" s="116"/>
      <c r="AE34" s="99"/>
      <c r="AF34" s="116"/>
      <c r="AH34" s="117"/>
      <c r="AI34" s="117"/>
      <c r="AJ34" s="117"/>
      <c r="AK34" s="117"/>
      <c r="AL34" s="117"/>
      <c r="AM34" s="117"/>
      <c r="AN34" s="117"/>
      <c r="AO34" s="117"/>
      <c r="AP34" s="117"/>
      <c r="AQ34" s="117"/>
      <c r="AR34" s="117"/>
      <c r="AS34" s="117"/>
      <c r="AT34" s="117"/>
      <c r="AU34" s="117"/>
      <c r="AV34" s="117"/>
      <c r="AW34" s="117"/>
      <c r="AX34" s="117"/>
      <c r="AY34" s="117"/>
      <c r="AZ34" s="110"/>
      <c r="BB34" t="str">
        <f t="shared" si="30"/>
        <v/>
      </c>
      <c r="BC34" t="str">
        <f t="shared" si="27"/>
        <v/>
      </c>
      <c r="BD34" t="str">
        <f t="shared" si="39"/>
        <v/>
      </c>
      <c r="BE34" t="str">
        <f t="shared" si="40"/>
        <v/>
      </c>
      <c r="BF34" t="str">
        <f t="shared" si="41"/>
        <v/>
      </c>
      <c r="BG34" t="str">
        <f t="shared" si="42"/>
        <v/>
      </c>
      <c r="BH34" t="str">
        <f t="shared" si="43"/>
        <v/>
      </c>
    </row>
    <row r="35" spans="1:60">
      <c r="A35">
        <f>'All Girls &amp; Descendants'!B33</f>
        <v>63</v>
      </c>
      <c r="B35" t="str">
        <f>'All Girls &amp; Descendants'!C33</f>
        <v>63b</v>
      </c>
      <c r="C35" t="str">
        <f>'All Girls &amp; Descendants'!D33</f>
        <v>MOORE</v>
      </c>
      <c r="D35" t="str">
        <f>'All Girls &amp; Descendants'!E33</f>
        <v>Emma</v>
      </c>
      <c r="E35" t="str">
        <f>IF('All Girls &amp; Descendants'!F33="","",'All Girls &amp; Descendants'!F33)</f>
        <v>Isabel</v>
      </c>
      <c r="F35" t="str">
        <f>IF('All Girls &amp; Descendants'!G33="","",'All Girls &amp; Descendants'!G33)</f>
        <v/>
      </c>
      <c r="G35" t="str">
        <f>IF('All Girls &amp; Descendants'!H33="",D35,'All Girls &amp; Descendants'!H33)</f>
        <v>Isabel</v>
      </c>
      <c r="H35">
        <f>'All Girls &amp; Descendants'!I33</f>
        <v>1929</v>
      </c>
      <c r="I35">
        <f>'All Girls &amp; Descendants'!J33</f>
        <v>2020</v>
      </c>
      <c r="J35">
        <f>'All Girls &amp; Descendants'!K33</f>
        <v>0</v>
      </c>
      <c r="K35" s="7">
        <f>'All Girls &amp; Descendants'!M33</f>
        <v>10772</v>
      </c>
      <c r="L35" t="str">
        <f>'All Girls &amp; Descendants'!N33</f>
        <v xml:space="preserve"> - </v>
      </c>
      <c r="M35" t="str">
        <f>'All Girls &amp; Descendants'!O33</f>
        <v/>
      </c>
      <c r="N35" t="str">
        <f>'All Girls &amp; Descendants'!P33</f>
        <v/>
      </c>
      <c r="O35" t="str">
        <f>'All Girls &amp; Descendants'!Q33</f>
        <v>63</v>
      </c>
      <c r="P35" t="str">
        <f t="shared" si="2"/>
        <v>63b</v>
      </c>
      <c r="Q35" s="116">
        <f t="shared" si="3"/>
        <v>1</v>
      </c>
      <c r="R35" s="31" t="str">
        <f t="shared" si="4"/>
        <v>Emma Isabel  MOORE</v>
      </c>
      <c r="S35" s="31" t="str">
        <f t="shared" si="5"/>
        <v>Isabel MOORE (1929 -2020: #63b)</v>
      </c>
      <c r="U35" s="117">
        <f t="shared" si="6"/>
        <v>8513</v>
      </c>
      <c r="V35" t="s">
        <v>1375</v>
      </c>
      <c r="W35" s="116">
        <f t="shared" si="31"/>
        <v>85</v>
      </c>
      <c r="X35" s="116" t="str">
        <f t="shared" si="28"/>
        <v>a</v>
      </c>
      <c r="Y35" s="116" t="str">
        <f t="shared" si="7"/>
        <v>c</v>
      </c>
      <c r="Z35" s="116"/>
      <c r="AB35" s="116"/>
      <c r="AE35" s="99"/>
      <c r="AF35" s="116"/>
      <c r="AH35" s="117"/>
      <c r="AI35" s="117"/>
      <c r="AJ35" s="117"/>
      <c r="AK35" s="117"/>
      <c r="AL35" s="117"/>
      <c r="AM35" s="117"/>
      <c r="AN35" s="117"/>
      <c r="AO35" s="117"/>
      <c r="AP35" s="117"/>
      <c r="AQ35" s="117"/>
      <c r="AR35" s="117"/>
      <c r="AS35" s="117"/>
      <c r="AT35" s="117"/>
      <c r="AU35" s="117"/>
      <c r="AV35" s="117"/>
      <c r="AW35" s="117"/>
      <c r="AX35" s="117"/>
      <c r="AY35" s="117"/>
      <c r="AZ35" s="110"/>
      <c r="BB35" t="str">
        <f t="shared" si="30"/>
        <v/>
      </c>
      <c r="BC35" t="str">
        <f t="shared" si="27"/>
        <v/>
      </c>
      <c r="BD35" t="str">
        <f t="shared" si="39"/>
        <v/>
      </c>
      <c r="BE35" t="str">
        <f t="shared" si="40"/>
        <v/>
      </c>
      <c r="BF35" t="str">
        <f t="shared" si="41"/>
        <v/>
      </c>
      <c r="BG35" t="str">
        <f t="shared" si="42"/>
        <v/>
      </c>
      <c r="BH35" t="str">
        <f t="shared" si="43"/>
        <v/>
      </c>
    </row>
    <row r="36" spans="1:60">
      <c r="A36">
        <f>'All Girls &amp; Descendants'!B34</f>
        <v>63</v>
      </c>
      <c r="B36" t="str">
        <f>'All Girls &amp; Descendants'!C34</f>
        <v>63c</v>
      </c>
      <c r="C36" t="str">
        <f>'All Girls &amp; Descendants'!D34</f>
        <v>MOORE</v>
      </c>
      <c r="D36" t="str">
        <f>'All Girls &amp; Descendants'!E34</f>
        <v>Veronica</v>
      </c>
      <c r="E36" t="str">
        <f>IF('All Girls &amp; Descendants'!F34="","",'All Girls &amp; Descendants'!F34)</f>
        <v>Ashwell</v>
      </c>
      <c r="F36" t="str">
        <f>IF('All Girls &amp; Descendants'!G34="","",'All Girls &amp; Descendants'!G34)</f>
        <v/>
      </c>
      <c r="G36" t="str">
        <f>IF('All Girls &amp; Descendants'!H34="",D36,'All Girls &amp; Descendants'!H34)</f>
        <v>Veronica</v>
      </c>
      <c r="H36">
        <f>'All Girls &amp; Descendants'!I34</f>
        <v>1930</v>
      </c>
      <c r="I36">
        <f>'All Girls &amp; Descendants'!J34</f>
        <v>1934</v>
      </c>
      <c r="J36">
        <f>'All Girls &amp; Descendants'!K34</f>
        <v>0</v>
      </c>
      <c r="K36" s="7">
        <f>'All Girls &amp; Descendants'!M34</f>
        <v>11230</v>
      </c>
      <c r="L36" t="str">
        <f>'All Girls &amp; Descendants'!N34</f>
        <v xml:space="preserve"> - </v>
      </c>
      <c r="M36">
        <f>'All Girls &amp; Descendants'!O34</f>
        <v>12706</v>
      </c>
      <c r="N36" t="str">
        <f>'All Girls &amp; Descendants'!P34</f>
        <v>14/10/1934</v>
      </c>
      <c r="O36" t="str">
        <f>'All Girls &amp; Descendants'!Q34</f>
        <v>63</v>
      </c>
      <c r="P36" t="str">
        <f t="shared" si="2"/>
        <v>63c</v>
      </c>
      <c r="Q36" s="116">
        <f t="shared" si="3"/>
        <v>1</v>
      </c>
      <c r="R36" s="31" t="str">
        <f t="shared" si="4"/>
        <v>Veronica Ashwell  MOORE</v>
      </c>
      <c r="S36" s="31" t="str">
        <f t="shared" si="5"/>
        <v>Veronica MOORE (1930 -1934: #63c)</v>
      </c>
      <c r="U36" s="117">
        <f t="shared" si="6"/>
        <v>8521</v>
      </c>
      <c r="V36" t="s">
        <v>1378</v>
      </c>
      <c r="W36" s="116">
        <f t="shared" si="31"/>
        <v>85</v>
      </c>
      <c r="X36" s="116" t="str">
        <f t="shared" si="28"/>
        <v>b</v>
      </c>
      <c r="Y36" s="116" t="str">
        <f t="shared" si="7"/>
        <v>a</v>
      </c>
      <c r="Z36" s="116"/>
      <c r="AB36" s="116"/>
      <c r="AE36" s="99"/>
      <c r="AF36" s="116"/>
      <c r="AH36" s="117"/>
      <c r="AI36" s="117"/>
      <c r="AJ36" s="117"/>
      <c r="AK36" s="117"/>
      <c r="AL36" s="117"/>
      <c r="AM36" s="117"/>
      <c r="AN36" s="117"/>
      <c r="AO36" s="117"/>
      <c r="AP36" s="117"/>
      <c r="AQ36" s="117"/>
      <c r="AR36" s="117"/>
      <c r="AS36" s="117"/>
      <c r="AT36" s="117"/>
      <c r="AU36" s="117"/>
      <c r="AV36" s="117"/>
      <c r="AW36" s="117"/>
      <c r="AX36" s="117"/>
      <c r="AY36" s="117"/>
      <c r="AZ36" s="110"/>
      <c r="BB36" t="str">
        <f t="shared" si="30"/>
        <v/>
      </c>
      <c r="BC36" t="str">
        <f t="shared" si="27"/>
        <v/>
      </c>
      <c r="BD36" t="str">
        <f t="shared" si="39"/>
        <v/>
      </c>
      <c r="BE36" t="str">
        <f t="shared" si="40"/>
        <v/>
      </c>
      <c r="BF36" t="str">
        <f t="shared" si="41"/>
        <v/>
      </c>
      <c r="BG36" t="str">
        <f t="shared" si="42"/>
        <v/>
      </c>
      <c r="BH36" t="str">
        <f t="shared" si="43"/>
        <v/>
      </c>
    </row>
    <row r="37" spans="1:60">
      <c r="A37">
        <f>'All Girls &amp; Descendants'!B35</f>
        <v>65</v>
      </c>
      <c r="B37" t="str">
        <f>'All Girls &amp; Descendants'!C35</f>
        <v>65a</v>
      </c>
      <c r="C37" t="str">
        <f>'All Girls &amp; Descendants'!D35</f>
        <v>WHEELER</v>
      </c>
      <c r="D37" t="str">
        <f>'All Girls &amp; Descendants'!E35</f>
        <v>Audrey</v>
      </c>
      <c r="E37" t="str">
        <f>IF('All Girls &amp; Descendants'!F35="","",'All Girls &amp; Descendants'!F35)</f>
        <v>Haig</v>
      </c>
      <c r="F37" t="str">
        <f>IF('All Girls &amp; Descendants'!G35="","",'All Girls &amp; Descendants'!G35)</f>
        <v/>
      </c>
      <c r="G37" t="str">
        <f>IF('All Girls &amp; Descendants'!H35="",D37,'All Girls &amp; Descendants'!H35)</f>
        <v>Audrey</v>
      </c>
      <c r="H37">
        <f>'All Girls &amp; Descendants'!I35</f>
        <v>1913</v>
      </c>
      <c r="I37" t="str">
        <f>'All Girls &amp; Descendants'!J35</f>
        <v/>
      </c>
      <c r="J37">
        <f>'All Girls &amp; Descendants'!K35</f>
        <v>0</v>
      </c>
      <c r="K37" s="7">
        <f>'All Girls &amp; Descendants'!M35</f>
        <v>4844</v>
      </c>
      <c r="L37" t="str">
        <f>'All Girls &amp; Descendants'!N35</f>
        <v xml:space="preserve"> - </v>
      </c>
      <c r="M37" t="str">
        <f>'All Girls &amp; Descendants'!O35</f>
        <v/>
      </c>
      <c r="N37" t="str">
        <f>'All Girls &amp; Descendants'!P35</f>
        <v/>
      </c>
      <c r="O37" t="str">
        <f>'All Girls &amp; Descendants'!Q35</f>
        <v>65</v>
      </c>
      <c r="P37" t="str">
        <f t="shared" si="2"/>
        <v>65a</v>
      </c>
      <c r="Q37" s="116">
        <f t="shared" si="3"/>
        <v>1</v>
      </c>
      <c r="R37" s="31" t="str">
        <f t="shared" si="4"/>
        <v>Audrey Haig  WHEELER</v>
      </c>
      <c r="S37" s="31" t="str">
        <f t="shared" si="5"/>
        <v>Audrey WHEELER (1913 -: #65a)</v>
      </c>
      <c r="U37" s="117">
        <f t="shared" si="6"/>
        <v>8522</v>
      </c>
      <c r="V37" t="s">
        <v>1379</v>
      </c>
      <c r="W37" s="116">
        <f t="shared" si="31"/>
        <v>85</v>
      </c>
      <c r="X37" s="116" t="str">
        <f t="shared" si="28"/>
        <v>b</v>
      </c>
      <c r="Y37" s="116" t="str">
        <f t="shared" si="7"/>
        <v>b</v>
      </c>
      <c r="Z37" s="116"/>
      <c r="AB37" s="116"/>
      <c r="AE37" s="99"/>
      <c r="AF37" s="116"/>
      <c r="AH37" s="117"/>
      <c r="AI37" s="117"/>
      <c r="AJ37" s="117"/>
      <c r="AK37" s="117"/>
      <c r="AL37" s="117"/>
      <c r="AM37" s="117"/>
      <c r="AN37" s="117"/>
      <c r="AO37" s="117"/>
      <c r="AP37" s="117"/>
      <c r="AQ37" s="117"/>
      <c r="AR37" s="117"/>
      <c r="AS37" s="117"/>
      <c r="AT37" s="117"/>
      <c r="AU37" s="117"/>
      <c r="AV37" s="117"/>
      <c r="AW37" s="117"/>
      <c r="AX37" s="117"/>
      <c r="AY37" s="117"/>
      <c r="AZ37" s="110"/>
      <c r="BB37" t="str">
        <f t="shared" si="30"/>
        <v/>
      </c>
      <c r="BC37" t="str">
        <f t="shared" si="27"/>
        <v/>
      </c>
      <c r="BD37" t="str">
        <f t="shared" si="39"/>
        <v/>
      </c>
      <c r="BE37" t="str">
        <f t="shared" si="40"/>
        <v/>
      </c>
      <c r="BF37" t="str">
        <f t="shared" si="41"/>
        <v/>
      </c>
      <c r="BG37" t="str">
        <f t="shared" si="42"/>
        <v/>
      </c>
      <c r="BH37" t="str">
        <f t="shared" si="43"/>
        <v/>
      </c>
    </row>
    <row r="38" spans="1:60">
      <c r="A38">
        <f>'All Girls &amp; Descendants'!B36</f>
        <v>65</v>
      </c>
      <c r="B38" t="str">
        <f>'All Girls &amp; Descendants'!C36</f>
        <v>65b</v>
      </c>
      <c r="C38" t="str">
        <f>'All Girls &amp; Descendants'!D36</f>
        <v>WHEELER</v>
      </c>
      <c r="D38" t="str">
        <f>'All Girls &amp; Descendants'!E36</f>
        <v>Norma</v>
      </c>
      <c r="E38" t="str">
        <f>IF('All Girls &amp; Descendants'!F36="","",'All Girls &amp; Descendants'!F36)</f>
        <v>Monica</v>
      </c>
      <c r="F38" t="str">
        <f>IF('All Girls &amp; Descendants'!G36="","",'All Girls &amp; Descendants'!G36)</f>
        <v>Haig</v>
      </c>
      <c r="G38" t="str">
        <f>IF('All Girls &amp; Descendants'!H36="",D38,'All Girls &amp; Descendants'!H36)</f>
        <v>Norma</v>
      </c>
      <c r="H38">
        <f>'All Girls &amp; Descendants'!I36</f>
        <v>1924</v>
      </c>
      <c r="I38" t="str">
        <f>'All Girls &amp; Descendants'!J36</f>
        <v/>
      </c>
      <c r="J38">
        <f>'All Girls &amp; Descendants'!K36</f>
        <v>0</v>
      </c>
      <c r="K38" s="7">
        <f>'All Girls &amp; Descendants'!M36</f>
        <v>8801</v>
      </c>
      <c r="L38" t="str">
        <f>'All Girls &amp; Descendants'!N36</f>
        <v xml:space="preserve"> - </v>
      </c>
      <c r="M38" t="str">
        <f>'All Girls &amp; Descendants'!O36</f>
        <v/>
      </c>
      <c r="N38" t="str">
        <f>'All Girls &amp; Descendants'!P36</f>
        <v/>
      </c>
      <c r="O38" t="str">
        <f>'All Girls &amp; Descendants'!Q36</f>
        <v>65</v>
      </c>
      <c r="P38" t="str">
        <f t="shared" si="2"/>
        <v>65b</v>
      </c>
      <c r="Q38" s="116">
        <f t="shared" si="3"/>
        <v>1</v>
      </c>
      <c r="R38" s="31" t="str">
        <f t="shared" si="4"/>
        <v>Norma Monica Haig WHEELER</v>
      </c>
      <c r="S38" s="31" t="str">
        <f t="shared" si="5"/>
        <v>Norma WHEELER (1924 -: #65b)</v>
      </c>
      <c r="U38" s="117">
        <f t="shared" si="6"/>
        <v>8523</v>
      </c>
      <c r="V38" t="s">
        <v>1385</v>
      </c>
      <c r="W38" s="116">
        <f t="shared" si="31"/>
        <v>85</v>
      </c>
      <c r="X38" s="116" t="str">
        <f t="shared" si="28"/>
        <v>b</v>
      </c>
      <c r="Y38" s="116" t="str">
        <f t="shared" si="7"/>
        <v>c</v>
      </c>
      <c r="Z38" s="116"/>
      <c r="AB38" s="116"/>
      <c r="AE38" s="99"/>
      <c r="AF38" s="116"/>
      <c r="AH38" s="117"/>
      <c r="AI38" s="117"/>
      <c r="AJ38" s="117"/>
      <c r="AK38" s="117"/>
      <c r="AL38" s="117"/>
      <c r="AM38" s="117"/>
      <c r="AN38" s="117"/>
      <c r="AO38" s="117"/>
      <c r="AP38" s="117"/>
      <c r="AQ38" s="117"/>
      <c r="AR38" s="117"/>
      <c r="AS38" s="117"/>
      <c r="AT38" s="117"/>
      <c r="AU38" s="117"/>
      <c r="AV38" s="117"/>
      <c r="AW38" s="117"/>
      <c r="AX38" s="117"/>
      <c r="AY38" s="117"/>
      <c r="AZ38" s="110"/>
      <c r="BB38" t="str">
        <f t="shared" si="30"/>
        <v/>
      </c>
      <c r="BC38" t="str">
        <f t="shared" si="27"/>
        <v/>
      </c>
      <c r="BD38" t="str">
        <f t="shared" si="39"/>
        <v/>
      </c>
      <c r="BE38" t="str">
        <f t="shared" si="40"/>
        <v/>
      </c>
      <c r="BF38" t="str">
        <f t="shared" si="41"/>
        <v/>
      </c>
      <c r="BG38" t="str">
        <f t="shared" si="42"/>
        <v/>
      </c>
      <c r="BH38" t="str">
        <f t="shared" si="43"/>
        <v/>
      </c>
    </row>
    <row r="39" spans="1:60">
      <c r="A39">
        <f>'All Girls &amp; Descendants'!B37</f>
        <v>65</v>
      </c>
      <c r="B39" t="str">
        <f>'All Girls &amp; Descendants'!C37</f>
        <v>65c</v>
      </c>
      <c r="C39" t="str">
        <f>'All Girls &amp; Descendants'!D37</f>
        <v>WHEELER</v>
      </c>
      <c r="D39" t="str">
        <f>'All Girls &amp; Descendants'!E37</f>
        <v>Basil</v>
      </c>
      <c r="E39" t="str">
        <f>IF('All Girls &amp; Descendants'!F37="","",'All Girls &amp; Descendants'!F37)</f>
        <v>Norman</v>
      </c>
      <c r="F39" t="str">
        <f>IF('All Girls &amp; Descendants'!G37="","",'All Girls &amp; Descendants'!G37)</f>
        <v>Haig</v>
      </c>
      <c r="G39" t="str">
        <f>IF('All Girls &amp; Descendants'!H37="",D39,'All Girls &amp; Descendants'!H37)</f>
        <v>Basil</v>
      </c>
      <c r="H39">
        <f>'All Girls &amp; Descendants'!I37</f>
        <v>1926</v>
      </c>
      <c r="I39" t="str">
        <f>'All Girls &amp; Descendants'!J37</f>
        <v/>
      </c>
      <c r="J39">
        <f>'All Girls &amp; Descendants'!K37</f>
        <v>0</v>
      </c>
      <c r="K39" s="7">
        <f>'All Girls &amp; Descendants'!M37</f>
        <v>9743</v>
      </c>
      <c r="L39">
        <f>'All Girls &amp; Descendants'!N37</f>
        <v>25689</v>
      </c>
      <c r="M39" t="str">
        <f>'All Girls &amp; Descendants'!O37</f>
        <v/>
      </c>
      <c r="N39" t="str">
        <f>'All Girls &amp; Descendants'!P37</f>
        <v/>
      </c>
      <c r="O39" t="str">
        <f>'All Girls &amp; Descendants'!Q37</f>
        <v>65</v>
      </c>
      <c r="P39" t="str">
        <f t="shared" si="2"/>
        <v>65c</v>
      </c>
      <c r="Q39" s="116">
        <f t="shared" si="3"/>
        <v>1</v>
      </c>
      <c r="R39" s="31" t="str">
        <f t="shared" si="4"/>
        <v>Basil Norman Haig WHEELER</v>
      </c>
      <c r="S39" s="31" t="str">
        <f t="shared" si="5"/>
        <v>Basil WHEELER (1926 -: #65c)</v>
      </c>
      <c r="U39" s="117">
        <f t="shared" si="6"/>
        <v>8524</v>
      </c>
      <c r="V39" t="s">
        <v>1386</v>
      </c>
      <c r="W39" s="116">
        <f t="shared" si="31"/>
        <v>85</v>
      </c>
      <c r="X39" s="116" t="str">
        <f t="shared" si="28"/>
        <v>b</v>
      </c>
      <c r="Y39" s="116" t="str">
        <f t="shared" si="7"/>
        <v>d</v>
      </c>
      <c r="Z39" s="116"/>
      <c r="AB39" s="116"/>
      <c r="AE39" s="99"/>
      <c r="AF39" s="116"/>
      <c r="AH39" s="117"/>
      <c r="AI39" s="117"/>
      <c r="AJ39" s="117"/>
      <c r="AK39" s="117"/>
      <c r="AL39" s="117"/>
      <c r="AM39" s="117"/>
      <c r="AN39" s="117"/>
      <c r="AO39" s="117"/>
      <c r="AP39" s="117"/>
      <c r="AQ39" s="117"/>
      <c r="AR39" s="117"/>
      <c r="AS39" s="117"/>
      <c r="AT39" s="117"/>
      <c r="AU39" s="117"/>
      <c r="AV39" s="117"/>
      <c r="AW39" s="117"/>
      <c r="AX39" s="117"/>
      <c r="AY39" s="117"/>
      <c r="AZ39" s="110"/>
      <c r="BB39" t="str">
        <f t="shared" si="30"/>
        <v/>
      </c>
      <c r="BC39" t="str">
        <f t="shared" si="27"/>
        <v/>
      </c>
      <c r="BD39" t="str">
        <f t="shared" si="39"/>
        <v/>
      </c>
      <c r="BE39" t="str">
        <f t="shared" si="40"/>
        <v/>
      </c>
      <c r="BF39" t="str">
        <f t="shared" si="41"/>
        <v/>
      </c>
      <c r="BG39" t="str">
        <f t="shared" si="42"/>
        <v/>
      </c>
      <c r="BH39" t="str">
        <f t="shared" si="43"/>
        <v/>
      </c>
    </row>
    <row r="40" spans="1:60">
      <c r="A40">
        <f>'All Girls &amp; Descendants'!B38</f>
        <v>70</v>
      </c>
      <c r="B40" t="str">
        <f>'All Girls &amp; Descendants'!C38</f>
        <v>70a</v>
      </c>
      <c r="C40" t="str">
        <f>'All Girls &amp; Descendants'!D38</f>
        <v>MICKLEM</v>
      </c>
      <c r="D40" t="str">
        <f>'All Girls &amp; Descendants'!E38</f>
        <v>Cynthia</v>
      </c>
      <c r="E40" t="str">
        <f>IF('All Girls &amp; Descendants'!F38="","",'All Girls &amp; Descendants'!F38)</f>
        <v>Violet</v>
      </c>
      <c r="F40" t="str">
        <f>IF('All Girls &amp; Descendants'!G38="","",'All Girls &amp; Descendants'!G38)</f>
        <v/>
      </c>
      <c r="G40" t="str">
        <f>IF('All Girls &amp; Descendants'!H38="",D40,'All Girls &amp; Descendants'!H38)</f>
        <v>Cynthia</v>
      </c>
      <c r="H40">
        <f>'All Girls &amp; Descendants'!I38</f>
        <v>1921</v>
      </c>
      <c r="I40">
        <f>'All Girls &amp; Descendants'!J38</f>
        <v>1990</v>
      </c>
      <c r="J40">
        <f>'All Girls &amp; Descendants'!K38</f>
        <v>0</v>
      </c>
      <c r="K40" s="7">
        <f>'All Girls &amp; Descendants'!M38</f>
        <v>7955</v>
      </c>
      <c r="L40">
        <f>'All Girls &amp; Descendants'!N38</f>
        <v>18280</v>
      </c>
      <c r="M40">
        <f>'All Girls &amp; Descendants'!O38</f>
        <v>32962</v>
      </c>
      <c r="N40" t="str">
        <f>'All Girls &amp; Descendants'!P38</f>
        <v>30/03/1990</v>
      </c>
      <c r="O40" t="str">
        <f>'All Girls &amp; Descendants'!Q38</f>
        <v>70</v>
      </c>
      <c r="P40" t="str">
        <f t="shared" si="2"/>
        <v>70a</v>
      </c>
      <c r="Q40" s="116">
        <f t="shared" si="3"/>
        <v>1</v>
      </c>
      <c r="R40" s="31" t="str">
        <f t="shared" si="4"/>
        <v>Cynthia Violet  MICKLEM</v>
      </c>
      <c r="S40" s="31" t="str">
        <f t="shared" si="5"/>
        <v>Cynthia MICKLEM (1921 -1990: #70a)</v>
      </c>
      <c r="U40" s="117">
        <f t="shared" si="6"/>
        <v>8531</v>
      </c>
      <c r="V40" t="s">
        <v>1393</v>
      </c>
      <c r="W40" s="116">
        <f t="shared" si="31"/>
        <v>85</v>
      </c>
      <c r="X40" s="116" t="str">
        <f t="shared" si="28"/>
        <v>c</v>
      </c>
      <c r="Y40" s="116" t="str">
        <f t="shared" si="7"/>
        <v>a</v>
      </c>
      <c r="Z40" s="116"/>
      <c r="AB40" s="116"/>
      <c r="AE40" s="99"/>
      <c r="AF40" s="116"/>
    </row>
    <row r="41" spans="1:60">
      <c r="A41">
        <f>'All Girls &amp; Descendants'!B39</f>
        <v>70</v>
      </c>
      <c r="B41" t="str">
        <f>'All Girls &amp; Descendants'!C39</f>
        <v>70b</v>
      </c>
      <c r="C41" t="str">
        <f>'All Girls &amp; Descendants'!D39</f>
        <v>MICKLEM</v>
      </c>
      <c r="D41" t="str">
        <f>'All Girls &amp; Descendants'!E39</f>
        <v>Dora</v>
      </c>
      <c r="E41" t="str">
        <f>IF('All Girls &amp; Descendants'!F39="","",'All Girls &amp; Descendants'!F39)</f>
        <v>Margaret</v>
      </c>
      <c r="F41" t="str">
        <f>IF('All Girls &amp; Descendants'!G39="","",'All Girls &amp; Descendants'!G39)</f>
        <v/>
      </c>
      <c r="G41" t="str">
        <f>IF('All Girls &amp; Descendants'!H39="",D41,'All Girls &amp; Descendants'!H39)</f>
        <v>Dora</v>
      </c>
      <c r="H41">
        <f>'All Girls &amp; Descendants'!I39</f>
        <v>1924</v>
      </c>
      <c r="I41" t="str">
        <f>'All Girls &amp; Descendants'!J39</f>
        <v/>
      </c>
      <c r="J41">
        <f>'All Girls &amp; Descendants'!K39</f>
        <v>0</v>
      </c>
      <c r="K41" s="7">
        <f>'All Girls &amp; Descendants'!M39</f>
        <v>8863</v>
      </c>
      <c r="L41">
        <f>'All Girls &amp; Descendants'!N39</f>
        <v>19873</v>
      </c>
      <c r="M41" t="str">
        <f>'All Girls &amp; Descendants'!O39</f>
        <v/>
      </c>
      <c r="N41" t="str">
        <f>'All Girls &amp; Descendants'!P39</f>
        <v/>
      </c>
      <c r="O41" t="str">
        <f>'All Girls &amp; Descendants'!Q39</f>
        <v>70</v>
      </c>
      <c r="P41" t="str">
        <f t="shared" si="2"/>
        <v>70b</v>
      </c>
      <c r="Q41" s="116">
        <f t="shared" si="3"/>
        <v>1</v>
      </c>
      <c r="R41" s="31" t="str">
        <f t="shared" si="4"/>
        <v>Dora Margaret  MICKLEM</v>
      </c>
      <c r="S41" s="31" t="str">
        <f t="shared" si="5"/>
        <v>Dora MICKLEM (1924 -: #70b)</v>
      </c>
      <c r="U41" s="117">
        <f t="shared" si="6"/>
        <v>8532</v>
      </c>
      <c r="V41" t="s">
        <v>1394</v>
      </c>
      <c r="W41" s="116">
        <f t="shared" si="31"/>
        <v>85</v>
      </c>
      <c r="X41" s="116" t="str">
        <f t="shared" si="28"/>
        <v>c</v>
      </c>
      <c r="Y41" s="116" t="str">
        <f t="shared" si="7"/>
        <v>b</v>
      </c>
      <c r="Z41" s="116"/>
      <c r="AB41" s="116"/>
      <c r="AE41" s="99"/>
      <c r="AF41" s="116"/>
    </row>
    <row r="42" spans="1:60">
      <c r="A42">
        <f>'All Girls &amp; Descendants'!B40</f>
        <v>70</v>
      </c>
      <c r="B42" t="str">
        <f>'All Girls &amp; Descendants'!C40</f>
        <v>70c</v>
      </c>
      <c r="C42" t="str">
        <f>'All Girls &amp; Descendants'!D40</f>
        <v>MICKLEM</v>
      </c>
      <c r="D42" t="str">
        <f>'All Girls &amp; Descendants'!E40</f>
        <v>Anne</v>
      </c>
      <c r="E42" t="str">
        <f>IF('All Girls &amp; Descendants'!F40="","",'All Girls &amp; Descendants'!F40)</f>
        <v>Gertrude</v>
      </c>
      <c r="F42" t="str">
        <f>IF('All Girls &amp; Descendants'!G40="","",'All Girls &amp; Descendants'!G40)</f>
        <v/>
      </c>
      <c r="G42" t="str">
        <f>IF('All Girls &amp; Descendants'!H40="",D42,'All Girls &amp; Descendants'!H40)</f>
        <v>Anne</v>
      </c>
      <c r="H42">
        <f>'All Girls &amp; Descendants'!I40</f>
        <v>1925</v>
      </c>
      <c r="I42" t="str">
        <f>'All Girls &amp; Descendants'!J40</f>
        <v/>
      </c>
      <c r="J42">
        <f>'All Girls &amp; Descendants'!K40</f>
        <v>0</v>
      </c>
      <c r="K42" s="7">
        <f>'All Girls &amp; Descendants'!M40</f>
        <v>9399</v>
      </c>
      <c r="L42">
        <f>'All Girls &amp; Descendants'!N40</f>
        <v>18606</v>
      </c>
      <c r="M42" t="str">
        <f>'All Girls &amp; Descendants'!O40</f>
        <v/>
      </c>
      <c r="N42" t="str">
        <f>'All Girls &amp; Descendants'!P40</f>
        <v/>
      </c>
      <c r="O42" t="str">
        <f>'All Girls &amp; Descendants'!Q40</f>
        <v>70</v>
      </c>
      <c r="P42" t="str">
        <f t="shared" si="2"/>
        <v>70c</v>
      </c>
      <c r="Q42" s="116">
        <f t="shared" si="3"/>
        <v>1</v>
      </c>
      <c r="R42" s="31" t="str">
        <f t="shared" si="4"/>
        <v>Anne Gertrude  MICKLEM</v>
      </c>
      <c r="S42" s="31" t="str">
        <f t="shared" si="5"/>
        <v>Anne MICKLEM (1925 -: #70c)</v>
      </c>
      <c r="U42" s="117">
        <f t="shared" si="6"/>
        <v>8541</v>
      </c>
      <c r="V42" t="s">
        <v>1427</v>
      </c>
      <c r="W42" s="116">
        <f>VALUE(LEFT(V42,2))</f>
        <v>85</v>
      </c>
      <c r="X42" s="116" t="str">
        <f t="shared" si="28"/>
        <v>d</v>
      </c>
      <c r="Y42" s="116" t="str">
        <f t="shared" si="7"/>
        <v>a</v>
      </c>
      <c r="Z42" s="116"/>
      <c r="AB42" s="116"/>
      <c r="AF42" s="116"/>
    </row>
    <row r="43" spans="1:60">
      <c r="A43">
        <f>'All Girls &amp; Descendants'!B41</f>
        <v>70</v>
      </c>
      <c r="B43" t="str">
        <f>'All Girls &amp; Descendants'!C41</f>
        <v>70d</v>
      </c>
      <c r="C43" t="str">
        <f>'All Girls &amp; Descendants'!D41</f>
        <v>MICKLEM</v>
      </c>
      <c r="D43" t="str">
        <f>'All Girls &amp; Descendants'!E41</f>
        <v>Thomas</v>
      </c>
      <c r="E43" t="str">
        <f>IF('All Girls &amp; Descendants'!F41="","",'All Girls &amp; Descendants'!F41)</f>
        <v>Charles</v>
      </c>
      <c r="F43" t="str">
        <f>IF('All Girls &amp; Descendants'!G41="","",'All Girls &amp; Descendants'!G41)</f>
        <v>Weguelin</v>
      </c>
      <c r="G43" t="str">
        <f>IF('All Girls &amp; Descendants'!H41="",D43,'All Girls &amp; Descendants'!H41)</f>
        <v>Tom</v>
      </c>
      <c r="H43">
        <f>'All Girls &amp; Descendants'!I41</f>
        <v>1926</v>
      </c>
      <c r="I43" t="str">
        <f>'All Girls &amp; Descendants'!J41</f>
        <v/>
      </c>
      <c r="J43">
        <f>'All Girls &amp; Descendants'!K41</f>
        <v>0</v>
      </c>
      <c r="K43" s="7">
        <f>'All Girls &amp; Descendants'!M41</f>
        <v>9805</v>
      </c>
      <c r="L43">
        <f>'All Girls &amp; Descendants'!N41</f>
        <v>20986</v>
      </c>
      <c r="M43" t="str">
        <f>'All Girls &amp; Descendants'!O41</f>
        <v/>
      </c>
      <c r="N43" t="str">
        <f>'All Girls &amp; Descendants'!P41</f>
        <v/>
      </c>
      <c r="O43" t="str">
        <f>'All Girls &amp; Descendants'!Q41</f>
        <v>70</v>
      </c>
      <c r="P43" t="str">
        <f t="shared" si="2"/>
        <v>70d</v>
      </c>
      <c r="Q43" s="116">
        <f t="shared" si="3"/>
        <v>1</v>
      </c>
      <c r="R43" s="31" t="str">
        <f t="shared" si="4"/>
        <v>Thomas Charles Weguelin MICKLEM</v>
      </c>
      <c r="S43" s="31" t="str">
        <f t="shared" si="5"/>
        <v>Tom MICKLEM (1926 -: #70d)</v>
      </c>
      <c r="U43" s="117">
        <f t="shared" si="6"/>
        <v>8542</v>
      </c>
      <c r="V43" t="s">
        <v>1428</v>
      </c>
      <c r="W43" s="116">
        <f t="shared" si="31"/>
        <v>85</v>
      </c>
      <c r="X43" s="116" t="str">
        <f t="shared" si="28"/>
        <v>d</v>
      </c>
      <c r="Y43" s="116" t="str">
        <f t="shared" si="7"/>
        <v>b</v>
      </c>
      <c r="Z43" s="116"/>
      <c r="AB43" s="116"/>
      <c r="AF43" s="116"/>
    </row>
    <row r="44" spans="1:60" ht="17">
      <c r="A44">
        <f>'All Girls &amp; Descendants'!B42</f>
        <v>70</v>
      </c>
      <c r="B44" t="str">
        <f>'All Girls &amp; Descendants'!C42</f>
        <v>70e</v>
      </c>
      <c r="C44" t="str">
        <f>'All Girls &amp; Descendants'!D42</f>
        <v>MICKLEM</v>
      </c>
      <c r="D44" t="str">
        <f>'All Girls &amp; Descendants'!E42</f>
        <v>Elizabeth</v>
      </c>
      <c r="E44" t="str">
        <f>IF('All Girls &amp; Descendants'!F42="","",'All Girls &amp; Descendants'!F42)</f>
        <v>Paula</v>
      </c>
      <c r="F44" t="str">
        <f>IF('All Girls &amp; Descendants'!G42="","",'All Girls &amp; Descendants'!G42)</f>
        <v/>
      </c>
      <c r="G44" t="str">
        <f>IF('All Girls &amp; Descendants'!H42="",D44,'All Girls &amp; Descendants'!H42)</f>
        <v>Elizabeth</v>
      </c>
      <c r="H44">
        <f>'All Girls &amp; Descendants'!I42</f>
        <v>1929</v>
      </c>
      <c r="I44" t="str">
        <f>'All Girls &amp; Descendants'!J42</f>
        <v/>
      </c>
      <c r="J44">
        <f>'All Girls &amp; Descendants'!K42</f>
        <v>0</v>
      </c>
      <c r="K44" s="7" t="str">
        <f>'All Girls &amp; Descendants'!M42</f>
        <v>16/02/1929</v>
      </c>
      <c r="L44">
        <f>'All Girls &amp; Descendants'!N42</f>
        <v>19784</v>
      </c>
      <c r="M44" t="str">
        <f>'All Girls &amp; Descendants'!O42</f>
        <v/>
      </c>
      <c r="N44" t="str">
        <f>'All Girls &amp; Descendants'!P42</f>
        <v/>
      </c>
      <c r="O44" t="str">
        <f>'All Girls &amp; Descendants'!Q42</f>
        <v>70</v>
      </c>
      <c r="P44" t="str">
        <f t="shared" si="2"/>
        <v>70e</v>
      </c>
      <c r="Q44" s="116">
        <f t="shared" si="3"/>
        <v>1</v>
      </c>
      <c r="R44" s="31" t="str">
        <f t="shared" si="4"/>
        <v>Elizabeth Paula  MICKLEM</v>
      </c>
      <c r="S44" s="31" t="str">
        <f t="shared" si="5"/>
        <v>Elizabeth MICKLEM (1929 -: #70e)</v>
      </c>
      <c r="U44" s="117">
        <f t="shared" si="6"/>
        <v>8811</v>
      </c>
      <c r="V44" t="s">
        <v>1437</v>
      </c>
      <c r="W44" s="116">
        <f t="shared" si="31"/>
        <v>88</v>
      </c>
      <c r="X44" s="116" t="str">
        <f t="shared" si="28"/>
        <v>a</v>
      </c>
      <c r="Y44" s="116" t="str">
        <f t="shared" si="7"/>
        <v>a</v>
      </c>
      <c r="Z44" s="116"/>
      <c r="AB44" s="116"/>
      <c r="AF44" s="116"/>
    </row>
    <row r="45" spans="1:60" ht="17">
      <c r="A45">
        <f>'All Girls &amp; Descendants'!B43</f>
        <v>70</v>
      </c>
      <c r="B45" t="str">
        <f>'All Girls &amp; Descendants'!C43</f>
        <v>70f</v>
      </c>
      <c r="C45" t="str">
        <f>'All Girls &amp; Descendants'!D43</f>
        <v>MICKLEM</v>
      </c>
      <c r="D45" t="str">
        <f>'All Girls &amp; Descendants'!E43</f>
        <v>Nathaniel</v>
      </c>
      <c r="E45" t="str">
        <f>IF('All Girls &amp; Descendants'!F43="","",'All Girls &amp; Descendants'!F43)</f>
        <v>Henry</v>
      </c>
      <c r="F45" t="str">
        <f>IF('All Girls &amp; Descendants'!G43="","",'All Girls &amp; Descendants'!G43)</f>
        <v>Stirling</v>
      </c>
      <c r="G45" t="str">
        <f>IF('All Girls &amp; Descendants'!H43="",D45,'All Girls &amp; Descendants'!H43)</f>
        <v>Nathaniel</v>
      </c>
      <c r="H45">
        <f>'All Girls &amp; Descendants'!I43</f>
        <v>1931</v>
      </c>
      <c r="I45">
        <f>'All Girls &amp; Descendants'!J43</f>
        <v>1950</v>
      </c>
      <c r="J45">
        <f>'All Girls &amp; Descendants'!K43</f>
        <v>0</v>
      </c>
      <c r="K45" s="7" t="str">
        <f>'All Girls &amp; Descendants'!M43</f>
        <v>21/09/1931</v>
      </c>
      <c r="L45" t="str">
        <f>'All Girls &amp; Descendants'!N43</f>
        <v>Unmarried</v>
      </c>
      <c r="M45">
        <f>'All Girls &amp; Descendants'!O43</f>
        <v>18546</v>
      </c>
      <c r="N45" t="str">
        <f>'All Girls &amp; Descendants'!P43</f>
        <v>10/10/1950</v>
      </c>
      <c r="O45" t="str">
        <f>'All Girls &amp; Descendants'!Q43</f>
        <v>70</v>
      </c>
      <c r="P45" t="str">
        <f t="shared" si="2"/>
        <v>70f</v>
      </c>
      <c r="Q45" s="116">
        <f t="shared" si="3"/>
        <v>1</v>
      </c>
      <c r="R45" s="31" t="str">
        <f t="shared" si="4"/>
        <v>Nathaniel Henry Stirling MICKLEM</v>
      </c>
      <c r="S45" s="31" t="str">
        <f t="shared" si="5"/>
        <v>Nathaniel MICKLEM (1931 -1950: #70f)</v>
      </c>
      <c r="U45" s="117">
        <f t="shared" si="6"/>
        <v>8812</v>
      </c>
      <c r="V45" t="s">
        <v>1438</v>
      </c>
      <c r="W45" s="116">
        <f t="shared" si="31"/>
        <v>88</v>
      </c>
      <c r="X45" s="116" t="str">
        <f t="shared" si="28"/>
        <v>a</v>
      </c>
      <c r="Y45" s="116" t="str">
        <f t="shared" si="7"/>
        <v>b</v>
      </c>
      <c r="Z45" s="116"/>
      <c r="AB45" s="116"/>
      <c r="AF45" s="116"/>
    </row>
    <row r="46" spans="1:60">
      <c r="A46">
        <f>'All Girls &amp; Descendants'!B44</f>
        <v>85</v>
      </c>
      <c r="B46" t="str">
        <f>'All Girls &amp; Descendants'!C44</f>
        <v>85a</v>
      </c>
      <c r="C46" t="str">
        <f>'All Girls &amp; Descendants'!D44</f>
        <v>LANE FOX</v>
      </c>
      <c r="D46" t="str">
        <f>'All Girls &amp; Descendants'!E44</f>
        <v>Martin</v>
      </c>
      <c r="E46" t="str">
        <f>IF('All Girls &amp; Descendants'!F44="","",'All Girls &amp; Descendants'!F44)</f>
        <v>James</v>
      </c>
      <c r="F46" t="str">
        <f>IF('All Girls &amp; Descendants'!G44="","",'All Girls &amp; Descendants'!G44)</f>
        <v/>
      </c>
      <c r="G46" t="str">
        <f>IF('All Girls &amp; Descendants'!H44="",D46,'All Girls &amp; Descendants'!H44)</f>
        <v>Martin</v>
      </c>
      <c r="H46">
        <f>'All Girls &amp; Descendants'!I44</f>
        <v>1938</v>
      </c>
      <c r="I46">
        <f>'All Girls &amp; Descendants'!J44</f>
        <v>2016</v>
      </c>
      <c r="J46">
        <f>'All Girls &amp; Descendants'!K44</f>
        <v>0</v>
      </c>
      <c r="K46" s="7">
        <f>'All Girls &amp; Descendants'!M44</f>
        <v>13981</v>
      </c>
      <c r="L46">
        <f>'All Girls &amp; Descendants'!N44</f>
        <v>23797</v>
      </c>
      <c r="M46">
        <f>'All Girls &amp; Descendants'!O44</f>
        <v>42565</v>
      </c>
      <c r="N46" t="str">
        <f>'All Girls &amp; Descendants'!P44</f>
        <v>14/07/2016</v>
      </c>
      <c r="O46" t="str">
        <f>'All Girls &amp; Descendants'!Q44</f>
        <v>85</v>
      </c>
      <c r="P46" t="str">
        <f t="shared" si="2"/>
        <v>85a</v>
      </c>
      <c r="Q46" s="116">
        <f t="shared" si="3"/>
        <v>1</v>
      </c>
      <c r="R46" s="31" t="str">
        <f t="shared" si="4"/>
        <v>Martin James  LANE FOX</v>
      </c>
      <c r="S46" s="31" t="str">
        <f t="shared" si="5"/>
        <v>Martin LANE FOX (1938 -2016: #85a)</v>
      </c>
      <c r="U46" s="117">
        <f t="shared" si="6"/>
        <v>8813</v>
      </c>
      <c r="V46" t="s">
        <v>1446</v>
      </c>
      <c r="W46" s="116">
        <f t="shared" si="31"/>
        <v>88</v>
      </c>
      <c r="X46" s="116" t="str">
        <f t="shared" si="28"/>
        <v>a</v>
      </c>
      <c r="Y46" s="116" t="str">
        <f t="shared" si="7"/>
        <v>c</v>
      </c>
      <c r="Z46" s="116"/>
      <c r="AB46" s="116"/>
      <c r="AF46" s="116"/>
    </row>
    <row r="47" spans="1:60">
      <c r="A47">
        <f>'All Girls &amp; Descendants'!B45</f>
        <v>85</v>
      </c>
      <c r="B47" t="str">
        <f>'All Girls &amp; Descendants'!C45</f>
        <v>85b</v>
      </c>
      <c r="C47" t="str">
        <f>'All Girls &amp; Descendants'!D45</f>
        <v>LANE FOX</v>
      </c>
      <c r="D47" t="str">
        <f>'All Girls &amp; Descendants'!E45</f>
        <v>Edward</v>
      </c>
      <c r="E47" t="str">
        <f>IF('All Girls &amp; Descendants'!F45="","",'All Girls &amp; Descendants'!F45)</f>
        <v>James</v>
      </c>
      <c r="F47" t="str">
        <f>IF('All Girls &amp; Descendants'!G45="","",'All Girls &amp; Descendants'!G45)</f>
        <v/>
      </c>
      <c r="G47" t="str">
        <f>IF('All Girls &amp; Descendants'!H45="",D47,'All Girls &amp; Descendants'!H45)</f>
        <v>Edward</v>
      </c>
      <c r="H47">
        <f>'All Girls &amp; Descendants'!I45</f>
        <v>1939</v>
      </c>
      <c r="I47" t="str">
        <f>'All Girls &amp; Descendants'!J45</f>
        <v/>
      </c>
      <c r="J47">
        <f>'All Girls &amp; Descendants'!K45</f>
        <v>0</v>
      </c>
      <c r="K47" s="7">
        <f>'All Girls &amp; Descendants'!M45</f>
        <v>14531</v>
      </c>
      <c r="L47">
        <f>'All Girls &amp; Descendants'!N45</f>
        <v>23188</v>
      </c>
      <c r="M47" t="str">
        <f>'All Girls &amp; Descendants'!O45</f>
        <v/>
      </c>
      <c r="N47" t="str">
        <f>'All Girls &amp; Descendants'!P45</f>
        <v/>
      </c>
      <c r="O47" t="str">
        <f>'All Girls &amp; Descendants'!Q45</f>
        <v>85</v>
      </c>
      <c r="P47" t="str">
        <f t="shared" si="2"/>
        <v>85b</v>
      </c>
      <c r="Q47" s="116">
        <f t="shared" si="3"/>
        <v>1</v>
      </c>
      <c r="R47" s="31" t="str">
        <f t="shared" si="4"/>
        <v>Edward James  LANE FOX</v>
      </c>
      <c r="S47" s="31" t="str">
        <f t="shared" si="5"/>
        <v>Edward LANE FOX (1939 -: #85b)</v>
      </c>
      <c r="U47" s="117">
        <f t="shared" si="6"/>
        <v>8814</v>
      </c>
      <c r="V47" t="s">
        <v>1453</v>
      </c>
      <c r="W47" s="116">
        <f t="shared" si="31"/>
        <v>88</v>
      </c>
      <c r="X47" s="116" t="str">
        <f t="shared" si="28"/>
        <v>a</v>
      </c>
      <c r="Y47" s="116" t="str">
        <f t="shared" si="7"/>
        <v>d</v>
      </c>
      <c r="Z47" s="116"/>
      <c r="AB47" s="116"/>
      <c r="AF47" s="116"/>
    </row>
    <row r="48" spans="1:60">
      <c r="A48">
        <f>'All Girls &amp; Descendants'!B46</f>
        <v>85</v>
      </c>
      <c r="B48" t="str">
        <f>'All Girls &amp; Descendants'!C46</f>
        <v>85c</v>
      </c>
      <c r="C48" t="str">
        <f>'All Girls &amp; Descendants'!D46</f>
        <v>LANE FOX</v>
      </c>
      <c r="D48" t="str">
        <f>'All Girls &amp; Descendants'!E46</f>
        <v>Jenny</v>
      </c>
      <c r="E48" t="str">
        <f>IF('All Girls &amp; Descendants'!F46="","",'All Girls &amp; Descendants'!F46)</f>
        <v/>
      </c>
      <c r="F48" t="str">
        <f>IF('All Girls &amp; Descendants'!G46="","",'All Girls &amp; Descendants'!G46)</f>
        <v/>
      </c>
      <c r="G48" t="str">
        <f>IF('All Girls &amp; Descendants'!H46="",D48,'All Girls &amp; Descendants'!H46)</f>
        <v>Jenny</v>
      </c>
      <c r="H48">
        <f>'All Girls &amp; Descendants'!I46</f>
        <v>1944</v>
      </c>
      <c r="I48" t="str">
        <f>'All Girls &amp; Descendants'!J46</f>
        <v/>
      </c>
      <c r="J48">
        <f>'All Girls &amp; Descendants'!K46</f>
        <v>0</v>
      </c>
      <c r="K48" s="7">
        <f>'All Girls &amp; Descendants'!M46</f>
        <v>16435</v>
      </c>
      <c r="L48">
        <f>'All Girls &amp; Descendants'!N46</f>
        <v>28478</v>
      </c>
      <c r="M48" t="str">
        <f>'All Girls &amp; Descendants'!O46</f>
        <v/>
      </c>
      <c r="N48" t="str">
        <f>'All Girls &amp; Descendants'!P46</f>
        <v/>
      </c>
      <c r="O48" t="str">
        <f>'All Girls &amp; Descendants'!Q46</f>
        <v>85</v>
      </c>
      <c r="P48" t="str">
        <f t="shared" si="2"/>
        <v>85c</v>
      </c>
      <c r="Q48" s="116">
        <f t="shared" si="3"/>
        <v>1</v>
      </c>
      <c r="R48" s="31" t="str">
        <f t="shared" si="4"/>
        <v>Jenny   LANE FOX</v>
      </c>
      <c r="S48" s="31" t="str">
        <f t="shared" si="5"/>
        <v>Jenny LANE FOX (1944 -: #85c)</v>
      </c>
      <c r="U48" s="117">
        <f t="shared" si="6"/>
        <v>8821</v>
      </c>
      <c r="V48" t="s">
        <v>1460</v>
      </c>
      <c r="W48" s="116">
        <f t="shared" si="31"/>
        <v>88</v>
      </c>
      <c r="X48" s="116" t="str">
        <f t="shared" si="28"/>
        <v>b</v>
      </c>
      <c r="Y48" s="116" t="str">
        <f t="shared" si="7"/>
        <v>a</v>
      </c>
      <c r="Z48" s="116"/>
      <c r="AB48" s="116"/>
      <c r="AF48" s="116"/>
    </row>
    <row r="49" spans="1:32">
      <c r="A49">
        <f>'All Girls &amp; Descendants'!B47</f>
        <v>85</v>
      </c>
      <c r="B49" t="str">
        <f>'All Girls &amp; Descendants'!C47</f>
        <v>85d</v>
      </c>
      <c r="C49" t="str">
        <f>'All Girls &amp; Descendants'!D47</f>
        <v>LANE FOX</v>
      </c>
      <c r="D49" t="str">
        <f>'All Girls &amp; Descendants'!E47</f>
        <v>Robin</v>
      </c>
      <c r="E49" t="str">
        <f>IF('All Girls &amp; Descendants'!F47="","",'All Girls &amp; Descendants'!F47)</f>
        <v>James</v>
      </c>
      <c r="F49" t="str">
        <f>IF('All Girls &amp; Descendants'!G47="","",'All Girls &amp; Descendants'!G47)</f>
        <v/>
      </c>
      <c r="G49" t="str">
        <f>IF('All Girls &amp; Descendants'!H47="",D49,'All Girls &amp; Descendants'!H47)</f>
        <v>Robin</v>
      </c>
      <c r="H49">
        <f>'All Girls &amp; Descendants'!I47</f>
        <v>1946</v>
      </c>
      <c r="I49" t="str">
        <f>'All Girls &amp; Descendants'!J47</f>
        <v/>
      </c>
      <c r="J49">
        <f>'All Girls &amp; Descendants'!K47</f>
        <v>0</v>
      </c>
      <c r="K49" s="7">
        <f>'All Girls &amp; Descendants'!M47</f>
        <v>17080</v>
      </c>
      <c r="L49">
        <f>'All Girls &amp; Descendants'!N47</f>
        <v>25745</v>
      </c>
      <c r="M49" t="str">
        <f>'All Girls &amp; Descendants'!O47</f>
        <v/>
      </c>
      <c r="N49" t="str">
        <f>'All Girls &amp; Descendants'!P47</f>
        <v/>
      </c>
      <c r="O49" t="str">
        <f>'All Girls &amp; Descendants'!Q47</f>
        <v>85</v>
      </c>
      <c r="P49" t="str">
        <f t="shared" si="2"/>
        <v>85d</v>
      </c>
      <c r="Q49" s="116">
        <f t="shared" si="3"/>
        <v>1</v>
      </c>
      <c r="R49" s="31" t="str">
        <f t="shared" si="4"/>
        <v>Robin James  LANE FOX</v>
      </c>
      <c r="S49" s="31" t="str">
        <f t="shared" si="5"/>
        <v>Robin LANE FOX (1946 -: #85d)</v>
      </c>
      <c r="U49" s="117">
        <f t="shared" si="6"/>
        <v>8831</v>
      </c>
      <c r="V49" t="s">
        <v>1461</v>
      </c>
      <c r="W49" s="116">
        <f t="shared" si="31"/>
        <v>88</v>
      </c>
      <c r="X49" s="116" t="str">
        <f t="shared" si="28"/>
        <v>c</v>
      </c>
      <c r="Y49" s="116" t="str">
        <f t="shared" si="7"/>
        <v>a</v>
      </c>
      <c r="Z49" s="116"/>
      <c r="AB49" s="116"/>
      <c r="AF49" s="116"/>
    </row>
    <row r="50" spans="1:32">
      <c r="A50">
        <f>'All Girls &amp; Descendants'!B48</f>
        <v>88</v>
      </c>
      <c r="B50" t="str">
        <f>'All Girls &amp; Descendants'!C48</f>
        <v>88a</v>
      </c>
      <c r="C50" t="str">
        <f>'All Girls &amp; Descendants'!D48</f>
        <v>BAIRD</v>
      </c>
      <c r="D50" t="str">
        <f>'All Girls &amp; Descendants'!E48</f>
        <v>Lady Diana</v>
      </c>
      <c r="E50" t="str">
        <f>IF('All Girls &amp; Descendants'!F48="","",'All Girls &amp; Descendants'!F48)</f>
        <v>Elizabeth</v>
      </c>
      <c r="F50" t="str">
        <f>IF('All Girls &amp; Descendants'!G48="","",'All Girls &amp; Descendants'!G48)</f>
        <v>Virginia Sydney</v>
      </c>
      <c r="G50" t="str">
        <f>IF('All Girls &amp; Descendants'!H48="",D50,'All Girls &amp; Descendants'!H48)</f>
        <v>Lady Diana</v>
      </c>
      <c r="H50">
        <f>'All Girls &amp; Descendants'!I48</f>
        <v>1937</v>
      </c>
      <c r="I50" t="str">
        <f>'All Girls &amp; Descendants'!J48</f>
        <v/>
      </c>
      <c r="J50">
        <f>'All Girls &amp; Descendants'!K48</f>
        <v>0</v>
      </c>
      <c r="K50" s="7">
        <f>'All Girls &amp; Descendants'!M48</f>
        <v>13688</v>
      </c>
      <c r="L50">
        <f>'All Girls &amp; Descendants'!N48</f>
        <v>21021</v>
      </c>
      <c r="M50" t="str">
        <f>'All Girls &amp; Descendants'!O48</f>
        <v/>
      </c>
      <c r="N50" t="str">
        <f>'All Girls &amp; Descendants'!P48</f>
        <v/>
      </c>
      <c r="O50" t="str">
        <f>'All Girls &amp; Descendants'!Q48</f>
        <v>88</v>
      </c>
      <c r="P50" t="str">
        <f t="shared" si="2"/>
        <v>88a</v>
      </c>
      <c r="Q50" s="116">
        <f t="shared" si="3"/>
        <v>1</v>
      </c>
      <c r="R50" s="31" t="str">
        <f t="shared" si="4"/>
        <v>Lady Diana Elizabeth Virginia Sydney BAIRD</v>
      </c>
      <c r="S50" s="31" t="str">
        <f t="shared" si="5"/>
        <v>Lady Diana BAIRD (1937 -: #88a)</v>
      </c>
      <c r="U50" s="117">
        <f t="shared" si="6"/>
        <v>9011</v>
      </c>
      <c r="V50" t="s">
        <v>2551</v>
      </c>
      <c r="W50" s="116">
        <f t="shared" si="31"/>
        <v>90</v>
      </c>
      <c r="X50" s="116" t="str">
        <f t="shared" si="28"/>
        <v>a</v>
      </c>
      <c r="Y50" s="116" t="str">
        <f t="shared" si="7"/>
        <v>a</v>
      </c>
      <c r="Z50" s="116"/>
      <c r="AB50" s="116"/>
      <c r="AF50" s="116"/>
    </row>
    <row r="51" spans="1:32">
      <c r="A51">
        <f>'All Girls &amp; Descendants'!B49</f>
        <v>88</v>
      </c>
      <c r="B51" t="str">
        <f>'All Girls &amp; Descendants'!C49</f>
        <v>88b</v>
      </c>
      <c r="C51" t="str">
        <f>'All Girls &amp; Descendants'!D49</f>
        <v>KEITH</v>
      </c>
      <c r="D51" t="str">
        <f>'All Girls &amp; Descendants'!E49</f>
        <v>Michael</v>
      </c>
      <c r="E51" t="str">
        <f>IF('All Girls &amp; Descendants'!F49="","",'All Girls &amp; Descendants'!F49)</f>
        <v>Canning</v>
      </c>
      <c r="F51" t="str">
        <f>IF('All Girls &amp; Descendants'!G49="","",'All Girls &amp; Descendants'!G49)</f>
        <v>William John</v>
      </c>
      <c r="G51" t="str">
        <f>IF('All Girls &amp; Descendants'!H49="",D51,'All Girls &amp; Descendants'!H49)</f>
        <v>Michael</v>
      </c>
      <c r="H51">
        <f>'All Girls &amp; Descendants'!I49</f>
        <v>1939</v>
      </c>
      <c r="I51">
        <f>'All Girls &amp; Descendants'!J49</f>
        <v>2004</v>
      </c>
      <c r="J51">
        <f>'All Girls &amp; Descendants'!K49</f>
        <v>0</v>
      </c>
      <c r="K51" s="7">
        <f>'All Girls &amp; Descendants'!M49</f>
        <v>14298</v>
      </c>
      <c r="L51">
        <f>'All Girls &amp; Descendants'!N49</f>
        <v>26581</v>
      </c>
      <c r="M51" t="str">
        <f>'All Girls &amp; Descendants'!O49</f>
        <v/>
      </c>
      <c r="N51" t="str">
        <f>'All Girls &amp; Descendants'!P49</f>
        <v/>
      </c>
      <c r="O51" t="str">
        <f>'All Girls &amp; Descendants'!Q49</f>
        <v>88</v>
      </c>
      <c r="P51" t="str">
        <f t="shared" si="2"/>
        <v>88b</v>
      </c>
      <c r="Q51" s="116">
        <f t="shared" si="3"/>
        <v>1</v>
      </c>
      <c r="R51" s="31" t="str">
        <f t="shared" si="4"/>
        <v>Michael Canning William John KEITH</v>
      </c>
      <c r="S51" s="31" t="str">
        <f t="shared" si="5"/>
        <v>Michael KEITH (1939 -2004: #88b)</v>
      </c>
      <c r="U51" s="117">
        <f t="shared" si="6"/>
        <v>9012</v>
      </c>
      <c r="V51" t="s">
        <v>2555</v>
      </c>
      <c r="W51" s="116">
        <f t="shared" si="31"/>
        <v>90</v>
      </c>
      <c r="X51" s="116" t="str">
        <f t="shared" si="28"/>
        <v>a</v>
      </c>
      <c r="Y51" s="116" t="str">
        <f t="shared" si="7"/>
        <v>b</v>
      </c>
      <c r="Z51" s="116"/>
      <c r="AB51" s="116"/>
      <c r="AF51" s="116"/>
    </row>
    <row r="52" spans="1:32">
      <c r="A52">
        <f>'All Girls &amp; Descendants'!B50</f>
        <v>88</v>
      </c>
      <c r="B52" t="str">
        <f>'All Girls &amp; Descendants'!C50</f>
        <v>88c</v>
      </c>
      <c r="C52" t="str">
        <f>'All Girls &amp; Descendants'!D50</f>
        <v>BAIRD</v>
      </c>
      <c r="D52" t="str">
        <f>'All Girls &amp; Descendants'!E50</f>
        <v>The Hon Alexander</v>
      </c>
      <c r="E52" t="str">
        <f>IF('All Girls &amp; Descendants'!F50="","",'All Girls &amp; Descendants'!F50)</f>
        <v>David</v>
      </c>
      <c r="F52" t="str">
        <f>IF('All Girls &amp; Descendants'!G50="","",'All Girls &amp; Descendants'!G50)</f>
        <v/>
      </c>
      <c r="G52" t="str">
        <f>IF('All Girls &amp; Descendants'!H50="",D52,'All Girls &amp; Descendants'!H50)</f>
        <v>The Hon Alexander</v>
      </c>
      <c r="H52">
        <f>'All Girls &amp; Descendants'!I50</f>
        <v>1946</v>
      </c>
      <c r="I52" t="str">
        <f>'All Girls &amp; Descendants'!J50</f>
        <v/>
      </c>
      <c r="J52">
        <f>'All Girls &amp; Descendants'!K50</f>
        <v>0</v>
      </c>
      <c r="K52" s="7">
        <f>'All Girls &amp; Descendants'!M50</f>
        <v>16913</v>
      </c>
      <c r="L52" t="str">
        <f>'All Girls &amp; Descendants'!N50</f>
        <v xml:space="preserve"> - </v>
      </c>
      <c r="M52" t="str">
        <f>'All Girls &amp; Descendants'!O50</f>
        <v/>
      </c>
      <c r="N52" t="str">
        <f>'All Girls &amp; Descendants'!P50</f>
        <v/>
      </c>
      <c r="O52" t="str">
        <f>'All Girls &amp; Descendants'!Q50</f>
        <v>88</v>
      </c>
      <c r="P52" t="str">
        <f t="shared" si="2"/>
        <v>88c</v>
      </c>
      <c r="Q52" s="116">
        <f t="shared" si="3"/>
        <v>1</v>
      </c>
      <c r="R52" s="31" t="str">
        <f t="shared" si="4"/>
        <v>The Hon Alexander David  BAIRD</v>
      </c>
      <c r="S52" s="31" t="str">
        <f t="shared" si="5"/>
        <v>The Hon Alexander BAIRD (1946 -: #88c)</v>
      </c>
      <c r="U52" s="117">
        <f t="shared" si="6"/>
        <v>9021</v>
      </c>
      <c r="V52" t="s">
        <v>1478</v>
      </c>
      <c r="W52" s="116">
        <f t="shared" si="31"/>
        <v>90</v>
      </c>
      <c r="X52" s="116" t="str">
        <f t="shared" si="28"/>
        <v>b</v>
      </c>
      <c r="Y52" s="116" t="str">
        <f t="shared" si="7"/>
        <v>a</v>
      </c>
      <c r="Z52" s="116"/>
      <c r="AB52" s="116"/>
      <c r="AF52" s="116"/>
    </row>
    <row r="53" spans="1:32">
      <c r="A53">
        <f>'All Girls &amp; Descendants'!B51</f>
        <v>90</v>
      </c>
      <c r="B53" t="str">
        <f>'All Girls &amp; Descendants'!C51</f>
        <v>90a</v>
      </c>
      <c r="C53" t="str">
        <f>'All Girls &amp; Descendants'!D51</f>
        <v>MARSHAM-TOWNHEND</v>
      </c>
      <c r="D53" t="str">
        <f>'All Girls &amp; Descendants'!E51</f>
        <v>June</v>
      </c>
      <c r="E53" t="str">
        <f>IF('All Girls &amp; Descendants'!F51="","",'All Girls &amp; Descendants'!F51)</f>
        <v/>
      </c>
      <c r="F53" t="str">
        <f>IF('All Girls &amp; Descendants'!G51="","",'All Girls &amp; Descendants'!G51)</f>
        <v/>
      </c>
      <c r="G53" t="str">
        <f>IF('All Girls &amp; Descendants'!H51="",D53,'All Girls &amp; Descendants'!H51)</f>
        <v>June</v>
      </c>
      <c r="H53">
        <f>'All Girls &amp; Descendants'!I51</f>
        <v>1942</v>
      </c>
      <c r="I53" t="str">
        <f>'All Girls &amp; Descendants'!J51</f>
        <v/>
      </c>
      <c r="J53">
        <f>'All Girls &amp; Descendants'!K51</f>
        <v>0</v>
      </c>
      <c r="K53" s="7">
        <f>'All Girls &amp; Descendants'!M51</f>
        <v>15522</v>
      </c>
      <c r="L53">
        <f>'All Girls &amp; Descendants'!N51</f>
        <v>22815</v>
      </c>
      <c r="M53" t="str">
        <f>'All Girls &amp; Descendants'!O51</f>
        <v/>
      </c>
      <c r="N53" t="str">
        <f>'All Girls &amp; Descendants'!P51</f>
        <v/>
      </c>
      <c r="O53" t="str">
        <f>'All Girls &amp; Descendants'!Q51</f>
        <v>90</v>
      </c>
      <c r="P53" t="str">
        <f t="shared" si="2"/>
        <v>90a</v>
      </c>
      <c r="Q53" s="116">
        <f t="shared" si="3"/>
        <v>1</v>
      </c>
      <c r="R53" s="31" t="str">
        <f t="shared" si="4"/>
        <v>June   MARSHAM-TOWNHEND</v>
      </c>
      <c r="S53" s="31" t="str">
        <f t="shared" si="5"/>
        <v>June MARSHAM-TOWNHEND (1942 -: #90a)</v>
      </c>
      <c r="U53" s="117">
        <f t="shared" si="6"/>
        <v>9022</v>
      </c>
      <c r="V53" t="s">
        <v>1479</v>
      </c>
      <c r="W53" s="116">
        <f t="shared" si="31"/>
        <v>90</v>
      </c>
      <c r="X53" s="116" t="str">
        <f t="shared" si="28"/>
        <v>b</v>
      </c>
      <c r="Y53" s="116" t="str">
        <f t="shared" si="7"/>
        <v>b</v>
      </c>
      <c r="Z53" s="116"/>
      <c r="AB53" s="116"/>
      <c r="AF53" s="116"/>
    </row>
    <row r="54" spans="1:32">
      <c r="A54">
        <f>'All Girls &amp; Descendants'!B52</f>
        <v>90</v>
      </c>
      <c r="B54" t="str">
        <f>'All Girls &amp; Descendants'!C52</f>
        <v>90b</v>
      </c>
      <c r="C54" t="str">
        <f>'All Girls &amp; Descendants'!D52</f>
        <v>MARSHAM-TOWNHEND</v>
      </c>
      <c r="D54" t="str">
        <f>'All Girls &amp; Descendants'!E52</f>
        <v>Susan</v>
      </c>
      <c r="E54" t="str">
        <f>IF('All Girls &amp; Descendants'!F52="","",'All Girls &amp; Descendants'!F52)</f>
        <v/>
      </c>
      <c r="F54" t="str">
        <f>IF('All Girls &amp; Descendants'!G52="","",'All Girls &amp; Descendants'!G52)</f>
        <v/>
      </c>
      <c r="G54" t="str">
        <f>IF('All Girls &amp; Descendants'!H52="",D54,'All Girls &amp; Descendants'!H52)</f>
        <v>Suki</v>
      </c>
      <c r="H54">
        <f>'All Girls &amp; Descendants'!I52</f>
        <v>1944</v>
      </c>
      <c r="I54" t="str">
        <f>'All Girls &amp; Descendants'!J52</f>
        <v/>
      </c>
      <c r="J54">
        <f>'All Girls &amp; Descendants'!K52</f>
        <v>0</v>
      </c>
      <c r="K54" s="7">
        <f>'All Girls &amp; Descendants'!M52</f>
        <v>16205</v>
      </c>
      <c r="L54">
        <f>'All Girls &amp; Descendants'!N52</f>
        <v>26324</v>
      </c>
      <c r="M54" t="str">
        <f>'All Girls &amp; Descendants'!O52</f>
        <v/>
      </c>
      <c r="N54" t="str">
        <f>'All Girls &amp; Descendants'!P52</f>
        <v/>
      </c>
      <c r="O54" t="str">
        <f>'All Girls &amp; Descendants'!Q52</f>
        <v>90</v>
      </c>
      <c r="P54" t="str">
        <f t="shared" si="2"/>
        <v>90b</v>
      </c>
      <c r="Q54" s="116">
        <f t="shared" si="3"/>
        <v>1</v>
      </c>
      <c r="R54" s="31" t="str">
        <f t="shared" si="4"/>
        <v>Susan   MARSHAM-TOWNHEND</v>
      </c>
      <c r="S54" s="31" t="str">
        <f t="shared" si="5"/>
        <v>Suki MARSHAM-TOWNHEND (1944 -: #90b)</v>
      </c>
      <c r="U54" s="117">
        <f t="shared" si="6"/>
        <v>9031</v>
      </c>
      <c r="V54" t="s">
        <v>1486</v>
      </c>
      <c r="W54" s="116">
        <f t="shared" si="31"/>
        <v>90</v>
      </c>
      <c r="X54" s="116" t="str">
        <f t="shared" si="28"/>
        <v>c</v>
      </c>
      <c r="Y54" s="116" t="str">
        <f t="shared" si="7"/>
        <v>a</v>
      </c>
      <c r="Z54" s="116"/>
      <c r="AB54" s="116"/>
      <c r="AF54" s="116"/>
    </row>
    <row r="55" spans="1:32">
      <c r="A55">
        <f>'All Girls &amp; Descendants'!B53</f>
        <v>90</v>
      </c>
      <c r="B55" t="str">
        <f>'All Girls &amp; Descendants'!C53</f>
        <v>90c</v>
      </c>
      <c r="C55" t="str">
        <f>'All Girls &amp; Descendants'!D53</f>
        <v>CLARKE</v>
      </c>
      <c r="D55" t="str">
        <f>'All Girls &amp; Descendants'!E53</f>
        <v>Jonathan</v>
      </c>
      <c r="E55" t="str">
        <f>IF('All Girls &amp; Descendants'!F53="","",'All Girls &amp; Descendants'!F53)</f>
        <v>Edmund</v>
      </c>
      <c r="F55" t="str">
        <f>IF('All Girls &amp; Descendants'!G53="","",'All Girls &amp; Descendants'!G53)</f>
        <v>Stephenson</v>
      </c>
      <c r="G55" t="str">
        <f>IF('All Girls &amp; Descendants'!H53="",D55,'All Girls &amp; Descendants'!H53)</f>
        <v>Jonathan</v>
      </c>
      <c r="H55">
        <f>'All Girls &amp; Descendants'!I53</f>
        <v>1950</v>
      </c>
      <c r="I55" t="str">
        <f>'All Girls &amp; Descendants'!J53</f>
        <v/>
      </c>
      <c r="J55">
        <f>'All Girls &amp; Descendants'!K53</f>
        <v>0</v>
      </c>
      <c r="K55" s="7">
        <f>'All Girls &amp; Descendants'!M53</f>
        <v>18281</v>
      </c>
      <c r="L55">
        <f>'All Girls &amp; Descendants'!N53</f>
        <v>26815</v>
      </c>
      <c r="M55" t="str">
        <f>'All Girls &amp; Descendants'!O53</f>
        <v/>
      </c>
      <c r="N55" t="str">
        <f>'All Girls &amp; Descendants'!P53</f>
        <v/>
      </c>
      <c r="O55" t="str">
        <f>'All Girls &amp; Descendants'!Q53</f>
        <v>90</v>
      </c>
      <c r="P55" t="str">
        <f t="shared" si="2"/>
        <v>90c</v>
      </c>
      <c r="Q55" s="116">
        <f t="shared" si="3"/>
        <v>1</v>
      </c>
      <c r="R55" s="31" t="str">
        <f t="shared" si="4"/>
        <v>Jonathan Edmund Stephenson CLARKE</v>
      </c>
      <c r="S55" s="31" t="str">
        <f t="shared" si="5"/>
        <v>Jonathan CLARKE (1950 -: #90c)</v>
      </c>
      <c r="U55" s="117">
        <f t="shared" si="6"/>
        <v>9032</v>
      </c>
      <c r="V55" t="s">
        <v>1487</v>
      </c>
      <c r="W55" s="116">
        <f t="shared" si="31"/>
        <v>90</v>
      </c>
      <c r="X55" s="116" t="str">
        <f t="shared" si="28"/>
        <v>c</v>
      </c>
      <c r="Y55" s="116" t="str">
        <f t="shared" si="7"/>
        <v>b</v>
      </c>
      <c r="Z55" s="116"/>
      <c r="AB55" s="116"/>
      <c r="AF55" s="116"/>
    </row>
    <row r="56" spans="1:32">
      <c r="A56">
        <f>'All Girls &amp; Descendants'!B54</f>
        <v>92</v>
      </c>
      <c r="B56" t="str">
        <f>'All Girls &amp; Descendants'!C54</f>
        <v>92a</v>
      </c>
      <c r="C56" t="str">
        <f>'All Girls &amp; Descendants'!D54</f>
        <v>TATTON-BROWN</v>
      </c>
      <c r="D56" t="str">
        <f>'All Girls &amp; Descendants'!E54</f>
        <v>Timothy</v>
      </c>
      <c r="E56" t="str">
        <f>IF('All Girls &amp; Descendants'!F54="","",'All Girls &amp; Descendants'!F54)</f>
        <v>William</v>
      </c>
      <c r="F56" t="str">
        <f>IF('All Girls &amp; Descendants'!G54="","",'All Girls &amp; Descendants'!G54)</f>
        <v>Trelawny</v>
      </c>
      <c r="G56" t="str">
        <f>IF('All Girls &amp; Descendants'!H54="",D56,'All Girls &amp; Descendants'!H54)</f>
        <v>Tim</v>
      </c>
      <c r="H56">
        <f>'All Girls &amp; Descendants'!I54</f>
        <v>1947</v>
      </c>
      <c r="I56" t="str">
        <f>'All Girls &amp; Descendants'!J54</f>
        <v/>
      </c>
      <c r="J56">
        <f>'All Girls &amp; Descendants'!K54</f>
        <v>0</v>
      </c>
      <c r="K56" s="7">
        <f>'All Girls &amp; Descendants'!M54</f>
        <v>17201</v>
      </c>
      <c r="L56">
        <f>'All Girls &amp; Descendants'!N54</f>
        <v>28875</v>
      </c>
      <c r="M56" t="str">
        <f>'All Girls &amp; Descendants'!O54</f>
        <v/>
      </c>
      <c r="N56" t="str">
        <f>'All Girls &amp; Descendants'!P54</f>
        <v/>
      </c>
      <c r="O56" t="str">
        <f>'All Girls &amp; Descendants'!Q54</f>
        <v>92</v>
      </c>
      <c r="P56" t="str">
        <f t="shared" si="2"/>
        <v>92a</v>
      </c>
      <c r="Q56" s="116">
        <f t="shared" si="3"/>
        <v>1</v>
      </c>
      <c r="R56" s="31" t="str">
        <f t="shared" si="4"/>
        <v>Timothy William Trelawny TATTON-BROWN</v>
      </c>
      <c r="S56" s="31" t="str">
        <f t="shared" si="5"/>
        <v>Tim TATTON-BROWN (1947 -: #92a)</v>
      </c>
      <c r="U56" s="117">
        <f t="shared" si="6"/>
        <v>9033</v>
      </c>
      <c r="V56" t="s">
        <v>1488</v>
      </c>
      <c r="W56" s="116">
        <f t="shared" si="31"/>
        <v>90</v>
      </c>
      <c r="X56" s="116" t="str">
        <f t="shared" si="28"/>
        <v>c</v>
      </c>
      <c r="Y56" s="116" t="str">
        <f t="shared" si="7"/>
        <v>c</v>
      </c>
      <c r="Z56" s="116"/>
      <c r="AB56" s="116"/>
      <c r="AF56" s="116"/>
    </row>
    <row r="57" spans="1:32">
      <c r="A57">
        <f>'All Girls &amp; Descendants'!B55</f>
        <v>92</v>
      </c>
      <c r="B57" t="str">
        <f>'All Girls &amp; Descendants'!C55</f>
        <v>92b</v>
      </c>
      <c r="C57" t="str">
        <f>'All Girls &amp; Descendants'!D55</f>
        <v>TATTON-BROWN</v>
      </c>
      <c r="D57" t="str">
        <f>'All Girls &amp; Descendants'!E55</f>
        <v>Giles</v>
      </c>
      <c r="E57" t="str">
        <f>IF('All Girls &amp; Descendants'!F55="","",'All Girls &amp; Descendants'!F55)</f>
        <v>Eden</v>
      </c>
      <c r="F57" t="str">
        <f>IF('All Girls &amp; Descendants'!G55="","",'All Girls &amp; Descendants'!G55)</f>
        <v/>
      </c>
      <c r="G57" t="str">
        <f>IF('All Girls &amp; Descendants'!H55="",D57,'All Girls &amp; Descendants'!H55)</f>
        <v>Giles</v>
      </c>
      <c r="H57">
        <f>'All Girls &amp; Descendants'!I55</f>
        <v>1948</v>
      </c>
      <c r="I57" t="str">
        <f>'All Girls &amp; Descendants'!J55</f>
        <v/>
      </c>
      <c r="J57">
        <f>'All Girls &amp; Descendants'!K55</f>
        <v>0</v>
      </c>
      <c r="K57" s="7">
        <f>'All Girls &amp; Descendants'!M55</f>
        <v>17827</v>
      </c>
      <c r="L57" t="str">
        <f>'All Girls &amp; Descendants'!N55</f>
        <v xml:space="preserve"> - </v>
      </c>
      <c r="M57" t="str">
        <f>'All Girls &amp; Descendants'!O55</f>
        <v/>
      </c>
      <c r="N57" t="str">
        <f>'All Girls &amp; Descendants'!P55</f>
        <v/>
      </c>
      <c r="O57" t="str">
        <f>'All Girls &amp; Descendants'!Q55</f>
        <v>92</v>
      </c>
      <c r="P57" t="str">
        <f t="shared" si="2"/>
        <v>92b</v>
      </c>
      <c r="Q57" s="116">
        <f t="shared" si="3"/>
        <v>1</v>
      </c>
      <c r="R57" s="31" t="str">
        <f t="shared" si="4"/>
        <v>Giles Eden  TATTON-BROWN</v>
      </c>
      <c r="S57" s="31" t="str">
        <f t="shared" si="5"/>
        <v>Giles TATTON-BROWN (1948 -: #92b)</v>
      </c>
      <c r="U57" s="117">
        <f t="shared" si="6"/>
        <v>9211</v>
      </c>
      <c r="V57" t="s">
        <v>1499</v>
      </c>
      <c r="W57" s="116">
        <f t="shared" si="31"/>
        <v>92</v>
      </c>
      <c r="X57" s="116" t="str">
        <f t="shared" si="28"/>
        <v>a</v>
      </c>
      <c r="Y57" s="116" t="str">
        <f t="shared" si="7"/>
        <v>a</v>
      </c>
      <c r="Z57" s="116"/>
      <c r="AB57" s="116"/>
      <c r="AF57" s="116"/>
    </row>
    <row r="58" spans="1:32">
      <c r="A58">
        <f>'All Girls &amp; Descendants'!B56</f>
        <v>92</v>
      </c>
      <c r="B58" t="str">
        <f>'All Girls &amp; Descendants'!C56</f>
        <v>92c</v>
      </c>
      <c r="C58" t="str">
        <f>'All Girls &amp; Descendants'!D56</f>
        <v>TATTON-BROWN</v>
      </c>
      <c r="D58" t="str">
        <f>'All Girls &amp; Descendants'!E56</f>
        <v>Anthea</v>
      </c>
      <c r="E58" t="str">
        <f>IF('All Girls &amp; Descendants'!F56="","",'All Girls &amp; Descendants'!F56)</f>
        <v>Mary</v>
      </c>
      <c r="F58" t="str">
        <f>IF('All Girls &amp; Descendants'!G56="","",'All Girls &amp; Descendants'!G56)</f>
        <v/>
      </c>
      <c r="G58" t="str">
        <f>IF('All Girls &amp; Descendants'!H56="",D58,'All Girls &amp; Descendants'!H56)</f>
        <v>Anthea</v>
      </c>
      <c r="H58">
        <f>'All Girls &amp; Descendants'!I56</f>
        <v>1951</v>
      </c>
      <c r="I58" t="str">
        <f>'All Girls &amp; Descendants'!J56</f>
        <v/>
      </c>
      <c r="J58">
        <f>'All Girls &amp; Descendants'!K56</f>
        <v>0</v>
      </c>
      <c r="K58" s="7">
        <f>'All Girls &amp; Descendants'!M56</f>
        <v>18958</v>
      </c>
      <c r="L58" t="str">
        <f>'All Girls &amp; Descendants'!N56</f>
        <v xml:space="preserve"> - </v>
      </c>
      <c r="M58" t="str">
        <f>'All Girls &amp; Descendants'!O56</f>
        <v/>
      </c>
      <c r="N58" t="str">
        <f>'All Girls &amp; Descendants'!P56</f>
        <v/>
      </c>
      <c r="O58" t="str">
        <f>'All Girls &amp; Descendants'!Q56</f>
        <v>92</v>
      </c>
      <c r="P58" t="str">
        <f t="shared" si="2"/>
        <v>92c</v>
      </c>
      <c r="Q58" s="116">
        <f t="shared" si="3"/>
        <v>1</v>
      </c>
      <c r="R58" s="31" t="str">
        <f t="shared" si="4"/>
        <v>Anthea Mary  TATTON-BROWN</v>
      </c>
      <c r="S58" s="31" t="str">
        <f t="shared" si="5"/>
        <v>Anthea TATTON-BROWN (1951 -: #92c)</v>
      </c>
      <c r="U58" s="117">
        <f t="shared" si="6"/>
        <v>9212</v>
      </c>
      <c r="V58" t="s">
        <v>1500</v>
      </c>
      <c r="W58" s="116">
        <f t="shared" si="31"/>
        <v>92</v>
      </c>
      <c r="X58" s="116" t="str">
        <f t="shared" si="28"/>
        <v>a</v>
      </c>
      <c r="Y58" s="116" t="str">
        <f t="shared" si="7"/>
        <v>b</v>
      </c>
      <c r="Z58" s="116"/>
      <c r="AB58" s="116"/>
      <c r="AF58" s="116"/>
    </row>
    <row r="59" spans="1:32">
      <c r="A59">
        <f>'All Girls &amp; Descendants'!B57</f>
        <v>92</v>
      </c>
      <c r="B59" t="str">
        <f>'All Girls &amp; Descendants'!C57</f>
        <v>92d</v>
      </c>
      <c r="C59" t="str">
        <f>'All Girls &amp; Descendants'!D57</f>
        <v>TATTON-BROWN</v>
      </c>
      <c r="D59" t="str">
        <f>'All Girls &amp; Descendants'!E57</f>
        <v>Frances</v>
      </c>
      <c r="E59" t="str">
        <f>IF('All Girls &amp; Descendants'!F57="","",'All Girls &amp; Descendants'!F57)</f>
        <v>Maud</v>
      </c>
      <c r="F59" t="str">
        <f>IF('All Girls &amp; Descendants'!G57="","",'All Girls &amp; Descendants'!G57)</f>
        <v/>
      </c>
      <c r="G59" t="str">
        <f>IF('All Girls &amp; Descendants'!H57="",D59,'All Girls &amp; Descendants'!H57)</f>
        <v>Fanny</v>
      </c>
      <c r="H59">
        <f>'All Girls &amp; Descendants'!I57</f>
        <v>1954</v>
      </c>
      <c r="I59" t="str">
        <f>'All Girls &amp; Descendants'!J57</f>
        <v/>
      </c>
      <c r="J59">
        <f>'All Girls &amp; Descendants'!K57</f>
        <v>0</v>
      </c>
      <c r="K59" s="7">
        <f>'All Girls &amp; Descendants'!M57</f>
        <v>19725</v>
      </c>
      <c r="L59" t="str">
        <f>'All Girls &amp; Descendants'!N57</f>
        <v xml:space="preserve"> - </v>
      </c>
      <c r="M59" t="str">
        <f>'All Girls &amp; Descendants'!O57</f>
        <v/>
      </c>
      <c r="N59" t="str">
        <f>'All Girls &amp; Descendants'!P57</f>
        <v/>
      </c>
      <c r="O59" t="str">
        <f>'All Girls &amp; Descendants'!Q57</f>
        <v>92</v>
      </c>
      <c r="P59" t="str">
        <f t="shared" si="2"/>
        <v>92d</v>
      </c>
      <c r="Q59" s="116">
        <f t="shared" si="3"/>
        <v>1</v>
      </c>
      <c r="R59" s="31" t="str">
        <f t="shared" si="4"/>
        <v>Frances Maud  TATTON-BROWN</v>
      </c>
      <c r="S59" s="31" t="str">
        <f t="shared" si="5"/>
        <v>Fanny TATTON-BROWN (1954 -: #92d)</v>
      </c>
      <c r="U59" s="117">
        <f t="shared" si="6"/>
        <v>9213</v>
      </c>
      <c r="V59" t="s">
        <v>1501</v>
      </c>
      <c r="W59" s="116">
        <f t="shared" si="31"/>
        <v>92</v>
      </c>
      <c r="X59" s="116" t="str">
        <f t="shared" si="28"/>
        <v>a</v>
      </c>
      <c r="Y59" s="116" t="str">
        <f t="shared" si="7"/>
        <v>c</v>
      </c>
      <c r="Z59" s="116"/>
      <c r="AB59" s="116"/>
      <c r="AF59" s="116"/>
    </row>
    <row r="60" spans="1:32">
      <c r="A60">
        <f>'All Girls &amp; Descendants'!B58</f>
        <v>95</v>
      </c>
      <c r="B60" t="str">
        <f>'All Girls &amp; Descendants'!C58</f>
        <v>95a</v>
      </c>
      <c r="C60" t="str">
        <f>'All Girls &amp; Descendants'!D58</f>
        <v>KNIGHT</v>
      </c>
      <c r="D60" t="str">
        <f>'All Girls &amp; Descendants'!E58</f>
        <v>Henrietta</v>
      </c>
      <c r="E60" t="str">
        <f>IF('All Girls &amp; Descendants'!F58="","",'All Girls &amp; Descendants'!F58)</f>
        <v>Catherine</v>
      </c>
      <c r="F60" t="str">
        <f>IF('All Girls &amp; Descendants'!G58="","",'All Girls &amp; Descendants'!G58)</f>
        <v/>
      </c>
      <c r="G60" t="str">
        <f>IF('All Girls &amp; Descendants'!H58="",D60,'All Girls &amp; Descendants'!H58)</f>
        <v>Henrietta</v>
      </c>
      <c r="H60">
        <f>'All Girls &amp; Descendants'!I58</f>
        <v>1946</v>
      </c>
      <c r="I60" t="str">
        <f>'All Girls &amp; Descendants'!J58</f>
        <v/>
      </c>
      <c r="J60">
        <f>'All Girls &amp; Descendants'!K58</f>
        <v>0</v>
      </c>
      <c r="K60" s="7">
        <f>'All Girls &amp; Descendants'!M58</f>
        <v>17151</v>
      </c>
      <c r="L60" t="str">
        <f>'All Girls &amp; Descendants'!N58</f>
        <v xml:space="preserve"> - </v>
      </c>
      <c r="M60" t="str">
        <f>'All Girls &amp; Descendants'!O58</f>
        <v/>
      </c>
      <c r="N60" t="str">
        <f>'All Girls &amp; Descendants'!P58</f>
        <v/>
      </c>
      <c r="O60" t="str">
        <f>'All Girls &amp; Descendants'!Q58</f>
        <v>95</v>
      </c>
      <c r="P60" t="str">
        <f t="shared" si="2"/>
        <v>95a</v>
      </c>
      <c r="Q60" s="116">
        <f t="shared" si="3"/>
        <v>1</v>
      </c>
      <c r="R60" s="31" t="str">
        <f t="shared" si="4"/>
        <v>Henrietta Catherine  KNIGHT</v>
      </c>
      <c r="S60" s="31" t="str">
        <f t="shared" si="5"/>
        <v>Henrietta KNIGHT (1946 -: #95a)</v>
      </c>
      <c r="U60" s="117">
        <f t="shared" si="6"/>
        <v>9214</v>
      </c>
      <c r="V60" t="s">
        <v>1502</v>
      </c>
      <c r="W60" s="116">
        <f t="shared" si="31"/>
        <v>92</v>
      </c>
      <c r="X60" s="116" t="str">
        <f t="shared" si="28"/>
        <v>a</v>
      </c>
      <c r="Y60" s="116" t="str">
        <f t="shared" si="7"/>
        <v>d</v>
      </c>
      <c r="Z60" s="116"/>
      <c r="AB60" s="116"/>
      <c r="AF60" s="116"/>
    </row>
    <row r="61" spans="1:32">
      <c r="A61">
        <f>'All Girls &amp; Descendants'!B59</f>
        <v>95</v>
      </c>
      <c r="B61" t="str">
        <f>'All Girls &amp; Descendants'!C59</f>
        <v>95b</v>
      </c>
      <c r="C61" t="str">
        <f>'All Girls &amp; Descendants'!D59</f>
        <v>KNIGHT</v>
      </c>
      <c r="D61" t="str">
        <f>'All Girls &amp; Descendants'!E59</f>
        <v>Celia</v>
      </c>
      <c r="E61" t="str">
        <f>IF('All Girls &amp; Descendants'!F59="","",'All Girls &amp; Descendants'!F59)</f>
        <v>Elizabeth</v>
      </c>
      <c r="F61" t="str">
        <f>IF('All Girls &amp; Descendants'!G59="","",'All Girls &amp; Descendants'!G59)</f>
        <v/>
      </c>
      <c r="G61" t="str">
        <f>IF('All Girls &amp; Descendants'!H59="",D61,'All Girls &amp; Descendants'!H59)</f>
        <v>Ce-Ce</v>
      </c>
      <c r="H61">
        <f>'All Girls &amp; Descendants'!I59</f>
        <v>1949</v>
      </c>
      <c r="I61">
        <f>'All Girls &amp; Descendants'!J59</f>
        <v>2020</v>
      </c>
      <c r="J61">
        <f>'All Girls &amp; Descendants'!K59</f>
        <v>0</v>
      </c>
      <c r="K61" s="7">
        <f>'All Girls &amp; Descendants'!M59</f>
        <v>18182</v>
      </c>
      <c r="L61">
        <f>'All Girls &amp; Descendants'!N59</f>
        <v>29942</v>
      </c>
      <c r="M61">
        <f>'All Girls &amp; Descendants'!O59</f>
        <v>44163</v>
      </c>
      <c r="N61" t="str">
        <f>'All Girls &amp; Descendants'!P59</f>
        <v>28/11/2020</v>
      </c>
      <c r="O61" t="str">
        <f>'All Girls &amp; Descendants'!Q59</f>
        <v>95</v>
      </c>
      <c r="P61" t="str">
        <f t="shared" si="2"/>
        <v>95b</v>
      </c>
      <c r="Q61" s="116">
        <f t="shared" si="3"/>
        <v>1</v>
      </c>
      <c r="R61" s="31" t="str">
        <f t="shared" si="4"/>
        <v>Celia Elizabeth  KNIGHT</v>
      </c>
      <c r="S61" s="31" t="str">
        <f t="shared" si="5"/>
        <v>Ce-Ce KNIGHT (1949 -2020: #95b)</v>
      </c>
      <c r="U61" s="117">
        <f t="shared" si="6"/>
        <v>9221</v>
      </c>
      <c r="V61" t="s">
        <v>1506</v>
      </c>
      <c r="W61" s="116">
        <f t="shared" si="31"/>
        <v>92</v>
      </c>
      <c r="X61" s="116" t="str">
        <f t="shared" si="28"/>
        <v>b</v>
      </c>
      <c r="Y61" s="116" t="str">
        <f t="shared" si="7"/>
        <v>a</v>
      </c>
      <c r="Z61" s="116"/>
      <c r="AB61" s="116"/>
      <c r="AF61" s="116"/>
    </row>
    <row r="62" spans="1:32">
      <c r="A62">
        <f>'All Girls &amp; Descendants'!B60</f>
        <v>97</v>
      </c>
      <c r="B62" t="str">
        <f>'All Girls &amp; Descendants'!C60</f>
        <v>97a</v>
      </c>
      <c r="C62" t="str">
        <f>'All Girls &amp; Descendants'!D60</f>
        <v>SALE</v>
      </c>
      <c r="D62" t="str">
        <f>'All Girls &amp; Descendants'!E60</f>
        <v>Julian</v>
      </c>
      <c r="E62" t="str">
        <f>IF('All Girls &amp; Descendants'!F60="","",'All Girls &amp; Descendants'!F60)</f>
        <v>Edward</v>
      </c>
      <c r="F62" t="str">
        <f>IF('All Girls &amp; Descendants'!G60="","",'All Girls &amp; Descendants'!G60)</f>
        <v>Loyd</v>
      </c>
      <c r="G62" t="str">
        <f>IF('All Girls &amp; Descendants'!H60="",D62,'All Girls &amp; Descendants'!H60)</f>
        <v>Julian</v>
      </c>
      <c r="H62">
        <f>'All Girls &amp; Descendants'!I60</f>
        <v>1951</v>
      </c>
      <c r="I62" t="str">
        <f>'All Girls &amp; Descendants'!J60</f>
        <v/>
      </c>
      <c r="J62">
        <f>'All Girls &amp; Descendants'!K60</f>
        <v>0</v>
      </c>
      <c r="K62" s="7">
        <f>'All Girls &amp; Descendants'!M60</f>
        <v>18979</v>
      </c>
      <c r="L62" t="str">
        <f>'All Girls &amp; Descendants'!N60</f>
        <v xml:space="preserve"> - </v>
      </c>
      <c r="M62" t="str">
        <f>'All Girls &amp; Descendants'!O60</f>
        <v/>
      </c>
      <c r="N62" t="str">
        <f>'All Girls &amp; Descendants'!P60</f>
        <v/>
      </c>
      <c r="O62" t="str">
        <f>'All Girls &amp; Descendants'!Q60</f>
        <v>97</v>
      </c>
      <c r="P62" t="str">
        <f t="shared" si="2"/>
        <v>97a</v>
      </c>
      <c r="Q62" s="116">
        <f t="shared" si="3"/>
        <v>1</v>
      </c>
      <c r="R62" s="31" t="str">
        <f t="shared" si="4"/>
        <v>Julian Edward Loyd SALE</v>
      </c>
      <c r="S62" s="31" t="str">
        <f t="shared" si="5"/>
        <v>Julian SALE (1951 -: #97a)</v>
      </c>
      <c r="U62" s="117">
        <f t="shared" si="6"/>
        <v>9222</v>
      </c>
      <c r="V62" t="s">
        <v>1507</v>
      </c>
      <c r="W62" s="116">
        <f t="shared" si="31"/>
        <v>92</v>
      </c>
      <c r="X62" s="116" t="str">
        <f t="shared" si="28"/>
        <v>b</v>
      </c>
      <c r="Y62" s="116" t="str">
        <f t="shared" si="7"/>
        <v>b</v>
      </c>
      <c r="Z62" s="116"/>
      <c r="AB62" s="116"/>
      <c r="AF62" s="116"/>
    </row>
    <row r="63" spans="1:32">
      <c r="A63">
        <f>'All Girls &amp; Descendants'!B61</f>
        <v>97</v>
      </c>
      <c r="B63" t="str">
        <f>'All Girls &amp; Descendants'!C61</f>
        <v>97b</v>
      </c>
      <c r="C63" t="str">
        <f>'All Girls &amp; Descendants'!D61</f>
        <v>SALE</v>
      </c>
      <c r="D63" t="str">
        <f>'All Girls &amp; Descendants'!E61</f>
        <v>Iona</v>
      </c>
      <c r="E63" t="str">
        <f>IF('All Girls &amp; Descendants'!F61="","",'All Girls &amp; Descendants'!F61)</f>
        <v>Marian</v>
      </c>
      <c r="F63" t="str">
        <f>IF('All Girls &amp; Descendants'!G61="","",'All Girls &amp; Descendants'!G61)</f>
        <v/>
      </c>
      <c r="G63" t="str">
        <f>IF('All Girls &amp; Descendants'!H61="",D63,'All Girls &amp; Descendants'!H61)</f>
        <v>Iona</v>
      </c>
      <c r="H63">
        <f>'All Girls &amp; Descendants'!I61</f>
        <v>1954</v>
      </c>
      <c r="I63" t="str">
        <f>'All Girls &amp; Descendants'!J61</f>
        <v/>
      </c>
      <c r="J63">
        <f>'All Girls &amp; Descendants'!K61</f>
        <v>0</v>
      </c>
      <c r="K63" s="7">
        <f>'All Girls &amp; Descendants'!M61</f>
        <v>19805</v>
      </c>
      <c r="L63" t="str">
        <f>'All Girls &amp; Descendants'!N61</f>
        <v xml:space="preserve"> - </v>
      </c>
      <c r="M63" t="str">
        <f>'All Girls &amp; Descendants'!O61</f>
        <v/>
      </c>
      <c r="N63" t="str">
        <f>'All Girls &amp; Descendants'!P61</f>
        <v/>
      </c>
      <c r="O63" t="str">
        <f>'All Girls &amp; Descendants'!Q61</f>
        <v>97</v>
      </c>
      <c r="P63" t="str">
        <f t="shared" si="2"/>
        <v>97b</v>
      </c>
      <c r="Q63" s="116">
        <f t="shared" si="3"/>
        <v>1</v>
      </c>
      <c r="R63" s="31" t="str">
        <f t="shared" si="4"/>
        <v>Iona Marian  SALE</v>
      </c>
      <c r="S63" s="31" t="str">
        <f t="shared" si="5"/>
        <v>Iona SALE (1954 -: #97b)</v>
      </c>
      <c r="U63" s="117">
        <f t="shared" si="6"/>
        <v>9223</v>
      </c>
      <c r="V63" t="s">
        <v>1508</v>
      </c>
      <c r="W63" s="116">
        <f t="shared" si="31"/>
        <v>92</v>
      </c>
      <c r="X63" s="116" t="str">
        <f t="shared" si="28"/>
        <v>b</v>
      </c>
      <c r="Y63" s="116" t="str">
        <f t="shared" si="7"/>
        <v>c</v>
      </c>
      <c r="Z63" s="116"/>
      <c r="AB63" s="116"/>
      <c r="AF63" s="116"/>
    </row>
    <row r="64" spans="1:32">
      <c r="A64">
        <f>'All Girls &amp; Descendants'!B62</f>
        <v>97</v>
      </c>
      <c r="B64" t="str">
        <f>'All Girls &amp; Descendants'!C62</f>
        <v>97c</v>
      </c>
      <c r="C64" t="str">
        <f>'All Girls &amp; Descendants'!D62</f>
        <v>SALE</v>
      </c>
      <c r="D64" t="str">
        <f>'All Girls &amp; Descendants'!E62</f>
        <v>Charles</v>
      </c>
      <c r="E64" t="str">
        <f>IF('All Girls &amp; Descendants'!F62="","",'All Girls &amp; Descendants'!F62)</f>
        <v>Robert</v>
      </c>
      <c r="F64" t="str">
        <f>IF('All Girls &amp; Descendants'!G62="","",'All Girls &amp; Descendants'!G62)</f>
        <v/>
      </c>
      <c r="G64" t="str">
        <f>IF('All Girls &amp; Descendants'!H62="",D64,'All Girls &amp; Descendants'!H62)</f>
        <v>Charles</v>
      </c>
      <c r="H64">
        <f>'All Girls &amp; Descendants'!I62</f>
        <v>1956</v>
      </c>
      <c r="I64">
        <f>'All Girls &amp; Descendants'!J62</f>
        <v>1957</v>
      </c>
      <c r="J64">
        <f>'All Girls &amp; Descendants'!K62</f>
        <v>0</v>
      </c>
      <c r="K64" s="7">
        <f>'All Girls &amp; Descendants'!M62</f>
        <v>20710</v>
      </c>
      <c r="L64" t="str">
        <f>'All Girls &amp; Descendants'!N62</f>
        <v xml:space="preserve"> - </v>
      </c>
      <c r="M64">
        <f>'All Girls &amp; Descendants'!O62</f>
        <v>21047</v>
      </c>
      <c r="N64" t="str">
        <f>'All Girls &amp; Descendants'!P62</f>
        <v>15/08/1957</v>
      </c>
      <c r="O64" t="str">
        <f>'All Girls &amp; Descendants'!Q62</f>
        <v>97</v>
      </c>
      <c r="P64" t="str">
        <f t="shared" si="2"/>
        <v>97c</v>
      </c>
      <c r="Q64" s="116">
        <f t="shared" si="3"/>
        <v>1</v>
      </c>
      <c r="R64" s="31" t="str">
        <f t="shared" si="4"/>
        <v>Charles Robert  SALE</v>
      </c>
      <c r="S64" s="31" t="str">
        <f t="shared" si="5"/>
        <v>Charles SALE (1956 -1957: #97c)</v>
      </c>
      <c r="U64" s="117">
        <f t="shared" si="6"/>
        <v>9224</v>
      </c>
      <c r="V64" t="s">
        <v>1509</v>
      </c>
      <c r="W64" s="116">
        <f t="shared" si="31"/>
        <v>92</v>
      </c>
      <c r="X64" s="116" t="str">
        <f t="shared" si="28"/>
        <v>b</v>
      </c>
      <c r="Y64" s="116" t="str">
        <f t="shared" si="7"/>
        <v>d</v>
      </c>
      <c r="Z64" s="116"/>
      <c r="AB64" s="116"/>
      <c r="AF64" s="116"/>
    </row>
    <row r="65" spans="1:32">
      <c r="A65">
        <f>'All Girls &amp; Descendants'!B63</f>
        <v>97</v>
      </c>
      <c r="B65" t="str">
        <f>'All Girls &amp; Descendants'!C63</f>
        <v>97d</v>
      </c>
      <c r="C65" t="str">
        <f>'All Girls &amp; Descendants'!D63</f>
        <v>SALE</v>
      </c>
      <c r="D65" t="str">
        <f>'All Girls &amp; Descendants'!E63</f>
        <v>Roderick</v>
      </c>
      <c r="E65" t="str">
        <f>IF('All Girls &amp; Descendants'!F63="","",'All Girls &amp; Descendants'!F63)</f>
        <v>Peter</v>
      </c>
      <c r="F65" t="str">
        <f>IF('All Girls &amp; Descendants'!G63="","",'All Girls &amp; Descendants'!G63)</f>
        <v>Abell</v>
      </c>
      <c r="G65" t="str">
        <f>IF('All Girls &amp; Descendants'!H63="",D65,'All Girls &amp; Descendants'!H63)</f>
        <v>Roddy</v>
      </c>
      <c r="H65">
        <f>'All Girls &amp; Descendants'!I63</f>
        <v>1959</v>
      </c>
      <c r="I65" t="str">
        <f>'All Girls &amp; Descendants'!J63</f>
        <v/>
      </c>
      <c r="J65">
        <f>'All Girls &amp; Descendants'!K63</f>
        <v>0</v>
      </c>
      <c r="K65" s="7">
        <f>'All Girls &amp; Descendants'!M63</f>
        <v>21654</v>
      </c>
      <c r="L65" t="str">
        <f>'All Girls &amp; Descendants'!N63</f>
        <v xml:space="preserve"> - </v>
      </c>
      <c r="M65" t="str">
        <f>'All Girls &amp; Descendants'!O63</f>
        <v/>
      </c>
      <c r="N65" t="str">
        <f>'All Girls &amp; Descendants'!P63</f>
        <v/>
      </c>
      <c r="O65" t="str">
        <f>'All Girls &amp; Descendants'!Q63</f>
        <v>97</v>
      </c>
      <c r="P65" t="str">
        <f t="shared" si="2"/>
        <v>97d</v>
      </c>
      <c r="Q65" s="116">
        <f t="shared" si="3"/>
        <v>1</v>
      </c>
      <c r="R65" s="31" t="str">
        <f t="shared" si="4"/>
        <v>Roderick Peter Abell SALE</v>
      </c>
      <c r="S65" s="31" t="str">
        <f t="shared" si="5"/>
        <v>Roddy SALE (1959 -: #97d)</v>
      </c>
      <c r="U65" s="117">
        <f t="shared" si="6"/>
        <v>9241</v>
      </c>
      <c r="V65" t="s">
        <v>1524</v>
      </c>
      <c r="W65" s="116">
        <f t="shared" si="31"/>
        <v>92</v>
      </c>
      <c r="X65" s="116" t="str">
        <f>MID(V65,3,1)</f>
        <v>d</v>
      </c>
      <c r="Y65" s="116" t="str">
        <f t="shared" si="7"/>
        <v>a</v>
      </c>
      <c r="Z65" s="116"/>
      <c r="AB65" s="116"/>
      <c r="AF65" s="116"/>
    </row>
    <row r="66" spans="1:32">
      <c r="A66">
        <f>'All Girls &amp; Descendants'!B64</f>
        <v>97</v>
      </c>
      <c r="B66" t="str">
        <f>'All Girls &amp; Descendants'!C64</f>
        <v>97e</v>
      </c>
      <c r="C66" t="str">
        <f>'All Girls &amp; Descendants'!D64</f>
        <v>SALE</v>
      </c>
      <c r="D66" t="str">
        <f>'All Girls &amp; Descendants'!E64</f>
        <v>Edward</v>
      </c>
      <c r="E66" t="str">
        <f>IF('All Girls &amp; Descendants'!F64="","",'All Girls &amp; Descendants'!F64)</f>
        <v>John</v>
      </c>
      <c r="F66" t="str">
        <f>IF('All Girls &amp; Descendants'!G64="","",'All Girls &amp; Descendants'!G64)</f>
        <v>Andrew</v>
      </c>
      <c r="G66" t="str">
        <f>IF('All Girls &amp; Descendants'!H64="",D66,'All Girls &amp; Descendants'!H64)</f>
        <v>Edward</v>
      </c>
      <c r="H66">
        <f>'All Girls &amp; Descendants'!I64</f>
        <v>1963</v>
      </c>
      <c r="I66" t="str">
        <f>'All Girls &amp; Descendants'!J64</f>
        <v/>
      </c>
      <c r="J66">
        <f>'All Girls &amp; Descendants'!K64</f>
        <v>0</v>
      </c>
      <c r="K66" s="7">
        <f>'All Girls &amp; Descendants'!M64</f>
        <v>23286</v>
      </c>
      <c r="L66" t="str">
        <f>'All Girls &amp; Descendants'!N64</f>
        <v xml:space="preserve"> - </v>
      </c>
      <c r="M66" t="str">
        <f>'All Girls &amp; Descendants'!O64</f>
        <v/>
      </c>
      <c r="N66" t="str">
        <f>'All Girls &amp; Descendants'!P64</f>
        <v/>
      </c>
      <c r="O66" t="str">
        <f>'All Girls &amp; Descendants'!Q64</f>
        <v>97</v>
      </c>
      <c r="P66" t="str">
        <f t="shared" si="2"/>
        <v>97e</v>
      </c>
      <c r="Q66" s="116">
        <f t="shared" si="3"/>
        <v>1</v>
      </c>
      <c r="R66" s="31" t="str">
        <f t="shared" si="4"/>
        <v>Edward John Andrew SALE</v>
      </c>
      <c r="S66" s="31" t="str">
        <f t="shared" si="5"/>
        <v>Edward SALE (1963 -: #97e)</v>
      </c>
      <c r="U66" s="117">
        <f t="shared" si="6"/>
        <v>9242</v>
      </c>
      <c r="V66" t="s">
        <v>1525</v>
      </c>
      <c r="W66" s="116">
        <f t="shared" si="31"/>
        <v>92</v>
      </c>
      <c r="X66" s="116" t="str">
        <f t="shared" si="28"/>
        <v>d</v>
      </c>
      <c r="Y66" s="116" t="str">
        <f t="shared" si="7"/>
        <v>b</v>
      </c>
      <c r="Z66" s="116"/>
      <c r="AB66" s="116"/>
      <c r="AF66" s="116"/>
    </row>
    <row r="67" spans="1:32">
      <c r="A67">
        <f>'All Girls &amp; Descendants'!B65</f>
        <v>101</v>
      </c>
      <c r="B67" t="str">
        <f>'All Girls &amp; Descendants'!C65</f>
        <v>101a</v>
      </c>
      <c r="C67" t="str">
        <f>'All Girls &amp; Descendants'!D65</f>
        <v>MEADE</v>
      </c>
      <c r="D67" t="str">
        <f>'All Girls &amp; Descendants'!E65</f>
        <v>Lady Selina</v>
      </c>
      <c r="E67" t="str">
        <f>IF('All Girls &amp; Descendants'!F65="","",'All Girls &amp; Descendants'!F65)</f>
        <v>Catherine</v>
      </c>
      <c r="F67" t="str">
        <f>IF('All Girls &amp; Descendants'!G65="","",'All Girls &amp; Descendants'!G65)</f>
        <v/>
      </c>
      <c r="G67" t="str">
        <f>IF('All Girls &amp; Descendants'!H65="",D67,'All Girls &amp; Descendants'!H65)</f>
        <v>Lady Selina</v>
      </c>
      <c r="H67">
        <f>'All Girls &amp; Descendants'!I65</f>
        <v>1950</v>
      </c>
      <c r="I67" t="str">
        <f>'All Girls &amp; Descendants'!J65</f>
        <v/>
      </c>
      <c r="J67">
        <f>'All Girls &amp; Descendants'!K65</f>
        <v>0</v>
      </c>
      <c r="K67" s="7">
        <f>'All Girls &amp; Descendants'!M65</f>
        <v>18336</v>
      </c>
      <c r="L67">
        <f>'All Girls &amp; Descendants'!N65</f>
        <v>26600</v>
      </c>
      <c r="M67" t="str">
        <f>'All Girls &amp; Descendants'!O65</f>
        <v/>
      </c>
      <c r="N67" t="str">
        <f>'All Girls &amp; Descendants'!P65</f>
        <v/>
      </c>
      <c r="O67" t="str">
        <f>'All Girls &amp; Descendants'!Q65</f>
        <v>101</v>
      </c>
      <c r="P67" t="str">
        <f t="shared" si="2"/>
        <v>101a</v>
      </c>
      <c r="Q67" s="116">
        <f t="shared" si="3"/>
        <v>1</v>
      </c>
      <c r="R67" s="31" t="str">
        <f t="shared" si="4"/>
        <v>Lady Selina Catherine  MEADE</v>
      </c>
      <c r="S67" s="31" t="str">
        <f t="shared" si="5"/>
        <v>Lady Selina MEADE (1950 -: #101a)</v>
      </c>
      <c r="U67" s="117">
        <f t="shared" si="6"/>
        <v>9521</v>
      </c>
      <c r="V67" t="s">
        <v>1537</v>
      </c>
      <c r="W67" s="116">
        <f t="shared" si="31"/>
        <v>95</v>
      </c>
      <c r="X67" s="116" t="str">
        <f t="shared" si="28"/>
        <v>b</v>
      </c>
      <c r="Y67" s="116" t="str">
        <f t="shared" si="7"/>
        <v>a</v>
      </c>
      <c r="Z67" s="116"/>
      <c r="AB67" s="116"/>
      <c r="AF67" s="116"/>
    </row>
    <row r="68" spans="1:32">
      <c r="A68">
        <f>'All Girls &amp; Descendants'!B66</f>
        <v>101</v>
      </c>
      <c r="B68" t="str">
        <f>'All Girls &amp; Descendants'!C66</f>
        <v>101b</v>
      </c>
      <c r="C68" t="str">
        <f>'All Girls &amp; Descendants'!D66</f>
        <v>MEADE</v>
      </c>
      <c r="D68" t="str">
        <f>'All Girls &amp; Descendants'!E66</f>
        <v>Lady Mary</v>
      </c>
      <c r="E68" t="str">
        <f>IF('All Girls &amp; Descendants'!F66="","",'All Girls &amp; Descendants'!F66)</f>
        <v>Jane</v>
      </c>
      <c r="F68" t="str">
        <f>IF('All Girls &amp; Descendants'!G66="","",'All Girls &amp; Descendants'!G66)</f>
        <v/>
      </c>
      <c r="G68" t="str">
        <f>IF('All Girls &amp; Descendants'!H66="",D68,'All Girls &amp; Descendants'!H66)</f>
        <v>Lady Mary</v>
      </c>
      <c r="H68">
        <f>'All Girls &amp; Descendants'!I66</f>
        <v>1952</v>
      </c>
      <c r="I68" t="str">
        <f>'All Girls &amp; Descendants'!J66</f>
        <v/>
      </c>
      <c r="J68">
        <f>'All Girls &amp; Descendants'!K66</f>
        <v>0</v>
      </c>
      <c r="K68" s="7">
        <f>'All Girls &amp; Descendants'!M66</f>
        <v>19187</v>
      </c>
      <c r="L68">
        <f>'All Girls &amp; Descendants'!N66</f>
        <v>30933</v>
      </c>
      <c r="M68" t="str">
        <f>'All Girls &amp; Descendants'!O66</f>
        <v/>
      </c>
      <c r="N68" t="str">
        <f>'All Girls &amp; Descendants'!P66</f>
        <v/>
      </c>
      <c r="O68" t="str">
        <f>'All Girls &amp; Descendants'!Q66</f>
        <v>101</v>
      </c>
      <c r="P68" t="str">
        <f t="shared" si="2"/>
        <v>101b</v>
      </c>
      <c r="Q68" s="116">
        <f t="shared" si="3"/>
        <v>1</v>
      </c>
      <c r="R68" s="31" t="str">
        <f t="shared" si="4"/>
        <v>Lady Mary Jane  MEADE</v>
      </c>
      <c r="S68" s="31" t="str">
        <f t="shared" si="5"/>
        <v>Lady Mary MEADE (1952 -: #101b)</v>
      </c>
      <c r="U68" s="117">
        <f t="shared" si="6"/>
        <v>9522</v>
      </c>
      <c r="V68" t="s">
        <v>1538</v>
      </c>
      <c r="W68" s="116">
        <f t="shared" si="31"/>
        <v>95</v>
      </c>
      <c r="X68" s="116" t="str">
        <f t="shared" si="28"/>
        <v>b</v>
      </c>
      <c r="Y68" s="116" t="str">
        <f t="shared" si="7"/>
        <v>b</v>
      </c>
      <c r="Z68" s="116"/>
      <c r="AB68" s="116"/>
      <c r="AF68" s="116"/>
    </row>
    <row r="69" spans="1:32">
      <c r="A69">
        <f>'All Girls &amp; Descendants'!B67</f>
        <v>101</v>
      </c>
      <c r="B69" t="str">
        <f>'All Girls &amp; Descendants'!C67</f>
        <v>101c</v>
      </c>
      <c r="C69" t="str">
        <f>'All Girls &amp; Descendants'!D67</f>
        <v>MEADE</v>
      </c>
      <c r="D69" t="str">
        <f>'All Girls &amp; Descendants'!E67</f>
        <v>Lady Julia</v>
      </c>
      <c r="E69" t="str">
        <f>IF('All Girls &amp; Descendants'!F67="","",'All Girls &amp; Descendants'!F67)</f>
        <v>Elizabeth</v>
      </c>
      <c r="F69" t="str">
        <f>IF('All Girls &amp; Descendants'!G67="","",'All Girls &amp; Descendants'!G67)</f>
        <v/>
      </c>
      <c r="G69" t="str">
        <f>IF('All Girls &amp; Descendants'!H67="",D69,'All Girls &amp; Descendants'!H67)</f>
        <v>Lady Julia</v>
      </c>
      <c r="H69">
        <f>'All Girls &amp; Descendants'!I67</f>
        <v>1953</v>
      </c>
      <c r="I69" t="str">
        <f>'All Girls &amp; Descendants'!J67</f>
        <v/>
      </c>
      <c r="J69">
        <f>'All Girls &amp; Descendants'!K67</f>
        <v>0</v>
      </c>
      <c r="K69" s="7">
        <f>'All Girls &amp; Descendants'!M67</f>
        <v>19724</v>
      </c>
      <c r="L69" t="str">
        <f>'All Girls &amp; Descendants'!N67</f>
        <v xml:space="preserve"> - </v>
      </c>
      <c r="M69" t="str">
        <f>'All Girls &amp; Descendants'!O67</f>
        <v/>
      </c>
      <c r="N69" t="str">
        <f>'All Girls &amp; Descendants'!P67</f>
        <v/>
      </c>
      <c r="O69" t="str">
        <f>'All Girls &amp; Descendants'!Q67</f>
        <v>101</v>
      </c>
      <c r="P69" t="str">
        <f t="shared" ref="P69:P132" si="44">B69</f>
        <v>101c</v>
      </c>
      <c r="Q69" s="116">
        <f t="shared" ref="Q69:Q132" si="45">LEN(B69)-LEN(A69)</f>
        <v>1</v>
      </c>
      <c r="R69" s="31" t="str">
        <f t="shared" ref="R69:R132" si="46">_xlfn.CONCAT(D69," ",E69," ",F69," ",C69)</f>
        <v>Lady Julia Elizabeth  MEADE</v>
      </c>
      <c r="S69" s="31" t="str">
        <f t="shared" ref="S69:S132" si="47">_xlfn.CONCAT(G69," ",C69," (",H69," -",I69,": #",B69,")")</f>
        <v>Lady Julia MEADE (1953 -: #101c)</v>
      </c>
      <c r="U69" s="117">
        <f t="shared" ref="U69:U133" si="48">W69*100+10*VLOOKUP(X69,$AB$4:$AC$13,2,FALSE)+VLOOKUP(Y69,$AB$4:$AC$13,2,FALSE)</f>
        <v>9523</v>
      </c>
      <c r="V69" t="s">
        <v>1539</v>
      </c>
      <c r="W69" s="116">
        <f t="shared" si="31"/>
        <v>95</v>
      </c>
      <c r="X69" s="116" t="str">
        <f t="shared" si="28"/>
        <v>b</v>
      </c>
      <c r="Y69" s="116" t="str">
        <f t="shared" ref="Y69:Y132" si="49">RIGHT(V69,1)</f>
        <v>c</v>
      </c>
      <c r="Z69" s="116"/>
      <c r="AB69" s="116"/>
      <c r="AF69" s="116"/>
    </row>
    <row r="70" spans="1:32">
      <c r="A70">
        <f>'All Girls &amp; Descendants'!B68</f>
        <v>101</v>
      </c>
      <c r="B70" t="str">
        <f>'All Girls &amp; Descendants'!C68</f>
        <v>101d</v>
      </c>
      <c r="C70" t="str">
        <f>'All Girls &amp; Descendants'!D68</f>
        <v>MEADE</v>
      </c>
      <c r="D70" t="str">
        <f>'All Girls &amp; Descendants'!E68</f>
        <v>Lady Laura</v>
      </c>
      <c r="E70" t="str">
        <f>IF('All Girls &amp; Descendants'!F68="","",'All Girls &amp; Descendants'!F68)</f>
        <v>Louise</v>
      </c>
      <c r="F70" t="str">
        <f>IF('All Girls &amp; Descendants'!G68="","",'All Girls &amp; Descendants'!G68)</f>
        <v/>
      </c>
      <c r="G70" t="str">
        <f>IF('All Girls &amp; Descendants'!H68="",D70,'All Girls &amp; Descendants'!H68)</f>
        <v>Lady Laura</v>
      </c>
      <c r="H70">
        <f>'All Girls &amp; Descendants'!I68</f>
        <v>1957</v>
      </c>
      <c r="I70" t="str">
        <f>'All Girls &amp; Descendants'!J68</f>
        <v/>
      </c>
      <c r="J70">
        <f>'All Girls &amp; Descendants'!K68</f>
        <v>0</v>
      </c>
      <c r="K70" s="7">
        <f>'All Girls &amp; Descendants'!M68</f>
        <v>20890</v>
      </c>
      <c r="L70">
        <f>'All Girls &amp; Descendants'!N68</f>
        <v>29701</v>
      </c>
      <c r="M70" t="str">
        <f>'All Girls &amp; Descendants'!O68</f>
        <v/>
      </c>
      <c r="N70" t="str">
        <f>'All Girls &amp; Descendants'!P68</f>
        <v/>
      </c>
      <c r="O70" t="str">
        <f>'All Girls &amp; Descendants'!Q68</f>
        <v>101</v>
      </c>
      <c r="P70" t="str">
        <f t="shared" si="44"/>
        <v>101d</v>
      </c>
      <c r="Q70" s="116">
        <f t="shared" si="45"/>
        <v>1</v>
      </c>
      <c r="R70" s="31" t="str">
        <f t="shared" si="46"/>
        <v>Lady Laura Louise  MEADE</v>
      </c>
      <c r="S70" s="31" t="str">
        <f t="shared" si="47"/>
        <v>Lady Laura MEADE (1957 -: #101d)</v>
      </c>
      <c r="U70" s="117">
        <f t="shared" si="48"/>
        <v>9711</v>
      </c>
      <c r="V70" t="s">
        <v>1545</v>
      </c>
      <c r="W70" s="116">
        <f t="shared" si="31"/>
        <v>97</v>
      </c>
      <c r="X70" s="116" t="str">
        <f t="shared" si="28"/>
        <v>a</v>
      </c>
      <c r="Y70" s="116" t="str">
        <f t="shared" si="49"/>
        <v>a</v>
      </c>
      <c r="Z70" s="116"/>
      <c r="AB70" s="116"/>
      <c r="AF70" s="116"/>
    </row>
    <row r="71" spans="1:32">
      <c r="A71">
        <f>'All Girls &amp; Descendants'!B69</f>
        <v>101</v>
      </c>
      <c r="B71" t="str">
        <f>'All Girls &amp; Descendants'!C69</f>
        <v>101e</v>
      </c>
      <c r="C71" t="str">
        <f>'All Girls &amp; Descendants'!D69</f>
        <v>MEADE</v>
      </c>
      <c r="D71" t="str">
        <f>'All Girls &amp; Descendants'!E69</f>
        <v>Lady Katherine</v>
      </c>
      <c r="E71" t="str">
        <f>IF('All Girls &amp; Descendants'!F69="","",'All Girls &amp; Descendants'!F69)</f>
        <v>Anne</v>
      </c>
      <c r="F71" t="str">
        <f>IF('All Girls &amp; Descendants'!G69="","",'All Girls &amp; Descendants'!G69)</f>
        <v/>
      </c>
      <c r="G71" t="str">
        <f>IF('All Girls &amp; Descendants'!H69="",D71,'All Girls &amp; Descendants'!H69)</f>
        <v>Lady Katherine</v>
      </c>
      <c r="H71">
        <f>'All Girls &amp; Descendants'!I69</f>
        <v>1959</v>
      </c>
      <c r="I71" t="str">
        <f>'All Girls &amp; Descendants'!J69</f>
        <v/>
      </c>
      <c r="J71">
        <f>'All Girls &amp; Descendants'!K69</f>
        <v>0</v>
      </c>
      <c r="K71" s="7">
        <f>'All Girls &amp; Descendants'!M69</f>
        <v>21772</v>
      </c>
      <c r="L71" t="str">
        <f>'All Girls &amp; Descendants'!N69</f>
        <v>29/02/1987</v>
      </c>
      <c r="M71" t="str">
        <f>'All Girls &amp; Descendants'!O69</f>
        <v/>
      </c>
      <c r="N71" t="str">
        <f>'All Girls &amp; Descendants'!P69</f>
        <v/>
      </c>
      <c r="O71" t="str">
        <f>'All Girls &amp; Descendants'!Q69</f>
        <v>101</v>
      </c>
      <c r="P71" t="str">
        <f t="shared" si="44"/>
        <v>101e</v>
      </c>
      <c r="Q71" s="116">
        <f t="shared" si="45"/>
        <v>1</v>
      </c>
      <c r="R71" s="31" t="str">
        <f t="shared" si="46"/>
        <v>Lady Katherine Anne  MEADE</v>
      </c>
      <c r="S71" s="31" t="str">
        <f t="shared" si="47"/>
        <v>Lady Katherine MEADE (1959 -: #101e)</v>
      </c>
      <c r="U71" s="117">
        <f t="shared" si="48"/>
        <v>9712</v>
      </c>
      <c r="V71" t="s">
        <v>1546</v>
      </c>
      <c r="W71" s="116">
        <f t="shared" si="31"/>
        <v>97</v>
      </c>
      <c r="X71" s="116" t="str">
        <f>MID(V71,3,1)</f>
        <v>a</v>
      </c>
      <c r="Y71" s="116" t="str">
        <f t="shared" si="49"/>
        <v>b</v>
      </c>
      <c r="Z71" s="116"/>
      <c r="AB71" s="116"/>
      <c r="AF71" s="116"/>
    </row>
    <row r="72" spans="1:32">
      <c r="A72">
        <f>'All Girls &amp; Descendants'!B70</f>
        <v>101</v>
      </c>
      <c r="B72" t="str">
        <f>'All Girls &amp; Descendants'!C70</f>
        <v>101f</v>
      </c>
      <c r="C72" t="str">
        <f>'All Girls &amp; Descendants'!D70</f>
        <v>MEADE</v>
      </c>
      <c r="D72" t="str">
        <f>'All Girls &amp; Descendants'!E70</f>
        <v>Lady Sophia</v>
      </c>
      <c r="E72" t="str">
        <f>IF('All Girls &amp; Descendants'!F70="","",'All Girls &amp; Descendants'!F70)</f>
        <v>Hester</v>
      </c>
      <c r="F72" t="str">
        <f>IF('All Girls &amp; Descendants'!G70="","",'All Girls &amp; Descendants'!G70)</f>
        <v/>
      </c>
      <c r="G72" t="str">
        <f>IF('All Girls &amp; Descendants'!H70="",D72,'All Girls &amp; Descendants'!H70)</f>
        <v>Lady Sophia</v>
      </c>
      <c r="H72">
        <f>'All Girls &amp; Descendants'!I70</f>
        <v>1963</v>
      </c>
      <c r="I72" t="str">
        <f>'All Girls &amp; Descendants'!J70</f>
        <v/>
      </c>
      <c r="J72">
        <f>'All Girls &amp; Descendants'!K70</f>
        <v>0</v>
      </c>
      <c r="K72" s="7">
        <f>'All Girls &amp; Descendants'!M70</f>
        <v>23298</v>
      </c>
      <c r="L72" t="str">
        <f>'All Girls &amp; Descendants'!N70</f>
        <v>29/02/1990</v>
      </c>
      <c r="M72" t="str">
        <f>'All Girls &amp; Descendants'!O70</f>
        <v/>
      </c>
      <c r="N72" t="str">
        <f>'All Girls &amp; Descendants'!P70</f>
        <v/>
      </c>
      <c r="O72" t="str">
        <f>'All Girls &amp; Descendants'!Q70</f>
        <v>101</v>
      </c>
      <c r="P72" t="str">
        <f t="shared" si="44"/>
        <v>101f</v>
      </c>
      <c r="Q72" s="116">
        <f t="shared" si="45"/>
        <v>1</v>
      </c>
      <c r="R72" s="31" t="str">
        <f t="shared" si="46"/>
        <v>Lady Sophia Hester  MEADE</v>
      </c>
      <c r="S72" s="31" t="str">
        <f t="shared" si="47"/>
        <v>Lady Sophia MEADE (1963 -: #101f)</v>
      </c>
      <c r="U72" s="117">
        <f t="shared" si="48"/>
        <v>9751</v>
      </c>
      <c r="V72" t="s">
        <v>1555</v>
      </c>
      <c r="W72" s="116">
        <f t="shared" si="31"/>
        <v>97</v>
      </c>
      <c r="X72" s="116" t="str">
        <f>MID(V72,3,1)</f>
        <v>e</v>
      </c>
      <c r="Y72" s="116" t="str">
        <f t="shared" si="49"/>
        <v>a</v>
      </c>
      <c r="Z72" s="116"/>
      <c r="AB72" s="116"/>
      <c r="AF72" s="116"/>
    </row>
    <row r="73" spans="1:32">
      <c r="A73">
        <f>'All Girls &amp; Descendants'!B71</f>
        <v>102</v>
      </c>
      <c r="B73" t="str">
        <f>'All Girls &amp; Descendants'!C71</f>
        <v>102a</v>
      </c>
      <c r="C73" t="str">
        <f>'All Girls &amp; Descendants'!D71</f>
        <v>DUNLOP</v>
      </c>
      <c r="D73" t="str">
        <f>'All Girls &amp; Descendants'!E71</f>
        <v>Teressa</v>
      </c>
      <c r="E73" t="str">
        <f>IF('All Girls &amp; Descendants'!F71="","",'All Girls &amp; Descendants'!F71)</f>
        <v>Mary</v>
      </c>
      <c r="F73" t="str">
        <f>IF('All Girls &amp; Descendants'!G71="","",'All Girls &amp; Descendants'!G71)</f>
        <v/>
      </c>
      <c r="G73" t="str">
        <f>IF('All Girls &amp; Descendants'!H71="",D73,'All Girls &amp; Descendants'!H71)</f>
        <v>Tess</v>
      </c>
      <c r="H73">
        <f>'All Girls &amp; Descendants'!I71</f>
        <v>1956</v>
      </c>
      <c r="I73" t="str">
        <f>'All Girls &amp; Descendants'!J71</f>
        <v/>
      </c>
      <c r="J73">
        <f>'All Girls &amp; Descendants'!K71</f>
        <v>0</v>
      </c>
      <c r="K73" s="7">
        <f>'All Girls &amp; Descendants'!M71</f>
        <v>20615</v>
      </c>
      <c r="L73" t="str">
        <f>'All Girls &amp; Descendants'!N71</f>
        <v xml:space="preserve"> - </v>
      </c>
      <c r="M73" t="str">
        <f>'All Girls &amp; Descendants'!O71</f>
        <v/>
      </c>
      <c r="N73" t="str">
        <f>'All Girls &amp; Descendants'!P71</f>
        <v/>
      </c>
      <c r="O73" t="str">
        <f>'All Girls &amp; Descendants'!Q71</f>
        <v>102</v>
      </c>
      <c r="P73" t="str">
        <f t="shared" si="44"/>
        <v>102a</v>
      </c>
      <c r="Q73" s="116">
        <f t="shared" si="45"/>
        <v>1</v>
      </c>
      <c r="R73" s="31" t="str">
        <f t="shared" si="46"/>
        <v>Teressa Mary  DUNLOP</v>
      </c>
      <c r="S73" s="31" t="str">
        <f t="shared" si="47"/>
        <v>Tess DUNLOP (1956 -: #102a)</v>
      </c>
      <c r="U73" s="117">
        <f t="shared" si="48"/>
        <v>9752</v>
      </c>
      <c r="V73" t="s">
        <v>1556</v>
      </c>
      <c r="W73" s="116">
        <f>VALUE(LEFT(V73,2))</f>
        <v>97</v>
      </c>
      <c r="X73" s="116" t="str">
        <f>MID(V73,3,1)</f>
        <v>e</v>
      </c>
      <c r="Y73" s="116" t="str">
        <f t="shared" si="49"/>
        <v>b</v>
      </c>
      <c r="Z73" s="116"/>
      <c r="AB73" s="116"/>
      <c r="AF73" s="116"/>
    </row>
    <row r="74" spans="1:32">
      <c r="A74">
        <f>'All Girls &amp; Descendants'!B72</f>
        <v>102</v>
      </c>
      <c r="B74" t="str">
        <f>'All Girls &amp; Descendants'!C72</f>
        <v>102b</v>
      </c>
      <c r="C74" t="str">
        <f>'All Girls &amp; Descendants'!D72</f>
        <v>DUNLOP</v>
      </c>
      <c r="D74" t="str">
        <f>'All Girls &amp; Descendants'!E72</f>
        <v>Lindsay</v>
      </c>
      <c r="E74" t="str">
        <f>IF('All Girls &amp; Descendants'!F72="","",'All Girls &amp; Descendants'!F72)</f>
        <v>Fergus</v>
      </c>
      <c r="F74" t="str">
        <f>IF('All Girls &amp; Descendants'!G72="","",'All Girls &amp; Descendants'!G72)</f>
        <v/>
      </c>
      <c r="G74" t="str">
        <f>IF('All Girls &amp; Descendants'!H72="",D74,'All Girls &amp; Descendants'!H72)</f>
        <v>Fergus</v>
      </c>
      <c r="H74">
        <f>'All Girls &amp; Descendants'!I72</f>
        <v>1958</v>
      </c>
      <c r="I74" t="str">
        <f>'All Girls &amp; Descendants'!J72</f>
        <v/>
      </c>
      <c r="J74">
        <f>'All Girls &amp; Descendants'!K72</f>
        <v>0</v>
      </c>
      <c r="K74" s="7">
        <f>'All Girls &amp; Descendants'!M72</f>
        <v>21328</v>
      </c>
      <c r="L74">
        <f>'All Girls &amp; Descendants'!N72</f>
        <v>34930</v>
      </c>
      <c r="M74" t="str">
        <f>'All Girls &amp; Descendants'!O72</f>
        <v/>
      </c>
      <c r="N74" t="str">
        <f>'All Girls &amp; Descendants'!P72</f>
        <v/>
      </c>
      <c r="O74" t="str">
        <f>'All Girls &amp; Descendants'!Q72</f>
        <v>102</v>
      </c>
      <c r="P74" t="str">
        <f t="shared" si="44"/>
        <v>102b</v>
      </c>
      <c r="Q74" s="116">
        <f t="shared" si="45"/>
        <v>1</v>
      </c>
      <c r="R74" s="31" t="str">
        <f t="shared" si="46"/>
        <v>Lindsay Fergus  DUNLOP</v>
      </c>
      <c r="S74" s="31" t="str">
        <f t="shared" si="47"/>
        <v>Fergus DUNLOP (1958 -: #102b)</v>
      </c>
      <c r="U74" s="117">
        <f t="shared" si="48"/>
        <v>9753</v>
      </c>
      <c r="V74" t="s">
        <v>3945</v>
      </c>
      <c r="W74" s="116">
        <f>VALUE(LEFT(V74,2))</f>
        <v>97</v>
      </c>
      <c r="X74" s="116" t="str">
        <f>MID(V74,3,1)</f>
        <v>e</v>
      </c>
      <c r="Y74" s="116" t="str">
        <f t="shared" si="49"/>
        <v>c</v>
      </c>
      <c r="Z74" s="116"/>
      <c r="AB74" s="116"/>
      <c r="AF74" s="116"/>
    </row>
    <row r="75" spans="1:32">
      <c r="A75">
        <f>'All Girls &amp; Descendants'!B73</f>
        <v>102</v>
      </c>
      <c r="B75" t="str">
        <f>'All Girls &amp; Descendants'!C73</f>
        <v>102c</v>
      </c>
      <c r="C75" t="str">
        <f>'All Girls &amp; Descendants'!D73</f>
        <v>DUNLOP</v>
      </c>
      <c r="D75" t="str">
        <f>'All Girls &amp; Descendants'!E73</f>
        <v>Celina</v>
      </c>
      <c r="E75" t="str">
        <f>IF('All Girls &amp; Descendants'!F73="","",'All Girls &amp; Descendants'!F73)</f>
        <v>Elizabeth</v>
      </c>
      <c r="F75" t="str">
        <f>IF('All Girls &amp; Descendants'!G73="","",'All Girls &amp; Descendants'!G73)</f>
        <v/>
      </c>
      <c r="G75" t="str">
        <f>IF('All Girls &amp; Descendants'!H73="",D75,'All Girls &amp; Descendants'!H73)</f>
        <v>Celina</v>
      </c>
      <c r="H75">
        <f>'All Girls &amp; Descendants'!I73</f>
        <v>1960</v>
      </c>
      <c r="I75" t="str">
        <f>'All Girls &amp; Descendants'!J73</f>
        <v/>
      </c>
      <c r="J75">
        <f>'All Girls &amp; Descendants'!K73</f>
        <v>0</v>
      </c>
      <c r="K75" s="7">
        <f>'All Girls &amp; Descendants'!M73</f>
        <v>22181</v>
      </c>
      <c r="L75" t="str">
        <f>'All Girls &amp; Descendants'!N73</f>
        <v xml:space="preserve"> - </v>
      </c>
      <c r="M75" t="str">
        <f>'All Girls &amp; Descendants'!O73</f>
        <v/>
      </c>
      <c r="N75" t="str">
        <f>'All Girls &amp; Descendants'!P73</f>
        <v/>
      </c>
      <c r="O75" t="str">
        <f>'All Girls &amp; Descendants'!Q73</f>
        <v>102</v>
      </c>
      <c r="P75" t="str">
        <f t="shared" si="44"/>
        <v>102c</v>
      </c>
      <c r="Q75" s="116">
        <f t="shared" si="45"/>
        <v>1</v>
      </c>
      <c r="R75" s="31" t="str">
        <f t="shared" si="46"/>
        <v>Celina Elizabeth  DUNLOP</v>
      </c>
      <c r="S75" s="31" t="str">
        <f t="shared" si="47"/>
        <v>Celina DUNLOP (1960 -: #102c)</v>
      </c>
      <c r="U75" s="117">
        <f t="shared" si="48"/>
        <v>10111</v>
      </c>
      <c r="V75" t="s">
        <v>1564</v>
      </c>
      <c r="W75" s="116">
        <f t="shared" ref="W75:W131" si="50">VALUE(LEFT(V75,3))</f>
        <v>101</v>
      </c>
      <c r="X75" s="116" t="str">
        <f t="shared" ref="X75:X134" si="51">MID(V75,4,1)</f>
        <v>a</v>
      </c>
      <c r="Y75" s="116" t="str">
        <f t="shared" si="49"/>
        <v>a</v>
      </c>
      <c r="Z75" s="116"/>
      <c r="AB75" s="116"/>
      <c r="AF75" s="116"/>
    </row>
    <row r="76" spans="1:32">
      <c r="A76">
        <f>'All Girls &amp; Descendants'!B74</f>
        <v>103</v>
      </c>
      <c r="B76" t="str">
        <f>'All Girls &amp; Descendants'!C74</f>
        <v>103a</v>
      </c>
      <c r="C76" t="str">
        <f>'All Girls &amp; Descendants'!D74</f>
        <v>GORE-BROWNE</v>
      </c>
      <c r="D76" t="str">
        <f>'All Girls &amp; Descendants'!E74</f>
        <v>James</v>
      </c>
      <c r="E76" t="str">
        <f>IF('All Girls &amp; Descendants'!F74="","",'All Girls &amp; Descendants'!F74)</f>
        <v>Anthony</v>
      </c>
      <c r="F76" t="str">
        <f>IF('All Girls &amp; Descendants'!G74="","",'All Girls &amp; Descendants'!G74)</f>
        <v/>
      </c>
      <c r="G76" t="str">
        <f>IF('All Girls &amp; Descendants'!H74="",D76,'All Girls &amp; Descendants'!H74)</f>
        <v>James</v>
      </c>
      <c r="H76">
        <f>'All Girls &amp; Descendants'!I74</f>
        <v>1947</v>
      </c>
      <c r="I76" t="str">
        <f>'All Girls &amp; Descendants'!J74</f>
        <v/>
      </c>
      <c r="J76">
        <f>'All Girls &amp; Descendants'!K74</f>
        <v>0</v>
      </c>
      <c r="K76" s="7">
        <f>'All Girls &amp; Descendants'!M74</f>
        <v>17252</v>
      </c>
      <c r="L76">
        <f>'All Girls &amp; Descendants'!N74</f>
        <v>30422</v>
      </c>
      <c r="M76" t="str">
        <f>'All Girls &amp; Descendants'!O74</f>
        <v/>
      </c>
      <c r="N76" t="str">
        <f>'All Girls &amp; Descendants'!P74</f>
        <v/>
      </c>
      <c r="O76" t="str">
        <f>'All Girls &amp; Descendants'!Q74</f>
        <v>103</v>
      </c>
      <c r="P76" t="str">
        <f t="shared" si="44"/>
        <v>103a</v>
      </c>
      <c r="Q76" s="116">
        <f t="shared" si="45"/>
        <v>1</v>
      </c>
      <c r="R76" s="31" t="str">
        <f t="shared" si="46"/>
        <v>James Anthony  GORE-BROWNE</v>
      </c>
      <c r="S76" s="31" t="str">
        <f t="shared" si="47"/>
        <v>James GORE-BROWNE (1947 -: #103a)</v>
      </c>
      <c r="U76" s="117">
        <f t="shared" si="48"/>
        <v>10112</v>
      </c>
      <c r="V76" t="s">
        <v>1565</v>
      </c>
      <c r="W76" s="116">
        <f t="shared" si="50"/>
        <v>101</v>
      </c>
      <c r="X76" s="116" t="str">
        <f t="shared" si="51"/>
        <v>a</v>
      </c>
      <c r="Y76" s="116" t="str">
        <f t="shared" si="49"/>
        <v>b</v>
      </c>
      <c r="Z76" s="116"/>
      <c r="AB76" s="116"/>
      <c r="AF76" s="116"/>
    </row>
    <row r="77" spans="1:32">
      <c r="A77">
        <f>'All Girls &amp; Descendants'!B75</f>
        <v>103</v>
      </c>
      <c r="B77" t="str">
        <f>'All Girls &amp; Descendants'!C75</f>
        <v>103b</v>
      </c>
      <c r="C77" t="str">
        <f>'All Girls &amp; Descendants'!D75</f>
        <v>GORE-BROWNE</v>
      </c>
      <c r="D77" t="str">
        <f>'All Girls &amp; Descendants'!E75</f>
        <v>Georgina</v>
      </c>
      <c r="E77" t="str">
        <f>IF('All Girls &amp; Descendants'!F75="","",'All Girls &amp; Descendants'!F75)</f>
        <v>Mary</v>
      </c>
      <c r="F77" t="str">
        <f>IF('All Girls &amp; Descendants'!G75="","",'All Girls &amp; Descendants'!G75)</f>
        <v/>
      </c>
      <c r="G77" t="str">
        <f>IF('All Girls &amp; Descendants'!H75="",D77,'All Girls &amp; Descendants'!H75)</f>
        <v>Georgina</v>
      </c>
      <c r="H77">
        <f>'All Girls &amp; Descendants'!I75</f>
        <v>1949</v>
      </c>
      <c r="I77" t="str">
        <f>'All Girls &amp; Descendants'!J75</f>
        <v/>
      </c>
      <c r="J77">
        <f>'All Girls &amp; Descendants'!K75</f>
        <v>0</v>
      </c>
      <c r="K77" s="7">
        <f>'All Girls &amp; Descendants'!M75</f>
        <v>17923</v>
      </c>
      <c r="L77">
        <f>'All Girls &amp; Descendants'!N75</f>
        <v>25603</v>
      </c>
      <c r="M77" t="str">
        <f>'All Girls &amp; Descendants'!O75</f>
        <v/>
      </c>
      <c r="N77" t="str">
        <f>'All Girls &amp; Descendants'!P75</f>
        <v/>
      </c>
      <c r="O77" t="str">
        <f>'All Girls &amp; Descendants'!Q75</f>
        <v>103</v>
      </c>
      <c r="P77" t="str">
        <f t="shared" si="44"/>
        <v>103b</v>
      </c>
      <c r="Q77" s="116">
        <f t="shared" si="45"/>
        <v>1</v>
      </c>
      <c r="R77" s="31" t="str">
        <f t="shared" si="46"/>
        <v>Georgina Mary  GORE-BROWNE</v>
      </c>
      <c r="S77" s="31" t="str">
        <f t="shared" si="47"/>
        <v>Georgina GORE-BROWNE (1949 -: #103b)</v>
      </c>
      <c r="U77" s="117">
        <f t="shared" si="48"/>
        <v>10121</v>
      </c>
      <c r="V77" t="s">
        <v>1574</v>
      </c>
      <c r="W77" s="116">
        <f t="shared" si="50"/>
        <v>101</v>
      </c>
      <c r="X77" s="116" t="str">
        <f t="shared" si="51"/>
        <v>b</v>
      </c>
      <c r="Y77" s="116" t="str">
        <f t="shared" si="49"/>
        <v>a</v>
      </c>
      <c r="Z77" s="116"/>
      <c r="AB77" s="116"/>
      <c r="AF77" s="116"/>
    </row>
    <row r="78" spans="1:32">
      <c r="A78">
        <f>'All Girls &amp; Descendants'!B76</f>
        <v>103</v>
      </c>
      <c r="B78" t="str">
        <f>'All Girls &amp; Descendants'!C76</f>
        <v>103c</v>
      </c>
      <c r="C78" t="str">
        <f>'All Girls &amp; Descendants'!D76</f>
        <v>GORE-BROWNE</v>
      </c>
      <c r="D78" t="str">
        <f>'All Girls &amp; Descendants'!E76</f>
        <v>David</v>
      </c>
      <c r="E78" t="str">
        <f>IF('All Girls &amp; Descendants'!F76="","",'All Girls &amp; Descendants'!F76)</f>
        <v>Charles</v>
      </c>
      <c r="F78" t="str">
        <f>IF('All Girls &amp; Descendants'!G76="","",'All Girls &amp; Descendants'!G76)</f>
        <v/>
      </c>
      <c r="G78" t="str">
        <f>IF('All Girls &amp; Descendants'!H76="",D78,'All Girls &amp; Descendants'!H76)</f>
        <v>David</v>
      </c>
      <c r="H78">
        <f>'All Girls &amp; Descendants'!I76</f>
        <v>1952</v>
      </c>
      <c r="I78">
        <f>'All Girls &amp; Descendants'!J76</f>
        <v>2012</v>
      </c>
      <c r="J78">
        <f>'All Girls &amp; Descendants'!K76</f>
        <v>0</v>
      </c>
      <c r="K78" s="7">
        <f>'All Girls &amp; Descendants'!M76</f>
        <v>19227</v>
      </c>
      <c r="L78">
        <f>'All Girls &amp; Descendants'!N76</f>
        <v>31752</v>
      </c>
      <c r="M78">
        <f>'All Girls &amp; Descendants'!O76</f>
        <v>41133</v>
      </c>
      <c r="N78" t="str">
        <f>'All Girls &amp; Descendants'!P76</f>
        <v>12/08/2012</v>
      </c>
      <c r="O78" t="str">
        <f>'All Girls &amp; Descendants'!Q76</f>
        <v>103</v>
      </c>
      <c r="P78" t="str">
        <f t="shared" si="44"/>
        <v>103c</v>
      </c>
      <c r="Q78" s="116">
        <f t="shared" si="45"/>
        <v>1</v>
      </c>
      <c r="R78" s="31" t="str">
        <f t="shared" si="46"/>
        <v>David Charles  GORE-BROWNE</v>
      </c>
      <c r="S78" s="31" t="str">
        <f t="shared" si="47"/>
        <v>David GORE-BROWNE (1952 -2012: #103c)</v>
      </c>
      <c r="U78" s="117">
        <f t="shared" si="48"/>
        <v>10122</v>
      </c>
      <c r="V78" t="s">
        <v>1575</v>
      </c>
      <c r="W78" s="116">
        <f t="shared" si="50"/>
        <v>101</v>
      </c>
      <c r="X78" s="116" t="str">
        <f t="shared" si="51"/>
        <v>b</v>
      </c>
      <c r="Y78" s="116" t="str">
        <f t="shared" si="49"/>
        <v>b</v>
      </c>
      <c r="Z78" s="116"/>
      <c r="AB78" s="116"/>
      <c r="AF78" s="116"/>
    </row>
    <row r="79" spans="1:32">
      <c r="A79">
        <f>'All Girls &amp; Descendants'!B77</f>
        <v>103</v>
      </c>
      <c r="B79" t="str">
        <f>'All Girls &amp; Descendants'!C77</f>
        <v>103d</v>
      </c>
      <c r="C79" t="str">
        <f>'All Girls &amp; Descendants'!D77</f>
        <v>GORE-BROWNE</v>
      </c>
      <c r="D79" t="str">
        <f>'All Girls &amp; Descendants'!E77</f>
        <v>Patrick</v>
      </c>
      <c r="E79" t="str">
        <f>IF('All Girls &amp; Descendants'!F77="","",'All Girls &amp; Descendants'!F77)</f>
        <v>Robert</v>
      </c>
      <c r="F79" t="str">
        <f>IF('All Girls &amp; Descendants'!G77="","",'All Girls &amp; Descendants'!G77)</f>
        <v/>
      </c>
      <c r="G79" t="str">
        <f>IF('All Girls &amp; Descendants'!H77="",D79,'All Girls &amp; Descendants'!H77)</f>
        <v>Patrick</v>
      </c>
      <c r="H79">
        <f>'All Girls &amp; Descendants'!I77</f>
        <v>1956</v>
      </c>
      <c r="I79" t="str">
        <f>'All Girls &amp; Descendants'!J77</f>
        <v/>
      </c>
      <c r="J79">
        <f>'All Girls &amp; Descendants'!K77</f>
        <v>0</v>
      </c>
      <c r="K79" s="7">
        <f>'All Girls &amp; Descendants'!M77</f>
        <v>20500</v>
      </c>
      <c r="L79" t="str">
        <f>'All Girls &amp; Descendants'!N77</f>
        <v xml:space="preserve"> - </v>
      </c>
      <c r="M79" t="str">
        <f>'All Girls &amp; Descendants'!O77</f>
        <v/>
      </c>
      <c r="N79" t="str">
        <f>'All Girls &amp; Descendants'!P77</f>
        <v/>
      </c>
      <c r="O79" t="str">
        <f>'All Girls &amp; Descendants'!Q77</f>
        <v>103</v>
      </c>
      <c r="P79" t="str">
        <f t="shared" si="44"/>
        <v>103d</v>
      </c>
      <c r="Q79" s="116">
        <f t="shared" si="45"/>
        <v>1</v>
      </c>
      <c r="R79" s="31" t="str">
        <f t="shared" si="46"/>
        <v>Patrick Robert  GORE-BROWNE</v>
      </c>
      <c r="S79" s="31" t="str">
        <f t="shared" si="47"/>
        <v>Patrick GORE-BROWNE (1956 -: #103d)</v>
      </c>
      <c r="U79" s="117">
        <f t="shared" si="48"/>
        <v>10123</v>
      </c>
      <c r="V79" t="s">
        <v>1577</v>
      </c>
      <c r="W79" s="116">
        <f t="shared" si="50"/>
        <v>101</v>
      </c>
      <c r="X79" s="116" t="str">
        <f t="shared" si="51"/>
        <v>b</v>
      </c>
      <c r="Y79" s="116" t="str">
        <f t="shared" si="49"/>
        <v>c</v>
      </c>
      <c r="Z79" s="116"/>
      <c r="AB79" s="116"/>
      <c r="AF79" s="116"/>
    </row>
    <row r="80" spans="1:32">
      <c r="A80">
        <f>'All Girls &amp; Descendants'!B78</f>
        <v>106</v>
      </c>
      <c r="B80" t="str">
        <f>'All Girls &amp; Descendants'!C78</f>
        <v>106a</v>
      </c>
      <c r="C80" t="str">
        <f>'All Girls &amp; Descendants'!D78</f>
        <v>WINN</v>
      </c>
      <c r="D80" t="str">
        <f>'All Girls &amp; Descendants'!E78</f>
        <v>The Hon Geva</v>
      </c>
      <c r="E80" t="str">
        <f>IF('All Girls &amp; Descendants'!F78="","",'All Girls &amp; Descendants'!F78)</f>
        <v>Charlotte</v>
      </c>
      <c r="F80" t="str">
        <f>IF('All Girls &amp; Descendants'!G78="","",'All Girls &amp; Descendants'!G78)</f>
        <v>Caroline</v>
      </c>
      <c r="G80" t="str">
        <f>IF('All Girls &amp; Descendants'!H78="",D80,'All Girls &amp; Descendants'!H78)</f>
        <v>The Hon Geva</v>
      </c>
      <c r="H80">
        <f>'All Girls &amp; Descendants'!I78</f>
        <v>1955</v>
      </c>
      <c r="I80" t="str">
        <f>'All Girls &amp; Descendants'!J78</f>
        <v/>
      </c>
      <c r="J80">
        <f>'All Girls &amp; Descendants'!K78</f>
        <v>0</v>
      </c>
      <c r="K80" s="7">
        <f>'All Girls &amp; Descendants'!M78</f>
        <v>20347</v>
      </c>
      <c r="L80">
        <f>'All Girls &amp; Descendants'!N78</f>
        <v>31940</v>
      </c>
      <c r="M80" t="str">
        <f>'All Girls &amp; Descendants'!O78</f>
        <v/>
      </c>
      <c r="N80" t="str">
        <f>'All Girls &amp; Descendants'!P78</f>
        <v/>
      </c>
      <c r="O80" t="str">
        <f>'All Girls &amp; Descendants'!Q78</f>
        <v>106</v>
      </c>
      <c r="P80" t="str">
        <f t="shared" si="44"/>
        <v>106a</v>
      </c>
      <c r="Q80" s="116">
        <f t="shared" si="45"/>
        <v>1</v>
      </c>
      <c r="R80" s="31" t="str">
        <f t="shared" si="46"/>
        <v>The Hon Geva Charlotte Caroline WINN</v>
      </c>
      <c r="S80" s="31" t="str">
        <f t="shared" si="47"/>
        <v>The Hon Geva WINN (1955 -: #106a)</v>
      </c>
      <c r="U80" s="117">
        <f t="shared" si="48"/>
        <v>10131</v>
      </c>
      <c r="V80" t="s">
        <v>1582</v>
      </c>
      <c r="W80" s="116">
        <f t="shared" si="50"/>
        <v>101</v>
      </c>
      <c r="X80" s="116" t="str">
        <f t="shared" si="51"/>
        <v>c</v>
      </c>
      <c r="Y80" s="116" t="str">
        <f t="shared" si="49"/>
        <v>a</v>
      </c>
      <c r="Z80" s="116"/>
      <c r="AB80" s="116"/>
      <c r="AF80" s="116"/>
    </row>
    <row r="81" spans="1:32">
      <c r="A81">
        <f>'All Girls &amp; Descendants'!B79</f>
        <v>106</v>
      </c>
      <c r="B81" t="str">
        <f>'All Girls &amp; Descendants'!C79</f>
        <v>106b</v>
      </c>
      <c r="C81" t="str">
        <f>'All Girls &amp; Descendants'!D79</f>
        <v>WINN</v>
      </c>
      <c r="D81" t="str">
        <f>'All Girls &amp; Descendants'!E79</f>
        <v>Charles</v>
      </c>
      <c r="E81" t="str">
        <f>IF('All Girls &amp; Descendants'!F79="","",'All Girls &amp; Descendants'!F79)</f>
        <v>Rowland</v>
      </c>
      <c r="F81" t="str">
        <f>IF('All Girls &amp; Descendants'!G79="","",'All Girls &amp; Descendants'!G79)</f>
        <v>Andrew</v>
      </c>
      <c r="G81" t="str">
        <f>IF('All Girls &amp; Descendants'!H79="",D81,'All Girls &amp; Descendants'!H79)</f>
        <v>Charles</v>
      </c>
      <c r="H81">
        <f>'All Girls &amp; Descendants'!I79</f>
        <v>1959</v>
      </c>
      <c r="I81" t="str">
        <f>'All Girls &amp; Descendants'!J79</f>
        <v/>
      </c>
      <c r="J81">
        <f>'All Girls &amp; Descendants'!K79</f>
        <v>0</v>
      </c>
      <c r="K81" s="7">
        <f>'All Girls &amp; Descendants'!M79</f>
        <v>21753</v>
      </c>
      <c r="L81" t="str">
        <f>'All Girls &amp; Descendants'!N79</f>
        <v xml:space="preserve"> - </v>
      </c>
      <c r="M81" t="str">
        <f>'All Girls &amp; Descendants'!O79</f>
        <v/>
      </c>
      <c r="N81" t="str">
        <f>'All Girls &amp; Descendants'!P79</f>
        <v/>
      </c>
      <c r="O81" t="str">
        <f>'All Girls &amp; Descendants'!Q79</f>
        <v>106</v>
      </c>
      <c r="P81" t="str">
        <f t="shared" si="44"/>
        <v>106b</v>
      </c>
      <c r="Q81" s="116">
        <f t="shared" si="45"/>
        <v>1</v>
      </c>
      <c r="R81" s="31" t="str">
        <f t="shared" si="46"/>
        <v>Charles Rowland Andrew WINN</v>
      </c>
      <c r="S81" s="31" t="str">
        <f t="shared" si="47"/>
        <v>Charles WINN (1959 -: #106b)</v>
      </c>
      <c r="U81" s="117">
        <f t="shared" si="48"/>
        <v>10132</v>
      </c>
      <c r="V81" t="s">
        <v>1584</v>
      </c>
      <c r="W81" s="116">
        <f t="shared" si="50"/>
        <v>101</v>
      </c>
      <c r="X81" s="116" t="str">
        <f t="shared" si="51"/>
        <v>c</v>
      </c>
      <c r="Y81" s="116" t="str">
        <f t="shared" si="49"/>
        <v>b</v>
      </c>
      <c r="Z81" s="116"/>
      <c r="AB81" s="116"/>
      <c r="AF81" s="116"/>
    </row>
    <row r="82" spans="1:32">
      <c r="A82">
        <f>'All Girls &amp; Descendants'!B80</f>
        <v>107</v>
      </c>
      <c r="B82" t="str">
        <f>'All Girls &amp; Descendants'!C80</f>
        <v>107a</v>
      </c>
      <c r="C82" t="str">
        <f>'All Girls &amp; Descendants'!D80</f>
        <v>GRAHAM</v>
      </c>
      <c r="D82" t="str">
        <f>'All Girls &amp; Descendants'!E80</f>
        <v>Lorraine</v>
      </c>
      <c r="E82" t="str">
        <f>IF('All Girls &amp; Descendants'!F80="","",'All Girls &amp; Descendants'!F80)</f>
        <v>Mary</v>
      </c>
      <c r="F82" t="str">
        <f>IF('All Girls &amp; Descendants'!G80="","",'All Girls &amp; Descendants'!G80)</f>
        <v/>
      </c>
      <c r="G82" t="str">
        <f>IF('All Girls &amp; Descendants'!H80="",D82,'All Girls &amp; Descendants'!H80)</f>
        <v>Lorraine</v>
      </c>
      <c r="H82">
        <f>'All Girls &amp; Descendants'!I80</f>
        <v>1951</v>
      </c>
      <c r="I82" t="str">
        <f>'All Girls &amp; Descendants'!J80</f>
        <v/>
      </c>
      <c r="J82">
        <f>'All Girls &amp; Descendants'!K80</f>
        <v>0</v>
      </c>
      <c r="K82" s="7">
        <f>'All Girls &amp; Descendants'!M80</f>
        <v>18767</v>
      </c>
      <c r="L82">
        <f>'All Girls &amp; Descendants'!N80</f>
        <v>27439</v>
      </c>
      <c r="M82" t="str">
        <f>'All Girls &amp; Descendants'!O80</f>
        <v/>
      </c>
      <c r="N82" t="str">
        <f>'All Girls &amp; Descendants'!P80</f>
        <v/>
      </c>
      <c r="O82" t="str">
        <f>'All Girls &amp; Descendants'!Q80</f>
        <v>107</v>
      </c>
      <c r="P82" t="str">
        <f t="shared" si="44"/>
        <v>107a</v>
      </c>
      <c r="Q82" s="116">
        <f t="shared" si="45"/>
        <v>1</v>
      </c>
      <c r="R82" s="31" t="str">
        <f t="shared" si="46"/>
        <v>Lorraine Mary  GRAHAM</v>
      </c>
      <c r="S82" s="31" t="str">
        <f t="shared" si="47"/>
        <v>Lorraine GRAHAM (1951 -: #107a)</v>
      </c>
      <c r="U82" s="117">
        <f t="shared" si="48"/>
        <v>10133</v>
      </c>
      <c r="V82" t="s">
        <v>1585</v>
      </c>
      <c r="W82" s="116">
        <f t="shared" si="50"/>
        <v>101</v>
      </c>
      <c r="X82" s="116" t="str">
        <f t="shared" si="51"/>
        <v>c</v>
      </c>
      <c r="Y82" s="116" t="str">
        <f t="shared" si="49"/>
        <v>c</v>
      </c>
      <c r="Z82" s="116"/>
      <c r="AB82" s="116"/>
      <c r="AF82" s="116"/>
    </row>
    <row r="83" spans="1:32">
      <c r="A83">
        <f>'All Girls &amp; Descendants'!B81</f>
        <v>107</v>
      </c>
      <c r="B83" t="str">
        <f>'All Girls &amp; Descendants'!C81</f>
        <v>107b</v>
      </c>
      <c r="C83" t="str">
        <f>'All Girls &amp; Descendants'!D81</f>
        <v>ORR</v>
      </c>
      <c r="D83" t="str">
        <f>'All Girls &amp; Descendants'!E81</f>
        <v>Nora</v>
      </c>
      <c r="E83" t="str">
        <f>IF('All Girls &amp; Descendants'!F81="","",'All Girls &amp; Descendants'!F81)</f>
        <v>Ann</v>
      </c>
      <c r="F83" t="str">
        <f>IF('All Girls &amp; Descendants'!G81="","",'All Girls &amp; Descendants'!G81)</f>
        <v/>
      </c>
      <c r="G83" t="str">
        <f>IF('All Girls &amp; Descendants'!H81="",D83,'All Girls &amp; Descendants'!H81)</f>
        <v>Nora</v>
      </c>
      <c r="H83">
        <f>'All Girls &amp; Descendants'!I81</f>
        <v>1955</v>
      </c>
      <c r="I83" t="str">
        <f>'All Girls &amp; Descendants'!J81</f>
        <v/>
      </c>
      <c r="J83">
        <f>'All Girls &amp; Descendants'!K81</f>
        <v>0</v>
      </c>
      <c r="K83" s="7">
        <f>'All Girls &amp; Descendants'!M81</f>
        <v>20168</v>
      </c>
      <c r="L83">
        <f>'All Girls &amp; Descendants'!N81</f>
        <v>26625</v>
      </c>
      <c r="M83" t="str">
        <f>'All Girls &amp; Descendants'!O81</f>
        <v/>
      </c>
      <c r="N83" t="str">
        <f>'All Girls &amp; Descendants'!P81</f>
        <v/>
      </c>
      <c r="O83" t="str">
        <f>'All Girls &amp; Descendants'!Q81</f>
        <v>107</v>
      </c>
      <c r="P83" t="str">
        <f t="shared" si="44"/>
        <v>107b</v>
      </c>
      <c r="Q83" s="116">
        <f t="shared" si="45"/>
        <v>1</v>
      </c>
      <c r="R83" s="31" t="str">
        <f t="shared" si="46"/>
        <v>Nora Ann  ORR</v>
      </c>
      <c r="S83" s="31" t="str">
        <f t="shared" si="47"/>
        <v>Nora ORR (1955 -: #107b)</v>
      </c>
      <c r="U83" s="117">
        <f t="shared" si="48"/>
        <v>10141</v>
      </c>
      <c r="V83" t="s">
        <v>1592</v>
      </c>
      <c r="W83" s="116">
        <f t="shared" si="50"/>
        <v>101</v>
      </c>
      <c r="X83" s="116" t="str">
        <f t="shared" si="51"/>
        <v>d</v>
      </c>
      <c r="Y83" s="116" t="str">
        <f t="shared" si="49"/>
        <v>a</v>
      </c>
      <c r="Z83" s="116"/>
      <c r="AB83" s="116"/>
      <c r="AF83" s="116"/>
    </row>
    <row r="84" spans="1:32">
      <c r="A84">
        <f>'All Girls &amp; Descendants'!B82</f>
        <v>107</v>
      </c>
      <c r="B84" t="str">
        <f>'All Girls &amp; Descendants'!C82</f>
        <v>107c</v>
      </c>
      <c r="C84" t="str">
        <f>'All Girls &amp; Descendants'!D82</f>
        <v>ORR</v>
      </c>
      <c r="D84" t="str">
        <f>'All Girls &amp; Descendants'!E82</f>
        <v>Michael</v>
      </c>
      <c r="E84" t="str">
        <f>IF('All Girls &amp; Descendants'!F82="","",'All Girls &amp; Descendants'!F82)</f>
        <v>Kirkman</v>
      </c>
      <c r="F84" t="str">
        <f>IF('All Girls &amp; Descendants'!G82="","",'All Girls &amp; Descendants'!G82)</f>
        <v>Loyd</v>
      </c>
      <c r="G84" t="str">
        <f>IF('All Girls &amp; Descendants'!H82="",D84,'All Girls &amp; Descendants'!H82)</f>
        <v>Michael</v>
      </c>
      <c r="H84">
        <f>'All Girls &amp; Descendants'!I82</f>
        <v>1956</v>
      </c>
      <c r="I84" t="str">
        <f>'All Girls &amp; Descendants'!J82</f>
        <v/>
      </c>
      <c r="J84">
        <f>'All Girls &amp; Descendants'!K82</f>
        <v>0</v>
      </c>
      <c r="K84" s="7">
        <f>'All Girls &amp; Descendants'!M82</f>
        <v>20501</v>
      </c>
      <c r="L84">
        <f>'All Girls &amp; Descendants'!N82</f>
        <v>28277</v>
      </c>
      <c r="M84" t="str">
        <f>'All Girls &amp; Descendants'!O82</f>
        <v/>
      </c>
      <c r="N84" t="str">
        <f>'All Girls &amp; Descendants'!P82</f>
        <v/>
      </c>
      <c r="O84" t="str">
        <f>'All Girls &amp; Descendants'!Q82</f>
        <v>107</v>
      </c>
      <c r="P84" t="str">
        <f t="shared" si="44"/>
        <v>107c</v>
      </c>
      <c r="Q84" s="116">
        <f t="shared" si="45"/>
        <v>1</v>
      </c>
      <c r="R84" s="31" t="str">
        <f t="shared" si="46"/>
        <v>Michael Kirkman Loyd ORR</v>
      </c>
      <c r="S84" s="31" t="str">
        <f t="shared" si="47"/>
        <v>Michael ORR (1956 -: #107c)</v>
      </c>
      <c r="U84" s="117">
        <f t="shared" si="48"/>
        <v>10142</v>
      </c>
      <c r="V84" t="s">
        <v>1593</v>
      </c>
      <c r="W84" s="116">
        <f t="shared" si="50"/>
        <v>101</v>
      </c>
      <c r="X84" s="116" t="str">
        <f t="shared" si="51"/>
        <v>d</v>
      </c>
      <c r="Y84" s="116" t="str">
        <f t="shared" si="49"/>
        <v>b</v>
      </c>
      <c r="Z84" s="116"/>
      <c r="AB84" s="116"/>
      <c r="AF84" s="116"/>
    </row>
    <row r="85" spans="1:32">
      <c r="A85">
        <f>'All Girls &amp; Descendants'!B83</f>
        <v>107</v>
      </c>
      <c r="B85" t="str">
        <f>'All Girls &amp; Descendants'!C83</f>
        <v>107d</v>
      </c>
      <c r="C85" t="str">
        <f>'All Girls &amp; Descendants'!D83</f>
        <v>ORR</v>
      </c>
      <c r="D85" t="str">
        <f>'All Girls &amp; Descendants'!E83</f>
        <v>Edward</v>
      </c>
      <c r="E85" t="str">
        <f>IF('All Girls &amp; Descendants'!F83="","",'All Girls &amp; Descendants'!F83)</f>
        <v>William</v>
      </c>
      <c r="F85" t="str">
        <f>IF('All Girls &amp; Descendants'!G83="","",'All Girls &amp; Descendants'!G83)</f>
        <v/>
      </c>
      <c r="G85" t="str">
        <f>IF('All Girls &amp; Descendants'!H83="",D85,'All Girls &amp; Descendants'!H83)</f>
        <v>Ted</v>
      </c>
      <c r="H85">
        <f>'All Girls &amp; Descendants'!I83</f>
        <v>1959</v>
      </c>
      <c r="I85" t="str">
        <f>'All Girls &amp; Descendants'!J83</f>
        <v/>
      </c>
      <c r="J85">
        <f>'All Girls &amp; Descendants'!K83</f>
        <v>0</v>
      </c>
      <c r="K85" s="7">
        <f>'All Girls &amp; Descendants'!M83</f>
        <v>21795</v>
      </c>
      <c r="L85">
        <f>'All Girls &amp; Descendants'!N83</f>
        <v>22514</v>
      </c>
      <c r="M85" t="str">
        <f>'All Girls &amp; Descendants'!O83</f>
        <v/>
      </c>
      <c r="N85" t="str">
        <f>'All Girls &amp; Descendants'!P83</f>
        <v/>
      </c>
      <c r="O85" t="str">
        <f>'All Girls &amp; Descendants'!Q83</f>
        <v>107</v>
      </c>
      <c r="P85" t="str">
        <f t="shared" si="44"/>
        <v>107d</v>
      </c>
      <c r="Q85" s="116">
        <f t="shared" si="45"/>
        <v>1</v>
      </c>
      <c r="R85" s="31" t="str">
        <f t="shared" si="46"/>
        <v>Edward William  ORR</v>
      </c>
      <c r="S85" s="31" t="str">
        <f t="shared" si="47"/>
        <v>Ted ORR (1959 -: #107d)</v>
      </c>
      <c r="U85" s="117">
        <f t="shared" si="48"/>
        <v>10143</v>
      </c>
      <c r="V85" t="s">
        <v>1596</v>
      </c>
      <c r="W85" s="116">
        <f t="shared" si="50"/>
        <v>101</v>
      </c>
      <c r="X85" s="116" t="str">
        <f t="shared" si="51"/>
        <v>d</v>
      </c>
      <c r="Y85" s="116" t="str">
        <f t="shared" si="49"/>
        <v>c</v>
      </c>
      <c r="Z85" s="116"/>
      <c r="AB85" s="116"/>
      <c r="AF85" s="116"/>
    </row>
    <row r="86" spans="1:32">
      <c r="A86">
        <f>'All Girls &amp; Descendants'!B84</f>
        <v>107</v>
      </c>
      <c r="B86" t="str">
        <f>'All Girls &amp; Descendants'!C84</f>
        <v>107e</v>
      </c>
      <c r="C86" t="str">
        <f>'All Girls &amp; Descendants'!D84</f>
        <v>ORR</v>
      </c>
      <c r="D86" t="str">
        <f>'All Girls &amp; Descendants'!E84</f>
        <v>Heather</v>
      </c>
      <c r="E86" t="str">
        <f>IF('All Girls &amp; Descendants'!F84="","",'All Girls &amp; Descendants'!F84)</f>
        <v>Lynn</v>
      </c>
      <c r="F86" t="str">
        <f>IF('All Girls &amp; Descendants'!G84="","",'All Girls &amp; Descendants'!G84)</f>
        <v/>
      </c>
      <c r="G86" t="str">
        <f>IF('All Girls &amp; Descendants'!H84="",D86,'All Girls &amp; Descendants'!H84)</f>
        <v>Heather</v>
      </c>
      <c r="H86">
        <f>'All Girls &amp; Descendants'!I84</f>
        <v>1970</v>
      </c>
      <c r="I86" t="str">
        <f>'All Girls &amp; Descendants'!J84</f>
        <v/>
      </c>
      <c r="J86">
        <f>'All Girls &amp; Descendants'!K84</f>
        <v>0</v>
      </c>
      <c r="K86" s="7">
        <f>'All Girls &amp; Descendants'!M84</f>
        <v>25931</v>
      </c>
      <c r="L86" t="str">
        <f>'All Girls &amp; Descendants'!N84</f>
        <v xml:space="preserve"> - </v>
      </c>
      <c r="M86" t="str">
        <f>'All Girls &amp; Descendants'!O84</f>
        <v/>
      </c>
      <c r="N86" t="str">
        <f>'All Girls &amp; Descendants'!P84</f>
        <v/>
      </c>
      <c r="O86" t="str">
        <f>'All Girls &amp; Descendants'!Q84</f>
        <v>107</v>
      </c>
      <c r="P86" t="str">
        <f t="shared" si="44"/>
        <v>107e</v>
      </c>
      <c r="Q86" s="116">
        <f t="shared" si="45"/>
        <v>1</v>
      </c>
      <c r="R86" s="31" t="str">
        <f t="shared" si="46"/>
        <v>Heather Lynn  ORR</v>
      </c>
      <c r="S86" s="31" t="str">
        <f t="shared" si="47"/>
        <v>Heather ORR (1970 -: #107e)</v>
      </c>
      <c r="U86" s="117">
        <f t="shared" si="48"/>
        <v>10151</v>
      </c>
      <c r="V86" t="s">
        <v>1601</v>
      </c>
      <c r="W86" s="116">
        <f t="shared" si="50"/>
        <v>101</v>
      </c>
      <c r="X86" s="116" t="str">
        <f t="shared" si="51"/>
        <v>e</v>
      </c>
      <c r="Y86" s="116" t="str">
        <f t="shared" si="49"/>
        <v>a</v>
      </c>
      <c r="Z86" s="116"/>
      <c r="AB86" s="116"/>
      <c r="AF86" s="116"/>
    </row>
    <row r="87" spans="1:32">
      <c r="A87">
        <f>'All Girls &amp; Descendants'!B85</f>
        <v>108</v>
      </c>
      <c r="B87" t="str">
        <f>'All Girls &amp; Descendants'!C85</f>
        <v>108a</v>
      </c>
      <c r="C87" t="str">
        <f>'All Girls &amp; Descendants'!D85</f>
        <v>HOYLE</v>
      </c>
      <c r="D87" t="str">
        <f>'All Girls &amp; Descendants'!E85</f>
        <v>Frances</v>
      </c>
      <c r="E87" t="str">
        <f>IF('All Girls &amp; Descendants'!F85="","",'All Girls &amp; Descendants'!F85)</f>
        <v>Mary</v>
      </c>
      <c r="F87" t="str">
        <f>IF('All Girls &amp; Descendants'!G85="","",'All Girls &amp; Descendants'!G85)</f>
        <v/>
      </c>
      <c r="G87" t="str">
        <f>IF('All Girls &amp; Descendants'!H85="",D87,'All Girls &amp; Descendants'!H85)</f>
        <v>Frances</v>
      </c>
      <c r="H87">
        <f>'All Girls &amp; Descendants'!I85</f>
        <v>1953</v>
      </c>
      <c r="I87" t="str">
        <f>'All Girls &amp; Descendants'!J85</f>
        <v/>
      </c>
      <c r="J87">
        <f>'All Girls &amp; Descendants'!K85</f>
        <v>0</v>
      </c>
      <c r="K87" s="7">
        <f>'All Girls &amp; Descendants'!M85</f>
        <v>19687</v>
      </c>
      <c r="L87">
        <f>'All Girls &amp; Descendants'!N85</f>
        <v>29860</v>
      </c>
      <c r="M87" t="str">
        <f>'All Girls &amp; Descendants'!O85</f>
        <v/>
      </c>
      <c r="N87" t="str">
        <f>'All Girls &amp; Descendants'!P85</f>
        <v/>
      </c>
      <c r="O87" t="str">
        <f>'All Girls &amp; Descendants'!Q85</f>
        <v>108</v>
      </c>
      <c r="P87" t="str">
        <f t="shared" si="44"/>
        <v>108a</v>
      </c>
      <c r="Q87" s="116">
        <f t="shared" si="45"/>
        <v>1</v>
      </c>
      <c r="R87" s="31" t="str">
        <f t="shared" si="46"/>
        <v>Frances Mary  HOYLE</v>
      </c>
      <c r="S87" s="31" t="str">
        <f t="shared" si="47"/>
        <v>Frances HOYLE (1953 -: #108a)</v>
      </c>
      <c r="U87" s="117">
        <f t="shared" si="48"/>
        <v>10152</v>
      </c>
      <c r="V87" t="s">
        <v>1602</v>
      </c>
      <c r="W87" s="116">
        <f t="shared" si="50"/>
        <v>101</v>
      </c>
      <c r="X87" s="116" t="str">
        <f t="shared" si="51"/>
        <v>e</v>
      </c>
      <c r="Y87" s="116" t="str">
        <f t="shared" si="49"/>
        <v>b</v>
      </c>
      <c r="Z87" s="116"/>
      <c r="AB87" s="116"/>
      <c r="AF87" s="116"/>
    </row>
    <row r="88" spans="1:32">
      <c r="A88">
        <f>'All Girls &amp; Descendants'!B86</f>
        <v>108</v>
      </c>
      <c r="B88" t="str">
        <f>'All Girls &amp; Descendants'!C86</f>
        <v>108b</v>
      </c>
      <c r="C88" t="str">
        <f>'All Girls &amp; Descendants'!D86</f>
        <v>HOYLE</v>
      </c>
      <c r="D88" t="str">
        <f>'All Girls &amp; Descendants'!E86</f>
        <v>Richard</v>
      </c>
      <c r="E88" t="str">
        <f>IF('All Girls &amp; Descendants'!F86="","",'All Girls &amp; Descendants'!F86)</f>
        <v>William</v>
      </c>
      <c r="F88" t="str">
        <f>IF('All Girls &amp; Descendants'!G86="","",'All Girls &amp; Descendants'!G86)</f>
        <v>Lewis</v>
      </c>
      <c r="G88" t="str">
        <f>IF('All Girls &amp; Descendants'!H86="",D88,'All Girls &amp; Descendants'!H86)</f>
        <v>Richard</v>
      </c>
      <c r="H88">
        <f>'All Girls &amp; Descendants'!I86</f>
        <v>1956</v>
      </c>
      <c r="I88" t="str">
        <f>'All Girls &amp; Descendants'!J86</f>
        <v/>
      </c>
      <c r="J88">
        <f>'All Girls &amp; Descendants'!K86</f>
        <v>0</v>
      </c>
      <c r="K88" s="7">
        <f>'All Girls &amp; Descendants'!M86</f>
        <v>20801</v>
      </c>
      <c r="L88">
        <f>'All Girls &amp; Descendants'!N86</f>
        <v>29533</v>
      </c>
      <c r="M88" t="str">
        <f>'All Girls &amp; Descendants'!O86</f>
        <v/>
      </c>
      <c r="N88" t="str">
        <f>'All Girls &amp; Descendants'!P86</f>
        <v/>
      </c>
      <c r="O88" t="str">
        <f>'All Girls &amp; Descendants'!Q86</f>
        <v>108</v>
      </c>
      <c r="P88" t="str">
        <f t="shared" si="44"/>
        <v>108b</v>
      </c>
      <c r="Q88" s="116">
        <f t="shared" si="45"/>
        <v>1</v>
      </c>
      <c r="R88" s="31" t="str">
        <f t="shared" si="46"/>
        <v>Richard William Lewis HOYLE</v>
      </c>
      <c r="S88" s="31" t="str">
        <f t="shared" si="47"/>
        <v>Richard HOYLE (1956 -: #108b)</v>
      </c>
      <c r="U88" s="117">
        <f t="shared" si="48"/>
        <v>10153</v>
      </c>
      <c r="V88" t="s">
        <v>1604</v>
      </c>
      <c r="W88" s="116">
        <f t="shared" si="50"/>
        <v>101</v>
      </c>
      <c r="X88" s="116" t="str">
        <f t="shared" si="51"/>
        <v>e</v>
      </c>
      <c r="Y88" s="116" t="str">
        <f t="shared" si="49"/>
        <v>c</v>
      </c>
      <c r="Z88" s="116"/>
      <c r="AB88" s="116"/>
      <c r="AF88" s="116"/>
    </row>
    <row r="89" spans="1:32">
      <c r="A89">
        <f>'All Girls &amp; Descendants'!B87</f>
        <v>108</v>
      </c>
      <c r="B89" t="str">
        <f>'All Girls &amp; Descendants'!C87</f>
        <v>108c</v>
      </c>
      <c r="C89" t="str">
        <f>'All Girls &amp; Descendants'!D87</f>
        <v>HOYLE</v>
      </c>
      <c r="D89" t="str">
        <f>'All Girls &amp; Descendants'!E87</f>
        <v>David</v>
      </c>
      <c r="E89" t="str">
        <f>IF('All Girls &amp; Descendants'!F87="","",'All Girls &amp; Descendants'!F87)</f>
        <v>John</v>
      </c>
      <c r="F89" t="str">
        <f>IF('All Girls &amp; Descendants'!G87="","",'All Girls &amp; Descendants'!G87)</f>
        <v/>
      </c>
      <c r="G89" t="str">
        <f>IF('All Girls &amp; Descendants'!H87="",D89,'All Girls &amp; Descendants'!H87)</f>
        <v>David</v>
      </c>
      <c r="H89">
        <f>'All Girls &amp; Descendants'!I87</f>
        <v>1961</v>
      </c>
      <c r="I89" t="str">
        <f>'All Girls &amp; Descendants'!J87</f>
        <v/>
      </c>
      <c r="J89">
        <f>'All Girls &amp; Descendants'!K87</f>
        <v>0</v>
      </c>
      <c r="K89" s="7">
        <f>'All Girls &amp; Descendants'!M87</f>
        <v>22617</v>
      </c>
      <c r="L89">
        <f>'All Girls &amp; Descendants'!N87</f>
        <v>30086</v>
      </c>
      <c r="M89" t="str">
        <f>'All Girls &amp; Descendants'!O87</f>
        <v/>
      </c>
      <c r="N89" t="str">
        <f>'All Girls &amp; Descendants'!P87</f>
        <v/>
      </c>
      <c r="O89" t="str">
        <f>'All Girls &amp; Descendants'!Q87</f>
        <v>108</v>
      </c>
      <c r="P89" t="str">
        <f t="shared" si="44"/>
        <v>108c</v>
      </c>
      <c r="Q89" s="116">
        <f t="shared" si="45"/>
        <v>1</v>
      </c>
      <c r="R89" s="31" t="str">
        <f t="shared" si="46"/>
        <v>David John  HOYLE</v>
      </c>
      <c r="S89" s="31" t="str">
        <f t="shared" si="47"/>
        <v>David HOYLE (1961 -: #108c)</v>
      </c>
      <c r="U89" s="117">
        <f t="shared" si="48"/>
        <v>10161</v>
      </c>
      <c r="V89" t="s">
        <v>1611</v>
      </c>
      <c r="W89" s="116">
        <f t="shared" si="50"/>
        <v>101</v>
      </c>
      <c r="X89" s="116" t="str">
        <f t="shared" si="51"/>
        <v>f</v>
      </c>
      <c r="Y89" s="116" t="str">
        <f t="shared" si="49"/>
        <v>a</v>
      </c>
      <c r="Z89" s="116"/>
      <c r="AB89" s="116"/>
      <c r="AF89" s="116"/>
    </row>
    <row r="90" spans="1:32">
      <c r="A90">
        <f>'All Girls &amp; Descendants'!B88</f>
        <v>108</v>
      </c>
      <c r="B90" t="str">
        <f>'All Girls &amp; Descendants'!C88</f>
        <v>108d</v>
      </c>
      <c r="C90" t="str">
        <f>'All Girls &amp; Descendants'!D88</f>
        <v>HOYLE</v>
      </c>
      <c r="D90" t="str">
        <f>'All Girls &amp; Descendants'!E88</f>
        <v>Peter</v>
      </c>
      <c r="E90" t="str">
        <f>IF('All Girls &amp; Descendants'!F88="","",'All Girls &amp; Descendants'!F88)</f>
        <v>James</v>
      </c>
      <c r="F90" t="str">
        <f>IF('All Girls &amp; Descendants'!G88="","",'All Girls &amp; Descendants'!G88)</f>
        <v/>
      </c>
      <c r="G90" t="str">
        <f>IF('All Girls &amp; Descendants'!H88="",D90,'All Girls &amp; Descendants'!H88)</f>
        <v>Peter</v>
      </c>
      <c r="H90">
        <f>'All Girls &amp; Descendants'!I88</f>
        <v>1963</v>
      </c>
      <c r="I90" t="str">
        <f>'All Girls &amp; Descendants'!J88</f>
        <v/>
      </c>
      <c r="J90">
        <f>'All Girls &amp; Descendants'!K88</f>
        <v>0</v>
      </c>
      <c r="K90" s="7">
        <f>'All Girls &amp; Descendants'!M88</f>
        <v>23324</v>
      </c>
      <c r="L90">
        <f>'All Girls &amp; Descendants'!N88</f>
        <v>31227</v>
      </c>
      <c r="M90" t="str">
        <f>'All Girls &amp; Descendants'!O88</f>
        <v/>
      </c>
      <c r="N90" t="str">
        <f>'All Girls &amp; Descendants'!P88</f>
        <v/>
      </c>
      <c r="O90" t="str">
        <f>'All Girls &amp; Descendants'!Q88</f>
        <v>108</v>
      </c>
      <c r="P90" t="str">
        <f t="shared" si="44"/>
        <v>108d</v>
      </c>
      <c r="Q90" s="116">
        <f t="shared" si="45"/>
        <v>1</v>
      </c>
      <c r="R90" s="31" t="str">
        <f t="shared" si="46"/>
        <v>Peter James  HOYLE</v>
      </c>
      <c r="S90" s="31" t="str">
        <f t="shared" si="47"/>
        <v>Peter HOYLE (1963 -: #108d)</v>
      </c>
      <c r="U90" s="117">
        <f t="shared" si="48"/>
        <v>10162</v>
      </c>
      <c r="V90" t="s">
        <v>1613</v>
      </c>
      <c r="W90" s="116">
        <f t="shared" si="50"/>
        <v>101</v>
      </c>
      <c r="X90" s="116" t="str">
        <f t="shared" si="51"/>
        <v>f</v>
      </c>
      <c r="Y90" s="116" t="str">
        <f t="shared" si="49"/>
        <v>b</v>
      </c>
      <c r="Z90" s="116"/>
      <c r="AB90" s="116"/>
      <c r="AF90" s="116"/>
    </row>
    <row r="91" spans="1:32">
      <c r="A91">
        <f>'All Girls &amp; Descendants'!B89</f>
        <v>109</v>
      </c>
      <c r="B91" t="str">
        <f>'All Girls &amp; Descendants'!C89</f>
        <v>109a</v>
      </c>
      <c r="C91" t="str">
        <f>'All Girls &amp; Descendants'!D89</f>
        <v>WALTON</v>
      </c>
      <c r="D91" t="str">
        <f>'All Girls &amp; Descendants'!E89</f>
        <v>Jennet</v>
      </c>
      <c r="E91" t="str">
        <f>IF('All Girls &amp; Descendants'!F89="","",'All Girls &amp; Descendants'!F89)</f>
        <v/>
      </c>
      <c r="F91" t="str">
        <f>IF('All Girls &amp; Descendants'!G89="","",'All Girls &amp; Descendants'!G89)</f>
        <v/>
      </c>
      <c r="G91" t="str">
        <f>IF('All Girls &amp; Descendants'!H89="",D91,'All Girls &amp; Descendants'!H89)</f>
        <v>Jennet</v>
      </c>
      <c r="H91">
        <f>'All Girls &amp; Descendants'!I89</f>
        <v>1964</v>
      </c>
      <c r="I91" t="str">
        <f>'All Girls &amp; Descendants'!J89</f>
        <v/>
      </c>
      <c r="J91">
        <f>'All Girls &amp; Descendants'!K89</f>
        <v>0</v>
      </c>
      <c r="K91" s="7">
        <f>'All Girls &amp; Descendants'!M89</f>
        <v>23706</v>
      </c>
      <c r="L91" t="str">
        <f>'All Girls &amp; Descendants'!N89</f>
        <v xml:space="preserve"> - </v>
      </c>
      <c r="M91" t="str">
        <f>'All Girls &amp; Descendants'!O89</f>
        <v/>
      </c>
      <c r="N91" t="str">
        <f>'All Girls &amp; Descendants'!P89</f>
        <v/>
      </c>
      <c r="O91" t="str">
        <f>'All Girls &amp; Descendants'!Q89</f>
        <v>109</v>
      </c>
      <c r="P91" t="str">
        <f t="shared" si="44"/>
        <v>109a</v>
      </c>
      <c r="Q91" s="116">
        <f t="shared" si="45"/>
        <v>1</v>
      </c>
      <c r="R91" s="31" t="str">
        <f t="shared" si="46"/>
        <v>Jennet   WALTON</v>
      </c>
      <c r="S91" s="31" t="str">
        <f t="shared" si="47"/>
        <v>Jennet WALTON (1964 -: #109a)</v>
      </c>
      <c r="U91" s="117">
        <f t="shared" si="48"/>
        <v>10221</v>
      </c>
      <c r="V91" t="s">
        <v>1624</v>
      </c>
      <c r="W91" s="116">
        <f t="shared" si="50"/>
        <v>102</v>
      </c>
      <c r="X91" s="116" t="str">
        <f t="shared" si="51"/>
        <v>b</v>
      </c>
      <c r="Y91" s="116" t="str">
        <f t="shared" si="49"/>
        <v>a</v>
      </c>
      <c r="Z91" s="116"/>
      <c r="AB91" s="116"/>
      <c r="AF91" s="116"/>
    </row>
    <row r="92" spans="1:32">
      <c r="A92">
        <f>'All Girls &amp; Descendants'!B90</f>
        <v>109</v>
      </c>
      <c r="B92" t="str">
        <f>'All Girls &amp; Descendants'!C90</f>
        <v>109b</v>
      </c>
      <c r="C92" t="str">
        <f>'All Girls &amp; Descendants'!D90</f>
        <v>WALTON</v>
      </c>
      <c r="D92" t="str">
        <f>'All Girls &amp; Descendants'!E90</f>
        <v>Timothy</v>
      </c>
      <c r="E92" t="str">
        <f>IF('All Girls &amp; Descendants'!F90="","",'All Girls &amp; Descendants'!F90)</f>
        <v/>
      </c>
      <c r="F92" t="str">
        <f>IF('All Girls &amp; Descendants'!G90="","",'All Girls &amp; Descendants'!G90)</f>
        <v/>
      </c>
      <c r="G92" t="str">
        <f>IF('All Girls &amp; Descendants'!H90="",D92,'All Girls &amp; Descendants'!H90)</f>
        <v>Timothy</v>
      </c>
      <c r="H92">
        <f>'All Girls &amp; Descendants'!I90</f>
        <v>1967</v>
      </c>
      <c r="I92" t="str">
        <f>'All Girls &amp; Descendants'!J90</f>
        <v/>
      </c>
      <c r="J92">
        <f>'All Girls &amp; Descendants'!K90</f>
        <v>0</v>
      </c>
      <c r="K92" s="7">
        <f>'All Girls &amp; Descendants'!M90</f>
        <v>24706</v>
      </c>
      <c r="L92" t="str">
        <f>'All Girls &amp; Descendants'!N90</f>
        <v xml:space="preserve"> - </v>
      </c>
      <c r="M92" t="str">
        <f>'All Girls &amp; Descendants'!O90</f>
        <v/>
      </c>
      <c r="N92" t="str">
        <f>'All Girls &amp; Descendants'!P90</f>
        <v/>
      </c>
      <c r="O92" t="str">
        <f>'All Girls &amp; Descendants'!Q90</f>
        <v>109</v>
      </c>
      <c r="P92" t="str">
        <f t="shared" si="44"/>
        <v>109b</v>
      </c>
      <c r="Q92" s="116">
        <f t="shared" si="45"/>
        <v>1</v>
      </c>
      <c r="R92" s="31" t="str">
        <f t="shared" si="46"/>
        <v>Timothy   WALTON</v>
      </c>
      <c r="S92" s="31" t="str">
        <f t="shared" si="47"/>
        <v>Timothy WALTON (1967 -: #109b)</v>
      </c>
      <c r="U92" s="117">
        <f t="shared" si="48"/>
        <v>10222</v>
      </c>
      <c r="V92" t="s">
        <v>3858</v>
      </c>
      <c r="W92" s="116">
        <f t="shared" si="50"/>
        <v>102</v>
      </c>
      <c r="X92" s="116" t="str">
        <f t="shared" si="51"/>
        <v>b</v>
      </c>
      <c r="Y92" s="116" t="str">
        <f t="shared" si="49"/>
        <v>b</v>
      </c>
      <c r="Z92" s="116"/>
      <c r="AB92" s="116"/>
      <c r="AF92" s="116"/>
    </row>
    <row r="93" spans="1:32">
      <c r="A93">
        <f>'All Girls &amp; Descendants'!B91</f>
        <v>110</v>
      </c>
      <c r="B93" t="str">
        <f>'All Girls &amp; Descendants'!C91</f>
        <v>110a</v>
      </c>
      <c r="C93" t="str">
        <f>'All Girls &amp; Descendants'!D91</f>
        <v>BOYCE</v>
      </c>
      <c r="D93" t="str">
        <f>'All Girls &amp; Descendants'!E91</f>
        <v>John</v>
      </c>
      <c r="E93" t="str">
        <f>IF('All Girls &amp; Descendants'!F91="","",'All Girls &amp; Descendants'!F91)</f>
        <v>Drummond</v>
      </c>
      <c r="F93" t="str">
        <f>IF('All Girls &amp; Descendants'!G91="","",'All Girls &amp; Descendants'!G91)</f>
        <v/>
      </c>
      <c r="G93" t="str">
        <f>IF('All Girls &amp; Descendants'!H91="",D93,'All Girls &amp; Descendants'!H91)</f>
        <v>John</v>
      </c>
      <c r="H93">
        <f>'All Girls &amp; Descendants'!I91</f>
        <v>1961</v>
      </c>
      <c r="I93" t="str">
        <f>'All Girls &amp; Descendants'!J91</f>
        <v/>
      </c>
      <c r="J93">
        <f>'All Girls &amp; Descendants'!K91</f>
        <v>0</v>
      </c>
      <c r="K93" s="7">
        <f>'All Girls &amp; Descendants'!M91</f>
        <v>22492</v>
      </c>
      <c r="L93">
        <f>'All Girls &amp; Descendants'!N91</f>
        <v>32004</v>
      </c>
      <c r="M93" t="str">
        <f>'All Girls &amp; Descendants'!O91</f>
        <v/>
      </c>
      <c r="N93" t="str">
        <f>'All Girls &amp; Descendants'!P91</f>
        <v/>
      </c>
      <c r="O93" t="str">
        <f>'All Girls &amp; Descendants'!Q91</f>
        <v>110</v>
      </c>
      <c r="P93" t="str">
        <f t="shared" si="44"/>
        <v>110a</v>
      </c>
      <c r="Q93" s="116">
        <f t="shared" si="45"/>
        <v>1</v>
      </c>
      <c r="R93" s="31" t="str">
        <f t="shared" si="46"/>
        <v>John Drummond  BOYCE</v>
      </c>
      <c r="S93" s="31" t="str">
        <f t="shared" si="47"/>
        <v>John BOYCE (1961 -: #110a)</v>
      </c>
      <c r="U93" s="117">
        <f t="shared" si="48"/>
        <v>10311</v>
      </c>
      <c r="V93" t="s">
        <v>1631</v>
      </c>
      <c r="W93" s="116">
        <f t="shared" si="50"/>
        <v>103</v>
      </c>
      <c r="X93" s="116" t="str">
        <f t="shared" si="51"/>
        <v>a</v>
      </c>
      <c r="Y93" s="116" t="str">
        <f t="shared" si="49"/>
        <v>a</v>
      </c>
      <c r="Z93" s="116"/>
      <c r="AB93" s="116"/>
      <c r="AF93" s="116"/>
    </row>
    <row r="94" spans="1:32">
      <c r="A94">
        <f>'All Girls &amp; Descendants'!B92</f>
        <v>110</v>
      </c>
      <c r="B94" t="str">
        <f>'All Girls &amp; Descendants'!C92</f>
        <v>110b</v>
      </c>
      <c r="C94" t="str">
        <f>'All Girls &amp; Descendants'!D92</f>
        <v>BOYCE</v>
      </c>
      <c r="D94" t="str">
        <f>'All Girls &amp; Descendants'!E92</f>
        <v>Joanna</v>
      </c>
      <c r="E94" t="str">
        <f>IF('All Girls &amp; Descendants'!F92="","",'All Girls &amp; Descendants'!F92)</f>
        <v>Mary</v>
      </c>
      <c r="F94" t="str">
        <f>IF('All Girls &amp; Descendants'!G92="","",'All Girls &amp; Descendants'!G92)</f>
        <v/>
      </c>
      <c r="G94" t="str">
        <f>IF('All Girls &amp; Descendants'!H92="",D94,'All Girls &amp; Descendants'!H92)</f>
        <v>Joanna</v>
      </c>
      <c r="H94">
        <f>'All Girls &amp; Descendants'!I92</f>
        <v>1963</v>
      </c>
      <c r="I94" t="str">
        <f>'All Girls &amp; Descendants'!J92</f>
        <v/>
      </c>
      <c r="J94">
        <f>'All Girls &amp; Descendants'!K92</f>
        <v>0</v>
      </c>
      <c r="K94" s="7">
        <f>'All Girls &amp; Descendants'!M92</f>
        <v>23060</v>
      </c>
      <c r="L94" t="str">
        <f>'All Girls &amp; Descendants'!N92</f>
        <v xml:space="preserve"> - </v>
      </c>
      <c r="M94" t="str">
        <f>'All Girls &amp; Descendants'!O92</f>
        <v/>
      </c>
      <c r="N94" t="str">
        <f>'All Girls &amp; Descendants'!P92</f>
        <v/>
      </c>
      <c r="O94" t="str">
        <f>'All Girls &amp; Descendants'!Q92</f>
        <v>110</v>
      </c>
      <c r="P94" t="str">
        <f t="shared" si="44"/>
        <v>110b</v>
      </c>
      <c r="Q94" s="116">
        <f t="shared" si="45"/>
        <v>1</v>
      </c>
      <c r="R94" s="31" t="str">
        <f t="shared" si="46"/>
        <v>Joanna Mary  BOYCE</v>
      </c>
      <c r="S94" s="31" t="str">
        <f t="shared" si="47"/>
        <v>Joanna BOYCE (1963 -: #110b)</v>
      </c>
      <c r="U94" s="117">
        <f t="shared" si="48"/>
        <v>10312</v>
      </c>
      <c r="V94" t="s">
        <v>1634</v>
      </c>
      <c r="W94" s="116">
        <f t="shared" si="50"/>
        <v>103</v>
      </c>
      <c r="X94" s="116" t="str">
        <f t="shared" si="51"/>
        <v>a</v>
      </c>
      <c r="Y94" s="116" t="str">
        <f t="shared" si="49"/>
        <v>b</v>
      </c>
      <c r="Z94" s="116"/>
      <c r="AB94" s="116"/>
      <c r="AF94" s="116"/>
    </row>
    <row r="95" spans="1:32">
      <c r="A95">
        <f>'All Girls &amp; Descendants'!B93</f>
        <v>110</v>
      </c>
      <c r="B95" t="str">
        <f>'All Girls &amp; Descendants'!C93</f>
        <v>110c</v>
      </c>
      <c r="C95" t="str">
        <f>'All Girls &amp; Descendants'!D93</f>
        <v>BOYCE</v>
      </c>
      <c r="D95" t="str">
        <f>'All Girls &amp; Descendants'!E93</f>
        <v>Robert</v>
      </c>
      <c r="E95" t="str">
        <f>IF('All Girls &amp; Descendants'!F93="","",'All Girls &amp; Descendants'!F93)</f>
        <v>Eric</v>
      </c>
      <c r="F95" t="str">
        <f>IF('All Girls &amp; Descendants'!G93="","",'All Girls &amp; Descendants'!G93)</f>
        <v/>
      </c>
      <c r="G95" t="str">
        <f>IF('All Girls &amp; Descendants'!H93="",D95,'All Girls &amp; Descendants'!H93)</f>
        <v>Robert</v>
      </c>
      <c r="H95">
        <f>'All Girls &amp; Descendants'!I93</f>
        <v>1964</v>
      </c>
      <c r="I95" t="str">
        <f>'All Girls &amp; Descendants'!J93</f>
        <v/>
      </c>
      <c r="J95">
        <f>'All Girls &amp; Descendants'!K93</f>
        <v>0</v>
      </c>
      <c r="K95" s="7">
        <f>'All Girls &amp; Descendants'!M93</f>
        <v>23456</v>
      </c>
      <c r="L95" t="str">
        <f>'All Girls &amp; Descendants'!N93</f>
        <v xml:space="preserve"> - </v>
      </c>
      <c r="M95" t="str">
        <f>'All Girls &amp; Descendants'!O93</f>
        <v/>
      </c>
      <c r="N95" t="str">
        <f>'All Girls &amp; Descendants'!P93</f>
        <v/>
      </c>
      <c r="O95" t="str">
        <f>'All Girls &amp; Descendants'!Q93</f>
        <v>110</v>
      </c>
      <c r="P95" t="str">
        <f t="shared" si="44"/>
        <v>110c</v>
      </c>
      <c r="Q95" s="116">
        <f t="shared" si="45"/>
        <v>1</v>
      </c>
      <c r="R95" s="31" t="str">
        <f t="shared" si="46"/>
        <v>Robert Eric  BOYCE</v>
      </c>
      <c r="S95" s="31" t="str">
        <f t="shared" si="47"/>
        <v>Robert BOYCE (1964 -: #110c)</v>
      </c>
      <c r="U95" s="117">
        <f t="shared" si="48"/>
        <v>10313</v>
      </c>
      <c r="V95" t="s">
        <v>1637</v>
      </c>
      <c r="W95" s="116">
        <f t="shared" si="50"/>
        <v>103</v>
      </c>
      <c r="X95" s="116" t="str">
        <f t="shared" si="51"/>
        <v>a</v>
      </c>
      <c r="Y95" s="116" t="str">
        <f t="shared" si="49"/>
        <v>c</v>
      </c>
      <c r="Z95" s="116"/>
      <c r="AB95" s="116"/>
      <c r="AF95" s="116"/>
    </row>
    <row r="96" spans="1:32">
      <c r="A96">
        <f>'All Girls &amp; Descendants'!B94</f>
        <v>110</v>
      </c>
      <c r="B96" t="str">
        <f>'All Girls &amp; Descendants'!C94</f>
        <v>110d</v>
      </c>
      <c r="C96" t="str">
        <f>'All Girls &amp; Descendants'!D94</f>
        <v>BOYCE</v>
      </c>
      <c r="D96" t="str">
        <f>'All Girls &amp; Descendants'!E94</f>
        <v>Paula</v>
      </c>
      <c r="E96" t="str">
        <f>IF('All Girls &amp; Descendants'!F94="","",'All Girls &amp; Descendants'!F94)</f>
        <v>Margaret</v>
      </c>
      <c r="F96" t="str">
        <f>IF('All Girls &amp; Descendants'!G94="","",'All Girls &amp; Descendants'!G94)</f>
        <v/>
      </c>
      <c r="G96" t="str">
        <f>IF('All Girls &amp; Descendants'!H94="",D96,'All Girls &amp; Descendants'!H94)</f>
        <v>Paula</v>
      </c>
      <c r="H96">
        <f>'All Girls &amp; Descendants'!I94</f>
        <v>1966</v>
      </c>
      <c r="I96" t="str">
        <f>'All Girls &amp; Descendants'!J94</f>
        <v/>
      </c>
      <c r="J96">
        <f>'All Girls &amp; Descendants'!K94</f>
        <v>0</v>
      </c>
      <c r="K96" s="7">
        <f>'All Girls &amp; Descendants'!M94</f>
        <v>24376</v>
      </c>
      <c r="L96">
        <f>'All Girls &amp; Descendants'!N94</f>
        <v>35276</v>
      </c>
      <c r="M96" t="str">
        <f>'All Girls &amp; Descendants'!O94</f>
        <v/>
      </c>
      <c r="N96" t="str">
        <f>'All Girls &amp; Descendants'!P94</f>
        <v/>
      </c>
      <c r="O96" t="str">
        <f>'All Girls &amp; Descendants'!Q94</f>
        <v>110</v>
      </c>
      <c r="P96" t="str">
        <f t="shared" si="44"/>
        <v>110d</v>
      </c>
      <c r="Q96" s="116">
        <f t="shared" si="45"/>
        <v>1</v>
      </c>
      <c r="R96" s="31" t="str">
        <f t="shared" si="46"/>
        <v>Paula Margaret  BOYCE</v>
      </c>
      <c r="S96" s="31" t="str">
        <f t="shared" si="47"/>
        <v>Paula BOYCE (1966 -: #110d)</v>
      </c>
      <c r="U96" s="117">
        <f t="shared" si="48"/>
        <v>10321</v>
      </c>
      <c r="V96" t="s">
        <v>1639</v>
      </c>
      <c r="W96" s="116">
        <f t="shared" si="50"/>
        <v>103</v>
      </c>
      <c r="X96" s="116" t="str">
        <f t="shared" si="51"/>
        <v>b</v>
      </c>
      <c r="Y96" s="116" t="str">
        <f t="shared" si="49"/>
        <v>a</v>
      </c>
      <c r="Z96" s="116"/>
      <c r="AB96" s="116"/>
      <c r="AF96" s="116"/>
    </row>
    <row r="97" spans="1:32">
      <c r="A97">
        <f>'All Girls &amp; Descendants'!B95</f>
        <v>112</v>
      </c>
      <c r="B97" t="str">
        <f>'All Girls &amp; Descendants'!C95</f>
        <v>112a</v>
      </c>
      <c r="C97" t="str">
        <f>'All Girls &amp; Descendants'!D95</f>
        <v>DOWNES</v>
      </c>
      <c r="D97" t="str">
        <f>'All Girls &amp; Descendants'!E95</f>
        <v>Kevin</v>
      </c>
      <c r="E97" t="str">
        <f>IF('All Girls &amp; Descendants'!F95="","",'All Girls &amp; Descendants'!F95)</f>
        <v>John</v>
      </c>
      <c r="F97" t="str">
        <f>IF('All Girls &amp; Descendants'!G95="","",'All Girls &amp; Descendants'!G95)</f>
        <v/>
      </c>
      <c r="G97" t="str">
        <f>IF('All Girls &amp; Descendants'!H95="",D97,'All Girls &amp; Descendants'!H95)</f>
        <v>Kevin</v>
      </c>
      <c r="H97">
        <f>'All Girls &amp; Descendants'!I95</f>
        <v>1958</v>
      </c>
      <c r="I97" t="str">
        <f>'All Girls &amp; Descendants'!J95</f>
        <v/>
      </c>
      <c r="J97">
        <f>'All Girls &amp; Descendants'!K95</f>
        <v>0</v>
      </c>
      <c r="K97" s="7">
        <f>'All Girls &amp; Descendants'!M95</f>
        <v>21471</v>
      </c>
      <c r="L97" t="str">
        <f>'All Girls &amp; Descendants'!N95</f>
        <v xml:space="preserve"> - </v>
      </c>
      <c r="M97" t="str">
        <f>'All Girls &amp; Descendants'!O95</f>
        <v/>
      </c>
      <c r="N97" t="str">
        <f>'All Girls &amp; Descendants'!P95</f>
        <v/>
      </c>
      <c r="O97" t="str">
        <f>'All Girls &amp; Descendants'!Q95</f>
        <v>112</v>
      </c>
      <c r="P97" t="str">
        <f t="shared" si="44"/>
        <v>112a</v>
      </c>
      <c r="Q97" s="116">
        <f t="shared" si="45"/>
        <v>1</v>
      </c>
      <c r="R97" s="31" t="str">
        <f t="shared" si="46"/>
        <v>Kevin John  DOWNES</v>
      </c>
      <c r="S97" s="31" t="str">
        <f t="shared" si="47"/>
        <v>Kevin DOWNES (1958 -: #112a)</v>
      </c>
      <c r="U97" s="117">
        <f t="shared" si="48"/>
        <v>10322</v>
      </c>
      <c r="V97" t="s">
        <v>1641</v>
      </c>
      <c r="W97" s="116">
        <f t="shared" si="50"/>
        <v>103</v>
      </c>
      <c r="X97" s="116" t="str">
        <f t="shared" si="51"/>
        <v>b</v>
      </c>
      <c r="Y97" s="116" t="str">
        <f t="shared" si="49"/>
        <v>b</v>
      </c>
      <c r="Z97" s="116"/>
      <c r="AB97" s="116"/>
      <c r="AF97" s="116"/>
    </row>
    <row r="98" spans="1:32">
      <c r="A98">
        <f>'All Girls &amp; Descendants'!B96</f>
        <v>112</v>
      </c>
      <c r="B98" t="str">
        <f>'All Girls &amp; Descendants'!C96</f>
        <v>112b</v>
      </c>
      <c r="C98" t="str">
        <f>'All Girls &amp; Descendants'!D96</f>
        <v>DOWNES</v>
      </c>
      <c r="D98" t="str">
        <f>'All Girls &amp; Descendants'!E96</f>
        <v>Lynda</v>
      </c>
      <c r="E98" t="str">
        <f>IF('All Girls &amp; Descendants'!F96="","",'All Girls &amp; Descendants'!F96)</f>
        <v>Carol</v>
      </c>
      <c r="F98" t="str">
        <f>IF('All Girls &amp; Descendants'!G96="","",'All Girls &amp; Descendants'!G96)</f>
        <v/>
      </c>
      <c r="G98" t="str">
        <f>IF('All Girls &amp; Descendants'!H96="",D98,'All Girls &amp; Descendants'!H96)</f>
        <v>Lynda</v>
      </c>
      <c r="H98">
        <f>'All Girls &amp; Descendants'!I96</f>
        <v>1960</v>
      </c>
      <c r="I98" t="str">
        <f>'All Girls &amp; Descendants'!J96</f>
        <v/>
      </c>
      <c r="J98">
        <f>'All Girls &amp; Descendants'!K96</f>
        <v>0</v>
      </c>
      <c r="K98" s="7">
        <f>'All Girls &amp; Descendants'!M96</f>
        <v>22204</v>
      </c>
      <c r="L98" t="str">
        <f>'All Girls &amp; Descendants'!N96</f>
        <v xml:space="preserve"> - </v>
      </c>
      <c r="M98" t="str">
        <f>'All Girls &amp; Descendants'!O96</f>
        <v/>
      </c>
      <c r="N98" t="str">
        <f>'All Girls &amp; Descendants'!P96</f>
        <v/>
      </c>
      <c r="O98" t="str">
        <f>'All Girls &amp; Descendants'!Q96</f>
        <v>112</v>
      </c>
      <c r="P98" t="str">
        <f t="shared" si="44"/>
        <v>112b</v>
      </c>
      <c r="Q98" s="116">
        <f t="shared" si="45"/>
        <v>1</v>
      </c>
      <c r="R98" s="31" t="str">
        <f t="shared" si="46"/>
        <v>Lynda Carol  DOWNES</v>
      </c>
      <c r="S98" s="31" t="str">
        <f t="shared" si="47"/>
        <v>Lynda DOWNES (1960 -: #112b)</v>
      </c>
      <c r="U98" s="117">
        <f t="shared" si="48"/>
        <v>10323</v>
      </c>
      <c r="V98" t="s">
        <v>1642</v>
      </c>
      <c r="W98" s="116">
        <f t="shared" si="50"/>
        <v>103</v>
      </c>
      <c r="X98" s="116" t="str">
        <f t="shared" si="51"/>
        <v>b</v>
      </c>
      <c r="Y98" s="116" t="str">
        <f t="shared" si="49"/>
        <v>c</v>
      </c>
      <c r="Z98" s="116"/>
      <c r="AB98" s="116"/>
      <c r="AF98" s="116"/>
    </row>
    <row r="99" spans="1:32">
      <c r="A99">
        <f>'All Girls &amp; Descendants'!B97</f>
        <v>112</v>
      </c>
      <c r="B99" t="str">
        <f>'All Girls &amp; Descendants'!C97</f>
        <v>112c</v>
      </c>
      <c r="C99" t="str">
        <f>'All Girls &amp; Descendants'!D97</f>
        <v>DOWNES</v>
      </c>
      <c r="D99" t="str">
        <f>'All Girls &amp; Descendants'!E97</f>
        <v>Graeme</v>
      </c>
      <c r="E99" t="str">
        <f>IF('All Girls &amp; Descendants'!F97="","",'All Girls &amp; Descendants'!F97)</f>
        <v>Richard</v>
      </c>
      <c r="F99" t="str">
        <f>IF('All Girls &amp; Descendants'!G97="","",'All Girls &amp; Descendants'!G97)</f>
        <v/>
      </c>
      <c r="G99" t="str">
        <f>IF('All Girls &amp; Descendants'!H97="",D99,'All Girls &amp; Descendants'!H97)</f>
        <v>Graeme</v>
      </c>
      <c r="H99">
        <f>'All Girls &amp; Descendants'!I97</f>
        <v>1961</v>
      </c>
      <c r="I99" t="str">
        <f>'All Girls &amp; Descendants'!J97</f>
        <v/>
      </c>
      <c r="J99">
        <f>'All Girls &amp; Descendants'!K97</f>
        <v>0</v>
      </c>
      <c r="K99" s="7">
        <f>'All Girls &amp; Descendants'!M97</f>
        <v>22576</v>
      </c>
      <c r="L99" t="str">
        <f>'All Girls &amp; Descendants'!N97</f>
        <v xml:space="preserve"> - </v>
      </c>
      <c r="M99" t="str">
        <f>'All Girls &amp; Descendants'!O97</f>
        <v/>
      </c>
      <c r="N99" t="str">
        <f>'All Girls &amp; Descendants'!P97</f>
        <v/>
      </c>
      <c r="O99" t="str">
        <f>'All Girls &amp; Descendants'!Q97</f>
        <v>112</v>
      </c>
      <c r="P99" t="str">
        <f t="shared" si="44"/>
        <v>112c</v>
      </c>
      <c r="Q99" s="116">
        <f t="shared" si="45"/>
        <v>1</v>
      </c>
      <c r="R99" s="31" t="str">
        <f t="shared" si="46"/>
        <v>Graeme Richard  DOWNES</v>
      </c>
      <c r="S99" s="31" t="str">
        <f t="shared" si="47"/>
        <v>Graeme DOWNES (1961 -: #112c)</v>
      </c>
      <c r="U99" s="117">
        <f t="shared" si="48"/>
        <v>10324</v>
      </c>
      <c r="V99" t="s">
        <v>1651</v>
      </c>
      <c r="W99" s="116">
        <f t="shared" si="50"/>
        <v>103</v>
      </c>
      <c r="X99" s="116" t="str">
        <f t="shared" si="51"/>
        <v>b</v>
      </c>
      <c r="Y99" s="116" t="str">
        <f t="shared" si="49"/>
        <v>d</v>
      </c>
      <c r="Z99" s="116"/>
      <c r="AB99" s="116"/>
      <c r="AF99" s="116"/>
    </row>
    <row r="100" spans="1:32">
      <c r="A100">
        <f>'All Girls &amp; Descendants'!B98</f>
        <v>112</v>
      </c>
      <c r="B100" t="str">
        <f>'All Girls &amp; Descendants'!C98</f>
        <v>112d</v>
      </c>
      <c r="C100" t="str">
        <f>'All Girls &amp; Descendants'!D98</f>
        <v>DOWNES</v>
      </c>
      <c r="D100" t="str">
        <f>'All Girls &amp; Descendants'!E98</f>
        <v>Lesley</v>
      </c>
      <c r="E100" t="str">
        <f>IF('All Girls &amp; Descendants'!F98="","",'All Girls &amp; Descendants'!F98)</f>
        <v>Karen</v>
      </c>
      <c r="F100" t="str">
        <f>IF('All Girls &amp; Descendants'!G98="","",'All Girls &amp; Descendants'!G98)</f>
        <v/>
      </c>
      <c r="G100" t="str">
        <f>IF('All Girls &amp; Descendants'!H98="",D100,'All Girls &amp; Descendants'!H98)</f>
        <v>Lesley</v>
      </c>
      <c r="H100">
        <f>'All Girls &amp; Descendants'!I98</f>
        <v>1963</v>
      </c>
      <c r="I100" t="str">
        <f>'All Girls &amp; Descendants'!J98</f>
        <v/>
      </c>
      <c r="J100">
        <f>'All Girls &amp; Descendants'!K98</f>
        <v>0</v>
      </c>
      <c r="K100" s="7">
        <f>'All Girls &amp; Descendants'!M98</f>
        <v>23091</v>
      </c>
      <c r="L100" t="str">
        <f>'All Girls &amp; Descendants'!N98</f>
        <v xml:space="preserve"> - </v>
      </c>
      <c r="M100" t="str">
        <f>'All Girls &amp; Descendants'!O98</f>
        <v/>
      </c>
      <c r="N100" t="str">
        <f>'All Girls &amp; Descendants'!P98</f>
        <v/>
      </c>
      <c r="O100" t="str">
        <f>'All Girls &amp; Descendants'!Q98</f>
        <v>112</v>
      </c>
      <c r="P100" t="str">
        <f t="shared" si="44"/>
        <v>112d</v>
      </c>
      <c r="Q100" s="116">
        <f t="shared" si="45"/>
        <v>1</v>
      </c>
      <c r="R100" s="31" t="str">
        <f t="shared" si="46"/>
        <v>Lesley Karen  DOWNES</v>
      </c>
      <c r="S100" s="31" t="str">
        <f t="shared" si="47"/>
        <v>Lesley DOWNES (1963 -: #112d)</v>
      </c>
      <c r="U100" s="117">
        <f t="shared" si="48"/>
        <v>10331</v>
      </c>
      <c r="V100" t="s">
        <v>1646</v>
      </c>
      <c r="W100" s="116">
        <f t="shared" si="50"/>
        <v>103</v>
      </c>
      <c r="X100" s="116" t="str">
        <f t="shared" si="51"/>
        <v>c</v>
      </c>
      <c r="Y100" s="116" t="str">
        <f t="shared" si="49"/>
        <v>a</v>
      </c>
      <c r="Z100" s="116"/>
      <c r="AB100" s="116"/>
      <c r="AF100" s="116"/>
    </row>
    <row r="101" spans="1:32">
      <c r="A101">
        <f>'All Girls &amp; Descendants'!B99</f>
        <v>115</v>
      </c>
      <c r="B101" t="str">
        <f>'All Girls &amp; Descendants'!C99</f>
        <v>115a</v>
      </c>
      <c r="C101" t="str">
        <f>'All Girls &amp; Descendants'!D99</f>
        <v>CROSSLEY</v>
      </c>
      <c r="D101" t="str">
        <f>'All Girls &amp; Descendants'!E99</f>
        <v>The Hon Isabel</v>
      </c>
      <c r="E101" t="str">
        <f>IF('All Girls &amp; Descendants'!F99="","",'All Girls &amp; Descendants'!F99)</f>
        <v>Alicia</v>
      </c>
      <c r="F101" t="str">
        <f>IF('All Girls &amp; Descendants'!G99="","",'All Girls &amp; Descendants'!G99)</f>
        <v>Clare</v>
      </c>
      <c r="G101" t="str">
        <f>IF('All Girls &amp; Descendants'!H99="",D101,'All Girls &amp; Descendants'!H99)</f>
        <v>The Hon Isabel</v>
      </c>
      <c r="H101">
        <f>'All Girls &amp; Descendants'!I99</f>
        <v>1964</v>
      </c>
      <c r="I101" t="str">
        <f>'All Girls &amp; Descendants'!J99</f>
        <v/>
      </c>
      <c r="J101">
        <f>'All Girls &amp; Descendants'!K99</f>
        <v>0</v>
      </c>
      <c r="K101" s="7">
        <f>'All Girls &amp; Descendants'!M99</f>
        <v>23647</v>
      </c>
      <c r="L101">
        <f>'All Girls &amp; Descendants'!N99</f>
        <v>33516</v>
      </c>
      <c r="M101" t="str">
        <f>'All Girls &amp; Descendants'!O99</f>
        <v/>
      </c>
      <c r="N101" t="str">
        <f>'All Girls &amp; Descendants'!P99</f>
        <v/>
      </c>
      <c r="O101" t="str">
        <f>'All Girls &amp; Descendants'!Q99</f>
        <v>115</v>
      </c>
      <c r="P101" t="str">
        <f t="shared" si="44"/>
        <v>115a</v>
      </c>
      <c r="Q101" s="116">
        <f t="shared" si="45"/>
        <v>1</v>
      </c>
      <c r="R101" s="31" t="str">
        <f t="shared" si="46"/>
        <v>The Hon Isabel Alicia Clare CROSSLEY</v>
      </c>
      <c r="S101" s="31" t="str">
        <f t="shared" si="47"/>
        <v>The Hon Isabel CROSSLEY (1964 -: #115a)</v>
      </c>
      <c r="U101" s="117">
        <f t="shared" si="48"/>
        <v>10332</v>
      </c>
      <c r="V101" t="s">
        <v>1649</v>
      </c>
      <c r="W101" s="116">
        <f t="shared" si="50"/>
        <v>103</v>
      </c>
      <c r="X101" s="116" t="str">
        <f t="shared" si="51"/>
        <v>c</v>
      </c>
      <c r="Y101" s="116" t="str">
        <f t="shared" si="49"/>
        <v>b</v>
      </c>
      <c r="Z101" s="116"/>
      <c r="AB101" s="116"/>
      <c r="AF101" s="116"/>
    </row>
    <row r="102" spans="1:32">
      <c r="A102">
        <f>'All Girls &amp; Descendants'!B100</f>
        <v>115</v>
      </c>
      <c r="B102" t="str">
        <f>'All Girls &amp; Descendants'!C100</f>
        <v>115b</v>
      </c>
      <c r="C102" t="str">
        <f>'All Girls &amp; Descendants'!D100</f>
        <v>CROSSLEY</v>
      </c>
      <c r="D102" t="str">
        <f>'All Girls &amp; Descendants'!E100</f>
        <v>The Hon Camilla</v>
      </c>
      <c r="E102" t="str">
        <f>IF('All Girls &amp; Descendants'!F100="","",'All Girls &amp; Descendants'!F100)</f>
        <v>Mary</v>
      </c>
      <c r="F102" t="str">
        <f>IF('All Girls &amp; Descendants'!G100="","",'All Girls &amp; Descendants'!G100)</f>
        <v>Lara</v>
      </c>
      <c r="G102" t="str">
        <f>IF('All Girls &amp; Descendants'!H100="",D102,'All Girls &amp; Descendants'!H100)</f>
        <v>The Hon Camilla</v>
      </c>
      <c r="H102">
        <f>'All Girls &amp; Descendants'!I100</f>
        <v>1967</v>
      </c>
      <c r="I102" t="str">
        <f>'All Girls &amp; Descendants'!J100</f>
        <v/>
      </c>
      <c r="J102">
        <f>'All Girls &amp; Descendants'!K100</f>
        <v>0</v>
      </c>
      <c r="K102" s="7">
        <f>'All Girls &amp; Descendants'!M100</f>
        <v>24650</v>
      </c>
      <c r="L102">
        <f>'All Girls &amp; Descendants'!N100</f>
        <v>34125</v>
      </c>
      <c r="M102" t="str">
        <f>'All Girls &amp; Descendants'!O100</f>
        <v/>
      </c>
      <c r="N102" t="str">
        <f>'All Girls &amp; Descendants'!P100</f>
        <v/>
      </c>
      <c r="O102" t="str">
        <f>'All Girls &amp; Descendants'!Q100</f>
        <v>115</v>
      </c>
      <c r="P102" t="str">
        <f t="shared" si="44"/>
        <v>115b</v>
      </c>
      <c r="Q102" s="116">
        <f t="shared" si="45"/>
        <v>1</v>
      </c>
      <c r="R102" s="31" t="str">
        <f t="shared" si="46"/>
        <v>The Hon Camilla Mary Lara CROSSLEY</v>
      </c>
      <c r="S102" s="31" t="str">
        <f t="shared" si="47"/>
        <v>The Hon Camilla CROSSLEY (1967 -: #115b)</v>
      </c>
      <c r="U102" s="117">
        <f t="shared" si="48"/>
        <v>10333</v>
      </c>
      <c r="V102" t="s">
        <v>1650</v>
      </c>
      <c r="W102" s="116">
        <f t="shared" si="50"/>
        <v>103</v>
      </c>
      <c r="X102" s="116" t="str">
        <f t="shared" si="51"/>
        <v>c</v>
      </c>
      <c r="Y102" s="116" t="str">
        <f t="shared" si="49"/>
        <v>c</v>
      </c>
      <c r="Z102" s="116"/>
      <c r="AB102" s="116"/>
      <c r="AF102" s="116"/>
    </row>
    <row r="103" spans="1:32">
      <c r="A103">
        <f>'All Girls &amp; Descendants'!B101</f>
        <v>115</v>
      </c>
      <c r="B103" t="str">
        <f>'All Girls &amp; Descendants'!C101</f>
        <v>115c</v>
      </c>
      <c r="C103" t="str">
        <f>'All Girls &amp; Descendants'!D101</f>
        <v>CROSSLEY</v>
      </c>
      <c r="D103" t="str">
        <f>'All Girls &amp; Descendants'!E101</f>
        <v>The Hon Alicia</v>
      </c>
      <c r="E103" t="str">
        <f>IF('All Girls &amp; Descendants'!F101="","",'All Girls &amp; Descendants'!F101)</f>
        <v>Phyllis</v>
      </c>
      <c r="F103" t="str">
        <f>IF('All Girls &amp; Descendants'!G101="","",'All Girls &amp; Descendants'!G101)</f>
        <v>Belinda</v>
      </c>
      <c r="G103" t="str">
        <f>IF('All Girls &amp; Descendants'!H101="",D103,'All Girls &amp; Descendants'!H101)</f>
        <v>The Hon Alicia</v>
      </c>
      <c r="H103">
        <f>'All Girls &amp; Descendants'!I101</f>
        <v>1969</v>
      </c>
      <c r="I103" t="str">
        <f>'All Girls &amp; Descendants'!J101</f>
        <v/>
      </c>
      <c r="J103">
        <f>'All Girls &amp; Descendants'!K101</f>
        <v>0</v>
      </c>
      <c r="K103" s="7">
        <f>'All Girls &amp; Descendants'!M101</f>
        <v>25302</v>
      </c>
      <c r="L103">
        <f>'All Girls &amp; Descendants'!N101</f>
        <v>36127</v>
      </c>
      <c r="M103" t="str">
        <f>'All Girls &amp; Descendants'!O101</f>
        <v/>
      </c>
      <c r="N103" t="str">
        <f>'All Girls &amp; Descendants'!P101</f>
        <v/>
      </c>
      <c r="O103" t="str">
        <f>'All Girls &amp; Descendants'!Q101</f>
        <v>115</v>
      </c>
      <c r="P103" t="str">
        <f t="shared" si="44"/>
        <v>115c</v>
      </c>
      <c r="Q103" s="116">
        <f t="shared" si="45"/>
        <v>1</v>
      </c>
      <c r="R103" s="31" t="str">
        <f t="shared" si="46"/>
        <v>The Hon Alicia Phyllis Belinda CROSSLEY</v>
      </c>
      <c r="S103" s="31" t="str">
        <f t="shared" si="47"/>
        <v>The Hon Alicia CROSSLEY (1969 -: #115c)</v>
      </c>
      <c r="U103" s="117">
        <f t="shared" si="48"/>
        <v>10341</v>
      </c>
      <c r="V103" t="s">
        <v>1653</v>
      </c>
      <c r="W103" s="116">
        <f t="shared" si="50"/>
        <v>103</v>
      </c>
      <c r="X103" s="116" t="str">
        <f t="shared" si="51"/>
        <v>d</v>
      </c>
      <c r="Y103" s="116" t="str">
        <f t="shared" si="49"/>
        <v>a</v>
      </c>
      <c r="Z103" s="116"/>
      <c r="AB103" s="116"/>
      <c r="AF103" s="116"/>
    </row>
    <row r="104" spans="1:32">
      <c r="A104">
        <f>'All Girls &amp; Descendants'!B102</f>
        <v>115</v>
      </c>
      <c r="B104" t="str">
        <f>'All Girls &amp; Descendants'!C102</f>
        <v>115d</v>
      </c>
      <c r="C104" t="str">
        <f>'All Girls &amp; Descendants'!D102</f>
        <v>CROSSLEY</v>
      </c>
      <c r="D104" t="str">
        <f>'All Girls &amp; Descendants'!E102</f>
        <v>The Hon Hugh</v>
      </c>
      <c r="E104" t="str">
        <f>IF('All Girls &amp; Descendants'!F102="","",'All Girls &amp; Descendants'!F102)</f>
        <v>Francis</v>
      </c>
      <c r="F104" t="str">
        <f>IF('All Girls &amp; Descendants'!G102="","",'All Girls &amp; Descendants'!G102)</f>
        <v>Savile</v>
      </c>
      <c r="G104" t="str">
        <f>IF('All Girls &amp; Descendants'!H102="",D104,'All Girls &amp; Descendants'!H102)</f>
        <v>The Hon Hugh</v>
      </c>
      <c r="H104">
        <f>'All Girls &amp; Descendants'!I102</f>
        <v>1971</v>
      </c>
      <c r="I104" t="str">
        <f>'All Girls &amp; Descendants'!J102</f>
        <v/>
      </c>
      <c r="J104">
        <f>'All Girls &amp; Descendants'!K102</f>
        <v>0</v>
      </c>
      <c r="K104" s="7">
        <f>'All Girls &amp; Descendants'!M102</f>
        <v>26203</v>
      </c>
      <c r="L104" t="str">
        <f>'All Girls &amp; Descendants'!N102</f>
        <v xml:space="preserve"> - </v>
      </c>
      <c r="M104" t="str">
        <f>'All Girls &amp; Descendants'!O102</f>
        <v/>
      </c>
      <c r="N104" t="str">
        <f>'All Girls &amp; Descendants'!P102</f>
        <v/>
      </c>
      <c r="O104" t="str">
        <f>'All Girls &amp; Descendants'!Q102</f>
        <v>115</v>
      </c>
      <c r="P104" t="str">
        <f t="shared" si="44"/>
        <v>115d</v>
      </c>
      <c r="Q104" s="116">
        <f t="shared" si="45"/>
        <v>1</v>
      </c>
      <c r="R104" s="31" t="str">
        <f t="shared" si="46"/>
        <v>The Hon Hugh Francis Savile CROSSLEY</v>
      </c>
      <c r="S104" s="31" t="str">
        <f t="shared" si="47"/>
        <v>The Hon Hugh CROSSLEY (1971 -: #115d)</v>
      </c>
      <c r="U104" s="117">
        <f t="shared" si="48"/>
        <v>10342</v>
      </c>
      <c r="V104" t="s">
        <v>1643</v>
      </c>
      <c r="W104" s="116">
        <f t="shared" si="50"/>
        <v>103</v>
      </c>
      <c r="X104" s="116" t="str">
        <f t="shared" si="51"/>
        <v>d</v>
      </c>
      <c r="Y104" s="116" t="str">
        <f t="shared" si="49"/>
        <v>b</v>
      </c>
      <c r="Z104" s="116"/>
      <c r="AB104" s="116"/>
      <c r="AF104" s="116"/>
    </row>
    <row r="105" spans="1:32">
      <c r="A105">
        <f>'All Girls &amp; Descendants'!B103</f>
        <v>115</v>
      </c>
      <c r="B105" t="str">
        <f>'All Girls &amp; Descendants'!C103</f>
        <v>115e</v>
      </c>
      <c r="C105" t="str">
        <f>'All Girls &amp; Descendants'!D103</f>
        <v>CROSSLEY</v>
      </c>
      <c r="D105" t="str">
        <f>'All Girls &amp; Descendants'!E103</f>
        <v>The Hon Bridget</v>
      </c>
      <c r="E105" t="str">
        <f>IF('All Girls &amp; Descendants'!F103="","",'All Girls &amp; Descendants'!F103)</f>
        <v>Vivian</v>
      </c>
      <c r="F105" t="str">
        <f>IF('All Girls &amp; Descendants'!G103="","",'All Girls &amp; Descendants'!G103)</f>
        <v/>
      </c>
      <c r="G105" t="str">
        <f>IF('All Girls &amp; Descendants'!H103="",D105,'All Girls &amp; Descendants'!H103)</f>
        <v>The Hon Bridget</v>
      </c>
      <c r="H105">
        <f>'All Girls &amp; Descendants'!I103</f>
        <v>1974</v>
      </c>
      <c r="I105" t="str">
        <f>'All Girls &amp; Descendants'!J103</f>
        <v/>
      </c>
      <c r="J105">
        <f>'All Girls &amp; Descendants'!K103</f>
        <v>0</v>
      </c>
      <c r="K105" s="7">
        <f>'All Girls &amp; Descendants'!M103</f>
        <v>27069</v>
      </c>
      <c r="L105" t="str">
        <f>'All Girls &amp; Descendants'!N103</f>
        <v xml:space="preserve"> - </v>
      </c>
      <c r="M105" t="str">
        <f>'All Girls &amp; Descendants'!O103</f>
        <v/>
      </c>
      <c r="N105" t="str">
        <f>'All Girls &amp; Descendants'!P103</f>
        <v/>
      </c>
      <c r="O105" t="str">
        <f>'All Girls &amp; Descendants'!Q103</f>
        <v>115</v>
      </c>
      <c r="P105" t="str">
        <f t="shared" si="44"/>
        <v>115e</v>
      </c>
      <c r="Q105" s="116">
        <f t="shared" si="45"/>
        <v>1</v>
      </c>
      <c r="R105" s="31" t="str">
        <f t="shared" si="46"/>
        <v>The Hon Bridget Vivian  CROSSLEY</v>
      </c>
      <c r="S105" s="31" t="str">
        <f t="shared" si="47"/>
        <v>The Hon Bridget CROSSLEY (1974 -: #115e)</v>
      </c>
      <c r="U105" s="117">
        <f t="shared" si="48"/>
        <v>10343</v>
      </c>
      <c r="V105" t="s">
        <v>1655</v>
      </c>
      <c r="W105" s="116">
        <f t="shared" si="50"/>
        <v>103</v>
      </c>
      <c r="X105" s="116" t="str">
        <f t="shared" si="51"/>
        <v>d</v>
      </c>
      <c r="Y105" s="116" t="str">
        <f t="shared" si="49"/>
        <v>c</v>
      </c>
      <c r="Z105" s="116"/>
      <c r="AB105" s="116"/>
      <c r="AF105" s="116"/>
    </row>
    <row r="106" spans="1:32">
      <c r="A106">
        <f>'All Girls &amp; Descendants'!B104</f>
        <v>116</v>
      </c>
      <c r="B106" t="str">
        <f>'All Girls &amp; Descendants'!C104</f>
        <v>116a</v>
      </c>
      <c r="C106" t="str">
        <f>'All Girls &amp; Descendants'!D104</f>
        <v>CLULOW</v>
      </c>
      <c r="D106" t="str">
        <f>'All Girls &amp; Descendants'!E104</f>
        <v>Carl</v>
      </c>
      <c r="E106" t="str">
        <f>IF('All Girls &amp; Descendants'!F104="","",'All Girls &amp; Descendants'!F104)</f>
        <v/>
      </c>
      <c r="F106" t="str">
        <f>IF('All Girls &amp; Descendants'!G104="","",'All Girls &amp; Descendants'!G104)</f>
        <v/>
      </c>
      <c r="G106" t="str">
        <f>IF('All Girls &amp; Descendants'!H104="",D106,'All Girls &amp; Descendants'!H104)</f>
        <v>Carl</v>
      </c>
      <c r="H106">
        <f>'All Girls &amp; Descendants'!I104</f>
        <v>1970</v>
      </c>
      <c r="I106">
        <f>'All Girls &amp; Descendants'!J104</f>
        <v>1970</v>
      </c>
      <c r="J106">
        <f>'All Girls &amp; Descendants'!K104</f>
        <v>0</v>
      </c>
      <c r="K106" s="7">
        <f>'All Girls &amp; Descendants'!M104</f>
        <v>25587</v>
      </c>
      <c r="L106" t="str">
        <f>'All Girls &amp; Descendants'!N104</f>
        <v>Unmarried</v>
      </c>
      <c r="M106">
        <f>'All Girls &amp; Descendants'!O104</f>
        <v>25587</v>
      </c>
      <c r="N106" t="str">
        <f>'All Girls &amp; Descendants'!P104</f>
        <v>19/01/1970</v>
      </c>
      <c r="O106" t="str">
        <f>'All Girls &amp; Descendants'!Q104</f>
        <v>116</v>
      </c>
      <c r="P106" t="str">
        <f t="shared" si="44"/>
        <v>116a</v>
      </c>
      <c r="Q106" s="116">
        <f t="shared" si="45"/>
        <v>1</v>
      </c>
      <c r="R106" s="31" t="str">
        <f t="shared" si="46"/>
        <v>Carl   CLULOW</v>
      </c>
      <c r="S106" s="31" t="str">
        <f t="shared" si="47"/>
        <v>Carl CLULOW (1970 -1970: #116a)</v>
      </c>
      <c r="U106" s="117">
        <f t="shared" si="48"/>
        <v>10611</v>
      </c>
      <c r="V106" t="s">
        <v>1662</v>
      </c>
      <c r="W106" s="116">
        <f t="shared" si="50"/>
        <v>106</v>
      </c>
      <c r="X106" s="116" t="str">
        <f t="shared" si="51"/>
        <v>a</v>
      </c>
      <c r="Y106" s="116" t="str">
        <f t="shared" si="49"/>
        <v>a</v>
      </c>
      <c r="Z106" s="116"/>
      <c r="AB106" s="116"/>
      <c r="AF106" s="116"/>
    </row>
    <row r="107" spans="1:32">
      <c r="A107">
        <f>'All Girls &amp; Descendants'!B105</f>
        <v>116</v>
      </c>
      <c r="B107" t="str">
        <f>'All Girls &amp; Descendants'!C105</f>
        <v>116b</v>
      </c>
      <c r="C107" t="str">
        <f>'All Girls &amp; Descendants'!D105</f>
        <v>CLULOW</v>
      </c>
      <c r="D107" t="str">
        <f>'All Girls &amp; Descendants'!E105</f>
        <v>Kate</v>
      </c>
      <c r="E107" t="str">
        <f>IF('All Girls &amp; Descendants'!F105="","",'All Girls &amp; Descendants'!F105)</f>
        <v/>
      </c>
      <c r="F107" t="str">
        <f>IF('All Girls &amp; Descendants'!G105="","",'All Girls &amp; Descendants'!G105)</f>
        <v/>
      </c>
      <c r="G107" t="str">
        <f>IF('All Girls &amp; Descendants'!H105="",D107,'All Girls &amp; Descendants'!H105)</f>
        <v>Kate</v>
      </c>
      <c r="H107">
        <f>'All Girls &amp; Descendants'!I105</f>
        <v>1971</v>
      </c>
      <c r="I107" t="str">
        <f>'All Girls &amp; Descendants'!J105</f>
        <v/>
      </c>
      <c r="J107">
        <f>'All Girls &amp; Descendants'!K105</f>
        <v>0</v>
      </c>
      <c r="K107" s="7">
        <f>'All Girls &amp; Descendants'!M105</f>
        <v>26157</v>
      </c>
      <c r="L107" t="str">
        <f>'All Girls &amp; Descendants'!N105</f>
        <v xml:space="preserve"> - </v>
      </c>
      <c r="M107" t="str">
        <f>'All Girls &amp; Descendants'!O105</f>
        <v/>
      </c>
      <c r="N107" t="str">
        <f>'All Girls &amp; Descendants'!P105</f>
        <v/>
      </c>
      <c r="O107" t="str">
        <f>'All Girls &amp; Descendants'!Q105</f>
        <v>116</v>
      </c>
      <c r="P107" t="str">
        <f t="shared" si="44"/>
        <v>116b</v>
      </c>
      <c r="Q107" s="116">
        <f t="shared" si="45"/>
        <v>1</v>
      </c>
      <c r="R107" s="31" t="str">
        <f t="shared" si="46"/>
        <v>Kate   CLULOW</v>
      </c>
      <c r="S107" s="31" t="str">
        <f t="shared" si="47"/>
        <v>Kate CLULOW (1971 -: #116b)</v>
      </c>
      <c r="U107" s="117">
        <f t="shared" si="48"/>
        <v>10612</v>
      </c>
      <c r="V107" t="s">
        <v>1664</v>
      </c>
      <c r="W107" s="116">
        <f t="shared" si="50"/>
        <v>106</v>
      </c>
      <c r="X107" s="116" t="str">
        <f t="shared" si="51"/>
        <v>a</v>
      </c>
      <c r="Y107" s="116" t="str">
        <f t="shared" si="49"/>
        <v>b</v>
      </c>
      <c r="Z107" s="116"/>
      <c r="AB107" s="116"/>
      <c r="AF107" s="116"/>
    </row>
    <row r="108" spans="1:32">
      <c r="A108">
        <f>'All Girls &amp; Descendants'!B106</f>
        <v>116</v>
      </c>
      <c r="B108" t="str">
        <f>'All Girls &amp; Descendants'!C106</f>
        <v>116c</v>
      </c>
      <c r="C108" t="str">
        <f>'All Girls &amp; Descendants'!D106</f>
        <v>CLULOW</v>
      </c>
      <c r="D108" t="str">
        <f>'All Girls &amp; Descendants'!E106</f>
        <v>Clare</v>
      </c>
      <c r="E108" t="str">
        <f>IF('All Girls &amp; Descendants'!F106="","",'All Girls &amp; Descendants'!F106)</f>
        <v/>
      </c>
      <c r="F108" t="str">
        <f>IF('All Girls &amp; Descendants'!G106="","",'All Girls &amp; Descendants'!G106)</f>
        <v/>
      </c>
      <c r="G108" t="str">
        <f>IF('All Girls &amp; Descendants'!H106="",D108,'All Girls &amp; Descendants'!H106)</f>
        <v>Clare</v>
      </c>
      <c r="H108">
        <f>'All Girls &amp; Descendants'!I106</f>
        <v>1973</v>
      </c>
      <c r="I108" t="str">
        <f>'All Girls &amp; Descendants'!J106</f>
        <v/>
      </c>
      <c r="J108">
        <f>'All Girls &amp; Descendants'!K106</f>
        <v>0</v>
      </c>
      <c r="K108" s="7">
        <f>'All Girls &amp; Descendants'!M106</f>
        <v>26753</v>
      </c>
      <c r="L108" t="str">
        <f>'All Girls &amp; Descendants'!N106</f>
        <v xml:space="preserve"> - </v>
      </c>
      <c r="M108" t="str">
        <f>'All Girls &amp; Descendants'!O106</f>
        <v/>
      </c>
      <c r="N108" t="str">
        <f>'All Girls &amp; Descendants'!P106</f>
        <v/>
      </c>
      <c r="O108" t="str">
        <f>'All Girls &amp; Descendants'!Q106</f>
        <v>116</v>
      </c>
      <c r="P108" t="str">
        <f t="shared" si="44"/>
        <v>116c</v>
      </c>
      <c r="Q108" s="116">
        <f t="shared" si="45"/>
        <v>1</v>
      </c>
      <c r="R108" s="31" t="str">
        <f t="shared" si="46"/>
        <v>Clare   CLULOW</v>
      </c>
      <c r="S108" s="31" t="str">
        <f t="shared" si="47"/>
        <v>Clare CLULOW (1973 -: #116c)</v>
      </c>
      <c r="U108" s="117">
        <f t="shared" si="48"/>
        <v>10613</v>
      </c>
      <c r="V108" t="s">
        <v>1667</v>
      </c>
      <c r="W108" s="116">
        <f t="shared" si="50"/>
        <v>106</v>
      </c>
      <c r="X108" s="116" t="str">
        <f t="shared" si="51"/>
        <v>a</v>
      </c>
      <c r="Y108" s="116" t="str">
        <f t="shared" si="49"/>
        <v>c</v>
      </c>
      <c r="Z108" s="116"/>
      <c r="AB108" s="116"/>
      <c r="AF108" s="116"/>
    </row>
    <row r="109" spans="1:32">
      <c r="A109">
        <f>'All Girls &amp; Descendants'!B107</f>
        <v>123</v>
      </c>
      <c r="B109" t="str">
        <f>'All Girls &amp; Descendants'!C107</f>
        <v>123a</v>
      </c>
      <c r="C109" t="str">
        <f>'All Girls &amp; Descendants'!D107</f>
        <v>BOSMAN</v>
      </c>
      <c r="D109" t="str">
        <f>'All Girls &amp; Descendants'!E107</f>
        <v>Katharine</v>
      </c>
      <c r="E109" t="str">
        <f>IF('All Girls &amp; Descendants'!F107="","",'All Girls &amp; Descendants'!F107)</f>
        <v>Jane</v>
      </c>
      <c r="F109" t="str">
        <f>IF('All Girls &amp; Descendants'!G107="","",'All Girls &amp; Descendants'!G107)</f>
        <v>Loyd</v>
      </c>
      <c r="G109" t="str">
        <f>IF('All Girls &amp; Descendants'!H107="",D109,'All Girls &amp; Descendants'!H107)</f>
        <v>Katharine</v>
      </c>
      <c r="H109">
        <f>'All Girls &amp; Descendants'!I107</f>
        <v>1978</v>
      </c>
      <c r="I109" t="str">
        <f>'All Girls &amp; Descendants'!J107</f>
        <v/>
      </c>
      <c r="J109">
        <f>'All Girls &amp; Descendants'!K107</f>
        <v>0</v>
      </c>
      <c r="K109" s="7">
        <f>'All Girls &amp; Descendants'!M107</f>
        <v>28739</v>
      </c>
      <c r="L109" t="str">
        <f>'All Girls &amp; Descendants'!N107</f>
        <v xml:space="preserve"> - </v>
      </c>
      <c r="M109" t="str">
        <f>'All Girls &amp; Descendants'!O107</f>
        <v/>
      </c>
      <c r="N109" t="str">
        <f>'All Girls &amp; Descendants'!P107</f>
        <v/>
      </c>
      <c r="O109" t="str">
        <f>'All Girls &amp; Descendants'!Q107</f>
        <v>123</v>
      </c>
      <c r="P109" t="str">
        <f t="shared" si="44"/>
        <v>123a</v>
      </c>
      <c r="Q109" s="116">
        <f t="shared" si="45"/>
        <v>1</v>
      </c>
      <c r="R109" s="31" t="str">
        <f t="shared" si="46"/>
        <v>Katharine Jane Loyd BOSMAN</v>
      </c>
      <c r="S109" s="31" t="str">
        <f t="shared" si="47"/>
        <v>Katharine BOSMAN (1978 -: #123a)</v>
      </c>
      <c r="U109" s="117">
        <f t="shared" si="48"/>
        <v>10614</v>
      </c>
      <c r="V109" t="s">
        <v>1668</v>
      </c>
      <c r="W109" s="116">
        <f t="shared" si="50"/>
        <v>106</v>
      </c>
      <c r="X109" s="116" t="str">
        <f t="shared" si="51"/>
        <v>a</v>
      </c>
      <c r="Y109" s="116" t="str">
        <f t="shared" si="49"/>
        <v>d</v>
      </c>
      <c r="Z109" s="116"/>
      <c r="AB109" s="116"/>
      <c r="AF109" s="116"/>
    </row>
    <row r="110" spans="1:32">
      <c r="A110">
        <f>'All Girls &amp; Descendants'!B108</f>
        <v>123</v>
      </c>
      <c r="B110" t="str">
        <f>'All Girls &amp; Descendants'!C108</f>
        <v>123b</v>
      </c>
      <c r="C110" t="str">
        <f>'All Girls &amp; Descendants'!D108</f>
        <v>BOSMAN</v>
      </c>
      <c r="D110" t="str">
        <f>'All Girls &amp; Descendants'!E108</f>
        <v>Adam</v>
      </c>
      <c r="E110" t="str">
        <f>IF('All Girls &amp; Descendants'!F108="","",'All Girls &amp; Descendants'!F108)</f>
        <v>Terrence</v>
      </c>
      <c r="F110" t="str">
        <f>IF('All Girls &amp; Descendants'!G108="","",'All Girls &amp; Descendants'!G108)</f>
        <v>Loyd</v>
      </c>
      <c r="G110" t="str">
        <f>IF('All Girls &amp; Descendants'!H108="",D110,'All Girls &amp; Descendants'!H108)</f>
        <v>Adam</v>
      </c>
      <c r="H110">
        <f>'All Girls &amp; Descendants'!I108</f>
        <v>1980</v>
      </c>
      <c r="I110" t="str">
        <f>'All Girls &amp; Descendants'!J108</f>
        <v/>
      </c>
      <c r="J110">
        <f>'All Girls &amp; Descendants'!K108</f>
        <v>0</v>
      </c>
      <c r="K110" s="7">
        <f>'All Girls &amp; Descendants'!M108</f>
        <v>29571</v>
      </c>
      <c r="L110" t="str">
        <f>'All Girls &amp; Descendants'!N108</f>
        <v xml:space="preserve"> - </v>
      </c>
      <c r="M110" t="str">
        <f>'All Girls &amp; Descendants'!O108</f>
        <v/>
      </c>
      <c r="N110" t="str">
        <f>'All Girls &amp; Descendants'!P108</f>
        <v/>
      </c>
      <c r="O110" t="str">
        <f>'All Girls &amp; Descendants'!Q108</f>
        <v>123</v>
      </c>
      <c r="P110" t="str">
        <f t="shared" si="44"/>
        <v>123b</v>
      </c>
      <c r="Q110" s="116">
        <f t="shared" si="45"/>
        <v>1</v>
      </c>
      <c r="R110" s="31" t="str">
        <f t="shared" si="46"/>
        <v>Adam Terrence Loyd BOSMAN</v>
      </c>
      <c r="S110" s="31" t="str">
        <f t="shared" si="47"/>
        <v>Adam BOSMAN (1980 -: #123b)</v>
      </c>
      <c r="U110" s="117">
        <f t="shared" si="48"/>
        <v>10621</v>
      </c>
      <c r="V110" t="s">
        <v>1675</v>
      </c>
      <c r="W110" s="116">
        <f t="shared" si="50"/>
        <v>106</v>
      </c>
      <c r="X110" s="116" t="str">
        <f t="shared" si="51"/>
        <v>b</v>
      </c>
      <c r="Y110" s="116" t="str">
        <f t="shared" si="49"/>
        <v>a</v>
      </c>
      <c r="Z110" s="116"/>
      <c r="AB110" s="116"/>
      <c r="AF110" s="116"/>
    </row>
    <row r="111" spans="1:32">
      <c r="A111">
        <f>'All Girls &amp; Descendants'!B109</f>
        <v>125</v>
      </c>
      <c r="B111" t="str">
        <f>'All Girls &amp; Descendants'!C109</f>
        <v>125a</v>
      </c>
      <c r="C111" t="str">
        <f>'All Girls &amp; Descendants'!D109</f>
        <v>HAWKEY</v>
      </c>
      <c r="D111" t="str">
        <f>'All Girls &amp; Descendants'!E109</f>
        <v>Bryan</v>
      </c>
      <c r="E111" t="str">
        <f>IF('All Girls &amp; Descendants'!F109="","",'All Girls &amp; Descendants'!F109)</f>
        <v>Patrick</v>
      </c>
      <c r="F111" t="str">
        <f>IF('All Girls &amp; Descendants'!G109="","",'All Girls &amp; Descendants'!G109)</f>
        <v/>
      </c>
      <c r="G111" t="str">
        <f>IF('All Girls &amp; Descendants'!H109="",D111,'All Girls &amp; Descendants'!H109)</f>
        <v>Bryan</v>
      </c>
      <c r="H111">
        <f>'All Girls &amp; Descendants'!I109</f>
        <v>1976</v>
      </c>
      <c r="I111" t="str">
        <f>'All Girls &amp; Descendants'!J109</f>
        <v/>
      </c>
      <c r="J111">
        <f>'All Girls &amp; Descendants'!K109</f>
        <v>0</v>
      </c>
      <c r="K111" s="7">
        <f>'All Girls &amp; Descendants'!M109</f>
        <v>27964</v>
      </c>
      <c r="L111" t="str">
        <f>'All Girls &amp; Descendants'!N109</f>
        <v xml:space="preserve"> - </v>
      </c>
      <c r="M111" t="str">
        <f>'All Girls &amp; Descendants'!O109</f>
        <v/>
      </c>
      <c r="N111" t="str">
        <f>'All Girls &amp; Descendants'!P109</f>
        <v/>
      </c>
      <c r="O111" t="str">
        <f>'All Girls &amp; Descendants'!Q109</f>
        <v>125</v>
      </c>
      <c r="P111" t="str">
        <f t="shared" si="44"/>
        <v>125a</v>
      </c>
      <c r="Q111" s="116">
        <f t="shared" si="45"/>
        <v>1</v>
      </c>
      <c r="R111" s="31" t="str">
        <f t="shared" si="46"/>
        <v>Bryan Patrick  HAWKEY</v>
      </c>
      <c r="S111" s="31" t="str">
        <f t="shared" si="47"/>
        <v>Bryan HAWKEY (1976 -: #125a)</v>
      </c>
      <c r="U111" s="117">
        <f t="shared" si="48"/>
        <v>10622</v>
      </c>
      <c r="V111" t="s">
        <v>1678</v>
      </c>
      <c r="W111" s="116">
        <f t="shared" si="50"/>
        <v>106</v>
      </c>
      <c r="X111" s="116" t="str">
        <f t="shared" si="51"/>
        <v>b</v>
      </c>
      <c r="Y111" s="116" t="str">
        <f t="shared" si="49"/>
        <v>b</v>
      </c>
      <c r="Z111" s="116"/>
      <c r="AB111" s="116"/>
      <c r="AF111" s="116"/>
    </row>
    <row r="112" spans="1:32">
      <c r="A112">
        <f>'All Girls &amp; Descendants'!B110</f>
        <v>125</v>
      </c>
      <c r="B112" t="str">
        <f>'All Girls &amp; Descendants'!C110</f>
        <v>125b</v>
      </c>
      <c r="C112" t="str">
        <f>'All Girls &amp; Descendants'!D110</f>
        <v>HAWKEY</v>
      </c>
      <c r="D112" t="str">
        <f>'All Girls &amp; Descendants'!E110</f>
        <v>Allison</v>
      </c>
      <c r="E112" t="str">
        <f>IF('All Girls &amp; Descendants'!F110="","",'All Girls &amp; Descendants'!F110)</f>
        <v>Mary</v>
      </c>
      <c r="F112" t="str">
        <f>IF('All Girls &amp; Descendants'!G110="","",'All Girls &amp; Descendants'!G110)</f>
        <v/>
      </c>
      <c r="G112" t="str">
        <f>IF('All Girls &amp; Descendants'!H110="",D112,'All Girls &amp; Descendants'!H110)</f>
        <v>Allison</v>
      </c>
      <c r="H112">
        <f>'All Girls &amp; Descendants'!I110</f>
        <v>1978</v>
      </c>
      <c r="I112" t="str">
        <f>'All Girls &amp; Descendants'!J110</f>
        <v/>
      </c>
      <c r="J112">
        <f>'All Girls &amp; Descendants'!K110</f>
        <v>0</v>
      </c>
      <c r="K112" s="7">
        <f>'All Girls &amp; Descendants'!M110</f>
        <v>28633</v>
      </c>
      <c r="L112" t="str">
        <f>'All Girls &amp; Descendants'!N110</f>
        <v xml:space="preserve"> - </v>
      </c>
      <c r="M112" t="str">
        <f>'All Girls &amp; Descendants'!O110</f>
        <v/>
      </c>
      <c r="N112" t="str">
        <f>'All Girls &amp; Descendants'!P110</f>
        <v/>
      </c>
      <c r="O112" t="str">
        <f>'All Girls &amp; Descendants'!Q110</f>
        <v>125</v>
      </c>
      <c r="P112" t="str">
        <f t="shared" si="44"/>
        <v>125b</v>
      </c>
      <c r="Q112" s="116">
        <f t="shared" si="45"/>
        <v>1</v>
      </c>
      <c r="R112" s="31" t="str">
        <f t="shared" si="46"/>
        <v>Allison Mary  HAWKEY</v>
      </c>
      <c r="S112" s="31" t="str">
        <f t="shared" si="47"/>
        <v>Allison HAWKEY (1978 -: #125b)</v>
      </c>
      <c r="U112" s="117">
        <f t="shared" si="48"/>
        <v>10711</v>
      </c>
      <c r="V112" t="s">
        <v>1686</v>
      </c>
      <c r="W112" s="116">
        <f t="shared" si="50"/>
        <v>107</v>
      </c>
      <c r="X112" s="116" t="str">
        <f t="shared" si="51"/>
        <v>a</v>
      </c>
      <c r="Y112" s="116" t="str">
        <f t="shared" si="49"/>
        <v>a</v>
      </c>
      <c r="Z112" s="116"/>
      <c r="AB112" s="116"/>
      <c r="AF112" s="116"/>
    </row>
    <row r="113" spans="1:32">
      <c r="A113">
        <f>'All Girls &amp; Descendants'!B111</f>
        <v>128</v>
      </c>
      <c r="B113" t="str">
        <f>'All Girls &amp; Descendants'!C111</f>
        <v>128a</v>
      </c>
      <c r="C113" t="str">
        <f>'All Girls &amp; Descendants'!D111</f>
        <v>PEMBERTON</v>
      </c>
      <c r="D113" t="str">
        <f>'All Girls &amp; Descendants'!E111</f>
        <v>Chloe</v>
      </c>
      <c r="E113" t="str">
        <f>IF('All Girls &amp; Descendants'!F111="","",'All Girls &amp; Descendants'!F111)</f>
        <v>Louise</v>
      </c>
      <c r="F113" t="str">
        <f>IF('All Girls &amp; Descendants'!G111="","",'All Girls &amp; Descendants'!G111)</f>
        <v/>
      </c>
      <c r="G113" t="str">
        <f>IF('All Girls &amp; Descendants'!H111="",D113,'All Girls &amp; Descendants'!H111)</f>
        <v>Chloe</v>
      </c>
      <c r="H113">
        <f>'All Girls &amp; Descendants'!I111</f>
        <v>1991</v>
      </c>
      <c r="I113" t="str">
        <f>'All Girls &amp; Descendants'!J111</f>
        <v/>
      </c>
      <c r="J113">
        <f>'All Girls &amp; Descendants'!K111</f>
        <v>0</v>
      </c>
      <c r="K113" s="7">
        <f>'All Girls &amp; Descendants'!M111</f>
        <v>33242</v>
      </c>
      <c r="L113" t="str">
        <f>'All Girls &amp; Descendants'!N111</f>
        <v xml:space="preserve"> - </v>
      </c>
      <c r="M113" t="str">
        <f>'All Girls &amp; Descendants'!O111</f>
        <v/>
      </c>
      <c r="N113" t="str">
        <f>'All Girls &amp; Descendants'!P111</f>
        <v/>
      </c>
      <c r="O113" t="str">
        <f>'All Girls &amp; Descendants'!Q111</f>
        <v>128</v>
      </c>
      <c r="P113" t="str">
        <f t="shared" si="44"/>
        <v>128a</v>
      </c>
      <c r="Q113" s="116">
        <f t="shared" si="45"/>
        <v>1</v>
      </c>
      <c r="R113" s="31" t="str">
        <f t="shared" si="46"/>
        <v>Chloe Louise  PEMBERTON</v>
      </c>
      <c r="S113" s="31" t="str">
        <f t="shared" si="47"/>
        <v>Chloe PEMBERTON (1991 -: #128a)</v>
      </c>
      <c r="U113" s="117">
        <f t="shared" si="48"/>
        <v>10712</v>
      </c>
      <c r="V113" t="s">
        <v>3263</v>
      </c>
      <c r="W113" s="116">
        <f t="shared" si="50"/>
        <v>107</v>
      </c>
      <c r="X113" s="116" t="str">
        <f t="shared" si="51"/>
        <v>a</v>
      </c>
      <c r="Y113" s="116" t="str">
        <f t="shared" si="49"/>
        <v>b</v>
      </c>
      <c r="Z113" s="116"/>
      <c r="AB113" s="116"/>
      <c r="AF113" s="116"/>
    </row>
    <row r="114" spans="1:32">
      <c r="A114">
        <f>'All Girls &amp; Descendants'!B112</f>
        <v>128</v>
      </c>
      <c r="B114" t="str">
        <f>'All Girls &amp; Descendants'!C112</f>
        <v>128b</v>
      </c>
      <c r="C114" t="str">
        <f>'All Girls &amp; Descendants'!D112</f>
        <v>PEMBERTON</v>
      </c>
      <c r="D114" t="str">
        <f>'All Girls &amp; Descendants'!E112</f>
        <v>Kate</v>
      </c>
      <c r="E114" t="str">
        <f>IF('All Girls &amp; Descendants'!F112="","",'All Girls &amp; Descendants'!F112)</f>
        <v>Isobel</v>
      </c>
      <c r="F114" t="str">
        <f>IF('All Girls &amp; Descendants'!G112="","",'All Girls &amp; Descendants'!G112)</f>
        <v/>
      </c>
      <c r="G114" t="str">
        <f>IF('All Girls &amp; Descendants'!H112="",D114,'All Girls &amp; Descendants'!H112)</f>
        <v>Kate</v>
      </c>
      <c r="H114">
        <f>'All Girls &amp; Descendants'!I112</f>
        <v>1993</v>
      </c>
      <c r="I114" t="str">
        <f>'All Girls &amp; Descendants'!J112</f>
        <v/>
      </c>
      <c r="J114">
        <f>'All Girls &amp; Descendants'!K112</f>
        <v>0</v>
      </c>
      <c r="K114" s="7">
        <f>'All Girls &amp; Descendants'!M112</f>
        <v>34194</v>
      </c>
      <c r="L114" t="str">
        <f>'All Girls &amp; Descendants'!N112</f>
        <v xml:space="preserve"> - </v>
      </c>
      <c r="M114" t="str">
        <f>'All Girls &amp; Descendants'!O112</f>
        <v/>
      </c>
      <c r="N114" t="str">
        <f>'All Girls &amp; Descendants'!P112</f>
        <v/>
      </c>
      <c r="O114" t="str">
        <f>'All Girls &amp; Descendants'!Q112</f>
        <v>128</v>
      </c>
      <c r="P114" t="str">
        <f t="shared" si="44"/>
        <v>128b</v>
      </c>
      <c r="Q114" s="116">
        <f t="shared" si="45"/>
        <v>1</v>
      </c>
      <c r="R114" s="31" t="str">
        <f t="shared" si="46"/>
        <v>Kate Isobel  PEMBERTON</v>
      </c>
      <c r="S114" s="31" t="str">
        <f t="shared" si="47"/>
        <v>Kate PEMBERTON (1993 -: #128b)</v>
      </c>
      <c r="U114" s="117">
        <f t="shared" si="48"/>
        <v>10713</v>
      </c>
      <c r="V114" t="s">
        <v>3264</v>
      </c>
      <c r="W114" s="116">
        <f t="shared" si="50"/>
        <v>107</v>
      </c>
      <c r="X114" s="116" t="str">
        <f t="shared" si="51"/>
        <v>a</v>
      </c>
      <c r="Y114" s="116" t="str">
        <f t="shared" si="49"/>
        <v>c</v>
      </c>
      <c r="Z114" s="116"/>
      <c r="AB114" s="116"/>
      <c r="AF114" s="116"/>
    </row>
    <row r="115" spans="1:32">
      <c r="A115">
        <f>'All Girls &amp; Descendants'!B113</f>
        <v>137</v>
      </c>
      <c r="B115" t="str">
        <f>'All Girls &amp; Descendants'!C113</f>
        <v>137a</v>
      </c>
      <c r="C115" t="str">
        <f>'All Girls &amp; Descendants'!D113</f>
        <v>GELL</v>
      </c>
      <c r="D115" t="str">
        <f>'All Girls &amp; Descendants'!E113</f>
        <v>Honor</v>
      </c>
      <c r="E115" t="str">
        <f>IF('All Girls &amp; Descendants'!F113="","",'All Girls &amp; Descendants'!F113)</f>
        <v>Constance</v>
      </c>
      <c r="F115" t="str">
        <f>IF('All Girls &amp; Descendants'!G113="","",'All Girls &amp; Descendants'!G113)</f>
        <v>Virginia</v>
      </c>
      <c r="G115" t="str">
        <f>IF('All Girls &amp; Descendants'!H113="",D115,'All Girls &amp; Descendants'!H113)</f>
        <v>Honor</v>
      </c>
      <c r="H115">
        <f>'All Girls &amp; Descendants'!I113</f>
        <v>1998</v>
      </c>
      <c r="I115" t="str">
        <f>'All Girls &amp; Descendants'!J113</f>
        <v/>
      </c>
      <c r="J115">
        <f>'All Girls &amp; Descendants'!K113</f>
        <v>0</v>
      </c>
      <c r="K115" s="7">
        <f>'All Girls &amp; Descendants'!M113</f>
        <v>36097</v>
      </c>
      <c r="L115" t="str">
        <f>'All Girls &amp; Descendants'!N113</f>
        <v xml:space="preserve"> - </v>
      </c>
      <c r="M115" t="str">
        <f>'All Girls &amp; Descendants'!O113</f>
        <v/>
      </c>
      <c r="N115" t="str">
        <f>'All Girls &amp; Descendants'!P113</f>
        <v/>
      </c>
      <c r="O115" t="str">
        <f>'All Girls &amp; Descendants'!Q113</f>
        <v>137</v>
      </c>
      <c r="P115" t="str">
        <f t="shared" si="44"/>
        <v>137a</v>
      </c>
      <c r="Q115" s="116">
        <f t="shared" si="45"/>
        <v>1</v>
      </c>
      <c r="R115" s="31" t="str">
        <f t="shared" si="46"/>
        <v>Honor Constance Virginia GELL</v>
      </c>
      <c r="S115" s="31" t="str">
        <f t="shared" si="47"/>
        <v>Honor GELL (1998 -: #137a)</v>
      </c>
      <c r="U115" s="117">
        <f t="shared" si="48"/>
        <v>10714</v>
      </c>
      <c r="V115" t="s">
        <v>1694</v>
      </c>
      <c r="W115" s="116">
        <f t="shared" si="50"/>
        <v>107</v>
      </c>
      <c r="X115" s="116" t="str">
        <f t="shared" si="51"/>
        <v>a</v>
      </c>
      <c r="Y115" s="116" t="str">
        <f t="shared" si="49"/>
        <v>d</v>
      </c>
      <c r="Z115" s="116"/>
      <c r="AB115" s="116"/>
      <c r="AF115" s="116"/>
    </row>
    <row r="116" spans="1:32">
      <c r="A116">
        <f>'All Girls &amp; Descendants'!B114</f>
        <v>140</v>
      </c>
      <c r="B116" t="str">
        <f>'All Girls &amp; Descendants'!C114</f>
        <v>140a</v>
      </c>
      <c r="C116" t="str">
        <f>'All Girls &amp; Descendants'!D114</f>
        <v>MILLER</v>
      </c>
      <c r="D116" t="str">
        <f>'All Girls &amp; Descendants'!E114</f>
        <v>Daisy</v>
      </c>
      <c r="E116" t="str">
        <f>IF('All Girls &amp; Descendants'!F114="","",'All Girls &amp; Descendants'!F114)</f>
        <v>Elizabeth</v>
      </c>
      <c r="F116" t="str">
        <f>IF('All Girls &amp; Descendants'!G114="","",'All Girls &amp; Descendants'!G114)</f>
        <v/>
      </c>
      <c r="G116" t="str">
        <f>IF('All Girls &amp; Descendants'!H114="",D116,'All Girls &amp; Descendants'!H114)</f>
        <v>Daisy</v>
      </c>
      <c r="H116">
        <f>'All Girls &amp; Descendants'!I114</f>
        <v>1995</v>
      </c>
      <c r="I116" t="str">
        <f>'All Girls &amp; Descendants'!J114</f>
        <v/>
      </c>
      <c r="J116">
        <f>'All Girls &amp; Descendants'!K114</f>
        <v>0</v>
      </c>
      <c r="K116" s="7">
        <f>'All Girls &amp; Descendants'!M114</f>
        <v>34702</v>
      </c>
      <c r="L116" t="str">
        <f>'All Girls &amp; Descendants'!N114</f>
        <v xml:space="preserve"> - </v>
      </c>
      <c r="M116" t="str">
        <f>'All Girls &amp; Descendants'!O114</f>
        <v/>
      </c>
      <c r="N116" t="str">
        <f>'All Girls &amp; Descendants'!P114</f>
        <v/>
      </c>
      <c r="O116" t="str">
        <f>'All Girls &amp; Descendants'!Q114</f>
        <v>140</v>
      </c>
      <c r="P116" t="str">
        <f t="shared" si="44"/>
        <v>140a</v>
      </c>
      <c r="Q116" s="116">
        <f t="shared" si="45"/>
        <v>1</v>
      </c>
      <c r="R116" s="31" t="str">
        <f t="shared" si="46"/>
        <v>Daisy Elizabeth  MILLER</v>
      </c>
      <c r="S116" s="31" t="str">
        <f t="shared" si="47"/>
        <v>Daisy MILLER (1995 -: #140a)</v>
      </c>
      <c r="U116" s="117">
        <f t="shared" si="48"/>
        <v>10721</v>
      </c>
      <c r="V116" t="s">
        <v>1699</v>
      </c>
      <c r="W116" s="116">
        <f t="shared" si="50"/>
        <v>107</v>
      </c>
      <c r="X116" s="116" t="str">
        <f t="shared" si="51"/>
        <v>b</v>
      </c>
      <c r="Y116" s="116" t="str">
        <f t="shared" si="49"/>
        <v>a</v>
      </c>
      <c r="Z116" s="116"/>
      <c r="AB116" s="116"/>
      <c r="AF116" s="116"/>
    </row>
    <row r="117" spans="1:32">
      <c r="A117">
        <f>'All Girls &amp; Descendants'!B115</f>
        <v>140</v>
      </c>
      <c r="B117" t="str">
        <f>'All Girls &amp; Descendants'!C115</f>
        <v>140b</v>
      </c>
      <c r="C117" t="str">
        <f>'All Girls &amp; Descendants'!D115</f>
        <v>MILLER</v>
      </c>
      <c r="D117" t="str">
        <f>'All Girls &amp; Descendants'!E115</f>
        <v>Violet</v>
      </c>
      <c r="E117" t="str">
        <f>IF('All Girls &amp; Descendants'!F115="","",'All Girls &amp; Descendants'!F115)</f>
        <v>Emma</v>
      </c>
      <c r="F117" t="str">
        <f>IF('All Girls &amp; Descendants'!G115="","",'All Girls &amp; Descendants'!G115)</f>
        <v/>
      </c>
      <c r="G117" t="str">
        <f>IF('All Girls &amp; Descendants'!H115="",D117,'All Girls &amp; Descendants'!H115)</f>
        <v>Violet</v>
      </c>
      <c r="H117">
        <f>'All Girls &amp; Descendants'!I115</f>
        <v>1995</v>
      </c>
      <c r="I117" t="str">
        <f>'All Girls &amp; Descendants'!J115</f>
        <v/>
      </c>
      <c r="J117">
        <f>'All Girls &amp; Descendants'!K115</f>
        <v>0</v>
      </c>
      <c r="K117" s="7">
        <f>'All Girls &amp; Descendants'!M115</f>
        <v>34702</v>
      </c>
      <c r="L117" t="str">
        <f>'All Girls &amp; Descendants'!N115</f>
        <v xml:space="preserve"> - </v>
      </c>
      <c r="M117" t="str">
        <f>'All Girls &amp; Descendants'!O115</f>
        <v/>
      </c>
      <c r="N117" t="str">
        <f>'All Girls &amp; Descendants'!P115</f>
        <v/>
      </c>
      <c r="O117" t="str">
        <f>'All Girls &amp; Descendants'!Q115</f>
        <v>140</v>
      </c>
      <c r="P117" t="str">
        <f t="shared" si="44"/>
        <v>140b</v>
      </c>
      <c r="Q117" s="116">
        <f t="shared" si="45"/>
        <v>1</v>
      </c>
      <c r="R117" s="31" t="str">
        <f t="shared" si="46"/>
        <v>Violet Emma  MILLER</v>
      </c>
      <c r="S117" s="31" t="str">
        <f t="shared" si="47"/>
        <v>Violet MILLER (1995 -: #140b)</v>
      </c>
      <c r="U117" s="117">
        <f t="shared" si="48"/>
        <v>10722</v>
      </c>
      <c r="V117" t="s">
        <v>1700</v>
      </c>
      <c r="W117" s="116">
        <f t="shared" si="50"/>
        <v>107</v>
      </c>
      <c r="X117" s="116" t="str">
        <f t="shared" si="51"/>
        <v>b</v>
      </c>
      <c r="Y117" s="116" t="str">
        <f t="shared" si="49"/>
        <v>b</v>
      </c>
      <c r="Z117" s="116"/>
      <c r="AB117" s="116"/>
      <c r="AF117" s="116"/>
    </row>
    <row r="118" spans="1:32">
      <c r="A118">
        <f>'All Girls &amp; Descendants'!B116</f>
        <v>141</v>
      </c>
      <c r="B118" t="str">
        <f>'All Girls &amp; Descendants'!C116</f>
        <v>141a</v>
      </c>
      <c r="C118" t="str">
        <f>'All Girls &amp; Descendants'!D116</f>
        <v>BYATT</v>
      </c>
      <c r="D118" t="str">
        <f>'All Girls &amp; Descendants'!E116</f>
        <v>Letitia</v>
      </c>
      <c r="E118" t="str">
        <f>IF('All Girls &amp; Descendants'!F116="","",'All Girls &amp; Descendants'!F116)</f>
        <v>May</v>
      </c>
      <c r="F118" t="str">
        <f>IF('All Girls &amp; Descendants'!G116="","",'All Girls &amp; Descendants'!G116)</f>
        <v>Rose Campbell</v>
      </c>
      <c r="G118" t="str">
        <f>IF('All Girls &amp; Descendants'!H116="",D118,'All Girls &amp; Descendants'!H116)</f>
        <v>Letty</v>
      </c>
      <c r="H118">
        <f>'All Girls &amp; Descendants'!I116</f>
        <v>1996</v>
      </c>
      <c r="I118" t="str">
        <f>'All Girls &amp; Descendants'!J116</f>
        <v/>
      </c>
      <c r="J118">
        <f>'All Girls &amp; Descendants'!K116</f>
        <v>0</v>
      </c>
      <c r="K118" s="7">
        <f>'All Girls &amp; Descendants'!M116</f>
        <v>35127</v>
      </c>
      <c r="L118" t="str">
        <f>'All Girls &amp; Descendants'!N116</f>
        <v xml:space="preserve"> - </v>
      </c>
      <c r="M118" t="str">
        <f>'All Girls &amp; Descendants'!O116</f>
        <v/>
      </c>
      <c r="N118" t="str">
        <f>'All Girls &amp; Descendants'!P116</f>
        <v/>
      </c>
      <c r="O118" t="str">
        <f>'All Girls &amp; Descendants'!Q116</f>
        <v>141</v>
      </c>
      <c r="P118" t="str">
        <f t="shared" si="44"/>
        <v>141a</v>
      </c>
      <c r="Q118" s="116">
        <f t="shared" si="45"/>
        <v>1</v>
      </c>
      <c r="R118" s="31" t="str">
        <f t="shared" si="46"/>
        <v>Letitia May Rose Campbell BYATT</v>
      </c>
      <c r="S118" s="31" t="str">
        <f t="shared" si="47"/>
        <v>Letty BYATT (1996 -: #141a)</v>
      </c>
      <c r="U118" s="117">
        <f t="shared" si="48"/>
        <v>10723</v>
      </c>
      <c r="V118" t="s">
        <v>1701</v>
      </c>
      <c r="W118" s="116">
        <f t="shared" si="50"/>
        <v>107</v>
      </c>
      <c r="X118" s="116" t="str">
        <f t="shared" si="51"/>
        <v>b</v>
      </c>
      <c r="Y118" s="116" t="str">
        <f t="shared" si="49"/>
        <v>c</v>
      </c>
      <c r="Z118" s="116"/>
      <c r="AB118" s="116"/>
      <c r="AF118" s="116"/>
    </row>
    <row r="119" spans="1:32">
      <c r="A119">
        <f>'All Girls &amp; Descendants'!B117</f>
        <v>141</v>
      </c>
      <c r="B119" t="str">
        <f>'All Girls &amp; Descendants'!C117</f>
        <v>141b</v>
      </c>
      <c r="C119" t="str">
        <f>'All Girls &amp; Descendants'!D117</f>
        <v>BYATT</v>
      </c>
      <c r="D119" t="str">
        <f>'All Girls &amp; Descendants'!E117</f>
        <v>Henry</v>
      </c>
      <c r="E119" t="str">
        <f>IF('All Girls &amp; Descendants'!F117="","",'All Girls &amp; Descendants'!F117)</f>
        <v>Hew</v>
      </c>
      <c r="F119" t="str">
        <f>IF('All Girls &amp; Descendants'!G117="","",'All Girls &amp; Descendants'!G117)</f>
        <v>Duncan Campbell</v>
      </c>
      <c r="G119" t="str">
        <f>IF('All Girls &amp; Descendants'!H117="",D119,'All Girls &amp; Descendants'!H117)</f>
        <v>Harry</v>
      </c>
      <c r="H119">
        <f>'All Girls &amp; Descendants'!I117</f>
        <v>1998</v>
      </c>
      <c r="I119">
        <f>'All Girls &amp; Descendants'!J117</f>
        <v>2017</v>
      </c>
      <c r="J119">
        <f>'All Girls &amp; Descendants'!K117</f>
        <v>0</v>
      </c>
      <c r="K119" s="7">
        <f>'All Girls &amp; Descendants'!M117</f>
        <v>35895</v>
      </c>
      <c r="L119" t="str">
        <f>'All Girls &amp; Descendants'!N117</f>
        <v xml:space="preserve"> - </v>
      </c>
      <c r="M119">
        <f>'All Girls &amp; Descendants'!O117</f>
        <v>42953</v>
      </c>
      <c r="N119" t="str">
        <f>'All Girls &amp; Descendants'!P117</f>
        <v>06/08/2017</v>
      </c>
      <c r="O119" t="str">
        <f>'All Girls &amp; Descendants'!Q117</f>
        <v>141</v>
      </c>
      <c r="P119" t="str">
        <f t="shared" si="44"/>
        <v>141b</v>
      </c>
      <c r="Q119" s="116">
        <f t="shared" si="45"/>
        <v>1</v>
      </c>
      <c r="R119" s="31" t="str">
        <f t="shared" si="46"/>
        <v>Henry Hew Duncan Campbell BYATT</v>
      </c>
      <c r="S119" s="31" t="str">
        <f t="shared" si="47"/>
        <v>Harry BYATT (1998 -2017: #141b)</v>
      </c>
      <c r="U119" s="117">
        <f t="shared" si="48"/>
        <v>10731</v>
      </c>
      <c r="V119" t="s">
        <v>1705</v>
      </c>
      <c r="W119" s="116">
        <f t="shared" si="50"/>
        <v>107</v>
      </c>
      <c r="X119" s="116" t="str">
        <f t="shared" si="51"/>
        <v>c</v>
      </c>
      <c r="Y119" s="116" t="str">
        <f t="shared" si="49"/>
        <v>a</v>
      </c>
      <c r="Z119" s="116"/>
      <c r="AB119" s="116"/>
      <c r="AF119" s="116"/>
    </row>
    <row r="120" spans="1:32">
      <c r="A120">
        <f>'All Girls &amp; Descendants'!B118</f>
        <v>143</v>
      </c>
      <c r="B120" t="str">
        <f>'All Girls &amp; Descendants'!C118</f>
        <v>143a</v>
      </c>
      <c r="C120" t="str">
        <f>'All Girls &amp; Descendants'!D118</f>
        <v>ASHE</v>
      </c>
      <c r="D120" t="str">
        <f>'All Girls &amp; Descendants'!E118</f>
        <v>Emily</v>
      </c>
      <c r="E120" t="str">
        <f>IF('All Girls &amp; Descendants'!F118="","",'All Girls &amp; Descendants'!F118)</f>
        <v>Harriert</v>
      </c>
      <c r="F120" t="str">
        <f>IF('All Girls &amp; Descendants'!G118="","",'All Girls &amp; Descendants'!G118)</f>
        <v/>
      </c>
      <c r="G120" t="str">
        <f>IF('All Girls &amp; Descendants'!H118="",D120,'All Girls &amp; Descendants'!H118)</f>
        <v>Emily</v>
      </c>
      <c r="H120">
        <f>'All Girls &amp; Descendants'!I118</f>
        <v>1988</v>
      </c>
      <c r="I120" t="str">
        <f>'All Girls &amp; Descendants'!J118</f>
        <v/>
      </c>
      <c r="J120">
        <f>'All Girls &amp; Descendants'!K118</f>
        <v>0</v>
      </c>
      <c r="K120" s="7">
        <f>'All Girls &amp; Descendants'!M118</f>
        <v>32181</v>
      </c>
      <c r="L120">
        <f>'All Girls &amp; Descendants'!N118</f>
        <v>42868</v>
      </c>
      <c r="M120" t="str">
        <f>'All Girls &amp; Descendants'!O118</f>
        <v/>
      </c>
      <c r="N120" t="str">
        <f>'All Girls &amp; Descendants'!P118</f>
        <v/>
      </c>
      <c r="O120" t="str">
        <f>'All Girls &amp; Descendants'!Q118</f>
        <v>143</v>
      </c>
      <c r="P120" t="str">
        <f t="shared" si="44"/>
        <v>143a</v>
      </c>
      <c r="Q120" s="116">
        <f t="shared" si="45"/>
        <v>1</v>
      </c>
      <c r="R120" s="31" t="str">
        <f t="shared" si="46"/>
        <v>Emily Harriert  ASHE</v>
      </c>
      <c r="S120" s="31" t="str">
        <f t="shared" si="47"/>
        <v>Emily ASHE (1988 -: #143a)</v>
      </c>
      <c r="U120" s="117">
        <f t="shared" si="48"/>
        <v>10732</v>
      </c>
      <c r="V120" t="s">
        <v>1709</v>
      </c>
      <c r="W120" s="116">
        <f t="shared" si="50"/>
        <v>107</v>
      </c>
      <c r="X120" s="116" t="str">
        <f t="shared" si="51"/>
        <v>c</v>
      </c>
      <c r="Y120" s="116" t="str">
        <f t="shared" si="49"/>
        <v>b</v>
      </c>
      <c r="Z120" s="116"/>
      <c r="AB120" s="116"/>
      <c r="AF120" s="116"/>
    </row>
    <row r="121" spans="1:32">
      <c r="A121">
        <f>'All Girls &amp; Descendants'!B119</f>
        <v>143</v>
      </c>
      <c r="B121" t="str">
        <f>'All Girls &amp; Descendants'!C119</f>
        <v>143b</v>
      </c>
      <c r="C121" t="str">
        <f>'All Girls &amp; Descendants'!D119</f>
        <v>ASHE</v>
      </c>
      <c r="D121" t="str">
        <f>'All Girls &amp; Descendants'!E119</f>
        <v>Charles</v>
      </c>
      <c r="E121" t="str">
        <f>IF('All Girls &amp; Descendants'!F119="","",'All Girls &amp; Descendants'!F119)</f>
        <v>Windham</v>
      </c>
      <c r="F121" t="str">
        <f>IF('All Girls &amp; Descendants'!G119="","",'All Girls &amp; Descendants'!G119)</f>
        <v/>
      </c>
      <c r="G121" t="str">
        <f>IF('All Girls &amp; Descendants'!H119="",D121,'All Girls &amp; Descendants'!H119)</f>
        <v>Charles</v>
      </c>
      <c r="H121">
        <f>'All Girls &amp; Descendants'!I119</f>
        <v>1990</v>
      </c>
      <c r="I121" t="str">
        <f>'All Girls &amp; Descendants'!J119</f>
        <v/>
      </c>
      <c r="J121">
        <f>'All Girls &amp; Descendants'!K119</f>
        <v>0</v>
      </c>
      <c r="K121" s="7">
        <f>'All Girls &amp; Descendants'!M119</f>
        <v>32974</v>
      </c>
      <c r="L121" t="str">
        <f>'All Girls &amp; Descendants'!N119</f>
        <v xml:space="preserve"> - </v>
      </c>
      <c r="M121" t="str">
        <f>'All Girls &amp; Descendants'!O119</f>
        <v/>
      </c>
      <c r="N121" t="str">
        <f>'All Girls &amp; Descendants'!P119</f>
        <v/>
      </c>
      <c r="O121" t="str">
        <f>'All Girls &amp; Descendants'!Q119</f>
        <v>143</v>
      </c>
      <c r="P121" t="str">
        <f t="shared" si="44"/>
        <v>143b</v>
      </c>
      <c r="Q121" s="116">
        <f t="shared" si="45"/>
        <v>1</v>
      </c>
      <c r="R121" s="31" t="str">
        <f t="shared" si="46"/>
        <v>Charles Windham  ASHE</v>
      </c>
      <c r="S121" s="31" t="str">
        <f t="shared" si="47"/>
        <v>Charles ASHE (1990 -: #143b)</v>
      </c>
      <c r="U121" s="117">
        <f t="shared" si="48"/>
        <v>10733</v>
      </c>
      <c r="V121" t="s">
        <v>1710</v>
      </c>
      <c r="W121" s="116">
        <f t="shared" si="50"/>
        <v>107</v>
      </c>
      <c r="X121" s="116" t="str">
        <f t="shared" si="51"/>
        <v>c</v>
      </c>
      <c r="Y121" s="116" t="str">
        <f t="shared" si="49"/>
        <v>c</v>
      </c>
      <c r="AF121" s="116"/>
    </row>
    <row r="122" spans="1:32">
      <c r="A122">
        <f>'All Girls &amp; Descendants'!B120</f>
        <v>152</v>
      </c>
      <c r="B122" t="str">
        <f>'All Girls &amp; Descendants'!C120</f>
        <v>152a</v>
      </c>
      <c r="C122" t="str">
        <f>'All Girls &amp; Descendants'!D120</f>
        <v>WHITCOMB</v>
      </c>
      <c r="D122" t="str">
        <f>'All Girls &amp; Descendants'!E120</f>
        <v>Clementine</v>
      </c>
      <c r="E122" t="str">
        <f>IF('All Girls &amp; Descendants'!F120="","",'All Girls &amp; Descendants'!F120)</f>
        <v/>
      </c>
      <c r="F122" t="str">
        <f>IF('All Girls &amp; Descendants'!G120="","",'All Girls &amp; Descendants'!G120)</f>
        <v/>
      </c>
      <c r="G122" t="str">
        <f>IF('All Girls &amp; Descendants'!H120="",D122,'All Girls &amp; Descendants'!H120)</f>
        <v>Clementine</v>
      </c>
      <c r="H122">
        <f>'All Girls &amp; Descendants'!I120</f>
        <v>1999</v>
      </c>
      <c r="I122" t="str">
        <f>'All Girls &amp; Descendants'!J120</f>
        <v/>
      </c>
      <c r="J122">
        <f>'All Girls &amp; Descendants'!K120</f>
        <v>0</v>
      </c>
      <c r="K122" s="7">
        <f>'All Girls &amp; Descendants'!M120</f>
        <v>36505</v>
      </c>
      <c r="L122" t="str">
        <f>'All Girls &amp; Descendants'!N120</f>
        <v xml:space="preserve"> - </v>
      </c>
      <c r="M122" t="str">
        <f>'All Girls &amp; Descendants'!O120</f>
        <v/>
      </c>
      <c r="N122" t="str">
        <f>'All Girls &amp; Descendants'!P120</f>
        <v/>
      </c>
      <c r="O122" t="str">
        <f>'All Girls &amp; Descendants'!Q120</f>
        <v>152</v>
      </c>
      <c r="P122" t="str">
        <f t="shared" si="44"/>
        <v>152a</v>
      </c>
      <c r="Q122" s="116">
        <f t="shared" si="45"/>
        <v>1</v>
      </c>
      <c r="R122" s="31" t="str">
        <f t="shared" si="46"/>
        <v>Clementine   WHITCOMB</v>
      </c>
      <c r="S122" s="31" t="str">
        <f t="shared" si="47"/>
        <v>Clementine WHITCOMB (1999 -: #152a)</v>
      </c>
      <c r="U122" s="117">
        <f t="shared" si="48"/>
        <v>10734</v>
      </c>
      <c r="V122" t="s">
        <v>3299</v>
      </c>
      <c r="W122" s="116">
        <f t="shared" si="50"/>
        <v>107</v>
      </c>
      <c r="X122" s="116" t="str">
        <f t="shared" si="51"/>
        <v>c</v>
      </c>
      <c r="Y122" s="116" t="str">
        <f t="shared" si="49"/>
        <v>d</v>
      </c>
      <c r="AF122" s="116"/>
    </row>
    <row r="123" spans="1:32">
      <c r="A123">
        <f>'All Girls &amp; Descendants'!B121</f>
        <v>152</v>
      </c>
      <c r="B123" t="str">
        <f>'All Girls &amp; Descendants'!C121</f>
        <v>152b</v>
      </c>
      <c r="C123" t="str">
        <f>'All Girls &amp; Descendants'!D121</f>
        <v>WHITCOMB</v>
      </c>
      <c r="D123" t="str">
        <f>'All Girls &amp; Descendants'!E121</f>
        <v>Augustin</v>
      </c>
      <c r="E123" t="str">
        <f>IF('All Girls &amp; Descendants'!F121="","",'All Girls &amp; Descendants'!F121)</f>
        <v/>
      </c>
      <c r="F123" t="str">
        <f>IF('All Girls &amp; Descendants'!G121="","",'All Girls &amp; Descendants'!G121)</f>
        <v/>
      </c>
      <c r="G123" t="str">
        <f>IF('All Girls &amp; Descendants'!H121="",D123,'All Girls &amp; Descendants'!H121)</f>
        <v>Augustin</v>
      </c>
      <c r="H123">
        <f>'All Girls &amp; Descendants'!I121</f>
        <v>2001</v>
      </c>
      <c r="I123" t="str">
        <f>'All Girls &amp; Descendants'!J121</f>
        <v/>
      </c>
      <c r="J123">
        <f>'All Girls &amp; Descendants'!K121</f>
        <v>0</v>
      </c>
      <c r="K123" s="7">
        <f>'All Girls &amp; Descendants'!M121</f>
        <v>36920</v>
      </c>
      <c r="L123" t="str">
        <f>'All Girls &amp; Descendants'!N121</f>
        <v xml:space="preserve"> - </v>
      </c>
      <c r="M123" t="str">
        <f>'All Girls &amp; Descendants'!O121</f>
        <v/>
      </c>
      <c r="N123" t="str">
        <f>'All Girls &amp; Descendants'!P121</f>
        <v/>
      </c>
      <c r="O123" t="str">
        <f>'All Girls &amp; Descendants'!Q121</f>
        <v>152</v>
      </c>
      <c r="P123" t="str">
        <f t="shared" si="44"/>
        <v>152b</v>
      </c>
      <c r="Q123" s="116">
        <f t="shared" si="45"/>
        <v>1</v>
      </c>
      <c r="R123" s="31" t="str">
        <f t="shared" si="46"/>
        <v>Augustin   WHITCOMB</v>
      </c>
      <c r="S123" s="31" t="str">
        <f t="shared" si="47"/>
        <v>Augustin WHITCOMB (2001 -: #152b)</v>
      </c>
      <c r="U123" s="117">
        <f t="shared" si="48"/>
        <v>10741</v>
      </c>
      <c r="V123" t="s">
        <v>1714</v>
      </c>
      <c r="W123" s="116">
        <f t="shared" si="50"/>
        <v>107</v>
      </c>
      <c r="X123" s="116" t="str">
        <f t="shared" si="51"/>
        <v>d</v>
      </c>
      <c r="Y123" s="116" t="str">
        <f t="shared" si="49"/>
        <v>a</v>
      </c>
      <c r="AF123" s="116"/>
    </row>
    <row r="124" spans="1:32">
      <c r="A124">
        <f>'All Girls &amp; Descendants'!B122</f>
        <v>154</v>
      </c>
      <c r="B124" t="str">
        <f>'All Girls &amp; Descendants'!C122</f>
        <v>154a</v>
      </c>
      <c r="C124" t="str">
        <f>'All Girls &amp; Descendants'!D122</f>
        <v>NEWING</v>
      </c>
      <c r="D124" t="str">
        <f>'All Girls &amp; Descendants'!E122</f>
        <v>Frederick</v>
      </c>
      <c r="E124" t="str">
        <f>IF('All Girls &amp; Descendants'!F122="","",'All Girls &amp; Descendants'!F122)</f>
        <v>Otto</v>
      </c>
      <c r="F124" t="str">
        <f>IF('All Girls &amp; Descendants'!G122="","",'All Girls &amp; Descendants'!G122)</f>
        <v/>
      </c>
      <c r="G124" t="str">
        <f>IF('All Girls &amp; Descendants'!H122="",D124,'All Girls &amp; Descendants'!H122)</f>
        <v>Freddie</v>
      </c>
      <c r="H124">
        <f>'All Girls &amp; Descendants'!I122</f>
        <v>2006</v>
      </c>
      <c r="I124" t="str">
        <f>'All Girls &amp; Descendants'!J122</f>
        <v/>
      </c>
      <c r="J124">
        <f>'All Girls &amp; Descendants'!K122</f>
        <v>0</v>
      </c>
      <c r="K124" s="7">
        <f>'All Girls &amp; Descendants'!M122</f>
        <v>38857</v>
      </c>
      <c r="L124" t="str">
        <f>'All Girls &amp; Descendants'!N122</f>
        <v xml:space="preserve"> - </v>
      </c>
      <c r="M124" t="str">
        <f>'All Girls &amp; Descendants'!O122</f>
        <v/>
      </c>
      <c r="N124" t="str">
        <f>'All Girls &amp; Descendants'!P122</f>
        <v/>
      </c>
      <c r="O124" t="str">
        <f>'All Girls &amp; Descendants'!Q122</f>
        <v>154</v>
      </c>
      <c r="P124" t="str">
        <f t="shared" si="44"/>
        <v>154a</v>
      </c>
      <c r="Q124" s="116">
        <f t="shared" si="45"/>
        <v>1</v>
      </c>
      <c r="R124" s="31" t="str">
        <f t="shared" si="46"/>
        <v>Frederick Otto  NEWING</v>
      </c>
      <c r="S124" s="31" t="str">
        <f t="shared" si="47"/>
        <v>Freddie NEWING (2006 -: #154a)</v>
      </c>
      <c r="U124" s="117">
        <f t="shared" si="48"/>
        <v>10742</v>
      </c>
      <c r="V124" t="s">
        <v>1715</v>
      </c>
      <c r="W124" s="116">
        <f t="shared" si="50"/>
        <v>107</v>
      </c>
      <c r="X124" s="116" t="str">
        <f t="shared" si="51"/>
        <v>d</v>
      </c>
      <c r="Y124" s="116" t="str">
        <f t="shared" si="49"/>
        <v>b</v>
      </c>
      <c r="AF124" s="116"/>
    </row>
    <row r="125" spans="1:32">
      <c r="A125">
        <f>'All Girls &amp; Descendants'!B123</f>
        <v>154</v>
      </c>
      <c r="B125" t="str">
        <f>'All Girls &amp; Descendants'!C123</f>
        <v>154b</v>
      </c>
      <c r="C125" t="str">
        <f>'All Girls &amp; Descendants'!D123</f>
        <v>NEWING</v>
      </c>
      <c r="D125" t="str">
        <f>'All Girls &amp; Descendants'!E123</f>
        <v>Henry</v>
      </c>
      <c r="E125" t="str">
        <f>IF('All Girls &amp; Descendants'!F123="","",'All Girls &amp; Descendants'!F123)</f>
        <v>Augustus</v>
      </c>
      <c r="F125" t="str">
        <f>IF('All Girls &amp; Descendants'!G123="","",'All Girls &amp; Descendants'!G123)</f>
        <v/>
      </c>
      <c r="G125" t="str">
        <f>IF('All Girls &amp; Descendants'!H123="",D125,'All Girls &amp; Descendants'!H123)</f>
        <v>Gus</v>
      </c>
      <c r="H125">
        <f>'All Girls &amp; Descendants'!I123</f>
        <v>2008</v>
      </c>
      <c r="I125" t="str">
        <f>'All Girls &amp; Descendants'!J123</f>
        <v/>
      </c>
      <c r="J125">
        <f>'All Girls &amp; Descendants'!K123</f>
        <v>0</v>
      </c>
      <c r="K125" s="7">
        <f>'All Girls &amp; Descendants'!M123</f>
        <v>39719</v>
      </c>
      <c r="L125" t="str">
        <f>'All Girls &amp; Descendants'!N123</f>
        <v xml:space="preserve"> - </v>
      </c>
      <c r="M125" t="str">
        <f>'All Girls &amp; Descendants'!O123</f>
        <v/>
      </c>
      <c r="N125" t="str">
        <f>'All Girls &amp; Descendants'!P123</f>
        <v/>
      </c>
      <c r="O125" t="str">
        <f>'All Girls &amp; Descendants'!Q123</f>
        <v>154</v>
      </c>
      <c r="P125" t="str">
        <f t="shared" si="44"/>
        <v>154b</v>
      </c>
      <c r="Q125" s="116">
        <f t="shared" si="45"/>
        <v>1</v>
      </c>
      <c r="R125" s="31" t="str">
        <f t="shared" si="46"/>
        <v>Henry Augustus  NEWING</v>
      </c>
      <c r="S125" s="31" t="str">
        <f t="shared" si="47"/>
        <v>Gus NEWING (2008 -: #154b)</v>
      </c>
      <c r="U125" s="117">
        <f t="shared" si="48"/>
        <v>10811</v>
      </c>
      <c r="V125" t="s">
        <v>1723</v>
      </c>
      <c r="W125" s="116">
        <f t="shared" si="50"/>
        <v>108</v>
      </c>
      <c r="X125" s="116" t="str">
        <f t="shared" si="51"/>
        <v>a</v>
      </c>
      <c r="Y125" s="116" t="str">
        <f t="shared" si="49"/>
        <v>a</v>
      </c>
      <c r="AF125" s="116"/>
    </row>
    <row r="126" spans="1:32">
      <c r="A126">
        <f>'All Girls &amp; Descendants'!B124</f>
        <v>154</v>
      </c>
      <c r="B126" t="str">
        <f>'All Girls &amp; Descendants'!C124</f>
        <v>154c</v>
      </c>
      <c r="C126" t="str">
        <f>'All Girls &amp; Descendants'!D124</f>
        <v>NEWING</v>
      </c>
      <c r="D126" t="str">
        <f>'All Girls &amp; Descendants'!E124</f>
        <v>Albert</v>
      </c>
      <c r="E126" t="str">
        <f>IF('All Girls &amp; Descendants'!F124="","",'All Girls &amp; Descendants'!F124)</f>
        <v/>
      </c>
      <c r="F126" t="str">
        <f>IF('All Girls &amp; Descendants'!G124="","",'All Girls &amp; Descendants'!G124)</f>
        <v/>
      </c>
      <c r="G126" t="str">
        <f>IF('All Girls &amp; Descendants'!H124="",D126,'All Girls &amp; Descendants'!H124)</f>
        <v>Albert</v>
      </c>
      <c r="H126">
        <f>'All Girls &amp; Descendants'!I124</f>
        <v>2015</v>
      </c>
      <c r="I126">
        <f>'All Girls &amp; Descendants'!J124</f>
        <v>2015</v>
      </c>
      <c r="J126">
        <f>'All Girls &amp; Descendants'!K124</f>
        <v>0</v>
      </c>
      <c r="K126" s="7">
        <f>'All Girls &amp; Descendants'!M124</f>
        <v>42166</v>
      </c>
      <c r="L126" t="str">
        <f>'All Girls &amp; Descendants'!N124</f>
        <v xml:space="preserve"> - </v>
      </c>
      <c r="M126">
        <f>'All Girls &amp; Descendants'!O124</f>
        <v>42166</v>
      </c>
      <c r="N126" t="str">
        <f>'All Girls &amp; Descendants'!P124</f>
        <v>11/06/2015</v>
      </c>
      <c r="O126" t="str">
        <f>'All Girls &amp; Descendants'!Q124</f>
        <v>154</v>
      </c>
      <c r="P126" t="str">
        <f t="shared" si="44"/>
        <v>154c</v>
      </c>
      <c r="Q126" s="116">
        <f t="shared" si="45"/>
        <v>1</v>
      </c>
      <c r="R126" s="31" t="str">
        <f t="shared" si="46"/>
        <v>Albert   NEWING</v>
      </c>
      <c r="S126" s="31" t="str">
        <f t="shared" si="47"/>
        <v>Albert NEWING (2015 -2015: #154c)</v>
      </c>
      <c r="U126" s="117">
        <f t="shared" si="48"/>
        <v>10812</v>
      </c>
      <c r="V126" t="s">
        <v>1724</v>
      </c>
      <c r="W126" s="116">
        <f t="shared" si="50"/>
        <v>108</v>
      </c>
      <c r="X126" s="116" t="str">
        <f t="shared" si="51"/>
        <v>a</v>
      </c>
      <c r="Y126" s="116" t="str">
        <f t="shared" si="49"/>
        <v>b</v>
      </c>
      <c r="AF126" s="116"/>
    </row>
    <row r="127" spans="1:32">
      <c r="A127">
        <f>'All Girls &amp; Descendants'!B125</f>
        <v>156</v>
      </c>
      <c r="B127" t="str">
        <f>'All Girls &amp; Descendants'!C125</f>
        <v>156a</v>
      </c>
      <c r="C127" t="str">
        <f>'All Girls &amp; Descendants'!D125</f>
        <v>GRINDAL</v>
      </c>
      <c r="D127" t="str">
        <f>'All Girls &amp; Descendants'!E125</f>
        <v>Michael</v>
      </c>
      <c r="E127" t="str">
        <f>IF('All Girls &amp; Descendants'!F125="","",'All Girls &amp; Descendants'!F125)</f>
        <v>Peter</v>
      </c>
      <c r="F127" t="str">
        <f>IF('All Girls &amp; Descendants'!G125="","",'All Girls &amp; Descendants'!G125)</f>
        <v/>
      </c>
      <c r="G127" t="str">
        <f>IF('All Girls &amp; Descendants'!H125="",D127,'All Girls &amp; Descendants'!H125)</f>
        <v>Peter</v>
      </c>
      <c r="H127">
        <f>'All Girls &amp; Descendants'!I125</f>
        <v>2014</v>
      </c>
      <c r="I127" t="str">
        <f>'All Girls &amp; Descendants'!J125</f>
        <v/>
      </c>
      <c r="J127">
        <f>'All Girls &amp; Descendants'!K125</f>
        <v>0</v>
      </c>
      <c r="K127" s="7">
        <f>'All Girls &amp; Descendants'!M125</f>
        <v>41925</v>
      </c>
      <c r="L127" t="str">
        <f>'All Girls &amp; Descendants'!N125</f>
        <v xml:space="preserve"> - </v>
      </c>
      <c r="M127" t="str">
        <f>'All Girls &amp; Descendants'!O125</f>
        <v/>
      </c>
      <c r="N127" t="str">
        <f>'All Girls &amp; Descendants'!P125</f>
        <v/>
      </c>
      <c r="O127" t="str">
        <f>'All Girls &amp; Descendants'!Q125</f>
        <v>156</v>
      </c>
      <c r="P127" t="str">
        <f t="shared" si="44"/>
        <v>156a</v>
      </c>
      <c r="Q127" s="116">
        <f t="shared" si="45"/>
        <v>1</v>
      </c>
      <c r="R127" s="31" t="str">
        <f t="shared" si="46"/>
        <v>Michael Peter  GRINDAL</v>
      </c>
      <c r="S127" s="31" t="str">
        <f t="shared" si="47"/>
        <v>Peter GRINDAL (2014 -: #156a)</v>
      </c>
      <c r="U127" s="117">
        <f t="shared" si="48"/>
        <v>10821</v>
      </c>
      <c r="V127" t="s">
        <v>1728</v>
      </c>
      <c r="W127" s="116">
        <f t="shared" si="50"/>
        <v>108</v>
      </c>
      <c r="X127" s="116" t="str">
        <f t="shared" si="51"/>
        <v>b</v>
      </c>
      <c r="Y127" s="116" t="str">
        <f t="shared" si="49"/>
        <v>a</v>
      </c>
      <c r="AF127" s="116"/>
    </row>
    <row r="128" spans="1:32">
      <c r="A128">
        <f>'All Girls &amp; Descendants'!B126</f>
        <v>156</v>
      </c>
      <c r="B128" t="str">
        <f>'All Girls &amp; Descendants'!C126</f>
        <v>156b</v>
      </c>
      <c r="C128" t="str">
        <f>'All Girls &amp; Descendants'!D126</f>
        <v>GRINDAL</v>
      </c>
      <c r="D128" t="str">
        <f>'All Girls &amp; Descendants'!E126</f>
        <v>Dorothy</v>
      </c>
      <c r="E128" t="str">
        <f>IF('All Girls &amp; Descendants'!F126="","",'All Girls &amp; Descendants'!F126)</f>
        <v>Mary</v>
      </c>
      <c r="F128" t="str">
        <f>IF('All Girls &amp; Descendants'!G126="","",'All Girls &amp; Descendants'!G126)</f>
        <v>Jennifer</v>
      </c>
      <c r="G128" t="str">
        <f>IF('All Girls &amp; Descendants'!H126="",D128,'All Girls &amp; Descendants'!H126)</f>
        <v>Dorothy</v>
      </c>
      <c r="H128">
        <f>'All Girls &amp; Descendants'!I126</f>
        <v>2016</v>
      </c>
      <c r="I128" t="str">
        <f>'All Girls &amp; Descendants'!J126</f>
        <v/>
      </c>
      <c r="J128">
        <f>'All Girls &amp; Descendants'!K126</f>
        <v>0</v>
      </c>
      <c r="K128" s="7">
        <f>'All Girls &amp; Descendants'!M126</f>
        <v>42467</v>
      </c>
      <c r="L128" t="str">
        <f>'All Girls &amp; Descendants'!N126</f>
        <v xml:space="preserve"> - </v>
      </c>
      <c r="M128" t="str">
        <f>'All Girls &amp; Descendants'!O126</f>
        <v/>
      </c>
      <c r="N128" t="str">
        <f>'All Girls &amp; Descendants'!P126</f>
        <v/>
      </c>
      <c r="O128" t="str">
        <f>'All Girls &amp; Descendants'!Q126</f>
        <v>156</v>
      </c>
      <c r="P128" t="str">
        <f t="shared" si="44"/>
        <v>156b</v>
      </c>
      <c r="Q128" s="116">
        <f t="shared" si="45"/>
        <v>1</v>
      </c>
      <c r="R128" s="31" t="str">
        <f t="shared" si="46"/>
        <v>Dorothy Mary Jennifer GRINDAL</v>
      </c>
      <c r="S128" s="31" t="str">
        <f t="shared" si="47"/>
        <v>Dorothy GRINDAL (2016 -: #156b)</v>
      </c>
      <c r="U128" s="117">
        <f t="shared" si="48"/>
        <v>10822</v>
      </c>
      <c r="V128" t="s">
        <v>1730</v>
      </c>
      <c r="W128" s="116">
        <f t="shared" si="50"/>
        <v>108</v>
      </c>
      <c r="X128" s="116" t="str">
        <f t="shared" si="51"/>
        <v>b</v>
      </c>
      <c r="Y128" s="116" t="str">
        <f t="shared" si="49"/>
        <v>b</v>
      </c>
      <c r="AF128" s="116"/>
    </row>
    <row r="129" spans="1:32">
      <c r="A129">
        <f>'All Girls &amp; Descendants'!B127</f>
        <v>157</v>
      </c>
      <c r="B129" t="str">
        <f>'All Girls &amp; Descendants'!C127</f>
        <v>157a</v>
      </c>
      <c r="C129" t="str">
        <f>'All Girls &amp; Descendants'!D127</f>
        <v>SIMMONDS</v>
      </c>
      <c r="D129" t="str">
        <f>'All Girls &amp; Descendants'!E127</f>
        <v>Henry</v>
      </c>
      <c r="E129" t="str">
        <f>IF('All Girls &amp; Descendants'!F127="","",'All Girls &amp; Descendants'!F127)</f>
        <v>John</v>
      </c>
      <c r="F129" t="str">
        <f>IF('All Girls &amp; Descendants'!G127="","",'All Girls &amp; Descendants'!G127)</f>
        <v>Loyd</v>
      </c>
      <c r="G129" t="str">
        <f>IF('All Girls &amp; Descendants'!H127="",D129,'All Girls &amp; Descendants'!H127)</f>
        <v>Henry</v>
      </c>
      <c r="H129">
        <f>'All Girls &amp; Descendants'!I127</f>
        <v>2012</v>
      </c>
      <c r="I129" t="str">
        <f>'All Girls &amp; Descendants'!J127</f>
        <v/>
      </c>
      <c r="J129">
        <f>'All Girls &amp; Descendants'!K127</f>
        <v>0</v>
      </c>
      <c r="K129" s="7">
        <f>'All Girls &amp; Descendants'!M127</f>
        <v>41075</v>
      </c>
      <c r="L129" t="str">
        <f>'All Girls &amp; Descendants'!N127</f>
        <v xml:space="preserve"> - </v>
      </c>
      <c r="M129" t="str">
        <f>'All Girls &amp; Descendants'!O127</f>
        <v/>
      </c>
      <c r="N129" t="str">
        <f>'All Girls &amp; Descendants'!P127</f>
        <v/>
      </c>
      <c r="O129" t="str">
        <f>'All Girls &amp; Descendants'!Q127</f>
        <v>157</v>
      </c>
      <c r="P129" t="str">
        <f t="shared" si="44"/>
        <v>157a</v>
      </c>
      <c r="Q129" s="116">
        <f t="shared" si="45"/>
        <v>1</v>
      </c>
      <c r="R129" s="31" t="str">
        <f t="shared" si="46"/>
        <v>Henry John Loyd SIMMONDS</v>
      </c>
      <c r="S129" s="31" t="str">
        <f t="shared" si="47"/>
        <v>Henry SIMMONDS (2012 -: #157a)</v>
      </c>
      <c r="U129" s="117">
        <f t="shared" si="48"/>
        <v>10831</v>
      </c>
      <c r="V129" t="s">
        <v>1733</v>
      </c>
      <c r="W129" s="116">
        <f t="shared" si="50"/>
        <v>108</v>
      </c>
      <c r="X129" s="116" t="str">
        <f t="shared" si="51"/>
        <v>c</v>
      </c>
      <c r="Y129" s="116" t="str">
        <f t="shared" si="49"/>
        <v>a</v>
      </c>
      <c r="AF129" s="116"/>
    </row>
    <row r="130" spans="1:32">
      <c r="A130">
        <f>'All Girls &amp; Descendants'!B128</f>
        <v>157</v>
      </c>
      <c r="B130" t="str">
        <f>'All Girls &amp; Descendants'!C128</f>
        <v>157b</v>
      </c>
      <c r="C130" t="str">
        <f>'All Girls &amp; Descendants'!D128</f>
        <v>SIMMONDS</v>
      </c>
      <c r="D130" t="str">
        <f>'All Girls &amp; Descendants'!E128</f>
        <v>Emily</v>
      </c>
      <c r="E130" t="str">
        <f>IF('All Girls &amp; Descendants'!F128="","",'All Girls &amp; Descendants'!F128)</f>
        <v>Mary</v>
      </c>
      <c r="F130" t="str">
        <f>IF('All Girls &amp; Descendants'!G128="","",'All Girls &amp; Descendants'!G128)</f>
        <v>Loyd</v>
      </c>
      <c r="G130" t="str">
        <f>IF('All Girls &amp; Descendants'!H128="",D130,'All Girls &amp; Descendants'!H128)</f>
        <v>Emily</v>
      </c>
      <c r="H130">
        <f>'All Girls &amp; Descendants'!I128</f>
        <v>2014</v>
      </c>
      <c r="I130" t="str">
        <f>'All Girls &amp; Descendants'!J128</f>
        <v/>
      </c>
      <c r="J130">
        <f>'All Girls &amp; Descendants'!K128</f>
        <v>0</v>
      </c>
      <c r="K130" s="7">
        <f>'All Girls &amp; Descendants'!M128</f>
        <v>42000</v>
      </c>
      <c r="L130" t="str">
        <f>'All Girls &amp; Descendants'!N128</f>
        <v xml:space="preserve"> - </v>
      </c>
      <c r="M130" t="str">
        <f>'All Girls &amp; Descendants'!O128</f>
        <v/>
      </c>
      <c r="N130" t="str">
        <f>'All Girls &amp; Descendants'!P128</f>
        <v/>
      </c>
      <c r="O130" t="str">
        <f>'All Girls &amp; Descendants'!Q128</f>
        <v>157</v>
      </c>
      <c r="P130" t="str">
        <f t="shared" si="44"/>
        <v>157b</v>
      </c>
      <c r="Q130" s="116">
        <f t="shared" si="45"/>
        <v>1</v>
      </c>
      <c r="R130" s="31" t="str">
        <f t="shared" si="46"/>
        <v>Emily Mary Loyd SIMMONDS</v>
      </c>
      <c r="S130" s="31" t="str">
        <f t="shared" si="47"/>
        <v>Emily SIMMONDS (2014 -: #157b)</v>
      </c>
      <c r="U130" s="117">
        <f t="shared" si="48"/>
        <v>10921</v>
      </c>
      <c r="V130" t="s">
        <v>3658</v>
      </c>
      <c r="W130" s="116">
        <f t="shared" si="50"/>
        <v>109</v>
      </c>
      <c r="X130" s="116" t="str">
        <f t="shared" si="51"/>
        <v>b</v>
      </c>
      <c r="Y130" s="116" t="str">
        <f t="shared" si="49"/>
        <v>a</v>
      </c>
      <c r="AF130" s="116"/>
    </row>
    <row r="131" spans="1:32">
      <c r="A131">
        <f>'All Girls &amp; Descendants'!B129</f>
        <v>158</v>
      </c>
      <c r="B131" t="str">
        <f>'All Girls &amp; Descendants'!C129</f>
        <v>158a</v>
      </c>
      <c r="C131" t="str">
        <f>'All Girls &amp; Descendants'!D129</f>
        <v>KYLE</v>
      </c>
      <c r="D131" t="str">
        <f>'All Girls &amp; Descendants'!E129</f>
        <v>Theodore</v>
      </c>
      <c r="E131" t="str">
        <f>IF('All Girls &amp; Descendants'!F129="","",'All Girls &amp; Descendants'!F129)</f>
        <v>Richard</v>
      </c>
      <c r="F131" t="str">
        <f>IF('All Girls &amp; Descendants'!G129="","",'All Girls &amp; Descendants'!G129)</f>
        <v/>
      </c>
      <c r="G131" t="str">
        <f>IF('All Girls &amp; Descendants'!H129="",D131,'All Girls &amp; Descendants'!H129)</f>
        <v>Theodore</v>
      </c>
      <c r="H131">
        <f>'All Girls &amp; Descendants'!I129</f>
        <v>2010</v>
      </c>
      <c r="I131" t="str">
        <f>'All Girls &amp; Descendants'!J129</f>
        <v/>
      </c>
      <c r="J131">
        <f>'All Girls &amp; Descendants'!K129</f>
        <v>0</v>
      </c>
      <c r="K131" s="7">
        <f>'All Girls &amp; Descendants'!M129</f>
        <v>40242</v>
      </c>
      <c r="L131" t="str">
        <f>'All Girls &amp; Descendants'!N129</f>
        <v xml:space="preserve"> - </v>
      </c>
      <c r="M131" t="str">
        <f>'All Girls &amp; Descendants'!O129</f>
        <v/>
      </c>
      <c r="N131" t="str">
        <f>'All Girls &amp; Descendants'!P129</f>
        <v/>
      </c>
      <c r="O131" t="str">
        <f>'All Girls &amp; Descendants'!Q129</f>
        <v>158</v>
      </c>
      <c r="P131" t="str">
        <f t="shared" si="44"/>
        <v>158a</v>
      </c>
      <c r="Q131" s="116">
        <f t="shared" si="45"/>
        <v>1</v>
      </c>
      <c r="R131" s="31" t="str">
        <f t="shared" si="46"/>
        <v>Theodore Richard  KYLE</v>
      </c>
      <c r="S131" s="31" t="str">
        <f t="shared" si="47"/>
        <v>Theodore KYLE (2010 -: #158a)</v>
      </c>
      <c r="U131" s="117">
        <f t="shared" si="48"/>
        <v>10922</v>
      </c>
      <c r="V131" t="s">
        <v>3665</v>
      </c>
      <c r="W131" s="116">
        <f t="shared" si="50"/>
        <v>109</v>
      </c>
      <c r="X131" s="116" t="str">
        <f t="shared" si="51"/>
        <v>b</v>
      </c>
      <c r="Y131" s="116" t="str">
        <f t="shared" si="49"/>
        <v>b</v>
      </c>
      <c r="AF131" s="116"/>
    </row>
    <row r="132" spans="1:32">
      <c r="A132">
        <f>'All Girls &amp; Descendants'!B130</f>
        <v>159</v>
      </c>
      <c r="B132" t="str">
        <f>'All Girls &amp; Descendants'!C130</f>
        <v>159a</v>
      </c>
      <c r="C132" t="str">
        <f>'All Girls &amp; Descendants'!D130</f>
        <v>GARDENER</v>
      </c>
      <c r="D132" t="str">
        <f>'All Girls &amp; Descendants'!E130</f>
        <v>Thomas</v>
      </c>
      <c r="E132" t="str">
        <f>IF('All Girls &amp; Descendants'!F130="","",'All Girls &amp; Descendants'!F130)</f>
        <v>Philip</v>
      </c>
      <c r="F132" t="str">
        <f>IF('All Girls &amp; Descendants'!G130="","",'All Girls &amp; Descendants'!G130)</f>
        <v>Loyd</v>
      </c>
      <c r="G132" t="str">
        <f>IF('All Girls &amp; Descendants'!H130="",D132,'All Girls &amp; Descendants'!H130)</f>
        <v>Thomas</v>
      </c>
      <c r="H132">
        <f>'All Girls &amp; Descendants'!I130</f>
        <v>2010</v>
      </c>
      <c r="I132" t="str">
        <f>'All Girls &amp; Descendants'!J130</f>
        <v/>
      </c>
      <c r="J132">
        <f>'All Girls &amp; Descendants'!K130</f>
        <v>0</v>
      </c>
      <c r="K132" s="7">
        <f>'All Girls &amp; Descendants'!M130</f>
        <v>40313</v>
      </c>
      <c r="L132" t="str">
        <f>'All Girls &amp; Descendants'!N130</f>
        <v xml:space="preserve"> - </v>
      </c>
      <c r="M132" t="str">
        <f>'All Girls &amp; Descendants'!O130</f>
        <v/>
      </c>
      <c r="N132" t="str">
        <f>'All Girls &amp; Descendants'!P130</f>
        <v/>
      </c>
      <c r="O132" t="str">
        <f>'All Girls &amp; Descendants'!Q130</f>
        <v>159</v>
      </c>
      <c r="P132" t="str">
        <f t="shared" si="44"/>
        <v>159a</v>
      </c>
      <c r="Q132" s="116">
        <f t="shared" si="45"/>
        <v>1</v>
      </c>
      <c r="R132" s="31" t="str">
        <f t="shared" si="46"/>
        <v>Thomas Philip Loyd GARDENER</v>
      </c>
      <c r="S132" s="31" t="str">
        <f t="shared" si="47"/>
        <v>Thomas GARDENER (2010 -: #159a)</v>
      </c>
      <c r="U132" s="117">
        <f t="shared" si="48"/>
        <v>10923</v>
      </c>
      <c r="V132" t="s">
        <v>3666</v>
      </c>
      <c r="W132" s="116">
        <f t="shared" ref="W132:W138" si="52">VALUE(LEFT(V132,3))</f>
        <v>109</v>
      </c>
      <c r="X132" s="116" t="str">
        <f t="shared" si="51"/>
        <v>b</v>
      </c>
      <c r="Y132" s="116" t="str">
        <f t="shared" si="49"/>
        <v>c</v>
      </c>
      <c r="AF132" s="116"/>
    </row>
    <row r="133" spans="1:32">
      <c r="A133">
        <f>'All Girls &amp; Descendants'!B131</f>
        <v>159</v>
      </c>
      <c r="B133" t="str">
        <f>'All Girls &amp; Descendants'!C131</f>
        <v>159b</v>
      </c>
      <c r="C133" t="str">
        <f>'All Girls &amp; Descendants'!D131</f>
        <v>GARDENER</v>
      </c>
      <c r="D133" t="str">
        <f>'All Girls &amp; Descendants'!E131</f>
        <v>Alice</v>
      </c>
      <c r="E133" t="str">
        <f>IF('All Girls &amp; Descendants'!F131="","",'All Girls &amp; Descendants'!F131)</f>
        <v>Daphne</v>
      </c>
      <c r="F133" t="str">
        <f>IF('All Girls &amp; Descendants'!G131="","",'All Girls &amp; Descendants'!G131)</f>
        <v>Straker</v>
      </c>
      <c r="G133" t="str">
        <f>IF('All Girls &amp; Descendants'!H131="",D133,'All Girls &amp; Descendants'!H131)</f>
        <v>Alice</v>
      </c>
      <c r="H133">
        <f>'All Girls &amp; Descendants'!I131</f>
        <v>2013</v>
      </c>
      <c r="I133" t="str">
        <f>'All Girls &amp; Descendants'!J131</f>
        <v/>
      </c>
      <c r="J133">
        <f>'All Girls &amp; Descendants'!K131</f>
        <v>0</v>
      </c>
      <c r="K133" s="7">
        <f>'All Girls &amp; Descendants'!M131</f>
        <v>41342</v>
      </c>
      <c r="L133" t="str">
        <f>'All Girls &amp; Descendants'!N131</f>
        <v xml:space="preserve"> - </v>
      </c>
      <c r="M133" t="str">
        <f>'All Girls &amp; Descendants'!O131</f>
        <v/>
      </c>
      <c r="N133" t="str">
        <f>'All Girls &amp; Descendants'!P131</f>
        <v/>
      </c>
      <c r="O133" t="str">
        <f>'All Girls &amp; Descendants'!Q131</f>
        <v>159</v>
      </c>
      <c r="P133" t="str">
        <f t="shared" ref="P133:P196" si="53">B133</f>
        <v>159b</v>
      </c>
      <c r="Q133" s="116">
        <f t="shared" ref="Q133:Q196" si="54">LEN(B133)-LEN(A133)</f>
        <v>1</v>
      </c>
      <c r="R133" s="31" t="str">
        <f t="shared" ref="R133:R196" si="55">_xlfn.CONCAT(D133," ",E133," ",F133," ",C133)</f>
        <v>Alice Daphne Straker GARDENER</v>
      </c>
      <c r="S133" s="31" t="str">
        <f t="shared" ref="S133:S196" si="56">_xlfn.CONCAT(G133," ",C133," (",H133," -",I133,": #",B133,")")</f>
        <v>Alice GARDENER (2013 -: #159b)</v>
      </c>
      <c r="U133" s="117">
        <f t="shared" si="48"/>
        <v>10924</v>
      </c>
      <c r="V133" t="s">
        <v>3667</v>
      </c>
      <c r="W133" s="116">
        <f t="shared" si="52"/>
        <v>109</v>
      </c>
      <c r="X133" s="116" t="str">
        <f t="shared" si="51"/>
        <v>b</v>
      </c>
      <c r="Y133" s="116" t="str">
        <f t="shared" ref="Y133:Y138" si="57">RIGHT(V133,1)</f>
        <v>d</v>
      </c>
      <c r="AF133" s="116"/>
    </row>
    <row r="134" spans="1:32">
      <c r="A134">
        <f>'All Girls &amp; Descendants'!B132</f>
        <v>161</v>
      </c>
      <c r="B134" t="str">
        <f>'All Girls &amp; Descendants'!C132</f>
        <v>161a</v>
      </c>
      <c r="C134" t="str">
        <f>'All Girls &amp; Descendants'!D132</f>
        <v>HAYNS</v>
      </c>
      <c r="D134" t="str">
        <f>'All Girls &amp; Descendants'!E132</f>
        <v>Alexia</v>
      </c>
      <c r="E134" t="str">
        <f>IF('All Girls &amp; Descendants'!F132="","",'All Girls &amp; Descendants'!F132)</f>
        <v>Charlotte</v>
      </c>
      <c r="F134" t="str">
        <f>IF('All Girls &amp; Descendants'!G132="","",'All Girls &amp; Descendants'!G132)</f>
        <v/>
      </c>
      <c r="G134" t="str">
        <f>IF('All Girls &amp; Descendants'!H132="",D134,'All Girls &amp; Descendants'!H132)</f>
        <v>Alexia</v>
      </c>
      <c r="H134">
        <f>'All Girls &amp; Descendants'!I132</f>
        <v>2014</v>
      </c>
      <c r="I134" t="str">
        <f>'All Girls &amp; Descendants'!J132</f>
        <v/>
      </c>
      <c r="J134">
        <f>'All Girls &amp; Descendants'!K132</f>
        <v>0</v>
      </c>
      <c r="K134" s="7">
        <f>'All Girls &amp; Descendants'!M132</f>
        <v>41722</v>
      </c>
      <c r="L134" t="str">
        <f>'All Girls &amp; Descendants'!N132</f>
        <v xml:space="preserve"> - </v>
      </c>
      <c r="M134" t="str">
        <f>'All Girls &amp; Descendants'!O132</f>
        <v/>
      </c>
      <c r="N134" t="str">
        <f>'All Girls &amp; Descendants'!P132</f>
        <v/>
      </c>
      <c r="O134" t="str">
        <f>'All Girls &amp; Descendants'!Q132</f>
        <v>161</v>
      </c>
      <c r="P134" t="str">
        <f t="shared" si="53"/>
        <v>161a</v>
      </c>
      <c r="Q134" s="116">
        <f t="shared" si="54"/>
        <v>1</v>
      </c>
      <c r="R134" s="31" t="str">
        <f t="shared" si="55"/>
        <v>Alexia Charlotte  HAYNS</v>
      </c>
      <c r="S134" s="31" t="str">
        <f t="shared" si="56"/>
        <v>Alexia HAYNS (2014 -: #161a)</v>
      </c>
      <c r="U134" s="117">
        <f t="shared" ref="U134:U151" si="58">W134*100+10*VLOOKUP(X134,$AB$4:$AC$13,2,FALSE)+VLOOKUP(Y134,$AB$4:$AC$13,2,FALSE)</f>
        <v>11011</v>
      </c>
      <c r="V134" t="s">
        <v>1745</v>
      </c>
      <c r="W134" s="116">
        <f t="shared" si="52"/>
        <v>110</v>
      </c>
      <c r="X134" s="116" t="str">
        <f t="shared" si="51"/>
        <v>a</v>
      </c>
      <c r="Y134" s="116" t="str">
        <f t="shared" si="57"/>
        <v>a</v>
      </c>
      <c r="AF134" s="116"/>
    </row>
    <row r="135" spans="1:32">
      <c r="A135">
        <f>'All Girls &amp; Descendants'!B133</f>
        <v>161</v>
      </c>
      <c r="B135" t="str">
        <f>'All Girls &amp; Descendants'!C133</f>
        <v>161b</v>
      </c>
      <c r="C135" t="str">
        <f>'All Girls &amp; Descendants'!D133</f>
        <v>HAYNS</v>
      </c>
      <c r="D135" t="str">
        <f>'All Girls &amp; Descendants'!E133</f>
        <v>Edward</v>
      </c>
      <c r="E135" t="str">
        <f>IF('All Girls &amp; Descendants'!F133="","",'All Girls &amp; Descendants'!F133)</f>
        <v>Loyd</v>
      </c>
      <c r="F135" t="str">
        <f>IF('All Girls &amp; Descendants'!G133="","",'All Girls &amp; Descendants'!G133)</f>
        <v>Bickford</v>
      </c>
      <c r="G135" t="str">
        <f>IF('All Girls &amp; Descendants'!H133="",D135,'All Girls &amp; Descendants'!H133)</f>
        <v>Edward</v>
      </c>
      <c r="H135">
        <f>'All Girls &amp; Descendants'!I133</f>
        <v>2016</v>
      </c>
      <c r="I135" t="str">
        <f>'All Girls &amp; Descendants'!J133</f>
        <v/>
      </c>
      <c r="J135">
        <f>'All Girls &amp; Descendants'!K133</f>
        <v>0</v>
      </c>
      <c r="K135" s="7">
        <f>'All Girls &amp; Descendants'!M133</f>
        <v>42643</v>
      </c>
      <c r="L135" t="str">
        <f>'All Girls &amp; Descendants'!N133</f>
        <v xml:space="preserve"> - </v>
      </c>
      <c r="M135" t="str">
        <f>'All Girls &amp; Descendants'!O133</f>
        <v/>
      </c>
      <c r="N135" t="str">
        <f>'All Girls &amp; Descendants'!P133</f>
        <v/>
      </c>
      <c r="O135" t="str">
        <f>'All Girls &amp; Descendants'!Q133</f>
        <v>161</v>
      </c>
      <c r="P135" t="str">
        <f t="shared" si="53"/>
        <v>161b</v>
      </c>
      <c r="Q135" s="116">
        <f t="shared" si="54"/>
        <v>1</v>
      </c>
      <c r="R135" s="31" t="str">
        <f t="shared" si="55"/>
        <v>Edward Loyd Bickford HAYNS</v>
      </c>
      <c r="S135" s="31" t="str">
        <f t="shared" si="56"/>
        <v>Edward HAYNS (2016 -: #161b)</v>
      </c>
      <c r="U135" s="117">
        <f t="shared" si="58"/>
        <v>11012</v>
      </c>
      <c r="V135" t="s">
        <v>1746</v>
      </c>
      <c r="W135" s="116">
        <f t="shared" si="52"/>
        <v>110</v>
      </c>
      <c r="X135" s="116" t="str">
        <f>MID(V135,4,1)</f>
        <v>a</v>
      </c>
      <c r="Y135" s="116" t="str">
        <f t="shared" si="57"/>
        <v>b</v>
      </c>
      <c r="AF135" s="116"/>
    </row>
    <row r="136" spans="1:32">
      <c r="A136">
        <f>'All Girls &amp; Descendants'!B134</f>
        <v>163</v>
      </c>
      <c r="B136" t="str">
        <f>'All Girls &amp; Descendants'!C134</f>
        <v>163a</v>
      </c>
      <c r="C136" t="str">
        <f>'All Girls &amp; Descendants'!D134</f>
        <v>DINSMORE</v>
      </c>
      <c r="D136" t="str">
        <f>'All Girls &amp; Descendants'!E134</f>
        <v xml:space="preserve">
Thomas</v>
      </c>
      <c r="E136" t="str">
        <f>IF('All Girls &amp; Descendants'!F134="","",'All Girls &amp; Descendants'!F134)</f>
        <v>Stephen</v>
      </c>
      <c r="F136" t="str">
        <f>IF('All Girls &amp; Descendants'!G134="","",'All Girls &amp; Descendants'!G134)</f>
        <v/>
      </c>
      <c r="G136" t="str">
        <f>IF('All Girls &amp; Descendants'!H134="",D136,'All Girls &amp; Descendants'!H134)</f>
        <v xml:space="preserve">
Thomas</v>
      </c>
      <c r="H136">
        <f>'All Girls &amp; Descendants'!I134</f>
        <v>2012</v>
      </c>
      <c r="I136" t="str">
        <f>'All Girls &amp; Descendants'!J134</f>
        <v/>
      </c>
      <c r="J136">
        <f>'All Girls &amp; Descendants'!K134</f>
        <v>0</v>
      </c>
      <c r="K136" s="7">
        <f>'All Girls &amp; Descendants'!M134</f>
        <v>41169</v>
      </c>
      <c r="L136" t="str">
        <f>'All Girls &amp; Descendants'!N134</f>
        <v xml:space="preserve"> - </v>
      </c>
      <c r="M136" t="str">
        <f>'All Girls &amp; Descendants'!O134</f>
        <v/>
      </c>
      <c r="N136" t="str">
        <f>'All Girls &amp; Descendants'!P134</f>
        <v/>
      </c>
      <c r="O136" t="str">
        <f>'All Girls &amp; Descendants'!Q134</f>
        <v>163</v>
      </c>
      <c r="P136" t="str">
        <f t="shared" si="53"/>
        <v>163a</v>
      </c>
      <c r="Q136" s="116">
        <f t="shared" si="54"/>
        <v>1</v>
      </c>
      <c r="R136" s="31" t="str">
        <f t="shared" si="55"/>
        <v xml:space="preserve">
Thomas Stephen  DINSMORE</v>
      </c>
      <c r="S136" s="31" t="str">
        <f t="shared" si="56"/>
        <v xml:space="preserve">
Thomas DINSMORE (2012 -: #163a)</v>
      </c>
      <c r="U136" s="117">
        <f t="shared" si="58"/>
        <v>11013</v>
      </c>
      <c r="V136" t="s">
        <v>1748</v>
      </c>
      <c r="W136" s="116">
        <f t="shared" si="52"/>
        <v>110</v>
      </c>
      <c r="X136" s="116" t="str">
        <f>MID(V136,4,1)</f>
        <v>a</v>
      </c>
      <c r="Y136" s="116" t="str">
        <f t="shared" si="57"/>
        <v>c</v>
      </c>
      <c r="AF136" s="116"/>
    </row>
    <row r="137" spans="1:32">
      <c r="A137">
        <f>'All Girls &amp; Descendants'!B135</f>
        <v>163</v>
      </c>
      <c r="B137" t="str">
        <f>'All Girls &amp; Descendants'!C135</f>
        <v>163b</v>
      </c>
      <c r="C137" t="str">
        <f>'All Girls &amp; Descendants'!D135</f>
        <v>DINSMORE</v>
      </c>
      <c r="D137" t="str">
        <f>'All Girls &amp; Descendants'!E135</f>
        <v>Mary</v>
      </c>
      <c r="E137" t="str">
        <f>IF('All Girls &amp; Descendants'!F135="","",'All Girls &amp; Descendants'!F135)</f>
        <v xml:space="preserve">Charlotte </v>
      </c>
      <c r="F137" t="str">
        <f>IF('All Girls &amp; Descendants'!G135="","",'All Girls &amp; Descendants'!G135)</f>
        <v/>
      </c>
      <c r="G137" t="str">
        <f>IF('All Girls &amp; Descendants'!H135="",D137,'All Girls &amp; Descendants'!H135)</f>
        <v>Mary</v>
      </c>
      <c r="H137">
        <f>'All Girls &amp; Descendants'!I135</f>
        <v>2014</v>
      </c>
      <c r="I137" t="str">
        <f>'All Girls &amp; Descendants'!J135</f>
        <v/>
      </c>
      <c r="J137">
        <f>'All Girls &amp; Descendants'!K135</f>
        <v>0</v>
      </c>
      <c r="K137" s="7">
        <f>'All Girls &amp; Descendants'!M135</f>
        <v>41932</v>
      </c>
      <c r="L137" t="str">
        <f>'All Girls &amp; Descendants'!N135</f>
        <v xml:space="preserve"> - </v>
      </c>
      <c r="M137" t="str">
        <f>'All Girls &amp; Descendants'!O135</f>
        <v/>
      </c>
      <c r="N137" t="str">
        <f>'All Girls &amp; Descendants'!P135</f>
        <v/>
      </c>
      <c r="O137" t="str">
        <f>'All Girls &amp; Descendants'!Q135</f>
        <v>163</v>
      </c>
      <c r="P137" t="str">
        <f t="shared" si="53"/>
        <v>163b</v>
      </c>
      <c r="Q137" s="116">
        <f t="shared" si="54"/>
        <v>1</v>
      </c>
      <c r="R137" s="31" t="str">
        <f t="shared" si="55"/>
        <v>Mary Charlotte   DINSMORE</v>
      </c>
      <c r="S137" s="31" t="str">
        <f t="shared" si="56"/>
        <v>Mary DINSMORE (2014 -: #163b)</v>
      </c>
      <c r="U137" s="117">
        <f t="shared" si="58"/>
        <v>11031</v>
      </c>
      <c r="V137" t="s">
        <v>3674</v>
      </c>
      <c r="W137" s="116">
        <f t="shared" si="52"/>
        <v>110</v>
      </c>
      <c r="X137" s="116" t="str">
        <f>MID(V137,4,1)</f>
        <v>c</v>
      </c>
      <c r="Y137" s="116" t="str">
        <f t="shared" si="57"/>
        <v>a</v>
      </c>
    </row>
    <row r="138" spans="1:32">
      <c r="A138">
        <f>'All Girls &amp; Descendants'!B136</f>
        <v>164</v>
      </c>
      <c r="B138" t="str">
        <f>'All Girls &amp; Descendants'!C136</f>
        <v>164a</v>
      </c>
      <c r="C138" t="str">
        <f>'All Girls &amp; Descendants'!D136</f>
        <v>LEASK</v>
      </c>
      <c r="D138" t="str">
        <f>'All Girls &amp; Descendants'!E136</f>
        <v>Fredrick</v>
      </c>
      <c r="E138" t="str">
        <f>IF('All Girls &amp; Descendants'!F136="","",'All Girls &amp; Descendants'!F136)</f>
        <v>Peter</v>
      </c>
      <c r="F138" t="str">
        <f>IF('All Girls &amp; Descendants'!G136="","",'All Girls &amp; Descendants'!G136)</f>
        <v>Loyd</v>
      </c>
      <c r="G138" t="str">
        <f>IF('All Girls &amp; Descendants'!H136="",D138,'All Girls &amp; Descendants'!H136)</f>
        <v>Freddie</v>
      </c>
      <c r="H138">
        <f>'All Girls &amp; Descendants'!I136</f>
        <v>2016</v>
      </c>
      <c r="I138" t="str">
        <f>'All Girls &amp; Descendants'!J136</f>
        <v/>
      </c>
      <c r="J138">
        <f>'All Girls &amp; Descendants'!K136</f>
        <v>0</v>
      </c>
      <c r="K138" s="7">
        <f>'All Girls &amp; Descendants'!M136</f>
        <v>42506</v>
      </c>
      <c r="L138" t="str">
        <f>'All Girls &amp; Descendants'!N136</f>
        <v xml:space="preserve"> - </v>
      </c>
      <c r="M138" t="str">
        <f>'All Girls &amp; Descendants'!O136</f>
        <v/>
      </c>
      <c r="N138" t="str">
        <f>'All Girls &amp; Descendants'!P136</f>
        <v/>
      </c>
      <c r="O138" t="str">
        <f>'All Girls &amp; Descendants'!Q136</f>
        <v>164</v>
      </c>
      <c r="P138" t="str">
        <f t="shared" si="53"/>
        <v>164a</v>
      </c>
      <c r="Q138" s="116">
        <f t="shared" si="54"/>
        <v>1</v>
      </c>
      <c r="R138" s="31" t="str">
        <f t="shared" si="55"/>
        <v>Fredrick Peter Loyd LEASK</v>
      </c>
      <c r="S138" s="31" t="str">
        <f t="shared" si="56"/>
        <v>Freddie LEASK (2016 -: #164a)</v>
      </c>
      <c r="U138" s="117">
        <f t="shared" si="58"/>
        <v>11041</v>
      </c>
      <c r="V138" t="s">
        <v>1756</v>
      </c>
      <c r="W138" s="116">
        <f t="shared" si="52"/>
        <v>110</v>
      </c>
      <c r="X138" s="116" t="str">
        <f>MID(V138,4,1)</f>
        <v>d</v>
      </c>
      <c r="Y138" s="116" t="str">
        <f t="shared" si="57"/>
        <v>a</v>
      </c>
    </row>
    <row r="139" spans="1:32">
      <c r="A139">
        <f>'All Girls &amp; Descendants'!B137</f>
        <v>164</v>
      </c>
      <c r="B139" t="str">
        <f>'All Girls &amp; Descendants'!C137</f>
        <v>164b</v>
      </c>
      <c r="C139" t="str">
        <f>'All Girls &amp; Descendants'!D137</f>
        <v>LEASK</v>
      </c>
      <c r="D139" t="str">
        <f>'All Girls &amp; Descendants'!E137</f>
        <v>Hamish</v>
      </c>
      <c r="E139" t="str">
        <f>IF('All Girls &amp; Descendants'!F137="","",'All Girls &amp; Descendants'!F137)</f>
        <v>Alexander</v>
      </c>
      <c r="F139" t="str">
        <f>IF('All Girls &amp; Descendants'!G137="","",'All Girls &amp; Descendants'!G137)</f>
        <v>Cormack</v>
      </c>
      <c r="G139" t="str">
        <f>IF('All Girls &amp; Descendants'!H137="",D139,'All Girls &amp; Descendants'!H137)</f>
        <v>Hamish</v>
      </c>
      <c r="H139">
        <f>'All Girls &amp; Descendants'!I137</f>
        <v>2018</v>
      </c>
      <c r="I139" t="str">
        <f>'All Girls &amp; Descendants'!J137</f>
        <v/>
      </c>
      <c r="J139">
        <f>'All Girls &amp; Descendants'!K137</f>
        <v>0</v>
      </c>
      <c r="K139" s="7">
        <f>'All Girls &amp; Descendants'!M137</f>
        <v>43172</v>
      </c>
      <c r="L139" t="str">
        <f>'All Girls &amp; Descendants'!N137</f>
        <v xml:space="preserve"> - </v>
      </c>
      <c r="M139" t="str">
        <f>'All Girls &amp; Descendants'!O137</f>
        <v/>
      </c>
      <c r="N139" t="str">
        <f>'All Girls &amp; Descendants'!P137</f>
        <v/>
      </c>
      <c r="O139" t="str">
        <f>'All Girls &amp; Descendants'!Q137</f>
        <v>164</v>
      </c>
      <c r="P139" t="str">
        <f t="shared" si="53"/>
        <v>164b</v>
      </c>
      <c r="Q139" s="116">
        <f t="shared" si="54"/>
        <v>1</v>
      </c>
      <c r="R139" s="31" t="str">
        <f t="shared" si="55"/>
        <v>Hamish Alexander Cormack LEASK</v>
      </c>
      <c r="S139" s="31" t="str">
        <f t="shared" si="56"/>
        <v>Hamish LEASK (2018 -: #164b)</v>
      </c>
      <c r="U139" s="117">
        <f t="shared" si="58"/>
        <v>11042</v>
      </c>
      <c r="V139" t="s">
        <v>3676</v>
      </c>
      <c r="W139" s="116">
        <f t="shared" ref="W139:W149" si="59">VALUE(LEFT(V139,3))</f>
        <v>110</v>
      </c>
      <c r="X139" s="116" t="str">
        <f t="shared" ref="X139:X149" si="60">MID(V139,4,1)</f>
        <v>d</v>
      </c>
      <c r="Y139" s="116" t="str">
        <f t="shared" ref="Y139:Y149" si="61">RIGHT(V139,1)</f>
        <v>b</v>
      </c>
    </row>
    <row r="140" spans="1:32">
      <c r="A140">
        <f>'All Girls &amp; Descendants'!B138</f>
        <v>164</v>
      </c>
      <c r="B140" t="str">
        <f>'All Girls &amp; Descendants'!C138</f>
        <v>164c</v>
      </c>
      <c r="C140" t="str">
        <f>'All Girls &amp; Descendants'!D138</f>
        <v>LEASK</v>
      </c>
      <c r="D140" t="str">
        <f>'All Girls &amp; Descendants'!E138</f>
        <v>Otto</v>
      </c>
      <c r="E140" t="str">
        <f>IF('All Girls &amp; Descendants'!F138="","",'All Girls &amp; Descendants'!F138)</f>
        <v>Angus</v>
      </c>
      <c r="F140" t="str">
        <f>IF('All Girls &amp; Descendants'!G138="","",'All Girls &amp; Descendants'!G138)</f>
        <v>Davis</v>
      </c>
      <c r="G140" t="str">
        <f>IF('All Girls &amp; Descendants'!H138="",D140,'All Girls &amp; Descendants'!H138)</f>
        <v>Otto</v>
      </c>
      <c r="H140">
        <f>'All Girls &amp; Descendants'!I138</f>
        <v>2020</v>
      </c>
      <c r="I140" t="str">
        <f>'All Girls &amp; Descendants'!J138</f>
        <v/>
      </c>
      <c r="J140">
        <f>'All Girls &amp; Descendants'!K138</f>
        <v>0</v>
      </c>
      <c r="K140" s="7">
        <f>'All Girls &amp; Descendants'!M138</f>
        <v>44099</v>
      </c>
      <c r="L140" t="str">
        <f>'All Girls &amp; Descendants'!N138</f>
        <v xml:space="preserve"> - </v>
      </c>
      <c r="M140" t="str">
        <f>'All Girls &amp; Descendants'!O138</f>
        <v/>
      </c>
      <c r="N140" t="str">
        <f>'All Girls &amp; Descendants'!P138</f>
        <v/>
      </c>
      <c r="O140" t="str">
        <f>'All Girls &amp; Descendants'!Q138</f>
        <v>164</v>
      </c>
      <c r="P140" t="str">
        <f t="shared" si="53"/>
        <v>164c</v>
      </c>
      <c r="Q140" s="116">
        <f t="shared" si="54"/>
        <v>1</v>
      </c>
      <c r="R140" s="31" t="str">
        <f t="shared" si="55"/>
        <v>Otto Angus Davis LEASK</v>
      </c>
      <c r="S140" s="31" t="str">
        <f t="shared" si="56"/>
        <v>Otto LEASK (2020 -: #164c)</v>
      </c>
      <c r="U140" s="117">
        <f t="shared" si="58"/>
        <v>11511</v>
      </c>
      <c r="V140" t="s">
        <v>1776</v>
      </c>
      <c r="W140" s="116">
        <f t="shared" si="59"/>
        <v>115</v>
      </c>
      <c r="X140" s="116" t="str">
        <f t="shared" si="60"/>
        <v>a</v>
      </c>
      <c r="Y140" s="116" t="str">
        <f t="shared" si="61"/>
        <v>a</v>
      </c>
    </row>
    <row r="141" spans="1:32">
      <c r="A141">
        <f>'All Girls &amp; Descendants'!B139</f>
        <v>165</v>
      </c>
      <c r="B141" t="str">
        <f>'All Girls &amp; Descendants'!C139</f>
        <v>165a</v>
      </c>
      <c r="C141" t="str">
        <f>'All Girls &amp; Descendants'!D139</f>
        <v>PURI</v>
      </c>
      <c r="D141" t="str">
        <f>'All Girls &amp; Descendants'!E139</f>
        <v>Leila</v>
      </c>
      <c r="E141" t="str">
        <f>IF('All Girls &amp; Descendants'!F139="","",'All Girls &amp; Descendants'!F139)</f>
        <v>Cherry</v>
      </c>
      <c r="F141" t="str">
        <f>IF('All Girls &amp; Descendants'!G139="","",'All Girls &amp; Descendants'!G139)</f>
        <v/>
      </c>
      <c r="G141" t="str">
        <f>IF('All Girls &amp; Descendants'!H139="",D141,'All Girls &amp; Descendants'!H139)</f>
        <v>Leila</v>
      </c>
      <c r="H141">
        <f>'All Girls &amp; Descendants'!I139</f>
        <v>2017</v>
      </c>
      <c r="I141" t="str">
        <f>'All Girls &amp; Descendants'!J139</f>
        <v/>
      </c>
      <c r="J141">
        <f>'All Girls &amp; Descendants'!K139</f>
        <v>0</v>
      </c>
      <c r="K141" s="7">
        <f>'All Girls &amp; Descendants'!M139</f>
        <v>42932</v>
      </c>
      <c r="L141" t="str">
        <f>'All Girls &amp; Descendants'!N139</f>
        <v xml:space="preserve"> - </v>
      </c>
      <c r="M141" t="str">
        <f>'All Girls &amp; Descendants'!O139</f>
        <v/>
      </c>
      <c r="N141" t="str">
        <f>'All Girls &amp; Descendants'!P139</f>
        <v/>
      </c>
      <c r="O141" t="str">
        <f>'All Girls &amp; Descendants'!Q139</f>
        <v>165</v>
      </c>
      <c r="P141" t="str">
        <f t="shared" si="53"/>
        <v>165a</v>
      </c>
      <c r="Q141" s="116">
        <f t="shared" si="54"/>
        <v>1</v>
      </c>
      <c r="R141" s="31" t="str">
        <f t="shared" si="55"/>
        <v>Leila Cherry  PURI</v>
      </c>
      <c r="S141" s="31" t="str">
        <f t="shared" si="56"/>
        <v>Leila PURI (2017 -: #165a)</v>
      </c>
      <c r="U141" s="117">
        <f t="shared" si="58"/>
        <v>11512</v>
      </c>
      <c r="V141" t="s">
        <v>1777</v>
      </c>
      <c r="W141" s="116">
        <f t="shared" si="59"/>
        <v>115</v>
      </c>
      <c r="X141" s="116" t="str">
        <f t="shared" si="60"/>
        <v>a</v>
      </c>
      <c r="Y141" s="116" t="str">
        <f t="shared" si="61"/>
        <v>b</v>
      </c>
    </row>
    <row r="142" spans="1:32">
      <c r="A142">
        <f>'All Girls &amp; Descendants'!B140</f>
        <v>165</v>
      </c>
      <c r="B142" t="str">
        <f>'All Girls &amp; Descendants'!C140</f>
        <v>165b</v>
      </c>
      <c r="C142" t="str">
        <f>'All Girls &amp; Descendants'!D140</f>
        <v>PURI</v>
      </c>
      <c r="D142" t="str">
        <f>'All Girls &amp; Descendants'!E140</f>
        <v>Alana</v>
      </c>
      <c r="E142" t="str">
        <f>IF('All Girls &amp; Descendants'!F140="","",'All Girls &amp; Descendants'!F140)</f>
        <v>Kailash</v>
      </c>
      <c r="F142" t="str">
        <f>IF('All Girls &amp; Descendants'!G140="","",'All Girls &amp; Descendants'!G140)</f>
        <v/>
      </c>
      <c r="G142" t="str">
        <f>IF('All Girls &amp; Descendants'!H140="",D142,'All Girls &amp; Descendants'!H140)</f>
        <v>Alana</v>
      </c>
      <c r="H142">
        <f>'All Girls &amp; Descendants'!I140</f>
        <v>2019</v>
      </c>
      <c r="I142" t="str">
        <f>'All Girls &amp; Descendants'!J140</f>
        <v/>
      </c>
      <c r="J142">
        <f>'All Girls &amp; Descendants'!K140</f>
        <v>0</v>
      </c>
      <c r="K142" s="7">
        <f>'All Girls &amp; Descendants'!M140</f>
        <v>43558</v>
      </c>
      <c r="L142" t="str">
        <f>'All Girls &amp; Descendants'!N140</f>
        <v xml:space="preserve"> - </v>
      </c>
      <c r="M142" t="str">
        <f>'All Girls &amp; Descendants'!O140</f>
        <v/>
      </c>
      <c r="N142" t="str">
        <f>'All Girls &amp; Descendants'!P140</f>
        <v/>
      </c>
      <c r="O142" t="str">
        <f>'All Girls &amp; Descendants'!Q140</f>
        <v>165</v>
      </c>
      <c r="P142" t="str">
        <f t="shared" si="53"/>
        <v>165b</v>
      </c>
      <c r="Q142" s="116">
        <f t="shared" si="54"/>
        <v>1</v>
      </c>
      <c r="R142" s="31" t="str">
        <f t="shared" si="55"/>
        <v>Alana Kailash  PURI</v>
      </c>
      <c r="S142" s="31" t="str">
        <f t="shared" si="56"/>
        <v>Alana PURI (2019 -: #165b)</v>
      </c>
      <c r="U142" s="117">
        <f t="shared" si="58"/>
        <v>11513</v>
      </c>
      <c r="V142" t="s">
        <v>1778</v>
      </c>
      <c r="W142" s="116">
        <f t="shared" si="59"/>
        <v>115</v>
      </c>
      <c r="X142" s="116" t="str">
        <f t="shared" si="60"/>
        <v>a</v>
      </c>
      <c r="Y142" s="116" t="str">
        <f t="shared" si="61"/>
        <v>c</v>
      </c>
    </row>
    <row r="143" spans="1:32">
      <c r="A143">
        <f>'All Girls &amp; Descendants'!B141</f>
        <v>168</v>
      </c>
      <c r="B143" t="str">
        <f>'All Girls &amp; Descendants'!C141</f>
        <v>168a</v>
      </c>
      <c r="C143" t="str">
        <f>'All Girls &amp; Descendants'!D141</f>
        <v>POWELL</v>
      </c>
      <c r="D143" t="str">
        <f>'All Girls &amp; Descendants'!E141</f>
        <v>Nicholas</v>
      </c>
      <c r="E143" t="str">
        <f>IF('All Girls &amp; Descendants'!F141="","",'All Girls &amp; Descendants'!F141)</f>
        <v>Rudyard</v>
      </c>
      <c r="F143" t="str">
        <f>IF('All Girls &amp; Descendants'!G141="","",'All Girls &amp; Descendants'!G141)</f>
        <v>Wroughton</v>
      </c>
      <c r="G143" t="str">
        <f>IF('All Girls &amp; Descendants'!H141="",D143,'All Girls &amp; Descendants'!H141)</f>
        <v>Nicholas</v>
      </c>
      <c r="H143">
        <f>'All Girls &amp; Descendants'!I141</f>
        <v>2020</v>
      </c>
      <c r="I143" t="str">
        <f>'All Girls &amp; Descendants'!J141</f>
        <v/>
      </c>
      <c r="J143">
        <f>'All Girls &amp; Descendants'!K141</f>
        <v>0</v>
      </c>
      <c r="K143" s="7">
        <f>'All Girls &amp; Descendants'!M141</f>
        <v>44175</v>
      </c>
      <c r="L143" t="str">
        <f>'All Girls &amp; Descendants'!N141</f>
        <v xml:space="preserve"> - </v>
      </c>
      <c r="M143" t="str">
        <f>'All Girls &amp; Descendants'!O141</f>
        <v/>
      </c>
      <c r="N143" t="str">
        <f>'All Girls &amp; Descendants'!P141</f>
        <v/>
      </c>
      <c r="O143" t="str">
        <f>'All Girls &amp; Descendants'!Q141</f>
        <v>168</v>
      </c>
      <c r="P143" t="str">
        <f t="shared" si="53"/>
        <v>168a</v>
      </c>
      <c r="Q143" s="116">
        <f t="shared" si="54"/>
        <v>1</v>
      </c>
      <c r="R143" s="31" t="str">
        <f t="shared" si="55"/>
        <v>Nicholas Rudyard Wroughton POWELL</v>
      </c>
      <c r="S143" s="31" t="str">
        <f t="shared" si="56"/>
        <v>Nicholas POWELL (2020 -: #168a)</v>
      </c>
      <c r="U143" s="117">
        <f t="shared" si="58"/>
        <v>11521</v>
      </c>
      <c r="V143" t="s">
        <v>1782</v>
      </c>
      <c r="W143" s="116">
        <f t="shared" si="59"/>
        <v>115</v>
      </c>
      <c r="X143" s="116" t="str">
        <f t="shared" si="60"/>
        <v>b</v>
      </c>
      <c r="Y143" s="116" t="str">
        <f t="shared" si="61"/>
        <v>a</v>
      </c>
    </row>
    <row r="144" spans="1:32">
      <c r="A144">
        <f>'All Girls &amp; Descendants'!B143</f>
        <v>170</v>
      </c>
      <c r="B144" t="str">
        <f>'All Girls &amp; Descendants'!C143</f>
        <v>170a</v>
      </c>
      <c r="C144" t="str">
        <f>'All Girls &amp; Descendants'!D143</f>
        <v>POWELL</v>
      </c>
      <c r="D144" t="str">
        <f>'All Girls &amp; Descendants'!E143</f>
        <v>Angus</v>
      </c>
      <c r="E144" t="str">
        <f>IF('All Girls &amp; Descendants'!F143="","",'All Girls &amp; Descendants'!F143)</f>
        <v>Thomas</v>
      </c>
      <c r="F144" t="str">
        <f>IF('All Girls &amp; Descendants'!G143="","",'All Girls &amp; Descendants'!G143)</f>
        <v>Folliott</v>
      </c>
      <c r="G144" t="str">
        <f>IF('All Girls &amp; Descendants'!H143="",D144,'All Girls &amp; Descendants'!H143)</f>
        <v>Angus</v>
      </c>
      <c r="H144">
        <f>'All Girls &amp; Descendants'!I143</f>
        <v>2021</v>
      </c>
      <c r="I144" t="str">
        <f>'All Girls &amp; Descendants'!J143</f>
        <v/>
      </c>
      <c r="J144">
        <f>'All Girls &amp; Descendants'!K143</f>
        <v>0</v>
      </c>
      <c r="K144" s="7">
        <f>'All Girls &amp; Descendants'!M143</f>
        <v>44374</v>
      </c>
      <c r="L144" t="str">
        <f>'All Girls &amp; Descendants'!N143</f>
        <v xml:space="preserve"> - </v>
      </c>
      <c r="M144" t="str">
        <f>'All Girls &amp; Descendants'!O143</f>
        <v/>
      </c>
      <c r="N144" t="str">
        <f>'All Girls &amp; Descendants'!P143</f>
        <v/>
      </c>
      <c r="O144" t="str">
        <f>'All Girls &amp; Descendants'!Q143</f>
        <v>170</v>
      </c>
      <c r="P144" t="str">
        <f t="shared" si="53"/>
        <v>170a</v>
      </c>
      <c r="Q144" s="116">
        <f t="shared" si="54"/>
        <v>1</v>
      </c>
      <c r="R144" s="31" t="str">
        <f t="shared" si="55"/>
        <v>Angus Thomas Folliott POWELL</v>
      </c>
      <c r="S144" s="31" t="str">
        <f t="shared" si="56"/>
        <v>Angus POWELL (2021 -: #170a)</v>
      </c>
      <c r="U144" s="117">
        <f t="shared" si="58"/>
        <v>11522</v>
      </c>
      <c r="V144" t="s">
        <v>1783</v>
      </c>
      <c r="W144" s="116">
        <f t="shared" si="59"/>
        <v>115</v>
      </c>
      <c r="X144" s="116" t="str">
        <f t="shared" si="60"/>
        <v>b</v>
      </c>
      <c r="Y144" s="116" t="str">
        <f t="shared" si="61"/>
        <v>b</v>
      </c>
    </row>
    <row r="145" spans="1:25" ht="34">
      <c r="A145">
        <f>'All Girls &amp; Descendants'!B144</f>
        <v>2</v>
      </c>
      <c r="B145" t="str">
        <f>'All Girls &amp; Descendants'!C144</f>
        <v>2aa</v>
      </c>
      <c r="C145" t="str">
        <f>'All Girls &amp; Descendants'!D144</f>
        <v>DAVIES</v>
      </c>
      <c r="D145" t="str">
        <f>'All Girls &amp; Descendants'!E144</f>
        <v>William</v>
      </c>
      <c r="E145" t="str">
        <f>IF('All Girls &amp; Descendants'!F144="","",'All Girls &amp; Descendants'!F144)</f>
        <v/>
      </c>
      <c r="F145" t="str">
        <f>IF('All Girls &amp; Descendants'!G144="","",'All Girls &amp; Descendants'!G144)</f>
        <v/>
      </c>
      <c r="G145" t="str">
        <f>IF('All Girls &amp; Descendants'!H144="",D145,'All Girls &amp; Descendants'!H144)</f>
        <v>William</v>
      </c>
      <c r="H145" t="str">
        <f>'All Girls &amp; Descendants'!I144</f>
        <v>Date unknown</v>
      </c>
      <c r="I145">
        <f>'All Girls &amp; Descendants'!J144</f>
        <v>1908</v>
      </c>
      <c r="J145">
        <f>'All Girls &amp; Descendants'!K144</f>
        <v>0</v>
      </c>
      <c r="K145" s="7" t="str">
        <f>'All Girls &amp; Descendants'!M144</f>
        <v>Date unknown</v>
      </c>
      <c r="L145" t="str">
        <f>'All Girls &amp; Descendants'!N144</f>
        <v xml:space="preserve"> - </v>
      </c>
      <c r="M145">
        <f>'All Girls &amp; Descendants'!O144</f>
        <v>2982</v>
      </c>
      <c r="N145" t="str">
        <f>'All Girls &amp; Descendants'!P144</f>
        <v>29/02/1908</v>
      </c>
      <c r="O145" t="str">
        <f>'All Girls &amp; Descendants'!Q144</f>
        <v>2a</v>
      </c>
      <c r="P145" t="str">
        <f t="shared" si="53"/>
        <v>2aa</v>
      </c>
      <c r="Q145" s="116">
        <f t="shared" si="54"/>
        <v>2</v>
      </c>
      <c r="R145" s="31" t="str">
        <f t="shared" si="55"/>
        <v>William   DAVIES</v>
      </c>
      <c r="S145" s="31" t="str">
        <f t="shared" si="56"/>
        <v>William DAVIES (Date unknown -1908: #2aa)</v>
      </c>
      <c r="U145" s="117">
        <f t="shared" si="58"/>
        <v>11523</v>
      </c>
      <c r="V145" t="s">
        <v>1784</v>
      </c>
      <c r="W145" s="116">
        <f t="shared" si="59"/>
        <v>115</v>
      </c>
      <c r="X145" s="116" t="str">
        <f t="shared" si="60"/>
        <v>b</v>
      </c>
      <c r="Y145" s="116" t="str">
        <f t="shared" si="61"/>
        <v>c</v>
      </c>
    </row>
    <row r="146" spans="1:25" ht="17">
      <c r="A146">
        <f>'All Girls &amp; Descendants'!B145</f>
        <v>2</v>
      </c>
      <c r="B146" t="str">
        <f>'All Girls &amp; Descendants'!C145</f>
        <v>2ca</v>
      </c>
      <c r="C146" t="str">
        <f>'All Girls &amp; Descendants'!D145</f>
        <v>DAVIES</v>
      </c>
      <c r="D146" t="str">
        <f>'All Girls &amp; Descendants'!E145</f>
        <v>Catherine</v>
      </c>
      <c r="E146" t="str">
        <f>IF('All Girls &amp; Descendants'!F145="","",'All Girls &amp; Descendants'!F145)</f>
        <v/>
      </c>
      <c r="F146" t="str">
        <f>IF('All Girls &amp; Descendants'!G145="","",'All Girls &amp; Descendants'!G145)</f>
        <v/>
      </c>
      <c r="G146" t="str">
        <f>IF('All Girls &amp; Descendants'!H145="",D146,'All Girls &amp; Descendants'!H145)</f>
        <v>Catherine</v>
      </c>
      <c r="H146">
        <f>'All Girls &amp; Descendants'!I145</f>
        <v>1829</v>
      </c>
      <c r="I146">
        <f>'All Girls &amp; Descendants'!J145</f>
        <v>1866</v>
      </c>
      <c r="J146">
        <f>'All Girls &amp; Descendants'!K145</f>
        <v>0</v>
      </c>
      <c r="K146" s="7" t="str">
        <f>'All Girls &amp; Descendants'!M145</f>
        <v>09/10/1829</v>
      </c>
      <c r="L146" t="str">
        <f>'All Girls &amp; Descendants'!N145</f>
        <v>26/09/1851</v>
      </c>
      <c r="M146" t="str">
        <f>'All Girls &amp; Descendants'!O145</f>
        <v>1866</v>
      </c>
      <c r="N146" t="str">
        <f>'All Girls &amp; Descendants'!P145</f>
        <v>08/02/1905</v>
      </c>
      <c r="O146" t="str">
        <f>'All Girls &amp; Descendants'!Q145</f>
        <v>2c</v>
      </c>
      <c r="P146" t="str">
        <f t="shared" si="53"/>
        <v>2ca</v>
      </c>
      <c r="Q146" s="116">
        <f t="shared" si="54"/>
        <v>2</v>
      </c>
      <c r="R146" s="31" t="str">
        <f t="shared" si="55"/>
        <v>Catherine   DAVIES</v>
      </c>
      <c r="S146" s="31" t="str">
        <f t="shared" si="56"/>
        <v>Catherine DAVIES (1829 -1866: #2ca)</v>
      </c>
      <c r="U146" s="117">
        <f t="shared" si="58"/>
        <v>12311</v>
      </c>
      <c r="V146" t="s">
        <v>3686</v>
      </c>
      <c r="W146" s="116">
        <f t="shared" si="59"/>
        <v>123</v>
      </c>
      <c r="X146" s="116" t="str">
        <f t="shared" si="60"/>
        <v>a</v>
      </c>
      <c r="Y146" s="116" t="str">
        <f t="shared" si="61"/>
        <v>a</v>
      </c>
    </row>
    <row r="147" spans="1:25" ht="17">
      <c r="A147">
        <f>'All Girls &amp; Descendants'!B146</f>
        <v>18</v>
      </c>
      <c r="B147" t="str">
        <f>'All Girls &amp; Descendants'!C146</f>
        <v>18ba</v>
      </c>
      <c r="C147" t="str">
        <f>'All Girls &amp; Descendants'!D146</f>
        <v>NICOL</v>
      </c>
      <c r="D147" t="str">
        <f>'All Girls &amp; Descendants'!E146</f>
        <v>Malcolm</v>
      </c>
      <c r="E147" t="str">
        <f>IF('All Girls &amp; Descendants'!F146="","",'All Girls &amp; Descendants'!F146)</f>
        <v>William</v>
      </c>
      <c r="F147" t="str">
        <f>IF('All Girls &amp; Descendants'!G146="","",'All Girls &amp; Descendants'!G146)</f>
        <v>Prout</v>
      </c>
      <c r="G147" t="str">
        <f>IF('All Girls &amp; Descendants'!H146="",D147,'All Girls &amp; Descendants'!H146)</f>
        <v>Malcolm</v>
      </c>
      <c r="H147">
        <f>'All Girls &amp; Descendants'!I146</f>
        <v>1879</v>
      </c>
      <c r="I147">
        <f>'All Girls &amp; Descendants'!J146</f>
        <v>1891</v>
      </c>
      <c r="J147">
        <f>'All Girls &amp; Descendants'!K146</f>
        <v>0</v>
      </c>
      <c r="K147" s="7" t="str">
        <f>'All Girls &amp; Descendants'!M146</f>
        <v>20/04/1879</v>
      </c>
      <c r="L147" t="str">
        <f>'All Girls &amp; Descendants'!N146</f>
        <v>Unmarried</v>
      </c>
      <c r="M147" t="str">
        <f>'All Girls &amp; Descendants'!O146</f>
        <v>04/04/1891</v>
      </c>
      <c r="N147" t="str">
        <f>'All Girls &amp; Descendants'!P146</f>
        <v>04/04/1891</v>
      </c>
      <c r="O147" t="str">
        <f>'All Girls &amp; Descendants'!Q146</f>
        <v>18b</v>
      </c>
      <c r="P147" t="str">
        <f t="shared" si="53"/>
        <v>18ba</v>
      </c>
      <c r="Q147" s="116">
        <f t="shared" si="54"/>
        <v>2</v>
      </c>
      <c r="R147" s="31" t="str">
        <f t="shared" si="55"/>
        <v>Malcolm William Prout NICOL</v>
      </c>
      <c r="S147" s="31" t="str">
        <f t="shared" si="56"/>
        <v>Malcolm NICOL (1879 -1891: #18ba)</v>
      </c>
      <c r="U147" s="117">
        <f t="shared" si="58"/>
        <v>12312</v>
      </c>
      <c r="V147" t="s">
        <v>3691</v>
      </c>
      <c r="W147" s="116">
        <f t="shared" si="59"/>
        <v>123</v>
      </c>
      <c r="X147" s="116" t="str">
        <f t="shared" si="60"/>
        <v>a</v>
      </c>
      <c r="Y147" s="116" t="str">
        <f t="shared" si="61"/>
        <v>b</v>
      </c>
    </row>
    <row r="148" spans="1:25" ht="17">
      <c r="A148">
        <f>'All Girls &amp; Descendants'!B147</f>
        <v>18</v>
      </c>
      <c r="B148" t="str">
        <f>'All Girls &amp; Descendants'!C147</f>
        <v>18bb</v>
      </c>
      <c r="C148" t="str">
        <f>'All Girls &amp; Descendants'!D147</f>
        <v>NICOL</v>
      </c>
      <c r="D148" t="str">
        <f>'All Girls &amp; Descendants'!E147</f>
        <v>Margery</v>
      </c>
      <c r="E148" t="str">
        <f>IF('All Girls &amp; Descendants'!F147="","",'All Girls &amp; Descendants'!F147)</f>
        <v>Catherine</v>
      </c>
      <c r="F148" t="str">
        <f>IF('All Girls &amp; Descendants'!G147="","",'All Girls &amp; Descendants'!G147)</f>
        <v/>
      </c>
      <c r="G148" t="str">
        <f>IF('All Girls &amp; Descendants'!H147="",D148,'All Girls &amp; Descendants'!H147)</f>
        <v>Margery</v>
      </c>
      <c r="H148">
        <f>'All Girls &amp; Descendants'!I147</f>
        <v>1880</v>
      </c>
      <c r="I148">
        <f>'All Girls &amp; Descendants'!J147</f>
        <v>1963</v>
      </c>
      <c r="J148">
        <f>'All Girls &amp; Descendants'!K147</f>
        <v>0</v>
      </c>
      <c r="K148" s="7" t="str">
        <f>'All Girls &amp; Descendants'!M147</f>
        <v>08/05/1880</v>
      </c>
      <c r="L148">
        <f>'All Girls &amp; Descendants'!N147</f>
        <v>3764</v>
      </c>
      <c r="M148">
        <f>'All Girls &amp; Descendants'!O147</f>
        <v>23101</v>
      </c>
      <c r="N148" t="str">
        <f>'All Girls &amp; Descendants'!P147</f>
        <v>31/03/1963</v>
      </c>
      <c r="O148" t="str">
        <f>'All Girls &amp; Descendants'!Q147</f>
        <v>18b</v>
      </c>
      <c r="P148" t="str">
        <f t="shared" si="53"/>
        <v>18bb</v>
      </c>
      <c r="Q148" s="116">
        <f t="shared" si="54"/>
        <v>2</v>
      </c>
      <c r="R148" s="31" t="str">
        <f t="shared" si="55"/>
        <v>Margery Catherine  NICOL</v>
      </c>
      <c r="S148" s="31" t="str">
        <f t="shared" si="56"/>
        <v>Margery NICOL (1880 -1963: #18bb)</v>
      </c>
      <c r="U148" s="117">
        <f t="shared" si="58"/>
        <v>12321</v>
      </c>
      <c r="V148" t="s">
        <v>3696</v>
      </c>
      <c r="W148" s="116">
        <f t="shared" si="59"/>
        <v>123</v>
      </c>
      <c r="X148" s="116" t="str">
        <f t="shared" si="60"/>
        <v>b</v>
      </c>
      <c r="Y148" s="116" t="str">
        <f t="shared" si="61"/>
        <v>a</v>
      </c>
    </row>
    <row r="149" spans="1:25" ht="17">
      <c r="A149">
        <f>'All Girls &amp; Descendants'!B148</f>
        <v>18</v>
      </c>
      <c r="B149" t="str">
        <f>'All Girls &amp; Descendants'!C148</f>
        <v>18bc</v>
      </c>
      <c r="C149" t="str">
        <f>'All Girls &amp; Descendants'!D148</f>
        <v>NICOL</v>
      </c>
      <c r="D149" t="str">
        <f>'All Girls &amp; Descendants'!E148</f>
        <v>Randall</v>
      </c>
      <c r="E149" t="str">
        <f>IF('All Girls &amp; Descendants'!F148="","",'All Girls &amp; Descendants'!F148)</f>
        <v>James</v>
      </c>
      <c r="F149" t="str">
        <f>IF('All Girls &amp; Descendants'!G148="","",'All Girls &amp; Descendants'!G148)</f>
        <v/>
      </c>
      <c r="G149" t="str">
        <f>IF('All Girls &amp; Descendants'!H148="",D149,'All Girls &amp; Descendants'!H148)</f>
        <v>Randall</v>
      </c>
      <c r="H149">
        <f>'All Girls &amp; Descendants'!I148</f>
        <v>1882</v>
      </c>
      <c r="I149">
        <f>'All Girls &amp; Descendants'!J148</f>
        <v>1941</v>
      </c>
      <c r="J149">
        <f>'All Girls &amp; Descendants'!K148</f>
        <v>0</v>
      </c>
      <c r="K149" s="7" t="str">
        <f>'All Girls &amp; Descendants'!M148</f>
        <v>19/08/1882</v>
      </c>
      <c r="L149" t="str">
        <f>'All Girls &amp; Descendants'!N148</f>
        <v xml:space="preserve"> - </v>
      </c>
      <c r="M149">
        <f>'All Girls &amp; Descendants'!O148</f>
        <v>15298</v>
      </c>
      <c r="N149" t="str">
        <f>'All Girls &amp; Descendants'!P148</f>
        <v>18/11/1941</v>
      </c>
      <c r="O149" t="str">
        <f>'All Girls &amp; Descendants'!Q148</f>
        <v>18b</v>
      </c>
      <c r="P149" t="str">
        <f t="shared" si="53"/>
        <v>18bc</v>
      </c>
      <c r="Q149" s="116">
        <f t="shared" si="54"/>
        <v>2</v>
      </c>
      <c r="R149" s="31" t="str">
        <f t="shared" si="55"/>
        <v>Randall James  NICOL</v>
      </c>
      <c r="S149" s="31" t="str">
        <f t="shared" si="56"/>
        <v>Randall NICOL (1882 -1941: #18bc)</v>
      </c>
      <c r="U149" s="117">
        <f t="shared" si="58"/>
        <v>12322</v>
      </c>
      <c r="V149" t="s">
        <v>3697</v>
      </c>
      <c r="W149" s="116">
        <f t="shared" si="59"/>
        <v>123</v>
      </c>
      <c r="X149" s="116" t="str">
        <f t="shared" si="60"/>
        <v>b</v>
      </c>
      <c r="Y149" s="116" t="str">
        <f t="shared" si="61"/>
        <v>b</v>
      </c>
    </row>
    <row r="150" spans="1:25" ht="17">
      <c r="A150">
        <f>'All Girls &amp; Descendants'!B149</f>
        <v>18</v>
      </c>
      <c r="B150" t="str">
        <f>'All Girls &amp; Descendants'!C149</f>
        <v>18bd</v>
      </c>
      <c r="C150" t="str">
        <f>'All Girls &amp; Descendants'!D149</f>
        <v>NICOL</v>
      </c>
      <c r="D150" t="str">
        <f>'All Girls &amp; Descendants'!E149</f>
        <v>Dorothy</v>
      </c>
      <c r="E150" t="str">
        <f>IF('All Girls &amp; Descendants'!F149="","",'All Girls &amp; Descendants'!F149)</f>
        <v>Ada</v>
      </c>
      <c r="F150" t="str">
        <f>IF('All Girls &amp; Descendants'!G149="","",'All Girls &amp; Descendants'!G149)</f>
        <v/>
      </c>
      <c r="G150" t="str">
        <f>IF('All Girls &amp; Descendants'!H149="",D150,'All Girls &amp; Descendants'!H149)</f>
        <v>Dorothy</v>
      </c>
      <c r="H150">
        <f>'All Girls &amp; Descendants'!I149</f>
        <v>1885</v>
      </c>
      <c r="I150">
        <f>'All Girls &amp; Descendants'!J149</f>
        <v>1964</v>
      </c>
      <c r="J150">
        <f>'All Girls &amp; Descendants'!K149</f>
        <v>0</v>
      </c>
      <c r="K150" s="7" t="str">
        <f>'All Girls &amp; Descendants'!M149</f>
        <v>20/08/1885</v>
      </c>
      <c r="L150" t="str">
        <f>'All Girls &amp; Descendants'!N149</f>
        <v xml:space="preserve"> - </v>
      </c>
      <c r="M150">
        <f>'All Girls &amp; Descendants'!O149</f>
        <v>23410</v>
      </c>
      <c r="N150" t="str">
        <f>'All Girls &amp; Descendants'!P149</f>
        <v>03/02/1964</v>
      </c>
      <c r="O150" t="str">
        <f>'All Girls &amp; Descendants'!Q149</f>
        <v>18b</v>
      </c>
      <c r="P150" t="str">
        <f t="shared" si="53"/>
        <v>18bd</v>
      </c>
      <c r="Q150" s="116">
        <f t="shared" si="54"/>
        <v>2</v>
      </c>
      <c r="R150" s="31" t="str">
        <f t="shared" si="55"/>
        <v>Dorothy Ada  NICOL</v>
      </c>
      <c r="S150" s="31" t="str">
        <f t="shared" si="56"/>
        <v>Dorothy NICOL (1885 -1964: #18bd)</v>
      </c>
      <c r="U150" s="117">
        <f t="shared" si="58"/>
        <v>12323</v>
      </c>
      <c r="V150" t="s">
        <v>3698</v>
      </c>
      <c r="W150" s="116">
        <f>VALUE(LEFT(V150,3))</f>
        <v>123</v>
      </c>
      <c r="X150" s="116" t="str">
        <f>MID(V150,4,1)</f>
        <v>b</v>
      </c>
      <c r="Y150" s="116" t="str">
        <f>RIGHT(V150,1)</f>
        <v>c</v>
      </c>
    </row>
    <row r="151" spans="1:25" ht="17">
      <c r="A151">
        <f>'All Girls &amp; Descendants'!B150</f>
        <v>18</v>
      </c>
      <c r="B151" t="str">
        <f>'All Girls &amp; Descendants'!C150</f>
        <v>18ea</v>
      </c>
      <c r="C151" t="str">
        <f>'All Girls &amp; Descendants'!D150</f>
        <v>NICOL</v>
      </c>
      <c r="D151" t="str">
        <f>'All Girls &amp; Descendants'!E150</f>
        <v>Violet</v>
      </c>
      <c r="E151" t="str">
        <f>IF('All Girls &amp; Descendants'!F150="","",'All Girls &amp; Descendants'!F150)</f>
        <v>Dyce</v>
      </c>
      <c r="F151" t="str">
        <f>IF('All Girls &amp; Descendants'!G150="","",'All Girls &amp; Descendants'!G150)</f>
        <v>Norah</v>
      </c>
      <c r="G151" t="str">
        <f>IF('All Girls &amp; Descendants'!H150="",D151,'All Girls &amp; Descendants'!H150)</f>
        <v>Violet</v>
      </c>
      <c r="H151">
        <f>'All Girls &amp; Descendants'!I150</f>
        <v>1887</v>
      </c>
      <c r="I151">
        <f>'All Girls &amp; Descendants'!J150</f>
        <v>1957</v>
      </c>
      <c r="J151">
        <f>'All Girls &amp; Descendants'!K150</f>
        <v>0</v>
      </c>
      <c r="K151" s="7" t="str">
        <f>'All Girls &amp; Descendants'!M150</f>
        <v>12/09/1887</v>
      </c>
      <c r="L151">
        <f>'All Girls &amp; Descendants'!N150</f>
        <v>3686</v>
      </c>
      <c r="M151">
        <f>'All Girls &amp; Descendants'!O150</f>
        <v>21048</v>
      </c>
      <c r="N151" t="str">
        <f>'All Girls &amp; Descendants'!P150</f>
        <v>16/08/1957</v>
      </c>
      <c r="O151" t="str">
        <f>'All Girls &amp; Descendants'!Q150</f>
        <v>18e</v>
      </c>
      <c r="P151" t="str">
        <f t="shared" si="53"/>
        <v>18ea</v>
      </c>
      <c r="Q151" s="116">
        <f t="shared" si="54"/>
        <v>2</v>
      </c>
      <c r="R151" s="31" t="str">
        <f t="shared" si="55"/>
        <v>Violet Dyce Norah NICOL</v>
      </c>
      <c r="S151" s="31" t="str">
        <f t="shared" si="56"/>
        <v>Violet NICOL (1887 -1957: #18ea)</v>
      </c>
      <c r="U151" s="117">
        <f t="shared" si="58"/>
        <v>14311</v>
      </c>
      <c r="V151" t="s">
        <v>3051</v>
      </c>
      <c r="W151" s="116">
        <f>VALUE(LEFT(V151,3))</f>
        <v>143</v>
      </c>
      <c r="X151" s="116" t="str">
        <f>MID(V151,4,1)</f>
        <v>a</v>
      </c>
      <c r="Y151" s="116" t="str">
        <f>RIGHT(V151,1)</f>
        <v>a</v>
      </c>
    </row>
    <row r="152" spans="1:25" ht="17">
      <c r="A152">
        <f>'All Girls &amp; Descendants'!B151</f>
        <v>36</v>
      </c>
      <c r="B152" t="str">
        <f>'All Girls &amp; Descendants'!C151</f>
        <v>36aa</v>
      </c>
      <c r="C152" t="str">
        <f>'All Girls &amp; Descendants'!D151</f>
        <v>COURTHOPE</v>
      </c>
      <c r="D152" t="str">
        <f>'All Girls &amp; Descendants'!E151</f>
        <v>The Hon Hilda</v>
      </c>
      <c r="E152" t="str">
        <f>IF('All Girls &amp; Descendants'!F151="","",'All Girls &amp; Descendants'!F151)</f>
        <v>Beryl</v>
      </c>
      <c r="F152" t="str">
        <f>IF('All Girls &amp; Descendants'!G151="","",'All Girls &amp; Descendants'!G151)</f>
        <v/>
      </c>
      <c r="G152" t="str">
        <f>IF('All Girls &amp; Descendants'!H151="",D152,'All Girls &amp; Descendants'!H151)</f>
        <v>Beryl</v>
      </c>
      <c r="H152">
        <f>'All Girls &amp; Descendants'!I151</f>
        <v>1900</v>
      </c>
      <c r="I152">
        <f>'All Girls &amp; Descendants'!J151</f>
        <v>1974</v>
      </c>
      <c r="J152">
        <f>'All Girls &amp; Descendants'!K151</f>
        <v>0</v>
      </c>
      <c r="K152" s="7" t="str">
        <f>'All Girls &amp; Descendants'!M151</f>
        <v>02/11/1900</v>
      </c>
      <c r="L152" t="str">
        <f>'All Girls &amp; Descendants'!N151</f>
        <v xml:space="preserve"> - </v>
      </c>
      <c r="M152">
        <f>'All Girls &amp; Descendants'!O151</f>
        <v>27246</v>
      </c>
      <c r="N152" t="str">
        <f>'All Girls &amp; Descendants'!P151</f>
        <v>05/08/1974</v>
      </c>
      <c r="O152" t="str">
        <f>'All Girls &amp; Descendants'!Q151</f>
        <v>36a</v>
      </c>
      <c r="P152" t="str">
        <f t="shared" si="53"/>
        <v>36aa</v>
      </c>
      <c r="Q152" s="116">
        <f t="shared" si="54"/>
        <v>2</v>
      </c>
      <c r="R152" s="31" t="str">
        <f t="shared" si="55"/>
        <v>The Hon Hilda Beryl  COURTHOPE</v>
      </c>
      <c r="S152" s="31" t="str">
        <f t="shared" si="56"/>
        <v>Beryl COURTHOPE (1900 -1974: #36aa)</v>
      </c>
    </row>
    <row r="153" spans="1:25" ht="17">
      <c r="A153">
        <f>'All Girls &amp; Descendants'!B152</f>
        <v>36</v>
      </c>
      <c r="B153" t="str">
        <f>'All Girls &amp; Descendants'!C152</f>
        <v>36ab</v>
      </c>
      <c r="C153" t="str">
        <f>'All Girls &amp; Descendants'!D152</f>
        <v>COURTHOPE</v>
      </c>
      <c r="D153" t="str">
        <f>'All Girls &amp; Descendants'!E152</f>
        <v>The Hon Elinor</v>
      </c>
      <c r="E153" t="str">
        <f>IF('All Girls &amp; Descendants'!F152="","",'All Girls &amp; Descendants'!F152)</f>
        <v>Daphne</v>
      </c>
      <c r="F153" t="str">
        <f>IF('All Girls &amp; Descendants'!G152="","",'All Girls &amp; Descendants'!G152)</f>
        <v/>
      </c>
      <c r="G153" t="str">
        <f>IF('All Girls &amp; Descendants'!H152="",D153,'All Girls &amp; Descendants'!H152)</f>
        <v>Daphne</v>
      </c>
      <c r="H153">
        <f>'All Girls &amp; Descendants'!I152</f>
        <v>1902</v>
      </c>
      <c r="I153">
        <f>'All Girls &amp; Descendants'!J152</f>
        <v>1980</v>
      </c>
      <c r="J153">
        <f>'All Girls &amp; Descendants'!K152</f>
        <v>0</v>
      </c>
      <c r="K153" s="7" t="str">
        <f>'All Girls &amp; Descendants'!M152</f>
        <v>11/10/1902</v>
      </c>
      <c r="L153" t="str">
        <f>'All Girls &amp; Descendants'!N152</f>
        <v xml:space="preserve"> - </v>
      </c>
      <c r="M153">
        <f>'All Girls &amp; Descendants'!O152</f>
        <v>29387</v>
      </c>
      <c r="N153" t="str">
        <f>'All Girls &amp; Descendants'!P152</f>
        <v>15/06/1980</v>
      </c>
      <c r="O153" t="str">
        <f>'All Girls &amp; Descendants'!Q152</f>
        <v>36a</v>
      </c>
      <c r="P153" t="str">
        <f t="shared" si="53"/>
        <v>36ab</v>
      </c>
      <c r="Q153" s="116">
        <f t="shared" si="54"/>
        <v>2</v>
      </c>
      <c r="R153" s="31" t="str">
        <f t="shared" si="55"/>
        <v>The Hon Elinor Daphne  COURTHOPE</v>
      </c>
      <c r="S153" s="31" t="str">
        <f t="shared" si="56"/>
        <v>Daphne COURTHOPE (1902 -1980: #36ab)</v>
      </c>
    </row>
    <row r="154" spans="1:25">
      <c r="A154">
        <f>'All Girls &amp; Descendants'!B153</f>
        <v>36</v>
      </c>
      <c r="B154" t="str">
        <f>'All Girls &amp; Descendants'!C153</f>
        <v>36da</v>
      </c>
      <c r="C154" t="str">
        <f>'All Girls &amp; Descendants'!D153</f>
        <v>POWELL</v>
      </c>
      <c r="D154" t="str">
        <f>'All Girls &amp; Descendants'!E153</f>
        <v>Elinor</v>
      </c>
      <c r="E154" t="str">
        <f>IF('All Girls &amp; Descendants'!F153="","",'All Girls &amp; Descendants'!F153)</f>
        <v>Mary</v>
      </c>
      <c r="F154" t="str">
        <f>IF('All Girls &amp; Descendants'!G153="","",'All Girls &amp; Descendants'!G153)</f>
        <v/>
      </c>
      <c r="G154" t="str">
        <f>IF('All Girls &amp; Descendants'!H153="",D154,'All Girls &amp; Descendants'!H153)</f>
        <v>Elinor</v>
      </c>
      <c r="H154">
        <f>'All Girls &amp; Descendants'!I153</f>
        <v>1911</v>
      </c>
      <c r="I154">
        <f>'All Girls &amp; Descendants'!J153</f>
        <v>1997</v>
      </c>
      <c r="J154">
        <f>'All Girls &amp; Descendants'!K153</f>
        <v>0</v>
      </c>
      <c r="K154" s="7">
        <f>'All Girls &amp; Descendants'!M153</f>
        <v>4249</v>
      </c>
      <c r="L154" t="str">
        <f>'All Girls &amp; Descendants'!N153</f>
        <v xml:space="preserve"> - </v>
      </c>
      <c r="M154">
        <f>'All Girls &amp; Descendants'!O153</f>
        <v>35631</v>
      </c>
      <c r="N154" t="str">
        <f>'All Girls &amp; Descendants'!P153</f>
        <v>20/07/1997</v>
      </c>
      <c r="O154" t="str">
        <f>'All Girls &amp; Descendants'!Q153</f>
        <v>36d</v>
      </c>
      <c r="P154" t="str">
        <f t="shared" si="53"/>
        <v>36da</v>
      </c>
      <c r="Q154" s="116">
        <f t="shared" si="54"/>
        <v>2</v>
      </c>
      <c r="R154" s="31" t="str">
        <f t="shared" si="55"/>
        <v>Elinor Mary  POWELL</v>
      </c>
      <c r="S154" s="31" t="str">
        <f t="shared" si="56"/>
        <v>Elinor POWELL (1911 -1997: #36da)</v>
      </c>
    </row>
    <row r="155" spans="1:25">
      <c r="A155">
        <f>'All Girls &amp; Descendants'!B154</f>
        <v>36</v>
      </c>
      <c r="B155" t="str">
        <f>'All Girls &amp; Descendants'!C154</f>
        <v>36db</v>
      </c>
      <c r="C155" t="str">
        <f>'All Girls &amp; Descendants'!D154</f>
        <v>POWELL</v>
      </c>
      <c r="D155" t="str">
        <f>'All Girls &amp; Descendants'!E154</f>
        <v>John</v>
      </c>
      <c r="E155" t="str">
        <f>IF('All Girls &amp; Descendants'!F154="","",'All Girls &amp; Descendants'!F154)</f>
        <v>Henry</v>
      </c>
      <c r="F155" t="str">
        <f>IF('All Girls &amp; Descendants'!G154="","",'All Girls &amp; Descendants'!G154)</f>
        <v>Courthope</v>
      </c>
      <c r="G155" t="str">
        <f>IF('All Girls &amp; Descendants'!H154="",D155,'All Girls &amp; Descendants'!H154)</f>
        <v>John</v>
      </c>
      <c r="H155">
        <f>'All Girls &amp; Descendants'!I154</f>
        <v>1913</v>
      </c>
      <c r="I155">
        <f>'All Girls &amp; Descendants'!J154</f>
        <v>1944</v>
      </c>
      <c r="J155">
        <f>'All Girls &amp; Descendants'!K154</f>
        <v>0</v>
      </c>
      <c r="K155" s="7">
        <f>'All Girls &amp; Descendants'!M154</f>
        <v>4811</v>
      </c>
      <c r="L155">
        <f>'All Girls &amp; Descendants'!N154</f>
        <v>14347</v>
      </c>
      <c r="M155">
        <f>'All Girls &amp; Descendants'!O154</f>
        <v>16272</v>
      </c>
      <c r="N155" t="str">
        <f>'All Girls &amp; Descendants'!P154</f>
        <v>19/07/1944</v>
      </c>
      <c r="O155" t="str">
        <f>'All Girls &amp; Descendants'!Q154</f>
        <v>36d</v>
      </c>
      <c r="P155" t="str">
        <f t="shared" si="53"/>
        <v>36db</v>
      </c>
      <c r="Q155" s="116">
        <f t="shared" si="54"/>
        <v>2</v>
      </c>
      <c r="R155" s="31" t="str">
        <f t="shared" si="55"/>
        <v>John Henry Courthope POWELL</v>
      </c>
      <c r="S155" s="31" t="str">
        <f t="shared" si="56"/>
        <v>John POWELL (1913 -1944: #36db)</v>
      </c>
    </row>
    <row r="156" spans="1:25">
      <c r="A156">
        <f>'All Girls &amp; Descendants'!B155</f>
        <v>47</v>
      </c>
      <c r="B156" t="str">
        <f>'All Girls &amp; Descendants'!C155</f>
        <v>47aa</v>
      </c>
      <c r="C156" t="str">
        <f>'All Girls &amp; Descendants'!D155</f>
        <v>HARDCASTLE</v>
      </c>
      <c r="D156" t="str">
        <f>'All Girls &amp; Descendants'!E155</f>
        <v>Edward</v>
      </c>
      <c r="E156" t="str">
        <f>IF('All Girls &amp; Descendants'!F155="","",'All Girls &amp; Descendants'!F155)</f>
        <v>John</v>
      </c>
      <c r="F156" t="str">
        <f>IF('All Girls &amp; Descendants'!G155="","",'All Girls &amp; Descendants'!G155)</f>
        <v>Brierly</v>
      </c>
      <c r="G156" t="str">
        <f>IF('All Girls &amp; Descendants'!H155="",D156,'All Girls &amp; Descendants'!H155)</f>
        <v>John</v>
      </c>
      <c r="H156">
        <f>'All Girls &amp; Descendants'!I155</f>
        <v>1923</v>
      </c>
      <c r="I156" t="str">
        <f>'All Girls &amp; Descendants'!J155</f>
        <v/>
      </c>
      <c r="J156">
        <f>'All Girls &amp; Descendants'!K155</f>
        <v>0</v>
      </c>
      <c r="K156" s="7">
        <f>'All Girls &amp; Descendants'!M155</f>
        <v>8487</v>
      </c>
      <c r="L156">
        <f>'All Girls &amp; Descendants'!N155</f>
        <v>18485</v>
      </c>
      <c r="M156" t="str">
        <f>'All Girls &amp; Descendants'!O155</f>
        <v/>
      </c>
      <c r="N156" t="str">
        <f>'All Girls &amp; Descendants'!P155</f>
        <v/>
      </c>
      <c r="O156" t="str">
        <f>'All Girls &amp; Descendants'!Q155</f>
        <v>47a</v>
      </c>
      <c r="P156" t="str">
        <f t="shared" si="53"/>
        <v>47aa</v>
      </c>
      <c r="Q156" s="116">
        <f t="shared" si="54"/>
        <v>2</v>
      </c>
      <c r="R156" s="31" t="str">
        <f t="shared" si="55"/>
        <v>Edward John Brierly HARDCASTLE</v>
      </c>
      <c r="S156" s="31" t="str">
        <f t="shared" si="56"/>
        <v>John HARDCASTLE (1923 -: #47aa)</v>
      </c>
    </row>
    <row r="157" spans="1:25">
      <c r="A157">
        <f>'All Girls &amp; Descendants'!B156</f>
        <v>47</v>
      </c>
      <c r="B157" t="str">
        <f>'All Girls &amp; Descendants'!C156</f>
        <v>47ab</v>
      </c>
      <c r="C157" t="str">
        <f>'All Girls &amp; Descendants'!D156</f>
        <v>HARDCASTLE</v>
      </c>
      <c r="D157" t="str">
        <f>'All Girls &amp; Descendants'!E156</f>
        <v>Priscilla</v>
      </c>
      <c r="E157" t="str">
        <f>IF('All Girls &amp; Descendants'!F156="","",'All Girls &amp; Descendants'!F156)</f>
        <v>Brierly</v>
      </c>
      <c r="F157" t="str">
        <f>IF('All Girls &amp; Descendants'!G156="","",'All Girls &amp; Descendants'!G156)</f>
        <v/>
      </c>
      <c r="G157" t="str">
        <f>IF('All Girls &amp; Descendants'!H156="",D157,'All Girls &amp; Descendants'!H156)</f>
        <v>Priscilla</v>
      </c>
      <c r="H157">
        <f>'All Girls &amp; Descendants'!I156</f>
        <v>1954</v>
      </c>
      <c r="I157" t="str">
        <f>'All Girls &amp; Descendants'!J156</f>
        <v/>
      </c>
      <c r="J157">
        <f>'All Girls &amp; Descendants'!K156</f>
        <v>0</v>
      </c>
      <c r="K157" s="7">
        <f>'All Girls &amp; Descendants'!M156</f>
        <v>19882</v>
      </c>
      <c r="L157">
        <f>'All Girls &amp; Descendants'!N156</f>
        <v>18361</v>
      </c>
      <c r="M157" t="str">
        <f>'All Girls &amp; Descendants'!O156</f>
        <v/>
      </c>
      <c r="N157" t="str">
        <f>'All Girls &amp; Descendants'!P156</f>
        <v/>
      </c>
      <c r="O157" t="str">
        <f>'All Girls &amp; Descendants'!Q156</f>
        <v>47a</v>
      </c>
      <c r="P157" t="str">
        <f t="shared" si="53"/>
        <v>47ab</v>
      </c>
      <c r="Q157" s="116">
        <f t="shared" si="54"/>
        <v>2</v>
      </c>
      <c r="R157" s="31" t="str">
        <f t="shared" si="55"/>
        <v>Priscilla Brierly  HARDCASTLE</v>
      </c>
      <c r="S157" s="31" t="str">
        <f t="shared" si="56"/>
        <v>Priscilla HARDCASTLE (1954 -: #47ab)</v>
      </c>
    </row>
    <row r="158" spans="1:25">
      <c r="A158">
        <f>'All Girls &amp; Descendants'!B157</f>
        <v>63</v>
      </c>
      <c r="B158" t="str">
        <f>'All Girls &amp; Descendants'!C157</f>
        <v>63aa</v>
      </c>
      <c r="C158" t="str">
        <f>'All Girls &amp; Descendants'!D157</f>
        <v>MOORE</v>
      </c>
      <c r="D158" t="str">
        <f>'All Girls &amp; Descendants'!E157</f>
        <v>Arthur</v>
      </c>
      <c r="E158" t="str">
        <f>IF('All Girls &amp; Descendants'!F157="","",'All Girls &amp; Descendants'!F157)</f>
        <v>William</v>
      </c>
      <c r="F158" t="str">
        <f>IF('All Girls &amp; Descendants'!G157="","",'All Girls &amp; Descendants'!G157)</f>
        <v/>
      </c>
      <c r="G158" t="str">
        <f>IF('All Girls &amp; Descendants'!H157="",D158,'All Girls &amp; Descendants'!H157)</f>
        <v>Arthur</v>
      </c>
      <c r="H158">
        <f>'All Girls &amp; Descendants'!I157</f>
        <v>1950</v>
      </c>
      <c r="I158" t="str">
        <f>'All Girls &amp; Descendants'!J157</f>
        <v/>
      </c>
      <c r="J158">
        <f>'All Girls &amp; Descendants'!K157</f>
        <v>0</v>
      </c>
      <c r="K158" s="7">
        <f>'All Girls &amp; Descendants'!M157</f>
        <v>18440</v>
      </c>
      <c r="L158" t="str">
        <f>'All Girls &amp; Descendants'!N157</f>
        <v xml:space="preserve"> - </v>
      </c>
      <c r="M158" t="str">
        <f>'All Girls &amp; Descendants'!O157</f>
        <v/>
      </c>
      <c r="N158" t="str">
        <f>'All Girls &amp; Descendants'!P157</f>
        <v/>
      </c>
      <c r="O158" t="str">
        <f>'All Girls &amp; Descendants'!Q157</f>
        <v>63a</v>
      </c>
      <c r="P158" t="str">
        <f t="shared" si="53"/>
        <v>63aa</v>
      </c>
      <c r="Q158" s="116">
        <f t="shared" si="54"/>
        <v>2</v>
      </c>
      <c r="R158" s="31" t="str">
        <f t="shared" si="55"/>
        <v>Arthur William  MOORE</v>
      </c>
      <c r="S158" s="31" t="str">
        <f t="shared" si="56"/>
        <v>Arthur MOORE (1950 -: #63aa)</v>
      </c>
    </row>
    <row r="159" spans="1:25">
      <c r="A159">
        <f>'All Girls &amp; Descendants'!B158</f>
        <v>63</v>
      </c>
      <c r="B159" t="str">
        <f>'All Girls &amp; Descendants'!C158</f>
        <v>63ab</v>
      </c>
      <c r="C159" t="str">
        <f>'All Girls &amp; Descendants'!D158</f>
        <v>MOORE</v>
      </c>
      <c r="D159" t="str">
        <f>'All Girls &amp; Descendants'!E158</f>
        <v>Gareth</v>
      </c>
      <c r="E159" t="str">
        <f>IF('All Girls &amp; Descendants'!F158="","",'All Girls &amp; Descendants'!F158)</f>
        <v>Allen</v>
      </c>
      <c r="F159" t="str">
        <f>IF('All Girls &amp; Descendants'!G158="","",'All Girls &amp; Descendants'!G158)</f>
        <v/>
      </c>
      <c r="G159" t="str">
        <f>IF('All Girls &amp; Descendants'!H158="",D159,'All Girls &amp; Descendants'!H158)</f>
        <v>Gareth</v>
      </c>
      <c r="H159">
        <f>'All Girls &amp; Descendants'!I158</f>
        <v>1985</v>
      </c>
      <c r="I159" t="str">
        <f>'All Girls &amp; Descendants'!J158</f>
        <v/>
      </c>
      <c r="J159">
        <f>'All Girls &amp; Descendants'!K158</f>
        <v>0</v>
      </c>
      <c r="K159" s="7">
        <f>'All Girls &amp; Descendants'!M158</f>
        <v>31283</v>
      </c>
      <c r="L159" t="str">
        <f>'All Girls &amp; Descendants'!N158</f>
        <v xml:space="preserve"> - </v>
      </c>
      <c r="M159" t="str">
        <f>'All Girls &amp; Descendants'!O158</f>
        <v/>
      </c>
      <c r="N159" t="str">
        <f>'All Girls &amp; Descendants'!P158</f>
        <v/>
      </c>
      <c r="O159" t="str">
        <f>'All Girls &amp; Descendants'!Q158</f>
        <v>63a</v>
      </c>
      <c r="P159" t="str">
        <f t="shared" si="53"/>
        <v>63ab</v>
      </c>
      <c r="Q159" s="116">
        <f t="shared" si="54"/>
        <v>2</v>
      </c>
      <c r="R159" s="31" t="str">
        <f t="shared" si="55"/>
        <v>Gareth Allen  MOORE</v>
      </c>
      <c r="S159" s="31" t="str">
        <f t="shared" si="56"/>
        <v>Gareth MOORE (1985 -: #63ab)</v>
      </c>
    </row>
    <row r="160" spans="1:25">
      <c r="A160">
        <f>'All Girls &amp; Descendants'!B159</f>
        <v>65</v>
      </c>
      <c r="B160" t="str">
        <f>'All Girls &amp; Descendants'!C159</f>
        <v>65ca</v>
      </c>
      <c r="C160" t="str">
        <f>'All Girls &amp; Descendants'!D159</f>
        <v>WHEELER</v>
      </c>
      <c r="D160" t="str">
        <f>'All Girls &amp; Descendants'!E159</f>
        <v>Vanessa</v>
      </c>
      <c r="E160" t="str">
        <f>IF('All Girls &amp; Descendants'!F159="","",'All Girls &amp; Descendants'!F159)</f>
        <v>Chantal</v>
      </c>
      <c r="F160" t="str">
        <f>IF('All Girls &amp; Descendants'!G159="","",'All Girls &amp; Descendants'!G159)</f>
        <v/>
      </c>
      <c r="G160" t="str">
        <f>IF('All Girls &amp; Descendants'!H159="",D160,'All Girls &amp; Descendants'!H159)</f>
        <v>Vanessa</v>
      </c>
      <c r="H160">
        <f>'All Girls &amp; Descendants'!I159</f>
        <v>1971</v>
      </c>
      <c r="I160" t="str">
        <f>'All Girls &amp; Descendants'!J159</f>
        <v/>
      </c>
      <c r="J160">
        <f>'All Girls &amp; Descendants'!K159</f>
        <v>0</v>
      </c>
      <c r="K160" s="7">
        <f>'All Girls &amp; Descendants'!M159</f>
        <v>26085</v>
      </c>
      <c r="L160" t="str">
        <f>'All Girls &amp; Descendants'!N159</f>
        <v xml:space="preserve"> - </v>
      </c>
      <c r="M160" t="str">
        <f>'All Girls &amp; Descendants'!O159</f>
        <v/>
      </c>
      <c r="N160" t="str">
        <f>'All Girls &amp; Descendants'!P159</f>
        <v/>
      </c>
      <c r="O160" t="str">
        <f>'All Girls &amp; Descendants'!Q159</f>
        <v>65c</v>
      </c>
      <c r="P160" t="str">
        <f t="shared" si="53"/>
        <v>65ca</v>
      </c>
      <c r="Q160" s="116">
        <f t="shared" si="54"/>
        <v>2</v>
      </c>
      <c r="R160" s="31" t="str">
        <f t="shared" si="55"/>
        <v>Vanessa Chantal  WHEELER</v>
      </c>
      <c r="S160" s="31" t="str">
        <f t="shared" si="56"/>
        <v>Vanessa WHEELER (1971 -: #65ca)</v>
      </c>
    </row>
    <row r="161" spans="1:19">
      <c r="A161">
        <f>'All Girls &amp; Descendants'!B160</f>
        <v>65</v>
      </c>
      <c r="B161" t="str">
        <f>'All Girls &amp; Descendants'!C160</f>
        <v>65cb</v>
      </c>
      <c r="C161" t="str">
        <f>'All Girls &amp; Descendants'!D160</f>
        <v>WHEELER</v>
      </c>
      <c r="D161" t="str">
        <f>'All Girls &amp; Descendants'!E160</f>
        <v>Karen</v>
      </c>
      <c r="E161" t="str">
        <f>IF('All Girls &amp; Descendants'!F160="","",'All Girls &amp; Descendants'!F160)</f>
        <v>Natalie</v>
      </c>
      <c r="F161" t="str">
        <f>IF('All Girls &amp; Descendants'!G160="","",'All Girls &amp; Descendants'!G160)</f>
        <v/>
      </c>
      <c r="G161" t="str">
        <f>IF('All Girls &amp; Descendants'!H160="",D161,'All Girls &amp; Descendants'!H160)</f>
        <v>Karen</v>
      </c>
      <c r="H161">
        <f>'All Girls &amp; Descendants'!I160</f>
        <v>1973</v>
      </c>
      <c r="I161" t="str">
        <f>'All Girls &amp; Descendants'!J160</f>
        <v/>
      </c>
      <c r="J161">
        <f>'All Girls &amp; Descendants'!K160</f>
        <v>0</v>
      </c>
      <c r="K161" s="7">
        <f>'All Girls &amp; Descendants'!M160</f>
        <v>26854</v>
      </c>
      <c r="L161" t="str">
        <f>'All Girls &amp; Descendants'!N160</f>
        <v xml:space="preserve"> - </v>
      </c>
      <c r="M161" t="str">
        <f>'All Girls &amp; Descendants'!O160</f>
        <v/>
      </c>
      <c r="N161" t="str">
        <f>'All Girls &amp; Descendants'!P160</f>
        <v/>
      </c>
      <c r="O161" t="str">
        <f>'All Girls &amp; Descendants'!Q160</f>
        <v>65c</v>
      </c>
      <c r="P161" t="str">
        <f t="shared" si="53"/>
        <v>65cb</v>
      </c>
      <c r="Q161" s="116">
        <f t="shared" si="54"/>
        <v>2</v>
      </c>
      <c r="R161" s="31" t="str">
        <f t="shared" si="55"/>
        <v>Karen Natalie  WHEELER</v>
      </c>
      <c r="S161" s="31" t="str">
        <f t="shared" si="56"/>
        <v>Karen WHEELER (1973 -: #65cb)</v>
      </c>
    </row>
    <row r="162" spans="1:19">
      <c r="A162">
        <f>'All Girls &amp; Descendants'!B161</f>
        <v>70</v>
      </c>
      <c r="B162" t="str">
        <f>'All Girls &amp; Descendants'!C161</f>
        <v>70aa</v>
      </c>
      <c r="C162" t="str">
        <f>'All Girls &amp; Descendants'!D161</f>
        <v>SHEARER</v>
      </c>
      <c r="D162" t="str">
        <f>'All Girls &amp; Descendants'!E161</f>
        <v>William</v>
      </c>
      <c r="E162" t="str">
        <f>IF('All Girls &amp; Descendants'!F161="","",'All Girls &amp; Descendants'!F161)</f>
        <v>Richard</v>
      </c>
      <c r="F162" t="str">
        <f>IF('All Girls &amp; Descendants'!G161="","",'All Girls &amp; Descendants'!G161)</f>
        <v>Charles</v>
      </c>
      <c r="G162" t="str">
        <f>IF('All Girls &amp; Descendants'!H161="",D162,'All Girls &amp; Descendants'!H161)</f>
        <v>William</v>
      </c>
      <c r="H162">
        <f>'All Girls &amp; Descendants'!I161</f>
        <v>1951</v>
      </c>
      <c r="I162" t="str">
        <f>'All Girls &amp; Descendants'!J161</f>
        <v/>
      </c>
      <c r="J162">
        <f>'All Girls &amp; Descendants'!K161</f>
        <v>0</v>
      </c>
      <c r="K162" s="7">
        <f>'All Girls &amp; Descendants'!M161</f>
        <v>18659</v>
      </c>
      <c r="L162">
        <f>'All Girls &amp; Descendants'!N161</f>
        <v>29477</v>
      </c>
      <c r="M162" t="str">
        <f>'All Girls &amp; Descendants'!O161</f>
        <v/>
      </c>
      <c r="N162" t="str">
        <f>'All Girls &amp; Descendants'!P161</f>
        <v/>
      </c>
      <c r="O162" t="str">
        <f>'All Girls &amp; Descendants'!Q161</f>
        <v>70a</v>
      </c>
      <c r="P162" t="str">
        <f t="shared" si="53"/>
        <v>70aa</v>
      </c>
      <c r="Q162" s="116">
        <f t="shared" si="54"/>
        <v>2</v>
      </c>
      <c r="R162" s="31" t="str">
        <f t="shared" si="55"/>
        <v>William Richard Charles SHEARER</v>
      </c>
      <c r="S162" s="31" t="str">
        <f t="shared" si="56"/>
        <v>William SHEARER (1951 -: #70aa)</v>
      </c>
    </row>
    <row r="163" spans="1:19">
      <c r="A163">
        <f>'All Girls &amp; Descendants'!B162</f>
        <v>70</v>
      </c>
      <c r="B163" t="str">
        <f>'All Girls &amp; Descendants'!C162</f>
        <v>70ab</v>
      </c>
      <c r="C163" t="str">
        <f>'All Girls &amp; Descendants'!D162</f>
        <v>SHEARER</v>
      </c>
      <c r="D163" t="str">
        <f>'All Girls &amp; Descendants'!E162</f>
        <v>Rosemary</v>
      </c>
      <c r="E163" t="str">
        <f>IF('All Girls &amp; Descendants'!F162="","",'All Girls &amp; Descendants'!F162)</f>
        <v>Diana</v>
      </c>
      <c r="F163" t="str">
        <f>IF('All Girls &amp; Descendants'!G162="","",'All Girls &amp; Descendants'!G162)</f>
        <v>Esther</v>
      </c>
      <c r="G163" t="str">
        <f>IF('All Girls &amp; Descendants'!H162="",D163,'All Girls &amp; Descendants'!H162)</f>
        <v>Rosemary</v>
      </c>
      <c r="H163">
        <f>'All Girls &amp; Descendants'!I162</f>
        <v>1952</v>
      </c>
      <c r="I163" t="str">
        <f>'All Girls &amp; Descendants'!J162</f>
        <v/>
      </c>
      <c r="J163">
        <f>'All Girls &amp; Descendants'!K162</f>
        <v>0</v>
      </c>
      <c r="K163" s="7">
        <f>'All Girls &amp; Descendants'!M162</f>
        <v>19320</v>
      </c>
      <c r="L163">
        <f>'All Girls &amp; Descendants'!N162</f>
        <v>29052</v>
      </c>
      <c r="M163" t="str">
        <f>'All Girls &amp; Descendants'!O162</f>
        <v/>
      </c>
      <c r="N163" t="str">
        <f>'All Girls &amp; Descendants'!P162</f>
        <v/>
      </c>
      <c r="O163" t="str">
        <f>'All Girls &amp; Descendants'!Q162</f>
        <v>70a</v>
      </c>
      <c r="P163" t="str">
        <f t="shared" si="53"/>
        <v>70ab</v>
      </c>
      <c r="Q163" s="116">
        <f t="shared" si="54"/>
        <v>2</v>
      </c>
      <c r="R163" s="31" t="str">
        <f t="shared" si="55"/>
        <v>Rosemary Diana Esther SHEARER</v>
      </c>
      <c r="S163" s="31" t="str">
        <f t="shared" si="56"/>
        <v>Rosemary SHEARER (1952 -: #70ab)</v>
      </c>
    </row>
    <row r="164" spans="1:19">
      <c r="A164">
        <f>'All Girls &amp; Descendants'!B163</f>
        <v>70</v>
      </c>
      <c r="B164" t="str">
        <f>'All Girls &amp; Descendants'!C163</f>
        <v>70ac</v>
      </c>
      <c r="C164" t="str">
        <f>'All Girls &amp; Descendants'!D163</f>
        <v>SHEARER</v>
      </c>
      <c r="D164" t="str">
        <f>'All Girls &amp; Descendants'!E163</f>
        <v>Andrew</v>
      </c>
      <c r="E164" t="str">
        <f>IF('All Girls &amp; Descendants'!F163="","",'All Girls &amp; Descendants'!F163)</f>
        <v>John</v>
      </c>
      <c r="F164" t="str">
        <f>IF('All Girls &amp; Descendants'!G163="","",'All Girls &amp; Descendants'!G163)</f>
        <v>Micklem</v>
      </c>
      <c r="G164" t="str">
        <f>IF('All Girls &amp; Descendants'!H163="",D164,'All Girls &amp; Descendants'!H163)</f>
        <v>Andrew</v>
      </c>
      <c r="H164">
        <f>'All Girls &amp; Descendants'!I163</f>
        <v>1960</v>
      </c>
      <c r="I164" t="str">
        <f>'All Girls &amp; Descendants'!J163</f>
        <v/>
      </c>
      <c r="J164">
        <f>'All Girls &amp; Descendants'!K163</f>
        <v>0</v>
      </c>
      <c r="K164" s="7">
        <f>'All Girls &amp; Descendants'!M163</f>
        <v>22068</v>
      </c>
      <c r="L164" t="str">
        <f>'All Girls &amp; Descendants'!N163</f>
        <v xml:space="preserve"> - </v>
      </c>
      <c r="M164" t="str">
        <f>'All Girls &amp; Descendants'!O163</f>
        <v/>
      </c>
      <c r="N164" t="str">
        <f>'All Girls &amp; Descendants'!P163</f>
        <v/>
      </c>
      <c r="O164" t="str">
        <f>'All Girls &amp; Descendants'!Q163</f>
        <v>70a</v>
      </c>
      <c r="P164" t="str">
        <f t="shared" si="53"/>
        <v>70ac</v>
      </c>
      <c r="Q164" s="116">
        <f t="shared" si="54"/>
        <v>2</v>
      </c>
      <c r="R164" s="31" t="str">
        <f t="shared" si="55"/>
        <v>Andrew John Micklem SHEARER</v>
      </c>
      <c r="S164" s="31" t="str">
        <f t="shared" si="56"/>
        <v>Andrew SHEARER (1960 -: #70ac)</v>
      </c>
    </row>
    <row r="165" spans="1:19" ht="17">
      <c r="A165">
        <f>'All Girls &amp; Descendants'!B164</f>
        <v>70</v>
      </c>
      <c r="B165" t="str">
        <f>'All Girls &amp; Descendants'!C164</f>
        <v>70ba</v>
      </c>
      <c r="C165" t="str">
        <f>'All Girls &amp; Descendants'!D164</f>
        <v>MELITUS</v>
      </c>
      <c r="D165" t="str">
        <f>'All Girls &amp; Descendants'!E164</f>
        <v>Charles</v>
      </c>
      <c r="E165" t="str">
        <f>IF('All Girls &amp; Descendants'!F164="","",'All Girls &amp; Descendants'!F164)</f>
        <v>Peter</v>
      </c>
      <c r="F165" t="str">
        <f>IF('All Girls &amp; Descendants'!G164="","",'All Girls &amp; Descendants'!G164)</f>
        <v/>
      </c>
      <c r="G165" t="str">
        <f>IF('All Girls &amp; Descendants'!H164="",D165,'All Girls &amp; Descendants'!H164)</f>
        <v>Peter</v>
      </c>
      <c r="H165">
        <f>'All Girls &amp; Descendants'!I164</f>
        <v>1955</v>
      </c>
      <c r="I165" t="str">
        <f>'All Girls &amp; Descendants'!J164</f>
        <v/>
      </c>
      <c r="J165">
        <f>'All Girls &amp; Descendants'!K164</f>
        <v>0</v>
      </c>
      <c r="K165" s="7" t="str">
        <f>'All Girls &amp; Descendants'!M164</f>
        <v>10/08/1955</v>
      </c>
      <c r="L165">
        <f>'All Girls &amp; Descendants'!N164</f>
        <v>30526</v>
      </c>
      <c r="M165" t="str">
        <f>'All Girls &amp; Descendants'!O164</f>
        <v/>
      </c>
      <c r="N165" t="str">
        <f>'All Girls &amp; Descendants'!P164</f>
        <v/>
      </c>
      <c r="O165" t="str">
        <f>'All Girls &amp; Descendants'!Q164</f>
        <v>70b</v>
      </c>
      <c r="P165" t="str">
        <f t="shared" si="53"/>
        <v>70ba</v>
      </c>
      <c r="Q165" s="116">
        <f t="shared" si="54"/>
        <v>2</v>
      </c>
      <c r="R165" s="31" t="str">
        <f t="shared" si="55"/>
        <v>Charles Peter  MELITUS</v>
      </c>
      <c r="S165" s="31" t="str">
        <f t="shared" si="56"/>
        <v>Peter MELITUS (1955 -: #70ba)</v>
      </c>
    </row>
    <row r="166" spans="1:19" ht="17">
      <c r="A166">
        <f>'All Girls &amp; Descendants'!B165</f>
        <v>70</v>
      </c>
      <c r="B166" t="str">
        <f>'All Girls &amp; Descendants'!C165</f>
        <v>70bb</v>
      </c>
      <c r="C166" t="str">
        <f>'All Girls &amp; Descendants'!D165</f>
        <v>MELITUS</v>
      </c>
      <c r="D166" t="str">
        <f>'All Girls &amp; Descendants'!E165</f>
        <v>Caroline</v>
      </c>
      <c r="E166" t="str">
        <f>IF('All Girls &amp; Descendants'!F165="","",'All Girls &amp; Descendants'!F165)</f>
        <v>Margaret</v>
      </c>
      <c r="F166" t="str">
        <f>IF('All Girls &amp; Descendants'!G165="","",'All Girls &amp; Descendants'!G165)</f>
        <v>Paula</v>
      </c>
      <c r="G166" t="str">
        <f>IF('All Girls &amp; Descendants'!H165="",D166,'All Girls &amp; Descendants'!H165)</f>
        <v>Caroline</v>
      </c>
      <c r="H166">
        <f>'All Girls &amp; Descendants'!I165</f>
        <v>1959</v>
      </c>
      <c r="I166" t="str">
        <f>'All Girls &amp; Descendants'!J165</f>
        <v/>
      </c>
      <c r="J166">
        <f>'All Girls &amp; Descendants'!K165</f>
        <v>0</v>
      </c>
      <c r="K166" s="7" t="str">
        <f>'All Girls &amp; Descendants'!M165</f>
        <v>14/09/1959</v>
      </c>
      <c r="L166">
        <f>'All Girls &amp; Descendants'!N165</f>
        <v>31759</v>
      </c>
      <c r="M166" t="str">
        <f>'All Girls &amp; Descendants'!O165</f>
        <v/>
      </c>
      <c r="N166" t="str">
        <f>'All Girls &amp; Descendants'!P165</f>
        <v/>
      </c>
      <c r="O166" t="str">
        <f>'All Girls &amp; Descendants'!Q165</f>
        <v>70b</v>
      </c>
      <c r="P166" t="str">
        <f t="shared" si="53"/>
        <v>70bb</v>
      </c>
      <c r="Q166" s="116">
        <f t="shared" si="54"/>
        <v>2</v>
      </c>
      <c r="R166" s="31" t="str">
        <f t="shared" si="55"/>
        <v>Caroline Margaret Paula MELITUS</v>
      </c>
      <c r="S166" s="31" t="str">
        <f t="shared" si="56"/>
        <v>Caroline MELITUS (1959 -: #70bb)</v>
      </c>
    </row>
    <row r="167" spans="1:19">
      <c r="A167">
        <f>'All Girls &amp; Descendants'!B166</f>
        <v>70</v>
      </c>
      <c r="B167" t="str">
        <f>'All Girls &amp; Descendants'!C166</f>
        <v>70ca</v>
      </c>
      <c r="C167" t="str">
        <f>'All Girls &amp; Descendants'!D166</f>
        <v>PAGE</v>
      </c>
      <c r="D167" t="str">
        <f>'All Girls &amp; Descendants'!E166</f>
        <v>Arthur</v>
      </c>
      <c r="E167" t="str">
        <f>IF('All Girls &amp; Descendants'!F166="","",'All Girls &amp; Descendants'!F166)</f>
        <v>Hugo</v>
      </c>
      <c r="F167" t="str">
        <f>IF('All Girls &amp; Descendants'!G166="","",'All Girls &amp; Descendants'!G166)</f>
        <v>Micklem</v>
      </c>
      <c r="G167" t="str">
        <f>IF('All Girls &amp; Descendants'!H166="",D167,'All Girls &amp; Descendants'!H166)</f>
        <v>Hugo</v>
      </c>
      <c r="H167">
        <f>'All Girls &amp; Descendants'!I166</f>
        <v>1951</v>
      </c>
      <c r="I167" t="str">
        <f>'All Girls &amp; Descendants'!J166</f>
        <v/>
      </c>
      <c r="J167">
        <f>'All Girls &amp; Descendants'!K166</f>
        <v>0</v>
      </c>
      <c r="K167" s="7">
        <f>'All Girls &amp; Descendants'!M166</f>
        <v>18887</v>
      </c>
      <c r="L167" t="str">
        <f>'All Girls &amp; Descendants'!N166</f>
        <v>00/10/1992</v>
      </c>
      <c r="M167" t="str">
        <f>'All Girls &amp; Descendants'!O166</f>
        <v/>
      </c>
      <c r="N167" t="str">
        <f>'All Girls &amp; Descendants'!P166</f>
        <v/>
      </c>
      <c r="O167" t="str">
        <f>'All Girls &amp; Descendants'!Q166</f>
        <v>70c</v>
      </c>
      <c r="P167" t="str">
        <f t="shared" si="53"/>
        <v>70ca</v>
      </c>
      <c r="Q167" s="116">
        <f t="shared" si="54"/>
        <v>2</v>
      </c>
      <c r="R167" s="31" t="str">
        <f t="shared" si="55"/>
        <v>Arthur Hugo Micklem PAGE</v>
      </c>
      <c r="S167" s="31" t="str">
        <f t="shared" si="56"/>
        <v>Hugo PAGE (1951 -: #70ca)</v>
      </c>
    </row>
    <row r="168" spans="1:19">
      <c r="A168">
        <f>'All Girls &amp; Descendants'!B167</f>
        <v>70</v>
      </c>
      <c r="B168" t="str">
        <f>'All Girls &amp; Descendants'!C167</f>
        <v>70cb</v>
      </c>
      <c r="C168" t="str">
        <f>'All Girls &amp; Descendants'!D167</f>
        <v>PAGE</v>
      </c>
      <c r="D168" t="str">
        <f>'All Girls &amp; Descendants'!E167</f>
        <v>John</v>
      </c>
      <c r="E168" t="str">
        <f>IF('All Girls &amp; Descendants'!F167="","",'All Girls &amp; Descendants'!F167)</f>
        <v>Nathaniel</v>
      </c>
      <c r="F168" t="str">
        <f>IF('All Girls &amp; Descendants'!G167="","",'All Girls &amp; Descendants'!G167)</f>
        <v>Micklem</v>
      </c>
      <c r="G168" t="str">
        <f>IF('All Girls &amp; Descendants'!H167="",D168,'All Girls &amp; Descendants'!H167)</f>
        <v>Nat</v>
      </c>
      <c r="H168">
        <f>'All Girls &amp; Descendants'!I167</f>
        <v>1953</v>
      </c>
      <c r="I168" t="str">
        <f>'All Girls &amp; Descendants'!J167</f>
        <v/>
      </c>
      <c r="J168">
        <f>'All Girls &amp; Descendants'!K167</f>
        <v>0</v>
      </c>
      <c r="K168" s="7">
        <f>'All Girls &amp; Descendants'!M167</f>
        <v>19709</v>
      </c>
      <c r="L168">
        <f>'All Girls &amp; Descendants'!N167</f>
        <v>31094</v>
      </c>
      <c r="M168" t="str">
        <f>'All Girls &amp; Descendants'!O167</f>
        <v/>
      </c>
      <c r="N168" t="str">
        <f>'All Girls &amp; Descendants'!P167</f>
        <v/>
      </c>
      <c r="O168" t="str">
        <f>'All Girls &amp; Descendants'!Q167</f>
        <v>70c</v>
      </c>
      <c r="P168" t="str">
        <f t="shared" si="53"/>
        <v>70cb</v>
      </c>
      <c r="Q168" s="116">
        <f t="shared" si="54"/>
        <v>2</v>
      </c>
      <c r="R168" s="31" t="str">
        <f t="shared" si="55"/>
        <v>John Nathaniel Micklem PAGE</v>
      </c>
      <c r="S168" s="31" t="str">
        <f t="shared" si="56"/>
        <v>Nat PAGE (1953 -: #70cb)</v>
      </c>
    </row>
    <row r="169" spans="1:19">
      <c r="A169">
        <f>'All Girls &amp; Descendants'!B168</f>
        <v>70</v>
      </c>
      <c r="B169" t="str">
        <f>'All Girls &amp; Descendants'!C168</f>
        <v>70cc</v>
      </c>
      <c r="C169" t="str">
        <f>'All Girls &amp; Descendants'!D168</f>
        <v>PAGE</v>
      </c>
      <c r="D169" t="str">
        <f>'All Girls &amp; Descendants'!E168</f>
        <v>Henry</v>
      </c>
      <c r="E169" t="str">
        <f>IF('All Girls &amp; Descendants'!F168="","",'All Girls &amp; Descendants'!F168)</f>
        <v>Charles</v>
      </c>
      <c r="F169" t="str">
        <f>IF('All Girls &amp; Descendants'!G168="","",'All Girls &amp; Descendants'!G168)</f>
        <v>Micklem</v>
      </c>
      <c r="G169" t="str">
        <f>IF('All Girls &amp; Descendants'!H168="",D169,'All Girls &amp; Descendants'!H168)</f>
        <v>Henry</v>
      </c>
      <c r="H169">
        <f>'All Girls &amp; Descendants'!I168</f>
        <v>1953</v>
      </c>
      <c r="I169" t="str">
        <f>'All Girls &amp; Descendants'!J168</f>
        <v/>
      </c>
      <c r="J169">
        <f>'All Girls &amp; Descendants'!K168</f>
        <v>0</v>
      </c>
      <c r="K169" s="7">
        <f>'All Girls &amp; Descendants'!M168</f>
        <v>19709</v>
      </c>
      <c r="L169">
        <f>'All Girls &amp; Descendants'!N168</f>
        <v>30536</v>
      </c>
      <c r="M169" t="str">
        <f>'All Girls &amp; Descendants'!O168</f>
        <v/>
      </c>
      <c r="N169" t="str">
        <f>'All Girls &amp; Descendants'!P168</f>
        <v/>
      </c>
      <c r="O169" t="str">
        <f>'All Girls &amp; Descendants'!Q168</f>
        <v>70c</v>
      </c>
      <c r="P169" t="str">
        <f t="shared" si="53"/>
        <v>70cc</v>
      </c>
      <c r="Q169" s="116">
        <f t="shared" si="54"/>
        <v>2</v>
      </c>
      <c r="R169" s="31" t="str">
        <f t="shared" si="55"/>
        <v>Henry Charles Micklem PAGE</v>
      </c>
      <c r="S169" s="31" t="str">
        <f t="shared" si="56"/>
        <v>Henry PAGE (1953 -: #70cc)</v>
      </c>
    </row>
    <row r="170" spans="1:19">
      <c r="A170">
        <f>'All Girls &amp; Descendants'!B169</f>
        <v>70</v>
      </c>
      <c r="B170" t="str">
        <f>'All Girls &amp; Descendants'!C169</f>
        <v>70cd</v>
      </c>
      <c r="C170" t="str">
        <f>'All Girls &amp; Descendants'!D169</f>
        <v>PAGE</v>
      </c>
      <c r="D170" t="str">
        <f>'All Girls &amp; Descendants'!E169</f>
        <v>Rupert</v>
      </c>
      <c r="E170" t="str">
        <f>IF('All Girls &amp; Descendants'!F169="","",'All Girls &amp; Descendants'!F169)</f>
        <v>James</v>
      </c>
      <c r="F170" t="str">
        <f>IF('All Girls &amp; Descendants'!G169="","",'All Girls &amp; Descendants'!G169)</f>
        <v>Oliver</v>
      </c>
      <c r="G170" t="str">
        <f>IF('All Girls &amp; Descendants'!H169="",D170,'All Girls &amp; Descendants'!H169)</f>
        <v>Rupert</v>
      </c>
      <c r="H170">
        <f>'All Girls &amp; Descendants'!I169</f>
        <v>1963</v>
      </c>
      <c r="I170" t="str">
        <f>'All Girls &amp; Descendants'!J169</f>
        <v/>
      </c>
      <c r="J170">
        <f>'All Girls &amp; Descendants'!K169</f>
        <v>0</v>
      </c>
      <c r="K170" s="7">
        <f>'All Girls &amp; Descendants'!M169</f>
        <v>23229</v>
      </c>
      <c r="L170" t="str">
        <f>'All Girls &amp; Descendants'!N169</f>
        <v xml:space="preserve"> - </v>
      </c>
      <c r="M170" t="str">
        <f>'All Girls &amp; Descendants'!O169</f>
        <v/>
      </c>
      <c r="N170" t="str">
        <f>'All Girls &amp; Descendants'!P169</f>
        <v/>
      </c>
      <c r="O170" t="str">
        <f>'All Girls &amp; Descendants'!Q169</f>
        <v>70c</v>
      </c>
      <c r="P170" t="str">
        <f t="shared" si="53"/>
        <v>70cd</v>
      </c>
      <c r="Q170" s="116">
        <f t="shared" si="54"/>
        <v>2</v>
      </c>
      <c r="R170" s="31" t="str">
        <f t="shared" si="55"/>
        <v>Rupert James Oliver PAGE</v>
      </c>
      <c r="S170" s="31" t="str">
        <f t="shared" si="56"/>
        <v>Rupert PAGE (1963 -: #70cd)</v>
      </c>
    </row>
    <row r="171" spans="1:19" ht="17">
      <c r="A171">
        <f>'All Girls &amp; Descendants'!B170</f>
        <v>70</v>
      </c>
      <c r="B171" t="str">
        <f>'All Girls &amp; Descendants'!C170</f>
        <v>70da</v>
      </c>
      <c r="C171" t="str">
        <f>'All Girls &amp; Descendants'!D170</f>
        <v>MICKLEM</v>
      </c>
      <c r="D171" t="str">
        <f>'All Girls &amp; Descendants'!E170</f>
        <v>Philippa</v>
      </c>
      <c r="E171" t="str">
        <f>IF('All Girls &amp; Descendants'!F170="","",'All Girls &amp; Descendants'!F170)</f>
        <v>Rhona</v>
      </c>
      <c r="F171" t="str">
        <f>IF('All Girls &amp; Descendants'!G170="","",'All Girls &amp; Descendants'!G170)</f>
        <v/>
      </c>
      <c r="G171" t="str">
        <f>IF('All Girls &amp; Descendants'!H170="",D171,'All Girls &amp; Descendants'!H170)</f>
        <v>Philippa</v>
      </c>
      <c r="H171">
        <f>'All Girls &amp; Descendants'!I170</f>
        <v>1958</v>
      </c>
      <c r="I171" t="str">
        <f>'All Girls &amp; Descendants'!J170</f>
        <v/>
      </c>
      <c r="J171">
        <f>'All Girls &amp; Descendants'!K170</f>
        <v>0</v>
      </c>
      <c r="K171" s="7" t="str">
        <f>'All Girls &amp; Descendants'!M170</f>
        <v>24/09/1958</v>
      </c>
      <c r="L171">
        <f>'All Girls &amp; Descendants'!N170</f>
        <v>31494</v>
      </c>
      <c r="M171" t="str">
        <f>'All Girls &amp; Descendants'!O170</f>
        <v/>
      </c>
      <c r="N171" t="str">
        <f>'All Girls &amp; Descendants'!P170</f>
        <v/>
      </c>
      <c r="O171" t="str">
        <f>'All Girls &amp; Descendants'!Q170</f>
        <v>70d</v>
      </c>
      <c r="P171" t="str">
        <f t="shared" si="53"/>
        <v>70da</v>
      </c>
      <c r="Q171" s="116">
        <f t="shared" si="54"/>
        <v>2</v>
      </c>
      <c r="R171" s="31" t="str">
        <f t="shared" si="55"/>
        <v>Philippa Rhona  MICKLEM</v>
      </c>
      <c r="S171" s="31" t="str">
        <f t="shared" si="56"/>
        <v>Philippa MICKLEM (1958 -: #70da)</v>
      </c>
    </row>
    <row r="172" spans="1:19">
      <c r="A172">
        <f>'All Girls &amp; Descendants'!B171</f>
        <v>70</v>
      </c>
      <c r="B172" t="str">
        <f>'All Girls &amp; Descendants'!C171</f>
        <v>70db</v>
      </c>
      <c r="C172" t="str">
        <f>'All Girls &amp; Descendants'!D171</f>
        <v>MICKLEM</v>
      </c>
      <c r="D172" t="str">
        <f>'All Girls &amp; Descendants'!E171</f>
        <v>Jeremy</v>
      </c>
      <c r="E172" t="str">
        <f>IF('All Girls &amp; Descendants'!F171="","",'All Girls &amp; Descendants'!F171)</f>
        <v>Charles</v>
      </c>
      <c r="F172" t="str">
        <f>IF('All Girls &amp; Descendants'!G171="","",'All Girls &amp; Descendants'!G171)</f>
        <v>Cracroft</v>
      </c>
      <c r="G172" t="str">
        <f>IF('All Girls &amp; Descendants'!H171="",D172,'All Girls &amp; Descendants'!H171)</f>
        <v>Jeremy</v>
      </c>
      <c r="H172">
        <f>'All Girls &amp; Descendants'!I171</f>
        <v>1961</v>
      </c>
      <c r="I172" t="str">
        <f>'All Girls &amp; Descendants'!J171</f>
        <v/>
      </c>
      <c r="J172">
        <f>'All Girls &amp; Descendants'!K171</f>
        <v>0</v>
      </c>
      <c r="K172" s="7">
        <f>'All Girls &amp; Descendants'!M171</f>
        <v>22318</v>
      </c>
      <c r="L172" t="str">
        <f>'All Girls &amp; Descendants'!N171</f>
        <v xml:space="preserve"> - </v>
      </c>
      <c r="M172" t="str">
        <f>'All Girls &amp; Descendants'!O171</f>
        <v/>
      </c>
      <c r="N172" t="str">
        <f>'All Girls &amp; Descendants'!P171</f>
        <v/>
      </c>
      <c r="O172" t="str">
        <f>'All Girls &amp; Descendants'!Q171</f>
        <v>70d</v>
      </c>
      <c r="P172" t="str">
        <f t="shared" si="53"/>
        <v>70db</v>
      </c>
      <c r="Q172" s="116">
        <f t="shared" si="54"/>
        <v>2</v>
      </c>
      <c r="R172" s="31" t="str">
        <f t="shared" si="55"/>
        <v>Jeremy Charles Cracroft MICKLEM</v>
      </c>
      <c r="S172" s="31" t="str">
        <f t="shared" si="56"/>
        <v>Jeremy MICKLEM (1961 -: #70db)</v>
      </c>
    </row>
    <row r="173" spans="1:19">
      <c r="A173">
        <f>'All Girls &amp; Descendants'!B172</f>
        <v>70</v>
      </c>
      <c r="B173" t="str">
        <f>'All Girls &amp; Descendants'!C172</f>
        <v>70dc</v>
      </c>
      <c r="C173" t="str">
        <f>'All Girls &amp; Descendants'!D172</f>
        <v>MICKLEM</v>
      </c>
      <c r="D173" t="str">
        <f>'All Girls &amp; Descendants'!E172</f>
        <v>Sylvia</v>
      </c>
      <c r="E173" t="str">
        <f>IF('All Girls &amp; Descendants'!F172="","",'All Girls &amp; Descendants'!F172)</f>
        <v>Diana</v>
      </c>
      <c r="F173" t="str">
        <f>IF('All Girls &amp; Descendants'!G172="","",'All Girls &amp; Descendants'!G172)</f>
        <v/>
      </c>
      <c r="G173" t="str">
        <f>IF('All Girls &amp; Descendants'!H172="",D173,'All Girls &amp; Descendants'!H172)</f>
        <v>Sylvie</v>
      </c>
      <c r="H173">
        <f>'All Girls &amp; Descendants'!I172</f>
        <v>1964</v>
      </c>
      <c r="I173" t="str">
        <f>'All Girls &amp; Descendants'!J172</f>
        <v/>
      </c>
      <c r="J173">
        <f>'All Girls &amp; Descendants'!K172</f>
        <v>0</v>
      </c>
      <c r="K173" s="7">
        <f>'All Girls &amp; Descendants'!M172</f>
        <v>23567</v>
      </c>
      <c r="L173">
        <f>'All Girls &amp; Descendants'!N172</f>
        <v>31724</v>
      </c>
      <c r="M173" t="str">
        <f>'All Girls &amp; Descendants'!O172</f>
        <v/>
      </c>
      <c r="N173" t="str">
        <f>'All Girls &amp; Descendants'!P172</f>
        <v/>
      </c>
      <c r="O173" t="str">
        <f>'All Girls &amp; Descendants'!Q172</f>
        <v>70d</v>
      </c>
      <c r="P173" t="str">
        <f t="shared" si="53"/>
        <v>70dc</v>
      </c>
      <c r="Q173" s="116">
        <f t="shared" si="54"/>
        <v>2</v>
      </c>
      <c r="R173" s="31" t="str">
        <f t="shared" si="55"/>
        <v>Sylvia Diana  MICKLEM</v>
      </c>
      <c r="S173" s="31" t="str">
        <f t="shared" si="56"/>
        <v>Sylvie MICKLEM (1964 -: #70dc)</v>
      </c>
    </row>
    <row r="174" spans="1:19">
      <c r="A174">
        <f>'All Girls &amp; Descendants'!B173</f>
        <v>85</v>
      </c>
      <c r="B174" t="str">
        <f>'All Girls &amp; Descendants'!C173</f>
        <v>85aa</v>
      </c>
      <c r="C174" t="str">
        <f>'All Girls &amp; Descendants'!D173</f>
        <v>LANE FOX</v>
      </c>
      <c r="D174" t="str">
        <f>'All Girls &amp; Descendants'!E173</f>
        <v>Charlotte</v>
      </c>
      <c r="E174" t="str">
        <f>IF('All Girls &amp; Descendants'!F173="","",'All Girls &amp; Descendants'!F173)</f>
        <v>Mary</v>
      </c>
      <c r="F174" t="str">
        <f>IF('All Girls &amp; Descendants'!G173="","",'All Girls &amp; Descendants'!G173)</f>
        <v/>
      </c>
      <c r="G174" t="str">
        <f>IF('All Girls &amp; Descendants'!H173="",D174,'All Girls &amp; Descendants'!H173)</f>
        <v>Charlotte</v>
      </c>
      <c r="H174">
        <f>'All Girls &amp; Descendants'!I173</f>
        <v>1967</v>
      </c>
      <c r="I174" t="str">
        <f>'All Girls &amp; Descendants'!J173</f>
        <v/>
      </c>
      <c r="J174">
        <f>'All Girls &amp; Descendants'!K173</f>
        <v>0</v>
      </c>
      <c r="K174" s="7">
        <f>'All Girls &amp; Descendants'!M173</f>
        <v>24580</v>
      </c>
      <c r="L174">
        <f>'All Girls &amp; Descendants'!N173</f>
        <v>33950</v>
      </c>
      <c r="M174" t="str">
        <f>'All Girls &amp; Descendants'!O173</f>
        <v/>
      </c>
      <c r="N174" t="str">
        <f>'All Girls &amp; Descendants'!P173</f>
        <v/>
      </c>
      <c r="O174" t="str">
        <f>'All Girls &amp; Descendants'!Q173</f>
        <v>85a</v>
      </c>
      <c r="P174" t="str">
        <f t="shared" si="53"/>
        <v>85aa</v>
      </c>
      <c r="Q174" s="116">
        <f t="shared" si="54"/>
        <v>2</v>
      </c>
      <c r="R174" s="31" t="str">
        <f t="shared" si="55"/>
        <v>Charlotte Mary  LANE FOX</v>
      </c>
      <c r="S174" s="31" t="str">
        <f t="shared" si="56"/>
        <v>Charlotte LANE FOX (1967 -: #85aa)</v>
      </c>
    </row>
    <row r="175" spans="1:19">
      <c r="A175">
        <f>'All Girls &amp; Descendants'!B174</f>
        <v>85</v>
      </c>
      <c r="B175" t="str">
        <f>'All Girls &amp; Descendants'!C174</f>
        <v>85ab</v>
      </c>
      <c r="C175" t="str">
        <f>'All Girls &amp; Descendants'!D174</f>
        <v>LANE FOX</v>
      </c>
      <c r="D175" t="str">
        <f>'All Girls &amp; Descendants'!E174</f>
        <v>Oliver</v>
      </c>
      <c r="E175" t="str">
        <f>IF('All Girls &amp; Descendants'!F174="","",'All Girls &amp; Descendants'!F174)</f>
        <v>James</v>
      </c>
      <c r="F175" t="str">
        <f>IF('All Girls &amp; Descendants'!G174="","",'All Girls &amp; Descendants'!G174)</f>
        <v/>
      </c>
      <c r="G175" t="str">
        <f>IF('All Girls &amp; Descendants'!H174="",D175,'All Girls &amp; Descendants'!H174)</f>
        <v>Oliver</v>
      </c>
      <c r="H175">
        <f>'All Girls &amp; Descendants'!I174</f>
        <v>1968</v>
      </c>
      <c r="I175" t="str">
        <f>'All Girls &amp; Descendants'!J174</f>
        <v/>
      </c>
      <c r="J175">
        <f>'All Girls &amp; Descendants'!K174</f>
        <v>0</v>
      </c>
      <c r="K175" s="7">
        <f>'All Girls &amp; Descendants'!M174</f>
        <v>25084</v>
      </c>
      <c r="L175">
        <f>'All Girls &amp; Descendants'!N174</f>
        <v>36337</v>
      </c>
      <c r="M175" t="str">
        <f>'All Girls &amp; Descendants'!O174</f>
        <v/>
      </c>
      <c r="N175" t="str">
        <f>'All Girls &amp; Descendants'!P174</f>
        <v/>
      </c>
      <c r="O175" t="str">
        <f>'All Girls &amp; Descendants'!Q174</f>
        <v>85a</v>
      </c>
      <c r="P175" t="str">
        <f t="shared" si="53"/>
        <v>85ab</v>
      </c>
      <c r="Q175" s="116">
        <f t="shared" si="54"/>
        <v>2</v>
      </c>
      <c r="R175" s="31" t="str">
        <f t="shared" si="55"/>
        <v>Oliver James  LANE FOX</v>
      </c>
      <c r="S175" s="31" t="str">
        <f t="shared" si="56"/>
        <v>Oliver LANE FOX (1968 -: #85ab)</v>
      </c>
    </row>
    <row r="176" spans="1:19">
      <c r="A176">
        <f>'All Girls &amp; Descendants'!B175</f>
        <v>85</v>
      </c>
      <c r="B176" t="str">
        <f>'All Girls &amp; Descendants'!C175</f>
        <v>85ac</v>
      </c>
      <c r="C176" t="str">
        <f>'All Girls &amp; Descendants'!D175</f>
        <v>LANE FOX</v>
      </c>
      <c r="D176" t="str">
        <f>'All Girls &amp; Descendants'!E175</f>
        <v>Sophie</v>
      </c>
      <c r="E176" t="str">
        <f>IF('All Girls &amp; Descendants'!F175="","",'All Girls &amp; Descendants'!F175)</f>
        <v>Anne</v>
      </c>
      <c r="F176" t="str">
        <f>IF('All Girls &amp; Descendants'!G175="","",'All Girls &amp; Descendants'!G175)</f>
        <v/>
      </c>
      <c r="G176" t="str">
        <f>IF('All Girls &amp; Descendants'!H175="",D176,'All Girls &amp; Descendants'!H175)</f>
        <v>Sophie</v>
      </c>
      <c r="H176">
        <f>'All Girls &amp; Descendants'!I175</f>
        <v>1972</v>
      </c>
      <c r="I176" t="str">
        <f>'All Girls &amp; Descendants'!J175</f>
        <v/>
      </c>
      <c r="J176">
        <f>'All Girls &amp; Descendants'!K175</f>
        <v>0</v>
      </c>
      <c r="K176" s="7">
        <f>'All Girls &amp; Descendants'!M175</f>
        <v>26501</v>
      </c>
      <c r="L176" t="str">
        <f>'All Girls &amp; Descendants'!N175</f>
        <v xml:space="preserve"> - </v>
      </c>
      <c r="M176" t="str">
        <f>'All Girls &amp; Descendants'!O175</f>
        <v/>
      </c>
      <c r="N176" t="str">
        <f>'All Girls &amp; Descendants'!P175</f>
        <v/>
      </c>
      <c r="O176" t="str">
        <f>'All Girls &amp; Descendants'!Q175</f>
        <v>85a</v>
      </c>
      <c r="P176" t="str">
        <f t="shared" si="53"/>
        <v>85ac</v>
      </c>
      <c r="Q176" s="116">
        <f t="shared" si="54"/>
        <v>2</v>
      </c>
      <c r="R176" s="31" t="str">
        <f t="shared" si="55"/>
        <v>Sophie Anne  LANE FOX</v>
      </c>
      <c r="S176" s="31" t="str">
        <f t="shared" si="56"/>
        <v>Sophie LANE FOX (1972 -: #85ac)</v>
      </c>
    </row>
    <row r="177" spans="1:19">
      <c r="A177">
        <f>'All Girls &amp; Descendants'!B176</f>
        <v>85</v>
      </c>
      <c r="B177" t="str">
        <f>'All Girls &amp; Descendants'!C176</f>
        <v>85ba</v>
      </c>
      <c r="C177" t="str">
        <f>'All Girls &amp; Descendants'!D176</f>
        <v>LANE FOX</v>
      </c>
      <c r="D177" t="str">
        <f>'All Girls &amp; Descendants'!E176</f>
        <v>Lucy</v>
      </c>
      <c r="E177" t="str">
        <f>IF('All Girls &amp; Descendants'!F176="","",'All Girls &amp; Descendants'!F176)</f>
        <v>Jane</v>
      </c>
      <c r="F177" t="str">
        <f>IF('All Girls &amp; Descendants'!G176="","",'All Girls &amp; Descendants'!G176)</f>
        <v/>
      </c>
      <c r="G177" t="str">
        <f>IF('All Girls &amp; Descendants'!H176="",D177,'All Girls &amp; Descendants'!H176)</f>
        <v>Lucy</v>
      </c>
      <c r="H177">
        <f>'All Girls &amp; Descendants'!I176</f>
        <v>1965</v>
      </c>
      <c r="I177" t="str">
        <f>'All Girls &amp; Descendants'!J176</f>
        <v/>
      </c>
      <c r="J177">
        <f>'All Girls &amp; Descendants'!K176</f>
        <v>0</v>
      </c>
      <c r="K177" s="7">
        <f>'All Girls &amp; Descendants'!M176</f>
        <v>24010</v>
      </c>
      <c r="L177">
        <f>'All Girls &amp; Descendants'!N176</f>
        <v>32774</v>
      </c>
      <c r="M177" t="str">
        <f>'All Girls &amp; Descendants'!O176</f>
        <v/>
      </c>
      <c r="N177" t="str">
        <f>'All Girls &amp; Descendants'!P176</f>
        <v/>
      </c>
      <c r="O177" t="str">
        <f>'All Girls &amp; Descendants'!Q176</f>
        <v>85b</v>
      </c>
      <c r="P177" t="str">
        <f t="shared" si="53"/>
        <v>85ba</v>
      </c>
      <c r="Q177" s="116">
        <f t="shared" si="54"/>
        <v>2</v>
      </c>
      <c r="R177" s="31" t="str">
        <f t="shared" si="55"/>
        <v>Lucy Jane  LANE FOX</v>
      </c>
      <c r="S177" s="31" t="str">
        <f t="shared" si="56"/>
        <v>Lucy LANE FOX (1965 -: #85ba)</v>
      </c>
    </row>
    <row r="178" spans="1:19">
      <c r="A178">
        <f>'All Girls &amp; Descendants'!B177</f>
        <v>85</v>
      </c>
      <c r="B178" t="str">
        <f>'All Girls &amp; Descendants'!C177</f>
        <v>85bb</v>
      </c>
      <c r="C178" t="str">
        <f>'All Girls &amp; Descendants'!D177</f>
        <v>LANE FOX</v>
      </c>
      <c r="D178" t="str">
        <f>'All Girls &amp; Descendants'!E177</f>
        <v>Serena</v>
      </c>
      <c r="E178" t="str">
        <f>IF('All Girls &amp; Descendants'!F177="","",'All Girls &amp; Descendants'!F177)</f>
        <v>Mary</v>
      </c>
      <c r="F178" t="str">
        <f>IF('All Girls &amp; Descendants'!G177="","",'All Girls &amp; Descendants'!G177)</f>
        <v/>
      </c>
      <c r="G178" t="str">
        <f>IF('All Girls &amp; Descendants'!H177="",D178,'All Girls &amp; Descendants'!H177)</f>
        <v>Serena</v>
      </c>
      <c r="H178">
        <f>'All Girls &amp; Descendants'!I177</f>
        <v>1967</v>
      </c>
      <c r="I178" t="str">
        <f>'All Girls &amp; Descendants'!J177</f>
        <v/>
      </c>
      <c r="J178">
        <f>'All Girls &amp; Descendants'!K177</f>
        <v>0</v>
      </c>
      <c r="K178" s="7">
        <f>'All Girls &amp; Descendants'!M177</f>
        <v>24522</v>
      </c>
      <c r="L178">
        <f>'All Girls &amp; Descendants'!N177</f>
        <v>35944</v>
      </c>
      <c r="M178" t="str">
        <f>'All Girls &amp; Descendants'!O177</f>
        <v/>
      </c>
      <c r="N178" t="str">
        <f>'All Girls &amp; Descendants'!P177</f>
        <v/>
      </c>
      <c r="O178" t="str">
        <f>'All Girls &amp; Descendants'!Q177</f>
        <v>85b</v>
      </c>
      <c r="P178" t="str">
        <f t="shared" si="53"/>
        <v>85bb</v>
      </c>
      <c r="Q178" s="116">
        <f t="shared" si="54"/>
        <v>2</v>
      </c>
      <c r="R178" s="31" t="str">
        <f t="shared" si="55"/>
        <v>Serena Mary  LANE FOX</v>
      </c>
      <c r="S178" s="31" t="str">
        <f t="shared" si="56"/>
        <v>Serena LANE FOX (1967 -: #85bb)</v>
      </c>
    </row>
    <row r="179" spans="1:19">
      <c r="A179">
        <f>'All Girls &amp; Descendants'!B178</f>
        <v>85</v>
      </c>
      <c r="B179" t="str">
        <f>'All Girls &amp; Descendants'!C178</f>
        <v>85bc</v>
      </c>
      <c r="C179" t="str">
        <f>'All Girls &amp; Descendants'!D178</f>
        <v>LANE FOX</v>
      </c>
      <c r="D179" t="str">
        <f>'All Girls &amp; Descendants'!E178</f>
        <v>Emily</v>
      </c>
      <c r="E179" t="str">
        <f>IF('All Girls &amp; Descendants'!F178="","",'All Girls &amp; Descendants'!F178)</f>
        <v>Laura</v>
      </c>
      <c r="F179" t="str">
        <f>IF('All Girls &amp; Descendants'!G178="","",'All Girls &amp; Descendants'!G178)</f>
        <v/>
      </c>
      <c r="G179" t="str">
        <f>IF('All Girls &amp; Descendants'!H178="",D179,'All Girls &amp; Descendants'!H178)</f>
        <v>Emily</v>
      </c>
      <c r="H179">
        <f>'All Girls &amp; Descendants'!I178</f>
        <v>1969</v>
      </c>
      <c r="I179" t="str">
        <f>'All Girls &amp; Descendants'!J178</f>
        <v/>
      </c>
      <c r="J179">
        <f>'All Girls &amp; Descendants'!K178</f>
        <v>0</v>
      </c>
      <c r="K179" s="7">
        <f>'All Girls &amp; Descendants'!M178</f>
        <v>25478</v>
      </c>
      <c r="L179">
        <f>'All Girls &amp; Descendants'!N178</f>
        <v>33852</v>
      </c>
      <c r="M179" t="str">
        <f>'All Girls &amp; Descendants'!O178</f>
        <v/>
      </c>
      <c r="N179" t="str">
        <f>'All Girls &amp; Descendants'!P178</f>
        <v/>
      </c>
      <c r="O179" t="str">
        <f>'All Girls &amp; Descendants'!Q178</f>
        <v>85b</v>
      </c>
      <c r="P179" t="str">
        <f t="shared" si="53"/>
        <v>85bc</v>
      </c>
      <c r="Q179" s="116">
        <f t="shared" si="54"/>
        <v>2</v>
      </c>
      <c r="R179" s="31" t="str">
        <f t="shared" si="55"/>
        <v>Emily Laura  LANE FOX</v>
      </c>
      <c r="S179" s="31" t="str">
        <f t="shared" si="56"/>
        <v>Emily LANE FOX (1969 -: #85bc)</v>
      </c>
    </row>
    <row r="180" spans="1:19">
      <c r="A180">
        <f>'All Girls &amp; Descendants'!B179</f>
        <v>85</v>
      </c>
      <c r="B180" t="str">
        <f>'All Girls &amp; Descendants'!C179</f>
        <v>85bd</v>
      </c>
      <c r="C180" t="str">
        <f>'All Girls &amp; Descendants'!D179</f>
        <v>LANE FOX</v>
      </c>
      <c r="D180" t="str">
        <f>'All Girls &amp; Descendants'!E179</f>
        <v>Charles</v>
      </c>
      <c r="E180" t="str">
        <f>IF('All Girls &amp; Descendants'!F179="","",'All Girls &amp; Descendants'!F179)</f>
        <v>James</v>
      </c>
      <c r="F180" t="str">
        <f>IF('All Girls &amp; Descendants'!G179="","",'All Girls &amp; Descendants'!G179)</f>
        <v/>
      </c>
      <c r="G180" t="str">
        <f>IF('All Girls &amp; Descendants'!H179="",D180,'All Girls &amp; Descendants'!H179)</f>
        <v>Charles</v>
      </c>
      <c r="H180">
        <f>'All Girls &amp; Descendants'!I179</f>
        <v>1977</v>
      </c>
      <c r="I180" t="str">
        <f>'All Girls &amp; Descendants'!J179</f>
        <v/>
      </c>
      <c r="J180">
        <f>'All Girls &amp; Descendants'!K179</f>
        <v>0</v>
      </c>
      <c r="K180" s="7">
        <f>'All Girls &amp; Descendants'!M179</f>
        <v>28218</v>
      </c>
      <c r="L180" t="str">
        <f>'All Girls &amp; Descendants'!N179</f>
        <v xml:space="preserve"> - </v>
      </c>
      <c r="M180" t="str">
        <f>'All Girls &amp; Descendants'!O179</f>
        <v/>
      </c>
      <c r="N180" t="str">
        <f>'All Girls &amp; Descendants'!P179</f>
        <v/>
      </c>
      <c r="O180" t="str">
        <f>'All Girls &amp; Descendants'!Q179</f>
        <v>85b</v>
      </c>
      <c r="P180" t="str">
        <f t="shared" si="53"/>
        <v>85bd</v>
      </c>
      <c r="Q180" s="116">
        <f t="shared" si="54"/>
        <v>2</v>
      </c>
      <c r="R180" s="31" t="str">
        <f t="shared" si="55"/>
        <v>Charles James  LANE FOX</v>
      </c>
      <c r="S180" s="31" t="str">
        <f t="shared" si="56"/>
        <v>Charles LANE FOX (1977 -: #85bd)</v>
      </c>
    </row>
    <row r="181" spans="1:19">
      <c r="A181">
        <f>'All Girls &amp; Descendants'!B180</f>
        <v>85</v>
      </c>
      <c r="B181" t="str">
        <f>'All Girls &amp; Descendants'!C180</f>
        <v>85ca</v>
      </c>
      <c r="C181" t="str">
        <f>'All Girls &amp; Descendants'!D180</f>
        <v>TENNYSON d'EYNCOURT</v>
      </c>
      <c r="D181" t="str">
        <f>'All Girls &amp; Descendants'!E180</f>
        <v>James</v>
      </c>
      <c r="E181" t="str">
        <f>IF('All Girls &amp; Descendants'!F180="","",'All Girls &amp; Descendants'!F180)</f>
        <v>Alfred</v>
      </c>
      <c r="F181" t="str">
        <f>IF('All Girls &amp; Descendants'!G180="","",'All Girls &amp; Descendants'!G180)</f>
        <v>Louis</v>
      </c>
      <c r="G181" t="str">
        <f>IF('All Girls &amp; Descendants'!H180="",D181,'All Girls &amp; Descendants'!H180)</f>
        <v>James</v>
      </c>
      <c r="H181">
        <f>'All Girls &amp; Descendants'!I180</f>
        <v>1978</v>
      </c>
      <c r="I181" t="str">
        <f>'All Girls &amp; Descendants'!J180</f>
        <v/>
      </c>
      <c r="J181">
        <f>'All Girls &amp; Descendants'!K180</f>
        <v>0</v>
      </c>
      <c r="K181" s="7">
        <f>'All Girls &amp; Descendants'!M180</f>
        <v>28652</v>
      </c>
      <c r="L181" t="str">
        <f>'All Girls &amp; Descendants'!N180</f>
        <v xml:space="preserve"> - </v>
      </c>
      <c r="M181" t="str">
        <f>'All Girls &amp; Descendants'!O180</f>
        <v/>
      </c>
      <c r="N181" t="str">
        <f>'All Girls &amp; Descendants'!P180</f>
        <v/>
      </c>
      <c r="O181" t="str">
        <f>'All Girls &amp; Descendants'!Q180</f>
        <v>85c</v>
      </c>
      <c r="P181" t="str">
        <f t="shared" si="53"/>
        <v>85ca</v>
      </c>
      <c r="Q181" s="116">
        <f t="shared" si="54"/>
        <v>2</v>
      </c>
      <c r="R181" s="31" t="str">
        <f t="shared" si="55"/>
        <v>James Alfred Louis TENNYSON d'EYNCOURT</v>
      </c>
      <c r="S181" s="31" t="str">
        <f t="shared" si="56"/>
        <v>James TENNYSON d'EYNCOURT (1978 -: #85ca)</v>
      </c>
    </row>
    <row r="182" spans="1:19">
      <c r="A182">
        <f>'All Girls &amp; Descendants'!B181</f>
        <v>85</v>
      </c>
      <c r="B182" t="str">
        <f>'All Girls &amp; Descendants'!C181</f>
        <v>85cb</v>
      </c>
      <c r="C182" t="str">
        <f>'All Girls &amp; Descendants'!D181</f>
        <v>TENNYSON d'EYNCOURT</v>
      </c>
      <c r="D182" t="str">
        <f>'All Girls &amp; Descendants'!E181</f>
        <v>Frances</v>
      </c>
      <c r="E182" t="str">
        <f>IF('All Girls &amp; Descendants'!F181="","",'All Girls &amp; Descendants'!F181)</f>
        <v>Rosemary</v>
      </c>
      <c r="F182" t="str">
        <f>IF('All Girls &amp; Descendants'!G181="","",'All Girls &amp; Descendants'!G181)</f>
        <v>Amaryllis</v>
      </c>
      <c r="G182" t="str">
        <f>IF('All Girls &amp; Descendants'!H181="",D182,'All Girls &amp; Descendants'!H181)</f>
        <v>Frances</v>
      </c>
      <c r="H182">
        <f>'All Girls &amp; Descendants'!I181</f>
        <v>1980</v>
      </c>
      <c r="I182" t="str">
        <f>'All Girls &amp; Descendants'!J181</f>
        <v/>
      </c>
      <c r="J182">
        <f>'All Girls &amp; Descendants'!K181</f>
        <v>0</v>
      </c>
      <c r="K182" s="7">
        <f>'All Girls &amp; Descendants'!M181</f>
        <v>29302</v>
      </c>
      <c r="L182" t="str">
        <f>'All Girls &amp; Descendants'!N181</f>
        <v xml:space="preserve"> - </v>
      </c>
      <c r="M182" t="str">
        <f>'All Girls &amp; Descendants'!O181</f>
        <v/>
      </c>
      <c r="N182" t="str">
        <f>'All Girls &amp; Descendants'!P181</f>
        <v/>
      </c>
      <c r="O182" t="str">
        <f>'All Girls &amp; Descendants'!Q181</f>
        <v>85c</v>
      </c>
      <c r="P182" t="str">
        <f t="shared" si="53"/>
        <v>85cb</v>
      </c>
      <c r="Q182" s="116">
        <f t="shared" si="54"/>
        <v>2</v>
      </c>
      <c r="R182" s="31" t="str">
        <f t="shared" si="55"/>
        <v>Frances Rosemary Amaryllis TENNYSON d'EYNCOURT</v>
      </c>
      <c r="S182" s="31" t="str">
        <f t="shared" si="56"/>
        <v>Frances TENNYSON d'EYNCOURT (1980 -: #85cb)</v>
      </c>
    </row>
    <row r="183" spans="1:19">
      <c r="A183">
        <f>'All Girls &amp; Descendants'!B182</f>
        <v>85</v>
      </c>
      <c r="B183" t="str">
        <f>'All Girls &amp; Descendants'!C182</f>
        <v>85da</v>
      </c>
      <c r="C183" t="str">
        <f>'All Girls &amp; Descendants'!D182</f>
        <v>LANE FOX</v>
      </c>
      <c r="D183" t="str">
        <f>'All Girls &amp; Descendants'!E182</f>
        <v>Martha</v>
      </c>
      <c r="E183" t="str">
        <f>IF('All Girls &amp; Descendants'!F182="","",'All Girls &amp; Descendants'!F182)</f>
        <v/>
      </c>
      <c r="F183" t="str">
        <f>IF('All Girls &amp; Descendants'!G182="","",'All Girls &amp; Descendants'!G182)</f>
        <v/>
      </c>
      <c r="G183" t="str">
        <f>IF('All Girls &amp; Descendants'!H182="",D183,'All Girls &amp; Descendants'!H182)</f>
        <v>Martha</v>
      </c>
      <c r="H183">
        <f>'All Girls &amp; Descendants'!I182</f>
        <v>1973</v>
      </c>
      <c r="I183" t="str">
        <f>'All Girls &amp; Descendants'!J182</f>
        <v/>
      </c>
      <c r="J183">
        <f>'All Girls &amp; Descendants'!K182</f>
        <v>0</v>
      </c>
      <c r="K183" s="7">
        <f>'All Girls &amp; Descendants'!M182</f>
        <v>26705</v>
      </c>
      <c r="L183" t="str">
        <f>'All Girls &amp; Descendants'!N182</f>
        <v xml:space="preserve"> - </v>
      </c>
      <c r="M183" t="str">
        <f>'All Girls &amp; Descendants'!O182</f>
        <v/>
      </c>
      <c r="N183" t="str">
        <f>'All Girls &amp; Descendants'!P182</f>
        <v/>
      </c>
      <c r="O183" t="str">
        <f>'All Girls &amp; Descendants'!Q182</f>
        <v>85d</v>
      </c>
      <c r="P183" t="str">
        <f t="shared" si="53"/>
        <v>85da</v>
      </c>
      <c r="Q183" s="116">
        <f t="shared" si="54"/>
        <v>2</v>
      </c>
      <c r="R183" s="31" t="str">
        <f t="shared" si="55"/>
        <v>Martha   LANE FOX</v>
      </c>
      <c r="S183" s="31" t="str">
        <f t="shared" si="56"/>
        <v>Martha LANE FOX (1973 -: #85da)</v>
      </c>
    </row>
    <row r="184" spans="1:19">
      <c r="A184">
        <f>'All Girls &amp; Descendants'!B183</f>
        <v>85</v>
      </c>
      <c r="B184" t="str">
        <f>'All Girls &amp; Descendants'!C183</f>
        <v>85db</v>
      </c>
      <c r="C184" t="str">
        <f>'All Girls &amp; Descendants'!D183</f>
        <v>LANE FOX</v>
      </c>
      <c r="D184" t="str">
        <f>'All Girls &amp; Descendants'!E183</f>
        <v>Henry</v>
      </c>
      <c r="E184" t="str">
        <f>IF('All Girls &amp; Descendants'!F183="","",'All Girls &amp; Descendants'!F183)</f>
        <v>James</v>
      </c>
      <c r="F184" t="str">
        <f>IF('All Girls &amp; Descendants'!G183="","",'All Girls &amp; Descendants'!G183)</f>
        <v/>
      </c>
      <c r="G184" t="str">
        <f>IF('All Girls &amp; Descendants'!H183="",D184,'All Girls &amp; Descendants'!H183)</f>
        <v>Henry</v>
      </c>
      <c r="H184">
        <f>'All Girls &amp; Descendants'!I183</f>
        <v>1974</v>
      </c>
      <c r="I184" t="str">
        <f>'All Girls &amp; Descendants'!J183</f>
        <v/>
      </c>
      <c r="J184">
        <f>'All Girls &amp; Descendants'!K183</f>
        <v>0</v>
      </c>
      <c r="K184" s="7">
        <f>'All Girls &amp; Descendants'!M183</f>
        <v>27321</v>
      </c>
      <c r="L184" t="str">
        <f>'All Girls &amp; Descendants'!N183</f>
        <v xml:space="preserve"> - </v>
      </c>
      <c r="M184" t="str">
        <f>'All Girls &amp; Descendants'!O183</f>
        <v/>
      </c>
      <c r="N184" t="str">
        <f>'All Girls &amp; Descendants'!P183</f>
        <v/>
      </c>
      <c r="O184" t="str">
        <f>'All Girls &amp; Descendants'!Q183</f>
        <v>85d</v>
      </c>
      <c r="P184" t="str">
        <f t="shared" si="53"/>
        <v>85db</v>
      </c>
      <c r="Q184" s="116">
        <f t="shared" si="54"/>
        <v>2</v>
      </c>
      <c r="R184" s="31" t="str">
        <f t="shared" si="55"/>
        <v>Henry James  LANE FOX</v>
      </c>
      <c r="S184" s="31" t="str">
        <f t="shared" si="56"/>
        <v>Henry LANE FOX (1974 -: #85db)</v>
      </c>
    </row>
    <row r="185" spans="1:19" ht="17">
      <c r="A185">
        <f>'All Girls &amp; Descendants'!B184</f>
        <v>88</v>
      </c>
      <c r="B185" t="str">
        <f>'All Girls &amp; Descendants'!C184</f>
        <v>88aa</v>
      </c>
      <c r="C185" t="str">
        <f>'All Girls &amp; Descendants'!D184</f>
        <v>HOLMAN</v>
      </c>
      <c r="D185" t="str">
        <f>'All Girls &amp; Descendants'!E184</f>
        <v>Richard</v>
      </c>
      <c r="E185" t="str">
        <f>IF('All Girls &amp; Descendants'!F184="","",'All Girls &amp; Descendants'!F184)</f>
        <v>Ian</v>
      </c>
      <c r="F185" t="str">
        <f>IF('All Girls &amp; Descendants'!G184="","",'All Girls &amp; Descendants'!G184)</f>
        <v/>
      </c>
      <c r="G185" t="str">
        <f>IF('All Girls &amp; Descendants'!H184="",D185,'All Girls &amp; Descendants'!H184)</f>
        <v>Richard</v>
      </c>
      <c r="H185">
        <f>'All Girls &amp; Descendants'!I184</f>
        <v>1958</v>
      </c>
      <c r="I185" t="str">
        <f>'All Girls &amp; Descendants'!J184</f>
        <v/>
      </c>
      <c r="J185">
        <f>'All Girls &amp; Descendants'!K184</f>
        <v>0</v>
      </c>
      <c r="K185" s="7" t="str">
        <f>'All Girls &amp; Descendants'!M184</f>
        <v>02/09/1958</v>
      </c>
      <c r="L185">
        <f>'All Girls &amp; Descendants'!N184</f>
        <v>31157</v>
      </c>
      <c r="M185" t="str">
        <f>'All Girls &amp; Descendants'!O184</f>
        <v/>
      </c>
      <c r="N185" t="str">
        <f>'All Girls &amp; Descendants'!P184</f>
        <v/>
      </c>
      <c r="O185" t="str">
        <f>'All Girls &amp; Descendants'!Q184</f>
        <v>88a</v>
      </c>
      <c r="P185" t="str">
        <f t="shared" si="53"/>
        <v>88aa</v>
      </c>
      <c r="Q185" s="116">
        <f t="shared" si="54"/>
        <v>2</v>
      </c>
      <c r="R185" s="31" t="str">
        <f t="shared" si="55"/>
        <v>Richard Ian  HOLMAN</v>
      </c>
      <c r="S185" s="31" t="str">
        <f t="shared" si="56"/>
        <v>Richard HOLMAN (1958 -: #88aa)</v>
      </c>
    </row>
    <row r="186" spans="1:19">
      <c r="A186">
        <f>'All Girls &amp; Descendants'!B185</f>
        <v>88</v>
      </c>
      <c r="B186" t="str">
        <f>'All Girls &amp; Descendants'!C185</f>
        <v>88ab</v>
      </c>
      <c r="C186" t="str">
        <f>'All Girls &amp; Descendants'!D185</f>
        <v>HOLMAN</v>
      </c>
      <c r="D186" t="str">
        <f>'All Girls &amp; Descendants'!E185</f>
        <v>Edward</v>
      </c>
      <c r="E186" t="str">
        <f>IF('All Girls &amp; Descendants'!F185="","",'All Girls &amp; Descendants'!F185)</f>
        <v/>
      </c>
      <c r="F186" t="str">
        <f>IF('All Girls &amp; Descendants'!G185="","",'All Girls &amp; Descendants'!G185)</f>
        <v/>
      </c>
      <c r="G186" t="str">
        <f>IF('All Girls &amp; Descendants'!H185="",D186,'All Girls &amp; Descendants'!H185)</f>
        <v>Edward</v>
      </c>
      <c r="H186">
        <f>'All Girls &amp; Descendants'!I185</f>
        <v>1960</v>
      </c>
      <c r="I186" t="str">
        <f>'All Girls &amp; Descendants'!J185</f>
        <v/>
      </c>
      <c r="J186">
        <f>'All Girls &amp; Descendants'!K185</f>
        <v>0</v>
      </c>
      <c r="K186" s="7">
        <f>'All Girls &amp; Descendants'!M185</f>
        <v>21961</v>
      </c>
      <c r="L186" t="str">
        <f>'All Girls &amp; Descendants'!N185</f>
        <v xml:space="preserve"> - </v>
      </c>
      <c r="M186" t="str">
        <f>'All Girls &amp; Descendants'!O185</f>
        <v/>
      </c>
      <c r="N186" t="str">
        <f>'All Girls &amp; Descendants'!P185</f>
        <v/>
      </c>
      <c r="O186" t="str">
        <f>'All Girls &amp; Descendants'!Q185</f>
        <v>88a</v>
      </c>
      <c r="P186" t="str">
        <f t="shared" si="53"/>
        <v>88ab</v>
      </c>
      <c r="Q186" s="116">
        <f t="shared" si="54"/>
        <v>2</v>
      </c>
      <c r="R186" s="31" t="str">
        <f t="shared" si="55"/>
        <v>Edward   HOLMAN</v>
      </c>
      <c r="S186" s="31" t="str">
        <f t="shared" si="56"/>
        <v>Edward HOLMAN (1960 -: #88ab)</v>
      </c>
    </row>
    <row r="187" spans="1:19">
      <c r="A187">
        <f>'All Girls &amp; Descendants'!B186</f>
        <v>88</v>
      </c>
      <c r="B187" t="str">
        <f>'All Girls &amp; Descendants'!C186</f>
        <v>88ac</v>
      </c>
      <c r="C187" t="str">
        <f>'All Girls &amp; Descendants'!D186</f>
        <v>HOLMAN</v>
      </c>
      <c r="D187" t="str">
        <f>'All Girls &amp; Descendants'!E186</f>
        <v>Georgina</v>
      </c>
      <c r="E187" t="str">
        <f>IF('All Girls &amp; Descendants'!F186="","",'All Girls &amp; Descendants'!F186)</f>
        <v>Mary</v>
      </c>
      <c r="F187" t="str">
        <f>IF('All Girls &amp; Descendants'!G186="","",'All Girls &amp; Descendants'!G186)</f>
        <v/>
      </c>
      <c r="G187" t="str">
        <f>IF('All Girls &amp; Descendants'!H186="",D187,'All Girls &amp; Descendants'!H186)</f>
        <v>Georgina</v>
      </c>
      <c r="H187">
        <f>'All Girls &amp; Descendants'!I186</f>
        <v>1964</v>
      </c>
      <c r="I187" t="str">
        <f>'All Girls &amp; Descendants'!J186</f>
        <v/>
      </c>
      <c r="J187">
        <f>'All Girls &amp; Descendants'!K186</f>
        <v>0</v>
      </c>
      <c r="K187" s="7">
        <f>'All Girls &amp; Descendants'!M186</f>
        <v>23654</v>
      </c>
      <c r="L187">
        <f>'All Girls &amp; Descendants'!N186</f>
        <v>32344</v>
      </c>
      <c r="M187" t="str">
        <f>'All Girls &amp; Descendants'!O186</f>
        <v/>
      </c>
      <c r="N187" t="str">
        <f>'All Girls &amp; Descendants'!P186</f>
        <v/>
      </c>
      <c r="O187" t="str">
        <f>'All Girls &amp; Descendants'!Q186</f>
        <v>88a</v>
      </c>
      <c r="P187" t="str">
        <f t="shared" si="53"/>
        <v>88ac</v>
      </c>
      <c r="Q187" s="116">
        <f t="shared" si="54"/>
        <v>2</v>
      </c>
      <c r="R187" s="31" t="str">
        <f t="shared" si="55"/>
        <v>Georgina Mary  HOLMAN</v>
      </c>
      <c r="S187" s="31" t="str">
        <f t="shared" si="56"/>
        <v>Georgina HOLMAN (1964 -: #88ac)</v>
      </c>
    </row>
    <row r="188" spans="1:19">
      <c r="A188">
        <f>'All Girls &amp; Descendants'!B187</f>
        <v>88</v>
      </c>
      <c r="B188" t="str">
        <f>'All Girls &amp; Descendants'!C187</f>
        <v>88ad</v>
      </c>
      <c r="C188" t="str">
        <f>'All Girls &amp; Descendants'!D187</f>
        <v>HOLMAN</v>
      </c>
      <c r="D188" t="str">
        <f>'All Girls &amp; Descendants'!E187</f>
        <v>Emma</v>
      </c>
      <c r="E188" t="str">
        <f>IF('All Girls &amp; Descendants'!F187="","",'All Girls &amp; Descendants'!F187)</f>
        <v>Charlotte</v>
      </c>
      <c r="F188" t="str">
        <f>IF('All Girls &amp; Descendants'!G187="","",'All Girls &amp; Descendants'!G187)</f>
        <v/>
      </c>
      <c r="G188" t="str">
        <f>IF('All Girls &amp; Descendants'!H187="",D188,'All Girls &amp; Descendants'!H187)</f>
        <v>Emma</v>
      </c>
      <c r="H188">
        <f>'All Girls &amp; Descendants'!I187</f>
        <v>1966</v>
      </c>
      <c r="I188" t="str">
        <f>'All Girls &amp; Descendants'!J187</f>
        <v/>
      </c>
      <c r="J188">
        <f>'All Girls &amp; Descendants'!K187</f>
        <v>0</v>
      </c>
      <c r="K188" s="7">
        <f>'All Girls &amp; Descendants'!M187</f>
        <v>24208</v>
      </c>
      <c r="L188">
        <f>'All Girls &amp; Descendants'!N187</f>
        <v>32984</v>
      </c>
      <c r="M188" t="str">
        <f>'All Girls &amp; Descendants'!O187</f>
        <v/>
      </c>
      <c r="N188" t="str">
        <f>'All Girls &amp; Descendants'!P187</f>
        <v/>
      </c>
      <c r="O188" t="str">
        <f>'All Girls &amp; Descendants'!Q187</f>
        <v>88a</v>
      </c>
      <c r="P188" t="str">
        <f t="shared" si="53"/>
        <v>88ad</v>
      </c>
      <c r="Q188" s="116">
        <f t="shared" si="54"/>
        <v>2</v>
      </c>
      <c r="R188" s="31" t="str">
        <f t="shared" si="55"/>
        <v>Emma Charlotte  HOLMAN</v>
      </c>
      <c r="S188" s="31" t="str">
        <f t="shared" si="56"/>
        <v>Emma HOLMAN (1966 -: #88ad)</v>
      </c>
    </row>
    <row r="189" spans="1:19">
      <c r="A189">
        <f>'All Girls &amp; Descendants'!B188</f>
        <v>88</v>
      </c>
      <c r="B189" t="str">
        <f>'All Girls &amp; Descendants'!C188</f>
        <v>88ba</v>
      </c>
      <c r="C189" t="str">
        <f>'All Girls &amp; Descendants'!D188</f>
        <v>KEITH</v>
      </c>
      <c r="D189" t="str">
        <f>'All Girls &amp; Descendants'!E188</f>
        <v>James</v>
      </c>
      <c r="E189" t="str">
        <f>IF('All Girls &amp; Descendants'!F188="","",'All Girls &amp; Descendants'!F188)</f>
        <v>William</v>
      </c>
      <c r="F189" t="str">
        <f>IF('All Girls &amp; Descendants'!G188="","",'All Girls &amp; Descendants'!G188)</f>
        <v>Falconer</v>
      </c>
      <c r="G189" t="str">
        <f>IF('All Girls &amp; Descendants'!H188="",D189,'All Girls &amp; Descendants'!H188)</f>
        <v>James</v>
      </c>
      <c r="H189">
        <f>'All Girls &amp; Descendants'!I188</f>
        <v>1976</v>
      </c>
      <c r="I189" t="str">
        <f>'All Girls &amp; Descendants'!J188</f>
        <v/>
      </c>
      <c r="J189">
        <f>'All Girls &amp; Descendants'!K188</f>
        <v>0</v>
      </c>
      <c r="K189" s="7">
        <f>'All Girls &amp; Descendants'!M188</f>
        <v>27865</v>
      </c>
      <c r="L189" t="str">
        <f>'All Girls &amp; Descendants'!N188</f>
        <v xml:space="preserve"> - </v>
      </c>
      <c r="M189" t="str">
        <f>'All Girls &amp; Descendants'!O188</f>
        <v/>
      </c>
      <c r="N189" t="str">
        <f>'All Girls &amp; Descendants'!P188</f>
        <v/>
      </c>
      <c r="O189" t="str">
        <f>'All Girls &amp; Descendants'!Q188</f>
        <v>88b</v>
      </c>
      <c r="P189" t="str">
        <f t="shared" si="53"/>
        <v>88ba</v>
      </c>
      <c r="Q189" s="116">
        <f t="shared" si="54"/>
        <v>2</v>
      </c>
      <c r="R189" s="31" t="str">
        <f t="shared" si="55"/>
        <v>James William Falconer KEITH</v>
      </c>
      <c r="S189" s="31" t="str">
        <f t="shared" si="56"/>
        <v>James KEITH (1976 -: #88ba)</v>
      </c>
    </row>
    <row r="190" spans="1:19">
      <c r="A190">
        <f>'All Girls &amp; Descendants'!B189</f>
        <v>88</v>
      </c>
      <c r="B190" t="str">
        <f>'All Girls &amp; Descendants'!C189</f>
        <v>88ca</v>
      </c>
      <c r="C190" t="str">
        <f>'All Girls &amp; Descendants'!D189</f>
        <v>KEITH</v>
      </c>
      <c r="D190" t="str">
        <f>'All Girls &amp; Descendants'!E189</f>
        <v>The Honourable Iona</v>
      </c>
      <c r="E190" t="str">
        <f>IF('All Girls &amp; Descendants'!F189="","",'All Girls &amp; Descendants'!F189)</f>
        <v>Delia Mary</v>
      </c>
      <c r="F190" t="str">
        <f>IF('All Girls &amp; Descendants'!G189="","",'All Girls &amp; Descendants'!G189)</f>
        <v>Gaddis</v>
      </c>
      <c r="G190" t="str">
        <f>IF('All Girls &amp; Descendants'!H189="",D190,'All Girls &amp; Descendants'!H189)</f>
        <v>The Honourable Iona</v>
      </c>
      <c r="H190">
        <f>'All Girls &amp; Descendants'!I189</f>
        <v>1978</v>
      </c>
      <c r="I190" t="str">
        <f>'All Girls &amp; Descendants'!J189</f>
        <v/>
      </c>
      <c r="J190">
        <f>'All Girls &amp; Descendants'!K189</f>
        <v>0</v>
      </c>
      <c r="K190" s="7">
        <f>'All Girls &amp; Descendants'!M189</f>
        <v>28491</v>
      </c>
      <c r="L190" t="str">
        <f>'All Girls &amp; Descendants'!N189</f>
        <v xml:space="preserve"> - </v>
      </c>
      <c r="M190" t="str">
        <f>'All Girls &amp; Descendants'!O189</f>
        <v/>
      </c>
      <c r="N190" t="str">
        <f>'All Girls &amp; Descendants'!P189</f>
        <v/>
      </c>
      <c r="O190" t="str">
        <f>'All Girls &amp; Descendants'!Q189</f>
        <v>88c</v>
      </c>
      <c r="P190" t="str">
        <f t="shared" si="53"/>
        <v>88ca</v>
      </c>
      <c r="Q190" s="116">
        <f t="shared" si="54"/>
        <v>2</v>
      </c>
      <c r="R190" s="31" t="str">
        <f t="shared" si="55"/>
        <v>The Honourable Iona Delia Mary Gaddis KEITH</v>
      </c>
      <c r="S190" s="31" t="str">
        <f t="shared" si="56"/>
        <v>The Honourable Iona KEITH (1978 -: #88ca)</v>
      </c>
    </row>
    <row r="191" spans="1:19">
      <c r="A191">
        <f>'All Girls &amp; Descendants'!B190</f>
        <v>90</v>
      </c>
      <c r="B191" t="str">
        <f>'All Girls &amp; Descendants'!C190</f>
        <v>90aa</v>
      </c>
      <c r="C191" t="str">
        <f>'All Girls &amp; Descendants'!D190</f>
        <v>NORMAN</v>
      </c>
      <c r="D191" t="str">
        <f>'All Girls &amp; Descendants'!E190</f>
        <v>Emily</v>
      </c>
      <c r="E191" t="str">
        <f>IF('All Girls &amp; Descendants'!F190="","",'All Girls &amp; Descendants'!F190)</f>
        <v>Kate</v>
      </c>
      <c r="F191" t="str">
        <f>IF('All Girls &amp; Descendants'!G190="","",'All Girls &amp; Descendants'!G190)</f>
        <v/>
      </c>
      <c r="G191" t="str">
        <f>IF('All Girls &amp; Descendants'!H190="",D191,'All Girls &amp; Descendants'!H190)</f>
        <v>Emily</v>
      </c>
      <c r="H191">
        <f>'All Girls &amp; Descendants'!I190</f>
        <v>1975</v>
      </c>
      <c r="I191" t="str">
        <f>'All Girls &amp; Descendants'!J190</f>
        <v/>
      </c>
      <c r="J191">
        <f>'All Girls &amp; Descendants'!K190</f>
        <v>0</v>
      </c>
      <c r="K191" s="7">
        <f>'All Girls &amp; Descendants'!M190</f>
        <v>27661</v>
      </c>
      <c r="L191" t="str">
        <f>'All Girls &amp; Descendants'!N190</f>
        <v xml:space="preserve"> - </v>
      </c>
      <c r="M191" t="str">
        <f>'All Girls &amp; Descendants'!O190</f>
        <v/>
      </c>
      <c r="N191" t="str">
        <f>'All Girls &amp; Descendants'!P190</f>
        <v/>
      </c>
      <c r="O191" t="str">
        <f>'All Girls &amp; Descendants'!Q190</f>
        <v>90a</v>
      </c>
      <c r="P191" t="str">
        <f t="shared" si="53"/>
        <v>90aa</v>
      </c>
      <c r="Q191" s="116">
        <f t="shared" si="54"/>
        <v>2</v>
      </c>
      <c r="R191" s="31" t="str">
        <f t="shared" si="55"/>
        <v>Emily Kate  NORMAN</v>
      </c>
      <c r="S191" s="31" t="str">
        <f t="shared" si="56"/>
        <v>Emily NORMAN (1975 -: #90aa)</v>
      </c>
    </row>
    <row r="192" spans="1:19">
      <c r="A192">
        <f>'All Girls &amp; Descendants'!B191</f>
        <v>90</v>
      </c>
      <c r="B192" t="str">
        <f>'All Girls &amp; Descendants'!C191</f>
        <v>90ab</v>
      </c>
      <c r="C192" t="str">
        <f>'All Girls &amp; Descendants'!D191</f>
        <v>RANKIN</v>
      </c>
      <c r="D192" t="str">
        <f>'All Girls &amp; Descendants'!E191</f>
        <v>Lachlan</v>
      </c>
      <c r="E192" t="str">
        <f>IF('All Girls &amp; Descendants'!F191="","",'All Girls &amp; Descendants'!F191)</f>
        <v>John</v>
      </c>
      <c r="F192" t="str">
        <f>IF('All Girls &amp; Descendants'!G191="","",'All Girls &amp; Descendants'!G191)</f>
        <v/>
      </c>
      <c r="G192" t="str">
        <f>IF('All Girls &amp; Descendants'!H191="",D192,'All Girls &amp; Descendants'!H191)</f>
        <v>Lachlan</v>
      </c>
      <c r="H192">
        <f>'All Girls &amp; Descendants'!I191</f>
        <v>1980</v>
      </c>
      <c r="I192" t="str">
        <f>'All Girls &amp; Descendants'!J191</f>
        <v/>
      </c>
      <c r="J192">
        <f>'All Girls &amp; Descendants'!K191</f>
        <v>0</v>
      </c>
      <c r="K192" s="7">
        <f>'All Girls &amp; Descendants'!M191</f>
        <v>29338</v>
      </c>
      <c r="L192" t="str">
        <f>'All Girls &amp; Descendants'!N191</f>
        <v xml:space="preserve"> - </v>
      </c>
      <c r="M192" t="str">
        <f>'All Girls &amp; Descendants'!O191</f>
        <v/>
      </c>
      <c r="N192" t="str">
        <f>'All Girls &amp; Descendants'!P191</f>
        <v/>
      </c>
      <c r="O192" t="str">
        <f>'All Girls &amp; Descendants'!Q191</f>
        <v>90a</v>
      </c>
      <c r="P192" t="str">
        <f t="shared" si="53"/>
        <v>90ab</v>
      </c>
      <c r="Q192" s="116">
        <f t="shared" si="54"/>
        <v>2</v>
      </c>
      <c r="R192" s="31" t="str">
        <f t="shared" si="55"/>
        <v>Lachlan John  RANKIN</v>
      </c>
      <c r="S192" s="31" t="str">
        <f t="shared" si="56"/>
        <v>Lachlan RANKIN (1980 -: #90ab)</v>
      </c>
    </row>
    <row r="193" spans="1:19">
      <c r="A193">
        <f>'All Girls &amp; Descendants'!B192</f>
        <v>90</v>
      </c>
      <c r="B193" t="str">
        <f>'All Girls &amp; Descendants'!C192</f>
        <v>90ba</v>
      </c>
      <c r="C193" t="str">
        <f>'All Girls &amp; Descendants'!D192</f>
        <v>STUDIATI BERNI</v>
      </c>
      <c r="D193" t="str">
        <f>'All Girls &amp; Descendants'!E192</f>
        <v>Cesare</v>
      </c>
      <c r="E193" t="str">
        <f>IF('All Girls &amp; Descendants'!F192="","",'All Girls &amp; Descendants'!F192)</f>
        <v/>
      </c>
      <c r="F193" t="str">
        <f>IF('All Girls &amp; Descendants'!G192="","",'All Girls &amp; Descendants'!G192)</f>
        <v/>
      </c>
      <c r="G193" t="str">
        <f>IF('All Girls &amp; Descendants'!H192="",D193,'All Girls &amp; Descendants'!H192)</f>
        <v>Cesare</v>
      </c>
      <c r="H193">
        <f>'All Girls &amp; Descendants'!I192</f>
        <v>1972</v>
      </c>
      <c r="I193" t="str">
        <f>'All Girls &amp; Descendants'!J192</f>
        <v/>
      </c>
      <c r="J193">
        <f>'All Girls &amp; Descendants'!K192</f>
        <v>0</v>
      </c>
      <c r="K193" s="7">
        <f>'All Girls &amp; Descendants'!M192</f>
        <v>26549</v>
      </c>
      <c r="L193" t="str">
        <f>'All Girls &amp; Descendants'!N192</f>
        <v xml:space="preserve"> - </v>
      </c>
      <c r="M193" t="str">
        <f>'All Girls &amp; Descendants'!O192</f>
        <v/>
      </c>
      <c r="N193" t="str">
        <f>'All Girls &amp; Descendants'!P192</f>
        <v/>
      </c>
      <c r="O193" t="str">
        <f>'All Girls &amp; Descendants'!Q192</f>
        <v>90b</v>
      </c>
      <c r="P193" t="str">
        <f t="shared" si="53"/>
        <v>90ba</v>
      </c>
      <c r="Q193" s="116">
        <f t="shared" si="54"/>
        <v>2</v>
      </c>
      <c r="R193" s="31" t="str">
        <f t="shared" si="55"/>
        <v>Cesare   STUDIATI BERNI</v>
      </c>
      <c r="S193" s="31" t="str">
        <f t="shared" si="56"/>
        <v>Cesare STUDIATI BERNI (1972 -: #90ba)</v>
      </c>
    </row>
    <row r="194" spans="1:19">
      <c r="A194">
        <f>'All Girls &amp; Descendants'!B193</f>
        <v>90</v>
      </c>
      <c r="B194" t="str">
        <f>'All Girls &amp; Descendants'!C193</f>
        <v>90bb</v>
      </c>
      <c r="C194" t="str">
        <f>'All Girls &amp; Descendants'!D193</f>
        <v>STUDIATI BERNI</v>
      </c>
      <c r="D194" t="str">
        <f>'All Girls &amp; Descendants'!E193</f>
        <v>Viola</v>
      </c>
      <c r="E194" t="str">
        <f>IF('All Girls &amp; Descendants'!F193="","",'All Girls &amp; Descendants'!F193)</f>
        <v/>
      </c>
      <c r="F194" t="str">
        <f>IF('All Girls &amp; Descendants'!G193="","",'All Girls &amp; Descendants'!G193)</f>
        <v/>
      </c>
      <c r="G194" t="str">
        <f>IF('All Girls &amp; Descendants'!H193="",D194,'All Girls &amp; Descendants'!H193)</f>
        <v>Viola</v>
      </c>
      <c r="H194">
        <f>'All Girls &amp; Descendants'!I193</f>
        <v>1975</v>
      </c>
      <c r="I194" t="str">
        <f>'All Girls &amp; Descendants'!J193</f>
        <v/>
      </c>
      <c r="J194">
        <f>'All Girls &amp; Descendants'!K193</f>
        <v>0</v>
      </c>
      <c r="K194" s="7">
        <f>'All Girls &amp; Descendants'!M193</f>
        <v>27605</v>
      </c>
      <c r="L194" t="str">
        <f>'All Girls &amp; Descendants'!N193</f>
        <v xml:space="preserve"> - </v>
      </c>
      <c r="M194" t="str">
        <f>'All Girls &amp; Descendants'!O193</f>
        <v/>
      </c>
      <c r="N194" t="str">
        <f>'All Girls &amp; Descendants'!P193</f>
        <v/>
      </c>
      <c r="O194" t="str">
        <f>'All Girls &amp; Descendants'!Q193</f>
        <v>90b</v>
      </c>
      <c r="P194" t="str">
        <f t="shared" si="53"/>
        <v>90bb</v>
      </c>
      <c r="Q194" s="116">
        <f t="shared" si="54"/>
        <v>2</v>
      </c>
      <c r="R194" s="31" t="str">
        <f t="shared" si="55"/>
        <v>Viola   STUDIATI BERNI</v>
      </c>
      <c r="S194" s="31" t="str">
        <f t="shared" si="56"/>
        <v>Viola STUDIATI BERNI (1975 -: #90bb)</v>
      </c>
    </row>
    <row r="195" spans="1:19">
      <c r="A195">
        <f>'All Girls &amp; Descendants'!B194</f>
        <v>90</v>
      </c>
      <c r="B195" t="str">
        <f>'All Girls &amp; Descendants'!C194</f>
        <v>90ca</v>
      </c>
      <c r="C195" t="str">
        <f>'All Girls &amp; Descendants'!D194</f>
        <v>CLARKE</v>
      </c>
      <c r="D195" t="str">
        <f>'All Girls &amp; Descendants'!E194</f>
        <v xml:space="preserve">Georgina </v>
      </c>
      <c r="E195" t="str">
        <f>IF('All Girls &amp; Descendants'!F194="","",'All Girls &amp; Descendants'!F194)</f>
        <v>Louise</v>
      </c>
      <c r="F195" t="str">
        <f>IF('All Girls &amp; Descendants'!G194="","",'All Girls &amp; Descendants'!G194)</f>
        <v>Stephenson</v>
      </c>
      <c r="G195" t="str">
        <f>IF('All Girls &amp; Descendants'!H194="",D195,'All Girls &amp; Descendants'!H194)</f>
        <v xml:space="preserve">Georgina </v>
      </c>
      <c r="H195">
        <f>'All Girls &amp; Descendants'!I194</f>
        <v>1976</v>
      </c>
      <c r="I195" t="str">
        <f>'All Girls &amp; Descendants'!J194</f>
        <v/>
      </c>
      <c r="J195">
        <f>'All Girls &amp; Descendants'!K194</f>
        <v>0</v>
      </c>
      <c r="K195" s="7">
        <f>'All Girls &amp; Descendants'!M194</f>
        <v>27811</v>
      </c>
      <c r="L195" t="str">
        <f>'All Girls &amp; Descendants'!N194</f>
        <v xml:space="preserve"> - </v>
      </c>
      <c r="M195" t="str">
        <f>'All Girls &amp; Descendants'!O194</f>
        <v/>
      </c>
      <c r="N195" t="str">
        <f>'All Girls &amp; Descendants'!P194</f>
        <v/>
      </c>
      <c r="O195" t="str">
        <f>'All Girls &amp; Descendants'!Q194</f>
        <v>90c</v>
      </c>
      <c r="P195" t="str">
        <f t="shared" si="53"/>
        <v>90ca</v>
      </c>
      <c r="Q195" s="116">
        <f t="shared" si="54"/>
        <v>2</v>
      </c>
      <c r="R195" s="31" t="str">
        <f t="shared" si="55"/>
        <v>Georgina  Louise Stephenson CLARKE</v>
      </c>
      <c r="S195" s="31" t="str">
        <f t="shared" si="56"/>
        <v>Georgina  CLARKE (1976 -: #90ca)</v>
      </c>
    </row>
    <row r="196" spans="1:19">
      <c r="A196">
        <f>'All Girls &amp; Descendants'!B195</f>
        <v>90</v>
      </c>
      <c r="B196" t="str">
        <f>'All Girls &amp; Descendants'!C195</f>
        <v>90cb</v>
      </c>
      <c r="C196" t="str">
        <f>'All Girls &amp; Descendants'!D195</f>
        <v>CLARKE</v>
      </c>
      <c r="D196" t="str">
        <f>'All Girls &amp; Descendants'!E195</f>
        <v>Philippa</v>
      </c>
      <c r="E196" t="str">
        <f>IF('All Girls &amp; Descendants'!F195="","",'All Girls &amp; Descendants'!F195)</f>
        <v>Francesca</v>
      </c>
      <c r="F196" t="str">
        <f>IF('All Girls &amp; Descendants'!G195="","",'All Girls &amp; Descendants'!G195)</f>
        <v>Stephenson</v>
      </c>
      <c r="G196" t="str">
        <f>IF('All Girls &amp; Descendants'!H195="",D196,'All Girls &amp; Descendants'!H195)</f>
        <v>Philippa</v>
      </c>
      <c r="H196">
        <f>'All Girls &amp; Descendants'!I195</f>
        <v>1980</v>
      </c>
      <c r="I196">
        <f>'All Girls &amp; Descendants'!J195</f>
        <v>1980</v>
      </c>
      <c r="J196">
        <f>'All Girls &amp; Descendants'!K195</f>
        <v>0</v>
      </c>
      <c r="K196" s="7">
        <f>'All Girls &amp; Descendants'!M195</f>
        <v>29235</v>
      </c>
      <c r="L196" t="str">
        <f>'All Girls &amp; Descendants'!N195</f>
        <v xml:space="preserve"> - </v>
      </c>
      <c r="M196">
        <f>'All Girls &amp; Descendants'!O195</f>
        <v>29320</v>
      </c>
      <c r="N196" t="str">
        <f>'All Girls &amp; Descendants'!P195</f>
        <v>09/04/1980</v>
      </c>
      <c r="O196" t="str">
        <f>'All Girls &amp; Descendants'!Q195</f>
        <v>90c</v>
      </c>
      <c r="P196" t="str">
        <f t="shared" si="53"/>
        <v>90cb</v>
      </c>
      <c r="Q196" s="116">
        <f t="shared" si="54"/>
        <v>2</v>
      </c>
      <c r="R196" s="31" t="str">
        <f t="shared" si="55"/>
        <v>Philippa Francesca Stephenson CLARKE</v>
      </c>
      <c r="S196" s="31" t="str">
        <f t="shared" si="56"/>
        <v>Philippa CLARKE (1980 -1980: #90cb)</v>
      </c>
    </row>
    <row r="197" spans="1:19">
      <c r="A197">
        <f>'All Girls &amp; Descendants'!B196</f>
        <v>90</v>
      </c>
      <c r="B197" t="str">
        <f>'All Girls &amp; Descendants'!C196</f>
        <v>90cc</v>
      </c>
      <c r="C197" t="str">
        <f>'All Girls &amp; Descendants'!D196</f>
        <v>CLARKE</v>
      </c>
      <c r="D197" t="str">
        <f>'All Girls &amp; Descendants'!E196</f>
        <v>Marina</v>
      </c>
      <c r="E197" t="str">
        <f>IF('All Girls &amp; Descendants'!F196="","",'All Girls &amp; Descendants'!F196)</f>
        <v>Rose</v>
      </c>
      <c r="F197" t="str">
        <f>IF('All Girls &amp; Descendants'!G196="","",'All Girls &amp; Descendants'!G196)</f>
        <v>Stephenson</v>
      </c>
      <c r="G197" t="str">
        <f>IF('All Girls &amp; Descendants'!H196="",D197,'All Girls &amp; Descendants'!H196)</f>
        <v>Marina</v>
      </c>
      <c r="H197">
        <f>'All Girls &amp; Descendants'!I196</f>
        <v>1982</v>
      </c>
      <c r="I197" t="str">
        <f>'All Girls &amp; Descendants'!J196</f>
        <v/>
      </c>
      <c r="J197">
        <f>'All Girls &amp; Descendants'!K196</f>
        <v>0</v>
      </c>
      <c r="K197" s="7">
        <f>'All Girls &amp; Descendants'!M196</f>
        <v>30030</v>
      </c>
      <c r="L197" t="str">
        <f>'All Girls &amp; Descendants'!N196</f>
        <v xml:space="preserve"> - </v>
      </c>
      <c r="M197" t="str">
        <f>'All Girls &amp; Descendants'!O196</f>
        <v/>
      </c>
      <c r="N197" t="str">
        <f>'All Girls &amp; Descendants'!P196</f>
        <v/>
      </c>
      <c r="O197" t="str">
        <f>'All Girls &amp; Descendants'!Q196</f>
        <v>90c</v>
      </c>
      <c r="P197" t="str">
        <f t="shared" ref="P197:P214" si="62">B197</f>
        <v>90cc</v>
      </c>
      <c r="Q197" s="116">
        <f t="shared" ref="Q197:Q214" si="63">LEN(B197)-LEN(A197)</f>
        <v>2</v>
      </c>
      <c r="R197" s="31" t="str">
        <f t="shared" ref="R197:R214" si="64">_xlfn.CONCAT(D197," ",E197," ",F197," ",C197)</f>
        <v>Marina Rose Stephenson CLARKE</v>
      </c>
      <c r="S197" s="31" t="str">
        <f t="shared" ref="S197:S214" si="65">_xlfn.CONCAT(G197," ",C197," (",H197," -",I197,": #",B197,")")</f>
        <v>Marina CLARKE (1982 -: #90cc)</v>
      </c>
    </row>
    <row r="198" spans="1:19">
      <c r="A198">
        <f>'All Girls &amp; Descendants'!B197</f>
        <v>92</v>
      </c>
      <c r="B198" t="str">
        <f>'All Girls &amp; Descendants'!C197</f>
        <v>92aa</v>
      </c>
      <c r="C198" t="str">
        <f>'All Girls &amp; Descendants'!D197</f>
        <v>TATTON-BROWN</v>
      </c>
      <c r="D198" t="str">
        <f>'All Girls &amp; Descendants'!E197</f>
        <v>Hugh</v>
      </c>
      <c r="E198" t="str">
        <f>IF('All Girls &amp; Descendants'!F197="","",'All Girls &amp; Descendants'!F197)</f>
        <v>Trelawny</v>
      </c>
      <c r="F198" t="str">
        <f>IF('All Girls &amp; Descendants'!G197="","",'All Girls &amp; Descendants'!G197)</f>
        <v/>
      </c>
      <c r="G198" t="str">
        <f>IF('All Girls &amp; Descendants'!H197="",D198,'All Girls &amp; Descendants'!H197)</f>
        <v>Hugh</v>
      </c>
      <c r="H198">
        <f>'All Girls &amp; Descendants'!I197</f>
        <v>1980</v>
      </c>
      <c r="I198" t="str">
        <f>'All Girls &amp; Descendants'!J197</f>
        <v/>
      </c>
      <c r="J198">
        <f>'All Girls &amp; Descendants'!K197</f>
        <v>0</v>
      </c>
      <c r="K198" s="7">
        <f>'All Girls &amp; Descendants'!M197</f>
        <v>29424</v>
      </c>
      <c r="L198" t="str">
        <f>'All Girls &amp; Descendants'!N197</f>
        <v xml:space="preserve"> - </v>
      </c>
      <c r="M198" t="str">
        <f>'All Girls &amp; Descendants'!O197</f>
        <v/>
      </c>
      <c r="N198" t="str">
        <f>'All Girls &amp; Descendants'!P197</f>
        <v/>
      </c>
      <c r="O198" t="str">
        <f>'All Girls &amp; Descendants'!Q197</f>
        <v>92a</v>
      </c>
      <c r="P198" t="str">
        <f t="shared" si="62"/>
        <v>92aa</v>
      </c>
      <c r="Q198" s="116">
        <f t="shared" si="63"/>
        <v>2</v>
      </c>
      <c r="R198" s="31" t="str">
        <f t="shared" si="64"/>
        <v>Hugh Trelawny  TATTON-BROWN</v>
      </c>
      <c r="S198" s="31" t="str">
        <f t="shared" si="65"/>
        <v>Hugh TATTON-BROWN (1980 -: #92aa)</v>
      </c>
    </row>
    <row r="199" spans="1:19" ht="17">
      <c r="A199">
        <f>'All Girls &amp; Descendants'!B198</f>
        <v>92</v>
      </c>
      <c r="B199" t="str">
        <f>'All Girls &amp; Descendants'!C198</f>
        <v>92ab</v>
      </c>
      <c r="C199" t="str">
        <f>'All Girls &amp; Descendants'!D198</f>
        <v>TATTON-BROWN</v>
      </c>
      <c r="D199" t="str">
        <f>'All Girls &amp; Descendants'!E198</f>
        <v>Miranda</v>
      </c>
      <c r="E199" t="str">
        <f>IF('All Girls &amp; Descendants'!F198="","",'All Girls &amp; Descendants'!F198)</f>
        <v>Emily</v>
      </c>
      <c r="F199" t="str">
        <f>IF('All Girls &amp; Descendants'!G198="","",'All Girls &amp; Descendants'!G198)</f>
        <v>Jean</v>
      </c>
      <c r="G199" t="str">
        <f>IF('All Girls &amp; Descendants'!H198="",D199,'All Girls &amp; Descendants'!H198)</f>
        <v>Miranda</v>
      </c>
      <c r="H199">
        <f>'All Girls &amp; Descendants'!I198</f>
        <v>1983</v>
      </c>
      <c r="I199" t="str">
        <f>'All Girls &amp; Descendants'!J198</f>
        <v/>
      </c>
      <c r="J199">
        <f>'All Girls &amp; Descendants'!K198</f>
        <v>0</v>
      </c>
      <c r="K199" s="7" t="str">
        <f>'All Girls &amp; Descendants'!M198</f>
        <v>24/01/1983</v>
      </c>
      <c r="L199" t="str">
        <f>'All Girls &amp; Descendants'!N198</f>
        <v xml:space="preserve"> - </v>
      </c>
      <c r="M199" t="str">
        <f>'All Girls &amp; Descendants'!O198</f>
        <v/>
      </c>
      <c r="N199" t="str">
        <f>'All Girls &amp; Descendants'!P198</f>
        <v/>
      </c>
      <c r="O199" t="str">
        <f>'All Girls &amp; Descendants'!Q198</f>
        <v>92a</v>
      </c>
      <c r="P199" t="str">
        <f t="shared" si="62"/>
        <v>92ab</v>
      </c>
      <c r="Q199" s="116">
        <f t="shared" si="63"/>
        <v>2</v>
      </c>
      <c r="R199" s="31" t="str">
        <f t="shared" si="64"/>
        <v>Miranda Emily Jean TATTON-BROWN</v>
      </c>
      <c r="S199" s="31" t="str">
        <f t="shared" si="65"/>
        <v>Miranda TATTON-BROWN (1983 -: #92ab)</v>
      </c>
    </row>
    <row r="200" spans="1:19">
      <c r="A200">
        <f>'All Girls &amp; Descendants'!B199</f>
        <v>92</v>
      </c>
      <c r="B200" t="str">
        <f>'All Girls &amp; Descendants'!C199</f>
        <v>92ac</v>
      </c>
      <c r="C200" t="str">
        <f>'All Girls &amp; Descendants'!D199</f>
        <v>TATTON-BROWN</v>
      </c>
      <c r="D200" t="str">
        <f>'All Girls &amp; Descendants'!E199</f>
        <v>Lucy</v>
      </c>
      <c r="E200" t="str">
        <f>IF('All Girls &amp; Descendants'!F199="","",'All Girls &amp; Descendants'!F199)</f>
        <v>Ann</v>
      </c>
      <c r="F200" t="str">
        <f>IF('All Girls &amp; Descendants'!G199="","",'All Girls &amp; Descendants'!G199)</f>
        <v/>
      </c>
      <c r="G200" t="str">
        <f>IF('All Girls &amp; Descendants'!H199="",D200,'All Girls &amp; Descendants'!H199)</f>
        <v>Lucy</v>
      </c>
      <c r="H200">
        <f>'All Girls &amp; Descendants'!I199</f>
        <v>1984</v>
      </c>
      <c r="I200" t="str">
        <f>'All Girls &amp; Descendants'!J199</f>
        <v/>
      </c>
      <c r="J200">
        <f>'All Girls &amp; Descendants'!K199</f>
        <v>0</v>
      </c>
      <c r="K200" s="7">
        <f>'All Girls &amp; Descendants'!M199</f>
        <v>30970</v>
      </c>
      <c r="L200" t="str">
        <f>'All Girls &amp; Descendants'!N199</f>
        <v xml:space="preserve"> - </v>
      </c>
      <c r="M200" t="str">
        <f>'All Girls &amp; Descendants'!O199</f>
        <v/>
      </c>
      <c r="N200" t="str">
        <f>'All Girls &amp; Descendants'!P199</f>
        <v/>
      </c>
      <c r="O200" t="str">
        <f>'All Girls &amp; Descendants'!Q199</f>
        <v>92a</v>
      </c>
      <c r="P200" t="str">
        <f t="shared" si="62"/>
        <v>92ac</v>
      </c>
      <c r="Q200" s="116">
        <f t="shared" si="63"/>
        <v>2</v>
      </c>
      <c r="R200" s="31" t="str">
        <f t="shared" si="64"/>
        <v>Lucy Ann  TATTON-BROWN</v>
      </c>
      <c r="S200" s="31" t="str">
        <f t="shared" si="65"/>
        <v>Lucy TATTON-BROWN (1984 -: #92ac)</v>
      </c>
    </row>
    <row r="201" spans="1:19">
      <c r="A201">
        <f>'All Girls &amp; Descendants'!B200</f>
        <v>92</v>
      </c>
      <c r="B201" t="str">
        <f>'All Girls &amp; Descendants'!C200</f>
        <v>92ad</v>
      </c>
      <c r="C201" t="str">
        <f>'All Girls &amp; Descendants'!D200</f>
        <v>TATTON-BROWN</v>
      </c>
      <c r="D201" t="str">
        <f>'All Girls &amp; Descendants'!E200</f>
        <v>Robert</v>
      </c>
      <c r="E201" t="str">
        <f>IF('All Girls &amp; Descendants'!F200="","",'All Girls &amp; Descendants'!F200)</f>
        <v>William</v>
      </c>
      <c r="F201" t="str">
        <f>IF('All Girls &amp; Descendants'!G200="","",'All Girls &amp; Descendants'!G200)</f>
        <v>Loyd</v>
      </c>
      <c r="G201" t="str">
        <f>IF('All Girls &amp; Descendants'!H200="",D201,'All Girls &amp; Descendants'!H200)</f>
        <v>Robert</v>
      </c>
      <c r="H201">
        <f>'All Girls &amp; Descendants'!I200</f>
        <v>1993</v>
      </c>
      <c r="I201" t="str">
        <f>'All Girls &amp; Descendants'!J200</f>
        <v/>
      </c>
      <c r="J201">
        <f>'All Girls &amp; Descendants'!K200</f>
        <v>0</v>
      </c>
      <c r="K201" s="7">
        <f>'All Girls &amp; Descendants'!M200</f>
        <v>34025</v>
      </c>
      <c r="L201" t="str">
        <f>'All Girls &amp; Descendants'!N200</f>
        <v xml:space="preserve"> - </v>
      </c>
      <c r="M201" t="str">
        <f>'All Girls &amp; Descendants'!O200</f>
        <v/>
      </c>
      <c r="N201" t="str">
        <f>'All Girls &amp; Descendants'!P200</f>
        <v/>
      </c>
      <c r="O201" t="str">
        <f>'All Girls &amp; Descendants'!Q200</f>
        <v>92a</v>
      </c>
      <c r="P201" t="str">
        <f t="shared" si="62"/>
        <v>92ad</v>
      </c>
      <c r="Q201" s="116">
        <f t="shared" si="63"/>
        <v>2</v>
      </c>
      <c r="R201" s="31" t="str">
        <f t="shared" si="64"/>
        <v>Robert William Loyd TATTON-BROWN</v>
      </c>
      <c r="S201" s="31" t="str">
        <f t="shared" si="65"/>
        <v>Robert TATTON-BROWN (1993 -: #92ad)</v>
      </c>
    </row>
    <row r="202" spans="1:19">
      <c r="A202">
        <f>'All Girls &amp; Descendants'!B201</f>
        <v>92</v>
      </c>
      <c r="B202" t="str">
        <f>'All Girls &amp; Descendants'!C201</f>
        <v>92ba</v>
      </c>
      <c r="C202" t="str">
        <f>'All Girls &amp; Descendants'!D201</f>
        <v>TATTON-BROWN</v>
      </c>
      <c r="D202" t="str">
        <f>'All Girls &amp; Descendants'!E201</f>
        <v>Olivia</v>
      </c>
      <c r="E202" t="str">
        <f>IF('All Girls &amp; Descendants'!F201="","",'All Girls &amp; Descendants'!F201)</f>
        <v>Daphne</v>
      </c>
      <c r="F202" t="str">
        <f>IF('All Girls &amp; Descendants'!G201="","",'All Girls &amp; Descendants'!G201)</f>
        <v>Noelle</v>
      </c>
      <c r="G202" t="str">
        <f>IF('All Girls &amp; Descendants'!H201="",D202,'All Girls &amp; Descendants'!H201)</f>
        <v>Olivia</v>
      </c>
      <c r="H202">
        <f>'All Girls &amp; Descendants'!I201</f>
        <v>1971</v>
      </c>
      <c r="I202" t="str">
        <f>'All Girls &amp; Descendants'!J201</f>
        <v/>
      </c>
      <c r="J202">
        <f>'All Girls &amp; Descendants'!K201</f>
        <v>0</v>
      </c>
      <c r="K202" s="7">
        <f>'All Girls &amp; Descendants'!M201</f>
        <v>26066</v>
      </c>
      <c r="L202" t="str">
        <f>'All Girls &amp; Descendants'!N201</f>
        <v>32/09/1970</v>
      </c>
      <c r="M202" t="str">
        <f>'All Girls &amp; Descendants'!O201</f>
        <v/>
      </c>
      <c r="N202" t="str">
        <f>'All Girls &amp; Descendants'!P201</f>
        <v/>
      </c>
      <c r="O202" t="str">
        <f>'All Girls &amp; Descendants'!Q201</f>
        <v>92b</v>
      </c>
      <c r="P202" t="str">
        <f t="shared" si="62"/>
        <v>92ba</v>
      </c>
      <c r="Q202" s="116">
        <f t="shared" si="63"/>
        <v>2</v>
      </c>
      <c r="R202" s="31" t="str">
        <f t="shared" si="64"/>
        <v>Olivia Daphne Noelle TATTON-BROWN</v>
      </c>
      <c r="S202" s="31" t="str">
        <f t="shared" si="65"/>
        <v>Olivia TATTON-BROWN (1971 -: #92ba)</v>
      </c>
    </row>
    <row r="203" spans="1:19">
      <c r="A203">
        <f>'All Girls &amp; Descendants'!B202</f>
        <v>92</v>
      </c>
      <c r="B203" t="str">
        <f>'All Girls &amp; Descendants'!C202</f>
        <v>92bb</v>
      </c>
      <c r="C203" t="str">
        <f>'All Girls &amp; Descendants'!D202</f>
        <v>TATTON-BROWN</v>
      </c>
      <c r="D203" t="str">
        <f>'All Girls &amp; Descendants'!E202</f>
        <v>Benjamin</v>
      </c>
      <c r="E203" t="str">
        <f>IF('All Girls &amp; Descendants'!F202="","",'All Girls &amp; Descendants'!F202)</f>
        <v>Robert</v>
      </c>
      <c r="F203" t="str">
        <f>IF('All Girls &amp; Descendants'!G202="","",'All Girls &amp; Descendants'!G202)</f>
        <v>Louis</v>
      </c>
      <c r="G203" t="str">
        <f>IF('All Girls &amp; Descendants'!H202="",D203,'All Girls &amp; Descendants'!H202)</f>
        <v>Ben</v>
      </c>
      <c r="H203">
        <f>'All Girls &amp; Descendants'!I202</f>
        <v>1973</v>
      </c>
      <c r="I203" t="str">
        <f>'All Girls &amp; Descendants'!J202</f>
        <v/>
      </c>
      <c r="J203">
        <f>'All Girls &amp; Descendants'!K202</f>
        <v>0</v>
      </c>
      <c r="K203" s="7">
        <f>'All Girls &amp; Descendants'!M202</f>
        <v>26838</v>
      </c>
      <c r="L203" t="str">
        <f>'All Girls &amp; Descendants'!N202</f>
        <v xml:space="preserve"> - </v>
      </c>
      <c r="M203" t="str">
        <f>'All Girls &amp; Descendants'!O202</f>
        <v/>
      </c>
      <c r="N203" t="str">
        <f>'All Girls &amp; Descendants'!P202</f>
        <v/>
      </c>
      <c r="O203" t="str">
        <f>'All Girls &amp; Descendants'!Q202</f>
        <v>92b</v>
      </c>
      <c r="P203" t="str">
        <f t="shared" si="62"/>
        <v>92bb</v>
      </c>
      <c r="Q203" s="116">
        <f t="shared" si="63"/>
        <v>2</v>
      </c>
      <c r="R203" s="31" t="str">
        <f t="shared" si="64"/>
        <v>Benjamin Robert Louis TATTON-BROWN</v>
      </c>
      <c r="S203" s="31" t="str">
        <f t="shared" si="65"/>
        <v>Ben TATTON-BROWN (1973 -: #92bb)</v>
      </c>
    </row>
    <row r="204" spans="1:19">
      <c r="A204">
        <f>'All Girls &amp; Descendants'!B203</f>
        <v>92</v>
      </c>
      <c r="B204" t="str">
        <f>'All Girls &amp; Descendants'!C203</f>
        <v>92bc</v>
      </c>
      <c r="C204" t="str">
        <f>'All Girls &amp; Descendants'!D203</f>
        <v>TATTON-BROWN</v>
      </c>
      <c r="D204" t="str">
        <f>'All Girls &amp; Descendants'!E203</f>
        <v>Daisy</v>
      </c>
      <c r="E204" t="str">
        <f>IF('All Girls &amp; Descendants'!F203="","",'All Girls &amp; Descendants'!F203)</f>
        <v>Maud</v>
      </c>
      <c r="F204" t="str">
        <f>IF('All Girls &amp; Descendants'!G203="","",'All Girls &amp; Descendants'!G203)</f>
        <v/>
      </c>
      <c r="G204" t="str">
        <f>IF('All Girls &amp; Descendants'!H203="",D204,'All Girls &amp; Descendants'!H203)</f>
        <v>Daisy</v>
      </c>
      <c r="H204">
        <f>'All Girls &amp; Descendants'!I203</f>
        <v>1983</v>
      </c>
      <c r="I204" t="str">
        <f>'All Girls &amp; Descendants'!J203</f>
        <v/>
      </c>
      <c r="J204">
        <f>'All Girls &amp; Descendants'!K203</f>
        <v>0</v>
      </c>
      <c r="K204" s="7">
        <f>'All Girls &amp; Descendants'!M203</f>
        <v>30416</v>
      </c>
      <c r="L204" t="str">
        <f>'All Girls &amp; Descendants'!N203</f>
        <v xml:space="preserve"> - </v>
      </c>
      <c r="M204" t="str">
        <f>'All Girls &amp; Descendants'!O203</f>
        <v/>
      </c>
      <c r="N204" t="str">
        <f>'All Girls &amp; Descendants'!P203</f>
        <v/>
      </c>
      <c r="O204" t="str">
        <f>'All Girls &amp; Descendants'!Q203</f>
        <v>92b</v>
      </c>
      <c r="P204" t="str">
        <f t="shared" si="62"/>
        <v>92bc</v>
      </c>
      <c r="Q204" s="116">
        <f t="shared" si="63"/>
        <v>2</v>
      </c>
      <c r="R204" s="31" t="str">
        <f t="shared" si="64"/>
        <v>Daisy Maud  TATTON-BROWN</v>
      </c>
      <c r="S204" s="31" t="str">
        <f t="shared" si="65"/>
        <v>Daisy TATTON-BROWN (1983 -: #92bc)</v>
      </c>
    </row>
    <row r="205" spans="1:19">
      <c r="A205">
        <f>'All Girls &amp; Descendants'!B204</f>
        <v>92</v>
      </c>
      <c r="B205" t="str">
        <f>'All Girls &amp; Descendants'!C204</f>
        <v>92bd</v>
      </c>
      <c r="C205" t="str">
        <f>'All Girls &amp; Descendants'!D204</f>
        <v>TATTON-BROWN</v>
      </c>
      <c r="D205" t="str">
        <f>'All Girls &amp; Descendants'!E204</f>
        <v>Gregory</v>
      </c>
      <c r="E205" t="str">
        <f>IF('All Girls &amp; Descendants'!F204="","",'All Girls &amp; Descendants'!F204)</f>
        <v>Mark</v>
      </c>
      <c r="F205" t="str">
        <f>IF('All Girls &amp; Descendants'!G204="","",'All Girls &amp; Descendants'!G204)</f>
        <v>Eden</v>
      </c>
      <c r="G205" t="str">
        <f>IF('All Girls &amp; Descendants'!H204="",D205,'All Girls &amp; Descendants'!H204)</f>
        <v>Gregory</v>
      </c>
      <c r="H205">
        <f>'All Girls &amp; Descendants'!I204</f>
        <v>1985</v>
      </c>
      <c r="I205" t="str">
        <f>'All Girls &amp; Descendants'!J204</f>
        <v/>
      </c>
      <c r="J205">
        <f>'All Girls &amp; Descendants'!K204</f>
        <v>0</v>
      </c>
      <c r="K205" s="7">
        <f>'All Girls &amp; Descendants'!M204</f>
        <v>31234</v>
      </c>
      <c r="L205" t="str">
        <f>'All Girls &amp; Descendants'!N204</f>
        <v xml:space="preserve"> - </v>
      </c>
      <c r="M205" t="str">
        <f>'All Girls &amp; Descendants'!O204</f>
        <v/>
      </c>
      <c r="N205" t="str">
        <f>'All Girls &amp; Descendants'!P204</f>
        <v/>
      </c>
      <c r="O205" t="str">
        <f>'All Girls &amp; Descendants'!Q204</f>
        <v>92b</v>
      </c>
      <c r="P205" t="str">
        <f t="shared" si="62"/>
        <v>92bd</v>
      </c>
      <c r="Q205" s="116">
        <f t="shared" si="63"/>
        <v>2</v>
      </c>
      <c r="R205" s="31" t="str">
        <f t="shared" si="64"/>
        <v>Gregory Mark Eden TATTON-BROWN</v>
      </c>
      <c r="S205" s="31" t="str">
        <f t="shared" si="65"/>
        <v>Gregory TATTON-BROWN (1985 -: #92bd)</v>
      </c>
    </row>
    <row r="206" spans="1:19">
      <c r="A206">
        <f>'All Girls &amp; Descendants'!B205</f>
        <v>92</v>
      </c>
      <c r="B206" t="str">
        <f>'All Girls &amp; Descendants'!C205</f>
        <v>92da</v>
      </c>
      <c r="C206" t="str">
        <f>'All Girls &amp; Descendants'!D205</f>
        <v>SURTEES</v>
      </c>
      <c r="D206" t="str">
        <f>'All Girls &amp; Descendants'!E205</f>
        <v>Jonathan</v>
      </c>
      <c r="E206" t="str">
        <f>IF('All Girls &amp; Descendants'!F205="","",'All Girls &amp; Descendants'!F205)</f>
        <v>William</v>
      </c>
      <c r="F206" t="str">
        <f>IF('All Girls &amp; Descendants'!G205="","",'All Girls &amp; Descendants'!G205)</f>
        <v>Robert</v>
      </c>
      <c r="G206" t="str">
        <f>IF('All Girls &amp; Descendants'!H205="",D206,'All Girls &amp; Descendants'!H205)</f>
        <v>Jonathan</v>
      </c>
      <c r="H206">
        <f>'All Girls &amp; Descendants'!I205</f>
        <v>1982</v>
      </c>
      <c r="I206" t="str">
        <f>'All Girls &amp; Descendants'!J205</f>
        <v/>
      </c>
      <c r="J206">
        <f>'All Girls &amp; Descendants'!K205</f>
        <v>0</v>
      </c>
      <c r="K206" s="7">
        <f>'All Girls &amp; Descendants'!M205</f>
        <v>30002</v>
      </c>
      <c r="L206" t="str">
        <f>'All Girls &amp; Descendants'!N205</f>
        <v xml:space="preserve"> - </v>
      </c>
      <c r="M206" t="str">
        <f>'All Girls &amp; Descendants'!O205</f>
        <v/>
      </c>
      <c r="N206" t="str">
        <f>'All Girls &amp; Descendants'!P205</f>
        <v/>
      </c>
      <c r="O206" t="str">
        <f>'All Girls &amp; Descendants'!Q205</f>
        <v>92d</v>
      </c>
      <c r="P206" t="str">
        <f t="shared" si="62"/>
        <v>92da</v>
      </c>
      <c r="Q206" s="116">
        <f t="shared" si="63"/>
        <v>2</v>
      </c>
      <c r="R206" s="31" t="str">
        <f t="shared" si="64"/>
        <v>Jonathan William Robert SURTEES</v>
      </c>
      <c r="S206" s="31" t="str">
        <f t="shared" si="65"/>
        <v>Jonathan SURTEES (1982 -: #92da)</v>
      </c>
    </row>
    <row r="207" spans="1:19">
      <c r="A207">
        <f>'All Girls &amp; Descendants'!B206</f>
        <v>92</v>
      </c>
      <c r="B207" t="str">
        <f>'All Girls &amp; Descendants'!C206</f>
        <v>92db</v>
      </c>
      <c r="C207" t="str">
        <f>'All Girls &amp; Descendants'!D206</f>
        <v>SURTEES</v>
      </c>
      <c r="D207" t="str">
        <f>'All Girls &amp; Descendants'!E206</f>
        <v>Rosamund</v>
      </c>
      <c r="E207" t="str">
        <f>IF('All Girls &amp; Descendants'!F206="","",'All Girls &amp; Descendants'!F206)</f>
        <v>Daphne</v>
      </c>
      <c r="F207" t="str">
        <f>IF('All Girls &amp; Descendants'!G206="","",'All Girls &amp; Descendants'!G206)</f>
        <v>Patricia</v>
      </c>
      <c r="G207" t="str">
        <f>IF('All Girls &amp; Descendants'!H206="",D207,'All Girls &amp; Descendants'!H206)</f>
        <v>Rosamund</v>
      </c>
      <c r="H207">
        <f>'All Girls &amp; Descendants'!I206</f>
        <v>1987</v>
      </c>
      <c r="I207" t="str">
        <f>'All Girls &amp; Descendants'!J206</f>
        <v/>
      </c>
      <c r="J207">
        <f>'All Girls &amp; Descendants'!K206</f>
        <v>0</v>
      </c>
      <c r="K207" s="7">
        <f>'All Girls &amp; Descendants'!M206</f>
        <v>31816</v>
      </c>
      <c r="L207" t="str">
        <f>'All Girls &amp; Descendants'!N206</f>
        <v xml:space="preserve"> - </v>
      </c>
      <c r="M207" t="str">
        <f>'All Girls &amp; Descendants'!O206</f>
        <v/>
      </c>
      <c r="N207" t="str">
        <f>'All Girls &amp; Descendants'!P206</f>
        <v/>
      </c>
      <c r="O207" t="str">
        <f>'All Girls &amp; Descendants'!Q206</f>
        <v>92d</v>
      </c>
      <c r="P207" t="str">
        <f t="shared" si="62"/>
        <v>92db</v>
      </c>
      <c r="Q207" s="116">
        <f t="shared" si="63"/>
        <v>2</v>
      </c>
      <c r="R207" s="31" t="str">
        <f t="shared" si="64"/>
        <v>Rosamund Daphne Patricia SURTEES</v>
      </c>
      <c r="S207" s="31" t="str">
        <f t="shared" si="65"/>
        <v>Rosamund SURTEES (1987 -: #92db)</v>
      </c>
    </row>
    <row r="208" spans="1:19">
      <c r="A208">
        <f>'All Girls &amp; Descendants'!B207</f>
        <v>95</v>
      </c>
      <c r="B208" t="str">
        <f>'All Girls &amp; Descendants'!C207</f>
        <v>95ba</v>
      </c>
      <c r="C208" t="str">
        <f>'All Girls &amp; Descendants'!D207</f>
        <v>VESTEY</v>
      </c>
      <c r="D208" t="str">
        <f>'All Girls &amp; Descendants'!E207</f>
        <v>THE Hon William</v>
      </c>
      <c r="E208" t="str">
        <f>IF('All Girls &amp; Descendants'!F207="","",'All Girls &amp; Descendants'!F207)</f>
        <v>Guy</v>
      </c>
      <c r="F208" t="str">
        <f>IF('All Girls &amp; Descendants'!G207="","",'All Girls &amp; Descendants'!G207)</f>
        <v/>
      </c>
      <c r="G208" t="str">
        <f>IF('All Girls &amp; Descendants'!H207="",D208,'All Girls &amp; Descendants'!H207)</f>
        <v>THE Hon William</v>
      </c>
      <c r="H208">
        <f>'All Girls &amp; Descendants'!I207</f>
        <v>1983</v>
      </c>
      <c r="I208" t="str">
        <f>'All Girls &amp; Descendants'!J207</f>
        <v/>
      </c>
      <c r="J208">
        <f>'All Girls &amp; Descendants'!K207</f>
        <v>0</v>
      </c>
      <c r="K208" s="7">
        <f>'All Girls &amp; Descendants'!M207</f>
        <v>30555</v>
      </c>
      <c r="L208">
        <f>'All Girls &amp; Descendants'!N207</f>
        <v>41181</v>
      </c>
      <c r="M208" t="str">
        <f>'All Girls &amp; Descendants'!O207</f>
        <v/>
      </c>
      <c r="N208" t="str">
        <f>'All Girls &amp; Descendants'!P207</f>
        <v/>
      </c>
      <c r="O208" t="str">
        <f>'All Girls &amp; Descendants'!Q207</f>
        <v>95b</v>
      </c>
      <c r="P208" t="str">
        <f t="shared" si="62"/>
        <v>95ba</v>
      </c>
      <c r="Q208" s="116">
        <f t="shared" si="63"/>
        <v>2</v>
      </c>
      <c r="R208" s="31" t="str">
        <f t="shared" si="64"/>
        <v>THE Hon William Guy  VESTEY</v>
      </c>
      <c r="S208" s="31" t="str">
        <f t="shared" si="65"/>
        <v>THE Hon William VESTEY (1983 -: #95ba)</v>
      </c>
    </row>
    <row r="209" spans="1:19">
      <c r="A209">
        <f>'All Girls &amp; Descendants'!B208</f>
        <v>95</v>
      </c>
      <c r="B209" t="str">
        <f>'All Girls &amp; Descendants'!C208</f>
        <v>95bb</v>
      </c>
      <c r="C209" t="str">
        <f>'All Girls &amp; Descendants'!D208</f>
        <v>VESTEY</v>
      </c>
      <c r="D209" t="str">
        <f>'All Girls &amp; Descendants'!E208</f>
        <v>THE Hon Arthur</v>
      </c>
      <c r="E209" t="str">
        <f>IF('All Girls &amp; Descendants'!F208="","",'All Girls &amp; Descendants'!F208)</f>
        <v>George</v>
      </c>
      <c r="F209" t="str">
        <f>IF('All Girls &amp; Descendants'!G208="","",'All Girls &amp; Descendants'!G208)</f>
        <v/>
      </c>
      <c r="G209" t="str">
        <f>IF('All Girls &amp; Descendants'!H208="",D209,'All Girls &amp; Descendants'!H208)</f>
        <v>THE Hon Arthur</v>
      </c>
      <c r="H209">
        <f>'All Girls &amp; Descendants'!I208</f>
        <v>1985</v>
      </c>
      <c r="I209" t="str">
        <f>'All Girls &amp; Descendants'!J208</f>
        <v/>
      </c>
      <c r="J209">
        <f>'All Girls &amp; Descendants'!K208</f>
        <v>0</v>
      </c>
      <c r="K209" s="7">
        <f>'All Girls &amp; Descendants'!M208</f>
        <v>31239</v>
      </c>
      <c r="L209" t="str">
        <f>'All Girls &amp; Descendants'!N208</f>
        <v xml:space="preserve"> - </v>
      </c>
      <c r="M209" t="str">
        <f>'All Girls &amp; Descendants'!O208</f>
        <v/>
      </c>
      <c r="N209" t="str">
        <f>'All Girls &amp; Descendants'!P208</f>
        <v/>
      </c>
      <c r="O209" t="str">
        <f>'All Girls &amp; Descendants'!Q208</f>
        <v>95b</v>
      </c>
      <c r="P209" t="str">
        <f t="shared" si="62"/>
        <v>95bb</v>
      </c>
      <c r="Q209" s="116">
        <f t="shared" si="63"/>
        <v>2</v>
      </c>
      <c r="R209" s="31" t="str">
        <f t="shared" si="64"/>
        <v>THE Hon Arthur George  VESTEY</v>
      </c>
      <c r="S209" s="31" t="str">
        <f t="shared" si="65"/>
        <v>THE Hon Arthur VESTEY (1985 -: #95bb)</v>
      </c>
    </row>
    <row r="210" spans="1:19">
      <c r="A210">
        <f>'All Girls &amp; Descendants'!B209</f>
        <v>95</v>
      </c>
      <c r="B210" t="str">
        <f>'All Girls &amp; Descendants'!C209</f>
        <v>95bc</v>
      </c>
      <c r="C210" t="str">
        <f>'All Girls &amp; Descendants'!D209</f>
        <v>VESTEY</v>
      </c>
      <c r="D210" t="str">
        <f>'All Girls &amp; Descendants'!E209</f>
        <v>The Hon Mary</v>
      </c>
      <c r="E210" t="str">
        <f>IF('All Girls &amp; Descendants'!F209="","",'All Girls &amp; Descendants'!F209)</f>
        <v>Henrietta</v>
      </c>
      <c r="F210" t="str">
        <f>IF('All Girls &amp; Descendants'!G209="","",'All Girls &amp; Descendants'!G209)</f>
        <v/>
      </c>
      <c r="G210" t="str">
        <f>IF('All Girls &amp; Descendants'!H209="",D210,'All Girls &amp; Descendants'!H209)</f>
        <v>The Hon Mary</v>
      </c>
      <c r="H210">
        <f>'All Girls &amp; Descendants'!I209</f>
        <v>1992</v>
      </c>
      <c r="I210" t="str">
        <f>'All Girls &amp; Descendants'!J209</f>
        <v/>
      </c>
      <c r="J210">
        <f>'All Girls &amp; Descendants'!K209</f>
        <v>0</v>
      </c>
      <c r="K210" s="7">
        <f>'All Girls &amp; Descendants'!M209</f>
        <v>33721</v>
      </c>
      <c r="L210" t="str">
        <f>'All Girls &amp; Descendants'!N209</f>
        <v xml:space="preserve"> - </v>
      </c>
      <c r="M210" t="str">
        <f>'All Girls &amp; Descendants'!O209</f>
        <v/>
      </c>
      <c r="N210" t="str">
        <f>'All Girls &amp; Descendants'!P209</f>
        <v/>
      </c>
      <c r="O210" t="str">
        <f>'All Girls &amp; Descendants'!Q209</f>
        <v>95b</v>
      </c>
      <c r="P210" t="str">
        <f t="shared" si="62"/>
        <v>95bc</v>
      </c>
      <c r="Q210" s="116">
        <f t="shared" si="63"/>
        <v>2</v>
      </c>
      <c r="R210" s="31" t="str">
        <f t="shared" si="64"/>
        <v>The Hon Mary Henrietta  VESTEY</v>
      </c>
      <c r="S210" s="31" t="str">
        <f t="shared" si="65"/>
        <v>The Hon Mary VESTEY (1992 -: #95bc)</v>
      </c>
    </row>
    <row r="211" spans="1:19">
      <c r="A211">
        <f>'All Girls &amp; Descendants'!B210</f>
        <v>97</v>
      </c>
      <c r="B211" t="str">
        <f>'All Girls &amp; Descendants'!C210</f>
        <v>97aa</v>
      </c>
      <c r="C211" t="str">
        <f>'All Girls &amp; Descendants'!D210</f>
        <v>SALE</v>
      </c>
      <c r="D211" t="str">
        <f>'All Girls &amp; Descendants'!E210</f>
        <v>Alexander</v>
      </c>
      <c r="E211" t="str">
        <f>IF('All Girls &amp; Descendants'!F210="","",'All Girls &amp; Descendants'!F210)</f>
        <v>Robert</v>
      </c>
      <c r="F211" t="str">
        <f>IF('All Girls &amp; Descendants'!G210="","",'All Girls &amp; Descendants'!G210)</f>
        <v>Loyd</v>
      </c>
      <c r="G211" t="str">
        <f>IF('All Girls &amp; Descendants'!H210="",D211,'All Girls &amp; Descendants'!H210)</f>
        <v>Alexander</v>
      </c>
      <c r="H211">
        <f>'All Girls &amp; Descendants'!I210</f>
        <v>1991</v>
      </c>
      <c r="I211" t="str">
        <f>'All Girls &amp; Descendants'!J210</f>
        <v/>
      </c>
      <c r="J211">
        <f>'All Girls &amp; Descendants'!K210</f>
        <v>0</v>
      </c>
      <c r="K211" s="7">
        <f>'All Girls &amp; Descendants'!M210</f>
        <v>33314</v>
      </c>
      <c r="L211" t="str">
        <f>'All Girls &amp; Descendants'!N210</f>
        <v xml:space="preserve"> - </v>
      </c>
      <c r="M211" t="str">
        <f>'All Girls &amp; Descendants'!O210</f>
        <v/>
      </c>
      <c r="N211" t="str">
        <f>'All Girls &amp; Descendants'!P210</f>
        <v/>
      </c>
      <c r="O211" t="str">
        <f>'All Girls &amp; Descendants'!Q210</f>
        <v>97a</v>
      </c>
      <c r="P211" t="str">
        <f t="shared" si="62"/>
        <v>97aa</v>
      </c>
      <c r="Q211" s="116">
        <f t="shared" si="63"/>
        <v>2</v>
      </c>
      <c r="R211" s="31" t="str">
        <f t="shared" si="64"/>
        <v>Alexander Robert Loyd SALE</v>
      </c>
      <c r="S211" s="31" t="str">
        <f t="shared" si="65"/>
        <v>Alexander SALE (1991 -: #97aa)</v>
      </c>
    </row>
    <row r="212" spans="1:19">
      <c r="A212">
        <f>'All Girls &amp; Descendants'!B211</f>
        <v>97</v>
      </c>
      <c r="B212" t="str">
        <f>'All Girls &amp; Descendants'!C211</f>
        <v>97ab</v>
      </c>
      <c r="C212" t="str">
        <f>'All Girls &amp; Descendants'!D211</f>
        <v>SALE</v>
      </c>
      <c r="D212" t="str">
        <f>'All Girls &amp; Descendants'!E211</f>
        <v>Oliver</v>
      </c>
      <c r="E212" t="str">
        <f>IF('All Girls &amp; Descendants'!F211="","",'All Girls &amp; Descendants'!F211)</f>
        <v>Edward</v>
      </c>
      <c r="F212" t="str">
        <f>IF('All Girls &amp; Descendants'!G211="","",'All Girls &amp; Descendants'!G211)</f>
        <v>David</v>
      </c>
      <c r="G212" t="str">
        <f>IF('All Girls &amp; Descendants'!H211="",D212,'All Girls &amp; Descendants'!H211)</f>
        <v>Oliver</v>
      </c>
      <c r="H212">
        <f>'All Girls &amp; Descendants'!I211</f>
        <v>1995</v>
      </c>
      <c r="I212" t="str">
        <f>'All Girls &amp; Descendants'!J211</f>
        <v/>
      </c>
      <c r="J212">
        <f>'All Girls &amp; Descendants'!K211</f>
        <v>0</v>
      </c>
      <c r="K212" s="7">
        <f>'All Girls &amp; Descendants'!M211</f>
        <v>34957</v>
      </c>
      <c r="L212" t="str">
        <f>'All Girls &amp; Descendants'!N211</f>
        <v xml:space="preserve"> - </v>
      </c>
      <c r="M212" t="str">
        <f>'All Girls &amp; Descendants'!O211</f>
        <v/>
      </c>
      <c r="N212" t="str">
        <f>'All Girls &amp; Descendants'!P211</f>
        <v/>
      </c>
      <c r="O212" t="str">
        <f>'All Girls &amp; Descendants'!Q211</f>
        <v>97a</v>
      </c>
      <c r="P212" t="str">
        <f t="shared" si="62"/>
        <v>97ab</v>
      </c>
      <c r="Q212" s="116">
        <f t="shared" si="63"/>
        <v>2</v>
      </c>
      <c r="R212" s="31" t="str">
        <f t="shared" si="64"/>
        <v>Oliver Edward David SALE</v>
      </c>
      <c r="S212" s="31" t="str">
        <f t="shared" si="65"/>
        <v>Oliver SALE (1995 -: #97ab)</v>
      </c>
    </row>
    <row r="213" spans="1:19">
      <c r="A213">
        <f>'All Girls &amp; Descendants'!B212</f>
        <v>97</v>
      </c>
      <c r="B213" t="str">
        <f>'All Girls &amp; Descendants'!C212</f>
        <v>97ea</v>
      </c>
      <c r="C213" t="str">
        <f>'All Girls &amp; Descendants'!D212</f>
        <v>SALE</v>
      </c>
      <c r="D213" t="str">
        <f>'All Girls &amp; Descendants'!E212</f>
        <v>Frank</v>
      </c>
      <c r="E213" t="str">
        <f>IF('All Girls &amp; Descendants'!F212="","",'All Girls &amp; Descendants'!F212)</f>
        <v>Thomas</v>
      </c>
      <c r="F213" t="str">
        <f>IF('All Girls &amp; Descendants'!G212="","",'All Girls &amp; Descendants'!G212)</f>
        <v>Arthur</v>
      </c>
      <c r="G213" t="str">
        <f>IF('All Girls &amp; Descendants'!H212="",D213,'All Girls &amp; Descendants'!H212)</f>
        <v>Frank</v>
      </c>
      <c r="H213">
        <f>'All Girls &amp; Descendants'!I212</f>
        <v>1995</v>
      </c>
      <c r="I213" t="str">
        <f>'All Girls &amp; Descendants'!J212</f>
        <v/>
      </c>
      <c r="J213">
        <f>'All Girls &amp; Descendants'!K212</f>
        <v>0</v>
      </c>
      <c r="K213" s="7">
        <f>'All Girls &amp; Descendants'!M212</f>
        <v>34932</v>
      </c>
      <c r="L213" t="str">
        <f>'All Girls &amp; Descendants'!N212</f>
        <v xml:space="preserve"> - </v>
      </c>
      <c r="M213" t="str">
        <f>'All Girls &amp; Descendants'!O212</f>
        <v/>
      </c>
      <c r="N213" t="str">
        <f>'All Girls &amp; Descendants'!P212</f>
        <v/>
      </c>
      <c r="O213" t="str">
        <f>'All Girls &amp; Descendants'!Q212</f>
        <v>97e</v>
      </c>
      <c r="P213" t="str">
        <f t="shared" si="62"/>
        <v>97ea</v>
      </c>
      <c r="Q213" s="116">
        <f t="shared" si="63"/>
        <v>2</v>
      </c>
      <c r="R213" s="31" t="str">
        <f t="shared" si="64"/>
        <v>Frank Thomas Arthur SALE</v>
      </c>
      <c r="S213" s="31" t="str">
        <f t="shared" si="65"/>
        <v>Frank SALE (1995 -: #97ea)</v>
      </c>
    </row>
    <row r="214" spans="1:19">
      <c r="A214">
        <f>'All Girls &amp; Descendants'!B213</f>
        <v>97</v>
      </c>
      <c r="B214" t="str">
        <f>'All Girls &amp; Descendants'!C213</f>
        <v>97eb</v>
      </c>
      <c r="C214" t="str">
        <f>'All Girls &amp; Descendants'!D213</f>
        <v>SALE</v>
      </c>
      <c r="D214" t="str">
        <f>'All Girls &amp; Descendants'!E213</f>
        <v>Constancy</v>
      </c>
      <c r="E214" t="str">
        <f>IF('All Girls &amp; Descendants'!F213="","",'All Girls &amp; Descendants'!F213)</f>
        <v>Nancy</v>
      </c>
      <c r="F214" t="str">
        <f>IF('All Girls &amp; Descendants'!G213="","",'All Girls &amp; Descendants'!G213)</f>
        <v/>
      </c>
      <c r="G214" t="str">
        <f>IF('All Girls &amp; Descendants'!H213="",D214,'All Girls &amp; Descendants'!H213)</f>
        <v>Connie</v>
      </c>
      <c r="H214">
        <f>'All Girls &amp; Descendants'!I213</f>
        <v>1997</v>
      </c>
      <c r="I214" t="str">
        <f>'All Girls &amp; Descendants'!J213</f>
        <v/>
      </c>
      <c r="J214">
        <f>'All Girls &amp; Descendants'!K213</f>
        <v>0</v>
      </c>
      <c r="K214" s="7">
        <f>'All Girls &amp; Descendants'!M213</f>
        <v>35795</v>
      </c>
      <c r="L214" t="str">
        <f>'All Girls &amp; Descendants'!N213</f>
        <v xml:space="preserve"> - </v>
      </c>
      <c r="M214" t="str">
        <f>'All Girls &amp; Descendants'!O213</f>
        <v/>
      </c>
      <c r="N214" t="str">
        <f>'All Girls &amp; Descendants'!P213</f>
        <v/>
      </c>
      <c r="O214" t="str">
        <f>'All Girls &amp; Descendants'!Q213</f>
        <v>97e</v>
      </c>
      <c r="P214" t="str">
        <f t="shared" si="62"/>
        <v>97eb</v>
      </c>
      <c r="Q214" s="116">
        <f t="shared" si="63"/>
        <v>2</v>
      </c>
      <c r="R214" s="31" t="str">
        <f t="shared" si="64"/>
        <v>Constancy Nancy  SALE</v>
      </c>
      <c r="S214" s="31" t="str">
        <f t="shared" si="65"/>
        <v>Connie SALE (1997 -: #97eb)</v>
      </c>
    </row>
    <row r="215" spans="1:19">
      <c r="A215">
        <f>'All Girls &amp; Descendants'!B214</f>
        <v>97</v>
      </c>
      <c r="B215" t="str">
        <f>'All Girls &amp; Descendants'!C214</f>
        <v>97ec</v>
      </c>
      <c r="C215" t="str">
        <f>'All Girls &amp; Descendants'!D214</f>
        <v>SALE</v>
      </c>
      <c r="D215" t="str">
        <f>'All Girls &amp; Descendants'!E214</f>
        <v>Grace</v>
      </c>
      <c r="E215" t="str">
        <f>IF('All Girls &amp; Descendants'!F214="","",'All Girls &amp; Descendants'!F214)</f>
        <v>Alice</v>
      </c>
      <c r="F215" t="str">
        <f>IF('All Girls &amp; Descendants'!G214="","",'All Girls &amp; Descendants'!G214)</f>
        <v/>
      </c>
      <c r="G215" t="str">
        <f>IF('All Girls &amp; Descendants'!H214="",D215,'All Girls &amp; Descendants'!H214)</f>
        <v>Grace</v>
      </c>
      <c r="H215">
        <f>'All Girls &amp; Descendants'!I214</f>
        <v>2002</v>
      </c>
      <c r="I215">
        <f>'All Girls &amp; Descendants'!J214</f>
        <v>0</v>
      </c>
      <c r="J215">
        <f>'All Girls &amp; Descendants'!K214</f>
        <v>0</v>
      </c>
      <c r="K215" s="7">
        <f>'All Girls &amp; Descendants'!M214</f>
        <v>37280</v>
      </c>
      <c r="L215" t="str">
        <f>'All Girls &amp; Descendants'!N214</f>
        <v xml:space="preserve"> - </v>
      </c>
      <c r="M215" t="str">
        <f>'All Girls &amp; Descendants'!O214</f>
        <v/>
      </c>
      <c r="N215" t="str">
        <f>'All Girls &amp; Descendants'!P214</f>
        <v/>
      </c>
      <c r="O215" t="str">
        <f>'All Girls &amp; Descendants'!Q214</f>
        <v>97e</v>
      </c>
      <c r="P215" t="str">
        <f t="shared" ref="P215:P278" si="66">B215</f>
        <v>97ec</v>
      </c>
      <c r="Q215" s="116">
        <f t="shared" ref="Q215:Q278" si="67">LEN(B215)-LEN(A215)</f>
        <v>2</v>
      </c>
      <c r="R215" s="31" t="str">
        <f t="shared" ref="R215:R278" si="68">_xlfn.CONCAT(D215," ",E215," ",F215," ",C215)</f>
        <v>Grace Alice  SALE</v>
      </c>
      <c r="S215" s="31" t="str">
        <f t="shared" ref="S215:S278" si="69">_xlfn.CONCAT(G215," ",C215," (",H215," -",I215,": #",B215,")")</f>
        <v>Grace SALE (2002 -0: #97ec)</v>
      </c>
    </row>
    <row r="216" spans="1:19">
      <c r="A216">
        <f>'All Girls &amp; Descendants'!B215</f>
        <v>101</v>
      </c>
      <c r="B216" t="str">
        <f>'All Girls &amp; Descendants'!C215</f>
        <v>101aa</v>
      </c>
      <c r="C216" t="str">
        <f>'All Girls &amp; Descendants'!D215</f>
        <v>TIMPSON</v>
      </c>
      <c r="D216" t="str">
        <f>'All Girls &amp; Descendants'!E215</f>
        <v>Lawrence</v>
      </c>
      <c r="E216" t="str">
        <f>IF('All Girls &amp; Descendants'!F215="","",'All Girls &amp; Descendants'!F215)</f>
        <v>Rupert</v>
      </c>
      <c r="F216" t="str">
        <f>IF('All Girls &amp; Descendants'!G215="","",'All Girls &amp; Descendants'!G215)</f>
        <v>John</v>
      </c>
      <c r="G216" t="str">
        <f>IF('All Girls &amp; Descendants'!H215="",D216,'All Girls &amp; Descendants'!H215)</f>
        <v>Lawrence</v>
      </c>
      <c r="H216">
        <f>'All Girls &amp; Descendants'!I215</f>
        <v>1974</v>
      </c>
      <c r="I216" t="str">
        <f>'All Girls &amp; Descendants'!J215</f>
        <v/>
      </c>
      <c r="J216">
        <f>'All Girls &amp; Descendants'!K215</f>
        <v>0</v>
      </c>
      <c r="K216" s="7">
        <f>'All Girls &amp; Descendants'!M215</f>
        <v>27215</v>
      </c>
      <c r="L216" t="str">
        <f>'All Girls &amp; Descendants'!N215</f>
        <v xml:space="preserve"> - </v>
      </c>
      <c r="M216" t="str">
        <f>'All Girls &amp; Descendants'!O215</f>
        <v/>
      </c>
      <c r="N216" t="str">
        <f>'All Girls &amp; Descendants'!P215</f>
        <v/>
      </c>
      <c r="O216" t="str">
        <f>'All Girls &amp; Descendants'!Q215</f>
        <v>101a</v>
      </c>
      <c r="P216" t="str">
        <f t="shared" si="66"/>
        <v>101aa</v>
      </c>
      <c r="Q216" s="116">
        <f t="shared" si="67"/>
        <v>2</v>
      </c>
      <c r="R216" s="31" t="str">
        <f t="shared" si="68"/>
        <v>Lawrence Rupert John TIMPSON</v>
      </c>
      <c r="S216" s="31" t="str">
        <f t="shared" si="69"/>
        <v>Lawrence TIMPSON (1974 -: #101aa)</v>
      </c>
    </row>
    <row r="217" spans="1:19">
      <c r="A217">
        <f>'All Girls &amp; Descendants'!B216</f>
        <v>101</v>
      </c>
      <c r="B217" t="str">
        <f>'All Girls &amp; Descendants'!C216</f>
        <v>101ab</v>
      </c>
      <c r="C217" t="str">
        <f>'All Girls &amp; Descendants'!D216</f>
        <v>TIMPSON</v>
      </c>
      <c r="D217" t="str">
        <f>'All Girls &amp; Descendants'!E216</f>
        <v>Catherine</v>
      </c>
      <c r="E217" t="str">
        <f>IF('All Girls &amp; Descendants'!F216="","",'All Girls &amp; Descendants'!F216)</f>
        <v>Selina</v>
      </c>
      <c r="F217" t="str">
        <f>IF('All Girls &amp; Descendants'!G216="","",'All Girls &amp; Descendants'!G216)</f>
        <v>Alexandra</v>
      </c>
      <c r="G217" t="str">
        <f>IF('All Girls &amp; Descendants'!H216="",D217,'All Girls &amp; Descendants'!H216)</f>
        <v>Catherine</v>
      </c>
      <c r="H217">
        <f>'All Girls &amp; Descendants'!I216</f>
        <v>1979</v>
      </c>
      <c r="I217" t="str">
        <f>'All Girls &amp; Descendants'!J216</f>
        <v/>
      </c>
      <c r="J217">
        <f>'All Girls &amp; Descendants'!K216</f>
        <v>0</v>
      </c>
      <c r="K217" s="7">
        <f>'All Girls &amp; Descendants'!M216</f>
        <v>28868</v>
      </c>
      <c r="L217" t="str">
        <f>'All Girls &amp; Descendants'!N216</f>
        <v xml:space="preserve"> - </v>
      </c>
      <c r="M217" t="str">
        <f>'All Girls &amp; Descendants'!O216</f>
        <v/>
      </c>
      <c r="N217" t="str">
        <f>'All Girls &amp; Descendants'!P216</f>
        <v/>
      </c>
      <c r="O217" t="str">
        <f>'All Girls &amp; Descendants'!Q216</f>
        <v>101a</v>
      </c>
      <c r="P217" t="str">
        <f t="shared" si="66"/>
        <v>101ab</v>
      </c>
      <c r="Q217" s="116">
        <f t="shared" si="67"/>
        <v>2</v>
      </c>
      <c r="R217" s="31" t="str">
        <f t="shared" si="68"/>
        <v>Catherine Selina Alexandra TIMPSON</v>
      </c>
      <c r="S217" s="31" t="str">
        <f t="shared" si="69"/>
        <v>Catherine TIMPSON (1979 -: #101ab)</v>
      </c>
    </row>
    <row r="218" spans="1:19">
      <c r="A218">
        <f>'All Girls &amp; Descendants'!B217</f>
        <v>101</v>
      </c>
      <c r="B218" t="str">
        <f>'All Girls &amp; Descendants'!C217</f>
        <v>101ba</v>
      </c>
      <c r="C218" t="str">
        <f>'All Girls &amp; Descendants'!D217</f>
        <v>LOWRY-CORRY</v>
      </c>
      <c r="D218" t="str">
        <f>'All Girls &amp; Descendants'!E217</f>
        <v>Viscount John</v>
      </c>
      <c r="E218" t="str">
        <f>IF('All Girls &amp; Descendants'!F217="","",'All Girls &amp; Descendants'!F217)</f>
        <v>Armar</v>
      </c>
      <c r="F218" t="str">
        <f>IF('All Girls &amp; Descendants'!G217="","",'All Girls &amp; Descendants'!G217)</f>
        <v>Galbraith</v>
      </c>
      <c r="G218" t="str">
        <f>IF('All Girls &amp; Descendants'!H217="",D218,'All Girls &amp; Descendants'!H217)</f>
        <v>Viscount John</v>
      </c>
      <c r="H218">
        <f>'All Girls &amp; Descendants'!I217</f>
        <v>1985</v>
      </c>
      <c r="I218" t="str">
        <f>'All Girls &amp; Descendants'!J217</f>
        <v/>
      </c>
      <c r="J218">
        <f>'All Girls &amp; Descendants'!K217</f>
        <v>0</v>
      </c>
      <c r="K218" s="7">
        <f>'All Girls &amp; Descendants'!M217</f>
        <v>31353</v>
      </c>
      <c r="L218" t="str">
        <f>'All Girls &amp; Descendants'!N217</f>
        <v xml:space="preserve"> - </v>
      </c>
      <c r="M218" t="str">
        <f>'All Girls &amp; Descendants'!O217</f>
        <v/>
      </c>
      <c r="N218" t="str">
        <f>'All Girls &amp; Descendants'!P217</f>
        <v/>
      </c>
      <c r="O218" t="str">
        <f>'All Girls &amp; Descendants'!Q217</f>
        <v>101b</v>
      </c>
      <c r="P218" t="str">
        <f t="shared" si="66"/>
        <v>101ba</v>
      </c>
      <c r="Q218" s="116">
        <f t="shared" si="67"/>
        <v>2</v>
      </c>
      <c r="R218" s="31" t="str">
        <f t="shared" si="68"/>
        <v>Viscount John Armar Galbraith LOWRY-CORRY</v>
      </c>
      <c r="S218" s="31" t="str">
        <f t="shared" si="69"/>
        <v>Viscount John LOWRY-CORRY (1985 -: #101ba)</v>
      </c>
    </row>
    <row r="219" spans="1:19">
      <c r="A219">
        <f>'All Girls &amp; Descendants'!B218</f>
        <v>101</v>
      </c>
      <c r="B219" t="str">
        <f>'All Girls &amp; Descendants'!C218</f>
        <v>101bb</v>
      </c>
      <c r="C219" t="str">
        <f>'All Girls &amp; Descendants'!D218</f>
        <v>LOWRY-CORRY</v>
      </c>
      <c r="D219" t="str">
        <f>'All Girls &amp; Descendants'!E218</f>
        <v>The Hon Montagu</v>
      </c>
      <c r="E219" t="str">
        <f>IF('All Girls &amp; Descendants'!F218="","",'All Girls &amp; Descendants'!F218)</f>
        <v>Gilford</v>
      </c>
      <c r="F219" t="str">
        <f>IF('All Girls &amp; Descendants'!G218="","",'All Girls &amp; Descendants'!G218)</f>
        <v>George</v>
      </c>
      <c r="G219" t="str">
        <f>IF('All Girls &amp; Descendants'!H218="",D219,'All Girls &amp; Descendants'!H218)</f>
        <v>The Hon Montagu</v>
      </c>
      <c r="H219">
        <f>'All Girls &amp; Descendants'!I218</f>
        <v>1989</v>
      </c>
      <c r="I219" t="str">
        <f>'All Girls &amp; Descendants'!J218</f>
        <v/>
      </c>
      <c r="J219">
        <f>'All Girls &amp; Descendants'!K218</f>
        <v>0</v>
      </c>
      <c r="K219" s="7">
        <f>'All Girls &amp; Descendants'!M218</f>
        <v>32597</v>
      </c>
      <c r="L219" t="str">
        <f>'All Girls &amp; Descendants'!N218</f>
        <v xml:space="preserve"> - </v>
      </c>
      <c r="M219" t="str">
        <f>'All Girls &amp; Descendants'!O218</f>
        <v/>
      </c>
      <c r="N219" t="str">
        <f>'All Girls &amp; Descendants'!P218</f>
        <v/>
      </c>
      <c r="O219" t="str">
        <f>'All Girls &amp; Descendants'!Q218</f>
        <v>101b</v>
      </c>
      <c r="P219" t="str">
        <f t="shared" si="66"/>
        <v>101bb</v>
      </c>
      <c r="Q219" s="116">
        <f t="shared" si="67"/>
        <v>2</v>
      </c>
      <c r="R219" s="31" t="str">
        <f t="shared" si="68"/>
        <v>The Hon Montagu Gilford George LOWRY-CORRY</v>
      </c>
      <c r="S219" s="31" t="str">
        <f t="shared" si="69"/>
        <v>The Hon Montagu LOWRY-CORRY (1989 -: #101bb)</v>
      </c>
    </row>
    <row r="220" spans="1:19">
      <c r="A220">
        <f>'All Girls &amp; Descendants'!B219</f>
        <v>101</v>
      </c>
      <c r="B220" t="str">
        <f>'All Girls &amp; Descendants'!C219</f>
        <v>101bc</v>
      </c>
      <c r="C220" t="str">
        <f>'All Girls &amp; Descendants'!D219</f>
        <v>LOWRY-CORRY</v>
      </c>
      <c r="D220" t="str">
        <f>'All Girls &amp; Descendants'!E219</f>
        <v>Lady Martha</v>
      </c>
      <c r="E220" t="str">
        <f>IF('All Girls &amp; Descendants'!F219="","",'All Girls &amp; Descendants'!F219)</f>
        <v>Catherine</v>
      </c>
      <c r="F220" t="str">
        <f>IF('All Girls &amp; Descendants'!G219="","",'All Girls &amp; Descendants'!G219)</f>
        <v/>
      </c>
      <c r="G220" t="str">
        <f>IF('All Girls &amp; Descendants'!H219="",D220,'All Girls &amp; Descendants'!H219)</f>
        <v>Lady Martha</v>
      </c>
      <c r="H220">
        <f>'All Girls &amp; Descendants'!I219</f>
        <v>1992</v>
      </c>
      <c r="I220" t="str">
        <f>'All Girls &amp; Descendants'!J219</f>
        <v/>
      </c>
      <c r="J220">
        <f>'All Girls &amp; Descendants'!K219</f>
        <v>0</v>
      </c>
      <c r="K220" s="7">
        <f>'All Girls &amp; Descendants'!M219</f>
        <v>33751</v>
      </c>
      <c r="L220" t="str">
        <f>'All Girls &amp; Descendants'!N219</f>
        <v xml:space="preserve"> - </v>
      </c>
      <c r="M220" t="str">
        <f>'All Girls &amp; Descendants'!O219</f>
        <v/>
      </c>
      <c r="N220" t="str">
        <f>'All Girls &amp; Descendants'!P219</f>
        <v/>
      </c>
      <c r="O220" t="str">
        <f>'All Girls &amp; Descendants'!Q219</f>
        <v>101b</v>
      </c>
      <c r="P220" t="str">
        <f t="shared" si="66"/>
        <v>101bc</v>
      </c>
      <c r="Q220" s="116">
        <f t="shared" si="67"/>
        <v>2</v>
      </c>
      <c r="R220" s="31" t="str">
        <f t="shared" si="68"/>
        <v>Lady Martha Catherine  LOWRY-CORRY</v>
      </c>
      <c r="S220" s="31" t="str">
        <f t="shared" si="69"/>
        <v>Lady Martha LOWRY-CORRY (1992 -: #101bc)</v>
      </c>
    </row>
    <row r="221" spans="1:19">
      <c r="A221">
        <f>'All Girls &amp; Descendants'!B220</f>
        <v>101</v>
      </c>
      <c r="B221" t="str">
        <f>'All Girls &amp; Descendants'!C220</f>
        <v>101ca</v>
      </c>
      <c r="C221" t="str">
        <f>'All Girls &amp; Descendants'!D220</f>
        <v>HISCOX</v>
      </c>
      <c r="D221" t="str">
        <f>'All Girls &amp; Descendants'!E220</f>
        <v>Milo</v>
      </c>
      <c r="E221" t="str">
        <f>IF('All Girls &amp; Descendants'!F220="","",'All Girls &amp; Descendants'!F220)</f>
        <v>Edmund</v>
      </c>
      <c r="F221" t="str">
        <f>IF('All Girls &amp; Descendants'!G220="","",'All Girls &amp; Descendants'!G220)</f>
        <v/>
      </c>
      <c r="G221" t="str">
        <f>IF('All Girls &amp; Descendants'!H220="",D221,'All Girls &amp; Descendants'!H220)</f>
        <v>Milo</v>
      </c>
      <c r="H221">
        <f>'All Girls &amp; Descendants'!I220</f>
        <v>1987</v>
      </c>
      <c r="I221" t="str">
        <f>'All Girls &amp; Descendants'!J220</f>
        <v/>
      </c>
      <c r="J221">
        <f>'All Girls &amp; Descendants'!K220</f>
        <v>0</v>
      </c>
      <c r="K221" s="7">
        <f>'All Girls &amp; Descendants'!M220</f>
        <v>31781</v>
      </c>
      <c r="L221" t="str">
        <f>'All Girls &amp; Descendants'!N220</f>
        <v xml:space="preserve"> - </v>
      </c>
      <c r="M221" t="str">
        <f>'All Girls &amp; Descendants'!O220</f>
        <v/>
      </c>
      <c r="N221" t="str">
        <f>'All Girls &amp; Descendants'!P220</f>
        <v/>
      </c>
      <c r="O221" t="str">
        <f>'All Girls &amp; Descendants'!Q220</f>
        <v>101c</v>
      </c>
      <c r="P221" t="str">
        <f t="shared" si="66"/>
        <v>101ca</v>
      </c>
      <c r="Q221" s="116">
        <f t="shared" si="67"/>
        <v>2</v>
      </c>
      <c r="R221" s="31" t="str">
        <f t="shared" si="68"/>
        <v>Milo Edmund  HISCOX</v>
      </c>
      <c r="S221" s="31" t="str">
        <f t="shared" si="69"/>
        <v>Milo HISCOX (1987 -: #101ca)</v>
      </c>
    </row>
    <row r="222" spans="1:19">
      <c r="A222">
        <f>'All Girls &amp; Descendants'!B221</f>
        <v>101</v>
      </c>
      <c r="B222" t="str">
        <f>'All Girls &amp; Descendants'!C221</f>
        <v>101cb</v>
      </c>
      <c r="C222" t="str">
        <f>'All Girls &amp; Descendants'!D221</f>
        <v>HISCOX</v>
      </c>
      <c r="D222" t="str">
        <f>'All Girls &amp; Descendants'!E221</f>
        <v>Henry</v>
      </c>
      <c r="E222" t="str">
        <f>IF('All Girls &amp; Descendants'!F221="","",'All Girls &amp; Descendants'!F221)</f>
        <v>Charles</v>
      </c>
      <c r="F222" t="str">
        <f>IF('All Girls &amp; Descendants'!G221="","",'All Girls &amp; Descendants'!G221)</f>
        <v/>
      </c>
      <c r="G222" t="str">
        <f>IF('All Girls &amp; Descendants'!H221="",D222,'All Girls &amp; Descendants'!H221)</f>
        <v>Henry</v>
      </c>
      <c r="H222">
        <f>'All Girls &amp; Descendants'!I221</f>
        <v>1989</v>
      </c>
      <c r="I222" t="str">
        <f>'All Girls &amp; Descendants'!J221</f>
        <v/>
      </c>
      <c r="J222">
        <f>'All Girls &amp; Descendants'!K221</f>
        <v>0</v>
      </c>
      <c r="K222" s="7">
        <f>'All Girls &amp; Descendants'!M221</f>
        <v>32774</v>
      </c>
      <c r="L222" t="str">
        <f>'All Girls &amp; Descendants'!N221</f>
        <v xml:space="preserve"> - </v>
      </c>
      <c r="M222" t="str">
        <f>'All Girls &amp; Descendants'!O221</f>
        <v/>
      </c>
      <c r="N222" t="str">
        <f>'All Girls &amp; Descendants'!P221</f>
        <v/>
      </c>
      <c r="O222" t="str">
        <f>'All Girls &amp; Descendants'!Q221</f>
        <v>101c</v>
      </c>
      <c r="P222" t="str">
        <f t="shared" si="66"/>
        <v>101cb</v>
      </c>
      <c r="Q222" s="116">
        <f t="shared" si="67"/>
        <v>2</v>
      </c>
      <c r="R222" s="31" t="str">
        <f t="shared" si="68"/>
        <v>Henry Charles  HISCOX</v>
      </c>
      <c r="S222" s="31" t="str">
        <f t="shared" si="69"/>
        <v>Henry HISCOX (1989 -: #101cb)</v>
      </c>
    </row>
    <row r="223" spans="1:19">
      <c r="A223">
        <f>'All Girls &amp; Descendants'!B222</f>
        <v>101</v>
      </c>
      <c r="B223" t="str">
        <f>'All Girls &amp; Descendants'!C222</f>
        <v>101cc</v>
      </c>
      <c r="C223" t="str">
        <f>'All Girls &amp; Descendants'!D222</f>
        <v>HISCOX</v>
      </c>
      <c r="D223" t="str">
        <f>'All Girls &amp; Descendants'!E222</f>
        <v>Sydney</v>
      </c>
      <c r="E223" t="str">
        <f>IF('All Girls &amp; Descendants'!F222="","",'All Girls &amp; Descendants'!F222)</f>
        <v>John</v>
      </c>
      <c r="F223" t="str">
        <f>IF('All Girls &amp; Descendants'!G222="","",'All Girls &amp; Descendants'!G222)</f>
        <v/>
      </c>
      <c r="G223" t="str">
        <f>IF('All Girls &amp; Descendants'!H222="",D223,'All Girls &amp; Descendants'!H222)</f>
        <v>Sydney</v>
      </c>
      <c r="H223">
        <f>'All Girls &amp; Descendants'!I222</f>
        <v>1993</v>
      </c>
      <c r="I223" t="str">
        <f>'All Girls &amp; Descendants'!J222</f>
        <v/>
      </c>
      <c r="J223">
        <f>'All Girls &amp; Descendants'!K222</f>
        <v>0</v>
      </c>
      <c r="K223" s="7">
        <f>'All Girls &amp; Descendants'!M222</f>
        <v>33993</v>
      </c>
      <c r="L223" t="str">
        <f>'All Girls &amp; Descendants'!N222</f>
        <v xml:space="preserve"> - </v>
      </c>
      <c r="M223" t="str">
        <f>'All Girls &amp; Descendants'!O222</f>
        <v/>
      </c>
      <c r="N223" t="str">
        <f>'All Girls &amp; Descendants'!P222</f>
        <v/>
      </c>
      <c r="O223" t="str">
        <f>'All Girls &amp; Descendants'!Q222</f>
        <v>101c</v>
      </c>
      <c r="P223" t="str">
        <f t="shared" si="66"/>
        <v>101cc</v>
      </c>
      <c r="Q223" s="116">
        <f t="shared" si="67"/>
        <v>2</v>
      </c>
      <c r="R223" s="31" t="str">
        <f t="shared" si="68"/>
        <v>Sydney John  HISCOX</v>
      </c>
      <c r="S223" s="31" t="str">
        <f t="shared" si="69"/>
        <v>Sydney HISCOX (1993 -: #101cc)</v>
      </c>
    </row>
    <row r="224" spans="1:19" ht="17">
      <c r="A224">
        <f>'All Girls &amp; Descendants'!B223</f>
        <v>101</v>
      </c>
      <c r="B224" t="str">
        <f>'All Girls &amp; Descendants'!C223</f>
        <v>101da</v>
      </c>
      <c r="C224" t="str">
        <f>'All Girls &amp; Descendants'!D223</f>
        <v>REID</v>
      </c>
      <c r="D224" t="str">
        <f>'All Girls &amp; Descendants'!E223</f>
        <v>Nicholas</v>
      </c>
      <c r="E224" t="str">
        <f>IF('All Girls &amp; Descendants'!F223="","",'All Girls &amp; Descendants'!F223)</f>
        <v>John</v>
      </c>
      <c r="F224" t="str">
        <f>IF('All Girls &amp; Descendants'!G223="","",'All Girls &amp; Descendants'!G223)</f>
        <v>Howard</v>
      </c>
      <c r="G224" t="str">
        <f>IF('All Girls &amp; Descendants'!H223="",D224,'All Girls &amp; Descendants'!H223)</f>
        <v>Nicholas</v>
      </c>
      <c r="H224">
        <f>'All Girls &amp; Descendants'!I223</f>
        <v>1982</v>
      </c>
      <c r="I224" t="str">
        <f>'All Girls &amp; Descendants'!J223</f>
        <v/>
      </c>
      <c r="J224">
        <f>'All Girls &amp; Descendants'!K223</f>
        <v>0</v>
      </c>
      <c r="K224" s="7" t="str">
        <f>'All Girls &amp; Descendants'!M223</f>
        <v>30/12/1982</v>
      </c>
      <c r="L224" t="str">
        <f>'All Girls &amp; Descendants'!N223</f>
        <v xml:space="preserve"> - </v>
      </c>
      <c r="M224" t="str">
        <f>'All Girls &amp; Descendants'!O223</f>
        <v/>
      </c>
      <c r="N224" t="str">
        <f>'All Girls &amp; Descendants'!P223</f>
        <v/>
      </c>
      <c r="O224" t="str">
        <f>'All Girls &amp; Descendants'!Q223</f>
        <v>101d</v>
      </c>
      <c r="P224" t="str">
        <f t="shared" si="66"/>
        <v>101da</v>
      </c>
      <c r="Q224" s="116">
        <f t="shared" si="67"/>
        <v>2</v>
      </c>
      <c r="R224" s="31" t="str">
        <f t="shared" si="68"/>
        <v>Nicholas John Howard REID</v>
      </c>
      <c r="S224" s="31" t="str">
        <f t="shared" si="69"/>
        <v>Nicholas REID (1982 -: #101da)</v>
      </c>
    </row>
    <row r="225" spans="1:19">
      <c r="A225">
        <f>'All Girls &amp; Descendants'!B224</f>
        <v>101</v>
      </c>
      <c r="B225" t="str">
        <f>'All Girls &amp; Descendants'!C224</f>
        <v>101db</v>
      </c>
      <c r="C225" t="str">
        <f>'All Girls &amp; Descendants'!D224</f>
        <v>REID</v>
      </c>
      <c r="D225" t="str">
        <f>'All Girls &amp; Descendants'!E224</f>
        <v>Amelia</v>
      </c>
      <c r="E225" t="str">
        <f>IF('All Girls &amp; Descendants'!F224="","",'All Girls &amp; Descendants'!F224)</f>
        <v>Louise</v>
      </c>
      <c r="F225" t="str">
        <f>IF('All Girls &amp; Descendants'!G224="","",'All Girls &amp; Descendants'!G224)</f>
        <v>Catherine</v>
      </c>
      <c r="G225" t="str">
        <f>IF('All Girls &amp; Descendants'!H224="",D225,'All Girls &amp; Descendants'!H224)</f>
        <v>Amelia</v>
      </c>
      <c r="H225">
        <f>'All Girls &amp; Descendants'!I224</f>
        <v>1984</v>
      </c>
      <c r="I225" t="str">
        <f>'All Girls &amp; Descendants'!J224</f>
        <v/>
      </c>
      <c r="J225">
        <f>'All Girls &amp; Descendants'!K224</f>
        <v>0</v>
      </c>
      <c r="K225" s="7">
        <f>'All Girls &amp; Descendants'!M224</f>
        <v>31040</v>
      </c>
      <c r="L225" t="str">
        <f>'All Girls &amp; Descendants'!N224</f>
        <v xml:space="preserve"> - </v>
      </c>
      <c r="M225" t="str">
        <f>'All Girls &amp; Descendants'!O224</f>
        <v/>
      </c>
      <c r="N225" t="str">
        <f>'All Girls &amp; Descendants'!P224</f>
        <v/>
      </c>
      <c r="O225" t="str">
        <f>'All Girls &amp; Descendants'!Q224</f>
        <v>101d</v>
      </c>
      <c r="P225" t="str">
        <f t="shared" si="66"/>
        <v>101db</v>
      </c>
      <c r="Q225" s="116">
        <f t="shared" si="67"/>
        <v>2</v>
      </c>
      <c r="R225" s="31" t="str">
        <f t="shared" si="68"/>
        <v>Amelia Louise Catherine REID</v>
      </c>
      <c r="S225" s="31" t="str">
        <f t="shared" si="69"/>
        <v>Amelia REID (1984 -: #101db)</v>
      </c>
    </row>
    <row r="226" spans="1:19">
      <c r="A226">
        <f>'All Girls &amp; Descendants'!B225</f>
        <v>101</v>
      </c>
      <c r="B226" t="str">
        <f>'All Girls &amp; Descendants'!C225</f>
        <v>101dc</v>
      </c>
      <c r="C226" t="str">
        <f>'All Girls &amp; Descendants'!D225</f>
        <v>REID</v>
      </c>
      <c r="D226" t="str">
        <f>'All Girls &amp; Descendants'!E225</f>
        <v>Clementine</v>
      </c>
      <c r="E226" t="str">
        <f>IF('All Girls &amp; Descendants'!F225="","",'All Girls &amp; Descendants'!F225)</f>
        <v>Julia</v>
      </c>
      <c r="F226" t="str">
        <f>IF('All Girls &amp; Descendants'!G225="","",'All Girls &amp; Descendants'!G225)</f>
        <v/>
      </c>
      <c r="G226" t="str">
        <f>IF('All Girls &amp; Descendants'!H225="",D226,'All Girls &amp; Descendants'!H225)</f>
        <v>Clementine</v>
      </c>
      <c r="H226">
        <f>'All Girls &amp; Descendants'!I225</f>
        <v>1988</v>
      </c>
      <c r="I226" t="str">
        <f>'All Girls &amp; Descendants'!J225</f>
        <v/>
      </c>
      <c r="J226">
        <f>'All Girls &amp; Descendants'!K225</f>
        <v>0</v>
      </c>
      <c r="K226" s="7">
        <f>'All Girls &amp; Descendants'!M225</f>
        <v>32395</v>
      </c>
      <c r="L226" t="str">
        <f>'All Girls &amp; Descendants'!N225</f>
        <v xml:space="preserve"> - </v>
      </c>
      <c r="M226" t="str">
        <f>'All Girls &amp; Descendants'!O225</f>
        <v/>
      </c>
      <c r="N226" t="str">
        <f>'All Girls &amp; Descendants'!P225</f>
        <v/>
      </c>
      <c r="O226" t="str">
        <f>'All Girls &amp; Descendants'!Q225</f>
        <v>101d</v>
      </c>
      <c r="P226" t="str">
        <f t="shared" si="66"/>
        <v>101dc</v>
      </c>
      <c r="Q226" s="116">
        <f t="shared" si="67"/>
        <v>2</v>
      </c>
      <c r="R226" s="31" t="str">
        <f t="shared" si="68"/>
        <v>Clementine Julia  REID</v>
      </c>
      <c r="S226" s="31" t="str">
        <f t="shared" si="69"/>
        <v>Clementine REID (1988 -: #101dc)</v>
      </c>
    </row>
    <row r="227" spans="1:19">
      <c r="A227">
        <f>'All Girls &amp; Descendants'!B226</f>
        <v>101</v>
      </c>
      <c r="B227" t="str">
        <f>'All Girls &amp; Descendants'!C226</f>
        <v>101ea</v>
      </c>
      <c r="C227" t="str">
        <f>'All Girls &amp; Descendants'!D226</f>
        <v>WILLS</v>
      </c>
      <c r="D227" t="str">
        <f>'All Girls &amp; Descendants'!E226</f>
        <v>Thomas</v>
      </c>
      <c r="E227" t="str">
        <f>IF('All Girls &amp; Descendants'!F226="","",'All Girls &amp; Descendants'!F226)</f>
        <v>Robert</v>
      </c>
      <c r="F227" t="str">
        <f>IF('All Girls &amp; Descendants'!G226="","",'All Girls &amp; Descendants'!G226)</f>
        <v>Hamilton</v>
      </c>
      <c r="G227" t="str">
        <f>IF('All Girls &amp; Descendants'!H226="",D227,'All Girls &amp; Descendants'!H226)</f>
        <v>Thomas</v>
      </c>
      <c r="H227">
        <f>'All Girls &amp; Descendants'!I226</f>
        <v>1991</v>
      </c>
      <c r="I227" t="str">
        <f>'All Girls &amp; Descendants'!J226</f>
        <v/>
      </c>
      <c r="J227">
        <f>'All Girls &amp; Descendants'!K226</f>
        <v>0</v>
      </c>
      <c r="K227" s="7">
        <f>'All Girls &amp; Descendants'!M226</f>
        <v>33423</v>
      </c>
      <c r="L227" t="str">
        <f>'All Girls &amp; Descendants'!N226</f>
        <v xml:space="preserve"> - </v>
      </c>
      <c r="M227" t="str">
        <f>'All Girls &amp; Descendants'!O226</f>
        <v/>
      </c>
      <c r="N227" t="str">
        <f>'All Girls &amp; Descendants'!P226</f>
        <v/>
      </c>
      <c r="O227" t="str">
        <f>'All Girls &amp; Descendants'!Q226</f>
        <v>101e</v>
      </c>
      <c r="P227" t="str">
        <f t="shared" si="66"/>
        <v>101ea</v>
      </c>
      <c r="Q227" s="116">
        <f t="shared" si="67"/>
        <v>2</v>
      </c>
      <c r="R227" s="31" t="str">
        <f t="shared" si="68"/>
        <v>Thomas Robert Hamilton WILLS</v>
      </c>
      <c r="S227" s="31" t="str">
        <f t="shared" si="69"/>
        <v>Thomas WILLS (1991 -: #101ea)</v>
      </c>
    </row>
    <row r="228" spans="1:19">
      <c r="A228">
        <f>'All Girls &amp; Descendants'!B227</f>
        <v>101</v>
      </c>
      <c r="B228" t="str">
        <f>'All Girls &amp; Descendants'!C227</f>
        <v>101eb</v>
      </c>
      <c r="C228" t="str">
        <f>'All Girls &amp; Descendants'!D227</f>
        <v>WILLS</v>
      </c>
      <c r="D228" t="str">
        <f>'All Girls &amp; Descendants'!E227</f>
        <v>George</v>
      </c>
      <c r="E228" t="str">
        <f>IF('All Girls &amp; Descendants'!F227="","",'All Girls &amp; Descendants'!F227)</f>
        <v>Edmund</v>
      </c>
      <c r="F228" t="str">
        <f>IF('All Girls &amp; Descendants'!G227="","",'All Girls &amp; Descendants'!G227)</f>
        <v>Hamilton</v>
      </c>
      <c r="G228" t="str">
        <f>IF('All Girls &amp; Descendants'!H227="",D228,'All Girls &amp; Descendants'!H227)</f>
        <v>George</v>
      </c>
      <c r="H228">
        <f>'All Girls &amp; Descendants'!I227</f>
        <v>1993</v>
      </c>
      <c r="I228" t="str">
        <f>'All Girls &amp; Descendants'!J227</f>
        <v/>
      </c>
      <c r="J228">
        <f>'All Girls &amp; Descendants'!K227</f>
        <v>0</v>
      </c>
      <c r="K228" s="7">
        <f>'All Girls &amp; Descendants'!M227</f>
        <v>34210</v>
      </c>
      <c r="L228" t="str">
        <f>'All Girls &amp; Descendants'!N227</f>
        <v xml:space="preserve"> - </v>
      </c>
      <c r="M228" t="str">
        <f>'All Girls &amp; Descendants'!O227</f>
        <v/>
      </c>
      <c r="N228" t="str">
        <f>'All Girls &amp; Descendants'!P227</f>
        <v/>
      </c>
      <c r="O228" t="str">
        <f>'All Girls &amp; Descendants'!Q227</f>
        <v>101e</v>
      </c>
      <c r="P228" t="str">
        <f t="shared" si="66"/>
        <v>101eb</v>
      </c>
      <c r="Q228" s="116">
        <f t="shared" si="67"/>
        <v>2</v>
      </c>
      <c r="R228" s="31" t="str">
        <f t="shared" si="68"/>
        <v>George Edmund Hamilton WILLS</v>
      </c>
      <c r="S228" s="31" t="str">
        <f t="shared" si="69"/>
        <v>George WILLS (1993 -: #101eb)</v>
      </c>
    </row>
    <row r="229" spans="1:19">
      <c r="A229">
        <f>'All Girls &amp; Descendants'!B228</f>
        <v>101</v>
      </c>
      <c r="B229" t="str">
        <f>'All Girls &amp; Descendants'!C228</f>
        <v>101ec</v>
      </c>
      <c r="C229" t="str">
        <f>'All Girls &amp; Descendants'!D228</f>
        <v>WILLS</v>
      </c>
      <c r="D229" t="str">
        <f>'All Girls &amp; Descendants'!E228</f>
        <v>Laura</v>
      </c>
      <c r="E229" t="str">
        <f>IF('All Girls &amp; Descendants'!F228="","",'All Girls &amp; Descendants'!F228)</f>
        <v>Felicity</v>
      </c>
      <c r="F229" t="str">
        <f>IF('All Girls &amp; Descendants'!G228="","",'All Girls &amp; Descendants'!G228)</f>
        <v>Hamilton</v>
      </c>
      <c r="G229" t="str">
        <f>IF('All Girls &amp; Descendants'!H228="",D229,'All Girls &amp; Descendants'!H228)</f>
        <v>Laura</v>
      </c>
      <c r="H229">
        <f>'All Girls &amp; Descendants'!I228</f>
        <v>1996</v>
      </c>
      <c r="I229" t="str">
        <f>'All Girls &amp; Descendants'!J228</f>
        <v/>
      </c>
      <c r="J229">
        <f>'All Girls &amp; Descendants'!K228</f>
        <v>0</v>
      </c>
      <c r="K229" s="7">
        <f>'All Girls &amp; Descendants'!M228</f>
        <v>35109</v>
      </c>
      <c r="L229" t="str">
        <f>'All Girls &amp; Descendants'!N228</f>
        <v xml:space="preserve"> - </v>
      </c>
      <c r="M229" t="str">
        <f>'All Girls &amp; Descendants'!O228</f>
        <v/>
      </c>
      <c r="N229" t="str">
        <f>'All Girls &amp; Descendants'!P228</f>
        <v/>
      </c>
      <c r="O229" t="str">
        <f>'All Girls &amp; Descendants'!Q228</f>
        <v>101e</v>
      </c>
      <c r="P229" t="str">
        <f t="shared" si="66"/>
        <v>101ec</v>
      </c>
      <c r="Q229" s="116">
        <f t="shared" si="67"/>
        <v>2</v>
      </c>
      <c r="R229" s="31" t="str">
        <f t="shared" si="68"/>
        <v>Laura Felicity Hamilton WILLS</v>
      </c>
      <c r="S229" s="31" t="str">
        <f t="shared" si="69"/>
        <v>Laura WILLS (1996 -: #101ec)</v>
      </c>
    </row>
    <row r="230" spans="1:19">
      <c r="A230">
        <f>'All Girls &amp; Descendants'!B229</f>
        <v>101</v>
      </c>
      <c r="B230" t="str">
        <f>'All Girls &amp; Descendants'!C229</f>
        <v>101fa</v>
      </c>
      <c r="C230" t="str">
        <f>'All Girls &amp; Descendants'!D229</f>
        <v>HEYWOOD</v>
      </c>
      <c r="D230" t="str">
        <f>'All Girls &amp; Descendants'!E229</f>
        <v>Richard</v>
      </c>
      <c r="E230" t="str">
        <f>IF('All Girls &amp; Descendants'!F229="","",'All Girls &amp; Descendants'!F229)</f>
        <v>Garnett</v>
      </c>
      <c r="F230" t="str">
        <f>IF('All Girls &amp; Descendants'!G229="","",'All Girls &amp; Descendants'!G229)</f>
        <v/>
      </c>
      <c r="G230" t="str">
        <f>IF('All Girls &amp; Descendants'!H229="",D230,'All Girls &amp; Descendants'!H229)</f>
        <v>Richard</v>
      </c>
      <c r="H230">
        <f>'All Girls &amp; Descendants'!I229</f>
        <v>1993</v>
      </c>
      <c r="I230" t="str">
        <f>'All Girls &amp; Descendants'!J229</f>
        <v/>
      </c>
      <c r="J230">
        <f>'All Girls &amp; Descendants'!K229</f>
        <v>0</v>
      </c>
      <c r="K230" s="7">
        <f>'All Girls &amp; Descendants'!M229</f>
        <v>34316</v>
      </c>
      <c r="L230" t="str">
        <f>'All Girls &amp; Descendants'!N229</f>
        <v xml:space="preserve"> - </v>
      </c>
      <c r="M230" t="str">
        <f>'All Girls &amp; Descendants'!O229</f>
        <v/>
      </c>
      <c r="N230" t="str">
        <f>'All Girls &amp; Descendants'!P229</f>
        <v/>
      </c>
      <c r="O230" t="str">
        <f>'All Girls &amp; Descendants'!Q229</f>
        <v>101f</v>
      </c>
      <c r="P230" t="str">
        <f t="shared" si="66"/>
        <v>101fa</v>
      </c>
      <c r="Q230" s="116">
        <f t="shared" si="67"/>
        <v>2</v>
      </c>
      <c r="R230" s="31" t="str">
        <f t="shared" si="68"/>
        <v>Richard Garnett  HEYWOOD</v>
      </c>
      <c r="S230" s="31" t="str">
        <f t="shared" si="69"/>
        <v>Richard HEYWOOD (1993 -: #101fa)</v>
      </c>
    </row>
    <row r="231" spans="1:19">
      <c r="A231">
        <f>'All Girls &amp; Descendants'!B230</f>
        <v>101</v>
      </c>
      <c r="B231" t="str">
        <f>'All Girls &amp; Descendants'!C230</f>
        <v>101fb</v>
      </c>
      <c r="C231" t="str">
        <f>'All Girls &amp; Descendants'!D230</f>
        <v>HEYWOOD</v>
      </c>
      <c r="D231" t="str">
        <f>'All Girls &amp; Descendants'!E230</f>
        <v>Alec</v>
      </c>
      <c r="E231" t="str">
        <f>IF('All Girls &amp; Descendants'!F230="","",'All Girls &amp; Descendants'!F230)</f>
        <v>Garnett</v>
      </c>
      <c r="F231" t="str">
        <f>IF('All Girls &amp; Descendants'!G230="","",'All Girls &amp; Descendants'!G230)</f>
        <v/>
      </c>
      <c r="G231" t="str">
        <f>IF('All Girls &amp; Descendants'!H230="",D231,'All Girls &amp; Descendants'!H230)</f>
        <v>Alec</v>
      </c>
      <c r="H231">
        <f>'All Girls &amp; Descendants'!I230</f>
        <v>1996</v>
      </c>
      <c r="I231" t="str">
        <f>'All Girls &amp; Descendants'!J230</f>
        <v/>
      </c>
      <c r="J231">
        <f>'All Girls &amp; Descendants'!K230</f>
        <v>0</v>
      </c>
      <c r="K231" s="7">
        <f>'All Girls &amp; Descendants'!M230</f>
        <v>35117</v>
      </c>
      <c r="L231" t="str">
        <f>'All Girls &amp; Descendants'!N230</f>
        <v xml:space="preserve"> - </v>
      </c>
      <c r="M231" t="str">
        <f>'All Girls &amp; Descendants'!O230</f>
        <v/>
      </c>
      <c r="N231" t="str">
        <f>'All Girls &amp; Descendants'!P230</f>
        <v/>
      </c>
      <c r="O231" t="str">
        <f>'All Girls &amp; Descendants'!Q230</f>
        <v>101f</v>
      </c>
      <c r="P231" t="str">
        <f t="shared" si="66"/>
        <v>101fb</v>
      </c>
      <c r="Q231" s="116">
        <f t="shared" si="67"/>
        <v>2</v>
      </c>
      <c r="R231" s="31" t="str">
        <f t="shared" si="68"/>
        <v>Alec Garnett  HEYWOOD</v>
      </c>
      <c r="S231" s="31" t="str">
        <f t="shared" si="69"/>
        <v>Alec HEYWOOD (1996 -: #101fb)</v>
      </c>
    </row>
    <row r="232" spans="1:19">
      <c r="A232">
        <f>'All Girls &amp; Descendants'!B231</f>
        <v>102</v>
      </c>
      <c r="B232" t="str">
        <f>'All Girls &amp; Descendants'!C231</f>
        <v>102ba</v>
      </c>
      <c r="C232" t="str">
        <f>'All Girls &amp; Descendants'!D231</f>
        <v>DUNLOP</v>
      </c>
      <c r="D232" t="str">
        <f>'All Girls &amp; Descendants'!E231</f>
        <v>Ella</v>
      </c>
      <c r="E232" t="str">
        <f>IF('All Girls &amp; Descendants'!F231="","",'All Girls &amp; Descendants'!F231)</f>
        <v>Genevieve</v>
      </c>
      <c r="F232" t="str">
        <f>IF('All Girls &amp; Descendants'!G231="","",'All Girls &amp; Descendants'!G231)</f>
        <v>Elgin</v>
      </c>
      <c r="G232" t="str">
        <f>IF('All Girls &amp; Descendants'!H231="",D232,'All Girls &amp; Descendants'!H231)</f>
        <v>Ella</v>
      </c>
      <c r="H232">
        <f>'All Girls &amp; Descendants'!I231</f>
        <v>1998</v>
      </c>
      <c r="I232" t="str">
        <f>'All Girls &amp; Descendants'!J231</f>
        <v/>
      </c>
      <c r="J232">
        <f>'All Girls &amp; Descendants'!K231</f>
        <v>0</v>
      </c>
      <c r="K232" s="7">
        <f>'All Girls &amp; Descendants'!M231</f>
        <v>35879</v>
      </c>
      <c r="L232" t="str">
        <f>'All Girls &amp; Descendants'!N231</f>
        <v xml:space="preserve"> - </v>
      </c>
      <c r="M232" t="str">
        <f>'All Girls &amp; Descendants'!O231</f>
        <v/>
      </c>
      <c r="N232" t="str">
        <f>'All Girls &amp; Descendants'!P231</f>
        <v/>
      </c>
      <c r="O232" t="str">
        <f>'All Girls &amp; Descendants'!Q231</f>
        <v>102b</v>
      </c>
      <c r="P232" t="str">
        <f t="shared" si="66"/>
        <v>102ba</v>
      </c>
      <c r="Q232" s="116">
        <f t="shared" si="67"/>
        <v>2</v>
      </c>
      <c r="R232" s="31" t="str">
        <f t="shared" si="68"/>
        <v>Ella Genevieve Elgin DUNLOP</v>
      </c>
      <c r="S232" s="31" t="str">
        <f t="shared" si="69"/>
        <v>Ella DUNLOP (1998 -: #102ba)</v>
      </c>
    </row>
    <row r="233" spans="1:19">
      <c r="A233">
        <f>'All Girls &amp; Descendants'!B232</f>
        <v>102</v>
      </c>
      <c r="B233" t="str">
        <f>'All Girls &amp; Descendants'!C232</f>
        <v>102bb</v>
      </c>
      <c r="C233" t="str">
        <f>'All Girls &amp; Descendants'!D232</f>
        <v>DUNLOP</v>
      </c>
      <c r="D233" t="str">
        <f>'All Girls &amp; Descendants'!E232</f>
        <v>John</v>
      </c>
      <c r="E233" t="str">
        <f>IF('All Girls &amp; Descendants'!F232="","",'All Girls &amp; Descendants'!F232)</f>
        <v>Fergus</v>
      </c>
      <c r="F233" t="str">
        <f>IF('All Girls &amp; Descendants'!G232="","",'All Girls &amp; Descendants'!G232)</f>
        <v>Elgin</v>
      </c>
      <c r="G233" t="str">
        <f>IF('All Girls &amp; Descendants'!H232="",D233,'All Girls &amp; Descendants'!H232)</f>
        <v>John</v>
      </c>
      <c r="H233">
        <f>'All Girls &amp; Descendants'!I232</f>
        <v>2000</v>
      </c>
      <c r="I233">
        <f>'All Girls &amp; Descendants'!J232</f>
        <v>0</v>
      </c>
      <c r="J233">
        <f>'All Girls &amp; Descendants'!K232</f>
        <v>0</v>
      </c>
      <c r="K233" s="7">
        <f>'All Girls &amp; Descendants'!M232</f>
        <v>36711</v>
      </c>
      <c r="L233" t="str">
        <f>'All Girls &amp; Descendants'!N232</f>
        <v xml:space="preserve"> - </v>
      </c>
      <c r="M233">
        <f>'All Girls &amp; Descendants'!O232</f>
        <v>0</v>
      </c>
      <c r="N233">
        <f>'All Girls &amp; Descendants'!P232</f>
        <v>0</v>
      </c>
      <c r="O233" t="str">
        <f>'All Girls &amp; Descendants'!Q232</f>
        <v>102b</v>
      </c>
      <c r="P233" t="str">
        <f t="shared" si="66"/>
        <v>102bb</v>
      </c>
      <c r="Q233" s="116">
        <f t="shared" si="67"/>
        <v>2</v>
      </c>
      <c r="R233" s="31" t="str">
        <f t="shared" si="68"/>
        <v>John Fergus Elgin DUNLOP</v>
      </c>
      <c r="S233" s="31" t="str">
        <f t="shared" si="69"/>
        <v>John DUNLOP (2000 -0: #102bb)</v>
      </c>
    </row>
    <row r="234" spans="1:19">
      <c r="A234">
        <f>'All Girls &amp; Descendants'!B233</f>
        <v>103</v>
      </c>
      <c r="B234" t="str">
        <f>'All Girls &amp; Descendants'!C233</f>
        <v>103aa</v>
      </c>
      <c r="C234" t="str">
        <f>'All Girls &amp; Descendants'!D233</f>
        <v>GORE-BROWNE</v>
      </c>
      <c r="D234" t="str">
        <f>'All Girls &amp; Descendants'!E233</f>
        <v>Marina</v>
      </c>
      <c r="E234" t="str">
        <f>IF('All Girls &amp; Descendants'!F233="","",'All Girls &amp; Descendants'!F233)</f>
        <v>Harriet</v>
      </c>
      <c r="F234" t="str">
        <f>IF('All Girls &amp; Descendants'!G233="","",'All Girls &amp; Descendants'!G233)</f>
        <v/>
      </c>
      <c r="G234" t="str">
        <f>IF('All Girls &amp; Descendants'!H233="",D234,'All Girls &amp; Descendants'!H233)</f>
        <v>Marina</v>
      </c>
      <c r="H234">
        <f>'All Girls &amp; Descendants'!I233</f>
        <v>1984</v>
      </c>
      <c r="I234" t="str">
        <f>'All Girls &amp; Descendants'!J233</f>
        <v/>
      </c>
      <c r="J234">
        <f>'All Girls &amp; Descendants'!K233</f>
        <v>0</v>
      </c>
      <c r="K234" s="7">
        <f>'All Girls &amp; Descendants'!M233</f>
        <v>31035</v>
      </c>
      <c r="L234" t="str">
        <f>'All Girls &amp; Descendants'!N233</f>
        <v xml:space="preserve"> - </v>
      </c>
      <c r="M234" t="str">
        <f>'All Girls &amp; Descendants'!O233</f>
        <v/>
      </c>
      <c r="N234" t="str">
        <f>'All Girls &amp; Descendants'!P233</f>
        <v/>
      </c>
      <c r="O234" t="str">
        <f>'All Girls &amp; Descendants'!Q233</f>
        <v>103a</v>
      </c>
      <c r="P234" t="str">
        <f t="shared" si="66"/>
        <v>103aa</v>
      </c>
      <c r="Q234" s="116">
        <f t="shared" si="67"/>
        <v>2</v>
      </c>
      <c r="R234" s="31" t="str">
        <f t="shared" si="68"/>
        <v>Marina Harriet  GORE-BROWNE</v>
      </c>
      <c r="S234" s="31" t="str">
        <f t="shared" si="69"/>
        <v>Marina GORE-BROWNE (1984 -: #103aa)</v>
      </c>
    </row>
    <row r="235" spans="1:19">
      <c r="A235">
        <f>'All Girls &amp; Descendants'!B234</f>
        <v>103</v>
      </c>
      <c r="B235" t="str">
        <f>'All Girls &amp; Descendants'!C234</f>
        <v>103ab</v>
      </c>
      <c r="C235" t="str">
        <f>'All Girls &amp; Descendants'!D234</f>
        <v>GORE-BROWNE</v>
      </c>
      <c r="D235" t="str">
        <f>'All Girls &amp; Descendants'!E234</f>
        <v>Frederick</v>
      </c>
      <c r="E235" t="str">
        <f>IF('All Girls &amp; Descendants'!F234="","",'All Girls &amp; Descendants'!F234)</f>
        <v>Henry</v>
      </c>
      <c r="F235" t="str">
        <f>IF('All Girls &amp; Descendants'!G234="","",'All Girls &amp; Descendants'!G234)</f>
        <v/>
      </c>
      <c r="G235" t="str">
        <f>IF('All Girls &amp; Descendants'!H234="",D235,'All Girls &amp; Descendants'!H234)</f>
        <v>Frederick</v>
      </c>
      <c r="H235">
        <f>'All Girls &amp; Descendants'!I234</f>
        <v>1987</v>
      </c>
      <c r="I235" t="str">
        <f>'All Girls &amp; Descendants'!J234</f>
        <v/>
      </c>
      <c r="J235">
        <f>'All Girls &amp; Descendants'!K234</f>
        <v>0</v>
      </c>
      <c r="K235" s="7">
        <f>'All Girls &amp; Descendants'!M234</f>
        <v>31798</v>
      </c>
      <c r="L235" t="str">
        <f>'All Girls &amp; Descendants'!N234</f>
        <v xml:space="preserve"> - </v>
      </c>
      <c r="M235" t="str">
        <f>'All Girls &amp; Descendants'!O234</f>
        <v/>
      </c>
      <c r="N235" t="str">
        <f>'All Girls &amp; Descendants'!P234</f>
        <v/>
      </c>
      <c r="O235" t="str">
        <f>'All Girls &amp; Descendants'!Q234</f>
        <v>103a</v>
      </c>
      <c r="P235" t="str">
        <f t="shared" si="66"/>
        <v>103ab</v>
      </c>
      <c r="Q235" s="116">
        <f t="shared" si="67"/>
        <v>2</v>
      </c>
      <c r="R235" s="31" t="str">
        <f t="shared" si="68"/>
        <v>Frederick Henry  GORE-BROWNE</v>
      </c>
      <c r="S235" s="31" t="str">
        <f t="shared" si="69"/>
        <v>Frederick GORE-BROWNE (1987 -: #103ab)</v>
      </c>
    </row>
    <row r="236" spans="1:19">
      <c r="A236">
        <f>'All Girls &amp; Descendants'!B235</f>
        <v>103</v>
      </c>
      <c r="B236" t="str">
        <f>'All Girls &amp; Descendants'!C235</f>
        <v>103ac</v>
      </c>
      <c r="C236" t="str">
        <f>'All Girls &amp; Descendants'!D235</f>
        <v>GORE-BROWNE</v>
      </c>
      <c r="D236" t="str">
        <f>'All Girls &amp; Descendants'!E235</f>
        <v>Harry</v>
      </c>
      <c r="E236" t="str">
        <f>IF('All Girls &amp; Descendants'!F235="","",'All Girls &amp; Descendants'!F235)</f>
        <v>Alastair</v>
      </c>
      <c r="F236" t="str">
        <f>IF('All Girls &amp; Descendants'!G235="","",'All Girls &amp; Descendants'!G235)</f>
        <v/>
      </c>
      <c r="G236" t="str">
        <f>IF('All Girls &amp; Descendants'!H235="",D236,'All Girls &amp; Descendants'!H235)</f>
        <v>Harry</v>
      </c>
      <c r="H236">
        <f>'All Girls &amp; Descendants'!I235</f>
        <v>1988</v>
      </c>
      <c r="I236" t="str">
        <f>'All Girls &amp; Descendants'!J235</f>
        <v/>
      </c>
      <c r="J236">
        <f>'All Girls &amp; Descendants'!K235</f>
        <v>0</v>
      </c>
      <c r="K236" s="7">
        <f>'All Girls &amp; Descendants'!M235</f>
        <v>32253</v>
      </c>
      <c r="L236" t="str">
        <f>'All Girls &amp; Descendants'!N235</f>
        <v xml:space="preserve"> - </v>
      </c>
      <c r="M236" t="str">
        <f>'All Girls &amp; Descendants'!O235</f>
        <v/>
      </c>
      <c r="N236" t="str">
        <f>'All Girls &amp; Descendants'!P235</f>
        <v/>
      </c>
      <c r="O236" t="str">
        <f>'All Girls &amp; Descendants'!Q235</f>
        <v>103a</v>
      </c>
      <c r="P236" t="str">
        <f t="shared" si="66"/>
        <v>103ac</v>
      </c>
      <c r="Q236" s="116">
        <f t="shared" si="67"/>
        <v>2</v>
      </c>
      <c r="R236" s="31" t="str">
        <f t="shared" si="68"/>
        <v>Harry Alastair  GORE-BROWNE</v>
      </c>
      <c r="S236" s="31" t="str">
        <f t="shared" si="69"/>
        <v>Harry GORE-BROWNE (1988 -: #103ac)</v>
      </c>
    </row>
    <row r="237" spans="1:19">
      <c r="A237">
        <f>'All Girls &amp; Descendants'!B236</f>
        <v>103</v>
      </c>
      <c r="B237" t="str">
        <f>'All Girls &amp; Descendants'!C236</f>
        <v>103ba</v>
      </c>
      <c r="C237" t="str">
        <f>'All Girls &amp; Descendants'!D236</f>
        <v>PILKINGTON</v>
      </c>
      <c r="D237" t="str">
        <f>'All Girls &amp; Descendants'!E236</f>
        <v>Edward</v>
      </c>
      <c r="E237" t="str">
        <f>IF('All Girls &amp; Descendants'!F236="","",'All Girls &amp; Descendants'!F236)</f>
        <v>Thomas</v>
      </c>
      <c r="F237" t="str">
        <f>IF('All Girls &amp; Descendants'!G236="","",'All Girls &amp; Descendants'!G236)</f>
        <v/>
      </c>
      <c r="G237" t="str">
        <f>IF('All Girls &amp; Descendants'!H236="",D237,'All Girls &amp; Descendants'!H236)</f>
        <v>Edward</v>
      </c>
      <c r="H237">
        <f>'All Girls &amp; Descendants'!I236</f>
        <v>1971</v>
      </c>
      <c r="I237" t="str">
        <f>'All Girls &amp; Descendants'!J236</f>
        <v/>
      </c>
      <c r="J237">
        <f>'All Girls &amp; Descendants'!K236</f>
        <v>0</v>
      </c>
      <c r="K237" s="7">
        <f>'All Girls &amp; Descendants'!M236</f>
        <v>26191</v>
      </c>
      <c r="L237" t="str">
        <f>'All Girls &amp; Descendants'!N236</f>
        <v xml:space="preserve"> - </v>
      </c>
      <c r="M237" t="str">
        <f>'All Girls &amp; Descendants'!O236</f>
        <v/>
      </c>
      <c r="N237" t="str">
        <f>'All Girls &amp; Descendants'!P236</f>
        <v/>
      </c>
      <c r="O237" t="str">
        <f>'All Girls &amp; Descendants'!Q236</f>
        <v>103b</v>
      </c>
      <c r="P237" t="str">
        <f t="shared" si="66"/>
        <v>103ba</v>
      </c>
      <c r="Q237" s="116">
        <f t="shared" si="67"/>
        <v>2</v>
      </c>
      <c r="R237" s="31" t="str">
        <f t="shared" si="68"/>
        <v>Edward Thomas  PILKINGTON</v>
      </c>
      <c r="S237" s="31" t="str">
        <f t="shared" si="69"/>
        <v>Edward PILKINGTON (1971 -: #103ba)</v>
      </c>
    </row>
    <row r="238" spans="1:19">
      <c r="A238">
        <f>'All Girls &amp; Descendants'!B237</f>
        <v>103</v>
      </c>
      <c r="B238" t="str">
        <f>'All Girls &amp; Descendants'!C237</f>
        <v>103bb</v>
      </c>
      <c r="C238" t="str">
        <f>'All Girls &amp; Descendants'!D237</f>
        <v>PILKINGTON</v>
      </c>
      <c r="D238" t="str">
        <f>'All Girls &amp; Descendants'!E237</f>
        <v>Lucinda</v>
      </c>
      <c r="E238" t="str">
        <f>IF('All Girls &amp; Descendants'!F237="","",'All Girls &amp; Descendants'!F237)</f>
        <v>Mary</v>
      </c>
      <c r="F238" t="str">
        <f>IF('All Girls &amp; Descendants'!G237="","",'All Girls &amp; Descendants'!G237)</f>
        <v/>
      </c>
      <c r="G238" t="str">
        <f>IF('All Girls &amp; Descendants'!H237="",D238,'All Girls &amp; Descendants'!H237)</f>
        <v>Lucy</v>
      </c>
      <c r="H238">
        <f>'All Girls &amp; Descendants'!I237</f>
        <v>1973</v>
      </c>
      <c r="I238" t="str">
        <f>'All Girls &amp; Descendants'!J237</f>
        <v/>
      </c>
      <c r="J238">
        <f>'All Girls &amp; Descendants'!K237</f>
        <v>0</v>
      </c>
      <c r="K238" s="7">
        <f>'All Girls &amp; Descendants'!M237</f>
        <v>26808</v>
      </c>
      <c r="L238" t="str">
        <f>'All Girls &amp; Descendants'!N237</f>
        <v xml:space="preserve"> - </v>
      </c>
      <c r="M238" t="str">
        <f>'All Girls &amp; Descendants'!O237</f>
        <v/>
      </c>
      <c r="N238" t="str">
        <f>'All Girls &amp; Descendants'!P237</f>
        <v/>
      </c>
      <c r="O238" t="str">
        <f>'All Girls &amp; Descendants'!Q237</f>
        <v>103b</v>
      </c>
      <c r="P238" t="str">
        <f t="shared" si="66"/>
        <v>103bb</v>
      </c>
      <c r="Q238" s="116">
        <f t="shared" si="67"/>
        <v>2</v>
      </c>
      <c r="R238" s="31" t="str">
        <f t="shared" si="68"/>
        <v>Lucinda Mary  PILKINGTON</v>
      </c>
      <c r="S238" s="31" t="str">
        <f t="shared" si="69"/>
        <v>Lucy PILKINGTON (1973 -: #103bb)</v>
      </c>
    </row>
    <row r="239" spans="1:19">
      <c r="A239">
        <f>'All Girls &amp; Descendants'!B238</f>
        <v>103</v>
      </c>
      <c r="B239" t="str">
        <f>'All Girls &amp; Descendants'!C238</f>
        <v>103bc</v>
      </c>
      <c r="C239" t="str">
        <f>'All Girls &amp; Descendants'!D238</f>
        <v>PILKINGTON</v>
      </c>
      <c r="D239" t="str">
        <f>'All Girls &amp; Descendants'!E238</f>
        <v>Nicholas</v>
      </c>
      <c r="E239" t="str">
        <f>IF('All Girls &amp; Descendants'!F238="","",'All Girls &amp; Descendants'!F238)</f>
        <v>James</v>
      </c>
      <c r="F239" t="str">
        <f>IF('All Girls &amp; Descendants'!G238="","",'All Girls &amp; Descendants'!G238)</f>
        <v/>
      </c>
      <c r="G239" t="str">
        <f>IF('All Girls &amp; Descendants'!H238="",D239,'All Girls &amp; Descendants'!H238)</f>
        <v>Nicholas</v>
      </c>
      <c r="H239">
        <f>'All Girls &amp; Descendants'!I238</f>
        <v>1976</v>
      </c>
      <c r="I239" t="str">
        <f>'All Girls &amp; Descendants'!J238</f>
        <v/>
      </c>
      <c r="J239">
        <f>'All Girls &amp; Descendants'!K238</f>
        <v>0</v>
      </c>
      <c r="K239" s="7">
        <f>'All Girls &amp; Descendants'!M238</f>
        <v>27879</v>
      </c>
      <c r="L239" t="str">
        <f>'All Girls &amp; Descendants'!N238</f>
        <v xml:space="preserve"> - </v>
      </c>
      <c r="M239" t="str">
        <f>'All Girls &amp; Descendants'!O238</f>
        <v/>
      </c>
      <c r="N239" t="str">
        <f>'All Girls &amp; Descendants'!P238</f>
        <v/>
      </c>
      <c r="O239" t="str">
        <f>'All Girls &amp; Descendants'!Q238</f>
        <v>103b</v>
      </c>
      <c r="P239" t="str">
        <f t="shared" si="66"/>
        <v>103bc</v>
      </c>
      <c r="Q239" s="116">
        <f t="shared" si="67"/>
        <v>2</v>
      </c>
      <c r="R239" s="31" t="str">
        <f t="shared" si="68"/>
        <v>Nicholas James  PILKINGTON</v>
      </c>
      <c r="S239" s="31" t="str">
        <f t="shared" si="69"/>
        <v>Nicholas PILKINGTON (1976 -: #103bc)</v>
      </c>
    </row>
    <row r="240" spans="1:19">
      <c r="A240">
        <f>'All Girls &amp; Descendants'!B239</f>
        <v>103</v>
      </c>
      <c r="B240" t="str">
        <f>'All Girls &amp; Descendants'!C239</f>
        <v>103bd</v>
      </c>
      <c r="C240" t="str">
        <f>'All Girls &amp; Descendants'!D239</f>
        <v>PILKINGTON</v>
      </c>
      <c r="D240" t="str">
        <f>'All Girls &amp; Descendants'!E239</f>
        <v>Claire</v>
      </c>
      <c r="E240" t="str">
        <f>IF('All Girls &amp; Descendants'!F239="","",'All Girls &amp; Descendants'!F239)</f>
        <v>Georgina</v>
      </c>
      <c r="F240" t="str">
        <f>IF('All Girls &amp; Descendants'!G239="","",'All Girls &amp; Descendants'!G239)</f>
        <v/>
      </c>
      <c r="G240" t="str">
        <f>IF('All Girls &amp; Descendants'!H239="",D240,'All Girls &amp; Descendants'!H239)</f>
        <v>Claire</v>
      </c>
      <c r="H240">
        <f>'All Girls &amp; Descendants'!I239</f>
        <v>1979</v>
      </c>
      <c r="I240" t="str">
        <f>'All Girls &amp; Descendants'!J239</f>
        <v/>
      </c>
      <c r="J240">
        <f>'All Girls &amp; Descendants'!K239</f>
        <v>0</v>
      </c>
      <c r="K240" s="7">
        <f>'All Girls &amp; Descendants'!M239</f>
        <v>28858</v>
      </c>
      <c r="L240" t="str">
        <f>'All Girls &amp; Descendants'!N239</f>
        <v xml:space="preserve"> - </v>
      </c>
      <c r="M240" t="str">
        <f>'All Girls &amp; Descendants'!O239</f>
        <v/>
      </c>
      <c r="N240" t="str">
        <f>'All Girls &amp; Descendants'!P239</f>
        <v/>
      </c>
      <c r="O240" t="str">
        <f>'All Girls &amp; Descendants'!Q239</f>
        <v>103b</v>
      </c>
      <c r="P240" t="str">
        <f t="shared" si="66"/>
        <v>103bd</v>
      </c>
      <c r="Q240" s="116">
        <f t="shared" si="67"/>
        <v>2</v>
      </c>
      <c r="R240" s="31" t="str">
        <f t="shared" si="68"/>
        <v>Claire Georgina  PILKINGTON</v>
      </c>
      <c r="S240" s="31" t="str">
        <f t="shared" si="69"/>
        <v>Claire PILKINGTON (1979 -: #103bd)</v>
      </c>
    </row>
    <row r="241" spans="1:19">
      <c r="A241">
        <f>'All Girls &amp; Descendants'!B240</f>
        <v>103</v>
      </c>
      <c r="B241" t="str">
        <f>'All Girls &amp; Descendants'!C240</f>
        <v>103ca</v>
      </c>
      <c r="C241" t="str">
        <f>'All Girls &amp; Descendants'!D240</f>
        <v>GORE-BROWNE</v>
      </c>
      <c r="D241" t="str">
        <f>'All Girls &amp; Descendants'!E240</f>
        <v>William</v>
      </c>
      <c r="E241" t="str">
        <f>IF('All Girls &amp; Descendants'!F240="","",'All Girls &amp; Descendants'!F240)</f>
        <v>Thomas</v>
      </c>
      <c r="F241" t="str">
        <f>IF('All Girls &amp; Descendants'!G240="","",'All Girls &amp; Descendants'!G240)</f>
        <v/>
      </c>
      <c r="G241" t="str">
        <f>IF('All Girls &amp; Descendants'!H240="",D241,'All Girls &amp; Descendants'!H240)</f>
        <v>William</v>
      </c>
      <c r="H241">
        <f>'All Girls &amp; Descendants'!I240</f>
        <v>1988</v>
      </c>
      <c r="I241" t="str">
        <f>'All Girls &amp; Descendants'!J240</f>
        <v/>
      </c>
      <c r="J241">
        <f>'All Girls &amp; Descendants'!K240</f>
        <v>0</v>
      </c>
      <c r="K241" s="7">
        <f>'All Girls &amp; Descendants'!M240</f>
        <v>32291</v>
      </c>
      <c r="L241" t="str">
        <f>'All Girls &amp; Descendants'!N240</f>
        <v xml:space="preserve"> - </v>
      </c>
      <c r="M241" t="str">
        <f>'All Girls &amp; Descendants'!O240</f>
        <v/>
      </c>
      <c r="N241" t="str">
        <f>'All Girls &amp; Descendants'!P240</f>
        <v/>
      </c>
      <c r="O241" t="str">
        <f>'All Girls &amp; Descendants'!Q240</f>
        <v>103c</v>
      </c>
      <c r="P241" t="str">
        <f t="shared" si="66"/>
        <v>103ca</v>
      </c>
      <c r="Q241" s="116">
        <f t="shared" si="67"/>
        <v>2</v>
      </c>
      <c r="R241" s="31" t="str">
        <f t="shared" si="68"/>
        <v>William Thomas  GORE-BROWNE</v>
      </c>
      <c r="S241" s="31" t="str">
        <f t="shared" si="69"/>
        <v>William GORE-BROWNE (1988 -: #103ca)</v>
      </c>
    </row>
    <row r="242" spans="1:19">
      <c r="A242">
        <f>'All Girls &amp; Descendants'!B241</f>
        <v>103</v>
      </c>
      <c r="B242" t="str">
        <f>'All Girls &amp; Descendants'!C241</f>
        <v>103cb</v>
      </c>
      <c r="C242" t="str">
        <f>'All Girls &amp; Descendants'!D241</f>
        <v>GORE-BROWNE</v>
      </c>
      <c r="D242" t="str">
        <f>'All Girls &amp; Descendants'!E241</f>
        <v>Heather</v>
      </c>
      <c r="E242" t="str">
        <f>IF('All Girls &amp; Descendants'!F241="","",'All Girls &amp; Descendants'!F241)</f>
        <v>Caroline</v>
      </c>
      <c r="F242" t="str">
        <f>IF('All Girls &amp; Descendants'!G241="","",'All Girls &amp; Descendants'!G241)</f>
        <v>Mona</v>
      </c>
      <c r="G242" t="str">
        <f>IF('All Girls &amp; Descendants'!H241="",D242,'All Girls &amp; Descendants'!H241)</f>
        <v>Heather</v>
      </c>
      <c r="H242">
        <f>'All Girls &amp; Descendants'!I241</f>
        <v>1990</v>
      </c>
      <c r="I242" t="str">
        <f>'All Girls &amp; Descendants'!J241</f>
        <v/>
      </c>
      <c r="J242">
        <f>'All Girls &amp; Descendants'!K241</f>
        <v>0</v>
      </c>
      <c r="K242" s="7">
        <f>'All Girls &amp; Descendants'!M241</f>
        <v>32921</v>
      </c>
      <c r="L242" t="str">
        <f>'All Girls &amp; Descendants'!N241</f>
        <v xml:space="preserve"> - </v>
      </c>
      <c r="M242" t="str">
        <f>'All Girls &amp; Descendants'!O241</f>
        <v/>
      </c>
      <c r="N242" t="str">
        <f>'All Girls &amp; Descendants'!P241</f>
        <v/>
      </c>
      <c r="O242" t="str">
        <f>'All Girls &amp; Descendants'!Q241</f>
        <v>103c</v>
      </c>
      <c r="P242" t="str">
        <f t="shared" si="66"/>
        <v>103cb</v>
      </c>
      <c r="Q242" s="116">
        <f t="shared" si="67"/>
        <v>2</v>
      </c>
      <c r="R242" s="31" t="str">
        <f t="shared" si="68"/>
        <v>Heather Caroline Mona GORE-BROWNE</v>
      </c>
      <c r="S242" s="31" t="str">
        <f t="shared" si="69"/>
        <v>Heather GORE-BROWNE (1990 -: #103cb)</v>
      </c>
    </row>
    <row r="243" spans="1:19">
      <c r="A243">
        <f>'All Girls &amp; Descendants'!B242</f>
        <v>103</v>
      </c>
      <c r="B243" t="str">
        <f>'All Girls &amp; Descendants'!C242</f>
        <v>103cc</v>
      </c>
      <c r="C243" t="str">
        <f>'All Girls &amp; Descendants'!D242</f>
        <v>GORE-BROWNE</v>
      </c>
      <c r="D243" t="str">
        <f>'All Girls &amp; Descendants'!E242</f>
        <v>Rose</v>
      </c>
      <c r="E243" t="str">
        <f>IF('All Girls &amp; Descendants'!F242="","",'All Girls &amp; Descendants'!F242)</f>
        <v>Elizabeth</v>
      </c>
      <c r="F243" t="str">
        <f>IF('All Girls &amp; Descendants'!G242="","",'All Girls &amp; Descendants'!G242)</f>
        <v>Lavinia</v>
      </c>
      <c r="G243" t="str">
        <f>IF('All Girls &amp; Descendants'!H242="",D243,'All Girls &amp; Descendants'!H242)</f>
        <v>Rose</v>
      </c>
      <c r="H243">
        <f>'All Girls &amp; Descendants'!I242</f>
        <v>1991</v>
      </c>
      <c r="I243" t="str">
        <f>'All Girls &amp; Descendants'!J242</f>
        <v/>
      </c>
      <c r="J243">
        <f>'All Girls &amp; Descendants'!K242</f>
        <v>0</v>
      </c>
      <c r="K243" s="7">
        <f>'All Girls &amp; Descendants'!M242</f>
        <v>33538</v>
      </c>
      <c r="L243" t="str">
        <f>'All Girls &amp; Descendants'!N242</f>
        <v xml:space="preserve"> - </v>
      </c>
      <c r="M243" t="str">
        <f>'All Girls &amp; Descendants'!O242</f>
        <v/>
      </c>
      <c r="N243" t="str">
        <f>'All Girls &amp; Descendants'!P242</f>
        <v/>
      </c>
      <c r="O243" t="str">
        <f>'All Girls &amp; Descendants'!Q242</f>
        <v>103c</v>
      </c>
      <c r="P243" t="str">
        <f t="shared" si="66"/>
        <v>103cc</v>
      </c>
      <c r="Q243" s="116">
        <f t="shared" si="67"/>
        <v>2</v>
      </c>
      <c r="R243" s="31" t="str">
        <f t="shared" si="68"/>
        <v>Rose Elizabeth Lavinia GORE-BROWNE</v>
      </c>
      <c r="S243" s="31" t="str">
        <f t="shared" si="69"/>
        <v>Rose GORE-BROWNE (1991 -: #103cc)</v>
      </c>
    </row>
    <row r="244" spans="1:19">
      <c r="A244">
        <f>'All Girls &amp; Descendants'!B243</f>
        <v>103</v>
      </c>
      <c r="B244" t="str">
        <f>'All Girls &amp; Descendants'!C243</f>
        <v>103da</v>
      </c>
      <c r="C244" t="str">
        <f>'All Girls &amp; Descendants'!D243</f>
        <v>GORE-BROWNE</v>
      </c>
      <c r="D244" t="str">
        <f>'All Girls &amp; Descendants'!E243</f>
        <v>Sophie</v>
      </c>
      <c r="E244" t="str">
        <f>IF('All Girls &amp; Descendants'!F243="","",'All Girls &amp; Descendants'!F243)</f>
        <v>Mary</v>
      </c>
      <c r="F244" t="str">
        <f>IF('All Girls &amp; Descendants'!G243="","",'All Girls &amp; Descendants'!G243)</f>
        <v/>
      </c>
      <c r="G244" t="str">
        <f>IF('All Girls &amp; Descendants'!H243="",D244,'All Girls &amp; Descendants'!H243)</f>
        <v>Sophie</v>
      </c>
      <c r="H244">
        <f>'All Girls &amp; Descendants'!I243</f>
        <v>1985</v>
      </c>
      <c r="I244" t="str">
        <f>'All Girls &amp; Descendants'!J243</f>
        <v/>
      </c>
      <c r="J244">
        <f>'All Girls &amp; Descendants'!K243</f>
        <v>0</v>
      </c>
      <c r="K244" s="7">
        <f>'All Girls &amp; Descendants'!M243</f>
        <v>31134</v>
      </c>
      <c r="L244" t="str">
        <f>'All Girls &amp; Descendants'!N243</f>
        <v xml:space="preserve"> - </v>
      </c>
      <c r="M244" t="str">
        <f>'All Girls &amp; Descendants'!O243</f>
        <v/>
      </c>
      <c r="N244" t="str">
        <f>'All Girls &amp; Descendants'!P243</f>
        <v/>
      </c>
      <c r="O244" t="str">
        <f>'All Girls &amp; Descendants'!Q243</f>
        <v>103d</v>
      </c>
      <c r="P244" t="str">
        <f t="shared" si="66"/>
        <v>103da</v>
      </c>
      <c r="Q244" s="116">
        <f t="shared" si="67"/>
        <v>2</v>
      </c>
      <c r="R244" s="31" t="str">
        <f t="shared" si="68"/>
        <v>Sophie Mary  GORE-BROWNE</v>
      </c>
      <c r="S244" s="31" t="str">
        <f t="shared" si="69"/>
        <v>Sophie GORE-BROWNE (1985 -: #103da)</v>
      </c>
    </row>
    <row r="245" spans="1:19">
      <c r="A245">
        <f>'All Girls &amp; Descendants'!B244</f>
        <v>103</v>
      </c>
      <c r="B245" t="str">
        <f>'All Girls &amp; Descendants'!C244</f>
        <v>103db</v>
      </c>
      <c r="C245" t="str">
        <f>'All Girls &amp; Descendants'!D244</f>
        <v>GORE-BROWNE</v>
      </c>
      <c r="D245" t="str">
        <f>'All Girls &amp; Descendants'!E244</f>
        <v>Elizabeth</v>
      </c>
      <c r="E245" t="str">
        <f>IF('All Girls &amp; Descendants'!F244="","",'All Girls &amp; Descendants'!F244)</f>
        <v>Clare</v>
      </c>
      <c r="F245" t="str">
        <f>IF('All Girls &amp; Descendants'!G244="","",'All Girls &amp; Descendants'!G244)</f>
        <v/>
      </c>
      <c r="G245" t="str">
        <f>IF('All Girls &amp; Descendants'!H244="",D245,'All Girls &amp; Descendants'!H244)</f>
        <v>Elizabeth</v>
      </c>
      <c r="H245">
        <f>'All Girls &amp; Descendants'!I244</f>
        <v>1988</v>
      </c>
      <c r="I245" t="str">
        <f>'All Girls &amp; Descendants'!J244</f>
        <v/>
      </c>
      <c r="J245">
        <f>'All Girls &amp; Descendants'!K244</f>
        <v>0</v>
      </c>
      <c r="K245" s="7">
        <f>'All Girls &amp; Descendants'!M244</f>
        <v>32281</v>
      </c>
      <c r="L245" t="str">
        <f>'All Girls &amp; Descendants'!N244</f>
        <v xml:space="preserve"> - </v>
      </c>
      <c r="M245" t="str">
        <f>'All Girls &amp; Descendants'!O244</f>
        <v/>
      </c>
      <c r="N245" t="str">
        <f>'All Girls &amp; Descendants'!P244</f>
        <v/>
      </c>
      <c r="O245" t="str">
        <f>'All Girls &amp; Descendants'!Q244</f>
        <v>103d</v>
      </c>
      <c r="P245" t="str">
        <f t="shared" si="66"/>
        <v>103db</v>
      </c>
      <c r="Q245" s="116">
        <f t="shared" si="67"/>
        <v>2</v>
      </c>
      <c r="R245" s="31" t="str">
        <f t="shared" si="68"/>
        <v>Elizabeth Clare  GORE-BROWNE</v>
      </c>
      <c r="S245" s="31" t="str">
        <f t="shared" si="69"/>
        <v>Elizabeth GORE-BROWNE (1988 -: #103db)</v>
      </c>
    </row>
    <row r="246" spans="1:19">
      <c r="A246">
        <f>'All Girls &amp; Descendants'!B245</f>
        <v>103</v>
      </c>
      <c r="B246" t="str">
        <f>'All Girls &amp; Descendants'!C245</f>
        <v>103dc</v>
      </c>
      <c r="C246" t="str">
        <f>'All Girls &amp; Descendants'!D245</f>
        <v>GORE-BROWNE</v>
      </c>
      <c r="D246" t="str">
        <f>'All Girls &amp; Descendants'!E245</f>
        <v>Georgina</v>
      </c>
      <c r="E246" t="str">
        <f>IF('All Girls &amp; Descendants'!F245="","",'All Girls &amp; Descendants'!F245)</f>
        <v>Sarah</v>
      </c>
      <c r="F246" t="str">
        <f>IF('All Girls &amp; Descendants'!G245="","",'All Girls &amp; Descendants'!G245)</f>
        <v/>
      </c>
      <c r="G246" t="str">
        <f>IF('All Girls &amp; Descendants'!H245="",D246,'All Girls &amp; Descendants'!H245)</f>
        <v>Georgina</v>
      </c>
      <c r="H246">
        <f>'All Girls &amp; Descendants'!I245</f>
        <v>1992</v>
      </c>
      <c r="I246" t="str">
        <f>'All Girls &amp; Descendants'!J245</f>
        <v/>
      </c>
      <c r="J246">
        <f>'All Girls &amp; Descendants'!K245</f>
        <v>0</v>
      </c>
      <c r="K246" s="7">
        <f>'All Girls &amp; Descendants'!M245</f>
        <v>33677</v>
      </c>
      <c r="L246" t="str">
        <f>'All Girls &amp; Descendants'!N245</f>
        <v xml:space="preserve"> - </v>
      </c>
      <c r="M246" t="str">
        <f>'All Girls &amp; Descendants'!O245</f>
        <v/>
      </c>
      <c r="N246" t="str">
        <f>'All Girls &amp; Descendants'!P245</f>
        <v/>
      </c>
      <c r="O246" t="str">
        <f>'All Girls &amp; Descendants'!Q245</f>
        <v>103d</v>
      </c>
      <c r="P246" t="str">
        <f t="shared" si="66"/>
        <v>103dc</v>
      </c>
      <c r="Q246" s="116">
        <f t="shared" si="67"/>
        <v>2</v>
      </c>
      <c r="R246" s="31" t="str">
        <f t="shared" si="68"/>
        <v>Georgina Sarah  GORE-BROWNE</v>
      </c>
      <c r="S246" s="31" t="str">
        <f t="shared" si="69"/>
        <v>Georgina GORE-BROWNE (1992 -: #103dc)</v>
      </c>
    </row>
    <row r="247" spans="1:19">
      <c r="A247">
        <f>'All Girls &amp; Descendants'!B246</f>
        <v>106</v>
      </c>
      <c r="B247" t="str">
        <f>'All Girls &amp; Descendants'!C246</f>
        <v>106aa</v>
      </c>
      <c r="C247" t="str">
        <f>'All Girls &amp; Descendants'!D246</f>
        <v>BLACKETT</v>
      </c>
      <c r="D247" t="str">
        <f>'All Girls &amp; Descendants'!E246</f>
        <v>Helena</v>
      </c>
      <c r="E247" t="str">
        <f>IF('All Girls &amp; Descendants'!F246="","",'All Girls &amp; Descendants'!F246)</f>
        <v>Charlotte</v>
      </c>
      <c r="F247" t="str">
        <f>IF('All Girls &amp; Descendants'!G246="","",'All Girls &amp; Descendants'!G246)</f>
        <v>Rose</v>
      </c>
      <c r="G247" t="str">
        <f>IF('All Girls &amp; Descendants'!H246="",D247,'All Girls &amp; Descendants'!H246)</f>
        <v>Charlotte</v>
      </c>
      <c r="H247">
        <f>'All Girls &amp; Descendants'!I246</f>
        <v>1988</v>
      </c>
      <c r="I247" t="str">
        <f>'All Girls &amp; Descendants'!J246</f>
        <v/>
      </c>
      <c r="J247">
        <f>'All Girls &amp; Descendants'!K246</f>
        <v>0</v>
      </c>
      <c r="K247" s="7">
        <f>'All Girls &amp; Descendants'!M246</f>
        <v>32408</v>
      </c>
      <c r="L247" t="str">
        <f>'All Girls &amp; Descendants'!N246</f>
        <v xml:space="preserve"> - </v>
      </c>
      <c r="M247" t="str">
        <f>'All Girls &amp; Descendants'!O246</f>
        <v/>
      </c>
      <c r="N247" t="str">
        <f>'All Girls &amp; Descendants'!P246</f>
        <v/>
      </c>
      <c r="O247" t="str">
        <f>'All Girls &amp; Descendants'!Q246</f>
        <v>106a</v>
      </c>
      <c r="P247" t="str">
        <f t="shared" si="66"/>
        <v>106aa</v>
      </c>
      <c r="Q247" s="116">
        <f t="shared" si="67"/>
        <v>2</v>
      </c>
      <c r="R247" s="31" t="str">
        <f t="shared" si="68"/>
        <v>Helena Charlotte Rose BLACKETT</v>
      </c>
      <c r="S247" s="31" t="str">
        <f t="shared" si="69"/>
        <v>Charlotte BLACKETT (1988 -: #106aa)</v>
      </c>
    </row>
    <row r="248" spans="1:19">
      <c r="A248">
        <f>'All Girls &amp; Descendants'!B247</f>
        <v>106</v>
      </c>
      <c r="B248" t="str">
        <f>'All Girls &amp; Descendants'!C247</f>
        <v>106ab</v>
      </c>
      <c r="C248" t="str">
        <f>'All Girls &amp; Descendants'!D247</f>
        <v>BLACKETT</v>
      </c>
      <c r="D248" t="str">
        <f>'All Girls &amp; Descendants'!E247</f>
        <v>Camilla</v>
      </c>
      <c r="E248" t="str">
        <f>IF('All Girls &amp; Descendants'!F247="","",'All Girls &amp; Descendants'!F247)</f>
        <v>Harriet</v>
      </c>
      <c r="F248" t="str">
        <f>IF('All Girls &amp; Descendants'!G247="","",'All Girls &amp; Descendants'!G247)</f>
        <v>Eve</v>
      </c>
      <c r="G248" t="str">
        <f>IF('All Girls &amp; Descendants'!H247="",D248,'All Girls &amp; Descendants'!H247)</f>
        <v>Eve</v>
      </c>
      <c r="H248">
        <f>'All Girls &amp; Descendants'!I247</f>
        <v>1989</v>
      </c>
      <c r="I248" t="str">
        <f>'All Girls &amp; Descendants'!J247</f>
        <v/>
      </c>
      <c r="J248">
        <f>'All Girls &amp; Descendants'!K247</f>
        <v>0</v>
      </c>
      <c r="K248" s="7">
        <f>'All Girls &amp; Descendants'!M247</f>
        <v>32835</v>
      </c>
      <c r="L248" t="str">
        <f>'All Girls &amp; Descendants'!N247</f>
        <v xml:space="preserve"> - </v>
      </c>
      <c r="M248" t="str">
        <f>'All Girls &amp; Descendants'!O247</f>
        <v/>
      </c>
      <c r="N248" t="str">
        <f>'All Girls &amp; Descendants'!P247</f>
        <v/>
      </c>
      <c r="O248" t="str">
        <f>'All Girls &amp; Descendants'!Q247</f>
        <v>106a</v>
      </c>
      <c r="P248" t="str">
        <f t="shared" si="66"/>
        <v>106ab</v>
      </c>
      <c r="Q248" s="116">
        <f t="shared" si="67"/>
        <v>2</v>
      </c>
      <c r="R248" s="31" t="str">
        <f t="shared" si="68"/>
        <v>Camilla Harriet Eve BLACKETT</v>
      </c>
      <c r="S248" s="31" t="str">
        <f t="shared" si="69"/>
        <v>Eve BLACKETT (1989 -: #106ab)</v>
      </c>
    </row>
    <row r="249" spans="1:19">
      <c r="A249">
        <f>'All Girls &amp; Descendants'!B248</f>
        <v>106</v>
      </c>
      <c r="B249" t="str">
        <f>'All Girls &amp; Descendants'!C248</f>
        <v>106ac</v>
      </c>
      <c r="C249" t="str">
        <f>'All Girls &amp; Descendants'!D248</f>
        <v>BLACKETT</v>
      </c>
      <c r="D249" t="str">
        <f>'All Girls &amp; Descendants'!E248</f>
        <v>Letitia</v>
      </c>
      <c r="E249" t="str">
        <f>IF('All Girls &amp; Descendants'!F248="","",'All Girls &amp; Descendants'!F248)</f>
        <v>Sarah</v>
      </c>
      <c r="F249" t="str">
        <f>IF('All Girls &amp; Descendants'!G248="","",'All Girls &amp; Descendants'!G248)</f>
        <v>Alice</v>
      </c>
      <c r="G249" t="str">
        <f>IF('All Girls &amp; Descendants'!H248="",D249,'All Girls &amp; Descendants'!H248)</f>
        <v>Lettie</v>
      </c>
      <c r="H249">
        <f>'All Girls &amp; Descendants'!I248</f>
        <v>1991</v>
      </c>
      <c r="I249" t="str">
        <f>'All Girls &amp; Descendants'!J248</f>
        <v/>
      </c>
      <c r="J249">
        <f>'All Girls &amp; Descendants'!K248</f>
        <v>0</v>
      </c>
      <c r="K249" s="7">
        <f>'All Girls &amp; Descendants'!M248</f>
        <v>33456</v>
      </c>
      <c r="L249" t="str">
        <f>'All Girls &amp; Descendants'!N248</f>
        <v xml:space="preserve"> - </v>
      </c>
      <c r="M249" t="str">
        <f>'All Girls &amp; Descendants'!O248</f>
        <v/>
      </c>
      <c r="N249" t="str">
        <f>'All Girls &amp; Descendants'!P248</f>
        <v/>
      </c>
      <c r="O249" t="str">
        <f>'All Girls &amp; Descendants'!Q248</f>
        <v>106a</v>
      </c>
      <c r="P249" t="str">
        <f t="shared" si="66"/>
        <v>106ac</v>
      </c>
      <c r="Q249" s="116">
        <f t="shared" si="67"/>
        <v>2</v>
      </c>
      <c r="R249" s="31" t="str">
        <f t="shared" si="68"/>
        <v>Letitia Sarah Alice BLACKETT</v>
      </c>
      <c r="S249" s="31" t="str">
        <f t="shared" si="69"/>
        <v>Lettie BLACKETT (1991 -: #106ac)</v>
      </c>
    </row>
    <row r="250" spans="1:19">
      <c r="A250">
        <f>'All Girls &amp; Descendants'!B249</f>
        <v>106</v>
      </c>
      <c r="B250" t="str">
        <f>'All Girls &amp; Descendants'!C249</f>
        <v>106ad</v>
      </c>
      <c r="C250" t="str">
        <f>'All Girls &amp; Descendants'!D249</f>
        <v>BLACKETT</v>
      </c>
      <c r="D250" t="str">
        <f>'All Girls &amp; Descendants'!E249</f>
        <v>Annabel</v>
      </c>
      <c r="E250" t="str">
        <f>IF('All Girls &amp; Descendants'!F249="","",'All Girls &amp; Descendants'!F249)</f>
        <v>Victoria</v>
      </c>
      <c r="F250" t="str">
        <f>IF('All Girls &amp; Descendants'!G249="","",'All Girls &amp; Descendants'!G249)</f>
        <v>Louisa</v>
      </c>
      <c r="G250" t="str">
        <f>IF('All Girls &amp; Descendants'!H249="",D250,'All Girls &amp; Descendants'!H249)</f>
        <v>Annabel</v>
      </c>
      <c r="H250">
        <f>'All Girls &amp; Descendants'!I249</f>
        <v>1993</v>
      </c>
      <c r="I250" t="str">
        <f>'All Girls &amp; Descendants'!J249</f>
        <v/>
      </c>
      <c r="J250">
        <f>'All Girls &amp; Descendants'!K249</f>
        <v>0</v>
      </c>
      <c r="K250" s="7">
        <f>'All Girls &amp; Descendants'!M249</f>
        <v>34052</v>
      </c>
      <c r="L250" t="str">
        <f>'All Girls &amp; Descendants'!N249</f>
        <v xml:space="preserve"> - </v>
      </c>
      <c r="M250" t="str">
        <f>'All Girls &amp; Descendants'!O249</f>
        <v/>
      </c>
      <c r="N250" t="str">
        <f>'All Girls &amp; Descendants'!P249</f>
        <v/>
      </c>
      <c r="O250" t="str">
        <f>'All Girls &amp; Descendants'!Q249</f>
        <v>106a</v>
      </c>
      <c r="P250" t="str">
        <f t="shared" si="66"/>
        <v>106ad</v>
      </c>
      <c r="Q250" s="116">
        <f t="shared" si="67"/>
        <v>2</v>
      </c>
      <c r="R250" s="31" t="str">
        <f t="shared" si="68"/>
        <v>Annabel Victoria Louisa BLACKETT</v>
      </c>
      <c r="S250" s="31" t="str">
        <f t="shared" si="69"/>
        <v>Annabel BLACKETT (1993 -: #106ad)</v>
      </c>
    </row>
    <row r="251" spans="1:19">
      <c r="A251">
        <f>'All Girls &amp; Descendants'!B250</f>
        <v>106</v>
      </c>
      <c r="B251" t="str">
        <f>'All Girls &amp; Descendants'!C250</f>
        <v>106ba</v>
      </c>
      <c r="C251" t="str">
        <f>'All Girls &amp; Descendants'!D250</f>
        <v>WINN</v>
      </c>
      <c r="D251" t="str">
        <f>'All Girls &amp; Descendants'!E250</f>
        <v>The Hon Rowland</v>
      </c>
      <c r="E251" t="str">
        <f>IF('All Girls &amp; Descendants'!F250="","",'All Girls &amp; Descendants'!F250)</f>
        <v>Charles</v>
      </c>
      <c r="F251" t="str">
        <f>IF('All Girls &amp; Descendants'!G250="","",'All Girls &amp; Descendants'!G250)</f>
        <v>Sebastian Henry</v>
      </c>
      <c r="G251" t="str">
        <f>IF('All Girls &amp; Descendants'!H250="",D251,'All Girls &amp; Descendants'!H250)</f>
        <v>The Hon Rowland</v>
      </c>
      <c r="H251">
        <f>'All Girls &amp; Descendants'!I250</f>
        <v>1986</v>
      </c>
      <c r="I251" t="str">
        <f>'All Girls &amp; Descendants'!J250</f>
        <v/>
      </c>
      <c r="J251">
        <f>'All Girls &amp; Descendants'!K250</f>
        <v>0</v>
      </c>
      <c r="K251" s="7">
        <f>'All Girls &amp; Descendants'!M250</f>
        <v>31517</v>
      </c>
      <c r="L251" t="str">
        <f>'All Girls &amp; Descendants'!N250</f>
        <v xml:space="preserve"> - </v>
      </c>
      <c r="M251" t="str">
        <f>'All Girls &amp; Descendants'!O250</f>
        <v/>
      </c>
      <c r="N251" t="str">
        <f>'All Girls &amp; Descendants'!P250</f>
        <v/>
      </c>
      <c r="O251" t="str">
        <f>'All Girls &amp; Descendants'!Q250</f>
        <v>106b</v>
      </c>
      <c r="P251" t="str">
        <f t="shared" si="66"/>
        <v>106ba</v>
      </c>
      <c r="Q251" s="116">
        <f t="shared" si="67"/>
        <v>2</v>
      </c>
      <c r="R251" s="31" t="str">
        <f t="shared" si="68"/>
        <v>The Hon Rowland Charles Sebastian Henry WINN</v>
      </c>
      <c r="S251" s="31" t="str">
        <f t="shared" si="69"/>
        <v>The Hon Rowland WINN (1986 -: #106ba)</v>
      </c>
    </row>
    <row r="252" spans="1:19">
      <c r="A252">
        <f>'All Girls &amp; Descendants'!B251</f>
        <v>106</v>
      </c>
      <c r="B252" t="str">
        <f>'All Girls &amp; Descendants'!C251</f>
        <v>106bb</v>
      </c>
      <c r="C252" t="str">
        <f>'All Girls &amp; Descendants'!D251</f>
        <v>WINN</v>
      </c>
      <c r="D252" t="str">
        <f>'All Girls &amp; Descendants'!E251</f>
        <v>The Hon Henrietta</v>
      </c>
      <c r="E252" t="str">
        <f>IF('All Girls &amp; Descendants'!F251="","",'All Girls &amp; Descendants'!F251)</f>
        <v>Sophia</v>
      </c>
      <c r="F252" t="str">
        <f>IF('All Girls &amp; Descendants'!G251="","",'All Girls &amp; Descendants'!G251)</f>
        <v>Alexandra</v>
      </c>
      <c r="G252" t="str">
        <f>IF('All Girls &amp; Descendants'!H251="",D252,'All Girls &amp; Descendants'!H251)</f>
        <v>The Hon Henrietta</v>
      </c>
      <c r="H252">
        <f>'All Girls &amp; Descendants'!I251</f>
        <v>1993</v>
      </c>
      <c r="I252" t="str">
        <f>'All Girls &amp; Descendants'!J251</f>
        <v/>
      </c>
      <c r="J252">
        <f>'All Girls &amp; Descendants'!K251</f>
        <v>0</v>
      </c>
      <c r="K252" s="7">
        <f>'All Girls &amp; Descendants'!M251</f>
        <v>34081</v>
      </c>
      <c r="L252" t="str">
        <f>'All Girls &amp; Descendants'!N251</f>
        <v xml:space="preserve"> - </v>
      </c>
      <c r="M252" t="str">
        <f>'All Girls &amp; Descendants'!O251</f>
        <v/>
      </c>
      <c r="N252" t="str">
        <f>'All Girls &amp; Descendants'!P251</f>
        <v/>
      </c>
      <c r="O252" t="str">
        <f>'All Girls &amp; Descendants'!Q251</f>
        <v>106b</v>
      </c>
      <c r="P252" t="str">
        <f t="shared" si="66"/>
        <v>106bb</v>
      </c>
      <c r="Q252" s="116">
        <f t="shared" si="67"/>
        <v>2</v>
      </c>
      <c r="R252" s="31" t="str">
        <f t="shared" si="68"/>
        <v>The Hon Henrietta Sophia Alexandra WINN</v>
      </c>
      <c r="S252" s="31" t="str">
        <f t="shared" si="69"/>
        <v>The Hon Henrietta WINN (1993 -: #106bb)</v>
      </c>
    </row>
    <row r="253" spans="1:19">
      <c r="A253">
        <f>'All Girls &amp; Descendants'!B252</f>
        <v>107</v>
      </c>
      <c r="B253" t="str">
        <f>'All Girls &amp; Descendants'!C252</f>
        <v>107aa</v>
      </c>
      <c r="C253" t="str">
        <f>'All Girls &amp; Descendants'!D252</f>
        <v>RUSSELL</v>
      </c>
      <c r="D253" t="str">
        <f>'All Girls &amp; Descendants'!E252</f>
        <v>Edward</v>
      </c>
      <c r="E253" t="str">
        <f>IF('All Girls &amp; Descendants'!F252="","",'All Girls &amp; Descendants'!F252)</f>
        <v>Allen</v>
      </c>
      <c r="F253" t="str">
        <f>IF('All Girls &amp; Descendants'!G252="","",'All Girls &amp; Descendants'!G252)</f>
        <v/>
      </c>
      <c r="G253" t="str">
        <f>IF('All Girls &amp; Descendants'!H252="",D253,'All Girls &amp; Descendants'!H252)</f>
        <v>Edward</v>
      </c>
      <c r="H253">
        <f>'All Girls &amp; Descendants'!I252</f>
        <v>1976</v>
      </c>
      <c r="I253" t="str">
        <f>'All Girls &amp; Descendants'!J252</f>
        <v/>
      </c>
      <c r="J253">
        <f>'All Girls &amp; Descendants'!K252</f>
        <v>0</v>
      </c>
      <c r="K253" s="7">
        <f>'All Girls &amp; Descendants'!M252</f>
        <v>28012</v>
      </c>
      <c r="L253" t="str">
        <f>'All Girls &amp; Descendants'!N252</f>
        <v xml:space="preserve"> - </v>
      </c>
      <c r="M253" t="str">
        <f>'All Girls &amp; Descendants'!O252</f>
        <v/>
      </c>
      <c r="N253" t="str">
        <f>'All Girls &amp; Descendants'!P252</f>
        <v/>
      </c>
      <c r="O253" t="str">
        <f>'All Girls &amp; Descendants'!Q252</f>
        <v>107a</v>
      </c>
      <c r="P253" t="str">
        <f t="shared" si="66"/>
        <v>107aa</v>
      </c>
      <c r="Q253" s="116">
        <f t="shared" si="67"/>
        <v>2</v>
      </c>
      <c r="R253" s="31" t="str">
        <f t="shared" si="68"/>
        <v>Edward Allen  RUSSELL</v>
      </c>
      <c r="S253" s="31" t="str">
        <f t="shared" si="69"/>
        <v>Edward RUSSELL (1976 -: #107aa)</v>
      </c>
    </row>
    <row r="254" spans="1:19">
      <c r="A254">
        <f>'All Girls &amp; Descendants'!B253</f>
        <v>107</v>
      </c>
      <c r="B254" t="str">
        <f>'All Girls &amp; Descendants'!C253</f>
        <v>107ab</v>
      </c>
      <c r="C254" t="str">
        <f>'All Girls &amp; Descendants'!D253</f>
        <v>AMY</v>
      </c>
      <c r="D254" t="str">
        <f>'All Girls &amp; Descendants'!E253</f>
        <v>Mathew</v>
      </c>
      <c r="E254" t="str">
        <f>IF('All Girls &amp; Descendants'!F253="","",'All Girls &amp; Descendants'!F253)</f>
        <v>Howard</v>
      </c>
      <c r="F254" t="str">
        <f>IF('All Girls &amp; Descendants'!G253="","",'All Girls &amp; Descendants'!G253)</f>
        <v/>
      </c>
      <c r="G254" t="str">
        <f>IF('All Girls &amp; Descendants'!H253="",D254,'All Girls &amp; Descendants'!H253)</f>
        <v>Mathew</v>
      </c>
      <c r="H254">
        <f>'All Girls &amp; Descendants'!I253</f>
        <v>1981</v>
      </c>
      <c r="I254" t="str">
        <f>'All Girls &amp; Descendants'!J253</f>
        <v/>
      </c>
      <c r="J254">
        <f>'All Girls &amp; Descendants'!K253</f>
        <v>0</v>
      </c>
      <c r="K254" s="7">
        <f>'All Girls &amp; Descendants'!M253</f>
        <v>29743</v>
      </c>
      <c r="L254" t="str">
        <f>'All Girls &amp; Descendants'!N253</f>
        <v xml:space="preserve"> - </v>
      </c>
      <c r="M254" t="str">
        <f>'All Girls &amp; Descendants'!O253</f>
        <v/>
      </c>
      <c r="N254" t="str">
        <f>'All Girls &amp; Descendants'!P253</f>
        <v/>
      </c>
      <c r="O254" t="str">
        <f>'All Girls &amp; Descendants'!Q253</f>
        <v>107a</v>
      </c>
      <c r="P254" t="str">
        <f t="shared" si="66"/>
        <v>107ab</v>
      </c>
      <c r="Q254" s="116">
        <f t="shared" si="67"/>
        <v>2</v>
      </c>
      <c r="R254" s="31" t="str">
        <f t="shared" si="68"/>
        <v>Mathew Howard  AMY</v>
      </c>
      <c r="S254" s="31" t="str">
        <f t="shared" si="69"/>
        <v>Mathew AMY (1981 -: #107ab)</v>
      </c>
    </row>
    <row r="255" spans="1:19">
      <c r="A255">
        <f>'All Girls &amp; Descendants'!B254</f>
        <v>107</v>
      </c>
      <c r="B255" t="str">
        <f>'All Girls &amp; Descendants'!C254</f>
        <v>107ac</v>
      </c>
      <c r="C255" t="str">
        <f>'All Girls &amp; Descendants'!D254</f>
        <v>AMY</v>
      </c>
      <c r="D255" t="str">
        <f>'All Girls &amp; Descendants'!E254</f>
        <v>Michael</v>
      </c>
      <c r="E255" t="str">
        <f>IF('All Girls &amp; Descendants'!F254="","",'All Girls &amp; Descendants'!F254)</f>
        <v>William</v>
      </c>
      <c r="F255" t="str">
        <f>IF('All Girls &amp; Descendants'!G254="","",'All Girls &amp; Descendants'!G254)</f>
        <v/>
      </c>
      <c r="G255" t="str">
        <f>IF('All Girls &amp; Descendants'!H254="",D255,'All Girls &amp; Descendants'!H254)</f>
        <v>Michael</v>
      </c>
      <c r="H255">
        <f>'All Girls &amp; Descendants'!I254</f>
        <v>1981</v>
      </c>
      <c r="I255" t="str">
        <f>'All Girls &amp; Descendants'!J254</f>
        <v/>
      </c>
      <c r="J255">
        <f>'All Girls &amp; Descendants'!K254</f>
        <v>0</v>
      </c>
      <c r="K255" s="7">
        <f>'All Girls &amp; Descendants'!M254</f>
        <v>29743</v>
      </c>
      <c r="L255" t="str">
        <f>'All Girls &amp; Descendants'!N254</f>
        <v xml:space="preserve"> - </v>
      </c>
      <c r="M255" t="str">
        <f>'All Girls &amp; Descendants'!O254</f>
        <v/>
      </c>
      <c r="N255" t="str">
        <f>'All Girls &amp; Descendants'!P254</f>
        <v/>
      </c>
      <c r="O255" t="str">
        <f>'All Girls &amp; Descendants'!Q254</f>
        <v>107a</v>
      </c>
      <c r="P255" t="str">
        <f t="shared" si="66"/>
        <v>107ac</v>
      </c>
      <c r="Q255" s="116">
        <f t="shared" si="67"/>
        <v>2</v>
      </c>
      <c r="R255" s="31" t="str">
        <f t="shared" si="68"/>
        <v>Michael William  AMY</v>
      </c>
      <c r="S255" s="31" t="str">
        <f t="shared" si="69"/>
        <v>Michael AMY (1981 -: #107ac)</v>
      </c>
    </row>
    <row r="256" spans="1:19">
      <c r="A256">
        <f>'All Girls &amp; Descendants'!B255</f>
        <v>107</v>
      </c>
      <c r="B256" t="str">
        <f>'All Girls &amp; Descendants'!C255</f>
        <v>107ad</v>
      </c>
      <c r="C256" t="str">
        <f>'All Girls &amp; Descendants'!D255</f>
        <v>AMY</v>
      </c>
      <c r="D256" t="str">
        <f>'All Girls &amp; Descendants'!E255</f>
        <v>Jonathon</v>
      </c>
      <c r="E256" t="str">
        <f>IF('All Girls &amp; Descendants'!F255="","",'All Girls &amp; Descendants'!F255)</f>
        <v>Glen</v>
      </c>
      <c r="F256" t="str">
        <f>IF('All Girls &amp; Descendants'!G255="","",'All Girls &amp; Descendants'!G255)</f>
        <v/>
      </c>
      <c r="G256" t="str">
        <f>IF('All Girls &amp; Descendants'!H255="",D256,'All Girls &amp; Descendants'!H255)</f>
        <v>Jonathon</v>
      </c>
      <c r="H256">
        <f>'All Girls &amp; Descendants'!I255</f>
        <v>1983</v>
      </c>
      <c r="I256" t="str">
        <f>'All Girls &amp; Descendants'!J255</f>
        <v/>
      </c>
      <c r="J256">
        <f>'All Girls &amp; Descendants'!K255</f>
        <v>0</v>
      </c>
      <c r="K256" s="7">
        <f>'All Girls &amp; Descendants'!M255</f>
        <v>30528</v>
      </c>
      <c r="L256" t="str">
        <f>'All Girls &amp; Descendants'!N255</f>
        <v xml:space="preserve"> - </v>
      </c>
      <c r="M256" t="str">
        <f>'All Girls &amp; Descendants'!O255</f>
        <v/>
      </c>
      <c r="N256" t="str">
        <f>'All Girls &amp; Descendants'!P255</f>
        <v/>
      </c>
      <c r="O256" t="str">
        <f>'All Girls &amp; Descendants'!Q255</f>
        <v>107a</v>
      </c>
      <c r="P256" t="str">
        <f t="shared" si="66"/>
        <v>107ad</v>
      </c>
      <c r="Q256" s="116">
        <f t="shared" si="67"/>
        <v>2</v>
      </c>
      <c r="R256" s="31" t="str">
        <f t="shared" si="68"/>
        <v>Jonathon Glen  AMY</v>
      </c>
      <c r="S256" s="31" t="str">
        <f t="shared" si="69"/>
        <v>Jonathon AMY (1983 -: #107ad)</v>
      </c>
    </row>
    <row r="257" spans="1:19">
      <c r="A257">
        <f>'All Girls &amp; Descendants'!B256</f>
        <v>107</v>
      </c>
      <c r="B257" t="str">
        <f>'All Girls &amp; Descendants'!C256</f>
        <v>107ba</v>
      </c>
      <c r="C257" t="str">
        <f>'All Girls &amp; Descendants'!D256</f>
        <v>THOMPSON</v>
      </c>
      <c r="D257" t="str">
        <f>'All Girls &amp; Descendants'!E256</f>
        <v>Christopher</v>
      </c>
      <c r="E257" t="str">
        <f>IF('All Girls &amp; Descendants'!F256="","",'All Girls &amp; Descendants'!F256)</f>
        <v>Allen</v>
      </c>
      <c r="F257" t="str">
        <f>IF('All Girls &amp; Descendants'!G256="","",'All Girls &amp; Descendants'!G256)</f>
        <v/>
      </c>
      <c r="G257" t="str">
        <f>IF('All Girls &amp; Descendants'!H256="",D257,'All Girls &amp; Descendants'!H256)</f>
        <v>Christopher</v>
      </c>
      <c r="H257">
        <f>'All Girls &amp; Descendants'!I256</f>
        <v>1973</v>
      </c>
      <c r="I257" t="str">
        <f>'All Girls &amp; Descendants'!J256</f>
        <v/>
      </c>
      <c r="J257">
        <f>'All Girls &amp; Descendants'!K256</f>
        <v>0</v>
      </c>
      <c r="K257" s="7">
        <f>'All Girls &amp; Descendants'!M256</f>
        <v>26951</v>
      </c>
      <c r="L257" t="str">
        <f>'All Girls &amp; Descendants'!N256</f>
        <v xml:space="preserve"> - </v>
      </c>
      <c r="M257" t="str">
        <f>'All Girls &amp; Descendants'!O256</f>
        <v/>
      </c>
      <c r="N257" t="str">
        <f>'All Girls &amp; Descendants'!P256</f>
        <v/>
      </c>
      <c r="O257" t="str">
        <f>'All Girls &amp; Descendants'!Q256</f>
        <v>107b</v>
      </c>
      <c r="P257" t="str">
        <f t="shared" si="66"/>
        <v>107ba</v>
      </c>
      <c r="Q257" s="116">
        <f t="shared" si="67"/>
        <v>2</v>
      </c>
      <c r="R257" s="31" t="str">
        <f t="shared" si="68"/>
        <v>Christopher Allen  THOMPSON</v>
      </c>
      <c r="S257" s="31" t="str">
        <f t="shared" si="69"/>
        <v>Christopher THOMPSON (1973 -: #107ba)</v>
      </c>
    </row>
    <row r="258" spans="1:19">
      <c r="A258">
        <f>'All Girls &amp; Descendants'!B257</f>
        <v>107</v>
      </c>
      <c r="B258" t="str">
        <f>'All Girls &amp; Descendants'!C257</f>
        <v>107bb</v>
      </c>
      <c r="C258" t="str">
        <f>'All Girls &amp; Descendants'!D257</f>
        <v>THOMPSON</v>
      </c>
      <c r="D258" t="str">
        <f>'All Girls &amp; Descendants'!E257</f>
        <v>George</v>
      </c>
      <c r="E258" t="str">
        <f>IF('All Girls &amp; Descendants'!F257="","",'All Girls &amp; Descendants'!F257)</f>
        <v>William</v>
      </c>
      <c r="F258" t="str">
        <f>IF('All Girls &amp; Descendants'!G257="","",'All Girls &amp; Descendants'!G257)</f>
        <v/>
      </c>
      <c r="G258" t="str">
        <f>IF('All Girls &amp; Descendants'!H257="",D258,'All Girls &amp; Descendants'!H257)</f>
        <v>George</v>
      </c>
      <c r="H258">
        <f>'All Girls &amp; Descendants'!I257</f>
        <v>1976</v>
      </c>
      <c r="I258" t="str">
        <f>'All Girls &amp; Descendants'!J257</f>
        <v/>
      </c>
      <c r="J258">
        <f>'All Girls &amp; Descendants'!K257</f>
        <v>0</v>
      </c>
      <c r="K258" s="7">
        <f>'All Girls &amp; Descendants'!M257</f>
        <v>28029</v>
      </c>
      <c r="L258" t="str">
        <f>'All Girls &amp; Descendants'!N257</f>
        <v xml:space="preserve"> - </v>
      </c>
      <c r="M258" t="str">
        <f>'All Girls &amp; Descendants'!O257</f>
        <v/>
      </c>
      <c r="N258" t="str">
        <f>'All Girls &amp; Descendants'!P257</f>
        <v/>
      </c>
      <c r="O258" t="str">
        <f>'All Girls &amp; Descendants'!Q257</f>
        <v>107b</v>
      </c>
      <c r="P258" t="str">
        <f t="shared" si="66"/>
        <v>107bb</v>
      </c>
      <c r="Q258" s="116">
        <f t="shared" si="67"/>
        <v>2</v>
      </c>
      <c r="R258" s="31" t="str">
        <f t="shared" si="68"/>
        <v>George William  THOMPSON</v>
      </c>
      <c r="S258" s="31" t="str">
        <f t="shared" si="69"/>
        <v>George THOMPSON (1976 -: #107bb)</v>
      </c>
    </row>
    <row r="259" spans="1:19">
      <c r="A259">
        <f>'All Girls &amp; Descendants'!B258</f>
        <v>107</v>
      </c>
      <c r="B259" t="str">
        <f>'All Girls &amp; Descendants'!C258</f>
        <v>107bc</v>
      </c>
      <c r="C259" t="str">
        <f>'All Girls &amp; Descendants'!D258</f>
        <v>THOMPSON</v>
      </c>
      <c r="D259" t="str">
        <f>'All Girls &amp; Descendants'!E258</f>
        <v>Jeremy</v>
      </c>
      <c r="E259" t="str">
        <f>IF('All Girls &amp; Descendants'!F258="","",'All Girls &amp; Descendants'!F258)</f>
        <v>James</v>
      </c>
      <c r="F259" t="str">
        <f>IF('All Girls &amp; Descendants'!G258="","",'All Girls &amp; Descendants'!G258)</f>
        <v/>
      </c>
      <c r="G259" t="str">
        <f>IF('All Girls &amp; Descendants'!H258="",D259,'All Girls &amp; Descendants'!H258)</f>
        <v>Jeremy</v>
      </c>
      <c r="H259">
        <f>'All Girls &amp; Descendants'!I258</f>
        <v>1979</v>
      </c>
      <c r="I259" t="str">
        <f>'All Girls &amp; Descendants'!J258</f>
        <v/>
      </c>
      <c r="J259">
        <f>'All Girls &amp; Descendants'!K258</f>
        <v>0</v>
      </c>
      <c r="K259" s="7">
        <f>'All Girls &amp; Descendants'!M258</f>
        <v>28963</v>
      </c>
      <c r="L259" t="str">
        <f>'All Girls &amp; Descendants'!N258</f>
        <v xml:space="preserve"> - </v>
      </c>
      <c r="M259" t="str">
        <f>'All Girls &amp; Descendants'!O258</f>
        <v/>
      </c>
      <c r="N259" t="str">
        <f>'All Girls &amp; Descendants'!P258</f>
        <v/>
      </c>
      <c r="O259" t="str">
        <f>'All Girls &amp; Descendants'!Q258</f>
        <v>107b</v>
      </c>
      <c r="P259" t="str">
        <f t="shared" si="66"/>
        <v>107bc</v>
      </c>
      <c r="Q259" s="116">
        <f t="shared" si="67"/>
        <v>2</v>
      </c>
      <c r="R259" s="31" t="str">
        <f t="shared" si="68"/>
        <v>Jeremy James  THOMPSON</v>
      </c>
      <c r="S259" s="31" t="str">
        <f t="shared" si="69"/>
        <v>Jeremy THOMPSON (1979 -: #107bc)</v>
      </c>
    </row>
    <row r="260" spans="1:19">
      <c r="A260">
        <f>'All Girls &amp; Descendants'!B259</f>
        <v>107</v>
      </c>
      <c r="B260" t="str">
        <f>'All Girls &amp; Descendants'!C259</f>
        <v>107ca</v>
      </c>
      <c r="C260" t="str">
        <f>'All Girls &amp; Descendants'!D259</f>
        <v>ORR</v>
      </c>
      <c r="D260" t="str">
        <f>'All Girls &amp; Descendants'!E259</f>
        <v>Charitie</v>
      </c>
      <c r="E260" t="str">
        <f>IF('All Girls &amp; Descendants'!F259="","",'All Girls &amp; Descendants'!F259)</f>
        <v>Lee</v>
      </c>
      <c r="F260" t="str">
        <f>IF('All Girls &amp; Descendants'!G259="","",'All Girls &amp; Descendants'!G259)</f>
        <v/>
      </c>
      <c r="G260" t="str">
        <f>IF('All Girls &amp; Descendants'!H259="",D260,'All Girls &amp; Descendants'!H259)</f>
        <v>Charitie</v>
      </c>
      <c r="H260">
        <f>'All Girls &amp; Descendants'!I259</f>
        <v>1978</v>
      </c>
      <c r="I260" t="str">
        <f>'All Girls &amp; Descendants'!J259</f>
        <v/>
      </c>
      <c r="J260">
        <f>'All Girls &amp; Descendants'!K259</f>
        <v>0</v>
      </c>
      <c r="K260" s="7">
        <f>'All Girls &amp; Descendants'!M259</f>
        <v>28695</v>
      </c>
      <c r="L260" t="str">
        <f>'All Girls &amp; Descendants'!N259</f>
        <v xml:space="preserve"> - </v>
      </c>
      <c r="M260" t="str">
        <f>'All Girls &amp; Descendants'!O259</f>
        <v/>
      </c>
      <c r="N260" t="str">
        <f>'All Girls &amp; Descendants'!P259</f>
        <v/>
      </c>
      <c r="O260" t="str">
        <f>'All Girls &amp; Descendants'!Q259</f>
        <v>107c</v>
      </c>
      <c r="P260" t="str">
        <f t="shared" si="66"/>
        <v>107ca</v>
      </c>
      <c r="Q260" s="116">
        <f t="shared" si="67"/>
        <v>2</v>
      </c>
      <c r="R260" s="31" t="str">
        <f t="shared" si="68"/>
        <v>Charitie Lee  ORR</v>
      </c>
      <c r="S260" s="31" t="str">
        <f t="shared" si="69"/>
        <v>Charitie ORR (1978 -: #107ca)</v>
      </c>
    </row>
    <row r="261" spans="1:19">
      <c r="A261">
        <f>'All Girls &amp; Descendants'!B260</f>
        <v>107</v>
      </c>
      <c r="B261" t="str">
        <f>'All Girls &amp; Descendants'!C260</f>
        <v>107cb</v>
      </c>
      <c r="C261" t="str">
        <f>'All Girls &amp; Descendants'!D260</f>
        <v>ORR</v>
      </c>
      <c r="D261" t="str">
        <f>'All Girls &amp; Descendants'!E260</f>
        <v>Audrey</v>
      </c>
      <c r="E261" t="str">
        <f>IF('All Girls &amp; Descendants'!F260="","",'All Girls &amp; Descendants'!F260)</f>
        <v>Dawn</v>
      </c>
      <c r="F261" t="str">
        <f>IF('All Girls &amp; Descendants'!G260="","",'All Girls &amp; Descendants'!G260)</f>
        <v/>
      </c>
      <c r="G261" t="str">
        <f>IF('All Girls &amp; Descendants'!H260="",D261,'All Girls &amp; Descendants'!H260)</f>
        <v>Audrey</v>
      </c>
      <c r="H261">
        <f>'All Girls &amp; Descendants'!I260</f>
        <v>1980</v>
      </c>
      <c r="I261" t="str">
        <f>'All Girls &amp; Descendants'!J260</f>
        <v/>
      </c>
      <c r="J261">
        <f>'All Girls &amp; Descendants'!K260</f>
        <v>0</v>
      </c>
      <c r="K261" s="7">
        <f>'All Girls &amp; Descendants'!M260</f>
        <v>29414</v>
      </c>
      <c r="L261" t="str">
        <f>'All Girls &amp; Descendants'!N260</f>
        <v xml:space="preserve"> - </v>
      </c>
      <c r="M261" t="str">
        <f>'All Girls &amp; Descendants'!O260</f>
        <v/>
      </c>
      <c r="N261" t="str">
        <f>'All Girls &amp; Descendants'!P260</f>
        <v/>
      </c>
      <c r="O261" t="str">
        <f>'All Girls &amp; Descendants'!Q260</f>
        <v>107c</v>
      </c>
      <c r="P261" t="str">
        <f t="shared" si="66"/>
        <v>107cb</v>
      </c>
      <c r="Q261" s="116">
        <f t="shared" si="67"/>
        <v>2</v>
      </c>
      <c r="R261" s="31" t="str">
        <f t="shared" si="68"/>
        <v>Audrey Dawn  ORR</v>
      </c>
      <c r="S261" s="31" t="str">
        <f t="shared" si="69"/>
        <v>Audrey ORR (1980 -: #107cb)</v>
      </c>
    </row>
    <row r="262" spans="1:19">
      <c r="A262">
        <f>'All Girls &amp; Descendants'!B261</f>
        <v>107</v>
      </c>
      <c r="B262" t="str">
        <f>'All Girls &amp; Descendants'!C261</f>
        <v>107cc</v>
      </c>
      <c r="C262" t="str">
        <f>'All Girls &amp; Descendants'!D261</f>
        <v>ORR</v>
      </c>
      <c r="D262" t="str">
        <f>'All Girls &amp; Descendants'!E261</f>
        <v>Michael</v>
      </c>
      <c r="E262" t="str">
        <f>IF('All Girls &amp; Descendants'!F261="","",'All Girls &amp; Descendants'!F261)</f>
        <v>Travis</v>
      </c>
      <c r="F262" t="str">
        <f>IF('All Girls &amp; Descendants'!G261="","",'All Girls &amp; Descendants'!G261)</f>
        <v>Kirkman</v>
      </c>
      <c r="G262" t="str">
        <f>IF('All Girls &amp; Descendants'!H261="",D262,'All Girls &amp; Descendants'!H261)</f>
        <v>Michael</v>
      </c>
      <c r="H262">
        <f>'All Girls &amp; Descendants'!I261</f>
        <v>1984</v>
      </c>
      <c r="I262" t="str">
        <f>'All Girls &amp; Descendants'!J261</f>
        <v/>
      </c>
      <c r="J262">
        <f>'All Girls &amp; Descendants'!K261</f>
        <v>0</v>
      </c>
      <c r="K262" s="7">
        <f>'All Girls &amp; Descendants'!M261</f>
        <v>30784</v>
      </c>
      <c r="L262" t="str">
        <f>'All Girls &amp; Descendants'!N261</f>
        <v xml:space="preserve"> - </v>
      </c>
      <c r="M262" t="str">
        <f>'All Girls &amp; Descendants'!O261</f>
        <v/>
      </c>
      <c r="N262" t="str">
        <f>'All Girls &amp; Descendants'!P261</f>
        <v/>
      </c>
      <c r="O262" t="str">
        <f>'All Girls &amp; Descendants'!Q261</f>
        <v>107c</v>
      </c>
      <c r="P262" t="str">
        <f t="shared" si="66"/>
        <v>107cc</v>
      </c>
      <c r="Q262" s="116">
        <f t="shared" si="67"/>
        <v>2</v>
      </c>
      <c r="R262" s="31" t="str">
        <f t="shared" si="68"/>
        <v>Michael Travis Kirkman ORR</v>
      </c>
      <c r="S262" s="31" t="str">
        <f t="shared" si="69"/>
        <v>Michael ORR (1984 -: #107cc)</v>
      </c>
    </row>
    <row r="263" spans="1:19">
      <c r="A263">
        <f>'All Girls &amp; Descendants'!B262</f>
        <v>107</v>
      </c>
      <c r="B263" t="str">
        <f>'All Girls &amp; Descendants'!C262</f>
        <v>107cd</v>
      </c>
      <c r="C263" t="str">
        <f>'All Girls &amp; Descendants'!D262</f>
        <v>ORR</v>
      </c>
      <c r="D263" t="str">
        <f>'All Girls &amp; Descendants'!E262</f>
        <v>Seth</v>
      </c>
      <c r="E263" t="str">
        <f>IF('All Girls &amp; Descendants'!F262="","",'All Girls &amp; Descendants'!F262)</f>
        <v>Edward</v>
      </c>
      <c r="F263" t="str">
        <f>IF('All Girls &amp; Descendants'!G262="","",'All Girls &amp; Descendants'!G262)</f>
        <v/>
      </c>
      <c r="G263" t="str">
        <f>IF('All Girls &amp; Descendants'!H262="",D263,'All Girls &amp; Descendants'!H262)</f>
        <v>Seth</v>
      </c>
      <c r="H263">
        <f>'All Girls &amp; Descendants'!I262</f>
        <v>1986</v>
      </c>
      <c r="I263" t="str">
        <f>'All Girls &amp; Descendants'!J262</f>
        <v/>
      </c>
      <c r="J263">
        <f>'All Girls &amp; Descendants'!K262</f>
        <v>0</v>
      </c>
      <c r="K263" s="7">
        <f>'All Girls &amp; Descendants'!M262</f>
        <v>31711</v>
      </c>
      <c r="L263" t="str">
        <f>'All Girls &amp; Descendants'!N262</f>
        <v xml:space="preserve"> - </v>
      </c>
      <c r="M263" t="str">
        <f>'All Girls &amp; Descendants'!O262</f>
        <v/>
      </c>
      <c r="N263" t="str">
        <f>'All Girls &amp; Descendants'!P262</f>
        <v/>
      </c>
      <c r="O263" t="str">
        <f>'All Girls &amp; Descendants'!Q262</f>
        <v>107c</v>
      </c>
      <c r="P263" t="str">
        <f t="shared" si="66"/>
        <v>107cd</v>
      </c>
      <c r="Q263" s="116">
        <f t="shared" si="67"/>
        <v>2</v>
      </c>
      <c r="R263" s="31" t="str">
        <f t="shared" si="68"/>
        <v>Seth Edward  ORR</v>
      </c>
      <c r="S263" s="31" t="str">
        <f t="shared" si="69"/>
        <v>Seth ORR (1986 -: #107cd)</v>
      </c>
    </row>
    <row r="264" spans="1:19">
      <c r="A264">
        <f>'All Girls &amp; Descendants'!B263</f>
        <v>107</v>
      </c>
      <c r="B264" t="str">
        <f>'All Girls &amp; Descendants'!C263</f>
        <v>107da</v>
      </c>
      <c r="C264" t="str">
        <f>'All Girls &amp; Descendants'!D263</f>
        <v>ORR</v>
      </c>
      <c r="D264" t="str">
        <f>'All Girls &amp; Descendants'!E263</f>
        <v>Brandy</v>
      </c>
      <c r="E264" t="str">
        <f>IF('All Girls &amp; Descendants'!F263="","",'All Girls &amp; Descendants'!F263)</f>
        <v>Marie</v>
      </c>
      <c r="F264" t="str">
        <f>IF('All Girls &amp; Descendants'!G263="","",'All Girls &amp; Descendants'!G263)</f>
        <v/>
      </c>
      <c r="G264" t="str">
        <f>IF('All Girls &amp; Descendants'!H263="",D264,'All Girls &amp; Descendants'!H263)</f>
        <v>Brandy</v>
      </c>
      <c r="H264">
        <f>'All Girls &amp; Descendants'!I263</f>
        <v>1979</v>
      </c>
      <c r="I264" t="str">
        <f>'All Girls &amp; Descendants'!J263</f>
        <v/>
      </c>
      <c r="J264">
        <f>'All Girls &amp; Descendants'!K263</f>
        <v>0</v>
      </c>
      <c r="K264" s="7">
        <f>'All Girls &amp; Descendants'!M263</f>
        <v>28927</v>
      </c>
      <c r="L264" t="str">
        <f>'All Girls &amp; Descendants'!N263</f>
        <v xml:space="preserve"> - </v>
      </c>
      <c r="M264" t="str">
        <f>'All Girls &amp; Descendants'!O263</f>
        <v/>
      </c>
      <c r="N264" t="str">
        <f>'All Girls &amp; Descendants'!P263</f>
        <v/>
      </c>
      <c r="O264" t="str">
        <f>'All Girls &amp; Descendants'!Q263</f>
        <v>107d</v>
      </c>
      <c r="P264" t="str">
        <f t="shared" si="66"/>
        <v>107da</v>
      </c>
      <c r="Q264" s="116">
        <f t="shared" si="67"/>
        <v>2</v>
      </c>
      <c r="R264" s="31" t="str">
        <f t="shared" si="68"/>
        <v>Brandy Marie  ORR</v>
      </c>
      <c r="S264" s="31" t="str">
        <f t="shared" si="69"/>
        <v>Brandy ORR (1979 -: #107da)</v>
      </c>
    </row>
    <row r="265" spans="1:19">
      <c r="A265">
        <f>'All Girls &amp; Descendants'!B264</f>
        <v>107</v>
      </c>
      <c r="B265" t="str">
        <f>'All Girls &amp; Descendants'!C264</f>
        <v>107db</v>
      </c>
      <c r="C265" t="str">
        <f>'All Girls &amp; Descendants'!D264</f>
        <v>ORR</v>
      </c>
      <c r="D265" t="str">
        <f>'All Girls &amp; Descendants'!E264</f>
        <v>Timothy</v>
      </c>
      <c r="E265" t="str">
        <f>IF('All Girls &amp; Descendants'!F264="","",'All Girls &amp; Descendants'!F264)</f>
        <v>James</v>
      </c>
      <c r="F265" t="str">
        <f>IF('All Girls &amp; Descendants'!G264="","",'All Girls &amp; Descendants'!G264)</f>
        <v/>
      </c>
      <c r="G265" t="str">
        <f>IF('All Girls &amp; Descendants'!H264="",D265,'All Girls &amp; Descendants'!H264)</f>
        <v>Timothy</v>
      </c>
      <c r="H265">
        <f>'All Girls &amp; Descendants'!I264</f>
        <v>1980</v>
      </c>
      <c r="I265" t="str">
        <f>'All Girls &amp; Descendants'!J264</f>
        <v/>
      </c>
      <c r="J265">
        <f>'All Girls &amp; Descendants'!K264</f>
        <v>0</v>
      </c>
      <c r="K265" s="7">
        <f>'All Girls &amp; Descendants'!M264</f>
        <v>29367</v>
      </c>
      <c r="L265" t="str">
        <f>'All Girls &amp; Descendants'!N264</f>
        <v xml:space="preserve"> - </v>
      </c>
      <c r="M265" t="str">
        <f>'All Girls &amp; Descendants'!O264</f>
        <v/>
      </c>
      <c r="N265" t="str">
        <f>'All Girls &amp; Descendants'!P264</f>
        <v/>
      </c>
      <c r="O265" t="str">
        <f>'All Girls &amp; Descendants'!Q264</f>
        <v>107d</v>
      </c>
      <c r="P265" t="str">
        <f t="shared" si="66"/>
        <v>107db</v>
      </c>
      <c r="Q265" s="116">
        <f t="shared" si="67"/>
        <v>2</v>
      </c>
      <c r="R265" s="31" t="str">
        <f t="shared" si="68"/>
        <v>Timothy James  ORR</v>
      </c>
      <c r="S265" s="31" t="str">
        <f t="shared" si="69"/>
        <v>Timothy ORR (1980 -: #107db)</v>
      </c>
    </row>
    <row r="266" spans="1:19">
      <c r="A266">
        <f>'All Girls &amp; Descendants'!B265</f>
        <v>108</v>
      </c>
      <c r="B266" t="str">
        <f>'All Girls &amp; Descendants'!C265</f>
        <v>108aa</v>
      </c>
      <c r="C266" t="str">
        <f>'All Girls &amp; Descendants'!D265</f>
        <v>CARTER</v>
      </c>
      <c r="D266" t="str">
        <f>'All Girls &amp; Descendants'!E265</f>
        <v>Daniel</v>
      </c>
      <c r="E266" t="str">
        <f>IF('All Girls &amp; Descendants'!F265="","",'All Girls &amp; Descendants'!F265)</f>
        <v>John</v>
      </c>
      <c r="F266" t="str">
        <f>IF('All Girls &amp; Descendants'!G265="","",'All Girls &amp; Descendants'!G265)</f>
        <v/>
      </c>
      <c r="G266" t="str">
        <f>IF('All Girls &amp; Descendants'!H265="",D266,'All Girls &amp; Descendants'!H265)</f>
        <v>Daniel</v>
      </c>
      <c r="H266">
        <f>'All Girls &amp; Descendants'!I265</f>
        <v>1976</v>
      </c>
      <c r="I266" t="str">
        <f>'All Girls &amp; Descendants'!J265</f>
        <v/>
      </c>
      <c r="J266">
        <f>'All Girls &amp; Descendants'!K265</f>
        <v>0</v>
      </c>
      <c r="K266" s="7">
        <f>'All Girls &amp; Descendants'!M265</f>
        <v>28025</v>
      </c>
      <c r="L266" t="str">
        <f>'All Girls &amp; Descendants'!N265</f>
        <v xml:space="preserve"> - </v>
      </c>
      <c r="M266" t="str">
        <f>'All Girls &amp; Descendants'!O265</f>
        <v/>
      </c>
      <c r="N266" t="str">
        <f>'All Girls &amp; Descendants'!P265</f>
        <v/>
      </c>
      <c r="O266" t="str">
        <f>'All Girls &amp; Descendants'!Q265</f>
        <v>108a</v>
      </c>
      <c r="P266" t="str">
        <f t="shared" si="66"/>
        <v>108aa</v>
      </c>
      <c r="Q266" s="116">
        <f t="shared" si="67"/>
        <v>2</v>
      </c>
      <c r="R266" s="31" t="str">
        <f t="shared" si="68"/>
        <v>Daniel John  CARTER</v>
      </c>
      <c r="S266" s="31" t="str">
        <f t="shared" si="69"/>
        <v>Daniel CARTER (1976 -: #108aa)</v>
      </c>
    </row>
    <row r="267" spans="1:19">
      <c r="A267">
        <f>'All Girls &amp; Descendants'!B266</f>
        <v>108</v>
      </c>
      <c r="B267" t="str">
        <f>'All Girls &amp; Descendants'!C266</f>
        <v>108ab</v>
      </c>
      <c r="C267" t="str">
        <f>'All Girls &amp; Descendants'!D266</f>
        <v>CARTER</v>
      </c>
      <c r="D267" t="str">
        <f>'All Girls &amp; Descendants'!E266</f>
        <v>Simon</v>
      </c>
      <c r="E267" t="str">
        <f>IF('All Girls &amp; Descendants'!F266="","",'All Girls &amp; Descendants'!F266)</f>
        <v>Peter</v>
      </c>
      <c r="F267" t="str">
        <f>IF('All Girls &amp; Descendants'!G266="","",'All Girls &amp; Descendants'!G266)</f>
        <v/>
      </c>
      <c r="G267" t="str">
        <f>IF('All Girls &amp; Descendants'!H266="",D267,'All Girls &amp; Descendants'!H266)</f>
        <v>Simon</v>
      </c>
      <c r="H267">
        <f>'All Girls &amp; Descendants'!I266</f>
        <v>1982</v>
      </c>
      <c r="I267" t="str">
        <f>'All Girls &amp; Descendants'!J266</f>
        <v/>
      </c>
      <c r="J267">
        <f>'All Girls &amp; Descendants'!K266</f>
        <v>0</v>
      </c>
      <c r="K267" s="7">
        <f>'All Girls &amp; Descendants'!M266</f>
        <v>30099</v>
      </c>
      <c r="L267" t="str">
        <f>'All Girls &amp; Descendants'!N266</f>
        <v xml:space="preserve"> - </v>
      </c>
      <c r="M267" t="str">
        <f>'All Girls &amp; Descendants'!O266</f>
        <v/>
      </c>
      <c r="N267" t="str">
        <f>'All Girls &amp; Descendants'!P266</f>
        <v/>
      </c>
      <c r="O267" t="str">
        <f>'All Girls &amp; Descendants'!Q266</f>
        <v>108a</v>
      </c>
      <c r="P267" t="str">
        <f t="shared" si="66"/>
        <v>108ab</v>
      </c>
      <c r="Q267" s="116">
        <f t="shared" si="67"/>
        <v>2</v>
      </c>
      <c r="R267" s="31" t="str">
        <f t="shared" si="68"/>
        <v>Simon Peter  CARTER</v>
      </c>
      <c r="S267" s="31" t="str">
        <f t="shared" si="69"/>
        <v>Simon CARTER (1982 -: #108ab)</v>
      </c>
    </row>
    <row r="268" spans="1:19">
      <c r="A268">
        <f>'All Girls &amp; Descendants'!B267</f>
        <v>108</v>
      </c>
      <c r="B268" t="str">
        <f>'All Girls &amp; Descendants'!C267</f>
        <v>108ba</v>
      </c>
      <c r="C268" t="str">
        <f>'All Girls &amp; Descendants'!D267</f>
        <v>HOYLE</v>
      </c>
      <c r="D268" t="str">
        <f>'All Girls &amp; Descendants'!E267</f>
        <v>Matthew</v>
      </c>
      <c r="E268" t="str">
        <f>IF('All Girls &amp; Descendants'!F267="","",'All Girls &amp; Descendants'!F267)</f>
        <v>Christopher</v>
      </c>
      <c r="F268" t="str">
        <f>IF('All Girls &amp; Descendants'!G267="","",'All Girls &amp; Descendants'!G267)</f>
        <v>Richard</v>
      </c>
      <c r="G268" t="str">
        <f>IF('All Girls &amp; Descendants'!H267="",D268,'All Girls &amp; Descendants'!H267)</f>
        <v>Matthew</v>
      </c>
      <c r="H268">
        <f>'All Girls &amp; Descendants'!I267</f>
        <v>1982</v>
      </c>
      <c r="I268" t="str">
        <f>'All Girls &amp; Descendants'!J267</f>
        <v/>
      </c>
      <c r="J268">
        <f>'All Girls &amp; Descendants'!K267</f>
        <v>0</v>
      </c>
      <c r="K268" s="7">
        <f>'All Girls &amp; Descendants'!M267</f>
        <v>30102</v>
      </c>
      <c r="L268" t="str">
        <f>'All Girls &amp; Descendants'!N267</f>
        <v xml:space="preserve"> - </v>
      </c>
      <c r="M268" t="str">
        <f>'All Girls &amp; Descendants'!O267</f>
        <v/>
      </c>
      <c r="N268" t="str">
        <f>'All Girls &amp; Descendants'!P267</f>
        <v/>
      </c>
      <c r="O268" t="str">
        <f>'All Girls &amp; Descendants'!Q267</f>
        <v>108b</v>
      </c>
      <c r="P268" t="str">
        <f t="shared" si="66"/>
        <v>108ba</v>
      </c>
      <c r="Q268" s="116">
        <f t="shared" si="67"/>
        <v>2</v>
      </c>
      <c r="R268" s="31" t="str">
        <f t="shared" si="68"/>
        <v>Matthew Christopher Richard HOYLE</v>
      </c>
      <c r="S268" s="31" t="str">
        <f t="shared" si="69"/>
        <v>Matthew HOYLE (1982 -: #108ba)</v>
      </c>
    </row>
    <row r="269" spans="1:19">
      <c r="A269">
        <f>'All Girls &amp; Descendants'!B268</f>
        <v>108</v>
      </c>
      <c r="B269" t="str">
        <f>'All Girls &amp; Descendants'!C268</f>
        <v>108bb</v>
      </c>
      <c r="C269" t="str">
        <f>'All Girls &amp; Descendants'!D268</f>
        <v>HOYLE</v>
      </c>
      <c r="D269" t="str">
        <f>'All Girls &amp; Descendants'!E268</f>
        <v>Darren</v>
      </c>
      <c r="E269" t="str">
        <f>IF('All Girls &amp; Descendants'!F268="","",'All Girls &amp; Descendants'!F268)</f>
        <v>Andrew</v>
      </c>
      <c r="F269" t="str">
        <f>IF('All Girls &amp; Descendants'!G268="","",'All Girls &amp; Descendants'!G268)</f>
        <v/>
      </c>
      <c r="G269" t="str">
        <f>IF('All Girls &amp; Descendants'!H268="",D269,'All Girls &amp; Descendants'!H268)</f>
        <v>Darren</v>
      </c>
      <c r="H269">
        <f>'All Girls &amp; Descendants'!I268</f>
        <v>1985</v>
      </c>
      <c r="I269" t="str">
        <f>'All Girls &amp; Descendants'!J268</f>
        <v/>
      </c>
      <c r="J269">
        <f>'All Girls &amp; Descendants'!K268</f>
        <v>0</v>
      </c>
      <c r="K269" s="7">
        <f>'All Girls &amp; Descendants'!M268</f>
        <v>31287</v>
      </c>
      <c r="L269" t="str">
        <f>'All Girls &amp; Descendants'!N268</f>
        <v xml:space="preserve"> - </v>
      </c>
      <c r="M269" t="str">
        <f>'All Girls &amp; Descendants'!O268</f>
        <v/>
      </c>
      <c r="N269" t="str">
        <f>'All Girls &amp; Descendants'!P268</f>
        <v/>
      </c>
      <c r="O269" t="str">
        <f>'All Girls &amp; Descendants'!Q268</f>
        <v>108b</v>
      </c>
      <c r="P269" t="str">
        <f t="shared" si="66"/>
        <v>108bb</v>
      </c>
      <c r="Q269" s="116">
        <f t="shared" si="67"/>
        <v>2</v>
      </c>
      <c r="R269" s="31" t="str">
        <f t="shared" si="68"/>
        <v>Darren Andrew  HOYLE</v>
      </c>
      <c r="S269" s="31" t="str">
        <f t="shared" si="69"/>
        <v>Darren HOYLE (1985 -: #108bb)</v>
      </c>
    </row>
    <row r="270" spans="1:19">
      <c r="A270">
        <f>'All Girls &amp; Descendants'!B269</f>
        <v>108</v>
      </c>
      <c r="B270" t="str">
        <f>'All Girls &amp; Descendants'!C269</f>
        <v>108ca</v>
      </c>
      <c r="C270" t="str">
        <f>'All Girls &amp; Descendants'!D269</f>
        <v>HOYLE</v>
      </c>
      <c r="D270" t="str">
        <f>'All Girls &amp; Descendants'!E269</f>
        <v>Tanya</v>
      </c>
      <c r="E270" t="str">
        <f>IF('All Girls &amp; Descendants'!F269="","",'All Girls &amp; Descendants'!F269)</f>
        <v>Louise</v>
      </c>
      <c r="F270" t="str">
        <f>IF('All Girls &amp; Descendants'!G269="","",'All Girls &amp; Descendants'!G269)</f>
        <v/>
      </c>
      <c r="G270" t="str">
        <f>IF('All Girls &amp; Descendants'!H269="",D270,'All Girls &amp; Descendants'!H269)</f>
        <v>Tanya</v>
      </c>
      <c r="H270">
        <f>'All Girls &amp; Descendants'!I269</f>
        <v>1985</v>
      </c>
      <c r="I270" t="str">
        <f>'All Girls &amp; Descendants'!J269</f>
        <v/>
      </c>
      <c r="J270">
        <f>'All Girls &amp; Descendants'!K269</f>
        <v>0</v>
      </c>
      <c r="K270" s="7">
        <f>'All Girls &amp; Descendants'!M269</f>
        <v>31365</v>
      </c>
      <c r="L270" t="str">
        <f>'All Girls &amp; Descendants'!N269</f>
        <v xml:space="preserve"> - </v>
      </c>
      <c r="M270" t="str">
        <f>'All Girls &amp; Descendants'!O269</f>
        <v/>
      </c>
      <c r="N270" t="str">
        <f>'All Girls &amp; Descendants'!P269</f>
        <v/>
      </c>
      <c r="O270" t="str">
        <f>'All Girls &amp; Descendants'!Q269</f>
        <v>108c</v>
      </c>
      <c r="P270" t="str">
        <f t="shared" si="66"/>
        <v>108ca</v>
      </c>
      <c r="Q270" s="116">
        <f t="shared" si="67"/>
        <v>2</v>
      </c>
      <c r="R270" s="31" t="str">
        <f t="shared" si="68"/>
        <v>Tanya Louise  HOYLE</v>
      </c>
      <c r="S270" s="31" t="str">
        <f t="shared" si="69"/>
        <v>Tanya HOYLE (1985 -: #108ca)</v>
      </c>
    </row>
    <row r="271" spans="1:19">
      <c r="A271">
        <f>'All Girls &amp; Descendants'!B270</f>
        <v>109</v>
      </c>
      <c r="B271" t="str">
        <f>'All Girls &amp; Descendants'!C270</f>
        <v>109ba</v>
      </c>
      <c r="C271" t="str">
        <f>'All Girls &amp; Descendants'!D270</f>
        <v>WALTON</v>
      </c>
      <c r="D271" t="str">
        <f>'All Girls &amp; Descendants'!E270</f>
        <v>Toby</v>
      </c>
      <c r="E271" t="str">
        <f>IF('All Girls &amp; Descendants'!F270="","",'All Girls &amp; Descendants'!F270)</f>
        <v>Chui</v>
      </c>
      <c r="F271" t="str">
        <f>IF('All Girls &amp; Descendants'!G270="","",'All Girls &amp; Descendants'!G270)</f>
        <v xml:space="preserve">Bao </v>
      </c>
      <c r="G271" t="str">
        <f>IF('All Girls &amp; Descendants'!H270="",D271,'All Girls &amp; Descendants'!H270)</f>
        <v>Toby</v>
      </c>
      <c r="H271">
        <f>'All Girls &amp; Descendants'!I270</f>
        <v>2008</v>
      </c>
      <c r="I271" t="str">
        <f>'All Girls &amp; Descendants'!J270</f>
        <v/>
      </c>
      <c r="J271">
        <f>'All Girls &amp; Descendants'!K270</f>
        <v>0</v>
      </c>
      <c r="K271" s="7">
        <f>'All Girls &amp; Descendants'!M270</f>
        <v>39536</v>
      </c>
      <c r="L271" t="str">
        <f>'All Girls &amp; Descendants'!N270</f>
        <v xml:space="preserve"> - </v>
      </c>
      <c r="M271" t="str">
        <f>'All Girls &amp; Descendants'!O270</f>
        <v/>
      </c>
      <c r="N271" t="str">
        <f>'All Girls &amp; Descendants'!P270</f>
        <v/>
      </c>
      <c r="O271" t="str">
        <f>'All Girls &amp; Descendants'!Q270</f>
        <v>109b</v>
      </c>
      <c r="P271" t="str">
        <f t="shared" si="66"/>
        <v>109ba</v>
      </c>
      <c r="Q271" s="116">
        <f t="shared" si="67"/>
        <v>2</v>
      </c>
      <c r="R271" s="31" t="str">
        <f t="shared" si="68"/>
        <v>Toby Chui Bao  WALTON</v>
      </c>
      <c r="S271" s="31" t="str">
        <f t="shared" si="69"/>
        <v>Toby WALTON (2008 -: #109ba)</v>
      </c>
    </row>
    <row r="272" spans="1:19">
      <c r="A272">
        <f>'All Girls &amp; Descendants'!B271</f>
        <v>109</v>
      </c>
      <c r="B272" t="str">
        <f>'All Girls &amp; Descendants'!C271</f>
        <v>109bb</v>
      </c>
      <c r="C272" t="str">
        <f>'All Girls &amp; Descendants'!D271</f>
        <v>WALTON</v>
      </c>
      <c r="D272" t="str">
        <f>'All Girls &amp; Descendants'!E271</f>
        <v>Leo</v>
      </c>
      <c r="E272" t="str">
        <f>IF('All Girls &amp; Descendants'!F271="","",'All Girls &amp; Descendants'!F271)</f>
        <v>Giap</v>
      </c>
      <c r="F272" t="str">
        <f>IF('All Girls &amp; Descendants'!G271="","",'All Girls &amp; Descendants'!G271)</f>
        <v/>
      </c>
      <c r="G272" t="str">
        <f>IF('All Girls &amp; Descendants'!H271="",D272,'All Girls &amp; Descendants'!H271)</f>
        <v>Leo</v>
      </c>
      <c r="H272">
        <f>'All Girls &amp; Descendants'!I271</f>
        <v>2012</v>
      </c>
      <c r="I272" t="str">
        <f>'All Girls &amp; Descendants'!J271</f>
        <v/>
      </c>
      <c r="J272">
        <f>'All Girls &amp; Descendants'!K271</f>
        <v>0</v>
      </c>
      <c r="K272" s="7">
        <f>'All Girls &amp; Descendants'!M271</f>
        <v>41029</v>
      </c>
      <c r="L272" t="str">
        <f>'All Girls &amp; Descendants'!N271</f>
        <v xml:space="preserve"> - </v>
      </c>
      <c r="M272" t="str">
        <f>'All Girls &amp; Descendants'!O271</f>
        <v/>
      </c>
      <c r="N272" t="str">
        <f>'All Girls &amp; Descendants'!P271</f>
        <v/>
      </c>
      <c r="O272" t="str">
        <f>'All Girls &amp; Descendants'!Q271</f>
        <v>109b</v>
      </c>
      <c r="P272" t="str">
        <f t="shared" si="66"/>
        <v>109bb</v>
      </c>
      <c r="Q272" s="116">
        <f t="shared" si="67"/>
        <v>2</v>
      </c>
      <c r="R272" s="31" t="str">
        <f t="shared" si="68"/>
        <v>Leo Giap  WALTON</v>
      </c>
      <c r="S272" s="31" t="str">
        <f t="shared" si="69"/>
        <v>Leo WALTON (2012 -: #109bb)</v>
      </c>
    </row>
    <row r="273" spans="1:19">
      <c r="A273">
        <f>'All Girls &amp; Descendants'!B272</f>
        <v>109</v>
      </c>
      <c r="B273" t="str">
        <f>'All Girls &amp; Descendants'!C272</f>
        <v>109bc</v>
      </c>
      <c r="C273" t="str">
        <f>'All Girls &amp; Descendants'!D272</f>
        <v>WALTON</v>
      </c>
      <c r="D273" t="str">
        <f>'All Girls &amp; Descendants'!E272</f>
        <v>Benjamin</v>
      </c>
      <c r="E273" t="str">
        <f>IF('All Girls &amp; Descendants'!F272="","",'All Girls &amp; Descendants'!F272)</f>
        <v>Hai</v>
      </c>
      <c r="F273" t="str">
        <f>IF('All Girls &amp; Descendants'!G272="","",'All Girls &amp; Descendants'!G272)</f>
        <v>Nam</v>
      </c>
      <c r="G273" t="str">
        <f>IF('All Girls &amp; Descendants'!H272="",D273,'All Girls &amp; Descendants'!H272)</f>
        <v>Benjamin</v>
      </c>
      <c r="H273">
        <f>'All Girls &amp; Descendants'!I272</f>
        <v>2013</v>
      </c>
      <c r="I273" t="str">
        <f>'All Girls &amp; Descendants'!J272</f>
        <v/>
      </c>
      <c r="J273">
        <f>'All Girls &amp; Descendants'!K272</f>
        <v>0</v>
      </c>
      <c r="K273" s="7">
        <f>'All Girls &amp; Descendants'!M272</f>
        <v>41564</v>
      </c>
      <c r="L273" t="str">
        <f>'All Girls &amp; Descendants'!N272</f>
        <v xml:space="preserve"> - </v>
      </c>
      <c r="M273" t="str">
        <f>'All Girls &amp; Descendants'!O272</f>
        <v/>
      </c>
      <c r="N273" t="str">
        <f>'All Girls &amp; Descendants'!P272</f>
        <v/>
      </c>
      <c r="O273" t="str">
        <f>'All Girls &amp; Descendants'!Q272</f>
        <v>109b</v>
      </c>
      <c r="P273" t="str">
        <f t="shared" si="66"/>
        <v>109bc</v>
      </c>
      <c r="Q273" s="116">
        <f t="shared" si="67"/>
        <v>2</v>
      </c>
      <c r="R273" s="31" t="str">
        <f t="shared" si="68"/>
        <v>Benjamin Hai Nam WALTON</v>
      </c>
      <c r="S273" s="31" t="str">
        <f t="shared" si="69"/>
        <v>Benjamin WALTON (2013 -: #109bc)</v>
      </c>
    </row>
    <row r="274" spans="1:19">
      <c r="A274">
        <f>'All Girls &amp; Descendants'!B273</f>
        <v>109</v>
      </c>
      <c r="B274" t="str">
        <f>'All Girls &amp; Descendants'!C273</f>
        <v>109bd</v>
      </c>
      <c r="C274" t="str">
        <f>'All Girls &amp; Descendants'!D273</f>
        <v>WALTON</v>
      </c>
      <c r="D274" t="str">
        <f>'All Girls &amp; Descendants'!E273</f>
        <v>Isabel</v>
      </c>
      <c r="E274" t="str">
        <f>IF('All Girls &amp; Descendants'!F273="","",'All Girls &amp; Descendants'!F273)</f>
        <v>Xuyen</v>
      </c>
      <c r="F274" t="str">
        <f>IF('All Girls &amp; Descendants'!G273="","",'All Girls &amp; Descendants'!G273)</f>
        <v>Mai</v>
      </c>
      <c r="G274" t="str">
        <f>IF('All Girls &amp; Descendants'!H273="",D274,'All Girls &amp; Descendants'!H273)</f>
        <v>Isabel</v>
      </c>
      <c r="H274">
        <f>'All Girls &amp; Descendants'!I273</f>
        <v>2016</v>
      </c>
      <c r="I274" t="str">
        <f>'All Girls &amp; Descendants'!J273</f>
        <v/>
      </c>
      <c r="J274">
        <f>'All Girls &amp; Descendants'!K273</f>
        <v>0</v>
      </c>
      <c r="K274" s="7">
        <f>'All Girls &amp; Descendants'!M273</f>
        <v>42394</v>
      </c>
      <c r="L274" t="str">
        <f>'All Girls &amp; Descendants'!N273</f>
        <v xml:space="preserve"> - </v>
      </c>
      <c r="M274" t="str">
        <f>'All Girls &amp; Descendants'!O273</f>
        <v/>
      </c>
      <c r="N274" t="str">
        <f>'All Girls &amp; Descendants'!P273</f>
        <v/>
      </c>
      <c r="O274" t="str">
        <f>'All Girls &amp; Descendants'!Q273</f>
        <v>109b</v>
      </c>
      <c r="P274" t="str">
        <f t="shared" si="66"/>
        <v>109bd</v>
      </c>
      <c r="Q274" s="116">
        <f t="shared" si="67"/>
        <v>2</v>
      </c>
      <c r="R274" s="31" t="str">
        <f t="shared" si="68"/>
        <v>Isabel Xuyen Mai WALTON</v>
      </c>
      <c r="S274" s="31" t="str">
        <f t="shared" si="69"/>
        <v>Isabel WALTON (2016 -: #109bd)</v>
      </c>
    </row>
    <row r="275" spans="1:19">
      <c r="A275">
        <f>'All Girls &amp; Descendants'!B274</f>
        <v>110</v>
      </c>
      <c r="B275" t="str">
        <f>'All Girls &amp; Descendants'!C274</f>
        <v>110aa</v>
      </c>
      <c r="C275" t="str">
        <f>'All Girls &amp; Descendants'!D274</f>
        <v>BOYCE</v>
      </c>
      <c r="D275" t="str">
        <f>'All Girls &amp; Descendants'!E274</f>
        <v>Christopher</v>
      </c>
      <c r="E275" t="str">
        <f>IF('All Girls &amp; Descendants'!F274="","",'All Girls &amp; Descendants'!F274)</f>
        <v>Drummond</v>
      </c>
      <c r="F275" t="str">
        <f>IF('All Girls &amp; Descendants'!G274="","",'All Girls &amp; Descendants'!G274)</f>
        <v/>
      </c>
      <c r="G275" t="str">
        <f>IF('All Girls &amp; Descendants'!H274="",D275,'All Girls &amp; Descendants'!H274)</f>
        <v>Christopher</v>
      </c>
      <c r="H275">
        <f>'All Girls &amp; Descendants'!I274</f>
        <v>1990</v>
      </c>
      <c r="I275" t="str">
        <f>'All Girls &amp; Descendants'!J274</f>
        <v/>
      </c>
      <c r="J275">
        <f>'All Girls &amp; Descendants'!K274</f>
        <v>0</v>
      </c>
      <c r="K275" s="7">
        <f>'All Girls &amp; Descendants'!M274</f>
        <v>32881</v>
      </c>
      <c r="L275" t="str">
        <f>'All Girls &amp; Descendants'!N274</f>
        <v xml:space="preserve"> - </v>
      </c>
      <c r="M275" t="str">
        <f>'All Girls &amp; Descendants'!O274</f>
        <v/>
      </c>
      <c r="N275" t="str">
        <f>'All Girls &amp; Descendants'!P274</f>
        <v/>
      </c>
      <c r="O275" t="str">
        <f>'All Girls &amp; Descendants'!Q274</f>
        <v>110a</v>
      </c>
      <c r="P275" t="str">
        <f t="shared" si="66"/>
        <v>110aa</v>
      </c>
      <c r="Q275" s="116">
        <f t="shared" si="67"/>
        <v>2</v>
      </c>
      <c r="R275" s="31" t="str">
        <f t="shared" si="68"/>
        <v>Christopher Drummond  BOYCE</v>
      </c>
      <c r="S275" s="31" t="str">
        <f t="shared" si="69"/>
        <v>Christopher BOYCE (1990 -: #110aa)</v>
      </c>
    </row>
    <row r="276" spans="1:19">
      <c r="A276">
        <f>'All Girls &amp; Descendants'!B275</f>
        <v>110</v>
      </c>
      <c r="B276" t="str">
        <f>'All Girls &amp; Descendants'!C275</f>
        <v>110ab</v>
      </c>
      <c r="C276" t="str">
        <f>'All Girls &amp; Descendants'!D275</f>
        <v>BOYCE</v>
      </c>
      <c r="D276" t="str">
        <f>'All Girls &amp; Descendants'!E275</f>
        <v>Andrew</v>
      </c>
      <c r="E276" t="str">
        <f>IF('All Girls &amp; Descendants'!F275="","",'All Girls &amp; Descendants'!F275)</f>
        <v>Alexander</v>
      </c>
      <c r="F276" t="str">
        <f>IF('All Girls &amp; Descendants'!G275="","",'All Girls &amp; Descendants'!G275)</f>
        <v/>
      </c>
      <c r="G276" t="str">
        <f>IF('All Girls &amp; Descendants'!H275="",D276,'All Girls &amp; Descendants'!H275)</f>
        <v>Andrew</v>
      </c>
      <c r="H276">
        <f>'All Girls &amp; Descendants'!I275</f>
        <v>1991</v>
      </c>
      <c r="I276" t="str">
        <f>'All Girls &amp; Descendants'!J275</f>
        <v/>
      </c>
      <c r="J276">
        <f>'All Girls &amp; Descendants'!K275</f>
        <v>0</v>
      </c>
      <c r="K276" s="7">
        <f>'All Girls &amp; Descendants'!M275</f>
        <v>33457</v>
      </c>
      <c r="L276" t="str">
        <f>'All Girls &amp; Descendants'!N275</f>
        <v xml:space="preserve"> - </v>
      </c>
      <c r="M276" t="str">
        <f>'All Girls &amp; Descendants'!O275</f>
        <v/>
      </c>
      <c r="N276" t="str">
        <f>'All Girls &amp; Descendants'!P275</f>
        <v/>
      </c>
      <c r="O276" t="str">
        <f>'All Girls &amp; Descendants'!Q275</f>
        <v>110a</v>
      </c>
      <c r="P276" t="str">
        <f t="shared" si="66"/>
        <v>110ab</v>
      </c>
      <c r="Q276" s="116">
        <f t="shared" si="67"/>
        <v>2</v>
      </c>
      <c r="R276" s="31" t="str">
        <f t="shared" si="68"/>
        <v>Andrew Alexander  BOYCE</v>
      </c>
      <c r="S276" s="31" t="str">
        <f t="shared" si="69"/>
        <v>Andrew BOYCE (1991 -: #110ab)</v>
      </c>
    </row>
    <row r="277" spans="1:19">
      <c r="A277">
        <f>'All Girls &amp; Descendants'!B276</f>
        <v>110</v>
      </c>
      <c r="B277" t="str">
        <f>'All Girls &amp; Descendants'!C276</f>
        <v>110ac</v>
      </c>
      <c r="C277" t="str">
        <f>'All Girls &amp; Descendants'!D276</f>
        <v>BOYCE</v>
      </c>
      <c r="D277" t="str">
        <f>'All Girls &amp; Descendants'!E276</f>
        <v>Robin</v>
      </c>
      <c r="E277" t="str">
        <f>IF('All Girls &amp; Descendants'!F276="","",'All Girls &amp; Descendants'!F276)</f>
        <v>Oscar</v>
      </c>
      <c r="F277" t="str">
        <f>IF('All Girls &amp; Descendants'!G276="","",'All Girls &amp; Descendants'!G276)</f>
        <v/>
      </c>
      <c r="G277" t="str">
        <f>IF('All Girls &amp; Descendants'!H276="",D277,'All Girls &amp; Descendants'!H276)</f>
        <v>Robin</v>
      </c>
      <c r="H277">
        <f>'All Girls &amp; Descendants'!I276</f>
        <v>1997</v>
      </c>
      <c r="I277">
        <f>'All Girls &amp; Descendants'!J276</f>
        <v>2019</v>
      </c>
      <c r="J277">
        <f>'All Girls &amp; Descendants'!K276</f>
        <v>0</v>
      </c>
      <c r="K277" s="7">
        <f>'All Girls &amp; Descendants'!M276</f>
        <v>35697</v>
      </c>
      <c r="L277" t="str">
        <f>'All Girls &amp; Descendants'!N276</f>
        <v xml:space="preserve"> - </v>
      </c>
      <c r="M277">
        <f>'All Girls &amp; Descendants'!O276</f>
        <v>43623</v>
      </c>
      <c r="N277" t="str">
        <f>'All Girls &amp; Descendants'!P276</f>
        <v>07/06/2019</v>
      </c>
      <c r="O277" t="str">
        <f>'All Girls &amp; Descendants'!Q276</f>
        <v>110a</v>
      </c>
      <c r="P277" t="str">
        <f t="shared" si="66"/>
        <v>110ac</v>
      </c>
      <c r="Q277" s="116">
        <f t="shared" si="67"/>
        <v>2</v>
      </c>
      <c r="R277" s="31" t="str">
        <f t="shared" si="68"/>
        <v>Robin Oscar  BOYCE</v>
      </c>
      <c r="S277" s="31" t="str">
        <f t="shared" si="69"/>
        <v>Robin BOYCE (1997 -2019: #110ac)</v>
      </c>
    </row>
    <row r="278" spans="1:19">
      <c r="A278">
        <f>'All Girls &amp; Descendants'!B277</f>
        <v>110</v>
      </c>
      <c r="B278" t="str">
        <f>'All Girls &amp; Descendants'!C277</f>
        <v>110ca</v>
      </c>
      <c r="C278" t="str">
        <f>'All Girls &amp; Descendants'!D277</f>
        <v>BOYCE</v>
      </c>
      <c r="D278" t="str">
        <f>'All Girls &amp; Descendants'!E277</f>
        <v>Hannah</v>
      </c>
      <c r="E278" t="str">
        <f>IF('All Girls &amp; Descendants'!F277="","",'All Girls &amp; Descendants'!F277)</f>
        <v>Catherine</v>
      </c>
      <c r="F278" t="str">
        <f>IF('All Girls &amp; Descendants'!G277="","",'All Girls &amp; Descendants'!G277)</f>
        <v/>
      </c>
      <c r="G278" t="str">
        <f>IF('All Girls &amp; Descendants'!H277="",D278,'All Girls &amp; Descendants'!H277)</f>
        <v>Hannah</v>
      </c>
      <c r="H278">
        <f>'All Girls &amp; Descendants'!I277</f>
        <v>2011</v>
      </c>
      <c r="I278" t="str">
        <f>'All Girls &amp; Descendants'!J277</f>
        <v/>
      </c>
      <c r="J278">
        <f>'All Girls &amp; Descendants'!K277</f>
        <v>0</v>
      </c>
      <c r="K278" s="7">
        <f>'All Girls &amp; Descendants'!M277</f>
        <v>40831</v>
      </c>
      <c r="L278" t="str">
        <f>'All Girls &amp; Descendants'!N277</f>
        <v xml:space="preserve"> - </v>
      </c>
      <c r="M278" t="str">
        <f>'All Girls &amp; Descendants'!O277</f>
        <v/>
      </c>
      <c r="N278" t="str">
        <f>'All Girls &amp; Descendants'!P277</f>
        <v/>
      </c>
      <c r="O278" t="str">
        <f>'All Girls &amp; Descendants'!Q277</f>
        <v>110c</v>
      </c>
      <c r="P278" t="str">
        <f t="shared" si="66"/>
        <v>110ca</v>
      </c>
      <c r="Q278" s="116">
        <f t="shared" si="67"/>
        <v>2</v>
      </c>
      <c r="R278" s="31" t="str">
        <f t="shared" si="68"/>
        <v>Hannah Catherine  BOYCE</v>
      </c>
      <c r="S278" s="31" t="str">
        <f t="shared" si="69"/>
        <v>Hannah BOYCE (2011 -: #110ca)</v>
      </c>
    </row>
    <row r="279" spans="1:19">
      <c r="A279">
        <f>'All Girls &amp; Descendants'!B278</f>
        <v>110</v>
      </c>
      <c r="B279" t="str">
        <f>'All Girls &amp; Descendants'!C278</f>
        <v>110da</v>
      </c>
      <c r="C279" t="str">
        <f>'All Girls &amp; Descendants'!D278</f>
        <v>BOYCE de CASTRO</v>
      </c>
      <c r="D279" t="str">
        <f>'All Girls &amp; Descendants'!E278</f>
        <v>Karina</v>
      </c>
      <c r="E279" t="str">
        <f>IF('All Girls &amp; Descendants'!F278="","",'All Girls &amp; Descendants'!F278)</f>
        <v>Boyce</v>
      </c>
      <c r="F279" t="str">
        <f>IF('All Girls &amp; Descendants'!G278="","",'All Girls &amp; Descendants'!G278)</f>
        <v/>
      </c>
      <c r="G279" t="str">
        <f>IF('All Girls &amp; Descendants'!H278="",D279,'All Girls &amp; Descendants'!H278)</f>
        <v>Karina</v>
      </c>
      <c r="H279">
        <f>'All Girls &amp; Descendants'!I278</f>
        <v>1999</v>
      </c>
      <c r="I279" t="str">
        <f>'All Girls &amp; Descendants'!J278</f>
        <v/>
      </c>
      <c r="J279">
        <f>'All Girls &amp; Descendants'!K278</f>
        <v>0</v>
      </c>
      <c r="K279" s="7">
        <f>'All Girls &amp; Descendants'!M278</f>
        <v>36202</v>
      </c>
      <c r="L279" t="str">
        <f>'All Girls &amp; Descendants'!N278</f>
        <v xml:space="preserve"> - </v>
      </c>
      <c r="M279" t="str">
        <f>'All Girls &amp; Descendants'!O278</f>
        <v/>
      </c>
      <c r="N279" t="str">
        <f>'All Girls &amp; Descendants'!P278</f>
        <v/>
      </c>
      <c r="O279" t="str">
        <f>'All Girls &amp; Descendants'!Q278</f>
        <v>110d</v>
      </c>
      <c r="P279" t="str">
        <f t="shared" ref="P279:P342" si="70">B279</f>
        <v>110da</v>
      </c>
      <c r="Q279" s="116">
        <f t="shared" ref="Q279:Q342" si="71">LEN(B279)-LEN(A279)</f>
        <v>2</v>
      </c>
      <c r="R279" s="31" t="str">
        <f t="shared" ref="R279:R342" si="72">_xlfn.CONCAT(D279," ",E279," ",F279," ",C279)</f>
        <v>Karina Boyce  BOYCE de CASTRO</v>
      </c>
      <c r="S279" s="31" t="str">
        <f t="shared" ref="S279:S342" si="73">_xlfn.CONCAT(G279," ",C279," (",H279," -",I279,": #",B279,")")</f>
        <v>Karina BOYCE de CASTRO (1999 -: #110da)</v>
      </c>
    </row>
    <row r="280" spans="1:19">
      <c r="A280">
        <f>'All Girls &amp; Descendants'!B279</f>
        <v>110</v>
      </c>
      <c r="B280" t="str">
        <f>'All Girls &amp; Descendants'!C279</f>
        <v>110db</v>
      </c>
      <c r="C280" t="str">
        <f>'All Girls &amp; Descendants'!D279</f>
        <v>BOYCE de CASTRO</v>
      </c>
      <c r="D280" t="str">
        <f>'All Girls &amp; Descendants'!E279</f>
        <v>Matheus</v>
      </c>
      <c r="E280" t="str">
        <f>IF('All Girls &amp; Descendants'!F279="","",'All Girls &amp; Descendants'!F279)</f>
        <v>Drummond</v>
      </c>
      <c r="F280" t="str">
        <f>IF('All Girls &amp; Descendants'!G279="","",'All Girls &amp; Descendants'!G279)</f>
        <v/>
      </c>
      <c r="G280" t="str">
        <f>IF('All Girls &amp; Descendants'!H279="",D280,'All Girls &amp; Descendants'!H279)</f>
        <v>Matheus</v>
      </c>
      <c r="H280">
        <f>'All Girls &amp; Descendants'!I279</f>
        <v>2002</v>
      </c>
      <c r="I280">
        <f>'All Girls &amp; Descendants'!J279</f>
        <v>0</v>
      </c>
      <c r="J280">
        <f>'All Girls &amp; Descendants'!K279</f>
        <v>0</v>
      </c>
      <c r="K280" s="7">
        <f>'All Girls &amp; Descendants'!M279</f>
        <v>37547</v>
      </c>
      <c r="L280" t="str">
        <f>'All Girls &amp; Descendants'!N279</f>
        <v xml:space="preserve"> - </v>
      </c>
      <c r="M280" t="str">
        <f>'All Girls &amp; Descendants'!O279</f>
        <v/>
      </c>
      <c r="N280" t="str">
        <f>'All Girls &amp; Descendants'!P279</f>
        <v/>
      </c>
      <c r="O280" t="str">
        <f>'All Girls &amp; Descendants'!Q279</f>
        <v>110d</v>
      </c>
      <c r="P280" t="str">
        <f t="shared" si="70"/>
        <v>110db</v>
      </c>
      <c r="Q280" s="116">
        <f t="shared" si="71"/>
        <v>2</v>
      </c>
      <c r="R280" s="31" t="str">
        <f t="shared" si="72"/>
        <v>Matheus Drummond  BOYCE de CASTRO</v>
      </c>
      <c r="S280" s="31" t="str">
        <f t="shared" si="73"/>
        <v>Matheus BOYCE de CASTRO (2002 -0: #110db)</v>
      </c>
    </row>
    <row r="281" spans="1:19">
      <c r="A281">
        <f>'All Girls &amp; Descendants'!B280</f>
        <v>115</v>
      </c>
      <c r="B281" t="str">
        <f>'All Girls &amp; Descendants'!C280</f>
        <v>115aa</v>
      </c>
      <c r="C281" t="str">
        <f>'All Girls &amp; Descendants'!D280</f>
        <v>CATOR</v>
      </c>
      <c r="D281" t="str">
        <f>'All Girls &amp; Descendants'!E280</f>
        <v>Benjamin</v>
      </c>
      <c r="E281" t="str">
        <f>IF('All Girls &amp; Descendants'!F280="","",'All Girls &amp; Descendants'!F280)</f>
        <v/>
      </c>
      <c r="F281" t="str">
        <f>IF('All Girls &amp; Descendants'!G280="","",'All Girls &amp; Descendants'!G280)</f>
        <v/>
      </c>
      <c r="G281" t="str">
        <f>IF('All Girls &amp; Descendants'!H280="",D281,'All Girls &amp; Descendants'!H280)</f>
        <v>Benjamin</v>
      </c>
      <c r="H281">
        <f>'All Girls &amp; Descendants'!I280</f>
        <v>1988</v>
      </c>
      <c r="I281" t="str">
        <f>'All Girls &amp; Descendants'!J280</f>
        <v/>
      </c>
      <c r="J281">
        <f>'All Girls &amp; Descendants'!K280</f>
        <v>0</v>
      </c>
      <c r="K281" s="7">
        <f>'All Girls &amp; Descendants'!M280</f>
        <v>32433</v>
      </c>
      <c r="L281" t="str">
        <f>'All Girls &amp; Descendants'!N280</f>
        <v xml:space="preserve"> - </v>
      </c>
      <c r="M281" t="str">
        <f>'All Girls &amp; Descendants'!O280</f>
        <v/>
      </c>
      <c r="N281" t="str">
        <f>'All Girls &amp; Descendants'!P280</f>
        <v/>
      </c>
      <c r="O281" t="str">
        <f>'All Girls &amp; Descendants'!Q280</f>
        <v>115a</v>
      </c>
      <c r="P281" t="str">
        <f t="shared" si="70"/>
        <v>115aa</v>
      </c>
      <c r="Q281" s="116">
        <f t="shared" si="71"/>
        <v>2</v>
      </c>
      <c r="R281" s="31" t="str">
        <f t="shared" si="72"/>
        <v>Benjamin   CATOR</v>
      </c>
      <c r="S281" s="31" t="str">
        <f t="shared" si="73"/>
        <v>Benjamin CATOR (1988 -: #115aa)</v>
      </c>
    </row>
    <row r="282" spans="1:19">
      <c r="A282">
        <f>'All Girls &amp; Descendants'!B281</f>
        <v>115</v>
      </c>
      <c r="B282" t="str">
        <f>'All Girls &amp; Descendants'!C281</f>
        <v>115ab</v>
      </c>
      <c r="C282" t="str">
        <f>'All Girls &amp; Descendants'!D281</f>
        <v>CATOR</v>
      </c>
      <c r="D282" t="str">
        <f>'All Girls &amp; Descendants'!E281</f>
        <v>Lara</v>
      </c>
      <c r="E282" t="str">
        <f>IF('All Girls &amp; Descendants'!F281="","",'All Girls &amp; Descendants'!F281)</f>
        <v/>
      </c>
      <c r="F282" t="str">
        <f>IF('All Girls &amp; Descendants'!G281="","",'All Girls &amp; Descendants'!G281)</f>
        <v/>
      </c>
      <c r="G282" t="str">
        <f>IF('All Girls &amp; Descendants'!H281="",D282,'All Girls &amp; Descendants'!H281)</f>
        <v>Lara</v>
      </c>
      <c r="H282">
        <f>'All Girls &amp; Descendants'!I281</f>
        <v>1992</v>
      </c>
      <c r="I282" t="str">
        <f>'All Girls &amp; Descendants'!J281</f>
        <v/>
      </c>
      <c r="J282">
        <f>'All Girls &amp; Descendants'!K281</f>
        <v>0</v>
      </c>
      <c r="K282" s="7">
        <f>'All Girls &amp; Descendants'!M281</f>
        <v>33858</v>
      </c>
      <c r="L282" t="str">
        <f>'All Girls &amp; Descendants'!N281</f>
        <v xml:space="preserve"> - </v>
      </c>
      <c r="M282" t="str">
        <f>'All Girls &amp; Descendants'!O281</f>
        <v/>
      </c>
      <c r="N282" t="str">
        <f>'All Girls &amp; Descendants'!P281</f>
        <v/>
      </c>
      <c r="O282" t="str">
        <f>'All Girls &amp; Descendants'!Q281</f>
        <v>115a</v>
      </c>
      <c r="P282" t="str">
        <f t="shared" si="70"/>
        <v>115ab</v>
      </c>
      <c r="Q282" s="116">
        <f t="shared" si="71"/>
        <v>2</v>
      </c>
      <c r="R282" s="31" t="str">
        <f t="shared" si="72"/>
        <v>Lara   CATOR</v>
      </c>
      <c r="S282" s="31" t="str">
        <f t="shared" si="73"/>
        <v>Lara CATOR (1992 -: #115ab)</v>
      </c>
    </row>
    <row r="283" spans="1:19">
      <c r="A283">
        <f>'All Girls &amp; Descendants'!B282</f>
        <v>115</v>
      </c>
      <c r="B283" t="str">
        <f>'All Girls &amp; Descendants'!C282</f>
        <v>115ac</v>
      </c>
      <c r="C283" t="str">
        <f>'All Girls &amp; Descendants'!D282</f>
        <v>CATOR</v>
      </c>
      <c r="D283" t="str">
        <f>'All Girls &amp; Descendants'!E282</f>
        <v>Oscar</v>
      </c>
      <c r="E283" t="str">
        <f>IF('All Girls &amp; Descendants'!F282="","",'All Girls &amp; Descendants'!F282)</f>
        <v/>
      </c>
      <c r="F283" t="str">
        <f>IF('All Girls &amp; Descendants'!G282="","",'All Girls &amp; Descendants'!G282)</f>
        <v/>
      </c>
      <c r="G283" t="str">
        <f>IF('All Girls &amp; Descendants'!H282="",D283,'All Girls &amp; Descendants'!H282)</f>
        <v>Oscar</v>
      </c>
      <c r="H283">
        <f>'All Girls &amp; Descendants'!I282</f>
        <v>1996</v>
      </c>
      <c r="I283" t="str">
        <f>'All Girls &amp; Descendants'!J282</f>
        <v/>
      </c>
      <c r="J283">
        <f>'All Girls &amp; Descendants'!K282</f>
        <v>0</v>
      </c>
      <c r="K283" s="7">
        <f>'All Girls &amp; Descendants'!M282</f>
        <v>35123</v>
      </c>
      <c r="L283" t="str">
        <f>'All Girls &amp; Descendants'!N282</f>
        <v xml:space="preserve"> - </v>
      </c>
      <c r="M283" t="str">
        <f>'All Girls &amp; Descendants'!O282</f>
        <v/>
      </c>
      <c r="N283" t="str">
        <f>'All Girls &amp; Descendants'!P282</f>
        <v/>
      </c>
      <c r="O283" t="str">
        <f>'All Girls &amp; Descendants'!Q282</f>
        <v>115a</v>
      </c>
      <c r="P283" t="str">
        <f t="shared" si="70"/>
        <v>115ac</v>
      </c>
      <c r="Q283" s="116">
        <f t="shared" si="71"/>
        <v>2</v>
      </c>
      <c r="R283" s="31" t="str">
        <f t="shared" si="72"/>
        <v>Oscar   CATOR</v>
      </c>
      <c r="S283" s="31" t="str">
        <f t="shared" si="73"/>
        <v>Oscar CATOR (1996 -: #115ac)</v>
      </c>
    </row>
    <row r="284" spans="1:19">
      <c r="A284">
        <f>'All Girls &amp; Descendants'!B283</f>
        <v>115</v>
      </c>
      <c r="B284" t="str">
        <f>'All Girls &amp; Descendants'!C283</f>
        <v>115ba</v>
      </c>
      <c r="C284" t="str">
        <f>'All Girls &amp; Descendants'!D283</f>
        <v>SOAMES</v>
      </c>
      <c r="D284" t="str">
        <f>'All Girls &amp; Descendants'!E283</f>
        <v>Milo</v>
      </c>
      <c r="E284" t="str">
        <f>IF('All Girls &amp; Descendants'!F283="","",'All Girls &amp; Descendants'!F283)</f>
        <v/>
      </c>
      <c r="F284" t="str">
        <f>IF('All Girls &amp; Descendants'!G283="","",'All Girls &amp; Descendants'!G283)</f>
        <v/>
      </c>
      <c r="G284" t="str">
        <f>IF('All Girls &amp; Descendants'!H283="",D284,'All Girls &amp; Descendants'!H283)</f>
        <v>Milo</v>
      </c>
      <c r="H284">
        <f>'All Girls &amp; Descendants'!I283</f>
        <v>1995</v>
      </c>
      <c r="I284" t="str">
        <f>'All Girls &amp; Descendants'!J283</f>
        <v/>
      </c>
      <c r="J284">
        <f>'All Girls &amp; Descendants'!K283</f>
        <v>0</v>
      </c>
      <c r="K284" s="7">
        <f>'All Girls &amp; Descendants'!M283</f>
        <v>35054</v>
      </c>
      <c r="L284" t="str">
        <f>'All Girls &amp; Descendants'!N283</f>
        <v xml:space="preserve"> - </v>
      </c>
      <c r="M284" t="str">
        <f>'All Girls &amp; Descendants'!O283</f>
        <v/>
      </c>
      <c r="N284" t="str">
        <f>'All Girls &amp; Descendants'!P283</f>
        <v/>
      </c>
      <c r="O284" t="str">
        <f>'All Girls &amp; Descendants'!Q283</f>
        <v>115b</v>
      </c>
      <c r="P284" t="str">
        <f t="shared" si="70"/>
        <v>115ba</v>
      </c>
      <c r="Q284" s="116">
        <f t="shared" si="71"/>
        <v>2</v>
      </c>
      <c r="R284" s="31" t="str">
        <f t="shared" si="72"/>
        <v>Milo   SOAMES</v>
      </c>
      <c r="S284" s="31" t="str">
        <f t="shared" si="73"/>
        <v>Milo SOAMES (1995 -: #115ba)</v>
      </c>
    </row>
    <row r="285" spans="1:19">
      <c r="A285">
        <f>'All Girls &amp; Descendants'!B284</f>
        <v>115</v>
      </c>
      <c r="B285" t="str">
        <f>'All Girls &amp; Descendants'!C284</f>
        <v>115bb</v>
      </c>
      <c r="C285" t="str">
        <f>'All Girls &amp; Descendants'!D284</f>
        <v>SOAMES</v>
      </c>
      <c r="D285" t="str">
        <f>'All Girls &amp; Descendants'!E284</f>
        <v>Tommy</v>
      </c>
      <c r="E285" t="str">
        <f>IF('All Girls &amp; Descendants'!F284="","",'All Girls &amp; Descendants'!F284)</f>
        <v/>
      </c>
      <c r="F285" t="str">
        <f>IF('All Girls &amp; Descendants'!G284="","",'All Girls &amp; Descendants'!G284)</f>
        <v/>
      </c>
      <c r="G285" t="str">
        <f>IF('All Girls &amp; Descendants'!H284="",D285,'All Girls &amp; Descendants'!H284)</f>
        <v>Tommy</v>
      </c>
      <c r="H285">
        <f>'All Girls &amp; Descendants'!I284</f>
        <v>1997</v>
      </c>
      <c r="I285" t="str">
        <f>'All Girls &amp; Descendants'!J284</f>
        <v/>
      </c>
      <c r="J285">
        <f>'All Girls &amp; Descendants'!K284</f>
        <v>0</v>
      </c>
      <c r="K285" s="7">
        <f>'All Girls &amp; Descendants'!M284</f>
        <v>35663</v>
      </c>
      <c r="L285" t="str">
        <f>'All Girls &amp; Descendants'!N284</f>
        <v xml:space="preserve"> - </v>
      </c>
      <c r="M285" t="str">
        <f>'All Girls &amp; Descendants'!O284</f>
        <v/>
      </c>
      <c r="N285" t="str">
        <f>'All Girls &amp; Descendants'!P284</f>
        <v/>
      </c>
      <c r="O285" t="str">
        <f>'All Girls &amp; Descendants'!Q284</f>
        <v>115b</v>
      </c>
      <c r="P285" t="str">
        <f t="shared" si="70"/>
        <v>115bb</v>
      </c>
      <c r="Q285" s="116">
        <f t="shared" si="71"/>
        <v>2</v>
      </c>
      <c r="R285" s="31" t="str">
        <f t="shared" si="72"/>
        <v>Tommy   SOAMES</v>
      </c>
      <c r="S285" s="31" t="str">
        <f t="shared" si="73"/>
        <v>Tommy SOAMES (1997 -: #115bb)</v>
      </c>
    </row>
    <row r="286" spans="1:19">
      <c r="A286">
        <f>'All Girls &amp; Descendants'!B285</f>
        <v>115</v>
      </c>
      <c r="B286" t="str">
        <f>'All Girls &amp; Descendants'!C285</f>
        <v>115bc</v>
      </c>
      <c r="C286" t="str">
        <f>'All Girls &amp; Descendants'!D285</f>
        <v>SOAMES</v>
      </c>
      <c r="D286" t="str">
        <f>'All Girls &amp; Descendants'!E285</f>
        <v>Mary</v>
      </c>
      <c r="E286" t="str">
        <f>IF('All Girls &amp; Descendants'!F285="","",'All Girls &amp; Descendants'!F285)</f>
        <v>Alicia</v>
      </c>
      <c r="F286" t="str">
        <f>IF('All Girls &amp; Descendants'!G285="","",'All Girls &amp; Descendants'!G285)</f>
        <v>Claire</v>
      </c>
      <c r="G286" t="str">
        <f>IF('All Girls &amp; Descendants'!H285="",D286,'All Girls &amp; Descendants'!H285)</f>
        <v>Mary</v>
      </c>
      <c r="H286">
        <f>'All Girls &amp; Descendants'!I285</f>
        <v>1999</v>
      </c>
      <c r="I286" t="str">
        <f>'All Girls &amp; Descendants'!J285</f>
        <v/>
      </c>
      <c r="J286">
        <f>'All Girls &amp; Descendants'!K285</f>
        <v>0</v>
      </c>
      <c r="K286" s="7">
        <f>'All Girls &amp; Descendants'!M285</f>
        <v>36290</v>
      </c>
      <c r="L286" t="str">
        <f>'All Girls &amp; Descendants'!N285</f>
        <v xml:space="preserve"> - </v>
      </c>
      <c r="M286" t="str">
        <f>'All Girls &amp; Descendants'!O285</f>
        <v/>
      </c>
      <c r="N286" t="str">
        <f>'All Girls &amp; Descendants'!P285</f>
        <v/>
      </c>
      <c r="O286" t="str">
        <f>'All Girls &amp; Descendants'!Q285</f>
        <v>115b</v>
      </c>
      <c r="P286" t="str">
        <f t="shared" si="70"/>
        <v>115bc</v>
      </c>
      <c r="Q286" s="116">
        <f t="shared" si="71"/>
        <v>2</v>
      </c>
      <c r="R286" s="31" t="str">
        <f t="shared" si="72"/>
        <v>Mary Alicia Claire SOAMES</v>
      </c>
      <c r="S286" s="31" t="str">
        <f t="shared" si="73"/>
        <v>Mary SOAMES (1999 -: #115bc)</v>
      </c>
    </row>
    <row r="287" spans="1:19">
      <c r="A287">
        <f>'All Girls &amp; Descendants'!B286</f>
        <v>123</v>
      </c>
      <c r="B287" t="str">
        <f>'All Girls &amp; Descendants'!C286</f>
        <v>123aa</v>
      </c>
      <c r="C287" t="str">
        <f>'All Girls &amp; Descendants'!D286</f>
        <v>TALBOT</v>
      </c>
      <c r="D287" t="str">
        <f>'All Girls &amp; Descendants'!E286</f>
        <v>Eva</v>
      </c>
      <c r="E287" t="str">
        <f>IF('All Girls &amp; Descendants'!F286="","",'All Girls &amp; Descendants'!F286)</f>
        <v>Charlotte</v>
      </c>
      <c r="F287" t="str">
        <f>IF('All Girls &amp; Descendants'!G286="","",'All Girls &amp; Descendants'!G286)</f>
        <v>Loyd</v>
      </c>
      <c r="G287" t="str">
        <f>IF('All Girls &amp; Descendants'!H286="",D287,'All Girls &amp; Descendants'!H286)</f>
        <v>Evie</v>
      </c>
      <c r="H287">
        <f>'All Girls &amp; Descendants'!I286</f>
        <v>2012</v>
      </c>
      <c r="I287" t="str">
        <f>'All Girls &amp; Descendants'!J286</f>
        <v/>
      </c>
      <c r="J287">
        <f>'All Girls &amp; Descendants'!K286</f>
        <v>0</v>
      </c>
      <c r="K287" s="7">
        <f>'All Girls &amp; Descendants'!M286</f>
        <v>41202</v>
      </c>
      <c r="L287" t="str">
        <f>'All Girls &amp; Descendants'!N286</f>
        <v xml:space="preserve"> - </v>
      </c>
      <c r="M287" t="str">
        <f>'All Girls &amp; Descendants'!O286</f>
        <v/>
      </c>
      <c r="N287" t="str">
        <f>'All Girls &amp; Descendants'!P286</f>
        <v/>
      </c>
      <c r="O287" t="str">
        <f>'All Girls &amp; Descendants'!Q286</f>
        <v>123a</v>
      </c>
      <c r="P287" t="str">
        <f t="shared" si="70"/>
        <v>123aa</v>
      </c>
      <c r="Q287" s="116">
        <f t="shared" si="71"/>
        <v>2</v>
      </c>
      <c r="R287" s="31" t="str">
        <f t="shared" si="72"/>
        <v>Eva Charlotte Loyd TALBOT</v>
      </c>
      <c r="S287" s="31" t="str">
        <f t="shared" si="73"/>
        <v>Evie TALBOT (2012 -: #123aa)</v>
      </c>
    </row>
    <row r="288" spans="1:19">
      <c r="A288">
        <f>'All Girls &amp; Descendants'!B287</f>
        <v>123</v>
      </c>
      <c r="B288" t="str">
        <f>'All Girls &amp; Descendants'!C287</f>
        <v>123ab</v>
      </c>
      <c r="C288" t="str">
        <f>'All Girls &amp; Descendants'!D287</f>
        <v>TALBOT</v>
      </c>
      <c r="D288" t="str">
        <f>'All Girls &amp; Descendants'!E287</f>
        <v>Arlo</v>
      </c>
      <c r="E288" t="str">
        <f>IF('All Girls &amp; Descendants'!F287="","",'All Girls &amp; Descendants'!F287)</f>
        <v>Terrence</v>
      </c>
      <c r="F288" t="str">
        <f>IF('All Girls &amp; Descendants'!G287="","",'All Girls &amp; Descendants'!G287)</f>
        <v>Peter</v>
      </c>
      <c r="G288" t="str">
        <f>IF('All Girls &amp; Descendants'!H287="",D288,'All Girls &amp; Descendants'!H287)</f>
        <v>Arlo</v>
      </c>
      <c r="H288">
        <f>'All Girls &amp; Descendants'!I287</f>
        <v>2015</v>
      </c>
      <c r="I288" t="str">
        <f>'All Girls &amp; Descendants'!J287</f>
        <v/>
      </c>
      <c r="J288">
        <f>'All Girls &amp; Descendants'!K287</f>
        <v>0</v>
      </c>
      <c r="K288" s="7">
        <f>'All Girls &amp; Descendants'!M287</f>
        <v>42082</v>
      </c>
      <c r="L288" t="str">
        <f>'All Girls &amp; Descendants'!N287</f>
        <v xml:space="preserve"> - </v>
      </c>
      <c r="M288" t="str">
        <f>'All Girls &amp; Descendants'!O287</f>
        <v/>
      </c>
      <c r="N288" t="str">
        <f>'All Girls &amp; Descendants'!P287</f>
        <v/>
      </c>
      <c r="O288" t="str">
        <f>'All Girls &amp; Descendants'!Q287</f>
        <v>123a</v>
      </c>
      <c r="P288" t="str">
        <f t="shared" si="70"/>
        <v>123ab</v>
      </c>
      <c r="Q288" s="116">
        <f t="shared" si="71"/>
        <v>2</v>
      </c>
      <c r="R288" s="31" t="str">
        <f t="shared" si="72"/>
        <v>Arlo Terrence Peter TALBOT</v>
      </c>
      <c r="S288" s="31" t="str">
        <f t="shared" si="73"/>
        <v>Arlo TALBOT (2015 -: #123ab)</v>
      </c>
    </row>
    <row r="289" spans="1:19">
      <c r="A289">
        <f>'All Girls &amp; Descendants'!B288</f>
        <v>123</v>
      </c>
      <c r="B289" t="str">
        <f>'All Girls &amp; Descendants'!C288</f>
        <v>123ba</v>
      </c>
      <c r="C289" t="str">
        <f>'All Girls &amp; Descendants'!D288</f>
        <v>CORVINO</v>
      </c>
      <c r="D289" t="str">
        <f>'All Girls &amp; Descendants'!E288</f>
        <v>Rufus</v>
      </c>
      <c r="E289" t="str">
        <f>IF('All Girls &amp; Descendants'!F288="","",'All Girls &amp; Descendants'!F288)</f>
        <v>Mali</v>
      </c>
      <c r="F289" t="str">
        <f>IF('All Girls &amp; Descendants'!G288="","",'All Girls &amp; Descendants'!G288)</f>
        <v/>
      </c>
      <c r="G289" t="str">
        <f>IF('All Girls &amp; Descendants'!H288="",D289,'All Girls &amp; Descendants'!H288)</f>
        <v>Rufus</v>
      </c>
      <c r="H289">
        <f>'All Girls &amp; Descendants'!I288</f>
        <v>2005</v>
      </c>
      <c r="I289" t="str">
        <f>'All Girls &amp; Descendants'!J288</f>
        <v/>
      </c>
      <c r="J289">
        <f>'All Girls &amp; Descendants'!K288</f>
        <v>0</v>
      </c>
      <c r="K289" s="7">
        <f>'All Girls &amp; Descendants'!M288</f>
        <v>38466</v>
      </c>
      <c r="L289" t="str">
        <f>'All Girls &amp; Descendants'!N288</f>
        <v xml:space="preserve"> - </v>
      </c>
      <c r="M289" t="str">
        <f>'All Girls &amp; Descendants'!O288</f>
        <v/>
      </c>
      <c r="N289" t="str">
        <f>'All Girls &amp; Descendants'!P288</f>
        <v/>
      </c>
      <c r="O289" t="str">
        <f>'All Girls &amp; Descendants'!Q288</f>
        <v>123b</v>
      </c>
      <c r="P289" t="str">
        <f t="shared" si="70"/>
        <v>123ba</v>
      </c>
      <c r="Q289" s="116">
        <f t="shared" si="71"/>
        <v>2</v>
      </c>
      <c r="R289" s="31" t="str">
        <f t="shared" si="72"/>
        <v>Rufus Mali  CORVINO</v>
      </c>
      <c r="S289" s="31" t="str">
        <f t="shared" si="73"/>
        <v>Rufus CORVINO (2005 -: #123ba)</v>
      </c>
    </row>
    <row r="290" spans="1:19">
      <c r="A290">
        <f>'All Girls &amp; Descendants'!B289</f>
        <v>123</v>
      </c>
      <c r="B290" t="str">
        <f>'All Girls &amp; Descendants'!C289</f>
        <v>123bb</v>
      </c>
      <c r="C290" t="str">
        <f>'All Girls &amp; Descendants'!D289</f>
        <v>BOSMAN</v>
      </c>
      <c r="D290" t="str">
        <f>'All Girls &amp; Descendants'!E289</f>
        <v>Hal</v>
      </c>
      <c r="E290" t="str">
        <f>IF('All Girls &amp; Descendants'!F289="","",'All Girls &amp; Descendants'!F289)</f>
        <v>Alfred</v>
      </c>
      <c r="F290" t="str">
        <f>IF('All Girls &amp; Descendants'!G289="","",'All Girls &amp; Descendants'!G289)</f>
        <v>Layzell</v>
      </c>
      <c r="G290" t="str">
        <f>IF('All Girls &amp; Descendants'!H289="",D290,'All Girls &amp; Descendants'!H289)</f>
        <v>Hal</v>
      </c>
      <c r="H290">
        <f>'All Girls &amp; Descendants'!I289</f>
        <v>2017</v>
      </c>
      <c r="I290" t="str">
        <f>'All Girls &amp; Descendants'!J289</f>
        <v/>
      </c>
      <c r="J290">
        <f>'All Girls &amp; Descendants'!K289</f>
        <v>0</v>
      </c>
      <c r="K290" s="7">
        <f>'All Girls &amp; Descendants'!M289</f>
        <v>42764</v>
      </c>
      <c r="L290" t="str">
        <f>'All Girls &amp; Descendants'!N289</f>
        <v xml:space="preserve"> - </v>
      </c>
      <c r="M290" t="str">
        <f>'All Girls &amp; Descendants'!O289</f>
        <v/>
      </c>
      <c r="N290" t="str">
        <f>'All Girls &amp; Descendants'!P289</f>
        <v/>
      </c>
      <c r="O290" t="str">
        <f>'All Girls &amp; Descendants'!Q289</f>
        <v>123b</v>
      </c>
      <c r="P290" t="str">
        <f t="shared" si="70"/>
        <v>123bb</v>
      </c>
      <c r="Q290" s="116">
        <f t="shared" si="71"/>
        <v>2</v>
      </c>
      <c r="R290" s="31" t="str">
        <f t="shared" si="72"/>
        <v>Hal Alfred Layzell BOSMAN</v>
      </c>
      <c r="S290" s="31" t="str">
        <f t="shared" si="73"/>
        <v>Hal BOSMAN (2017 -: #123bb)</v>
      </c>
    </row>
    <row r="291" spans="1:19">
      <c r="A291">
        <f>'All Girls &amp; Descendants'!B290</f>
        <v>123</v>
      </c>
      <c r="B291" t="str">
        <f>'All Girls &amp; Descendants'!C290</f>
        <v>123bc</v>
      </c>
      <c r="C291" t="str">
        <f>'All Girls &amp; Descendants'!D290</f>
        <v>BOSMAN</v>
      </c>
      <c r="D291" t="str">
        <f>'All Girls &amp; Descendants'!E290</f>
        <v>Rocky</v>
      </c>
      <c r="E291" t="str">
        <f>IF('All Girls &amp; Descendants'!F290="","",'All Girls &amp; Descendants'!F290)</f>
        <v>Terrence</v>
      </c>
      <c r="F291" t="str">
        <f>IF('All Girls &amp; Descendants'!G290="","",'All Girls &amp; Descendants'!G290)</f>
        <v/>
      </c>
      <c r="G291" t="str">
        <f>IF('All Girls &amp; Descendants'!H290="",D291,'All Girls &amp; Descendants'!H290)</f>
        <v>Rocky</v>
      </c>
      <c r="H291">
        <f>'All Girls &amp; Descendants'!I290</f>
        <v>2020</v>
      </c>
      <c r="I291" t="str">
        <f>'All Girls &amp; Descendants'!J290</f>
        <v/>
      </c>
      <c r="J291">
        <f>'All Girls &amp; Descendants'!K290</f>
        <v>0</v>
      </c>
      <c r="K291" s="7">
        <f>'All Girls &amp; Descendants'!M290</f>
        <v>43932</v>
      </c>
      <c r="L291" t="str">
        <f>'All Girls &amp; Descendants'!N290</f>
        <v xml:space="preserve"> - </v>
      </c>
      <c r="M291" t="str">
        <f>'All Girls &amp; Descendants'!O290</f>
        <v/>
      </c>
      <c r="N291" t="str">
        <f>'All Girls &amp; Descendants'!P290</f>
        <v/>
      </c>
      <c r="O291" t="str">
        <f>'All Girls &amp; Descendants'!Q290</f>
        <v>123b</v>
      </c>
      <c r="P291" t="str">
        <f t="shared" si="70"/>
        <v>123bc</v>
      </c>
      <c r="Q291" s="116">
        <f t="shared" si="71"/>
        <v>2</v>
      </c>
      <c r="R291" s="31" t="str">
        <f t="shared" si="72"/>
        <v>Rocky Terrence  BOSMAN</v>
      </c>
      <c r="S291" s="31" t="str">
        <f t="shared" si="73"/>
        <v>Rocky BOSMAN (2020 -: #123bc)</v>
      </c>
    </row>
    <row r="292" spans="1:19">
      <c r="A292">
        <f>'All Girls &amp; Descendants'!B291</f>
        <v>143</v>
      </c>
      <c r="B292" t="str">
        <f>'All Girls &amp; Descendants'!C291</f>
        <v>143aa</v>
      </c>
      <c r="C292" t="str">
        <f>'All Girls &amp; Descendants'!D291</f>
        <v>RUSSELL-STONEHAM</v>
      </c>
      <c r="D292" t="str">
        <f>'All Girls &amp; Descendants'!E291</f>
        <v>Alice</v>
      </c>
      <c r="E292" t="str">
        <f>IF('All Girls &amp; Descendants'!F291="","",'All Girls &amp; Descendants'!F291)</f>
        <v>Isla</v>
      </c>
      <c r="F292" t="str">
        <f>IF('All Girls &amp; Descendants'!G291="","",'All Girls &amp; Descendants'!G291)</f>
        <v/>
      </c>
      <c r="G292" t="str">
        <f>IF('All Girls &amp; Descendants'!H291="",D292,'All Girls &amp; Descendants'!H291)</f>
        <v>Alice</v>
      </c>
      <c r="H292">
        <f>'All Girls &amp; Descendants'!I291</f>
        <v>2020</v>
      </c>
      <c r="I292" t="str">
        <f>'All Girls &amp; Descendants'!J291</f>
        <v/>
      </c>
      <c r="J292">
        <f>'All Girls &amp; Descendants'!K291</f>
        <v>0</v>
      </c>
      <c r="K292" s="7">
        <f>'All Girls &amp; Descendants'!M291</f>
        <v>44125</v>
      </c>
      <c r="L292" t="str">
        <f>'All Girls &amp; Descendants'!N291</f>
        <v xml:space="preserve"> - </v>
      </c>
      <c r="M292" t="str">
        <f>'All Girls &amp; Descendants'!O291</f>
        <v/>
      </c>
      <c r="N292" t="str">
        <f>'All Girls &amp; Descendants'!P291</f>
        <v/>
      </c>
      <c r="O292" t="str">
        <f>'All Girls &amp; Descendants'!Q291</f>
        <v>143a</v>
      </c>
      <c r="P292" t="str">
        <f t="shared" si="70"/>
        <v>143aa</v>
      </c>
      <c r="Q292" s="116">
        <f t="shared" si="71"/>
        <v>2</v>
      </c>
      <c r="R292" s="31" t="str">
        <f t="shared" si="72"/>
        <v>Alice Isla  RUSSELL-STONEHAM</v>
      </c>
      <c r="S292" s="31" t="str">
        <f t="shared" si="73"/>
        <v>Alice RUSSELL-STONEHAM (2020 -: #143aa)</v>
      </c>
    </row>
    <row r="293" spans="1:19" ht="17">
      <c r="A293">
        <f>'All Girls &amp; Descendants'!B292</f>
        <v>2</v>
      </c>
      <c r="B293" t="str">
        <f>'All Girls &amp; Descendants'!C292</f>
        <v>2aaa</v>
      </c>
      <c r="C293" t="str">
        <f>'All Girls &amp; Descendants'!D292</f>
        <v>DAVIES</v>
      </c>
      <c r="D293" t="str">
        <f>'All Girls &amp; Descendants'!E292</f>
        <v>William</v>
      </c>
      <c r="E293" t="str">
        <f>IF('All Girls &amp; Descendants'!F292="","",'All Girls &amp; Descendants'!F292)</f>
        <v/>
      </c>
      <c r="F293" t="str">
        <f>IF('All Girls &amp; Descendants'!G292="","",'All Girls &amp; Descendants'!G292)</f>
        <v/>
      </c>
      <c r="G293" t="str">
        <f>IF('All Girls &amp; Descendants'!H292="",D293,'All Girls &amp; Descendants'!H292)</f>
        <v>William</v>
      </c>
      <c r="H293" t="str">
        <f>'All Girls &amp; Descendants'!I292</f>
        <v>1860/61</v>
      </c>
      <c r="I293">
        <f>'All Girls &amp; Descendants'!J292</f>
        <v>1943</v>
      </c>
      <c r="J293">
        <f>'All Girls &amp; Descendants'!K292</f>
        <v>0</v>
      </c>
      <c r="K293" s="7" t="str">
        <f>'All Girls &amp; Descendants'!M292</f>
        <v>1860 or 61</v>
      </c>
      <c r="L293" t="str">
        <f>'All Girls &amp; Descendants'!N292</f>
        <v xml:space="preserve"> - </v>
      </c>
      <c r="M293">
        <f>'All Girls &amp; Descendants'!O292</f>
        <v>15847</v>
      </c>
      <c r="N293" t="str">
        <f>'All Girls &amp; Descendants'!P292</f>
        <v>21/05/1943</v>
      </c>
      <c r="O293" t="str">
        <f>'All Girls &amp; Descendants'!Q292</f>
        <v>2aa</v>
      </c>
      <c r="P293" t="str">
        <f t="shared" si="70"/>
        <v>2aaa</v>
      </c>
      <c r="Q293" s="116">
        <f t="shared" si="71"/>
        <v>3</v>
      </c>
      <c r="R293" s="31" t="str">
        <f t="shared" si="72"/>
        <v>William   DAVIES</v>
      </c>
      <c r="S293" s="31" t="str">
        <f t="shared" si="73"/>
        <v>William DAVIES (1860/61 -1943: #2aaa)</v>
      </c>
    </row>
    <row r="294" spans="1:19" ht="17">
      <c r="A294">
        <f>'All Girls &amp; Descendants'!B293</f>
        <v>2</v>
      </c>
      <c r="B294" t="str">
        <f>'All Girls &amp; Descendants'!C293</f>
        <v>2caa</v>
      </c>
      <c r="C294" t="str">
        <f>'All Girls &amp; Descendants'!D293</f>
        <v>PROTHEROE</v>
      </c>
      <c r="D294" t="str">
        <f>'All Girls &amp; Descendants'!E293</f>
        <v>The REV Roderick</v>
      </c>
      <c r="E294" t="str">
        <f>IF('All Girls &amp; Descendants'!F293="","",'All Girls &amp; Descendants'!F293)</f>
        <v>Loyd</v>
      </c>
      <c r="F294" t="str">
        <f>IF('All Girls &amp; Descendants'!G293="","",'All Girls &amp; Descendants'!G293)</f>
        <v/>
      </c>
      <c r="G294" t="str">
        <f>IF('All Girls &amp; Descendants'!H293="",D294,'All Girls &amp; Descendants'!H293)</f>
        <v>The REV Roderick</v>
      </c>
      <c r="H294">
        <f>'All Girls &amp; Descendants'!I293</f>
        <v>1852</v>
      </c>
      <c r="I294">
        <f>'All Girls &amp; Descendants'!J293</f>
        <v>1905</v>
      </c>
      <c r="J294">
        <f>'All Girls &amp; Descendants'!K293</f>
        <v>0</v>
      </c>
      <c r="K294" s="7" t="str">
        <f>'All Girls &amp; Descendants'!M293</f>
        <v>1852</v>
      </c>
      <c r="L294" t="str">
        <f>'All Girls &amp; Descendants'!N293</f>
        <v xml:space="preserve"> - </v>
      </c>
      <c r="M294" t="str">
        <f>'All Girls &amp; Descendants'!O293</f>
        <v>1894</v>
      </c>
      <c r="N294" t="str">
        <f>'All Girls &amp; Descendants'!P293</f>
        <v>08/03/1905</v>
      </c>
      <c r="O294" t="str">
        <f>'All Girls &amp; Descendants'!Q293</f>
        <v>2ca</v>
      </c>
      <c r="P294" t="str">
        <f t="shared" si="70"/>
        <v>2caa</v>
      </c>
      <c r="Q294" s="116">
        <f t="shared" si="71"/>
        <v>3</v>
      </c>
      <c r="R294" s="31" t="str">
        <f t="shared" si="72"/>
        <v>The REV Roderick Loyd  PROTHEROE</v>
      </c>
      <c r="S294" s="31" t="str">
        <f t="shared" si="73"/>
        <v>The REV Roderick PROTHEROE (1852 -1905: #2caa)</v>
      </c>
    </row>
    <row r="295" spans="1:19" ht="17">
      <c r="A295">
        <f>'All Girls &amp; Descendants'!B294</f>
        <v>2</v>
      </c>
      <c r="B295" t="str">
        <f>'All Girls &amp; Descendants'!C294</f>
        <v>2cab</v>
      </c>
      <c r="C295" t="str">
        <f>'All Girls &amp; Descendants'!D294</f>
        <v>PROTHEROE</v>
      </c>
      <c r="D295" t="str">
        <f>'All Girls &amp; Descendants'!E294</f>
        <v>The REV William</v>
      </c>
      <c r="E295" t="str">
        <f>IF('All Girls &amp; Descendants'!F294="","",'All Girls &amp; Descendants'!F294)</f>
        <v>Loyd</v>
      </c>
      <c r="F295" t="str">
        <f>IF('All Girls &amp; Descendants'!G294="","",'All Girls &amp; Descendants'!G294)</f>
        <v/>
      </c>
      <c r="G295" t="str">
        <f>IF('All Girls &amp; Descendants'!H294="",D295,'All Girls &amp; Descendants'!H294)</f>
        <v>The REV William</v>
      </c>
      <c r="H295">
        <f>'All Girls &amp; Descendants'!I294</f>
        <v>1855</v>
      </c>
      <c r="I295" t="str">
        <f>'All Girls &amp; Descendants'!J294</f>
        <v>1915</v>
      </c>
      <c r="J295">
        <f>'All Girls &amp; Descendants'!K294</f>
        <v>0</v>
      </c>
      <c r="K295" s="7" t="str">
        <f>'All Girls &amp; Descendants'!M294</f>
        <v>10/03/1855</v>
      </c>
      <c r="L295" t="str">
        <f>'All Girls &amp; Descendants'!N294</f>
        <v>07/02/1884</v>
      </c>
      <c r="M295" t="str">
        <f>'All Girls &amp; Descendants'!O294</f>
        <v>1915</v>
      </c>
      <c r="N295" t="str">
        <f>'All Girls &amp; Descendants'!P294</f>
        <v>29/03/1905</v>
      </c>
      <c r="O295" t="str">
        <f>'All Girls &amp; Descendants'!Q294</f>
        <v>2ca</v>
      </c>
      <c r="P295" t="str">
        <f t="shared" si="70"/>
        <v>2cab</v>
      </c>
      <c r="Q295" s="116">
        <f t="shared" si="71"/>
        <v>3</v>
      </c>
      <c r="R295" s="31" t="str">
        <f t="shared" si="72"/>
        <v>The REV William Loyd  PROTHEROE</v>
      </c>
      <c r="S295" s="31" t="str">
        <f t="shared" si="73"/>
        <v>The REV William PROTHEROE (1855 -1915: #2cab)</v>
      </c>
    </row>
    <row r="296" spans="1:19">
      <c r="A296">
        <f>'All Girls &amp; Descendants'!B295</f>
        <v>18</v>
      </c>
      <c r="B296" t="str">
        <f>'All Girls &amp; Descendants'!C295</f>
        <v>18bba</v>
      </c>
      <c r="C296" t="str">
        <f>'All Girls &amp; Descendants'!D295</f>
        <v>WARNER</v>
      </c>
      <c r="D296" t="str">
        <f>'All Girls &amp; Descendants'!E295</f>
        <v>Sir Edward</v>
      </c>
      <c r="E296" t="str">
        <f>IF('All Girls &amp; Descendants'!F295="","",'All Girls &amp; Descendants'!F295)</f>
        <v>Redston</v>
      </c>
      <c r="F296" t="str">
        <f>IF('All Girls &amp; Descendants'!G295="","",'All Girls &amp; Descendants'!G295)</f>
        <v/>
      </c>
      <c r="G296" t="str">
        <f>IF('All Girls &amp; Descendants'!H295="",D296,'All Girls &amp; Descendants'!H295)</f>
        <v>Sir Edward</v>
      </c>
      <c r="H296">
        <f>'All Girls &amp; Descendants'!I295</f>
        <v>1991</v>
      </c>
      <c r="I296">
        <f>'All Girls &amp; Descendants'!J295</f>
        <v>2002</v>
      </c>
      <c r="J296">
        <f>'All Girls &amp; Descendants'!K295</f>
        <v>0</v>
      </c>
      <c r="K296" s="7">
        <f>'All Girls &amp; Descendants'!M295</f>
        <v>33320</v>
      </c>
      <c r="L296">
        <f>'All Girls &amp; Descendants'!N295</f>
        <v>15845</v>
      </c>
      <c r="M296">
        <f>'All Girls &amp; Descendants'!O295</f>
        <v>37295</v>
      </c>
      <c r="N296" t="str">
        <f>'All Girls &amp; Descendants'!P295</f>
        <v>08/02/2002</v>
      </c>
      <c r="O296" t="str">
        <f>'All Girls &amp; Descendants'!Q295</f>
        <v>18bb</v>
      </c>
      <c r="P296" t="str">
        <f t="shared" si="70"/>
        <v>18bba</v>
      </c>
      <c r="Q296" s="116">
        <f t="shared" si="71"/>
        <v>3</v>
      </c>
      <c r="R296" s="31" t="str">
        <f t="shared" si="72"/>
        <v>Sir Edward Redston  WARNER</v>
      </c>
      <c r="S296" s="31" t="str">
        <f t="shared" si="73"/>
        <v>Sir Edward WARNER (1991 -2002: #18bba)</v>
      </c>
    </row>
    <row r="297" spans="1:19">
      <c r="A297">
        <f>'All Girls &amp; Descendants'!B296</f>
        <v>18</v>
      </c>
      <c r="B297" t="str">
        <f>'All Girls &amp; Descendants'!C296</f>
        <v>18bbb</v>
      </c>
      <c r="C297" t="str">
        <f>'All Girls &amp; Descendants'!D296</f>
        <v>WARNER (later NICOL)</v>
      </c>
      <c r="D297" t="str">
        <f>'All Girls &amp; Descendants'!E296</f>
        <v>John</v>
      </c>
      <c r="E297" t="str">
        <f>IF('All Girls &amp; Descendants'!F296="","",'All Girls &amp; Descendants'!F296)</f>
        <v>Wilmot</v>
      </c>
      <c r="F297" t="str">
        <f>IF('All Girls &amp; Descendants'!G296="","",'All Girls &amp; Descendants'!G296)</f>
        <v/>
      </c>
      <c r="G297" t="str">
        <f>IF('All Girls &amp; Descendants'!H296="",D297,'All Girls &amp; Descendants'!H296)</f>
        <v>John</v>
      </c>
      <c r="H297">
        <f>'All Girls &amp; Descendants'!I296</f>
        <v>1912</v>
      </c>
      <c r="I297">
        <f>'All Girls &amp; Descendants'!J296</f>
        <v>2008</v>
      </c>
      <c r="J297">
        <f>'All Girls &amp; Descendants'!K296</f>
        <v>0</v>
      </c>
      <c r="K297" s="7">
        <f>'All Girls &amp; Descendants'!M296</f>
        <v>4548</v>
      </c>
      <c r="L297">
        <f>'All Girls &amp; Descendants'!N296</f>
        <v>16968</v>
      </c>
      <c r="M297">
        <f>'All Girls &amp; Descendants'!O296</f>
        <v>39720</v>
      </c>
      <c r="N297" t="str">
        <f>'All Girls &amp; Descendants'!P296</f>
        <v>29/09/2008</v>
      </c>
      <c r="O297" t="str">
        <f>'All Girls &amp; Descendants'!Q296</f>
        <v>18bb</v>
      </c>
      <c r="P297" t="str">
        <f t="shared" si="70"/>
        <v>18bbb</v>
      </c>
      <c r="Q297" s="116">
        <f t="shared" si="71"/>
        <v>3</v>
      </c>
      <c r="R297" s="31" t="str">
        <f t="shared" si="72"/>
        <v>John Wilmot  WARNER (later NICOL)</v>
      </c>
      <c r="S297" s="31" t="str">
        <f t="shared" si="73"/>
        <v>John WARNER (later NICOL) (1912 -2008: #18bbb)</v>
      </c>
    </row>
    <row r="298" spans="1:19">
      <c r="A298">
        <f>'All Girls &amp; Descendants'!B297</f>
        <v>18</v>
      </c>
      <c r="B298" t="str">
        <f>'All Girls &amp; Descendants'!C297</f>
        <v>18bbc</v>
      </c>
      <c r="C298" t="str">
        <f>'All Girls &amp; Descendants'!D297</f>
        <v>WARNER</v>
      </c>
      <c r="D298" t="str">
        <f>'All Girls &amp; Descendants'!E297</f>
        <v>Peter</v>
      </c>
      <c r="E298" t="str">
        <f>IF('All Girls &amp; Descendants'!F297="","",'All Girls &amp; Descendants'!F297)</f>
        <v>Eric</v>
      </c>
      <c r="F298" t="str">
        <f>IF('All Girls &amp; Descendants'!G297="","",'All Girls &amp; Descendants'!G297)</f>
        <v>Henry</v>
      </c>
      <c r="G298" t="str">
        <f>IF('All Girls &amp; Descendants'!H297="",D298,'All Girls &amp; Descendants'!H297)</f>
        <v>Peter</v>
      </c>
      <c r="H298">
        <f>'All Girls &amp; Descendants'!I297</f>
        <v>1915</v>
      </c>
      <c r="I298">
        <f>'All Girls &amp; Descendants'!J297</f>
        <v>2003</v>
      </c>
      <c r="J298">
        <f>'All Girls &amp; Descendants'!K297</f>
        <v>0</v>
      </c>
      <c r="K298" s="7">
        <f>'All Girls &amp; Descendants'!M297</f>
        <v>5568</v>
      </c>
      <c r="L298" t="str">
        <f>'All Girls &amp; Descendants'!N297</f>
        <v xml:space="preserve"> - </v>
      </c>
      <c r="M298">
        <f>'All Girls &amp; Descendants'!O297</f>
        <v>37929</v>
      </c>
      <c r="N298" t="str">
        <f>'All Girls &amp; Descendants'!P297</f>
        <v>04/11/2003</v>
      </c>
      <c r="O298" t="str">
        <f>'All Girls &amp; Descendants'!Q297</f>
        <v>18bb</v>
      </c>
      <c r="P298" t="str">
        <f t="shared" si="70"/>
        <v>18bbc</v>
      </c>
      <c r="Q298" s="116">
        <f t="shared" si="71"/>
        <v>3</v>
      </c>
      <c r="R298" s="31" t="str">
        <f t="shared" si="72"/>
        <v>Peter Eric Henry WARNER</v>
      </c>
      <c r="S298" s="31" t="str">
        <f t="shared" si="73"/>
        <v>Peter WARNER (1915 -2003: #18bbc)</v>
      </c>
    </row>
    <row r="299" spans="1:19">
      <c r="A299">
        <f>'All Girls &amp; Descendants'!B298</f>
        <v>18</v>
      </c>
      <c r="B299" t="str">
        <f>'All Girls &amp; Descendants'!C298</f>
        <v>18eaa</v>
      </c>
      <c r="C299" t="str">
        <f>'All Girls &amp; Descendants'!D298</f>
        <v>DUGDALE</v>
      </c>
      <c r="D299" t="str">
        <f>'All Girls &amp; Descendants'!E298</f>
        <v>Brenda</v>
      </c>
      <c r="E299" t="str">
        <f>IF('All Girls &amp; Descendants'!F298="","",'All Girls &amp; Descendants'!F298)</f>
        <v/>
      </c>
      <c r="F299" t="str">
        <f>IF('All Girls &amp; Descendants'!G298="","",'All Girls &amp; Descendants'!G298)</f>
        <v/>
      </c>
      <c r="G299" t="str">
        <f>IF('All Girls &amp; Descendants'!H298="",D299,'All Girls &amp; Descendants'!H298)</f>
        <v>Brenda</v>
      </c>
      <c r="H299">
        <f>'All Girls &amp; Descendants'!I298</f>
        <v>1911</v>
      </c>
      <c r="I299">
        <f>'All Girls &amp; Descendants'!J298</f>
        <v>1987</v>
      </c>
      <c r="J299">
        <f>'All Girls &amp; Descendants'!K298</f>
        <v>0</v>
      </c>
      <c r="K299" s="7">
        <f>'All Girls &amp; Descendants'!M298</f>
        <v>4270</v>
      </c>
      <c r="L299" t="str">
        <f>'All Girls &amp; Descendants'!N298</f>
        <v xml:space="preserve"> - </v>
      </c>
      <c r="M299">
        <f>'All Girls &amp; Descendants'!O298</f>
        <v>31997</v>
      </c>
      <c r="N299" t="str">
        <f>'All Girls &amp; Descendants'!P298</f>
        <v>08/08/1987</v>
      </c>
      <c r="O299" t="str">
        <f>'All Girls &amp; Descendants'!Q298</f>
        <v>18ea</v>
      </c>
      <c r="P299" t="str">
        <f t="shared" si="70"/>
        <v>18eaa</v>
      </c>
      <c r="Q299" s="116">
        <f t="shared" si="71"/>
        <v>3</v>
      </c>
      <c r="R299" s="31" t="str">
        <f t="shared" si="72"/>
        <v>Brenda   DUGDALE</v>
      </c>
      <c r="S299" s="31" t="str">
        <f t="shared" si="73"/>
        <v>Brenda DUGDALE (1911 -1987: #18eaa)</v>
      </c>
    </row>
    <row r="300" spans="1:19">
      <c r="A300">
        <f>'All Girls &amp; Descendants'!B299</f>
        <v>36</v>
      </c>
      <c r="B300" t="str">
        <f>'All Girls &amp; Descendants'!C299</f>
        <v>36dba</v>
      </c>
      <c r="C300" t="str">
        <f>'All Girls &amp; Descendants'!D299</f>
        <v>POWELL</v>
      </c>
      <c r="D300" t="str">
        <f>'All Girls &amp; Descendants'!E299</f>
        <v>Elizabeth</v>
      </c>
      <c r="E300" t="str">
        <f>IF('All Girls &amp; Descendants'!F299="","",'All Girls &amp; Descendants'!F299)</f>
        <v>Clare</v>
      </c>
      <c r="F300" t="str">
        <f>IF('All Girls &amp; Descendants'!G299="","",'All Girls &amp; Descendants'!G299)</f>
        <v/>
      </c>
      <c r="G300" t="str">
        <f>IF('All Girls &amp; Descendants'!H299="",D300,'All Girls &amp; Descendants'!H299)</f>
        <v>Toodie</v>
      </c>
      <c r="H300">
        <f>'All Girls &amp; Descendants'!I299</f>
        <v>1942</v>
      </c>
      <c r="I300" t="str">
        <f>'All Girls &amp; Descendants'!J299</f>
        <v/>
      </c>
      <c r="J300">
        <f>'All Girls &amp; Descendants'!K299</f>
        <v>0</v>
      </c>
      <c r="K300" s="7">
        <f>'All Girls &amp; Descendants'!M299</f>
        <v>15491</v>
      </c>
      <c r="L300">
        <f>'All Girls &amp; Descendants'!N299</f>
        <v>24016</v>
      </c>
      <c r="M300" t="str">
        <f>'All Girls &amp; Descendants'!O299</f>
        <v/>
      </c>
      <c r="N300" t="str">
        <f>'All Girls &amp; Descendants'!P299</f>
        <v/>
      </c>
      <c r="O300" t="str">
        <f>'All Girls &amp; Descendants'!Q299</f>
        <v>36db</v>
      </c>
      <c r="P300" t="str">
        <f t="shared" si="70"/>
        <v>36dba</v>
      </c>
      <c r="Q300" s="116">
        <f t="shared" si="71"/>
        <v>3</v>
      </c>
      <c r="R300" s="31" t="str">
        <f t="shared" si="72"/>
        <v>Elizabeth Clare  POWELL</v>
      </c>
      <c r="S300" s="31" t="str">
        <f t="shared" si="73"/>
        <v>Toodie POWELL (1942 -: #36dba)</v>
      </c>
    </row>
    <row r="301" spans="1:19">
      <c r="A301">
        <f>'All Girls &amp; Descendants'!B300</f>
        <v>36</v>
      </c>
      <c r="B301" t="str">
        <f>'All Girls &amp; Descendants'!C300</f>
        <v>36dbb</v>
      </c>
      <c r="C301" t="str">
        <f>'All Girls &amp; Descendants'!D300</f>
        <v>POWELL</v>
      </c>
      <c r="D301" t="str">
        <f>'All Girls &amp; Descendants'!E300</f>
        <v>Margaret</v>
      </c>
      <c r="E301" t="str">
        <f>IF('All Girls &amp; Descendants'!F300="","",'All Girls &amp; Descendants'!F300)</f>
        <v>Ann</v>
      </c>
      <c r="F301" t="str">
        <f>IF('All Girls &amp; Descendants'!G300="","",'All Girls &amp; Descendants'!G300)</f>
        <v/>
      </c>
      <c r="G301" t="str">
        <f>IF('All Girls &amp; Descendants'!H300="",D301,'All Girls &amp; Descendants'!H300)</f>
        <v>Margaret</v>
      </c>
      <c r="H301">
        <f>'All Girls &amp; Descendants'!I300</f>
        <v>1944</v>
      </c>
      <c r="I301" t="str">
        <f>'All Girls &amp; Descendants'!J300</f>
        <v/>
      </c>
      <c r="J301">
        <f>'All Girls &amp; Descendants'!K300</f>
        <v>0</v>
      </c>
      <c r="K301" s="7">
        <f>'All Girls &amp; Descendants'!M300</f>
        <v>16262</v>
      </c>
      <c r="L301">
        <f>'All Girls &amp; Descendants'!N300</f>
        <v>24115</v>
      </c>
      <c r="M301" t="str">
        <f>'All Girls &amp; Descendants'!O300</f>
        <v/>
      </c>
      <c r="N301" t="str">
        <f>'All Girls &amp; Descendants'!P300</f>
        <v/>
      </c>
      <c r="O301" t="str">
        <f>'All Girls &amp; Descendants'!Q300</f>
        <v>36db</v>
      </c>
      <c r="P301" t="str">
        <f t="shared" si="70"/>
        <v>36dbb</v>
      </c>
      <c r="Q301" s="116">
        <f t="shared" si="71"/>
        <v>3</v>
      </c>
      <c r="R301" s="31" t="str">
        <f t="shared" si="72"/>
        <v>Margaret Ann  POWELL</v>
      </c>
      <c r="S301" s="31" t="str">
        <f t="shared" si="73"/>
        <v>Margaret POWELL (1944 -: #36dbb)</v>
      </c>
    </row>
    <row r="302" spans="1:19">
      <c r="A302">
        <f>'All Girls &amp; Descendants'!B301</f>
        <v>47</v>
      </c>
      <c r="B302" t="str">
        <f>'All Girls &amp; Descendants'!C301</f>
        <v>47aaa</v>
      </c>
      <c r="C302" t="str">
        <f>'All Girls &amp; Descendants'!D301</f>
        <v>HARDCASTLE</v>
      </c>
      <c r="D302" t="str">
        <f>'All Girls &amp; Descendants'!E301</f>
        <v>Mary</v>
      </c>
      <c r="E302" t="str">
        <f>IF('All Girls &amp; Descendants'!F301="","",'All Girls &amp; Descendants'!F301)</f>
        <v>Jean</v>
      </c>
      <c r="F302" t="str">
        <f>IF('All Girls &amp; Descendants'!G301="","",'All Girls &amp; Descendants'!G301)</f>
        <v/>
      </c>
      <c r="G302" t="str">
        <f>IF('All Girls &amp; Descendants'!H301="",D302,'All Girls &amp; Descendants'!H301)</f>
        <v>Mary</v>
      </c>
      <c r="H302">
        <f>'All Girls &amp; Descendants'!I301</f>
        <v>1951</v>
      </c>
      <c r="I302" t="str">
        <f>'All Girls &amp; Descendants'!J301</f>
        <v/>
      </c>
      <c r="J302">
        <f>'All Girls &amp; Descendants'!K301</f>
        <v>0</v>
      </c>
      <c r="K302" s="7">
        <f>'All Girls &amp; Descendants'!M301</f>
        <v>18846</v>
      </c>
      <c r="L302">
        <f>'All Girls &amp; Descendants'!N301</f>
        <v>27901</v>
      </c>
      <c r="M302" t="str">
        <f>'All Girls &amp; Descendants'!O301</f>
        <v/>
      </c>
      <c r="N302" t="str">
        <f>'All Girls &amp; Descendants'!P301</f>
        <v/>
      </c>
      <c r="O302" t="str">
        <f>'All Girls &amp; Descendants'!Q301</f>
        <v>47aa</v>
      </c>
      <c r="P302" t="str">
        <f t="shared" si="70"/>
        <v>47aaa</v>
      </c>
      <c r="Q302" s="116">
        <f t="shared" si="71"/>
        <v>3</v>
      </c>
      <c r="R302" s="31" t="str">
        <f t="shared" si="72"/>
        <v>Mary Jean  HARDCASTLE</v>
      </c>
      <c r="S302" s="31" t="str">
        <f t="shared" si="73"/>
        <v>Mary HARDCASTLE (1951 -: #47aaa)</v>
      </c>
    </row>
    <row r="303" spans="1:19">
      <c r="A303">
        <f>'All Girls &amp; Descendants'!B302</f>
        <v>47</v>
      </c>
      <c r="B303" t="str">
        <f>'All Girls &amp; Descendants'!C302</f>
        <v>47aab</v>
      </c>
      <c r="C303" t="str">
        <f>'All Girls &amp; Descendants'!D302</f>
        <v>HARDCASTLE</v>
      </c>
      <c r="D303" t="str">
        <f>'All Girls &amp; Descendants'!E302</f>
        <v>John</v>
      </c>
      <c r="E303" t="str">
        <f>IF('All Girls &amp; Descendants'!F302="","",'All Girls &amp; Descendants'!F302)</f>
        <v>Michael</v>
      </c>
      <c r="F303" t="str">
        <f>IF('All Girls &amp; Descendants'!G302="","",'All Girls &amp; Descendants'!G302)</f>
        <v/>
      </c>
      <c r="G303" t="str">
        <f>IF('All Girls &amp; Descendants'!H302="",D303,'All Girls &amp; Descendants'!H302)</f>
        <v>Michael</v>
      </c>
      <c r="H303">
        <f>'All Girls &amp; Descendants'!I302</f>
        <v>1953</v>
      </c>
      <c r="I303" t="str">
        <f>'All Girls &amp; Descendants'!J302</f>
        <v/>
      </c>
      <c r="J303">
        <f>'All Girls &amp; Descendants'!K302</f>
        <v>0</v>
      </c>
      <c r="K303" s="7">
        <f>'All Girls &amp; Descendants'!M302</f>
        <v>19386</v>
      </c>
      <c r="L303">
        <f>'All Girls &amp; Descendants'!N302</f>
        <v>29365</v>
      </c>
      <c r="M303" t="str">
        <f>'All Girls &amp; Descendants'!O302</f>
        <v/>
      </c>
      <c r="N303" t="str">
        <f>'All Girls &amp; Descendants'!P302</f>
        <v/>
      </c>
      <c r="O303" t="str">
        <f>'All Girls &amp; Descendants'!Q302</f>
        <v>47aa</v>
      </c>
      <c r="P303" t="str">
        <f t="shared" si="70"/>
        <v>47aab</v>
      </c>
      <c r="Q303" s="116">
        <f t="shared" si="71"/>
        <v>3</v>
      </c>
      <c r="R303" s="31" t="str">
        <f t="shared" si="72"/>
        <v>John Michael  HARDCASTLE</v>
      </c>
      <c r="S303" s="31" t="str">
        <f t="shared" si="73"/>
        <v>Michael HARDCASTLE (1953 -: #47aab)</v>
      </c>
    </row>
    <row r="304" spans="1:19">
      <c r="A304">
        <f>'All Girls &amp; Descendants'!B303</f>
        <v>47</v>
      </c>
      <c r="B304" t="str">
        <f>'All Girls &amp; Descendants'!C303</f>
        <v>47aac</v>
      </c>
      <c r="C304" t="str">
        <f>'All Girls &amp; Descendants'!D303</f>
        <v>HARDCASTLE</v>
      </c>
      <c r="D304" t="str">
        <f>'All Girls &amp; Descendants'!E303</f>
        <v>Anthony</v>
      </c>
      <c r="E304" t="str">
        <f>IF('All Girls &amp; Descendants'!F303="","",'All Girls &amp; Descendants'!F303)</f>
        <v>David</v>
      </c>
      <c r="F304" t="str">
        <f>IF('All Girls &amp; Descendants'!G303="","",'All Girls &amp; Descendants'!G303)</f>
        <v/>
      </c>
      <c r="G304" t="str">
        <f>IF('All Girls &amp; Descendants'!H303="",D304,'All Girls &amp; Descendants'!H303)</f>
        <v>David</v>
      </c>
      <c r="H304">
        <f>'All Girls &amp; Descendants'!I303</f>
        <v>1954</v>
      </c>
      <c r="I304" t="str">
        <f>'All Girls &amp; Descendants'!J303</f>
        <v/>
      </c>
      <c r="J304">
        <f>'All Girls &amp; Descendants'!K303</f>
        <v>0</v>
      </c>
      <c r="K304" s="7">
        <f>'All Girls &amp; Descendants'!M303</f>
        <v>19882</v>
      </c>
      <c r="L304">
        <f>'All Girls &amp; Descendants'!N303</f>
        <v>29799</v>
      </c>
      <c r="M304" t="str">
        <f>'All Girls &amp; Descendants'!O303</f>
        <v/>
      </c>
      <c r="N304" t="str">
        <f>'All Girls &amp; Descendants'!P303</f>
        <v/>
      </c>
      <c r="O304" t="str">
        <f>'All Girls &amp; Descendants'!Q303</f>
        <v>47aa</v>
      </c>
      <c r="P304" t="str">
        <f t="shared" si="70"/>
        <v>47aac</v>
      </c>
      <c r="Q304" s="116">
        <f t="shared" si="71"/>
        <v>3</v>
      </c>
      <c r="R304" s="31" t="str">
        <f t="shared" si="72"/>
        <v>Anthony David  HARDCASTLE</v>
      </c>
      <c r="S304" s="31" t="str">
        <f t="shared" si="73"/>
        <v>David HARDCASTLE (1954 -: #47aac)</v>
      </c>
    </row>
    <row r="305" spans="1:19">
      <c r="A305">
        <f>'All Girls &amp; Descendants'!B304</f>
        <v>47</v>
      </c>
      <c r="B305" t="str">
        <f>'All Girls &amp; Descendants'!C304</f>
        <v>47aba</v>
      </c>
      <c r="C305" t="str">
        <f>'All Girls &amp; Descendants'!D304</f>
        <v>DREWE</v>
      </c>
      <c r="D305" t="str">
        <f>'All Girls &amp; Descendants'!E304</f>
        <v>Martin</v>
      </c>
      <c r="E305" t="str">
        <f>IF('All Girls &amp; Descendants'!F304="","",'All Girls &amp; Descendants'!F304)</f>
        <v>Christopher</v>
      </c>
      <c r="F305" t="str">
        <f>IF('All Girls &amp; Descendants'!G304="","",'All Girls &amp; Descendants'!G304)</f>
        <v/>
      </c>
      <c r="G305" t="str">
        <f>IF('All Girls &amp; Descendants'!H304="",D305,'All Girls &amp; Descendants'!H304)</f>
        <v>Martin</v>
      </c>
      <c r="H305">
        <f>'All Girls &amp; Descendants'!I304</f>
        <v>1951</v>
      </c>
      <c r="I305" t="str">
        <f>'All Girls &amp; Descendants'!J304</f>
        <v/>
      </c>
      <c r="J305">
        <f>'All Girls &amp; Descendants'!K304</f>
        <v>0</v>
      </c>
      <c r="K305" s="7">
        <f>'All Girls &amp; Descendants'!M304</f>
        <v>18775</v>
      </c>
      <c r="L305">
        <f>'All Girls &amp; Descendants'!N304</f>
        <v>35096</v>
      </c>
      <c r="M305" t="str">
        <f>'All Girls &amp; Descendants'!O304</f>
        <v/>
      </c>
      <c r="N305" t="str">
        <f>'All Girls &amp; Descendants'!P304</f>
        <v/>
      </c>
      <c r="O305" t="str">
        <f>'All Girls &amp; Descendants'!Q304</f>
        <v>47ab</v>
      </c>
      <c r="P305" t="str">
        <f t="shared" si="70"/>
        <v>47aba</v>
      </c>
      <c r="Q305" s="116">
        <f t="shared" si="71"/>
        <v>3</v>
      </c>
      <c r="R305" s="31" t="str">
        <f t="shared" si="72"/>
        <v>Martin Christopher  DREWE</v>
      </c>
      <c r="S305" s="31" t="str">
        <f t="shared" si="73"/>
        <v>Martin DREWE (1951 -: #47aba)</v>
      </c>
    </row>
    <row r="306" spans="1:19">
      <c r="A306">
        <f>'All Girls &amp; Descendants'!B305</f>
        <v>47</v>
      </c>
      <c r="B306" t="str">
        <f>'All Girls &amp; Descendants'!C305</f>
        <v>47abb</v>
      </c>
      <c r="C306" t="str">
        <f>'All Girls &amp; Descendants'!D305</f>
        <v>DREWE</v>
      </c>
      <c r="D306" t="str">
        <f>'All Girls &amp; Descendants'!E305</f>
        <v>Gillian</v>
      </c>
      <c r="E306" t="str">
        <f>IF('All Girls &amp; Descendants'!F305="","",'All Girls &amp; Descendants'!F305)</f>
        <v>Frances</v>
      </c>
      <c r="F306" t="str">
        <f>IF('All Girls &amp; Descendants'!G305="","",'All Girls &amp; Descendants'!G305)</f>
        <v/>
      </c>
      <c r="G306" t="str">
        <f>IF('All Girls &amp; Descendants'!H305="",D306,'All Girls &amp; Descendants'!H305)</f>
        <v>Gillian</v>
      </c>
      <c r="H306">
        <f>'All Girls &amp; Descendants'!I305</f>
        <v>1953</v>
      </c>
      <c r="I306" t="str">
        <f>'All Girls &amp; Descendants'!J305</f>
        <v/>
      </c>
      <c r="J306">
        <f>'All Girls &amp; Descendants'!K305</f>
        <v>0</v>
      </c>
      <c r="K306" s="7">
        <f>'All Girls &amp; Descendants'!M305</f>
        <v>19560</v>
      </c>
      <c r="L306">
        <f>'All Girls &amp; Descendants'!N305</f>
        <v>29666</v>
      </c>
      <c r="M306" t="str">
        <f>'All Girls &amp; Descendants'!O305</f>
        <v/>
      </c>
      <c r="N306" t="str">
        <f>'All Girls &amp; Descendants'!P305</f>
        <v/>
      </c>
      <c r="O306" t="str">
        <f>'All Girls &amp; Descendants'!Q305</f>
        <v>47ab</v>
      </c>
      <c r="P306" t="str">
        <f t="shared" si="70"/>
        <v>47abb</v>
      </c>
      <c r="Q306" s="116">
        <f t="shared" si="71"/>
        <v>3</v>
      </c>
      <c r="R306" s="31" t="str">
        <f t="shared" si="72"/>
        <v>Gillian Frances  DREWE</v>
      </c>
      <c r="S306" s="31" t="str">
        <f t="shared" si="73"/>
        <v>Gillian DREWE (1953 -: #47abb)</v>
      </c>
    </row>
    <row r="307" spans="1:19" ht="17">
      <c r="A307">
        <f>'All Girls &amp; Descendants'!B306</f>
        <v>47</v>
      </c>
      <c r="B307" t="str">
        <f>'All Girls &amp; Descendants'!C306</f>
        <v>47abc</v>
      </c>
      <c r="C307" t="str">
        <f>'All Girls &amp; Descendants'!D306</f>
        <v>DREWE</v>
      </c>
      <c r="D307" t="str">
        <f>'All Girls &amp; Descendants'!E306</f>
        <v>Charles</v>
      </c>
      <c r="E307" t="str">
        <f>IF('All Girls &amp; Descendants'!F306="","",'All Girls &amp; Descendants'!F306)</f>
        <v>Loyd</v>
      </c>
      <c r="F307" t="str">
        <f>IF('All Girls &amp; Descendants'!G306="","",'All Girls &amp; Descendants'!G306)</f>
        <v/>
      </c>
      <c r="G307" t="str">
        <f>IF('All Girls &amp; Descendants'!H306="",D307,'All Girls &amp; Descendants'!H306)</f>
        <v>Charles</v>
      </c>
      <c r="H307">
        <f>'All Girls &amp; Descendants'!I306</f>
        <v>1957</v>
      </c>
      <c r="I307" t="str">
        <f>'All Girls &amp; Descendants'!J306</f>
        <v/>
      </c>
      <c r="J307">
        <f>'All Girls &amp; Descendants'!K306</f>
        <v>0</v>
      </c>
      <c r="K307" s="7" t="str">
        <f>'All Girls &amp; Descendants'!M306</f>
        <v>24/10/1957</v>
      </c>
      <c r="L307">
        <f>'All Girls &amp; Descendants'!N306</f>
        <v>31765</v>
      </c>
      <c r="M307" t="str">
        <f>'All Girls &amp; Descendants'!O306</f>
        <v/>
      </c>
      <c r="N307" t="str">
        <f>'All Girls &amp; Descendants'!P306</f>
        <v/>
      </c>
      <c r="O307" t="str">
        <f>'All Girls &amp; Descendants'!Q306</f>
        <v>47ab</v>
      </c>
      <c r="P307" t="str">
        <f t="shared" si="70"/>
        <v>47abc</v>
      </c>
      <c r="Q307" s="116">
        <f t="shared" si="71"/>
        <v>3</v>
      </c>
      <c r="R307" s="31" t="str">
        <f t="shared" si="72"/>
        <v>Charles Loyd  DREWE</v>
      </c>
      <c r="S307" s="31" t="str">
        <f t="shared" si="73"/>
        <v>Charles DREWE (1957 -: #47abc)</v>
      </c>
    </row>
    <row r="308" spans="1:19">
      <c r="A308">
        <f>'All Girls &amp; Descendants'!B307</f>
        <v>63</v>
      </c>
      <c r="B308" t="str">
        <f>'All Girls &amp; Descendants'!C307</f>
        <v>63aba</v>
      </c>
      <c r="C308" t="str">
        <f>'All Girls &amp; Descendants'!D307</f>
        <v>MOORE</v>
      </c>
      <c r="D308" t="str">
        <f>'All Girls &amp; Descendants'!E307</f>
        <v>Isabel</v>
      </c>
      <c r="E308" t="str">
        <f>IF('All Girls &amp; Descendants'!F307="","",'All Girls &amp; Descendants'!F307)</f>
        <v>Eleanor</v>
      </c>
      <c r="F308" t="str">
        <f>IF('All Girls &amp; Descendants'!G307="","",'All Girls &amp; Descendants'!G307)</f>
        <v/>
      </c>
      <c r="G308" t="str">
        <f>IF('All Girls &amp; Descendants'!H307="",D308,'All Girls &amp; Descendants'!H307)</f>
        <v>Isabel</v>
      </c>
      <c r="H308">
        <f>'All Girls &amp; Descendants'!I307</f>
        <v>1989</v>
      </c>
      <c r="I308">
        <f>'All Girls &amp; Descendants'!J307</f>
        <v>2021</v>
      </c>
      <c r="J308">
        <f>'All Girls &amp; Descendants'!K307</f>
        <v>0</v>
      </c>
      <c r="K308" s="7">
        <f>'All Girls &amp; Descendants'!M307</f>
        <v>32624</v>
      </c>
      <c r="L308" t="str">
        <f>'All Girls &amp; Descendants'!N307</f>
        <v xml:space="preserve"> - </v>
      </c>
      <c r="M308">
        <f>'All Girls &amp; Descendants'!O307</f>
        <v>44468</v>
      </c>
      <c r="N308" t="str">
        <f>'All Girls &amp; Descendants'!P307</f>
        <v>29/09/2021</v>
      </c>
      <c r="O308" t="str">
        <f>'All Girls &amp; Descendants'!Q307</f>
        <v>63ab</v>
      </c>
      <c r="P308" t="str">
        <f t="shared" si="70"/>
        <v>63aba</v>
      </c>
      <c r="Q308" s="116">
        <f t="shared" si="71"/>
        <v>3</v>
      </c>
      <c r="R308" s="31" t="str">
        <f t="shared" si="72"/>
        <v>Isabel Eleanor  MOORE</v>
      </c>
      <c r="S308" s="31" t="str">
        <f t="shared" si="73"/>
        <v>Isabel MOORE (1989 -2021: #63aba)</v>
      </c>
    </row>
    <row r="309" spans="1:19">
      <c r="A309">
        <f>'All Girls &amp; Descendants'!B308</f>
        <v>63</v>
      </c>
      <c r="B309" t="str">
        <f>'All Girls &amp; Descendants'!C308</f>
        <v>63abb</v>
      </c>
      <c r="C309" t="str">
        <f>'All Girls &amp; Descendants'!D308</f>
        <v>MOORE</v>
      </c>
      <c r="D309" t="str">
        <f>'All Girls &amp; Descendants'!E308</f>
        <v>Alistair</v>
      </c>
      <c r="E309" t="str">
        <f>IF('All Girls &amp; Descendants'!F308="","",'All Girls &amp; Descendants'!F308)</f>
        <v>William</v>
      </c>
      <c r="F309" t="str">
        <f>IF('All Girls &amp; Descendants'!G308="","",'All Girls &amp; Descendants'!G308)</f>
        <v/>
      </c>
      <c r="G309" t="str">
        <f>IF('All Girls &amp; Descendants'!H308="",D309,'All Girls &amp; Descendants'!H308)</f>
        <v>Alistair</v>
      </c>
      <c r="H309">
        <f>'All Girls &amp; Descendants'!I308</f>
        <v>1991</v>
      </c>
      <c r="I309" t="str">
        <f>'All Girls &amp; Descendants'!J308</f>
        <v/>
      </c>
      <c r="J309">
        <f>'All Girls &amp; Descendants'!K308</f>
        <v>0</v>
      </c>
      <c r="K309" s="7">
        <f>'All Girls &amp; Descendants'!M308</f>
        <v>33349</v>
      </c>
      <c r="L309" t="str">
        <f>'All Girls &amp; Descendants'!N308</f>
        <v xml:space="preserve"> - </v>
      </c>
      <c r="M309" t="str">
        <f>'All Girls &amp; Descendants'!O308</f>
        <v/>
      </c>
      <c r="N309" t="str">
        <f>'All Girls &amp; Descendants'!P308</f>
        <v/>
      </c>
      <c r="O309" t="str">
        <f>'All Girls &amp; Descendants'!Q308</f>
        <v>63ab</v>
      </c>
      <c r="P309" t="str">
        <f t="shared" si="70"/>
        <v>63abb</v>
      </c>
      <c r="Q309" s="116">
        <f t="shared" si="71"/>
        <v>3</v>
      </c>
      <c r="R309" s="31" t="str">
        <f t="shared" si="72"/>
        <v>Alistair William  MOORE</v>
      </c>
      <c r="S309" s="31" t="str">
        <f t="shared" si="73"/>
        <v>Alistair MOORE (1991 -: #63abb)</v>
      </c>
    </row>
    <row r="310" spans="1:19">
      <c r="A310">
        <f>'All Girls &amp; Descendants'!B309</f>
        <v>70</v>
      </c>
      <c r="B310" t="str">
        <f>'All Girls &amp; Descendants'!C309</f>
        <v>70aaa</v>
      </c>
      <c r="C310" t="str">
        <f>'All Girls &amp; Descendants'!D309</f>
        <v>SHEARER</v>
      </c>
      <c r="D310" t="str">
        <f>'All Girls &amp; Descendants'!E309</f>
        <v>Henry</v>
      </c>
      <c r="E310" t="str">
        <f>IF('All Girls &amp; Descendants'!F309="","",'All Girls &amp; Descendants'!F309)</f>
        <v>Charles</v>
      </c>
      <c r="F310" t="str">
        <f>IF('All Girls &amp; Descendants'!G309="","",'All Girls &amp; Descendants'!G309)</f>
        <v>Anthony</v>
      </c>
      <c r="G310" t="str">
        <f>IF('All Girls &amp; Descendants'!H309="",D310,'All Girls &amp; Descendants'!H309)</f>
        <v>Henry</v>
      </c>
      <c r="H310">
        <f>'All Girls &amp; Descendants'!I309</f>
        <v>1981</v>
      </c>
      <c r="I310" t="str">
        <f>'All Girls &amp; Descendants'!J309</f>
        <v/>
      </c>
      <c r="J310">
        <f>'All Girls &amp; Descendants'!K309</f>
        <v>0</v>
      </c>
      <c r="K310" s="7">
        <f>'All Girls &amp; Descendants'!M309</f>
        <v>29897</v>
      </c>
      <c r="L310" t="str">
        <f>'All Girls &amp; Descendants'!N309</f>
        <v xml:space="preserve"> - </v>
      </c>
      <c r="M310" t="str">
        <f>'All Girls &amp; Descendants'!O309</f>
        <v/>
      </c>
      <c r="N310" t="str">
        <f>'All Girls &amp; Descendants'!P309</f>
        <v/>
      </c>
      <c r="O310" t="str">
        <f>'All Girls &amp; Descendants'!Q309</f>
        <v>70aa</v>
      </c>
      <c r="P310" t="str">
        <f t="shared" si="70"/>
        <v>70aaa</v>
      </c>
      <c r="Q310" s="116">
        <f t="shared" si="71"/>
        <v>3</v>
      </c>
      <c r="R310" s="31" t="str">
        <f t="shared" si="72"/>
        <v>Henry Charles Anthony SHEARER</v>
      </c>
      <c r="S310" s="31" t="str">
        <f t="shared" si="73"/>
        <v>Henry SHEARER (1981 -: #70aaa)</v>
      </c>
    </row>
    <row r="311" spans="1:19" ht="17">
      <c r="A311">
        <f>'All Girls &amp; Descendants'!B310</f>
        <v>70</v>
      </c>
      <c r="B311" t="str">
        <f>'All Girls &amp; Descendants'!C310</f>
        <v>70aab</v>
      </c>
      <c r="C311" t="str">
        <f>'All Girls &amp; Descendants'!D310</f>
        <v>SHEARER</v>
      </c>
      <c r="D311" t="str">
        <f>'All Girls &amp; Descendants'!E310</f>
        <v>Emma</v>
      </c>
      <c r="E311" t="str">
        <f>IF('All Girls &amp; Descendants'!F310="","",'All Girls &amp; Descendants'!F310)</f>
        <v>Jane</v>
      </c>
      <c r="F311" t="str">
        <f>IF('All Girls &amp; Descendants'!G310="","",'All Girls &amp; Descendants'!G310)</f>
        <v/>
      </c>
      <c r="G311" t="str">
        <f>IF('All Girls &amp; Descendants'!H310="",D311,'All Girls &amp; Descendants'!H310)</f>
        <v>Emma</v>
      </c>
      <c r="H311">
        <f>'All Girls &amp; Descendants'!I310</f>
        <v>1986</v>
      </c>
      <c r="I311" t="str">
        <f>'All Girls &amp; Descendants'!J310</f>
        <v/>
      </c>
      <c r="J311">
        <f>'All Girls &amp; Descendants'!K310</f>
        <v>0</v>
      </c>
      <c r="K311" s="7" t="str">
        <f>'All Girls &amp; Descendants'!M310</f>
        <v>12/09/1986</v>
      </c>
      <c r="L311" t="str">
        <f>'All Girls &amp; Descendants'!N310</f>
        <v xml:space="preserve"> - </v>
      </c>
      <c r="M311" t="str">
        <f>'All Girls &amp; Descendants'!O310</f>
        <v/>
      </c>
      <c r="N311" t="str">
        <f>'All Girls &amp; Descendants'!P310</f>
        <v/>
      </c>
      <c r="O311" t="str">
        <f>'All Girls &amp; Descendants'!Q310</f>
        <v>70aa</v>
      </c>
      <c r="P311" t="str">
        <f t="shared" si="70"/>
        <v>70aab</v>
      </c>
      <c r="Q311" s="116">
        <f t="shared" si="71"/>
        <v>3</v>
      </c>
      <c r="R311" s="31" t="str">
        <f t="shared" si="72"/>
        <v>Emma Jane  SHEARER</v>
      </c>
      <c r="S311" s="31" t="str">
        <f t="shared" si="73"/>
        <v>Emma SHEARER (1986 -: #70aab)</v>
      </c>
    </row>
    <row r="312" spans="1:19" ht="17">
      <c r="A312">
        <f>'All Girls &amp; Descendants'!B311</f>
        <v>70</v>
      </c>
      <c r="B312" t="str">
        <f>'All Girls &amp; Descendants'!C311</f>
        <v>70aba</v>
      </c>
      <c r="C312" t="str">
        <f>'All Girls &amp; Descendants'!D311</f>
        <v>ANDREY</v>
      </c>
      <c r="D312" t="str">
        <f>'All Girls &amp; Descendants'!E311</f>
        <v>Christopher</v>
      </c>
      <c r="E312" t="str">
        <f>IF('All Girls &amp; Descendants'!F311="","",'All Girls &amp; Descendants'!F311)</f>
        <v>John</v>
      </c>
      <c r="F312" t="str">
        <f>IF('All Girls &amp; Descendants'!G311="","",'All Girls &amp; Descendants'!G311)</f>
        <v/>
      </c>
      <c r="G312" t="str">
        <f>IF('All Girls &amp; Descendants'!H311="",D312,'All Girls &amp; Descendants'!H311)</f>
        <v>Christopher</v>
      </c>
      <c r="H312">
        <f>'All Girls &amp; Descendants'!I311</f>
        <v>1982</v>
      </c>
      <c r="I312" t="str">
        <f>'All Girls &amp; Descendants'!J311</f>
        <v/>
      </c>
      <c r="J312">
        <f>'All Girls &amp; Descendants'!K311</f>
        <v>0</v>
      </c>
      <c r="K312" s="7" t="str">
        <f>'All Girls &amp; Descendants'!M311</f>
        <v>14/10/1982</v>
      </c>
      <c r="L312" t="str">
        <f>'All Girls &amp; Descendants'!N311</f>
        <v xml:space="preserve"> - </v>
      </c>
      <c r="M312" t="str">
        <f>'All Girls &amp; Descendants'!O311</f>
        <v/>
      </c>
      <c r="N312" t="str">
        <f>'All Girls &amp; Descendants'!P311</f>
        <v/>
      </c>
      <c r="O312" t="str">
        <f>'All Girls &amp; Descendants'!Q311</f>
        <v>70ab</v>
      </c>
      <c r="P312" t="str">
        <f t="shared" si="70"/>
        <v>70aba</v>
      </c>
      <c r="Q312" s="116">
        <f t="shared" si="71"/>
        <v>3</v>
      </c>
      <c r="R312" s="31" t="str">
        <f t="shared" si="72"/>
        <v>Christopher John  ANDREY</v>
      </c>
      <c r="S312" s="31" t="str">
        <f t="shared" si="73"/>
        <v>Christopher ANDREY (1982 -: #70aba)</v>
      </c>
    </row>
    <row r="313" spans="1:19" ht="17">
      <c r="A313">
        <f>'All Girls &amp; Descendants'!B312</f>
        <v>70</v>
      </c>
      <c r="B313" t="str">
        <f>'All Girls &amp; Descendants'!C312</f>
        <v>70abb</v>
      </c>
      <c r="C313" t="str">
        <f>'All Girls &amp; Descendants'!D312</f>
        <v>ANDREY</v>
      </c>
      <c r="D313" t="str">
        <f>'All Girls &amp; Descendants'!E312</f>
        <v>Amanda</v>
      </c>
      <c r="E313" t="str">
        <f>IF('All Girls &amp; Descendants'!F312="","",'All Girls &amp; Descendants'!F312)</f>
        <v>Charlotte</v>
      </c>
      <c r="F313" t="str">
        <f>IF('All Girls &amp; Descendants'!G312="","",'All Girls &amp; Descendants'!G312)</f>
        <v/>
      </c>
      <c r="G313" t="str">
        <f>IF('All Girls &amp; Descendants'!H312="",D313,'All Girls &amp; Descendants'!H312)</f>
        <v>Amanda</v>
      </c>
      <c r="H313">
        <f>'All Girls &amp; Descendants'!I312</f>
        <v>1987</v>
      </c>
      <c r="I313" t="str">
        <f>'All Girls &amp; Descendants'!J312</f>
        <v/>
      </c>
      <c r="J313">
        <f>'All Girls &amp; Descendants'!K312</f>
        <v>0</v>
      </c>
      <c r="K313" s="7" t="str">
        <f>'All Girls &amp; Descendants'!M312</f>
        <v>18/02/1987</v>
      </c>
      <c r="L313" t="str">
        <f>'All Girls &amp; Descendants'!N312</f>
        <v xml:space="preserve"> - </v>
      </c>
      <c r="M313" t="str">
        <f>'All Girls &amp; Descendants'!O312</f>
        <v/>
      </c>
      <c r="N313" t="str">
        <f>'All Girls &amp; Descendants'!P312</f>
        <v/>
      </c>
      <c r="O313" t="str">
        <f>'All Girls &amp; Descendants'!Q312</f>
        <v>70ab</v>
      </c>
      <c r="P313" t="str">
        <f t="shared" si="70"/>
        <v>70abb</v>
      </c>
      <c r="Q313" s="116">
        <f t="shared" si="71"/>
        <v>3</v>
      </c>
      <c r="R313" s="31" t="str">
        <f t="shared" si="72"/>
        <v>Amanda Charlotte  ANDREY</v>
      </c>
      <c r="S313" s="31" t="str">
        <f t="shared" si="73"/>
        <v>Amanda ANDREY (1987 -: #70abb)</v>
      </c>
    </row>
    <row r="314" spans="1:19">
      <c r="A314">
        <f>'All Girls &amp; Descendants'!B313</f>
        <v>70</v>
      </c>
      <c r="B314" t="str">
        <f>'All Girls &amp; Descendants'!C313</f>
        <v>70baa</v>
      </c>
      <c r="C314" t="str">
        <f>'All Girls &amp; Descendants'!D313</f>
        <v>MELITUS</v>
      </c>
      <c r="D314" t="str">
        <f>'All Girls &amp; Descendants'!E313</f>
        <v>Zoe</v>
      </c>
      <c r="E314" t="str">
        <f>IF('All Girls &amp; Descendants'!F313="","",'All Girls &amp; Descendants'!F313)</f>
        <v>Adele</v>
      </c>
      <c r="F314" t="str">
        <f>IF('All Girls &amp; Descendants'!G313="","",'All Girls &amp; Descendants'!G313)</f>
        <v/>
      </c>
      <c r="G314" t="str">
        <f>IF('All Girls &amp; Descendants'!H313="",D314,'All Girls &amp; Descendants'!H313)</f>
        <v>Zoe</v>
      </c>
      <c r="H314">
        <f>'All Girls &amp; Descendants'!I313</f>
        <v>1979</v>
      </c>
      <c r="I314" t="str">
        <f>'All Girls &amp; Descendants'!J313</f>
        <v/>
      </c>
      <c r="J314">
        <f>'All Girls &amp; Descendants'!K313</f>
        <v>0</v>
      </c>
      <c r="K314" s="7">
        <f>'All Girls &amp; Descendants'!M313</f>
        <v>29158</v>
      </c>
      <c r="L314" t="str">
        <f>'All Girls &amp; Descendants'!N313</f>
        <v xml:space="preserve"> - </v>
      </c>
      <c r="M314" t="str">
        <f>'All Girls &amp; Descendants'!O313</f>
        <v/>
      </c>
      <c r="N314" t="str">
        <f>'All Girls &amp; Descendants'!P313</f>
        <v/>
      </c>
      <c r="O314" t="str">
        <f>'All Girls &amp; Descendants'!Q313</f>
        <v>70ba</v>
      </c>
      <c r="P314" t="str">
        <f t="shared" si="70"/>
        <v>70baa</v>
      </c>
      <c r="Q314" s="116">
        <f t="shared" si="71"/>
        <v>3</v>
      </c>
      <c r="R314" s="31" t="str">
        <f t="shared" si="72"/>
        <v>Zoe Adele  MELITUS</v>
      </c>
      <c r="S314" s="31" t="str">
        <f t="shared" si="73"/>
        <v>Zoe MELITUS (1979 -: #70baa)</v>
      </c>
    </row>
    <row r="315" spans="1:19">
      <c r="A315">
        <f>'All Girls &amp; Descendants'!B314</f>
        <v>70</v>
      </c>
      <c r="B315" t="str">
        <f>'All Girls &amp; Descendants'!C314</f>
        <v>70bab</v>
      </c>
      <c r="C315" t="str">
        <f>'All Girls &amp; Descendants'!D314</f>
        <v>MELITUS</v>
      </c>
      <c r="D315" t="str">
        <f>'All Girls &amp; Descendants'!E314</f>
        <v>Jonathan</v>
      </c>
      <c r="E315" t="str">
        <f>IF('All Girls &amp; Descendants'!F314="","",'All Girls &amp; Descendants'!F314)</f>
        <v>Peter</v>
      </c>
      <c r="F315" t="str">
        <f>IF('All Girls &amp; Descendants'!G314="","",'All Girls &amp; Descendants'!G314)</f>
        <v/>
      </c>
      <c r="G315" t="str">
        <f>IF('All Girls &amp; Descendants'!H314="",D315,'All Girls &amp; Descendants'!H314)</f>
        <v>Peter</v>
      </c>
      <c r="H315">
        <f>'All Girls &amp; Descendants'!I314</f>
        <v>1988</v>
      </c>
      <c r="I315" t="str">
        <f>'All Girls &amp; Descendants'!J314</f>
        <v/>
      </c>
      <c r="J315">
        <f>'All Girls &amp; Descendants'!K314</f>
        <v>0</v>
      </c>
      <c r="K315" s="7">
        <f>'All Girls &amp; Descendants'!M314</f>
        <v>32319</v>
      </c>
      <c r="L315" t="str">
        <f>'All Girls &amp; Descendants'!N314</f>
        <v xml:space="preserve"> - </v>
      </c>
      <c r="M315" t="str">
        <f>'All Girls &amp; Descendants'!O314</f>
        <v/>
      </c>
      <c r="N315" t="str">
        <f>'All Girls &amp; Descendants'!P314</f>
        <v/>
      </c>
      <c r="O315" t="str">
        <f>'All Girls &amp; Descendants'!Q314</f>
        <v>70ba</v>
      </c>
      <c r="P315" t="str">
        <f t="shared" si="70"/>
        <v>70bab</v>
      </c>
      <c r="Q315" s="116">
        <f t="shared" si="71"/>
        <v>3</v>
      </c>
      <c r="R315" s="31" t="str">
        <f t="shared" si="72"/>
        <v>Jonathan Peter  MELITUS</v>
      </c>
      <c r="S315" s="31" t="str">
        <f t="shared" si="73"/>
        <v>Peter MELITUS (1988 -: #70bab)</v>
      </c>
    </row>
    <row r="316" spans="1:19">
      <c r="A316">
        <f>'All Girls &amp; Descendants'!B315</f>
        <v>70</v>
      </c>
      <c r="B316" t="str">
        <f>'All Girls &amp; Descendants'!C315</f>
        <v>70bba</v>
      </c>
      <c r="C316" t="str">
        <f>'All Girls &amp; Descendants'!D315</f>
        <v>CHALDECOTT</v>
      </c>
      <c r="D316" t="str">
        <f>'All Girls &amp; Descendants'!E315</f>
        <v>Sophia</v>
      </c>
      <c r="E316" t="str">
        <f>IF('All Girls &amp; Descendants'!F315="","",'All Girls &amp; Descendants'!F315)</f>
        <v>Caroline</v>
      </c>
      <c r="F316" t="str">
        <f>IF('All Girls &amp; Descendants'!G315="","",'All Girls &amp; Descendants'!G315)</f>
        <v/>
      </c>
      <c r="G316" t="str">
        <f>IF('All Girls &amp; Descendants'!H315="",D316,'All Girls &amp; Descendants'!H315)</f>
        <v>Sophia</v>
      </c>
      <c r="H316">
        <f>'All Girls &amp; Descendants'!I315</f>
        <v>1989</v>
      </c>
      <c r="I316" t="str">
        <f>'All Girls &amp; Descendants'!J315</f>
        <v/>
      </c>
      <c r="J316">
        <f>'All Girls &amp; Descendants'!K315</f>
        <v>0</v>
      </c>
      <c r="K316" s="7">
        <f>'All Girls &amp; Descendants'!M315</f>
        <v>32534</v>
      </c>
      <c r="L316" t="str">
        <f>'All Girls &amp; Descendants'!N315</f>
        <v xml:space="preserve"> - </v>
      </c>
      <c r="M316" t="str">
        <f>'All Girls &amp; Descendants'!O315</f>
        <v/>
      </c>
      <c r="N316" t="str">
        <f>'All Girls &amp; Descendants'!P315</f>
        <v/>
      </c>
      <c r="O316" t="str">
        <f>'All Girls &amp; Descendants'!Q315</f>
        <v>70bb</v>
      </c>
      <c r="P316" t="str">
        <f t="shared" si="70"/>
        <v>70bba</v>
      </c>
      <c r="Q316" s="116">
        <f t="shared" si="71"/>
        <v>3</v>
      </c>
      <c r="R316" s="31" t="str">
        <f t="shared" si="72"/>
        <v>Sophia Caroline  CHALDECOTT</v>
      </c>
      <c r="S316" s="31" t="str">
        <f t="shared" si="73"/>
        <v>Sophia CHALDECOTT (1989 -: #70bba)</v>
      </c>
    </row>
    <row r="317" spans="1:19">
      <c r="A317">
        <f>'All Girls &amp; Descendants'!B316</f>
        <v>70</v>
      </c>
      <c r="B317" t="str">
        <f>'All Girls &amp; Descendants'!C316</f>
        <v>70bbb</v>
      </c>
      <c r="C317" t="str">
        <f>'All Girls &amp; Descendants'!D316</f>
        <v>CHALDECOTT</v>
      </c>
      <c r="D317" t="str">
        <f>'All Girls &amp; Descendants'!E316</f>
        <v>Lucy</v>
      </c>
      <c r="E317" t="str">
        <f>IF('All Girls &amp; Descendants'!F316="","",'All Girls &amp; Descendants'!F316)</f>
        <v>Maria</v>
      </c>
      <c r="F317" t="str">
        <f>IF('All Girls &amp; Descendants'!G316="","",'All Girls &amp; Descendants'!G316)</f>
        <v/>
      </c>
      <c r="G317" t="str">
        <f>IF('All Girls &amp; Descendants'!H316="",D317,'All Girls &amp; Descendants'!H316)</f>
        <v>Lucy</v>
      </c>
      <c r="H317">
        <f>'All Girls &amp; Descendants'!I316</f>
        <v>1992</v>
      </c>
      <c r="I317" t="str">
        <f>'All Girls &amp; Descendants'!J316</f>
        <v/>
      </c>
      <c r="J317">
        <f>'All Girls &amp; Descendants'!K316</f>
        <v>0</v>
      </c>
      <c r="K317" s="7">
        <f>'All Girls &amp; Descendants'!M316</f>
        <v>33668</v>
      </c>
      <c r="L317" t="str">
        <f>'All Girls &amp; Descendants'!N316</f>
        <v xml:space="preserve"> - </v>
      </c>
      <c r="M317" t="str">
        <f>'All Girls &amp; Descendants'!O316</f>
        <v/>
      </c>
      <c r="N317" t="str">
        <f>'All Girls &amp; Descendants'!P316</f>
        <v/>
      </c>
      <c r="O317" t="str">
        <f>'All Girls &amp; Descendants'!Q316</f>
        <v>70bb</v>
      </c>
      <c r="P317" t="str">
        <f t="shared" si="70"/>
        <v>70bbb</v>
      </c>
      <c r="Q317" s="116">
        <f t="shared" si="71"/>
        <v>3</v>
      </c>
      <c r="R317" s="31" t="str">
        <f t="shared" si="72"/>
        <v>Lucy Maria  CHALDECOTT</v>
      </c>
      <c r="S317" s="31" t="str">
        <f t="shared" si="73"/>
        <v>Lucy CHALDECOTT (1992 -: #70bbb)</v>
      </c>
    </row>
    <row r="318" spans="1:19">
      <c r="A318">
        <f>'All Girls &amp; Descendants'!B317</f>
        <v>70</v>
      </c>
      <c r="B318" t="str">
        <f>'All Girls &amp; Descendants'!C317</f>
        <v>70bbc</v>
      </c>
      <c r="C318" t="str">
        <f>'All Girls &amp; Descendants'!D317</f>
        <v>CHALDECOTT</v>
      </c>
      <c r="D318" t="str">
        <f>'All Girls &amp; Descendants'!E317</f>
        <v>Thomas</v>
      </c>
      <c r="E318" t="str">
        <f>IF('All Girls &amp; Descendants'!F317="","",'All Girls &amp; Descendants'!F317)</f>
        <v>Owen</v>
      </c>
      <c r="F318" t="str">
        <f>IF('All Girls &amp; Descendants'!G317="","",'All Girls &amp; Descendants'!G317)</f>
        <v/>
      </c>
      <c r="G318" t="str">
        <f>IF('All Girls &amp; Descendants'!H317="",D318,'All Girls &amp; Descendants'!H317)</f>
        <v>Thomas</v>
      </c>
      <c r="H318">
        <f>'All Girls &amp; Descendants'!I317</f>
        <v>1999</v>
      </c>
      <c r="I318" t="str">
        <f>'All Girls &amp; Descendants'!J317</f>
        <v/>
      </c>
      <c r="J318">
        <f>'All Girls &amp; Descendants'!K317</f>
        <v>0</v>
      </c>
      <c r="K318" s="7">
        <f>'All Girls &amp; Descendants'!M317</f>
        <v>36464</v>
      </c>
      <c r="L318" t="str">
        <f>'All Girls &amp; Descendants'!N317</f>
        <v xml:space="preserve"> - </v>
      </c>
      <c r="M318" t="str">
        <f>'All Girls &amp; Descendants'!O317</f>
        <v/>
      </c>
      <c r="N318" t="str">
        <f>'All Girls &amp; Descendants'!P317</f>
        <v/>
      </c>
      <c r="O318" t="str">
        <f>'All Girls &amp; Descendants'!Q317</f>
        <v>70bb</v>
      </c>
      <c r="P318" t="str">
        <f t="shared" si="70"/>
        <v>70bbc</v>
      </c>
      <c r="Q318" s="116">
        <f t="shared" si="71"/>
        <v>3</v>
      </c>
      <c r="R318" s="31" t="str">
        <f t="shared" si="72"/>
        <v>Thomas Owen  CHALDECOTT</v>
      </c>
      <c r="S318" s="31" t="str">
        <f t="shared" si="73"/>
        <v>Thomas CHALDECOTT (1999 -: #70bbc)</v>
      </c>
    </row>
    <row r="319" spans="1:19">
      <c r="A319">
        <f>'All Girls &amp; Descendants'!B318</f>
        <v>70</v>
      </c>
      <c r="B319" t="str">
        <f>'All Girls &amp; Descendants'!C318</f>
        <v>70cca</v>
      </c>
      <c r="C319" t="str">
        <f>'All Girls &amp; Descendants'!D318</f>
        <v>PAGE</v>
      </c>
      <c r="D319" t="str">
        <f>'All Girls &amp; Descendants'!E318</f>
        <v>George</v>
      </c>
      <c r="E319" t="str">
        <f>IF('All Girls &amp; Descendants'!F318="","",'All Girls &amp; Descendants'!F318)</f>
        <v>Arthur</v>
      </c>
      <c r="F319" t="str">
        <f>IF('All Girls &amp; Descendants'!G318="","",'All Girls &amp; Descendants'!G318)</f>
        <v>Louis</v>
      </c>
      <c r="G319" t="str">
        <f>IF('All Girls &amp; Descendants'!H318="",D319,'All Girls &amp; Descendants'!H318)</f>
        <v>George</v>
      </c>
      <c r="H319">
        <f>'All Girls &amp; Descendants'!I318</f>
        <v>1998</v>
      </c>
      <c r="I319" t="str">
        <f>'All Girls &amp; Descendants'!J318</f>
        <v/>
      </c>
      <c r="J319">
        <f>'All Girls &amp; Descendants'!K318</f>
        <v>0</v>
      </c>
      <c r="K319" s="7">
        <f>'All Girls &amp; Descendants'!M318</f>
        <v>35882</v>
      </c>
      <c r="L319" t="str">
        <f>'All Girls &amp; Descendants'!N318</f>
        <v xml:space="preserve"> - </v>
      </c>
      <c r="M319" t="str">
        <f>'All Girls &amp; Descendants'!O318</f>
        <v/>
      </c>
      <c r="N319" t="str">
        <f>'All Girls &amp; Descendants'!P318</f>
        <v/>
      </c>
      <c r="O319" t="str">
        <f>'All Girls &amp; Descendants'!Q318</f>
        <v>70cc</v>
      </c>
      <c r="P319" t="str">
        <f t="shared" si="70"/>
        <v>70cca</v>
      </c>
      <c r="Q319" s="116">
        <f t="shared" si="71"/>
        <v>3</v>
      </c>
      <c r="R319" s="31" t="str">
        <f t="shared" si="72"/>
        <v>George Arthur Louis PAGE</v>
      </c>
      <c r="S319" s="31" t="str">
        <f t="shared" si="73"/>
        <v>George PAGE (1998 -: #70cca)</v>
      </c>
    </row>
    <row r="320" spans="1:19">
      <c r="A320">
        <f>'All Girls &amp; Descendants'!B319</f>
        <v>70</v>
      </c>
      <c r="B320" t="str">
        <f>'All Girls &amp; Descendants'!C319</f>
        <v>70dca</v>
      </c>
      <c r="C320" t="str">
        <f>'All Girls &amp; Descendants'!D319</f>
        <v>GOW</v>
      </c>
      <c r="D320" t="str">
        <f>'All Girls &amp; Descendants'!E319</f>
        <v>Simeon</v>
      </c>
      <c r="E320" t="str">
        <f>IF('All Girls &amp; Descendants'!F319="","",'All Girls &amp; Descendants'!F319)</f>
        <v>Nathaniel</v>
      </c>
      <c r="F320" t="str">
        <f>IF('All Girls &amp; Descendants'!G319="","",'All Girls &amp; Descendants'!G319)</f>
        <v>Benjamin</v>
      </c>
      <c r="G320" t="str">
        <f>IF('All Girls &amp; Descendants'!H319="",D320,'All Girls &amp; Descendants'!H319)</f>
        <v>Simeon</v>
      </c>
      <c r="H320">
        <f>'All Girls &amp; Descendants'!I319</f>
        <v>1990</v>
      </c>
      <c r="I320" t="str">
        <f>'All Girls &amp; Descendants'!J319</f>
        <v/>
      </c>
      <c r="J320">
        <f>'All Girls &amp; Descendants'!K319</f>
        <v>0</v>
      </c>
      <c r="K320" s="7">
        <f>'All Girls &amp; Descendants'!M319</f>
        <v>33169</v>
      </c>
      <c r="L320" t="str">
        <f>'All Girls &amp; Descendants'!N319</f>
        <v xml:space="preserve"> - </v>
      </c>
      <c r="M320" t="str">
        <f>'All Girls &amp; Descendants'!O319</f>
        <v/>
      </c>
      <c r="N320" t="str">
        <f>'All Girls &amp; Descendants'!P319</f>
        <v/>
      </c>
      <c r="O320" t="str">
        <f>'All Girls &amp; Descendants'!Q319</f>
        <v>70dc</v>
      </c>
      <c r="P320" t="str">
        <f t="shared" si="70"/>
        <v>70dca</v>
      </c>
      <c r="Q320" s="116">
        <f t="shared" si="71"/>
        <v>3</v>
      </c>
      <c r="R320" s="31" t="str">
        <f t="shared" si="72"/>
        <v>Simeon Nathaniel Benjamin GOW</v>
      </c>
      <c r="S320" s="31" t="str">
        <f t="shared" si="73"/>
        <v>Simeon GOW (1990 -: #70dca)</v>
      </c>
    </row>
    <row r="321" spans="1:19">
      <c r="A321">
        <f>'All Girls &amp; Descendants'!B320</f>
        <v>70</v>
      </c>
      <c r="B321" t="str">
        <f>'All Girls &amp; Descendants'!C320</f>
        <v>70dcb</v>
      </c>
      <c r="C321" t="str">
        <f>'All Girls &amp; Descendants'!D320</f>
        <v>GOW</v>
      </c>
      <c r="D321" t="str">
        <f>'All Girls &amp; Descendants'!E320</f>
        <v>Christopher</v>
      </c>
      <c r="E321" t="str">
        <f>IF('All Girls &amp; Descendants'!F320="","",'All Girls &amp; Descendants'!F320)</f>
        <v>Gavin</v>
      </c>
      <c r="F321" t="str">
        <f>IF('All Girls &amp; Descendants'!G320="","",'All Girls &amp; Descendants'!G320)</f>
        <v>Thomas</v>
      </c>
      <c r="G321" t="str">
        <f>IF('All Girls &amp; Descendants'!H320="",D321,'All Girls &amp; Descendants'!H320)</f>
        <v>Christopher</v>
      </c>
      <c r="H321">
        <f>'All Girls &amp; Descendants'!I320</f>
        <v>1996</v>
      </c>
      <c r="I321" t="str">
        <f>'All Girls &amp; Descendants'!J320</f>
        <v/>
      </c>
      <c r="J321">
        <f>'All Girls &amp; Descendants'!K320</f>
        <v>0</v>
      </c>
      <c r="K321" s="7">
        <f>'All Girls &amp; Descendants'!M320</f>
        <v>35174</v>
      </c>
      <c r="L321" t="str">
        <f>'All Girls &amp; Descendants'!N320</f>
        <v xml:space="preserve"> - </v>
      </c>
      <c r="M321" t="str">
        <f>'All Girls &amp; Descendants'!O320</f>
        <v/>
      </c>
      <c r="N321" t="str">
        <f>'All Girls &amp; Descendants'!P320</f>
        <v/>
      </c>
      <c r="O321" t="str">
        <f>'All Girls &amp; Descendants'!Q320</f>
        <v>70dc</v>
      </c>
      <c r="P321" t="str">
        <f t="shared" si="70"/>
        <v>70dcb</v>
      </c>
      <c r="Q321" s="116">
        <f t="shared" si="71"/>
        <v>3</v>
      </c>
      <c r="R321" s="31" t="str">
        <f t="shared" si="72"/>
        <v>Christopher Gavin Thomas GOW</v>
      </c>
      <c r="S321" s="31" t="str">
        <f t="shared" si="73"/>
        <v>Christopher GOW (1996 -: #70dcb)</v>
      </c>
    </row>
    <row r="322" spans="1:19">
      <c r="A322">
        <f>'All Girls &amp; Descendants'!B321</f>
        <v>70</v>
      </c>
      <c r="B322" t="str">
        <f>'All Girls &amp; Descendants'!C321</f>
        <v>70dcc</v>
      </c>
      <c r="C322" t="str">
        <f>'All Girls &amp; Descendants'!D321</f>
        <v>GOW</v>
      </c>
      <c r="D322" t="str">
        <f>'All Girls &amp; Descendants'!E321</f>
        <v>Joanna</v>
      </c>
      <c r="E322" t="str">
        <f>IF('All Girls &amp; Descendants'!F321="","",'All Girls &amp; Descendants'!F321)</f>
        <v>Louise</v>
      </c>
      <c r="F322" t="str">
        <f>IF('All Girls &amp; Descendants'!G321="","",'All Girls &amp; Descendants'!G321)</f>
        <v/>
      </c>
      <c r="G322" t="str">
        <f>IF('All Girls &amp; Descendants'!H321="",D322,'All Girls &amp; Descendants'!H321)</f>
        <v>Joanna</v>
      </c>
      <c r="H322">
        <f>'All Girls &amp; Descendants'!I321</f>
        <v>1998</v>
      </c>
      <c r="I322" t="str">
        <f>'All Girls &amp; Descendants'!J321</f>
        <v/>
      </c>
      <c r="J322">
        <f>'All Girls &amp; Descendants'!K321</f>
        <v>0</v>
      </c>
      <c r="K322" s="7">
        <f>'All Girls &amp; Descendants'!M321</f>
        <v>35929</v>
      </c>
      <c r="L322" t="str">
        <f>'All Girls &amp; Descendants'!N321</f>
        <v xml:space="preserve"> - </v>
      </c>
      <c r="M322" t="str">
        <f>'All Girls &amp; Descendants'!O321</f>
        <v/>
      </c>
      <c r="N322" t="str">
        <f>'All Girls &amp; Descendants'!P321</f>
        <v/>
      </c>
      <c r="O322" t="str">
        <f>'All Girls &amp; Descendants'!Q321</f>
        <v>70dc</v>
      </c>
      <c r="P322" t="str">
        <f t="shared" si="70"/>
        <v>70dcc</v>
      </c>
      <c r="Q322" s="116">
        <f t="shared" si="71"/>
        <v>3</v>
      </c>
      <c r="R322" s="31" t="str">
        <f t="shared" si="72"/>
        <v>Joanna Louise  GOW</v>
      </c>
      <c r="S322" s="31" t="str">
        <f t="shared" si="73"/>
        <v>Joanna GOW (1998 -: #70dcc)</v>
      </c>
    </row>
    <row r="323" spans="1:19">
      <c r="A323">
        <f>'All Girls &amp; Descendants'!B322</f>
        <v>85</v>
      </c>
      <c r="B323" t="str">
        <f>'All Girls &amp; Descendants'!C322</f>
        <v>85aaa</v>
      </c>
      <c r="C323" t="str">
        <f>'All Girls &amp; Descendants'!D322</f>
        <v>ELLIS</v>
      </c>
      <c r="D323" t="str">
        <f>'All Girls &amp; Descendants'!E322</f>
        <v>Matilda</v>
      </c>
      <c r="E323" t="str">
        <f>IF('All Girls &amp; Descendants'!F322="","",'All Girls &amp; Descendants'!F322)</f>
        <v>Prudence</v>
      </c>
      <c r="F323" t="str">
        <f>IF('All Girls &amp; Descendants'!G322="","",'All Girls &amp; Descendants'!G322)</f>
        <v/>
      </c>
      <c r="G323" t="str">
        <f>IF('All Girls &amp; Descendants'!H322="",D323,'All Girls &amp; Descendants'!H322)</f>
        <v>Matilda</v>
      </c>
      <c r="H323">
        <f>'All Girls &amp; Descendants'!I322</f>
        <v>1995</v>
      </c>
      <c r="I323" t="str">
        <f>'All Girls &amp; Descendants'!J322</f>
        <v/>
      </c>
      <c r="J323">
        <f>'All Girls &amp; Descendants'!K322</f>
        <v>0</v>
      </c>
      <c r="K323" s="7">
        <f>'All Girls &amp; Descendants'!M322</f>
        <v>34905</v>
      </c>
      <c r="L323" t="str">
        <f>'All Girls &amp; Descendants'!N322</f>
        <v xml:space="preserve"> - </v>
      </c>
      <c r="M323" t="str">
        <f>'All Girls &amp; Descendants'!O322</f>
        <v/>
      </c>
      <c r="N323" t="str">
        <f>'All Girls &amp; Descendants'!P322</f>
        <v/>
      </c>
      <c r="O323" t="str">
        <f>'All Girls &amp; Descendants'!Q322</f>
        <v>85aa</v>
      </c>
      <c r="P323" t="str">
        <f t="shared" si="70"/>
        <v>85aaa</v>
      </c>
      <c r="Q323" s="116">
        <f t="shared" si="71"/>
        <v>3</v>
      </c>
      <c r="R323" s="31" t="str">
        <f t="shared" si="72"/>
        <v>Matilda Prudence  ELLIS</v>
      </c>
      <c r="S323" s="31" t="str">
        <f t="shared" si="73"/>
        <v>Matilda ELLIS (1995 -: #85aaa)</v>
      </c>
    </row>
    <row r="324" spans="1:19">
      <c r="A324">
        <f>'All Girls &amp; Descendants'!B323</f>
        <v>85</v>
      </c>
      <c r="B324" t="str">
        <f>'All Girls &amp; Descendants'!C323</f>
        <v>85aab</v>
      </c>
      <c r="C324" t="str">
        <f>'All Girls &amp; Descendants'!D323</f>
        <v>ELLIS</v>
      </c>
      <c r="D324" t="str">
        <f>'All Girls &amp; Descendants'!E323</f>
        <v>Tabitha</v>
      </c>
      <c r="E324" t="str">
        <f>IF('All Girls &amp; Descendants'!F323="","",'All Girls &amp; Descendants'!F323)</f>
        <v>Hope</v>
      </c>
      <c r="F324" t="str">
        <f>IF('All Girls &amp; Descendants'!G323="","",'All Girls &amp; Descendants'!G323)</f>
        <v/>
      </c>
      <c r="G324" t="str">
        <f>IF('All Girls &amp; Descendants'!H323="",D324,'All Girls &amp; Descendants'!H323)</f>
        <v>Tabitha</v>
      </c>
      <c r="H324">
        <f>'All Girls &amp; Descendants'!I323</f>
        <v>1997</v>
      </c>
      <c r="I324" t="str">
        <f>'All Girls &amp; Descendants'!J323</f>
        <v/>
      </c>
      <c r="J324">
        <f>'All Girls &amp; Descendants'!K323</f>
        <v>0</v>
      </c>
      <c r="K324" s="7">
        <f>'All Girls &amp; Descendants'!M323</f>
        <v>35706</v>
      </c>
      <c r="L324" t="str">
        <f>'All Girls &amp; Descendants'!N323</f>
        <v xml:space="preserve"> - </v>
      </c>
      <c r="M324" t="str">
        <f>'All Girls &amp; Descendants'!O323</f>
        <v/>
      </c>
      <c r="N324" t="str">
        <f>'All Girls &amp; Descendants'!P323</f>
        <v/>
      </c>
      <c r="O324" t="str">
        <f>'All Girls &amp; Descendants'!Q323</f>
        <v>85aa</v>
      </c>
      <c r="P324" t="str">
        <f t="shared" si="70"/>
        <v>85aab</v>
      </c>
      <c r="Q324" s="116">
        <f t="shared" si="71"/>
        <v>3</v>
      </c>
      <c r="R324" s="31" t="str">
        <f t="shared" si="72"/>
        <v>Tabitha Hope  ELLIS</v>
      </c>
      <c r="S324" s="31" t="str">
        <f t="shared" si="73"/>
        <v>Tabitha ELLIS (1997 -: #85aab)</v>
      </c>
    </row>
    <row r="325" spans="1:19">
      <c r="A325">
        <f>'All Girls &amp; Descendants'!B324</f>
        <v>85</v>
      </c>
      <c r="B325" t="str">
        <f>'All Girls &amp; Descendants'!C324</f>
        <v>85aba</v>
      </c>
      <c r="C325" t="str">
        <f>'All Girls &amp; Descendants'!D324</f>
        <v>LANE FOX</v>
      </c>
      <c r="D325" t="str">
        <f>'All Girls &amp; Descendants'!E324</f>
        <v>Esme</v>
      </c>
      <c r="E325" t="str">
        <f>IF('All Girls &amp; Descendants'!F324="","",'All Girls &amp; Descendants'!F324)</f>
        <v>Grace G</v>
      </c>
      <c r="F325" t="str">
        <f>IF('All Girls &amp; Descendants'!G324="","",'All Girls &amp; Descendants'!G324)</f>
        <v/>
      </c>
      <c r="G325" t="str">
        <f>IF('All Girls &amp; Descendants'!H324="",D325,'All Girls &amp; Descendants'!H324)</f>
        <v>Esme</v>
      </c>
      <c r="H325">
        <f>'All Girls &amp; Descendants'!I324</f>
        <v>1998</v>
      </c>
      <c r="I325" t="str">
        <f>'All Girls &amp; Descendants'!J324</f>
        <v/>
      </c>
      <c r="J325">
        <f>'All Girls &amp; Descendants'!K324</f>
        <v>0</v>
      </c>
      <c r="K325" s="7">
        <f>'All Girls &amp; Descendants'!M324</f>
        <v>36000</v>
      </c>
      <c r="L325" t="str">
        <f>'All Girls &amp; Descendants'!N324</f>
        <v xml:space="preserve"> - </v>
      </c>
      <c r="M325" t="str">
        <f>'All Girls &amp; Descendants'!O324</f>
        <v/>
      </c>
      <c r="N325" t="str">
        <f>'All Girls &amp; Descendants'!P324</f>
        <v/>
      </c>
      <c r="O325" t="str">
        <f>'All Girls &amp; Descendants'!Q324</f>
        <v>85ab</v>
      </c>
      <c r="P325" t="str">
        <f t="shared" si="70"/>
        <v>85aba</v>
      </c>
      <c r="Q325" s="116">
        <f t="shared" si="71"/>
        <v>3</v>
      </c>
      <c r="R325" s="31" t="str">
        <f t="shared" si="72"/>
        <v>Esme Grace G  LANE FOX</v>
      </c>
      <c r="S325" s="31" t="str">
        <f t="shared" si="73"/>
        <v>Esme LANE FOX (1998 -: #85aba)</v>
      </c>
    </row>
    <row r="326" spans="1:19">
      <c r="A326">
        <f>'All Girls &amp; Descendants'!B325</f>
        <v>85</v>
      </c>
      <c r="B326" t="str">
        <f>'All Girls &amp; Descendants'!C325</f>
        <v>85abb</v>
      </c>
      <c r="C326" t="str">
        <f>'All Girls &amp; Descendants'!D325</f>
        <v>LANE FOX</v>
      </c>
      <c r="D326" t="str">
        <f>'All Girls &amp; Descendants'!E325</f>
        <v>Georgia</v>
      </c>
      <c r="E326" t="str">
        <f>IF('All Girls &amp; Descendants'!F325="","",'All Girls &amp; Descendants'!F325)</f>
        <v>Rose</v>
      </c>
      <c r="F326" t="str">
        <f>IF('All Girls &amp; Descendants'!G325="","",'All Girls &amp; Descendants'!G325)</f>
        <v/>
      </c>
      <c r="G326" t="str">
        <f>IF('All Girls &amp; Descendants'!H325="",D326,'All Girls &amp; Descendants'!H325)</f>
        <v>Georgia</v>
      </c>
      <c r="H326">
        <f>'All Girls &amp; Descendants'!I325</f>
        <v>2000</v>
      </c>
      <c r="I326" t="str">
        <f>'All Girls &amp; Descendants'!J325</f>
        <v/>
      </c>
      <c r="J326">
        <f>'All Girls &amp; Descendants'!K325</f>
        <v>0</v>
      </c>
      <c r="K326" s="7">
        <f>'All Girls &amp; Descendants'!M325</f>
        <v>36700</v>
      </c>
      <c r="L326" t="str">
        <f>'All Girls &amp; Descendants'!N325</f>
        <v xml:space="preserve"> - </v>
      </c>
      <c r="M326" t="str">
        <f>'All Girls &amp; Descendants'!O325</f>
        <v/>
      </c>
      <c r="N326" t="str">
        <f>'All Girls &amp; Descendants'!P325</f>
        <v/>
      </c>
      <c r="O326" t="str">
        <f>'All Girls &amp; Descendants'!Q325</f>
        <v>85ab</v>
      </c>
      <c r="P326" t="str">
        <f t="shared" si="70"/>
        <v>85abb</v>
      </c>
      <c r="Q326" s="116">
        <f t="shared" si="71"/>
        <v>3</v>
      </c>
      <c r="R326" s="31" t="str">
        <f t="shared" si="72"/>
        <v>Georgia Rose  LANE FOX</v>
      </c>
      <c r="S326" s="31" t="str">
        <f t="shared" si="73"/>
        <v>Georgia LANE FOX (2000 -: #85abb)</v>
      </c>
    </row>
    <row r="327" spans="1:19">
      <c r="A327">
        <f>'All Girls &amp; Descendants'!B326</f>
        <v>85</v>
      </c>
      <c r="B327" t="str">
        <f>'All Girls &amp; Descendants'!C326</f>
        <v>85bca</v>
      </c>
      <c r="C327" t="str">
        <f>'All Girls &amp; Descendants'!D326</f>
        <v>GASZTOWTT</v>
      </c>
      <c r="D327" t="str">
        <f>'All Girls &amp; Descendants'!E326</f>
        <v>Lily</v>
      </c>
      <c r="E327" t="str">
        <f>IF('All Girls &amp; Descendants'!F326="","",'All Girls &amp; Descendants'!F326)</f>
        <v>Joanna</v>
      </c>
      <c r="F327" t="str">
        <f>IF('All Girls &amp; Descendants'!G326="","",'All Girls &amp; Descendants'!G326)</f>
        <v/>
      </c>
      <c r="G327" t="str">
        <f>IF('All Girls &amp; Descendants'!H326="",D327,'All Girls &amp; Descendants'!H326)</f>
        <v>Lily</v>
      </c>
      <c r="H327">
        <f>'All Girls &amp; Descendants'!I326</f>
        <v>1997</v>
      </c>
      <c r="I327" t="str">
        <f>'All Girls &amp; Descendants'!J326</f>
        <v/>
      </c>
      <c r="J327">
        <f>'All Girls &amp; Descendants'!K326</f>
        <v>0</v>
      </c>
      <c r="K327" s="7">
        <f>'All Girls &amp; Descendants'!M326</f>
        <v>35612</v>
      </c>
      <c r="L327" t="str">
        <f>'All Girls &amp; Descendants'!N326</f>
        <v xml:space="preserve"> - </v>
      </c>
      <c r="M327" t="str">
        <f>'All Girls &amp; Descendants'!O326</f>
        <v/>
      </c>
      <c r="N327" t="str">
        <f>'All Girls &amp; Descendants'!P326</f>
        <v/>
      </c>
      <c r="O327" t="str">
        <f>'All Girls &amp; Descendants'!Q326</f>
        <v>85bc</v>
      </c>
      <c r="P327" t="str">
        <f t="shared" si="70"/>
        <v>85bca</v>
      </c>
      <c r="Q327" s="116">
        <f t="shared" si="71"/>
        <v>3</v>
      </c>
      <c r="R327" s="31" t="str">
        <f t="shared" si="72"/>
        <v>Lily Joanna  GASZTOWTT</v>
      </c>
      <c r="S327" s="31" t="str">
        <f t="shared" si="73"/>
        <v>Lily GASZTOWTT (1997 -: #85bca)</v>
      </c>
    </row>
    <row r="328" spans="1:19" ht="17">
      <c r="A328">
        <f>'All Girls &amp; Descendants'!B327</f>
        <v>88</v>
      </c>
      <c r="B328" t="str">
        <f>'All Girls &amp; Descendants'!C327</f>
        <v>88aaa</v>
      </c>
      <c r="C328" t="str">
        <f>'All Girls &amp; Descendants'!D327</f>
        <v>HOLMAN-BAIRD</v>
      </c>
      <c r="D328" t="str">
        <f>'All Girls &amp; Descendants'!E327</f>
        <v>Louise</v>
      </c>
      <c r="E328" t="str">
        <f>IF('All Girls &amp; Descendants'!F327="","",'All Girls &amp; Descendants'!F327)</f>
        <v>Saragh</v>
      </c>
      <c r="F328" t="str">
        <f>IF('All Girls &amp; Descendants'!G327="","",'All Girls &amp; Descendants'!G327)</f>
        <v/>
      </c>
      <c r="G328" t="str">
        <f>IF('All Girls &amp; Descendants'!H327="",D328,'All Girls &amp; Descendants'!H327)</f>
        <v>Louise</v>
      </c>
      <c r="H328">
        <f>'All Girls &amp; Descendants'!I327</f>
        <v>1986</v>
      </c>
      <c r="I328" t="str">
        <f>'All Girls &amp; Descendants'!J327</f>
        <v/>
      </c>
      <c r="J328">
        <f>'All Girls &amp; Descendants'!K327</f>
        <v>0</v>
      </c>
      <c r="K328" s="7" t="str">
        <f>'All Girls &amp; Descendants'!M327</f>
        <v>31/12/1986</v>
      </c>
      <c r="L328" t="str">
        <f>'All Girls &amp; Descendants'!N327</f>
        <v xml:space="preserve"> - </v>
      </c>
      <c r="M328" t="str">
        <f>'All Girls &amp; Descendants'!O327</f>
        <v/>
      </c>
      <c r="N328" t="str">
        <f>'All Girls &amp; Descendants'!P327</f>
        <v/>
      </c>
      <c r="O328" t="str">
        <f>'All Girls &amp; Descendants'!Q327</f>
        <v>88aa</v>
      </c>
      <c r="P328" t="str">
        <f t="shared" si="70"/>
        <v>88aaa</v>
      </c>
      <c r="Q328" s="116">
        <f t="shared" si="71"/>
        <v>3</v>
      </c>
      <c r="R328" s="31" t="str">
        <f t="shared" si="72"/>
        <v>Louise Saragh  HOLMAN-BAIRD</v>
      </c>
      <c r="S328" s="31" t="str">
        <f t="shared" si="73"/>
        <v>Louise HOLMAN-BAIRD (1986 -: #88aaa)</v>
      </c>
    </row>
    <row r="329" spans="1:19">
      <c r="A329">
        <f>'All Girls &amp; Descendants'!B328</f>
        <v>88</v>
      </c>
      <c r="B329" t="str">
        <f>'All Girls &amp; Descendants'!C328</f>
        <v>88aab</v>
      </c>
      <c r="C329" t="str">
        <f>'All Girls &amp; Descendants'!D328</f>
        <v>HOLMAN-BAIRD</v>
      </c>
      <c r="D329" t="str">
        <f>'All Girls &amp; Descendants'!E328</f>
        <v>Angus</v>
      </c>
      <c r="E329" t="str">
        <f>IF('All Girls &amp; Descendants'!F328="","",'All Girls &amp; Descendants'!F328)</f>
        <v>John</v>
      </c>
      <c r="F329" t="str">
        <f>IF('All Girls &amp; Descendants'!G328="","",'All Girls &amp; Descendants'!G328)</f>
        <v/>
      </c>
      <c r="G329" t="str">
        <f>IF('All Girls &amp; Descendants'!H328="",D329,'All Girls &amp; Descendants'!H328)</f>
        <v>Angus</v>
      </c>
      <c r="H329">
        <f>'All Girls &amp; Descendants'!I328</f>
        <v>1997</v>
      </c>
      <c r="I329" t="str">
        <f>'All Girls &amp; Descendants'!J328</f>
        <v/>
      </c>
      <c r="J329">
        <f>'All Girls &amp; Descendants'!K328</f>
        <v>0</v>
      </c>
      <c r="K329" s="7">
        <f>'All Girls &amp; Descendants'!M328</f>
        <v>35444</v>
      </c>
      <c r="L329" t="str">
        <f>'All Girls &amp; Descendants'!N328</f>
        <v xml:space="preserve"> - </v>
      </c>
      <c r="M329" t="str">
        <f>'All Girls &amp; Descendants'!O328</f>
        <v/>
      </c>
      <c r="N329" t="str">
        <f>'All Girls &amp; Descendants'!P328</f>
        <v/>
      </c>
      <c r="O329" t="str">
        <f>'All Girls &amp; Descendants'!Q328</f>
        <v>88aa</v>
      </c>
      <c r="P329" t="str">
        <f t="shared" si="70"/>
        <v>88aab</v>
      </c>
      <c r="Q329" s="116">
        <f t="shared" si="71"/>
        <v>3</v>
      </c>
      <c r="R329" s="31" t="str">
        <f t="shared" si="72"/>
        <v>Angus John  HOLMAN-BAIRD</v>
      </c>
      <c r="S329" s="31" t="str">
        <f t="shared" si="73"/>
        <v>Angus HOLMAN-BAIRD (1997 -: #88aab)</v>
      </c>
    </row>
    <row r="330" spans="1:19">
      <c r="A330">
        <f>'All Girls &amp; Descendants'!B329</f>
        <v>88</v>
      </c>
      <c r="B330" t="str">
        <f>'All Girls &amp; Descendants'!C329</f>
        <v>88aac</v>
      </c>
      <c r="C330" t="str">
        <f>'All Girls &amp; Descendants'!D329</f>
        <v>HOLMAN-BAIRD</v>
      </c>
      <c r="D330" t="str">
        <f>'All Girls &amp; Descendants'!E329</f>
        <v>Amelia</v>
      </c>
      <c r="E330" t="str">
        <f>IF('All Girls &amp; Descendants'!F329="","",'All Girls &amp; Descendants'!F329)</f>
        <v>Jo</v>
      </c>
      <c r="F330" t="str">
        <f>IF('All Girls &amp; Descendants'!G329="","",'All Girls &amp; Descendants'!G329)</f>
        <v/>
      </c>
      <c r="G330" t="str">
        <f>IF('All Girls &amp; Descendants'!H329="",D330,'All Girls &amp; Descendants'!H329)</f>
        <v>Amelia</v>
      </c>
      <c r="H330">
        <f>'All Girls &amp; Descendants'!I329</f>
        <v>1998</v>
      </c>
      <c r="I330" t="str">
        <f>'All Girls &amp; Descendants'!J329</f>
        <v/>
      </c>
      <c r="J330">
        <f>'All Girls &amp; Descendants'!K329</f>
        <v>0</v>
      </c>
      <c r="K330" s="7">
        <f>'All Girls &amp; Descendants'!M329</f>
        <v>36158</v>
      </c>
      <c r="L330" t="str">
        <f>'All Girls &amp; Descendants'!N329</f>
        <v xml:space="preserve"> - </v>
      </c>
      <c r="M330" t="str">
        <f>'All Girls &amp; Descendants'!O329</f>
        <v/>
      </c>
      <c r="N330" t="str">
        <f>'All Girls &amp; Descendants'!P329</f>
        <v/>
      </c>
      <c r="O330" t="str">
        <f>'All Girls &amp; Descendants'!Q329</f>
        <v>88aa</v>
      </c>
      <c r="P330" t="str">
        <f t="shared" si="70"/>
        <v>88aac</v>
      </c>
      <c r="Q330" s="116">
        <f t="shared" si="71"/>
        <v>3</v>
      </c>
      <c r="R330" s="31" t="str">
        <f t="shared" si="72"/>
        <v>Amelia Jo  HOLMAN-BAIRD</v>
      </c>
      <c r="S330" s="31" t="str">
        <f t="shared" si="73"/>
        <v>Amelia HOLMAN-BAIRD (1998 -: #88aac)</v>
      </c>
    </row>
    <row r="331" spans="1:19">
      <c r="A331">
        <f>'All Girls &amp; Descendants'!B330</f>
        <v>88</v>
      </c>
      <c r="B331" t="str">
        <f>'All Girls &amp; Descendants'!C330</f>
        <v>88aca</v>
      </c>
      <c r="C331" t="str">
        <f>'All Girls &amp; Descendants'!D330</f>
        <v>STIRRUP</v>
      </c>
      <c r="D331" t="str">
        <f>'All Girls &amp; Descendants'!E330</f>
        <v>William</v>
      </c>
      <c r="E331" t="str">
        <f>IF('All Girls &amp; Descendants'!F330="","",'All Girls &amp; Descendants'!F330)</f>
        <v>John</v>
      </c>
      <c r="F331" t="str">
        <f>IF('All Girls &amp; Descendants'!G330="","",'All Girls &amp; Descendants'!G330)</f>
        <v/>
      </c>
      <c r="G331" t="str">
        <f>IF('All Girls &amp; Descendants'!H330="",D331,'All Girls &amp; Descendants'!H330)</f>
        <v>William</v>
      </c>
      <c r="H331">
        <f>'All Girls &amp; Descendants'!I330</f>
        <v>1992</v>
      </c>
      <c r="I331" t="str">
        <f>'All Girls &amp; Descendants'!J330</f>
        <v/>
      </c>
      <c r="J331">
        <f>'All Girls &amp; Descendants'!K330</f>
        <v>0</v>
      </c>
      <c r="K331" s="7">
        <f>'All Girls &amp; Descendants'!M330</f>
        <v>33857</v>
      </c>
      <c r="L331" t="str">
        <f>'All Girls &amp; Descendants'!N330</f>
        <v xml:space="preserve"> - </v>
      </c>
      <c r="M331" t="str">
        <f>'All Girls &amp; Descendants'!O330</f>
        <v/>
      </c>
      <c r="N331" t="str">
        <f>'All Girls &amp; Descendants'!P330</f>
        <v/>
      </c>
      <c r="O331" t="str">
        <f>'All Girls &amp; Descendants'!Q330</f>
        <v>88ac</v>
      </c>
      <c r="P331" t="str">
        <f t="shared" si="70"/>
        <v>88aca</v>
      </c>
      <c r="Q331" s="116">
        <f t="shared" si="71"/>
        <v>3</v>
      </c>
      <c r="R331" s="31" t="str">
        <f t="shared" si="72"/>
        <v>William John  STIRRUP</v>
      </c>
      <c r="S331" s="31" t="str">
        <f t="shared" si="73"/>
        <v>William STIRRUP (1992 -: #88aca)</v>
      </c>
    </row>
    <row r="332" spans="1:19">
      <c r="A332">
        <f>'All Girls &amp; Descendants'!B331</f>
        <v>88</v>
      </c>
      <c r="B332" t="str">
        <f>'All Girls &amp; Descendants'!C331</f>
        <v>88acb</v>
      </c>
      <c r="C332" t="str">
        <f>'All Girls &amp; Descendants'!D331</f>
        <v>STIRRUP</v>
      </c>
      <c r="D332" t="str">
        <f>'All Girls &amp; Descendants'!E331</f>
        <v>Timothy</v>
      </c>
      <c r="E332" t="str">
        <f>IF('All Girls &amp; Descendants'!F331="","",'All Girls &amp; Descendants'!F331)</f>
        <v>Charles</v>
      </c>
      <c r="F332" t="str">
        <f>IF('All Girls &amp; Descendants'!G331="","",'All Girls &amp; Descendants'!G331)</f>
        <v/>
      </c>
      <c r="G332" t="str">
        <f>IF('All Girls &amp; Descendants'!H331="",D332,'All Girls &amp; Descendants'!H331)</f>
        <v>Timothy</v>
      </c>
      <c r="H332">
        <f>'All Girls &amp; Descendants'!I331</f>
        <v>1994</v>
      </c>
      <c r="I332" t="str">
        <f>'All Girls &amp; Descendants'!J331</f>
        <v/>
      </c>
      <c r="J332">
        <f>'All Girls &amp; Descendants'!K331</f>
        <v>0</v>
      </c>
      <c r="K332" s="7">
        <f>'All Girls &amp; Descendants'!M331</f>
        <v>34491</v>
      </c>
      <c r="L332" t="str">
        <f>'All Girls &amp; Descendants'!N331</f>
        <v xml:space="preserve"> - </v>
      </c>
      <c r="M332" t="str">
        <f>'All Girls &amp; Descendants'!O331</f>
        <v/>
      </c>
      <c r="N332" t="str">
        <f>'All Girls &amp; Descendants'!P331</f>
        <v/>
      </c>
      <c r="O332" t="str">
        <f>'All Girls &amp; Descendants'!Q331</f>
        <v>88ac</v>
      </c>
      <c r="P332" t="str">
        <f t="shared" si="70"/>
        <v>88acb</v>
      </c>
      <c r="Q332" s="116">
        <f t="shared" si="71"/>
        <v>3</v>
      </c>
      <c r="R332" s="31" t="str">
        <f t="shared" si="72"/>
        <v>Timothy Charles  STIRRUP</v>
      </c>
      <c r="S332" s="31" t="str">
        <f t="shared" si="73"/>
        <v>Timothy STIRRUP (1994 -: #88acb)</v>
      </c>
    </row>
    <row r="333" spans="1:19">
      <c r="A333">
        <f>'All Girls &amp; Descendants'!B332</f>
        <v>88</v>
      </c>
      <c r="B333" t="str">
        <f>'All Girls &amp; Descendants'!C332</f>
        <v>88acc</v>
      </c>
      <c r="C333" t="str">
        <f>'All Girls &amp; Descendants'!D332</f>
        <v>STIRRUP</v>
      </c>
      <c r="D333" t="str">
        <f>'All Girls &amp; Descendants'!E332</f>
        <v>Isabelle</v>
      </c>
      <c r="E333" t="str">
        <f>IF('All Girls &amp; Descendants'!F332="","",'All Girls &amp; Descendants'!F332)</f>
        <v>Diana</v>
      </c>
      <c r="F333" t="str">
        <f>IF('All Girls &amp; Descendants'!G332="","",'All Girls &amp; Descendants'!G332)</f>
        <v/>
      </c>
      <c r="G333" t="str">
        <f>IF('All Girls &amp; Descendants'!H332="",D333,'All Girls &amp; Descendants'!H332)</f>
        <v>Isabelle</v>
      </c>
      <c r="H333">
        <f>'All Girls &amp; Descendants'!I332</f>
        <v>1997</v>
      </c>
      <c r="I333" t="str">
        <f>'All Girls &amp; Descendants'!J332</f>
        <v/>
      </c>
      <c r="J333">
        <f>'All Girls &amp; Descendants'!K332</f>
        <v>0</v>
      </c>
      <c r="K333" s="7">
        <f>'All Girls &amp; Descendants'!M332</f>
        <v>35534</v>
      </c>
      <c r="L333" t="str">
        <f>'All Girls &amp; Descendants'!N332</f>
        <v xml:space="preserve"> - </v>
      </c>
      <c r="M333" t="str">
        <f>'All Girls &amp; Descendants'!O332</f>
        <v/>
      </c>
      <c r="N333" t="str">
        <f>'All Girls &amp; Descendants'!P332</f>
        <v/>
      </c>
      <c r="O333" t="str">
        <f>'All Girls &amp; Descendants'!Q332</f>
        <v>88ac</v>
      </c>
      <c r="P333" t="str">
        <f t="shared" si="70"/>
        <v>88acc</v>
      </c>
      <c r="Q333" s="116">
        <f t="shared" si="71"/>
        <v>3</v>
      </c>
      <c r="R333" s="31" t="str">
        <f t="shared" si="72"/>
        <v>Isabelle Diana  STIRRUP</v>
      </c>
      <c r="S333" s="31" t="str">
        <f t="shared" si="73"/>
        <v>Isabelle STIRRUP (1997 -: #88acc)</v>
      </c>
    </row>
    <row r="334" spans="1:19">
      <c r="A334">
        <f>'All Girls &amp; Descendants'!B333</f>
        <v>88</v>
      </c>
      <c r="B334" t="str">
        <f>'All Girls &amp; Descendants'!C333</f>
        <v>88ada</v>
      </c>
      <c r="C334" t="str">
        <f>'All Girls &amp; Descendants'!D333</f>
        <v>COLE</v>
      </c>
      <c r="D334" t="str">
        <f>'All Girls &amp; Descendants'!E333</f>
        <v>Sophie</v>
      </c>
      <c r="E334" t="str">
        <f>IF('All Girls &amp; Descendants'!F333="","",'All Girls &amp; Descendants'!F333)</f>
        <v>Charlotte</v>
      </c>
      <c r="F334" t="str">
        <f>IF('All Girls &amp; Descendants'!G333="","",'All Girls &amp; Descendants'!G333)</f>
        <v/>
      </c>
      <c r="G334" t="str">
        <f>IF('All Girls &amp; Descendants'!H333="",D334,'All Girls &amp; Descendants'!H333)</f>
        <v>Sophie</v>
      </c>
      <c r="H334">
        <f>'All Girls &amp; Descendants'!I333</f>
        <v>1992</v>
      </c>
      <c r="I334" t="str">
        <f>'All Girls &amp; Descendants'!J333</f>
        <v/>
      </c>
      <c r="J334">
        <f>'All Girls &amp; Descendants'!K333</f>
        <v>0</v>
      </c>
      <c r="K334" s="7">
        <f>'All Girls &amp; Descendants'!M333</f>
        <v>33820</v>
      </c>
      <c r="L334" t="str">
        <f>'All Girls &amp; Descendants'!N333</f>
        <v xml:space="preserve"> - </v>
      </c>
      <c r="M334" t="str">
        <f>'All Girls &amp; Descendants'!O333</f>
        <v/>
      </c>
      <c r="N334" t="str">
        <f>'All Girls &amp; Descendants'!P333</f>
        <v/>
      </c>
      <c r="O334" t="str">
        <f>'All Girls &amp; Descendants'!Q333</f>
        <v>88ad</v>
      </c>
      <c r="P334" t="str">
        <f t="shared" si="70"/>
        <v>88ada</v>
      </c>
      <c r="Q334" s="116">
        <f t="shared" si="71"/>
        <v>3</v>
      </c>
      <c r="R334" s="31" t="str">
        <f t="shared" si="72"/>
        <v>Sophie Charlotte  COLE</v>
      </c>
      <c r="S334" s="31" t="str">
        <f t="shared" si="73"/>
        <v>Sophie COLE (1992 -: #88ada)</v>
      </c>
    </row>
    <row r="335" spans="1:19">
      <c r="A335">
        <f>'All Girls &amp; Descendants'!B334</f>
        <v>88</v>
      </c>
      <c r="B335" t="str">
        <f>'All Girls &amp; Descendants'!C334</f>
        <v>88adb</v>
      </c>
      <c r="C335" t="str">
        <f>'All Girls &amp; Descendants'!D334</f>
        <v>COLE</v>
      </c>
      <c r="D335" t="str">
        <f>'All Girls &amp; Descendants'!E334</f>
        <v>Patrick</v>
      </c>
      <c r="E335" t="str">
        <f>IF('All Girls &amp; Descendants'!F334="","",'All Girls &amp; Descendants'!F334)</f>
        <v>James</v>
      </c>
      <c r="F335" t="str">
        <f>IF('All Girls &amp; Descendants'!G334="","",'All Girls &amp; Descendants'!G334)</f>
        <v/>
      </c>
      <c r="G335" t="str">
        <f>IF('All Girls &amp; Descendants'!H334="",D335,'All Girls &amp; Descendants'!H334)</f>
        <v>Patrick</v>
      </c>
      <c r="H335">
        <f>'All Girls &amp; Descendants'!I334</f>
        <v>1994</v>
      </c>
      <c r="I335" t="str">
        <f>'All Girls &amp; Descendants'!J334</f>
        <v/>
      </c>
      <c r="J335">
        <f>'All Girls &amp; Descendants'!K334</f>
        <v>0</v>
      </c>
      <c r="K335" s="7">
        <f>'All Girls &amp; Descendants'!M334</f>
        <v>34408</v>
      </c>
      <c r="L335" t="str">
        <f>'All Girls &amp; Descendants'!N334</f>
        <v xml:space="preserve"> - </v>
      </c>
      <c r="M335" t="str">
        <f>'All Girls &amp; Descendants'!O334</f>
        <v/>
      </c>
      <c r="N335" t="str">
        <f>'All Girls &amp; Descendants'!P334</f>
        <v/>
      </c>
      <c r="O335" t="str">
        <f>'All Girls &amp; Descendants'!Q334</f>
        <v>88ad</v>
      </c>
      <c r="P335" t="str">
        <f t="shared" si="70"/>
        <v>88adb</v>
      </c>
      <c r="Q335" s="116">
        <f t="shared" si="71"/>
        <v>3</v>
      </c>
      <c r="R335" s="31" t="str">
        <f t="shared" si="72"/>
        <v>Patrick James  COLE</v>
      </c>
      <c r="S335" s="31" t="str">
        <f t="shared" si="73"/>
        <v>Patrick COLE (1994 -: #88adb)</v>
      </c>
    </row>
    <row r="336" spans="1:19">
      <c r="A336">
        <f>'All Girls &amp; Descendants'!B335</f>
        <v>92</v>
      </c>
      <c r="B336" t="str">
        <f>'All Girls &amp; Descendants'!C335</f>
        <v>92aaa</v>
      </c>
      <c r="C336" t="str">
        <f>'All Girls &amp; Descendants'!D335</f>
        <v>TATTON-BROWN</v>
      </c>
      <c r="D336" t="str">
        <f>'All Girls &amp; Descendants'!E335</f>
        <v>Jake</v>
      </c>
      <c r="E336" t="str">
        <f>IF('All Girls &amp; Descendants'!F335="","",'All Girls &amp; Descendants'!F335)</f>
        <v>Michael</v>
      </c>
      <c r="F336" t="str">
        <f>IF('All Girls &amp; Descendants'!G335="","",'All Girls &amp; Descendants'!G335)</f>
        <v/>
      </c>
      <c r="G336" t="str">
        <f>IF('All Girls &amp; Descendants'!H335="",D336,'All Girls &amp; Descendants'!H335)</f>
        <v>Jake</v>
      </c>
      <c r="H336">
        <f>'All Girls &amp; Descendants'!I335</f>
        <v>2016</v>
      </c>
      <c r="I336" t="str">
        <f>'All Girls &amp; Descendants'!J335</f>
        <v/>
      </c>
      <c r="J336">
        <f>'All Girls &amp; Descendants'!K335</f>
        <v>0</v>
      </c>
      <c r="K336" s="7">
        <f>'All Girls &amp; Descendants'!M335</f>
        <v>42553</v>
      </c>
      <c r="L336" t="str">
        <f>'All Girls &amp; Descendants'!N335</f>
        <v xml:space="preserve"> - </v>
      </c>
      <c r="M336" t="str">
        <f>'All Girls &amp; Descendants'!O335</f>
        <v/>
      </c>
      <c r="N336" t="str">
        <f>'All Girls &amp; Descendants'!P335</f>
        <v/>
      </c>
      <c r="O336" t="str">
        <f>'All Girls &amp; Descendants'!Q335</f>
        <v>92aa</v>
      </c>
      <c r="P336" t="str">
        <f t="shared" si="70"/>
        <v>92aaa</v>
      </c>
      <c r="Q336" s="116">
        <f t="shared" si="71"/>
        <v>3</v>
      </c>
      <c r="R336" s="31" t="str">
        <f t="shared" si="72"/>
        <v>Jake Michael  TATTON-BROWN</v>
      </c>
      <c r="S336" s="31" t="str">
        <f t="shared" si="73"/>
        <v>Jake TATTON-BROWN (2016 -: #92aaa)</v>
      </c>
    </row>
    <row r="337" spans="1:19">
      <c r="A337">
        <f>'All Girls &amp; Descendants'!B336</f>
        <v>92</v>
      </c>
      <c r="B337" t="str">
        <f>'All Girls &amp; Descendants'!C336</f>
        <v>92aab</v>
      </c>
      <c r="C337" t="str">
        <f>'All Girls &amp; Descendants'!D336</f>
        <v>TATTON-BROWN</v>
      </c>
      <c r="D337" t="str">
        <f>'All Girls &amp; Descendants'!E336</f>
        <v>Zachery</v>
      </c>
      <c r="E337" t="str">
        <f>IF('All Girls &amp; Descendants'!F336="","",'All Girls &amp; Descendants'!F336)</f>
        <v>Finn</v>
      </c>
      <c r="F337" t="str">
        <f>IF('All Girls &amp; Descendants'!G336="","",'All Girls &amp; Descendants'!G336)</f>
        <v/>
      </c>
      <c r="G337" t="str">
        <f>IF('All Girls &amp; Descendants'!H336="",D337,'All Girls &amp; Descendants'!H336)</f>
        <v>Zachery</v>
      </c>
      <c r="H337">
        <f>'All Girls &amp; Descendants'!I336</f>
        <v>2016</v>
      </c>
      <c r="I337" t="str">
        <f>'All Girls &amp; Descendants'!J336</f>
        <v/>
      </c>
      <c r="J337">
        <f>'All Girls &amp; Descendants'!K336</f>
        <v>0</v>
      </c>
      <c r="K337" s="7">
        <f>'All Girls &amp; Descendants'!M336</f>
        <v>42559</v>
      </c>
      <c r="L337" t="str">
        <f>'All Girls &amp; Descendants'!N336</f>
        <v xml:space="preserve"> - </v>
      </c>
      <c r="M337" t="str">
        <f>'All Girls &amp; Descendants'!O336</f>
        <v/>
      </c>
      <c r="N337" t="str">
        <f>'All Girls &amp; Descendants'!P336</f>
        <v/>
      </c>
      <c r="O337" t="str">
        <f>'All Girls &amp; Descendants'!Q336</f>
        <v>92aa</v>
      </c>
      <c r="P337" t="str">
        <f t="shared" si="70"/>
        <v>92aab</v>
      </c>
      <c r="Q337" s="116">
        <f t="shared" si="71"/>
        <v>3</v>
      </c>
      <c r="R337" s="31" t="str">
        <f t="shared" si="72"/>
        <v>Zachery Finn  TATTON-BROWN</v>
      </c>
      <c r="S337" s="31" t="str">
        <f t="shared" si="73"/>
        <v>Zachery TATTON-BROWN (2016 -: #92aab)</v>
      </c>
    </row>
    <row r="338" spans="1:19">
      <c r="A338">
        <f>'All Girls &amp; Descendants'!B337</f>
        <v>92</v>
      </c>
      <c r="B338" t="str">
        <f>'All Girls &amp; Descendants'!C337</f>
        <v>92aca</v>
      </c>
      <c r="C338" t="str">
        <f>'All Girls &amp; Descendants'!D337</f>
        <v>BATTEY</v>
      </c>
      <c r="D338" t="str">
        <f>'All Girls &amp; Descendants'!E337</f>
        <v>Maia</v>
      </c>
      <c r="E338" t="str">
        <f>IF('All Girls &amp; Descendants'!F337="","",'All Girls &amp; Descendants'!F337)</f>
        <v>Veronica</v>
      </c>
      <c r="F338" t="str">
        <f>IF('All Girls &amp; Descendants'!G337="","",'All Girls &amp; Descendants'!G337)</f>
        <v>Kaur</v>
      </c>
      <c r="G338" t="str">
        <f>IF('All Girls &amp; Descendants'!H337="",D338,'All Girls &amp; Descendants'!H337)</f>
        <v>Maia</v>
      </c>
      <c r="H338">
        <f>'All Girls &amp; Descendants'!I337</f>
        <v>2014</v>
      </c>
      <c r="I338" t="str">
        <f>'All Girls &amp; Descendants'!J337</f>
        <v/>
      </c>
      <c r="J338">
        <f>'All Girls &amp; Descendants'!K337</f>
        <v>0</v>
      </c>
      <c r="K338" s="7">
        <f>'All Girls &amp; Descendants'!M337</f>
        <v>41983</v>
      </c>
      <c r="L338" t="str">
        <f>'All Girls &amp; Descendants'!N337</f>
        <v xml:space="preserve"> - </v>
      </c>
      <c r="M338" t="str">
        <f>'All Girls &amp; Descendants'!O337</f>
        <v/>
      </c>
      <c r="N338" t="str">
        <f>'All Girls &amp; Descendants'!P337</f>
        <v/>
      </c>
      <c r="O338" t="str">
        <f>'All Girls &amp; Descendants'!Q337</f>
        <v>92ac</v>
      </c>
      <c r="P338" t="str">
        <f t="shared" si="70"/>
        <v>92aca</v>
      </c>
      <c r="Q338" s="116">
        <f t="shared" si="71"/>
        <v>3</v>
      </c>
      <c r="R338" s="31" t="str">
        <f t="shared" si="72"/>
        <v>Maia Veronica Kaur BATTEY</v>
      </c>
      <c r="S338" s="31" t="str">
        <f t="shared" si="73"/>
        <v>Maia BATTEY (2014 -: #92aca)</v>
      </c>
    </row>
    <row r="339" spans="1:19">
      <c r="A339">
        <f>'All Girls &amp; Descendants'!B338</f>
        <v>92</v>
      </c>
      <c r="B339" t="str">
        <f>'All Girls &amp; Descendants'!C338</f>
        <v>92acb</v>
      </c>
      <c r="C339" t="str">
        <f>'All Girls &amp; Descendants'!D338</f>
        <v>BATTEY</v>
      </c>
      <c r="D339" t="str">
        <f>'All Girls &amp; Descendants'!E338</f>
        <v>Cara</v>
      </c>
      <c r="E339" t="str">
        <f>IF('All Girls &amp; Descendants'!F338="","",'All Girls &amp; Descendants'!F338)</f>
        <v>Ann</v>
      </c>
      <c r="F339" t="str">
        <f>IF('All Girls &amp; Descendants'!G338="","",'All Girls &amp; Descendants'!G338)</f>
        <v>Rose</v>
      </c>
      <c r="G339" t="str">
        <f>IF('All Girls &amp; Descendants'!H338="",D339,'All Girls &amp; Descendants'!H338)</f>
        <v>Cara</v>
      </c>
      <c r="H339">
        <f>'All Girls &amp; Descendants'!I338</f>
        <v>2017</v>
      </c>
      <c r="I339" t="str">
        <f>'All Girls &amp; Descendants'!J338</f>
        <v/>
      </c>
      <c r="J339">
        <f>'All Girls &amp; Descendants'!K338</f>
        <v>0</v>
      </c>
      <c r="K339" s="7">
        <f>'All Girls &amp; Descendants'!M338</f>
        <v>42787</v>
      </c>
      <c r="L339" t="str">
        <f>'All Girls &amp; Descendants'!N338</f>
        <v xml:space="preserve"> - </v>
      </c>
      <c r="M339" t="str">
        <f>'All Girls &amp; Descendants'!O338</f>
        <v/>
      </c>
      <c r="N339" t="str">
        <f>'All Girls &amp; Descendants'!P338</f>
        <v/>
      </c>
      <c r="O339" t="str">
        <f>'All Girls &amp; Descendants'!Q338</f>
        <v>92ac</v>
      </c>
      <c r="P339" t="str">
        <f t="shared" si="70"/>
        <v>92acb</v>
      </c>
      <c r="Q339" s="116">
        <f t="shared" si="71"/>
        <v>3</v>
      </c>
      <c r="R339" s="31" t="str">
        <f t="shared" si="72"/>
        <v>Cara Ann Rose BATTEY</v>
      </c>
      <c r="S339" s="31" t="str">
        <f t="shared" si="73"/>
        <v>Cara BATTEY (2017 -: #92acb)</v>
      </c>
    </row>
    <row r="340" spans="1:19">
      <c r="A340">
        <f>'All Girls &amp; Descendants'!B339</f>
        <v>92</v>
      </c>
      <c r="B340" t="str">
        <f>'All Girls &amp; Descendants'!C339</f>
        <v>92baa</v>
      </c>
      <c r="C340" t="str">
        <f>'All Girls &amp; Descendants'!D339</f>
        <v>ANDERSEN</v>
      </c>
      <c r="D340" t="str">
        <f>'All Girls &amp; Descendants'!E339</f>
        <v>Octavia</v>
      </c>
      <c r="E340" t="str">
        <f>IF('All Girls &amp; Descendants'!F339="","",'All Girls &amp; Descendants'!F339)</f>
        <v>Kenya</v>
      </c>
      <c r="F340" t="str">
        <f>IF('All Girls &amp; Descendants'!G339="","",'All Girls &amp; Descendants'!G339)</f>
        <v/>
      </c>
      <c r="G340" t="str">
        <f>IF('All Girls &amp; Descendants'!H339="",D340,'All Girls &amp; Descendants'!H339)</f>
        <v>Octavia</v>
      </c>
      <c r="H340">
        <f>'All Girls &amp; Descendants'!I339</f>
        <v>1999</v>
      </c>
      <c r="I340" t="str">
        <f>'All Girls &amp; Descendants'!J339</f>
        <v/>
      </c>
      <c r="J340">
        <f>'All Girls &amp; Descendants'!K339</f>
        <v>0</v>
      </c>
      <c r="K340" s="7">
        <f>'All Girls &amp; Descendants'!M339</f>
        <v>36230</v>
      </c>
      <c r="L340" t="str">
        <f>'All Girls &amp; Descendants'!N339</f>
        <v xml:space="preserve"> - </v>
      </c>
      <c r="M340" t="str">
        <f>'All Girls &amp; Descendants'!O339</f>
        <v/>
      </c>
      <c r="N340" t="str">
        <f>'All Girls &amp; Descendants'!P339</f>
        <v/>
      </c>
      <c r="O340" t="str">
        <f>'All Girls &amp; Descendants'!Q339</f>
        <v>92ba</v>
      </c>
      <c r="P340" t="str">
        <f t="shared" si="70"/>
        <v>92baa</v>
      </c>
      <c r="Q340" s="116">
        <f t="shared" si="71"/>
        <v>3</v>
      </c>
      <c r="R340" s="31" t="str">
        <f t="shared" si="72"/>
        <v>Octavia Kenya  ANDERSEN</v>
      </c>
      <c r="S340" s="31" t="str">
        <f t="shared" si="73"/>
        <v>Octavia ANDERSEN (1999 -: #92baa)</v>
      </c>
    </row>
    <row r="341" spans="1:19">
      <c r="A341">
        <f>'All Girls &amp; Descendants'!B340</f>
        <v>92</v>
      </c>
      <c r="B341" t="str">
        <f>'All Girls &amp; Descendants'!C340</f>
        <v>92bab</v>
      </c>
      <c r="C341" t="str">
        <f>'All Girls &amp; Descendants'!D340</f>
        <v>ANDERSEN</v>
      </c>
      <c r="D341" t="str">
        <f>'All Girls &amp; Descendants'!E340</f>
        <v>Augustus</v>
      </c>
      <c r="E341" t="str">
        <f>IF('All Girls &amp; Descendants'!F340="","",'All Girls &amp; Descendants'!F340)</f>
        <v>Eden</v>
      </c>
      <c r="F341" t="str">
        <f>IF('All Girls &amp; Descendants'!G340="","",'All Girls &amp; Descendants'!G340)</f>
        <v/>
      </c>
      <c r="G341" t="str">
        <f>IF('All Girls &amp; Descendants'!H340="",D341,'All Girls &amp; Descendants'!H340)</f>
        <v>Augustus</v>
      </c>
      <c r="H341">
        <f>'All Girls &amp; Descendants'!I340</f>
        <v>2003</v>
      </c>
      <c r="I341" t="str">
        <f>'All Girls &amp; Descendants'!J340</f>
        <v/>
      </c>
      <c r="J341">
        <f>'All Girls &amp; Descendants'!K340</f>
        <v>0</v>
      </c>
      <c r="K341" s="7">
        <f>'All Girls &amp; Descendants'!M340</f>
        <v>37794</v>
      </c>
      <c r="L341" t="str">
        <f>'All Girls &amp; Descendants'!N340</f>
        <v xml:space="preserve"> - </v>
      </c>
      <c r="M341" t="str">
        <f>'All Girls &amp; Descendants'!O340</f>
        <v/>
      </c>
      <c r="N341" t="str">
        <f>'All Girls &amp; Descendants'!P340</f>
        <v/>
      </c>
      <c r="O341" t="str">
        <f>'All Girls &amp; Descendants'!Q340</f>
        <v>92ba</v>
      </c>
      <c r="P341" t="str">
        <f t="shared" si="70"/>
        <v>92bab</v>
      </c>
      <c r="Q341" s="116">
        <f t="shared" si="71"/>
        <v>3</v>
      </c>
      <c r="R341" s="31" t="str">
        <f t="shared" si="72"/>
        <v>Augustus Eden  ANDERSEN</v>
      </c>
      <c r="S341" s="31" t="str">
        <f t="shared" si="73"/>
        <v>Augustus ANDERSEN (2003 -: #92bab)</v>
      </c>
    </row>
    <row r="342" spans="1:19">
      <c r="A342">
        <f>'All Girls &amp; Descendants'!B341</f>
        <v>92</v>
      </c>
      <c r="B342" t="str">
        <f>'All Girls &amp; Descendants'!C341</f>
        <v>92bba</v>
      </c>
      <c r="C342" t="str">
        <f>'All Girls &amp; Descendants'!D341</f>
        <v>TATTON-BROWN</v>
      </c>
      <c r="D342" t="str">
        <f>'All Girls &amp; Descendants'!E341</f>
        <v>Felix</v>
      </c>
      <c r="E342" t="str">
        <f>IF('All Girls &amp; Descendants'!F341="","",'All Girls &amp; Descendants'!F341)</f>
        <v>Edgar</v>
      </c>
      <c r="F342" t="str">
        <f>IF('All Girls &amp; Descendants'!G341="","",'All Girls &amp; Descendants'!G341)</f>
        <v>Oliver</v>
      </c>
      <c r="G342" t="str">
        <f>IF('All Girls &amp; Descendants'!H341="",D342,'All Girls &amp; Descendants'!H341)</f>
        <v>Felix</v>
      </c>
      <c r="H342">
        <f>'All Girls &amp; Descendants'!I341</f>
        <v>2004</v>
      </c>
      <c r="I342" t="str">
        <f>'All Girls &amp; Descendants'!J341</f>
        <v/>
      </c>
      <c r="J342">
        <f>'All Girls &amp; Descendants'!K341</f>
        <v>0</v>
      </c>
      <c r="K342" s="7">
        <f>'All Girls &amp; Descendants'!M341</f>
        <v>38267</v>
      </c>
      <c r="L342" t="str">
        <f>'All Girls &amp; Descendants'!N341</f>
        <v xml:space="preserve"> - </v>
      </c>
      <c r="M342" t="str">
        <f>'All Girls &amp; Descendants'!O341</f>
        <v/>
      </c>
      <c r="N342" t="str">
        <f>'All Girls &amp; Descendants'!P341</f>
        <v/>
      </c>
      <c r="O342" t="str">
        <f>'All Girls &amp; Descendants'!Q341</f>
        <v>92bb</v>
      </c>
      <c r="P342" t="str">
        <f t="shared" si="70"/>
        <v>92bba</v>
      </c>
      <c r="Q342" s="116">
        <f t="shared" si="71"/>
        <v>3</v>
      </c>
      <c r="R342" s="31" t="str">
        <f t="shared" si="72"/>
        <v>Felix Edgar Oliver TATTON-BROWN</v>
      </c>
      <c r="S342" s="31" t="str">
        <f t="shared" si="73"/>
        <v>Felix TATTON-BROWN (2004 -: #92bba)</v>
      </c>
    </row>
    <row r="343" spans="1:19">
      <c r="A343">
        <f>'All Girls &amp; Descendants'!B342</f>
        <v>92</v>
      </c>
      <c r="B343" t="str">
        <f>'All Girls &amp; Descendants'!C342</f>
        <v>92bbb</v>
      </c>
      <c r="C343" t="str">
        <f>'All Girls &amp; Descendants'!D342</f>
        <v>TATTON-BROWN</v>
      </c>
      <c r="D343" t="str">
        <f>'All Girls &amp; Descendants'!E342</f>
        <v>Marius</v>
      </c>
      <c r="E343" t="str">
        <f>IF('All Girls &amp; Descendants'!F342="","",'All Girls &amp; Descendants'!F342)</f>
        <v>Cesar</v>
      </c>
      <c r="F343" t="str">
        <f>IF('All Girls &amp; Descendants'!G342="","",'All Girls &amp; Descendants'!G342)</f>
        <v>Fabien</v>
      </c>
      <c r="G343" t="str">
        <f>IF('All Girls &amp; Descendants'!H342="",D343,'All Girls &amp; Descendants'!H342)</f>
        <v>Marius</v>
      </c>
      <c r="H343">
        <f>'All Girls &amp; Descendants'!I342</f>
        <v>2004</v>
      </c>
      <c r="I343" t="str">
        <f>'All Girls &amp; Descendants'!J342</f>
        <v/>
      </c>
      <c r="J343">
        <f>'All Girls &amp; Descendants'!K342</f>
        <v>0</v>
      </c>
      <c r="K343" s="7">
        <f>'All Girls &amp; Descendants'!M342</f>
        <v>38267</v>
      </c>
      <c r="L343" t="str">
        <f>'All Girls &amp; Descendants'!N342</f>
        <v xml:space="preserve"> - </v>
      </c>
      <c r="M343" t="str">
        <f>'All Girls &amp; Descendants'!O342</f>
        <v/>
      </c>
      <c r="N343" t="str">
        <f>'All Girls &amp; Descendants'!P342</f>
        <v/>
      </c>
      <c r="O343" t="str">
        <f>'All Girls &amp; Descendants'!Q342</f>
        <v>92bb</v>
      </c>
      <c r="P343" t="str">
        <f t="shared" ref="P343:P406" si="74">B343</f>
        <v>92bbb</v>
      </c>
      <c r="Q343" s="116">
        <f t="shared" ref="Q343:Q406" si="75">LEN(B343)-LEN(A343)</f>
        <v>3</v>
      </c>
      <c r="R343" s="31" t="str">
        <f t="shared" ref="R343:R406" si="76">_xlfn.CONCAT(D343," ",E343," ",F343," ",C343)</f>
        <v>Marius Cesar Fabien TATTON-BROWN</v>
      </c>
      <c r="S343" s="31" t="str">
        <f t="shared" ref="S343:S406" si="77">_xlfn.CONCAT(G343," ",C343," (",H343," -",I343,": #",B343,")")</f>
        <v>Marius TATTON-BROWN (2004 -: #92bbb)</v>
      </c>
    </row>
    <row r="344" spans="1:19">
      <c r="A344">
        <f>'All Girls &amp; Descendants'!B343</f>
        <v>92</v>
      </c>
      <c r="B344" t="str">
        <f>'All Girls &amp; Descendants'!C343</f>
        <v>92bbc</v>
      </c>
      <c r="C344" t="str">
        <f>'All Girls &amp; Descendants'!D343</f>
        <v>TATTON-BROWN</v>
      </c>
      <c r="D344" t="str">
        <f>'All Girls &amp; Descendants'!E343</f>
        <v>Poppy</v>
      </c>
      <c r="E344" t="str">
        <f>IF('All Girls &amp; Descendants'!F343="","",'All Girls &amp; Descendants'!F343)</f>
        <v>May</v>
      </c>
      <c r="F344" t="str">
        <f>IF('All Girls &amp; Descendants'!G343="","",'All Girls &amp; Descendants'!G343)</f>
        <v/>
      </c>
      <c r="G344" t="str">
        <f>IF('All Girls &amp; Descendants'!H343="",D344,'All Girls &amp; Descendants'!H343)</f>
        <v>Poppy</v>
      </c>
      <c r="H344">
        <f>'All Girls &amp; Descendants'!I343</f>
        <v>2008</v>
      </c>
      <c r="I344" t="str">
        <f>'All Girls &amp; Descendants'!J343</f>
        <v/>
      </c>
      <c r="J344">
        <f>'All Girls &amp; Descendants'!K343</f>
        <v>0</v>
      </c>
      <c r="K344" s="7">
        <f>'All Girls &amp; Descendants'!M343</f>
        <v>39703</v>
      </c>
      <c r="L344" t="str">
        <f>'All Girls &amp; Descendants'!N343</f>
        <v xml:space="preserve"> - </v>
      </c>
      <c r="M344" t="str">
        <f>'All Girls &amp; Descendants'!O343</f>
        <v/>
      </c>
      <c r="N344" t="str">
        <f>'All Girls &amp; Descendants'!P343</f>
        <v/>
      </c>
      <c r="O344" t="str">
        <f>'All Girls &amp; Descendants'!Q343</f>
        <v>92bb</v>
      </c>
      <c r="P344" t="str">
        <f t="shared" si="74"/>
        <v>92bbc</v>
      </c>
      <c r="Q344" s="116">
        <f t="shared" si="75"/>
        <v>3</v>
      </c>
      <c r="R344" s="31" t="str">
        <f t="shared" si="76"/>
        <v>Poppy May  TATTON-BROWN</v>
      </c>
      <c r="S344" s="31" t="str">
        <f t="shared" si="77"/>
        <v>Poppy TATTON-BROWN (2008 -: #92bbc)</v>
      </c>
    </row>
    <row r="345" spans="1:19">
      <c r="A345">
        <f>'All Girls &amp; Descendants'!B344</f>
        <v>92</v>
      </c>
      <c r="B345" t="str">
        <f>'All Girls &amp; Descendants'!C344</f>
        <v>92bca</v>
      </c>
      <c r="C345" t="str">
        <f>'All Girls &amp; Descendants'!D344</f>
        <v>BOURNE</v>
      </c>
      <c r="D345" t="str">
        <f>'All Girls &amp; Descendants'!E344</f>
        <v>Rose</v>
      </c>
      <c r="E345" t="str">
        <f>IF('All Girls &amp; Descendants'!F344="","",'All Girls &amp; Descendants'!F344)</f>
        <v>Henrietta</v>
      </c>
      <c r="F345" t="str">
        <f>IF('All Girls &amp; Descendants'!G344="","",'All Girls &amp; Descendants'!G344)</f>
        <v/>
      </c>
      <c r="G345" t="str">
        <f>IF('All Girls &amp; Descendants'!H344="",D345,'All Girls &amp; Descendants'!H344)</f>
        <v>Rose</v>
      </c>
      <c r="H345">
        <f>'All Girls &amp; Descendants'!I344</f>
        <v>2014</v>
      </c>
      <c r="I345" t="str">
        <f>'All Girls &amp; Descendants'!J344</f>
        <v/>
      </c>
      <c r="J345">
        <f>'All Girls &amp; Descendants'!K344</f>
        <v>0</v>
      </c>
      <c r="K345" s="7">
        <f>'All Girls &amp; Descendants'!M344</f>
        <v>41747</v>
      </c>
      <c r="L345" t="str">
        <f>'All Girls &amp; Descendants'!N344</f>
        <v xml:space="preserve"> - </v>
      </c>
      <c r="M345" t="str">
        <f>'All Girls &amp; Descendants'!O344</f>
        <v/>
      </c>
      <c r="N345" t="str">
        <f>'All Girls &amp; Descendants'!P344</f>
        <v/>
      </c>
      <c r="O345" t="str">
        <f>'All Girls &amp; Descendants'!Q344</f>
        <v>92bc</v>
      </c>
      <c r="P345" t="str">
        <f t="shared" si="74"/>
        <v>92bca</v>
      </c>
      <c r="Q345" s="116">
        <f t="shared" si="75"/>
        <v>3</v>
      </c>
      <c r="R345" s="31" t="str">
        <f t="shared" si="76"/>
        <v>Rose Henrietta  BOURNE</v>
      </c>
      <c r="S345" s="31" t="str">
        <f t="shared" si="77"/>
        <v>Rose BOURNE (2014 -: #92bca)</v>
      </c>
    </row>
    <row r="346" spans="1:19">
      <c r="A346">
        <f>'All Girls &amp; Descendants'!B345</f>
        <v>92</v>
      </c>
      <c r="B346" t="str">
        <f>'All Girls &amp; Descendants'!C345</f>
        <v>92bcb</v>
      </c>
      <c r="C346" t="str">
        <f>'All Girls &amp; Descendants'!D345</f>
        <v>BOURNE</v>
      </c>
      <c r="D346" t="str">
        <f>'All Girls &amp; Descendants'!E345</f>
        <v>Basil</v>
      </c>
      <c r="E346" t="str">
        <f>IF('All Girls &amp; Descendants'!F345="","",'All Girls &amp; Descendants'!F345)</f>
        <v>Louis</v>
      </c>
      <c r="F346" t="str">
        <f>IF('All Girls &amp; Descendants'!G345="","",'All Girls &amp; Descendants'!G345)</f>
        <v/>
      </c>
      <c r="G346" t="str">
        <f>IF('All Girls &amp; Descendants'!H345="",D346,'All Girls &amp; Descendants'!H345)</f>
        <v>Basil</v>
      </c>
      <c r="H346">
        <f>'All Girls &amp; Descendants'!I345</f>
        <v>2016</v>
      </c>
      <c r="I346" t="str">
        <f>'All Girls &amp; Descendants'!J345</f>
        <v/>
      </c>
      <c r="J346">
        <f>'All Girls &amp; Descendants'!K345</f>
        <v>0</v>
      </c>
      <c r="K346" s="7">
        <f>'All Girls &amp; Descendants'!M345</f>
        <v>42399</v>
      </c>
      <c r="L346" t="str">
        <f>'All Girls &amp; Descendants'!N345</f>
        <v xml:space="preserve"> - </v>
      </c>
      <c r="M346" t="str">
        <f>'All Girls &amp; Descendants'!O345</f>
        <v/>
      </c>
      <c r="N346" t="str">
        <f>'All Girls &amp; Descendants'!P345</f>
        <v/>
      </c>
      <c r="O346" t="str">
        <f>'All Girls &amp; Descendants'!Q345</f>
        <v>92bc</v>
      </c>
      <c r="P346" t="str">
        <f t="shared" si="74"/>
        <v>92bcb</v>
      </c>
      <c r="Q346" s="116">
        <f t="shared" si="75"/>
        <v>3</v>
      </c>
      <c r="R346" s="31" t="str">
        <f t="shared" si="76"/>
        <v>Basil Louis  BOURNE</v>
      </c>
      <c r="S346" s="31" t="str">
        <f t="shared" si="77"/>
        <v>Basil BOURNE (2016 -: #92bcb)</v>
      </c>
    </row>
    <row r="347" spans="1:19">
      <c r="A347">
        <f>'All Girls &amp; Descendants'!B346</f>
        <v>92</v>
      </c>
      <c r="B347" t="str">
        <f>'All Girls &amp; Descendants'!C346</f>
        <v>92bcc</v>
      </c>
      <c r="C347" t="str">
        <f>'All Girls &amp; Descendants'!D346</f>
        <v>BOURNE</v>
      </c>
      <c r="D347" t="str">
        <f>'All Girls &amp; Descendants'!E346</f>
        <v>Montague</v>
      </c>
      <c r="E347" t="str">
        <f>IF('All Girls &amp; Descendants'!F346="","",'All Girls &amp; Descendants'!F346)</f>
        <v>Alfred</v>
      </c>
      <c r="F347" t="str">
        <f>IF('All Girls &amp; Descendants'!G346="","",'All Girls &amp; Descendants'!G346)</f>
        <v/>
      </c>
      <c r="G347" t="str">
        <f>IF('All Girls &amp; Descendants'!H346="",D347,'All Girls &amp; Descendants'!H346)</f>
        <v>Montague</v>
      </c>
      <c r="H347">
        <f>'All Girls &amp; Descendants'!I346</f>
        <v>2020</v>
      </c>
      <c r="I347" t="str">
        <f>'All Girls &amp; Descendants'!J346</f>
        <v/>
      </c>
      <c r="J347">
        <f>'All Girls &amp; Descendants'!K346</f>
        <v>0</v>
      </c>
      <c r="K347" s="7">
        <f>'All Girls &amp; Descendants'!M346</f>
        <v>44158</v>
      </c>
      <c r="L347" t="str">
        <f>'All Girls &amp; Descendants'!N346</f>
        <v xml:space="preserve"> - </v>
      </c>
      <c r="M347" t="str">
        <f>'All Girls &amp; Descendants'!O346</f>
        <v/>
      </c>
      <c r="N347" t="str">
        <f>'All Girls &amp; Descendants'!P346</f>
        <v/>
      </c>
      <c r="O347" t="str">
        <f>'All Girls &amp; Descendants'!Q346</f>
        <v>92bc</v>
      </c>
      <c r="P347" t="str">
        <f t="shared" si="74"/>
        <v>92bcc</v>
      </c>
      <c r="Q347" s="116">
        <f t="shared" si="75"/>
        <v>3</v>
      </c>
      <c r="R347" s="31" t="str">
        <f t="shared" si="76"/>
        <v>Montague Alfred  BOURNE</v>
      </c>
      <c r="S347" s="31" t="str">
        <f t="shared" si="77"/>
        <v>Montague BOURNE (2020 -: #92bcc)</v>
      </c>
    </row>
    <row r="348" spans="1:19">
      <c r="A348">
        <f>'All Girls &amp; Descendants'!B347</f>
        <v>92</v>
      </c>
      <c r="B348" t="str">
        <f>'All Girls &amp; Descendants'!C347</f>
        <v>92bda</v>
      </c>
      <c r="C348" t="str">
        <f>'All Girls &amp; Descendants'!D347</f>
        <v>TATTON-BROWN</v>
      </c>
      <c r="D348" t="str">
        <f>'All Girls &amp; Descendants'!E347</f>
        <v>Alice</v>
      </c>
      <c r="E348" t="str">
        <f>IF('All Girls &amp; Descendants'!F347="","",'All Girls &amp; Descendants'!F347)</f>
        <v>Clementine</v>
      </c>
      <c r="F348" t="str">
        <f>IF('All Girls &amp; Descendants'!G347="","",'All Girls &amp; Descendants'!G347)</f>
        <v>Mary</v>
      </c>
      <c r="G348" t="str">
        <f>IF('All Girls &amp; Descendants'!H347="",D348,'All Girls &amp; Descendants'!H347)</f>
        <v>Alice</v>
      </c>
      <c r="H348">
        <f>'All Girls &amp; Descendants'!I347</f>
        <v>2013</v>
      </c>
      <c r="I348" t="str">
        <f>'All Girls &amp; Descendants'!J347</f>
        <v/>
      </c>
      <c r="J348">
        <f>'All Girls &amp; Descendants'!K347</f>
        <v>0</v>
      </c>
      <c r="K348" s="7">
        <f>'All Girls &amp; Descendants'!M347</f>
        <v>41567</v>
      </c>
      <c r="L348" t="str">
        <f>'All Girls &amp; Descendants'!N347</f>
        <v xml:space="preserve"> - </v>
      </c>
      <c r="M348" t="str">
        <f>'All Girls &amp; Descendants'!O347</f>
        <v/>
      </c>
      <c r="N348" t="str">
        <f>'All Girls &amp; Descendants'!P347</f>
        <v/>
      </c>
      <c r="O348" t="str">
        <f>'All Girls &amp; Descendants'!Q347</f>
        <v>92bd</v>
      </c>
      <c r="P348" t="str">
        <f t="shared" si="74"/>
        <v>92bda</v>
      </c>
      <c r="Q348" s="116">
        <f t="shared" si="75"/>
        <v>3</v>
      </c>
      <c r="R348" s="31" t="str">
        <f t="shared" si="76"/>
        <v>Alice Clementine Mary TATTON-BROWN</v>
      </c>
      <c r="S348" s="31" t="str">
        <f t="shared" si="77"/>
        <v>Alice TATTON-BROWN (2013 -: #92bda)</v>
      </c>
    </row>
    <row r="349" spans="1:19">
      <c r="A349">
        <f>'All Girls &amp; Descendants'!B348</f>
        <v>92</v>
      </c>
      <c r="B349" t="str">
        <f>'All Girls &amp; Descendants'!C348</f>
        <v>92bdb</v>
      </c>
      <c r="C349" t="str">
        <f>'All Girls &amp; Descendants'!D348</f>
        <v>TATTON-BROWN</v>
      </c>
      <c r="D349" t="str">
        <f>'All Girls &amp; Descendants'!E348</f>
        <v>Théodore</v>
      </c>
      <c r="E349" t="str">
        <f>IF('All Girls &amp; Descendants'!F348="","",'All Girls &amp; Descendants'!F348)</f>
        <v>Eden</v>
      </c>
      <c r="F349" t="str">
        <f>IF('All Girls &amp; Descendants'!G348="","",'All Girls &amp; Descendants'!G348)</f>
        <v>Louis</v>
      </c>
      <c r="G349" t="str">
        <f>IF('All Girls &amp; Descendants'!H348="",D349,'All Girls &amp; Descendants'!H348)</f>
        <v>Théodore</v>
      </c>
      <c r="H349">
        <f>'All Girls &amp; Descendants'!I348</f>
        <v>2018</v>
      </c>
      <c r="I349" t="str">
        <f>'All Girls &amp; Descendants'!J348</f>
        <v/>
      </c>
      <c r="J349">
        <f>'All Girls &amp; Descendants'!K348</f>
        <v>0</v>
      </c>
      <c r="K349" s="7">
        <f>'All Girls &amp; Descendants'!M348</f>
        <v>43260</v>
      </c>
      <c r="L349" t="str">
        <f>'All Girls &amp; Descendants'!N348</f>
        <v xml:space="preserve"> - </v>
      </c>
      <c r="M349" t="str">
        <f>'All Girls &amp; Descendants'!O348</f>
        <v/>
      </c>
      <c r="N349" t="str">
        <f>'All Girls &amp; Descendants'!P348</f>
        <v/>
      </c>
      <c r="O349" t="str">
        <f>'All Girls &amp; Descendants'!Q348</f>
        <v>92bd</v>
      </c>
      <c r="P349" t="str">
        <f t="shared" si="74"/>
        <v>92bdb</v>
      </c>
      <c r="Q349" s="116">
        <f t="shared" si="75"/>
        <v>3</v>
      </c>
      <c r="R349" s="31" t="str">
        <f t="shared" si="76"/>
        <v>Théodore Eden Louis TATTON-BROWN</v>
      </c>
      <c r="S349" s="31" t="str">
        <f t="shared" si="77"/>
        <v>Théodore TATTON-BROWN (2018 -: #92bdb)</v>
      </c>
    </row>
    <row r="350" spans="1:19">
      <c r="A350">
        <f>'All Girls &amp; Descendants'!B349</f>
        <v>92</v>
      </c>
      <c r="B350" t="str">
        <f>'All Girls &amp; Descendants'!C349</f>
        <v>92bdc</v>
      </c>
      <c r="C350" t="str">
        <f>'All Girls &amp; Descendants'!D349</f>
        <v>TATTON-BROWN</v>
      </c>
      <c r="D350" t="str">
        <f>'All Girls &amp; Descendants'!E349</f>
        <v>Oscar</v>
      </c>
      <c r="E350" t="str">
        <f>IF('All Girls &amp; Descendants'!F349="","",'All Girls &amp; Descendants'!F349)</f>
        <v>Arthur</v>
      </c>
      <c r="F350" t="str">
        <f>IF('All Girls &amp; Descendants'!G349="","",'All Girls &amp; Descendants'!G349)</f>
        <v>Alexandre</v>
      </c>
      <c r="G350" t="str">
        <f>IF('All Girls &amp; Descendants'!H349="",D350,'All Girls &amp; Descendants'!H349)</f>
        <v>Oscar</v>
      </c>
      <c r="H350">
        <f>'All Girls &amp; Descendants'!I349</f>
        <v>2021</v>
      </c>
      <c r="I350" t="str">
        <f>'All Girls &amp; Descendants'!J349</f>
        <v/>
      </c>
      <c r="J350">
        <f>'All Girls &amp; Descendants'!K349</f>
        <v>0</v>
      </c>
      <c r="K350" s="7">
        <f>'All Girls &amp; Descendants'!M349</f>
        <v>44239</v>
      </c>
      <c r="L350" t="str">
        <f>'All Girls &amp; Descendants'!N349</f>
        <v xml:space="preserve"> - </v>
      </c>
      <c r="M350" t="str">
        <f>'All Girls &amp; Descendants'!O349</f>
        <v/>
      </c>
      <c r="N350" t="str">
        <f>'All Girls &amp; Descendants'!P349</f>
        <v/>
      </c>
      <c r="O350" t="str">
        <f>'All Girls &amp; Descendants'!Q349</f>
        <v>92bd</v>
      </c>
      <c r="P350" t="str">
        <f t="shared" si="74"/>
        <v>92bdc</v>
      </c>
      <c r="Q350" s="116">
        <f t="shared" si="75"/>
        <v>3</v>
      </c>
      <c r="R350" s="31" t="str">
        <f t="shared" si="76"/>
        <v>Oscar Arthur Alexandre TATTON-BROWN</v>
      </c>
      <c r="S350" s="31" t="str">
        <f t="shared" si="77"/>
        <v>Oscar TATTON-BROWN (2021 -: #92bdc)</v>
      </c>
    </row>
    <row r="351" spans="1:19">
      <c r="A351">
        <f>'All Girls &amp; Descendants'!B350</f>
        <v>95</v>
      </c>
      <c r="B351" t="str">
        <f>'All Girls &amp; Descendants'!C350</f>
        <v>95baa</v>
      </c>
      <c r="C351" t="str">
        <f>'All Girls &amp; Descendants'!D350</f>
        <v>VESTEY</v>
      </c>
      <c r="D351" t="str">
        <f>'All Girls &amp; Descendants'!E350</f>
        <v>Ella</v>
      </c>
      <c r="E351" t="str">
        <f>IF('All Girls &amp; Descendants'!F350="","",'All Girls &amp; Descendants'!F350)</f>
        <v>Victoria</v>
      </c>
      <c r="F351" t="str">
        <f>IF('All Girls &amp; Descendants'!G350="","",'All Girls &amp; Descendants'!G350)</f>
        <v/>
      </c>
      <c r="G351" t="str">
        <f>IF('All Girls &amp; Descendants'!H350="",D351,'All Girls &amp; Descendants'!H350)</f>
        <v>Ella</v>
      </c>
      <c r="H351">
        <f>'All Girls &amp; Descendants'!I350</f>
        <v>2015</v>
      </c>
      <c r="I351" t="str">
        <f>'All Girls &amp; Descendants'!J350</f>
        <v/>
      </c>
      <c r="J351">
        <f>'All Girls &amp; Descendants'!K350</f>
        <v>0</v>
      </c>
      <c r="K351" s="7">
        <f>'All Girls &amp; Descendants'!M350</f>
        <v>42198</v>
      </c>
      <c r="L351" t="str">
        <f>'All Girls &amp; Descendants'!N350</f>
        <v xml:space="preserve"> - </v>
      </c>
      <c r="M351" t="str">
        <f>'All Girls &amp; Descendants'!O350</f>
        <v/>
      </c>
      <c r="N351" t="str">
        <f>'All Girls &amp; Descendants'!P350</f>
        <v/>
      </c>
      <c r="O351" t="str">
        <f>'All Girls &amp; Descendants'!Q350</f>
        <v>95ba</v>
      </c>
      <c r="P351" t="str">
        <f t="shared" si="74"/>
        <v>95baa</v>
      </c>
      <c r="Q351" s="116">
        <f t="shared" si="75"/>
        <v>3</v>
      </c>
      <c r="R351" s="31" t="str">
        <f t="shared" si="76"/>
        <v>Ella Victoria  VESTEY</v>
      </c>
      <c r="S351" s="31" t="str">
        <f t="shared" si="77"/>
        <v>Ella VESTEY (2015 -: #95baa)</v>
      </c>
    </row>
    <row r="352" spans="1:19">
      <c r="A352">
        <f>'All Girls &amp; Descendants'!B351</f>
        <v>95</v>
      </c>
      <c r="B352" t="str">
        <f>'All Girls &amp; Descendants'!C351</f>
        <v>95bab</v>
      </c>
      <c r="C352" t="str">
        <f>'All Girls &amp; Descendants'!D351</f>
        <v>VESTEY</v>
      </c>
      <c r="D352" t="str">
        <f>'All Girls &amp; Descendants'!E351</f>
        <v>Samuel</v>
      </c>
      <c r="E352" t="str">
        <f>IF('All Girls &amp; Descendants'!F351="","",'All Girls &amp; Descendants'!F351)</f>
        <v>Oscar</v>
      </c>
      <c r="F352" t="str">
        <f>IF('All Girls &amp; Descendants'!G351="","",'All Girls &amp; Descendants'!G351)</f>
        <v>Mark</v>
      </c>
      <c r="G352" t="str">
        <f>IF('All Girls &amp; Descendants'!H351="",D352,'All Girls &amp; Descendants'!H351)</f>
        <v>Samuel</v>
      </c>
      <c r="H352">
        <f>'All Girls &amp; Descendants'!I351</f>
        <v>2018</v>
      </c>
      <c r="I352" t="str">
        <f>'All Girls &amp; Descendants'!J351</f>
        <v/>
      </c>
      <c r="J352">
        <f>'All Girls &amp; Descendants'!K351</f>
        <v>0</v>
      </c>
      <c r="K352" s="7">
        <f>'All Girls &amp; Descendants'!M351</f>
        <v>43411</v>
      </c>
      <c r="L352" t="str">
        <f>'All Girls &amp; Descendants'!N351</f>
        <v xml:space="preserve"> - </v>
      </c>
      <c r="M352" t="str">
        <f>'All Girls &amp; Descendants'!O351</f>
        <v/>
      </c>
      <c r="N352" t="str">
        <f>'All Girls &amp; Descendants'!P351</f>
        <v/>
      </c>
      <c r="O352" t="str">
        <f>'All Girls &amp; Descendants'!Q351</f>
        <v>95ba</v>
      </c>
      <c r="P352" t="str">
        <f t="shared" si="74"/>
        <v>95bab</v>
      </c>
      <c r="Q352" s="116">
        <f t="shared" si="75"/>
        <v>3</v>
      </c>
      <c r="R352" s="31" t="str">
        <f t="shared" si="76"/>
        <v>Samuel Oscar Mark VESTEY</v>
      </c>
      <c r="S352" s="31" t="str">
        <f t="shared" si="77"/>
        <v>Samuel VESTEY (2018 -: #95bab)</v>
      </c>
    </row>
    <row r="353" spans="1:19">
      <c r="A353">
        <f>'All Girls &amp; Descendants'!B352</f>
        <v>95</v>
      </c>
      <c r="B353" t="str">
        <f>'All Girls &amp; Descendants'!C352</f>
        <v>95bba</v>
      </c>
      <c r="C353" t="str">
        <f>'All Girls &amp; Descendants'!D352</f>
        <v>VESTEY</v>
      </c>
      <c r="D353" t="str">
        <f>'All Girls &amp; Descendants'!E352</f>
        <v>Frank</v>
      </c>
      <c r="E353" t="str">
        <f>IF('All Girls &amp; Descendants'!F352="","",'All Girls &amp; Descendants'!F352)</f>
        <v>William</v>
      </c>
      <c r="F353" t="str">
        <f>IF('All Girls &amp; Descendants'!G352="","",'All Girls &amp; Descendants'!G352)</f>
        <v/>
      </c>
      <c r="G353" t="str">
        <f>IF('All Girls &amp; Descendants'!H352="",D353,'All Girls &amp; Descendants'!H352)</f>
        <v>Frank</v>
      </c>
      <c r="H353">
        <f>'All Girls &amp; Descendants'!I352</f>
        <v>2016</v>
      </c>
      <c r="I353" t="str">
        <f>'All Girls &amp; Descendants'!J352</f>
        <v/>
      </c>
      <c r="J353">
        <f>'All Girls &amp; Descendants'!K352</f>
        <v>0</v>
      </c>
      <c r="K353" s="7">
        <f>'All Girls &amp; Descendants'!M352</f>
        <v>42576</v>
      </c>
      <c r="L353" t="str">
        <f>'All Girls &amp; Descendants'!N352</f>
        <v xml:space="preserve"> - </v>
      </c>
      <c r="M353" t="str">
        <f>'All Girls &amp; Descendants'!O352</f>
        <v/>
      </c>
      <c r="N353" t="str">
        <f>'All Girls &amp; Descendants'!P352</f>
        <v/>
      </c>
      <c r="O353" t="str">
        <f>'All Girls &amp; Descendants'!Q352</f>
        <v>95bb</v>
      </c>
      <c r="P353" t="str">
        <f t="shared" si="74"/>
        <v>95bba</v>
      </c>
      <c r="Q353" s="116">
        <f t="shared" si="75"/>
        <v>3</v>
      </c>
      <c r="R353" s="31" t="str">
        <f t="shared" si="76"/>
        <v>Frank William  VESTEY</v>
      </c>
      <c r="S353" s="31" t="str">
        <f t="shared" si="77"/>
        <v>Frank VESTEY (2016 -: #95bba)</v>
      </c>
    </row>
    <row r="354" spans="1:19">
      <c r="A354">
        <f>'All Girls &amp; Descendants'!B353</f>
        <v>95</v>
      </c>
      <c r="B354" t="str">
        <f>'All Girls &amp; Descendants'!C353</f>
        <v>95bbb</v>
      </c>
      <c r="C354" t="str">
        <f>'All Girls &amp; Descendants'!D353</f>
        <v>VESTEY</v>
      </c>
      <c r="D354" t="str">
        <f>'All Girls &amp; Descendants'!E353</f>
        <v>Cosima </v>
      </c>
      <c r="E354" t="str">
        <f>IF('All Girls &amp; Descendants'!F353="","",'All Girls &amp; Descendants'!F353)</f>
        <v>Dora</v>
      </c>
      <c r="F354" t="str">
        <f>IF('All Girls &amp; Descendants'!G353="","",'All Girls &amp; Descendants'!G353)</f>
        <v/>
      </c>
      <c r="G354" t="str">
        <f>IF('All Girls &amp; Descendants'!H353="",D354,'All Girls &amp; Descendants'!H353)</f>
        <v>Cosima </v>
      </c>
      <c r="H354">
        <f>'All Girls &amp; Descendants'!I353</f>
        <v>2018</v>
      </c>
      <c r="I354" t="str">
        <f>'All Girls &amp; Descendants'!J353</f>
        <v/>
      </c>
      <c r="J354">
        <f>'All Girls &amp; Descendants'!K353</f>
        <v>0</v>
      </c>
      <c r="K354" s="7">
        <f>'All Girls &amp; Descendants'!M353</f>
        <v>43434</v>
      </c>
      <c r="L354" t="str">
        <f>'All Girls &amp; Descendants'!N353</f>
        <v xml:space="preserve"> - </v>
      </c>
      <c r="M354" t="str">
        <f>'All Girls &amp; Descendants'!O353</f>
        <v/>
      </c>
      <c r="N354" t="str">
        <f>'All Girls &amp; Descendants'!P353</f>
        <v/>
      </c>
      <c r="O354" t="str">
        <f>'All Girls &amp; Descendants'!Q353</f>
        <v>95bb</v>
      </c>
      <c r="P354" t="str">
        <f t="shared" si="74"/>
        <v>95bbb</v>
      </c>
      <c r="Q354" s="116">
        <f t="shared" si="75"/>
        <v>3</v>
      </c>
      <c r="R354" s="31" t="str">
        <f t="shared" si="76"/>
        <v>Cosima  Dora  VESTEY</v>
      </c>
      <c r="S354" s="31" t="str">
        <f t="shared" si="77"/>
        <v>Cosima  VESTEY (2018 -: #95bbb)</v>
      </c>
    </row>
    <row r="355" spans="1:19">
      <c r="A355">
        <f>'All Girls &amp; Descendants'!B354</f>
        <v>95</v>
      </c>
      <c r="B355" t="str">
        <f>'All Girls &amp; Descendants'!C354</f>
        <v>95bbc</v>
      </c>
      <c r="C355" t="str">
        <f>'All Girls &amp; Descendants'!D354</f>
        <v>VESTEY</v>
      </c>
      <c r="D355" t="str">
        <f>'All Girls &amp; Descendants'!E354</f>
        <v>Daisy</v>
      </c>
      <c r="E355" t="str">
        <f>IF('All Girls &amp; Descendants'!F354="","",'All Girls &amp; Descendants'!F354)</f>
        <v>Celia</v>
      </c>
      <c r="F355" t="str">
        <f>IF('All Girls &amp; Descendants'!G354="","",'All Girls &amp; Descendants'!G354)</f>
        <v/>
      </c>
      <c r="G355" t="str">
        <f>IF('All Girls &amp; Descendants'!H354="",D355,'All Girls &amp; Descendants'!H354)</f>
        <v>Daisy</v>
      </c>
      <c r="H355">
        <f>'All Girls &amp; Descendants'!I354</f>
        <v>2021</v>
      </c>
      <c r="I355" t="str">
        <f>'All Girls &amp; Descendants'!J354</f>
        <v/>
      </c>
      <c r="J355">
        <f>'All Girls &amp; Descendants'!K354</f>
        <v>0</v>
      </c>
      <c r="K355" s="7">
        <f>'All Girls &amp; Descendants'!M354</f>
        <v>44208</v>
      </c>
      <c r="L355" t="str">
        <f>'All Girls &amp; Descendants'!N354</f>
        <v xml:space="preserve"> - </v>
      </c>
      <c r="M355" t="str">
        <f>'All Girls &amp; Descendants'!O354</f>
        <v/>
      </c>
      <c r="N355" t="str">
        <f>'All Girls &amp; Descendants'!P354</f>
        <v/>
      </c>
      <c r="O355" t="str">
        <f>'All Girls &amp; Descendants'!Q354</f>
        <v>95bb</v>
      </c>
      <c r="P355" t="str">
        <f t="shared" si="74"/>
        <v>95bbc</v>
      </c>
      <c r="Q355" s="116">
        <f t="shared" si="75"/>
        <v>3</v>
      </c>
      <c r="R355" s="31" t="str">
        <f t="shared" si="76"/>
        <v>Daisy Celia  VESTEY</v>
      </c>
      <c r="S355" s="31" t="str">
        <f t="shared" si="77"/>
        <v>Daisy VESTEY (2021 -: #95bbc)</v>
      </c>
    </row>
    <row r="356" spans="1:19">
      <c r="A356">
        <f>'All Girls &amp; Descendants'!B355</f>
        <v>95</v>
      </c>
      <c r="B356" t="str">
        <f>'All Girls &amp; Descendants'!C355</f>
        <v>95bca</v>
      </c>
      <c r="C356" t="str">
        <f>'All Girls &amp; Descendants'!D355</f>
        <v>VESTEY</v>
      </c>
      <c r="D356" t="str">
        <f>'All Girls &amp; Descendants'!E355</f>
        <v>Lyra</v>
      </c>
      <c r="E356" t="str">
        <f>IF('All Girls &amp; Descendants'!F355="","",'All Girls &amp; Descendants'!F355)</f>
        <v>Celia</v>
      </c>
      <c r="F356" t="str">
        <f>IF('All Girls &amp; Descendants'!G355="","",'All Girls &amp; Descendants'!G355)</f>
        <v/>
      </c>
      <c r="G356" t="str">
        <f>IF('All Girls &amp; Descendants'!H355="",D356,'All Girls &amp; Descendants'!H355)</f>
        <v>Lyra</v>
      </c>
      <c r="H356">
        <f>'All Girls &amp; Descendants'!I355</f>
        <v>2021</v>
      </c>
      <c r="I356" t="str">
        <f>'All Girls &amp; Descendants'!J355</f>
        <v/>
      </c>
      <c r="J356">
        <f>'All Girls &amp; Descendants'!K355</f>
        <v>0</v>
      </c>
      <c r="K356" s="7">
        <f>'All Girls &amp; Descendants'!M355</f>
        <v>44518</v>
      </c>
      <c r="L356" t="str">
        <f>'All Girls &amp; Descendants'!N355</f>
        <v xml:space="preserve"> - </v>
      </c>
      <c r="M356" t="str">
        <f>'All Girls &amp; Descendants'!O355</f>
        <v/>
      </c>
      <c r="N356" t="str">
        <f>'All Girls &amp; Descendants'!P355</f>
        <v/>
      </c>
      <c r="O356" t="str">
        <f>'All Girls &amp; Descendants'!Q355</f>
        <v>95bc</v>
      </c>
      <c r="P356" t="str">
        <f t="shared" si="74"/>
        <v>95bca</v>
      </c>
      <c r="Q356" s="116">
        <f t="shared" si="75"/>
        <v>3</v>
      </c>
      <c r="R356" s="31" t="str">
        <f t="shared" si="76"/>
        <v>Lyra Celia  VESTEY</v>
      </c>
      <c r="S356" s="31" t="str">
        <f t="shared" si="77"/>
        <v>Lyra VESTEY (2021 -: #95bca)</v>
      </c>
    </row>
    <row r="357" spans="1:19">
      <c r="A357">
        <f>'All Girls &amp; Descendants'!B356</f>
        <v>106</v>
      </c>
      <c r="B357" t="str">
        <f>'All Girls &amp; Descendants'!C356</f>
        <v>106aaa</v>
      </c>
      <c r="C357" t="str">
        <f>'All Girls &amp; Descendants'!D356</f>
        <v>HOLLAND</v>
      </c>
      <c r="D357" t="str">
        <f>'All Girls &amp; Descendants'!E356</f>
        <v>Frederick</v>
      </c>
      <c r="E357" t="str">
        <f>IF('All Girls &amp; Descendants'!F356="","",'All Girls &amp; Descendants'!F356)</f>
        <v>John</v>
      </c>
      <c r="F357" t="str">
        <f>IF('All Girls &amp; Descendants'!G356="","",'All Girls &amp; Descendants'!G356)</f>
        <v>Wilfred</v>
      </c>
      <c r="G357" t="str">
        <f>IF('All Girls &amp; Descendants'!H356="",D357,'All Girls &amp; Descendants'!H356)</f>
        <v>Frederick</v>
      </c>
      <c r="H357">
        <f>'All Girls &amp; Descendants'!I356</f>
        <v>2019</v>
      </c>
      <c r="I357" t="str">
        <f>'All Girls &amp; Descendants'!J356</f>
        <v/>
      </c>
      <c r="J357">
        <f>'All Girls &amp; Descendants'!K356</f>
        <v>0</v>
      </c>
      <c r="K357" s="7">
        <f>'All Girls &amp; Descendants'!M356</f>
        <v>43681</v>
      </c>
      <c r="L357" t="str">
        <f>'All Girls &amp; Descendants'!N356</f>
        <v xml:space="preserve"> - </v>
      </c>
      <c r="M357" t="str">
        <f>'All Girls &amp; Descendants'!O356</f>
        <v/>
      </c>
      <c r="N357" t="str">
        <f>'All Girls &amp; Descendants'!P356</f>
        <v/>
      </c>
      <c r="O357" t="str">
        <f>'All Girls &amp; Descendants'!Q356</f>
        <v>106aa</v>
      </c>
      <c r="P357" t="str">
        <f t="shared" si="74"/>
        <v>106aaa</v>
      </c>
      <c r="Q357" s="116">
        <f t="shared" si="75"/>
        <v>3</v>
      </c>
      <c r="R357" s="31" t="str">
        <f t="shared" si="76"/>
        <v>Frederick John Wilfred HOLLAND</v>
      </c>
      <c r="S357" s="31" t="str">
        <f t="shared" si="77"/>
        <v>Frederick HOLLAND (2019 -: #106aaa)</v>
      </c>
    </row>
    <row r="358" spans="1:19">
      <c r="A358">
        <f>'All Girls &amp; Descendants'!B357</f>
        <v>106</v>
      </c>
      <c r="B358" t="str">
        <f>'All Girls &amp; Descendants'!C357</f>
        <v>106aab</v>
      </c>
      <c r="C358" t="str">
        <f>'All Girls &amp; Descendants'!D357</f>
        <v>HOLLAND</v>
      </c>
      <c r="D358" t="str">
        <f>'All Girls &amp; Descendants'!E357</f>
        <v>Zander</v>
      </c>
      <c r="E358" t="str">
        <f>IF('All Girls &amp; Descendants'!F357="","",'All Girls &amp; Descendants'!F357)</f>
        <v>Edward</v>
      </c>
      <c r="F358" t="str">
        <f>IF('All Girls &amp; Descendants'!G357="","",'All Girls &amp; Descendants'!G357)</f>
        <v>William</v>
      </c>
      <c r="G358" t="str">
        <f>IF('All Girls &amp; Descendants'!H357="",D358,'All Girls &amp; Descendants'!H357)</f>
        <v>Zander</v>
      </c>
      <c r="H358">
        <f>'All Girls &amp; Descendants'!I357</f>
        <v>2022</v>
      </c>
      <c r="I358">
        <f>'All Girls &amp; Descendants'!J357</f>
        <v>2022</v>
      </c>
      <c r="J358">
        <f>'All Girls &amp; Descendants'!K357</f>
        <v>0</v>
      </c>
      <c r="K358" s="7">
        <f>'All Girls &amp; Descendants'!M357</f>
        <v>44696</v>
      </c>
      <c r="L358" t="str">
        <f>'All Girls &amp; Descendants'!N357</f>
        <v xml:space="preserve"> - </v>
      </c>
      <c r="M358">
        <f>'All Girls &amp; Descendants'!O357</f>
        <v>44696</v>
      </c>
      <c r="N358" t="str">
        <f>'All Girls &amp; Descendants'!P357</f>
        <v>15/05/2022</v>
      </c>
      <c r="O358" t="str">
        <f>'All Girls &amp; Descendants'!Q357</f>
        <v>106aa</v>
      </c>
      <c r="P358" t="str">
        <f t="shared" si="74"/>
        <v>106aab</v>
      </c>
      <c r="Q358" s="116">
        <f t="shared" si="75"/>
        <v>3</v>
      </c>
      <c r="R358" s="31" t="str">
        <f t="shared" si="76"/>
        <v>Zander Edward William HOLLAND</v>
      </c>
      <c r="S358" s="31" t="str">
        <f t="shared" si="77"/>
        <v>Zander HOLLAND (2022 -2022: #106aab)</v>
      </c>
    </row>
    <row r="359" spans="1:19">
      <c r="A359">
        <f>'All Girls &amp; Descendants'!B358</f>
        <v>106</v>
      </c>
      <c r="B359" t="str">
        <f>'All Girls &amp; Descendants'!C358</f>
        <v>106aba</v>
      </c>
      <c r="C359" t="str">
        <f>'All Girls &amp; Descendants'!D358</f>
        <v>TELFORD</v>
      </c>
      <c r="D359" t="str">
        <f>'All Girls &amp; Descendants'!E358</f>
        <v>Rupert</v>
      </c>
      <c r="E359" t="str">
        <f>IF('All Girls &amp; Descendants'!F358="","",'All Girls &amp; Descendants'!F358)</f>
        <v>Leo</v>
      </c>
      <c r="F359" t="str">
        <f>IF('All Girls &amp; Descendants'!G358="","",'All Girls &amp; Descendants'!G358)</f>
        <v>James</v>
      </c>
      <c r="G359" t="str">
        <f>IF('All Girls &amp; Descendants'!H358="",D359,'All Girls &amp; Descendants'!H358)</f>
        <v>Rupert</v>
      </c>
      <c r="H359">
        <f>'All Girls &amp; Descendants'!I358</f>
        <v>2022</v>
      </c>
      <c r="I359">
        <f>'All Girls &amp; Descendants'!J358</f>
        <v>0</v>
      </c>
      <c r="J359">
        <f>'All Girls &amp; Descendants'!K358</f>
        <v>0</v>
      </c>
      <c r="K359" s="7">
        <f>'All Girls &amp; Descendants'!M358</f>
        <v>44697</v>
      </c>
      <c r="L359" t="str">
        <f>'All Girls &amp; Descendants'!N358</f>
        <v xml:space="preserve"> - </v>
      </c>
      <c r="M359" t="str">
        <f>'All Girls &amp; Descendants'!O358</f>
        <v/>
      </c>
      <c r="N359" t="str">
        <f>'All Girls &amp; Descendants'!P358</f>
        <v/>
      </c>
      <c r="O359" t="str">
        <f>'All Girls &amp; Descendants'!Q358</f>
        <v>106ab</v>
      </c>
      <c r="P359" t="str">
        <f t="shared" si="74"/>
        <v>106aba</v>
      </c>
      <c r="Q359" s="116">
        <f t="shared" si="75"/>
        <v>3</v>
      </c>
      <c r="R359" s="31" t="str">
        <f t="shared" si="76"/>
        <v>Rupert Leo James TELFORD</v>
      </c>
      <c r="S359" s="31" t="str">
        <f t="shared" si="77"/>
        <v>Rupert TELFORD (2022 -0: #106aba)</v>
      </c>
    </row>
    <row r="360" spans="1:19">
      <c r="A360">
        <f>'All Girls &amp; Descendants'!B359</f>
        <v>110</v>
      </c>
      <c r="B360" t="str">
        <f>'All Girls &amp; Descendants'!C359</f>
        <v>110aaa</v>
      </c>
      <c r="C360" t="str">
        <f>'All Girls &amp; Descendants'!D359</f>
        <v>BOYCE</v>
      </c>
      <c r="D360" t="str">
        <f>'All Girls &amp; Descendants'!E359</f>
        <v>Rowan</v>
      </c>
      <c r="E360" t="str">
        <f>IF('All Girls &amp; Descendants'!F359="","",'All Girls &amp; Descendants'!F359)</f>
        <v>Emily</v>
      </c>
      <c r="F360" t="str">
        <f>IF('All Girls &amp; Descendants'!G359="","",'All Girls &amp; Descendants'!G359)</f>
        <v/>
      </c>
      <c r="G360" t="str">
        <f>IF('All Girls &amp; Descendants'!H359="",D360,'All Girls &amp; Descendants'!H359)</f>
        <v>Rowan</v>
      </c>
      <c r="H360">
        <f>'All Girls &amp; Descendants'!I359</f>
        <v>2021</v>
      </c>
      <c r="I360" t="str">
        <f>'All Girls &amp; Descendants'!J359</f>
        <v/>
      </c>
      <c r="J360">
        <f>'All Girls &amp; Descendants'!K359</f>
        <v>0</v>
      </c>
      <c r="K360" s="7">
        <f>'All Girls &amp; Descendants'!M359</f>
        <v>44275</v>
      </c>
      <c r="L360" t="str">
        <f>'All Girls &amp; Descendants'!N359</f>
        <v xml:space="preserve"> - </v>
      </c>
      <c r="M360" t="str">
        <f>'All Girls &amp; Descendants'!O359</f>
        <v/>
      </c>
      <c r="N360" t="str">
        <f>'All Girls &amp; Descendants'!P359</f>
        <v/>
      </c>
      <c r="O360" t="str">
        <f>'All Girls &amp; Descendants'!Q359</f>
        <v>110aa</v>
      </c>
      <c r="P360" t="str">
        <f t="shared" si="74"/>
        <v>110aaa</v>
      </c>
      <c r="Q360" s="116">
        <f t="shared" si="75"/>
        <v>3</v>
      </c>
      <c r="R360" s="31" t="str">
        <f t="shared" si="76"/>
        <v>Rowan Emily  BOYCE</v>
      </c>
      <c r="S360" s="31" t="str">
        <f t="shared" si="77"/>
        <v>Rowan BOYCE (2021 -: #110aaa)</v>
      </c>
    </row>
    <row r="361" spans="1:19" ht="17">
      <c r="A361">
        <f>'All Girls &amp; Descendants'!B360</f>
        <v>2</v>
      </c>
      <c r="B361" t="str">
        <f>'All Girls &amp; Descendants'!C360</f>
        <v>2aaaa</v>
      </c>
      <c r="C361" t="str">
        <f>'All Girls &amp; Descendants'!D360</f>
        <v>DAVIES</v>
      </c>
      <c r="D361" t="str">
        <f>'All Girls &amp; Descendants'!E360</f>
        <v>Margaret</v>
      </c>
      <c r="E361" t="str">
        <f>IF('All Girls &amp; Descendants'!F360="","",'All Girls &amp; Descendants'!F360)</f>
        <v>Elizabeth</v>
      </c>
      <c r="F361" t="str">
        <f>IF('All Girls &amp; Descendants'!G360="","",'All Girls &amp; Descendants'!G360)</f>
        <v/>
      </c>
      <c r="G361" t="str">
        <f>IF('All Girls &amp; Descendants'!H360="",D361,'All Girls &amp; Descendants'!H360)</f>
        <v>Margaret</v>
      </c>
      <c r="H361">
        <f>'All Girls &amp; Descendants'!I360</f>
        <v>1897</v>
      </c>
      <c r="I361">
        <f>'All Girls &amp; Descendants'!J360</f>
        <v>1982</v>
      </c>
      <c r="J361">
        <f>'All Girls &amp; Descendants'!K360</f>
        <v>0</v>
      </c>
      <c r="K361" s="7" t="str">
        <f>'All Girls &amp; Descendants'!M360</f>
        <v>05/09/1897</v>
      </c>
      <c r="L361" t="str">
        <f>'All Girls &amp; Descendants'!N360</f>
        <v xml:space="preserve"> - </v>
      </c>
      <c r="M361">
        <f>'All Girls &amp; Descendants'!O360</f>
        <v>30297</v>
      </c>
      <c r="N361" t="str">
        <f>'All Girls &amp; Descendants'!P360</f>
        <v>12/12/1982</v>
      </c>
      <c r="O361" t="str">
        <f>'All Girls &amp; Descendants'!Q360</f>
        <v>2aaa</v>
      </c>
      <c r="P361" t="str">
        <f t="shared" si="74"/>
        <v>2aaaa</v>
      </c>
      <c r="Q361" s="116">
        <f t="shared" si="75"/>
        <v>4</v>
      </c>
      <c r="R361" s="31" t="str">
        <f t="shared" si="76"/>
        <v>Margaret Elizabeth  DAVIES</v>
      </c>
      <c r="S361" s="31" t="str">
        <f t="shared" si="77"/>
        <v>Margaret DAVIES (1897 -1982: #2aaaa)</v>
      </c>
    </row>
    <row r="362" spans="1:19" ht="17">
      <c r="A362">
        <f>'All Girls &amp; Descendants'!B361</f>
        <v>2</v>
      </c>
      <c r="B362" t="str">
        <f>'All Girls &amp; Descendants'!C361</f>
        <v>2caba</v>
      </c>
      <c r="C362" t="str">
        <f>'All Girls &amp; Descendants'!D361</f>
        <v>PROTHEROE</v>
      </c>
      <c r="D362" t="str">
        <f>'All Girls &amp; Descendants'!E361</f>
        <v>Canon William</v>
      </c>
      <c r="E362" t="str">
        <f>IF('All Girls &amp; Descendants'!F361="","",'All Girls &amp; Descendants'!F361)</f>
        <v>Loyd</v>
      </c>
      <c r="F362" t="str">
        <f>IF('All Girls &amp; Descendants'!G361="","",'All Girls &amp; Descendants'!G361)</f>
        <v>Musgrave</v>
      </c>
      <c r="G362" t="str">
        <f>IF('All Girls &amp; Descendants'!H361="",D362,'All Girls &amp; Descendants'!H361)</f>
        <v>Canon William</v>
      </c>
      <c r="H362">
        <f>'All Girls &amp; Descendants'!I361</f>
        <v>1885</v>
      </c>
      <c r="I362">
        <f>'All Girls &amp; Descendants'!J361</f>
        <v>1962</v>
      </c>
      <c r="J362">
        <f>'All Girls &amp; Descendants'!K361</f>
        <v>0</v>
      </c>
      <c r="K362" s="7" t="str">
        <f>'All Girls &amp; Descendants'!M361</f>
        <v>1885</v>
      </c>
      <c r="L362">
        <f>'All Girls &amp; Descendants'!N361</f>
        <v>7507</v>
      </c>
      <c r="M362">
        <f>'All Girls &amp; Descendants'!O361</f>
        <v>22919</v>
      </c>
      <c r="N362" t="str">
        <f>'All Girls &amp; Descendants'!P361</f>
        <v>30/09/1962</v>
      </c>
      <c r="O362" t="str">
        <f>'All Girls &amp; Descendants'!Q361</f>
        <v>2cab</v>
      </c>
      <c r="P362" t="str">
        <f t="shared" si="74"/>
        <v>2caba</v>
      </c>
      <c r="Q362" s="116">
        <f t="shared" si="75"/>
        <v>4</v>
      </c>
      <c r="R362" s="31" t="str">
        <f t="shared" si="76"/>
        <v>Canon William Loyd Musgrave PROTHEROE</v>
      </c>
      <c r="S362" s="31" t="str">
        <f t="shared" si="77"/>
        <v>Canon William PROTHEROE (1885 -1962: #2caba)</v>
      </c>
    </row>
    <row r="363" spans="1:19" ht="17">
      <c r="A363">
        <f>'All Girls &amp; Descendants'!B362</f>
        <v>2</v>
      </c>
      <c r="B363" t="str">
        <f>'All Girls &amp; Descendants'!C362</f>
        <v>2cabb</v>
      </c>
      <c r="C363" t="str">
        <f>'All Girls &amp; Descendants'!D362</f>
        <v>PROTHEROE</v>
      </c>
      <c r="D363" t="str">
        <f>'All Girls &amp; Descendants'!E362</f>
        <v>Alice</v>
      </c>
      <c r="E363" t="str">
        <f>IF('All Girls &amp; Descendants'!F362="","",'All Girls &amp; Descendants'!F362)</f>
        <v>Muriel</v>
      </c>
      <c r="F363" t="str">
        <f>IF('All Girls &amp; Descendants'!G362="","",'All Girls &amp; Descendants'!G362)</f>
        <v>Loyd</v>
      </c>
      <c r="G363" t="str">
        <f>IF('All Girls &amp; Descendants'!H362="",D363,'All Girls &amp; Descendants'!H362)</f>
        <v>Alice</v>
      </c>
      <c r="H363">
        <f>'All Girls &amp; Descendants'!I362</f>
        <v>1886</v>
      </c>
      <c r="I363" t="str">
        <f>'All Girls &amp; Descendants'!J362</f>
        <v/>
      </c>
      <c r="J363">
        <f>'All Girls &amp; Descendants'!K362</f>
        <v>0</v>
      </c>
      <c r="K363" s="7" t="str">
        <f>'All Girls &amp; Descendants'!M362</f>
        <v>1886</v>
      </c>
      <c r="L363" t="str">
        <f>'All Girls &amp; Descendants'!N362</f>
        <v>1920</v>
      </c>
      <c r="M363" t="str">
        <f>'All Girls &amp; Descendants'!O362</f>
        <v/>
      </c>
      <c r="N363" t="str">
        <f>'All Girls &amp; Descendants'!P362</f>
        <v/>
      </c>
      <c r="O363" t="str">
        <f>'All Girls &amp; Descendants'!Q362</f>
        <v>2cab</v>
      </c>
      <c r="P363" t="str">
        <f t="shared" si="74"/>
        <v>2cabb</v>
      </c>
      <c r="Q363" s="116">
        <f t="shared" si="75"/>
        <v>4</v>
      </c>
      <c r="R363" s="31" t="str">
        <f t="shared" si="76"/>
        <v>Alice Muriel Loyd PROTHEROE</v>
      </c>
      <c r="S363" s="31" t="str">
        <f t="shared" si="77"/>
        <v>Alice PROTHEROE (1886 -: #2cabb)</v>
      </c>
    </row>
    <row r="364" spans="1:19" ht="17">
      <c r="A364">
        <f>'All Girls &amp; Descendants'!B363</f>
        <v>2</v>
      </c>
      <c r="B364" t="str">
        <f>'All Girls &amp; Descendants'!C363</f>
        <v>2cabc</v>
      </c>
      <c r="C364" t="str">
        <f>'All Girls &amp; Descendants'!D363</f>
        <v>PROTHEROE</v>
      </c>
      <c r="D364" t="str">
        <f>'All Girls &amp; Descendants'!E363</f>
        <v>Edward</v>
      </c>
      <c r="E364" t="str">
        <f>IF('All Girls &amp; Descendants'!F363="","",'All Girls &amp; Descendants'!F363)</f>
        <v>Loyd</v>
      </c>
      <c r="F364" t="str">
        <f>IF('All Girls &amp; Descendants'!G363="","",'All Girls &amp; Descendants'!G363)</f>
        <v>Musgrave</v>
      </c>
      <c r="G364" t="str">
        <f>IF('All Girls &amp; Descendants'!H363="",D364,'All Girls &amp; Descendants'!H363)</f>
        <v>Edward</v>
      </c>
      <c r="H364">
        <f>'All Girls &amp; Descendants'!I363</f>
        <v>1888</v>
      </c>
      <c r="I364">
        <f>'All Girls &amp; Descendants'!J363</f>
        <v>1905</v>
      </c>
      <c r="J364">
        <f>'All Girls &amp; Descendants'!K363</f>
        <v>0</v>
      </c>
      <c r="K364" s="7" t="str">
        <f>'All Girls &amp; Descendants'!M363</f>
        <v>1888</v>
      </c>
      <c r="L364" t="str">
        <f>'All Girls &amp; Descendants'!N363</f>
        <v>1932</v>
      </c>
      <c r="M364" t="str">
        <f>'All Girls &amp; Descendants'!O363</f>
        <v>1970</v>
      </c>
      <c r="N364" t="str">
        <f>'All Girls &amp; Descendants'!P363</f>
        <v>23/05/1905</v>
      </c>
      <c r="O364" t="str">
        <f>'All Girls &amp; Descendants'!Q363</f>
        <v>2cab</v>
      </c>
      <c r="P364" t="str">
        <f t="shared" si="74"/>
        <v>2cabc</v>
      </c>
      <c r="Q364" s="116">
        <f t="shared" si="75"/>
        <v>4</v>
      </c>
      <c r="R364" s="31" t="str">
        <f t="shared" si="76"/>
        <v>Edward Loyd Musgrave PROTHEROE</v>
      </c>
      <c r="S364" s="31" t="str">
        <f t="shared" si="77"/>
        <v>Edward PROTHEROE (1888 -1905: #2cabc)</v>
      </c>
    </row>
    <row r="365" spans="1:19" ht="17">
      <c r="A365">
        <f>'All Girls &amp; Descendants'!B364</f>
        <v>2</v>
      </c>
      <c r="B365" t="str">
        <f>'All Girls &amp; Descendants'!C364</f>
        <v>2cabd</v>
      </c>
      <c r="C365" t="str">
        <f>'All Girls &amp; Descendants'!D364</f>
        <v>PROTHEROE</v>
      </c>
      <c r="D365" t="str">
        <f>'All Girls &amp; Descendants'!E364</f>
        <v>Roderick</v>
      </c>
      <c r="E365" t="str">
        <f>IF('All Girls &amp; Descendants'!F364="","",'All Girls &amp; Descendants'!F364)</f>
        <v>Norman</v>
      </c>
      <c r="F365" t="str">
        <f>IF('All Girls &amp; Descendants'!G364="","",'All Girls &amp; Descendants'!G364)</f>
        <v>Loyd</v>
      </c>
      <c r="G365" t="str">
        <f>IF('All Girls &amp; Descendants'!H364="",D365,'All Girls &amp; Descendants'!H364)</f>
        <v>Roderick</v>
      </c>
      <c r="H365">
        <f>'All Girls &amp; Descendants'!I364</f>
        <v>1890</v>
      </c>
      <c r="I365">
        <f>'All Girls &amp; Descendants'!J364</f>
        <v>1905</v>
      </c>
      <c r="J365">
        <f>'All Girls &amp; Descendants'!K364</f>
        <v>0</v>
      </c>
      <c r="K365" s="7" t="str">
        <f>'All Girls &amp; Descendants'!M364</f>
        <v>1890</v>
      </c>
      <c r="L365" t="str">
        <f>'All Girls &amp; Descendants'!N364</f>
        <v xml:space="preserve"> - </v>
      </c>
      <c r="M365" t="str">
        <f>'All Girls &amp; Descendants'!O364</f>
        <v>1948</v>
      </c>
      <c r="N365" t="str">
        <f>'All Girls &amp; Descendants'!P364</f>
        <v>01/05/1905</v>
      </c>
      <c r="O365" t="str">
        <f>'All Girls &amp; Descendants'!Q364</f>
        <v>2cab</v>
      </c>
      <c r="P365" t="str">
        <f t="shared" si="74"/>
        <v>2cabd</v>
      </c>
      <c r="Q365" s="116">
        <f t="shared" si="75"/>
        <v>4</v>
      </c>
      <c r="R365" s="31" t="str">
        <f t="shared" si="76"/>
        <v>Roderick Norman Loyd PROTHEROE</v>
      </c>
      <c r="S365" s="31" t="str">
        <f t="shared" si="77"/>
        <v>Roderick PROTHEROE (1890 -1905: #2cabd)</v>
      </c>
    </row>
    <row r="366" spans="1:19" ht="17">
      <c r="A366">
        <f>'All Girls &amp; Descendants'!B365</f>
        <v>2</v>
      </c>
      <c r="B366" t="str">
        <f>'All Girls &amp; Descendants'!C365</f>
        <v>2cabe</v>
      </c>
      <c r="C366" t="str">
        <f>'All Girls &amp; Descendants'!D365</f>
        <v>PROTHEROE</v>
      </c>
      <c r="D366" t="str">
        <f>'All Girls &amp; Descendants'!E365</f>
        <v>Norah</v>
      </c>
      <c r="E366" t="str">
        <f>IF('All Girls &amp; Descendants'!F365="","",'All Girls &amp; Descendants'!F365)</f>
        <v>Evelyn</v>
      </c>
      <c r="F366" t="str">
        <f>IF('All Girls &amp; Descendants'!G365="","",'All Girls &amp; Descendants'!G365)</f>
        <v>Loyd</v>
      </c>
      <c r="G366" t="str">
        <f>IF('All Girls &amp; Descendants'!H365="",D366,'All Girls &amp; Descendants'!H365)</f>
        <v>Norah</v>
      </c>
      <c r="H366">
        <f>'All Girls &amp; Descendants'!I365</f>
        <v>1899</v>
      </c>
      <c r="I366">
        <f>'All Girls &amp; Descendants'!J365</f>
        <v>1905</v>
      </c>
      <c r="J366">
        <f>'All Girls &amp; Descendants'!K365</f>
        <v>0</v>
      </c>
      <c r="K366" s="7" t="str">
        <f>'All Girls &amp; Descendants'!M365</f>
        <v>1899</v>
      </c>
      <c r="L366" t="str">
        <f>'All Girls &amp; Descendants'!N365</f>
        <v>Unmarried</v>
      </c>
      <c r="M366" t="str">
        <f>'All Girls &amp; Descendants'!O365</f>
        <v>1945</v>
      </c>
      <c r="N366" t="str">
        <f>'All Girls &amp; Descendants'!P365</f>
        <v>28/04/1905</v>
      </c>
      <c r="O366" t="str">
        <f>'All Girls &amp; Descendants'!Q365</f>
        <v>2cab</v>
      </c>
      <c r="P366" t="str">
        <f t="shared" si="74"/>
        <v>2cabe</v>
      </c>
      <c r="Q366" s="116">
        <f t="shared" si="75"/>
        <v>4</v>
      </c>
      <c r="R366" s="31" t="str">
        <f t="shared" si="76"/>
        <v>Norah Evelyn Loyd PROTHEROE</v>
      </c>
      <c r="S366" s="31" t="str">
        <f t="shared" si="77"/>
        <v>Norah PROTHEROE (1899 -1905: #2cabe)</v>
      </c>
    </row>
    <row r="367" spans="1:19">
      <c r="A367">
        <f>'All Girls &amp; Descendants'!B366</f>
        <v>18</v>
      </c>
      <c r="B367" t="str">
        <f>'All Girls &amp; Descendants'!C366</f>
        <v>18bbaa</v>
      </c>
      <c r="C367" t="str">
        <f>'All Girls &amp; Descendants'!D366</f>
        <v>WARNER (later RAMSAY)</v>
      </c>
      <c r="D367" t="str">
        <f>'All Girls &amp; Descendants'!E366</f>
        <v>Robert</v>
      </c>
      <c r="E367" t="str">
        <f>IF('All Girls &amp; Descendants'!F366="","",'All Girls &amp; Descendants'!F366)</f>
        <v>Paul</v>
      </c>
      <c r="F367" t="str">
        <f>IF('All Girls &amp; Descendants'!G366="","",'All Girls &amp; Descendants'!G366)</f>
        <v>Redston</v>
      </c>
      <c r="G367" t="str">
        <f>IF('All Girls &amp; Descendants'!H366="",D367,'All Girls &amp; Descendants'!H366)</f>
        <v>Robert</v>
      </c>
      <c r="H367">
        <f>'All Girls &amp; Descendants'!I366</f>
        <v>1945</v>
      </c>
      <c r="I367" t="str">
        <f>'All Girls &amp; Descendants'!J366</f>
        <v/>
      </c>
      <c r="J367">
        <f>'All Girls &amp; Descendants'!K366</f>
        <v>0</v>
      </c>
      <c r="K367" s="7">
        <f>'All Girls &amp; Descendants'!M366</f>
        <v>16740</v>
      </c>
      <c r="L367">
        <f>'All Girls &amp; Descendants'!N366</f>
        <v>28938</v>
      </c>
      <c r="M367" t="str">
        <f>'All Girls &amp; Descendants'!O366</f>
        <v/>
      </c>
      <c r="N367" t="str">
        <f>'All Girls &amp; Descendants'!P366</f>
        <v/>
      </c>
      <c r="O367" t="str">
        <f>'All Girls &amp; Descendants'!Q366</f>
        <v>18bba</v>
      </c>
      <c r="P367" t="str">
        <f t="shared" si="74"/>
        <v>18bbaa</v>
      </c>
      <c r="Q367" s="116">
        <f t="shared" si="75"/>
        <v>4</v>
      </c>
      <c r="R367" s="31" t="str">
        <f t="shared" si="76"/>
        <v>Robert Paul Redston WARNER (later RAMSAY)</v>
      </c>
      <c r="S367" s="31" t="str">
        <f t="shared" si="77"/>
        <v>Robert WARNER (later RAMSAY) (1945 -: #18bbaa)</v>
      </c>
    </row>
    <row r="368" spans="1:19">
      <c r="A368">
        <f>'All Girls &amp; Descendants'!B367</f>
        <v>18</v>
      </c>
      <c r="B368" t="str">
        <f>'All Girls &amp; Descendants'!C367</f>
        <v>18bbab</v>
      </c>
      <c r="C368" t="str">
        <f>'All Girls &amp; Descendants'!D367</f>
        <v>WARNER</v>
      </c>
      <c r="D368" t="str">
        <f>'All Girls &amp; Descendants'!E367</f>
        <v>Elizabeth</v>
      </c>
      <c r="E368" t="str">
        <f>IF('All Girls &amp; Descendants'!F367="","",'All Girls &amp; Descendants'!F367)</f>
        <v>Margery</v>
      </c>
      <c r="F368" t="str">
        <f>IF('All Girls &amp; Descendants'!G367="","",'All Girls &amp; Descendants'!G367)</f>
        <v/>
      </c>
      <c r="G368" t="str">
        <f>IF('All Girls &amp; Descendants'!H367="",D368,'All Girls &amp; Descendants'!H367)</f>
        <v>Elizabeth</v>
      </c>
      <c r="H368">
        <f>'All Girls &amp; Descendants'!I367</f>
        <v>1947</v>
      </c>
      <c r="I368" t="str">
        <f>'All Girls &amp; Descendants'!J367</f>
        <v/>
      </c>
      <c r="J368">
        <f>'All Girls &amp; Descendants'!K367</f>
        <v>0</v>
      </c>
      <c r="K368" s="7">
        <f>'All Girls &amp; Descendants'!M367</f>
        <v>17515</v>
      </c>
      <c r="L368">
        <f>'All Girls &amp; Descendants'!N367</f>
        <v>27013</v>
      </c>
      <c r="M368" t="str">
        <f>'All Girls &amp; Descendants'!O367</f>
        <v/>
      </c>
      <c r="N368" t="str">
        <f>'All Girls &amp; Descendants'!P367</f>
        <v/>
      </c>
      <c r="O368" t="str">
        <f>'All Girls &amp; Descendants'!Q367</f>
        <v>18bba</v>
      </c>
      <c r="P368" t="str">
        <f t="shared" si="74"/>
        <v>18bbab</v>
      </c>
      <c r="Q368" s="116">
        <f t="shared" si="75"/>
        <v>4</v>
      </c>
      <c r="R368" s="31" t="str">
        <f t="shared" si="76"/>
        <v>Elizabeth Margery  WARNER</v>
      </c>
      <c r="S368" s="31" t="str">
        <f t="shared" si="77"/>
        <v>Elizabeth WARNER (1947 -: #18bbab)</v>
      </c>
    </row>
    <row r="369" spans="1:19">
      <c r="A369">
        <f>'All Girls &amp; Descendants'!B368</f>
        <v>18</v>
      </c>
      <c r="B369" t="str">
        <f>'All Girls &amp; Descendants'!C368</f>
        <v>18bbac</v>
      </c>
      <c r="C369" t="str">
        <f>'All Girls &amp; Descendants'!D368</f>
        <v>WARNER</v>
      </c>
      <c r="D369" t="str">
        <f>'All Girls &amp; Descendants'!E368</f>
        <v>Nigel</v>
      </c>
      <c r="E369" t="str">
        <f>IF('All Girls &amp; Descendants'!F368="","",'All Girls &amp; Descendants'!F368)</f>
        <v>George</v>
      </c>
      <c r="F369" t="str">
        <f>IF('All Girls &amp; Descendants'!G368="","",'All Girls &amp; Descendants'!G368)</f>
        <v/>
      </c>
      <c r="G369" t="str">
        <f>IF('All Girls &amp; Descendants'!H368="",D369,'All Girls &amp; Descendants'!H368)</f>
        <v>Nigel</v>
      </c>
      <c r="H369">
        <f>'All Girls &amp; Descendants'!I368</f>
        <v>1947</v>
      </c>
      <c r="I369" t="str">
        <f>'All Girls &amp; Descendants'!J368</f>
        <v/>
      </c>
      <c r="J369">
        <f>'All Girls &amp; Descendants'!K368</f>
        <v>0</v>
      </c>
      <c r="K369" s="7">
        <f>'All Girls &amp; Descendants'!M368</f>
        <v>17515</v>
      </c>
      <c r="L369" t="str">
        <f>'All Girls &amp; Descendants'!N368</f>
        <v xml:space="preserve"> - </v>
      </c>
      <c r="M369" t="str">
        <f>'All Girls &amp; Descendants'!O368</f>
        <v/>
      </c>
      <c r="N369" t="str">
        <f>'All Girls &amp; Descendants'!P368</f>
        <v/>
      </c>
      <c r="O369" t="str">
        <f>'All Girls &amp; Descendants'!Q368</f>
        <v>18bba</v>
      </c>
      <c r="P369" t="str">
        <f t="shared" si="74"/>
        <v>18bbac</v>
      </c>
      <c r="Q369" s="116">
        <f t="shared" si="75"/>
        <v>4</v>
      </c>
      <c r="R369" s="31" t="str">
        <f t="shared" si="76"/>
        <v>Nigel George  WARNER</v>
      </c>
      <c r="S369" s="31" t="str">
        <f t="shared" si="77"/>
        <v>Nigel WARNER (1947 -: #18bbac)</v>
      </c>
    </row>
    <row r="370" spans="1:19">
      <c r="A370">
        <f>'All Girls &amp; Descendants'!B369</f>
        <v>18</v>
      </c>
      <c r="B370" t="str">
        <f>'All Girls &amp; Descendants'!C369</f>
        <v>18bbad</v>
      </c>
      <c r="C370" t="str">
        <f>'All Girls &amp; Descendants'!D369</f>
        <v>WARNER</v>
      </c>
      <c r="D370" t="str">
        <f>'All Girls &amp; Descendants'!E369</f>
        <v>Alan</v>
      </c>
      <c r="E370" t="str">
        <f>IF('All Girls &amp; Descendants'!F369="","",'All Girls &amp; Descendants'!F369)</f>
        <v>Tristram</v>
      </c>
      <c r="F370" t="str">
        <f>IF('All Girls &amp; Descendants'!G369="","",'All Girls &amp; Descendants'!G369)</f>
        <v>Nicholas</v>
      </c>
      <c r="G370" t="str">
        <f>IF('All Girls &amp; Descendants'!H369="",D370,'All Girls &amp; Descendants'!H369)</f>
        <v>Alan</v>
      </c>
      <c r="H370">
        <f>'All Girls &amp; Descendants'!I369</f>
        <v>1949</v>
      </c>
      <c r="I370" t="str">
        <f>'All Girls &amp; Descendants'!J369</f>
        <v/>
      </c>
      <c r="J370">
        <f>'All Girls &amp; Descendants'!K369</f>
        <v>0</v>
      </c>
      <c r="K370" s="7">
        <f>'All Girls &amp; Descendants'!M369</f>
        <v>18189</v>
      </c>
      <c r="L370">
        <f>'All Girls &amp; Descendants'!N369</f>
        <v>30688</v>
      </c>
      <c r="M370" t="str">
        <f>'All Girls &amp; Descendants'!O369</f>
        <v/>
      </c>
      <c r="N370" t="str">
        <f>'All Girls &amp; Descendants'!P369</f>
        <v/>
      </c>
      <c r="O370" t="str">
        <f>'All Girls &amp; Descendants'!Q369</f>
        <v>18bba</v>
      </c>
      <c r="P370" t="str">
        <f t="shared" si="74"/>
        <v>18bbad</v>
      </c>
      <c r="Q370" s="116">
        <f t="shared" si="75"/>
        <v>4</v>
      </c>
      <c r="R370" s="31" t="str">
        <f t="shared" si="76"/>
        <v>Alan Tristram Nicholas WARNER</v>
      </c>
      <c r="S370" s="31" t="str">
        <f t="shared" si="77"/>
        <v>Alan WARNER (1949 -: #18bbad)</v>
      </c>
    </row>
    <row r="371" spans="1:19">
      <c r="A371">
        <f>'All Girls &amp; Descendants'!B370</f>
        <v>18</v>
      </c>
      <c r="B371" t="str">
        <f>'All Girls &amp; Descendants'!C370</f>
        <v>18bbba</v>
      </c>
      <c r="C371" t="str">
        <f>'All Girls &amp; Descendants'!D370</f>
        <v>NICOL</v>
      </c>
      <c r="D371" t="str">
        <f>'All Girls &amp; Descendants'!E370</f>
        <v>Randall</v>
      </c>
      <c r="E371" t="str">
        <f>IF('All Girls &amp; Descendants'!F370="","",'All Girls &amp; Descendants'!F370)</f>
        <v>Lewis</v>
      </c>
      <c r="F371" t="str">
        <f>IF('All Girls &amp; Descendants'!G370="","",'All Girls &amp; Descendants'!G370)</f>
        <v/>
      </c>
      <c r="G371" t="str">
        <f>IF('All Girls &amp; Descendants'!H370="",D371,'All Girls &amp; Descendants'!H370)</f>
        <v>Randall</v>
      </c>
      <c r="H371">
        <f>'All Girls &amp; Descendants'!I370</f>
        <v>1947</v>
      </c>
      <c r="I371" t="str">
        <f>'All Girls &amp; Descendants'!J370</f>
        <v/>
      </c>
      <c r="J371">
        <f>'All Girls &amp; Descendants'!K370</f>
        <v>0</v>
      </c>
      <c r="K371" s="7">
        <f>'All Girls &amp; Descendants'!M370</f>
        <v>17309</v>
      </c>
      <c r="L371" t="str">
        <f>'All Girls &amp; Descendants'!N370</f>
        <v xml:space="preserve"> - </v>
      </c>
      <c r="M371" t="str">
        <f>'All Girls &amp; Descendants'!O370</f>
        <v/>
      </c>
      <c r="N371" t="str">
        <f>'All Girls &amp; Descendants'!P370</f>
        <v/>
      </c>
      <c r="O371" t="str">
        <f>'All Girls &amp; Descendants'!Q370</f>
        <v>18bbb</v>
      </c>
      <c r="P371" t="str">
        <f t="shared" si="74"/>
        <v>18bbba</v>
      </c>
      <c r="Q371" s="116">
        <f t="shared" si="75"/>
        <v>4</v>
      </c>
      <c r="R371" s="31" t="str">
        <f t="shared" si="76"/>
        <v>Randall Lewis  NICOL</v>
      </c>
      <c r="S371" s="31" t="str">
        <f t="shared" si="77"/>
        <v>Randall NICOL (1947 -: #18bbba)</v>
      </c>
    </row>
    <row r="372" spans="1:19">
      <c r="A372">
        <f>'All Girls &amp; Descendants'!B371</f>
        <v>18</v>
      </c>
      <c r="B372" t="str">
        <f>'All Girls &amp; Descendants'!C371</f>
        <v>18bbbb</v>
      </c>
      <c r="C372" t="str">
        <f>'All Girls &amp; Descendants'!D371</f>
        <v>NICOL</v>
      </c>
      <c r="D372" t="str">
        <f>'All Girls &amp; Descendants'!E371</f>
        <v>Andrew</v>
      </c>
      <c r="E372" t="str">
        <f>IF('All Girls &amp; Descendants'!F371="","",'All Girls &amp; Descendants'!F371)</f>
        <v>Harry</v>
      </c>
      <c r="F372" t="str">
        <f>IF('All Girls &amp; Descendants'!G371="","",'All Girls &amp; Descendants'!G371)</f>
        <v/>
      </c>
      <c r="G372" t="str">
        <f>IF('All Girls &amp; Descendants'!H371="",D372,'All Girls &amp; Descendants'!H371)</f>
        <v>Andrew</v>
      </c>
      <c r="H372">
        <f>'All Girls &amp; Descendants'!I371</f>
        <v>1949</v>
      </c>
      <c r="I372" t="str">
        <f>'All Girls &amp; Descendants'!J371</f>
        <v/>
      </c>
      <c r="J372">
        <f>'All Girls &amp; Descendants'!K371</f>
        <v>0</v>
      </c>
      <c r="K372" s="7">
        <f>'All Girls &amp; Descendants'!M371</f>
        <v>18110</v>
      </c>
      <c r="L372">
        <f>'All Girls &amp; Descendants'!N371</f>
        <v>28756</v>
      </c>
      <c r="M372" t="str">
        <f>'All Girls &amp; Descendants'!O371</f>
        <v/>
      </c>
      <c r="N372" t="str">
        <f>'All Girls &amp; Descendants'!P371</f>
        <v/>
      </c>
      <c r="O372" t="str">
        <f>'All Girls &amp; Descendants'!Q371</f>
        <v>18bbb</v>
      </c>
      <c r="P372" t="str">
        <f t="shared" si="74"/>
        <v>18bbbb</v>
      </c>
      <c r="Q372" s="116">
        <f t="shared" si="75"/>
        <v>4</v>
      </c>
      <c r="R372" s="31" t="str">
        <f t="shared" si="76"/>
        <v>Andrew Harry  NICOL</v>
      </c>
      <c r="S372" s="31" t="str">
        <f t="shared" si="77"/>
        <v>Andrew NICOL (1949 -: #18bbbb)</v>
      </c>
    </row>
    <row r="373" spans="1:19">
      <c r="A373">
        <f>'All Girls &amp; Descendants'!B372</f>
        <v>18</v>
      </c>
      <c r="B373" t="str">
        <f>'All Girls &amp; Descendants'!C372</f>
        <v>18bbbc</v>
      </c>
      <c r="C373" t="str">
        <f>'All Girls &amp; Descendants'!D372</f>
        <v>NICOL</v>
      </c>
      <c r="D373" t="str">
        <f>'All Girls &amp; Descendants'!E372</f>
        <v>Malcolm</v>
      </c>
      <c r="E373" t="str">
        <f>IF('All Girls &amp; Descendants'!F372="","",'All Girls &amp; Descendants'!F372)</f>
        <v>James</v>
      </c>
      <c r="F373" t="str">
        <f>IF('All Girls &amp; Descendants'!G372="","",'All Girls &amp; Descendants'!G372)</f>
        <v/>
      </c>
      <c r="G373" t="str">
        <f>IF('All Girls &amp; Descendants'!H372="",D373,'All Girls &amp; Descendants'!H372)</f>
        <v>Malcolm</v>
      </c>
      <c r="H373">
        <f>'All Girls &amp; Descendants'!I372</f>
        <v>1953</v>
      </c>
      <c r="I373" t="str">
        <f>'All Girls &amp; Descendants'!J372</f>
        <v/>
      </c>
      <c r="J373">
        <f>'All Girls &amp; Descendants'!K372</f>
        <v>0</v>
      </c>
      <c r="K373" s="7">
        <f>'All Girls &amp; Descendants'!M372</f>
        <v>19451</v>
      </c>
      <c r="L373">
        <f>'All Girls &amp; Descendants'!N372</f>
        <v>31017</v>
      </c>
      <c r="M373" t="str">
        <f>'All Girls &amp; Descendants'!O372</f>
        <v/>
      </c>
      <c r="N373" t="str">
        <f>'All Girls &amp; Descendants'!P372</f>
        <v/>
      </c>
      <c r="O373" t="str">
        <f>'All Girls &amp; Descendants'!Q372</f>
        <v>18bbb</v>
      </c>
      <c r="P373" t="str">
        <f t="shared" si="74"/>
        <v>18bbbc</v>
      </c>
      <c r="Q373" s="116">
        <f t="shared" si="75"/>
        <v>4</v>
      </c>
      <c r="R373" s="31" t="str">
        <f t="shared" si="76"/>
        <v>Malcolm James  NICOL</v>
      </c>
      <c r="S373" s="31" t="str">
        <f t="shared" si="77"/>
        <v>Malcolm NICOL (1953 -: #18bbbc)</v>
      </c>
    </row>
    <row r="374" spans="1:19">
      <c r="A374">
        <f>'All Girls &amp; Descendants'!B373</f>
        <v>36</v>
      </c>
      <c r="B374" t="str">
        <f>'All Girls &amp; Descendants'!C373</f>
        <v>36dbaa</v>
      </c>
      <c r="C374" t="str">
        <f>'All Girls &amp; Descendants'!D373</f>
        <v>SCOTT-DEMPSTER</v>
      </c>
      <c r="D374" t="str">
        <f>'All Girls &amp; Descendants'!E373</f>
        <v>Robert</v>
      </c>
      <c r="E374" t="str">
        <f>IF('All Girls &amp; Descendants'!F373="","",'All Girls &amp; Descendants'!F373)</f>
        <v>Andrew</v>
      </c>
      <c r="F374" t="str">
        <f>IF('All Girls &amp; Descendants'!G373="","",'All Girls &amp; Descendants'!G373)</f>
        <v/>
      </c>
      <c r="G374" t="str">
        <f>IF('All Girls &amp; Descendants'!H373="",D374,'All Girls &amp; Descendants'!H373)</f>
        <v>Robert</v>
      </c>
      <c r="H374">
        <f>'All Girls &amp; Descendants'!I373</f>
        <v>1967</v>
      </c>
      <c r="I374" t="str">
        <f>'All Girls &amp; Descendants'!J373</f>
        <v/>
      </c>
      <c r="J374">
        <f>'All Girls &amp; Descendants'!K373</f>
        <v>0</v>
      </c>
      <c r="K374" s="7">
        <f>'All Girls &amp; Descendants'!M373</f>
        <v>24592</v>
      </c>
      <c r="L374">
        <f>'All Girls &amp; Descendants'!N373</f>
        <v>34776</v>
      </c>
      <c r="M374" t="str">
        <f>'All Girls &amp; Descendants'!O373</f>
        <v/>
      </c>
      <c r="N374" t="str">
        <f>'All Girls &amp; Descendants'!P373</f>
        <v/>
      </c>
      <c r="O374" t="str">
        <f>'All Girls &amp; Descendants'!Q373</f>
        <v>36dba</v>
      </c>
      <c r="P374" t="str">
        <f t="shared" si="74"/>
        <v>36dbaa</v>
      </c>
      <c r="Q374" s="116">
        <f t="shared" si="75"/>
        <v>4</v>
      </c>
      <c r="R374" s="31" t="str">
        <f t="shared" si="76"/>
        <v>Robert Andrew  SCOTT-DEMPSTER</v>
      </c>
      <c r="S374" s="31" t="str">
        <f t="shared" si="77"/>
        <v>Robert SCOTT-DEMPSTER (1967 -: #36dbaa)</v>
      </c>
    </row>
    <row r="375" spans="1:19">
      <c r="A375">
        <f>'All Girls &amp; Descendants'!B374</f>
        <v>36</v>
      </c>
      <c r="B375" t="str">
        <f>'All Girls &amp; Descendants'!C374</f>
        <v>36dbab</v>
      </c>
      <c r="C375" t="str">
        <f>'All Girls &amp; Descendants'!D374</f>
        <v>SCOTT-DEMPSTER</v>
      </c>
      <c r="D375" t="str">
        <f>'All Girls &amp; Descendants'!E374</f>
        <v>Clare</v>
      </c>
      <c r="E375" t="str">
        <f>IF('All Girls &amp; Descendants'!F374="","",'All Girls &amp; Descendants'!F374)</f>
        <v>Ann</v>
      </c>
      <c r="F375" t="str">
        <f>IF('All Girls &amp; Descendants'!G374="","",'All Girls &amp; Descendants'!G374)</f>
        <v/>
      </c>
      <c r="G375" t="str">
        <f>IF('All Girls &amp; Descendants'!H374="",D375,'All Girls &amp; Descendants'!H374)</f>
        <v>Clare</v>
      </c>
      <c r="H375">
        <f>'All Girls &amp; Descendants'!I374</f>
        <v>1969</v>
      </c>
      <c r="I375" t="str">
        <f>'All Girls &amp; Descendants'!J374</f>
        <v/>
      </c>
      <c r="J375">
        <f>'All Girls &amp; Descendants'!K374</f>
        <v>0</v>
      </c>
      <c r="K375" s="7">
        <f>'All Girls &amp; Descendants'!M374</f>
        <v>25361</v>
      </c>
      <c r="L375" t="str">
        <f>'All Girls &amp; Descendants'!N374</f>
        <v xml:space="preserve"> - </v>
      </c>
      <c r="M375" t="str">
        <f>'All Girls &amp; Descendants'!O374</f>
        <v/>
      </c>
      <c r="N375" t="str">
        <f>'All Girls &amp; Descendants'!P374</f>
        <v/>
      </c>
      <c r="O375" t="str">
        <f>'All Girls &amp; Descendants'!Q374</f>
        <v>36dba</v>
      </c>
      <c r="P375" t="str">
        <f t="shared" si="74"/>
        <v>36dbab</v>
      </c>
      <c r="Q375" s="116">
        <f t="shared" si="75"/>
        <v>4</v>
      </c>
      <c r="R375" s="31" t="str">
        <f t="shared" si="76"/>
        <v>Clare Ann  SCOTT-DEMPSTER</v>
      </c>
      <c r="S375" s="31" t="str">
        <f t="shared" si="77"/>
        <v>Clare SCOTT-DEMPSTER (1969 -: #36dbab)</v>
      </c>
    </row>
    <row r="376" spans="1:19" ht="17">
      <c r="A376">
        <f>'All Girls &amp; Descendants'!B375</f>
        <v>36</v>
      </c>
      <c r="B376" t="str">
        <f>'All Girls &amp; Descendants'!C375</f>
        <v>36dbac</v>
      </c>
      <c r="C376" t="str">
        <f>'All Girls &amp; Descendants'!D375</f>
        <v>SCOTT-DEMPSTER</v>
      </c>
      <c r="D376" t="str">
        <f>'All Girls &amp; Descendants'!E375</f>
        <v>Harry</v>
      </c>
      <c r="E376" t="str">
        <f>IF('All Girls &amp; Descendants'!F375="","",'All Girls &amp; Descendants'!F375)</f>
        <v>Colin</v>
      </c>
      <c r="F376" t="str">
        <f>IF('All Girls &amp; Descendants'!G375="","",'All Girls &amp; Descendants'!G375)</f>
        <v/>
      </c>
      <c r="G376" t="str">
        <f>IF('All Girls &amp; Descendants'!H375="",D376,'All Girls &amp; Descendants'!H375)</f>
        <v>Ann</v>
      </c>
      <c r="H376">
        <f>'All Girls &amp; Descendants'!I375</f>
        <v>1985</v>
      </c>
      <c r="I376" t="str">
        <f>'All Girls &amp; Descendants'!J375</f>
        <v/>
      </c>
      <c r="J376">
        <f>'All Girls &amp; Descendants'!K375</f>
        <v>0</v>
      </c>
      <c r="K376" s="7" t="str">
        <f>'All Girls &amp; Descendants'!M375</f>
        <v>28/08/1985</v>
      </c>
      <c r="L376" t="str">
        <f>'All Girls &amp; Descendants'!N375</f>
        <v xml:space="preserve"> - </v>
      </c>
      <c r="M376" t="str">
        <f>'All Girls &amp; Descendants'!O375</f>
        <v/>
      </c>
      <c r="N376" t="str">
        <f>'All Girls &amp; Descendants'!P375</f>
        <v/>
      </c>
      <c r="O376" t="str">
        <f>'All Girls &amp; Descendants'!Q375</f>
        <v>36dba</v>
      </c>
      <c r="P376" t="str">
        <f t="shared" si="74"/>
        <v>36dbac</v>
      </c>
      <c r="Q376" s="116">
        <f t="shared" si="75"/>
        <v>4</v>
      </c>
      <c r="R376" s="31" t="str">
        <f t="shared" si="76"/>
        <v>Harry Colin  SCOTT-DEMPSTER</v>
      </c>
      <c r="S376" s="31" t="str">
        <f t="shared" si="77"/>
        <v>Ann SCOTT-DEMPSTER (1985 -: #36dbac)</v>
      </c>
    </row>
    <row r="377" spans="1:19">
      <c r="A377">
        <f>'All Girls &amp; Descendants'!B376</f>
        <v>36</v>
      </c>
      <c r="B377" t="str">
        <f>'All Girls &amp; Descendants'!C376</f>
        <v>36dbba</v>
      </c>
      <c r="C377" t="str">
        <f>'All Girls &amp; Descendants'!D376</f>
        <v>LINDSAY</v>
      </c>
      <c r="D377" t="str">
        <f>'All Girls &amp; Descendants'!E376</f>
        <v>Jane</v>
      </c>
      <c r="E377" t="str">
        <f>IF('All Girls &amp; Descendants'!F376="","",'All Girls &amp; Descendants'!F376)</f>
        <v>Margaret</v>
      </c>
      <c r="F377" t="str">
        <f>IF('All Girls &amp; Descendants'!G376="","",'All Girls &amp; Descendants'!G376)</f>
        <v/>
      </c>
      <c r="G377" t="str">
        <f>IF('All Girls &amp; Descendants'!H376="",D377,'All Girls &amp; Descendants'!H376)</f>
        <v>Jane</v>
      </c>
      <c r="H377">
        <f>'All Girls &amp; Descendants'!I376</f>
        <v>1966</v>
      </c>
      <c r="I377" t="str">
        <f>'All Girls &amp; Descendants'!J376</f>
        <v/>
      </c>
      <c r="J377">
        <f>'All Girls &amp; Descendants'!K376</f>
        <v>0</v>
      </c>
      <c r="K377" s="7">
        <f>'All Girls &amp; Descendants'!M376</f>
        <v>24458</v>
      </c>
      <c r="L377" t="str">
        <f>'All Girls &amp; Descendants'!N376</f>
        <v xml:space="preserve"> - </v>
      </c>
      <c r="M377" t="str">
        <f>'All Girls &amp; Descendants'!O376</f>
        <v/>
      </c>
      <c r="N377" t="str">
        <f>'All Girls &amp; Descendants'!P376</f>
        <v/>
      </c>
      <c r="O377" t="str">
        <f>'All Girls &amp; Descendants'!Q376</f>
        <v>36dbb</v>
      </c>
      <c r="P377" t="str">
        <f t="shared" si="74"/>
        <v>36dbba</v>
      </c>
      <c r="Q377" s="116">
        <f t="shared" si="75"/>
        <v>4</v>
      </c>
      <c r="R377" s="31" t="str">
        <f t="shared" si="76"/>
        <v>Jane Margaret  LINDSAY</v>
      </c>
      <c r="S377" s="31" t="str">
        <f t="shared" si="77"/>
        <v>Jane LINDSAY (1966 -: #36dbba)</v>
      </c>
    </row>
    <row r="378" spans="1:19">
      <c r="A378">
        <f>'All Girls &amp; Descendants'!B377</f>
        <v>36</v>
      </c>
      <c r="B378" t="str">
        <f>'All Girls &amp; Descendants'!C377</f>
        <v>36dbbb</v>
      </c>
      <c r="C378" t="str">
        <f>'All Girls &amp; Descendants'!D377</f>
        <v>LINDSAY</v>
      </c>
      <c r="D378" t="str">
        <f>'All Girls &amp; Descendants'!E377</f>
        <v>Richard</v>
      </c>
      <c r="E378" t="str">
        <f>IF('All Girls &amp; Descendants'!F377="","",'All Girls &amp; Descendants'!F377)</f>
        <v>Stephen</v>
      </c>
      <c r="F378" t="str">
        <f>IF('All Girls &amp; Descendants'!G377="","",'All Girls &amp; Descendants'!G377)</f>
        <v/>
      </c>
      <c r="G378" t="str">
        <f>IF('All Girls &amp; Descendants'!H377="",D378,'All Girls &amp; Descendants'!H377)</f>
        <v>Richard</v>
      </c>
      <c r="H378">
        <f>'All Girls &amp; Descendants'!I377</f>
        <v>1969</v>
      </c>
      <c r="I378" t="str">
        <f>'All Girls &amp; Descendants'!J377</f>
        <v/>
      </c>
      <c r="J378">
        <f>'All Girls &amp; Descendants'!K377</f>
        <v>0</v>
      </c>
      <c r="K378" s="7">
        <f>'All Girls &amp; Descendants'!M377</f>
        <v>25252</v>
      </c>
      <c r="L378" t="str">
        <f>'All Girls &amp; Descendants'!N377</f>
        <v xml:space="preserve"> - </v>
      </c>
      <c r="M378" t="str">
        <f>'All Girls &amp; Descendants'!O377</f>
        <v/>
      </c>
      <c r="N378" t="str">
        <f>'All Girls &amp; Descendants'!P377</f>
        <v/>
      </c>
      <c r="O378" t="str">
        <f>'All Girls &amp; Descendants'!Q377</f>
        <v>36dbb</v>
      </c>
      <c r="P378" t="str">
        <f t="shared" si="74"/>
        <v>36dbbb</v>
      </c>
      <c r="Q378" s="116">
        <f t="shared" si="75"/>
        <v>4</v>
      </c>
      <c r="R378" s="31" t="str">
        <f t="shared" si="76"/>
        <v>Richard Stephen  LINDSAY</v>
      </c>
      <c r="S378" s="31" t="str">
        <f t="shared" si="77"/>
        <v>Richard LINDSAY (1969 -: #36dbbb)</v>
      </c>
    </row>
    <row r="379" spans="1:19">
      <c r="A379">
        <f>'All Girls &amp; Descendants'!B378</f>
        <v>36</v>
      </c>
      <c r="B379" t="str">
        <f>'All Girls &amp; Descendants'!C378</f>
        <v>36dbbc</v>
      </c>
      <c r="C379" t="str">
        <f>'All Girls &amp; Descendants'!D378</f>
        <v>LINDSAY</v>
      </c>
      <c r="D379" t="str">
        <f>'All Girls &amp; Descendants'!E378</f>
        <v>Charles</v>
      </c>
      <c r="E379" t="str">
        <f>IF('All Girls &amp; Descendants'!F378="","",'All Girls &amp; Descendants'!F378)</f>
        <v>Ludovic</v>
      </c>
      <c r="F379" t="str">
        <f>IF('All Girls &amp; Descendants'!G378="","",'All Girls &amp; Descendants'!G378)</f>
        <v/>
      </c>
      <c r="G379" t="str">
        <f>IF('All Girls &amp; Descendants'!H378="",D379,'All Girls &amp; Descendants'!H378)</f>
        <v>Charles</v>
      </c>
      <c r="H379">
        <f>'All Girls &amp; Descendants'!I378</f>
        <v>1974</v>
      </c>
      <c r="I379" t="str">
        <f>'All Girls &amp; Descendants'!J378</f>
        <v/>
      </c>
      <c r="J379">
        <f>'All Girls &amp; Descendants'!K378</f>
        <v>0</v>
      </c>
      <c r="K379" s="7">
        <f>'All Girls &amp; Descendants'!M378</f>
        <v>27143</v>
      </c>
      <c r="L379" t="str">
        <f>'All Girls &amp; Descendants'!N378</f>
        <v xml:space="preserve"> - </v>
      </c>
      <c r="M379" t="str">
        <f>'All Girls &amp; Descendants'!O378</f>
        <v/>
      </c>
      <c r="N379" t="str">
        <f>'All Girls &amp; Descendants'!P378</f>
        <v/>
      </c>
      <c r="O379" t="str">
        <f>'All Girls &amp; Descendants'!Q378</f>
        <v>36dbb</v>
      </c>
      <c r="P379" t="str">
        <f t="shared" si="74"/>
        <v>36dbbc</v>
      </c>
      <c r="Q379" s="116">
        <f t="shared" si="75"/>
        <v>4</v>
      </c>
      <c r="R379" s="31" t="str">
        <f t="shared" si="76"/>
        <v>Charles Ludovic  LINDSAY</v>
      </c>
      <c r="S379" s="31" t="str">
        <f t="shared" si="77"/>
        <v>Charles LINDSAY (1974 -: #36dbbc)</v>
      </c>
    </row>
    <row r="380" spans="1:19">
      <c r="A380">
        <f>'All Girls &amp; Descendants'!B379</f>
        <v>36</v>
      </c>
      <c r="B380" t="str">
        <f>'All Girls &amp; Descendants'!C379</f>
        <v>36dbbd</v>
      </c>
      <c r="C380" t="str">
        <f>'All Girls &amp; Descendants'!D379</f>
        <v>LINDSAY</v>
      </c>
      <c r="D380" t="str">
        <f>'All Girls &amp; Descendants'!E379</f>
        <v>Andrew</v>
      </c>
      <c r="E380" t="str">
        <f>IF('All Girls &amp; Descendants'!F379="","",'All Girls &amp; Descendants'!F379)</f>
        <v>James</v>
      </c>
      <c r="F380" t="str">
        <f>IF('All Girls &amp; Descendants'!G379="","",'All Girls &amp; Descendants'!G379)</f>
        <v>Ronald</v>
      </c>
      <c r="G380" t="str">
        <f>IF('All Girls &amp; Descendants'!H379="",D380,'All Girls &amp; Descendants'!H379)</f>
        <v>Andrew</v>
      </c>
      <c r="H380">
        <f>'All Girls &amp; Descendants'!I379</f>
        <v>1977</v>
      </c>
      <c r="I380" t="str">
        <f>'All Girls &amp; Descendants'!J379</f>
        <v/>
      </c>
      <c r="J380">
        <f>'All Girls &amp; Descendants'!K379</f>
        <v>0</v>
      </c>
      <c r="K380" s="7">
        <f>'All Girls &amp; Descendants'!M379</f>
        <v>28209</v>
      </c>
      <c r="L380" t="str">
        <f>'All Girls &amp; Descendants'!N379</f>
        <v xml:space="preserve"> - </v>
      </c>
      <c r="M380" t="str">
        <f>'All Girls &amp; Descendants'!O379</f>
        <v/>
      </c>
      <c r="N380" t="str">
        <f>'All Girls &amp; Descendants'!P379</f>
        <v/>
      </c>
      <c r="O380" t="str">
        <f>'All Girls &amp; Descendants'!Q379</f>
        <v>36dbb</v>
      </c>
      <c r="P380" t="str">
        <f t="shared" si="74"/>
        <v>36dbbd</v>
      </c>
      <c r="Q380" s="116">
        <f t="shared" si="75"/>
        <v>4</v>
      </c>
      <c r="R380" s="31" t="str">
        <f t="shared" si="76"/>
        <v>Andrew James Ronald LINDSAY</v>
      </c>
      <c r="S380" s="31" t="str">
        <f t="shared" si="77"/>
        <v>Andrew LINDSAY (1977 -: #36dbbd)</v>
      </c>
    </row>
    <row r="381" spans="1:19">
      <c r="A381">
        <f>'All Girls &amp; Descendants'!B380</f>
        <v>47</v>
      </c>
      <c r="B381" t="str">
        <f>'All Girls &amp; Descendants'!C380</f>
        <v>47aaaa</v>
      </c>
      <c r="C381" t="str">
        <f>'All Girls &amp; Descendants'!D380</f>
        <v>HALLETT</v>
      </c>
      <c r="D381" t="str">
        <f>'All Girls &amp; Descendants'!E380</f>
        <v>Florence</v>
      </c>
      <c r="E381" t="str">
        <f>IF('All Girls &amp; Descendants'!F380="","",'All Girls &amp; Descendants'!F380)</f>
        <v>Mary</v>
      </c>
      <c r="F381" t="str">
        <f>IF('All Girls &amp; Descendants'!G380="","",'All Girls &amp; Descendants'!G380)</f>
        <v/>
      </c>
      <c r="G381" t="str">
        <f>IF('All Girls &amp; Descendants'!H380="",D381,'All Girls &amp; Descendants'!H380)</f>
        <v>Florence</v>
      </c>
      <c r="H381">
        <f>'All Girls &amp; Descendants'!I380</f>
        <v>1977</v>
      </c>
      <c r="I381" t="str">
        <f>'All Girls &amp; Descendants'!J380</f>
        <v/>
      </c>
      <c r="J381">
        <f>'All Girls &amp; Descendants'!K380</f>
        <v>0</v>
      </c>
      <c r="K381" s="7">
        <f>'All Girls &amp; Descendants'!M380</f>
        <v>28324</v>
      </c>
      <c r="L381" t="str">
        <f>'All Girls &amp; Descendants'!N380</f>
        <v xml:space="preserve"> - </v>
      </c>
      <c r="M381" t="str">
        <f>'All Girls &amp; Descendants'!O380</f>
        <v/>
      </c>
      <c r="N381" t="str">
        <f>'All Girls &amp; Descendants'!P380</f>
        <v/>
      </c>
      <c r="O381" t="str">
        <f>'All Girls &amp; Descendants'!Q380</f>
        <v>47aaa</v>
      </c>
      <c r="P381" t="str">
        <f t="shared" si="74"/>
        <v>47aaaa</v>
      </c>
      <c r="Q381" s="116">
        <f t="shared" si="75"/>
        <v>4</v>
      </c>
      <c r="R381" s="31" t="str">
        <f t="shared" si="76"/>
        <v>Florence Mary  HALLETT</v>
      </c>
      <c r="S381" s="31" t="str">
        <f t="shared" si="77"/>
        <v>Florence HALLETT (1977 -: #47aaaa)</v>
      </c>
    </row>
    <row r="382" spans="1:19">
      <c r="A382">
        <f>'All Girls &amp; Descendants'!B381</f>
        <v>47</v>
      </c>
      <c r="B382" t="str">
        <f>'All Girls &amp; Descendants'!C381</f>
        <v>47aaab</v>
      </c>
      <c r="C382" t="str">
        <f>'All Girls &amp; Descendants'!D381</f>
        <v>HALLETT</v>
      </c>
      <c r="D382" t="str">
        <f>'All Girls &amp; Descendants'!E381</f>
        <v>Lillian</v>
      </c>
      <c r="E382" t="str">
        <f>IF('All Girls &amp; Descendants'!F381="","",'All Girls &amp; Descendants'!F381)</f>
        <v>Alice</v>
      </c>
      <c r="F382" t="str">
        <f>IF('All Girls &amp; Descendants'!G381="","",'All Girls &amp; Descendants'!G381)</f>
        <v/>
      </c>
      <c r="G382" t="str">
        <f>IF('All Girls &amp; Descendants'!H381="",D382,'All Girls &amp; Descendants'!H381)</f>
        <v>Lillian</v>
      </c>
      <c r="H382">
        <f>'All Girls &amp; Descendants'!I381</f>
        <v>1980</v>
      </c>
      <c r="I382" t="str">
        <f>'All Girls &amp; Descendants'!J381</f>
        <v/>
      </c>
      <c r="J382">
        <f>'All Girls &amp; Descendants'!K381</f>
        <v>0</v>
      </c>
      <c r="K382" s="7">
        <f>'All Girls &amp; Descendants'!M381</f>
        <v>29435</v>
      </c>
      <c r="L382" t="str">
        <f>'All Girls &amp; Descendants'!N381</f>
        <v xml:space="preserve"> - </v>
      </c>
      <c r="M382" t="str">
        <f>'All Girls &amp; Descendants'!O381</f>
        <v/>
      </c>
      <c r="N382" t="str">
        <f>'All Girls &amp; Descendants'!P381</f>
        <v/>
      </c>
      <c r="O382" t="str">
        <f>'All Girls &amp; Descendants'!Q381</f>
        <v>47aaa</v>
      </c>
      <c r="P382" t="str">
        <f t="shared" si="74"/>
        <v>47aaab</v>
      </c>
      <c r="Q382" s="116">
        <f t="shared" si="75"/>
        <v>4</v>
      </c>
      <c r="R382" s="31" t="str">
        <f t="shared" si="76"/>
        <v>Lillian Alice  HALLETT</v>
      </c>
      <c r="S382" s="31" t="str">
        <f t="shared" si="77"/>
        <v>Lillian HALLETT (1980 -: #47aaab)</v>
      </c>
    </row>
    <row r="383" spans="1:19">
      <c r="A383">
        <f>'All Girls &amp; Descendants'!B382</f>
        <v>47</v>
      </c>
      <c r="B383" t="str">
        <f>'All Girls &amp; Descendants'!C382</f>
        <v>47aaba</v>
      </c>
      <c r="C383" t="str">
        <f>'All Girls &amp; Descendants'!D382</f>
        <v>HARDCASTLE</v>
      </c>
      <c r="D383" t="str">
        <f>'All Girls &amp; Descendants'!E382</f>
        <v>Linda</v>
      </c>
      <c r="E383" t="str">
        <f>IF('All Girls &amp; Descendants'!F382="","",'All Girls &amp; Descendants'!F382)</f>
        <v>Constance</v>
      </c>
      <c r="F383" t="str">
        <f>IF('All Girls &amp; Descendants'!G382="","",'All Girls &amp; Descendants'!G382)</f>
        <v>Elizabeth</v>
      </c>
      <c r="G383" t="str">
        <f>IF('All Girls &amp; Descendants'!H382="",D383,'All Girls &amp; Descendants'!H382)</f>
        <v>Linda</v>
      </c>
      <c r="H383">
        <f>'All Girls &amp; Descendants'!I382</f>
        <v>1979</v>
      </c>
      <c r="I383" t="str">
        <f>'All Girls &amp; Descendants'!J382</f>
        <v/>
      </c>
      <c r="J383">
        <f>'All Girls &amp; Descendants'!K382</f>
        <v>0</v>
      </c>
      <c r="K383" s="7">
        <f>'All Girls &amp; Descendants'!M382</f>
        <v>28926</v>
      </c>
      <c r="L383" t="str">
        <f>'All Girls &amp; Descendants'!N382</f>
        <v>22/088/1998</v>
      </c>
      <c r="M383" t="str">
        <f>'All Girls &amp; Descendants'!O382</f>
        <v/>
      </c>
      <c r="N383" t="str">
        <f>'All Girls &amp; Descendants'!P382</f>
        <v/>
      </c>
      <c r="O383" t="str">
        <f>'All Girls &amp; Descendants'!Q382</f>
        <v>47aab</v>
      </c>
      <c r="P383" t="str">
        <f t="shared" si="74"/>
        <v>47aaba</v>
      </c>
      <c r="Q383" s="116">
        <f t="shared" si="75"/>
        <v>4</v>
      </c>
      <c r="R383" s="31" t="str">
        <f t="shared" si="76"/>
        <v>Linda Constance Elizabeth HARDCASTLE</v>
      </c>
      <c r="S383" s="31" t="str">
        <f t="shared" si="77"/>
        <v>Linda HARDCASTLE (1979 -: #47aaba)</v>
      </c>
    </row>
    <row r="384" spans="1:19">
      <c r="A384">
        <f>'All Girls &amp; Descendants'!B383</f>
        <v>47</v>
      </c>
      <c r="B384" t="str">
        <f>'All Girls &amp; Descendants'!C383</f>
        <v>47aabb</v>
      </c>
      <c r="C384" t="str">
        <f>'All Girls &amp; Descendants'!D383</f>
        <v>HARDCASTLE</v>
      </c>
      <c r="D384" t="str">
        <f>'All Girls &amp; Descendants'!E383</f>
        <v>Susan</v>
      </c>
      <c r="E384" t="str">
        <f>IF('All Girls &amp; Descendants'!F383="","",'All Girls &amp; Descendants'!F383)</f>
        <v>Jean</v>
      </c>
      <c r="F384" t="str">
        <f>IF('All Girls &amp; Descendants'!G383="","",'All Girls &amp; Descendants'!G383)</f>
        <v>Alexandra</v>
      </c>
      <c r="G384" t="str">
        <f>IF('All Girls &amp; Descendants'!H383="",D384,'All Girls &amp; Descendants'!H383)</f>
        <v>Susan</v>
      </c>
      <c r="H384">
        <f>'All Girls &amp; Descendants'!I383</f>
        <v>1980</v>
      </c>
      <c r="I384" t="str">
        <f>'All Girls &amp; Descendants'!J383</f>
        <v/>
      </c>
      <c r="J384">
        <f>'All Girls &amp; Descendants'!K383</f>
        <v>0</v>
      </c>
      <c r="K384" s="7">
        <f>'All Girls &amp; Descendants'!M383</f>
        <v>29452</v>
      </c>
      <c r="L384" t="str">
        <f>'All Girls &amp; Descendants'!N383</f>
        <v xml:space="preserve"> - </v>
      </c>
      <c r="M384" t="str">
        <f>'All Girls &amp; Descendants'!O383</f>
        <v/>
      </c>
      <c r="N384" t="str">
        <f>'All Girls &amp; Descendants'!P383</f>
        <v/>
      </c>
      <c r="O384" t="str">
        <f>'All Girls &amp; Descendants'!Q383</f>
        <v>47aab</v>
      </c>
      <c r="P384" t="str">
        <f t="shared" si="74"/>
        <v>47aabb</v>
      </c>
      <c r="Q384" s="116">
        <f t="shared" si="75"/>
        <v>4</v>
      </c>
      <c r="R384" s="31" t="str">
        <f t="shared" si="76"/>
        <v>Susan Jean Alexandra HARDCASTLE</v>
      </c>
      <c r="S384" s="31" t="str">
        <f t="shared" si="77"/>
        <v>Susan HARDCASTLE (1980 -: #47aabb)</v>
      </c>
    </row>
    <row r="385" spans="1:19" ht="17">
      <c r="A385">
        <f>'All Girls &amp; Descendants'!B384</f>
        <v>47</v>
      </c>
      <c r="B385" t="str">
        <f>'All Girls &amp; Descendants'!C384</f>
        <v>47aabc</v>
      </c>
      <c r="C385" t="str">
        <f>'All Girls &amp; Descendants'!D384</f>
        <v>HARDCASTLE</v>
      </c>
      <c r="D385" t="str">
        <f>'All Girls &amp; Descendants'!E384</f>
        <v>David</v>
      </c>
      <c r="E385" t="str">
        <f>IF('All Girls &amp; Descendants'!F384="","",'All Girls &amp; Descendants'!F384)</f>
        <v>Robert</v>
      </c>
      <c r="F385" t="str">
        <f>IF('All Girls &amp; Descendants'!G384="","",'All Girls &amp; Descendants'!G384)</f>
        <v>Edwin</v>
      </c>
      <c r="G385" t="str">
        <f>IF('All Girls &amp; Descendants'!H384="",D385,'All Girls &amp; Descendants'!H384)</f>
        <v>David</v>
      </c>
      <c r="H385">
        <f>'All Girls &amp; Descendants'!I384</f>
        <v>1982</v>
      </c>
      <c r="I385" t="str">
        <f>'All Girls &amp; Descendants'!J384</f>
        <v/>
      </c>
      <c r="J385">
        <f>'All Girls &amp; Descendants'!K384</f>
        <v>0</v>
      </c>
      <c r="K385" s="7" t="str">
        <f>'All Girls &amp; Descendants'!M384</f>
        <v>26/10/1982</v>
      </c>
      <c r="L385" t="str">
        <f>'All Girls &amp; Descendants'!N384</f>
        <v xml:space="preserve"> - </v>
      </c>
      <c r="M385" t="str">
        <f>'All Girls &amp; Descendants'!O384</f>
        <v/>
      </c>
      <c r="N385" t="str">
        <f>'All Girls &amp; Descendants'!P384</f>
        <v/>
      </c>
      <c r="O385" t="str">
        <f>'All Girls &amp; Descendants'!Q384</f>
        <v>47aab</v>
      </c>
      <c r="P385" t="str">
        <f t="shared" si="74"/>
        <v>47aabc</v>
      </c>
      <c r="Q385" s="116">
        <f t="shared" si="75"/>
        <v>4</v>
      </c>
      <c r="R385" s="31" t="str">
        <f t="shared" si="76"/>
        <v>David Robert Edwin HARDCASTLE</v>
      </c>
      <c r="S385" s="31" t="str">
        <f t="shared" si="77"/>
        <v>David HARDCASTLE (1982 -: #47aabc)</v>
      </c>
    </row>
    <row r="386" spans="1:19">
      <c r="A386">
        <f>'All Girls &amp; Descendants'!B385</f>
        <v>47</v>
      </c>
      <c r="B386" t="str">
        <f>'All Girls &amp; Descendants'!C385</f>
        <v>47abca</v>
      </c>
      <c r="C386" t="str">
        <f>'All Girls &amp; Descendants'!D385</f>
        <v>DREWE</v>
      </c>
      <c r="D386" t="str">
        <f>'All Girls &amp; Descendants'!E385</f>
        <v>Michael</v>
      </c>
      <c r="E386" t="str">
        <f>IF('All Girls &amp; Descendants'!F385="","",'All Girls &amp; Descendants'!F385)</f>
        <v>Alwyn</v>
      </c>
      <c r="F386" t="str">
        <f>IF('All Girls &amp; Descendants'!G385="","",'All Girls &amp; Descendants'!G385)</f>
        <v>Karel</v>
      </c>
      <c r="G386" t="str">
        <f>IF('All Girls &amp; Descendants'!H385="",D386,'All Girls &amp; Descendants'!H385)</f>
        <v>Michael</v>
      </c>
      <c r="H386">
        <f>'All Girls &amp; Descendants'!I385</f>
        <v>1987</v>
      </c>
      <c r="I386" t="str">
        <f>'All Girls &amp; Descendants'!J385</f>
        <v/>
      </c>
      <c r="J386">
        <f>'All Girls &amp; Descendants'!K385</f>
        <v>0</v>
      </c>
      <c r="K386" s="7">
        <f>'All Girls &amp; Descendants'!M385</f>
        <v>32053</v>
      </c>
      <c r="L386" t="str">
        <f>'All Girls &amp; Descendants'!N385</f>
        <v xml:space="preserve"> - </v>
      </c>
      <c r="M386" t="str">
        <f>'All Girls &amp; Descendants'!O385</f>
        <v/>
      </c>
      <c r="N386" t="str">
        <f>'All Girls &amp; Descendants'!P385</f>
        <v/>
      </c>
      <c r="O386" t="str">
        <f>'All Girls &amp; Descendants'!Q385</f>
        <v>47abc</v>
      </c>
      <c r="P386" t="str">
        <f t="shared" si="74"/>
        <v>47abca</v>
      </c>
      <c r="Q386" s="116">
        <f t="shared" si="75"/>
        <v>4</v>
      </c>
      <c r="R386" s="31" t="str">
        <f t="shared" si="76"/>
        <v>Michael Alwyn Karel DREWE</v>
      </c>
      <c r="S386" s="31" t="str">
        <f t="shared" si="77"/>
        <v>Michael DREWE (1987 -: #47abca)</v>
      </c>
    </row>
    <row r="387" spans="1:19" ht="17">
      <c r="A387">
        <f>'All Girls &amp; Descendants'!B386</f>
        <v>2</v>
      </c>
      <c r="B387" t="str">
        <f>'All Girls &amp; Descendants'!C386</f>
        <v>2cabaa</v>
      </c>
      <c r="C387" t="str">
        <f>'All Girls &amp; Descendants'!D386</f>
        <v>PROTHEROE</v>
      </c>
      <c r="D387" t="str">
        <f>'All Girls &amp; Descendants'!E386</f>
        <v>William</v>
      </c>
      <c r="E387" t="str">
        <f>IF('All Girls &amp; Descendants'!F386="","",'All Girls &amp; Descendants'!F386)</f>
        <v>Loyd</v>
      </c>
      <c r="F387" t="str">
        <f>IF('All Girls &amp; Descendants'!G386="","",'All Girls &amp; Descendants'!G386)</f>
        <v/>
      </c>
      <c r="G387" t="str">
        <f>IF('All Girls &amp; Descendants'!H386="",D387,'All Girls &amp; Descendants'!H386)</f>
        <v>William</v>
      </c>
      <c r="H387">
        <f>'All Girls &amp; Descendants'!I386</f>
        <v>1921</v>
      </c>
      <c r="I387">
        <f>'All Girls &amp; Descendants'!J386</f>
        <v>1942</v>
      </c>
      <c r="J387">
        <f>'All Girls &amp; Descendants'!K386</f>
        <v>0</v>
      </c>
      <c r="K387" s="7" t="str">
        <f>'All Girls &amp; Descendants'!M386</f>
        <v>1921</v>
      </c>
      <c r="L387" t="str">
        <f>'All Girls &amp; Descendants'!N386</f>
        <v xml:space="preserve"> - </v>
      </c>
      <c r="M387">
        <f>'All Girls &amp; Descendants'!O386</f>
        <v>15565</v>
      </c>
      <c r="N387" t="str">
        <f>'All Girls &amp; Descendants'!P386</f>
        <v>12/08/1942</v>
      </c>
      <c r="O387" t="str">
        <f>'All Girls &amp; Descendants'!Q386</f>
        <v>2caba</v>
      </c>
      <c r="P387" t="str">
        <f t="shared" si="74"/>
        <v>2cabaa</v>
      </c>
      <c r="Q387" s="116">
        <f t="shared" si="75"/>
        <v>5</v>
      </c>
      <c r="R387" s="31" t="str">
        <f t="shared" si="76"/>
        <v>William Loyd  PROTHEROE</v>
      </c>
      <c r="S387" s="31" t="str">
        <f t="shared" si="77"/>
        <v>William PROTHEROE (1921 -1942: #2cabaa)</v>
      </c>
    </row>
    <row r="388" spans="1:19" ht="17">
      <c r="A388">
        <f>'All Girls &amp; Descendants'!B387</f>
        <v>2</v>
      </c>
      <c r="B388" t="str">
        <f>'All Girls &amp; Descendants'!C387</f>
        <v>2cabab</v>
      </c>
      <c r="C388" t="str">
        <f>'All Girls &amp; Descendants'!D387</f>
        <v>PROTHEROE</v>
      </c>
      <c r="D388" t="str">
        <f>'All Girls &amp; Descendants'!E387</f>
        <v>Sheila</v>
      </c>
      <c r="E388" t="str">
        <f>IF('All Girls &amp; Descendants'!F387="","",'All Girls &amp; Descendants'!F387)</f>
        <v>Evelyn</v>
      </c>
      <c r="F388" t="str">
        <f>IF('All Girls &amp; Descendants'!G387="","",'All Girls &amp; Descendants'!G387)</f>
        <v/>
      </c>
      <c r="G388" t="str">
        <f>IF('All Girls &amp; Descendants'!H387="",D388,'All Girls &amp; Descendants'!H387)</f>
        <v>Sheila</v>
      </c>
      <c r="H388">
        <f>'All Girls &amp; Descendants'!I387</f>
        <v>1924</v>
      </c>
      <c r="I388" t="str">
        <f>'All Girls &amp; Descendants'!J387</f>
        <v/>
      </c>
      <c r="J388">
        <f>'All Girls &amp; Descendants'!K387</f>
        <v>0</v>
      </c>
      <c r="K388" s="7" t="str">
        <f>'All Girls &amp; Descendants'!M387</f>
        <v>1924</v>
      </c>
      <c r="L388" t="str">
        <f>'All Girls &amp; Descendants'!N387</f>
        <v>1952</v>
      </c>
      <c r="M388" t="str">
        <f>'All Girls &amp; Descendants'!O387</f>
        <v/>
      </c>
      <c r="N388" t="str">
        <f>'All Girls &amp; Descendants'!P387</f>
        <v/>
      </c>
      <c r="O388" t="str">
        <f>'All Girls &amp; Descendants'!Q387</f>
        <v>2caba</v>
      </c>
      <c r="P388" t="str">
        <f t="shared" si="74"/>
        <v>2cabab</v>
      </c>
      <c r="Q388" s="116">
        <f t="shared" si="75"/>
        <v>5</v>
      </c>
      <c r="R388" s="31" t="str">
        <f t="shared" si="76"/>
        <v>Sheila Evelyn  PROTHEROE</v>
      </c>
      <c r="S388" s="31" t="str">
        <f t="shared" si="77"/>
        <v>Sheila PROTHEROE (1924 -: #2cabab)</v>
      </c>
    </row>
    <row r="389" spans="1:19">
      <c r="A389">
        <f>'All Girls &amp; Descendants'!B388</f>
        <v>2</v>
      </c>
      <c r="B389" t="str">
        <f>'All Girls &amp; Descendants'!C388</f>
        <v>2cabba</v>
      </c>
      <c r="C389" t="str">
        <f>'All Girls &amp; Descendants'!D388</f>
        <v>APPS</v>
      </c>
      <c r="D389" t="str">
        <f>'All Girls &amp; Descendants'!E388</f>
        <v>Beryl</v>
      </c>
      <c r="E389" t="str">
        <f>IF('All Girls &amp; Descendants'!F388="","",'All Girls &amp; Descendants'!F388)</f>
        <v>Mary</v>
      </c>
      <c r="F389" t="str">
        <f>IF('All Girls &amp; Descendants'!G388="","",'All Girls &amp; Descendants'!G388)</f>
        <v>Loyd</v>
      </c>
      <c r="G389" t="str">
        <f>IF('All Girls &amp; Descendants'!H388="",D389,'All Girls &amp; Descendants'!H388)</f>
        <v>Beryl</v>
      </c>
      <c r="H389">
        <f>'All Girls &amp; Descendants'!I388</f>
        <v>1925</v>
      </c>
      <c r="I389" t="str">
        <f>'All Girls &amp; Descendants'!J388</f>
        <v/>
      </c>
      <c r="J389">
        <f>'All Girls &amp; Descendants'!K388</f>
        <v>0</v>
      </c>
      <c r="K389" s="7">
        <f>'All Girls &amp; Descendants'!M388</f>
        <v>9486</v>
      </c>
      <c r="L389">
        <f>'All Girls &amp; Descendants'!N388</f>
        <v>18683</v>
      </c>
      <c r="M389" t="str">
        <f>'All Girls &amp; Descendants'!O388</f>
        <v/>
      </c>
      <c r="N389" t="str">
        <f>'All Girls &amp; Descendants'!P388</f>
        <v/>
      </c>
      <c r="O389" t="str">
        <f>'All Girls &amp; Descendants'!Q388</f>
        <v>2cabb</v>
      </c>
      <c r="P389" t="str">
        <f t="shared" si="74"/>
        <v>2cabba</v>
      </c>
      <c r="Q389" s="116">
        <f t="shared" si="75"/>
        <v>5</v>
      </c>
      <c r="R389" s="31" t="str">
        <f t="shared" si="76"/>
        <v>Beryl Mary Loyd APPS</v>
      </c>
      <c r="S389" s="31" t="str">
        <f t="shared" si="77"/>
        <v>Beryl APPS (1925 -: #2cabba)</v>
      </c>
    </row>
    <row r="390" spans="1:19">
      <c r="A390">
        <f>'All Girls &amp; Descendants'!B389</f>
        <v>18</v>
      </c>
      <c r="B390" t="str">
        <f>'All Girls &amp; Descendants'!C389</f>
        <v>18bbaaa</v>
      </c>
      <c r="C390" t="str">
        <f>'All Girls &amp; Descendants'!D389</f>
        <v>RAMSAY</v>
      </c>
      <c r="D390" t="str">
        <f>'All Girls &amp; Descendants'!E389</f>
        <v>Gilbert</v>
      </c>
      <c r="E390" t="str">
        <f>IF('All Girls &amp; Descendants'!F389="","",'All Girls &amp; Descendants'!F389)</f>
        <v>Aubrey</v>
      </c>
      <c r="F390" t="str">
        <f>IF('All Girls &amp; Descendants'!G389="","",'All Girls &amp; Descendants'!G389)</f>
        <v>Warner</v>
      </c>
      <c r="G390" t="str">
        <f>IF('All Girls &amp; Descendants'!H389="",D390,'All Girls &amp; Descendants'!H389)</f>
        <v>Gilbert</v>
      </c>
      <c r="H390">
        <f>'All Girls &amp; Descendants'!I389</f>
        <v>1980</v>
      </c>
      <c r="I390" t="str">
        <f>'All Girls &amp; Descendants'!J389</f>
        <v/>
      </c>
      <c r="J390">
        <f>'All Girls &amp; Descendants'!K389</f>
        <v>0</v>
      </c>
      <c r="K390" s="7">
        <f>'All Girls &amp; Descendants'!M389</f>
        <v>29488</v>
      </c>
      <c r="L390" t="str">
        <f>'All Girls &amp; Descendants'!N389</f>
        <v xml:space="preserve"> - </v>
      </c>
      <c r="M390" t="str">
        <f>'All Girls &amp; Descendants'!O389</f>
        <v/>
      </c>
      <c r="N390" t="str">
        <f>'All Girls &amp; Descendants'!P389</f>
        <v/>
      </c>
      <c r="O390" t="str">
        <f>'All Girls &amp; Descendants'!Q389</f>
        <v>18bbaa</v>
      </c>
      <c r="P390" t="str">
        <f t="shared" si="74"/>
        <v>18bbaaa</v>
      </c>
      <c r="Q390" s="116">
        <f t="shared" si="75"/>
        <v>5</v>
      </c>
      <c r="R390" s="31" t="str">
        <f t="shared" si="76"/>
        <v>Gilbert Aubrey Warner RAMSAY</v>
      </c>
      <c r="S390" s="31" t="str">
        <f t="shared" si="77"/>
        <v>Gilbert RAMSAY (1980 -: #18bbaaa)</v>
      </c>
    </row>
    <row r="391" spans="1:19" ht="17">
      <c r="A391">
        <f>'All Girls &amp; Descendants'!B390</f>
        <v>18</v>
      </c>
      <c r="B391" t="str">
        <f>'All Girls &amp; Descendants'!C390</f>
        <v>18bbaab</v>
      </c>
      <c r="C391" t="str">
        <f>'All Girls &amp; Descendants'!D390</f>
        <v>RAMSAY</v>
      </c>
      <c r="D391" t="str">
        <f>'All Girls &amp; Descendants'!E390</f>
        <v>Sophie</v>
      </c>
      <c r="E391" t="str">
        <f>IF('All Girls &amp; Descendants'!F390="","",'All Girls &amp; Descendants'!F390)</f>
        <v>Charlotte</v>
      </c>
      <c r="F391" t="str">
        <f>IF('All Girls &amp; Descendants'!G390="","",'All Girls &amp; Descendants'!G390)</f>
        <v/>
      </c>
      <c r="G391" t="str">
        <f>IF('All Girls &amp; Descendants'!H390="",D391,'All Girls &amp; Descendants'!H390)</f>
        <v>Sophie</v>
      </c>
      <c r="H391">
        <f>'All Girls &amp; Descendants'!I390</f>
        <v>1982</v>
      </c>
      <c r="I391" t="str">
        <f>'All Girls &amp; Descendants'!J390</f>
        <v/>
      </c>
      <c r="J391">
        <f>'All Girls &amp; Descendants'!K390</f>
        <v>0</v>
      </c>
      <c r="K391" s="7" t="str">
        <f>'All Girls &amp; Descendants'!M390</f>
        <v>30/11/1982</v>
      </c>
      <c r="L391" t="str">
        <f>'All Girls &amp; Descendants'!N390</f>
        <v xml:space="preserve"> - </v>
      </c>
      <c r="M391" t="str">
        <f>'All Girls &amp; Descendants'!O390</f>
        <v/>
      </c>
      <c r="N391" t="str">
        <f>'All Girls &amp; Descendants'!P390</f>
        <v/>
      </c>
      <c r="O391" t="str">
        <f>'All Girls &amp; Descendants'!Q390</f>
        <v>18bbaa</v>
      </c>
      <c r="P391" t="str">
        <f t="shared" si="74"/>
        <v>18bbaab</v>
      </c>
      <c r="Q391" s="116">
        <f t="shared" si="75"/>
        <v>5</v>
      </c>
      <c r="R391" s="31" t="str">
        <f t="shared" si="76"/>
        <v>Sophie Charlotte  RAMSAY</v>
      </c>
      <c r="S391" s="31" t="str">
        <f t="shared" si="77"/>
        <v>Sophie RAMSAY (1982 -: #18bbaab)</v>
      </c>
    </row>
    <row r="392" spans="1:19" ht="17">
      <c r="A392">
        <f>'All Girls &amp; Descendants'!B391</f>
        <v>18</v>
      </c>
      <c r="B392" t="str">
        <f>'All Girls &amp; Descendants'!C391</f>
        <v>18bbaac</v>
      </c>
      <c r="C392" t="str">
        <f>'All Girls &amp; Descendants'!D391</f>
        <v>RAMSAY</v>
      </c>
      <c r="D392" t="str">
        <f>'All Girls &amp; Descendants'!E391</f>
        <v>Adam</v>
      </c>
      <c r="E392" t="str">
        <f>IF('All Girls &amp; Descendants'!F391="","",'All Girls &amp; Descendants'!F391)</f>
        <v>Alexander</v>
      </c>
      <c r="F392" t="str">
        <f>IF('All Girls &amp; Descendants'!G391="","",'All Girls &amp; Descendants'!G391)</f>
        <v/>
      </c>
      <c r="G392" t="str">
        <f>IF('All Girls &amp; Descendants'!H391="",D392,'All Girls &amp; Descendants'!H391)</f>
        <v>Adam</v>
      </c>
      <c r="H392">
        <f>'All Girls &amp; Descendants'!I391</f>
        <v>1985</v>
      </c>
      <c r="I392" t="str">
        <f>'All Girls &amp; Descendants'!J391</f>
        <v/>
      </c>
      <c r="J392">
        <f>'All Girls &amp; Descendants'!K391</f>
        <v>0</v>
      </c>
      <c r="K392" s="7" t="str">
        <f>'All Girls &amp; Descendants'!M391</f>
        <v>09/07/1985</v>
      </c>
      <c r="L392" t="str">
        <f>'All Girls &amp; Descendants'!N391</f>
        <v xml:space="preserve"> - </v>
      </c>
      <c r="M392" t="str">
        <f>'All Girls &amp; Descendants'!O391</f>
        <v/>
      </c>
      <c r="N392" t="str">
        <f>'All Girls &amp; Descendants'!P391</f>
        <v/>
      </c>
      <c r="O392" t="str">
        <f>'All Girls &amp; Descendants'!Q391</f>
        <v>18bbaa</v>
      </c>
      <c r="P392" t="str">
        <f t="shared" si="74"/>
        <v>18bbaac</v>
      </c>
      <c r="Q392" s="116">
        <f t="shared" si="75"/>
        <v>5</v>
      </c>
      <c r="R392" s="31" t="str">
        <f t="shared" si="76"/>
        <v>Adam Alexander  RAMSAY</v>
      </c>
      <c r="S392" s="31" t="str">
        <f t="shared" si="77"/>
        <v>Adam RAMSAY (1985 -: #18bbaac)</v>
      </c>
    </row>
    <row r="393" spans="1:19">
      <c r="A393">
        <f>'All Girls &amp; Descendants'!B392</f>
        <v>18</v>
      </c>
      <c r="B393" t="str">
        <f>'All Girls &amp; Descendants'!C392</f>
        <v>18bbaad</v>
      </c>
      <c r="C393" t="str">
        <f>'All Girls &amp; Descendants'!D392</f>
        <v>RAMSAY</v>
      </c>
      <c r="D393" t="str">
        <f>'All Girls &amp; Descendants'!E392</f>
        <v>George</v>
      </c>
      <c r="E393" t="str">
        <f>IF('All Girls &amp; Descendants'!F392="","",'All Girls &amp; Descendants'!F392)</f>
        <v>Finlay</v>
      </c>
      <c r="F393" t="str">
        <f>IF('All Girls &amp; Descendants'!G392="","",'All Girls &amp; Descendants'!G392)</f>
        <v/>
      </c>
      <c r="G393" t="str">
        <f>IF('All Girls &amp; Descendants'!H392="",D393,'All Girls &amp; Descendants'!H392)</f>
        <v>George</v>
      </c>
      <c r="H393">
        <f>'All Girls &amp; Descendants'!I392</f>
        <v>1988</v>
      </c>
      <c r="I393" t="str">
        <f>'All Girls &amp; Descendants'!J392</f>
        <v/>
      </c>
      <c r="J393">
        <f>'All Girls &amp; Descendants'!K392</f>
        <v>0</v>
      </c>
      <c r="K393" s="7">
        <f>'All Girls &amp; Descendants'!M392</f>
        <v>32446</v>
      </c>
      <c r="L393" t="str">
        <f>'All Girls &amp; Descendants'!N392</f>
        <v xml:space="preserve"> - </v>
      </c>
      <c r="M393" t="str">
        <f>'All Girls &amp; Descendants'!O392</f>
        <v/>
      </c>
      <c r="N393" t="str">
        <f>'All Girls &amp; Descendants'!P392</f>
        <v/>
      </c>
      <c r="O393" t="str">
        <f>'All Girls &amp; Descendants'!Q392</f>
        <v>18bbaa</v>
      </c>
      <c r="P393" t="str">
        <f t="shared" si="74"/>
        <v>18bbaad</v>
      </c>
      <c r="Q393" s="116">
        <f t="shared" si="75"/>
        <v>5</v>
      </c>
      <c r="R393" s="31" t="str">
        <f t="shared" si="76"/>
        <v>George Finlay  RAMSAY</v>
      </c>
      <c r="S393" s="31" t="str">
        <f t="shared" si="77"/>
        <v>George RAMSAY (1988 -: #18bbaad)</v>
      </c>
    </row>
    <row r="394" spans="1:19" ht="17">
      <c r="A394">
        <f>'All Girls &amp; Descendants'!B393</f>
        <v>18</v>
      </c>
      <c r="B394" t="str">
        <f>'All Girls &amp; Descendants'!C393</f>
        <v>18bbaba</v>
      </c>
      <c r="C394" t="str">
        <f>'All Girls &amp; Descendants'!D393</f>
        <v>BERRY</v>
      </c>
      <c r="D394" t="str">
        <f>'All Girls &amp; Descendants'!E393</f>
        <v>John</v>
      </c>
      <c r="E394" t="str">
        <f>IF('All Girls &amp; Descendants'!F393="","",'All Girls &amp; Descendants'!F393)</f>
        <v/>
      </c>
      <c r="F394" t="str">
        <f>IF('All Girls &amp; Descendants'!G393="","",'All Girls &amp; Descendants'!G393)</f>
        <v/>
      </c>
      <c r="G394" t="str">
        <f>IF('All Girls &amp; Descendants'!H393="",D394,'All Girls &amp; Descendants'!H393)</f>
        <v>John</v>
      </c>
      <c r="H394">
        <f>'All Girls &amp; Descendants'!I393</f>
        <v>1976</v>
      </c>
      <c r="I394" t="str">
        <f>'All Girls &amp; Descendants'!J393</f>
        <v/>
      </c>
      <c r="J394">
        <f>'All Girls &amp; Descendants'!K393</f>
        <v>0</v>
      </c>
      <c r="K394" s="7" t="str">
        <f>'All Girls &amp; Descendants'!M393</f>
        <v>22/02/1976</v>
      </c>
      <c r="L394" t="str">
        <f>'All Girls &amp; Descendants'!N393</f>
        <v xml:space="preserve"> - </v>
      </c>
      <c r="M394" t="str">
        <f>'All Girls &amp; Descendants'!O393</f>
        <v/>
      </c>
      <c r="N394" t="str">
        <f>'All Girls &amp; Descendants'!P393</f>
        <v/>
      </c>
      <c r="O394" t="str">
        <f>'All Girls &amp; Descendants'!Q393</f>
        <v>18bbab</v>
      </c>
      <c r="P394" t="str">
        <f t="shared" si="74"/>
        <v>18bbaba</v>
      </c>
      <c r="Q394" s="116">
        <f t="shared" si="75"/>
        <v>5</v>
      </c>
      <c r="R394" s="31" t="str">
        <f t="shared" si="76"/>
        <v>John   BERRY</v>
      </c>
      <c r="S394" s="31" t="str">
        <f t="shared" si="77"/>
        <v>John BERRY (1976 -: #18bbaba)</v>
      </c>
    </row>
    <row r="395" spans="1:19" ht="17">
      <c r="A395">
        <f>'All Girls &amp; Descendants'!B394</f>
        <v>18</v>
      </c>
      <c r="B395" t="str">
        <f>'All Girls &amp; Descendants'!C394</f>
        <v>18bbabb</v>
      </c>
      <c r="C395" t="str">
        <f>'All Girls &amp; Descendants'!D394</f>
        <v>BERRY</v>
      </c>
      <c r="D395" t="str">
        <f>'All Girls &amp; Descendants'!E394</f>
        <v>Robert</v>
      </c>
      <c r="E395" t="str">
        <f>IF('All Girls &amp; Descendants'!F394="","",'All Girls &amp; Descendants'!F394)</f>
        <v/>
      </c>
      <c r="F395" t="str">
        <f>IF('All Girls &amp; Descendants'!G394="","",'All Girls &amp; Descendants'!G394)</f>
        <v/>
      </c>
      <c r="G395" t="str">
        <f>IF('All Girls &amp; Descendants'!H394="",D395,'All Girls &amp; Descendants'!H394)</f>
        <v>Robert</v>
      </c>
      <c r="H395">
        <f>'All Girls &amp; Descendants'!I394</f>
        <v>1978</v>
      </c>
      <c r="I395" t="str">
        <f>'All Girls &amp; Descendants'!J394</f>
        <v/>
      </c>
      <c r="J395">
        <f>'All Girls &amp; Descendants'!K394</f>
        <v>0</v>
      </c>
      <c r="K395" s="7" t="str">
        <f>'All Girls &amp; Descendants'!M394</f>
        <v>15/07/1978</v>
      </c>
      <c r="L395" t="str">
        <f>'All Girls &amp; Descendants'!N394</f>
        <v xml:space="preserve"> - </v>
      </c>
      <c r="M395" t="str">
        <f>'All Girls &amp; Descendants'!O394</f>
        <v/>
      </c>
      <c r="N395" t="str">
        <f>'All Girls &amp; Descendants'!P394</f>
        <v/>
      </c>
      <c r="O395" t="str">
        <f>'All Girls &amp; Descendants'!Q394</f>
        <v>18bbab</v>
      </c>
      <c r="P395" t="str">
        <f t="shared" si="74"/>
        <v>18bbabb</v>
      </c>
      <c r="Q395" s="116">
        <f t="shared" si="75"/>
        <v>5</v>
      </c>
      <c r="R395" s="31" t="str">
        <f t="shared" si="76"/>
        <v>Robert   BERRY</v>
      </c>
      <c r="S395" s="31" t="str">
        <f t="shared" si="77"/>
        <v>Robert BERRY (1978 -: #18bbabb)</v>
      </c>
    </row>
    <row r="396" spans="1:19" ht="17">
      <c r="A396">
        <f>'All Girls &amp; Descendants'!B395</f>
        <v>18</v>
      </c>
      <c r="B396" t="str">
        <f>'All Girls &amp; Descendants'!C395</f>
        <v>18bbada</v>
      </c>
      <c r="C396" t="str">
        <f>'All Girls &amp; Descendants'!D395</f>
        <v>WARNER</v>
      </c>
      <c r="D396" t="str">
        <f>'All Girls &amp; Descendants'!E395</f>
        <v>Nicholas</v>
      </c>
      <c r="E396" t="str">
        <f>IF('All Girls &amp; Descendants'!F395="","",'All Girls &amp; Descendants'!F395)</f>
        <v>Redston</v>
      </c>
      <c r="F396" t="str">
        <f>IF('All Girls &amp; Descendants'!G395="","",'All Girls &amp; Descendants'!G395)</f>
        <v/>
      </c>
      <c r="G396" t="str">
        <f>IF('All Girls &amp; Descendants'!H395="",D396,'All Girls &amp; Descendants'!H395)</f>
        <v>Nick</v>
      </c>
      <c r="H396">
        <f>'All Girls &amp; Descendants'!I395</f>
        <v>1985</v>
      </c>
      <c r="I396" t="str">
        <f>'All Girls &amp; Descendants'!J395</f>
        <v/>
      </c>
      <c r="J396">
        <f>'All Girls &amp; Descendants'!K395</f>
        <v>0</v>
      </c>
      <c r="K396" s="7" t="str">
        <f>'All Girls &amp; Descendants'!M395</f>
        <v>15/04/1985</v>
      </c>
      <c r="L396">
        <f>'All Girls &amp; Descendants'!N395</f>
        <v>41769</v>
      </c>
      <c r="M396" t="str">
        <f>'All Girls &amp; Descendants'!O395</f>
        <v/>
      </c>
      <c r="N396" t="str">
        <f>'All Girls &amp; Descendants'!P395</f>
        <v/>
      </c>
      <c r="O396" t="str">
        <f>'All Girls &amp; Descendants'!Q395</f>
        <v>18bbad</v>
      </c>
      <c r="P396" t="str">
        <f t="shared" si="74"/>
        <v>18bbada</v>
      </c>
      <c r="Q396" s="116">
        <f t="shared" si="75"/>
        <v>5</v>
      </c>
      <c r="R396" s="31" t="str">
        <f t="shared" si="76"/>
        <v>Nicholas Redston  WARNER</v>
      </c>
      <c r="S396" s="31" t="str">
        <f t="shared" si="77"/>
        <v>Nick WARNER (1985 -: #18bbada)</v>
      </c>
    </row>
    <row r="397" spans="1:19">
      <c r="A397">
        <f>'All Girls &amp; Descendants'!B396</f>
        <v>18</v>
      </c>
      <c r="B397" t="str">
        <f>'All Girls &amp; Descendants'!C396</f>
        <v>18bbadb</v>
      </c>
      <c r="C397" t="str">
        <f>'All Girls &amp; Descendants'!D396</f>
        <v>WARNER</v>
      </c>
      <c r="D397" t="str">
        <f>'All Girls &amp; Descendants'!E396</f>
        <v>Harriet</v>
      </c>
      <c r="E397" t="str">
        <f>IF('All Girls &amp; Descendants'!F396="","",'All Girls &amp; Descendants'!F396)</f>
        <v>Voase</v>
      </c>
      <c r="F397" t="str">
        <f>IF('All Girls &amp; Descendants'!G396="","",'All Girls &amp; Descendants'!G396)</f>
        <v/>
      </c>
      <c r="G397" t="str">
        <f>IF('All Girls &amp; Descendants'!H396="",D397,'All Girls &amp; Descendants'!H396)</f>
        <v>Harriet</v>
      </c>
      <c r="H397">
        <f>'All Girls &amp; Descendants'!I396</f>
        <v>1988</v>
      </c>
      <c r="I397" t="str">
        <f>'All Girls &amp; Descendants'!J396</f>
        <v/>
      </c>
      <c r="J397">
        <f>'All Girls &amp; Descendants'!K396</f>
        <v>0</v>
      </c>
      <c r="K397" s="7">
        <f>'All Girls &amp; Descendants'!M396</f>
        <v>32182</v>
      </c>
      <c r="L397" t="str">
        <f>'All Girls &amp; Descendants'!N396</f>
        <v xml:space="preserve"> - </v>
      </c>
      <c r="M397" t="str">
        <f>'All Girls &amp; Descendants'!O396</f>
        <v/>
      </c>
      <c r="N397" t="str">
        <f>'All Girls &amp; Descendants'!P396</f>
        <v/>
      </c>
      <c r="O397" t="str">
        <f>'All Girls &amp; Descendants'!Q396</f>
        <v>18bbad</v>
      </c>
      <c r="P397" t="str">
        <f t="shared" si="74"/>
        <v>18bbadb</v>
      </c>
      <c r="Q397" s="116">
        <f t="shared" si="75"/>
        <v>5</v>
      </c>
      <c r="R397" s="31" t="str">
        <f t="shared" si="76"/>
        <v>Harriet Voase  WARNER</v>
      </c>
      <c r="S397" s="31" t="str">
        <f t="shared" si="77"/>
        <v>Harriet WARNER (1988 -: #18bbadb)</v>
      </c>
    </row>
    <row r="398" spans="1:19">
      <c r="A398">
        <f>'All Girls &amp; Descendants'!B397</f>
        <v>18</v>
      </c>
      <c r="B398" t="str">
        <f>'All Girls &amp; Descendants'!C397</f>
        <v>18bbbba</v>
      </c>
      <c r="C398" t="str">
        <f>'All Girls &amp; Descendants'!D397</f>
        <v>NICOL</v>
      </c>
      <c r="D398" t="str">
        <f>'All Girls &amp; Descendants'!E397</f>
        <v>Helen</v>
      </c>
      <c r="E398" t="str">
        <f>IF('All Girls &amp; Descendants'!F397="","",'All Girls &amp; Descendants'!F397)</f>
        <v>Louise</v>
      </c>
      <c r="F398" t="str">
        <f>IF('All Girls &amp; Descendants'!G397="","",'All Girls &amp; Descendants'!G397)</f>
        <v/>
      </c>
      <c r="G398" t="str">
        <f>IF('All Girls &amp; Descendants'!H397="",D398,'All Girls &amp; Descendants'!H397)</f>
        <v>Helen</v>
      </c>
      <c r="H398">
        <f>'All Girls &amp; Descendants'!I397</f>
        <v>1982</v>
      </c>
      <c r="I398" t="str">
        <f>'All Girls &amp; Descendants'!J397</f>
        <v/>
      </c>
      <c r="J398">
        <f>'All Girls &amp; Descendants'!K397</f>
        <v>0</v>
      </c>
      <c r="K398" s="7">
        <f>'All Girls &amp; Descendants'!M397</f>
        <v>30033</v>
      </c>
      <c r="L398" t="str">
        <f>'All Girls &amp; Descendants'!N397</f>
        <v xml:space="preserve"> - </v>
      </c>
      <c r="M398" t="str">
        <f>'All Girls &amp; Descendants'!O397</f>
        <v/>
      </c>
      <c r="N398" t="str">
        <f>'All Girls &amp; Descendants'!P397</f>
        <v/>
      </c>
      <c r="O398" t="str">
        <f>'All Girls &amp; Descendants'!Q397</f>
        <v>18bbbb</v>
      </c>
      <c r="P398" t="str">
        <f t="shared" si="74"/>
        <v>18bbbba</v>
      </c>
      <c r="Q398" s="116">
        <f t="shared" si="75"/>
        <v>5</v>
      </c>
      <c r="R398" s="31" t="str">
        <f t="shared" si="76"/>
        <v>Helen Louise  NICOL</v>
      </c>
      <c r="S398" s="31" t="str">
        <f t="shared" si="77"/>
        <v>Helen NICOL (1982 -: #18bbbba)</v>
      </c>
    </row>
    <row r="399" spans="1:19">
      <c r="A399">
        <f>'All Girls &amp; Descendants'!B398</f>
        <v>18</v>
      </c>
      <c r="B399" t="str">
        <f>'All Girls &amp; Descendants'!C398</f>
        <v>18bbbbb</v>
      </c>
      <c r="C399" t="str">
        <f>'All Girls &amp; Descendants'!D398</f>
        <v>NICOL</v>
      </c>
      <c r="D399" t="str">
        <f>'All Girls &amp; Descendants'!E398</f>
        <v>Lucinda</v>
      </c>
      <c r="E399" t="str">
        <f>IF('All Girls &amp; Descendants'!F398="","",'All Girls &amp; Descendants'!F398)</f>
        <v>Rachel</v>
      </c>
      <c r="F399" t="str">
        <f>IF('All Girls &amp; Descendants'!G398="","",'All Girls &amp; Descendants'!G398)</f>
        <v/>
      </c>
      <c r="G399" t="str">
        <f>IF('All Girls &amp; Descendants'!H398="",D399,'All Girls &amp; Descendants'!H398)</f>
        <v>Lucy</v>
      </c>
      <c r="H399">
        <f>'All Girls &amp; Descendants'!I398</f>
        <v>1984</v>
      </c>
      <c r="I399" t="str">
        <f>'All Girls &amp; Descendants'!J398</f>
        <v/>
      </c>
      <c r="J399">
        <f>'All Girls &amp; Descendants'!K398</f>
        <v>0</v>
      </c>
      <c r="K399" s="7">
        <f>'All Girls &amp; Descendants'!M398</f>
        <v>30736</v>
      </c>
      <c r="L399" t="str">
        <f>'All Girls &amp; Descendants'!N398</f>
        <v xml:space="preserve"> - </v>
      </c>
      <c r="M399" t="str">
        <f>'All Girls &amp; Descendants'!O398</f>
        <v/>
      </c>
      <c r="N399" t="str">
        <f>'All Girls &amp; Descendants'!P398</f>
        <v/>
      </c>
      <c r="O399" t="str">
        <f>'All Girls &amp; Descendants'!Q398</f>
        <v>18bbbb</v>
      </c>
      <c r="P399" t="str">
        <f t="shared" si="74"/>
        <v>18bbbbb</v>
      </c>
      <c r="Q399" s="116">
        <f t="shared" si="75"/>
        <v>5</v>
      </c>
      <c r="R399" s="31" t="str">
        <f t="shared" si="76"/>
        <v>Lucinda Rachel  NICOL</v>
      </c>
      <c r="S399" s="31" t="str">
        <f t="shared" si="77"/>
        <v>Lucy NICOL (1984 -: #18bbbbb)</v>
      </c>
    </row>
    <row r="400" spans="1:19">
      <c r="A400">
        <f>'All Girls &amp; Descendants'!B399</f>
        <v>18</v>
      </c>
      <c r="B400" t="str">
        <f>'All Girls &amp; Descendants'!C399</f>
        <v>18bbbbc</v>
      </c>
      <c r="C400" t="str">
        <f>'All Girls &amp; Descendants'!D399</f>
        <v>NICOL</v>
      </c>
      <c r="D400" t="str">
        <f>'All Girls &amp; Descendants'!E399</f>
        <v>Johnathan</v>
      </c>
      <c r="E400" t="str">
        <f>IF('All Girls &amp; Descendants'!F399="","",'All Girls &amp; Descendants'!F399)</f>
        <v>Michael</v>
      </c>
      <c r="F400" t="str">
        <f>IF('All Girls &amp; Descendants'!G399="","",'All Girls &amp; Descendants'!G399)</f>
        <v/>
      </c>
      <c r="G400" t="str">
        <f>IF('All Girls &amp; Descendants'!H399="",D400,'All Girls &amp; Descendants'!H399)</f>
        <v>Johnathan</v>
      </c>
      <c r="H400">
        <f>'All Girls &amp; Descendants'!I399</f>
        <v>1987</v>
      </c>
      <c r="I400">
        <f>'All Girls &amp; Descendants'!J399</f>
        <v>1988</v>
      </c>
      <c r="J400">
        <f>'All Girls &amp; Descendants'!K399</f>
        <v>0</v>
      </c>
      <c r="K400" s="7">
        <f>'All Girls &amp; Descendants'!M399</f>
        <v>32089</v>
      </c>
      <c r="L400" t="str">
        <f>'All Girls &amp; Descendants'!N399</f>
        <v xml:space="preserve"> - </v>
      </c>
      <c r="M400">
        <f>'All Girls &amp; Descendants'!O399</f>
        <v>32188</v>
      </c>
      <c r="N400" t="str">
        <f>'All Girls &amp; Descendants'!P399</f>
        <v>15/02/1988</v>
      </c>
      <c r="O400" t="str">
        <f>'All Girls &amp; Descendants'!Q399</f>
        <v>18bbbb</v>
      </c>
      <c r="P400" t="str">
        <f t="shared" si="74"/>
        <v>18bbbbc</v>
      </c>
      <c r="Q400" s="116">
        <f t="shared" si="75"/>
        <v>5</v>
      </c>
      <c r="R400" s="31" t="str">
        <f t="shared" si="76"/>
        <v>Johnathan Michael  NICOL</v>
      </c>
      <c r="S400" s="31" t="str">
        <f t="shared" si="77"/>
        <v>Johnathan NICOL (1987 -1988: #18bbbbc)</v>
      </c>
    </row>
    <row r="401" spans="1:19">
      <c r="A401">
        <f>'All Girls &amp; Descendants'!B400</f>
        <v>18</v>
      </c>
      <c r="B401" t="str">
        <f>'All Girls &amp; Descendants'!C400</f>
        <v>18bbbbd</v>
      </c>
      <c r="C401" t="str">
        <f>'All Girls &amp; Descendants'!D400</f>
        <v>NICOL</v>
      </c>
      <c r="D401" t="str">
        <f>'All Girls &amp; Descendants'!E400</f>
        <v>James</v>
      </c>
      <c r="E401" t="str">
        <f>IF('All Girls &amp; Descendants'!F400="","",'All Girls &amp; Descendants'!F400)</f>
        <v>Peter</v>
      </c>
      <c r="F401" t="str">
        <f>IF('All Girls &amp; Descendants'!G400="","",'All Girls &amp; Descendants'!G400)</f>
        <v>Robert</v>
      </c>
      <c r="G401" t="str">
        <f>IF('All Girls &amp; Descendants'!H400="",D401,'All Girls &amp; Descendants'!H400)</f>
        <v>James</v>
      </c>
      <c r="H401">
        <f>'All Girls &amp; Descendants'!I400</f>
        <v>1991</v>
      </c>
      <c r="I401" t="str">
        <f>'All Girls &amp; Descendants'!J400</f>
        <v/>
      </c>
      <c r="J401">
        <f>'All Girls &amp; Descendants'!K400</f>
        <v>0</v>
      </c>
      <c r="K401" s="7">
        <f>'All Girls &amp; Descendants'!M400</f>
        <v>33261</v>
      </c>
      <c r="L401" t="str">
        <f>'All Girls &amp; Descendants'!N400</f>
        <v xml:space="preserve"> - </v>
      </c>
      <c r="M401" t="str">
        <f>'All Girls &amp; Descendants'!O400</f>
        <v/>
      </c>
      <c r="N401" t="str">
        <f>'All Girls &amp; Descendants'!P400</f>
        <v/>
      </c>
      <c r="O401" t="str">
        <f>'All Girls &amp; Descendants'!Q400</f>
        <v>18bbbb</v>
      </c>
      <c r="P401" t="str">
        <f t="shared" si="74"/>
        <v>18bbbbd</v>
      </c>
      <c r="Q401" s="116">
        <f t="shared" si="75"/>
        <v>5</v>
      </c>
      <c r="R401" s="31" t="str">
        <f t="shared" si="76"/>
        <v>James Peter Robert NICOL</v>
      </c>
      <c r="S401" s="31" t="str">
        <f t="shared" si="77"/>
        <v>James NICOL (1991 -: #18bbbbd)</v>
      </c>
    </row>
    <row r="402" spans="1:19">
      <c r="A402">
        <f>'All Girls &amp; Descendants'!B401</f>
        <v>18</v>
      </c>
      <c r="B402" t="str">
        <f>'All Girls &amp; Descendants'!C401</f>
        <v>18bbbca</v>
      </c>
      <c r="C402" t="str">
        <f>'All Girls &amp; Descendants'!D401</f>
        <v>NICOL</v>
      </c>
      <c r="D402" t="str">
        <f>'All Girls &amp; Descendants'!E401</f>
        <v>Abigail</v>
      </c>
      <c r="E402" t="str">
        <f>IF('All Girls &amp; Descendants'!F401="","",'All Girls &amp; Descendants'!F401)</f>
        <v>Elizabeth</v>
      </c>
      <c r="F402" t="str">
        <f>IF('All Girls &amp; Descendants'!G401="","",'All Girls &amp; Descendants'!G401)</f>
        <v/>
      </c>
      <c r="G402" t="str">
        <f>IF('All Girls &amp; Descendants'!H401="",D402,'All Girls &amp; Descendants'!H401)</f>
        <v>Abigail</v>
      </c>
      <c r="H402">
        <f>'All Girls &amp; Descendants'!I401</f>
        <v>1985</v>
      </c>
      <c r="I402" t="str">
        <f>'All Girls &amp; Descendants'!J401</f>
        <v/>
      </c>
      <c r="J402">
        <f>'All Girls &amp; Descendants'!K401</f>
        <v>0</v>
      </c>
      <c r="K402" s="7">
        <f>'All Girls &amp; Descendants'!M401</f>
        <v>31375</v>
      </c>
      <c r="L402" t="str">
        <f>'All Girls &amp; Descendants'!N401</f>
        <v xml:space="preserve"> - </v>
      </c>
      <c r="M402" t="str">
        <f>'All Girls &amp; Descendants'!O401</f>
        <v/>
      </c>
      <c r="N402" t="str">
        <f>'All Girls &amp; Descendants'!P401</f>
        <v/>
      </c>
      <c r="O402" t="str">
        <f>'All Girls &amp; Descendants'!Q401</f>
        <v>18bbbc</v>
      </c>
      <c r="P402" t="str">
        <f t="shared" si="74"/>
        <v>18bbbca</v>
      </c>
      <c r="Q402" s="116">
        <f t="shared" si="75"/>
        <v>5</v>
      </c>
      <c r="R402" s="31" t="str">
        <f t="shared" si="76"/>
        <v>Abigail Elizabeth  NICOL</v>
      </c>
      <c r="S402" s="31" t="str">
        <f t="shared" si="77"/>
        <v>Abigail NICOL (1985 -: #18bbbca)</v>
      </c>
    </row>
    <row r="403" spans="1:19">
      <c r="A403">
        <f>'All Girls &amp; Descendants'!B402</f>
        <v>18</v>
      </c>
      <c r="B403" t="str">
        <f>'All Girls &amp; Descendants'!C402</f>
        <v>18bbbcb</v>
      </c>
      <c r="C403" t="str">
        <f>'All Girls &amp; Descendants'!D402</f>
        <v>NICOL</v>
      </c>
      <c r="D403" t="str">
        <f>'All Girls &amp; Descendants'!E402</f>
        <v>Jennifer</v>
      </c>
      <c r="E403" t="str">
        <f>IF('All Girls &amp; Descendants'!F402="","",'All Girls &amp; Descendants'!F402)</f>
        <v>Catherine</v>
      </c>
      <c r="F403" t="str">
        <f>IF('All Girls &amp; Descendants'!G402="","",'All Girls &amp; Descendants'!G402)</f>
        <v/>
      </c>
      <c r="G403" t="str">
        <f>IF('All Girls &amp; Descendants'!H402="",D403,'All Girls &amp; Descendants'!H402)</f>
        <v>Jennifer</v>
      </c>
      <c r="H403">
        <f>'All Girls &amp; Descendants'!I402</f>
        <v>1985</v>
      </c>
      <c r="I403" t="str">
        <f>'All Girls &amp; Descendants'!J402</f>
        <v/>
      </c>
      <c r="J403">
        <f>'All Girls &amp; Descendants'!K402</f>
        <v>0</v>
      </c>
      <c r="K403" s="7">
        <f>'All Girls &amp; Descendants'!M402</f>
        <v>31375</v>
      </c>
      <c r="L403" t="str">
        <f>'All Girls &amp; Descendants'!N402</f>
        <v xml:space="preserve"> - </v>
      </c>
      <c r="M403" t="str">
        <f>'All Girls &amp; Descendants'!O402</f>
        <v/>
      </c>
      <c r="N403" t="str">
        <f>'All Girls &amp; Descendants'!P402</f>
        <v/>
      </c>
      <c r="O403" t="str">
        <f>'All Girls &amp; Descendants'!Q402</f>
        <v>18bbbc</v>
      </c>
      <c r="P403" t="str">
        <f t="shared" si="74"/>
        <v>18bbbcb</v>
      </c>
      <c r="Q403" s="116">
        <f t="shared" si="75"/>
        <v>5</v>
      </c>
      <c r="R403" s="31" t="str">
        <f t="shared" si="76"/>
        <v>Jennifer Catherine  NICOL</v>
      </c>
      <c r="S403" s="31" t="str">
        <f t="shared" si="77"/>
        <v>Jennifer NICOL (1985 -: #18bbbcb)</v>
      </c>
    </row>
    <row r="404" spans="1:19">
      <c r="A404">
        <f>'All Girls &amp; Descendants'!B403</f>
        <v>18</v>
      </c>
      <c r="B404" t="str">
        <f>'All Girls &amp; Descendants'!C403</f>
        <v>18bbbcc</v>
      </c>
      <c r="C404" t="str">
        <f>'All Girls &amp; Descendants'!D403</f>
        <v>NICOL</v>
      </c>
      <c r="D404" t="str">
        <f>'All Girls &amp; Descendants'!E403</f>
        <v>Alice</v>
      </c>
      <c r="E404" t="str">
        <f>IF('All Girls &amp; Descendants'!F403="","",'All Girls &amp; Descendants'!F403)</f>
        <v>Mary</v>
      </c>
      <c r="F404" t="str">
        <f>IF('All Girls &amp; Descendants'!G403="","",'All Girls &amp; Descendants'!G403)</f>
        <v>Rose</v>
      </c>
      <c r="G404" t="str">
        <f>IF('All Girls &amp; Descendants'!H403="",D404,'All Girls &amp; Descendants'!H403)</f>
        <v>Alice</v>
      </c>
      <c r="H404">
        <f>'All Girls &amp; Descendants'!I403</f>
        <v>1988</v>
      </c>
      <c r="I404" t="str">
        <f>'All Girls &amp; Descendants'!J403</f>
        <v/>
      </c>
      <c r="J404">
        <f>'All Girls &amp; Descendants'!K403</f>
        <v>0</v>
      </c>
      <c r="K404" s="7">
        <f>'All Girls &amp; Descendants'!M403</f>
        <v>32163</v>
      </c>
      <c r="L404" t="str">
        <f>'All Girls &amp; Descendants'!N403</f>
        <v xml:space="preserve"> - </v>
      </c>
      <c r="M404" t="str">
        <f>'All Girls &amp; Descendants'!O403</f>
        <v/>
      </c>
      <c r="N404" t="str">
        <f>'All Girls &amp; Descendants'!P403</f>
        <v/>
      </c>
      <c r="O404" t="str">
        <f>'All Girls &amp; Descendants'!Q403</f>
        <v>18bbbc</v>
      </c>
      <c r="P404" t="str">
        <f t="shared" si="74"/>
        <v>18bbbcc</v>
      </c>
      <c r="Q404" s="116">
        <f t="shared" si="75"/>
        <v>5</v>
      </c>
      <c r="R404" s="31" t="str">
        <f t="shared" si="76"/>
        <v>Alice Mary Rose NICOL</v>
      </c>
      <c r="S404" s="31" t="str">
        <f t="shared" si="77"/>
        <v>Alice NICOL (1988 -: #18bbbcc)</v>
      </c>
    </row>
    <row r="405" spans="1:19">
      <c r="A405">
        <f>'All Girls &amp; Descendants'!B404</f>
        <v>18</v>
      </c>
      <c r="B405" t="str">
        <f>'All Girls &amp; Descendants'!C404</f>
        <v>18bbbcd</v>
      </c>
      <c r="C405" t="str">
        <f>'All Girls &amp; Descendants'!D404</f>
        <v>NICOL</v>
      </c>
      <c r="D405" t="str">
        <f>'All Girls &amp; Descendants'!E404</f>
        <v>Catherine</v>
      </c>
      <c r="E405" t="str">
        <f>IF('All Girls &amp; Descendants'!F404="","",'All Girls &amp; Descendants'!F404)</f>
        <v>Margaret</v>
      </c>
      <c r="F405" t="str">
        <f>IF('All Girls &amp; Descendants'!G404="","",'All Girls &amp; Descendants'!G404)</f>
        <v/>
      </c>
      <c r="G405" t="str">
        <f>IF('All Girls &amp; Descendants'!H404="",D405,'All Girls &amp; Descendants'!H404)</f>
        <v>Catherine</v>
      </c>
      <c r="H405">
        <f>'All Girls &amp; Descendants'!I404</f>
        <v>1990</v>
      </c>
      <c r="I405" t="str">
        <f>'All Girls &amp; Descendants'!J404</f>
        <v/>
      </c>
      <c r="J405">
        <f>'All Girls &amp; Descendants'!K404</f>
        <v>0</v>
      </c>
      <c r="K405" s="7">
        <f>'All Girls &amp; Descendants'!M404</f>
        <v>32987</v>
      </c>
      <c r="L405" t="str">
        <f>'All Girls &amp; Descendants'!N404</f>
        <v xml:space="preserve"> - </v>
      </c>
      <c r="M405" t="str">
        <f>'All Girls &amp; Descendants'!O404</f>
        <v/>
      </c>
      <c r="N405" t="str">
        <f>'All Girls &amp; Descendants'!P404</f>
        <v/>
      </c>
      <c r="O405" t="str">
        <f>'All Girls &amp; Descendants'!Q404</f>
        <v>18bbbc</v>
      </c>
      <c r="P405" t="str">
        <f t="shared" si="74"/>
        <v>18bbbcd</v>
      </c>
      <c r="Q405" s="116">
        <f t="shared" si="75"/>
        <v>5</v>
      </c>
      <c r="R405" s="31" t="str">
        <f t="shared" si="76"/>
        <v>Catherine Margaret  NICOL</v>
      </c>
      <c r="S405" s="31" t="str">
        <f t="shared" si="77"/>
        <v>Catherine NICOL (1990 -: #18bbbcd)</v>
      </c>
    </row>
    <row r="406" spans="1:19">
      <c r="A406">
        <f>'All Girls &amp; Descendants'!B405</f>
        <v>18</v>
      </c>
      <c r="B406" t="str">
        <f>'All Girls &amp; Descendants'!C405</f>
        <v>18bbbce</v>
      </c>
      <c r="C406" t="str">
        <f>'All Girls &amp; Descendants'!D405</f>
        <v>NICOL</v>
      </c>
      <c r="D406" t="str">
        <f>'All Girls &amp; Descendants'!E405</f>
        <v>Elisabeth</v>
      </c>
      <c r="E406" t="str">
        <f>IF('All Girls &amp; Descendants'!F405="","",'All Girls &amp; Descendants'!F405)</f>
        <v>Iona</v>
      </c>
      <c r="F406" t="str">
        <f>IF('All Girls &amp; Descendants'!G405="","",'All Girls &amp; Descendants'!G405)</f>
        <v/>
      </c>
      <c r="G406" t="str">
        <f>IF('All Girls &amp; Descendants'!H405="",D406,'All Girls &amp; Descendants'!H405)</f>
        <v>Elisabeth</v>
      </c>
      <c r="H406">
        <f>'All Girls &amp; Descendants'!I405</f>
        <v>1990</v>
      </c>
      <c r="I406" t="str">
        <f>'All Girls &amp; Descendants'!J405</f>
        <v/>
      </c>
      <c r="J406">
        <f>'All Girls &amp; Descendants'!K405</f>
        <v>0</v>
      </c>
      <c r="K406" s="7">
        <f>'All Girls &amp; Descendants'!M405</f>
        <v>32988</v>
      </c>
      <c r="L406" t="str">
        <f>'All Girls &amp; Descendants'!N405</f>
        <v xml:space="preserve"> - </v>
      </c>
      <c r="M406" t="str">
        <f>'All Girls &amp; Descendants'!O405</f>
        <v/>
      </c>
      <c r="N406" t="str">
        <f>'All Girls &amp; Descendants'!P405</f>
        <v/>
      </c>
      <c r="O406" t="str">
        <f>'All Girls &amp; Descendants'!Q405</f>
        <v>18bbbc</v>
      </c>
      <c r="P406" t="str">
        <f t="shared" si="74"/>
        <v>18bbbce</v>
      </c>
      <c r="Q406" s="116">
        <f t="shared" si="75"/>
        <v>5</v>
      </c>
      <c r="R406" s="31" t="str">
        <f t="shared" si="76"/>
        <v>Elisabeth Iona  NICOL</v>
      </c>
      <c r="S406" s="31" t="str">
        <f t="shared" si="77"/>
        <v>Elisabeth NICOL (1990 -: #18bbbce)</v>
      </c>
    </row>
    <row r="407" spans="1:19">
      <c r="A407">
        <f>'All Girls &amp; Descendants'!B406</f>
        <v>18</v>
      </c>
      <c r="B407" t="str">
        <f>'All Girls &amp; Descendants'!C406</f>
        <v>18bbbcf</v>
      </c>
      <c r="C407" t="str">
        <f>'All Girls &amp; Descendants'!D406</f>
        <v>NICOL</v>
      </c>
      <c r="D407" t="str">
        <f>'All Girls &amp; Descendants'!E406</f>
        <v>Lydia</v>
      </c>
      <c r="E407" t="str">
        <f>IF('All Girls &amp; Descendants'!F406="","",'All Girls &amp; Descendants'!F406)</f>
        <v>Clare</v>
      </c>
      <c r="F407" t="str">
        <f>IF('All Girls &amp; Descendants'!G406="","",'All Girls &amp; Descendants'!G406)</f>
        <v>Diana</v>
      </c>
      <c r="G407" t="str">
        <f>IF('All Girls &amp; Descendants'!H406="",D407,'All Girls &amp; Descendants'!H406)</f>
        <v>Lydia</v>
      </c>
      <c r="H407">
        <f>'All Girls &amp; Descendants'!I406</f>
        <v>1992</v>
      </c>
      <c r="I407" t="str">
        <f>'All Girls &amp; Descendants'!J406</f>
        <v/>
      </c>
      <c r="J407">
        <f>'All Girls &amp; Descendants'!K406</f>
        <v>0</v>
      </c>
      <c r="K407" s="7">
        <f>'All Girls &amp; Descendants'!M406</f>
        <v>33682</v>
      </c>
      <c r="L407" t="str">
        <f>'All Girls &amp; Descendants'!N406</f>
        <v xml:space="preserve"> - </v>
      </c>
      <c r="M407" t="str">
        <f>'All Girls &amp; Descendants'!O406</f>
        <v/>
      </c>
      <c r="N407" t="str">
        <f>'All Girls &amp; Descendants'!P406</f>
        <v/>
      </c>
      <c r="O407" t="str">
        <f>'All Girls &amp; Descendants'!Q406</f>
        <v>18bbbc</v>
      </c>
      <c r="P407" t="str">
        <f t="shared" ref="P407:P417" si="78">B407</f>
        <v>18bbbcf</v>
      </c>
      <c r="Q407" s="116">
        <f t="shared" ref="Q407:Q417" si="79">LEN(B407)-LEN(A407)</f>
        <v>5</v>
      </c>
      <c r="R407" s="31" t="str">
        <f t="shared" ref="R407:R417" si="80">_xlfn.CONCAT(D407," ",E407," ",F407," ",C407)</f>
        <v>Lydia Clare Diana NICOL</v>
      </c>
      <c r="S407" s="31" t="str">
        <f t="shared" ref="S407:S417" si="81">_xlfn.CONCAT(G407," ",C407," (",H407," -",I407,": #",B407,")")</f>
        <v>Lydia NICOL (1992 -: #18bbbcf)</v>
      </c>
    </row>
    <row r="408" spans="1:19">
      <c r="A408">
        <f>'All Girls &amp; Descendants'!B407</f>
        <v>18</v>
      </c>
      <c r="B408" t="str">
        <f>'All Girls &amp; Descendants'!C407</f>
        <v>18bbbcg</v>
      </c>
      <c r="C408" t="str">
        <f>'All Girls &amp; Descendants'!D407</f>
        <v>NICOL</v>
      </c>
      <c r="D408" t="str">
        <f>'All Girls &amp; Descendants'!E407</f>
        <v>Patrick</v>
      </c>
      <c r="E408" t="str">
        <f>IF('All Girls &amp; Descendants'!F407="","",'All Girls &amp; Descendants'!F407)</f>
        <v>William</v>
      </c>
      <c r="F408" t="str">
        <f>IF('All Girls &amp; Descendants'!G407="","",'All Girls &amp; Descendants'!G407)</f>
        <v>John Perry</v>
      </c>
      <c r="G408" t="str">
        <f>IF('All Girls &amp; Descendants'!H407="",D408,'All Girls &amp; Descendants'!H407)</f>
        <v>Patrick</v>
      </c>
      <c r="H408">
        <f>'All Girls &amp; Descendants'!I407</f>
        <v>1995</v>
      </c>
      <c r="I408" t="str">
        <f>'All Girls &amp; Descendants'!J407</f>
        <v/>
      </c>
      <c r="J408">
        <f>'All Girls &amp; Descendants'!K407</f>
        <v>0</v>
      </c>
      <c r="K408" s="7">
        <f>'All Girls &amp; Descendants'!M407</f>
        <v>35061</v>
      </c>
      <c r="L408" t="str">
        <f>'All Girls &amp; Descendants'!N407</f>
        <v xml:space="preserve"> - </v>
      </c>
      <c r="M408" t="str">
        <f>'All Girls &amp; Descendants'!O407</f>
        <v/>
      </c>
      <c r="N408" t="str">
        <f>'All Girls &amp; Descendants'!P407</f>
        <v/>
      </c>
      <c r="O408" t="str">
        <f>'All Girls &amp; Descendants'!Q407</f>
        <v>18bbbc</v>
      </c>
      <c r="P408" t="str">
        <f t="shared" si="78"/>
        <v>18bbbcg</v>
      </c>
      <c r="Q408" s="116">
        <f t="shared" si="79"/>
        <v>5</v>
      </c>
      <c r="R408" s="31" t="str">
        <f t="shared" si="80"/>
        <v>Patrick William John Perry NICOL</v>
      </c>
      <c r="S408" s="31" t="str">
        <f t="shared" si="81"/>
        <v>Patrick NICOL (1995 -: #18bbbcg)</v>
      </c>
    </row>
    <row r="409" spans="1:19">
      <c r="A409">
        <f>'All Girls &amp; Descendants'!B408</f>
        <v>36</v>
      </c>
      <c r="B409" t="str">
        <f>'All Girls &amp; Descendants'!C408</f>
        <v>36dbaaa</v>
      </c>
      <c r="C409" t="str">
        <f>'All Girls &amp; Descendants'!D408</f>
        <v>SCOTT-DEMPSTER</v>
      </c>
      <c r="D409" t="str">
        <f>'All Girls &amp; Descendants'!E408</f>
        <v>Lorne</v>
      </c>
      <c r="E409" t="str">
        <f>IF('All Girls &amp; Descendants'!F408="","",'All Girls &amp; Descendants'!F408)</f>
        <v>Robert</v>
      </c>
      <c r="F409" t="str">
        <f>IF('All Girls &amp; Descendants'!G408="","",'All Girls &amp; Descendants'!G408)</f>
        <v/>
      </c>
      <c r="G409" t="str">
        <f>IF('All Girls &amp; Descendants'!H408="",D409,'All Girls &amp; Descendants'!H408)</f>
        <v>Lorne</v>
      </c>
      <c r="H409">
        <f>'All Girls &amp; Descendants'!I408</f>
        <v>1998</v>
      </c>
      <c r="I409" t="str">
        <f>'All Girls &amp; Descendants'!J408</f>
        <v/>
      </c>
      <c r="J409">
        <f>'All Girls &amp; Descendants'!K408</f>
        <v>0</v>
      </c>
      <c r="K409" s="7">
        <f>'All Girls &amp; Descendants'!M408</f>
        <v>36135</v>
      </c>
      <c r="L409" t="str">
        <f>'All Girls &amp; Descendants'!N408</f>
        <v xml:space="preserve"> - </v>
      </c>
      <c r="M409" t="str">
        <f>'All Girls &amp; Descendants'!O408</f>
        <v/>
      </c>
      <c r="N409" t="str">
        <f>'All Girls &amp; Descendants'!P408</f>
        <v/>
      </c>
      <c r="O409" t="str">
        <f>'All Girls &amp; Descendants'!Q408</f>
        <v>36dbaa</v>
      </c>
      <c r="P409" t="str">
        <f t="shared" si="78"/>
        <v>36dbaaa</v>
      </c>
      <c r="Q409" s="116">
        <f t="shared" si="79"/>
        <v>5</v>
      </c>
      <c r="R409" s="31" t="str">
        <f t="shared" si="80"/>
        <v>Lorne Robert  SCOTT-DEMPSTER</v>
      </c>
      <c r="S409" s="31" t="str">
        <f t="shared" si="81"/>
        <v>Lorne SCOTT-DEMPSTER (1998 -: #36dbaaa)</v>
      </c>
    </row>
    <row r="410" spans="1:19">
      <c r="A410">
        <f>'All Girls &amp; Descendants'!B409</f>
        <v>36</v>
      </c>
      <c r="B410" t="str">
        <f>'All Girls &amp; Descendants'!C409</f>
        <v>36dbbaa</v>
      </c>
      <c r="C410" t="str">
        <f>'All Girls &amp; Descendants'!D409</f>
        <v>GRAHAM</v>
      </c>
      <c r="D410" t="str">
        <f>'All Girls &amp; Descendants'!E409</f>
        <v>Cosmo</v>
      </c>
      <c r="E410" t="str">
        <f>IF('All Girls &amp; Descendants'!F409="","",'All Girls &amp; Descendants'!F409)</f>
        <v>Stephen</v>
      </c>
      <c r="F410" t="str">
        <f>IF('All Girls &amp; Descendants'!G409="","",'All Girls &amp; Descendants'!G409)</f>
        <v>Buckle</v>
      </c>
      <c r="G410" t="str">
        <f>IF('All Girls &amp; Descendants'!H409="",D410,'All Girls &amp; Descendants'!H409)</f>
        <v>Cosmo</v>
      </c>
      <c r="H410">
        <f>'All Girls &amp; Descendants'!I409</f>
        <v>1995</v>
      </c>
      <c r="I410" t="str">
        <f>'All Girls &amp; Descendants'!J409</f>
        <v/>
      </c>
      <c r="J410">
        <f>'All Girls &amp; Descendants'!K409</f>
        <v>0</v>
      </c>
      <c r="K410" s="7">
        <f>'All Girls &amp; Descendants'!M409</f>
        <v>34947</v>
      </c>
      <c r="L410" t="str">
        <f>'All Girls &amp; Descendants'!N409</f>
        <v xml:space="preserve"> - </v>
      </c>
      <c r="M410" t="str">
        <f>'All Girls &amp; Descendants'!O409</f>
        <v/>
      </c>
      <c r="N410" t="str">
        <f>'All Girls &amp; Descendants'!P409</f>
        <v/>
      </c>
      <c r="O410" t="str">
        <f>'All Girls &amp; Descendants'!Q409</f>
        <v>36dbba</v>
      </c>
      <c r="P410" t="str">
        <f t="shared" si="78"/>
        <v>36dbbaa</v>
      </c>
      <c r="Q410" s="116">
        <f t="shared" si="79"/>
        <v>5</v>
      </c>
      <c r="R410" s="31" t="str">
        <f t="shared" si="80"/>
        <v>Cosmo Stephen Buckle GRAHAM</v>
      </c>
      <c r="S410" s="31" t="str">
        <f t="shared" si="81"/>
        <v>Cosmo GRAHAM (1995 -: #36dbbaa)</v>
      </c>
    </row>
    <row r="411" spans="1:19">
      <c r="A411">
        <f>'All Girls &amp; Descendants'!B410</f>
        <v>36</v>
      </c>
      <c r="B411" t="str">
        <f>'All Girls &amp; Descendants'!C410</f>
        <v>36dbbab</v>
      </c>
      <c r="C411" t="str">
        <f>'All Girls &amp; Descendants'!D410</f>
        <v>GRAHAM</v>
      </c>
      <c r="D411" t="str">
        <f>'All Girls &amp; Descendants'!E410</f>
        <v>Ludovic</v>
      </c>
      <c r="E411" t="str">
        <f>IF('All Girls &amp; Descendants'!F410="","",'All Girls &amp; Descendants'!F410)</f>
        <v>James</v>
      </c>
      <c r="F411" t="str">
        <f>IF('All Girls &amp; Descendants'!G410="","",'All Girls &amp; Descendants'!G410)</f>
        <v>Buckle</v>
      </c>
      <c r="G411" t="str">
        <f>IF('All Girls &amp; Descendants'!H410="",D411,'All Girls &amp; Descendants'!H410)</f>
        <v>Ludovic</v>
      </c>
      <c r="H411">
        <f>'All Girls &amp; Descendants'!I410</f>
        <v>1997</v>
      </c>
      <c r="I411" t="str">
        <f>'All Girls &amp; Descendants'!J410</f>
        <v/>
      </c>
      <c r="J411">
        <f>'All Girls &amp; Descendants'!K410</f>
        <v>0</v>
      </c>
      <c r="K411" s="7">
        <f>'All Girls &amp; Descendants'!M410</f>
        <v>35660</v>
      </c>
      <c r="L411" t="str">
        <f>'All Girls &amp; Descendants'!N410</f>
        <v xml:space="preserve"> - </v>
      </c>
      <c r="M411" t="str">
        <f>'All Girls &amp; Descendants'!O410</f>
        <v/>
      </c>
      <c r="N411" t="str">
        <f>'All Girls &amp; Descendants'!P410</f>
        <v/>
      </c>
      <c r="O411" t="str">
        <f>'All Girls &amp; Descendants'!Q410</f>
        <v>36dbba</v>
      </c>
      <c r="P411" t="str">
        <f t="shared" si="78"/>
        <v>36dbbab</v>
      </c>
      <c r="Q411" s="116">
        <f t="shared" si="79"/>
        <v>5</v>
      </c>
      <c r="R411" s="31" t="str">
        <f t="shared" si="80"/>
        <v>Ludovic James Buckle GRAHAM</v>
      </c>
      <c r="S411" s="31" t="str">
        <f t="shared" si="81"/>
        <v>Ludovic GRAHAM (1997 -: #36dbbab)</v>
      </c>
    </row>
    <row r="412" spans="1:19">
      <c r="A412">
        <f>'All Girls &amp; Descendants'!B411</f>
        <v>36</v>
      </c>
      <c r="B412" t="str">
        <f>'All Girls &amp; Descendants'!C411</f>
        <v>36dbbba</v>
      </c>
      <c r="C412" t="str">
        <f>'All Girls &amp; Descendants'!D411</f>
        <v>LINDSAY</v>
      </c>
      <c r="D412" t="str">
        <f>'All Girls &amp; Descendants'!E411</f>
        <v>Oscar</v>
      </c>
      <c r="E412" t="str">
        <f>IF('All Girls &amp; Descendants'!F411="","",'All Girls &amp; Descendants'!F411)</f>
        <v>James</v>
      </c>
      <c r="F412" t="str">
        <f>IF('All Girls &amp; Descendants'!G411="","",'All Girls &amp; Descendants'!G411)</f>
        <v>Montague</v>
      </c>
      <c r="G412" t="str">
        <f>IF('All Girls &amp; Descendants'!H411="",D412,'All Girls &amp; Descendants'!H411)</f>
        <v>Oscar</v>
      </c>
      <c r="H412">
        <f>'All Girls &amp; Descendants'!I411</f>
        <v>1998</v>
      </c>
      <c r="I412" t="str">
        <f>'All Girls &amp; Descendants'!J411</f>
        <v/>
      </c>
      <c r="J412">
        <f>'All Girls &amp; Descendants'!K411</f>
        <v>0</v>
      </c>
      <c r="K412" s="7">
        <f>'All Girls &amp; Descendants'!M411</f>
        <v>35978</v>
      </c>
      <c r="L412" t="str">
        <f>'All Girls &amp; Descendants'!N411</f>
        <v xml:space="preserve"> - </v>
      </c>
      <c r="M412" t="str">
        <f>'All Girls &amp; Descendants'!O411</f>
        <v/>
      </c>
      <c r="N412" t="str">
        <f>'All Girls &amp; Descendants'!P411</f>
        <v/>
      </c>
      <c r="O412" t="str">
        <f>'All Girls &amp; Descendants'!Q411</f>
        <v>36dbbb</v>
      </c>
      <c r="P412" t="str">
        <f t="shared" si="78"/>
        <v>36dbbba</v>
      </c>
      <c r="Q412" s="116">
        <f t="shared" si="79"/>
        <v>5</v>
      </c>
      <c r="R412" s="31" t="str">
        <f t="shared" si="80"/>
        <v>Oscar James Montague LINDSAY</v>
      </c>
      <c r="S412" s="31" t="str">
        <f t="shared" si="81"/>
        <v>Oscar LINDSAY (1998 -: #36dbbba)</v>
      </c>
    </row>
    <row r="413" spans="1:19">
      <c r="A413">
        <f>'All Girls &amp; Descendants'!B412</f>
        <v>18</v>
      </c>
      <c r="B413" t="str">
        <f>'All Girls &amp; Descendants'!C412</f>
        <v>18bbabaa</v>
      </c>
      <c r="C413" t="str">
        <f>'All Girls &amp; Descendants'!D412</f>
        <v>BERRY</v>
      </c>
      <c r="D413" t="str">
        <f>'All Girls &amp; Descendants'!E412</f>
        <v>William</v>
      </c>
      <c r="E413" t="str">
        <f>IF('All Girls &amp; Descendants'!F412="","",'All Girls &amp; Descendants'!F412)</f>
        <v/>
      </c>
      <c r="F413" t="str">
        <f>IF('All Girls &amp; Descendants'!G412="","",'All Girls &amp; Descendants'!G412)</f>
        <v/>
      </c>
      <c r="G413" t="str">
        <f>IF('All Girls &amp; Descendants'!H412="",D413,'All Girls &amp; Descendants'!H412)</f>
        <v>William</v>
      </c>
      <c r="H413">
        <f>'All Girls &amp; Descendants'!I412</f>
        <v>2008</v>
      </c>
      <c r="I413" t="str">
        <f>'All Girls &amp; Descendants'!J412</f>
        <v/>
      </c>
      <c r="J413">
        <f>'All Girls &amp; Descendants'!K412</f>
        <v>0</v>
      </c>
      <c r="K413" s="7">
        <f>'All Girls &amp; Descendants'!M412</f>
        <v>39628</v>
      </c>
      <c r="L413" t="str">
        <f>'All Girls &amp; Descendants'!N412</f>
        <v xml:space="preserve"> - </v>
      </c>
      <c r="M413" t="str">
        <f>'All Girls &amp; Descendants'!O412</f>
        <v/>
      </c>
      <c r="N413" t="str">
        <f>'All Girls &amp; Descendants'!P412</f>
        <v/>
      </c>
      <c r="O413" t="str">
        <f>'All Girls &amp; Descendants'!Q412</f>
        <v>18bbaba</v>
      </c>
      <c r="P413" t="str">
        <f t="shared" si="78"/>
        <v>18bbabaa</v>
      </c>
      <c r="Q413" s="116">
        <f t="shared" si="79"/>
        <v>6</v>
      </c>
      <c r="R413" s="31" t="str">
        <f t="shared" si="80"/>
        <v>William   BERRY</v>
      </c>
      <c r="S413" s="31" t="str">
        <f t="shared" si="81"/>
        <v>William BERRY (2008 -: #18bbabaa)</v>
      </c>
    </row>
    <row r="414" spans="1:19">
      <c r="A414">
        <f>'All Girls &amp; Descendants'!B413</f>
        <v>18</v>
      </c>
      <c r="B414" t="str">
        <f>'All Girls &amp; Descendants'!C413</f>
        <v>18bbabab</v>
      </c>
      <c r="C414" t="str">
        <f>'All Girls &amp; Descendants'!D413</f>
        <v>BERRY</v>
      </c>
      <c r="D414" t="str">
        <f>'All Girls &amp; Descendants'!E413</f>
        <v>Mungo</v>
      </c>
      <c r="E414" t="str">
        <f>IF('All Girls &amp; Descendants'!F413="","",'All Girls &amp; Descendants'!F413)</f>
        <v>James</v>
      </c>
      <c r="F414" t="str">
        <f>IF('All Girls &amp; Descendants'!G413="","",'All Girls &amp; Descendants'!G413)</f>
        <v/>
      </c>
      <c r="G414" t="str">
        <f>IF('All Girls &amp; Descendants'!H413="",D414,'All Girls &amp; Descendants'!H413)</f>
        <v>Mungo</v>
      </c>
      <c r="H414">
        <f>'All Girls &amp; Descendants'!I413</f>
        <v>2010</v>
      </c>
      <c r="I414" t="str">
        <f>'All Girls &amp; Descendants'!J413</f>
        <v/>
      </c>
      <c r="J414">
        <f>'All Girls &amp; Descendants'!K413</f>
        <v>0</v>
      </c>
      <c r="K414" s="7">
        <f>'All Girls &amp; Descendants'!M413</f>
        <v>40256</v>
      </c>
      <c r="L414" t="str">
        <f>'All Girls &amp; Descendants'!N413</f>
        <v xml:space="preserve"> - </v>
      </c>
      <c r="M414" t="str">
        <f>'All Girls &amp; Descendants'!O413</f>
        <v/>
      </c>
      <c r="N414" t="str">
        <f>'All Girls &amp; Descendants'!P413</f>
        <v/>
      </c>
      <c r="O414" t="str">
        <f>'All Girls &amp; Descendants'!Q413</f>
        <v>18bbaba</v>
      </c>
      <c r="P414" t="str">
        <f t="shared" si="78"/>
        <v>18bbabab</v>
      </c>
      <c r="Q414" s="116">
        <f t="shared" si="79"/>
        <v>6</v>
      </c>
      <c r="R414" s="31" t="str">
        <f t="shared" si="80"/>
        <v>Mungo James  BERRY</v>
      </c>
      <c r="S414" s="31" t="str">
        <f t="shared" si="81"/>
        <v>Mungo BERRY (2010 -: #18bbabab)</v>
      </c>
    </row>
    <row r="415" spans="1:19">
      <c r="A415">
        <f>'All Girls &amp; Descendants'!B414</f>
        <v>18</v>
      </c>
      <c r="B415" t="str">
        <f>'All Girls &amp; Descendants'!C414</f>
        <v>18bbabba</v>
      </c>
      <c r="C415" t="str">
        <f>'All Girls &amp; Descendants'!D414</f>
        <v>BERRY</v>
      </c>
      <c r="D415" t="str">
        <f>'All Girls &amp; Descendants'!E414</f>
        <v>Ursula</v>
      </c>
      <c r="E415" t="str">
        <f>IF('All Girls &amp; Descendants'!F414="","",'All Girls &amp; Descendants'!F414)</f>
        <v>Hermione</v>
      </c>
      <c r="F415" t="str">
        <f>IF('All Girls &amp; Descendants'!G414="","",'All Girls &amp; Descendants'!G414)</f>
        <v>Grace</v>
      </c>
      <c r="G415" t="str">
        <f>IF('All Girls &amp; Descendants'!H414="",D415,'All Girls &amp; Descendants'!H414)</f>
        <v>Ursula</v>
      </c>
      <c r="H415">
        <f>'All Girls &amp; Descendants'!I414</f>
        <v>2010</v>
      </c>
      <c r="I415" t="str">
        <f>'All Girls &amp; Descendants'!J414</f>
        <v/>
      </c>
      <c r="J415">
        <f>'All Girls &amp; Descendants'!K414</f>
        <v>0</v>
      </c>
      <c r="K415" s="7">
        <f>'All Girls &amp; Descendants'!M414</f>
        <v>40327</v>
      </c>
      <c r="L415" t="str">
        <f>'All Girls &amp; Descendants'!N414</f>
        <v xml:space="preserve"> - </v>
      </c>
      <c r="M415" t="str">
        <f>'All Girls &amp; Descendants'!O414</f>
        <v/>
      </c>
      <c r="N415" t="str">
        <f>'All Girls &amp; Descendants'!P414</f>
        <v/>
      </c>
      <c r="O415" t="str">
        <f>'All Girls &amp; Descendants'!Q414</f>
        <v>18bbabb</v>
      </c>
      <c r="P415" t="str">
        <f t="shared" si="78"/>
        <v>18bbabba</v>
      </c>
      <c r="Q415" s="116">
        <f t="shared" si="79"/>
        <v>6</v>
      </c>
      <c r="R415" s="31" t="str">
        <f t="shared" si="80"/>
        <v>Ursula Hermione Grace BERRY</v>
      </c>
      <c r="S415" s="31" t="str">
        <f t="shared" si="81"/>
        <v>Ursula BERRY (2010 -: #18bbabba)</v>
      </c>
    </row>
    <row r="416" spans="1:19">
      <c r="A416">
        <f>'All Girls &amp; Descendants'!B415</f>
        <v>18</v>
      </c>
      <c r="B416" t="str">
        <f>'All Girls &amp; Descendants'!C415</f>
        <v>18bbabbb</v>
      </c>
      <c r="C416" t="str">
        <f>'All Girls &amp; Descendants'!D415</f>
        <v>BERRY</v>
      </c>
      <c r="D416" t="str">
        <f>'All Girls &amp; Descendants'!E415</f>
        <v>Arthur</v>
      </c>
      <c r="E416" t="str">
        <f>IF('All Girls &amp; Descendants'!F415="","",'All Girls &amp; Descendants'!F415)</f>
        <v>Oran</v>
      </c>
      <c r="F416" t="str">
        <f>IF('All Girls &amp; Descendants'!G415="","",'All Girls &amp; Descendants'!G415)</f>
        <v>James</v>
      </c>
      <c r="G416" t="str">
        <f>IF('All Girls &amp; Descendants'!H415="",D416,'All Girls &amp; Descendants'!H415)</f>
        <v>Arthur</v>
      </c>
      <c r="H416">
        <f>'All Girls &amp; Descendants'!I415</f>
        <v>2013</v>
      </c>
      <c r="I416" t="str">
        <f>'All Girls &amp; Descendants'!J415</f>
        <v/>
      </c>
      <c r="J416">
        <f>'All Girls &amp; Descendants'!K415</f>
        <v>0</v>
      </c>
      <c r="K416" s="7">
        <f>'All Girls &amp; Descendants'!M415</f>
        <v>41575</v>
      </c>
      <c r="L416" t="str">
        <f>'All Girls &amp; Descendants'!N415</f>
        <v xml:space="preserve"> - </v>
      </c>
      <c r="M416" t="str">
        <f>'All Girls &amp; Descendants'!O415</f>
        <v/>
      </c>
      <c r="N416" t="str">
        <f>'All Girls &amp; Descendants'!P415</f>
        <v/>
      </c>
      <c r="O416" t="str">
        <f>'All Girls &amp; Descendants'!Q415</f>
        <v>18bbabb</v>
      </c>
      <c r="P416" t="str">
        <f t="shared" si="78"/>
        <v>18bbabbb</v>
      </c>
      <c r="Q416" s="116">
        <f t="shared" si="79"/>
        <v>6</v>
      </c>
      <c r="R416" s="31" t="str">
        <f t="shared" si="80"/>
        <v>Arthur Oran James BERRY</v>
      </c>
      <c r="S416" s="31" t="str">
        <f t="shared" si="81"/>
        <v>Arthur BERRY (2013 -: #18bbabbb)</v>
      </c>
    </row>
    <row r="417" spans="1:19">
      <c r="A417">
        <f>'All Girls &amp; Descendants'!B416</f>
        <v>18</v>
      </c>
      <c r="B417" t="str">
        <f>'All Girls &amp; Descendants'!C416</f>
        <v>18bbadaa</v>
      </c>
      <c r="C417" t="str">
        <f>'All Girls &amp; Descendants'!D416</f>
        <v>WARNER</v>
      </c>
      <c r="D417" t="str">
        <f>'All Girls &amp; Descendants'!E416</f>
        <v>Camilla</v>
      </c>
      <c r="E417" t="str">
        <f>IF('All Girls &amp; Descendants'!F416="","",'All Girls &amp; Descendants'!F416)</f>
        <v>Rose</v>
      </c>
      <c r="F417" t="str">
        <f>IF('All Girls &amp; Descendants'!G416="","",'All Girls &amp; Descendants'!G416)</f>
        <v>Aimee</v>
      </c>
      <c r="G417" t="str">
        <f>IF('All Girls &amp; Descendants'!H416="",D417,'All Girls &amp; Descendants'!H416)</f>
        <v>Camilla</v>
      </c>
      <c r="H417">
        <f>'All Girls &amp; Descendants'!I416</f>
        <v>2017</v>
      </c>
      <c r="I417" t="str">
        <f>'All Girls &amp; Descendants'!J416</f>
        <v/>
      </c>
      <c r="J417">
        <f>'All Girls &amp; Descendants'!K416</f>
        <v>0</v>
      </c>
      <c r="K417" s="7">
        <f>'All Girls &amp; Descendants'!M416</f>
        <v>42843</v>
      </c>
      <c r="L417" t="str">
        <f>'All Girls &amp; Descendants'!N416</f>
        <v xml:space="preserve"> - </v>
      </c>
      <c r="M417" t="str">
        <f>'All Girls &amp; Descendants'!O416</f>
        <v/>
      </c>
      <c r="N417" t="str">
        <f>'All Girls &amp; Descendants'!P416</f>
        <v/>
      </c>
      <c r="O417" t="str">
        <f>'All Girls &amp; Descendants'!Q416</f>
        <v>18bbada</v>
      </c>
      <c r="P417" t="str">
        <f t="shared" si="78"/>
        <v>18bbadaa</v>
      </c>
      <c r="Q417" s="116">
        <f t="shared" si="79"/>
        <v>6</v>
      </c>
      <c r="R417" s="31" t="str">
        <f t="shared" si="80"/>
        <v>Camilla Rose Aimee WARNER</v>
      </c>
      <c r="S417" s="31" t="str">
        <f t="shared" si="81"/>
        <v>Camilla WARNER (2017 -: #18bbadaa)</v>
      </c>
    </row>
    <row r="418" spans="1:19">
      <c r="A418">
        <f>'All Girls &amp; Descendants'!B417</f>
        <v>18</v>
      </c>
      <c r="B418" t="str">
        <f>'All Girls &amp; Descendants'!C417</f>
        <v>18bbadab</v>
      </c>
      <c r="C418" t="str">
        <f>'All Girls &amp; Descendants'!D417</f>
        <v>WARNER</v>
      </c>
      <c r="D418" t="str">
        <f>'All Girls &amp; Descendants'!E417</f>
        <v>William</v>
      </c>
      <c r="E418" t="str">
        <f>IF('All Girls &amp; Descendants'!F417="","",'All Girls &amp; Descendants'!F417)</f>
        <v>Peter</v>
      </c>
      <c r="F418" t="str">
        <f>IF('All Girls &amp; Descendants'!G417="","",'All Girls &amp; Descendants'!G417)</f>
        <v>Redston</v>
      </c>
      <c r="G418" t="str">
        <f>IF('All Girls &amp; Descendants'!H417="",D418,'All Girls &amp; Descendants'!H417)</f>
        <v>William</v>
      </c>
      <c r="H418">
        <f>'All Girls &amp; Descendants'!I417</f>
        <v>2018</v>
      </c>
      <c r="I418" t="str">
        <f>'All Girls &amp; Descendants'!J417</f>
        <v/>
      </c>
      <c r="J418">
        <f>'All Girls &amp; Descendants'!K417</f>
        <v>0</v>
      </c>
      <c r="K418" s="7">
        <f>'All Girls &amp; Descendants'!M417</f>
        <v>43452</v>
      </c>
      <c r="L418" t="str">
        <f>'All Girls &amp; Descendants'!N417</f>
        <v xml:space="preserve"> - </v>
      </c>
      <c r="M418" t="str">
        <f>'All Girls &amp; Descendants'!O417</f>
        <v/>
      </c>
      <c r="N418" t="str">
        <f>'All Girls &amp; Descendants'!P417</f>
        <v/>
      </c>
      <c r="O418" t="str">
        <f>'All Girls &amp; Descendants'!Q417</f>
        <v>18bbada</v>
      </c>
      <c r="P418" t="str">
        <f>B418</f>
        <v>18bbadab</v>
      </c>
      <c r="Q418" s="116">
        <f>LEN(B418)-LEN(A418)</f>
        <v>6</v>
      </c>
      <c r="R418" s="31" t="str">
        <f>_xlfn.CONCAT(D418," ",E418," ",F418," ",C418)</f>
        <v>William Peter Redston WARNER</v>
      </c>
      <c r="S418" s="31" t="str">
        <f>_xlfn.CONCAT(G418," ",C418," (",H418," -",I418,": #",B418,")")</f>
        <v>William WARNER (2018 -: #18bbadab)</v>
      </c>
    </row>
    <row r="419" spans="1:19">
      <c r="A419">
        <f>'All Girls &amp; Descendants'!B418</f>
        <v>18</v>
      </c>
      <c r="B419" t="str">
        <f>'All Girls &amp; Descendants'!C418</f>
        <v>18bbadac</v>
      </c>
      <c r="C419" t="str">
        <f>'All Girls &amp; Descendants'!D418</f>
        <v>WARNER</v>
      </c>
      <c r="D419" t="str">
        <f>'All Girls &amp; Descendants'!E418</f>
        <v>Oliver</v>
      </c>
      <c r="E419" t="str">
        <f>IF('All Girls &amp; Descendants'!F418="","",'All Girls &amp; Descendants'!F418)</f>
        <v>James</v>
      </c>
      <c r="F419" t="str">
        <f>IF('All Girls &amp; Descendants'!G418="","",'All Girls &amp; Descendants'!G418)</f>
        <v>Robert</v>
      </c>
      <c r="G419" t="str">
        <f>IF('All Girls &amp; Descendants'!H418="",D419,'All Girls &amp; Descendants'!H418)</f>
        <v>Oliver</v>
      </c>
      <c r="H419">
        <f>'All Girls &amp; Descendants'!I418</f>
        <v>2020</v>
      </c>
      <c r="I419" t="str">
        <f>'All Girls &amp; Descendants'!J418</f>
        <v/>
      </c>
      <c r="J419">
        <f>'All Girls &amp; Descendants'!K418</f>
        <v>0</v>
      </c>
      <c r="K419" s="7">
        <f>'All Girls &amp; Descendants'!M418</f>
        <v>44187</v>
      </c>
      <c r="L419" t="str">
        <f>'All Girls &amp; Descendants'!N418</f>
        <v xml:space="preserve"> - </v>
      </c>
      <c r="M419" t="str">
        <f>'All Girls &amp; Descendants'!O418</f>
        <v/>
      </c>
      <c r="N419" t="str">
        <f>'All Girls &amp; Descendants'!P418</f>
        <v/>
      </c>
      <c r="O419" t="str">
        <f>'All Girls &amp; Descendants'!Q418</f>
        <v>18bbada</v>
      </c>
      <c r="P419" t="str">
        <f>B419</f>
        <v>18bbadac</v>
      </c>
      <c r="Q419" s="116">
        <f>LEN(B419)-LEN(A419)</f>
        <v>6</v>
      </c>
      <c r="R419" s="31" t="str">
        <f>_xlfn.CONCAT(D419," ",E419," ",F419," ",C419)</f>
        <v>Oliver James Robert WARNER</v>
      </c>
      <c r="S419" s="31" t="str">
        <f>_xlfn.CONCAT(G419," ",C419," (",H419," -",I419,": #",B419,")")</f>
        <v>Oliver WARNER (2020 -: #18bbadac)</v>
      </c>
    </row>
    <row r="420" spans="1:19">
      <c r="Q420" s="116"/>
      <c r="R420" s="31"/>
    </row>
    <row r="421" spans="1:19">
      <c r="Q421" s="116"/>
      <c r="R421" s="31"/>
    </row>
    <row r="422" spans="1:19">
      <c r="Q422" s="116"/>
      <c r="R422" s="31"/>
    </row>
    <row r="423" spans="1:19">
      <c r="Q423" s="116"/>
      <c r="R423" s="31"/>
    </row>
    <row r="424" spans="1:19">
      <c r="Q424" s="116"/>
      <c r="R424" s="31"/>
    </row>
    <row r="425" spans="1:19">
      <c r="Q425" s="116"/>
      <c r="R425" s="31"/>
    </row>
    <row r="426" spans="1:19">
      <c r="Q426" s="116"/>
      <c r="R426" s="31"/>
    </row>
    <row r="427" spans="1:19">
      <c r="Q427" s="116"/>
      <c r="R427" s="31"/>
    </row>
    <row r="428" spans="1:19">
      <c r="Q428" s="116"/>
      <c r="R428" s="31"/>
    </row>
    <row r="429" spans="1:19">
      <c r="Q429" s="116"/>
      <c r="R429" s="31"/>
    </row>
    <row r="430" spans="1:19">
      <c r="Q430" s="116"/>
      <c r="R430" s="31"/>
    </row>
    <row r="431" spans="1:19">
      <c r="Q431" s="116"/>
      <c r="R431" s="31"/>
    </row>
    <row r="432" spans="1:19">
      <c r="Q432" s="116"/>
      <c r="R432" s="31"/>
    </row>
    <row r="433" spans="5:18">
      <c r="Q433" s="116"/>
      <c r="R433" s="31"/>
    </row>
    <row r="434" spans="5:18">
      <c r="Q434" s="116"/>
      <c r="R434" s="31"/>
    </row>
    <row r="435" spans="5:18">
      <c r="Q435" s="116"/>
      <c r="R435" s="31"/>
    </row>
    <row r="436" spans="5:18">
      <c r="Q436" s="116"/>
      <c r="R436" s="31"/>
    </row>
    <row r="437" spans="5:18">
      <c r="Q437" s="116"/>
      <c r="R437" s="31"/>
    </row>
    <row r="438" spans="5:18">
      <c r="Q438" s="116"/>
      <c r="R438" s="31"/>
    </row>
    <row r="439" spans="5:18">
      <c r="Q439" s="116"/>
      <c r="R439" s="31"/>
    </row>
    <row r="440" spans="5:18">
      <c r="Q440" s="116"/>
      <c r="R440" s="31"/>
    </row>
    <row r="441" spans="5:18">
      <c r="Q441" s="116"/>
      <c r="R441" s="31"/>
    </row>
    <row r="442" spans="5:18">
      <c r="Q442" s="116"/>
      <c r="R442" s="31"/>
    </row>
    <row r="443" spans="5:18">
      <c r="Q443" s="116"/>
      <c r="R443" s="31"/>
    </row>
    <row r="444" spans="5:18">
      <c r="Q444" s="116"/>
      <c r="R444" s="31"/>
    </row>
    <row r="445" spans="5:18">
      <c r="Q445" s="116"/>
      <c r="R445" s="31"/>
    </row>
    <row r="446" spans="5:18">
      <c r="Q446" s="116"/>
      <c r="R446" s="31"/>
    </row>
    <row r="447" spans="5:18">
      <c r="Q447" s="116"/>
      <c r="R447" s="31"/>
    </row>
    <row r="448" spans="5:18">
      <c r="E448" t="str">
        <f>IF('All Girls &amp; Descendants'!F452="","",'All Girls &amp; Descendants'!F452)</f>
        <v/>
      </c>
      <c r="F448" t="str">
        <f>IF('All Girls &amp; Descendants'!G452="","",'All Girls &amp; Descendants'!G452)</f>
        <v/>
      </c>
      <c r="Q448" s="116"/>
      <c r="R448" s="31"/>
    </row>
  </sheetData>
  <autoFilter ref="A3:S448" xr:uid="{0CC2B272-13EC-2547-BEF5-2D8590E44C4B}"/>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06459-2560-BC48-91F4-C95F43DE466F}">
  <dimension ref="A2:HL447"/>
  <sheetViews>
    <sheetView workbookViewId="0">
      <selection activeCell="BG32" sqref="BG32"/>
    </sheetView>
  </sheetViews>
  <sheetFormatPr baseColWidth="10" defaultRowHeight="16"/>
  <cols>
    <col min="3" max="3" width="15.6640625" customWidth="1"/>
    <col min="8" max="8" width="11.5" bestFit="1" customWidth="1"/>
    <col min="10" max="10" width="22.33203125" bestFit="1" customWidth="1"/>
    <col min="11" max="11" width="10.83203125" style="3"/>
    <col min="15" max="16" width="15" customWidth="1"/>
    <col min="17" max="17" width="19.83203125" customWidth="1"/>
    <col min="18" max="18" width="46.33203125" bestFit="1" customWidth="1"/>
    <col min="19" max="19" width="53.5" customWidth="1"/>
    <col min="20" max="20" width="25" customWidth="1"/>
    <col min="21" max="21" width="12.33203125" bestFit="1" customWidth="1"/>
    <col min="24" max="24" width="17" bestFit="1" customWidth="1"/>
    <col min="25" max="26" width="17" customWidth="1"/>
    <col min="27" max="27" width="12" bestFit="1" customWidth="1"/>
    <col min="28" max="28" width="12" customWidth="1"/>
    <col min="31" max="31" width="15.33203125" customWidth="1"/>
    <col min="32" max="32" width="24.1640625" bestFit="1" customWidth="1"/>
    <col min="33" max="39" width="13.6640625" bestFit="1" customWidth="1"/>
    <col min="55" max="55" width="12.83203125" bestFit="1" customWidth="1"/>
    <col min="58" max="58" width="89.6640625" customWidth="1"/>
    <col min="59" max="59" width="33.33203125" bestFit="1" customWidth="1"/>
    <col min="60" max="60" width="37" bestFit="1" customWidth="1"/>
    <col min="61" max="61" width="34.33203125" customWidth="1"/>
    <col min="62" max="62" width="30.1640625" bestFit="1" customWidth="1"/>
    <col min="63" max="63" width="31.5" bestFit="1" customWidth="1"/>
    <col min="64" max="64" width="34.5" bestFit="1" customWidth="1"/>
    <col min="65" max="65" width="34.1640625" bestFit="1" customWidth="1"/>
    <col min="66" max="66" width="35.5" bestFit="1" customWidth="1"/>
    <col min="67" max="75" width="35.5" customWidth="1"/>
    <col min="77" max="77" width="18.83203125" bestFit="1" customWidth="1"/>
    <col min="78" max="78" width="15.5" bestFit="1" customWidth="1"/>
    <col min="79" max="80" width="5.1640625" bestFit="1" customWidth="1"/>
    <col min="81" max="140" width="6.1640625" bestFit="1" customWidth="1"/>
    <col min="141" max="219" width="7.1640625" bestFit="1" customWidth="1"/>
    <col min="220" max="220" width="10.83203125" bestFit="1" customWidth="1"/>
    <col min="221" max="310" width="18.83203125" bestFit="1" customWidth="1"/>
    <col min="311" max="311" width="23.6640625" bestFit="1" customWidth="1"/>
    <col min="312" max="312" width="18.33203125" bestFit="1" customWidth="1"/>
  </cols>
  <sheetData>
    <row r="2" spans="1:220">
      <c r="B2">
        <v>1</v>
      </c>
      <c r="C2">
        <v>2</v>
      </c>
      <c r="D2">
        <v>3</v>
      </c>
      <c r="E2">
        <v>4</v>
      </c>
      <c r="F2">
        <v>5</v>
      </c>
      <c r="G2">
        <v>6</v>
      </c>
      <c r="AG2" s="116" t="s">
        <v>3003</v>
      </c>
      <c r="AH2" s="116" t="s">
        <v>3004</v>
      </c>
      <c r="AI2" s="116" t="s">
        <v>3005</v>
      </c>
      <c r="AJ2" s="116" t="s">
        <v>3006</v>
      </c>
      <c r="AK2" s="116" t="s">
        <v>3007</v>
      </c>
      <c r="AL2" s="116" t="s">
        <v>3008</v>
      </c>
      <c r="AM2" s="116" t="s">
        <v>3009</v>
      </c>
      <c r="AN2" s="116" t="s">
        <v>3010</v>
      </c>
      <c r="AO2" s="116"/>
      <c r="AP2" s="116"/>
      <c r="AQ2" s="116"/>
      <c r="AR2" s="116"/>
      <c r="AS2" s="116"/>
      <c r="AT2" s="116"/>
      <c r="AU2" s="116"/>
      <c r="AV2" s="116"/>
      <c r="AW2" s="116"/>
      <c r="AX2" s="116"/>
      <c r="AY2" s="116"/>
      <c r="AZ2" s="116"/>
      <c r="BA2" s="116"/>
      <c r="BB2" s="116"/>
      <c r="BC2" s="116"/>
      <c r="BD2" s="116"/>
      <c r="BE2" s="116"/>
      <c r="BF2" s="116"/>
    </row>
    <row r="3" spans="1:220">
      <c r="A3" t="str">
        <f>'All Girls &amp; Descendants'!B1</f>
        <v>Loyd #</v>
      </c>
      <c r="B3" t="str">
        <f>'All Girls &amp; Descendants'!C1</f>
        <v>Loyd ##</v>
      </c>
      <c r="C3" t="str">
        <f>'All Girls &amp; Descendants'!D1</f>
        <v>Surname</v>
      </c>
      <c r="D3" t="str">
        <f>'All Girls &amp; Descendants'!E1</f>
        <v>1st Name</v>
      </c>
      <c r="E3" t="str">
        <f>'All Girls &amp; Descendants'!F1</f>
        <v>2nd Name</v>
      </c>
      <c r="F3" t="str">
        <f>'All Girls &amp; Descendants'!G1</f>
        <v>3rd Name</v>
      </c>
      <c r="G3" t="str">
        <f>'All Girls &amp; Descendants'!H1</f>
        <v>Known as</v>
      </c>
      <c r="H3" t="str">
        <f>'All Girls &amp; Descendants'!I1</f>
        <v>Year of Birth</v>
      </c>
      <c r="I3" t="str">
        <f>'All Girls &amp; Descendants'!J1</f>
        <v>Year of Death</v>
      </c>
      <c r="J3" t="str">
        <f>'All Girls &amp; Descendants'!K1</f>
        <v>Forename (Loyd#) Yr of B</v>
      </c>
      <c r="K3" s="3" t="str">
        <f>'All Girls &amp; Descendants'!M1</f>
        <v>Dob Entered</v>
      </c>
      <c r="L3" t="str">
        <f>'All Girls &amp; Descendants'!N1</f>
        <v xml:space="preserve">DoM </v>
      </c>
      <c r="M3" t="str">
        <f>'All Girls &amp; Descendants'!O1</f>
        <v>DoD</v>
      </c>
      <c r="N3" t="str">
        <f>'All Girls &amp; Descendants'!P1</f>
        <v>DOD Entered</v>
      </c>
      <c r="O3" t="str">
        <f>'All Girls &amp; Descendants'!Q1</f>
        <v>PARENT's Loyd #</v>
      </c>
      <c r="P3" t="str">
        <f>B3</f>
        <v>Loyd ##</v>
      </c>
      <c r="Q3" t="s">
        <v>3000</v>
      </c>
      <c r="R3" t="s">
        <v>3017</v>
      </c>
      <c r="S3" t="s">
        <v>3019</v>
      </c>
      <c r="U3" s="116" t="s">
        <v>2819</v>
      </c>
      <c r="V3" s="116" t="s">
        <v>3001</v>
      </c>
      <c r="W3" s="116" t="s">
        <v>3002</v>
      </c>
      <c r="X3" s="116" t="s">
        <v>3013</v>
      </c>
      <c r="Y3" s="116" t="s">
        <v>3033</v>
      </c>
      <c r="Z3" s="116"/>
      <c r="AB3" s="116"/>
      <c r="AG3" s="116">
        <v>1</v>
      </c>
      <c r="AH3" s="116">
        <v>2</v>
      </c>
      <c r="AI3" s="116">
        <v>3</v>
      </c>
      <c r="AJ3" s="116">
        <v>4</v>
      </c>
      <c r="AK3" s="116">
        <v>5</v>
      </c>
      <c r="AL3" s="116">
        <v>6</v>
      </c>
      <c r="AM3" s="116">
        <v>7</v>
      </c>
      <c r="AN3" s="116">
        <v>8</v>
      </c>
      <c r="AO3" s="116">
        <v>9</v>
      </c>
      <c r="AP3" s="116">
        <v>10</v>
      </c>
      <c r="AQ3" s="116">
        <v>11</v>
      </c>
      <c r="AR3" s="116">
        <v>12</v>
      </c>
      <c r="AS3" s="116">
        <v>13</v>
      </c>
      <c r="AT3" s="116">
        <v>14</v>
      </c>
      <c r="AU3" s="116">
        <v>15</v>
      </c>
      <c r="AV3" s="116"/>
      <c r="AW3" s="116"/>
      <c r="AX3" s="116"/>
      <c r="AY3" s="116"/>
      <c r="AZ3" s="116"/>
      <c r="BA3" s="116"/>
      <c r="BB3" s="116"/>
      <c r="BC3" s="116"/>
      <c r="BD3" s="116"/>
      <c r="BE3" s="116"/>
      <c r="BF3" s="116"/>
      <c r="BG3" s="116">
        <f t="shared" ref="BG3:BN3" si="0">AG3</f>
        <v>1</v>
      </c>
      <c r="BH3" s="116">
        <f t="shared" si="0"/>
        <v>2</v>
      </c>
      <c r="BI3" s="116">
        <f t="shared" si="0"/>
        <v>3</v>
      </c>
      <c r="BJ3" s="116">
        <f t="shared" si="0"/>
        <v>4</v>
      </c>
      <c r="BK3" s="116">
        <f t="shared" si="0"/>
        <v>5</v>
      </c>
      <c r="BL3" s="116">
        <f t="shared" si="0"/>
        <v>6</v>
      </c>
      <c r="BM3" s="116">
        <f t="shared" si="0"/>
        <v>7</v>
      </c>
      <c r="BN3" s="116">
        <f t="shared" si="0"/>
        <v>8</v>
      </c>
      <c r="BO3" s="116">
        <f t="shared" ref="BO3:BU3" si="1">AO3</f>
        <v>9</v>
      </c>
      <c r="BP3" s="116">
        <f t="shared" si="1"/>
        <v>10</v>
      </c>
      <c r="BQ3" s="116">
        <f t="shared" si="1"/>
        <v>11</v>
      </c>
      <c r="BR3" s="116">
        <f t="shared" si="1"/>
        <v>12</v>
      </c>
      <c r="BS3" s="116">
        <f t="shared" si="1"/>
        <v>13</v>
      </c>
      <c r="BT3" s="116">
        <f t="shared" si="1"/>
        <v>14</v>
      </c>
      <c r="BU3" s="116">
        <f t="shared" si="1"/>
        <v>15</v>
      </c>
      <c r="BV3" s="116"/>
      <c r="BW3" s="116"/>
      <c r="BY3" s="111" t="s">
        <v>3014</v>
      </c>
      <c r="BZ3" s="111" t="s">
        <v>2813</v>
      </c>
    </row>
    <row r="4" spans="1:220">
      <c r="A4">
        <f>'All Girls &amp; Descendants'!B2</f>
        <v>2</v>
      </c>
      <c r="B4" t="str">
        <f>'All Girls &amp; Descendants'!C2</f>
        <v>2a</v>
      </c>
      <c r="C4" t="str">
        <f>'All Girls &amp; Descendants'!D2</f>
        <v>DAVIES or DANIEL</v>
      </c>
      <c r="D4" t="str">
        <f>'All Girls &amp; Descendants'!E2</f>
        <v>Lewis</v>
      </c>
      <c r="E4" t="str">
        <f>IF('All Girls &amp; Descendants'!F2="","",'All Girls &amp; Descendants'!F2)</f>
        <v/>
      </c>
      <c r="F4" t="str">
        <f>IF('All Girls &amp; Descendants'!G2="","",'All Girls &amp; Descendants'!G2)</f>
        <v/>
      </c>
      <c r="G4" t="str">
        <f>IF('All Girls &amp; Descendants'!H2="",D4,'All Girls &amp; Descendants'!H2)</f>
        <v>Lewis</v>
      </c>
      <c r="H4" t="str">
        <f>'All Girls &amp; Descendants'!L2</f>
        <v>Unknown</v>
      </c>
      <c r="I4" t="str">
        <f>'All Girls &amp; Descendants'!J2</f>
        <v>Unknown</v>
      </c>
      <c r="J4">
        <f>'All Girls &amp; Descendants'!K2</f>
        <v>0</v>
      </c>
      <c r="K4" s="3" t="str">
        <f>'All Girls &amp; Descendants'!M2</f>
        <v>Unknown</v>
      </c>
      <c r="L4" t="str">
        <f>'All Girls &amp; Descendants'!N2</f>
        <v xml:space="preserve"> - </v>
      </c>
      <c r="M4" t="str">
        <f>'All Girls &amp; Descendants'!O2</f>
        <v/>
      </c>
      <c r="N4" t="str">
        <f>'All Girls &amp; Descendants'!P2</f>
        <v/>
      </c>
      <c r="O4">
        <f>'All Girls &amp; Descendants'!Q2</f>
        <v>1</v>
      </c>
      <c r="P4" t="str">
        <f t="shared" ref="P4:P30" si="2">B4</f>
        <v>2a</v>
      </c>
      <c r="Q4" s="116">
        <f>LEN(B4)-LEN(A4)</f>
        <v>1</v>
      </c>
      <c r="R4" s="31" t="str">
        <f>_xlfn.CONCAT(D4," ",E4," ",F4," ",C4)</f>
        <v>Lewis   DAVIES or DANIEL</v>
      </c>
      <c r="S4" t="str">
        <f>_xlfn.CONCAT(G4," ",C4," (",H4," - ",I4,":  #",B4,")")</f>
        <v>Lewis DAVIES or DANIEL (Unknown - Unknown:  #2a)</v>
      </c>
      <c r="U4" s="116">
        <f t="shared" ref="U4:U67" si="3">W4*1000+VLOOKUP(X4,$AB$4:$AC$13,2,FALSE)</f>
        <v>2001</v>
      </c>
      <c r="V4" t="s">
        <v>1949</v>
      </c>
      <c r="W4" s="116">
        <f>VALUE(LEFT(V4,1))</f>
        <v>2</v>
      </c>
      <c r="X4" s="116" t="str">
        <f>RIGHT(V4,1)</f>
        <v>a</v>
      </c>
      <c r="Y4" s="116">
        <f>VLOOKUP(W4,'Loyd List 1-190 - Edit'!$P$1:$R$202,3,FALSE)</f>
        <v>1</v>
      </c>
      <c r="Z4" s="116"/>
      <c r="AB4" t="s">
        <v>3003</v>
      </c>
      <c r="AC4">
        <v>1</v>
      </c>
      <c r="AE4" t="s">
        <v>3034</v>
      </c>
      <c r="AF4" t="s">
        <v>3015</v>
      </c>
      <c r="AG4" t="s">
        <v>3035</v>
      </c>
      <c r="AH4" t="s">
        <v>3035</v>
      </c>
      <c r="AI4" t="s">
        <v>3035</v>
      </c>
      <c r="AJ4" t="s">
        <v>3035</v>
      </c>
      <c r="AK4" t="s">
        <v>3035</v>
      </c>
      <c r="AL4" t="s">
        <v>3035</v>
      </c>
      <c r="AM4" t="s">
        <v>3035</v>
      </c>
      <c r="AN4" t="s">
        <v>3035</v>
      </c>
      <c r="AO4" t="s">
        <v>3035</v>
      </c>
      <c r="AP4" t="s">
        <v>3035</v>
      </c>
      <c r="AQ4" t="s">
        <v>3035</v>
      </c>
      <c r="AR4" t="s">
        <v>3035</v>
      </c>
      <c r="AS4" t="s">
        <v>3035</v>
      </c>
      <c r="AT4" t="s">
        <v>3035</v>
      </c>
      <c r="AU4" t="s">
        <v>3035</v>
      </c>
      <c r="BC4" s="60" t="s">
        <v>3030</v>
      </c>
      <c r="BD4" s="60" t="str">
        <f t="shared" ref="BD4:BD29" si="4">AE4</f>
        <v>Gparent Loyd #</v>
      </c>
      <c r="BE4" s="60" t="s">
        <v>3032</v>
      </c>
      <c r="BF4" s="60" t="s">
        <v>3031</v>
      </c>
      <c r="BY4" s="111" t="s">
        <v>2811</v>
      </c>
      <c r="BZ4">
        <v>2001</v>
      </c>
      <c r="CA4">
        <v>2002</v>
      </c>
      <c r="CB4">
        <v>2003</v>
      </c>
      <c r="CC4">
        <v>11001</v>
      </c>
      <c r="CD4">
        <v>11002</v>
      </c>
      <c r="CE4">
        <v>11003</v>
      </c>
      <c r="CF4">
        <v>11004</v>
      </c>
      <c r="CG4">
        <v>11005</v>
      </c>
      <c r="CH4">
        <v>18001</v>
      </c>
      <c r="CI4">
        <v>18002</v>
      </c>
      <c r="CJ4">
        <v>18003</v>
      </c>
      <c r="CK4">
        <v>18004</v>
      </c>
      <c r="CL4">
        <v>18005</v>
      </c>
      <c r="CM4">
        <v>19001</v>
      </c>
      <c r="CN4">
        <v>19002</v>
      </c>
      <c r="CO4">
        <v>19003</v>
      </c>
      <c r="CP4">
        <v>19004</v>
      </c>
      <c r="CQ4">
        <v>19005</v>
      </c>
      <c r="CR4">
        <v>36001</v>
      </c>
      <c r="CS4">
        <v>36002</v>
      </c>
      <c r="CT4">
        <v>36003</v>
      </c>
      <c r="CU4">
        <v>36004</v>
      </c>
      <c r="CV4">
        <v>36005</v>
      </c>
      <c r="CW4">
        <v>36006</v>
      </c>
      <c r="CX4">
        <v>36007</v>
      </c>
      <c r="CY4">
        <v>36008</v>
      </c>
      <c r="CZ4">
        <v>42001</v>
      </c>
      <c r="DA4">
        <v>47001</v>
      </c>
      <c r="DB4">
        <v>47002</v>
      </c>
      <c r="DC4">
        <v>48001</v>
      </c>
      <c r="DD4">
        <v>63001</v>
      </c>
      <c r="DE4">
        <v>63002</v>
      </c>
      <c r="DF4">
        <v>63003</v>
      </c>
      <c r="DG4">
        <v>65001</v>
      </c>
      <c r="DH4">
        <v>65002</v>
      </c>
      <c r="DI4">
        <v>65003</v>
      </c>
      <c r="DJ4">
        <v>70001</v>
      </c>
      <c r="DK4">
        <v>70002</v>
      </c>
      <c r="DL4">
        <v>70003</v>
      </c>
      <c r="DM4">
        <v>70004</v>
      </c>
      <c r="DN4">
        <v>70005</v>
      </c>
      <c r="DO4">
        <v>70006</v>
      </c>
      <c r="DP4">
        <v>85001</v>
      </c>
      <c r="DQ4">
        <v>85002</v>
      </c>
      <c r="DR4">
        <v>85003</v>
      </c>
      <c r="DS4">
        <v>85004</v>
      </c>
      <c r="DT4">
        <v>88001</v>
      </c>
      <c r="DU4">
        <v>88002</v>
      </c>
      <c r="DV4">
        <v>88003</v>
      </c>
      <c r="DW4">
        <v>90001</v>
      </c>
      <c r="DX4">
        <v>90002</v>
      </c>
      <c r="DY4">
        <v>90003</v>
      </c>
      <c r="DZ4">
        <v>92001</v>
      </c>
      <c r="EA4">
        <v>92002</v>
      </c>
      <c r="EB4">
        <v>92003</v>
      </c>
      <c r="EC4">
        <v>92004</v>
      </c>
      <c r="ED4">
        <v>95001</v>
      </c>
      <c r="EE4">
        <v>95002</v>
      </c>
      <c r="EF4">
        <v>97001</v>
      </c>
      <c r="EG4">
        <v>97002</v>
      </c>
      <c r="EH4">
        <v>97003</v>
      </c>
      <c r="EI4">
        <v>97004</v>
      </c>
      <c r="EJ4">
        <v>97005</v>
      </c>
      <c r="EK4">
        <v>101001</v>
      </c>
      <c r="EL4">
        <v>101002</v>
      </c>
      <c r="EM4">
        <v>101003</v>
      </c>
      <c r="EN4">
        <v>101004</v>
      </c>
      <c r="EO4">
        <v>101005</v>
      </c>
      <c r="EP4">
        <v>101006</v>
      </c>
      <c r="EQ4">
        <v>102001</v>
      </c>
      <c r="ER4">
        <v>102002</v>
      </c>
      <c r="ES4">
        <v>102003</v>
      </c>
      <c r="ET4">
        <v>103001</v>
      </c>
      <c r="EU4">
        <v>103002</v>
      </c>
      <c r="EV4">
        <v>103003</v>
      </c>
      <c r="EW4">
        <v>103004</v>
      </c>
      <c r="EX4">
        <v>106001</v>
      </c>
      <c r="EY4">
        <v>106002</v>
      </c>
      <c r="EZ4">
        <v>107001</v>
      </c>
      <c r="FA4">
        <v>107002</v>
      </c>
      <c r="FB4">
        <v>107003</v>
      </c>
      <c r="FC4">
        <v>107004</v>
      </c>
      <c r="FD4">
        <v>107005</v>
      </c>
      <c r="FE4">
        <v>108001</v>
      </c>
      <c r="FF4">
        <v>108002</v>
      </c>
      <c r="FG4">
        <v>108003</v>
      </c>
      <c r="FH4">
        <v>108004</v>
      </c>
      <c r="FI4">
        <v>109001</v>
      </c>
      <c r="FJ4">
        <v>109002</v>
      </c>
      <c r="FK4">
        <v>110001</v>
      </c>
      <c r="FL4">
        <v>110002</v>
      </c>
      <c r="FM4">
        <v>110003</v>
      </c>
      <c r="FN4">
        <v>110004</v>
      </c>
      <c r="FO4">
        <v>112001</v>
      </c>
      <c r="FP4">
        <v>112002</v>
      </c>
      <c r="FQ4">
        <v>112003</v>
      </c>
      <c r="FR4">
        <v>112004</v>
      </c>
      <c r="FS4">
        <v>115001</v>
      </c>
      <c r="FT4">
        <v>115002</v>
      </c>
      <c r="FU4">
        <v>115003</v>
      </c>
      <c r="FV4">
        <v>115004</v>
      </c>
      <c r="FW4">
        <v>115005</v>
      </c>
      <c r="FX4">
        <v>116001</v>
      </c>
      <c r="FY4">
        <v>116002</v>
      </c>
      <c r="FZ4">
        <v>116003</v>
      </c>
      <c r="GA4">
        <v>123001</v>
      </c>
      <c r="GB4">
        <v>123002</v>
      </c>
      <c r="GC4">
        <v>125001</v>
      </c>
      <c r="GD4">
        <v>125002</v>
      </c>
      <c r="GE4">
        <v>128001</v>
      </c>
      <c r="GF4">
        <v>128002</v>
      </c>
      <c r="GG4">
        <v>137001</v>
      </c>
      <c r="GH4">
        <v>140001</v>
      </c>
      <c r="GI4">
        <v>140002</v>
      </c>
      <c r="GJ4">
        <v>141001</v>
      </c>
      <c r="GK4">
        <v>141002</v>
      </c>
      <c r="GL4">
        <v>143001</v>
      </c>
      <c r="GM4">
        <v>143002</v>
      </c>
      <c r="GN4">
        <v>152001</v>
      </c>
      <c r="GO4">
        <v>152002</v>
      </c>
      <c r="GP4">
        <v>154001</v>
      </c>
      <c r="GQ4">
        <v>154002</v>
      </c>
      <c r="GR4">
        <v>154003</v>
      </c>
      <c r="GS4">
        <v>156001</v>
      </c>
      <c r="GT4">
        <v>156002</v>
      </c>
      <c r="GU4">
        <v>157001</v>
      </c>
      <c r="GV4">
        <v>157002</v>
      </c>
      <c r="GW4">
        <v>158001</v>
      </c>
      <c r="GX4">
        <v>159001</v>
      </c>
      <c r="GY4">
        <v>159002</v>
      </c>
      <c r="GZ4">
        <v>161001</v>
      </c>
      <c r="HA4">
        <v>161002</v>
      </c>
      <c r="HB4">
        <v>163001</v>
      </c>
      <c r="HC4">
        <v>163002</v>
      </c>
      <c r="HD4">
        <v>164001</v>
      </c>
      <c r="HE4">
        <v>164002</v>
      </c>
      <c r="HF4">
        <v>164003</v>
      </c>
      <c r="HG4">
        <v>165001</v>
      </c>
      <c r="HH4">
        <v>165002</v>
      </c>
      <c r="HI4">
        <v>168001</v>
      </c>
      <c r="HJ4">
        <v>168002</v>
      </c>
      <c r="HK4">
        <v>170001</v>
      </c>
      <c r="HL4" t="s">
        <v>2812</v>
      </c>
    </row>
    <row r="5" spans="1:220" ht="34">
      <c r="A5">
        <f>'All Girls &amp; Descendants'!B3</f>
        <v>2</v>
      </c>
      <c r="B5" t="str">
        <f>'All Girls &amp; Descendants'!C3</f>
        <v>2b</v>
      </c>
      <c r="C5" t="str">
        <f>'All Girls &amp; Descendants'!D3</f>
        <v>DAVIES or DANIEL</v>
      </c>
      <c r="D5" t="str">
        <f>'All Girls &amp; Descendants'!E3</f>
        <v>Ann</v>
      </c>
      <c r="E5" t="str">
        <f>IF('All Girls &amp; Descendants'!F3="","",'All Girls &amp; Descendants'!F3)</f>
        <v/>
      </c>
      <c r="F5" t="str">
        <f>IF('All Girls &amp; Descendants'!G3="","",'All Girls &amp; Descendants'!G3)</f>
        <v/>
      </c>
      <c r="G5" t="str">
        <f>IF('All Girls &amp; Descendants'!H3="",D5,'All Girls &amp; Descendants'!H3)</f>
        <v>Ann</v>
      </c>
      <c r="H5" t="str">
        <f>'All Girls &amp; Descendants'!I3</f>
        <v>Unknown</v>
      </c>
      <c r="I5" t="str">
        <f>'All Girls &amp; Descendants'!J3</f>
        <v>Unknown</v>
      </c>
      <c r="K5" s="3" t="str">
        <f>'All Girls &amp; Descendants'!M3</f>
        <v>Unknown</v>
      </c>
      <c r="L5" t="str">
        <f>'All Girls &amp; Descendants'!N3</f>
        <v xml:space="preserve"> - </v>
      </c>
      <c r="M5" t="str">
        <f>'All Girls &amp; Descendants'!O3</f>
        <v/>
      </c>
      <c r="N5" t="str">
        <f>'All Girls &amp; Descendants'!P3</f>
        <v/>
      </c>
      <c r="O5" t="str">
        <f>'All Girls &amp; Descendants'!Q3</f>
        <v>2</v>
      </c>
      <c r="P5" t="str">
        <f t="shared" si="2"/>
        <v>2b</v>
      </c>
      <c r="Q5" s="116">
        <f t="shared" ref="Q5:Q68" si="5">LEN(B5)-LEN(A5)</f>
        <v>1</v>
      </c>
      <c r="R5" s="31" t="str">
        <f t="shared" ref="R5:R68" si="6">_xlfn.CONCAT(D5," ",E5," ",F5," ",C5)</f>
        <v>Ann   DAVIES or DANIEL</v>
      </c>
      <c r="S5" t="str">
        <f t="shared" ref="S5:S68" si="7">_xlfn.CONCAT(G5," ",C5," (",H5," - ",I5,":  #",B5,")")</f>
        <v>Ann DAVIES or DANIEL (Unknown - Unknown:  #2b)</v>
      </c>
      <c r="U5" s="116">
        <f t="shared" si="3"/>
        <v>2002</v>
      </c>
      <c r="V5" s="5" t="s">
        <v>1965</v>
      </c>
      <c r="W5" s="116">
        <f>VALUE(LEFT(V5,1))</f>
        <v>2</v>
      </c>
      <c r="X5" s="116" t="str">
        <f t="shared" ref="X5:X68" si="8">RIGHT(V5,1)</f>
        <v>b</v>
      </c>
      <c r="Y5" s="116">
        <f>VLOOKUP(W5,'Loyd List 1-190 - Edit'!$P$1:$R$202,3,FALSE)</f>
        <v>1</v>
      </c>
      <c r="Z5" s="116"/>
      <c r="AB5" t="s">
        <v>3004</v>
      </c>
      <c r="AC5">
        <v>2</v>
      </c>
      <c r="AE5" s="99">
        <f t="shared" ref="AE5:AE29" si="9">BY5</f>
        <v>1</v>
      </c>
      <c r="AF5" s="116">
        <f>COUNTIF(BZ5:HK5,"&gt;0")</f>
        <v>3</v>
      </c>
      <c r="AG5" s="117" t="str">
        <f t="shared" ref="AG5:AI7" si="10">VLOOKUP(IF(ISNUMBER(SMALL($BZ5:$HK5,AG$3)),SMALL($BZ5:$HK5,AG$3),""),$U$4:$V$150,2,FALSE)</f>
        <v>2a</v>
      </c>
      <c r="AH5" s="117" t="str">
        <f t="shared" si="10"/>
        <v>2b</v>
      </c>
      <c r="AI5" s="117" t="str">
        <f t="shared" si="10"/>
        <v>2c</v>
      </c>
      <c r="AJ5" s="117"/>
      <c r="AK5" s="117"/>
      <c r="AL5" s="117"/>
      <c r="AM5" s="117"/>
      <c r="AN5" s="117"/>
      <c r="AO5" s="117"/>
      <c r="AP5" s="117"/>
      <c r="AQ5" s="117"/>
      <c r="AR5" s="117"/>
      <c r="AS5" s="117"/>
      <c r="AT5" s="117"/>
      <c r="AU5" s="117"/>
      <c r="AV5" s="117"/>
      <c r="AW5" s="117"/>
      <c r="AX5" s="117"/>
      <c r="AY5" s="117"/>
      <c r="AZ5" s="117"/>
      <c r="BA5" s="117"/>
      <c r="BB5" s="117"/>
      <c r="BC5" s="126">
        <f>VLOOKUP(BD5,'Loyd List 1-190 - Edit'!$P$2:$R$208,3,FALSE)</f>
        <v>0</v>
      </c>
      <c r="BD5" s="126">
        <f t="shared" si="4"/>
        <v>1</v>
      </c>
      <c r="BE5" s="126">
        <f t="shared" ref="BE5:BE29" si="11">AF5</f>
        <v>3</v>
      </c>
      <c r="BF5" s="97" t="str">
        <f>_xlfn.CONCAT(BG5," ",BH5," ",BI5," ",BJ5," ",BK5," ",BL5," ",BM5," ",BN5," ",BO5," ",BP5," ",BQ5," ",BR5," ",BS5," ",BT5," ",BU5)</f>
        <v xml:space="preserve">Lewis DAVIES or DANIEL (Unknown - Unknown:  #2a) Ann DAVIES or DANIEL (Unknown - Unknown:  #2b) William DAVIES or DANIEL (1800 - 1832:  #2c)            </v>
      </c>
      <c r="BG5" t="str">
        <f>IF(AG5&lt;&gt;"",VLOOKUP(AG5,$P$3:$T$447,4,FALSE),"")</f>
        <v>Lewis DAVIES or DANIEL (Unknown - Unknown:  #2a)</v>
      </c>
      <c r="BH5" t="str">
        <f t="shared" ref="BH5:BI20" si="12">IF(AH5&lt;&gt;"",VLOOKUP(AH5,$P$3:$T$447,4,FALSE),"")</f>
        <v>Ann DAVIES or DANIEL (Unknown - Unknown:  #2b)</v>
      </c>
      <c r="BI5" t="str">
        <f t="shared" si="12"/>
        <v>William DAVIES or DANIEL (1800 - 1832:  #2c)</v>
      </c>
      <c r="BJ5" t="str">
        <f t="shared" ref="BJ5:BU20" si="13">IF(AJ5&lt;&gt;"",VLOOKUP(AJ5,$P$3:$T$426,4,FALSE),"")</f>
        <v/>
      </c>
      <c r="BK5" t="str">
        <f t="shared" si="13"/>
        <v/>
      </c>
      <c r="BL5" t="str">
        <f t="shared" si="13"/>
        <v/>
      </c>
      <c r="BM5" t="str">
        <f t="shared" si="13"/>
        <v/>
      </c>
      <c r="BN5" t="str">
        <f t="shared" si="13"/>
        <v/>
      </c>
      <c r="BO5" t="str">
        <f t="shared" si="13"/>
        <v/>
      </c>
      <c r="BP5" t="str">
        <f t="shared" si="13"/>
        <v/>
      </c>
      <c r="BQ5" t="str">
        <f t="shared" si="13"/>
        <v/>
      </c>
      <c r="BR5" t="str">
        <f t="shared" si="13"/>
        <v/>
      </c>
      <c r="BS5" t="str">
        <f t="shared" si="13"/>
        <v/>
      </c>
      <c r="BT5" t="str">
        <f t="shared" si="13"/>
        <v/>
      </c>
      <c r="BU5" t="str">
        <f t="shared" si="13"/>
        <v/>
      </c>
      <c r="BY5" s="72">
        <v>1</v>
      </c>
      <c r="BZ5">
        <v>2001</v>
      </c>
      <c r="CA5">
        <v>2002</v>
      </c>
      <c r="CB5">
        <v>2003</v>
      </c>
      <c r="HL5">
        <v>6006</v>
      </c>
    </row>
    <row r="6" spans="1:220" ht="127" customHeight="1">
      <c r="A6">
        <f>'All Girls &amp; Descendants'!B4</f>
        <v>2</v>
      </c>
      <c r="B6" t="str">
        <f>'All Girls &amp; Descendants'!C4</f>
        <v>2c</v>
      </c>
      <c r="C6" t="str">
        <f>'All Girls &amp; Descendants'!D4</f>
        <v>DAVIES or DANIEL</v>
      </c>
      <c r="D6" t="str">
        <f>'All Girls &amp; Descendants'!E4</f>
        <v>William</v>
      </c>
      <c r="E6" t="str">
        <f>IF('All Girls &amp; Descendants'!F4="","",'All Girls &amp; Descendants'!F4)</f>
        <v/>
      </c>
      <c r="F6" t="str">
        <f>IF('All Girls &amp; Descendants'!G4="","",'All Girls &amp; Descendants'!G4)</f>
        <v/>
      </c>
      <c r="G6" t="str">
        <f>IF('All Girls &amp; Descendants'!H4="",D6,'All Girls &amp; Descendants'!H4)</f>
        <v>William</v>
      </c>
      <c r="H6">
        <f>'All Girls &amp; Descendants'!I4</f>
        <v>1800</v>
      </c>
      <c r="I6">
        <f>'All Girls &amp; Descendants'!J4</f>
        <v>1832</v>
      </c>
      <c r="K6" s="3" t="str">
        <f>'All Girls &amp; Descendants'!M4</f>
        <v>04/05/1800</v>
      </c>
      <c r="L6" t="str">
        <f>'All Girls &amp; Descendants'!N4</f>
        <v xml:space="preserve"> - </v>
      </c>
      <c r="M6" t="str">
        <f>'All Girls &amp; Descendants'!O4</f>
        <v>11/05/1832</v>
      </c>
      <c r="N6" t="str">
        <f>'All Girls &amp; Descendants'!P4</f>
        <v>11/05/1832</v>
      </c>
      <c r="O6" t="str">
        <f>'All Girls &amp; Descendants'!Q4</f>
        <v>2</v>
      </c>
      <c r="P6" t="str">
        <f t="shared" si="2"/>
        <v>2c</v>
      </c>
      <c r="Q6" s="116">
        <f t="shared" si="5"/>
        <v>1</v>
      </c>
      <c r="R6" s="31" t="str">
        <f t="shared" si="6"/>
        <v>William   DAVIES or DANIEL</v>
      </c>
      <c r="S6" t="str">
        <f t="shared" si="7"/>
        <v>William DAVIES or DANIEL (1800 - 1832:  #2c)</v>
      </c>
      <c r="U6" s="116">
        <f t="shared" si="3"/>
        <v>2003</v>
      </c>
      <c r="V6" t="s">
        <v>1969</v>
      </c>
      <c r="W6" s="116">
        <f>VALUE(LEFT(V6,1))</f>
        <v>2</v>
      </c>
      <c r="X6" s="116" t="str">
        <f t="shared" si="8"/>
        <v>c</v>
      </c>
      <c r="Y6" s="116">
        <f>VLOOKUP(W6,'Loyd List 1-190 - Edit'!$P$1:$R$202,3,FALSE)</f>
        <v>1</v>
      </c>
      <c r="Z6" s="116"/>
      <c r="AB6" t="s">
        <v>3005</v>
      </c>
      <c r="AC6">
        <v>3</v>
      </c>
      <c r="AE6" s="99">
        <f t="shared" si="9"/>
        <v>8</v>
      </c>
      <c r="AF6" s="116">
        <f t="shared" ref="AF6:AF33" si="14">COUNTIF(BZ6:HK6,"&gt;0")</f>
        <v>15</v>
      </c>
      <c r="AG6" s="117" t="str">
        <f t="shared" si="10"/>
        <v>11a</v>
      </c>
      <c r="AH6" s="117" t="str">
        <f t="shared" si="10"/>
        <v>11b</v>
      </c>
      <c r="AI6" s="117" t="str">
        <f t="shared" si="10"/>
        <v>11c</v>
      </c>
      <c r="AJ6" s="117" t="str">
        <f t="shared" ref="AJ6:AU6" si="15">VLOOKUP(IF(ISNUMBER(SMALL($BZ6:$HK6,AJ$3)),SMALL($BZ6:$HK6,AJ$3),""),$U$4:$V$150,2,FALSE)</f>
        <v>11d</v>
      </c>
      <c r="AK6" s="117" t="str">
        <f t="shared" si="15"/>
        <v>11e</v>
      </c>
      <c r="AL6" s="117" t="str">
        <f t="shared" si="15"/>
        <v>18a</v>
      </c>
      <c r="AM6" s="117" t="str">
        <f t="shared" si="15"/>
        <v>18b</v>
      </c>
      <c r="AN6" s="117" t="str">
        <f t="shared" si="15"/>
        <v>18c</v>
      </c>
      <c r="AO6" s="117" t="str">
        <f t="shared" si="15"/>
        <v>18d</v>
      </c>
      <c r="AP6" s="117" t="str">
        <f t="shared" si="15"/>
        <v>18e</v>
      </c>
      <c r="AQ6" s="117" t="str">
        <f t="shared" si="15"/>
        <v>19a</v>
      </c>
      <c r="AR6" s="117" t="str">
        <f t="shared" si="15"/>
        <v>19b</v>
      </c>
      <c r="AS6" s="117" t="str">
        <f t="shared" si="15"/>
        <v>19c</v>
      </c>
      <c r="AT6" s="117" t="str">
        <f t="shared" si="15"/>
        <v>19d</v>
      </c>
      <c r="AU6" s="117" t="str">
        <f t="shared" si="15"/>
        <v>19e</v>
      </c>
      <c r="AV6" s="117"/>
      <c r="AW6" s="117"/>
      <c r="AX6" s="117"/>
      <c r="AY6" s="117"/>
      <c r="AZ6" s="117"/>
      <c r="BA6" s="117"/>
      <c r="BB6" s="117"/>
      <c r="BC6" s="126">
        <f>VLOOKUP(BD6,'Loyd List 1-190 - Edit'!$P$2:$R$208,3,FALSE)</f>
        <v>1</v>
      </c>
      <c r="BD6" s="126">
        <f t="shared" si="4"/>
        <v>8</v>
      </c>
      <c r="BE6" s="126">
        <f t="shared" si="11"/>
        <v>15</v>
      </c>
      <c r="BF6" s="97" t="str">
        <f t="shared" ref="BF6:BF33" si="16">_xlfn.CONCAT(BG6," ",BH6," ",BI6," ",BJ6," ",BK6," ",BL6," ",BM6," ",BN6," ",BO6," ",BP6," ",BQ6," ",BR6," ",BS6," ",BT6," ",BU6)</f>
        <v>Emma BENYON (1838 - 1913:  #11a) Sarah BENYON (1839 - 1863:  #11b) Henry BENYON (1841 - 1861:  #11c) Fanny BENYON (1842 - 1845:  #11d) Edward BENYON (1845 - 1903:  #11e) Margaret NICOL (1844 - 1927:  #18a) William NICOL (1846 - 1914:  #18b) James NICOL (1848 - 1938:  #18c) Sarah NICOL (1854 - 1943:  #18d) Lewis NICOL (1858 - 1935:  #18e) William ENTWISLE (1839 - 1860:  #19a) Richard ENTWISLE (1840 - 1894:  #19b) Frederica ENTWISLE (1842 - 1916:  #19c) Bernard ENTWISLE (1847 - 1877:  #19d) Edward ENTWISLE (1852 - 1881:  #19e)</v>
      </c>
      <c r="BG6" t="str">
        <f t="shared" ref="BG6:BI33" si="17">IF(AG6&lt;&gt;"",VLOOKUP(AG6,$P$3:$T$447,4,FALSE),"")</f>
        <v>Emma BENYON (1838 - 1913:  #11a)</v>
      </c>
      <c r="BH6" t="str">
        <f t="shared" si="12"/>
        <v>Sarah BENYON (1839 - 1863:  #11b)</v>
      </c>
      <c r="BI6" t="str">
        <f t="shared" si="12"/>
        <v>Henry BENYON (1841 - 1861:  #11c)</v>
      </c>
      <c r="BJ6" t="str">
        <f t="shared" si="13"/>
        <v>Fanny BENYON (1842 - 1845:  #11d)</v>
      </c>
      <c r="BK6" t="str">
        <f t="shared" si="13"/>
        <v>Edward BENYON (1845 - 1903:  #11e)</v>
      </c>
      <c r="BL6" t="str">
        <f t="shared" si="13"/>
        <v>Margaret NICOL (1844 - 1927:  #18a)</v>
      </c>
      <c r="BM6" t="str">
        <f t="shared" si="13"/>
        <v>William NICOL (1846 - 1914:  #18b)</v>
      </c>
      <c r="BN6" t="str">
        <f t="shared" si="13"/>
        <v>James NICOL (1848 - 1938:  #18c)</v>
      </c>
      <c r="BO6" t="str">
        <f t="shared" si="13"/>
        <v>Sarah NICOL (1854 - 1943:  #18d)</v>
      </c>
      <c r="BP6" t="str">
        <f t="shared" si="13"/>
        <v>Lewis NICOL (1858 - 1935:  #18e)</v>
      </c>
      <c r="BQ6" t="str">
        <f t="shared" si="13"/>
        <v>William ENTWISLE (1839 - 1860:  #19a)</v>
      </c>
      <c r="BR6" t="str">
        <f t="shared" si="13"/>
        <v>Richard ENTWISLE (1840 - 1894:  #19b)</v>
      </c>
      <c r="BS6" t="str">
        <f t="shared" si="13"/>
        <v>Frederica ENTWISLE (1842 - 1916:  #19c)</v>
      </c>
      <c r="BT6" t="str">
        <f t="shared" si="13"/>
        <v>Bernard ENTWISLE (1847 - 1877:  #19d)</v>
      </c>
      <c r="BU6" t="str">
        <f t="shared" si="13"/>
        <v>Edward ENTWISLE (1852 - 1881:  #19e)</v>
      </c>
      <c r="BY6" s="72">
        <v>8</v>
      </c>
      <c r="CC6">
        <v>11001</v>
      </c>
      <c r="CD6">
        <v>11002</v>
      </c>
      <c r="CE6">
        <v>11003</v>
      </c>
      <c r="CF6">
        <v>11004</v>
      </c>
      <c r="CG6">
        <v>11005</v>
      </c>
      <c r="CH6">
        <v>18001</v>
      </c>
      <c r="CI6">
        <v>18002</v>
      </c>
      <c r="CJ6">
        <v>18003</v>
      </c>
      <c r="CK6">
        <v>18004</v>
      </c>
      <c r="CL6">
        <v>18005</v>
      </c>
      <c r="CM6">
        <v>19001</v>
      </c>
      <c r="CN6">
        <v>19002</v>
      </c>
      <c r="CO6">
        <v>19003</v>
      </c>
      <c r="CP6">
        <v>19004</v>
      </c>
      <c r="CQ6">
        <v>19005</v>
      </c>
      <c r="HL6">
        <v>240045</v>
      </c>
    </row>
    <row r="7" spans="1:220" ht="88" customHeight="1">
      <c r="A7">
        <f>'All Girls &amp; Descendants'!B5</f>
        <v>11</v>
      </c>
      <c r="B7" t="str">
        <f>'All Girls &amp; Descendants'!C5</f>
        <v>11a</v>
      </c>
      <c r="C7" t="str">
        <f>'All Girls &amp; Descendants'!D5</f>
        <v>BENYON</v>
      </c>
      <c r="D7" t="str">
        <f>'All Girls &amp; Descendants'!E5</f>
        <v>Emma</v>
      </c>
      <c r="E7" t="str">
        <f>IF('All Girls &amp; Descendants'!F5="","",'All Girls &amp; Descendants'!F5)</f>
        <v/>
      </c>
      <c r="F7" t="str">
        <f>IF('All Girls &amp; Descendants'!G5="","",'All Girls &amp; Descendants'!G5)</f>
        <v/>
      </c>
      <c r="G7" t="str">
        <f>IF('All Girls &amp; Descendants'!H5="",D7,'All Girls &amp; Descendants'!H5)</f>
        <v>Emma</v>
      </c>
      <c r="H7">
        <f>'All Girls &amp; Descendants'!I5</f>
        <v>1838</v>
      </c>
      <c r="I7">
        <f>'All Girls &amp; Descendants'!J5</f>
        <v>1913</v>
      </c>
      <c r="K7" s="3" t="str">
        <f>'All Girls &amp; Descendants'!M5</f>
        <v>09/03/1838</v>
      </c>
      <c r="L7" t="str">
        <f>'All Girls &amp; Descendants'!N5</f>
        <v>Unmarried</v>
      </c>
      <c r="M7">
        <f>'All Girls &amp; Descendants'!O5</f>
        <v>5016</v>
      </c>
      <c r="N7" t="str">
        <f>'All Girls &amp; Descendants'!P5</f>
        <v>24/09/1913</v>
      </c>
      <c r="O7" t="str">
        <f>'All Girls &amp; Descendants'!Q5</f>
        <v>11</v>
      </c>
      <c r="P7" t="str">
        <f t="shared" si="2"/>
        <v>11a</v>
      </c>
      <c r="Q7" s="116">
        <f t="shared" si="5"/>
        <v>1</v>
      </c>
      <c r="R7" s="31" t="str">
        <f t="shared" si="6"/>
        <v>Emma   BENYON</v>
      </c>
      <c r="S7" t="str">
        <f t="shared" si="7"/>
        <v>Emma BENYON (1838 - 1913:  #11a)</v>
      </c>
      <c r="U7" s="116">
        <f t="shared" si="3"/>
        <v>11001</v>
      </c>
      <c r="V7" t="s">
        <v>2007</v>
      </c>
      <c r="W7" s="116">
        <f>VALUE(LEFT(V7,2))</f>
        <v>11</v>
      </c>
      <c r="X7" s="116" t="str">
        <f t="shared" si="8"/>
        <v>a</v>
      </c>
      <c r="Y7" s="116">
        <f>VLOOKUP(W7,'Loyd List 1-190 - Edit'!$P$1:$R$202,3,FALSE)</f>
        <v>8</v>
      </c>
      <c r="Z7" s="116"/>
      <c r="AB7" t="s">
        <v>3006</v>
      </c>
      <c r="AC7">
        <v>4</v>
      </c>
      <c r="AE7" s="99">
        <f t="shared" si="9"/>
        <v>22</v>
      </c>
      <c r="AF7" s="116">
        <f t="shared" si="14"/>
        <v>10</v>
      </c>
      <c r="AG7" s="117" t="str">
        <f t="shared" si="10"/>
        <v>36a</v>
      </c>
      <c r="AH7" s="117" t="str">
        <f t="shared" si="10"/>
        <v>36b</v>
      </c>
      <c r="AI7" s="117" t="str">
        <f t="shared" si="10"/>
        <v>36c</v>
      </c>
      <c r="AJ7" s="117" t="str">
        <f t="shared" ref="AJ7:AP7" si="18">VLOOKUP(IF(ISNUMBER(SMALL($BZ7:$HK7,AJ$3)),SMALL($BZ7:$HK7,AJ$3),""),$U$4:$V$150,2,FALSE)</f>
        <v>36d</v>
      </c>
      <c r="AK7" s="117" t="str">
        <f t="shared" si="18"/>
        <v>36e</v>
      </c>
      <c r="AL7" s="117" t="str">
        <f t="shared" si="18"/>
        <v>36f</v>
      </c>
      <c r="AM7" s="117" t="str">
        <f t="shared" si="18"/>
        <v>36g</v>
      </c>
      <c r="AN7" s="117" t="str">
        <f t="shared" si="18"/>
        <v>36h</v>
      </c>
      <c r="AO7" s="117" t="str">
        <f t="shared" si="18"/>
        <v>47a</v>
      </c>
      <c r="AP7" s="117" t="str">
        <f t="shared" si="18"/>
        <v>47b</v>
      </c>
      <c r="AQ7" s="117"/>
      <c r="AR7" s="117"/>
      <c r="AS7" s="117"/>
      <c r="AT7" s="117"/>
      <c r="AU7" s="117"/>
      <c r="AV7" s="117"/>
      <c r="AW7" s="117"/>
      <c r="AX7" s="117"/>
      <c r="AY7" s="117"/>
      <c r="AZ7" s="117"/>
      <c r="BA7" s="117"/>
      <c r="BB7" s="117"/>
      <c r="BC7" s="126">
        <f>VLOOKUP(BD7,'Loyd List 1-190 - Edit'!$P$2:$R$208,3,FALSE)</f>
        <v>8</v>
      </c>
      <c r="BD7" s="126">
        <f t="shared" si="4"/>
        <v>22</v>
      </c>
      <c r="BE7" s="126">
        <f t="shared" si="11"/>
        <v>10</v>
      </c>
      <c r="BF7" s="97" t="str">
        <f t="shared" si="16"/>
        <v xml:space="preserve">George COURTHOPE (1877 - 1955:  #36a) Alexander COURTHOPE (1878 - 1892:  #36b) John COURTHOPE (1882 - 1954:  #36c) Barbara COURTHOPE (1883 - 1972:  #36d) Elinor COURTHOPE (1886 - 1974:  #36e) Richard COURTHOPE (1888 - 1889:  #36f) Robert COURTHOPE (1891 - 1966:  #36g) Margery COURTHOPE (1893 - 1901:  #36h) Loyd HARDCASTLE (1893 - 1955:  #47a) Canon Joseph HARDCASTLE (1899 - 1972:  #47b)     </v>
      </c>
      <c r="BG7" t="str">
        <f t="shared" si="17"/>
        <v>George COURTHOPE (1877 - 1955:  #36a)</v>
      </c>
      <c r="BH7" t="str">
        <f t="shared" si="12"/>
        <v>Alexander COURTHOPE (1878 - 1892:  #36b)</v>
      </c>
      <c r="BI7" t="str">
        <f t="shared" si="12"/>
        <v>John COURTHOPE (1882 - 1954:  #36c)</v>
      </c>
      <c r="BJ7" t="str">
        <f t="shared" si="13"/>
        <v>Barbara COURTHOPE (1883 - 1972:  #36d)</v>
      </c>
      <c r="BK7" t="str">
        <f t="shared" si="13"/>
        <v>Elinor COURTHOPE (1886 - 1974:  #36e)</v>
      </c>
      <c r="BL7" t="str">
        <f t="shared" si="13"/>
        <v>Richard COURTHOPE (1888 - 1889:  #36f)</v>
      </c>
      <c r="BM7" t="str">
        <f t="shared" si="13"/>
        <v>Robert COURTHOPE (1891 - 1966:  #36g)</v>
      </c>
      <c r="BN7" t="str">
        <f t="shared" si="13"/>
        <v>Margery COURTHOPE (1893 - 1901:  #36h)</v>
      </c>
      <c r="BO7" t="str">
        <f t="shared" si="13"/>
        <v>Loyd HARDCASTLE (1893 - 1955:  #47a)</v>
      </c>
      <c r="BP7" t="str">
        <f t="shared" si="13"/>
        <v>Canon Joseph HARDCASTLE (1899 - 1972:  #47b)</v>
      </c>
      <c r="BQ7" t="str">
        <f t="shared" si="13"/>
        <v/>
      </c>
      <c r="BR7" t="str">
        <f t="shared" si="13"/>
        <v/>
      </c>
      <c r="BS7" t="str">
        <f t="shared" si="13"/>
        <v/>
      </c>
      <c r="BT7" t="str">
        <f t="shared" si="13"/>
        <v/>
      </c>
      <c r="BU7" t="str">
        <f t="shared" si="13"/>
        <v/>
      </c>
      <c r="BY7" s="72">
        <v>22</v>
      </c>
      <c r="CR7">
        <v>36001</v>
      </c>
      <c r="CS7">
        <v>36002</v>
      </c>
      <c r="CT7">
        <v>36003</v>
      </c>
      <c r="CU7">
        <v>36004</v>
      </c>
      <c r="CV7">
        <v>36005</v>
      </c>
      <c r="CW7">
        <v>36006</v>
      </c>
      <c r="CX7">
        <v>36007</v>
      </c>
      <c r="CY7">
        <v>36008</v>
      </c>
      <c r="DA7">
        <v>47001</v>
      </c>
      <c r="DB7">
        <v>47002</v>
      </c>
      <c r="HL7">
        <v>382039</v>
      </c>
    </row>
    <row r="8" spans="1:220" s="5" customFormat="1" ht="17">
      <c r="A8" s="5">
        <f>'All Girls &amp; Descendants'!B6</f>
        <v>11</v>
      </c>
      <c r="B8" s="5" t="str">
        <f>'All Girls &amp; Descendants'!C6</f>
        <v>11b</v>
      </c>
      <c r="C8" s="5" t="str">
        <f>'All Girls &amp; Descendants'!D6</f>
        <v>BENYON</v>
      </c>
      <c r="D8" s="5" t="str">
        <f>'All Girls &amp; Descendants'!E6</f>
        <v>Sarah</v>
      </c>
      <c r="E8" s="5" t="str">
        <f>IF('All Girls &amp; Descendants'!F6="","",'All Girls &amp; Descendants'!F6)</f>
        <v/>
      </c>
      <c r="F8" s="5" t="str">
        <f>IF('All Girls &amp; Descendants'!G6="","",'All Girls &amp; Descendants'!G6)</f>
        <v/>
      </c>
      <c r="G8" s="5" t="str">
        <f>IF('All Girls &amp; Descendants'!H6="",D8,'All Girls &amp; Descendants'!H6)</f>
        <v>Sarah</v>
      </c>
      <c r="H8" s="5">
        <f>'All Girls &amp; Descendants'!I6</f>
        <v>1839</v>
      </c>
      <c r="I8" s="5">
        <f>'All Girls &amp; Descendants'!J6</f>
        <v>1863</v>
      </c>
      <c r="K8" s="7" t="str">
        <f>'All Girls &amp; Descendants'!M6</f>
        <v>02/09/1839</v>
      </c>
      <c r="L8" s="5" t="str">
        <f>'All Girls &amp; Descendants'!N6</f>
        <v>Unmarried</v>
      </c>
      <c r="M8" s="5" t="str">
        <f>'All Girls &amp; Descendants'!O6</f>
        <v>01/05/1863</v>
      </c>
      <c r="N8" s="5" t="str">
        <f>'All Girls &amp; Descendants'!P6</f>
        <v>01/05/1863</v>
      </c>
      <c r="O8" s="5" t="str">
        <f>'All Girls &amp; Descendants'!Q6</f>
        <v>11</v>
      </c>
      <c r="P8" s="5" t="str">
        <f t="shared" si="2"/>
        <v>11b</v>
      </c>
      <c r="Q8" s="100">
        <f t="shared" si="5"/>
        <v>1</v>
      </c>
      <c r="R8" s="110" t="str">
        <f t="shared" si="6"/>
        <v>Sarah   BENYON</v>
      </c>
      <c r="S8" t="str">
        <f t="shared" si="7"/>
        <v>Sarah BENYON (1839 - 1863:  #11b)</v>
      </c>
      <c r="U8" s="100">
        <f t="shared" si="3"/>
        <v>11002</v>
      </c>
      <c r="V8" t="s">
        <v>2010</v>
      </c>
      <c r="W8" s="100">
        <f t="shared" ref="W8:W66" si="19">VALUE(LEFT(V8,2))</f>
        <v>11</v>
      </c>
      <c r="X8" s="100" t="str">
        <f t="shared" si="8"/>
        <v>b</v>
      </c>
      <c r="Y8" s="116">
        <f>VLOOKUP(W8,'Loyd List 1-190 - Edit'!$P$1:$R$202,3,FALSE)</f>
        <v>8</v>
      </c>
      <c r="Z8" s="100"/>
      <c r="AB8" s="5" t="s">
        <v>3007</v>
      </c>
      <c r="AC8" s="5">
        <v>5</v>
      </c>
      <c r="AE8" s="105">
        <f t="shared" si="9"/>
        <v>23</v>
      </c>
      <c r="AF8" s="116">
        <f t="shared" si="14"/>
        <v>2</v>
      </c>
      <c r="AG8" s="117" t="str">
        <f t="shared" ref="AG8:AH26" si="20">VLOOKUP(IF(ISNUMBER(SMALL($BZ8:$HK8,AG$3)),SMALL($BZ8:$HK8,AG$3),""),$U$4:$V$150,2,FALSE)</f>
        <v>42a</v>
      </c>
      <c r="AH8" s="117" t="str">
        <f t="shared" si="20"/>
        <v>48a</v>
      </c>
      <c r="AI8" s="117"/>
      <c r="AJ8" s="127"/>
      <c r="AK8" s="127"/>
      <c r="AL8" s="127"/>
      <c r="AM8" s="127"/>
      <c r="AN8" s="127"/>
      <c r="AO8" s="127"/>
      <c r="AP8" s="127"/>
      <c r="AQ8" s="127"/>
      <c r="AR8" s="127"/>
      <c r="AS8" s="127"/>
      <c r="AT8" s="127"/>
      <c r="AU8" s="127"/>
      <c r="AV8" s="127"/>
      <c r="AW8" s="127"/>
      <c r="AX8" s="127"/>
      <c r="AY8" s="127"/>
      <c r="AZ8" s="127"/>
      <c r="BA8" s="127"/>
      <c r="BB8" s="127"/>
      <c r="BC8" s="126">
        <f>VLOOKUP(BD8,'Loyd List 1-190 - Edit'!$P$2:$R$208,3,FALSE)</f>
        <v>8</v>
      </c>
      <c r="BD8" s="126">
        <f t="shared" si="4"/>
        <v>23</v>
      </c>
      <c r="BE8" s="126">
        <f t="shared" si="11"/>
        <v>2</v>
      </c>
      <c r="BF8" s="97" t="str">
        <f t="shared" si="16"/>
        <v xml:space="preserve">Ambrose GODDARD (1892 - :  #42a) Mabell D'OYLY (1904 - 1983:  #48a)             </v>
      </c>
      <c r="BG8" t="str">
        <f t="shared" si="17"/>
        <v>Ambrose GODDARD (1892 - :  #42a)</v>
      </c>
      <c r="BH8" t="str">
        <f t="shared" si="12"/>
        <v>Mabell D'OYLY (1904 - 1983:  #48a)</v>
      </c>
      <c r="BI8" t="str">
        <f t="shared" si="12"/>
        <v/>
      </c>
      <c r="BJ8" s="5" t="str">
        <f t="shared" si="13"/>
        <v/>
      </c>
      <c r="BK8" s="5" t="str">
        <f t="shared" si="13"/>
        <v/>
      </c>
      <c r="BL8" s="5" t="str">
        <f t="shared" si="13"/>
        <v/>
      </c>
      <c r="BM8" s="5" t="str">
        <f t="shared" si="13"/>
        <v/>
      </c>
      <c r="BN8" s="5" t="str">
        <f t="shared" si="13"/>
        <v/>
      </c>
      <c r="BO8" s="5" t="str">
        <f t="shared" si="13"/>
        <v/>
      </c>
      <c r="BP8" s="5" t="str">
        <f t="shared" si="13"/>
        <v/>
      </c>
      <c r="BQ8" s="5" t="str">
        <f t="shared" si="13"/>
        <v/>
      </c>
      <c r="BR8" s="5" t="str">
        <f t="shared" si="13"/>
        <v/>
      </c>
      <c r="BS8" s="5" t="str">
        <f t="shared" si="13"/>
        <v/>
      </c>
      <c r="BT8" s="5" t="str">
        <f t="shared" si="13"/>
        <v/>
      </c>
      <c r="BU8" s="5" t="str">
        <f t="shared" si="13"/>
        <v/>
      </c>
      <c r="BY8" s="72">
        <v>23</v>
      </c>
      <c r="BZ8"/>
      <c r="CA8"/>
      <c r="CB8"/>
      <c r="CC8"/>
      <c r="CD8"/>
      <c r="CE8"/>
      <c r="CF8"/>
      <c r="CG8"/>
      <c r="CH8"/>
      <c r="CI8"/>
      <c r="CJ8"/>
      <c r="CK8"/>
      <c r="CL8"/>
      <c r="CM8"/>
      <c r="CN8"/>
      <c r="CO8"/>
      <c r="CP8"/>
      <c r="CQ8"/>
      <c r="CR8"/>
      <c r="CS8"/>
      <c r="CT8"/>
      <c r="CU8"/>
      <c r="CV8"/>
      <c r="CW8"/>
      <c r="CX8"/>
      <c r="CY8"/>
      <c r="CZ8">
        <v>42001</v>
      </c>
      <c r="DA8"/>
      <c r="DB8"/>
      <c r="DC8">
        <v>48001</v>
      </c>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v>90002</v>
      </c>
    </row>
    <row r="9" spans="1:220" ht="17">
      <c r="A9">
        <f>'All Girls &amp; Descendants'!B7</f>
        <v>11</v>
      </c>
      <c r="B9" t="str">
        <f>'All Girls &amp; Descendants'!C7</f>
        <v>11c</v>
      </c>
      <c r="C9" t="str">
        <f>'All Girls &amp; Descendants'!D7</f>
        <v>BENYON</v>
      </c>
      <c r="D9" t="str">
        <f>'All Girls &amp; Descendants'!E7</f>
        <v>Henry</v>
      </c>
      <c r="E9" t="str">
        <f>IF('All Girls &amp; Descendants'!F7="","",'All Girls &amp; Descendants'!F7)</f>
        <v/>
      </c>
      <c r="F9" t="str">
        <f>IF('All Girls &amp; Descendants'!G7="","",'All Girls &amp; Descendants'!G7)</f>
        <v/>
      </c>
      <c r="G9" t="str">
        <f>IF('All Girls &amp; Descendants'!H7="",D9,'All Girls &amp; Descendants'!H7)</f>
        <v>Henry</v>
      </c>
      <c r="H9">
        <f>'All Girls &amp; Descendants'!I7</f>
        <v>1841</v>
      </c>
      <c r="I9">
        <f>'All Girls &amp; Descendants'!J7</f>
        <v>1861</v>
      </c>
      <c r="K9" s="3" t="str">
        <f>'All Girls &amp; Descendants'!M7</f>
        <v>15/01/1841</v>
      </c>
      <c r="L9" t="str">
        <f>'All Girls &amp; Descendants'!N7</f>
        <v>Unmarried</v>
      </c>
      <c r="M9" t="str">
        <f>'All Girls &amp; Descendants'!O7</f>
        <v>01/03/1861</v>
      </c>
      <c r="N9" t="str">
        <f>'All Girls &amp; Descendants'!P7</f>
        <v>01/03/1861</v>
      </c>
      <c r="O9" t="str">
        <f>'All Girls &amp; Descendants'!Q7</f>
        <v>11</v>
      </c>
      <c r="P9" t="str">
        <f t="shared" si="2"/>
        <v>11c</v>
      </c>
      <c r="Q9" s="116">
        <f t="shared" si="5"/>
        <v>1</v>
      </c>
      <c r="R9" s="31" t="str">
        <f t="shared" si="6"/>
        <v>Henry   BENYON</v>
      </c>
      <c r="S9" t="str">
        <f t="shared" si="7"/>
        <v>Henry BENYON (1841 - 1861:  #11c)</v>
      </c>
      <c r="U9" s="116">
        <f t="shared" si="3"/>
        <v>11003</v>
      </c>
      <c r="V9" t="s">
        <v>2011</v>
      </c>
      <c r="W9" s="116">
        <f t="shared" si="19"/>
        <v>11</v>
      </c>
      <c r="X9" s="116" t="str">
        <f t="shared" si="8"/>
        <v>c</v>
      </c>
      <c r="Y9" s="116">
        <f>VLOOKUP(W9,'Loyd List 1-190 - Edit'!$P$1:$R$202,3,FALSE)</f>
        <v>8</v>
      </c>
      <c r="Z9" s="116"/>
      <c r="AB9" t="s">
        <v>3008</v>
      </c>
      <c r="AC9">
        <v>6</v>
      </c>
      <c r="AE9" s="99">
        <f t="shared" si="9"/>
        <v>34</v>
      </c>
      <c r="AF9" s="116">
        <f t="shared" si="14"/>
        <v>3</v>
      </c>
      <c r="AG9" s="117" t="str">
        <f t="shared" si="20"/>
        <v>65a</v>
      </c>
      <c r="AH9" s="117" t="str">
        <f t="shared" si="20"/>
        <v>65b</v>
      </c>
      <c r="AI9" s="117" t="str">
        <f t="shared" ref="AI9:AI20" si="21">VLOOKUP(IF(ISNUMBER(SMALL($BZ9:$HK9,AI$3)),SMALL($BZ9:$HK9,AI$3),""),$U$4:$V$150,2,FALSE)</f>
        <v>65c</v>
      </c>
      <c r="AJ9" s="117"/>
      <c r="AK9" s="117"/>
      <c r="AL9" s="117"/>
      <c r="AM9" s="117"/>
      <c r="AN9" s="117"/>
      <c r="AO9" s="117"/>
      <c r="AP9" s="117"/>
      <c r="AQ9" s="117"/>
      <c r="AR9" s="117"/>
      <c r="AS9" s="117"/>
      <c r="AT9" s="117"/>
      <c r="AU9" s="117"/>
      <c r="AV9" s="117"/>
      <c r="AW9" s="117"/>
      <c r="AX9" s="117"/>
      <c r="AY9" s="117"/>
      <c r="AZ9" s="117"/>
      <c r="BA9" s="117"/>
      <c r="BB9" s="117"/>
      <c r="BC9" s="126">
        <f>VLOOKUP(BD9,'Loyd List 1-190 - Edit'!$P$2:$R$208,3,FALSE)</f>
        <v>14</v>
      </c>
      <c r="BD9" s="126">
        <f t="shared" si="4"/>
        <v>34</v>
      </c>
      <c r="BE9" s="126">
        <f t="shared" si="11"/>
        <v>3</v>
      </c>
      <c r="BF9" s="97" t="str">
        <f t="shared" si="16"/>
        <v xml:space="preserve">Audrey WHEELER (1913 - :  #65a) Norma WHEELER (1924 - :  #65b) Basil WHEELER (1926 - :  #65c)            </v>
      </c>
      <c r="BG9" t="str">
        <f t="shared" si="17"/>
        <v>Audrey WHEELER (1913 - :  #65a)</v>
      </c>
      <c r="BH9" t="str">
        <f t="shared" si="12"/>
        <v>Norma WHEELER (1924 - :  #65b)</v>
      </c>
      <c r="BI9" t="str">
        <f t="shared" si="12"/>
        <v>Basil WHEELER (1926 - :  #65c)</v>
      </c>
      <c r="BJ9" t="str">
        <f t="shared" si="13"/>
        <v/>
      </c>
      <c r="BK9" t="str">
        <f t="shared" si="13"/>
        <v/>
      </c>
      <c r="BL9" t="str">
        <f t="shared" si="13"/>
        <v/>
      </c>
      <c r="BM9" t="str">
        <f t="shared" si="13"/>
        <v/>
      </c>
      <c r="BN9" t="str">
        <f t="shared" si="13"/>
        <v/>
      </c>
      <c r="BO9" t="str">
        <f t="shared" si="13"/>
        <v/>
      </c>
      <c r="BP9" t="str">
        <f t="shared" si="13"/>
        <v/>
      </c>
      <c r="BQ9" t="str">
        <f t="shared" si="13"/>
        <v/>
      </c>
      <c r="BR9" t="str">
        <f t="shared" si="13"/>
        <v/>
      </c>
      <c r="BS9" t="str">
        <f t="shared" si="13"/>
        <v/>
      </c>
      <c r="BT9" t="str">
        <f t="shared" si="13"/>
        <v/>
      </c>
      <c r="BU9" t="str">
        <f t="shared" si="13"/>
        <v/>
      </c>
      <c r="BY9" s="72">
        <v>34</v>
      </c>
      <c r="DG9">
        <v>65001</v>
      </c>
      <c r="DH9">
        <v>65002</v>
      </c>
      <c r="DI9">
        <v>65003</v>
      </c>
      <c r="HL9">
        <v>195006</v>
      </c>
    </row>
    <row r="10" spans="1:220" ht="34">
      <c r="A10">
        <f>'All Girls &amp; Descendants'!B8</f>
        <v>11</v>
      </c>
      <c r="B10" t="str">
        <f>'All Girls &amp; Descendants'!C8</f>
        <v>11d</v>
      </c>
      <c r="C10" t="str">
        <f>'All Girls &amp; Descendants'!D8</f>
        <v>BENYON</v>
      </c>
      <c r="D10" t="str">
        <f>'All Girls &amp; Descendants'!E8</f>
        <v>Fanny</v>
      </c>
      <c r="E10" t="str">
        <f>IF('All Girls &amp; Descendants'!F8="","",'All Girls &amp; Descendants'!F8)</f>
        <v/>
      </c>
      <c r="F10" t="str">
        <f>IF('All Girls &amp; Descendants'!G8="","",'All Girls &amp; Descendants'!G8)</f>
        <v/>
      </c>
      <c r="G10" t="str">
        <f>IF('All Girls &amp; Descendants'!H8="",D10,'All Girls &amp; Descendants'!H8)</f>
        <v>Fanny</v>
      </c>
      <c r="H10">
        <f>'All Girls &amp; Descendants'!I8</f>
        <v>1842</v>
      </c>
      <c r="I10">
        <f>'All Girls &amp; Descendants'!J8</f>
        <v>1845</v>
      </c>
      <c r="K10" s="3" t="str">
        <f>'All Girls &amp; Descendants'!M8</f>
        <v>02/02/1842</v>
      </c>
      <c r="L10" t="str">
        <f>'All Girls &amp; Descendants'!N8</f>
        <v>Unmarried</v>
      </c>
      <c r="M10" t="str">
        <f>'All Girls &amp; Descendants'!O8</f>
        <v>30/01/1845</v>
      </c>
      <c r="N10" t="str">
        <f>'All Girls &amp; Descendants'!P8</f>
        <v>30/01/1845</v>
      </c>
      <c r="O10" t="str">
        <f>'All Girls &amp; Descendants'!Q8</f>
        <v>11</v>
      </c>
      <c r="P10" t="str">
        <f t="shared" si="2"/>
        <v>11d</v>
      </c>
      <c r="Q10" s="116">
        <f t="shared" si="5"/>
        <v>1</v>
      </c>
      <c r="R10" s="31" t="str">
        <f t="shared" si="6"/>
        <v>Fanny   BENYON</v>
      </c>
      <c r="S10" t="str">
        <f t="shared" si="7"/>
        <v>Fanny BENYON (1842 - 1845:  #11d)</v>
      </c>
      <c r="U10" s="116">
        <f t="shared" si="3"/>
        <v>11004</v>
      </c>
      <c r="V10" t="s">
        <v>2012</v>
      </c>
      <c r="W10" s="116">
        <f t="shared" si="19"/>
        <v>11</v>
      </c>
      <c r="X10" s="116" t="str">
        <f t="shared" si="8"/>
        <v>d</v>
      </c>
      <c r="Y10" s="116">
        <f>VLOOKUP(W10,'Loyd List 1-190 - Edit'!$P$1:$R$202,3,FALSE)</f>
        <v>8</v>
      </c>
      <c r="Z10" s="116"/>
      <c r="AB10" t="s">
        <v>3009</v>
      </c>
      <c r="AC10">
        <v>7</v>
      </c>
      <c r="AE10" s="99">
        <f t="shared" si="9"/>
        <v>41</v>
      </c>
      <c r="AF10" s="116">
        <f t="shared" si="14"/>
        <v>3</v>
      </c>
      <c r="AG10" s="117" t="str">
        <f t="shared" si="20"/>
        <v>63a</v>
      </c>
      <c r="AH10" s="117" t="str">
        <f t="shared" si="20"/>
        <v>63b</v>
      </c>
      <c r="AI10" s="117" t="str">
        <f t="shared" si="21"/>
        <v>63c</v>
      </c>
      <c r="AJ10" s="117"/>
      <c r="AK10" s="117"/>
      <c r="AL10" s="117"/>
      <c r="AM10" s="117"/>
      <c r="AN10" s="117"/>
      <c r="AO10" s="117"/>
      <c r="AP10" s="117"/>
      <c r="AQ10" s="117"/>
      <c r="AR10" s="117"/>
      <c r="AS10" s="117"/>
      <c r="AT10" s="117"/>
      <c r="AU10" s="117"/>
      <c r="AV10" s="117"/>
      <c r="AW10" s="117"/>
      <c r="AX10" s="117"/>
      <c r="AY10" s="117"/>
      <c r="AZ10" s="117"/>
      <c r="BA10" s="117"/>
      <c r="BB10" s="117"/>
      <c r="BC10" s="126">
        <f>VLOOKUP(BD10,'Loyd List 1-190 - Edit'!$P$2:$R$208,3,FALSE)</f>
        <v>22</v>
      </c>
      <c r="BD10" s="126">
        <f t="shared" si="4"/>
        <v>41</v>
      </c>
      <c r="BE10" s="126">
        <f t="shared" si="11"/>
        <v>3</v>
      </c>
      <c r="BF10" s="97" t="str">
        <f t="shared" si="16"/>
        <v xml:space="preserve">Loyd MOORE (1926 - 2019:  #63a) Isabel MOORE (1929 - 2020:  #63b) Veronica MOORE (1930 - 1934:  #63c)            </v>
      </c>
      <c r="BG10" t="str">
        <f t="shared" si="17"/>
        <v>Loyd MOORE (1926 - 2019:  #63a)</v>
      </c>
      <c r="BH10" t="str">
        <f t="shared" si="12"/>
        <v>Isabel MOORE (1929 - 2020:  #63b)</v>
      </c>
      <c r="BI10" t="str">
        <f t="shared" si="12"/>
        <v>Veronica MOORE (1930 - 1934:  #63c)</v>
      </c>
      <c r="BJ10" t="str">
        <f t="shared" si="13"/>
        <v/>
      </c>
      <c r="BK10" t="str">
        <f t="shared" si="13"/>
        <v/>
      </c>
      <c r="BL10" t="str">
        <f t="shared" si="13"/>
        <v/>
      </c>
      <c r="BM10" t="str">
        <f t="shared" si="13"/>
        <v/>
      </c>
      <c r="BN10" t="str">
        <f t="shared" si="13"/>
        <v/>
      </c>
      <c r="BO10" t="str">
        <f t="shared" si="13"/>
        <v/>
      </c>
      <c r="BP10" t="str">
        <f t="shared" si="13"/>
        <v/>
      </c>
      <c r="BQ10" t="str">
        <f t="shared" si="13"/>
        <v/>
      </c>
      <c r="BR10" t="str">
        <f t="shared" si="13"/>
        <v/>
      </c>
      <c r="BS10" t="str">
        <f t="shared" si="13"/>
        <v/>
      </c>
      <c r="BT10" t="str">
        <f t="shared" si="13"/>
        <v/>
      </c>
      <c r="BU10" t="str">
        <f t="shared" si="13"/>
        <v/>
      </c>
      <c r="BY10" s="72">
        <v>41</v>
      </c>
      <c r="DD10">
        <v>63001</v>
      </c>
      <c r="DE10">
        <v>63002</v>
      </c>
      <c r="DF10">
        <v>63003</v>
      </c>
      <c r="HL10">
        <v>189006</v>
      </c>
    </row>
    <row r="11" spans="1:220" ht="51">
      <c r="A11">
        <f>'All Girls &amp; Descendants'!B9</f>
        <v>11</v>
      </c>
      <c r="B11" t="str">
        <f>'All Girls &amp; Descendants'!C9</f>
        <v>11e</v>
      </c>
      <c r="C11" t="str">
        <f>'All Girls &amp; Descendants'!D9</f>
        <v>BENYON</v>
      </c>
      <c r="D11" t="str">
        <f>'All Girls &amp; Descendants'!E9</f>
        <v>Edward</v>
      </c>
      <c r="E11" t="str">
        <f>IF('All Girls &amp; Descendants'!F9="","",'All Girls &amp; Descendants'!F9)</f>
        <v>Loyd</v>
      </c>
      <c r="F11" t="str">
        <f>IF('All Girls &amp; Descendants'!G9="","",'All Girls &amp; Descendants'!G9)</f>
        <v/>
      </c>
      <c r="G11" t="str">
        <f>IF('All Girls &amp; Descendants'!H9="",D11,'All Girls &amp; Descendants'!H9)</f>
        <v>Edward</v>
      </c>
      <c r="H11">
        <f>'All Girls &amp; Descendants'!I9</f>
        <v>1845</v>
      </c>
      <c r="I11">
        <f>'All Girls &amp; Descendants'!J9</f>
        <v>1903</v>
      </c>
      <c r="K11" s="3" t="str">
        <f>'All Girls &amp; Descendants'!M9</f>
        <v>25/11/1845</v>
      </c>
      <c r="L11" t="str">
        <f>'All Girls &amp; Descendants'!N9</f>
        <v>03/12/1879</v>
      </c>
      <c r="M11">
        <f>'All Girls &amp; Descendants'!O9</f>
        <v>1103</v>
      </c>
      <c r="N11" t="str">
        <f>'All Girls &amp; Descendants'!P9</f>
        <v>07/01/1903</v>
      </c>
      <c r="O11" t="str">
        <f>'All Girls &amp; Descendants'!Q9</f>
        <v>11</v>
      </c>
      <c r="P11" t="str">
        <f t="shared" si="2"/>
        <v>11e</v>
      </c>
      <c r="Q11" s="116">
        <f t="shared" si="5"/>
        <v>1</v>
      </c>
      <c r="R11" s="31" t="str">
        <f t="shared" si="6"/>
        <v>Edward Loyd  BENYON</v>
      </c>
      <c r="S11" t="str">
        <f t="shared" si="7"/>
        <v>Edward BENYON (1845 - 1903:  #11e)</v>
      </c>
      <c r="U11" s="116">
        <f t="shared" si="3"/>
        <v>11005</v>
      </c>
      <c r="V11" t="s">
        <v>2020</v>
      </c>
      <c r="W11" s="116">
        <f t="shared" si="19"/>
        <v>11</v>
      </c>
      <c r="X11" s="116" t="str">
        <f t="shared" si="8"/>
        <v>e</v>
      </c>
      <c r="Y11" s="116">
        <f>VLOOKUP(W11,'Loyd List 1-190 - Edit'!$P$1:$R$202,3,FALSE)</f>
        <v>8</v>
      </c>
      <c r="Z11" s="116"/>
      <c r="AB11" t="s">
        <v>3010</v>
      </c>
      <c r="AC11">
        <v>8</v>
      </c>
      <c r="AE11" s="99">
        <f t="shared" si="9"/>
        <v>46</v>
      </c>
      <c r="AF11" s="116">
        <f t="shared" si="14"/>
        <v>6</v>
      </c>
      <c r="AG11" s="117" t="str">
        <f t="shared" si="20"/>
        <v>70a</v>
      </c>
      <c r="AH11" s="117" t="str">
        <f t="shared" si="20"/>
        <v>70b</v>
      </c>
      <c r="AI11" s="117" t="str">
        <f t="shared" si="21"/>
        <v>70c</v>
      </c>
      <c r="AJ11" s="117" t="str">
        <f>VLOOKUP(IF(ISNUMBER(SMALL($BZ11:$HK11,AJ$3)),SMALL($BZ11:$HK11,AJ$3),""),$U$4:$V$150,2,FALSE)</f>
        <v>70d</v>
      </c>
      <c r="AK11" s="117" t="str">
        <f>VLOOKUP(IF(ISNUMBER(SMALL($BZ11:$HK11,AK$3)),SMALL($BZ11:$HK11,AK$3),""),$U$4:$V$150,2,FALSE)</f>
        <v>70e</v>
      </c>
      <c r="AL11" s="117" t="str">
        <f>VLOOKUP(IF(ISNUMBER(SMALL($BZ11:$HK11,AL$3)),SMALL($BZ11:$HK11,AL$3),""),$U$4:$V$150,2,FALSE)</f>
        <v>70f</v>
      </c>
      <c r="AM11" s="117"/>
      <c r="AN11" s="117"/>
      <c r="AO11" s="117"/>
      <c r="AP11" s="117"/>
      <c r="AQ11" s="117"/>
      <c r="AR11" s="117"/>
      <c r="AS11" s="117"/>
      <c r="AT11" s="117"/>
      <c r="AU11" s="117"/>
      <c r="AV11" s="117"/>
      <c r="AW11" s="117"/>
      <c r="AX11" s="117"/>
      <c r="AY11" s="117"/>
      <c r="AZ11" s="117"/>
      <c r="BA11" s="117"/>
      <c r="BB11" s="117"/>
      <c r="BC11" s="126">
        <f>VLOOKUP(BD11,'Loyd List 1-190 - Edit'!$P$2:$R$208,3,FALSE)</f>
        <v>23</v>
      </c>
      <c r="BD11" s="126">
        <f t="shared" si="4"/>
        <v>46</v>
      </c>
      <c r="BE11" s="126">
        <f t="shared" si="11"/>
        <v>6</v>
      </c>
      <c r="BF11" s="97" t="str">
        <f t="shared" si="16"/>
        <v xml:space="preserve">Cynthia MICKLEM (1921 - 1990:  #70a) Dora MICKLEM (1924 - :  #70b) Anne MICKLEM (1925 - :  #70c) Tom MICKLEM (1926 - :  #70d) Elizabeth MICKLEM (1929 - :  #70e) Nathaniel MICKLEM (1931 - 1950:  #70f)         </v>
      </c>
      <c r="BG11" t="str">
        <f t="shared" si="17"/>
        <v>Cynthia MICKLEM (1921 - 1990:  #70a)</v>
      </c>
      <c r="BH11" t="str">
        <f t="shared" si="12"/>
        <v>Dora MICKLEM (1924 - :  #70b)</v>
      </c>
      <c r="BI11" t="str">
        <f t="shared" si="12"/>
        <v>Anne MICKLEM (1925 - :  #70c)</v>
      </c>
      <c r="BJ11" t="str">
        <f t="shared" si="13"/>
        <v>Tom MICKLEM (1926 - :  #70d)</v>
      </c>
      <c r="BK11" t="str">
        <f t="shared" si="13"/>
        <v>Elizabeth MICKLEM (1929 - :  #70e)</v>
      </c>
      <c r="BL11" t="str">
        <f t="shared" si="13"/>
        <v>Nathaniel MICKLEM (1931 - 1950:  #70f)</v>
      </c>
      <c r="BM11" t="str">
        <f t="shared" si="13"/>
        <v/>
      </c>
      <c r="BN11" t="str">
        <f t="shared" si="13"/>
        <v/>
      </c>
      <c r="BO11" t="str">
        <f t="shared" si="13"/>
        <v/>
      </c>
      <c r="BP11" t="str">
        <f t="shared" si="13"/>
        <v/>
      </c>
      <c r="BQ11" t="str">
        <f t="shared" si="13"/>
        <v/>
      </c>
      <c r="BR11" t="str">
        <f t="shared" si="13"/>
        <v/>
      </c>
      <c r="BS11" t="str">
        <f t="shared" si="13"/>
        <v/>
      </c>
      <c r="BT11" t="str">
        <f t="shared" si="13"/>
        <v/>
      </c>
      <c r="BU11" t="str">
        <f t="shared" si="13"/>
        <v/>
      </c>
      <c r="BY11" s="72">
        <v>46</v>
      </c>
      <c r="DJ11">
        <v>70001</v>
      </c>
      <c r="DK11">
        <v>70002</v>
      </c>
      <c r="DL11">
        <v>70003</v>
      </c>
      <c r="DM11">
        <v>70004</v>
      </c>
      <c r="DN11">
        <v>70005</v>
      </c>
      <c r="DO11">
        <v>70006</v>
      </c>
      <c r="HL11">
        <v>420021</v>
      </c>
    </row>
    <row r="12" spans="1:220" ht="34">
      <c r="A12">
        <f>'All Girls &amp; Descendants'!B10</f>
        <v>18</v>
      </c>
      <c r="B12" t="str">
        <f>'All Girls &amp; Descendants'!C10</f>
        <v>18a</v>
      </c>
      <c r="C12" t="str">
        <f>'All Girls &amp; Descendants'!D10</f>
        <v>NICOL</v>
      </c>
      <c r="D12" t="str">
        <f>'All Girls &amp; Descendants'!E10</f>
        <v>Margaret</v>
      </c>
      <c r="E12" t="str">
        <f>IF('All Girls &amp; Descendants'!F10="","",'All Girls &amp; Descendants'!F10)</f>
        <v>Dyce</v>
      </c>
      <c r="F12" t="str">
        <f>IF('All Girls &amp; Descendants'!G10="","",'All Girls &amp; Descendants'!G10)</f>
        <v/>
      </c>
      <c r="G12" t="str">
        <f>IF('All Girls &amp; Descendants'!H10="",D12,'All Girls &amp; Descendants'!H10)</f>
        <v>Margaret</v>
      </c>
      <c r="H12">
        <f>'All Girls &amp; Descendants'!I10</f>
        <v>1844</v>
      </c>
      <c r="I12">
        <f>'All Girls &amp; Descendants'!J10</f>
        <v>1927</v>
      </c>
      <c r="K12" s="3" t="str">
        <f>'All Girls &amp; Descendants'!M10</f>
        <v>15/12/1844</v>
      </c>
      <c r="L12" t="str">
        <f>'All Girls &amp; Descendants'!N10</f>
        <v>Unmarried</v>
      </c>
      <c r="M12">
        <f>'All Girls &amp; Descendants'!O10</f>
        <v>10173</v>
      </c>
      <c r="N12" t="str">
        <f>'All Girls &amp; Descendants'!P10</f>
        <v>07/11/1927</v>
      </c>
      <c r="O12" t="str">
        <f>'All Girls &amp; Descendants'!Q10</f>
        <v>18</v>
      </c>
      <c r="P12" t="str">
        <f t="shared" si="2"/>
        <v>18a</v>
      </c>
      <c r="Q12" s="116">
        <f t="shared" si="5"/>
        <v>1</v>
      </c>
      <c r="R12" s="31" t="str">
        <f t="shared" si="6"/>
        <v>Margaret Dyce  NICOL</v>
      </c>
      <c r="S12" t="str">
        <f t="shared" si="7"/>
        <v>Margaret NICOL (1844 - 1927:  #18a)</v>
      </c>
      <c r="U12" s="116">
        <f t="shared" si="3"/>
        <v>18001</v>
      </c>
      <c r="V12" t="s">
        <v>2026</v>
      </c>
      <c r="W12" s="116">
        <f t="shared" si="19"/>
        <v>18</v>
      </c>
      <c r="X12" s="116" t="str">
        <f t="shared" si="8"/>
        <v>a</v>
      </c>
      <c r="Y12" s="116">
        <f>VLOOKUP(W12,'Loyd List 1-190 - Edit'!$P$1:$R$202,3,FALSE)</f>
        <v>8</v>
      </c>
      <c r="Z12" s="116"/>
      <c r="AB12" t="s">
        <v>3011</v>
      </c>
      <c r="AC12">
        <v>9</v>
      </c>
      <c r="AE12" s="99">
        <f t="shared" si="9"/>
        <v>52</v>
      </c>
      <c r="AF12" s="116">
        <f t="shared" si="14"/>
        <v>3</v>
      </c>
      <c r="AG12" s="117" t="str">
        <f t="shared" si="20"/>
        <v>90a</v>
      </c>
      <c r="AH12" s="117" t="str">
        <f t="shared" si="20"/>
        <v>90b</v>
      </c>
      <c r="AI12" s="117" t="str">
        <f t="shared" si="21"/>
        <v>90c</v>
      </c>
      <c r="AJ12" s="117"/>
      <c r="AK12" s="117"/>
      <c r="AL12" s="117"/>
      <c r="AM12" s="117"/>
      <c r="AN12" s="117"/>
      <c r="AO12" s="117"/>
      <c r="AP12" s="117"/>
      <c r="AQ12" s="117"/>
      <c r="AR12" s="117"/>
      <c r="AS12" s="117"/>
      <c r="AT12" s="117"/>
      <c r="AU12" s="117"/>
      <c r="AV12" s="117"/>
      <c r="AW12" s="117"/>
      <c r="AX12" s="117"/>
      <c r="AY12" s="117"/>
      <c r="AZ12" s="117"/>
      <c r="BA12" s="117"/>
      <c r="BB12" s="117"/>
      <c r="BC12" s="126">
        <f>VLOOKUP(BD12,'Loyd List 1-190 - Edit'!$P$2:$R$208,3,FALSE)</f>
        <v>41</v>
      </c>
      <c r="BD12" s="126">
        <f t="shared" si="4"/>
        <v>52</v>
      </c>
      <c r="BE12" s="126">
        <f t="shared" si="11"/>
        <v>3</v>
      </c>
      <c r="BF12" s="97" t="str">
        <f t="shared" si="16"/>
        <v xml:space="preserve">June MARSHAM-TOWNHEND (1942 - :  #90a) Suki MARSHAM-TOWNHEND (1944 - :  #90b) Jonathan CLARKE (1950 - :  #90c)            </v>
      </c>
      <c r="BG12" t="str">
        <f t="shared" si="17"/>
        <v>June MARSHAM-TOWNHEND (1942 - :  #90a)</v>
      </c>
      <c r="BH12" t="str">
        <f t="shared" si="12"/>
        <v>Suki MARSHAM-TOWNHEND (1944 - :  #90b)</v>
      </c>
      <c r="BI12" t="str">
        <f t="shared" si="12"/>
        <v>Jonathan CLARKE (1950 - :  #90c)</v>
      </c>
      <c r="BJ12" t="str">
        <f t="shared" si="13"/>
        <v/>
      </c>
      <c r="BK12" t="str">
        <f t="shared" si="13"/>
        <v/>
      </c>
      <c r="BL12" t="str">
        <f t="shared" si="13"/>
        <v/>
      </c>
      <c r="BM12" t="str">
        <f t="shared" si="13"/>
        <v/>
      </c>
      <c r="BN12" t="str">
        <f t="shared" si="13"/>
        <v/>
      </c>
      <c r="BO12" t="str">
        <f t="shared" si="13"/>
        <v/>
      </c>
      <c r="BP12" t="str">
        <f t="shared" si="13"/>
        <v/>
      </c>
      <c r="BQ12" t="str">
        <f t="shared" si="13"/>
        <v/>
      </c>
      <c r="BR12" t="str">
        <f t="shared" si="13"/>
        <v/>
      </c>
      <c r="BS12" t="str">
        <f t="shared" si="13"/>
        <v/>
      </c>
      <c r="BT12" t="str">
        <f t="shared" si="13"/>
        <v/>
      </c>
      <c r="BU12" t="str">
        <f t="shared" si="13"/>
        <v/>
      </c>
      <c r="BY12" s="72">
        <v>52</v>
      </c>
      <c r="DW12">
        <v>90001</v>
      </c>
      <c r="DX12">
        <v>90002</v>
      </c>
      <c r="DY12">
        <v>90003</v>
      </c>
      <c r="HL12">
        <v>270006</v>
      </c>
    </row>
    <row r="13" spans="1:220" ht="34">
      <c r="A13">
        <f>'All Girls &amp; Descendants'!B11</f>
        <v>18</v>
      </c>
      <c r="B13" t="str">
        <f>'All Girls &amp; Descendants'!C11</f>
        <v>18b</v>
      </c>
      <c r="C13" t="str">
        <f>'All Girls &amp; Descendants'!D11</f>
        <v>NICOL</v>
      </c>
      <c r="D13" t="str">
        <f>'All Girls &amp; Descendants'!E11</f>
        <v>William</v>
      </c>
      <c r="E13" t="str">
        <f>IF('All Girls &amp; Descendants'!F11="","",'All Girls &amp; Descendants'!F11)</f>
        <v>Edward</v>
      </c>
      <c r="F13" t="str">
        <f>IF('All Girls &amp; Descendants'!G11="","",'All Girls &amp; Descendants'!G11)</f>
        <v/>
      </c>
      <c r="G13" t="str">
        <f>IF('All Girls &amp; Descendants'!H11="",D13,'All Girls &amp; Descendants'!H11)</f>
        <v>William</v>
      </c>
      <c r="H13">
        <f>'All Girls &amp; Descendants'!I11</f>
        <v>1846</v>
      </c>
      <c r="I13">
        <f>'All Girls &amp; Descendants'!J11</f>
        <v>1914</v>
      </c>
      <c r="K13" s="3" t="str">
        <f>'All Girls &amp; Descendants'!M11</f>
        <v>02/11/1846</v>
      </c>
      <c r="L13" t="str">
        <f>'All Girls &amp; Descendants'!N11</f>
        <v>20/11/1873</v>
      </c>
      <c r="M13">
        <f>'All Girls &amp; Descendants'!O11</f>
        <v>5345</v>
      </c>
      <c r="N13" t="str">
        <f>'All Girls &amp; Descendants'!P11</f>
        <v>19/08/1914</v>
      </c>
      <c r="O13" t="str">
        <f>'All Girls &amp; Descendants'!Q11</f>
        <v>18</v>
      </c>
      <c r="P13" t="str">
        <f t="shared" si="2"/>
        <v>18b</v>
      </c>
      <c r="Q13" s="116">
        <f t="shared" si="5"/>
        <v>1</v>
      </c>
      <c r="R13" s="31" t="str">
        <f t="shared" si="6"/>
        <v>William Edward  NICOL</v>
      </c>
      <c r="S13" t="str">
        <f t="shared" si="7"/>
        <v>William NICOL (1846 - 1914:  #18b)</v>
      </c>
      <c r="U13" s="116">
        <f t="shared" si="3"/>
        <v>18002</v>
      </c>
      <c r="V13" t="s">
        <v>2029</v>
      </c>
      <c r="W13" s="116">
        <f t="shared" si="19"/>
        <v>18</v>
      </c>
      <c r="X13" s="116" t="str">
        <f t="shared" si="8"/>
        <v>b</v>
      </c>
      <c r="Y13" s="116">
        <f>VLOOKUP(W13,'Loyd List 1-190 - Edit'!$P$1:$R$202,3,FALSE)</f>
        <v>8</v>
      </c>
      <c r="Z13" s="116"/>
      <c r="AB13" t="s">
        <v>3012</v>
      </c>
      <c r="AC13">
        <v>10</v>
      </c>
      <c r="AE13" s="99">
        <f t="shared" si="9"/>
        <v>53</v>
      </c>
      <c r="AF13" s="116">
        <f t="shared" si="14"/>
        <v>5</v>
      </c>
      <c r="AG13" s="117" t="str">
        <f t="shared" si="20"/>
        <v>97a</v>
      </c>
      <c r="AH13" s="117" t="str">
        <f t="shared" si="20"/>
        <v>97b</v>
      </c>
      <c r="AI13" s="117" t="str">
        <f t="shared" si="21"/>
        <v>97c</v>
      </c>
      <c r="AJ13" s="117" t="str">
        <f>VLOOKUP(IF(ISNUMBER(SMALL($BZ13:$HK13,AJ$3)),SMALL($BZ13:$HK13,AJ$3),""),$U$4:$V$150,2,FALSE)</f>
        <v>97d</v>
      </c>
      <c r="AK13" s="117" t="str">
        <f>VLOOKUP(IF(ISNUMBER(SMALL($BZ13:$HK13,AK$3)),SMALL($BZ13:$HK13,AK$3),""),$U$4:$V$150,2,FALSE)</f>
        <v>97e</v>
      </c>
      <c r="AL13" s="117"/>
      <c r="AM13" s="117"/>
      <c r="AN13" s="117"/>
      <c r="AO13" s="117"/>
      <c r="AP13" s="117"/>
      <c r="AQ13" s="117"/>
      <c r="AR13" s="117"/>
      <c r="AS13" s="117"/>
      <c r="AT13" s="117"/>
      <c r="AU13" s="117"/>
      <c r="AV13" s="117"/>
      <c r="AW13" s="117"/>
      <c r="AX13" s="117"/>
      <c r="AY13" s="117"/>
      <c r="AZ13" s="117"/>
      <c r="BA13" s="117"/>
      <c r="BB13" s="117"/>
      <c r="BC13" s="126">
        <f>VLOOKUP(BD13,'Loyd List 1-190 - Edit'!$P$2:$R$208,3,FALSE)</f>
        <v>41</v>
      </c>
      <c r="BD13" s="126">
        <f t="shared" si="4"/>
        <v>53</v>
      </c>
      <c r="BE13" s="126">
        <f t="shared" si="11"/>
        <v>5</v>
      </c>
      <c r="BF13" s="97" t="str">
        <f t="shared" si="16"/>
        <v xml:space="preserve">Julian SALE (1951 - :  #97a) Iona SALE (1954 - :  #97b) Charles SALE (1956 - 1957:  #97c) Roddy SALE (1959 - :  #97d) Edward SALE (1963 - :  #97e)          </v>
      </c>
      <c r="BG13" t="str">
        <f t="shared" si="17"/>
        <v>Julian SALE (1951 - :  #97a)</v>
      </c>
      <c r="BH13" t="str">
        <f t="shared" si="12"/>
        <v>Iona SALE (1954 - :  #97b)</v>
      </c>
      <c r="BI13" t="str">
        <f t="shared" si="12"/>
        <v>Charles SALE (1956 - 1957:  #97c)</v>
      </c>
      <c r="BJ13" t="str">
        <f t="shared" si="13"/>
        <v>Roddy SALE (1959 - :  #97d)</v>
      </c>
      <c r="BK13" t="str">
        <f t="shared" si="13"/>
        <v>Edward SALE (1963 - :  #97e)</v>
      </c>
      <c r="BL13" t="str">
        <f t="shared" si="13"/>
        <v/>
      </c>
      <c r="BM13" t="str">
        <f t="shared" si="13"/>
        <v/>
      </c>
      <c r="BN13" t="str">
        <f t="shared" si="13"/>
        <v/>
      </c>
      <c r="BO13" t="str">
        <f t="shared" si="13"/>
        <v/>
      </c>
      <c r="BP13" t="str">
        <f t="shared" si="13"/>
        <v/>
      </c>
      <c r="BQ13" t="str">
        <f t="shared" si="13"/>
        <v/>
      </c>
      <c r="BR13" t="str">
        <f t="shared" si="13"/>
        <v/>
      </c>
      <c r="BS13" t="str">
        <f t="shared" si="13"/>
        <v/>
      </c>
      <c r="BT13" t="str">
        <f t="shared" si="13"/>
        <v/>
      </c>
      <c r="BU13" t="str">
        <f t="shared" si="13"/>
        <v/>
      </c>
      <c r="BY13" s="72">
        <v>53</v>
      </c>
      <c r="EF13">
        <v>97001</v>
      </c>
      <c r="EG13">
        <v>97002</v>
      </c>
      <c r="EH13">
        <v>97003</v>
      </c>
      <c r="EI13">
        <v>97004</v>
      </c>
      <c r="EJ13">
        <v>97005</v>
      </c>
      <c r="HL13">
        <v>485015</v>
      </c>
    </row>
    <row r="14" spans="1:220" ht="34">
      <c r="A14">
        <f>'All Girls &amp; Descendants'!B12</f>
        <v>18</v>
      </c>
      <c r="B14" t="str">
        <f>'All Girls &amp; Descendants'!C12</f>
        <v>18c</v>
      </c>
      <c r="C14" t="str">
        <f>'All Girls &amp; Descendants'!D12</f>
        <v>NICOL</v>
      </c>
      <c r="D14" t="str">
        <f>'All Girls &amp; Descendants'!E12</f>
        <v>James</v>
      </c>
      <c r="E14" t="str">
        <f>IF('All Girls &amp; Descendants'!F12="","",'All Girls &amp; Descendants'!F12)</f>
        <v>Dyce</v>
      </c>
      <c r="F14" t="str">
        <f>IF('All Girls &amp; Descendants'!G12="","",'All Girls &amp; Descendants'!G12)</f>
        <v/>
      </c>
      <c r="G14" t="str">
        <f>IF('All Girls &amp; Descendants'!H12="",D14,'All Girls &amp; Descendants'!H12)</f>
        <v>James</v>
      </c>
      <c r="H14">
        <f>'All Girls &amp; Descendants'!I12</f>
        <v>1848</v>
      </c>
      <c r="I14">
        <f>'All Girls &amp; Descendants'!J12</f>
        <v>1938</v>
      </c>
      <c r="K14" s="3" t="str">
        <f>'All Girls &amp; Descendants'!M12</f>
        <v>30/06/1848</v>
      </c>
      <c r="L14" t="str">
        <f>'All Girls &amp; Descendants'!N12</f>
        <v>05/10/1898</v>
      </c>
      <c r="M14">
        <f>'All Girls &amp; Descendants'!O12</f>
        <v>14158</v>
      </c>
      <c r="N14" t="str">
        <f>'All Girls &amp; Descendants'!P12</f>
        <v>05/10/1938</v>
      </c>
      <c r="O14" t="str">
        <f>'All Girls &amp; Descendants'!Q12</f>
        <v>18</v>
      </c>
      <c r="P14" t="str">
        <f t="shared" si="2"/>
        <v>18c</v>
      </c>
      <c r="Q14" s="116">
        <f t="shared" si="5"/>
        <v>1</v>
      </c>
      <c r="R14" s="31" t="str">
        <f t="shared" si="6"/>
        <v>James Dyce  NICOL</v>
      </c>
      <c r="S14" t="str">
        <f t="shared" si="7"/>
        <v>James NICOL (1848 - 1938:  #18c)</v>
      </c>
      <c r="U14" s="116">
        <f t="shared" si="3"/>
        <v>18003</v>
      </c>
      <c r="V14" t="s">
        <v>2098</v>
      </c>
      <c r="W14" s="116">
        <f t="shared" si="19"/>
        <v>18</v>
      </c>
      <c r="X14" s="116" t="str">
        <f t="shared" si="8"/>
        <v>c</v>
      </c>
      <c r="Y14" s="116">
        <f>VLOOKUP(W14,'Loyd List 1-190 - Edit'!$P$1:$R$202,3,FALSE)</f>
        <v>8</v>
      </c>
      <c r="Z14" s="116"/>
      <c r="AB14" s="116"/>
      <c r="AE14" s="99">
        <f t="shared" si="9"/>
        <v>54</v>
      </c>
      <c r="AF14" s="116">
        <f t="shared" si="14"/>
        <v>4</v>
      </c>
      <c r="AG14" s="117" t="str">
        <f t="shared" si="20"/>
        <v>92a</v>
      </c>
      <c r="AH14" s="117" t="str">
        <f t="shared" si="20"/>
        <v>92b</v>
      </c>
      <c r="AI14" s="117" t="str">
        <f t="shared" si="21"/>
        <v>92c</v>
      </c>
      <c r="AJ14" s="117" t="str">
        <f>VLOOKUP(IF(ISNUMBER(SMALL($BZ14:$HK14,AJ$3)),SMALL($BZ14:$HK14,AJ$3),""),$U$4:$V$150,2,FALSE)</f>
        <v>92d</v>
      </c>
      <c r="AK14" s="117"/>
      <c r="AL14" s="117"/>
      <c r="AM14" s="117"/>
      <c r="AN14" s="117"/>
      <c r="AO14" s="117"/>
      <c r="AP14" s="117"/>
      <c r="AQ14" s="117"/>
      <c r="AR14" s="117"/>
      <c r="AS14" s="117"/>
      <c r="AT14" s="117"/>
      <c r="AU14" s="117"/>
      <c r="AV14" s="117"/>
      <c r="AW14" s="117"/>
      <c r="AX14" s="117"/>
      <c r="AY14" s="117"/>
      <c r="AZ14" s="117"/>
      <c r="BA14" s="117"/>
      <c r="BB14" s="117"/>
      <c r="BC14" s="126">
        <f>VLOOKUP(BD14,'Loyd List 1-190 - Edit'!$P$2:$R$208,3,FALSE)</f>
        <v>32</v>
      </c>
      <c r="BD14" s="126">
        <f t="shared" si="4"/>
        <v>54</v>
      </c>
      <c r="BE14" s="126">
        <f t="shared" si="11"/>
        <v>4</v>
      </c>
      <c r="BF14" s="97" t="str">
        <f t="shared" si="16"/>
        <v xml:space="preserve">Tim TATTON-BROWN (1947 - :  #92a) Giles TATTON-BROWN (1948 - :  #92b) Anthea TATTON-BROWN (1951 - :  #92c) Fanny TATTON-BROWN (1954 - :  #92d)           </v>
      </c>
      <c r="BG14" t="str">
        <f t="shared" si="17"/>
        <v>Tim TATTON-BROWN (1947 - :  #92a)</v>
      </c>
      <c r="BH14" t="str">
        <f t="shared" si="12"/>
        <v>Giles TATTON-BROWN (1948 - :  #92b)</v>
      </c>
      <c r="BI14" t="str">
        <f t="shared" si="12"/>
        <v>Anthea TATTON-BROWN (1951 - :  #92c)</v>
      </c>
      <c r="BJ14" t="str">
        <f t="shared" si="13"/>
        <v>Fanny TATTON-BROWN (1954 - :  #92d)</v>
      </c>
      <c r="BK14" t="str">
        <f t="shared" si="13"/>
        <v/>
      </c>
      <c r="BL14" t="str">
        <f t="shared" si="13"/>
        <v/>
      </c>
      <c r="BM14" t="str">
        <f t="shared" si="13"/>
        <v/>
      </c>
      <c r="BN14" t="str">
        <f t="shared" si="13"/>
        <v/>
      </c>
      <c r="BO14" t="str">
        <f t="shared" si="13"/>
        <v/>
      </c>
      <c r="BP14" t="str">
        <f t="shared" si="13"/>
        <v/>
      </c>
      <c r="BQ14" t="str">
        <f t="shared" si="13"/>
        <v/>
      </c>
      <c r="BR14" t="str">
        <f t="shared" si="13"/>
        <v/>
      </c>
      <c r="BS14" t="str">
        <f t="shared" si="13"/>
        <v/>
      </c>
      <c r="BT14" t="str">
        <f t="shared" si="13"/>
        <v/>
      </c>
      <c r="BU14" t="str">
        <f t="shared" si="13"/>
        <v/>
      </c>
      <c r="BY14" s="72">
        <v>54</v>
      </c>
      <c r="DZ14">
        <v>92001</v>
      </c>
      <c r="EA14">
        <v>92002</v>
      </c>
      <c r="EB14">
        <v>92003</v>
      </c>
      <c r="EC14">
        <v>92004</v>
      </c>
      <c r="HL14">
        <v>368010</v>
      </c>
    </row>
    <row r="15" spans="1:220" ht="68">
      <c r="A15">
        <f>'All Girls &amp; Descendants'!B13</f>
        <v>18</v>
      </c>
      <c r="B15" t="str">
        <f>'All Girls &amp; Descendants'!C13</f>
        <v>18d</v>
      </c>
      <c r="C15" t="str">
        <f>'All Girls &amp; Descendants'!D13</f>
        <v>NICOL</v>
      </c>
      <c r="D15" t="str">
        <f>'All Girls &amp; Descendants'!E13</f>
        <v>Sarah</v>
      </c>
      <c r="E15" t="str">
        <f>IF('All Girls &amp; Descendants'!F13="","",'All Girls &amp; Descendants'!F13)</f>
        <v>Loyd</v>
      </c>
      <c r="F15" t="str">
        <f>IF('All Girls &amp; Descendants'!G13="","",'All Girls &amp; Descendants'!G13)</f>
        <v/>
      </c>
      <c r="G15" t="str">
        <f>IF('All Girls &amp; Descendants'!H13="",D15,'All Girls &amp; Descendants'!H13)</f>
        <v>Sarah</v>
      </c>
      <c r="H15">
        <f>'All Girls &amp; Descendants'!I13</f>
        <v>1854</v>
      </c>
      <c r="I15">
        <f>'All Girls &amp; Descendants'!J13</f>
        <v>1943</v>
      </c>
      <c r="K15" s="3" t="str">
        <f>'All Girls &amp; Descendants'!M13</f>
        <v>23/05/1854</v>
      </c>
      <c r="L15" t="str">
        <f>'All Girls &amp; Descendants'!N13</f>
        <v xml:space="preserve"> - </v>
      </c>
      <c r="M15">
        <f>'All Girls &amp; Descendants'!O13</f>
        <v>15875</v>
      </c>
      <c r="N15" t="str">
        <f>'All Girls &amp; Descendants'!P13</f>
        <v>18/06/1943</v>
      </c>
      <c r="O15" t="str">
        <f>'All Girls &amp; Descendants'!Q13</f>
        <v>18</v>
      </c>
      <c r="P15" t="str">
        <f t="shared" si="2"/>
        <v>18d</v>
      </c>
      <c r="Q15" s="116">
        <f t="shared" si="5"/>
        <v>1</v>
      </c>
      <c r="R15" s="31" t="str">
        <f t="shared" si="6"/>
        <v>Sarah Loyd  NICOL</v>
      </c>
      <c r="S15" t="str">
        <f t="shared" si="7"/>
        <v>Sarah NICOL (1854 - 1943:  #18d)</v>
      </c>
      <c r="U15" s="116">
        <f t="shared" si="3"/>
        <v>18004</v>
      </c>
      <c r="V15" t="s">
        <v>2094</v>
      </c>
      <c r="W15" s="116">
        <f t="shared" si="19"/>
        <v>18</v>
      </c>
      <c r="X15" s="116" t="str">
        <f t="shared" si="8"/>
        <v>d</v>
      </c>
      <c r="Y15" s="116">
        <f>VLOOKUP(W15,'Loyd List 1-190 - Edit'!$P$1:$R$202,3,FALSE)</f>
        <v>8</v>
      </c>
      <c r="Z15" s="116"/>
      <c r="AB15" s="116"/>
      <c r="AE15" s="99">
        <f t="shared" si="9"/>
        <v>55</v>
      </c>
      <c r="AF15" s="116">
        <f t="shared" si="14"/>
        <v>11</v>
      </c>
      <c r="AG15" s="117" t="str">
        <f t="shared" si="20"/>
        <v>108a</v>
      </c>
      <c r="AH15" s="117" t="str">
        <f t="shared" si="20"/>
        <v>108b</v>
      </c>
      <c r="AI15" s="117" t="str">
        <f t="shared" si="21"/>
        <v>108c</v>
      </c>
      <c r="AJ15" s="117" t="str">
        <f>VLOOKUP(IF(ISNUMBER(SMALL($BZ15:$HK15,AJ$3)),SMALL($BZ15:$HK15,AJ$3),""),$U$4:$V$150,2,FALSE)</f>
        <v>108d</v>
      </c>
      <c r="AK15" s="117" t="str">
        <f t="shared" ref="AK15:AQ16" si="22">VLOOKUP(IF(ISNUMBER(SMALL($BZ15:$HK15,AK$3)),SMALL($BZ15:$HK15,AK$3),""),$U$4:$V$150,2,FALSE)</f>
        <v>112a</v>
      </c>
      <c r="AL15" s="117" t="str">
        <f t="shared" si="22"/>
        <v>112b</v>
      </c>
      <c r="AM15" s="117" t="str">
        <f t="shared" si="22"/>
        <v>112c</v>
      </c>
      <c r="AN15" s="117" t="str">
        <f t="shared" si="22"/>
        <v>112d</v>
      </c>
      <c r="AO15" s="117" t="str">
        <f t="shared" si="22"/>
        <v>116a</v>
      </c>
      <c r="AP15" s="117" t="str">
        <f t="shared" si="22"/>
        <v>116b</v>
      </c>
      <c r="AQ15" s="117" t="str">
        <f t="shared" si="22"/>
        <v>116c</v>
      </c>
      <c r="AR15" s="117"/>
      <c r="AS15" s="117"/>
      <c r="AT15" s="117"/>
      <c r="AU15" s="117"/>
      <c r="AV15" s="117"/>
      <c r="AW15" s="117"/>
      <c r="AX15" s="117"/>
      <c r="AY15" s="117"/>
      <c r="AZ15" s="117"/>
      <c r="BA15" s="117"/>
      <c r="BB15" s="117"/>
      <c r="BC15" s="126">
        <f>VLOOKUP(BD15,'Loyd List 1-190 - Edit'!$P$2:$R$208,3,FALSE)</f>
        <v>35</v>
      </c>
      <c r="BD15" s="126">
        <f t="shared" si="4"/>
        <v>55</v>
      </c>
      <c r="BE15" s="126">
        <f t="shared" si="11"/>
        <v>11</v>
      </c>
      <c r="BF15" s="97" t="str">
        <f t="shared" si="16"/>
        <v xml:space="preserve">Frances HOYLE (1953 - :  #108a) Richard HOYLE (1956 - :  #108b) David HOYLE (1961 - :  #108c) Peter HOYLE (1963 - :  #108d) Kevin DOWNES (1958 - :  #112a) Lynda DOWNES (1960 - :  #112b) Graeme DOWNES (1961 - :  #112c) Lesley DOWNES (1963 - :  #112d) Carl CLULOW (1970 - 1970:  #116a) Kate CLULOW (1971 - :  #116b) Clare CLULOW (1973 - :  #116c)    </v>
      </c>
      <c r="BG15" t="str">
        <f t="shared" si="17"/>
        <v>Frances HOYLE (1953 - :  #108a)</v>
      </c>
      <c r="BH15" t="str">
        <f t="shared" si="12"/>
        <v>Richard HOYLE (1956 - :  #108b)</v>
      </c>
      <c r="BI15" t="str">
        <f t="shared" si="12"/>
        <v>David HOYLE (1961 - :  #108c)</v>
      </c>
      <c r="BJ15" t="str">
        <f t="shared" si="13"/>
        <v>Peter HOYLE (1963 - :  #108d)</v>
      </c>
      <c r="BK15" t="str">
        <f t="shared" si="13"/>
        <v>Kevin DOWNES (1958 - :  #112a)</v>
      </c>
      <c r="BL15" t="str">
        <f t="shared" si="13"/>
        <v>Lynda DOWNES (1960 - :  #112b)</v>
      </c>
      <c r="BM15" t="str">
        <f t="shared" si="13"/>
        <v>Graeme DOWNES (1961 - :  #112c)</v>
      </c>
      <c r="BN15" t="str">
        <f t="shared" si="13"/>
        <v>Lesley DOWNES (1963 - :  #112d)</v>
      </c>
      <c r="BO15" t="str">
        <f t="shared" si="13"/>
        <v>Carl CLULOW (1970 - 1970:  #116a)</v>
      </c>
      <c r="BP15" t="str">
        <f t="shared" si="13"/>
        <v>Kate CLULOW (1971 - :  #116b)</v>
      </c>
      <c r="BQ15" t="str">
        <f t="shared" si="13"/>
        <v>Clare CLULOW (1973 - :  #116c)</v>
      </c>
      <c r="BR15" t="str">
        <f t="shared" si="13"/>
        <v/>
      </c>
      <c r="BS15" t="str">
        <f t="shared" si="13"/>
        <v/>
      </c>
      <c r="BT15" t="str">
        <f t="shared" si="13"/>
        <v/>
      </c>
      <c r="BU15" t="str">
        <f t="shared" si="13"/>
        <v/>
      </c>
      <c r="BY15" s="72">
        <v>55</v>
      </c>
      <c r="FE15">
        <v>108001</v>
      </c>
      <c r="FF15">
        <v>108002</v>
      </c>
      <c r="FG15">
        <v>108003</v>
      </c>
      <c r="FH15">
        <v>108004</v>
      </c>
      <c r="FO15">
        <v>112001</v>
      </c>
      <c r="FP15">
        <v>112002</v>
      </c>
      <c r="FQ15">
        <v>112003</v>
      </c>
      <c r="FR15">
        <v>112004</v>
      </c>
      <c r="FX15">
        <v>116001</v>
      </c>
      <c r="FY15">
        <v>116002</v>
      </c>
      <c r="FZ15">
        <v>116003</v>
      </c>
      <c r="HL15">
        <v>1228026</v>
      </c>
    </row>
    <row r="16" spans="1:220" ht="85">
      <c r="A16">
        <f>'All Girls &amp; Descendants'!B14</f>
        <v>18</v>
      </c>
      <c r="B16" t="str">
        <f>'All Girls &amp; Descendants'!C14</f>
        <v>18e</v>
      </c>
      <c r="C16" t="str">
        <f>'All Girls &amp; Descendants'!D14</f>
        <v>NICOL</v>
      </c>
      <c r="D16" t="str">
        <f>'All Girls &amp; Descendants'!E14</f>
        <v>Lewis</v>
      </c>
      <c r="E16" t="str">
        <f>IF('All Girls &amp; Descendants'!F14="","",'All Girls &amp; Descendants'!F14)</f>
        <v>Loyd</v>
      </c>
      <c r="F16" t="str">
        <f>IF('All Girls &amp; Descendants'!G14="","",'All Girls &amp; Descendants'!G14)</f>
        <v/>
      </c>
      <c r="G16" t="str">
        <f>IF('All Girls &amp; Descendants'!H14="",D16,'All Girls &amp; Descendants'!H14)</f>
        <v>Lewis</v>
      </c>
      <c r="H16">
        <f>'All Girls &amp; Descendants'!I14</f>
        <v>1858</v>
      </c>
      <c r="I16">
        <f>'All Girls &amp; Descendants'!J14</f>
        <v>1935</v>
      </c>
      <c r="K16" s="3" t="str">
        <f>'All Girls &amp; Descendants'!M14</f>
        <v>10/04/1858</v>
      </c>
      <c r="L16" t="str">
        <f>'All Girls &amp; Descendants'!N14</f>
        <v>16/06/1886</v>
      </c>
      <c r="M16">
        <f>'All Girls &amp; Descendants'!O14</f>
        <v>12925</v>
      </c>
      <c r="N16" t="str">
        <f>'All Girls &amp; Descendants'!P14</f>
        <v>21/05/1935</v>
      </c>
      <c r="O16" t="str">
        <f>'All Girls &amp; Descendants'!Q14</f>
        <v>18</v>
      </c>
      <c r="P16" t="str">
        <f t="shared" si="2"/>
        <v>18e</v>
      </c>
      <c r="Q16" s="116">
        <f t="shared" si="5"/>
        <v>1</v>
      </c>
      <c r="R16" s="31" t="str">
        <f t="shared" si="6"/>
        <v>Lewis Loyd  NICOL</v>
      </c>
      <c r="S16" t="str">
        <f t="shared" si="7"/>
        <v>Lewis NICOL (1858 - 1935:  #18e)</v>
      </c>
      <c r="U16" s="116">
        <f t="shared" si="3"/>
        <v>18005</v>
      </c>
      <c r="V16" t="s">
        <v>2101</v>
      </c>
      <c r="W16" s="116">
        <f t="shared" si="19"/>
        <v>18</v>
      </c>
      <c r="X16" s="116" t="str">
        <f t="shared" si="8"/>
        <v>e</v>
      </c>
      <c r="Y16" s="116">
        <f>VLOOKUP(W16,'Loyd List 1-190 - Edit'!$P$1:$R$202,3,FALSE)</f>
        <v>8</v>
      </c>
      <c r="Z16" s="116"/>
      <c r="AB16" s="116"/>
      <c r="AE16" s="99">
        <f t="shared" si="9"/>
        <v>56</v>
      </c>
      <c r="AF16" s="116">
        <f t="shared" si="14"/>
        <v>12</v>
      </c>
      <c r="AG16" s="117" t="str">
        <f t="shared" si="20"/>
        <v>85a</v>
      </c>
      <c r="AH16" s="117" t="str">
        <f t="shared" si="20"/>
        <v>85b</v>
      </c>
      <c r="AI16" s="117" t="str">
        <f t="shared" si="21"/>
        <v>85c</v>
      </c>
      <c r="AJ16" s="117" t="str">
        <f>VLOOKUP(IF(ISNUMBER(SMALL($BZ16:$HK16,AJ$3)),SMALL($BZ16:$HK16,AJ$3),""),$U$4:$V$150,2,FALSE)</f>
        <v>85d</v>
      </c>
      <c r="AK16" s="117" t="str">
        <f t="shared" si="22"/>
        <v>95a</v>
      </c>
      <c r="AL16" s="117" t="str">
        <f t="shared" si="22"/>
        <v>95b</v>
      </c>
      <c r="AM16" s="117" t="str">
        <f t="shared" si="22"/>
        <v>101a</v>
      </c>
      <c r="AN16" s="117" t="str">
        <f t="shared" si="22"/>
        <v>101b</v>
      </c>
      <c r="AO16" s="117" t="str">
        <f t="shared" si="22"/>
        <v>101c</v>
      </c>
      <c r="AP16" s="117" t="str">
        <f t="shared" si="22"/>
        <v>101d</v>
      </c>
      <c r="AQ16" s="117" t="str">
        <f t="shared" si="22"/>
        <v>101e</v>
      </c>
      <c r="AR16" s="117" t="str">
        <f>VLOOKUP(IF(ISNUMBER(SMALL($BZ16:$HK16,AR$3)),SMALL($BZ16:$HK16,AR$3),""),$U$4:$V$150,2,FALSE)</f>
        <v>101f</v>
      </c>
      <c r="AS16" s="117"/>
      <c r="AT16" s="117"/>
      <c r="AU16" s="117"/>
      <c r="AV16" s="117"/>
      <c r="AW16" s="117"/>
      <c r="AX16" s="117"/>
      <c r="AY16" s="117"/>
      <c r="AZ16" s="117"/>
      <c r="BA16" s="117"/>
      <c r="BB16" s="117"/>
      <c r="BC16" s="126">
        <f>VLOOKUP(BD16,'Loyd List 1-190 - Edit'!$P$2:$R$208,3,FALSE)</f>
        <v>28</v>
      </c>
      <c r="BD16" s="126">
        <f t="shared" si="4"/>
        <v>56</v>
      </c>
      <c r="BE16" s="126">
        <f t="shared" si="11"/>
        <v>12</v>
      </c>
      <c r="BF16" s="97" t="str">
        <f t="shared" si="16"/>
        <v xml:space="preserve">Martin LANE FOX (1938 - 2016:  #85a) Edward LANE FOX (1939 - :  #85b) Jenny LANE FOX (1944 - :  #85c) Robin LANE FOX (1946 - :  #85d) Henrietta KNIGHT (1946 - :  #95a) Ce-Ce KNIGHT (1949 - 2020:  #95b) Lady Selina MEADE (1950 - :  #101a) Lady Mary MEADE (1952 - :  #101b) Lady Julia MEADE (1953 - :  #101c) Lady Laura MEADE (1957 - :  #101d) Lady Katherine MEADE (1959 - :  #101e) Lady Sophia MEADE (1963 - :  #101f)   </v>
      </c>
      <c r="BG16" t="str">
        <f t="shared" si="17"/>
        <v>Martin LANE FOX (1938 - 2016:  #85a)</v>
      </c>
      <c r="BH16" t="str">
        <f t="shared" si="12"/>
        <v>Edward LANE FOX (1939 - :  #85b)</v>
      </c>
      <c r="BI16" t="str">
        <f t="shared" si="12"/>
        <v>Jenny LANE FOX (1944 - :  #85c)</v>
      </c>
      <c r="BJ16" t="str">
        <f t="shared" si="13"/>
        <v>Robin LANE FOX (1946 - :  #85d)</v>
      </c>
      <c r="BK16" t="str">
        <f t="shared" si="13"/>
        <v>Henrietta KNIGHT (1946 - :  #95a)</v>
      </c>
      <c r="BL16" t="str">
        <f t="shared" si="13"/>
        <v>Ce-Ce KNIGHT (1949 - 2020:  #95b)</v>
      </c>
      <c r="BM16" t="str">
        <f t="shared" si="13"/>
        <v>Lady Selina MEADE (1950 - :  #101a)</v>
      </c>
      <c r="BN16" t="str">
        <f t="shared" si="13"/>
        <v>Lady Mary MEADE (1952 - :  #101b)</v>
      </c>
      <c r="BO16" t="str">
        <f t="shared" si="13"/>
        <v>Lady Julia MEADE (1953 - :  #101c)</v>
      </c>
      <c r="BP16" t="str">
        <f t="shared" si="13"/>
        <v>Lady Laura MEADE (1957 - :  #101d)</v>
      </c>
      <c r="BQ16" t="str">
        <f t="shared" si="13"/>
        <v>Lady Katherine MEADE (1959 - :  #101e)</v>
      </c>
      <c r="BR16" t="str">
        <f t="shared" si="13"/>
        <v>Lady Sophia MEADE (1963 - :  #101f)</v>
      </c>
      <c r="BS16" t="str">
        <f t="shared" si="13"/>
        <v/>
      </c>
      <c r="BT16" t="str">
        <f t="shared" si="13"/>
        <v/>
      </c>
      <c r="BU16" t="str">
        <f t="shared" si="13"/>
        <v/>
      </c>
      <c r="BY16" s="72">
        <v>56</v>
      </c>
      <c r="DP16">
        <v>85001</v>
      </c>
      <c r="DQ16">
        <v>85002</v>
      </c>
      <c r="DR16">
        <v>85003</v>
      </c>
      <c r="DS16">
        <v>85004</v>
      </c>
      <c r="ED16">
        <v>95001</v>
      </c>
      <c r="EE16">
        <v>95002</v>
      </c>
      <c r="EK16">
        <v>101001</v>
      </c>
      <c r="EL16">
        <v>101002</v>
      </c>
      <c r="EM16">
        <v>101003</v>
      </c>
      <c r="EN16">
        <v>101004</v>
      </c>
      <c r="EO16">
        <v>101005</v>
      </c>
      <c r="EP16">
        <v>101006</v>
      </c>
      <c r="HL16">
        <v>1136034</v>
      </c>
    </row>
    <row r="17" spans="1:220" ht="17">
      <c r="A17">
        <f>'All Girls &amp; Descendants'!B15</f>
        <v>19</v>
      </c>
      <c r="B17" t="str">
        <f>'All Girls &amp; Descendants'!C15</f>
        <v>19a</v>
      </c>
      <c r="C17" t="str">
        <f>'All Girls &amp; Descendants'!D15</f>
        <v>ENTWISLE</v>
      </c>
      <c r="D17" t="str">
        <f>'All Girls &amp; Descendants'!E15</f>
        <v>William</v>
      </c>
      <c r="E17" t="str">
        <f>IF('All Girls &amp; Descendants'!F15="","",'All Girls &amp; Descendants'!F15)</f>
        <v/>
      </c>
      <c r="F17" t="str">
        <f>IF('All Girls &amp; Descendants'!G15="","",'All Girls &amp; Descendants'!G15)</f>
        <v/>
      </c>
      <c r="G17" t="str">
        <f>IF('All Girls &amp; Descendants'!H15="",D17,'All Girls &amp; Descendants'!H15)</f>
        <v>William</v>
      </c>
      <c r="H17">
        <f>'All Girls &amp; Descendants'!I15</f>
        <v>1839</v>
      </c>
      <c r="I17">
        <f>'All Girls &amp; Descendants'!J15</f>
        <v>1860</v>
      </c>
      <c r="K17" s="3" t="str">
        <f>'All Girls &amp; Descendants'!M15</f>
        <v>14/05/1839</v>
      </c>
      <c r="L17" t="str">
        <f>'All Girls &amp; Descendants'!N15</f>
        <v>Unmarried</v>
      </c>
      <c r="M17" t="str">
        <f>'All Girls &amp; Descendants'!O15</f>
        <v>27/08/1860</v>
      </c>
      <c r="N17" t="str">
        <f>'All Girls &amp; Descendants'!P15</f>
        <v>27/08/1860</v>
      </c>
      <c r="O17" t="str">
        <f>'All Girls &amp; Descendants'!Q15</f>
        <v>19</v>
      </c>
      <c r="P17" t="str">
        <f t="shared" si="2"/>
        <v>19a</v>
      </c>
      <c r="Q17" s="116">
        <f t="shared" si="5"/>
        <v>1</v>
      </c>
      <c r="R17" s="31" t="str">
        <f t="shared" si="6"/>
        <v>William   ENTWISLE</v>
      </c>
      <c r="S17" t="str">
        <f t="shared" si="7"/>
        <v>William ENTWISLE (1839 - 1860:  #19a)</v>
      </c>
      <c r="U17" s="116">
        <f t="shared" si="3"/>
        <v>19001</v>
      </c>
      <c r="V17" t="s">
        <v>2114</v>
      </c>
      <c r="W17" s="116">
        <f t="shared" si="19"/>
        <v>19</v>
      </c>
      <c r="X17" s="116" t="str">
        <f t="shared" si="8"/>
        <v>a</v>
      </c>
      <c r="Y17" s="116">
        <f>VLOOKUP(W17,'Loyd List 1-190 - Edit'!$P$1:$R$202,3,FALSE)</f>
        <v>8</v>
      </c>
      <c r="Z17" s="116"/>
      <c r="AB17" s="116"/>
      <c r="AE17" s="99">
        <f t="shared" si="9"/>
        <v>62</v>
      </c>
      <c r="AF17" s="116">
        <f t="shared" si="14"/>
        <v>3</v>
      </c>
      <c r="AG17" s="117" t="str">
        <f t="shared" si="20"/>
        <v>102a</v>
      </c>
      <c r="AH17" s="117" t="str">
        <f t="shared" si="20"/>
        <v>102b</v>
      </c>
      <c r="AI17" s="117" t="str">
        <f t="shared" si="21"/>
        <v>102c</v>
      </c>
      <c r="AJ17" s="117"/>
      <c r="AK17" s="117"/>
      <c r="AL17" s="117"/>
      <c r="AM17" s="117"/>
      <c r="AN17" s="117"/>
      <c r="AO17" s="117"/>
      <c r="AP17" s="117"/>
      <c r="AQ17" s="117"/>
      <c r="AR17" s="117"/>
      <c r="AS17" s="117"/>
      <c r="AT17" s="117"/>
      <c r="AU17" s="117"/>
      <c r="AV17" s="117"/>
      <c r="AW17" s="117"/>
      <c r="AX17" s="117"/>
      <c r="AY17" s="117"/>
      <c r="AZ17" s="117"/>
      <c r="BA17" s="117"/>
      <c r="BB17" s="117"/>
      <c r="BC17" s="126">
        <f>VLOOKUP(BD17,'Loyd List 1-190 - Edit'!$P$2:$R$208,3,FALSE)</f>
        <v>30</v>
      </c>
      <c r="BD17" s="126">
        <f t="shared" si="4"/>
        <v>62</v>
      </c>
      <c r="BE17" s="126">
        <f t="shared" si="11"/>
        <v>3</v>
      </c>
      <c r="BF17" s="97" t="str">
        <f t="shared" si="16"/>
        <v xml:space="preserve">Tess DUNLOP (1956 - :  #102a) Fergus DUNLOP (1958 - :  #102b) Celina DUNLOP (1960 - :  #102c)            </v>
      </c>
      <c r="BG17" t="str">
        <f t="shared" si="17"/>
        <v>Tess DUNLOP (1956 - :  #102a)</v>
      </c>
      <c r="BH17" t="str">
        <f t="shared" si="12"/>
        <v>Fergus DUNLOP (1958 - :  #102b)</v>
      </c>
      <c r="BI17" t="str">
        <f t="shared" si="12"/>
        <v>Celina DUNLOP (1960 - :  #102c)</v>
      </c>
      <c r="BJ17" t="str">
        <f t="shared" si="13"/>
        <v/>
      </c>
      <c r="BK17" t="str">
        <f t="shared" si="13"/>
        <v/>
      </c>
      <c r="BL17" t="str">
        <f t="shared" si="13"/>
        <v/>
      </c>
      <c r="BM17" t="str">
        <f t="shared" si="13"/>
        <v/>
      </c>
      <c r="BN17" t="str">
        <f t="shared" si="13"/>
        <v/>
      </c>
      <c r="BO17" t="str">
        <f t="shared" si="13"/>
        <v/>
      </c>
      <c r="BP17" t="str">
        <f t="shared" si="13"/>
        <v/>
      </c>
      <c r="BQ17" t="str">
        <f t="shared" si="13"/>
        <v/>
      </c>
      <c r="BR17" t="str">
        <f t="shared" si="13"/>
        <v/>
      </c>
      <c r="BS17" t="str">
        <f t="shared" si="13"/>
        <v/>
      </c>
      <c r="BT17" t="str">
        <f t="shared" si="13"/>
        <v/>
      </c>
      <c r="BU17" t="str">
        <f t="shared" si="13"/>
        <v/>
      </c>
      <c r="BY17" s="72">
        <v>62</v>
      </c>
      <c r="EQ17">
        <v>102001</v>
      </c>
      <c r="ER17">
        <v>102002</v>
      </c>
      <c r="ES17">
        <v>102003</v>
      </c>
      <c r="HL17">
        <v>306006</v>
      </c>
    </row>
    <row r="18" spans="1:220" ht="34">
      <c r="A18">
        <f>'All Girls &amp; Descendants'!B16</f>
        <v>19</v>
      </c>
      <c r="B18" t="str">
        <f>'All Girls &amp; Descendants'!C16</f>
        <v>19b</v>
      </c>
      <c r="C18" t="str">
        <f>'All Girls &amp; Descendants'!D16</f>
        <v>ENTWISLE</v>
      </c>
      <c r="D18" t="str">
        <f>'All Girls &amp; Descendants'!E16</f>
        <v>Richard</v>
      </c>
      <c r="E18" t="str">
        <f>IF('All Girls &amp; Descendants'!F16="","",'All Girls &amp; Descendants'!F16)</f>
        <v/>
      </c>
      <c r="F18" t="str">
        <f>IF('All Girls &amp; Descendants'!G16="","",'All Girls &amp; Descendants'!G16)</f>
        <v/>
      </c>
      <c r="G18" t="str">
        <f>IF('All Girls &amp; Descendants'!H16="",D18,'All Girls &amp; Descendants'!H16)</f>
        <v>Richard</v>
      </c>
      <c r="H18">
        <f>'All Girls &amp; Descendants'!I16</f>
        <v>1840</v>
      </c>
      <c r="I18">
        <f>'All Girls &amp; Descendants'!J16</f>
        <v>1894</v>
      </c>
      <c r="K18" s="3" t="str">
        <f>'All Girls &amp; Descendants'!M16</f>
        <v>02/10/1840</v>
      </c>
      <c r="L18" t="str">
        <f>'All Girls &amp; Descendants'!N16</f>
        <v>Unmarried</v>
      </c>
      <c r="M18" t="str">
        <f>'All Girls &amp; Descendants'!O16</f>
        <v>04/10/1894</v>
      </c>
      <c r="N18" t="str">
        <f>'All Girls &amp; Descendants'!P16</f>
        <v>04/10/1894</v>
      </c>
      <c r="O18" t="str">
        <f>'All Girls &amp; Descendants'!Q16</f>
        <v>19</v>
      </c>
      <c r="P18" t="str">
        <f t="shared" si="2"/>
        <v>19b</v>
      </c>
      <c r="Q18" s="116">
        <f t="shared" si="5"/>
        <v>1</v>
      </c>
      <c r="R18" s="31" t="str">
        <f t="shared" si="6"/>
        <v>Richard   ENTWISLE</v>
      </c>
      <c r="S18" t="str">
        <f t="shared" si="7"/>
        <v>Richard ENTWISLE (1840 - 1894:  #19b)</v>
      </c>
      <c r="U18" s="116">
        <f t="shared" si="3"/>
        <v>19002</v>
      </c>
      <c r="V18" t="s">
        <v>2115</v>
      </c>
      <c r="W18" s="116">
        <f t="shared" si="19"/>
        <v>19</v>
      </c>
      <c r="X18" s="116" t="str">
        <f t="shared" si="8"/>
        <v>b</v>
      </c>
      <c r="Y18" s="116">
        <f>VLOOKUP(W18,'Loyd List 1-190 - Edit'!$P$1:$R$202,3,FALSE)</f>
        <v>8</v>
      </c>
      <c r="Z18" s="116"/>
      <c r="AB18" s="116"/>
      <c r="AE18" s="99">
        <f t="shared" si="9"/>
        <v>66</v>
      </c>
      <c r="AF18" s="116">
        <f t="shared" si="14"/>
        <v>3</v>
      </c>
      <c r="AG18" s="117" t="str">
        <f t="shared" si="20"/>
        <v>88a</v>
      </c>
      <c r="AH18" s="117" t="str">
        <f t="shared" si="20"/>
        <v>88b</v>
      </c>
      <c r="AI18" s="117" t="str">
        <f t="shared" si="21"/>
        <v>88c</v>
      </c>
      <c r="AJ18" s="117"/>
      <c r="AK18" s="117"/>
      <c r="AL18" s="117"/>
      <c r="AM18" s="117"/>
      <c r="AN18" s="117"/>
      <c r="AO18" s="117"/>
      <c r="AP18" s="117"/>
      <c r="AQ18" s="117"/>
      <c r="AR18" s="117"/>
      <c r="AS18" s="117"/>
      <c r="AT18" s="117"/>
      <c r="AU18" s="117"/>
      <c r="AV18" s="117"/>
      <c r="AW18" s="117"/>
      <c r="AX18" s="117"/>
      <c r="AY18" s="117"/>
      <c r="AZ18" s="117"/>
      <c r="BA18" s="117"/>
      <c r="BB18" s="117"/>
      <c r="BC18" s="126">
        <f>VLOOKUP(BD18,'Loyd List 1-190 - Edit'!$P$2:$R$208,3,FALSE)</f>
        <v>44</v>
      </c>
      <c r="BD18" s="126">
        <f t="shared" si="4"/>
        <v>66</v>
      </c>
      <c r="BE18" s="126">
        <f t="shared" si="11"/>
        <v>3</v>
      </c>
      <c r="BF18" s="97" t="str">
        <f t="shared" si="16"/>
        <v xml:space="preserve">Lady Diana BAIRD (1937 - :  #88a) Michael KEITH (1939 - 2004:  #88b) The Hon Alexander BAIRD (1946 - :  #88c)            </v>
      </c>
      <c r="BG18" t="str">
        <f t="shared" si="17"/>
        <v>Lady Diana BAIRD (1937 - :  #88a)</v>
      </c>
      <c r="BH18" t="str">
        <f t="shared" si="12"/>
        <v>Michael KEITH (1939 - 2004:  #88b)</v>
      </c>
      <c r="BI18" t="str">
        <f t="shared" si="12"/>
        <v>The Hon Alexander BAIRD (1946 - :  #88c)</v>
      </c>
      <c r="BJ18" t="str">
        <f t="shared" si="13"/>
        <v/>
      </c>
      <c r="BK18" t="str">
        <f t="shared" si="13"/>
        <v/>
      </c>
      <c r="BL18" t="str">
        <f t="shared" si="13"/>
        <v/>
      </c>
      <c r="BM18" t="str">
        <f t="shared" si="13"/>
        <v/>
      </c>
      <c r="BN18" t="str">
        <f t="shared" si="13"/>
        <v/>
      </c>
      <c r="BO18" t="str">
        <f t="shared" si="13"/>
        <v/>
      </c>
      <c r="BP18" t="str">
        <f t="shared" si="13"/>
        <v/>
      </c>
      <c r="BQ18" t="str">
        <f t="shared" si="13"/>
        <v/>
      </c>
      <c r="BR18" t="str">
        <f t="shared" si="13"/>
        <v/>
      </c>
      <c r="BS18" t="str">
        <f t="shared" si="13"/>
        <v/>
      </c>
      <c r="BT18" t="str">
        <f t="shared" si="13"/>
        <v/>
      </c>
      <c r="BU18" t="str">
        <f t="shared" si="13"/>
        <v/>
      </c>
      <c r="BY18" s="72">
        <v>66</v>
      </c>
      <c r="DT18">
        <v>88001</v>
      </c>
      <c r="DU18">
        <v>88002</v>
      </c>
      <c r="DV18">
        <v>88003</v>
      </c>
      <c r="HL18">
        <v>264006</v>
      </c>
    </row>
    <row r="19" spans="1:220" ht="34">
      <c r="A19">
        <f>'All Girls &amp; Descendants'!B17</f>
        <v>19</v>
      </c>
      <c r="B19" t="str">
        <f>'All Girls &amp; Descendants'!C17</f>
        <v>19c</v>
      </c>
      <c r="C19" t="str">
        <f>'All Girls &amp; Descendants'!D17</f>
        <v>ENTWISLE</v>
      </c>
      <c r="D19" t="str">
        <f>'All Girls &amp; Descendants'!E17</f>
        <v>Frederica</v>
      </c>
      <c r="E19" t="str">
        <f>IF('All Girls &amp; Descendants'!F17="","",'All Girls &amp; Descendants'!F17)</f>
        <v>Frances</v>
      </c>
      <c r="F19" t="str">
        <f>IF('All Girls &amp; Descendants'!G17="","",'All Girls &amp; Descendants'!G17)</f>
        <v/>
      </c>
      <c r="G19" t="str">
        <f>IF('All Girls &amp; Descendants'!H17="",D19,'All Girls &amp; Descendants'!H17)</f>
        <v>Frederica</v>
      </c>
      <c r="H19">
        <f>'All Girls &amp; Descendants'!I17</f>
        <v>1842</v>
      </c>
      <c r="I19">
        <f>'All Girls &amp; Descendants'!J17</f>
        <v>1916</v>
      </c>
      <c r="K19" s="3" t="str">
        <f>'All Girls &amp; Descendants'!M17</f>
        <v>24/09/1842</v>
      </c>
      <c r="L19" t="str">
        <f>'All Girls &amp; Descendants'!N17</f>
        <v>08/04/1863</v>
      </c>
      <c r="M19">
        <f>'All Girls &amp; Descendants'!O17</f>
        <v>5949</v>
      </c>
      <c r="N19" t="str">
        <f>'All Girls &amp; Descendants'!P17</f>
        <v>14/04/1916</v>
      </c>
      <c r="O19" t="str">
        <f>'All Girls &amp; Descendants'!Q17</f>
        <v>19</v>
      </c>
      <c r="P19" t="str">
        <f t="shared" si="2"/>
        <v>19c</v>
      </c>
      <c r="Q19" s="116">
        <f t="shared" si="5"/>
        <v>1</v>
      </c>
      <c r="R19" s="31" t="str">
        <f t="shared" si="6"/>
        <v>Frederica Frances  ENTWISLE</v>
      </c>
      <c r="S19" t="str">
        <f t="shared" si="7"/>
        <v>Frederica ENTWISLE (1842 - 1916:  #19c)</v>
      </c>
      <c r="U19" s="116">
        <f t="shared" si="3"/>
        <v>19003</v>
      </c>
      <c r="V19" t="s">
        <v>2119</v>
      </c>
      <c r="W19" s="116">
        <f t="shared" si="19"/>
        <v>19</v>
      </c>
      <c r="X19" s="116" t="str">
        <f t="shared" si="8"/>
        <v>c</v>
      </c>
      <c r="Y19" s="116">
        <f>VLOOKUP(W19,'Loyd List 1-190 - Edit'!$P$1:$R$202,3,FALSE)</f>
        <v>8</v>
      </c>
      <c r="Z19" s="116"/>
      <c r="AB19" s="116"/>
      <c r="AE19" s="99">
        <f t="shared" si="9"/>
        <v>72</v>
      </c>
      <c r="AF19" s="116">
        <f t="shared" si="14"/>
        <v>4</v>
      </c>
      <c r="AG19" s="117" t="str">
        <f t="shared" si="20"/>
        <v>103a</v>
      </c>
      <c r="AH19" s="117" t="str">
        <f t="shared" si="20"/>
        <v>103b</v>
      </c>
      <c r="AI19" s="117" t="str">
        <f t="shared" si="21"/>
        <v>103c</v>
      </c>
      <c r="AJ19" s="117" t="str">
        <f>VLOOKUP(IF(ISNUMBER(SMALL($BZ19:$HK19,AJ$3)),SMALL($BZ19:$HK19,AJ$3),""),$U$4:$V$150,2,FALSE)</f>
        <v>103d</v>
      </c>
      <c r="AK19" s="117"/>
      <c r="AL19" s="117"/>
      <c r="AM19" s="117"/>
      <c r="AN19" s="117"/>
      <c r="AO19" s="117"/>
      <c r="AP19" s="117"/>
      <c r="AQ19" s="117"/>
      <c r="AR19" s="117"/>
      <c r="AS19" s="117"/>
      <c r="AT19" s="117"/>
      <c r="AU19" s="117"/>
      <c r="AV19" s="117"/>
      <c r="AW19" s="117"/>
      <c r="AX19" s="117"/>
      <c r="AY19" s="117"/>
      <c r="AZ19" s="117"/>
      <c r="BA19" s="117"/>
      <c r="BB19" s="117"/>
      <c r="BC19" s="126">
        <f>VLOOKUP(BD19,'Loyd List 1-190 - Edit'!$P$2:$R$208,3,FALSE)</f>
        <v>44</v>
      </c>
      <c r="BD19" s="126">
        <f t="shared" si="4"/>
        <v>72</v>
      </c>
      <c r="BE19" s="126">
        <f t="shared" si="11"/>
        <v>4</v>
      </c>
      <c r="BF19" s="97" t="str">
        <f t="shared" si="16"/>
        <v xml:space="preserve">James GORE-BROWNE (1947 - :  #103a) Georgina GORE-BROWNE (1949 - :  #103b) David GORE-BROWNE (1952 - 2012:  #103c) Patrick GORE-BROWNE (1956 - :  #103d)           </v>
      </c>
      <c r="BG19" t="str">
        <f t="shared" si="17"/>
        <v>James GORE-BROWNE (1947 - :  #103a)</v>
      </c>
      <c r="BH19" t="str">
        <f t="shared" si="12"/>
        <v>Georgina GORE-BROWNE (1949 - :  #103b)</v>
      </c>
      <c r="BI19" t="str">
        <f t="shared" si="12"/>
        <v>David GORE-BROWNE (1952 - 2012:  #103c)</v>
      </c>
      <c r="BJ19" t="str">
        <f t="shared" si="13"/>
        <v>Patrick GORE-BROWNE (1956 - :  #103d)</v>
      </c>
      <c r="BK19" t="str">
        <f t="shared" si="13"/>
        <v/>
      </c>
      <c r="BL19" t="str">
        <f t="shared" si="13"/>
        <v/>
      </c>
      <c r="BM19" t="str">
        <f t="shared" si="13"/>
        <v/>
      </c>
      <c r="BN19" t="str">
        <f t="shared" si="13"/>
        <v/>
      </c>
      <c r="BO19" t="str">
        <f t="shared" si="13"/>
        <v/>
      </c>
      <c r="BP19" t="str">
        <f t="shared" si="13"/>
        <v/>
      </c>
      <c r="BQ19" t="str">
        <f t="shared" si="13"/>
        <v/>
      </c>
      <c r="BR19" t="str">
        <f t="shared" si="13"/>
        <v/>
      </c>
      <c r="BS19" t="str">
        <f t="shared" si="13"/>
        <v/>
      </c>
      <c r="BT19" t="str">
        <f t="shared" si="13"/>
        <v/>
      </c>
      <c r="BU19" t="str">
        <f t="shared" si="13"/>
        <v/>
      </c>
      <c r="BY19" s="72">
        <v>72</v>
      </c>
      <c r="ET19">
        <v>103001</v>
      </c>
      <c r="EU19">
        <v>103002</v>
      </c>
      <c r="EV19">
        <v>103003</v>
      </c>
      <c r="EW19">
        <v>103004</v>
      </c>
      <c r="HL19">
        <v>412010</v>
      </c>
    </row>
    <row r="20" spans="1:220" ht="34">
      <c r="A20">
        <f>'All Girls &amp; Descendants'!B18</f>
        <v>19</v>
      </c>
      <c r="B20" t="str">
        <f>'All Girls &amp; Descendants'!C18</f>
        <v>19d</v>
      </c>
      <c r="C20" t="str">
        <f>'All Girls &amp; Descendants'!D18</f>
        <v>ENTWISLE</v>
      </c>
      <c r="D20" t="str">
        <f>'All Girls &amp; Descendants'!E18</f>
        <v>Bernard</v>
      </c>
      <c r="E20" t="str">
        <f>IF('All Girls &amp; Descendants'!F18="","",'All Girls &amp; Descendants'!F18)</f>
        <v>Henry</v>
      </c>
      <c r="F20" t="str">
        <f>IF('All Girls &amp; Descendants'!G18="","",'All Girls &amp; Descendants'!G18)</f>
        <v/>
      </c>
      <c r="G20" t="str">
        <f>IF('All Girls &amp; Descendants'!H18="",D20,'All Girls &amp; Descendants'!H18)</f>
        <v>Bernard</v>
      </c>
      <c r="H20">
        <f>'All Girls &amp; Descendants'!I18</f>
        <v>1847</v>
      </c>
      <c r="I20">
        <f>'All Girls &amp; Descendants'!J18</f>
        <v>1877</v>
      </c>
      <c r="K20" s="3" t="str">
        <f>'All Girls &amp; Descendants'!M18</f>
        <v>25/02/1847</v>
      </c>
      <c r="L20" t="str">
        <f>'All Girls &amp; Descendants'!N18</f>
        <v>08/01 or 06/1875</v>
      </c>
      <c r="M20" t="str">
        <f>'All Girls &amp; Descendants'!O18</f>
        <v>22/09/1877</v>
      </c>
      <c r="N20" t="str">
        <f>'All Girls &amp; Descendants'!P18</f>
        <v>22/09/1877</v>
      </c>
      <c r="O20" t="str">
        <f>'All Girls &amp; Descendants'!Q18</f>
        <v>19</v>
      </c>
      <c r="P20" t="str">
        <f t="shared" si="2"/>
        <v>19d</v>
      </c>
      <c r="Q20" s="116">
        <f t="shared" si="5"/>
        <v>1</v>
      </c>
      <c r="R20" s="31" t="str">
        <f t="shared" si="6"/>
        <v>Bernard Henry  ENTWISLE</v>
      </c>
      <c r="S20" t="str">
        <f t="shared" si="7"/>
        <v>Bernard ENTWISLE (1847 - 1877:  #19d)</v>
      </c>
      <c r="U20" s="116">
        <f t="shared" si="3"/>
        <v>19004</v>
      </c>
      <c r="V20" t="s">
        <v>2124</v>
      </c>
      <c r="W20" s="116">
        <f t="shared" si="19"/>
        <v>19</v>
      </c>
      <c r="X20" s="116" t="str">
        <f t="shared" si="8"/>
        <v>d</v>
      </c>
      <c r="Y20" s="116">
        <f>VLOOKUP(W20,'Loyd List 1-190 - Edit'!$P$1:$R$202,3,FALSE)</f>
        <v>8</v>
      </c>
      <c r="Z20" s="116"/>
      <c r="AB20" s="116"/>
      <c r="AE20" s="99">
        <f t="shared" si="9"/>
        <v>76</v>
      </c>
      <c r="AF20" s="116">
        <f t="shared" si="14"/>
        <v>5</v>
      </c>
      <c r="AG20" s="117" t="str">
        <f t="shared" si="20"/>
        <v>107a</v>
      </c>
      <c r="AH20" s="117" t="str">
        <f t="shared" si="20"/>
        <v>107b</v>
      </c>
      <c r="AI20" s="117" t="str">
        <f t="shared" si="21"/>
        <v>107c</v>
      </c>
      <c r="AJ20" s="117" t="str">
        <f>VLOOKUP(IF(ISNUMBER(SMALL($BZ20:$HK20,AJ$3)),SMALL($BZ20:$HK20,AJ$3),""),$U$4:$V$150,2,FALSE)</f>
        <v>107d</v>
      </c>
      <c r="AK20" s="117" t="str">
        <f>VLOOKUP(IF(ISNUMBER(SMALL($BZ20:$HK20,AK$3)),SMALL($BZ20:$HK20,AK$3),""),$U$4:$V$150,2,FALSE)</f>
        <v>107e</v>
      </c>
      <c r="AL20" s="117"/>
      <c r="AM20" s="117"/>
      <c r="AN20" s="117"/>
      <c r="AO20" s="117"/>
      <c r="AP20" s="117"/>
      <c r="AQ20" s="117"/>
      <c r="AR20" s="117"/>
      <c r="AS20" s="117"/>
      <c r="AT20" s="117"/>
      <c r="AU20" s="117"/>
      <c r="AV20" s="117"/>
      <c r="AW20" s="117"/>
      <c r="AX20" s="117"/>
      <c r="AY20" s="117"/>
      <c r="AZ20" s="117"/>
      <c r="BA20" s="117"/>
      <c r="BB20" s="117"/>
      <c r="BC20" s="126">
        <f>VLOOKUP(BD20,'Loyd List 1-190 - Edit'!$P$2:$R$208,3,FALSE)</f>
        <v>34</v>
      </c>
      <c r="BD20" s="126">
        <f t="shared" si="4"/>
        <v>76</v>
      </c>
      <c r="BE20" s="126">
        <f t="shared" si="11"/>
        <v>5</v>
      </c>
      <c r="BF20" s="97" t="str">
        <f t="shared" si="16"/>
        <v xml:space="preserve">Lorraine GRAHAM (1951 - :  #107a) Nora ORR (1955 - :  #107b) Michael ORR (1956 - :  #107c) Ted ORR (1959 - :  #107d) Heather ORR (1970 - :  #107e)          </v>
      </c>
      <c r="BG20" t="str">
        <f t="shared" si="17"/>
        <v>Lorraine GRAHAM (1951 - :  #107a)</v>
      </c>
      <c r="BH20" t="str">
        <f t="shared" si="12"/>
        <v>Nora ORR (1955 - :  #107b)</v>
      </c>
      <c r="BI20" t="str">
        <f t="shared" si="12"/>
        <v>Michael ORR (1956 - :  #107c)</v>
      </c>
      <c r="BJ20" t="str">
        <f t="shared" si="13"/>
        <v>Ted ORR (1959 - :  #107d)</v>
      </c>
      <c r="BK20" t="str">
        <f t="shared" si="13"/>
        <v>Heather ORR (1970 - :  #107e)</v>
      </c>
      <c r="BL20" t="str">
        <f t="shared" si="13"/>
        <v/>
      </c>
      <c r="BM20" t="str">
        <f t="shared" si="13"/>
        <v/>
      </c>
      <c r="BN20" t="str">
        <f t="shared" si="13"/>
        <v/>
      </c>
      <c r="BO20" t="str">
        <f t="shared" si="13"/>
        <v/>
      </c>
      <c r="BP20" t="str">
        <f t="shared" si="13"/>
        <v/>
      </c>
      <c r="BQ20" t="str">
        <f t="shared" si="13"/>
        <v/>
      </c>
      <c r="BR20" t="str">
        <f t="shared" si="13"/>
        <v/>
      </c>
      <c r="BS20" t="str">
        <f t="shared" si="13"/>
        <v/>
      </c>
      <c r="BT20" t="str">
        <f t="shared" si="13"/>
        <v/>
      </c>
      <c r="BU20" t="str">
        <f t="shared" si="13"/>
        <v/>
      </c>
      <c r="BY20" s="72">
        <v>76</v>
      </c>
      <c r="EZ20">
        <v>107001</v>
      </c>
      <c r="FA20">
        <v>107002</v>
      </c>
      <c r="FB20">
        <v>107003</v>
      </c>
      <c r="FC20">
        <v>107004</v>
      </c>
      <c r="FD20">
        <v>107005</v>
      </c>
      <c r="HL20">
        <v>535015</v>
      </c>
    </row>
    <row r="21" spans="1:220" ht="17">
      <c r="A21">
        <f>'All Girls &amp; Descendants'!B19</f>
        <v>19</v>
      </c>
      <c r="B21" t="str">
        <f>'All Girls &amp; Descendants'!C19</f>
        <v>19e</v>
      </c>
      <c r="C21" t="str">
        <f>'All Girls &amp; Descendants'!D19</f>
        <v>ENTWISLE</v>
      </c>
      <c r="D21" t="str">
        <f>'All Girls &amp; Descendants'!E19</f>
        <v>Edward</v>
      </c>
      <c r="E21" t="str">
        <f>IF('All Girls &amp; Descendants'!F19="","",'All Girls &amp; Descendants'!F19)</f>
        <v>Loyd</v>
      </c>
      <c r="F21" t="str">
        <f>IF('All Girls &amp; Descendants'!G19="","",'All Girls &amp; Descendants'!G19)</f>
        <v/>
      </c>
      <c r="G21" t="str">
        <f>IF('All Girls &amp; Descendants'!H19="",D21,'All Girls &amp; Descendants'!H19)</f>
        <v>Edward</v>
      </c>
      <c r="H21">
        <f>'All Girls &amp; Descendants'!I19</f>
        <v>1852</v>
      </c>
      <c r="I21">
        <f>'All Girls &amp; Descendants'!J19</f>
        <v>1881</v>
      </c>
      <c r="K21" s="3" t="str">
        <f>'All Girls &amp; Descendants'!M19</f>
        <v>13/02/1852</v>
      </c>
      <c r="L21" t="str">
        <f>'All Girls &amp; Descendants'!N19</f>
        <v>16/07/1880</v>
      </c>
      <c r="M21" t="str">
        <f>'All Girls &amp; Descendants'!O19</f>
        <v>16/01/1881</v>
      </c>
      <c r="N21" t="str">
        <f>'All Girls &amp; Descendants'!P19</f>
        <v>16/01/1881</v>
      </c>
      <c r="O21" t="str">
        <f>'All Girls &amp; Descendants'!Q19</f>
        <v>19</v>
      </c>
      <c r="P21" t="str">
        <f t="shared" si="2"/>
        <v>19e</v>
      </c>
      <c r="Q21" s="116">
        <f t="shared" si="5"/>
        <v>1</v>
      </c>
      <c r="R21" s="31" t="str">
        <f t="shared" si="6"/>
        <v>Edward Loyd  ENTWISLE</v>
      </c>
      <c r="S21" t="str">
        <f t="shared" si="7"/>
        <v>Edward ENTWISLE (1852 - 1881:  #19e)</v>
      </c>
      <c r="U21" s="116">
        <f t="shared" si="3"/>
        <v>19005</v>
      </c>
      <c r="V21" t="s">
        <v>2127</v>
      </c>
      <c r="W21" s="116">
        <f t="shared" si="19"/>
        <v>19</v>
      </c>
      <c r="X21" s="116" t="str">
        <f t="shared" si="8"/>
        <v>e</v>
      </c>
      <c r="Y21" s="116">
        <f>VLOOKUP(W21,'Loyd List 1-190 - Edit'!$P$1:$R$202,3,FALSE)</f>
        <v>8</v>
      </c>
      <c r="Z21" s="116"/>
      <c r="AB21" s="116"/>
      <c r="AE21" s="99">
        <f t="shared" si="9"/>
        <v>77</v>
      </c>
      <c r="AF21" s="116">
        <f t="shared" si="14"/>
        <v>2</v>
      </c>
      <c r="AG21" s="117" t="str">
        <f t="shared" si="20"/>
        <v>106a</v>
      </c>
      <c r="AH21" s="117" t="str">
        <f t="shared" si="20"/>
        <v>106b</v>
      </c>
      <c r="AI21" s="117"/>
      <c r="AJ21" s="117"/>
      <c r="AK21" s="117"/>
      <c r="AL21" s="117"/>
      <c r="AM21" s="117"/>
      <c r="AN21" s="117"/>
      <c r="AO21" s="117"/>
      <c r="AP21" s="117"/>
      <c r="AQ21" s="117"/>
      <c r="AR21" s="117"/>
      <c r="AS21" s="117"/>
      <c r="AT21" s="117"/>
      <c r="AU21" s="117"/>
      <c r="AV21" s="117"/>
      <c r="AW21" s="117"/>
      <c r="AX21" s="117"/>
      <c r="AY21" s="117"/>
      <c r="AZ21" s="117"/>
      <c r="BA21" s="117"/>
      <c r="BB21" s="117"/>
      <c r="BC21" s="126">
        <f>VLOOKUP(BD21,'Loyd List 1-190 - Edit'!$P$2:$R$208,3,FALSE)</f>
        <v>30</v>
      </c>
      <c r="BD21" s="126">
        <f t="shared" si="4"/>
        <v>77</v>
      </c>
      <c r="BE21" s="126">
        <f t="shared" si="11"/>
        <v>2</v>
      </c>
      <c r="BF21" s="97" t="str">
        <f t="shared" si="16"/>
        <v xml:space="preserve">The Hon Geva WINN (1955 - :  #106a) Charles WINN (1959 - :  #106b)             </v>
      </c>
      <c r="BG21" t="str">
        <f t="shared" si="17"/>
        <v>The Hon Geva WINN (1955 - :  #106a)</v>
      </c>
      <c r="BH21" t="str">
        <f t="shared" si="17"/>
        <v>Charles WINN (1959 - :  #106b)</v>
      </c>
      <c r="BI21" t="str">
        <f t="shared" si="17"/>
        <v/>
      </c>
      <c r="BJ21" t="str">
        <f t="shared" ref="BJ21:BU29" si="23">IF(AJ21&lt;&gt;"",VLOOKUP(AJ21,$P$3:$T$426,4,FALSE),"")</f>
        <v/>
      </c>
      <c r="BK21" t="str">
        <f t="shared" si="23"/>
        <v/>
      </c>
      <c r="BL21" t="str">
        <f t="shared" si="23"/>
        <v/>
      </c>
      <c r="BM21" t="str">
        <f t="shared" si="23"/>
        <v/>
      </c>
      <c r="BN21" t="str">
        <f t="shared" si="23"/>
        <v/>
      </c>
      <c r="BO21" t="str">
        <f t="shared" si="23"/>
        <v/>
      </c>
      <c r="BP21" t="str">
        <f t="shared" si="23"/>
        <v/>
      </c>
      <c r="BQ21" t="str">
        <f t="shared" si="23"/>
        <v/>
      </c>
      <c r="BR21" t="str">
        <f t="shared" si="23"/>
        <v/>
      </c>
      <c r="BS21" t="str">
        <f t="shared" si="23"/>
        <v/>
      </c>
      <c r="BT21" t="str">
        <f t="shared" si="23"/>
        <v/>
      </c>
      <c r="BU21" t="str">
        <f t="shared" si="23"/>
        <v/>
      </c>
      <c r="BY21" s="72">
        <v>77</v>
      </c>
      <c r="EX21">
        <v>106001</v>
      </c>
      <c r="EY21">
        <v>106002</v>
      </c>
      <c r="HL21">
        <v>212003</v>
      </c>
    </row>
    <row r="22" spans="1:220" ht="51">
      <c r="A22">
        <f>'All Girls &amp; Descendants'!B20</f>
        <v>36</v>
      </c>
      <c r="B22" t="str">
        <f>'All Girls &amp; Descendants'!C20</f>
        <v>36a</v>
      </c>
      <c r="C22" t="str">
        <f>'All Girls &amp; Descendants'!D20</f>
        <v>COURTHOPE</v>
      </c>
      <c r="D22" t="str">
        <f>'All Girls &amp; Descendants'!E20</f>
        <v>George</v>
      </c>
      <c r="E22" t="str">
        <f>IF('All Girls &amp; Descendants'!F20="","",'All Girls &amp; Descendants'!F20)</f>
        <v>Loyd</v>
      </c>
      <c r="F22" t="str">
        <f>IF('All Girls &amp; Descendants'!G20="","",'All Girls &amp; Descendants'!G20)</f>
        <v/>
      </c>
      <c r="G22" t="str">
        <f>IF('All Girls &amp; Descendants'!H20="",D22,'All Girls &amp; Descendants'!H20)</f>
        <v>George</v>
      </c>
      <c r="H22">
        <f>'All Girls &amp; Descendants'!I20</f>
        <v>1877</v>
      </c>
      <c r="I22">
        <f>'All Girls &amp; Descendants'!J20</f>
        <v>1955</v>
      </c>
      <c r="K22" s="3" t="str">
        <f>'All Girls &amp; Descendants'!M20</f>
        <v>12/06/1877</v>
      </c>
      <c r="L22" t="str">
        <f>'All Girls &amp; Descendants'!N20</f>
        <v>14/06/1899</v>
      </c>
      <c r="M22">
        <f>'All Girls &amp; Descendants'!O20</f>
        <v>20334</v>
      </c>
      <c r="N22" t="str">
        <f>'All Girls &amp; Descendants'!P20</f>
        <v>02/09/1955</v>
      </c>
      <c r="O22" t="str">
        <f>'All Girls &amp; Descendants'!Q20</f>
        <v>36</v>
      </c>
      <c r="P22" t="str">
        <f t="shared" si="2"/>
        <v>36a</v>
      </c>
      <c r="Q22" s="116">
        <f t="shared" si="5"/>
        <v>1</v>
      </c>
      <c r="R22" s="31" t="str">
        <f t="shared" si="6"/>
        <v>George Loyd  COURTHOPE</v>
      </c>
      <c r="S22" t="str">
        <f t="shared" si="7"/>
        <v>George COURTHOPE (1877 - 1955:  #36a)</v>
      </c>
      <c r="U22" s="116">
        <f t="shared" si="3"/>
        <v>36001</v>
      </c>
      <c r="V22" t="s">
        <v>2136</v>
      </c>
      <c r="W22" s="116">
        <f t="shared" si="19"/>
        <v>36</v>
      </c>
      <c r="X22" s="116" t="str">
        <f t="shared" si="8"/>
        <v>a</v>
      </c>
      <c r="Y22" s="116">
        <f>VLOOKUP(W22,'Loyd List 1-190 - Edit'!$P$1:$R$202,3,FALSE)</f>
        <v>22</v>
      </c>
      <c r="Z22" s="116"/>
      <c r="AB22" s="116"/>
      <c r="AE22" s="99">
        <f t="shared" si="9"/>
        <v>78</v>
      </c>
      <c r="AF22" s="116">
        <f t="shared" si="14"/>
        <v>7</v>
      </c>
      <c r="AG22" s="117" t="str">
        <f t="shared" si="20"/>
        <v>115a</v>
      </c>
      <c r="AH22" s="117" t="str">
        <f t="shared" si="20"/>
        <v>115b</v>
      </c>
      <c r="AI22" s="117" t="str">
        <f>VLOOKUP(IF(ISNUMBER(SMALL($BZ22:$HK22,AI$3)),SMALL($BZ22:$HK22,AI$3),""),$U$4:$V$150,2,FALSE)</f>
        <v>115c</v>
      </c>
      <c r="AJ22" s="117" t="str">
        <f>VLOOKUP(IF(ISNUMBER(SMALL($BZ22:$HK22,AJ$3)),SMALL($BZ22:$HK22,AJ$3),""),$U$4:$V$150,2,FALSE)</f>
        <v>115d</v>
      </c>
      <c r="AK22" s="117" t="str">
        <f>VLOOKUP(IF(ISNUMBER(SMALL($BZ22:$HK22,AK$3)),SMALL($BZ22:$HK22,AK$3),""),$U$4:$V$150,2,FALSE)</f>
        <v>115e</v>
      </c>
      <c r="AL22" s="117" t="str">
        <f>VLOOKUP(IF(ISNUMBER(SMALL($BZ22:$HK22,AL$3)),SMALL($BZ22:$HK22,AL$3),""),$U$4:$V$150,2,FALSE)</f>
        <v>140a</v>
      </c>
      <c r="AM22" s="117" t="str">
        <f>VLOOKUP(IF(ISNUMBER(SMALL($BZ22:$HK22,AM$3)),SMALL($BZ22:$HK22,AM$3),""),$U$4:$V$150,2,FALSE)</f>
        <v>140b</v>
      </c>
      <c r="AN22" s="117"/>
      <c r="AO22" s="117"/>
      <c r="AP22" s="117"/>
      <c r="AQ22" s="117"/>
      <c r="AR22" s="117"/>
      <c r="AS22" s="117"/>
      <c r="AT22" s="117"/>
      <c r="AU22" s="117"/>
      <c r="AV22" s="117"/>
      <c r="AW22" s="117"/>
      <c r="AX22" s="117"/>
      <c r="AY22" s="117"/>
      <c r="AZ22" s="117"/>
      <c r="BA22" s="117"/>
      <c r="BB22" s="117"/>
      <c r="BC22" s="126">
        <f>VLOOKUP(BD22,'Loyd List 1-190 - Edit'!$P$2:$R$208,3,FALSE)</f>
        <v>46</v>
      </c>
      <c r="BD22" s="126">
        <f t="shared" si="4"/>
        <v>78</v>
      </c>
      <c r="BE22" s="126">
        <f t="shared" si="11"/>
        <v>7</v>
      </c>
      <c r="BF22" s="97" t="str">
        <f t="shared" si="16"/>
        <v xml:space="preserve">The Hon Isabel CROSSLEY (1964 - :  #115a) The Hon Camilla CROSSLEY (1967 - :  #115b) The Hon Alicia CROSSLEY (1969 - :  #115c) The Hon Hugh CROSSLEY (1971 - :  #115d) The Hon Bridget CROSSLEY (1974 - :  #115e) Daisy MILLER (1995 - :  #140a) Violet MILLER (1995 - :  #140b)        </v>
      </c>
      <c r="BG22" t="str">
        <f t="shared" si="17"/>
        <v>The Hon Isabel CROSSLEY (1964 - :  #115a)</v>
      </c>
      <c r="BH22" t="str">
        <f t="shared" si="17"/>
        <v>The Hon Camilla CROSSLEY (1967 - :  #115b)</v>
      </c>
      <c r="BI22" t="str">
        <f t="shared" si="17"/>
        <v>The Hon Alicia CROSSLEY (1969 - :  #115c)</v>
      </c>
      <c r="BJ22" t="str">
        <f t="shared" si="23"/>
        <v>The Hon Hugh CROSSLEY (1971 - :  #115d)</v>
      </c>
      <c r="BK22" t="str">
        <f t="shared" si="23"/>
        <v>The Hon Bridget CROSSLEY (1974 - :  #115e)</v>
      </c>
      <c r="BL22" t="str">
        <f t="shared" si="23"/>
        <v>Daisy MILLER (1995 - :  #140a)</v>
      </c>
      <c r="BM22" t="str">
        <f t="shared" si="23"/>
        <v>Violet MILLER (1995 - :  #140b)</v>
      </c>
      <c r="BN22" t="str">
        <f t="shared" si="23"/>
        <v/>
      </c>
      <c r="BO22" t="str">
        <f t="shared" si="23"/>
        <v/>
      </c>
      <c r="BP22" t="str">
        <f t="shared" si="23"/>
        <v/>
      </c>
      <c r="BQ22" t="str">
        <f t="shared" si="23"/>
        <v/>
      </c>
      <c r="BR22" t="str">
        <f t="shared" si="23"/>
        <v/>
      </c>
      <c r="BS22" t="str">
        <f t="shared" si="23"/>
        <v/>
      </c>
      <c r="BT22" t="str">
        <f t="shared" si="23"/>
        <v/>
      </c>
      <c r="BU22" t="str">
        <f t="shared" si="23"/>
        <v/>
      </c>
      <c r="BY22" s="72">
        <v>78</v>
      </c>
      <c r="FS22">
        <v>115001</v>
      </c>
      <c r="FT22">
        <v>115002</v>
      </c>
      <c r="FU22">
        <v>115003</v>
      </c>
      <c r="FV22">
        <v>115004</v>
      </c>
      <c r="FW22">
        <v>115005</v>
      </c>
      <c r="GH22">
        <v>140001</v>
      </c>
      <c r="GI22">
        <v>140002</v>
      </c>
      <c r="HL22">
        <v>855018</v>
      </c>
    </row>
    <row r="23" spans="1:220" ht="34">
      <c r="A23">
        <f>'All Girls &amp; Descendants'!B21</f>
        <v>36</v>
      </c>
      <c r="B23" t="str">
        <f>'All Girls &amp; Descendants'!C21</f>
        <v>36b</v>
      </c>
      <c r="C23" t="str">
        <f>'All Girls &amp; Descendants'!D21</f>
        <v>COURTHOPE</v>
      </c>
      <c r="D23" t="str">
        <f>'All Girls &amp; Descendants'!E21</f>
        <v>Alexander</v>
      </c>
      <c r="E23" t="str">
        <f>IF('All Girls &amp; Descendants'!F21="","",'All Girls &amp; Descendants'!F21)</f>
        <v/>
      </c>
      <c r="F23" t="str">
        <f>IF('All Girls &amp; Descendants'!G21="","",'All Girls &amp; Descendants'!G21)</f>
        <v/>
      </c>
      <c r="G23" t="str">
        <f>IF('All Girls &amp; Descendants'!H21="",D23,'All Girls &amp; Descendants'!H21)</f>
        <v>Alexander</v>
      </c>
      <c r="H23">
        <f>'All Girls &amp; Descendants'!I21</f>
        <v>1878</v>
      </c>
      <c r="I23">
        <f>'All Girls &amp; Descendants'!J21</f>
        <v>1892</v>
      </c>
      <c r="K23" s="3" t="str">
        <f>'All Girls &amp; Descendants'!M21</f>
        <v>14/09/1878</v>
      </c>
      <c r="L23" t="str">
        <f>'All Girls &amp; Descendants'!N21</f>
        <v xml:space="preserve"> - </v>
      </c>
      <c r="M23" t="str">
        <f>'All Girls &amp; Descendants'!O21</f>
        <v>29/07/1892</v>
      </c>
      <c r="N23" t="str">
        <f>'All Girls &amp; Descendants'!P21</f>
        <v>29/07/1892</v>
      </c>
      <c r="O23" t="str">
        <f>'All Girls &amp; Descendants'!Q21</f>
        <v>36</v>
      </c>
      <c r="P23" t="str">
        <f t="shared" si="2"/>
        <v>36b</v>
      </c>
      <c r="Q23" s="116">
        <f t="shared" si="5"/>
        <v>1</v>
      </c>
      <c r="R23" s="31" t="str">
        <f t="shared" si="6"/>
        <v>Alexander   COURTHOPE</v>
      </c>
      <c r="S23" t="str">
        <f t="shared" si="7"/>
        <v>Alexander COURTHOPE (1878 - 1892:  #36b)</v>
      </c>
      <c r="U23" s="116">
        <f t="shared" si="3"/>
        <v>36002</v>
      </c>
      <c r="V23" t="s">
        <v>2144</v>
      </c>
      <c r="W23" s="116">
        <f t="shared" si="19"/>
        <v>36</v>
      </c>
      <c r="X23" s="116" t="str">
        <f t="shared" si="8"/>
        <v>b</v>
      </c>
      <c r="Y23" s="116">
        <f>VLOOKUP(W23,'Loyd List 1-190 - Edit'!$P$1:$R$202,3,FALSE)</f>
        <v>22</v>
      </c>
      <c r="Z23" s="116"/>
      <c r="AB23" s="116"/>
      <c r="AE23" s="99">
        <f t="shared" si="9"/>
        <v>80</v>
      </c>
      <c r="AF23" s="116">
        <f t="shared" si="14"/>
        <v>6</v>
      </c>
      <c r="AG23" s="117" t="str">
        <f t="shared" si="20"/>
        <v>109a</v>
      </c>
      <c r="AH23" s="117" t="str">
        <f t="shared" si="20"/>
        <v>109b</v>
      </c>
      <c r="AI23" s="117" t="str">
        <f>VLOOKUP(IF(ISNUMBER(SMALL($BZ23:$HK23,AI$3)),SMALL($BZ23:$HK23,AI$3),""),$U$4:$V$150,2,FALSE)</f>
        <v>110a</v>
      </c>
      <c r="AJ23" s="117" t="str">
        <f>VLOOKUP(IF(ISNUMBER(SMALL($BZ23:$HK23,AJ$3)),SMALL($BZ23:$HK23,AJ$3),""),$U$4:$V$150,2,FALSE)</f>
        <v>110b</v>
      </c>
      <c r="AK23" s="117" t="str">
        <f>VLOOKUP(IF(ISNUMBER(SMALL($BZ23:$HK23,AK$3)),SMALL($BZ23:$HK23,AK$3),""),$U$4:$V$150,2,FALSE)</f>
        <v>110c</v>
      </c>
      <c r="AL23" s="117" t="str">
        <f>VLOOKUP(IF(ISNUMBER(SMALL($BZ23:$HK23,AL$3)),SMALL($BZ23:$HK23,AL$3),""),$U$4:$V$150,2,FALSE)</f>
        <v>110d</v>
      </c>
      <c r="AM23" s="117"/>
      <c r="AN23" s="117"/>
      <c r="AO23" s="117"/>
      <c r="AP23" s="117"/>
      <c r="AQ23" s="117"/>
      <c r="AR23" s="117"/>
      <c r="AS23" s="117"/>
      <c r="AT23" s="117"/>
      <c r="AU23" s="117"/>
      <c r="AV23" s="117"/>
      <c r="AW23" s="117"/>
      <c r="AX23" s="117"/>
      <c r="AY23" s="117"/>
      <c r="AZ23" s="117"/>
      <c r="BA23" s="117"/>
      <c r="BB23" s="117"/>
      <c r="BC23" s="126">
        <f>VLOOKUP(BD23,'Loyd List 1-190 - Edit'!$P$2:$R$208,3,FALSE)</f>
        <v>29</v>
      </c>
      <c r="BD23" s="126">
        <f t="shared" si="4"/>
        <v>80</v>
      </c>
      <c r="BE23" s="126">
        <f t="shared" si="11"/>
        <v>6</v>
      </c>
      <c r="BF23" s="97" t="str">
        <f t="shared" si="16"/>
        <v xml:space="preserve">Jennet WALTON (1964 - :  #109a) Timothy WALTON (1967 - :  #109b) John BOYCE (1961 - :  #110a) Joanna BOYCE (1963 - :  #110b) Robert BOYCE (1964 - :  #110c) Paula BOYCE (1966 - :  #110d)         </v>
      </c>
      <c r="BG23" t="str">
        <f t="shared" si="17"/>
        <v>Jennet WALTON (1964 - :  #109a)</v>
      </c>
      <c r="BH23" t="str">
        <f t="shared" si="17"/>
        <v>Timothy WALTON (1967 - :  #109b)</v>
      </c>
      <c r="BI23" t="str">
        <f t="shared" si="17"/>
        <v>John BOYCE (1961 - :  #110a)</v>
      </c>
      <c r="BJ23" t="str">
        <f t="shared" si="23"/>
        <v>Joanna BOYCE (1963 - :  #110b)</v>
      </c>
      <c r="BK23" t="str">
        <f t="shared" si="23"/>
        <v>Robert BOYCE (1964 - :  #110c)</v>
      </c>
      <c r="BL23" t="str">
        <f t="shared" si="23"/>
        <v>Paula BOYCE (1966 - :  #110d)</v>
      </c>
      <c r="BM23" t="str">
        <f t="shared" si="23"/>
        <v/>
      </c>
      <c r="BN23" t="str">
        <f t="shared" si="23"/>
        <v/>
      </c>
      <c r="BO23" t="str">
        <f t="shared" si="23"/>
        <v/>
      </c>
      <c r="BP23" t="str">
        <f t="shared" si="23"/>
        <v/>
      </c>
      <c r="BQ23" t="str">
        <f t="shared" si="23"/>
        <v/>
      </c>
      <c r="BR23" t="str">
        <f t="shared" si="23"/>
        <v/>
      </c>
      <c r="BS23" t="str">
        <f t="shared" si="23"/>
        <v/>
      </c>
      <c r="BT23" t="str">
        <f t="shared" si="23"/>
        <v/>
      </c>
      <c r="BU23" t="str">
        <f t="shared" si="23"/>
        <v/>
      </c>
      <c r="BY23" s="72">
        <v>80</v>
      </c>
      <c r="FI23">
        <v>109001</v>
      </c>
      <c r="FJ23">
        <v>109002</v>
      </c>
      <c r="FK23">
        <v>110001</v>
      </c>
      <c r="FL23">
        <v>110002</v>
      </c>
      <c r="FM23">
        <v>110003</v>
      </c>
      <c r="FN23">
        <v>110004</v>
      </c>
      <c r="HL23">
        <v>658013</v>
      </c>
    </row>
    <row r="24" spans="1:220" ht="17">
      <c r="A24">
        <f>'All Girls &amp; Descendants'!B22</f>
        <v>36</v>
      </c>
      <c r="B24" t="str">
        <f>'All Girls &amp; Descendants'!C22</f>
        <v>36c</v>
      </c>
      <c r="C24" t="str">
        <f>'All Girls &amp; Descendants'!D22</f>
        <v>COURTHOPE</v>
      </c>
      <c r="D24" t="str">
        <f>'All Girls &amp; Descendants'!E22</f>
        <v>John</v>
      </c>
      <c r="E24" t="str">
        <f>IF('All Girls &amp; Descendants'!F22="","",'All Girls &amp; Descendants'!F22)</f>
        <v>Edward</v>
      </c>
      <c r="F24" t="str">
        <f>IF('All Girls &amp; Descendants'!G22="","",'All Girls &amp; Descendants'!G22)</f>
        <v/>
      </c>
      <c r="G24" t="str">
        <f>IF('All Girls &amp; Descendants'!H22="",D24,'All Girls &amp; Descendants'!H22)</f>
        <v>John</v>
      </c>
      <c r="H24">
        <f>'All Girls &amp; Descendants'!I22</f>
        <v>1882</v>
      </c>
      <c r="I24">
        <f>'All Girls &amp; Descendants'!J22</f>
        <v>1954</v>
      </c>
      <c r="K24" s="3" t="str">
        <f>'All Girls &amp; Descendants'!M22</f>
        <v>28/01/1882</v>
      </c>
      <c r="L24" t="str">
        <f>'All Girls &amp; Descendants'!N22</f>
        <v>Unmarried</v>
      </c>
      <c r="M24">
        <f>'All Girls &amp; Descendants'!O22</f>
        <v>19816</v>
      </c>
      <c r="N24" t="str">
        <f>'All Girls &amp; Descendants'!P22</f>
        <v>02/04/1954</v>
      </c>
      <c r="O24" t="str">
        <f>'All Girls &amp; Descendants'!Q22</f>
        <v>36</v>
      </c>
      <c r="P24" t="str">
        <f t="shared" si="2"/>
        <v>36c</v>
      </c>
      <c r="Q24" s="116">
        <f t="shared" si="5"/>
        <v>1</v>
      </c>
      <c r="R24" s="31" t="str">
        <f t="shared" si="6"/>
        <v>John Edward  COURTHOPE</v>
      </c>
      <c r="S24" t="str">
        <f t="shared" si="7"/>
        <v>John COURTHOPE (1882 - 1954:  #36c)</v>
      </c>
      <c r="U24" s="116">
        <f t="shared" si="3"/>
        <v>36003</v>
      </c>
      <c r="V24" t="s">
        <v>2146</v>
      </c>
      <c r="W24" s="116">
        <f t="shared" si="19"/>
        <v>36</v>
      </c>
      <c r="X24" s="116" t="str">
        <f t="shared" si="8"/>
        <v>c</v>
      </c>
      <c r="Y24" s="116">
        <f>VLOOKUP(W24,'Loyd List 1-190 - Edit'!$P$1:$R$202,3,FALSE)</f>
        <v>22</v>
      </c>
      <c r="Z24" s="116"/>
      <c r="AB24" s="116"/>
      <c r="AE24" s="99">
        <f t="shared" si="9"/>
        <v>86</v>
      </c>
      <c r="AF24" s="116">
        <f t="shared" si="14"/>
        <v>2</v>
      </c>
      <c r="AG24" s="117" t="str">
        <f t="shared" si="20"/>
        <v>125a</v>
      </c>
      <c r="AH24" s="117" t="str">
        <f t="shared" si="20"/>
        <v>125b</v>
      </c>
      <c r="AI24" s="117"/>
      <c r="AJ24" s="117"/>
      <c r="AK24" s="117"/>
      <c r="AL24" s="117"/>
      <c r="AM24" s="117"/>
      <c r="AN24" s="117"/>
      <c r="AO24" s="117"/>
      <c r="AP24" s="117"/>
      <c r="AQ24" s="117"/>
      <c r="AR24" s="117"/>
      <c r="AS24" s="117"/>
      <c r="AT24" s="117"/>
      <c r="AU24" s="117"/>
      <c r="AV24" s="117"/>
      <c r="AW24" s="117"/>
      <c r="AX24" s="117"/>
      <c r="AY24" s="117"/>
      <c r="AZ24" s="117"/>
      <c r="BA24" s="117"/>
      <c r="BB24" s="117"/>
      <c r="BC24" s="126">
        <f>VLOOKUP(BD24,'Loyd List 1-190 - Edit'!$P$2:$R$208,3,FALSE)</f>
        <v>71</v>
      </c>
      <c r="BD24" s="126">
        <f t="shared" si="4"/>
        <v>86</v>
      </c>
      <c r="BE24" s="126">
        <f t="shared" si="11"/>
        <v>2</v>
      </c>
      <c r="BF24" s="97" t="str">
        <f t="shared" si="16"/>
        <v xml:space="preserve">Bryan HAWKEY (1976 - :  #125a) Allison HAWKEY (1978 - :  #125b)             </v>
      </c>
      <c r="BG24" t="str">
        <f t="shared" si="17"/>
        <v>Bryan HAWKEY (1976 - :  #125a)</v>
      </c>
      <c r="BH24" t="str">
        <f t="shared" si="17"/>
        <v>Allison HAWKEY (1978 - :  #125b)</v>
      </c>
      <c r="BI24" t="str">
        <f t="shared" si="17"/>
        <v/>
      </c>
      <c r="BJ24" t="str">
        <f t="shared" si="23"/>
        <v/>
      </c>
      <c r="BK24" t="str">
        <f t="shared" si="23"/>
        <v/>
      </c>
      <c r="BL24" t="str">
        <f t="shared" si="23"/>
        <v/>
      </c>
      <c r="BM24" t="str">
        <f t="shared" si="23"/>
        <v/>
      </c>
      <c r="BN24" t="str">
        <f t="shared" si="23"/>
        <v/>
      </c>
      <c r="BO24" t="str">
        <f t="shared" si="23"/>
        <v/>
      </c>
      <c r="BP24" t="str">
        <f t="shared" si="23"/>
        <v/>
      </c>
      <c r="BQ24" t="str">
        <f t="shared" si="23"/>
        <v/>
      </c>
      <c r="BR24" t="str">
        <f t="shared" si="23"/>
        <v/>
      </c>
      <c r="BS24" t="str">
        <f t="shared" si="23"/>
        <v/>
      </c>
      <c r="BT24" t="str">
        <f t="shared" si="23"/>
        <v/>
      </c>
      <c r="BU24" t="str">
        <f t="shared" si="23"/>
        <v/>
      </c>
      <c r="BY24" s="72">
        <v>86</v>
      </c>
      <c r="GC24">
        <v>125001</v>
      </c>
      <c r="GD24">
        <v>125002</v>
      </c>
      <c r="HL24">
        <v>250003</v>
      </c>
    </row>
    <row r="25" spans="1:220" ht="17">
      <c r="A25">
        <f>'All Girls &amp; Descendants'!B23</f>
        <v>36</v>
      </c>
      <c r="B25" t="str">
        <f>'All Girls &amp; Descendants'!C23</f>
        <v>36d</v>
      </c>
      <c r="C25" t="str">
        <f>'All Girls &amp; Descendants'!D23</f>
        <v>COURTHOPE</v>
      </c>
      <c r="D25" t="str">
        <f>'All Girls &amp; Descendants'!E23</f>
        <v>Barbara</v>
      </c>
      <c r="E25" t="str">
        <f>IF('All Girls &amp; Descendants'!F23="","",'All Girls &amp; Descendants'!F23)</f>
        <v>Frances</v>
      </c>
      <c r="F25" t="str">
        <f>IF('All Girls &amp; Descendants'!G23="","",'All Girls &amp; Descendants'!G23)</f>
        <v/>
      </c>
      <c r="G25" t="str">
        <f>IF('All Girls &amp; Descendants'!H23="",D25,'All Girls &amp; Descendants'!H23)</f>
        <v>Barbara</v>
      </c>
      <c r="H25">
        <f>'All Girls &amp; Descendants'!I23</f>
        <v>1883</v>
      </c>
      <c r="I25">
        <f>'All Girls &amp; Descendants'!J23</f>
        <v>1972</v>
      </c>
      <c r="K25" s="3" t="str">
        <f>'All Girls &amp; Descendants'!M23</f>
        <v>23/12/1883</v>
      </c>
      <c r="L25">
        <f>'All Girls &amp; Descendants'!N23</f>
        <v>3966</v>
      </c>
      <c r="M25">
        <f>'All Girls &amp; Descendants'!O23</f>
        <v>26373</v>
      </c>
      <c r="N25" t="str">
        <f>'All Girls &amp; Descendants'!P23</f>
        <v>15/03/1972</v>
      </c>
      <c r="O25" t="str">
        <f>'All Girls &amp; Descendants'!Q23</f>
        <v>36</v>
      </c>
      <c r="P25" t="str">
        <f t="shared" si="2"/>
        <v>36d</v>
      </c>
      <c r="Q25" s="116">
        <f t="shared" si="5"/>
        <v>1</v>
      </c>
      <c r="R25" s="31" t="str">
        <f t="shared" si="6"/>
        <v>Barbara Frances  COURTHOPE</v>
      </c>
      <c r="S25" t="str">
        <f t="shared" si="7"/>
        <v>Barbara COURTHOPE (1883 - 1972:  #36d)</v>
      </c>
      <c r="U25" s="116">
        <f t="shared" si="3"/>
        <v>36004</v>
      </c>
      <c r="V25" t="s">
        <v>2147</v>
      </c>
      <c r="W25" s="116">
        <f t="shared" si="19"/>
        <v>36</v>
      </c>
      <c r="X25" s="116" t="str">
        <f t="shared" si="8"/>
        <v>d</v>
      </c>
      <c r="Y25" s="116">
        <f>VLOOKUP(W25,'Loyd List 1-190 - Edit'!$P$1:$R$202,3,FALSE)</f>
        <v>22</v>
      </c>
      <c r="Z25" s="116"/>
      <c r="AB25" s="116"/>
      <c r="AE25" s="99">
        <f t="shared" si="9"/>
        <v>89</v>
      </c>
      <c r="AF25" s="116">
        <f t="shared" si="14"/>
        <v>2</v>
      </c>
      <c r="AG25" s="117" t="str">
        <f t="shared" si="20"/>
        <v>123a</v>
      </c>
      <c r="AH25" s="117" t="str">
        <f t="shared" si="20"/>
        <v>123b</v>
      </c>
      <c r="AI25" s="117"/>
      <c r="AJ25" s="117"/>
      <c r="AK25" s="117"/>
      <c r="AL25" s="117"/>
      <c r="AM25" s="117"/>
      <c r="AN25" s="117"/>
      <c r="AO25" s="117"/>
      <c r="AP25" s="117"/>
      <c r="AQ25" s="117"/>
      <c r="AR25" s="117"/>
      <c r="AS25" s="117"/>
      <c r="AT25" s="117"/>
      <c r="AU25" s="117"/>
      <c r="AV25" s="117"/>
      <c r="AW25" s="117"/>
      <c r="AX25" s="117"/>
      <c r="AY25" s="117"/>
      <c r="AZ25" s="117"/>
      <c r="BA25" s="117"/>
      <c r="BB25" s="117"/>
      <c r="BC25" s="126">
        <f>VLOOKUP(BD25,'Loyd List 1-190 - Edit'!$P$2:$R$208,3,FALSE)</f>
        <v>54</v>
      </c>
      <c r="BD25" s="126">
        <f t="shared" si="4"/>
        <v>89</v>
      </c>
      <c r="BE25" s="126">
        <f t="shared" si="11"/>
        <v>2</v>
      </c>
      <c r="BF25" s="97" t="str">
        <f t="shared" si="16"/>
        <v xml:space="preserve">Katharine BOSMAN (1978 - :  #123a) Adam BOSMAN (1980 - :  #123b)             </v>
      </c>
      <c r="BG25" t="str">
        <f t="shared" si="17"/>
        <v>Katharine BOSMAN (1978 - :  #123a)</v>
      </c>
      <c r="BH25" t="str">
        <f t="shared" si="17"/>
        <v>Adam BOSMAN (1980 - :  #123b)</v>
      </c>
      <c r="BI25" t="str">
        <f t="shared" si="17"/>
        <v/>
      </c>
      <c r="BJ25" t="str">
        <f t="shared" si="23"/>
        <v/>
      </c>
      <c r="BK25" t="str">
        <f t="shared" si="23"/>
        <v/>
      </c>
      <c r="BL25" t="str">
        <f t="shared" si="23"/>
        <v/>
      </c>
      <c r="BM25" t="str">
        <f t="shared" si="23"/>
        <v/>
      </c>
      <c r="BN25" t="str">
        <f t="shared" si="23"/>
        <v/>
      </c>
      <c r="BO25" t="str">
        <f t="shared" si="23"/>
        <v/>
      </c>
      <c r="BP25" t="str">
        <f t="shared" si="23"/>
        <v/>
      </c>
      <c r="BQ25" t="str">
        <f t="shared" si="23"/>
        <v/>
      </c>
      <c r="BR25" t="str">
        <f t="shared" si="23"/>
        <v/>
      </c>
      <c r="BS25" t="str">
        <f t="shared" si="23"/>
        <v/>
      </c>
      <c r="BT25" t="str">
        <f t="shared" si="23"/>
        <v/>
      </c>
      <c r="BU25" t="str">
        <f t="shared" si="23"/>
        <v/>
      </c>
      <c r="BY25" s="72">
        <v>89</v>
      </c>
      <c r="GA25">
        <v>123001</v>
      </c>
      <c r="GB25">
        <v>123002</v>
      </c>
      <c r="HL25">
        <v>246003</v>
      </c>
    </row>
    <row r="26" spans="1:220" ht="34">
      <c r="A26">
        <f>'All Girls &amp; Descendants'!B24</f>
        <v>36</v>
      </c>
      <c r="B26" t="str">
        <f>'All Girls &amp; Descendants'!C24</f>
        <v>36e</v>
      </c>
      <c r="C26" t="str">
        <f>'All Girls &amp; Descendants'!D24</f>
        <v>COURTHOPE</v>
      </c>
      <c r="D26" t="str">
        <f>'All Girls &amp; Descendants'!E24</f>
        <v>Elinor</v>
      </c>
      <c r="E26" t="str">
        <f>IF('All Girls &amp; Descendants'!F24="","",'All Girls &amp; Descendants'!F24)</f>
        <v>Joan</v>
      </c>
      <c r="F26" t="str">
        <f>IF('All Girls &amp; Descendants'!G24="","",'All Girls &amp; Descendants'!G24)</f>
        <v/>
      </c>
      <c r="G26" t="str">
        <f>IF('All Girls &amp; Descendants'!H24="",D26,'All Girls &amp; Descendants'!H24)</f>
        <v>Elinor</v>
      </c>
      <c r="H26">
        <f>'All Girls &amp; Descendants'!I24</f>
        <v>1886</v>
      </c>
      <c r="I26">
        <f>'All Girls &amp; Descendants'!J24</f>
        <v>1974</v>
      </c>
      <c r="K26" s="3" t="str">
        <f>'All Girls &amp; Descendants'!M24</f>
        <v>03/06/1886</v>
      </c>
      <c r="L26" t="str">
        <f>'All Girls &amp; Descendants'!N24</f>
        <v xml:space="preserve"> - </v>
      </c>
      <c r="M26">
        <f>'All Girls &amp; Descendants'!O24</f>
        <v>27072</v>
      </c>
      <c r="N26" t="str">
        <f>'All Girls &amp; Descendants'!P24</f>
        <v>12/02/1974</v>
      </c>
      <c r="O26" t="str">
        <f>'All Girls &amp; Descendants'!Q24</f>
        <v>36</v>
      </c>
      <c r="P26" t="str">
        <f t="shared" si="2"/>
        <v>36e</v>
      </c>
      <c r="Q26" s="116">
        <f t="shared" si="5"/>
        <v>1</v>
      </c>
      <c r="R26" s="31" t="str">
        <f t="shared" si="6"/>
        <v>Elinor Joan  COURTHOPE</v>
      </c>
      <c r="S26" t="str">
        <f t="shared" si="7"/>
        <v>Elinor COURTHOPE (1886 - 1974:  #36e)</v>
      </c>
      <c r="U26" s="116">
        <f t="shared" si="3"/>
        <v>36005</v>
      </c>
      <c r="V26" t="s">
        <v>2182</v>
      </c>
      <c r="W26" s="116">
        <f t="shared" si="19"/>
        <v>36</v>
      </c>
      <c r="X26" s="116" t="str">
        <f t="shared" si="8"/>
        <v>e</v>
      </c>
      <c r="Y26" s="116">
        <f>VLOOKUP(W26,'Loyd List 1-190 - Edit'!$P$1:$R$202,3,FALSE)</f>
        <v>22</v>
      </c>
      <c r="Z26" s="116"/>
      <c r="AB26" s="116"/>
      <c r="AE26" s="99">
        <f t="shared" si="9"/>
        <v>98</v>
      </c>
      <c r="AF26" s="116">
        <f t="shared" si="14"/>
        <v>5</v>
      </c>
      <c r="AG26" s="117" t="str">
        <f t="shared" si="20"/>
        <v>128a</v>
      </c>
      <c r="AH26" s="117" t="str">
        <f t="shared" si="20"/>
        <v>128b</v>
      </c>
      <c r="AI26" s="117" t="str">
        <f>VLOOKUP(IF(ISNUMBER(SMALL($BZ26:$HK26,AI$3)),SMALL($BZ26:$HK26,AI$3),""),$U$4:$V$150,2,FALSE)</f>
        <v>154a</v>
      </c>
      <c r="AJ26" s="117" t="str">
        <f>VLOOKUP(IF(ISNUMBER(SMALL($BZ26:$HK26,AJ$3)),SMALL($BZ26:$HK26,AJ$3),""),$U$4:$V$150,2,FALSE)</f>
        <v>154b</v>
      </c>
      <c r="AK26" s="117" t="str">
        <f>VLOOKUP(IF(ISNUMBER(SMALL($BZ26:$HK26,AK$3)),SMALL($BZ26:$HK26,AK$3),""),$U$4:$V$150,2,FALSE)</f>
        <v>154c</v>
      </c>
      <c r="AL26" s="117"/>
      <c r="AM26" s="117"/>
      <c r="AN26" s="117"/>
      <c r="AO26" s="117"/>
      <c r="AP26" s="117"/>
      <c r="AQ26" s="117"/>
      <c r="AR26" s="117"/>
      <c r="AS26" s="117"/>
      <c r="AT26" s="117"/>
      <c r="AU26" s="117"/>
      <c r="AV26" s="117"/>
      <c r="AW26" s="117"/>
      <c r="AX26" s="117"/>
      <c r="AY26" s="117"/>
      <c r="AZ26" s="117"/>
      <c r="BA26" s="117"/>
      <c r="BB26" s="117"/>
      <c r="BC26" s="126">
        <f>VLOOKUP(BD26,'Loyd List 1-190 - Edit'!$P$2:$R$208,3,FALSE)</f>
        <v>77</v>
      </c>
      <c r="BD26" s="126">
        <f t="shared" si="4"/>
        <v>98</v>
      </c>
      <c r="BE26" s="126">
        <f t="shared" si="11"/>
        <v>5</v>
      </c>
      <c r="BF26" s="97" t="str">
        <f t="shared" si="16"/>
        <v xml:space="preserve">Chloe PEMBERTON (1991 - :  #128a) Kate PEMBERTON (1993 - :  #128b) Freddie NEWING (2006 - :  #154a) Gus NEWING (2008 - :  #154b) Albert NEWING (2015 - 2015:  #154c)          </v>
      </c>
      <c r="BG26" t="str">
        <f t="shared" si="17"/>
        <v>Chloe PEMBERTON (1991 - :  #128a)</v>
      </c>
      <c r="BH26" t="str">
        <f t="shared" si="17"/>
        <v>Kate PEMBERTON (1993 - :  #128b)</v>
      </c>
      <c r="BI26" t="str">
        <f t="shared" si="17"/>
        <v>Freddie NEWING (2006 - :  #154a)</v>
      </c>
      <c r="BJ26" t="str">
        <f t="shared" si="23"/>
        <v>Gus NEWING (2008 - :  #154b)</v>
      </c>
      <c r="BK26" t="str">
        <f t="shared" si="23"/>
        <v>Albert NEWING (2015 - 2015:  #154c)</v>
      </c>
      <c r="BL26" t="str">
        <f t="shared" si="23"/>
        <v/>
      </c>
      <c r="BM26" t="str">
        <f t="shared" si="23"/>
        <v/>
      </c>
      <c r="BN26" t="str">
        <f t="shared" si="23"/>
        <v/>
      </c>
      <c r="BO26" t="str">
        <f t="shared" si="23"/>
        <v/>
      </c>
      <c r="BP26" t="str">
        <f t="shared" si="23"/>
        <v/>
      </c>
      <c r="BQ26" t="str">
        <f t="shared" si="23"/>
        <v/>
      </c>
      <c r="BR26" t="str">
        <f t="shared" si="23"/>
        <v/>
      </c>
      <c r="BS26" t="str">
        <f t="shared" si="23"/>
        <v/>
      </c>
      <c r="BT26" t="str">
        <f t="shared" si="23"/>
        <v/>
      </c>
      <c r="BU26" t="str">
        <f t="shared" si="23"/>
        <v/>
      </c>
      <c r="BY26" s="72">
        <v>98</v>
      </c>
      <c r="GE26">
        <v>128001</v>
      </c>
      <c r="GF26">
        <v>128002</v>
      </c>
      <c r="GP26">
        <v>154001</v>
      </c>
      <c r="GQ26">
        <v>154002</v>
      </c>
      <c r="GR26">
        <v>154003</v>
      </c>
      <c r="HL26">
        <v>718009</v>
      </c>
    </row>
    <row r="27" spans="1:220" ht="17">
      <c r="A27">
        <f>'All Girls &amp; Descendants'!B25</f>
        <v>36</v>
      </c>
      <c r="B27" t="str">
        <f>'All Girls &amp; Descendants'!C25</f>
        <v>36f</v>
      </c>
      <c r="C27" t="str">
        <f>'All Girls &amp; Descendants'!D25</f>
        <v>COURTHOPE</v>
      </c>
      <c r="D27" t="str">
        <f>'All Girls &amp; Descendants'!E25</f>
        <v>Richard</v>
      </c>
      <c r="E27" t="str">
        <f>IF('All Girls &amp; Descendants'!F25="","",'All Girls &amp; Descendants'!F25)</f>
        <v>Foster</v>
      </c>
      <c r="F27" t="str">
        <f>IF('All Girls &amp; Descendants'!G25="","",'All Girls &amp; Descendants'!G25)</f>
        <v/>
      </c>
      <c r="G27" t="str">
        <f>IF('All Girls &amp; Descendants'!H25="",D27,'All Girls &amp; Descendants'!H25)</f>
        <v>Richard</v>
      </c>
      <c r="H27">
        <f>'All Girls &amp; Descendants'!I25</f>
        <v>1888</v>
      </c>
      <c r="I27">
        <f>'All Girls &amp; Descendants'!J25</f>
        <v>1889</v>
      </c>
      <c r="K27" s="3" t="str">
        <f>'All Girls &amp; Descendants'!M25</f>
        <v>21/10/1888</v>
      </c>
      <c r="L27" t="str">
        <f>'All Girls &amp; Descendants'!N25</f>
        <v xml:space="preserve"> - </v>
      </c>
      <c r="M27" t="str">
        <f>'All Girls &amp; Descendants'!O25</f>
        <v>28/05/1889</v>
      </c>
      <c r="N27" t="str">
        <f>'All Girls &amp; Descendants'!P25</f>
        <v>28/05/1889</v>
      </c>
      <c r="O27" t="str">
        <f>'All Girls &amp; Descendants'!Q25</f>
        <v>36</v>
      </c>
      <c r="P27" t="str">
        <f t="shared" si="2"/>
        <v>36f</v>
      </c>
      <c r="Q27" s="116">
        <f t="shared" si="5"/>
        <v>1</v>
      </c>
      <c r="R27" s="31" t="str">
        <f t="shared" si="6"/>
        <v>Richard Foster  COURTHOPE</v>
      </c>
      <c r="S27" t="str">
        <f t="shared" si="7"/>
        <v>Richard COURTHOPE (1888 - 1889:  #36f)</v>
      </c>
      <c r="U27" s="116">
        <f t="shared" si="3"/>
        <v>36006</v>
      </c>
      <c r="V27" t="s">
        <v>2183</v>
      </c>
      <c r="W27" s="116">
        <f t="shared" si="19"/>
        <v>36</v>
      </c>
      <c r="X27" s="116" t="str">
        <f t="shared" si="8"/>
        <v>f</v>
      </c>
      <c r="Y27" s="116">
        <f>VLOOKUP(W27,'Loyd List 1-190 - Edit'!$P$1:$R$202,3,FALSE)</f>
        <v>22</v>
      </c>
      <c r="Z27" s="116"/>
      <c r="AB27" s="116"/>
      <c r="AE27" s="99">
        <f t="shared" si="9"/>
        <v>99</v>
      </c>
      <c r="AF27" s="116">
        <f t="shared" si="14"/>
        <v>1</v>
      </c>
      <c r="AG27" s="117" t="str">
        <f t="shared" ref="AG27:AG33" si="24">VLOOKUP(IF(ISNUMBER(SMALL($BZ27:$HK27,AG$3)),SMALL($BZ27:$HK27,AG$3),""),$U$4:$V$150,2,FALSE)</f>
        <v>137a</v>
      </c>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26">
        <f>VLOOKUP(BD27,'Loyd List 1-190 - Edit'!$P$2:$R$208,3,FALSE)</f>
        <v>66</v>
      </c>
      <c r="BD27" s="126">
        <f t="shared" si="4"/>
        <v>99</v>
      </c>
      <c r="BE27" s="126">
        <f t="shared" si="11"/>
        <v>1</v>
      </c>
      <c r="BF27" s="97" t="str">
        <f t="shared" si="16"/>
        <v xml:space="preserve">Honor GELL (1998 - :  #137a)              </v>
      </c>
      <c r="BG27" t="str">
        <f t="shared" si="17"/>
        <v>Honor GELL (1998 - :  #137a)</v>
      </c>
      <c r="BH27" t="str">
        <f t="shared" si="17"/>
        <v/>
      </c>
      <c r="BI27" t="str">
        <f t="shared" si="17"/>
        <v/>
      </c>
      <c r="BJ27" t="str">
        <f t="shared" si="23"/>
        <v/>
      </c>
      <c r="BK27" t="str">
        <f t="shared" si="23"/>
        <v/>
      </c>
      <c r="BL27" t="str">
        <f t="shared" si="23"/>
        <v/>
      </c>
      <c r="BM27" t="str">
        <f t="shared" si="23"/>
        <v/>
      </c>
      <c r="BN27" t="str">
        <f t="shared" si="23"/>
        <v/>
      </c>
      <c r="BO27" t="str">
        <f t="shared" si="23"/>
        <v/>
      </c>
      <c r="BP27" t="str">
        <f t="shared" si="23"/>
        <v/>
      </c>
      <c r="BQ27" t="str">
        <f t="shared" si="23"/>
        <v/>
      </c>
      <c r="BR27" t="str">
        <f t="shared" si="23"/>
        <v/>
      </c>
      <c r="BS27" t="str">
        <f t="shared" si="23"/>
        <v/>
      </c>
      <c r="BT27" t="str">
        <f t="shared" si="23"/>
        <v/>
      </c>
      <c r="BU27" t="str">
        <f t="shared" si="23"/>
        <v/>
      </c>
      <c r="BY27" s="72">
        <v>99</v>
      </c>
      <c r="GG27">
        <v>137001</v>
      </c>
      <c r="HL27">
        <v>137001</v>
      </c>
    </row>
    <row r="28" spans="1:220" ht="17">
      <c r="A28">
        <f>'All Girls &amp; Descendants'!B26</f>
        <v>36</v>
      </c>
      <c r="B28" t="str">
        <f>'All Girls &amp; Descendants'!C26</f>
        <v>36g</v>
      </c>
      <c r="C28" t="str">
        <f>'All Girls &amp; Descendants'!D26</f>
        <v>COURTHOPE</v>
      </c>
      <c r="D28" t="str">
        <f>'All Girls &amp; Descendants'!E26</f>
        <v>Robert</v>
      </c>
      <c r="E28" t="str">
        <f>IF('All Girls &amp; Descendants'!F26="","",'All Girls &amp; Descendants'!F26)</f>
        <v/>
      </c>
      <c r="F28" t="str">
        <f>IF('All Girls &amp; Descendants'!G26="","",'All Girls &amp; Descendants'!G26)</f>
        <v/>
      </c>
      <c r="G28" t="str">
        <f>IF('All Girls &amp; Descendants'!H26="",D28,'All Girls &amp; Descendants'!H26)</f>
        <v>Robert</v>
      </c>
      <c r="H28">
        <f>'All Girls &amp; Descendants'!I26</f>
        <v>1891</v>
      </c>
      <c r="I28">
        <f>'All Girls &amp; Descendants'!J26</f>
        <v>1966</v>
      </c>
      <c r="K28" s="3" t="str">
        <f>'All Girls &amp; Descendants'!M26</f>
        <v>15/03/1891</v>
      </c>
      <c r="L28" t="str">
        <f>'All Girls &amp; Descendants'!N26</f>
        <v xml:space="preserve"> - </v>
      </c>
      <c r="M28">
        <f>'All Girls &amp; Descendants'!O26</f>
        <v>24198</v>
      </c>
      <c r="N28" t="str">
        <f>'All Girls &amp; Descendants'!P26</f>
        <v>01/04/1966</v>
      </c>
      <c r="O28" t="str">
        <f>'All Girls &amp; Descendants'!Q26</f>
        <v>36</v>
      </c>
      <c r="P28" t="str">
        <f t="shared" si="2"/>
        <v>36g</v>
      </c>
      <c r="Q28" s="116">
        <f t="shared" si="5"/>
        <v>1</v>
      </c>
      <c r="R28" s="31" t="str">
        <f t="shared" si="6"/>
        <v>Robert   COURTHOPE</v>
      </c>
      <c r="S28" t="str">
        <f t="shared" si="7"/>
        <v>Robert COURTHOPE (1891 - 1966:  #36g)</v>
      </c>
      <c r="U28" s="116">
        <f t="shared" si="3"/>
        <v>36007</v>
      </c>
      <c r="V28" t="s">
        <v>2184</v>
      </c>
      <c r="W28" s="116">
        <f t="shared" si="19"/>
        <v>36</v>
      </c>
      <c r="X28" s="116" t="str">
        <f t="shared" si="8"/>
        <v>g</v>
      </c>
      <c r="Y28" s="116">
        <f>VLOOKUP(W28,'Loyd List 1-190 - Edit'!$P$1:$R$202,3,FALSE)</f>
        <v>22</v>
      </c>
      <c r="Z28" s="116"/>
      <c r="AB28" s="116"/>
      <c r="AE28" s="99">
        <f t="shared" si="9"/>
        <v>100</v>
      </c>
      <c r="AF28" s="116">
        <f t="shared" si="14"/>
        <v>2</v>
      </c>
      <c r="AG28" s="117" t="str">
        <f t="shared" si="24"/>
        <v>143a</v>
      </c>
      <c r="AH28" s="117" t="str">
        <f t="shared" ref="AH28:AH33" si="25">VLOOKUP(IF(ISNUMBER(SMALL($BZ28:$HK28,AH$3)),SMALL($BZ28:$HK28,AH$3),""),$U$4:$V$150,2,FALSE)</f>
        <v>143b</v>
      </c>
      <c r="AI28" s="117"/>
      <c r="AJ28" s="117"/>
      <c r="AK28" s="117"/>
      <c r="AL28" s="117"/>
      <c r="AM28" s="117"/>
      <c r="AN28" s="117"/>
      <c r="AO28" s="117"/>
      <c r="AP28" s="117"/>
      <c r="AQ28" s="117"/>
      <c r="AR28" s="117"/>
      <c r="AS28" s="117"/>
      <c r="AT28" s="117"/>
      <c r="AU28" s="117"/>
      <c r="AV28" s="117"/>
      <c r="AW28" s="117"/>
      <c r="AX28" s="117"/>
      <c r="AY28" s="117"/>
      <c r="AZ28" s="117"/>
      <c r="BA28" s="117"/>
      <c r="BB28" s="117"/>
      <c r="BC28" s="126">
        <f>VLOOKUP(BD28,'Loyd List 1-190 - Edit'!$P$2:$R$208,3,FALSE)</f>
        <v>56</v>
      </c>
      <c r="BD28" s="126">
        <f t="shared" si="4"/>
        <v>100</v>
      </c>
      <c r="BE28" s="126">
        <f t="shared" si="11"/>
        <v>2</v>
      </c>
      <c r="BF28" s="97" t="str">
        <f t="shared" si="16"/>
        <v xml:space="preserve">Emily ASHE (1988 - :  #143a) Charles ASHE (1990 - :  #143b)             </v>
      </c>
      <c r="BG28" t="str">
        <f t="shared" si="17"/>
        <v>Emily ASHE (1988 - :  #143a)</v>
      </c>
      <c r="BH28" t="str">
        <f t="shared" si="17"/>
        <v>Charles ASHE (1990 - :  #143b)</v>
      </c>
      <c r="BI28" t="str">
        <f t="shared" si="17"/>
        <v/>
      </c>
      <c r="BJ28" t="str">
        <f t="shared" si="23"/>
        <v/>
      </c>
      <c r="BK28" t="str">
        <f t="shared" si="23"/>
        <v/>
      </c>
      <c r="BL28" t="str">
        <f t="shared" si="23"/>
        <v/>
      </c>
      <c r="BM28" t="str">
        <f t="shared" si="23"/>
        <v/>
      </c>
      <c r="BN28" t="str">
        <f t="shared" si="23"/>
        <v/>
      </c>
      <c r="BO28" t="str">
        <f t="shared" si="23"/>
        <v/>
      </c>
      <c r="BP28" t="str">
        <f t="shared" si="23"/>
        <v/>
      </c>
      <c r="BQ28" t="str">
        <f t="shared" si="23"/>
        <v/>
      </c>
      <c r="BR28" t="str">
        <f t="shared" si="23"/>
        <v/>
      </c>
      <c r="BS28" t="str">
        <f t="shared" si="23"/>
        <v/>
      </c>
      <c r="BT28" t="str">
        <f t="shared" si="23"/>
        <v/>
      </c>
      <c r="BU28" t="str">
        <f t="shared" si="23"/>
        <v/>
      </c>
      <c r="BY28" s="72">
        <v>100</v>
      </c>
      <c r="GL28">
        <v>143001</v>
      </c>
      <c r="GM28">
        <v>143002</v>
      </c>
      <c r="HL28">
        <v>286003</v>
      </c>
    </row>
    <row r="29" spans="1:220" ht="34">
      <c r="A29">
        <f>'All Girls &amp; Descendants'!B27</f>
        <v>36</v>
      </c>
      <c r="B29" t="str">
        <f>'All Girls &amp; Descendants'!C27</f>
        <v>36h</v>
      </c>
      <c r="C29" t="str">
        <f>'All Girls &amp; Descendants'!D27</f>
        <v>COURTHOPE</v>
      </c>
      <c r="D29" t="str">
        <f>'All Girls &amp; Descendants'!E27</f>
        <v>Margery</v>
      </c>
      <c r="E29" t="str">
        <f>IF('All Girls &amp; Descendants'!F27="","",'All Girls &amp; Descendants'!F27)</f>
        <v/>
      </c>
      <c r="F29" t="str">
        <f>IF('All Girls &amp; Descendants'!G27="","",'All Girls &amp; Descendants'!G27)</f>
        <v/>
      </c>
      <c r="G29" t="str">
        <f>IF('All Girls &amp; Descendants'!H27="",D29,'All Girls &amp; Descendants'!H27)</f>
        <v>Margery</v>
      </c>
      <c r="H29">
        <f>'All Girls &amp; Descendants'!I27</f>
        <v>1893</v>
      </c>
      <c r="I29">
        <f>'All Girls &amp; Descendants'!J27</f>
        <v>1901</v>
      </c>
      <c r="K29" s="3" t="str">
        <f>'All Girls &amp; Descendants'!M27</f>
        <v>29/03/1893</v>
      </c>
      <c r="L29" s="3" t="str">
        <f>'All Girls &amp; Descendants'!N27</f>
        <v xml:space="preserve"> - </v>
      </c>
      <c r="M29">
        <f>'All Girls &amp; Descendants'!O27</f>
        <v>710</v>
      </c>
      <c r="N29" t="str">
        <f>'All Girls &amp; Descendants'!P27</f>
        <v>10/12/1901</v>
      </c>
      <c r="O29" t="str">
        <f>'All Girls &amp; Descendants'!Q27</f>
        <v>36</v>
      </c>
      <c r="P29" t="str">
        <f t="shared" si="2"/>
        <v>36h</v>
      </c>
      <c r="Q29" s="116">
        <f t="shared" si="5"/>
        <v>1</v>
      </c>
      <c r="R29" s="31" t="str">
        <f t="shared" si="6"/>
        <v>Margery   COURTHOPE</v>
      </c>
      <c r="S29" t="str">
        <f t="shared" si="7"/>
        <v>Margery COURTHOPE (1893 - 1901:  #36h)</v>
      </c>
      <c r="U29" s="116">
        <f t="shared" si="3"/>
        <v>36008</v>
      </c>
      <c r="V29" t="s">
        <v>2185</v>
      </c>
      <c r="W29" s="116">
        <f t="shared" si="19"/>
        <v>36</v>
      </c>
      <c r="X29" s="116" t="str">
        <f t="shared" si="8"/>
        <v>h</v>
      </c>
      <c r="Y29" s="116">
        <f>VLOOKUP(W29,'Loyd List 1-190 - Edit'!$P$1:$R$202,3,FALSE)</f>
        <v>22</v>
      </c>
      <c r="Z29" s="116"/>
      <c r="AB29" s="116"/>
      <c r="AE29" s="99">
        <f t="shared" si="9"/>
        <v>104</v>
      </c>
      <c r="AF29" s="116">
        <f t="shared" si="14"/>
        <v>4</v>
      </c>
      <c r="AG29" s="117" t="str">
        <f t="shared" si="24"/>
        <v>141a</v>
      </c>
      <c r="AH29" s="117" t="str">
        <f t="shared" si="25"/>
        <v>141b</v>
      </c>
      <c r="AI29" s="117" t="str">
        <f t="shared" ref="AI29:AJ32" si="26">VLOOKUP(IF(ISNUMBER(SMALL($BZ29:$HK29,AI$3)),SMALL($BZ29:$HK29,AI$3),""),$U$4:$V$150,2,FALSE)</f>
        <v>152a</v>
      </c>
      <c r="AJ29" s="117" t="str">
        <f t="shared" si="26"/>
        <v>152b</v>
      </c>
      <c r="AK29" s="117"/>
      <c r="AL29" s="117"/>
      <c r="AM29" s="117"/>
      <c r="AN29" s="117"/>
      <c r="AO29" s="117"/>
      <c r="AP29" s="117"/>
      <c r="AQ29" s="117"/>
      <c r="AR29" s="117"/>
      <c r="AS29" s="117"/>
      <c r="AT29" s="117"/>
      <c r="AU29" s="117"/>
      <c r="AV29" s="117"/>
      <c r="AW29" s="117"/>
      <c r="AX29" s="117"/>
      <c r="AY29" s="117"/>
      <c r="AZ29" s="117"/>
      <c r="BA29" s="117"/>
      <c r="BB29" s="117"/>
      <c r="BC29" s="126">
        <f>VLOOKUP(BD29,'Loyd List 1-190 - Edit'!$P$2:$R$208,3,FALSE)</f>
        <v>72</v>
      </c>
      <c r="BD29" s="126">
        <f t="shared" si="4"/>
        <v>104</v>
      </c>
      <c r="BE29" s="126">
        <f t="shared" si="11"/>
        <v>4</v>
      </c>
      <c r="BF29" s="97" t="str">
        <f t="shared" si="16"/>
        <v xml:space="preserve">Letty BYATT (1996 - :  #141a) Harry BYATT (1998 - 2017:  #141b) Clementine WHITCOMB (1999 - :  #152a) Augustin WHITCOMB (2001 - :  #152b)           </v>
      </c>
      <c r="BG29" t="str">
        <f t="shared" si="17"/>
        <v>Letty BYATT (1996 - :  #141a)</v>
      </c>
      <c r="BH29" t="str">
        <f t="shared" si="17"/>
        <v>Harry BYATT (1998 - 2017:  #141b)</v>
      </c>
      <c r="BI29" t="str">
        <f t="shared" si="17"/>
        <v>Clementine WHITCOMB (1999 - :  #152a)</v>
      </c>
      <c r="BJ29" t="str">
        <f t="shared" si="23"/>
        <v>Augustin WHITCOMB (2001 - :  #152b)</v>
      </c>
      <c r="BK29" t="str">
        <f t="shared" si="23"/>
        <v/>
      </c>
      <c r="BL29" t="str">
        <f t="shared" si="23"/>
        <v/>
      </c>
      <c r="BM29" t="str">
        <f t="shared" si="23"/>
        <v/>
      </c>
      <c r="BN29" t="str">
        <f t="shared" si="23"/>
        <v/>
      </c>
      <c r="BO29" t="str">
        <f t="shared" si="23"/>
        <v/>
      </c>
      <c r="BP29" t="str">
        <f t="shared" si="23"/>
        <v/>
      </c>
      <c r="BQ29" t="str">
        <f t="shared" si="23"/>
        <v/>
      </c>
      <c r="BR29" t="str">
        <f t="shared" si="23"/>
        <v/>
      </c>
      <c r="BS29" t="str">
        <f t="shared" si="23"/>
        <v/>
      </c>
      <c r="BT29" t="str">
        <f t="shared" si="23"/>
        <v/>
      </c>
      <c r="BU29" t="str">
        <f t="shared" si="23"/>
        <v/>
      </c>
      <c r="BY29" s="72">
        <v>104</v>
      </c>
      <c r="GJ29">
        <v>141001</v>
      </c>
      <c r="GK29">
        <v>141002</v>
      </c>
      <c r="GN29">
        <v>152001</v>
      </c>
      <c r="GO29">
        <v>152002</v>
      </c>
      <c r="HL29">
        <v>586006</v>
      </c>
    </row>
    <row r="30" spans="1:220" ht="34">
      <c r="A30">
        <f>'All Girls &amp; Descendants'!B28</f>
        <v>42</v>
      </c>
      <c r="B30" t="str">
        <f>'All Girls &amp; Descendants'!C28</f>
        <v>42a</v>
      </c>
      <c r="C30" t="str">
        <f>'All Girls &amp; Descendants'!D28</f>
        <v>GODDARD</v>
      </c>
      <c r="D30" t="str">
        <f>'All Girls &amp; Descendants'!E28</f>
        <v>Ambrose</v>
      </c>
      <c r="E30" t="str">
        <f>IF('All Girls &amp; Descendants'!F28="","",'All Girls &amp; Descendants'!F28)</f>
        <v>William</v>
      </c>
      <c r="F30" t="str">
        <f>IF('All Girls &amp; Descendants'!G28="","",'All Girls &amp; Descendants'!G28)</f>
        <v/>
      </c>
      <c r="G30" t="str">
        <f>IF('All Girls &amp; Descendants'!H28="",D30,'All Girls &amp; Descendants'!H28)</f>
        <v>Ambrose</v>
      </c>
      <c r="H30">
        <f>'All Girls &amp; Descendants'!I28</f>
        <v>1892</v>
      </c>
      <c r="I30" t="str">
        <f>'All Girls &amp; Descendants'!J28</f>
        <v/>
      </c>
      <c r="K30" s="3" t="str">
        <f>'All Girls &amp; Descendants'!M28</f>
        <v>13/03/1892</v>
      </c>
      <c r="L30" s="3">
        <f>'All Girls &amp; Descendants'!N28</f>
        <v>8333</v>
      </c>
      <c r="M30" t="str">
        <f>'All Girls &amp; Descendants'!O28</f>
        <v/>
      </c>
      <c r="N30" t="str">
        <f>'All Girls &amp; Descendants'!P28</f>
        <v/>
      </c>
      <c r="O30" t="str">
        <f>'All Girls &amp; Descendants'!Q28</f>
        <v>42</v>
      </c>
      <c r="P30" t="str">
        <f t="shared" si="2"/>
        <v>42a</v>
      </c>
      <c r="Q30" s="116">
        <f t="shared" si="5"/>
        <v>1</v>
      </c>
      <c r="R30" s="31" t="str">
        <f t="shared" si="6"/>
        <v>Ambrose William  GODDARD</v>
      </c>
      <c r="S30" t="str">
        <f t="shared" si="7"/>
        <v>Ambrose GODDARD (1892 - :  #42a)</v>
      </c>
      <c r="U30" s="116">
        <f t="shared" si="3"/>
        <v>42001</v>
      </c>
      <c r="V30" t="s">
        <v>2413</v>
      </c>
      <c r="W30" s="116">
        <f t="shared" si="19"/>
        <v>42</v>
      </c>
      <c r="X30" s="116" t="str">
        <f t="shared" si="8"/>
        <v>a</v>
      </c>
      <c r="Y30" s="116">
        <f>VLOOKUP(W30,'Loyd List 1-190 - Edit'!$P$1:$R$202,3,FALSE)</f>
        <v>23</v>
      </c>
      <c r="Z30" s="116"/>
      <c r="AB30" s="116"/>
      <c r="AE30" s="99">
        <f>BY30</f>
        <v>114</v>
      </c>
      <c r="AF30" s="116">
        <f t="shared" si="14"/>
        <v>5</v>
      </c>
      <c r="AG30" s="117" t="str">
        <f t="shared" si="24"/>
        <v>157a</v>
      </c>
      <c r="AH30" s="117" t="str">
        <f t="shared" si="25"/>
        <v>157b</v>
      </c>
      <c r="AI30" s="117" t="str">
        <f t="shared" si="26"/>
        <v>158a</v>
      </c>
      <c r="AJ30" s="117" t="str">
        <f t="shared" si="26"/>
        <v>159a</v>
      </c>
      <c r="AK30" s="117" t="str">
        <f>VLOOKUP(IF(ISNUMBER(SMALL($BZ30:$HK30,AK$3)),SMALL($BZ30:$HK30,AK$3),""),$U$4:$V$150,2,FALSE)</f>
        <v>159b</v>
      </c>
      <c r="AL30" s="117"/>
      <c r="AM30" s="117"/>
      <c r="AN30" s="117"/>
      <c r="AO30" s="117"/>
      <c r="AP30" s="117"/>
      <c r="AQ30" s="117"/>
      <c r="AR30" s="117"/>
      <c r="AS30" s="117"/>
      <c r="AT30" s="117"/>
      <c r="AU30" s="117"/>
      <c r="AV30" s="117"/>
      <c r="AW30" s="117"/>
      <c r="AX30" s="117"/>
      <c r="AY30" s="117"/>
      <c r="AZ30" s="117"/>
      <c r="BA30" s="117"/>
      <c r="BB30" s="117"/>
      <c r="BC30" s="126">
        <f>VLOOKUP(BD30,'Loyd List 1-190 - Edit'!$P$2:$R$208,3,FALSE)</f>
        <v>80</v>
      </c>
      <c r="BD30" s="126">
        <f t="shared" ref="BD30:BE33" si="27">AE30</f>
        <v>114</v>
      </c>
      <c r="BE30" s="126">
        <f t="shared" si="27"/>
        <v>5</v>
      </c>
      <c r="BF30" s="97" t="str">
        <f t="shared" si="16"/>
        <v xml:space="preserve">Henry SIMMONDS (2012 - :  #157a) Emily SIMMONDS (2014 - :  #157b) Theodore KYLE (2010 - :  #158a) Thomas GARDENER (2010 - :  #159a) Alice GARDENER (2013 - :  #159b)          </v>
      </c>
      <c r="BG30" t="str">
        <f t="shared" si="17"/>
        <v>Henry SIMMONDS (2012 - :  #157a)</v>
      </c>
      <c r="BH30" t="str">
        <f t="shared" si="17"/>
        <v>Emily SIMMONDS (2014 - :  #157b)</v>
      </c>
      <c r="BI30" t="str">
        <f t="shared" si="17"/>
        <v>Theodore KYLE (2010 - :  #158a)</v>
      </c>
      <c r="BJ30" t="str">
        <f t="shared" ref="BJ30:BK32" si="28">IF(AJ30&lt;&gt;"",VLOOKUP(AJ30,$P$3:$T$447,4,FALSE),"")</f>
        <v>Thomas GARDENER (2010 - :  #159a)</v>
      </c>
      <c r="BK30" t="str">
        <f t="shared" si="28"/>
        <v>Alice GARDENER (2013 - :  #159b)</v>
      </c>
      <c r="BL30" t="str">
        <f t="shared" ref="BL30:BL39" si="29">IF(AL30&lt;&gt;"",VLOOKUP(AL30,$P$3:$T$426,4,FALSE),"")</f>
        <v/>
      </c>
      <c r="BM30" t="str">
        <f t="shared" ref="BM30:BM39" si="30">IF(AM30&lt;&gt;"",VLOOKUP(AM30,$P$3:$T$426,4,FALSE),"")</f>
        <v/>
      </c>
      <c r="BN30" t="str">
        <f t="shared" ref="BN30:BN39" si="31">IF(AN30&lt;&gt;"",VLOOKUP(AN30,$P$3:$T$426,4,FALSE),"")</f>
        <v/>
      </c>
      <c r="BY30" s="72">
        <v>114</v>
      </c>
      <c r="GU30">
        <v>157001</v>
      </c>
      <c r="GV30">
        <v>157002</v>
      </c>
      <c r="GW30">
        <v>158001</v>
      </c>
      <c r="GX30">
        <v>159001</v>
      </c>
      <c r="GY30">
        <v>159002</v>
      </c>
      <c r="HL30">
        <v>790007</v>
      </c>
    </row>
    <row r="31" spans="1:220" ht="51">
      <c r="A31">
        <f>'All Girls &amp; Descendants'!B29</f>
        <v>47</v>
      </c>
      <c r="B31" t="str">
        <f>'All Girls &amp; Descendants'!C29</f>
        <v>47a</v>
      </c>
      <c r="C31" t="str">
        <f>'All Girls &amp; Descendants'!D29</f>
        <v>HARDCASTLE</v>
      </c>
      <c r="D31" t="str">
        <f>'All Girls &amp; Descendants'!E29</f>
        <v>Alfred</v>
      </c>
      <c r="E31" t="str">
        <f>IF('All Girls &amp; Descendants'!F29="","",'All Girls &amp; Descendants'!F29)</f>
        <v>Edward</v>
      </c>
      <c r="F31" t="str">
        <f>IF('All Girls &amp; Descendants'!G29="","",'All Girls &amp; Descendants'!G29)</f>
        <v>Loyd</v>
      </c>
      <c r="G31" t="str">
        <f>IF('All Girls &amp; Descendants'!H29="",D31,'All Girls &amp; Descendants'!H29)</f>
        <v>Loyd</v>
      </c>
      <c r="H31">
        <f>'All Girls &amp; Descendants'!I29</f>
        <v>1893</v>
      </c>
      <c r="I31">
        <f>'All Girls &amp; Descendants'!J29</f>
        <v>1955</v>
      </c>
      <c r="K31" s="3" t="str">
        <f>'All Girls &amp; Descendants'!M29</f>
        <v>06/06/1893</v>
      </c>
      <c r="L31" s="3">
        <f>'All Girls &amp; Descendants'!N29</f>
        <v>7824</v>
      </c>
      <c r="M31">
        <f>'All Girls &amp; Descendants'!O29</f>
        <v>20111</v>
      </c>
      <c r="N31" t="str">
        <f>'All Girls &amp; Descendants'!P29</f>
        <v>22/01/1955</v>
      </c>
      <c r="O31" t="str">
        <f>'All Girls &amp; Descendants'!Q29</f>
        <v>47</v>
      </c>
      <c r="P31" t="str">
        <f t="shared" ref="P31:P94" si="32">B31</f>
        <v>47a</v>
      </c>
      <c r="Q31" s="116">
        <f t="shared" si="5"/>
        <v>1</v>
      </c>
      <c r="R31" s="31" t="str">
        <f t="shared" si="6"/>
        <v>Alfred Edward Loyd HARDCASTLE</v>
      </c>
      <c r="S31" t="str">
        <f t="shared" si="7"/>
        <v>Loyd HARDCASTLE (1893 - 1955:  #47a)</v>
      </c>
      <c r="U31" s="116">
        <f t="shared" si="3"/>
        <v>47001</v>
      </c>
      <c r="V31" t="s">
        <v>2202</v>
      </c>
      <c r="W31" s="116">
        <f t="shared" si="19"/>
        <v>47</v>
      </c>
      <c r="X31" s="116" t="str">
        <f t="shared" si="8"/>
        <v>a</v>
      </c>
      <c r="Y31" s="116">
        <f>VLOOKUP(W31,'Loyd List 1-190 - Edit'!$P$1:$R$202,3,FALSE)</f>
        <v>22</v>
      </c>
      <c r="Z31" s="116"/>
      <c r="AB31" s="116"/>
      <c r="AE31" s="99">
        <f>BY31</f>
        <v>119</v>
      </c>
      <c r="AF31" s="116">
        <f t="shared" si="14"/>
        <v>6</v>
      </c>
      <c r="AG31" s="117" t="str">
        <f t="shared" si="24"/>
        <v>156a</v>
      </c>
      <c r="AH31" s="117" t="str">
        <f t="shared" si="25"/>
        <v>156b</v>
      </c>
      <c r="AI31" s="117" t="str">
        <f t="shared" si="26"/>
        <v>161a</v>
      </c>
      <c r="AJ31" s="117" t="str">
        <f t="shared" si="26"/>
        <v>161b</v>
      </c>
      <c r="AK31" s="117" t="str">
        <f>VLOOKUP(IF(ISNUMBER(SMALL($BZ31:$HK31,AK$3)),SMALL($BZ31:$HK31,AK$3),""),$U$4:$V$150,2,FALSE)</f>
        <v>163a</v>
      </c>
      <c r="AL31" s="117" t="str">
        <f>VLOOKUP(IF(ISNUMBER(SMALL($BZ31:$HK31,AL$3)),SMALL($BZ31:$HK31,AL$3),""),$U$4:$V$150,2,FALSE)</f>
        <v>163b</v>
      </c>
      <c r="AM31" s="117"/>
      <c r="AN31" s="117"/>
      <c r="AO31" s="117"/>
      <c r="AP31" s="117"/>
      <c r="AQ31" s="117"/>
      <c r="AR31" s="117"/>
      <c r="AS31" s="117"/>
      <c r="AT31" s="117"/>
      <c r="AU31" s="117"/>
      <c r="AV31" s="117"/>
      <c r="AW31" s="117"/>
      <c r="AX31" s="117"/>
      <c r="AY31" s="117"/>
      <c r="AZ31" s="117"/>
      <c r="BA31" s="117"/>
      <c r="BB31" s="117"/>
      <c r="BC31" s="126">
        <f>VLOOKUP(BD31,'Loyd List 1-190 - Edit'!$P$2:$R$208,3,FALSE)</f>
        <v>80</v>
      </c>
      <c r="BD31" s="126">
        <f t="shared" si="27"/>
        <v>119</v>
      </c>
      <c r="BE31" s="126">
        <f t="shared" si="27"/>
        <v>6</v>
      </c>
      <c r="BF31" s="97" t="str">
        <f t="shared" si="16"/>
        <v xml:space="preserve">Peter GRINDAL (2014 - :  #156a) Dorothy GRINDAL (2016 - :  #156b) Alexia HAYNS (2014 - :  #161a) Edward HAYNS (2016 - :  #161b) 
Thomas DINSMORE (2012 - :  #163a) Mary DINSMORE (2014 - :  #163b)         </v>
      </c>
      <c r="BG31" t="str">
        <f t="shared" si="17"/>
        <v>Peter GRINDAL (2014 - :  #156a)</v>
      </c>
      <c r="BH31" t="str">
        <f t="shared" si="17"/>
        <v>Dorothy GRINDAL (2016 - :  #156b)</v>
      </c>
      <c r="BI31" t="str">
        <f>IF(AI31&lt;&gt;"",VLOOKUP(AI31,$P$3:$T$447,4,FALSE),"")</f>
        <v>Alexia HAYNS (2014 - :  #161a)</v>
      </c>
      <c r="BJ31" t="str">
        <f t="shared" si="28"/>
        <v>Edward HAYNS (2016 - :  #161b)</v>
      </c>
      <c r="BK31" t="str">
        <f t="shared" si="28"/>
        <v xml:space="preserve">
Thomas DINSMORE (2012 - :  #163a)</v>
      </c>
      <c r="BL31" t="str">
        <f>IF(AL31&lt;&gt;"",VLOOKUP(AL31,$P$3:$T$447,4,FALSE),"")</f>
        <v>Mary DINSMORE (2014 - :  #163b)</v>
      </c>
      <c r="BM31" t="str">
        <f t="shared" si="30"/>
        <v/>
      </c>
      <c r="BN31" t="str">
        <f t="shared" si="31"/>
        <v/>
      </c>
      <c r="BY31" s="72">
        <v>119</v>
      </c>
      <c r="GS31">
        <v>156001</v>
      </c>
      <c r="GT31">
        <v>156002</v>
      </c>
      <c r="GZ31">
        <v>161001</v>
      </c>
      <c r="HA31">
        <v>161002</v>
      </c>
      <c r="HB31">
        <v>163001</v>
      </c>
      <c r="HC31">
        <v>163002</v>
      </c>
      <c r="HL31">
        <v>960009</v>
      </c>
    </row>
    <row r="32" spans="1:220" ht="34">
      <c r="A32">
        <f>'All Girls &amp; Descendants'!B30</f>
        <v>47</v>
      </c>
      <c r="B32" t="str">
        <f>'All Girls &amp; Descendants'!C30</f>
        <v>47b</v>
      </c>
      <c r="C32" t="str">
        <f>'All Girls &amp; Descendants'!D30</f>
        <v>HARDCASTLE</v>
      </c>
      <c r="D32" t="str">
        <f>'All Girls &amp; Descendants'!E30</f>
        <v>Canon Joseph</v>
      </c>
      <c r="E32" t="str">
        <f>IF('All Girls &amp; Descendants'!F30="","",'All Girls &amp; Descendants'!F30)</f>
        <v>Anthony</v>
      </c>
      <c r="F32" t="str">
        <f>IF('All Girls &amp; Descendants'!G30="","",'All Girls &amp; Descendants'!G30)</f>
        <v>Loyd</v>
      </c>
      <c r="G32" t="str">
        <f>IF('All Girls &amp; Descendants'!H30="",D32,'All Girls &amp; Descendants'!H30)</f>
        <v>Canon Joseph</v>
      </c>
      <c r="H32">
        <f>'All Girls &amp; Descendants'!I30</f>
        <v>1899</v>
      </c>
      <c r="I32">
        <f>'All Girls &amp; Descendants'!J30</f>
        <v>1972</v>
      </c>
      <c r="K32" s="3" t="str">
        <f>'All Girls &amp; Descendants'!M30</f>
        <v>19/07/1899</v>
      </c>
      <c r="L32" s="3">
        <f>'All Girls &amp; Descendants'!N30</f>
        <v>14626</v>
      </c>
      <c r="M32">
        <f>'All Girls &amp; Descendants'!O30</f>
        <v>26646</v>
      </c>
      <c r="N32" t="str">
        <f>'All Girls &amp; Descendants'!P30</f>
        <v>13/12/1972</v>
      </c>
      <c r="O32" t="str">
        <f>'All Girls &amp; Descendants'!Q30</f>
        <v>47</v>
      </c>
      <c r="P32" t="str">
        <f t="shared" si="32"/>
        <v>47b</v>
      </c>
      <c r="Q32" s="116">
        <f t="shared" si="5"/>
        <v>1</v>
      </c>
      <c r="R32" s="31" t="str">
        <f t="shared" si="6"/>
        <v>Canon Joseph Anthony Loyd HARDCASTLE</v>
      </c>
      <c r="S32" t="str">
        <f t="shared" si="7"/>
        <v>Canon Joseph HARDCASTLE (1899 - 1972:  #47b)</v>
      </c>
      <c r="U32" s="116">
        <f t="shared" si="3"/>
        <v>47002</v>
      </c>
      <c r="V32" t="s">
        <v>2506</v>
      </c>
      <c r="W32" s="116">
        <f t="shared" si="19"/>
        <v>47</v>
      </c>
      <c r="X32" s="116" t="str">
        <f t="shared" si="8"/>
        <v>b</v>
      </c>
      <c r="Y32" s="116">
        <f>VLOOKUP(W32,'Loyd List 1-190 - Edit'!$P$1:$R$202,3,FALSE)</f>
        <v>22</v>
      </c>
      <c r="Z32" s="116"/>
      <c r="AB32" s="116"/>
      <c r="AE32" s="99">
        <f>BY32</f>
        <v>136</v>
      </c>
      <c r="AF32" s="116">
        <f t="shared" si="14"/>
        <v>5</v>
      </c>
      <c r="AG32" s="117" t="str">
        <f t="shared" si="24"/>
        <v>164a</v>
      </c>
      <c r="AH32" s="117" t="str">
        <f t="shared" si="25"/>
        <v>164b</v>
      </c>
      <c r="AI32" s="117" t="str">
        <f t="shared" si="26"/>
        <v>164c</v>
      </c>
      <c r="AJ32" s="117" t="str">
        <f t="shared" si="26"/>
        <v>165a</v>
      </c>
      <c r="AK32" s="117" t="str">
        <f>VLOOKUP(IF(ISNUMBER(SMALL($BZ32:$HK32,AK$3)),SMALL($BZ32:$HK32,AK$3),""),$U$4:$V$150,2,FALSE)</f>
        <v>165b</v>
      </c>
      <c r="AL32" s="117"/>
      <c r="AM32" s="117"/>
      <c r="AN32" s="117"/>
      <c r="AO32" s="117"/>
      <c r="AP32" s="117"/>
      <c r="AQ32" s="117"/>
      <c r="AR32" s="117"/>
      <c r="AS32" s="117"/>
      <c r="AT32" s="117"/>
      <c r="AU32" s="117"/>
      <c r="AV32" s="117"/>
      <c r="AW32" s="117"/>
      <c r="AX32" s="117"/>
      <c r="AY32" s="117"/>
      <c r="AZ32" s="117"/>
      <c r="BA32" s="117"/>
      <c r="BB32" s="117"/>
      <c r="BC32" s="126">
        <f>VLOOKUP(BD32,'Loyd List 1-190 - Edit'!$P$2:$R$208,3,FALSE)</f>
        <v>94</v>
      </c>
      <c r="BD32" s="126">
        <f t="shared" si="27"/>
        <v>136</v>
      </c>
      <c r="BE32" s="126">
        <f t="shared" si="27"/>
        <v>5</v>
      </c>
      <c r="BF32" s="97" t="str">
        <f t="shared" si="16"/>
        <v xml:space="preserve">Freddie LEASK (2016 - :  #164a) Hamish LEASK (2018 - :  #164b) Otto LEASK (2020 - :  #164c) Leila PURI (2017 - :  #165a) Alana PURI (2019 - :  #165b)          </v>
      </c>
      <c r="BG32" t="str">
        <f t="shared" si="17"/>
        <v>Freddie LEASK (2016 - :  #164a)</v>
      </c>
      <c r="BH32" t="str">
        <f t="shared" si="17"/>
        <v>Hamish LEASK (2018 - :  #164b)</v>
      </c>
      <c r="BI32" t="str">
        <f t="shared" si="17"/>
        <v>Otto LEASK (2020 - :  #164c)</v>
      </c>
      <c r="BJ32" t="str">
        <f t="shared" si="28"/>
        <v>Leila PURI (2017 - :  #165a)</v>
      </c>
      <c r="BK32" t="str">
        <f t="shared" si="28"/>
        <v>Alana PURI (2019 - :  #165b)</v>
      </c>
      <c r="BL32" t="str">
        <f t="shared" si="29"/>
        <v/>
      </c>
      <c r="BM32" t="str">
        <f t="shared" si="30"/>
        <v/>
      </c>
      <c r="BN32" t="str">
        <f t="shared" si="31"/>
        <v/>
      </c>
      <c r="BY32" s="72">
        <v>136</v>
      </c>
      <c r="HD32">
        <v>164001</v>
      </c>
      <c r="HE32">
        <v>164002</v>
      </c>
      <c r="HF32">
        <v>164003</v>
      </c>
      <c r="HG32">
        <v>165001</v>
      </c>
      <c r="HH32">
        <v>165002</v>
      </c>
      <c r="HL32">
        <v>822009</v>
      </c>
    </row>
    <row r="33" spans="1:220" ht="17">
      <c r="A33">
        <f>'All Girls &amp; Descendants'!B31</f>
        <v>48</v>
      </c>
      <c r="B33" t="str">
        <f>'All Girls &amp; Descendants'!C31</f>
        <v>48a</v>
      </c>
      <c r="C33" t="str">
        <f>'All Girls &amp; Descendants'!D31</f>
        <v>D'OYLY</v>
      </c>
      <c r="D33" t="str">
        <f>'All Girls &amp; Descendants'!E31</f>
        <v>Louisa</v>
      </c>
      <c r="E33" t="str">
        <f>IF('All Girls &amp; Descendants'!F31="","",'All Girls &amp; Descendants'!F31)</f>
        <v>Mabell</v>
      </c>
      <c r="F33" t="str">
        <f>IF('All Girls &amp; Descendants'!G31="","",'All Girls &amp; Descendants'!G31)</f>
        <v/>
      </c>
      <c r="G33" t="str">
        <f>IF('All Girls &amp; Descendants'!H31="",D33,'All Girls &amp; Descendants'!H31)</f>
        <v>Mabell</v>
      </c>
      <c r="H33">
        <f>'All Girls &amp; Descendants'!I31</f>
        <v>1904</v>
      </c>
      <c r="I33">
        <f>'All Girls &amp; Descendants'!J31</f>
        <v>1983</v>
      </c>
      <c r="K33" s="3">
        <f>'All Girls &amp; Descendants'!M31</f>
        <v>1628</v>
      </c>
      <c r="L33" s="3" t="str">
        <f>'All Girls &amp; Descendants'!N31</f>
        <v>Unmarried</v>
      </c>
      <c r="M33">
        <f>'All Girls &amp; Descendants'!O31</f>
        <v>30447</v>
      </c>
      <c r="N33" t="str">
        <f>'All Girls &amp; Descendants'!P31</f>
        <v>11/05/1983</v>
      </c>
      <c r="O33" t="str">
        <f>'All Girls &amp; Descendants'!Q31</f>
        <v>48</v>
      </c>
      <c r="P33" t="str">
        <f t="shared" si="32"/>
        <v>48a</v>
      </c>
      <c r="Q33" s="116">
        <f t="shared" si="5"/>
        <v>1</v>
      </c>
      <c r="R33" s="31" t="str">
        <f t="shared" si="6"/>
        <v>Louisa Mabell  D'OYLY</v>
      </c>
      <c r="S33" t="str">
        <f t="shared" si="7"/>
        <v>Mabell D'OYLY (1904 - 1983:  #48a)</v>
      </c>
      <c r="U33" s="116">
        <f t="shared" si="3"/>
        <v>48001</v>
      </c>
      <c r="V33" t="s">
        <v>2243</v>
      </c>
      <c r="W33" s="116">
        <f t="shared" si="19"/>
        <v>48</v>
      </c>
      <c r="X33" s="116" t="str">
        <f t="shared" si="8"/>
        <v>a</v>
      </c>
      <c r="Y33" s="116">
        <f>VLOOKUP(W33,'Loyd List 1-190 - Edit'!$P$1:$R$202,3,FALSE)</f>
        <v>23</v>
      </c>
      <c r="Z33" s="116"/>
      <c r="AB33" s="116"/>
      <c r="AE33" s="99">
        <f>BY33</f>
        <v>138</v>
      </c>
      <c r="AF33" s="116">
        <f t="shared" si="14"/>
        <v>3</v>
      </c>
      <c r="AG33" s="117" t="str">
        <f t="shared" si="24"/>
        <v>168a</v>
      </c>
      <c r="AH33" s="117" t="str">
        <f t="shared" si="25"/>
        <v>168b</v>
      </c>
      <c r="AI33" s="117" t="str">
        <f>VLOOKUP(IF(ISNUMBER(SMALL($BZ33:$HK33,AI$3)),SMALL($BZ33:$HK33,AI$3),""),$U$4:$V$150,2,FALSE)</f>
        <v>170a</v>
      </c>
      <c r="AJ33" s="117"/>
      <c r="AK33" s="117"/>
      <c r="AL33" s="117"/>
      <c r="AM33" s="117"/>
      <c r="AN33" s="117"/>
      <c r="AO33" s="117"/>
      <c r="AP33" s="117"/>
      <c r="AQ33" s="117"/>
      <c r="AR33" s="117"/>
      <c r="AS33" s="117"/>
      <c r="AT33" s="117"/>
      <c r="AU33" s="117"/>
      <c r="AV33" s="117"/>
      <c r="AW33" s="117"/>
      <c r="AX33" s="117"/>
      <c r="AY33" s="117"/>
      <c r="AZ33" s="117"/>
      <c r="BA33" s="117"/>
      <c r="BB33" s="117"/>
      <c r="BC33" s="126">
        <f>VLOOKUP(BD33,'Loyd List 1-190 - Edit'!$P$2:$R$208,3,FALSE)</f>
        <v>100</v>
      </c>
      <c r="BD33" s="126">
        <f t="shared" si="27"/>
        <v>138</v>
      </c>
      <c r="BE33" s="126">
        <f t="shared" si="27"/>
        <v>3</v>
      </c>
      <c r="BF33" s="97" t="str">
        <f t="shared" si="16"/>
        <v xml:space="preserve">Nicholas POWELL (2020 - :  #168a) Florence POWELL  (2022 - :  #168b) Angus POWELL (2021 - :  #170a)            </v>
      </c>
      <c r="BG33" t="str">
        <f t="shared" si="17"/>
        <v>Nicholas POWELL (2020 - :  #168a)</v>
      </c>
      <c r="BH33" t="str">
        <f>IF(AH33&lt;&gt;"",VLOOKUP(AH33,$P$3:$T$447,4,FALSE),"")</f>
        <v>Florence POWELL  (2022 - :  #168b)</v>
      </c>
      <c r="BI33" t="str">
        <f>IF(AI33&lt;&gt;"",VLOOKUP(AI33,$P$3:$T$447,4,FALSE),"")</f>
        <v>Angus POWELL (2021 - :  #170a)</v>
      </c>
      <c r="BJ33" t="str">
        <f t="shared" ref="BJ33:BJ39" si="33">IF(AJ33&lt;&gt;"",VLOOKUP(AJ33,$P$3:$T$426,4,FALSE),"")</f>
        <v/>
      </c>
      <c r="BK33" t="str">
        <f t="shared" ref="BK33:BK39" si="34">IF(AK33&lt;&gt;"",VLOOKUP(AK33,$P$3:$T$426,4,FALSE),"")</f>
        <v/>
      </c>
      <c r="BL33" t="str">
        <f t="shared" si="29"/>
        <v/>
      </c>
      <c r="BM33" t="str">
        <f t="shared" si="30"/>
        <v/>
      </c>
      <c r="BN33" t="str">
        <f t="shared" si="31"/>
        <v/>
      </c>
      <c r="BY33" s="72">
        <v>138</v>
      </c>
      <c r="HI33">
        <v>168001</v>
      </c>
      <c r="HJ33">
        <v>168002</v>
      </c>
      <c r="HK33">
        <v>170001</v>
      </c>
      <c r="HL33">
        <v>506004</v>
      </c>
    </row>
    <row r="34" spans="1:220">
      <c r="A34">
        <f>'All Girls &amp; Descendants'!B32</f>
        <v>63</v>
      </c>
      <c r="B34" t="str">
        <f>'All Girls &amp; Descendants'!C32</f>
        <v>63a</v>
      </c>
      <c r="C34" t="str">
        <f>'All Girls &amp; Descendants'!D32</f>
        <v>MOORE</v>
      </c>
      <c r="D34" t="str">
        <f>'All Girls &amp; Descendants'!E32</f>
        <v>Frederic</v>
      </c>
      <c r="E34" t="str">
        <f>IF('All Girls &amp; Descendants'!F32="","",'All Girls &amp; Descendants'!F32)</f>
        <v>Withers</v>
      </c>
      <c r="F34" t="str">
        <f>IF('All Girls &amp; Descendants'!G32="","",'All Girls &amp; Descendants'!G32)</f>
        <v>Loyd</v>
      </c>
      <c r="G34" t="str">
        <f>IF('All Girls &amp; Descendants'!H32="",D34,'All Girls &amp; Descendants'!H32)</f>
        <v>Loyd</v>
      </c>
      <c r="H34">
        <f>'All Girls &amp; Descendants'!I32</f>
        <v>1926</v>
      </c>
      <c r="I34">
        <f>'All Girls &amp; Descendants'!J32</f>
        <v>2019</v>
      </c>
      <c r="K34" s="3">
        <f>'All Girls &amp; Descendants'!M32</f>
        <v>9820</v>
      </c>
      <c r="L34" s="3">
        <f>'All Girls &amp; Descendants'!N32</f>
        <v>17896</v>
      </c>
      <c r="M34">
        <f>'All Girls &amp; Descendants'!O32</f>
        <v>43737</v>
      </c>
      <c r="N34" t="str">
        <f>'All Girls &amp; Descendants'!P32</f>
        <v>29/09/2019</v>
      </c>
      <c r="O34" t="str">
        <f>'All Girls &amp; Descendants'!Q32</f>
        <v>63</v>
      </c>
      <c r="P34" t="str">
        <f t="shared" si="32"/>
        <v>63a</v>
      </c>
      <c r="Q34" s="116">
        <f t="shared" si="5"/>
        <v>1</v>
      </c>
      <c r="R34" s="31" t="str">
        <f t="shared" si="6"/>
        <v>Frederic Withers Loyd MOORE</v>
      </c>
      <c r="S34" t="str">
        <f t="shared" si="7"/>
        <v>Loyd MOORE (1926 - 2019:  #63a)</v>
      </c>
      <c r="U34" s="116">
        <f t="shared" si="3"/>
        <v>63001</v>
      </c>
      <c r="V34" t="s">
        <v>2249</v>
      </c>
      <c r="W34" s="116">
        <f t="shared" si="19"/>
        <v>63</v>
      </c>
      <c r="X34" s="116" t="str">
        <f t="shared" si="8"/>
        <v>a</v>
      </c>
      <c r="Y34" s="116">
        <f>VLOOKUP(W34,'Loyd List 1-190 - Edit'!$P$1:$R$202,3,FALSE)</f>
        <v>41</v>
      </c>
      <c r="Z34" s="116"/>
      <c r="AB34" s="116"/>
      <c r="AE34" s="99"/>
      <c r="AF34" s="116"/>
      <c r="AG34" s="117"/>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26"/>
      <c r="BD34" s="126"/>
      <c r="BE34" s="126"/>
      <c r="BF34" s="97"/>
      <c r="BH34" t="str">
        <f t="shared" ref="BH34:BI39" si="35">IF(AH34&lt;&gt;"",VLOOKUP(AH34,$P$3:$T$447,4,FALSE),"")</f>
        <v/>
      </c>
      <c r="BI34" t="str">
        <f t="shared" si="35"/>
        <v/>
      </c>
      <c r="BJ34" t="str">
        <f t="shared" si="33"/>
        <v/>
      </c>
      <c r="BK34" t="str">
        <f t="shared" si="34"/>
        <v/>
      </c>
      <c r="BL34" t="str">
        <f t="shared" si="29"/>
        <v/>
      </c>
      <c r="BM34" t="str">
        <f t="shared" si="30"/>
        <v/>
      </c>
      <c r="BN34" t="str">
        <f t="shared" si="31"/>
        <v/>
      </c>
      <c r="BY34" s="72" t="s">
        <v>2812</v>
      </c>
      <c r="BZ34">
        <v>2001</v>
      </c>
      <c r="CA34">
        <v>2002</v>
      </c>
      <c r="CB34">
        <v>2003</v>
      </c>
      <c r="CC34">
        <v>11001</v>
      </c>
      <c r="CD34">
        <v>11002</v>
      </c>
      <c r="CE34">
        <v>11003</v>
      </c>
      <c r="CF34">
        <v>11004</v>
      </c>
      <c r="CG34">
        <v>11005</v>
      </c>
      <c r="CH34">
        <v>18001</v>
      </c>
      <c r="CI34">
        <v>18002</v>
      </c>
      <c r="CJ34">
        <v>18003</v>
      </c>
      <c r="CK34">
        <v>18004</v>
      </c>
      <c r="CL34">
        <v>18005</v>
      </c>
      <c r="CM34">
        <v>19001</v>
      </c>
      <c r="CN34">
        <v>19002</v>
      </c>
      <c r="CO34">
        <v>19003</v>
      </c>
      <c r="CP34">
        <v>19004</v>
      </c>
      <c r="CQ34">
        <v>19005</v>
      </c>
      <c r="CR34">
        <v>36001</v>
      </c>
      <c r="CS34">
        <v>36002</v>
      </c>
      <c r="CT34">
        <v>36003</v>
      </c>
      <c r="CU34">
        <v>36004</v>
      </c>
      <c r="CV34">
        <v>36005</v>
      </c>
      <c r="CW34">
        <v>36006</v>
      </c>
      <c r="CX34">
        <v>36007</v>
      </c>
      <c r="CY34">
        <v>36008</v>
      </c>
      <c r="CZ34">
        <v>42001</v>
      </c>
      <c r="DA34">
        <v>47001</v>
      </c>
      <c r="DB34">
        <v>47002</v>
      </c>
      <c r="DC34">
        <v>48001</v>
      </c>
      <c r="DD34">
        <v>63001</v>
      </c>
      <c r="DE34">
        <v>63002</v>
      </c>
      <c r="DF34">
        <v>63003</v>
      </c>
      <c r="DG34">
        <v>65001</v>
      </c>
      <c r="DH34">
        <v>65002</v>
      </c>
      <c r="DI34">
        <v>65003</v>
      </c>
      <c r="DJ34">
        <v>70001</v>
      </c>
      <c r="DK34">
        <v>70002</v>
      </c>
      <c r="DL34">
        <v>70003</v>
      </c>
      <c r="DM34">
        <v>70004</v>
      </c>
      <c r="DN34">
        <v>70005</v>
      </c>
      <c r="DO34">
        <v>70006</v>
      </c>
      <c r="DP34">
        <v>85001</v>
      </c>
      <c r="DQ34">
        <v>85002</v>
      </c>
      <c r="DR34">
        <v>85003</v>
      </c>
      <c r="DS34">
        <v>85004</v>
      </c>
      <c r="DT34">
        <v>88001</v>
      </c>
      <c r="DU34">
        <v>88002</v>
      </c>
      <c r="DV34">
        <v>88003</v>
      </c>
      <c r="DW34">
        <v>90001</v>
      </c>
      <c r="DX34">
        <v>90002</v>
      </c>
      <c r="DY34">
        <v>90003</v>
      </c>
      <c r="DZ34">
        <v>92001</v>
      </c>
      <c r="EA34">
        <v>92002</v>
      </c>
      <c r="EB34">
        <v>92003</v>
      </c>
      <c r="EC34">
        <v>92004</v>
      </c>
      <c r="ED34">
        <v>95001</v>
      </c>
      <c r="EE34">
        <v>95002</v>
      </c>
      <c r="EF34">
        <v>97001</v>
      </c>
      <c r="EG34">
        <v>97002</v>
      </c>
      <c r="EH34">
        <v>97003</v>
      </c>
      <c r="EI34">
        <v>97004</v>
      </c>
      <c r="EJ34">
        <v>97005</v>
      </c>
      <c r="EK34">
        <v>101001</v>
      </c>
      <c r="EL34">
        <v>101002</v>
      </c>
      <c r="EM34">
        <v>101003</v>
      </c>
      <c r="EN34">
        <v>101004</v>
      </c>
      <c r="EO34">
        <v>101005</v>
      </c>
      <c r="EP34">
        <v>101006</v>
      </c>
      <c r="EQ34">
        <v>102001</v>
      </c>
      <c r="ER34">
        <v>102002</v>
      </c>
      <c r="ES34">
        <v>102003</v>
      </c>
      <c r="ET34">
        <v>103001</v>
      </c>
      <c r="EU34">
        <v>103002</v>
      </c>
      <c r="EV34">
        <v>103003</v>
      </c>
      <c r="EW34">
        <v>103004</v>
      </c>
      <c r="EX34">
        <v>106001</v>
      </c>
      <c r="EY34">
        <v>106002</v>
      </c>
      <c r="EZ34">
        <v>107001</v>
      </c>
      <c r="FA34">
        <v>107002</v>
      </c>
      <c r="FB34">
        <v>107003</v>
      </c>
      <c r="FC34">
        <v>107004</v>
      </c>
      <c r="FD34">
        <v>107005</v>
      </c>
      <c r="FE34">
        <v>108001</v>
      </c>
      <c r="FF34">
        <v>108002</v>
      </c>
      <c r="FG34">
        <v>108003</v>
      </c>
      <c r="FH34">
        <v>108004</v>
      </c>
      <c r="FI34">
        <v>109001</v>
      </c>
      <c r="FJ34">
        <v>109002</v>
      </c>
      <c r="FK34">
        <v>110001</v>
      </c>
      <c r="FL34">
        <v>110002</v>
      </c>
      <c r="FM34">
        <v>110003</v>
      </c>
      <c r="FN34">
        <v>110004</v>
      </c>
      <c r="FO34">
        <v>112001</v>
      </c>
      <c r="FP34">
        <v>112002</v>
      </c>
      <c r="FQ34">
        <v>112003</v>
      </c>
      <c r="FR34">
        <v>112004</v>
      </c>
      <c r="FS34">
        <v>115001</v>
      </c>
      <c r="FT34">
        <v>115002</v>
      </c>
      <c r="FU34">
        <v>115003</v>
      </c>
      <c r="FV34">
        <v>115004</v>
      </c>
      <c r="FW34">
        <v>115005</v>
      </c>
      <c r="FX34">
        <v>116001</v>
      </c>
      <c r="FY34">
        <v>116002</v>
      </c>
      <c r="FZ34">
        <v>116003</v>
      </c>
      <c r="GA34">
        <v>123001</v>
      </c>
      <c r="GB34">
        <v>123002</v>
      </c>
      <c r="GC34">
        <v>125001</v>
      </c>
      <c r="GD34">
        <v>125002</v>
      </c>
      <c r="GE34">
        <v>128001</v>
      </c>
      <c r="GF34">
        <v>128002</v>
      </c>
      <c r="GG34">
        <v>137001</v>
      </c>
      <c r="GH34">
        <v>140001</v>
      </c>
      <c r="GI34">
        <v>140002</v>
      </c>
      <c r="GJ34">
        <v>141001</v>
      </c>
      <c r="GK34">
        <v>141002</v>
      </c>
      <c r="GL34">
        <v>143001</v>
      </c>
      <c r="GM34">
        <v>143002</v>
      </c>
      <c r="GN34">
        <v>152001</v>
      </c>
      <c r="GO34">
        <v>152002</v>
      </c>
      <c r="GP34">
        <v>154001</v>
      </c>
      <c r="GQ34">
        <v>154002</v>
      </c>
      <c r="GR34">
        <v>154003</v>
      </c>
      <c r="GS34">
        <v>156001</v>
      </c>
      <c r="GT34">
        <v>156002</v>
      </c>
      <c r="GU34">
        <v>157001</v>
      </c>
      <c r="GV34">
        <v>157002</v>
      </c>
      <c r="GW34">
        <v>158001</v>
      </c>
      <c r="GX34">
        <v>159001</v>
      </c>
      <c r="GY34">
        <v>159002</v>
      </c>
      <c r="GZ34">
        <v>161001</v>
      </c>
      <c r="HA34">
        <v>161002</v>
      </c>
      <c r="HB34">
        <v>163001</v>
      </c>
      <c r="HC34">
        <v>163002</v>
      </c>
      <c r="HD34">
        <v>164001</v>
      </c>
      <c r="HE34">
        <v>164002</v>
      </c>
      <c r="HF34">
        <v>164003</v>
      </c>
      <c r="HG34">
        <v>165001</v>
      </c>
      <c r="HH34">
        <v>165002</v>
      </c>
      <c r="HI34">
        <v>168001</v>
      </c>
      <c r="HJ34">
        <v>168002</v>
      </c>
      <c r="HK34">
        <v>170001</v>
      </c>
      <c r="HL34">
        <v>13552341</v>
      </c>
    </row>
    <row r="35" spans="1:220">
      <c r="A35">
        <f>'All Girls &amp; Descendants'!B33</f>
        <v>63</v>
      </c>
      <c r="B35" t="str">
        <f>'All Girls &amp; Descendants'!C33</f>
        <v>63b</v>
      </c>
      <c r="C35" t="str">
        <f>'All Girls &amp; Descendants'!D33</f>
        <v>MOORE</v>
      </c>
      <c r="D35" t="str">
        <f>'All Girls &amp; Descendants'!E33</f>
        <v>Emma</v>
      </c>
      <c r="E35" t="str">
        <f>IF('All Girls &amp; Descendants'!F33="","",'All Girls &amp; Descendants'!F33)</f>
        <v>Isabel</v>
      </c>
      <c r="F35" t="str">
        <f>IF('All Girls &amp; Descendants'!G33="","",'All Girls &amp; Descendants'!G33)</f>
        <v/>
      </c>
      <c r="G35" t="str">
        <f>IF('All Girls &amp; Descendants'!H33="",D35,'All Girls &amp; Descendants'!H33)</f>
        <v>Isabel</v>
      </c>
      <c r="H35">
        <f>'All Girls &amp; Descendants'!I33</f>
        <v>1929</v>
      </c>
      <c r="I35">
        <f>'All Girls &amp; Descendants'!J33</f>
        <v>2020</v>
      </c>
      <c r="K35" s="3">
        <f>'All Girls &amp; Descendants'!M33</f>
        <v>10772</v>
      </c>
      <c r="L35" s="3" t="str">
        <f>'All Girls &amp; Descendants'!N33</f>
        <v xml:space="preserve"> - </v>
      </c>
      <c r="M35" t="str">
        <f>'All Girls &amp; Descendants'!O33</f>
        <v/>
      </c>
      <c r="N35" t="str">
        <f>'All Girls &amp; Descendants'!P33</f>
        <v/>
      </c>
      <c r="O35" t="str">
        <f>'All Girls &amp; Descendants'!Q33</f>
        <v>63</v>
      </c>
      <c r="P35" t="str">
        <f t="shared" si="32"/>
        <v>63b</v>
      </c>
      <c r="Q35" s="116">
        <f t="shared" si="5"/>
        <v>1</v>
      </c>
      <c r="R35" s="31" t="str">
        <f t="shared" si="6"/>
        <v>Emma Isabel  MOORE</v>
      </c>
      <c r="S35" t="str">
        <f t="shared" si="7"/>
        <v>Isabel MOORE (1929 - 2020:  #63b)</v>
      </c>
      <c r="U35" s="116">
        <f t="shared" si="3"/>
        <v>63002</v>
      </c>
      <c r="V35" t="s">
        <v>2259</v>
      </c>
      <c r="W35" s="116">
        <f t="shared" si="19"/>
        <v>63</v>
      </c>
      <c r="X35" s="116" t="str">
        <f t="shared" si="8"/>
        <v>b</v>
      </c>
      <c r="Y35" s="116">
        <f>VLOOKUP(W35,'Loyd List 1-190 - Edit'!$P$1:$R$202,3,FALSE)</f>
        <v>41</v>
      </c>
      <c r="Z35" s="116"/>
      <c r="AB35" s="116"/>
      <c r="AE35" s="99"/>
      <c r="AF35" s="116"/>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26"/>
      <c r="BD35" s="126"/>
      <c r="BE35" s="126"/>
      <c r="BF35" s="97"/>
      <c r="BH35" t="str">
        <f t="shared" si="35"/>
        <v/>
      </c>
      <c r="BI35" t="str">
        <f t="shared" si="35"/>
        <v/>
      </c>
      <c r="BJ35" t="str">
        <f t="shared" si="33"/>
        <v/>
      </c>
      <c r="BK35" t="str">
        <f t="shared" si="34"/>
        <v/>
      </c>
      <c r="BL35" t="str">
        <f t="shared" si="29"/>
        <v/>
      </c>
      <c r="BM35" t="str">
        <f t="shared" si="30"/>
        <v/>
      </c>
      <c r="BN35" t="str">
        <f t="shared" si="31"/>
        <v/>
      </c>
    </row>
    <row r="36" spans="1:220">
      <c r="A36">
        <f>'All Girls &amp; Descendants'!B34</f>
        <v>63</v>
      </c>
      <c r="B36" t="str">
        <f>'All Girls &amp; Descendants'!C34</f>
        <v>63c</v>
      </c>
      <c r="C36" t="str">
        <f>'All Girls &amp; Descendants'!D34</f>
        <v>MOORE</v>
      </c>
      <c r="D36" t="str">
        <f>'All Girls &amp; Descendants'!E34</f>
        <v>Veronica</v>
      </c>
      <c r="E36" t="str">
        <f>IF('All Girls &amp; Descendants'!F34="","",'All Girls &amp; Descendants'!F34)</f>
        <v>Ashwell</v>
      </c>
      <c r="F36" t="str">
        <f>IF('All Girls &amp; Descendants'!G34="","",'All Girls &amp; Descendants'!G34)</f>
        <v/>
      </c>
      <c r="G36" t="str">
        <f>IF('All Girls &amp; Descendants'!H34="",D36,'All Girls &amp; Descendants'!H34)</f>
        <v>Veronica</v>
      </c>
      <c r="H36">
        <f>'All Girls &amp; Descendants'!I34</f>
        <v>1930</v>
      </c>
      <c r="I36">
        <f>'All Girls &amp; Descendants'!J34</f>
        <v>1934</v>
      </c>
      <c r="K36" s="3">
        <f>'All Girls &amp; Descendants'!M34</f>
        <v>11230</v>
      </c>
      <c r="L36" s="3" t="str">
        <f>'All Girls &amp; Descendants'!N34</f>
        <v xml:space="preserve"> - </v>
      </c>
      <c r="M36">
        <f>'All Girls &amp; Descendants'!O34</f>
        <v>12706</v>
      </c>
      <c r="N36" t="str">
        <f>'All Girls &amp; Descendants'!P34</f>
        <v>14/10/1934</v>
      </c>
      <c r="O36" t="str">
        <f>'All Girls &amp; Descendants'!Q34</f>
        <v>63</v>
      </c>
      <c r="P36" t="str">
        <f t="shared" si="32"/>
        <v>63c</v>
      </c>
      <c r="Q36" s="116">
        <f t="shared" si="5"/>
        <v>1</v>
      </c>
      <c r="R36" s="31" t="str">
        <f t="shared" si="6"/>
        <v>Veronica Ashwell  MOORE</v>
      </c>
      <c r="S36" t="str">
        <f t="shared" si="7"/>
        <v>Veronica MOORE (1930 - 1934:  #63c)</v>
      </c>
      <c r="U36" s="116">
        <f t="shared" si="3"/>
        <v>63003</v>
      </c>
      <c r="V36" t="s">
        <v>2260</v>
      </c>
      <c r="W36" s="116">
        <f t="shared" si="19"/>
        <v>63</v>
      </c>
      <c r="X36" s="116" t="str">
        <f t="shared" si="8"/>
        <v>c</v>
      </c>
      <c r="Y36" s="116">
        <f>VLOOKUP(W36,'Loyd List 1-190 - Edit'!$P$1:$R$202,3,FALSE)</f>
        <v>41</v>
      </c>
      <c r="Z36" s="116"/>
      <c r="AB36" s="116"/>
      <c r="AE36" s="99"/>
      <c r="AF36" s="116"/>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26"/>
      <c r="BD36" s="126"/>
      <c r="BE36" s="126"/>
      <c r="BF36" s="97"/>
      <c r="BH36" t="str">
        <f t="shared" si="35"/>
        <v/>
      </c>
      <c r="BI36" t="str">
        <f t="shared" si="35"/>
        <v/>
      </c>
      <c r="BJ36" t="str">
        <f t="shared" si="33"/>
        <v/>
      </c>
      <c r="BK36" t="str">
        <f t="shared" si="34"/>
        <v/>
      </c>
      <c r="BL36" t="str">
        <f t="shared" si="29"/>
        <v/>
      </c>
      <c r="BM36" t="str">
        <f t="shared" si="30"/>
        <v/>
      </c>
      <c r="BN36" t="str">
        <f t="shared" si="31"/>
        <v/>
      </c>
    </row>
    <row r="37" spans="1:220">
      <c r="A37">
        <f>'All Girls &amp; Descendants'!B35</f>
        <v>65</v>
      </c>
      <c r="B37" t="str">
        <f>'All Girls &amp; Descendants'!C35</f>
        <v>65a</v>
      </c>
      <c r="C37" t="str">
        <f>'All Girls &amp; Descendants'!D35</f>
        <v>WHEELER</v>
      </c>
      <c r="D37" t="str">
        <f>'All Girls &amp; Descendants'!E35</f>
        <v>Audrey</v>
      </c>
      <c r="E37" t="str">
        <f>IF('All Girls &amp; Descendants'!F35="","",'All Girls &amp; Descendants'!F35)</f>
        <v>Haig</v>
      </c>
      <c r="F37" t="str">
        <f>IF('All Girls &amp; Descendants'!G35="","",'All Girls &amp; Descendants'!G35)</f>
        <v/>
      </c>
      <c r="G37" t="str">
        <f>IF('All Girls &amp; Descendants'!H35="",D37,'All Girls &amp; Descendants'!H35)</f>
        <v>Audrey</v>
      </c>
      <c r="H37">
        <f>'All Girls &amp; Descendants'!I35</f>
        <v>1913</v>
      </c>
      <c r="I37" t="str">
        <f>'All Girls &amp; Descendants'!J35</f>
        <v/>
      </c>
      <c r="K37" s="3">
        <f>'All Girls &amp; Descendants'!M35</f>
        <v>4844</v>
      </c>
      <c r="L37" s="3" t="str">
        <f>'All Girls &amp; Descendants'!N35</f>
        <v xml:space="preserve"> - </v>
      </c>
      <c r="M37" t="str">
        <f>'All Girls &amp; Descendants'!O35</f>
        <v/>
      </c>
      <c r="N37" t="str">
        <f>'All Girls &amp; Descendants'!P35</f>
        <v/>
      </c>
      <c r="O37" t="str">
        <f>'All Girls &amp; Descendants'!Q35</f>
        <v>65</v>
      </c>
      <c r="P37" t="str">
        <f t="shared" si="32"/>
        <v>65a</v>
      </c>
      <c r="Q37" s="116">
        <f t="shared" si="5"/>
        <v>1</v>
      </c>
      <c r="R37" s="31" t="str">
        <f t="shared" si="6"/>
        <v>Audrey Haig  WHEELER</v>
      </c>
      <c r="S37" t="str">
        <f t="shared" si="7"/>
        <v>Audrey WHEELER (1913 - :  #65a)</v>
      </c>
      <c r="U37" s="116">
        <f t="shared" si="3"/>
        <v>65001</v>
      </c>
      <c r="V37" t="s">
        <v>2265</v>
      </c>
      <c r="W37" s="116">
        <f t="shared" si="19"/>
        <v>65</v>
      </c>
      <c r="X37" s="116" t="str">
        <f t="shared" si="8"/>
        <v>a</v>
      </c>
      <c r="Y37" s="116">
        <f>VLOOKUP(W37,'Loyd List 1-190 - Edit'!$P$1:$R$202,3,FALSE)</f>
        <v>34</v>
      </c>
      <c r="Z37" s="116"/>
      <c r="AB37" s="116"/>
      <c r="AE37" s="99"/>
      <c r="AF37" s="116"/>
      <c r="AG37" s="117"/>
      <c r="AH37" s="117"/>
      <c r="AI37" s="117"/>
      <c r="AJ37" s="117"/>
      <c r="AK37" s="117"/>
      <c r="AL37" s="117"/>
      <c r="AM37" s="117"/>
      <c r="AN37" s="117"/>
      <c r="AO37" s="117"/>
      <c r="AP37" s="117"/>
      <c r="AQ37" s="117"/>
      <c r="AR37" s="117"/>
      <c r="AS37" s="117"/>
      <c r="AT37" s="117"/>
      <c r="AU37" s="117"/>
      <c r="AV37" s="117"/>
      <c r="AW37" s="117"/>
      <c r="AX37" s="117"/>
      <c r="AY37" s="117"/>
      <c r="AZ37" s="117"/>
      <c r="BA37" s="117"/>
      <c r="BB37" s="117"/>
      <c r="BC37" s="126"/>
      <c r="BD37" s="126"/>
      <c r="BE37" s="126"/>
      <c r="BF37" s="97"/>
      <c r="BH37" t="str">
        <f t="shared" si="35"/>
        <v/>
      </c>
      <c r="BI37" t="str">
        <f t="shared" si="35"/>
        <v/>
      </c>
      <c r="BJ37" t="str">
        <f t="shared" si="33"/>
        <v/>
      </c>
      <c r="BK37" t="str">
        <f t="shared" si="34"/>
        <v/>
      </c>
      <c r="BL37" t="str">
        <f t="shared" si="29"/>
        <v/>
      </c>
      <c r="BM37" t="str">
        <f t="shared" si="30"/>
        <v/>
      </c>
      <c r="BN37" t="str">
        <f t="shared" si="31"/>
        <v/>
      </c>
    </row>
    <row r="38" spans="1:220">
      <c r="A38">
        <f>'All Girls &amp; Descendants'!B36</f>
        <v>65</v>
      </c>
      <c r="B38" t="str">
        <f>'All Girls &amp; Descendants'!C36</f>
        <v>65b</v>
      </c>
      <c r="C38" t="str">
        <f>'All Girls &amp; Descendants'!D36</f>
        <v>WHEELER</v>
      </c>
      <c r="D38" t="str">
        <f>'All Girls &amp; Descendants'!E36</f>
        <v>Norma</v>
      </c>
      <c r="E38" t="str">
        <f>IF('All Girls &amp; Descendants'!F36="","",'All Girls &amp; Descendants'!F36)</f>
        <v>Monica</v>
      </c>
      <c r="F38" t="str">
        <f>IF('All Girls &amp; Descendants'!G36="","",'All Girls &amp; Descendants'!G36)</f>
        <v>Haig</v>
      </c>
      <c r="G38" t="str">
        <f>IF('All Girls &amp; Descendants'!H36="",D38,'All Girls &amp; Descendants'!H36)</f>
        <v>Norma</v>
      </c>
      <c r="H38">
        <f>'All Girls &amp; Descendants'!I36</f>
        <v>1924</v>
      </c>
      <c r="I38" t="str">
        <f>'All Girls &amp; Descendants'!J36</f>
        <v/>
      </c>
      <c r="K38" s="3">
        <f>'All Girls &amp; Descendants'!M36</f>
        <v>8801</v>
      </c>
      <c r="L38" s="3" t="str">
        <f>'All Girls &amp; Descendants'!N36</f>
        <v xml:space="preserve"> - </v>
      </c>
      <c r="M38" t="str">
        <f>'All Girls &amp; Descendants'!O36</f>
        <v/>
      </c>
      <c r="N38" t="str">
        <f>'All Girls &amp; Descendants'!P36</f>
        <v/>
      </c>
      <c r="O38" t="str">
        <f>'All Girls &amp; Descendants'!Q36</f>
        <v>65</v>
      </c>
      <c r="P38" t="str">
        <f t="shared" si="32"/>
        <v>65b</v>
      </c>
      <c r="Q38" s="116">
        <f t="shared" si="5"/>
        <v>1</v>
      </c>
      <c r="R38" s="31" t="str">
        <f t="shared" si="6"/>
        <v>Norma Monica Haig WHEELER</v>
      </c>
      <c r="S38" t="str">
        <f t="shared" si="7"/>
        <v>Norma WHEELER (1924 - :  #65b)</v>
      </c>
      <c r="U38" s="116">
        <f t="shared" si="3"/>
        <v>65002</v>
      </c>
      <c r="V38" t="s">
        <v>2268</v>
      </c>
      <c r="W38" s="116">
        <f t="shared" si="19"/>
        <v>65</v>
      </c>
      <c r="X38" s="116" t="str">
        <f t="shared" si="8"/>
        <v>b</v>
      </c>
      <c r="Y38" s="116">
        <f>VLOOKUP(W38,'Loyd List 1-190 - Edit'!$P$1:$R$202,3,FALSE)</f>
        <v>34</v>
      </c>
      <c r="Z38" s="116"/>
      <c r="AB38" s="116"/>
      <c r="AE38" s="99"/>
      <c r="AF38" s="116"/>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26"/>
      <c r="BD38" s="126"/>
      <c r="BE38" s="126"/>
      <c r="BF38" s="97"/>
      <c r="BH38" t="str">
        <f t="shared" si="35"/>
        <v/>
      </c>
      <c r="BI38" t="str">
        <f t="shared" si="35"/>
        <v/>
      </c>
      <c r="BJ38" t="str">
        <f t="shared" si="33"/>
        <v/>
      </c>
      <c r="BK38" t="str">
        <f t="shared" si="34"/>
        <v/>
      </c>
      <c r="BL38" t="str">
        <f t="shared" si="29"/>
        <v/>
      </c>
      <c r="BM38" t="str">
        <f t="shared" si="30"/>
        <v/>
      </c>
      <c r="BN38" t="str">
        <f t="shared" si="31"/>
        <v/>
      </c>
    </row>
    <row r="39" spans="1:220">
      <c r="A39">
        <f>'All Girls &amp; Descendants'!B37</f>
        <v>65</v>
      </c>
      <c r="B39" t="str">
        <f>'All Girls &amp; Descendants'!C37</f>
        <v>65c</v>
      </c>
      <c r="C39" t="str">
        <f>'All Girls &amp; Descendants'!D37</f>
        <v>WHEELER</v>
      </c>
      <c r="D39" t="str">
        <f>'All Girls &amp; Descendants'!E37</f>
        <v>Basil</v>
      </c>
      <c r="E39" t="str">
        <f>IF('All Girls &amp; Descendants'!F37="","",'All Girls &amp; Descendants'!F37)</f>
        <v>Norman</v>
      </c>
      <c r="F39" t="str">
        <f>IF('All Girls &amp; Descendants'!G37="","",'All Girls &amp; Descendants'!G37)</f>
        <v>Haig</v>
      </c>
      <c r="G39" t="str">
        <f>IF('All Girls &amp; Descendants'!H37="",D39,'All Girls &amp; Descendants'!H37)</f>
        <v>Basil</v>
      </c>
      <c r="H39">
        <f>'All Girls &amp; Descendants'!I37</f>
        <v>1926</v>
      </c>
      <c r="I39" t="str">
        <f>'All Girls &amp; Descendants'!J37</f>
        <v/>
      </c>
      <c r="K39" s="3">
        <f>'All Girls &amp; Descendants'!M37</f>
        <v>9743</v>
      </c>
      <c r="L39" s="3">
        <f>'All Girls &amp; Descendants'!N37</f>
        <v>25689</v>
      </c>
      <c r="M39" t="str">
        <f>'All Girls &amp; Descendants'!O37</f>
        <v/>
      </c>
      <c r="N39" t="str">
        <f>'All Girls &amp; Descendants'!P37</f>
        <v/>
      </c>
      <c r="O39" t="str">
        <f>'All Girls &amp; Descendants'!Q37</f>
        <v>65</v>
      </c>
      <c r="P39" t="str">
        <f t="shared" si="32"/>
        <v>65c</v>
      </c>
      <c r="Q39" s="116">
        <f t="shared" si="5"/>
        <v>1</v>
      </c>
      <c r="R39" s="31" t="str">
        <f t="shared" si="6"/>
        <v>Basil Norman Haig WHEELER</v>
      </c>
      <c r="S39" t="str">
        <f t="shared" si="7"/>
        <v>Basil WHEELER (1926 - :  #65c)</v>
      </c>
      <c r="U39" s="116">
        <f t="shared" si="3"/>
        <v>65003</v>
      </c>
      <c r="V39" t="s">
        <v>2269</v>
      </c>
      <c r="W39" s="116">
        <f t="shared" si="19"/>
        <v>65</v>
      </c>
      <c r="X39" s="116" t="str">
        <f t="shared" si="8"/>
        <v>c</v>
      </c>
      <c r="Y39" s="116">
        <f>VLOOKUP(W39,'Loyd List 1-190 - Edit'!$P$1:$R$202,3,FALSE)</f>
        <v>34</v>
      </c>
      <c r="Z39" s="116"/>
      <c r="AB39" s="116"/>
      <c r="AE39" s="99"/>
      <c r="AF39" s="116"/>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26"/>
      <c r="BD39" s="126"/>
      <c r="BE39" s="126"/>
      <c r="BF39" s="97"/>
      <c r="BH39" t="str">
        <f t="shared" si="35"/>
        <v/>
      </c>
      <c r="BI39" t="str">
        <f t="shared" si="35"/>
        <v/>
      </c>
      <c r="BJ39" t="str">
        <f t="shared" si="33"/>
        <v/>
      </c>
      <c r="BK39" t="str">
        <f t="shared" si="34"/>
        <v/>
      </c>
      <c r="BL39" t="str">
        <f t="shared" si="29"/>
        <v/>
      </c>
      <c r="BM39" t="str">
        <f t="shared" si="30"/>
        <v/>
      </c>
      <c r="BN39" t="str">
        <f t="shared" si="31"/>
        <v/>
      </c>
    </row>
    <row r="40" spans="1:220">
      <c r="A40">
        <f>'All Girls &amp; Descendants'!B38</f>
        <v>70</v>
      </c>
      <c r="B40" t="str">
        <f>'All Girls &amp; Descendants'!C38</f>
        <v>70a</v>
      </c>
      <c r="C40" t="str">
        <f>'All Girls &amp; Descendants'!D38</f>
        <v>MICKLEM</v>
      </c>
      <c r="D40" t="str">
        <f>'All Girls &amp; Descendants'!E38</f>
        <v>Cynthia</v>
      </c>
      <c r="E40" t="str">
        <f>IF('All Girls &amp; Descendants'!F38="","",'All Girls &amp; Descendants'!F38)</f>
        <v>Violet</v>
      </c>
      <c r="F40" t="str">
        <f>IF('All Girls &amp; Descendants'!G38="","",'All Girls &amp; Descendants'!G38)</f>
        <v/>
      </c>
      <c r="G40" t="str">
        <f>IF('All Girls &amp; Descendants'!H38="",D40,'All Girls &amp; Descendants'!H38)</f>
        <v>Cynthia</v>
      </c>
      <c r="H40">
        <f>'All Girls &amp; Descendants'!I38</f>
        <v>1921</v>
      </c>
      <c r="I40">
        <f>'All Girls &amp; Descendants'!J38</f>
        <v>1990</v>
      </c>
      <c r="K40" s="3">
        <f>'All Girls &amp; Descendants'!M38</f>
        <v>7955</v>
      </c>
      <c r="L40" s="3">
        <f>'All Girls &amp; Descendants'!N38</f>
        <v>18280</v>
      </c>
      <c r="M40">
        <f>'All Girls &amp; Descendants'!O38</f>
        <v>32962</v>
      </c>
      <c r="N40" t="str">
        <f>'All Girls &amp; Descendants'!P38</f>
        <v>30/03/1990</v>
      </c>
      <c r="O40" t="str">
        <f>'All Girls &amp; Descendants'!Q38</f>
        <v>70</v>
      </c>
      <c r="P40" t="str">
        <f t="shared" si="32"/>
        <v>70a</v>
      </c>
      <c r="Q40" s="116">
        <f t="shared" si="5"/>
        <v>1</v>
      </c>
      <c r="R40" s="31" t="str">
        <f t="shared" si="6"/>
        <v>Cynthia Violet  MICKLEM</v>
      </c>
      <c r="S40" t="str">
        <f t="shared" si="7"/>
        <v>Cynthia MICKLEM (1921 - 1990:  #70a)</v>
      </c>
      <c r="U40" s="116">
        <f t="shared" si="3"/>
        <v>70001</v>
      </c>
      <c r="V40" t="s">
        <v>2277</v>
      </c>
      <c r="W40" s="116">
        <f t="shared" si="19"/>
        <v>70</v>
      </c>
      <c r="X40" s="116" t="str">
        <f t="shared" si="8"/>
        <v>a</v>
      </c>
      <c r="Y40" s="116">
        <f>VLOOKUP(W40,'Loyd List 1-190 - Edit'!$P$1:$R$202,3,FALSE)</f>
        <v>46</v>
      </c>
      <c r="Z40" s="116"/>
      <c r="AB40" s="116"/>
      <c r="AE40" s="99"/>
    </row>
    <row r="41" spans="1:220">
      <c r="A41">
        <f>'All Girls &amp; Descendants'!B39</f>
        <v>70</v>
      </c>
      <c r="B41" t="str">
        <f>'All Girls &amp; Descendants'!C39</f>
        <v>70b</v>
      </c>
      <c r="C41" t="str">
        <f>'All Girls &amp; Descendants'!D39</f>
        <v>MICKLEM</v>
      </c>
      <c r="D41" t="str">
        <f>'All Girls &amp; Descendants'!E39</f>
        <v>Dora</v>
      </c>
      <c r="E41" t="str">
        <f>IF('All Girls &amp; Descendants'!F39="","",'All Girls &amp; Descendants'!F39)</f>
        <v>Margaret</v>
      </c>
      <c r="F41" t="str">
        <f>IF('All Girls &amp; Descendants'!G39="","",'All Girls &amp; Descendants'!G39)</f>
        <v/>
      </c>
      <c r="G41" t="str">
        <f>IF('All Girls &amp; Descendants'!H39="",D41,'All Girls &amp; Descendants'!H39)</f>
        <v>Dora</v>
      </c>
      <c r="H41">
        <f>'All Girls &amp; Descendants'!I39</f>
        <v>1924</v>
      </c>
      <c r="I41" t="str">
        <f>'All Girls &amp; Descendants'!J39</f>
        <v/>
      </c>
      <c r="K41" s="3">
        <f>'All Girls &amp; Descendants'!M39</f>
        <v>8863</v>
      </c>
      <c r="L41" s="3">
        <f>'All Girls &amp; Descendants'!N39</f>
        <v>19873</v>
      </c>
      <c r="M41" t="str">
        <f>'All Girls &amp; Descendants'!O39</f>
        <v/>
      </c>
      <c r="N41" t="str">
        <f>'All Girls &amp; Descendants'!P39</f>
        <v/>
      </c>
      <c r="O41" t="str">
        <f>'All Girls &amp; Descendants'!Q39</f>
        <v>70</v>
      </c>
      <c r="P41" t="str">
        <f t="shared" si="32"/>
        <v>70b</v>
      </c>
      <c r="Q41" s="116">
        <f t="shared" si="5"/>
        <v>1</v>
      </c>
      <c r="R41" s="31" t="str">
        <f t="shared" si="6"/>
        <v>Dora Margaret  MICKLEM</v>
      </c>
      <c r="S41" t="str">
        <f t="shared" si="7"/>
        <v>Dora MICKLEM (1924 - :  #70b)</v>
      </c>
      <c r="U41" s="116">
        <f t="shared" si="3"/>
        <v>70002</v>
      </c>
      <c r="V41" t="s">
        <v>2298</v>
      </c>
      <c r="W41" s="116">
        <f t="shared" si="19"/>
        <v>70</v>
      </c>
      <c r="X41" s="116" t="str">
        <f t="shared" si="8"/>
        <v>b</v>
      </c>
      <c r="Y41" s="116">
        <f>VLOOKUP(W41,'Loyd List 1-190 - Edit'!$P$1:$R$202,3,FALSE)</f>
        <v>46</v>
      </c>
      <c r="Z41" s="116"/>
      <c r="AB41" s="116"/>
      <c r="AE41" s="99"/>
    </row>
    <row r="42" spans="1:220">
      <c r="A42">
        <f>'All Girls &amp; Descendants'!B40</f>
        <v>70</v>
      </c>
      <c r="B42" t="str">
        <f>'All Girls &amp; Descendants'!C40</f>
        <v>70c</v>
      </c>
      <c r="C42" t="str">
        <f>'All Girls &amp; Descendants'!D40</f>
        <v>MICKLEM</v>
      </c>
      <c r="D42" t="str">
        <f>'All Girls &amp; Descendants'!E40</f>
        <v>Anne</v>
      </c>
      <c r="E42" t="str">
        <f>IF('All Girls &amp; Descendants'!F40="","",'All Girls &amp; Descendants'!F40)</f>
        <v>Gertrude</v>
      </c>
      <c r="F42" t="str">
        <f>IF('All Girls &amp; Descendants'!G40="","",'All Girls &amp; Descendants'!G40)</f>
        <v/>
      </c>
      <c r="G42" t="str">
        <f>IF('All Girls &amp; Descendants'!H40="",D42,'All Girls &amp; Descendants'!H40)</f>
        <v>Anne</v>
      </c>
      <c r="H42">
        <f>'All Girls &amp; Descendants'!I40</f>
        <v>1925</v>
      </c>
      <c r="I42" t="str">
        <f>'All Girls &amp; Descendants'!J40</f>
        <v/>
      </c>
      <c r="K42" s="3">
        <f>'All Girls &amp; Descendants'!M40</f>
        <v>9399</v>
      </c>
      <c r="L42" s="3">
        <f>'All Girls &amp; Descendants'!N40</f>
        <v>18606</v>
      </c>
      <c r="M42" t="str">
        <f>'All Girls &amp; Descendants'!O40</f>
        <v/>
      </c>
      <c r="N42" t="str">
        <f>'All Girls &amp; Descendants'!P40</f>
        <v/>
      </c>
      <c r="O42" t="str">
        <f>'All Girls &amp; Descendants'!Q40</f>
        <v>70</v>
      </c>
      <c r="P42" t="str">
        <f t="shared" si="32"/>
        <v>70c</v>
      </c>
      <c r="Q42" s="116">
        <f t="shared" si="5"/>
        <v>1</v>
      </c>
      <c r="R42" s="31" t="str">
        <f t="shared" si="6"/>
        <v>Anne Gertrude  MICKLEM</v>
      </c>
      <c r="S42" t="str">
        <f t="shared" si="7"/>
        <v>Anne MICKLEM (1925 - :  #70c)</v>
      </c>
      <c r="U42" s="116">
        <f t="shared" si="3"/>
        <v>70003</v>
      </c>
      <c r="V42" t="s">
        <v>2312</v>
      </c>
      <c r="W42" s="116">
        <f>VALUE(LEFT(V42,2))</f>
        <v>70</v>
      </c>
      <c r="X42" s="116" t="str">
        <f t="shared" si="8"/>
        <v>c</v>
      </c>
      <c r="Y42" s="116">
        <f>VLOOKUP(W42,'Loyd List 1-190 - Edit'!$P$1:$R$202,3,FALSE)</f>
        <v>46</v>
      </c>
      <c r="Z42" s="116"/>
      <c r="AB42" s="116"/>
    </row>
    <row r="43" spans="1:220">
      <c r="A43">
        <f>'All Girls &amp; Descendants'!B41</f>
        <v>70</v>
      </c>
      <c r="B43" t="str">
        <f>'All Girls &amp; Descendants'!C41</f>
        <v>70d</v>
      </c>
      <c r="C43" t="str">
        <f>'All Girls &amp; Descendants'!D41</f>
        <v>MICKLEM</v>
      </c>
      <c r="D43" t="str">
        <f>'All Girls &amp; Descendants'!E41</f>
        <v>Thomas</v>
      </c>
      <c r="E43" t="str">
        <f>IF('All Girls &amp; Descendants'!F41="","",'All Girls &amp; Descendants'!F41)</f>
        <v>Charles</v>
      </c>
      <c r="F43" t="str">
        <f>IF('All Girls &amp; Descendants'!G41="","",'All Girls &amp; Descendants'!G41)</f>
        <v>Weguelin</v>
      </c>
      <c r="G43" t="str">
        <f>IF('All Girls &amp; Descendants'!H41="",D43,'All Girls &amp; Descendants'!H41)</f>
        <v>Tom</v>
      </c>
      <c r="H43">
        <f>'All Girls &amp; Descendants'!I41</f>
        <v>1926</v>
      </c>
      <c r="I43" t="str">
        <f>'All Girls &amp; Descendants'!J41</f>
        <v/>
      </c>
      <c r="K43" s="3">
        <f>'All Girls &amp; Descendants'!M41</f>
        <v>9805</v>
      </c>
      <c r="L43" s="3">
        <f>'All Girls &amp; Descendants'!N41</f>
        <v>20986</v>
      </c>
      <c r="M43" t="str">
        <f>'All Girls &amp; Descendants'!O41</f>
        <v/>
      </c>
      <c r="N43" t="str">
        <f>'All Girls &amp; Descendants'!P41</f>
        <v/>
      </c>
      <c r="O43" t="str">
        <f>'All Girls &amp; Descendants'!Q41</f>
        <v>70</v>
      </c>
      <c r="P43" t="str">
        <f t="shared" si="32"/>
        <v>70d</v>
      </c>
      <c r="Q43" s="116">
        <f t="shared" si="5"/>
        <v>1</v>
      </c>
      <c r="R43" s="31" t="str">
        <f t="shared" si="6"/>
        <v>Thomas Charles Weguelin MICKLEM</v>
      </c>
      <c r="S43" t="str">
        <f t="shared" si="7"/>
        <v>Tom MICKLEM (1926 - :  #70d)</v>
      </c>
      <c r="U43" s="116">
        <f t="shared" si="3"/>
        <v>70004</v>
      </c>
      <c r="V43" t="s">
        <v>2328</v>
      </c>
      <c r="W43" s="116">
        <f t="shared" si="19"/>
        <v>70</v>
      </c>
      <c r="X43" s="116" t="str">
        <f t="shared" si="8"/>
        <v>d</v>
      </c>
      <c r="Y43" s="116">
        <f>VLOOKUP(W43,'Loyd List 1-190 - Edit'!$P$1:$R$202,3,FALSE)</f>
        <v>46</v>
      </c>
      <c r="Z43" s="116"/>
      <c r="AB43" s="116"/>
    </row>
    <row r="44" spans="1:220">
      <c r="A44">
        <f>'All Girls &amp; Descendants'!B42</f>
        <v>70</v>
      </c>
      <c r="B44" t="str">
        <f>'All Girls &amp; Descendants'!C42</f>
        <v>70e</v>
      </c>
      <c r="C44" t="str">
        <f>'All Girls &amp; Descendants'!D42</f>
        <v>MICKLEM</v>
      </c>
      <c r="D44" t="str">
        <f>'All Girls &amp; Descendants'!E42</f>
        <v>Elizabeth</v>
      </c>
      <c r="E44" t="str">
        <f>IF('All Girls &amp; Descendants'!F42="","",'All Girls &amp; Descendants'!F42)</f>
        <v>Paula</v>
      </c>
      <c r="F44" t="str">
        <f>IF('All Girls &amp; Descendants'!G42="","",'All Girls &amp; Descendants'!G42)</f>
        <v/>
      </c>
      <c r="G44" t="str">
        <f>IF('All Girls &amp; Descendants'!H42="",D44,'All Girls &amp; Descendants'!H42)</f>
        <v>Elizabeth</v>
      </c>
      <c r="H44">
        <f>'All Girls &amp; Descendants'!I42</f>
        <v>1929</v>
      </c>
      <c r="I44" t="str">
        <f>'All Girls &amp; Descendants'!J42</f>
        <v/>
      </c>
      <c r="K44" s="3" t="str">
        <f>'All Girls &amp; Descendants'!M42</f>
        <v>16/02/1929</v>
      </c>
      <c r="L44" s="3">
        <f>'All Girls &amp; Descendants'!N42</f>
        <v>19784</v>
      </c>
      <c r="M44" t="str">
        <f>'All Girls &amp; Descendants'!O42</f>
        <v/>
      </c>
      <c r="N44" t="str">
        <f>'All Girls &amp; Descendants'!P42</f>
        <v/>
      </c>
      <c r="O44" t="str">
        <f>'All Girls &amp; Descendants'!Q42</f>
        <v>70</v>
      </c>
      <c r="P44" t="str">
        <f t="shared" si="32"/>
        <v>70e</v>
      </c>
      <c r="Q44" s="116">
        <f t="shared" si="5"/>
        <v>1</v>
      </c>
      <c r="R44" s="31" t="str">
        <f t="shared" si="6"/>
        <v>Elizabeth Paula  MICKLEM</v>
      </c>
      <c r="S44" t="str">
        <f t="shared" si="7"/>
        <v>Elizabeth MICKLEM (1929 - :  #70e)</v>
      </c>
      <c r="U44" s="116">
        <f t="shared" si="3"/>
        <v>70005</v>
      </c>
      <c r="V44" t="s">
        <v>2346</v>
      </c>
      <c r="W44" s="116">
        <f t="shared" si="19"/>
        <v>70</v>
      </c>
      <c r="X44" s="116" t="str">
        <f t="shared" si="8"/>
        <v>e</v>
      </c>
      <c r="Y44" s="116">
        <f>VLOOKUP(W44,'Loyd List 1-190 - Edit'!$P$1:$R$202,3,FALSE)</f>
        <v>46</v>
      </c>
      <c r="Z44" s="116"/>
      <c r="AB44" s="116"/>
    </row>
    <row r="45" spans="1:220">
      <c r="A45">
        <f>'All Girls &amp; Descendants'!B43</f>
        <v>70</v>
      </c>
      <c r="B45" t="str">
        <f>'All Girls &amp; Descendants'!C43</f>
        <v>70f</v>
      </c>
      <c r="C45" t="str">
        <f>'All Girls &amp; Descendants'!D43</f>
        <v>MICKLEM</v>
      </c>
      <c r="D45" t="str">
        <f>'All Girls &amp; Descendants'!E43</f>
        <v>Nathaniel</v>
      </c>
      <c r="E45" t="str">
        <f>IF('All Girls &amp; Descendants'!F43="","",'All Girls &amp; Descendants'!F43)</f>
        <v>Henry</v>
      </c>
      <c r="F45" t="str">
        <f>IF('All Girls &amp; Descendants'!G43="","",'All Girls &amp; Descendants'!G43)</f>
        <v>Stirling</v>
      </c>
      <c r="G45" t="str">
        <f>IF('All Girls &amp; Descendants'!H43="",D45,'All Girls &amp; Descendants'!H43)</f>
        <v>Nathaniel</v>
      </c>
      <c r="H45">
        <f>'All Girls &amp; Descendants'!I43</f>
        <v>1931</v>
      </c>
      <c r="I45">
        <f>'All Girls &amp; Descendants'!J43</f>
        <v>1950</v>
      </c>
      <c r="K45" s="3" t="str">
        <f>'All Girls &amp; Descendants'!M43</f>
        <v>21/09/1931</v>
      </c>
      <c r="L45" s="3" t="str">
        <f>'All Girls &amp; Descendants'!N43</f>
        <v>Unmarried</v>
      </c>
      <c r="M45">
        <f>'All Girls &amp; Descendants'!O43</f>
        <v>18546</v>
      </c>
      <c r="N45" t="str">
        <f>'All Girls &amp; Descendants'!P43</f>
        <v>10/10/1950</v>
      </c>
      <c r="O45" t="str">
        <f>'All Girls &amp; Descendants'!Q43</f>
        <v>70</v>
      </c>
      <c r="P45" t="str">
        <f t="shared" si="32"/>
        <v>70f</v>
      </c>
      <c r="Q45" s="116">
        <f t="shared" si="5"/>
        <v>1</v>
      </c>
      <c r="R45" s="31" t="str">
        <f t="shared" si="6"/>
        <v>Nathaniel Henry Stirling MICKLEM</v>
      </c>
      <c r="S45" t="str">
        <f t="shared" si="7"/>
        <v>Nathaniel MICKLEM (1931 - 1950:  #70f)</v>
      </c>
      <c r="U45" s="116">
        <f t="shared" si="3"/>
        <v>70006</v>
      </c>
      <c r="V45" t="s">
        <v>2348</v>
      </c>
      <c r="W45" s="116">
        <f t="shared" si="19"/>
        <v>70</v>
      </c>
      <c r="X45" s="116" t="str">
        <f t="shared" si="8"/>
        <v>f</v>
      </c>
      <c r="Y45" s="116">
        <f>VLOOKUP(W45,'Loyd List 1-190 - Edit'!$P$1:$R$202,3,FALSE)</f>
        <v>46</v>
      </c>
      <c r="Z45" s="116"/>
      <c r="AB45" s="116"/>
    </row>
    <row r="46" spans="1:220">
      <c r="A46">
        <f>'All Girls &amp; Descendants'!B44</f>
        <v>85</v>
      </c>
      <c r="B46" t="str">
        <f>'All Girls &amp; Descendants'!C44</f>
        <v>85a</v>
      </c>
      <c r="C46" t="str">
        <f>'All Girls &amp; Descendants'!D44</f>
        <v>LANE FOX</v>
      </c>
      <c r="D46" t="str">
        <f>'All Girls &amp; Descendants'!E44</f>
        <v>Martin</v>
      </c>
      <c r="E46" t="str">
        <f>IF('All Girls &amp; Descendants'!F44="","",'All Girls &amp; Descendants'!F44)</f>
        <v>James</v>
      </c>
      <c r="F46" t="str">
        <f>IF('All Girls &amp; Descendants'!G44="","",'All Girls &amp; Descendants'!G44)</f>
        <v/>
      </c>
      <c r="G46" t="str">
        <f>IF('All Girls &amp; Descendants'!H44="",D46,'All Girls &amp; Descendants'!H44)</f>
        <v>Martin</v>
      </c>
      <c r="H46">
        <f>'All Girls &amp; Descendants'!I44</f>
        <v>1938</v>
      </c>
      <c r="I46">
        <f>'All Girls &amp; Descendants'!J44</f>
        <v>2016</v>
      </c>
      <c r="K46" s="3">
        <f>'All Girls &amp; Descendants'!M44</f>
        <v>13981</v>
      </c>
      <c r="L46" s="3">
        <f>'All Girls &amp; Descendants'!N44</f>
        <v>23797</v>
      </c>
      <c r="M46">
        <f>'All Girls &amp; Descendants'!O44</f>
        <v>42565</v>
      </c>
      <c r="N46" t="str">
        <f>'All Girls &amp; Descendants'!P44</f>
        <v>14/07/2016</v>
      </c>
      <c r="O46" t="str">
        <f>'All Girls &amp; Descendants'!Q44</f>
        <v>85</v>
      </c>
      <c r="P46" t="str">
        <f t="shared" si="32"/>
        <v>85a</v>
      </c>
      <c r="Q46" s="116">
        <f t="shared" si="5"/>
        <v>1</v>
      </c>
      <c r="R46" s="31" t="str">
        <f t="shared" si="6"/>
        <v>Martin James  LANE FOX</v>
      </c>
      <c r="S46" t="str">
        <f t="shared" si="7"/>
        <v>Martin LANE FOX (1938 - 2016:  #85a)</v>
      </c>
      <c r="U46" s="116">
        <f t="shared" si="3"/>
        <v>85001</v>
      </c>
      <c r="V46" t="s">
        <v>1312</v>
      </c>
      <c r="W46" s="116">
        <f t="shared" si="19"/>
        <v>85</v>
      </c>
      <c r="X46" s="116" t="str">
        <f t="shared" si="8"/>
        <v>a</v>
      </c>
      <c r="Y46" s="116">
        <f>VLOOKUP(W46,'Loyd List 1-190 - Edit'!$P$1:$R$202,3,FALSE)</f>
        <v>56</v>
      </c>
      <c r="Z46" s="116"/>
      <c r="AB46" s="116"/>
    </row>
    <row r="47" spans="1:220">
      <c r="A47">
        <f>'All Girls &amp; Descendants'!B45</f>
        <v>85</v>
      </c>
      <c r="B47" t="str">
        <f>'All Girls &amp; Descendants'!C45</f>
        <v>85b</v>
      </c>
      <c r="C47" t="str">
        <f>'All Girls &amp; Descendants'!D45</f>
        <v>LANE FOX</v>
      </c>
      <c r="D47" t="str">
        <f>'All Girls &amp; Descendants'!E45</f>
        <v>Edward</v>
      </c>
      <c r="E47" t="str">
        <f>IF('All Girls &amp; Descendants'!F45="","",'All Girls &amp; Descendants'!F45)</f>
        <v>James</v>
      </c>
      <c r="F47" t="str">
        <f>IF('All Girls &amp; Descendants'!G45="","",'All Girls &amp; Descendants'!G45)</f>
        <v/>
      </c>
      <c r="G47" t="str">
        <f>IF('All Girls &amp; Descendants'!H45="",D47,'All Girls &amp; Descendants'!H45)</f>
        <v>Edward</v>
      </c>
      <c r="H47">
        <f>'All Girls &amp; Descendants'!I45</f>
        <v>1939</v>
      </c>
      <c r="I47" t="str">
        <f>'All Girls &amp; Descendants'!J45</f>
        <v/>
      </c>
      <c r="K47" s="3">
        <f>'All Girls &amp; Descendants'!M45</f>
        <v>14531</v>
      </c>
      <c r="L47" s="3">
        <f>'All Girls &amp; Descendants'!N45</f>
        <v>23188</v>
      </c>
      <c r="M47" t="str">
        <f>'All Girls &amp; Descendants'!O45</f>
        <v/>
      </c>
      <c r="N47" t="str">
        <f>'All Girls &amp; Descendants'!P45</f>
        <v/>
      </c>
      <c r="O47" t="str">
        <f>'All Girls &amp; Descendants'!Q45</f>
        <v>85</v>
      </c>
      <c r="P47" t="str">
        <f t="shared" si="32"/>
        <v>85b</v>
      </c>
      <c r="Q47" s="116">
        <f t="shared" si="5"/>
        <v>1</v>
      </c>
      <c r="R47" s="31" t="str">
        <f t="shared" si="6"/>
        <v>Edward James  LANE FOX</v>
      </c>
      <c r="S47" t="str">
        <f t="shared" si="7"/>
        <v>Edward LANE FOX (1939 - :  #85b)</v>
      </c>
      <c r="U47" s="116">
        <f t="shared" si="3"/>
        <v>85002</v>
      </c>
      <c r="V47" t="s">
        <v>1313</v>
      </c>
      <c r="W47" s="116">
        <f t="shared" si="19"/>
        <v>85</v>
      </c>
      <c r="X47" s="116" t="str">
        <f t="shared" si="8"/>
        <v>b</v>
      </c>
      <c r="Y47" s="116">
        <f>VLOOKUP(W47,'Loyd List 1-190 - Edit'!$P$1:$R$202,3,FALSE)</f>
        <v>56</v>
      </c>
      <c r="Z47" s="116"/>
      <c r="AB47" s="116"/>
    </row>
    <row r="48" spans="1:220">
      <c r="A48">
        <f>'All Girls &amp; Descendants'!B46</f>
        <v>85</v>
      </c>
      <c r="B48" t="str">
        <f>'All Girls &amp; Descendants'!C46</f>
        <v>85c</v>
      </c>
      <c r="C48" t="str">
        <f>'All Girls &amp; Descendants'!D46</f>
        <v>LANE FOX</v>
      </c>
      <c r="D48" t="str">
        <f>'All Girls &amp; Descendants'!E46</f>
        <v>Jenny</v>
      </c>
      <c r="E48" t="str">
        <f>IF('All Girls &amp; Descendants'!F46="","",'All Girls &amp; Descendants'!F46)</f>
        <v/>
      </c>
      <c r="F48" t="str">
        <f>IF('All Girls &amp; Descendants'!G46="","",'All Girls &amp; Descendants'!G46)</f>
        <v/>
      </c>
      <c r="G48" t="str">
        <f>IF('All Girls &amp; Descendants'!H46="",D48,'All Girls &amp; Descendants'!H46)</f>
        <v>Jenny</v>
      </c>
      <c r="H48">
        <f>'All Girls &amp; Descendants'!I46</f>
        <v>1944</v>
      </c>
      <c r="I48" t="str">
        <f>'All Girls &amp; Descendants'!J46</f>
        <v/>
      </c>
      <c r="K48" s="3">
        <f>'All Girls &amp; Descendants'!M46</f>
        <v>16435</v>
      </c>
      <c r="L48" s="3">
        <f>'All Girls &amp; Descendants'!N46</f>
        <v>28478</v>
      </c>
      <c r="M48" t="str">
        <f>'All Girls &amp; Descendants'!O46</f>
        <v/>
      </c>
      <c r="N48" t="str">
        <f>'All Girls &amp; Descendants'!P46</f>
        <v/>
      </c>
      <c r="O48" t="str">
        <f>'All Girls &amp; Descendants'!Q46</f>
        <v>85</v>
      </c>
      <c r="P48" t="str">
        <f t="shared" si="32"/>
        <v>85c</v>
      </c>
      <c r="Q48" s="116">
        <f t="shared" si="5"/>
        <v>1</v>
      </c>
      <c r="R48" s="31" t="str">
        <f t="shared" si="6"/>
        <v>Jenny   LANE FOX</v>
      </c>
      <c r="S48" t="str">
        <f t="shared" si="7"/>
        <v>Jenny LANE FOX (1944 - :  #85c)</v>
      </c>
      <c r="U48" s="116">
        <f t="shared" si="3"/>
        <v>85003</v>
      </c>
      <c r="V48" t="s">
        <v>1388</v>
      </c>
      <c r="W48" s="116">
        <f t="shared" si="19"/>
        <v>85</v>
      </c>
      <c r="X48" s="116" t="str">
        <f t="shared" si="8"/>
        <v>c</v>
      </c>
      <c r="Y48" s="116">
        <f>VLOOKUP(W48,'Loyd List 1-190 - Edit'!$P$1:$R$202,3,FALSE)</f>
        <v>56</v>
      </c>
      <c r="Z48" s="116"/>
      <c r="AB48" s="116"/>
    </row>
    <row r="49" spans="1:28">
      <c r="A49">
        <f>'All Girls &amp; Descendants'!B47</f>
        <v>85</v>
      </c>
      <c r="B49" t="str">
        <f>'All Girls &amp; Descendants'!C47</f>
        <v>85d</v>
      </c>
      <c r="C49" t="str">
        <f>'All Girls &amp; Descendants'!D47</f>
        <v>LANE FOX</v>
      </c>
      <c r="D49" t="str">
        <f>'All Girls &amp; Descendants'!E47</f>
        <v>Robin</v>
      </c>
      <c r="E49" t="str">
        <f>IF('All Girls &amp; Descendants'!F47="","",'All Girls &amp; Descendants'!F47)</f>
        <v>James</v>
      </c>
      <c r="F49" t="str">
        <f>IF('All Girls &amp; Descendants'!G47="","",'All Girls &amp; Descendants'!G47)</f>
        <v/>
      </c>
      <c r="G49" t="str">
        <f>IF('All Girls &amp; Descendants'!H47="",D49,'All Girls &amp; Descendants'!H47)</f>
        <v>Robin</v>
      </c>
      <c r="H49">
        <f>'All Girls &amp; Descendants'!I47</f>
        <v>1946</v>
      </c>
      <c r="I49" t="str">
        <f>'All Girls &amp; Descendants'!J47</f>
        <v/>
      </c>
      <c r="K49" s="3">
        <f>'All Girls &amp; Descendants'!M47</f>
        <v>17080</v>
      </c>
      <c r="L49" s="3">
        <f>'All Girls &amp; Descendants'!N47</f>
        <v>25745</v>
      </c>
      <c r="M49" t="str">
        <f>'All Girls &amp; Descendants'!O47</f>
        <v/>
      </c>
      <c r="N49" t="str">
        <f>'All Girls &amp; Descendants'!P47</f>
        <v/>
      </c>
      <c r="O49" t="str">
        <f>'All Girls &amp; Descendants'!Q47</f>
        <v>85</v>
      </c>
      <c r="P49" t="str">
        <f t="shared" si="32"/>
        <v>85d</v>
      </c>
      <c r="Q49" s="116">
        <f t="shared" si="5"/>
        <v>1</v>
      </c>
      <c r="R49" s="31" t="str">
        <f t="shared" si="6"/>
        <v>Robin James  LANE FOX</v>
      </c>
      <c r="S49" t="str">
        <f t="shared" si="7"/>
        <v>Robin LANE FOX (1946 - :  #85d)</v>
      </c>
      <c r="U49" s="116">
        <f t="shared" si="3"/>
        <v>85004</v>
      </c>
      <c r="V49" t="s">
        <v>1395</v>
      </c>
      <c r="W49" s="116">
        <f t="shared" si="19"/>
        <v>85</v>
      </c>
      <c r="X49" s="116" t="str">
        <f t="shared" si="8"/>
        <v>d</v>
      </c>
      <c r="Y49" s="116">
        <f>VLOOKUP(W49,'Loyd List 1-190 - Edit'!$P$1:$R$202,3,FALSE)</f>
        <v>56</v>
      </c>
      <c r="Z49" s="116"/>
      <c r="AB49" s="116"/>
    </row>
    <row r="50" spans="1:28">
      <c r="A50">
        <f>'All Girls &amp; Descendants'!B48</f>
        <v>88</v>
      </c>
      <c r="B50" t="str">
        <f>'All Girls &amp; Descendants'!C48</f>
        <v>88a</v>
      </c>
      <c r="C50" t="str">
        <f>'All Girls &amp; Descendants'!D48</f>
        <v>BAIRD</v>
      </c>
      <c r="D50" t="str">
        <f>'All Girls &amp; Descendants'!E48</f>
        <v>Lady Diana</v>
      </c>
      <c r="E50" t="str">
        <f>IF('All Girls &amp; Descendants'!F48="","",'All Girls &amp; Descendants'!F48)</f>
        <v>Elizabeth</v>
      </c>
      <c r="F50" t="str">
        <f>IF('All Girls &amp; Descendants'!G48="","",'All Girls &amp; Descendants'!G48)</f>
        <v>Virginia Sydney</v>
      </c>
      <c r="G50" t="str">
        <f>IF('All Girls &amp; Descendants'!H48="",D50,'All Girls &amp; Descendants'!H48)</f>
        <v>Lady Diana</v>
      </c>
      <c r="H50">
        <f>'All Girls &amp; Descendants'!I48</f>
        <v>1937</v>
      </c>
      <c r="I50" t="str">
        <f>'All Girls &amp; Descendants'!J48</f>
        <v/>
      </c>
      <c r="K50" s="3">
        <f>'All Girls &amp; Descendants'!M48</f>
        <v>13688</v>
      </c>
      <c r="L50" s="3">
        <f>'All Girls &amp; Descendants'!N48</f>
        <v>21021</v>
      </c>
      <c r="M50" t="str">
        <f>'All Girls &amp; Descendants'!O48</f>
        <v/>
      </c>
      <c r="N50" t="str">
        <f>'All Girls &amp; Descendants'!P48</f>
        <v/>
      </c>
      <c r="O50" t="str">
        <f>'All Girls &amp; Descendants'!Q48</f>
        <v>88</v>
      </c>
      <c r="P50" t="str">
        <f t="shared" si="32"/>
        <v>88a</v>
      </c>
      <c r="Q50" s="116">
        <f t="shared" si="5"/>
        <v>1</v>
      </c>
      <c r="R50" s="31" t="str">
        <f t="shared" si="6"/>
        <v>Lady Diana Elizabeth Virginia Sydney BAIRD</v>
      </c>
      <c r="S50" t="str">
        <f t="shared" si="7"/>
        <v>Lady Diana BAIRD (1937 - :  #88a)</v>
      </c>
      <c r="U50" s="116">
        <f t="shared" si="3"/>
        <v>88001</v>
      </c>
      <c r="V50" t="s">
        <v>1433</v>
      </c>
      <c r="W50" s="116">
        <f t="shared" si="19"/>
        <v>88</v>
      </c>
      <c r="X50" s="116" t="str">
        <f t="shared" si="8"/>
        <v>a</v>
      </c>
      <c r="Y50" s="116">
        <f>VLOOKUP(W50,'Loyd List 1-190 - Edit'!$P$1:$R$202,3,FALSE)</f>
        <v>66</v>
      </c>
      <c r="Z50" s="116"/>
      <c r="AB50" s="116"/>
    </row>
    <row r="51" spans="1:28">
      <c r="A51">
        <f>'All Girls &amp; Descendants'!B49</f>
        <v>88</v>
      </c>
      <c r="B51" t="str">
        <f>'All Girls &amp; Descendants'!C49</f>
        <v>88b</v>
      </c>
      <c r="C51" t="str">
        <f>'All Girls &amp; Descendants'!D49</f>
        <v>KEITH</v>
      </c>
      <c r="D51" t="str">
        <f>'All Girls &amp; Descendants'!E49</f>
        <v>Michael</v>
      </c>
      <c r="E51" t="str">
        <f>IF('All Girls &amp; Descendants'!F49="","",'All Girls &amp; Descendants'!F49)</f>
        <v>Canning</v>
      </c>
      <c r="F51" t="str">
        <f>IF('All Girls &amp; Descendants'!G49="","",'All Girls &amp; Descendants'!G49)</f>
        <v>William John</v>
      </c>
      <c r="G51" t="str">
        <f>IF('All Girls &amp; Descendants'!H49="",D51,'All Girls &amp; Descendants'!H49)</f>
        <v>Michael</v>
      </c>
      <c r="H51">
        <f>'All Girls &amp; Descendants'!I49</f>
        <v>1939</v>
      </c>
      <c r="I51">
        <f>'All Girls &amp; Descendants'!J49</f>
        <v>2004</v>
      </c>
      <c r="K51" s="3">
        <f>'All Girls &amp; Descendants'!M49</f>
        <v>14298</v>
      </c>
      <c r="L51" s="3">
        <f>'All Girls &amp; Descendants'!N49</f>
        <v>26581</v>
      </c>
      <c r="M51" t="str">
        <f>'All Girls &amp; Descendants'!O49</f>
        <v/>
      </c>
      <c r="N51" t="str">
        <f>'All Girls &amp; Descendants'!P49</f>
        <v/>
      </c>
      <c r="O51" t="str">
        <f>'All Girls &amp; Descendants'!Q49</f>
        <v>88</v>
      </c>
      <c r="P51" t="str">
        <f t="shared" si="32"/>
        <v>88b</v>
      </c>
      <c r="Q51" s="116">
        <f t="shared" si="5"/>
        <v>1</v>
      </c>
      <c r="R51" s="31" t="str">
        <f t="shared" si="6"/>
        <v>Michael Canning William John KEITH</v>
      </c>
      <c r="S51" t="str">
        <f t="shared" si="7"/>
        <v>Michael KEITH (1939 - 2004:  #88b)</v>
      </c>
      <c r="U51" s="116">
        <f t="shared" si="3"/>
        <v>88002</v>
      </c>
      <c r="V51" t="s">
        <v>1458</v>
      </c>
      <c r="W51" s="116">
        <f t="shared" si="19"/>
        <v>88</v>
      </c>
      <c r="X51" s="116" t="str">
        <f t="shared" si="8"/>
        <v>b</v>
      </c>
      <c r="Y51" s="116">
        <f>VLOOKUP(W51,'Loyd List 1-190 - Edit'!$P$1:$R$202,3,FALSE)</f>
        <v>66</v>
      </c>
      <c r="Z51" s="116"/>
      <c r="AB51" s="116"/>
    </row>
    <row r="52" spans="1:28">
      <c r="A52">
        <f>'All Girls &amp; Descendants'!B50</f>
        <v>88</v>
      </c>
      <c r="B52" t="str">
        <f>'All Girls &amp; Descendants'!C50</f>
        <v>88c</v>
      </c>
      <c r="C52" t="str">
        <f>'All Girls &amp; Descendants'!D50</f>
        <v>BAIRD</v>
      </c>
      <c r="D52" t="str">
        <f>'All Girls &amp; Descendants'!E50</f>
        <v>The Hon Alexander</v>
      </c>
      <c r="E52" t="str">
        <f>IF('All Girls &amp; Descendants'!F50="","",'All Girls &amp; Descendants'!F50)</f>
        <v>David</v>
      </c>
      <c r="F52" t="str">
        <f>IF('All Girls &amp; Descendants'!G50="","",'All Girls &amp; Descendants'!G50)</f>
        <v/>
      </c>
      <c r="G52" t="str">
        <f>IF('All Girls &amp; Descendants'!H50="",D52,'All Girls &amp; Descendants'!H50)</f>
        <v>The Hon Alexander</v>
      </c>
      <c r="H52">
        <f>'All Girls &amp; Descendants'!I50</f>
        <v>1946</v>
      </c>
      <c r="I52" t="str">
        <f>'All Girls &amp; Descendants'!J50</f>
        <v/>
      </c>
      <c r="K52" s="3">
        <f>'All Girls &amp; Descendants'!M50</f>
        <v>16913</v>
      </c>
      <c r="L52" s="3" t="str">
        <f>'All Girls &amp; Descendants'!N50</f>
        <v xml:space="preserve"> - </v>
      </c>
      <c r="M52" t="str">
        <f>'All Girls &amp; Descendants'!O50</f>
        <v/>
      </c>
      <c r="N52" t="str">
        <f>'All Girls &amp; Descendants'!P50</f>
        <v/>
      </c>
      <c r="O52" t="str">
        <f>'All Girls &amp; Descendants'!Q50</f>
        <v>88</v>
      </c>
      <c r="P52" t="str">
        <f t="shared" si="32"/>
        <v>88c</v>
      </c>
      <c r="Q52" s="116">
        <f t="shared" si="5"/>
        <v>1</v>
      </c>
      <c r="R52" s="31" t="str">
        <f t="shared" si="6"/>
        <v>The Hon Alexander David  BAIRD</v>
      </c>
      <c r="S52" t="str">
        <f t="shared" si="7"/>
        <v>The Hon Alexander BAIRD (1946 - :  #88c)</v>
      </c>
      <c r="U52" s="116">
        <f t="shared" si="3"/>
        <v>88003</v>
      </c>
      <c r="V52" t="s">
        <v>1467</v>
      </c>
      <c r="W52" s="116">
        <f t="shared" si="19"/>
        <v>88</v>
      </c>
      <c r="X52" s="116" t="str">
        <f t="shared" si="8"/>
        <v>c</v>
      </c>
      <c r="Y52" s="116">
        <f>VLOOKUP(W52,'Loyd List 1-190 - Edit'!$P$1:$R$202,3,FALSE)</f>
        <v>66</v>
      </c>
      <c r="Z52" s="116"/>
      <c r="AB52" s="116"/>
    </row>
    <row r="53" spans="1:28">
      <c r="A53">
        <f>'All Girls &amp; Descendants'!B51</f>
        <v>90</v>
      </c>
      <c r="B53" t="str">
        <f>'All Girls &amp; Descendants'!C51</f>
        <v>90a</v>
      </c>
      <c r="C53" t="str">
        <f>'All Girls &amp; Descendants'!D51</f>
        <v>MARSHAM-TOWNHEND</v>
      </c>
      <c r="D53" t="str">
        <f>'All Girls &amp; Descendants'!E51</f>
        <v>June</v>
      </c>
      <c r="E53" t="str">
        <f>IF('All Girls &amp; Descendants'!F51="","",'All Girls &amp; Descendants'!F51)</f>
        <v/>
      </c>
      <c r="F53" t="str">
        <f>IF('All Girls &amp; Descendants'!G51="","",'All Girls &amp; Descendants'!G51)</f>
        <v/>
      </c>
      <c r="G53" t="str">
        <f>IF('All Girls &amp; Descendants'!H51="",D53,'All Girls &amp; Descendants'!H51)</f>
        <v>June</v>
      </c>
      <c r="H53">
        <f>'All Girls &amp; Descendants'!I51</f>
        <v>1942</v>
      </c>
      <c r="I53" t="str">
        <f>'All Girls &amp; Descendants'!J51</f>
        <v/>
      </c>
      <c r="K53" s="3">
        <f>'All Girls &amp; Descendants'!M51</f>
        <v>15522</v>
      </c>
      <c r="L53" s="3">
        <f>'All Girls &amp; Descendants'!N51</f>
        <v>22815</v>
      </c>
      <c r="M53" t="str">
        <f>'All Girls &amp; Descendants'!O51</f>
        <v/>
      </c>
      <c r="N53" t="str">
        <f>'All Girls &amp; Descendants'!P51</f>
        <v/>
      </c>
      <c r="O53" t="str">
        <f>'All Girls &amp; Descendants'!Q51</f>
        <v>90</v>
      </c>
      <c r="P53" t="str">
        <f t="shared" si="32"/>
        <v>90a</v>
      </c>
      <c r="Q53" s="116">
        <f t="shared" si="5"/>
        <v>1</v>
      </c>
      <c r="R53" s="31" t="str">
        <f t="shared" si="6"/>
        <v>June   MARSHAM-TOWNHEND</v>
      </c>
      <c r="S53" t="str">
        <f t="shared" si="7"/>
        <v>June MARSHAM-TOWNHEND (1942 - :  #90a)</v>
      </c>
      <c r="U53" s="116">
        <f t="shared" si="3"/>
        <v>90001</v>
      </c>
      <c r="V53" t="s">
        <v>1471</v>
      </c>
      <c r="W53" s="116">
        <f t="shared" si="19"/>
        <v>90</v>
      </c>
      <c r="X53" s="116" t="str">
        <f t="shared" si="8"/>
        <v>a</v>
      </c>
      <c r="Y53" s="116">
        <f>VLOOKUP(W53,'Loyd List 1-190 - Edit'!$P$1:$R$202,3,FALSE)</f>
        <v>52</v>
      </c>
      <c r="Z53" s="116"/>
      <c r="AB53" s="116"/>
    </row>
    <row r="54" spans="1:28">
      <c r="A54">
        <f>'All Girls &amp; Descendants'!B52</f>
        <v>90</v>
      </c>
      <c r="B54" t="str">
        <f>'All Girls &amp; Descendants'!C52</f>
        <v>90b</v>
      </c>
      <c r="C54" t="str">
        <f>'All Girls &amp; Descendants'!D52</f>
        <v>MARSHAM-TOWNHEND</v>
      </c>
      <c r="D54" t="str">
        <f>'All Girls &amp; Descendants'!E52</f>
        <v>Susan</v>
      </c>
      <c r="E54" t="str">
        <f>IF('All Girls &amp; Descendants'!F52="","",'All Girls &amp; Descendants'!F52)</f>
        <v/>
      </c>
      <c r="F54" t="str">
        <f>IF('All Girls &amp; Descendants'!G52="","",'All Girls &amp; Descendants'!G52)</f>
        <v/>
      </c>
      <c r="G54" t="str">
        <f>IF('All Girls &amp; Descendants'!H52="",D54,'All Girls &amp; Descendants'!H52)</f>
        <v>Suki</v>
      </c>
      <c r="H54">
        <f>'All Girls &amp; Descendants'!I52</f>
        <v>1944</v>
      </c>
      <c r="I54" t="str">
        <f>'All Girls &amp; Descendants'!J52</f>
        <v/>
      </c>
      <c r="K54" s="3">
        <f>'All Girls &amp; Descendants'!M52</f>
        <v>16205</v>
      </c>
      <c r="L54" s="3">
        <f>'All Girls &amp; Descendants'!N52</f>
        <v>26324</v>
      </c>
      <c r="M54" t="str">
        <f>'All Girls &amp; Descendants'!O52</f>
        <v/>
      </c>
      <c r="N54" t="str">
        <f>'All Girls &amp; Descendants'!P52</f>
        <v/>
      </c>
      <c r="O54" t="str">
        <f>'All Girls &amp; Descendants'!Q52</f>
        <v>90</v>
      </c>
      <c r="P54" t="str">
        <f t="shared" si="32"/>
        <v>90b</v>
      </c>
      <c r="Q54" s="116">
        <f t="shared" si="5"/>
        <v>1</v>
      </c>
      <c r="R54" s="31" t="str">
        <f t="shared" si="6"/>
        <v>Susan   MARSHAM-TOWNHEND</v>
      </c>
      <c r="S54" t="str">
        <f t="shared" si="7"/>
        <v>Suki MARSHAM-TOWNHEND (1944 - :  #90b)</v>
      </c>
      <c r="U54" s="116">
        <f t="shared" si="3"/>
        <v>90002</v>
      </c>
      <c r="V54" t="s">
        <v>1474</v>
      </c>
      <c r="W54" s="116">
        <f t="shared" si="19"/>
        <v>90</v>
      </c>
      <c r="X54" s="116" t="str">
        <f t="shared" si="8"/>
        <v>b</v>
      </c>
      <c r="Y54" s="116">
        <f>VLOOKUP(W54,'Loyd List 1-190 - Edit'!$P$1:$R$202,3,FALSE)</f>
        <v>52</v>
      </c>
      <c r="Z54" s="116"/>
      <c r="AB54" s="116"/>
    </row>
    <row r="55" spans="1:28">
      <c r="A55">
        <f>'All Girls &amp; Descendants'!B53</f>
        <v>90</v>
      </c>
      <c r="B55" t="str">
        <f>'All Girls &amp; Descendants'!C53</f>
        <v>90c</v>
      </c>
      <c r="C55" t="str">
        <f>'All Girls &amp; Descendants'!D53</f>
        <v>CLARKE</v>
      </c>
      <c r="D55" t="str">
        <f>'All Girls &amp; Descendants'!E53</f>
        <v>Jonathan</v>
      </c>
      <c r="E55" t="str">
        <f>IF('All Girls &amp; Descendants'!F53="","",'All Girls &amp; Descendants'!F53)</f>
        <v>Edmund</v>
      </c>
      <c r="F55" t="str">
        <f>IF('All Girls &amp; Descendants'!G53="","",'All Girls &amp; Descendants'!G53)</f>
        <v>Stephenson</v>
      </c>
      <c r="G55" t="str">
        <f>IF('All Girls &amp; Descendants'!H53="",D55,'All Girls &amp; Descendants'!H53)</f>
        <v>Jonathan</v>
      </c>
      <c r="H55">
        <f>'All Girls &amp; Descendants'!I53</f>
        <v>1950</v>
      </c>
      <c r="I55" t="str">
        <f>'All Girls &amp; Descendants'!J53</f>
        <v/>
      </c>
      <c r="K55" s="3">
        <f>'All Girls &amp; Descendants'!M53</f>
        <v>18281</v>
      </c>
      <c r="L55" s="3">
        <f>'All Girls &amp; Descendants'!N53</f>
        <v>26815</v>
      </c>
      <c r="M55" t="str">
        <f>'All Girls &amp; Descendants'!O53</f>
        <v/>
      </c>
      <c r="N55" t="str">
        <f>'All Girls &amp; Descendants'!P53</f>
        <v/>
      </c>
      <c r="O55" t="str">
        <f>'All Girls &amp; Descendants'!Q53</f>
        <v>90</v>
      </c>
      <c r="P55" t="str">
        <f t="shared" si="32"/>
        <v>90c</v>
      </c>
      <c r="Q55" s="116">
        <f t="shared" si="5"/>
        <v>1</v>
      </c>
      <c r="R55" s="31" t="str">
        <f t="shared" si="6"/>
        <v>Jonathan Edmund Stephenson CLARKE</v>
      </c>
      <c r="S55" t="str">
        <f t="shared" si="7"/>
        <v>Jonathan CLARKE (1950 - :  #90c)</v>
      </c>
      <c r="U55" s="116">
        <f t="shared" si="3"/>
        <v>90003</v>
      </c>
      <c r="V55" t="s">
        <v>1485</v>
      </c>
      <c r="W55" s="116">
        <f t="shared" si="19"/>
        <v>90</v>
      </c>
      <c r="X55" s="116" t="str">
        <f t="shared" si="8"/>
        <v>c</v>
      </c>
      <c r="Y55" s="116">
        <f>VLOOKUP(W55,'Loyd List 1-190 - Edit'!$P$1:$R$202,3,FALSE)</f>
        <v>52</v>
      </c>
      <c r="Z55" s="116"/>
      <c r="AB55" s="116"/>
    </row>
    <row r="56" spans="1:28">
      <c r="A56">
        <f>'All Girls &amp; Descendants'!B54</f>
        <v>92</v>
      </c>
      <c r="B56" t="str">
        <f>'All Girls &amp; Descendants'!C54</f>
        <v>92a</v>
      </c>
      <c r="C56" t="str">
        <f>'All Girls &amp; Descendants'!D54</f>
        <v>TATTON-BROWN</v>
      </c>
      <c r="D56" t="str">
        <f>'All Girls &amp; Descendants'!E54</f>
        <v>Timothy</v>
      </c>
      <c r="E56" t="str">
        <f>IF('All Girls &amp; Descendants'!F54="","",'All Girls &amp; Descendants'!F54)</f>
        <v>William</v>
      </c>
      <c r="F56" t="str">
        <f>IF('All Girls &amp; Descendants'!G54="","",'All Girls &amp; Descendants'!G54)</f>
        <v>Trelawny</v>
      </c>
      <c r="G56" t="str">
        <f>IF('All Girls &amp; Descendants'!H54="",D56,'All Girls &amp; Descendants'!H54)</f>
        <v>Tim</v>
      </c>
      <c r="H56">
        <f>'All Girls &amp; Descendants'!I54</f>
        <v>1947</v>
      </c>
      <c r="I56" t="str">
        <f>'All Girls &amp; Descendants'!J54</f>
        <v/>
      </c>
      <c r="K56" s="3">
        <f>'All Girls &amp; Descendants'!M54</f>
        <v>17201</v>
      </c>
      <c r="L56" s="3">
        <f>'All Girls &amp; Descendants'!N54</f>
        <v>28875</v>
      </c>
      <c r="M56" t="str">
        <f>'All Girls &amp; Descendants'!O54</f>
        <v/>
      </c>
      <c r="N56" t="str">
        <f>'All Girls &amp; Descendants'!P54</f>
        <v/>
      </c>
      <c r="O56" t="str">
        <f>'All Girls &amp; Descendants'!Q54</f>
        <v>92</v>
      </c>
      <c r="P56" t="str">
        <f t="shared" si="32"/>
        <v>92a</v>
      </c>
      <c r="Q56" s="116">
        <f t="shared" si="5"/>
        <v>1</v>
      </c>
      <c r="R56" s="31" t="str">
        <f t="shared" si="6"/>
        <v>Timothy William Trelawny TATTON-BROWN</v>
      </c>
      <c r="S56" t="str">
        <f t="shared" si="7"/>
        <v>Tim TATTON-BROWN (1947 - :  #92a)</v>
      </c>
      <c r="U56" s="116">
        <f t="shared" si="3"/>
        <v>92001</v>
      </c>
      <c r="V56" t="s">
        <v>1498</v>
      </c>
      <c r="W56" s="116">
        <f t="shared" si="19"/>
        <v>92</v>
      </c>
      <c r="X56" s="116" t="str">
        <f t="shared" si="8"/>
        <v>a</v>
      </c>
      <c r="Y56" s="116">
        <f>VLOOKUP(W56,'Loyd List 1-190 - Edit'!$P$1:$R$202,3,FALSE)</f>
        <v>54</v>
      </c>
      <c r="Z56" s="116"/>
      <c r="AB56" s="116"/>
    </row>
    <row r="57" spans="1:28">
      <c r="A57">
        <f>'All Girls &amp; Descendants'!B55</f>
        <v>92</v>
      </c>
      <c r="B57" t="str">
        <f>'All Girls &amp; Descendants'!C55</f>
        <v>92b</v>
      </c>
      <c r="C57" t="str">
        <f>'All Girls &amp; Descendants'!D55</f>
        <v>TATTON-BROWN</v>
      </c>
      <c r="D57" t="str">
        <f>'All Girls &amp; Descendants'!E55</f>
        <v>Giles</v>
      </c>
      <c r="E57" t="str">
        <f>IF('All Girls &amp; Descendants'!F55="","",'All Girls &amp; Descendants'!F55)</f>
        <v>Eden</v>
      </c>
      <c r="F57" t="str">
        <f>IF('All Girls &amp; Descendants'!G55="","",'All Girls &amp; Descendants'!G55)</f>
        <v/>
      </c>
      <c r="G57" t="str">
        <f>IF('All Girls &amp; Descendants'!H55="",D57,'All Girls &amp; Descendants'!H55)</f>
        <v>Giles</v>
      </c>
      <c r="H57">
        <f>'All Girls &amp; Descendants'!I55</f>
        <v>1948</v>
      </c>
      <c r="I57" t="str">
        <f>'All Girls &amp; Descendants'!J55</f>
        <v/>
      </c>
      <c r="K57" s="3">
        <f>'All Girls &amp; Descendants'!M55</f>
        <v>17827</v>
      </c>
      <c r="L57" s="3" t="str">
        <f>'All Girls &amp; Descendants'!N55</f>
        <v xml:space="preserve"> - </v>
      </c>
      <c r="M57" t="str">
        <f>'All Girls &amp; Descendants'!O55</f>
        <v/>
      </c>
      <c r="N57" t="str">
        <f>'All Girls &amp; Descendants'!P55</f>
        <v/>
      </c>
      <c r="O57" t="str">
        <f>'All Girls &amp; Descendants'!Q55</f>
        <v>92</v>
      </c>
      <c r="P57" t="str">
        <f t="shared" si="32"/>
        <v>92b</v>
      </c>
      <c r="Q57" s="116">
        <f t="shared" si="5"/>
        <v>1</v>
      </c>
      <c r="R57" s="31" t="str">
        <f t="shared" si="6"/>
        <v>Giles Eden  TATTON-BROWN</v>
      </c>
      <c r="S57" t="str">
        <f t="shared" si="7"/>
        <v>Giles TATTON-BROWN (1948 - :  #92b)</v>
      </c>
      <c r="U57" s="116">
        <f t="shared" si="3"/>
        <v>92002</v>
      </c>
      <c r="V57" t="s">
        <v>1503</v>
      </c>
      <c r="W57" s="116">
        <f t="shared" si="19"/>
        <v>92</v>
      </c>
      <c r="X57" s="116" t="str">
        <f t="shared" si="8"/>
        <v>b</v>
      </c>
      <c r="Y57" s="116">
        <f>VLOOKUP(W57,'Loyd List 1-190 - Edit'!$P$1:$R$202,3,FALSE)</f>
        <v>54</v>
      </c>
      <c r="Z57" s="116"/>
      <c r="AB57" s="116"/>
    </row>
    <row r="58" spans="1:28">
      <c r="A58">
        <f>'All Girls &amp; Descendants'!B56</f>
        <v>92</v>
      </c>
      <c r="B58" t="str">
        <f>'All Girls &amp; Descendants'!C56</f>
        <v>92c</v>
      </c>
      <c r="C58" t="str">
        <f>'All Girls &amp; Descendants'!D56</f>
        <v>TATTON-BROWN</v>
      </c>
      <c r="D58" t="str">
        <f>'All Girls &amp; Descendants'!E56</f>
        <v>Anthea</v>
      </c>
      <c r="E58" t="str">
        <f>IF('All Girls &amp; Descendants'!F56="","",'All Girls &amp; Descendants'!F56)</f>
        <v>Mary</v>
      </c>
      <c r="F58" t="str">
        <f>IF('All Girls &amp; Descendants'!G56="","",'All Girls &amp; Descendants'!G56)</f>
        <v/>
      </c>
      <c r="G58" t="str">
        <f>IF('All Girls &amp; Descendants'!H56="",D58,'All Girls &amp; Descendants'!H56)</f>
        <v>Anthea</v>
      </c>
      <c r="H58">
        <f>'All Girls &amp; Descendants'!I56</f>
        <v>1951</v>
      </c>
      <c r="I58" t="str">
        <f>'All Girls &amp; Descendants'!J56</f>
        <v/>
      </c>
      <c r="K58" s="3">
        <f>'All Girls &amp; Descendants'!M56</f>
        <v>18958</v>
      </c>
      <c r="L58" s="3" t="str">
        <f>'All Girls &amp; Descendants'!N56</f>
        <v xml:space="preserve"> - </v>
      </c>
      <c r="M58" t="str">
        <f>'All Girls &amp; Descendants'!O56</f>
        <v/>
      </c>
      <c r="N58" t="str">
        <f>'All Girls &amp; Descendants'!P56</f>
        <v/>
      </c>
      <c r="O58" t="str">
        <f>'All Girls &amp; Descendants'!Q56</f>
        <v>92</v>
      </c>
      <c r="P58" t="str">
        <f t="shared" si="32"/>
        <v>92c</v>
      </c>
      <c r="Q58" s="116">
        <f t="shared" si="5"/>
        <v>1</v>
      </c>
      <c r="R58" s="31" t="str">
        <f t="shared" si="6"/>
        <v>Anthea Mary  TATTON-BROWN</v>
      </c>
      <c r="S58" t="str">
        <f t="shared" si="7"/>
        <v>Anthea TATTON-BROWN (1951 - :  #92c)</v>
      </c>
      <c r="U58" s="116">
        <f t="shared" si="3"/>
        <v>92003</v>
      </c>
      <c r="V58" t="s">
        <v>1520</v>
      </c>
      <c r="W58" s="116">
        <f t="shared" si="19"/>
        <v>92</v>
      </c>
      <c r="X58" s="116" t="str">
        <f t="shared" si="8"/>
        <v>c</v>
      </c>
      <c r="Y58" s="116">
        <f>VLOOKUP(W58,'Loyd List 1-190 - Edit'!$P$1:$R$202,3,FALSE)</f>
        <v>54</v>
      </c>
      <c r="Z58" s="116"/>
      <c r="AB58" s="116"/>
    </row>
    <row r="59" spans="1:28">
      <c r="A59">
        <f>'All Girls &amp; Descendants'!B57</f>
        <v>92</v>
      </c>
      <c r="B59" t="str">
        <f>'All Girls &amp; Descendants'!C57</f>
        <v>92d</v>
      </c>
      <c r="C59" t="str">
        <f>'All Girls &amp; Descendants'!D57</f>
        <v>TATTON-BROWN</v>
      </c>
      <c r="D59" t="str">
        <f>'All Girls &amp; Descendants'!E57</f>
        <v>Frances</v>
      </c>
      <c r="E59" t="str">
        <f>IF('All Girls &amp; Descendants'!F57="","",'All Girls &amp; Descendants'!F57)</f>
        <v>Maud</v>
      </c>
      <c r="F59" t="str">
        <f>IF('All Girls &amp; Descendants'!G57="","",'All Girls &amp; Descendants'!G57)</f>
        <v/>
      </c>
      <c r="G59" t="str">
        <f>IF('All Girls &amp; Descendants'!H57="",D59,'All Girls &amp; Descendants'!H57)</f>
        <v>Fanny</v>
      </c>
      <c r="H59">
        <f>'All Girls &amp; Descendants'!I57</f>
        <v>1954</v>
      </c>
      <c r="I59" t="str">
        <f>'All Girls &amp; Descendants'!J57</f>
        <v/>
      </c>
      <c r="K59" s="3">
        <f>'All Girls &amp; Descendants'!M57</f>
        <v>19725</v>
      </c>
      <c r="L59" s="3" t="str">
        <f>'All Girls &amp; Descendants'!N57</f>
        <v xml:space="preserve"> - </v>
      </c>
      <c r="M59" t="str">
        <f>'All Girls &amp; Descendants'!O57</f>
        <v/>
      </c>
      <c r="N59" t="str">
        <f>'All Girls &amp; Descendants'!P57</f>
        <v/>
      </c>
      <c r="O59" t="str">
        <f>'All Girls &amp; Descendants'!Q57</f>
        <v>92</v>
      </c>
      <c r="P59" t="str">
        <f t="shared" si="32"/>
        <v>92d</v>
      </c>
      <c r="Q59" s="116">
        <f t="shared" si="5"/>
        <v>1</v>
      </c>
      <c r="R59" s="31" t="str">
        <f t="shared" si="6"/>
        <v>Frances Maud  TATTON-BROWN</v>
      </c>
      <c r="S59" t="str">
        <f t="shared" si="7"/>
        <v>Fanny TATTON-BROWN (1954 - :  #92d)</v>
      </c>
      <c r="U59" s="116">
        <f t="shared" si="3"/>
        <v>92004</v>
      </c>
      <c r="V59" t="s">
        <v>1521</v>
      </c>
      <c r="W59" s="116">
        <f t="shared" si="19"/>
        <v>92</v>
      </c>
      <c r="X59" s="116" t="str">
        <f t="shared" si="8"/>
        <v>d</v>
      </c>
      <c r="Y59" s="116">
        <f>VLOOKUP(W59,'Loyd List 1-190 - Edit'!$P$1:$R$202,3,FALSE)</f>
        <v>54</v>
      </c>
      <c r="Z59" s="116"/>
      <c r="AB59" s="116"/>
    </row>
    <row r="60" spans="1:28">
      <c r="A60">
        <f>'All Girls &amp; Descendants'!B58</f>
        <v>95</v>
      </c>
      <c r="B60" t="str">
        <f>'All Girls &amp; Descendants'!C58</f>
        <v>95a</v>
      </c>
      <c r="C60" t="str">
        <f>'All Girls &amp; Descendants'!D58</f>
        <v>KNIGHT</v>
      </c>
      <c r="D60" t="str">
        <f>'All Girls &amp; Descendants'!E58</f>
        <v>Henrietta</v>
      </c>
      <c r="E60" t="str">
        <f>IF('All Girls &amp; Descendants'!F58="","",'All Girls &amp; Descendants'!F58)</f>
        <v>Catherine</v>
      </c>
      <c r="F60" t="str">
        <f>IF('All Girls &amp; Descendants'!G58="","",'All Girls &amp; Descendants'!G58)</f>
        <v/>
      </c>
      <c r="G60" t="str">
        <f>IF('All Girls &amp; Descendants'!H58="",D60,'All Girls &amp; Descendants'!H58)</f>
        <v>Henrietta</v>
      </c>
      <c r="H60">
        <f>'All Girls &amp; Descendants'!I58</f>
        <v>1946</v>
      </c>
      <c r="I60" t="str">
        <f>'All Girls &amp; Descendants'!J58</f>
        <v/>
      </c>
      <c r="K60" s="3">
        <f>'All Girls &amp; Descendants'!M58</f>
        <v>17151</v>
      </c>
      <c r="L60" s="3" t="str">
        <f>'All Girls &amp; Descendants'!N58</f>
        <v xml:space="preserve"> - </v>
      </c>
      <c r="M60" t="str">
        <f>'All Girls &amp; Descendants'!O58</f>
        <v/>
      </c>
      <c r="N60" t="str">
        <f>'All Girls &amp; Descendants'!P58</f>
        <v/>
      </c>
      <c r="O60" t="str">
        <f>'All Girls &amp; Descendants'!Q58</f>
        <v>95</v>
      </c>
      <c r="P60" t="str">
        <f t="shared" si="32"/>
        <v>95a</v>
      </c>
      <c r="Q60" s="116">
        <f t="shared" si="5"/>
        <v>1</v>
      </c>
      <c r="R60" s="31" t="str">
        <f t="shared" si="6"/>
        <v>Henrietta Catherine  KNIGHT</v>
      </c>
      <c r="S60" t="str">
        <f t="shared" si="7"/>
        <v>Henrietta KNIGHT (1946 - :  #95a)</v>
      </c>
      <c r="U60" s="116">
        <f t="shared" si="3"/>
        <v>95001</v>
      </c>
      <c r="V60" t="s">
        <v>1529</v>
      </c>
      <c r="W60" s="116">
        <f t="shared" si="19"/>
        <v>95</v>
      </c>
      <c r="X60" s="116" t="str">
        <f t="shared" si="8"/>
        <v>a</v>
      </c>
      <c r="Y60" s="116">
        <f>VLOOKUP(W60,'Loyd List 1-190 - Edit'!$P$1:$R$202,3,FALSE)</f>
        <v>56</v>
      </c>
      <c r="Z60" s="116"/>
      <c r="AB60" s="116"/>
    </row>
    <row r="61" spans="1:28">
      <c r="A61">
        <f>'All Girls &amp; Descendants'!B59</f>
        <v>95</v>
      </c>
      <c r="B61" t="str">
        <f>'All Girls &amp; Descendants'!C59</f>
        <v>95b</v>
      </c>
      <c r="C61" t="str">
        <f>'All Girls &amp; Descendants'!D59</f>
        <v>KNIGHT</v>
      </c>
      <c r="D61" t="str">
        <f>'All Girls &amp; Descendants'!E59</f>
        <v>Celia</v>
      </c>
      <c r="E61" t="str">
        <f>IF('All Girls &amp; Descendants'!F59="","",'All Girls &amp; Descendants'!F59)</f>
        <v>Elizabeth</v>
      </c>
      <c r="F61" t="str">
        <f>IF('All Girls &amp; Descendants'!G59="","",'All Girls &amp; Descendants'!G59)</f>
        <v/>
      </c>
      <c r="G61" t="str">
        <f>IF('All Girls &amp; Descendants'!H59="",D61,'All Girls &amp; Descendants'!H59)</f>
        <v>Ce-Ce</v>
      </c>
      <c r="H61">
        <f>'All Girls &amp; Descendants'!I59</f>
        <v>1949</v>
      </c>
      <c r="I61">
        <f>'All Girls &amp; Descendants'!J59</f>
        <v>2020</v>
      </c>
      <c r="K61" s="3">
        <f>'All Girls &amp; Descendants'!M59</f>
        <v>18182</v>
      </c>
      <c r="L61" s="3">
        <f>'All Girls &amp; Descendants'!N59</f>
        <v>29942</v>
      </c>
      <c r="M61">
        <f>'All Girls &amp; Descendants'!O59</f>
        <v>44163</v>
      </c>
      <c r="N61" t="str">
        <f>'All Girls &amp; Descendants'!P59</f>
        <v>28/11/2020</v>
      </c>
      <c r="O61" t="str">
        <f>'All Girls &amp; Descendants'!Q59</f>
        <v>95</v>
      </c>
      <c r="P61" t="str">
        <f t="shared" si="32"/>
        <v>95b</v>
      </c>
      <c r="Q61" s="116">
        <f t="shared" si="5"/>
        <v>1</v>
      </c>
      <c r="R61" s="31" t="str">
        <f t="shared" si="6"/>
        <v>Celia Elizabeth  KNIGHT</v>
      </c>
      <c r="S61" t="str">
        <f t="shared" si="7"/>
        <v>Ce-Ce KNIGHT (1949 - 2020:  #95b)</v>
      </c>
      <c r="U61" s="116">
        <f t="shared" si="3"/>
        <v>95002</v>
      </c>
      <c r="V61" t="s">
        <v>1530</v>
      </c>
      <c r="W61" s="116">
        <f t="shared" si="19"/>
        <v>95</v>
      </c>
      <c r="X61" s="116" t="str">
        <f t="shared" si="8"/>
        <v>b</v>
      </c>
      <c r="Y61" s="116">
        <f>VLOOKUP(W61,'Loyd List 1-190 - Edit'!$P$1:$R$202,3,FALSE)</f>
        <v>56</v>
      </c>
      <c r="Z61" s="116"/>
      <c r="AB61" s="116"/>
    </row>
    <row r="62" spans="1:28">
      <c r="A62">
        <f>'All Girls &amp; Descendants'!B60</f>
        <v>97</v>
      </c>
      <c r="B62" t="str">
        <f>'All Girls &amp; Descendants'!C60</f>
        <v>97a</v>
      </c>
      <c r="C62" t="str">
        <f>'All Girls &amp; Descendants'!D60</f>
        <v>SALE</v>
      </c>
      <c r="D62" t="str">
        <f>'All Girls &amp; Descendants'!E60</f>
        <v>Julian</v>
      </c>
      <c r="E62" t="str">
        <f>IF('All Girls &amp; Descendants'!F60="","",'All Girls &amp; Descendants'!F60)</f>
        <v>Edward</v>
      </c>
      <c r="F62" t="str">
        <f>IF('All Girls &amp; Descendants'!G60="","",'All Girls &amp; Descendants'!G60)</f>
        <v>Loyd</v>
      </c>
      <c r="G62" t="str">
        <f>IF('All Girls &amp; Descendants'!H60="",D62,'All Girls &amp; Descendants'!H60)</f>
        <v>Julian</v>
      </c>
      <c r="H62">
        <f>'All Girls &amp; Descendants'!I60</f>
        <v>1951</v>
      </c>
      <c r="I62" t="str">
        <f>'All Girls &amp; Descendants'!J60</f>
        <v/>
      </c>
      <c r="K62" s="3">
        <f>'All Girls &amp; Descendants'!M60</f>
        <v>18979</v>
      </c>
      <c r="L62" s="3" t="str">
        <f>'All Girls &amp; Descendants'!N60</f>
        <v xml:space="preserve"> - </v>
      </c>
      <c r="M62" t="str">
        <f>'All Girls &amp; Descendants'!O60</f>
        <v/>
      </c>
      <c r="N62" t="str">
        <f>'All Girls &amp; Descendants'!P60</f>
        <v/>
      </c>
      <c r="O62" t="str">
        <f>'All Girls &amp; Descendants'!Q60</f>
        <v>97</v>
      </c>
      <c r="P62" t="str">
        <f t="shared" si="32"/>
        <v>97a</v>
      </c>
      <c r="Q62" s="116">
        <f t="shared" si="5"/>
        <v>1</v>
      </c>
      <c r="R62" s="31" t="str">
        <f t="shared" si="6"/>
        <v>Julian Edward Loyd SALE</v>
      </c>
      <c r="S62" t="str">
        <f t="shared" si="7"/>
        <v>Julian SALE (1951 - :  #97a)</v>
      </c>
      <c r="U62" s="116">
        <f t="shared" si="3"/>
        <v>97001</v>
      </c>
      <c r="V62" t="s">
        <v>1542</v>
      </c>
      <c r="W62" s="116">
        <f t="shared" si="19"/>
        <v>97</v>
      </c>
      <c r="X62" s="116" t="str">
        <f t="shared" si="8"/>
        <v>a</v>
      </c>
      <c r="Y62" s="116">
        <f>VLOOKUP(W62,'Loyd List 1-190 - Edit'!$P$1:$R$202,3,FALSE)</f>
        <v>53</v>
      </c>
      <c r="Z62" s="116"/>
      <c r="AB62" s="116"/>
    </row>
    <row r="63" spans="1:28">
      <c r="A63">
        <f>'All Girls &amp; Descendants'!B61</f>
        <v>97</v>
      </c>
      <c r="B63" t="str">
        <f>'All Girls &amp; Descendants'!C61</f>
        <v>97b</v>
      </c>
      <c r="C63" t="str">
        <f>'All Girls &amp; Descendants'!D61</f>
        <v>SALE</v>
      </c>
      <c r="D63" t="str">
        <f>'All Girls &amp; Descendants'!E61</f>
        <v>Iona</v>
      </c>
      <c r="E63" t="str">
        <f>IF('All Girls &amp; Descendants'!F61="","",'All Girls &amp; Descendants'!F61)</f>
        <v>Marian</v>
      </c>
      <c r="F63" t="str">
        <f>IF('All Girls &amp; Descendants'!G61="","",'All Girls &amp; Descendants'!G61)</f>
        <v/>
      </c>
      <c r="G63" t="str">
        <f>IF('All Girls &amp; Descendants'!H61="",D63,'All Girls &amp; Descendants'!H61)</f>
        <v>Iona</v>
      </c>
      <c r="H63">
        <f>'All Girls &amp; Descendants'!I61</f>
        <v>1954</v>
      </c>
      <c r="I63" t="str">
        <f>'All Girls &amp; Descendants'!J61</f>
        <v/>
      </c>
      <c r="K63" s="3">
        <f>'All Girls &amp; Descendants'!M61</f>
        <v>19805</v>
      </c>
      <c r="L63" s="3" t="str">
        <f>'All Girls &amp; Descendants'!N61</f>
        <v xml:space="preserve"> - </v>
      </c>
      <c r="M63" t="str">
        <f>'All Girls &amp; Descendants'!O61</f>
        <v/>
      </c>
      <c r="N63" t="str">
        <f>'All Girls &amp; Descendants'!P61</f>
        <v/>
      </c>
      <c r="O63" t="str">
        <f>'All Girls &amp; Descendants'!Q61</f>
        <v>97</v>
      </c>
      <c r="P63" t="str">
        <f t="shared" si="32"/>
        <v>97b</v>
      </c>
      <c r="Q63" s="116">
        <f t="shared" si="5"/>
        <v>1</v>
      </c>
      <c r="R63" s="31" t="str">
        <f t="shared" si="6"/>
        <v>Iona Marian  SALE</v>
      </c>
      <c r="S63" t="str">
        <f t="shared" si="7"/>
        <v>Iona SALE (1954 - :  #97b)</v>
      </c>
      <c r="U63" s="116">
        <f t="shared" si="3"/>
        <v>97002</v>
      </c>
      <c r="V63" t="s">
        <v>1547</v>
      </c>
      <c r="W63" s="116">
        <f t="shared" si="19"/>
        <v>97</v>
      </c>
      <c r="X63" s="116" t="str">
        <f t="shared" si="8"/>
        <v>b</v>
      </c>
      <c r="Y63" s="116">
        <f>VLOOKUP(W63,'Loyd List 1-190 - Edit'!$P$1:$R$202,3,FALSE)</f>
        <v>53</v>
      </c>
      <c r="Z63" s="116"/>
      <c r="AB63" s="116"/>
    </row>
    <row r="64" spans="1:28">
      <c r="A64">
        <f>'All Girls &amp; Descendants'!B62</f>
        <v>97</v>
      </c>
      <c r="B64" t="str">
        <f>'All Girls &amp; Descendants'!C62</f>
        <v>97c</v>
      </c>
      <c r="C64" t="str">
        <f>'All Girls &amp; Descendants'!D62</f>
        <v>SALE</v>
      </c>
      <c r="D64" t="str">
        <f>'All Girls &amp; Descendants'!E62</f>
        <v>Charles</v>
      </c>
      <c r="E64" t="str">
        <f>IF('All Girls &amp; Descendants'!F62="","",'All Girls &amp; Descendants'!F62)</f>
        <v>Robert</v>
      </c>
      <c r="F64" t="str">
        <f>IF('All Girls &amp; Descendants'!G62="","",'All Girls &amp; Descendants'!G62)</f>
        <v/>
      </c>
      <c r="G64" t="str">
        <f>IF('All Girls &amp; Descendants'!H62="",D64,'All Girls &amp; Descendants'!H62)</f>
        <v>Charles</v>
      </c>
      <c r="H64">
        <f>'All Girls &amp; Descendants'!I62</f>
        <v>1956</v>
      </c>
      <c r="I64">
        <f>'All Girls &amp; Descendants'!J62</f>
        <v>1957</v>
      </c>
      <c r="K64" s="3">
        <f>'All Girls &amp; Descendants'!M62</f>
        <v>20710</v>
      </c>
      <c r="L64" s="3" t="str">
        <f>'All Girls &amp; Descendants'!N62</f>
        <v xml:space="preserve"> - </v>
      </c>
      <c r="M64">
        <f>'All Girls &amp; Descendants'!O62</f>
        <v>21047</v>
      </c>
      <c r="N64" t="str">
        <f>'All Girls &amp; Descendants'!P62</f>
        <v>15/08/1957</v>
      </c>
      <c r="O64" t="str">
        <f>'All Girls &amp; Descendants'!Q62</f>
        <v>97</v>
      </c>
      <c r="P64" t="str">
        <f t="shared" si="32"/>
        <v>97c</v>
      </c>
      <c r="Q64" s="116">
        <f t="shared" si="5"/>
        <v>1</v>
      </c>
      <c r="R64" s="31" t="str">
        <f t="shared" si="6"/>
        <v>Charles Robert  SALE</v>
      </c>
      <c r="S64" t="str">
        <f t="shared" si="7"/>
        <v>Charles SALE (1956 - 1957:  #97c)</v>
      </c>
      <c r="U64" s="116">
        <f t="shared" si="3"/>
        <v>97003</v>
      </c>
      <c r="V64" t="s">
        <v>1548</v>
      </c>
      <c r="W64" s="116">
        <f t="shared" si="19"/>
        <v>97</v>
      </c>
      <c r="X64" s="116" t="str">
        <f t="shared" si="8"/>
        <v>c</v>
      </c>
      <c r="Y64" s="116">
        <f>VLOOKUP(W64,'Loyd List 1-190 - Edit'!$P$1:$R$202,3,FALSE)</f>
        <v>53</v>
      </c>
      <c r="Z64" s="116"/>
      <c r="AB64" s="116"/>
    </row>
    <row r="65" spans="1:28">
      <c r="A65">
        <f>'All Girls &amp; Descendants'!B63</f>
        <v>97</v>
      </c>
      <c r="B65" t="str">
        <f>'All Girls &amp; Descendants'!C63</f>
        <v>97d</v>
      </c>
      <c r="C65" t="str">
        <f>'All Girls &amp; Descendants'!D63</f>
        <v>SALE</v>
      </c>
      <c r="D65" t="str">
        <f>'All Girls &amp; Descendants'!E63</f>
        <v>Roderick</v>
      </c>
      <c r="E65" t="str">
        <f>IF('All Girls &amp; Descendants'!F63="","",'All Girls &amp; Descendants'!F63)</f>
        <v>Peter</v>
      </c>
      <c r="F65" t="str">
        <f>IF('All Girls &amp; Descendants'!G63="","",'All Girls &amp; Descendants'!G63)</f>
        <v>Abell</v>
      </c>
      <c r="G65" t="str">
        <f>IF('All Girls &amp; Descendants'!H63="",D65,'All Girls &amp; Descendants'!H63)</f>
        <v>Roddy</v>
      </c>
      <c r="H65">
        <f>'All Girls &amp; Descendants'!I63</f>
        <v>1959</v>
      </c>
      <c r="I65" t="str">
        <f>'All Girls &amp; Descendants'!J63</f>
        <v/>
      </c>
      <c r="K65" s="3">
        <f>'All Girls &amp; Descendants'!M63</f>
        <v>21654</v>
      </c>
      <c r="L65" s="3" t="str">
        <f>'All Girls &amp; Descendants'!N63</f>
        <v xml:space="preserve"> - </v>
      </c>
      <c r="M65" t="str">
        <f>'All Girls &amp; Descendants'!O63</f>
        <v/>
      </c>
      <c r="N65" t="str">
        <f>'All Girls &amp; Descendants'!P63</f>
        <v/>
      </c>
      <c r="O65" t="str">
        <f>'All Girls &amp; Descendants'!Q63</f>
        <v>97</v>
      </c>
      <c r="P65" t="str">
        <f t="shared" si="32"/>
        <v>97d</v>
      </c>
      <c r="Q65" s="116">
        <f t="shared" si="5"/>
        <v>1</v>
      </c>
      <c r="R65" s="31" t="str">
        <f t="shared" si="6"/>
        <v>Roderick Peter Abell SALE</v>
      </c>
      <c r="S65" t="str">
        <f t="shared" si="7"/>
        <v>Roddy SALE (1959 - :  #97d)</v>
      </c>
      <c r="U65" s="116">
        <f t="shared" si="3"/>
        <v>97004</v>
      </c>
      <c r="V65" t="s">
        <v>1551</v>
      </c>
      <c r="W65" s="116">
        <f t="shared" si="19"/>
        <v>97</v>
      </c>
      <c r="X65" s="116" t="str">
        <f t="shared" si="8"/>
        <v>d</v>
      </c>
      <c r="Y65" s="116">
        <f>VLOOKUP(W65,'Loyd List 1-190 - Edit'!$P$1:$R$202,3,FALSE)</f>
        <v>53</v>
      </c>
      <c r="Z65" s="116"/>
      <c r="AB65" s="116"/>
    </row>
    <row r="66" spans="1:28">
      <c r="A66">
        <f>'All Girls &amp; Descendants'!B64</f>
        <v>97</v>
      </c>
      <c r="B66" t="str">
        <f>'All Girls &amp; Descendants'!C64</f>
        <v>97e</v>
      </c>
      <c r="C66" t="str">
        <f>'All Girls &amp; Descendants'!D64</f>
        <v>SALE</v>
      </c>
      <c r="D66" t="str">
        <f>'All Girls &amp; Descendants'!E64</f>
        <v>Edward</v>
      </c>
      <c r="E66" t="str">
        <f>IF('All Girls &amp; Descendants'!F64="","",'All Girls &amp; Descendants'!F64)</f>
        <v>John</v>
      </c>
      <c r="F66" t="str">
        <f>IF('All Girls &amp; Descendants'!G64="","",'All Girls &amp; Descendants'!G64)</f>
        <v>Andrew</v>
      </c>
      <c r="G66" t="str">
        <f>IF('All Girls &amp; Descendants'!H64="",D66,'All Girls &amp; Descendants'!H64)</f>
        <v>Edward</v>
      </c>
      <c r="H66">
        <f>'All Girls &amp; Descendants'!I64</f>
        <v>1963</v>
      </c>
      <c r="I66" t="str">
        <f>'All Girls &amp; Descendants'!J64</f>
        <v/>
      </c>
      <c r="K66" s="3">
        <f>'All Girls &amp; Descendants'!M64</f>
        <v>23286</v>
      </c>
      <c r="L66" s="3" t="str">
        <f>'All Girls &amp; Descendants'!N64</f>
        <v xml:space="preserve"> - </v>
      </c>
      <c r="M66" t="str">
        <f>'All Girls &amp; Descendants'!O64</f>
        <v/>
      </c>
      <c r="N66" t="str">
        <f>'All Girls &amp; Descendants'!P64</f>
        <v/>
      </c>
      <c r="O66" t="str">
        <f>'All Girls &amp; Descendants'!Q64</f>
        <v>97</v>
      </c>
      <c r="P66" t="str">
        <f t="shared" si="32"/>
        <v>97e</v>
      </c>
      <c r="Q66" s="116">
        <f t="shared" si="5"/>
        <v>1</v>
      </c>
      <c r="R66" s="31" t="str">
        <f t="shared" si="6"/>
        <v>Edward John Andrew SALE</v>
      </c>
      <c r="S66" t="str">
        <f t="shared" si="7"/>
        <v>Edward SALE (1963 - :  #97e)</v>
      </c>
      <c r="U66" s="116">
        <f t="shared" si="3"/>
        <v>97005</v>
      </c>
      <c r="V66" t="s">
        <v>1552</v>
      </c>
      <c r="W66" s="116">
        <f t="shared" si="19"/>
        <v>97</v>
      </c>
      <c r="X66" s="116" t="str">
        <f t="shared" si="8"/>
        <v>e</v>
      </c>
      <c r="Y66" s="116">
        <f>VLOOKUP(W66,'Loyd List 1-190 - Edit'!$P$1:$R$202,3,FALSE)</f>
        <v>53</v>
      </c>
      <c r="Z66" s="116"/>
      <c r="AB66" s="116"/>
    </row>
    <row r="67" spans="1:28">
      <c r="A67">
        <f>'All Girls &amp; Descendants'!B65</f>
        <v>101</v>
      </c>
      <c r="B67" t="str">
        <f>'All Girls &amp; Descendants'!C65</f>
        <v>101a</v>
      </c>
      <c r="C67" t="str">
        <f>'All Girls &amp; Descendants'!D65</f>
        <v>MEADE</v>
      </c>
      <c r="D67" t="str">
        <f>'All Girls &amp; Descendants'!E65</f>
        <v>Lady Selina</v>
      </c>
      <c r="E67" t="str">
        <f>IF('All Girls &amp; Descendants'!F65="","",'All Girls &amp; Descendants'!F65)</f>
        <v>Catherine</v>
      </c>
      <c r="F67" t="str">
        <f>IF('All Girls &amp; Descendants'!G65="","",'All Girls &amp; Descendants'!G65)</f>
        <v/>
      </c>
      <c r="G67" t="str">
        <f>IF('All Girls &amp; Descendants'!H65="",D67,'All Girls &amp; Descendants'!H65)</f>
        <v>Lady Selina</v>
      </c>
      <c r="H67">
        <f>'All Girls &amp; Descendants'!I65</f>
        <v>1950</v>
      </c>
      <c r="I67" t="str">
        <f>'All Girls &amp; Descendants'!J65</f>
        <v/>
      </c>
      <c r="K67" s="3">
        <f>'All Girls &amp; Descendants'!M65</f>
        <v>18336</v>
      </c>
      <c r="L67" s="3">
        <f>'All Girls &amp; Descendants'!N65</f>
        <v>26600</v>
      </c>
      <c r="M67" t="str">
        <f>'All Girls &amp; Descendants'!O65</f>
        <v/>
      </c>
      <c r="N67" t="str">
        <f>'All Girls &amp; Descendants'!P65</f>
        <v/>
      </c>
      <c r="O67" t="str">
        <f>'All Girls &amp; Descendants'!Q65</f>
        <v>101</v>
      </c>
      <c r="P67" t="str">
        <f t="shared" si="32"/>
        <v>101a</v>
      </c>
      <c r="Q67" s="116">
        <f t="shared" si="5"/>
        <v>1</v>
      </c>
      <c r="R67" s="31" t="str">
        <f t="shared" si="6"/>
        <v>Lady Selina Catherine  MEADE</v>
      </c>
      <c r="S67" t="str">
        <f t="shared" si="7"/>
        <v>Lady Selina MEADE (1950 - :  #101a)</v>
      </c>
      <c r="U67" s="116">
        <f t="shared" si="3"/>
        <v>101001</v>
      </c>
      <c r="V67" t="s">
        <v>1560</v>
      </c>
      <c r="W67" s="116">
        <f>VALUE(LEFT(V67,3))</f>
        <v>101</v>
      </c>
      <c r="X67" s="116" t="str">
        <f t="shared" si="8"/>
        <v>a</v>
      </c>
      <c r="Y67" s="116">
        <f>VLOOKUP(W67,'Loyd List 1-190 - Edit'!$P$1:$R$202,3,FALSE)</f>
        <v>56</v>
      </c>
      <c r="Z67" s="116"/>
      <c r="AB67" s="116"/>
    </row>
    <row r="68" spans="1:28">
      <c r="A68">
        <f>'All Girls &amp; Descendants'!B66</f>
        <v>101</v>
      </c>
      <c r="B68" t="str">
        <f>'All Girls &amp; Descendants'!C66</f>
        <v>101b</v>
      </c>
      <c r="C68" t="str">
        <f>'All Girls &amp; Descendants'!D66</f>
        <v>MEADE</v>
      </c>
      <c r="D68" t="str">
        <f>'All Girls &amp; Descendants'!E66</f>
        <v>Lady Mary</v>
      </c>
      <c r="E68" t="str">
        <f>IF('All Girls &amp; Descendants'!F66="","",'All Girls &amp; Descendants'!F66)</f>
        <v>Jane</v>
      </c>
      <c r="F68" t="str">
        <f>IF('All Girls &amp; Descendants'!G66="","",'All Girls &amp; Descendants'!G66)</f>
        <v/>
      </c>
      <c r="G68" t="str">
        <f>IF('All Girls &amp; Descendants'!H66="",D68,'All Girls &amp; Descendants'!H66)</f>
        <v>Lady Mary</v>
      </c>
      <c r="H68">
        <f>'All Girls &amp; Descendants'!I66</f>
        <v>1952</v>
      </c>
      <c r="I68" t="str">
        <f>'All Girls &amp; Descendants'!J66</f>
        <v/>
      </c>
      <c r="K68" s="3">
        <f>'All Girls &amp; Descendants'!M66</f>
        <v>19187</v>
      </c>
      <c r="L68" s="3">
        <f>'All Girls &amp; Descendants'!N66</f>
        <v>30933</v>
      </c>
      <c r="M68" t="str">
        <f>'All Girls &amp; Descendants'!O66</f>
        <v/>
      </c>
      <c r="N68" t="str">
        <f>'All Girls &amp; Descendants'!P66</f>
        <v/>
      </c>
      <c r="O68" t="str">
        <f>'All Girls &amp; Descendants'!Q66</f>
        <v>101</v>
      </c>
      <c r="P68" t="str">
        <f t="shared" si="32"/>
        <v>101b</v>
      </c>
      <c r="Q68" s="116">
        <f t="shared" si="5"/>
        <v>1</v>
      </c>
      <c r="R68" s="31" t="str">
        <f t="shared" si="6"/>
        <v>Lady Mary Jane  MEADE</v>
      </c>
      <c r="S68" t="str">
        <f t="shared" si="7"/>
        <v>Lady Mary MEADE (1952 - :  #101b)</v>
      </c>
      <c r="U68" s="116">
        <f t="shared" ref="U68:U131" si="36">W68*1000+VLOOKUP(X68,$AB$4:$AC$13,2,FALSE)</f>
        <v>101002</v>
      </c>
      <c r="V68" t="s">
        <v>1567</v>
      </c>
      <c r="W68" s="116">
        <f t="shared" ref="W68:W131" si="37">VALUE(LEFT(V68,3))</f>
        <v>101</v>
      </c>
      <c r="X68" s="116" t="str">
        <f t="shared" si="8"/>
        <v>b</v>
      </c>
      <c r="Y68" s="116">
        <f>VLOOKUP(W68,'Loyd List 1-190 - Edit'!$P$1:$R$202,3,FALSE)</f>
        <v>56</v>
      </c>
      <c r="Z68" s="116"/>
      <c r="AB68" s="116"/>
    </row>
    <row r="69" spans="1:28">
      <c r="A69">
        <f>'All Girls &amp; Descendants'!B67</f>
        <v>101</v>
      </c>
      <c r="B69" t="str">
        <f>'All Girls &amp; Descendants'!C67</f>
        <v>101c</v>
      </c>
      <c r="C69" t="str">
        <f>'All Girls &amp; Descendants'!D67</f>
        <v>MEADE</v>
      </c>
      <c r="D69" t="str">
        <f>'All Girls &amp; Descendants'!E67</f>
        <v>Lady Julia</v>
      </c>
      <c r="E69" t="str">
        <f>IF('All Girls &amp; Descendants'!F67="","",'All Girls &amp; Descendants'!F67)</f>
        <v>Elizabeth</v>
      </c>
      <c r="F69" t="str">
        <f>IF('All Girls &amp; Descendants'!G67="","",'All Girls &amp; Descendants'!G67)</f>
        <v/>
      </c>
      <c r="G69" t="str">
        <f>IF('All Girls &amp; Descendants'!H67="",D69,'All Girls &amp; Descendants'!H67)</f>
        <v>Lady Julia</v>
      </c>
      <c r="H69">
        <f>'All Girls &amp; Descendants'!I67</f>
        <v>1953</v>
      </c>
      <c r="I69" t="str">
        <f>'All Girls &amp; Descendants'!J67</f>
        <v/>
      </c>
      <c r="K69" s="3">
        <f>'All Girls &amp; Descendants'!M67</f>
        <v>19724</v>
      </c>
      <c r="L69" s="3" t="str">
        <f>'All Girls &amp; Descendants'!N67</f>
        <v xml:space="preserve"> - </v>
      </c>
      <c r="M69" t="str">
        <f>'All Girls &amp; Descendants'!O67</f>
        <v/>
      </c>
      <c r="N69" t="str">
        <f>'All Girls &amp; Descendants'!P67</f>
        <v/>
      </c>
      <c r="O69" t="str">
        <f>'All Girls &amp; Descendants'!Q67</f>
        <v>101</v>
      </c>
      <c r="P69" t="str">
        <f t="shared" si="32"/>
        <v>101c</v>
      </c>
      <c r="Q69" s="116">
        <f t="shared" ref="Q69:Q132" si="38">LEN(B69)-LEN(A69)</f>
        <v>1</v>
      </c>
      <c r="R69" s="31" t="str">
        <f t="shared" ref="R69:R132" si="39">_xlfn.CONCAT(D69," ",E69," ",F69," ",C69)</f>
        <v>Lady Julia Elizabeth  MEADE</v>
      </c>
      <c r="S69" t="str">
        <f t="shared" ref="S69:S132" si="40">_xlfn.CONCAT(G69," ",C69," (",H69," - ",I69,":  #",B69,")")</f>
        <v>Lady Julia MEADE (1953 - :  #101c)</v>
      </c>
      <c r="U69" s="116">
        <f t="shared" si="36"/>
        <v>101003</v>
      </c>
      <c r="V69" t="s">
        <v>1579</v>
      </c>
      <c r="W69" s="116">
        <f t="shared" si="37"/>
        <v>101</v>
      </c>
      <c r="X69" s="116" t="str">
        <f t="shared" ref="X69:X132" si="41">RIGHT(V69,1)</f>
        <v>c</v>
      </c>
      <c r="Y69" s="116">
        <f>VLOOKUP(W69,'Loyd List 1-190 - Edit'!$P$1:$R$202,3,FALSE)</f>
        <v>56</v>
      </c>
      <c r="Z69" s="116"/>
      <c r="AB69" s="116"/>
    </row>
    <row r="70" spans="1:28">
      <c r="A70">
        <f>'All Girls &amp; Descendants'!B68</f>
        <v>101</v>
      </c>
      <c r="B70" t="str">
        <f>'All Girls &amp; Descendants'!C68</f>
        <v>101d</v>
      </c>
      <c r="C70" t="str">
        <f>'All Girls &amp; Descendants'!D68</f>
        <v>MEADE</v>
      </c>
      <c r="D70" t="str">
        <f>'All Girls &amp; Descendants'!E68</f>
        <v>Lady Laura</v>
      </c>
      <c r="E70" t="str">
        <f>IF('All Girls &amp; Descendants'!F68="","",'All Girls &amp; Descendants'!F68)</f>
        <v>Louise</v>
      </c>
      <c r="F70" t="str">
        <f>IF('All Girls &amp; Descendants'!G68="","",'All Girls &amp; Descendants'!G68)</f>
        <v/>
      </c>
      <c r="G70" t="str">
        <f>IF('All Girls &amp; Descendants'!H68="",D70,'All Girls &amp; Descendants'!H68)</f>
        <v>Lady Laura</v>
      </c>
      <c r="H70">
        <f>'All Girls &amp; Descendants'!I68</f>
        <v>1957</v>
      </c>
      <c r="I70" t="str">
        <f>'All Girls &amp; Descendants'!J68</f>
        <v/>
      </c>
      <c r="K70" s="3">
        <f>'All Girls &amp; Descendants'!M68</f>
        <v>20890</v>
      </c>
      <c r="L70" s="3">
        <f>'All Girls &amp; Descendants'!N68</f>
        <v>29701</v>
      </c>
      <c r="M70" t="str">
        <f>'All Girls &amp; Descendants'!O68</f>
        <v/>
      </c>
      <c r="N70" t="str">
        <f>'All Girls &amp; Descendants'!P68</f>
        <v/>
      </c>
      <c r="O70" t="str">
        <f>'All Girls &amp; Descendants'!Q68</f>
        <v>101</v>
      </c>
      <c r="P70" t="str">
        <f t="shared" si="32"/>
        <v>101d</v>
      </c>
      <c r="Q70" s="116">
        <f t="shared" si="38"/>
        <v>1</v>
      </c>
      <c r="R70" s="31" t="str">
        <f t="shared" si="39"/>
        <v>Lady Laura Louise  MEADE</v>
      </c>
      <c r="S70" t="str">
        <f t="shared" si="40"/>
        <v>Lady Laura MEADE (1957 - :  #101d)</v>
      </c>
      <c r="U70" s="116">
        <f t="shared" si="36"/>
        <v>101004</v>
      </c>
      <c r="V70" t="s">
        <v>1587</v>
      </c>
      <c r="W70" s="116">
        <f t="shared" si="37"/>
        <v>101</v>
      </c>
      <c r="X70" s="116" t="str">
        <f t="shared" si="41"/>
        <v>d</v>
      </c>
      <c r="Y70" s="116">
        <f>VLOOKUP(W70,'Loyd List 1-190 - Edit'!$P$1:$R$202,3,FALSE)</f>
        <v>56</v>
      </c>
      <c r="Z70" s="116"/>
      <c r="AB70" s="116"/>
    </row>
    <row r="71" spans="1:28">
      <c r="A71">
        <f>'All Girls &amp; Descendants'!B69</f>
        <v>101</v>
      </c>
      <c r="B71" t="str">
        <f>'All Girls &amp; Descendants'!C69</f>
        <v>101e</v>
      </c>
      <c r="C71" t="str">
        <f>'All Girls &amp; Descendants'!D69</f>
        <v>MEADE</v>
      </c>
      <c r="D71" t="str">
        <f>'All Girls &amp; Descendants'!E69</f>
        <v>Lady Katherine</v>
      </c>
      <c r="E71" t="str">
        <f>IF('All Girls &amp; Descendants'!F69="","",'All Girls &amp; Descendants'!F69)</f>
        <v>Anne</v>
      </c>
      <c r="F71" t="str">
        <f>IF('All Girls &amp; Descendants'!G69="","",'All Girls &amp; Descendants'!G69)</f>
        <v/>
      </c>
      <c r="G71" t="str">
        <f>IF('All Girls &amp; Descendants'!H69="",D71,'All Girls &amp; Descendants'!H69)</f>
        <v>Lady Katherine</v>
      </c>
      <c r="H71">
        <f>'All Girls &amp; Descendants'!I69</f>
        <v>1959</v>
      </c>
      <c r="I71" t="str">
        <f>'All Girls &amp; Descendants'!J69</f>
        <v/>
      </c>
      <c r="K71" s="3">
        <f>'All Girls &amp; Descendants'!M69</f>
        <v>21772</v>
      </c>
      <c r="L71" s="3" t="str">
        <f>'All Girls &amp; Descendants'!N69</f>
        <v>29/02/1987</v>
      </c>
      <c r="M71" t="str">
        <f>'All Girls &amp; Descendants'!O69</f>
        <v/>
      </c>
      <c r="N71" t="str">
        <f>'All Girls &amp; Descendants'!P69</f>
        <v/>
      </c>
      <c r="O71" t="str">
        <f>'All Girls &amp; Descendants'!Q69</f>
        <v>101</v>
      </c>
      <c r="P71" t="str">
        <f t="shared" si="32"/>
        <v>101e</v>
      </c>
      <c r="Q71" s="116">
        <f t="shared" si="38"/>
        <v>1</v>
      </c>
      <c r="R71" s="31" t="str">
        <f t="shared" si="39"/>
        <v>Lady Katherine Anne  MEADE</v>
      </c>
      <c r="S71" t="str">
        <f t="shared" si="40"/>
        <v>Lady Katherine MEADE (1959 - :  #101e)</v>
      </c>
      <c r="U71" s="116">
        <f t="shared" si="36"/>
        <v>101005</v>
      </c>
      <c r="V71" t="s">
        <v>1598</v>
      </c>
      <c r="W71" s="116">
        <f t="shared" si="37"/>
        <v>101</v>
      </c>
      <c r="X71" s="116" t="str">
        <f t="shared" si="41"/>
        <v>e</v>
      </c>
      <c r="Y71" s="116">
        <f>VLOOKUP(W71,'Loyd List 1-190 - Edit'!$P$1:$R$202,3,FALSE)</f>
        <v>56</v>
      </c>
      <c r="Z71" s="116"/>
      <c r="AB71" s="116"/>
    </row>
    <row r="72" spans="1:28">
      <c r="A72">
        <f>'All Girls &amp; Descendants'!B70</f>
        <v>101</v>
      </c>
      <c r="B72" t="str">
        <f>'All Girls &amp; Descendants'!C70</f>
        <v>101f</v>
      </c>
      <c r="C72" t="str">
        <f>'All Girls &amp; Descendants'!D70</f>
        <v>MEADE</v>
      </c>
      <c r="D72" t="str">
        <f>'All Girls &amp; Descendants'!E70</f>
        <v>Lady Sophia</v>
      </c>
      <c r="E72" t="str">
        <f>IF('All Girls &amp; Descendants'!F70="","",'All Girls &amp; Descendants'!F70)</f>
        <v>Hester</v>
      </c>
      <c r="F72" t="str">
        <f>IF('All Girls &amp; Descendants'!G70="","",'All Girls &amp; Descendants'!G70)</f>
        <v/>
      </c>
      <c r="G72" t="str">
        <f>IF('All Girls &amp; Descendants'!H70="",D72,'All Girls &amp; Descendants'!H70)</f>
        <v>Lady Sophia</v>
      </c>
      <c r="H72">
        <f>'All Girls &amp; Descendants'!I70</f>
        <v>1963</v>
      </c>
      <c r="I72" t="str">
        <f>'All Girls &amp; Descendants'!J70</f>
        <v/>
      </c>
      <c r="K72" s="3">
        <f>'All Girls &amp; Descendants'!M70</f>
        <v>23298</v>
      </c>
      <c r="L72" s="3" t="str">
        <f>'All Girls &amp; Descendants'!N70</f>
        <v>29/02/1990</v>
      </c>
      <c r="M72" t="str">
        <f>'All Girls &amp; Descendants'!O70</f>
        <v/>
      </c>
      <c r="N72" t="str">
        <f>'All Girls &amp; Descendants'!P70</f>
        <v/>
      </c>
      <c r="O72" t="str">
        <f>'All Girls &amp; Descendants'!Q70</f>
        <v>101</v>
      </c>
      <c r="P72" t="str">
        <f t="shared" si="32"/>
        <v>101f</v>
      </c>
      <c r="Q72" s="116">
        <f t="shared" si="38"/>
        <v>1</v>
      </c>
      <c r="R72" s="31" t="str">
        <f t="shared" si="39"/>
        <v>Lady Sophia Hester  MEADE</v>
      </c>
      <c r="S72" t="str">
        <f t="shared" si="40"/>
        <v>Lady Sophia MEADE (1963 - :  #101f)</v>
      </c>
      <c r="U72" s="116">
        <f t="shared" si="36"/>
        <v>101006</v>
      </c>
      <c r="V72" t="s">
        <v>1607</v>
      </c>
      <c r="W72" s="116">
        <f t="shared" si="37"/>
        <v>101</v>
      </c>
      <c r="X72" s="116" t="str">
        <f t="shared" si="41"/>
        <v>f</v>
      </c>
      <c r="Y72" s="116">
        <f>VLOOKUP(W72,'Loyd List 1-190 - Edit'!$P$1:$R$202,3,FALSE)</f>
        <v>56</v>
      </c>
      <c r="Z72" s="116"/>
      <c r="AB72" s="116"/>
    </row>
    <row r="73" spans="1:28">
      <c r="A73">
        <f>'All Girls &amp; Descendants'!B71</f>
        <v>102</v>
      </c>
      <c r="B73" t="str">
        <f>'All Girls &amp; Descendants'!C71</f>
        <v>102a</v>
      </c>
      <c r="C73" t="str">
        <f>'All Girls &amp; Descendants'!D71</f>
        <v>DUNLOP</v>
      </c>
      <c r="D73" t="str">
        <f>'All Girls &amp; Descendants'!E71</f>
        <v>Teressa</v>
      </c>
      <c r="E73" t="str">
        <f>IF('All Girls &amp; Descendants'!F71="","",'All Girls &amp; Descendants'!F71)</f>
        <v>Mary</v>
      </c>
      <c r="F73" t="str">
        <f>IF('All Girls &amp; Descendants'!G71="","",'All Girls &amp; Descendants'!G71)</f>
        <v/>
      </c>
      <c r="G73" t="str">
        <f>IF('All Girls &amp; Descendants'!H71="",D73,'All Girls &amp; Descendants'!H71)</f>
        <v>Tess</v>
      </c>
      <c r="H73">
        <f>'All Girls &amp; Descendants'!I71</f>
        <v>1956</v>
      </c>
      <c r="I73" t="str">
        <f>'All Girls &amp; Descendants'!J71</f>
        <v/>
      </c>
      <c r="K73" s="3">
        <f>'All Girls &amp; Descendants'!M71</f>
        <v>20615</v>
      </c>
      <c r="L73" s="3" t="str">
        <f>'All Girls &amp; Descendants'!N71</f>
        <v xml:space="preserve"> - </v>
      </c>
      <c r="M73" t="str">
        <f>'All Girls &amp; Descendants'!O71</f>
        <v/>
      </c>
      <c r="N73" t="str">
        <f>'All Girls &amp; Descendants'!P71</f>
        <v/>
      </c>
      <c r="O73" t="str">
        <f>'All Girls &amp; Descendants'!Q71</f>
        <v>102</v>
      </c>
      <c r="P73" t="str">
        <f t="shared" si="32"/>
        <v>102a</v>
      </c>
      <c r="Q73" s="116">
        <f t="shared" si="38"/>
        <v>1</v>
      </c>
      <c r="R73" s="31" t="str">
        <f t="shared" si="39"/>
        <v>Teressa Mary  DUNLOP</v>
      </c>
      <c r="S73" t="str">
        <f t="shared" si="40"/>
        <v>Tess DUNLOP (1956 - :  #102a)</v>
      </c>
      <c r="U73" s="116">
        <f t="shared" si="36"/>
        <v>102001</v>
      </c>
      <c r="V73" t="s">
        <v>1617</v>
      </c>
      <c r="W73" s="116">
        <f t="shared" si="37"/>
        <v>102</v>
      </c>
      <c r="X73" s="116" t="str">
        <f t="shared" si="41"/>
        <v>a</v>
      </c>
      <c r="Y73" s="116">
        <f>VLOOKUP(W73,'Loyd List 1-190 - Edit'!$P$1:$R$202,3,FALSE)</f>
        <v>62</v>
      </c>
      <c r="Z73" s="116"/>
      <c r="AB73" s="116"/>
    </row>
    <row r="74" spans="1:28">
      <c r="A74">
        <f>'All Girls &amp; Descendants'!B72</f>
        <v>102</v>
      </c>
      <c r="B74" t="str">
        <f>'All Girls &amp; Descendants'!C72</f>
        <v>102b</v>
      </c>
      <c r="C74" t="str">
        <f>'All Girls &amp; Descendants'!D72</f>
        <v>DUNLOP</v>
      </c>
      <c r="D74" t="str">
        <f>'All Girls &amp; Descendants'!E72</f>
        <v>Lindsay</v>
      </c>
      <c r="E74" t="str">
        <f>IF('All Girls &amp; Descendants'!F72="","",'All Girls &amp; Descendants'!F72)</f>
        <v>Fergus</v>
      </c>
      <c r="F74" t="str">
        <f>IF('All Girls &amp; Descendants'!G72="","",'All Girls &amp; Descendants'!G72)</f>
        <v/>
      </c>
      <c r="G74" t="str">
        <f>IF('All Girls &amp; Descendants'!H72="",D74,'All Girls &amp; Descendants'!H72)</f>
        <v>Fergus</v>
      </c>
      <c r="H74">
        <f>'All Girls &amp; Descendants'!I72</f>
        <v>1958</v>
      </c>
      <c r="I74" t="str">
        <f>'All Girls &amp; Descendants'!J72</f>
        <v/>
      </c>
      <c r="K74" s="3">
        <f>'All Girls &amp; Descendants'!M72</f>
        <v>21328</v>
      </c>
      <c r="L74" s="3">
        <f>'All Girls &amp; Descendants'!N72</f>
        <v>34930</v>
      </c>
      <c r="M74" t="str">
        <f>'All Girls &amp; Descendants'!O72</f>
        <v/>
      </c>
      <c r="N74" t="str">
        <f>'All Girls &amp; Descendants'!P72</f>
        <v/>
      </c>
      <c r="O74" t="str">
        <f>'All Girls &amp; Descendants'!Q72</f>
        <v>102</v>
      </c>
      <c r="P74" t="str">
        <f t="shared" si="32"/>
        <v>102b</v>
      </c>
      <c r="Q74" s="116">
        <f t="shared" si="38"/>
        <v>1</v>
      </c>
      <c r="R74" s="31" t="str">
        <f t="shared" si="39"/>
        <v>Lindsay Fergus  DUNLOP</v>
      </c>
      <c r="S74" t="str">
        <f t="shared" si="40"/>
        <v>Fergus DUNLOP (1958 - :  #102b)</v>
      </c>
      <c r="U74" s="116">
        <f t="shared" si="36"/>
        <v>102002</v>
      </c>
      <c r="V74" t="s">
        <v>1619</v>
      </c>
      <c r="W74" s="116">
        <f t="shared" si="37"/>
        <v>102</v>
      </c>
      <c r="X74" s="116" t="str">
        <f t="shared" si="41"/>
        <v>b</v>
      </c>
      <c r="Y74" s="116">
        <f>VLOOKUP(W74,'Loyd List 1-190 - Edit'!$P$1:$R$202,3,FALSE)</f>
        <v>62</v>
      </c>
      <c r="Z74" s="116"/>
      <c r="AB74" s="116"/>
    </row>
    <row r="75" spans="1:28">
      <c r="A75">
        <f>'All Girls &amp; Descendants'!B73</f>
        <v>102</v>
      </c>
      <c r="B75" t="str">
        <f>'All Girls &amp; Descendants'!C73</f>
        <v>102c</v>
      </c>
      <c r="C75" t="str">
        <f>'All Girls &amp; Descendants'!D73</f>
        <v>DUNLOP</v>
      </c>
      <c r="D75" t="str">
        <f>'All Girls &amp; Descendants'!E73</f>
        <v>Celina</v>
      </c>
      <c r="E75" t="str">
        <f>IF('All Girls &amp; Descendants'!F73="","",'All Girls &amp; Descendants'!F73)</f>
        <v>Elizabeth</v>
      </c>
      <c r="F75" t="str">
        <f>IF('All Girls &amp; Descendants'!G73="","",'All Girls &amp; Descendants'!G73)</f>
        <v/>
      </c>
      <c r="G75" t="str">
        <f>IF('All Girls &amp; Descendants'!H73="",D75,'All Girls &amp; Descendants'!H73)</f>
        <v>Celina</v>
      </c>
      <c r="H75">
        <f>'All Girls &amp; Descendants'!I73</f>
        <v>1960</v>
      </c>
      <c r="I75" t="str">
        <f>'All Girls &amp; Descendants'!J73</f>
        <v/>
      </c>
      <c r="K75" s="3">
        <f>'All Girls &amp; Descendants'!M73</f>
        <v>22181</v>
      </c>
      <c r="L75" s="3" t="str">
        <f>'All Girls &amp; Descendants'!N73</f>
        <v xml:space="preserve"> - </v>
      </c>
      <c r="M75" t="str">
        <f>'All Girls &amp; Descendants'!O73</f>
        <v/>
      </c>
      <c r="N75" t="str">
        <f>'All Girls &amp; Descendants'!P73</f>
        <v/>
      </c>
      <c r="O75" t="str">
        <f>'All Girls &amp; Descendants'!Q73</f>
        <v>102</v>
      </c>
      <c r="P75" t="str">
        <f t="shared" si="32"/>
        <v>102c</v>
      </c>
      <c r="Q75" s="116">
        <f t="shared" si="38"/>
        <v>1</v>
      </c>
      <c r="R75" s="31" t="str">
        <f t="shared" si="39"/>
        <v>Celina Elizabeth  DUNLOP</v>
      </c>
      <c r="S75" t="str">
        <f t="shared" si="40"/>
        <v>Celina DUNLOP (1960 - :  #102c)</v>
      </c>
      <c r="U75" s="116">
        <f t="shared" si="36"/>
        <v>102003</v>
      </c>
      <c r="V75" t="s">
        <v>1626</v>
      </c>
      <c r="W75" s="116">
        <f t="shared" si="37"/>
        <v>102</v>
      </c>
      <c r="X75" s="116" t="str">
        <f t="shared" si="41"/>
        <v>c</v>
      </c>
      <c r="Y75" s="116">
        <f>VLOOKUP(W75,'Loyd List 1-190 - Edit'!$P$1:$R$202,3,FALSE)</f>
        <v>62</v>
      </c>
      <c r="Z75" s="116"/>
      <c r="AB75" s="116"/>
    </row>
    <row r="76" spans="1:28">
      <c r="A76">
        <f>'All Girls &amp; Descendants'!B74</f>
        <v>103</v>
      </c>
      <c r="B76" t="str">
        <f>'All Girls &amp; Descendants'!C74</f>
        <v>103a</v>
      </c>
      <c r="C76" t="str">
        <f>'All Girls &amp; Descendants'!D74</f>
        <v>GORE-BROWNE</v>
      </c>
      <c r="D76" t="str">
        <f>'All Girls &amp; Descendants'!E74</f>
        <v>James</v>
      </c>
      <c r="E76" t="str">
        <f>IF('All Girls &amp; Descendants'!F74="","",'All Girls &amp; Descendants'!F74)</f>
        <v>Anthony</v>
      </c>
      <c r="F76" t="str">
        <f>IF('All Girls &amp; Descendants'!G74="","",'All Girls &amp; Descendants'!G74)</f>
        <v/>
      </c>
      <c r="G76" t="str">
        <f>IF('All Girls &amp; Descendants'!H74="",D76,'All Girls &amp; Descendants'!H74)</f>
        <v>James</v>
      </c>
      <c r="H76">
        <f>'All Girls &amp; Descendants'!I74</f>
        <v>1947</v>
      </c>
      <c r="I76" t="str">
        <f>'All Girls &amp; Descendants'!J74</f>
        <v/>
      </c>
      <c r="K76" s="3">
        <f>'All Girls &amp; Descendants'!M74</f>
        <v>17252</v>
      </c>
      <c r="L76" s="3">
        <f>'All Girls &amp; Descendants'!N74</f>
        <v>30422</v>
      </c>
      <c r="M76" t="str">
        <f>'All Girls &amp; Descendants'!O74</f>
        <v/>
      </c>
      <c r="N76" t="str">
        <f>'All Girls &amp; Descendants'!P74</f>
        <v/>
      </c>
      <c r="O76" t="str">
        <f>'All Girls &amp; Descendants'!Q74</f>
        <v>103</v>
      </c>
      <c r="P76" t="str">
        <f t="shared" si="32"/>
        <v>103a</v>
      </c>
      <c r="Q76" s="116">
        <f t="shared" si="38"/>
        <v>1</v>
      </c>
      <c r="R76" s="31" t="str">
        <f t="shared" si="39"/>
        <v>James Anthony  GORE-BROWNE</v>
      </c>
      <c r="S76" t="str">
        <f t="shared" si="40"/>
        <v>James GORE-BROWNE (1947 - :  #103a)</v>
      </c>
      <c r="U76" s="116">
        <f t="shared" si="36"/>
        <v>103001</v>
      </c>
      <c r="V76" t="s">
        <v>1629</v>
      </c>
      <c r="W76" s="116">
        <f t="shared" si="37"/>
        <v>103</v>
      </c>
      <c r="X76" s="116" t="str">
        <f t="shared" si="41"/>
        <v>a</v>
      </c>
      <c r="Y76" s="116">
        <f>VLOOKUP(W76,'Loyd List 1-190 - Edit'!$P$1:$R$202,3,FALSE)</f>
        <v>72</v>
      </c>
      <c r="Z76" s="116"/>
      <c r="AB76" s="116"/>
    </row>
    <row r="77" spans="1:28">
      <c r="A77">
        <f>'All Girls &amp; Descendants'!B75</f>
        <v>103</v>
      </c>
      <c r="B77" t="str">
        <f>'All Girls &amp; Descendants'!C75</f>
        <v>103b</v>
      </c>
      <c r="C77" t="str">
        <f>'All Girls &amp; Descendants'!D75</f>
        <v>GORE-BROWNE</v>
      </c>
      <c r="D77" t="str">
        <f>'All Girls &amp; Descendants'!E75</f>
        <v>Georgina</v>
      </c>
      <c r="E77" t="str">
        <f>IF('All Girls &amp; Descendants'!F75="","",'All Girls &amp; Descendants'!F75)</f>
        <v>Mary</v>
      </c>
      <c r="F77" t="str">
        <f>IF('All Girls &amp; Descendants'!G75="","",'All Girls &amp; Descendants'!G75)</f>
        <v/>
      </c>
      <c r="G77" t="str">
        <f>IF('All Girls &amp; Descendants'!H75="",D77,'All Girls &amp; Descendants'!H75)</f>
        <v>Georgina</v>
      </c>
      <c r="H77">
        <f>'All Girls &amp; Descendants'!I75</f>
        <v>1949</v>
      </c>
      <c r="I77" t="str">
        <f>'All Girls &amp; Descendants'!J75</f>
        <v/>
      </c>
      <c r="K77" s="3">
        <f>'All Girls &amp; Descendants'!M75</f>
        <v>17923</v>
      </c>
      <c r="L77" s="3">
        <f>'All Girls &amp; Descendants'!N75</f>
        <v>25603</v>
      </c>
      <c r="M77" t="str">
        <f>'All Girls &amp; Descendants'!O75</f>
        <v/>
      </c>
      <c r="N77" t="str">
        <f>'All Girls &amp; Descendants'!P75</f>
        <v/>
      </c>
      <c r="O77" t="str">
        <f>'All Girls &amp; Descendants'!Q75</f>
        <v>103</v>
      </c>
      <c r="P77" t="str">
        <f t="shared" si="32"/>
        <v>103b</v>
      </c>
      <c r="Q77" s="116">
        <f t="shared" si="38"/>
        <v>1</v>
      </c>
      <c r="R77" s="31" t="str">
        <f t="shared" si="39"/>
        <v>Georgina Mary  GORE-BROWNE</v>
      </c>
      <c r="S77" t="str">
        <f t="shared" si="40"/>
        <v>Georgina GORE-BROWNE (1949 - :  #103b)</v>
      </c>
      <c r="U77" s="116">
        <f t="shared" si="36"/>
        <v>103002</v>
      </c>
      <c r="V77" t="s">
        <v>1633</v>
      </c>
      <c r="W77" s="116">
        <f t="shared" si="37"/>
        <v>103</v>
      </c>
      <c r="X77" s="116" t="str">
        <f t="shared" si="41"/>
        <v>b</v>
      </c>
      <c r="Y77" s="116">
        <f>VLOOKUP(W77,'Loyd List 1-190 - Edit'!$P$1:$R$202,3,FALSE)</f>
        <v>72</v>
      </c>
      <c r="Z77" s="116"/>
      <c r="AB77" s="116"/>
    </row>
    <row r="78" spans="1:28">
      <c r="A78">
        <f>'All Girls &amp; Descendants'!B76</f>
        <v>103</v>
      </c>
      <c r="B78" t="str">
        <f>'All Girls &amp; Descendants'!C76</f>
        <v>103c</v>
      </c>
      <c r="C78" t="str">
        <f>'All Girls &amp; Descendants'!D76</f>
        <v>GORE-BROWNE</v>
      </c>
      <c r="D78" t="str">
        <f>'All Girls &amp; Descendants'!E76</f>
        <v>David</v>
      </c>
      <c r="E78" t="str">
        <f>IF('All Girls &amp; Descendants'!F76="","",'All Girls &amp; Descendants'!F76)</f>
        <v>Charles</v>
      </c>
      <c r="F78" t="str">
        <f>IF('All Girls &amp; Descendants'!G76="","",'All Girls &amp; Descendants'!G76)</f>
        <v/>
      </c>
      <c r="G78" t="str">
        <f>IF('All Girls &amp; Descendants'!H76="",D78,'All Girls &amp; Descendants'!H76)</f>
        <v>David</v>
      </c>
      <c r="H78">
        <f>'All Girls &amp; Descendants'!I76</f>
        <v>1952</v>
      </c>
      <c r="I78">
        <f>'All Girls &amp; Descendants'!J76</f>
        <v>2012</v>
      </c>
      <c r="K78" s="3">
        <f>'All Girls &amp; Descendants'!M76</f>
        <v>19227</v>
      </c>
      <c r="L78" s="3">
        <f>'All Girls &amp; Descendants'!N76</f>
        <v>31752</v>
      </c>
      <c r="M78">
        <f>'All Girls &amp; Descendants'!O76</f>
        <v>41133</v>
      </c>
      <c r="N78" t="str">
        <f>'All Girls &amp; Descendants'!P76</f>
        <v>12/08/2012</v>
      </c>
      <c r="O78" t="str">
        <f>'All Girls &amp; Descendants'!Q76</f>
        <v>103</v>
      </c>
      <c r="P78" t="str">
        <f t="shared" si="32"/>
        <v>103c</v>
      </c>
      <c r="Q78" s="116">
        <f t="shared" si="38"/>
        <v>1</v>
      </c>
      <c r="R78" s="31" t="str">
        <f t="shared" si="39"/>
        <v>David Charles  GORE-BROWNE</v>
      </c>
      <c r="S78" t="str">
        <f t="shared" si="40"/>
        <v>David GORE-BROWNE (1952 - 2012:  #103c)</v>
      </c>
      <c r="U78" s="116">
        <f t="shared" si="36"/>
        <v>103003</v>
      </c>
      <c r="V78" t="s">
        <v>1645</v>
      </c>
      <c r="W78" s="116">
        <f t="shared" si="37"/>
        <v>103</v>
      </c>
      <c r="X78" s="116" t="str">
        <f t="shared" si="41"/>
        <v>c</v>
      </c>
      <c r="Y78" s="116">
        <f>VLOOKUP(W78,'Loyd List 1-190 - Edit'!$P$1:$R$202,3,FALSE)</f>
        <v>72</v>
      </c>
      <c r="Z78" s="116"/>
      <c r="AB78" s="116"/>
    </row>
    <row r="79" spans="1:28">
      <c r="A79">
        <f>'All Girls &amp; Descendants'!B77</f>
        <v>103</v>
      </c>
      <c r="B79" t="str">
        <f>'All Girls &amp; Descendants'!C77</f>
        <v>103d</v>
      </c>
      <c r="C79" t="str">
        <f>'All Girls &amp; Descendants'!D77</f>
        <v>GORE-BROWNE</v>
      </c>
      <c r="D79" t="str">
        <f>'All Girls &amp; Descendants'!E77</f>
        <v>Patrick</v>
      </c>
      <c r="E79" t="str">
        <f>IF('All Girls &amp; Descendants'!F77="","",'All Girls &amp; Descendants'!F77)</f>
        <v>Robert</v>
      </c>
      <c r="F79" t="str">
        <f>IF('All Girls &amp; Descendants'!G77="","",'All Girls &amp; Descendants'!G77)</f>
        <v/>
      </c>
      <c r="G79" t="str">
        <f>IF('All Girls &amp; Descendants'!H77="",D79,'All Girls &amp; Descendants'!H77)</f>
        <v>Patrick</v>
      </c>
      <c r="H79">
        <f>'All Girls &amp; Descendants'!I77</f>
        <v>1956</v>
      </c>
      <c r="I79" t="str">
        <f>'All Girls &amp; Descendants'!J77</f>
        <v/>
      </c>
      <c r="K79" s="3">
        <f>'All Girls &amp; Descendants'!M77</f>
        <v>20500</v>
      </c>
      <c r="L79" s="3" t="str">
        <f>'All Girls &amp; Descendants'!N77</f>
        <v xml:space="preserve"> - </v>
      </c>
      <c r="M79" t="str">
        <f>'All Girls &amp; Descendants'!O77</f>
        <v/>
      </c>
      <c r="N79" t="str">
        <f>'All Girls &amp; Descendants'!P77</f>
        <v/>
      </c>
      <c r="O79" t="str">
        <f>'All Girls &amp; Descendants'!Q77</f>
        <v>103</v>
      </c>
      <c r="P79" t="str">
        <f t="shared" si="32"/>
        <v>103d</v>
      </c>
      <c r="Q79" s="116">
        <f t="shared" si="38"/>
        <v>1</v>
      </c>
      <c r="R79" s="31" t="str">
        <f t="shared" si="39"/>
        <v>Patrick Robert  GORE-BROWNE</v>
      </c>
      <c r="S79" t="str">
        <f t="shared" si="40"/>
        <v>Patrick GORE-BROWNE (1956 - :  #103d)</v>
      </c>
      <c r="U79" s="116">
        <f t="shared" si="36"/>
        <v>103004</v>
      </c>
      <c r="V79" t="s">
        <v>1652</v>
      </c>
      <c r="W79" s="116">
        <f t="shared" si="37"/>
        <v>103</v>
      </c>
      <c r="X79" s="116" t="str">
        <f t="shared" si="41"/>
        <v>d</v>
      </c>
      <c r="Y79" s="116">
        <f>VLOOKUP(W79,'Loyd List 1-190 - Edit'!$P$1:$R$202,3,FALSE)</f>
        <v>72</v>
      </c>
      <c r="Z79" s="116"/>
      <c r="AB79" s="116"/>
    </row>
    <row r="80" spans="1:28">
      <c r="A80">
        <f>'All Girls &amp; Descendants'!B78</f>
        <v>106</v>
      </c>
      <c r="B80" t="str">
        <f>'All Girls &amp; Descendants'!C78</f>
        <v>106a</v>
      </c>
      <c r="C80" t="str">
        <f>'All Girls &amp; Descendants'!D78</f>
        <v>WINN</v>
      </c>
      <c r="D80" t="str">
        <f>'All Girls &amp; Descendants'!E78</f>
        <v>The Hon Geva</v>
      </c>
      <c r="E80" t="str">
        <f>IF('All Girls &amp; Descendants'!F78="","",'All Girls &amp; Descendants'!F78)</f>
        <v>Charlotte</v>
      </c>
      <c r="F80" t="str">
        <f>IF('All Girls &amp; Descendants'!G78="","",'All Girls &amp; Descendants'!G78)</f>
        <v>Caroline</v>
      </c>
      <c r="G80" t="str">
        <f>IF('All Girls &amp; Descendants'!H78="",D80,'All Girls &amp; Descendants'!H78)</f>
        <v>The Hon Geva</v>
      </c>
      <c r="H80">
        <f>'All Girls &amp; Descendants'!I78</f>
        <v>1955</v>
      </c>
      <c r="I80" t="str">
        <f>'All Girls &amp; Descendants'!J78</f>
        <v/>
      </c>
      <c r="K80" s="3">
        <f>'All Girls &amp; Descendants'!M78</f>
        <v>20347</v>
      </c>
      <c r="L80" s="3">
        <f>'All Girls &amp; Descendants'!N78</f>
        <v>31940</v>
      </c>
      <c r="M80" t="str">
        <f>'All Girls &amp; Descendants'!O78</f>
        <v/>
      </c>
      <c r="N80" t="str">
        <f>'All Girls &amp; Descendants'!P78</f>
        <v/>
      </c>
      <c r="O80" t="str">
        <f>'All Girls &amp; Descendants'!Q78</f>
        <v>106</v>
      </c>
      <c r="P80" t="str">
        <f t="shared" si="32"/>
        <v>106a</v>
      </c>
      <c r="Q80" s="116">
        <f t="shared" si="38"/>
        <v>1</v>
      </c>
      <c r="R80" s="31" t="str">
        <f t="shared" si="39"/>
        <v>The Hon Geva Charlotte Caroline WINN</v>
      </c>
      <c r="S80" t="str">
        <f t="shared" si="40"/>
        <v>The Hon Geva WINN (1955 - :  #106a)</v>
      </c>
      <c r="U80" s="116">
        <f t="shared" si="36"/>
        <v>106001</v>
      </c>
      <c r="V80" t="s">
        <v>1661</v>
      </c>
      <c r="W80" s="116">
        <f t="shared" si="37"/>
        <v>106</v>
      </c>
      <c r="X80" s="116" t="str">
        <f t="shared" si="41"/>
        <v>a</v>
      </c>
      <c r="Y80" s="116">
        <f>VLOOKUP(W80,'Loyd List 1-190 - Edit'!$P$1:$R$202,3,FALSE)</f>
        <v>77</v>
      </c>
      <c r="Z80" s="116"/>
      <c r="AB80" s="116"/>
    </row>
    <row r="81" spans="1:28">
      <c r="A81">
        <f>'All Girls &amp; Descendants'!B79</f>
        <v>106</v>
      </c>
      <c r="B81" t="str">
        <f>'All Girls &amp; Descendants'!C79</f>
        <v>106b</v>
      </c>
      <c r="C81" t="str">
        <f>'All Girls &amp; Descendants'!D79</f>
        <v>WINN</v>
      </c>
      <c r="D81" t="str">
        <f>'All Girls &amp; Descendants'!E79</f>
        <v>Charles</v>
      </c>
      <c r="E81" t="str">
        <f>IF('All Girls &amp; Descendants'!F79="","",'All Girls &amp; Descendants'!F79)</f>
        <v>Rowland</v>
      </c>
      <c r="F81" t="str">
        <f>IF('All Girls &amp; Descendants'!G79="","",'All Girls &amp; Descendants'!G79)</f>
        <v>Andrew</v>
      </c>
      <c r="G81" t="str">
        <f>IF('All Girls &amp; Descendants'!H79="",D81,'All Girls &amp; Descendants'!H79)</f>
        <v>Charles</v>
      </c>
      <c r="H81">
        <f>'All Girls &amp; Descendants'!I79</f>
        <v>1959</v>
      </c>
      <c r="I81" t="str">
        <f>'All Girls &amp; Descendants'!J79</f>
        <v/>
      </c>
      <c r="K81" s="3">
        <f>'All Girls &amp; Descendants'!M79</f>
        <v>21753</v>
      </c>
      <c r="L81" s="3" t="str">
        <f>'All Girls &amp; Descendants'!N79</f>
        <v xml:space="preserve"> - </v>
      </c>
      <c r="M81" t="str">
        <f>'All Girls &amp; Descendants'!O79</f>
        <v/>
      </c>
      <c r="N81" t="str">
        <f>'All Girls &amp; Descendants'!P79</f>
        <v/>
      </c>
      <c r="O81" t="str">
        <f>'All Girls &amp; Descendants'!Q79</f>
        <v>106</v>
      </c>
      <c r="P81" t="str">
        <f t="shared" si="32"/>
        <v>106b</v>
      </c>
      <c r="Q81" s="116">
        <f t="shared" si="38"/>
        <v>1</v>
      </c>
      <c r="R81" s="31" t="str">
        <f t="shared" si="39"/>
        <v>Charles Rowland Andrew WINN</v>
      </c>
      <c r="S81" t="str">
        <f t="shared" si="40"/>
        <v>Charles WINN (1959 - :  #106b)</v>
      </c>
      <c r="U81" s="116">
        <f t="shared" si="36"/>
        <v>106002</v>
      </c>
      <c r="V81" t="s">
        <v>1671</v>
      </c>
      <c r="W81" s="116">
        <f t="shared" si="37"/>
        <v>106</v>
      </c>
      <c r="X81" s="116" t="str">
        <f t="shared" si="41"/>
        <v>b</v>
      </c>
      <c r="Y81" s="116">
        <f>VLOOKUP(W81,'Loyd List 1-190 - Edit'!$P$1:$R$202,3,FALSE)</f>
        <v>77</v>
      </c>
      <c r="Z81" s="116"/>
      <c r="AB81" s="116"/>
    </row>
    <row r="82" spans="1:28">
      <c r="A82">
        <f>'All Girls &amp; Descendants'!B80</f>
        <v>107</v>
      </c>
      <c r="B82" t="str">
        <f>'All Girls &amp; Descendants'!C80</f>
        <v>107a</v>
      </c>
      <c r="C82" t="str">
        <f>'All Girls &amp; Descendants'!D80</f>
        <v>GRAHAM</v>
      </c>
      <c r="D82" t="str">
        <f>'All Girls &amp; Descendants'!E80</f>
        <v>Lorraine</v>
      </c>
      <c r="E82" t="str">
        <f>IF('All Girls &amp; Descendants'!F80="","",'All Girls &amp; Descendants'!F80)</f>
        <v>Mary</v>
      </c>
      <c r="F82" t="str">
        <f>IF('All Girls &amp; Descendants'!G80="","",'All Girls &amp; Descendants'!G80)</f>
        <v/>
      </c>
      <c r="G82" t="str">
        <f>IF('All Girls &amp; Descendants'!H80="",D82,'All Girls &amp; Descendants'!H80)</f>
        <v>Lorraine</v>
      </c>
      <c r="H82">
        <f>'All Girls &amp; Descendants'!I80</f>
        <v>1951</v>
      </c>
      <c r="I82" t="str">
        <f>'All Girls &amp; Descendants'!J80</f>
        <v/>
      </c>
      <c r="K82" s="3">
        <f>'All Girls &amp; Descendants'!M80</f>
        <v>18767</v>
      </c>
      <c r="L82" s="3">
        <f>'All Girls &amp; Descendants'!N80</f>
        <v>27439</v>
      </c>
      <c r="M82" t="str">
        <f>'All Girls &amp; Descendants'!O80</f>
        <v/>
      </c>
      <c r="N82" t="str">
        <f>'All Girls &amp; Descendants'!P80</f>
        <v/>
      </c>
      <c r="O82" t="str">
        <f>'All Girls &amp; Descendants'!Q80</f>
        <v>107</v>
      </c>
      <c r="P82" t="str">
        <f t="shared" si="32"/>
        <v>107a</v>
      </c>
      <c r="Q82" s="116">
        <f t="shared" si="38"/>
        <v>1</v>
      </c>
      <c r="R82" s="31" t="str">
        <f t="shared" si="39"/>
        <v>Lorraine Mary  GRAHAM</v>
      </c>
      <c r="S82" t="str">
        <f t="shared" si="40"/>
        <v>Lorraine GRAHAM (1951 - :  #107a)</v>
      </c>
      <c r="U82" s="116">
        <f t="shared" si="36"/>
        <v>107001</v>
      </c>
      <c r="V82" t="s">
        <v>1684</v>
      </c>
      <c r="W82" s="116">
        <f t="shared" si="37"/>
        <v>107</v>
      </c>
      <c r="X82" s="116" t="str">
        <f t="shared" si="41"/>
        <v>a</v>
      </c>
      <c r="Y82" s="116">
        <f>VLOOKUP(W82,'Loyd List 1-190 - Edit'!$P$1:$R$202,3,FALSE)</f>
        <v>76</v>
      </c>
      <c r="Z82" s="116"/>
      <c r="AB82" s="116"/>
    </row>
    <row r="83" spans="1:28">
      <c r="A83">
        <f>'All Girls &amp; Descendants'!B81</f>
        <v>107</v>
      </c>
      <c r="B83" t="str">
        <f>'All Girls &amp; Descendants'!C81</f>
        <v>107b</v>
      </c>
      <c r="C83" t="str">
        <f>'All Girls &amp; Descendants'!D81</f>
        <v>ORR</v>
      </c>
      <c r="D83" t="str">
        <f>'All Girls &amp; Descendants'!E81</f>
        <v>Nora</v>
      </c>
      <c r="E83" t="str">
        <f>IF('All Girls &amp; Descendants'!F81="","",'All Girls &amp; Descendants'!F81)</f>
        <v>Ann</v>
      </c>
      <c r="F83" t="str">
        <f>IF('All Girls &amp; Descendants'!G81="","",'All Girls &amp; Descendants'!G81)</f>
        <v/>
      </c>
      <c r="G83" t="str">
        <f>IF('All Girls &amp; Descendants'!H81="",D83,'All Girls &amp; Descendants'!H81)</f>
        <v>Nora</v>
      </c>
      <c r="H83">
        <f>'All Girls &amp; Descendants'!I81</f>
        <v>1955</v>
      </c>
      <c r="I83" t="str">
        <f>'All Girls &amp; Descendants'!J81</f>
        <v/>
      </c>
      <c r="K83" s="3">
        <f>'All Girls &amp; Descendants'!M81</f>
        <v>20168</v>
      </c>
      <c r="L83" s="3">
        <f>'All Girls &amp; Descendants'!N81</f>
        <v>26625</v>
      </c>
      <c r="M83" t="str">
        <f>'All Girls &amp; Descendants'!O81</f>
        <v/>
      </c>
      <c r="N83" t="str">
        <f>'All Girls &amp; Descendants'!P81</f>
        <v/>
      </c>
      <c r="O83" t="str">
        <f>'All Girls &amp; Descendants'!Q81</f>
        <v>107</v>
      </c>
      <c r="P83" t="str">
        <f t="shared" si="32"/>
        <v>107b</v>
      </c>
      <c r="Q83" s="116">
        <f t="shared" si="38"/>
        <v>1</v>
      </c>
      <c r="R83" s="31" t="str">
        <f t="shared" si="39"/>
        <v>Nora Ann  ORR</v>
      </c>
      <c r="S83" t="str">
        <f t="shared" si="40"/>
        <v>Nora ORR (1955 - :  #107b)</v>
      </c>
      <c r="U83" s="116">
        <f t="shared" si="36"/>
        <v>107002</v>
      </c>
      <c r="V83" t="s">
        <v>1697</v>
      </c>
      <c r="W83" s="116">
        <f t="shared" si="37"/>
        <v>107</v>
      </c>
      <c r="X83" s="116" t="str">
        <f t="shared" si="41"/>
        <v>b</v>
      </c>
      <c r="Y83" s="116">
        <f>VLOOKUP(W83,'Loyd List 1-190 - Edit'!$P$1:$R$202,3,FALSE)</f>
        <v>76</v>
      </c>
      <c r="Z83" s="116"/>
      <c r="AB83" s="116"/>
    </row>
    <row r="84" spans="1:28">
      <c r="A84">
        <f>'All Girls &amp; Descendants'!B82</f>
        <v>107</v>
      </c>
      <c r="B84" t="str">
        <f>'All Girls &amp; Descendants'!C82</f>
        <v>107c</v>
      </c>
      <c r="C84" t="str">
        <f>'All Girls &amp; Descendants'!D82</f>
        <v>ORR</v>
      </c>
      <c r="D84" t="str">
        <f>'All Girls &amp; Descendants'!E82</f>
        <v>Michael</v>
      </c>
      <c r="E84" t="str">
        <f>IF('All Girls &amp; Descendants'!F82="","",'All Girls &amp; Descendants'!F82)</f>
        <v>Kirkman</v>
      </c>
      <c r="F84" t="str">
        <f>IF('All Girls &amp; Descendants'!G82="","",'All Girls &amp; Descendants'!G82)</f>
        <v>Loyd</v>
      </c>
      <c r="G84" t="str">
        <f>IF('All Girls &amp; Descendants'!H82="",D84,'All Girls &amp; Descendants'!H82)</f>
        <v>Michael</v>
      </c>
      <c r="H84">
        <f>'All Girls &amp; Descendants'!I82</f>
        <v>1956</v>
      </c>
      <c r="I84" t="str">
        <f>'All Girls &amp; Descendants'!J82</f>
        <v/>
      </c>
      <c r="K84" s="3">
        <f>'All Girls &amp; Descendants'!M82</f>
        <v>20501</v>
      </c>
      <c r="L84" s="3">
        <f>'All Girls &amp; Descendants'!N82</f>
        <v>28277</v>
      </c>
      <c r="M84" t="str">
        <f>'All Girls &amp; Descendants'!O82</f>
        <v/>
      </c>
      <c r="N84" t="str">
        <f>'All Girls &amp; Descendants'!P82</f>
        <v/>
      </c>
      <c r="O84" t="str">
        <f>'All Girls &amp; Descendants'!Q82</f>
        <v>107</v>
      </c>
      <c r="P84" t="str">
        <f t="shared" si="32"/>
        <v>107c</v>
      </c>
      <c r="Q84" s="116">
        <f t="shared" si="38"/>
        <v>1</v>
      </c>
      <c r="R84" s="31" t="str">
        <f t="shared" si="39"/>
        <v>Michael Kirkman Loyd ORR</v>
      </c>
      <c r="S84" t="str">
        <f t="shared" si="40"/>
        <v>Michael ORR (1956 - :  #107c)</v>
      </c>
      <c r="U84" s="116">
        <f t="shared" si="36"/>
        <v>107003</v>
      </c>
      <c r="V84" t="s">
        <v>1702</v>
      </c>
      <c r="W84" s="116">
        <f t="shared" si="37"/>
        <v>107</v>
      </c>
      <c r="X84" s="116" t="str">
        <f t="shared" si="41"/>
        <v>c</v>
      </c>
      <c r="Y84" s="116">
        <f>VLOOKUP(W84,'Loyd List 1-190 - Edit'!$P$1:$R$202,3,FALSE)</f>
        <v>76</v>
      </c>
      <c r="Z84" s="116"/>
      <c r="AB84" s="116"/>
    </row>
    <row r="85" spans="1:28">
      <c r="A85">
        <f>'All Girls &amp; Descendants'!B83</f>
        <v>107</v>
      </c>
      <c r="B85" t="str">
        <f>'All Girls &amp; Descendants'!C83</f>
        <v>107d</v>
      </c>
      <c r="C85" t="str">
        <f>'All Girls &amp; Descendants'!D83</f>
        <v>ORR</v>
      </c>
      <c r="D85" t="str">
        <f>'All Girls &amp; Descendants'!E83</f>
        <v>Edward</v>
      </c>
      <c r="E85" t="str">
        <f>IF('All Girls &amp; Descendants'!F83="","",'All Girls &amp; Descendants'!F83)</f>
        <v>William</v>
      </c>
      <c r="F85" t="str">
        <f>IF('All Girls &amp; Descendants'!G83="","",'All Girls &amp; Descendants'!G83)</f>
        <v/>
      </c>
      <c r="G85" t="str">
        <f>IF('All Girls &amp; Descendants'!H83="",D85,'All Girls &amp; Descendants'!H83)</f>
        <v>Ted</v>
      </c>
      <c r="H85">
        <f>'All Girls &amp; Descendants'!I83</f>
        <v>1959</v>
      </c>
      <c r="I85" t="str">
        <f>'All Girls &amp; Descendants'!J83</f>
        <v/>
      </c>
      <c r="K85" s="3">
        <f>'All Girls &amp; Descendants'!M83</f>
        <v>21795</v>
      </c>
      <c r="L85" s="3">
        <f>'All Girls &amp; Descendants'!N83</f>
        <v>22514</v>
      </c>
      <c r="M85" t="str">
        <f>'All Girls &amp; Descendants'!O83</f>
        <v/>
      </c>
      <c r="N85" t="str">
        <f>'All Girls &amp; Descendants'!P83</f>
        <v/>
      </c>
      <c r="O85" t="str">
        <f>'All Girls &amp; Descendants'!Q83</f>
        <v>107</v>
      </c>
      <c r="P85" t="str">
        <f t="shared" si="32"/>
        <v>107d</v>
      </c>
      <c r="Q85" s="116">
        <f t="shared" si="38"/>
        <v>1</v>
      </c>
      <c r="R85" s="31" t="str">
        <f t="shared" si="39"/>
        <v>Edward William  ORR</v>
      </c>
      <c r="S85" t="str">
        <f t="shared" si="40"/>
        <v>Ted ORR (1959 - :  #107d)</v>
      </c>
      <c r="U85" s="116">
        <f t="shared" si="36"/>
        <v>107004</v>
      </c>
      <c r="V85" t="s">
        <v>1711</v>
      </c>
      <c r="W85" s="116">
        <f t="shared" si="37"/>
        <v>107</v>
      </c>
      <c r="X85" s="116" t="str">
        <f t="shared" si="41"/>
        <v>d</v>
      </c>
      <c r="Y85" s="116">
        <f>VLOOKUP(W85,'Loyd List 1-190 - Edit'!$P$1:$R$202,3,FALSE)</f>
        <v>76</v>
      </c>
      <c r="Z85" s="116"/>
      <c r="AB85" s="116"/>
    </row>
    <row r="86" spans="1:28">
      <c r="A86">
        <f>'All Girls &amp; Descendants'!B84</f>
        <v>107</v>
      </c>
      <c r="B86" t="str">
        <f>'All Girls &amp; Descendants'!C84</f>
        <v>107e</v>
      </c>
      <c r="C86" t="str">
        <f>'All Girls &amp; Descendants'!D84</f>
        <v>ORR</v>
      </c>
      <c r="D86" t="str">
        <f>'All Girls &amp; Descendants'!E84</f>
        <v>Heather</v>
      </c>
      <c r="E86" t="str">
        <f>IF('All Girls &amp; Descendants'!F84="","",'All Girls &amp; Descendants'!F84)</f>
        <v>Lynn</v>
      </c>
      <c r="F86" t="str">
        <f>IF('All Girls &amp; Descendants'!G84="","",'All Girls &amp; Descendants'!G84)</f>
        <v/>
      </c>
      <c r="G86" t="str">
        <f>IF('All Girls &amp; Descendants'!H84="",D86,'All Girls &amp; Descendants'!H84)</f>
        <v>Heather</v>
      </c>
      <c r="H86">
        <f>'All Girls &amp; Descendants'!I84</f>
        <v>1970</v>
      </c>
      <c r="I86" t="str">
        <f>'All Girls &amp; Descendants'!J84</f>
        <v/>
      </c>
      <c r="K86" s="3">
        <f>'All Girls &amp; Descendants'!M84</f>
        <v>25931</v>
      </c>
      <c r="L86" s="3" t="str">
        <f>'All Girls &amp; Descendants'!N84</f>
        <v xml:space="preserve"> - </v>
      </c>
      <c r="M86" t="str">
        <f>'All Girls &amp; Descendants'!O84</f>
        <v/>
      </c>
      <c r="N86" t="str">
        <f>'All Girls &amp; Descendants'!P84</f>
        <v/>
      </c>
      <c r="O86" t="str">
        <f>'All Girls &amp; Descendants'!Q84</f>
        <v>107</v>
      </c>
      <c r="P86" t="str">
        <f t="shared" si="32"/>
        <v>107e</v>
      </c>
      <c r="Q86" s="116">
        <f t="shared" si="38"/>
        <v>1</v>
      </c>
      <c r="R86" s="31" t="str">
        <f t="shared" si="39"/>
        <v>Heather Lynn  ORR</v>
      </c>
      <c r="S86" t="str">
        <f t="shared" si="40"/>
        <v>Heather ORR (1970 - :  #107e)</v>
      </c>
      <c r="U86" s="116">
        <f t="shared" si="36"/>
        <v>107005</v>
      </c>
      <c r="V86" t="s">
        <v>1718</v>
      </c>
      <c r="W86" s="116">
        <f t="shared" si="37"/>
        <v>107</v>
      </c>
      <c r="X86" s="116" t="str">
        <f t="shared" si="41"/>
        <v>e</v>
      </c>
      <c r="Y86" s="116">
        <f>VLOOKUP(W86,'Loyd List 1-190 - Edit'!$P$1:$R$202,3,FALSE)</f>
        <v>76</v>
      </c>
      <c r="Z86" s="116"/>
      <c r="AB86" s="116"/>
    </row>
    <row r="87" spans="1:28">
      <c r="A87">
        <f>'All Girls &amp; Descendants'!B85</f>
        <v>108</v>
      </c>
      <c r="B87" t="str">
        <f>'All Girls &amp; Descendants'!C85</f>
        <v>108a</v>
      </c>
      <c r="C87" t="str">
        <f>'All Girls &amp; Descendants'!D85</f>
        <v>HOYLE</v>
      </c>
      <c r="D87" t="str">
        <f>'All Girls &amp; Descendants'!E85</f>
        <v>Frances</v>
      </c>
      <c r="E87" t="str">
        <f>IF('All Girls &amp; Descendants'!F85="","",'All Girls &amp; Descendants'!F85)</f>
        <v>Mary</v>
      </c>
      <c r="F87" t="str">
        <f>IF('All Girls &amp; Descendants'!G85="","",'All Girls &amp; Descendants'!G85)</f>
        <v/>
      </c>
      <c r="G87" t="str">
        <f>IF('All Girls &amp; Descendants'!H85="",D87,'All Girls &amp; Descendants'!H85)</f>
        <v>Frances</v>
      </c>
      <c r="H87">
        <f>'All Girls &amp; Descendants'!I85</f>
        <v>1953</v>
      </c>
      <c r="I87" t="str">
        <f>'All Girls &amp; Descendants'!J85</f>
        <v/>
      </c>
      <c r="K87" s="3">
        <f>'All Girls &amp; Descendants'!M85</f>
        <v>19687</v>
      </c>
      <c r="L87" s="3">
        <f>'All Girls &amp; Descendants'!N85</f>
        <v>29860</v>
      </c>
      <c r="M87" t="str">
        <f>'All Girls &amp; Descendants'!O85</f>
        <v/>
      </c>
      <c r="N87" t="str">
        <f>'All Girls &amp; Descendants'!P85</f>
        <v/>
      </c>
      <c r="O87" t="str">
        <f>'All Girls &amp; Descendants'!Q85</f>
        <v>108</v>
      </c>
      <c r="P87" t="str">
        <f t="shared" si="32"/>
        <v>108a</v>
      </c>
      <c r="Q87" s="116">
        <f t="shared" si="38"/>
        <v>1</v>
      </c>
      <c r="R87" s="31" t="str">
        <f t="shared" si="39"/>
        <v>Frances Mary  HOYLE</v>
      </c>
      <c r="S87" t="str">
        <f t="shared" si="40"/>
        <v>Frances HOYLE (1953 - :  #108a)</v>
      </c>
      <c r="U87" s="116">
        <f t="shared" si="36"/>
        <v>108001</v>
      </c>
      <c r="V87" t="s">
        <v>1721</v>
      </c>
      <c r="W87" s="116">
        <f t="shared" si="37"/>
        <v>108</v>
      </c>
      <c r="X87" s="116" t="str">
        <f t="shared" si="41"/>
        <v>a</v>
      </c>
      <c r="Y87" s="116">
        <f>VLOOKUP(W87,'Loyd List 1-190 - Edit'!$P$1:$R$202,3,FALSE)</f>
        <v>55</v>
      </c>
      <c r="Z87" s="116"/>
      <c r="AB87" s="116"/>
    </row>
    <row r="88" spans="1:28">
      <c r="A88">
        <f>'All Girls &amp; Descendants'!B86</f>
        <v>108</v>
      </c>
      <c r="B88" t="str">
        <f>'All Girls &amp; Descendants'!C86</f>
        <v>108b</v>
      </c>
      <c r="C88" t="str">
        <f>'All Girls &amp; Descendants'!D86</f>
        <v>HOYLE</v>
      </c>
      <c r="D88" t="str">
        <f>'All Girls &amp; Descendants'!E86</f>
        <v>Richard</v>
      </c>
      <c r="E88" t="str">
        <f>IF('All Girls &amp; Descendants'!F86="","",'All Girls &amp; Descendants'!F86)</f>
        <v>William</v>
      </c>
      <c r="F88" t="str">
        <f>IF('All Girls &amp; Descendants'!G86="","",'All Girls &amp; Descendants'!G86)</f>
        <v>Lewis</v>
      </c>
      <c r="G88" t="str">
        <f>IF('All Girls &amp; Descendants'!H86="",D88,'All Girls &amp; Descendants'!H86)</f>
        <v>Richard</v>
      </c>
      <c r="H88">
        <f>'All Girls &amp; Descendants'!I86</f>
        <v>1956</v>
      </c>
      <c r="I88" t="str">
        <f>'All Girls &amp; Descendants'!J86</f>
        <v/>
      </c>
      <c r="K88" s="3">
        <f>'All Girls &amp; Descendants'!M86</f>
        <v>20801</v>
      </c>
      <c r="L88" s="3">
        <f>'All Girls &amp; Descendants'!N86</f>
        <v>29533</v>
      </c>
      <c r="M88" t="str">
        <f>'All Girls &amp; Descendants'!O86</f>
        <v/>
      </c>
      <c r="N88" t="str">
        <f>'All Girls &amp; Descendants'!P86</f>
        <v/>
      </c>
      <c r="O88" t="str">
        <f>'All Girls &amp; Descendants'!Q86</f>
        <v>108</v>
      </c>
      <c r="P88" t="str">
        <f t="shared" si="32"/>
        <v>108b</v>
      </c>
      <c r="Q88" s="116">
        <f t="shared" si="38"/>
        <v>1</v>
      </c>
      <c r="R88" s="31" t="str">
        <f t="shared" si="39"/>
        <v>Richard William Lewis HOYLE</v>
      </c>
      <c r="S88" t="str">
        <f t="shared" si="40"/>
        <v>Richard HOYLE (1956 - :  #108b)</v>
      </c>
      <c r="U88" s="116">
        <f t="shared" si="36"/>
        <v>108002</v>
      </c>
      <c r="V88" t="s">
        <v>1727</v>
      </c>
      <c r="W88" s="116">
        <f t="shared" si="37"/>
        <v>108</v>
      </c>
      <c r="X88" s="116" t="str">
        <f t="shared" si="41"/>
        <v>b</v>
      </c>
      <c r="Y88" s="116">
        <f>VLOOKUP(W88,'Loyd List 1-190 - Edit'!$P$1:$R$202,3,FALSE)</f>
        <v>55</v>
      </c>
      <c r="Z88" s="116"/>
      <c r="AB88" s="116"/>
    </row>
    <row r="89" spans="1:28">
      <c r="A89">
        <f>'All Girls &amp; Descendants'!B87</f>
        <v>108</v>
      </c>
      <c r="B89" t="str">
        <f>'All Girls &amp; Descendants'!C87</f>
        <v>108c</v>
      </c>
      <c r="C89" t="str">
        <f>'All Girls &amp; Descendants'!D87</f>
        <v>HOYLE</v>
      </c>
      <c r="D89" t="str">
        <f>'All Girls &amp; Descendants'!E87</f>
        <v>David</v>
      </c>
      <c r="E89" t="str">
        <f>IF('All Girls &amp; Descendants'!F87="","",'All Girls &amp; Descendants'!F87)</f>
        <v>John</v>
      </c>
      <c r="F89" t="str">
        <f>IF('All Girls &amp; Descendants'!G87="","",'All Girls &amp; Descendants'!G87)</f>
        <v/>
      </c>
      <c r="G89" t="str">
        <f>IF('All Girls &amp; Descendants'!H87="",D89,'All Girls &amp; Descendants'!H87)</f>
        <v>David</v>
      </c>
      <c r="H89">
        <f>'All Girls &amp; Descendants'!I87</f>
        <v>1961</v>
      </c>
      <c r="I89" t="str">
        <f>'All Girls &amp; Descendants'!J87</f>
        <v/>
      </c>
      <c r="K89" s="3">
        <f>'All Girls &amp; Descendants'!M87</f>
        <v>22617</v>
      </c>
      <c r="L89" s="3">
        <f>'All Girls &amp; Descendants'!N87</f>
        <v>30086</v>
      </c>
      <c r="M89" t="str">
        <f>'All Girls &amp; Descendants'!O87</f>
        <v/>
      </c>
      <c r="N89" t="str">
        <f>'All Girls &amp; Descendants'!P87</f>
        <v/>
      </c>
      <c r="O89" t="str">
        <f>'All Girls &amp; Descendants'!Q87</f>
        <v>108</v>
      </c>
      <c r="P89" t="str">
        <f t="shared" si="32"/>
        <v>108c</v>
      </c>
      <c r="Q89" s="116">
        <f t="shared" si="38"/>
        <v>1</v>
      </c>
      <c r="R89" s="31" t="str">
        <f t="shared" si="39"/>
        <v>David John  HOYLE</v>
      </c>
      <c r="S89" t="str">
        <f t="shared" si="40"/>
        <v>David HOYLE (1961 - :  #108c)</v>
      </c>
      <c r="U89" s="116">
        <f t="shared" si="36"/>
        <v>108003</v>
      </c>
      <c r="V89" t="s">
        <v>1731</v>
      </c>
      <c r="W89" s="116">
        <f t="shared" si="37"/>
        <v>108</v>
      </c>
      <c r="X89" s="116" t="str">
        <f t="shared" si="41"/>
        <v>c</v>
      </c>
      <c r="Y89" s="116">
        <f>VLOOKUP(W89,'Loyd List 1-190 - Edit'!$P$1:$R$202,3,FALSE)</f>
        <v>55</v>
      </c>
      <c r="Z89" s="116"/>
      <c r="AB89" s="116"/>
    </row>
    <row r="90" spans="1:28">
      <c r="A90">
        <f>'All Girls &amp; Descendants'!B88</f>
        <v>108</v>
      </c>
      <c r="B90" t="str">
        <f>'All Girls &amp; Descendants'!C88</f>
        <v>108d</v>
      </c>
      <c r="C90" t="str">
        <f>'All Girls &amp; Descendants'!D88</f>
        <v>HOYLE</v>
      </c>
      <c r="D90" t="str">
        <f>'All Girls &amp; Descendants'!E88</f>
        <v>Peter</v>
      </c>
      <c r="E90" t="str">
        <f>IF('All Girls &amp; Descendants'!F88="","",'All Girls &amp; Descendants'!F88)</f>
        <v>James</v>
      </c>
      <c r="F90" t="str">
        <f>IF('All Girls &amp; Descendants'!G88="","",'All Girls &amp; Descendants'!G88)</f>
        <v/>
      </c>
      <c r="G90" t="str">
        <f>IF('All Girls &amp; Descendants'!H88="",D90,'All Girls &amp; Descendants'!H88)</f>
        <v>Peter</v>
      </c>
      <c r="H90">
        <f>'All Girls &amp; Descendants'!I88</f>
        <v>1963</v>
      </c>
      <c r="I90" t="str">
        <f>'All Girls &amp; Descendants'!J88</f>
        <v/>
      </c>
      <c r="K90" s="3">
        <f>'All Girls &amp; Descendants'!M88</f>
        <v>23324</v>
      </c>
      <c r="L90" s="3">
        <f>'All Girls &amp; Descendants'!N88</f>
        <v>31227</v>
      </c>
      <c r="M90" t="str">
        <f>'All Girls &amp; Descendants'!O88</f>
        <v/>
      </c>
      <c r="N90" t="str">
        <f>'All Girls &amp; Descendants'!P88</f>
        <v/>
      </c>
      <c r="O90" t="str">
        <f>'All Girls &amp; Descendants'!Q88</f>
        <v>108</v>
      </c>
      <c r="P90" t="str">
        <f t="shared" si="32"/>
        <v>108d</v>
      </c>
      <c r="Q90" s="116">
        <f t="shared" si="38"/>
        <v>1</v>
      </c>
      <c r="R90" s="31" t="str">
        <f t="shared" si="39"/>
        <v>Peter James  HOYLE</v>
      </c>
      <c r="S90" t="str">
        <f t="shared" si="40"/>
        <v>Peter HOYLE (1963 - :  #108d)</v>
      </c>
      <c r="U90" s="116">
        <f t="shared" si="36"/>
        <v>108004</v>
      </c>
      <c r="V90" t="s">
        <v>1734</v>
      </c>
      <c r="W90" s="116">
        <f t="shared" si="37"/>
        <v>108</v>
      </c>
      <c r="X90" s="116" t="str">
        <f t="shared" si="41"/>
        <v>d</v>
      </c>
      <c r="Y90" s="116">
        <f>VLOOKUP(W90,'Loyd List 1-190 - Edit'!$P$1:$R$202,3,FALSE)</f>
        <v>55</v>
      </c>
      <c r="Z90" s="116"/>
      <c r="AB90" s="116"/>
    </row>
    <row r="91" spans="1:28">
      <c r="A91">
        <f>'All Girls &amp; Descendants'!B89</f>
        <v>109</v>
      </c>
      <c r="B91" t="str">
        <f>'All Girls &amp; Descendants'!C89</f>
        <v>109a</v>
      </c>
      <c r="C91" t="str">
        <f>'All Girls &amp; Descendants'!D89</f>
        <v>WALTON</v>
      </c>
      <c r="D91" t="str">
        <f>'All Girls &amp; Descendants'!E89</f>
        <v>Jennet</v>
      </c>
      <c r="E91" t="str">
        <f>IF('All Girls &amp; Descendants'!F89="","",'All Girls &amp; Descendants'!F89)</f>
        <v/>
      </c>
      <c r="F91" t="str">
        <f>IF('All Girls &amp; Descendants'!G89="","",'All Girls &amp; Descendants'!G89)</f>
        <v/>
      </c>
      <c r="G91" t="str">
        <f>IF('All Girls &amp; Descendants'!H89="",D91,'All Girls &amp; Descendants'!H89)</f>
        <v>Jennet</v>
      </c>
      <c r="H91">
        <f>'All Girls &amp; Descendants'!I89</f>
        <v>1964</v>
      </c>
      <c r="I91" t="str">
        <f>'All Girls &amp; Descendants'!J89</f>
        <v/>
      </c>
      <c r="K91" s="3">
        <f>'All Girls &amp; Descendants'!M89</f>
        <v>23706</v>
      </c>
      <c r="L91" s="3" t="str">
        <f>'All Girls &amp; Descendants'!N89</f>
        <v xml:space="preserve"> - </v>
      </c>
      <c r="M91" t="str">
        <f>'All Girls &amp; Descendants'!O89</f>
        <v/>
      </c>
      <c r="N91" t="str">
        <f>'All Girls &amp; Descendants'!P89</f>
        <v/>
      </c>
      <c r="O91" t="str">
        <f>'All Girls &amp; Descendants'!Q89</f>
        <v>109</v>
      </c>
      <c r="P91" t="str">
        <f t="shared" si="32"/>
        <v>109a</v>
      </c>
      <c r="Q91" s="116">
        <f t="shared" si="38"/>
        <v>1</v>
      </c>
      <c r="R91" s="31" t="str">
        <f t="shared" si="39"/>
        <v>Jennet   WALTON</v>
      </c>
      <c r="S91" t="str">
        <f t="shared" si="40"/>
        <v>Jennet WALTON (1964 - :  #109a)</v>
      </c>
      <c r="U91" s="116">
        <f t="shared" si="36"/>
        <v>109001</v>
      </c>
      <c r="V91" t="s">
        <v>1739</v>
      </c>
      <c r="W91" s="116">
        <f t="shared" si="37"/>
        <v>109</v>
      </c>
      <c r="X91" s="116" t="str">
        <f t="shared" si="41"/>
        <v>a</v>
      </c>
      <c r="Y91" s="116">
        <f>VLOOKUP(W91,'Loyd List 1-190 - Edit'!$P$1:$R$202,3,FALSE)</f>
        <v>80</v>
      </c>
      <c r="Z91" s="116"/>
      <c r="AB91" s="116"/>
    </row>
    <row r="92" spans="1:28">
      <c r="A92">
        <f>'All Girls &amp; Descendants'!B90</f>
        <v>109</v>
      </c>
      <c r="B92" t="str">
        <f>'All Girls &amp; Descendants'!C90</f>
        <v>109b</v>
      </c>
      <c r="C92" t="str">
        <f>'All Girls &amp; Descendants'!D90</f>
        <v>WALTON</v>
      </c>
      <c r="D92" t="str">
        <f>'All Girls &amp; Descendants'!E90</f>
        <v>Timothy</v>
      </c>
      <c r="E92" t="str">
        <f>IF('All Girls &amp; Descendants'!F90="","",'All Girls &amp; Descendants'!F90)</f>
        <v/>
      </c>
      <c r="F92" t="str">
        <f>IF('All Girls &amp; Descendants'!G90="","",'All Girls &amp; Descendants'!G90)</f>
        <v/>
      </c>
      <c r="G92" t="str">
        <f>IF('All Girls &amp; Descendants'!H90="",D92,'All Girls &amp; Descendants'!H90)</f>
        <v>Timothy</v>
      </c>
      <c r="H92">
        <f>'All Girls &amp; Descendants'!I90</f>
        <v>1967</v>
      </c>
      <c r="I92" t="str">
        <f>'All Girls &amp; Descendants'!J90</f>
        <v/>
      </c>
      <c r="K92" s="3">
        <f>'All Girls &amp; Descendants'!M90</f>
        <v>24706</v>
      </c>
      <c r="L92" s="3" t="str">
        <f>'All Girls &amp; Descendants'!N90</f>
        <v xml:space="preserve"> - </v>
      </c>
      <c r="M92" t="str">
        <f>'All Girls &amp; Descendants'!O90</f>
        <v/>
      </c>
      <c r="N92" t="str">
        <f>'All Girls &amp; Descendants'!P90</f>
        <v/>
      </c>
      <c r="O92" t="str">
        <f>'All Girls &amp; Descendants'!Q90</f>
        <v>109</v>
      </c>
      <c r="P92" t="str">
        <f t="shared" si="32"/>
        <v>109b</v>
      </c>
      <c r="Q92" s="116">
        <f t="shared" si="38"/>
        <v>1</v>
      </c>
      <c r="R92" s="31" t="str">
        <f t="shared" si="39"/>
        <v>Timothy   WALTON</v>
      </c>
      <c r="S92" t="str">
        <f t="shared" si="40"/>
        <v>Timothy WALTON (1967 - :  #109b)</v>
      </c>
      <c r="U92" s="116">
        <f t="shared" si="36"/>
        <v>109002</v>
      </c>
      <c r="V92" t="s">
        <v>1740</v>
      </c>
      <c r="W92" s="116">
        <f t="shared" si="37"/>
        <v>109</v>
      </c>
      <c r="X92" s="116" t="str">
        <f t="shared" si="41"/>
        <v>b</v>
      </c>
      <c r="Y92" s="116">
        <f>VLOOKUP(W92,'Loyd List 1-190 - Edit'!$P$1:$R$202,3,FALSE)</f>
        <v>80</v>
      </c>
      <c r="Z92" s="116"/>
      <c r="AB92" s="116"/>
    </row>
    <row r="93" spans="1:28">
      <c r="A93">
        <f>'All Girls &amp; Descendants'!B91</f>
        <v>110</v>
      </c>
      <c r="B93" t="str">
        <f>'All Girls &amp; Descendants'!C91</f>
        <v>110a</v>
      </c>
      <c r="C93" t="str">
        <f>'All Girls &amp; Descendants'!D91</f>
        <v>BOYCE</v>
      </c>
      <c r="D93" t="str">
        <f>'All Girls &amp; Descendants'!E91</f>
        <v>John</v>
      </c>
      <c r="E93" t="str">
        <f>IF('All Girls &amp; Descendants'!F91="","",'All Girls &amp; Descendants'!F91)</f>
        <v>Drummond</v>
      </c>
      <c r="F93" t="str">
        <f>IF('All Girls &amp; Descendants'!G91="","",'All Girls &amp; Descendants'!G91)</f>
        <v/>
      </c>
      <c r="G93" t="str">
        <f>IF('All Girls &amp; Descendants'!H91="",D93,'All Girls &amp; Descendants'!H91)</f>
        <v>John</v>
      </c>
      <c r="H93">
        <f>'All Girls &amp; Descendants'!I91</f>
        <v>1961</v>
      </c>
      <c r="I93" t="str">
        <f>'All Girls &amp; Descendants'!J91</f>
        <v/>
      </c>
      <c r="K93" s="3">
        <f>'All Girls &amp; Descendants'!M91</f>
        <v>22492</v>
      </c>
      <c r="L93" s="3">
        <f>'All Girls &amp; Descendants'!N91</f>
        <v>32004</v>
      </c>
      <c r="M93" t="str">
        <f>'All Girls &amp; Descendants'!O91</f>
        <v/>
      </c>
      <c r="N93" t="str">
        <f>'All Girls &amp; Descendants'!P91</f>
        <v/>
      </c>
      <c r="O93" t="str">
        <f>'All Girls &amp; Descendants'!Q91</f>
        <v>110</v>
      </c>
      <c r="P93" t="str">
        <f t="shared" si="32"/>
        <v>110a</v>
      </c>
      <c r="Q93" s="116">
        <f t="shared" si="38"/>
        <v>1</v>
      </c>
      <c r="R93" s="31" t="str">
        <f t="shared" si="39"/>
        <v>John Drummond  BOYCE</v>
      </c>
      <c r="S93" t="str">
        <f t="shared" si="40"/>
        <v>John BOYCE (1961 - :  #110a)</v>
      </c>
      <c r="U93" s="116">
        <f t="shared" si="36"/>
        <v>110001</v>
      </c>
      <c r="V93" t="s">
        <v>1744</v>
      </c>
      <c r="W93" s="116">
        <f t="shared" si="37"/>
        <v>110</v>
      </c>
      <c r="X93" s="116" t="str">
        <f t="shared" si="41"/>
        <v>a</v>
      </c>
      <c r="Y93" s="116">
        <f>VLOOKUP(W93,'Loyd List 1-190 - Edit'!$P$1:$R$202,3,FALSE)</f>
        <v>80</v>
      </c>
      <c r="Z93" s="116"/>
      <c r="AB93" s="116"/>
    </row>
    <row r="94" spans="1:28">
      <c r="A94">
        <f>'All Girls &amp; Descendants'!B92</f>
        <v>110</v>
      </c>
      <c r="B94" t="str">
        <f>'All Girls &amp; Descendants'!C92</f>
        <v>110b</v>
      </c>
      <c r="C94" t="str">
        <f>'All Girls &amp; Descendants'!D92</f>
        <v>BOYCE</v>
      </c>
      <c r="D94" t="str">
        <f>'All Girls &amp; Descendants'!E92</f>
        <v>Joanna</v>
      </c>
      <c r="E94" t="str">
        <f>IF('All Girls &amp; Descendants'!F92="","",'All Girls &amp; Descendants'!F92)</f>
        <v>Mary</v>
      </c>
      <c r="F94" t="str">
        <f>IF('All Girls &amp; Descendants'!G92="","",'All Girls &amp; Descendants'!G92)</f>
        <v/>
      </c>
      <c r="G94" t="str">
        <f>IF('All Girls &amp; Descendants'!H92="",D94,'All Girls &amp; Descendants'!H92)</f>
        <v>Joanna</v>
      </c>
      <c r="H94">
        <f>'All Girls &amp; Descendants'!I92</f>
        <v>1963</v>
      </c>
      <c r="I94" t="str">
        <f>'All Girls &amp; Descendants'!J92</f>
        <v/>
      </c>
      <c r="K94" s="3">
        <f>'All Girls &amp; Descendants'!M92</f>
        <v>23060</v>
      </c>
      <c r="L94" s="3" t="str">
        <f>'All Girls &amp; Descendants'!N92</f>
        <v xml:space="preserve"> - </v>
      </c>
      <c r="M94" t="str">
        <f>'All Girls &amp; Descendants'!O92</f>
        <v/>
      </c>
      <c r="N94" t="str">
        <f>'All Girls &amp; Descendants'!P92</f>
        <v/>
      </c>
      <c r="O94" t="str">
        <f>'All Girls &amp; Descendants'!Q92</f>
        <v>110</v>
      </c>
      <c r="P94" t="str">
        <f t="shared" si="32"/>
        <v>110b</v>
      </c>
      <c r="Q94" s="116">
        <f t="shared" si="38"/>
        <v>1</v>
      </c>
      <c r="R94" s="31" t="str">
        <f t="shared" si="39"/>
        <v>Joanna Mary  BOYCE</v>
      </c>
      <c r="S94" t="str">
        <f t="shared" si="40"/>
        <v>Joanna BOYCE (1963 - :  #110b)</v>
      </c>
      <c r="U94" s="116">
        <f t="shared" si="36"/>
        <v>110002</v>
      </c>
      <c r="V94" t="s">
        <v>1749</v>
      </c>
      <c r="W94" s="116">
        <f t="shared" si="37"/>
        <v>110</v>
      </c>
      <c r="X94" s="116" t="str">
        <f t="shared" si="41"/>
        <v>b</v>
      </c>
      <c r="Y94" s="116">
        <f>VLOOKUP(W94,'Loyd List 1-190 - Edit'!$P$1:$R$202,3,FALSE)</f>
        <v>80</v>
      </c>
      <c r="Z94" s="116"/>
      <c r="AB94" s="116"/>
    </row>
    <row r="95" spans="1:28">
      <c r="A95">
        <f>'All Girls &amp; Descendants'!B93</f>
        <v>110</v>
      </c>
      <c r="B95" t="str">
        <f>'All Girls &amp; Descendants'!C93</f>
        <v>110c</v>
      </c>
      <c r="C95" t="str">
        <f>'All Girls &amp; Descendants'!D93</f>
        <v>BOYCE</v>
      </c>
      <c r="D95" t="str">
        <f>'All Girls &amp; Descendants'!E93</f>
        <v>Robert</v>
      </c>
      <c r="E95" t="str">
        <f>IF('All Girls &amp; Descendants'!F93="","",'All Girls &amp; Descendants'!F93)</f>
        <v>Eric</v>
      </c>
      <c r="F95" t="str">
        <f>IF('All Girls &amp; Descendants'!G93="","",'All Girls &amp; Descendants'!G93)</f>
        <v/>
      </c>
      <c r="G95" t="str">
        <f>IF('All Girls &amp; Descendants'!H93="",D95,'All Girls &amp; Descendants'!H93)</f>
        <v>Robert</v>
      </c>
      <c r="H95">
        <f>'All Girls &amp; Descendants'!I93</f>
        <v>1964</v>
      </c>
      <c r="I95" t="str">
        <f>'All Girls &amp; Descendants'!J93</f>
        <v/>
      </c>
      <c r="K95" s="3">
        <f>'All Girls &amp; Descendants'!M93</f>
        <v>23456</v>
      </c>
      <c r="L95" s="3" t="str">
        <f>'All Girls &amp; Descendants'!N93</f>
        <v xml:space="preserve"> - </v>
      </c>
      <c r="M95" t="str">
        <f>'All Girls &amp; Descendants'!O93</f>
        <v/>
      </c>
      <c r="N95" t="str">
        <f>'All Girls &amp; Descendants'!P93</f>
        <v/>
      </c>
      <c r="O95" t="str">
        <f>'All Girls &amp; Descendants'!Q93</f>
        <v>110</v>
      </c>
      <c r="P95" t="str">
        <f t="shared" ref="P95:P143" si="42">B95</f>
        <v>110c</v>
      </c>
      <c r="Q95" s="116">
        <f t="shared" si="38"/>
        <v>1</v>
      </c>
      <c r="R95" s="31" t="str">
        <f t="shared" si="39"/>
        <v>Robert Eric  BOYCE</v>
      </c>
      <c r="S95" t="str">
        <f t="shared" si="40"/>
        <v>Robert BOYCE (1964 - :  #110c)</v>
      </c>
      <c r="U95" s="116">
        <f t="shared" si="36"/>
        <v>110003</v>
      </c>
      <c r="V95" t="s">
        <v>1750</v>
      </c>
      <c r="W95" s="116">
        <f t="shared" si="37"/>
        <v>110</v>
      </c>
      <c r="X95" s="116" t="str">
        <f t="shared" si="41"/>
        <v>c</v>
      </c>
      <c r="Y95" s="116">
        <f>VLOOKUP(W95,'Loyd List 1-190 - Edit'!$P$1:$R$202,3,FALSE)</f>
        <v>80</v>
      </c>
      <c r="Z95" s="116"/>
      <c r="AB95" s="116"/>
    </row>
    <row r="96" spans="1:28">
      <c r="A96">
        <f>'All Girls &amp; Descendants'!B94</f>
        <v>110</v>
      </c>
      <c r="B96" t="str">
        <f>'All Girls &amp; Descendants'!C94</f>
        <v>110d</v>
      </c>
      <c r="C96" t="str">
        <f>'All Girls &amp; Descendants'!D94</f>
        <v>BOYCE</v>
      </c>
      <c r="D96" t="str">
        <f>'All Girls &amp; Descendants'!E94</f>
        <v>Paula</v>
      </c>
      <c r="E96" t="str">
        <f>IF('All Girls &amp; Descendants'!F94="","",'All Girls &amp; Descendants'!F94)</f>
        <v>Margaret</v>
      </c>
      <c r="F96" t="str">
        <f>IF('All Girls &amp; Descendants'!G94="","",'All Girls &amp; Descendants'!G94)</f>
        <v/>
      </c>
      <c r="G96" t="str">
        <f>IF('All Girls &amp; Descendants'!H94="",D96,'All Girls &amp; Descendants'!H94)</f>
        <v>Paula</v>
      </c>
      <c r="H96">
        <f>'All Girls &amp; Descendants'!I94</f>
        <v>1966</v>
      </c>
      <c r="I96" t="str">
        <f>'All Girls &amp; Descendants'!J94</f>
        <v/>
      </c>
      <c r="K96" s="3">
        <f>'All Girls &amp; Descendants'!M94</f>
        <v>24376</v>
      </c>
      <c r="L96" s="3">
        <f>'All Girls &amp; Descendants'!N94</f>
        <v>35276</v>
      </c>
      <c r="M96" t="str">
        <f>'All Girls &amp; Descendants'!O94</f>
        <v/>
      </c>
      <c r="N96" t="str">
        <f>'All Girls &amp; Descendants'!P94</f>
        <v/>
      </c>
      <c r="O96" t="str">
        <f>'All Girls &amp; Descendants'!Q94</f>
        <v>110</v>
      </c>
      <c r="P96" t="str">
        <f t="shared" si="42"/>
        <v>110d</v>
      </c>
      <c r="Q96" s="116">
        <f t="shared" si="38"/>
        <v>1</v>
      </c>
      <c r="R96" s="31" t="str">
        <f t="shared" si="39"/>
        <v>Paula Margaret  BOYCE</v>
      </c>
      <c r="S96" t="str">
        <f t="shared" si="40"/>
        <v>Paula BOYCE (1966 - :  #110d)</v>
      </c>
      <c r="U96" s="116">
        <f t="shared" si="36"/>
        <v>110004</v>
      </c>
      <c r="V96" t="s">
        <v>1751</v>
      </c>
      <c r="W96" s="116">
        <f t="shared" si="37"/>
        <v>110</v>
      </c>
      <c r="X96" s="116" t="str">
        <f t="shared" si="41"/>
        <v>d</v>
      </c>
      <c r="Y96" s="116">
        <f>VLOOKUP(W96,'Loyd List 1-190 - Edit'!$P$1:$R$202,3,FALSE)</f>
        <v>80</v>
      </c>
      <c r="Z96" s="116"/>
      <c r="AB96" s="116"/>
    </row>
    <row r="97" spans="1:28">
      <c r="A97">
        <f>'All Girls &amp; Descendants'!B95</f>
        <v>112</v>
      </c>
      <c r="B97" t="str">
        <f>'All Girls &amp; Descendants'!C95</f>
        <v>112a</v>
      </c>
      <c r="C97" t="str">
        <f>'All Girls &amp; Descendants'!D95</f>
        <v>DOWNES</v>
      </c>
      <c r="D97" t="str">
        <f>'All Girls &amp; Descendants'!E95</f>
        <v>Kevin</v>
      </c>
      <c r="E97" t="str">
        <f>IF('All Girls &amp; Descendants'!F95="","",'All Girls &amp; Descendants'!F95)</f>
        <v>John</v>
      </c>
      <c r="F97" t="str">
        <f>IF('All Girls &amp; Descendants'!G95="","",'All Girls &amp; Descendants'!G95)</f>
        <v/>
      </c>
      <c r="G97" t="str">
        <f>IF('All Girls &amp; Descendants'!H95="",D97,'All Girls &amp; Descendants'!H95)</f>
        <v>Kevin</v>
      </c>
      <c r="H97">
        <f>'All Girls &amp; Descendants'!I95</f>
        <v>1958</v>
      </c>
      <c r="I97" t="str">
        <f>'All Girls &amp; Descendants'!J95</f>
        <v/>
      </c>
      <c r="K97" s="3">
        <f>'All Girls &amp; Descendants'!M95</f>
        <v>21471</v>
      </c>
      <c r="L97" s="3" t="str">
        <f>'All Girls &amp; Descendants'!N95</f>
        <v xml:space="preserve"> - </v>
      </c>
      <c r="M97" t="str">
        <f>'All Girls &amp; Descendants'!O95</f>
        <v/>
      </c>
      <c r="N97" t="str">
        <f>'All Girls &amp; Descendants'!P95</f>
        <v/>
      </c>
      <c r="O97" t="str">
        <f>'All Girls &amp; Descendants'!Q95</f>
        <v>112</v>
      </c>
      <c r="P97" t="str">
        <f t="shared" si="42"/>
        <v>112a</v>
      </c>
      <c r="Q97" s="116">
        <f t="shared" si="38"/>
        <v>1</v>
      </c>
      <c r="R97" s="31" t="str">
        <f t="shared" si="39"/>
        <v>Kevin John  DOWNES</v>
      </c>
      <c r="S97" t="str">
        <f t="shared" si="40"/>
        <v>Kevin DOWNES (1958 - :  #112a)</v>
      </c>
      <c r="U97" s="116">
        <f t="shared" si="36"/>
        <v>112001</v>
      </c>
      <c r="V97" t="s">
        <v>1760</v>
      </c>
      <c r="W97" s="116">
        <f t="shared" si="37"/>
        <v>112</v>
      </c>
      <c r="X97" s="116" t="str">
        <f t="shared" si="41"/>
        <v>a</v>
      </c>
      <c r="Y97" s="116">
        <f>VLOOKUP(W97,'Loyd List 1-190 - Edit'!$P$1:$R$202,3,FALSE)</f>
        <v>55</v>
      </c>
      <c r="Z97" s="116"/>
      <c r="AB97" s="116"/>
    </row>
    <row r="98" spans="1:28">
      <c r="A98">
        <f>'All Girls &amp; Descendants'!B96</f>
        <v>112</v>
      </c>
      <c r="B98" t="str">
        <f>'All Girls &amp; Descendants'!C96</f>
        <v>112b</v>
      </c>
      <c r="C98" t="str">
        <f>'All Girls &amp; Descendants'!D96</f>
        <v>DOWNES</v>
      </c>
      <c r="D98" t="str">
        <f>'All Girls &amp; Descendants'!E96</f>
        <v>Lynda</v>
      </c>
      <c r="E98" t="str">
        <f>IF('All Girls &amp; Descendants'!F96="","",'All Girls &amp; Descendants'!F96)</f>
        <v>Carol</v>
      </c>
      <c r="F98" t="str">
        <f>IF('All Girls &amp; Descendants'!G96="","",'All Girls &amp; Descendants'!G96)</f>
        <v/>
      </c>
      <c r="G98" t="str">
        <f>IF('All Girls &amp; Descendants'!H96="",D98,'All Girls &amp; Descendants'!H96)</f>
        <v>Lynda</v>
      </c>
      <c r="H98">
        <f>'All Girls &amp; Descendants'!I96</f>
        <v>1960</v>
      </c>
      <c r="I98" t="str">
        <f>'All Girls &amp; Descendants'!J96</f>
        <v/>
      </c>
      <c r="K98" s="3">
        <f>'All Girls &amp; Descendants'!M96</f>
        <v>22204</v>
      </c>
      <c r="L98" s="3" t="str">
        <f>'All Girls &amp; Descendants'!N96</f>
        <v xml:space="preserve"> - </v>
      </c>
      <c r="M98" t="str">
        <f>'All Girls &amp; Descendants'!O96</f>
        <v/>
      </c>
      <c r="N98" t="str">
        <f>'All Girls &amp; Descendants'!P96</f>
        <v/>
      </c>
      <c r="O98" t="str">
        <f>'All Girls &amp; Descendants'!Q96</f>
        <v>112</v>
      </c>
      <c r="P98" t="str">
        <f t="shared" si="42"/>
        <v>112b</v>
      </c>
      <c r="Q98" s="116">
        <f t="shared" si="38"/>
        <v>1</v>
      </c>
      <c r="R98" s="31" t="str">
        <f t="shared" si="39"/>
        <v>Lynda Carol  DOWNES</v>
      </c>
      <c r="S98" t="str">
        <f t="shared" si="40"/>
        <v>Lynda DOWNES (1960 - :  #112b)</v>
      </c>
      <c r="U98" s="116">
        <f t="shared" si="36"/>
        <v>112002</v>
      </c>
      <c r="V98" t="s">
        <v>1761</v>
      </c>
      <c r="W98" s="116">
        <f t="shared" si="37"/>
        <v>112</v>
      </c>
      <c r="X98" s="116" t="str">
        <f t="shared" si="41"/>
        <v>b</v>
      </c>
      <c r="Y98" s="116">
        <f>VLOOKUP(W98,'Loyd List 1-190 - Edit'!$P$1:$R$202,3,FALSE)</f>
        <v>55</v>
      </c>
      <c r="Z98" s="116"/>
      <c r="AB98" s="116"/>
    </row>
    <row r="99" spans="1:28">
      <c r="A99">
        <f>'All Girls &amp; Descendants'!B97</f>
        <v>112</v>
      </c>
      <c r="B99" t="str">
        <f>'All Girls &amp; Descendants'!C97</f>
        <v>112c</v>
      </c>
      <c r="C99" t="str">
        <f>'All Girls &amp; Descendants'!D97</f>
        <v>DOWNES</v>
      </c>
      <c r="D99" t="str">
        <f>'All Girls &amp; Descendants'!E97</f>
        <v>Graeme</v>
      </c>
      <c r="E99" t="str">
        <f>IF('All Girls &amp; Descendants'!F97="","",'All Girls &amp; Descendants'!F97)</f>
        <v>Richard</v>
      </c>
      <c r="F99" t="str">
        <f>IF('All Girls &amp; Descendants'!G97="","",'All Girls &amp; Descendants'!G97)</f>
        <v/>
      </c>
      <c r="G99" t="str">
        <f>IF('All Girls &amp; Descendants'!H97="",D99,'All Girls &amp; Descendants'!H97)</f>
        <v>Graeme</v>
      </c>
      <c r="H99">
        <f>'All Girls &amp; Descendants'!I97</f>
        <v>1961</v>
      </c>
      <c r="I99" t="str">
        <f>'All Girls &amp; Descendants'!J97</f>
        <v/>
      </c>
      <c r="K99" s="3">
        <f>'All Girls &amp; Descendants'!M97</f>
        <v>22576</v>
      </c>
      <c r="L99" s="3" t="str">
        <f>'All Girls &amp; Descendants'!N97</f>
        <v xml:space="preserve"> - </v>
      </c>
      <c r="M99" t="str">
        <f>'All Girls &amp; Descendants'!O97</f>
        <v/>
      </c>
      <c r="N99" t="str">
        <f>'All Girls &amp; Descendants'!P97</f>
        <v/>
      </c>
      <c r="O99" t="str">
        <f>'All Girls &amp; Descendants'!Q97</f>
        <v>112</v>
      </c>
      <c r="P99" t="str">
        <f t="shared" si="42"/>
        <v>112c</v>
      </c>
      <c r="Q99" s="116">
        <f t="shared" si="38"/>
        <v>1</v>
      </c>
      <c r="R99" s="31" t="str">
        <f t="shared" si="39"/>
        <v>Graeme Richard  DOWNES</v>
      </c>
      <c r="S99" t="str">
        <f t="shared" si="40"/>
        <v>Graeme DOWNES (1961 - :  #112c)</v>
      </c>
      <c r="U99" s="116">
        <f t="shared" si="36"/>
        <v>112003</v>
      </c>
      <c r="V99" t="s">
        <v>1762</v>
      </c>
      <c r="W99" s="116">
        <f t="shared" si="37"/>
        <v>112</v>
      </c>
      <c r="X99" s="116" t="str">
        <f t="shared" si="41"/>
        <v>c</v>
      </c>
      <c r="Y99" s="116">
        <f>VLOOKUP(W99,'Loyd List 1-190 - Edit'!$P$1:$R$202,3,FALSE)</f>
        <v>55</v>
      </c>
      <c r="Z99" s="116"/>
      <c r="AB99" s="116"/>
    </row>
    <row r="100" spans="1:28">
      <c r="A100">
        <f>'All Girls &amp; Descendants'!B98</f>
        <v>112</v>
      </c>
      <c r="B100" t="str">
        <f>'All Girls &amp; Descendants'!C98</f>
        <v>112d</v>
      </c>
      <c r="C100" t="str">
        <f>'All Girls &amp; Descendants'!D98</f>
        <v>DOWNES</v>
      </c>
      <c r="D100" t="str">
        <f>'All Girls &amp; Descendants'!E98</f>
        <v>Lesley</v>
      </c>
      <c r="E100" t="str">
        <f>IF('All Girls &amp; Descendants'!F98="","",'All Girls &amp; Descendants'!F98)</f>
        <v>Karen</v>
      </c>
      <c r="F100" t="str">
        <f>IF('All Girls &amp; Descendants'!G98="","",'All Girls &amp; Descendants'!G98)</f>
        <v/>
      </c>
      <c r="G100" t="str">
        <f>IF('All Girls &amp; Descendants'!H98="",D100,'All Girls &amp; Descendants'!H98)</f>
        <v>Lesley</v>
      </c>
      <c r="H100">
        <f>'All Girls &amp; Descendants'!I98</f>
        <v>1963</v>
      </c>
      <c r="I100" t="str">
        <f>'All Girls &amp; Descendants'!J98</f>
        <v/>
      </c>
      <c r="K100" s="3">
        <f>'All Girls &amp; Descendants'!M98</f>
        <v>23091</v>
      </c>
      <c r="L100" s="3" t="str">
        <f>'All Girls &amp; Descendants'!N98</f>
        <v xml:space="preserve"> - </v>
      </c>
      <c r="M100" t="str">
        <f>'All Girls &amp; Descendants'!O98</f>
        <v/>
      </c>
      <c r="N100" t="str">
        <f>'All Girls &amp; Descendants'!P98</f>
        <v/>
      </c>
      <c r="O100" t="str">
        <f>'All Girls &amp; Descendants'!Q98</f>
        <v>112</v>
      </c>
      <c r="P100" t="str">
        <f t="shared" si="42"/>
        <v>112d</v>
      </c>
      <c r="Q100" s="116">
        <f t="shared" si="38"/>
        <v>1</v>
      </c>
      <c r="R100" s="31" t="str">
        <f t="shared" si="39"/>
        <v>Lesley Karen  DOWNES</v>
      </c>
      <c r="S100" t="str">
        <f t="shared" si="40"/>
        <v>Lesley DOWNES (1963 - :  #112d)</v>
      </c>
      <c r="U100" s="116">
        <f t="shared" si="36"/>
        <v>112004</v>
      </c>
      <c r="V100" t="s">
        <v>1763</v>
      </c>
      <c r="W100" s="116">
        <f t="shared" si="37"/>
        <v>112</v>
      </c>
      <c r="X100" s="116" t="str">
        <f t="shared" si="41"/>
        <v>d</v>
      </c>
      <c r="Y100" s="116">
        <f>VLOOKUP(W100,'Loyd List 1-190 - Edit'!$P$1:$R$202,3,FALSE)</f>
        <v>55</v>
      </c>
      <c r="Z100" s="116"/>
      <c r="AB100" s="116"/>
    </row>
    <row r="101" spans="1:28">
      <c r="A101">
        <f>'All Girls &amp; Descendants'!B99</f>
        <v>115</v>
      </c>
      <c r="B101" t="str">
        <f>'All Girls &amp; Descendants'!C99</f>
        <v>115a</v>
      </c>
      <c r="C101" t="str">
        <f>'All Girls &amp; Descendants'!D99</f>
        <v>CROSSLEY</v>
      </c>
      <c r="D101" t="str">
        <f>'All Girls &amp; Descendants'!E99</f>
        <v>The Hon Isabel</v>
      </c>
      <c r="E101" t="str">
        <f>IF('All Girls &amp; Descendants'!F99="","",'All Girls &amp; Descendants'!F99)</f>
        <v>Alicia</v>
      </c>
      <c r="F101" t="str">
        <f>IF('All Girls &amp; Descendants'!G99="","",'All Girls &amp; Descendants'!G99)</f>
        <v>Clare</v>
      </c>
      <c r="G101" t="str">
        <f>IF('All Girls &amp; Descendants'!H99="",D101,'All Girls &amp; Descendants'!H99)</f>
        <v>The Hon Isabel</v>
      </c>
      <c r="H101">
        <f>'All Girls &amp; Descendants'!I99</f>
        <v>1964</v>
      </c>
      <c r="I101" t="str">
        <f>'All Girls &amp; Descendants'!J99</f>
        <v/>
      </c>
      <c r="K101" s="3">
        <f>'All Girls &amp; Descendants'!M99</f>
        <v>23647</v>
      </c>
      <c r="L101" s="3">
        <f>'All Girls &amp; Descendants'!N99</f>
        <v>33516</v>
      </c>
      <c r="M101" t="str">
        <f>'All Girls &amp; Descendants'!O99</f>
        <v/>
      </c>
      <c r="N101" t="str">
        <f>'All Girls &amp; Descendants'!P99</f>
        <v/>
      </c>
      <c r="O101" t="str">
        <f>'All Girls &amp; Descendants'!Q99</f>
        <v>115</v>
      </c>
      <c r="P101" t="str">
        <f t="shared" si="42"/>
        <v>115a</v>
      </c>
      <c r="Q101" s="116">
        <f t="shared" si="38"/>
        <v>1</v>
      </c>
      <c r="R101" s="31" t="str">
        <f t="shared" si="39"/>
        <v>The Hon Isabel Alicia Clare CROSSLEY</v>
      </c>
      <c r="S101" t="str">
        <f t="shared" si="40"/>
        <v>The Hon Isabel CROSSLEY (1964 - :  #115a)</v>
      </c>
      <c r="U101" s="116">
        <f t="shared" si="36"/>
        <v>115001</v>
      </c>
      <c r="V101" t="s">
        <v>1773</v>
      </c>
      <c r="W101" s="116">
        <f t="shared" si="37"/>
        <v>115</v>
      </c>
      <c r="X101" s="116" t="str">
        <f t="shared" si="41"/>
        <v>a</v>
      </c>
      <c r="Y101" s="116">
        <f>VLOOKUP(W101,'Loyd List 1-190 - Edit'!$P$1:$R$202,3,FALSE)</f>
        <v>78</v>
      </c>
      <c r="Z101" s="116"/>
      <c r="AB101" s="116"/>
    </row>
    <row r="102" spans="1:28">
      <c r="A102">
        <f>'All Girls &amp; Descendants'!B100</f>
        <v>115</v>
      </c>
      <c r="B102" t="str">
        <f>'All Girls &amp; Descendants'!C100</f>
        <v>115b</v>
      </c>
      <c r="C102" t="str">
        <f>'All Girls &amp; Descendants'!D100</f>
        <v>CROSSLEY</v>
      </c>
      <c r="D102" t="str">
        <f>'All Girls &amp; Descendants'!E100</f>
        <v>The Hon Camilla</v>
      </c>
      <c r="E102" t="str">
        <f>IF('All Girls &amp; Descendants'!F100="","",'All Girls &amp; Descendants'!F100)</f>
        <v>Mary</v>
      </c>
      <c r="F102" t="str">
        <f>IF('All Girls &amp; Descendants'!G100="","",'All Girls &amp; Descendants'!G100)</f>
        <v>Lara</v>
      </c>
      <c r="G102" t="str">
        <f>IF('All Girls &amp; Descendants'!H100="",D102,'All Girls &amp; Descendants'!H100)</f>
        <v>The Hon Camilla</v>
      </c>
      <c r="H102">
        <f>'All Girls &amp; Descendants'!I100</f>
        <v>1967</v>
      </c>
      <c r="I102" t="str">
        <f>'All Girls &amp; Descendants'!J100</f>
        <v/>
      </c>
      <c r="K102" s="3">
        <f>'All Girls &amp; Descendants'!M100</f>
        <v>24650</v>
      </c>
      <c r="L102" s="3">
        <f>'All Girls &amp; Descendants'!N100</f>
        <v>34125</v>
      </c>
      <c r="M102" t="str">
        <f>'All Girls &amp; Descendants'!O100</f>
        <v/>
      </c>
      <c r="N102" t="str">
        <f>'All Girls &amp; Descendants'!P100</f>
        <v/>
      </c>
      <c r="O102" t="str">
        <f>'All Girls &amp; Descendants'!Q100</f>
        <v>115</v>
      </c>
      <c r="P102" t="str">
        <f t="shared" si="42"/>
        <v>115b</v>
      </c>
      <c r="Q102" s="116">
        <f t="shared" si="38"/>
        <v>1</v>
      </c>
      <c r="R102" s="31" t="str">
        <f t="shared" si="39"/>
        <v>The Hon Camilla Mary Lara CROSSLEY</v>
      </c>
      <c r="S102" t="str">
        <f t="shared" si="40"/>
        <v>The Hon Camilla CROSSLEY (1967 - :  #115b)</v>
      </c>
      <c r="U102" s="116">
        <f t="shared" si="36"/>
        <v>115002</v>
      </c>
      <c r="V102" t="s">
        <v>1780</v>
      </c>
      <c r="W102" s="116">
        <f t="shared" si="37"/>
        <v>115</v>
      </c>
      <c r="X102" s="116" t="str">
        <f t="shared" si="41"/>
        <v>b</v>
      </c>
      <c r="Y102" s="116">
        <f>VLOOKUP(W102,'Loyd List 1-190 - Edit'!$P$1:$R$202,3,FALSE)</f>
        <v>78</v>
      </c>
      <c r="Z102" s="116"/>
      <c r="AB102" s="116"/>
    </row>
    <row r="103" spans="1:28">
      <c r="A103">
        <f>'All Girls &amp; Descendants'!B101</f>
        <v>115</v>
      </c>
      <c r="B103" t="str">
        <f>'All Girls &amp; Descendants'!C101</f>
        <v>115c</v>
      </c>
      <c r="C103" t="str">
        <f>'All Girls &amp; Descendants'!D101</f>
        <v>CROSSLEY</v>
      </c>
      <c r="D103" t="str">
        <f>'All Girls &amp; Descendants'!E101</f>
        <v>The Hon Alicia</v>
      </c>
      <c r="E103" t="str">
        <f>IF('All Girls &amp; Descendants'!F101="","",'All Girls &amp; Descendants'!F101)</f>
        <v>Phyllis</v>
      </c>
      <c r="F103" t="str">
        <f>IF('All Girls &amp; Descendants'!G101="","",'All Girls &amp; Descendants'!G101)</f>
        <v>Belinda</v>
      </c>
      <c r="G103" t="str">
        <f>IF('All Girls &amp; Descendants'!H101="",D103,'All Girls &amp; Descendants'!H101)</f>
        <v>The Hon Alicia</v>
      </c>
      <c r="H103">
        <f>'All Girls &amp; Descendants'!I101</f>
        <v>1969</v>
      </c>
      <c r="I103" t="str">
        <f>'All Girls &amp; Descendants'!J101</f>
        <v/>
      </c>
      <c r="K103" s="3">
        <f>'All Girls &amp; Descendants'!M101</f>
        <v>25302</v>
      </c>
      <c r="L103" s="3">
        <f>'All Girls &amp; Descendants'!N101</f>
        <v>36127</v>
      </c>
      <c r="M103" t="str">
        <f>'All Girls &amp; Descendants'!O101</f>
        <v/>
      </c>
      <c r="N103" t="str">
        <f>'All Girls &amp; Descendants'!P101</f>
        <v/>
      </c>
      <c r="O103" t="str">
        <f>'All Girls &amp; Descendants'!Q101</f>
        <v>115</v>
      </c>
      <c r="P103" t="str">
        <f t="shared" si="42"/>
        <v>115c</v>
      </c>
      <c r="Q103" s="116">
        <f t="shared" si="38"/>
        <v>1</v>
      </c>
      <c r="R103" s="31" t="str">
        <f t="shared" si="39"/>
        <v>The Hon Alicia Phyllis Belinda CROSSLEY</v>
      </c>
      <c r="S103" t="str">
        <f t="shared" si="40"/>
        <v>The Hon Alicia CROSSLEY (1969 - :  #115c)</v>
      </c>
      <c r="U103" s="116">
        <f t="shared" si="36"/>
        <v>115003</v>
      </c>
      <c r="V103" t="s">
        <v>1787</v>
      </c>
      <c r="W103" s="116">
        <f t="shared" si="37"/>
        <v>115</v>
      </c>
      <c r="X103" s="116" t="str">
        <f t="shared" si="41"/>
        <v>c</v>
      </c>
      <c r="Y103" s="116">
        <f>VLOOKUP(W103,'Loyd List 1-190 - Edit'!$P$1:$R$202,3,FALSE)</f>
        <v>78</v>
      </c>
      <c r="Z103" s="116"/>
      <c r="AB103" s="116"/>
    </row>
    <row r="104" spans="1:28">
      <c r="A104">
        <f>'All Girls &amp; Descendants'!B102</f>
        <v>115</v>
      </c>
      <c r="B104" t="str">
        <f>'All Girls &amp; Descendants'!C102</f>
        <v>115d</v>
      </c>
      <c r="C104" t="str">
        <f>'All Girls &amp; Descendants'!D102</f>
        <v>CROSSLEY</v>
      </c>
      <c r="D104" t="str">
        <f>'All Girls &amp; Descendants'!E102</f>
        <v>The Hon Hugh</v>
      </c>
      <c r="E104" t="str">
        <f>IF('All Girls &amp; Descendants'!F102="","",'All Girls &amp; Descendants'!F102)</f>
        <v>Francis</v>
      </c>
      <c r="F104" t="str">
        <f>IF('All Girls &amp; Descendants'!G102="","",'All Girls &amp; Descendants'!G102)</f>
        <v>Savile</v>
      </c>
      <c r="G104" t="str">
        <f>IF('All Girls &amp; Descendants'!H102="",D104,'All Girls &amp; Descendants'!H102)</f>
        <v>The Hon Hugh</v>
      </c>
      <c r="H104">
        <f>'All Girls &amp; Descendants'!I102</f>
        <v>1971</v>
      </c>
      <c r="I104" t="str">
        <f>'All Girls &amp; Descendants'!J102</f>
        <v/>
      </c>
      <c r="K104" s="3">
        <f>'All Girls &amp; Descendants'!M102</f>
        <v>26203</v>
      </c>
      <c r="L104" s="3" t="str">
        <f>'All Girls &amp; Descendants'!N102</f>
        <v xml:space="preserve"> - </v>
      </c>
      <c r="M104" t="str">
        <f>'All Girls &amp; Descendants'!O102</f>
        <v/>
      </c>
      <c r="N104" t="str">
        <f>'All Girls &amp; Descendants'!P102</f>
        <v/>
      </c>
      <c r="O104" t="str">
        <f>'All Girls &amp; Descendants'!Q102</f>
        <v>115</v>
      </c>
      <c r="P104" t="str">
        <f t="shared" si="42"/>
        <v>115d</v>
      </c>
      <c r="Q104" s="116">
        <f t="shared" si="38"/>
        <v>1</v>
      </c>
      <c r="R104" s="31" t="str">
        <f t="shared" si="39"/>
        <v>The Hon Hugh Francis Savile CROSSLEY</v>
      </c>
      <c r="S104" t="str">
        <f t="shared" si="40"/>
        <v>The Hon Hugh CROSSLEY (1971 - :  #115d)</v>
      </c>
      <c r="U104" s="116">
        <f t="shared" si="36"/>
        <v>115004</v>
      </c>
      <c r="V104" t="s">
        <v>1791</v>
      </c>
      <c r="W104" s="116">
        <f t="shared" si="37"/>
        <v>115</v>
      </c>
      <c r="X104" s="116" t="str">
        <f t="shared" si="41"/>
        <v>d</v>
      </c>
      <c r="Y104" s="116">
        <f>VLOOKUP(W104,'Loyd List 1-190 - Edit'!$P$1:$R$202,3,FALSE)</f>
        <v>78</v>
      </c>
      <c r="Z104" s="116"/>
      <c r="AB104" s="116"/>
    </row>
    <row r="105" spans="1:28">
      <c r="A105">
        <f>'All Girls &amp; Descendants'!B103</f>
        <v>115</v>
      </c>
      <c r="B105" t="str">
        <f>'All Girls &amp; Descendants'!C103</f>
        <v>115e</v>
      </c>
      <c r="C105" t="str">
        <f>'All Girls &amp; Descendants'!D103</f>
        <v>CROSSLEY</v>
      </c>
      <c r="D105" t="str">
        <f>'All Girls &amp; Descendants'!E103</f>
        <v>The Hon Bridget</v>
      </c>
      <c r="E105" t="str">
        <f>IF('All Girls &amp; Descendants'!F103="","",'All Girls &amp; Descendants'!F103)</f>
        <v>Vivian</v>
      </c>
      <c r="F105" t="str">
        <f>IF('All Girls &amp; Descendants'!G103="","",'All Girls &amp; Descendants'!G103)</f>
        <v/>
      </c>
      <c r="G105" t="str">
        <f>IF('All Girls &amp; Descendants'!H103="",D105,'All Girls &amp; Descendants'!H103)</f>
        <v>The Hon Bridget</v>
      </c>
      <c r="H105">
        <f>'All Girls &amp; Descendants'!I103</f>
        <v>1974</v>
      </c>
      <c r="I105" t="str">
        <f>'All Girls &amp; Descendants'!J103</f>
        <v/>
      </c>
      <c r="K105" s="3">
        <f>'All Girls &amp; Descendants'!M103</f>
        <v>27069</v>
      </c>
      <c r="L105" s="3" t="str">
        <f>'All Girls &amp; Descendants'!N103</f>
        <v xml:space="preserve"> - </v>
      </c>
      <c r="M105" t="str">
        <f>'All Girls &amp; Descendants'!O103</f>
        <v/>
      </c>
      <c r="N105" t="str">
        <f>'All Girls &amp; Descendants'!P103</f>
        <v/>
      </c>
      <c r="O105" t="str">
        <f>'All Girls &amp; Descendants'!Q103</f>
        <v>115</v>
      </c>
      <c r="P105" t="str">
        <f t="shared" si="42"/>
        <v>115e</v>
      </c>
      <c r="Q105" s="116">
        <f t="shared" si="38"/>
        <v>1</v>
      </c>
      <c r="R105" s="31" t="str">
        <f t="shared" si="39"/>
        <v>The Hon Bridget Vivian  CROSSLEY</v>
      </c>
      <c r="S105" t="str">
        <f t="shared" si="40"/>
        <v>The Hon Bridget CROSSLEY (1974 - :  #115e)</v>
      </c>
      <c r="U105" s="116">
        <f t="shared" si="36"/>
        <v>115005</v>
      </c>
      <c r="V105" t="s">
        <v>1793</v>
      </c>
      <c r="W105" s="116">
        <f t="shared" si="37"/>
        <v>115</v>
      </c>
      <c r="X105" s="116" t="str">
        <f t="shared" si="41"/>
        <v>e</v>
      </c>
      <c r="Y105" s="116">
        <f>VLOOKUP(W105,'Loyd List 1-190 - Edit'!$P$1:$R$202,3,FALSE)</f>
        <v>78</v>
      </c>
      <c r="Z105" s="116"/>
      <c r="AB105" s="116"/>
    </row>
    <row r="106" spans="1:28">
      <c r="A106">
        <f>'All Girls &amp; Descendants'!B104</f>
        <v>116</v>
      </c>
      <c r="B106" t="str">
        <f>'All Girls &amp; Descendants'!C104</f>
        <v>116a</v>
      </c>
      <c r="C106" t="str">
        <f>'All Girls &amp; Descendants'!D104</f>
        <v>CLULOW</v>
      </c>
      <c r="D106" t="str">
        <f>'All Girls &amp; Descendants'!E104</f>
        <v>Carl</v>
      </c>
      <c r="E106" t="str">
        <f>IF('All Girls &amp; Descendants'!F104="","",'All Girls &amp; Descendants'!F104)</f>
        <v/>
      </c>
      <c r="F106" t="str">
        <f>IF('All Girls &amp; Descendants'!G104="","",'All Girls &amp; Descendants'!G104)</f>
        <v/>
      </c>
      <c r="G106" t="str">
        <f>IF('All Girls &amp; Descendants'!H104="",D106,'All Girls &amp; Descendants'!H104)</f>
        <v>Carl</v>
      </c>
      <c r="H106">
        <f>'All Girls &amp; Descendants'!I104</f>
        <v>1970</v>
      </c>
      <c r="I106">
        <f>'All Girls &amp; Descendants'!J104</f>
        <v>1970</v>
      </c>
      <c r="K106" s="3">
        <f>'All Girls &amp; Descendants'!M104</f>
        <v>25587</v>
      </c>
      <c r="L106" s="3" t="str">
        <f>'All Girls &amp; Descendants'!N104</f>
        <v>Unmarried</v>
      </c>
      <c r="M106">
        <f>'All Girls &amp; Descendants'!O104</f>
        <v>25587</v>
      </c>
      <c r="N106" t="str">
        <f>'All Girls &amp; Descendants'!P104</f>
        <v>19/01/1970</v>
      </c>
      <c r="O106" t="str">
        <f>'All Girls &amp; Descendants'!Q104</f>
        <v>116</v>
      </c>
      <c r="P106" t="str">
        <f t="shared" si="42"/>
        <v>116a</v>
      </c>
      <c r="Q106" s="116">
        <f t="shared" si="38"/>
        <v>1</v>
      </c>
      <c r="R106" s="31" t="str">
        <f t="shared" si="39"/>
        <v>Carl   CLULOW</v>
      </c>
      <c r="S106" t="str">
        <f t="shared" si="40"/>
        <v>Carl CLULOW (1970 - 1970:  #116a)</v>
      </c>
      <c r="U106" s="116">
        <f t="shared" si="36"/>
        <v>116001</v>
      </c>
      <c r="V106" t="s">
        <v>1798</v>
      </c>
      <c r="W106" s="116">
        <f t="shared" si="37"/>
        <v>116</v>
      </c>
      <c r="X106" s="116" t="str">
        <f t="shared" si="41"/>
        <v>a</v>
      </c>
      <c r="Y106" s="116">
        <f>VLOOKUP(W106,'Loyd List 1-190 - Edit'!$P$1:$R$202,3,FALSE)</f>
        <v>55</v>
      </c>
      <c r="Z106" s="116"/>
      <c r="AB106" s="116"/>
    </row>
    <row r="107" spans="1:28">
      <c r="A107">
        <f>'All Girls &amp; Descendants'!B105</f>
        <v>116</v>
      </c>
      <c r="B107" t="str">
        <f>'All Girls &amp; Descendants'!C105</f>
        <v>116b</v>
      </c>
      <c r="C107" t="str">
        <f>'All Girls &amp; Descendants'!D105</f>
        <v>CLULOW</v>
      </c>
      <c r="D107" t="str">
        <f>'All Girls &amp; Descendants'!E105</f>
        <v>Kate</v>
      </c>
      <c r="E107" t="str">
        <f>IF('All Girls &amp; Descendants'!F105="","",'All Girls &amp; Descendants'!F105)</f>
        <v/>
      </c>
      <c r="F107" t="str">
        <f>IF('All Girls &amp; Descendants'!G105="","",'All Girls &amp; Descendants'!G105)</f>
        <v/>
      </c>
      <c r="G107" t="str">
        <f>IF('All Girls &amp; Descendants'!H105="",D107,'All Girls &amp; Descendants'!H105)</f>
        <v>Kate</v>
      </c>
      <c r="H107">
        <f>'All Girls &amp; Descendants'!I105</f>
        <v>1971</v>
      </c>
      <c r="I107" t="str">
        <f>'All Girls &amp; Descendants'!J105</f>
        <v/>
      </c>
      <c r="K107" s="3">
        <f>'All Girls &amp; Descendants'!M105</f>
        <v>26157</v>
      </c>
      <c r="L107" s="3" t="str">
        <f>'All Girls &amp; Descendants'!N105</f>
        <v xml:space="preserve"> - </v>
      </c>
      <c r="M107" t="str">
        <f>'All Girls &amp; Descendants'!O105</f>
        <v/>
      </c>
      <c r="N107" t="str">
        <f>'All Girls &amp; Descendants'!P105</f>
        <v/>
      </c>
      <c r="O107" t="str">
        <f>'All Girls &amp; Descendants'!Q105</f>
        <v>116</v>
      </c>
      <c r="P107" t="str">
        <f t="shared" si="42"/>
        <v>116b</v>
      </c>
      <c r="Q107" s="116">
        <f t="shared" si="38"/>
        <v>1</v>
      </c>
      <c r="R107" s="31" t="str">
        <f t="shared" si="39"/>
        <v>Kate   CLULOW</v>
      </c>
      <c r="S107" t="str">
        <f t="shared" si="40"/>
        <v>Kate CLULOW (1971 - :  #116b)</v>
      </c>
      <c r="U107" s="116">
        <f t="shared" si="36"/>
        <v>116002</v>
      </c>
      <c r="V107" t="s">
        <v>1799</v>
      </c>
      <c r="W107" s="116">
        <f t="shared" si="37"/>
        <v>116</v>
      </c>
      <c r="X107" s="116" t="str">
        <f t="shared" si="41"/>
        <v>b</v>
      </c>
      <c r="Y107" s="116">
        <f>VLOOKUP(W107,'Loyd List 1-190 - Edit'!$P$1:$R$202,3,FALSE)</f>
        <v>55</v>
      </c>
      <c r="Z107" s="116"/>
      <c r="AB107" s="116"/>
    </row>
    <row r="108" spans="1:28">
      <c r="A108">
        <f>'All Girls &amp; Descendants'!B106</f>
        <v>116</v>
      </c>
      <c r="B108" t="str">
        <f>'All Girls &amp; Descendants'!C106</f>
        <v>116c</v>
      </c>
      <c r="C108" t="str">
        <f>'All Girls &amp; Descendants'!D106</f>
        <v>CLULOW</v>
      </c>
      <c r="D108" t="str">
        <f>'All Girls &amp; Descendants'!E106</f>
        <v>Clare</v>
      </c>
      <c r="E108" t="str">
        <f>IF('All Girls &amp; Descendants'!F106="","",'All Girls &amp; Descendants'!F106)</f>
        <v/>
      </c>
      <c r="F108" t="str">
        <f>IF('All Girls &amp; Descendants'!G106="","",'All Girls &amp; Descendants'!G106)</f>
        <v/>
      </c>
      <c r="G108" t="str">
        <f>IF('All Girls &amp; Descendants'!H106="",D108,'All Girls &amp; Descendants'!H106)</f>
        <v>Clare</v>
      </c>
      <c r="H108">
        <f>'All Girls &amp; Descendants'!I106</f>
        <v>1973</v>
      </c>
      <c r="I108" t="str">
        <f>'All Girls &amp; Descendants'!J106</f>
        <v/>
      </c>
      <c r="K108" s="3">
        <f>'All Girls &amp; Descendants'!M106</f>
        <v>26753</v>
      </c>
      <c r="L108" s="3" t="str">
        <f>'All Girls &amp; Descendants'!N106</f>
        <v xml:space="preserve"> - </v>
      </c>
      <c r="M108" t="str">
        <f>'All Girls &amp; Descendants'!O106</f>
        <v/>
      </c>
      <c r="N108" t="str">
        <f>'All Girls &amp; Descendants'!P106</f>
        <v/>
      </c>
      <c r="O108" t="str">
        <f>'All Girls &amp; Descendants'!Q106</f>
        <v>116</v>
      </c>
      <c r="P108" t="str">
        <f t="shared" si="42"/>
        <v>116c</v>
      </c>
      <c r="Q108" s="116">
        <f t="shared" si="38"/>
        <v>1</v>
      </c>
      <c r="R108" s="31" t="str">
        <f t="shared" si="39"/>
        <v>Clare   CLULOW</v>
      </c>
      <c r="S108" t="str">
        <f t="shared" si="40"/>
        <v>Clare CLULOW (1973 - :  #116c)</v>
      </c>
      <c r="U108" s="116">
        <f t="shared" si="36"/>
        <v>116003</v>
      </c>
      <c r="V108" t="s">
        <v>1800</v>
      </c>
      <c r="W108" s="116">
        <f t="shared" si="37"/>
        <v>116</v>
      </c>
      <c r="X108" s="116" t="str">
        <f t="shared" si="41"/>
        <v>c</v>
      </c>
      <c r="Y108" s="116">
        <f>VLOOKUP(W108,'Loyd List 1-190 - Edit'!$P$1:$R$202,3,FALSE)</f>
        <v>55</v>
      </c>
      <c r="Z108" s="116"/>
      <c r="AB108" s="116"/>
    </row>
    <row r="109" spans="1:28">
      <c r="A109">
        <f>'All Girls &amp; Descendants'!B107</f>
        <v>123</v>
      </c>
      <c r="B109" t="str">
        <f>'All Girls &amp; Descendants'!C107</f>
        <v>123a</v>
      </c>
      <c r="C109" t="str">
        <f>'All Girls &amp; Descendants'!D107</f>
        <v>BOSMAN</v>
      </c>
      <c r="D109" t="str">
        <f>'All Girls &amp; Descendants'!E107</f>
        <v>Katharine</v>
      </c>
      <c r="E109" t="str">
        <f>IF('All Girls &amp; Descendants'!F107="","",'All Girls &amp; Descendants'!F107)</f>
        <v>Jane</v>
      </c>
      <c r="F109" t="str">
        <f>IF('All Girls &amp; Descendants'!G107="","",'All Girls &amp; Descendants'!G107)</f>
        <v>Loyd</v>
      </c>
      <c r="G109" t="str">
        <f>IF('All Girls &amp; Descendants'!H107="",D109,'All Girls &amp; Descendants'!H107)</f>
        <v>Katharine</v>
      </c>
      <c r="H109">
        <f>'All Girls &amp; Descendants'!I107</f>
        <v>1978</v>
      </c>
      <c r="I109" t="str">
        <f>'All Girls &amp; Descendants'!J107</f>
        <v/>
      </c>
      <c r="K109" s="3">
        <f>'All Girls &amp; Descendants'!M107</f>
        <v>28739</v>
      </c>
      <c r="L109" s="3" t="str">
        <f>'All Girls &amp; Descendants'!N107</f>
        <v xml:space="preserve"> - </v>
      </c>
      <c r="M109" t="str">
        <f>'All Girls &amp; Descendants'!O107</f>
        <v/>
      </c>
      <c r="N109" t="str">
        <f>'All Girls &amp; Descendants'!P107</f>
        <v/>
      </c>
      <c r="O109" t="str">
        <f>'All Girls &amp; Descendants'!Q107</f>
        <v>123</v>
      </c>
      <c r="P109" t="str">
        <f t="shared" si="42"/>
        <v>123a</v>
      </c>
      <c r="Q109" s="116">
        <f t="shared" si="38"/>
        <v>1</v>
      </c>
      <c r="R109" s="31" t="str">
        <f t="shared" si="39"/>
        <v>Katharine Jane Loyd BOSMAN</v>
      </c>
      <c r="S109" t="str">
        <f t="shared" si="40"/>
        <v>Katharine BOSMAN (1978 - :  #123a)</v>
      </c>
      <c r="U109" s="116">
        <f t="shared" si="36"/>
        <v>123001</v>
      </c>
      <c r="V109" t="s">
        <v>1806</v>
      </c>
      <c r="W109" s="116">
        <f t="shared" si="37"/>
        <v>123</v>
      </c>
      <c r="X109" s="116" t="str">
        <f t="shared" si="41"/>
        <v>a</v>
      </c>
      <c r="Y109" s="116">
        <f>VLOOKUP(W109,'Loyd List 1-190 - Edit'!$P$1:$R$202,3,FALSE)</f>
        <v>89</v>
      </c>
      <c r="Z109" s="116"/>
      <c r="AB109" s="116"/>
    </row>
    <row r="110" spans="1:28">
      <c r="A110">
        <f>'All Girls &amp; Descendants'!B108</f>
        <v>123</v>
      </c>
      <c r="B110" t="str">
        <f>'All Girls &amp; Descendants'!C108</f>
        <v>123b</v>
      </c>
      <c r="C110" t="str">
        <f>'All Girls &amp; Descendants'!D108</f>
        <v>BOSMAN</v>
      </c>
      <c r="D110" t="str">
        <f>'All Girls &amp; Descendants'!E108</f>
        <v>Adam</v>
      </c>
      <c r="E110" t="str">
        <f>IF('All Girls &amp; Descendants'!F108="","",'All Girls &amp; Descendants'!F108)</f>
        <v>Terrence</v>
      </c>
      <c r="F110" t="str">
        <f>IF('All Girls &amp; Descendants'!G108="","",'All Girls &amp; Descendants'!G108)</f>
        <v>Loyd</v>
      </c>
      <c r="G110" t="str">
        <f>IF('All Girls &amp; Descendants'!H108="",D110,'All Girls &amp; Descendants'!H108)</f>
        <v>Adam</v>
      </c>
      <c r="H110">
        <f>'All Girls &amp; Descendants'!I108</f>
        <v>1980</v>
      </c>
      <c r="I110" t="str">
        <f>'All Girls &amp; Descendants'!J108</f>
        <v/>
      </c>
      <c r="K110" s="3">
        <f>'All Girls &amp; Descendants'!M108</f>
        <v>29571</v>
      </c>
      <c r="L110" s="3" t="str">
        <f>'All Girls &amp; Descendants'!N108</f>
        <v xml:space="preserve"> - </v>
      </c>
      <c r="M110" t="str">
        <f>'All Girls &amp; Descendants'!O108</f>
        <v/>
      </c>
      <c r="N110" t="str">
        <f>'All Girls &amp; Descendants'!P108</f>
        <v/>
      </c>
      <c r="O110" t="str">
        <f>'All Girls &amp; Descendants'!Q108</f>
        <v>123</v>
      </c>
      <c r="P110" t="str">
        <f t="shared" si="42"/>
        <v>123b</v>
      </c>
      <c r="Q110" s="116">
        <f t="shared" si="38"/>
        <v>1</v>
      </c>
      <c r="R110" s="31" t="str">
        <f t="shared" si="39"/>
        <v>Adam Terrence Loyd BOSMAN</v>
      </c>
      <c r="S110" t="str">
        <f t="shared" si="40"/>
        <v>Adam BOSMAN (1980 - :  #123b)</v>
      </c>
      <c r="U110" s="116">
        <f t="shared" si="36"/>
        <v>123002</v>
      </c>
      <c r="V110" t="s">
        <v>1807</v>
      </c>
      <c r="W110" s="116">
        <f t="shared" si="37"/>
        <v>123</v>
      </c>
      <c r="X110" s="116" t="str">
        <f t="shared" si="41"/>
        <v>b</v>
      </c>
      <c r="Y110" s="116">
        <f>VLOOKUP(W110,'Loyd List 1-190 - Edit'!$P$1:$R$202,3,FALSE)</f>
        <v>89</v>
      </c>
      <c r="Z110" s="116"/>
      <c r="AB110" s="116"/>
    </row>
    <row r="111" spans="1:28">
      <c r="A111">
        <f>'All Girls &amp; Descendants'!B109</f>
        <v>125</v>
      </c>
      <c r="B111" t="str">
        <f>'All Girls &amp; Descendants'!C109</f>
        <v>125a</v>
      </c>
      <c r="C111" t="str">
        <f>'All Girls &amp; Descendants'!D109</f>
        <v>HAWKEY</v>
      </c>
      <c r="D111" t="str">
        <f>'All Girls &amp; Descendants'!E109</f>
        <v>Bryan</v>
      </c>
      <c r="E111" t="str">
        <f>IF('All Girls &amp; Descendants'!F109="","",'All Girls &amp; Descendants'!F109)</f>
        <v>Patrick</v>
      </c>
      <c r="F111" t="str">
        <f>IF('All Girls &amp; Descendants'!G109="","",'All Girls &amp; Descendants'!G109)</f>
        <v/>
      </c>
      <c r="G111" t="str">
        <f>IF('All Girls &amp; Descendants'!H109="",D111,'All Girls &amp; Descendants'!H109)</f>
        <v>Bryan</v>
      </c>
      <c r="H111">
        <f>'All Girls &amp; Descendants'!I109</f>
        <v>1976</v>
      </c>
      <c r="I111" t="str">
        <f>'All Girls &amp; Descendants'!J109</f>
        <v/>
      </c>
      <c r="K111" s="3">
        <f>'All Girls &amp; Descendants'!M109</f>
        <v>27964</v>
      </c>
      <c r="L111" s="3" t="str">
        <f>'All Girls &amp; Descendants'!N109</f>
        <v xml:space="preserve"> - </v>
      </c>
      <c r="M111" t="str">
        <f>'All Girls &amp; Descendants'!O109</f>
        <v/>
      </c>
      <c r="N111" t="str">
        <f>'All Girls &amp; Descendants'!P109</f>
        <v/>
      </c>
      <c r="O111" t="str">
        <f>'All Girls &amp; Descendants'!Q109</f>
        <v>125</v>
      </c>
      <c r="P111" t="str">
        <f t="shared" si="42"/>
        <v>125a</v>
      </c>
      <c r="Q111" s="116">
        <f t="shared" si="38"/>
        <v>1</v>
      </c>
      <c r="R111" s="31" t="str">
        <f t="shared" si="39"/>
        <v>Bryan Patrick  HAWKEY</v>
      </c>
      <c r="S111" t="str">
        <f t="shared" si="40"/>
        <v>Bryan HAWKEY (1976 - :  #125a)</v>
      </c>
      <c r="U111" s="116">
        <f t="shared" si="36"/>
        <v>125001</v>
      </c>
      <c r="V111" t="s">
        <v>1811</v>
      </c>
      <c r="W111" s="116">
        <f t="shared" si="37"/>
        <v>125</v>
      </c>
      <c r="X111" s="116" t="str">
        <f t="shared" si="41"/>
        <v>a</v>
      </c>
      <c r="Y111" s="116">
        <f>VLOOKUP(W111,'Loyd List 1-190 - Edit'!$P$1:$R$202,3,FALSE)</f>
        <v>86</v>
      </c>
      <c r="Z111" s="116"/>
      <c r="AB111" s="116"/>
    </row>
    <row r="112" spans="1:28">
      <c r="A112">
        <f>'All Girls &amp; Descendants'!B110</f>
        <v>125</v>
      </c>
      <c r="B112" t="str">
        <f>'All Girls &amp; Descendants'!C110</f>
        <v>125b</v>
      </c>
      <c r="C112" t="str">
        <f>'All Girls &amp; Descendants'!D110</f>
        <v>HAWKEY</v>
      </c>
      <c r="D112" t="str">
        <f>'All Girls &amp; Descendants'!E110</f>
        <v>Allison</v>
      </c>
      <c r="E112" t="str">
        <f>IF('All Girls &amp; Descendants'!F110="","",'All Girls &amp; Descendants'!F110)</f>
        <v>Mary</v>
      </c>
      <c r="F112" t="str">
        <f>IF('All Girls &amp; Descendants'!G110="","",'All Girls &amp; Descendants'!G110)</f>
        <v/>
      </c>
      <c r="G112" t="str">
        <f>IF('All Girls &amp; Descendants'!H110="",D112,'All Girls &amp; Descendants'!H110)</f>
        <v>Allison</v>
      </c>
      <c r="H112">
        <f>'All Girls &amp; Descendants'!I110</f>
        <v>1978</v>
      </c>
      <c r="I112" t="str">
        <f>'All Girls &amp; Descendants'!J110</f>
        <v/>
      </c>
      <c r="K112" s="3">
        <f>'All Girls &amp; Descendants'!M110</f>
        <v>28633</v>
      </c>
      <c r="L112" s="3" t="str">
        <f>'All Girls &amp; Descendants'!N110</f>
        <v xml:space="preserve"> - </v>
      </c>
      <c r="M112" t="str">
        <f>'All Girls &amp; Descendants'!O110</f>
        <v/>
      </c>
      <c r="N112" t="str">
        <f>'All Girls &amp; Descendants'!P110</f>
        <v/>
      </c>
      <c r="O112" t="str">
        <f>'All Girls &amp; Descendants'!Q110</f>
        <v>125</v>
      </c>
      <c r="P112" t="str">
        <f t="shared" si="42"/>
        <v>125b</v>
      </c>
      <c r="Q112" s="116">
        <f t="shared" si="38"/>
        <v>1</v>
      </c>
      <c r="R112" s="31" t="str">
        <f t="shared" si="39"/>
        <v>Allison Mary  HAWKEY</v>
      </c>
      <c r="S112" t="str">
        <f t="shared" si="40"/>
        <v>Allison HAWKEY (1978 - :  #125b)</v>
      </c>
      <c r="U112" s="116">
        <f t="shared" si="36"/>
        <v>125002</v>
      </c>
      <c r="V112" t="s">
        <v>1812</v>
      </c>
      <c r="W112" s="116">
        <f t="shared" si="37"/>
        <v>125</v>
      </c>
      <c r="X112" s="116" t="str">
        <f t="shared" si="41"/>
        <v>b</v>
      </c>
      <c r="Y112" s="116">
        <f>VLOOKUP(W112,'Loyd List 1-190 - Edit'!$P$1:$R$202,3,FALSE)</f>
        <v>86</v>
      </c>
      <c r="Z112" s="116"/>
      <c r="AB112" s="116"/>
    </row>
    <row r="113" spans="1:28">
      <c r="A113">
        <f>'All Girls &amp; Descendants'!B111</f>
        <v>128</v>
      </c>
      <c r="B113" t="str">
        <f>'All Girls &amp; Descendants'!C111</f>
        <v>128a</v>
      </c>
      <c r="C113" t="str">
        <f>'All Girls &amp; Descendants'!D111</f>
        <v>PEMBERTON</v>
      </c>
      <c r="D113" t="str">
        <f>'All Girls &amp; Descendants'!E111</f>
        <v>Chloe</v>
      </c>
      <c r="E113" t="str">
        <f>IF('All Girls &amp; Descendants'!F111="","",'All Girls &amp; Descendants'!F111)</f>
        <v>Louise</v>
      </c>
      <c r="F113" t="str">
        <f>IF('All Girls &amp; Descendants'!G111="","",'All Girls &amp; Descendants'!G111)</f>
        <v/>
      </c>
      <c r="G113" t="str">
        <f>IF('All Girls &amp; Descendants'!H111="",D113,'All Girls &amp; Descendants'!H111)</f>
        <v>Chloe</v>
      </c>
      <c r="H113">
        <f>'All Girls &amp; Descendants'!I111</f>
        <v>1991</v>
      </c>
      <c r="I113" t="str">
        <f>'All Girls &amp; Descendants'!J111</f>
        <v/>
      </c>
      <c r="K113" s="3">
        <f>'All Girls &amp; Descendants'!M111</f>
        <v>33242</v>
      </c>
      <c r="L113" s="3" t="str">
        <f>'All Girls &amp; Descendants'!N111</f>
        <v xml:space="preserve"> - </v>
      </c>
      <c r="M113" t="str">
        <f>'All Girls &amp; Descendants'!O111</f>
        <v/>
      </c>
      <c r="N113" t="str">
        <f>'All Girls &amp; Descendants'!P111</f>
        <v/>
      </c>
      <c r="O113" t="str">
        <f>'All Girls &amp; Descendants'!Q111</f>
        <v>128</v>
      </c>
      <c r="P113" t="str">
        <f t="shared" si="42"/>
        <v>128a</v>
      </c>
      <c r="Q113" s="116">
        <f t="shared" si="38"/>
        <v>1</v>
      </c>
      <c r="R113" s="31" t="str">
        <f t="shared" si="39"/>
        <v>Chloe Louise  PEMBERTON</v>
      </c>
      <c r="S113" t="str">
        <f t="shared" si="40"/>
        <v>Chloe PEMBERTON (1991 - :  #128a)</v>
      </c>
      <c r="U113" s="116">
        <f t="shared" si="36"/>
        <v>128001</v>
      </c>
      <c r="V113" t="s">
        <v>1816</v>
      </c>
      <c r="W113" s="116">
        <f t="shared" si="37"/>
        <v>128</v>
      </c>
      <c r="X113" s="116" t="str">
        <f t="shared" si="41"/>
        <v>a</v>
      </c>
      <c r="Y113" s="116">
        <f>VLOOKUP(W113,'Loyd List 1-190 - Edit'!$P$1:$R$202,3,FALSE)</f>
        <v>98</v>
      </c>
      <c r="Z113" s="116"/>
      <c r="AB113" s="116"/>
    </row>
    <row r="114" spans="1:28">
      <c r="A114">
        <f>'All Girls &amp; Descendants'!B112</f>
        <v>128</v>
      </c>
      <c r="B114" t="str">
        <f>'All Girls &amp; Descendants'!C112</f>
        <v>128b</v>
      </c>
      <c r="C114" t="str">
        <f>'All Girls &amp; Descendants'!D112</f>
        <v>PEMBERTON</v>
      </c>
      <c r="D114" t="str">
        <f>'All Girls &amp; Descendants'!E112</f>
        <v>Kate</v>
      </c>
      <c r="E114" t="str">
        <f>IF('All Girls &amp; Descendants'!F112="","",'All Girls &amp; Descendants'!F112)</f>
        <v>Isobel</v>
      </c>
      <c r="F114" t="str">
        <f>IF('All Girls &amp; Descendants'!G112="","",'All Girls &amp; Descendants'!G112)</f>
        <v/>
      </c>
      <c r="G114" t="str">
        <f>IF('All Girls &amp; Descendants'!H112="",D114,'All Girls &amp; Descendants'!H112)</f>
        <v>Kate</v>
      </c>
      <c r="H114">
        <f>'All Girls &amp; Descendants'!I112</f>
        <v>1993</v>
      </c>
      <c r="I114" t="str">
        <f>'All Girls &amp; Descendants'!J112</f>
        <v/>
      </c>
      <c r="K114" s="3">
        <f>'All Girls &amp; Descendants'!M112</f>
        <v>34194</v>
      </c>
      <c r="L114" s="3" t="str">
        <f>'All Girls &amp; Descendants'!N112</f>
        <v xml:space="preserve"> - </v>
      </c>
      <c r="M114" t="str">
        <f>'All Girls &amp; Descendants'!O112</f>
        <v/>
      </c>
      <c r="N114" t="str">
        <f>'All Girls &amp; Descendants'!P112</f>
        <v/>
      </c>
      <c r="O114" t="str">
        <f>'All Girls &amp; Descendants'!Q112</f>
        <v>128</v>
      </c>
      <c r="P114" t="str">
        <f t="shared" si="42"/>
        <v>128b</v>
      </c>
      <c r="Q114" s="116">
        <f t="shared" si="38"/>
        <v>1</v>
      </c>
      <c r="R114" s="31" t="str">
        <f t="shared" si="39"/>
        <v>Kate Isobel  PEMBERTON</v>
      </c>
      <c r="S114" t="str">
        <f t="shared" si="40"/>
        <v>Kate PEMBERTON (1993 - :  #128b)</v>
      </c>
      <c r="U114" s="116">
        <f t="shared" si="36"/>
        <v>128002</v>
      </c>
      <c r="V114" t="s">
        <v>1817</v>
      </c>
      <c r="W114" s="116">
        <f t="shared" si="37"/>
        <v>128</v>
      </c>
      <c r="X114" s="116" t="str">
        <f t="shared" si="41"/>
        <v>b</v>
      </c>
      <c r="Y114" s="116">
        <f>VLOOKUP(W114,'Loyd List 1-190 - Edit'!$P$1:$R$202,3,FALSE)</f>
        <v>98</v>
      </c>
      <c r="Z114" s="116"/>
      <c r="AB114" s="116"/>
    </row>
    <row r="115" spans="1:28">
      <c r="A115">
        <f>'All Girls &amp; Descendants'!B113</f>
        <v>137</v>
      </c>
      <c r="B115" t="str">
        <f>'All Girls &amp; Descendants'!C113</f>
        <v>137a</v>
      </c>
      <c r="C115" t="str">
        <f>'All Girls &amp; Descendants'!D113</f>
        <v>GELL</v>
      </c>
      <c r="D115" t="str">
        <f>'All Girls &amp; Descendants'!E113</f>
        <v>Honor</v>
      </c>
      <c r="E115" t="str">
        <f>IF('All Girls &amp; Descendants'!F113="","",'All Girls &amp; Descendants'!F113)</f>
        <v>Constance</v>
      </c>
      <c r="F115" t="str">
        <f>IF('All Girls &amp; Descendants'!G113="","",'All Girls &amp; Descendants'!G113)</f>
        <v>Virginia</v>
      </c>
      <c r="G115" t="str">
        <f>IF('All Girls &amp; Descendants'!H113="",D115,'All Girls &amp; Descendants'!H113)</f>
        <v>Honor</v>
      </c>
      <c r="H115">
        <f>'All Girls &amp; Descendants'!I113</f>
        <v>1998</v>
      </c>
      <c r="I115" t="str">
        <f>'All Girls &amp; Descendants'!J113</f>
        <v/>
      </c>
      <c r="K115" s="3">
        <f>'All Girls &amp; Descendants'!M113</f>
        <v>36097</v>
      </c>
      <c r="L115" s="3" t="str">
        <f>'All Girls &amp; Descendants'!N113</f>
        <v xml:space="preserve"> - </v>
      </c>
      <c r="M115" t="str">
        <f>'All Girls &amp; Descendants'!O113</f>
        <v/>
      </c>
      <c r="N115" t="str">
        <f>'All Girls &amp; Descendants'!P113</f>
        <v/>
      </c>
      <c r="O115" t="str">
        <f>'All Girls &amp; Descendants'!Q113</f>
        <v>137</v>
      </c>
      <c r="P115" t="str">
        <f t="shared" si="42"/>
        <v>137a</v>
      </c>
      <c r="Q115" s="116">
        <f t="shared" si="38"/>
        <v>1</v>
      </c>
      <c r="R115" s="31" t="str">
        <f t="shared" si="39"/>
        <v>Honor Constance Virginia GELL</v>
      </c>
      <c r="S115" t="str">
        <f t="shared" si="40"/>
        <v>Honor GELL (1998 - :  #137a)</v>
      </c>
      <c r="U115" s="116">
        <f t="shared" si="36"/>
        <v>137001</v>
      </c>
      <c r="V115" t="s">
        <v>1823</v>
      </c>
      <c r="W115" s="116">
        <f t="shared" si="37"/>
        <v>137</v>
      </c>
      <c r="X115" s="116" t="str">
        <f t="shared" si="41"/>
        <v>a</v>
      </c>
      <c r="Y115" s="116">
        <f>VLOOKUP(W115,'Loyd List 1-190 - Edit'!$P$1:$R$202,3,FALSE)</f>
        <v>99</v>
      </c>
      <c r="Z115" s="116"/>
      <c r="AB115" s="116"/>
    </row>
    <row r="116" spans="1:28">
      <c r="A116">
        <f>'All Girls &amp; Descendants'!B114</f>
        <v>140</v>
      </c>
      <c r="B116" t="str">
        <f>'All Girls &amp; Descendants'!C114</f>
        <v>140a</v>
      </c>
      <c r="C116" t="str">
        <f>'All Girls &amp; Descendants'!D114</f>
        <v>MILLER</v>
      </c>
      <c r="D116" t="str">
        <f>'All Girls &amp; Descendants'!E114</f>
        <v>Daisy</v>
      </c>
      <c r="E116" t="str">
        <f>IF('All Girls &amp; Descendants'!F114="","",'All Girls &amp; Descendants'!F114)</f>
        <v>Elizabeth</v>
      </c>
      <c r="F116" t="str">
        <f>IF('All Girls &amp; Descendants'!G114="","",'All Girls &amp; Descendants'!G114)</f>
        <v/>
      </c>
      <c r="G116" t="str">
        <f>IF('All Girls &amp; Descendants'!H114="",D116,'All Girls &amp; Descendants'!H114)</f>
        <v>Daisy</v>
      </c>
      <c r="H116">
        <f>'All Girls &amp; Descendants'!I114</f>
        <v>1995</v>
      </c>
      <c r="I116" t="str">
        <f>'All Girls &amp; Descendants'!J114</f>
        <v/>
      </c>
      <c r="K116" s="3">
        <f>'All Girls &amp; Descendants'!M114</f>
        <v>34702</v>
      </c>
      <c r="L116" s="3" t="str">
        <f>'All Girls &amp; Descendants'!N114</f>
        <v xml:space="preserve"> - </v>
      </c>
      <c r="M116" t="str">
        <f>'All Girls &amp; Descendants'!O114</f>
        <v/>
      </c>
      <c r="N116" t="str">
        <f>'All Girls &amp; Descendants'!P114</f>
        <v/>
      </c>
      <c r="O116" t="str">
        <f>'All Girls &amp; Descendants'!Q114</f>
        <v>140</v>
      </c>
      <c r="P116" t="str">
        <f t="shared" si="42"/>
        <v>140a</v>
      </c>
      <c r="Q116" s="116">
        <f t="shared" si="38"/>
        <v>1</v>
      </c>
      <c r="R116" s="31" t="str">
        <f t="shared" si="39"/>
        <v>Daisy Elizabeth  MILLER</v>
      </c>
      <c r="S116" t="str">
        <f t="shared" si="40"/>
        <v>Daisy MILLER (1995 - :  #140a)</v>
      </c>
      <c r="U116" s="116">
        <f t="shared" si="36"/>
        <v>140001</v>
      </c>
      <c r="V116" t="s">
        <v>3265</v>
      </c>
      <c r="W116" s="116">
        <f t="shared" si="37"/>
        <v>140</v>
      </c>
      <c r="X116" s="116" t="str">
        <f t="shared" si="41"/>
        <v>a</v>
      </c>
      <c r="Y116" s="116">
        <f>VLOOKUP(W116,'Loyd List 1-190 - Edit'!$P$1:$R$202,3,FALSE)</f>
        <v>78</v>
      </c>
      <c r="Z116" s="116"/>
      <c r="AB116" s="116"/>
    </row>
    <row r="117" spans="1:28">
      <c r="A117">
        <f>'All Girls &amp; Descendants'!B115</f>
        <v>140</v>
      </c>
      <c r="B117" t="str">
        <f>'All Girls &amp; Descendants'!C115</f>
        <v>140b</v>
      </c>
      <c r="C117" t="str">
        <f>'All Girls &amp; Descendants'!D115</f>
        <v>MILLER</v>
      </c>
      <c r="D117" t="str">
        <f>'All Girls &amp; Descendants'!E115</f>
        <v>Violet</v>
      </c>
      <c r="E117" t="str">
        <f>IF('All Girls &amp; Descendants'!F115="","",'All Girls &amp; Descendants'!F115)</f>
        <v>Emma</v>
      </c>
      <c r="F117" t="str">
        <f>IF('All Girls &amp; Descendants'!G115="","",'All Girls &amp; Descendants'!G115)</f>
        <v/>
      </c>
      <c r="G117" t="str">
        <f>IF('All Girls &amp; Descendants'!H115="",D117,'All Girls &amp; Descendants'!H115)</f>
        <v>Violet</v>
      </c>
      <c r="H117">
        <f>'All Girls &amp; Descendants'!I115</f>
        <v>1995</v>
      </c>
      <c r="I117" t="str">
        <f>'All Girls &amp; Descendants'!J115</f>
        <v/>
      </c>
      <c r="K117" s="3">
        <f>'All Girls &amp; Descendants'!M115</f>
        <v>34702</v>
      </c>
      <c r="L117" s="3" t="str">
        <f>'All Girls &amp; Descendants'!N115</f>
        <v xml:space="preserve"> - </v>
      </c>
      <c r="M117" t="str">
        <f>'All Girls &amp; Descendants'!O115</f>
        <v/>
      </c>
      <c r="N117" t="str">
        <f>'All Girls &amp; Descendants'!P115</f>
        <v/>
      </c>
      <c r="O117" t="str">
        <f>'All Girls &amp; Descendants'!Q115</f>
        <v>140</v>
      </c>
      <c r="P117" t="str">
        <f t="shared" si="42"/>
        <v>140b</v>
      </c>
      <c r="Q117" s="116">
        <f t="shared" si="38"/>
        <v>1</v>
      </c>
      <c r="R117" s="31" t="str">
        <f t="shared" si="39"/>
        <v>Violet Emma  MILLER</v>
      </c>
      <c r="S117" t="str">
        <f t="shared" si="40"/>
        <v>Violet MILLER (1995 - :  #140b)</v>
      </c>
      <c r="U117" s="116">
        <f t="shared" si="36"/>
        <v>140002</v>
      </c>
      <c r="V117" t="s">
        <v>3266</v>
      </c>
      <c r="W117" s="116">
        <f t="shared" si="37"/>
        <v>140</v>
      </c>
      <c r="X117" s="116" t="str">
        <f t="shared" si="41"/>
        <v>b</v>
      </c>
      <c r="Y117" s="116">
        <f>VLOOKUP(W117,'Loyd List 1-190 - Edit'!$P$1:$R$202,3,FALSE)</f>
        <v>78</v>
      </c>
      <c r="Z117" s="116"/>
      <c r="AB117" s="116"/>
    </row>
    <row r="118" spans="1:28">
      <c r="A118">
        <f>'All Girls &amp; Descendants'!B116</f>
        <v>141</v>
      </c>
      <c r="B118" t="str">
        <f>'All Girls &amp; Descendants'!C116</f>
        <v>141a</v>
      </c>
      <c r="C118" t="str">
        <f>'All Girls &amp; Descendants'!D116</f>
        <v>BYATT</v>
      </c>
      <c r="D118" t="str">
        <f>'All Girls &amp; Descendants'!E116</f>
        <v>Letitia</v>
      </c>
      <c r="E118" t="str">
        <f>IF('All Girls &amp; Descendants'!F116="","",'All Girls &amp; Descendants'!F116)</f>
        <v>May</v>
      </c>
      <c r="F118" t="str">
        <f>IF('All Girls &amp; Descendants'!G116="","",'All Girls &amp; Descendants'!G116)</f>
        <v>Rose Campbell</v>
      </c>
      <c r="G118" t="str">
        <f>IF('All Girls &amp; Descendants'!H116="",D118,'All Girls &amp; Descendants'!H116)</f>
        <v>Letty</v>
      </c>
      <c r="H118">
        <f>'All Girls &amp; Descendants'!I116</f>
        <v>1996</v>
      </c>
      <c r="I118" t="str">
        <f>'All Girls &amp; Descendants'!J116</f>
        <v/>
      </c>
      <c r="K118" s="3">
        <f>'All Girls &amp; Descendants'!M116</f>
        <v>35127</v>
      </c>
      <c r="L118" s="3" t="str">
        <f>'All Girls &amp; Descendants'!N116</f>
        <v xml:space="preserve"> - </v>
      </c>
      <c r="M118" t="str">
        <f>'All Girls &amp; Descendants'!O116</f>
        <v/>
      </c>
      <c r="N118" t="str">
        <f>'All Girls &amp; Descendants'!P116</f>
        <v/>
      </c>
      <c r="O118" t="str">
        <f>'All Girls &amp; Descendants'!Q116</f>
        <v>141</v>
      </c>
      <c r="P118" t="str">
        <f t="shared" si="42"/>
        <v>141a</v>
      </c>
      <c r="Q118" s="116">
        <f t="shared" si="38"/>
        <v>1</v>
      </c>
      <c r="R118" s="31" t="str">
        <f t="shared" si="39"/>
        <v>Letitia May Rose Campbell BYATT</v>
      </c>
      <c r="S118" t="str">
        <f t="shared" si="40"/>
        <v>Letty BYATT (1996 - :  #141a)</v>
      </c>
      <c r="U118" s="116">
        <f t="shared" si="36"/>
        <v>141001</v>
      </c>
      <c r="V118" t="s">
        <v>1833</v>
      </c>
      <c r="W118" s="116">
        <f t="shared" si="37"/>
        <v>141</v>
      </c>
      <c r="X118" s="116" t="str">
        <f t="shared" si="41"/>
        <v>a</v>
      </c>
      <c r="Y118" s="116">
        <f>VLOOKUP(W118,'Loyd List 1-190 - Edit'!$P$1:$R$202,3,FALSE)</f>
        <v>104</v>
      </c>
      <c r="Z118" s="116"/>
      <c r="AB118" s="116"/>
    </row>
    <row r="119" spans="1:28">
      <c r="A119">
        <f>'All Girls &amp; Descendants'!B117</f>
        <v>141</v>
      </c>
      <c r="B119" t="str">
        <f>'All Girls &amp; Descendants'!C117</f>
        <v>141b</v>
      </c>
      <c r="C119" t="str">
        <f>'All Girls &amp; Descendants'!D117</f>
        <v>BYATT</v>
      </c>
      <c r="D119" t="str">
        <f>'All Girls &amp; Descendants'!E117</f>
        <v>Henry</v>
      </c>
      <c r="E119" t="str">
        <f>IF('All Girls &amp; Descendants'!F117="","",'All Girls &amp; Descendants'!F117)</f>
        <v>Hew</v>
      </c>
      <c r="F119" t="str">
        <f>IF('All Girls &amp; Descendants'!G117="","",'All Girls &amp; Descendants'!G117)</f>
        <v>Duncan Campbell</v>
      </c>
      <c r="G119" t="str">
        <f>IF('All Girls &amp; Descendants'!H117="",D119,'All Girls &amp; Descendants'!H117)</f>
        <v>Harry</v>
      </c>
      <c r="H119">
        <f>'All Girls &amp; Descendants'!I117</f>
        <v>1998</v>
      </c>
      <c r="I119">
        <f>'All Girls &amp; Descendants'!J117</f>
        <v>2017</v>
      </c>
      <c r="K119" s="3">
        <f>'All Girls &amp; Descendants'!M117</f>
        <v>35895</v>
      </c>
      <c r="L119" s="3" t="str">
        <f>'All Girls &amp; Descendants'!N117</f>
        <v xml:space="preserve"> - </v>
      </c>
      <c r="M119">
        <f>'All Girls &amp; Descendants'!O117</f>
        <v>42953</v>
      </c>
      <c r="N119" t="str">
        <f>'All Girls &amp; Descendants'!P117</f>
        <v>06/08/2017</v>
      </c>
      <c r="O119" t="str">
        <f>'All Girls &amp; Descendants'!Q117</f>
        <v>141</v>
      </c>
      <c r="P119" t="str">
        <f t="shared" si="42"/>
        <v>141b</v>
      </c>
      <c r="Q119" s="116">
        <f t="shared" si="38"/>
        <v>1</v>
      </c>
      <c r="R119" s="31" t="str">
        <f t="shared" si="39"/>
        <v>Henry Hew Duncan Campbell BYATT</v>
      </c>
      <c r="S119" t="str">
        <f t="shared" si="40"/>
        <v>Harry BYATT (1998 - 2017:  #141b)</v>
      </c>
      <c r="U119" s="116">
        <f t="shared" si="36"/>
        <v>141002</v>
      </c>
      <c r="V119" t="s">
        <v>1834</v>
      </c>
      <c r="W119" s="116">
        <f t="shared" si="37"/>
        <v>141</v>
      </c>
      <c r="X119" s="116" t="str">
        <f t="shared" si="41"/>
        <v>b</v>
      </c>
      <c r="Y119" s="116">
        <f>VLOOKUP(W119,'Loyd List 1-190 - Edit'!$P$1:$R$202,3,FALSE)</f>
        <v>104</v>
      </c>
      <c r="Z119" s="116"/>
      <c r="AB119" s="116"/>
    </row>
    <row r="120" spans="1:28">
      <c r="A120">
        <f>'All Girls &amp; Descendants'!B118</f>
        <v>143</v>
      </c>
      <c r="B120" t="str">
        <f>'All Girls &amp; Descendants'!C118</f>
        <v>143a</v>
      </c>
      <c r="C120" t="str">
        <f>'All Girls &amp; Descendants'!D118</f>
        <v>ASHE</v>
      </c>
      <c r="D120" t="str">
        <f>'All Girls &amp; Descendants'!E118</f>
        <v>Emily</v>
      </c>
      <c r="E120" t="str">
        <f>IF('All Girls &amp; Descendants'!F118="","",'All Girls &amp; Descendants'!F118)</f>
        <v>Harriert</v>
      </c>
      <c r="F120" t="str">
        <f>IF('All Girls &amp; Descendants'!G118="","",'All Girls &amp; Descendants'!G118)</f>
        <v/>
      </c>
      <c r="G120" t="str">
        <f>IF('All Girls &amp; Descendants'!H118="",D120,'All Girls &amp; Descendants'!H118)</f>
        <v>Emily</v>
      </c>
      <c r="H120">
        <f>'All Girls &amp; Descendants'!I118</f>
        <v>1988</v>
      </c>
      <c r="I120" t="str">
        <f>'All Girls &amp; Descendants'!J118</f>
        <v/>
      </c>
      <c r="K120" s="3">
        <f>'All Girls &amp; Descendants'!M118</f>
        <v>32181</v>
      </c>
      <c r="L120" s="3">
        <f>'All Girls &amp; Descendants'!N118</f>
        <v>42868</v>
      </c>
      <c r="M120" t="str">
        <f>'All Girls &amp; Descendants'!O118</f>
        <v/>
      </c>
      <c r="N120" t="str">
        <f>'All Girls &amp; Descendants'!P118</f>
        <v/>
      </c>
      <c r="O120" t="str">
        <f>'All Girls &amp; Descendants'!Q118</f>
        <v>143</v>
      </c>
      <c r="P120" t="str">
        <f t="shared" si="42"/>
        <v>143a</v>
      </c>
      <c r="Q120" s="116">
        <f t="shared" si="38"/>
        <v>1</v>
      </c>
      <c r="R120" s="31" t="str">
        <f t="shared" si="39"/>
        <v>Emily Harriert  ASHE</v>
      </c>
      <c r="S120" t="str">
        <f t="shared" si="40"/>
        <v>Emily ASHE (1988 - :  #143a)</v>
      </c>
      <c r="U120" s="116">
        <f t="shared" si="36"/>
        <v>143001</v>
      </c>
      <c r="V120" t="s">
        <v>1838</v>
      </c>
      <c r="W120" s="116">
        <f t="shared" si="37"/>
        <v>143</v>
      </c>
      <c r="X120" s="116" t="str">
        <f t="shared" si="41"/>
        <v>a</v>
      </c>
      <c r="Y120" s="116">
        <f>VLOOKUP(W120,'Loyd List 1-190 - Edit'!$P$1:$R$202,3,FALSE)</f>
        <v>100</v>
      </c>
      <c r="Z120" s="116"/>
      <c r="AB120" s="116"/>
    </row>
    <row r="121" spans="1:28">
      <c r="A121">
        <f>'All Girls &amp; Descendants'!B119</f>
        <v>143</v>
      </c>
      <c r="B121" t="str">
        <f>'All Girls &amp; Descendants'!C119</f>
        <v>143b</v>
      </c>
      <c r="C121" t="str">
        <f>'All Girls &amp; Descendants'!D119</f>
        <v>ASHE</v>
      </c>
      <c r="D121" t="str">
        <f>'All Girls &amp; Descendants'!E119</f>
        <v>Charles</v>
      </c>
      <c r="E121" t="str">
        <f>IF('All Girls &amp; Descendants'!F119="","",'All Girls &amp; Descendants'!F119)</f>
        <v>Windham</v>
      </c>
      <c r="F121" t="str">
        <f>IF('All Girls &amp; Descendants'!G119="","",'All Girls &amp; Descendants'!G119)</f>
        <v/>
      </c>
      <c r="G121" t="str">
        <f>IF('All Girls &amp; Descendants'!H119="",D121,'All Girls &amp; Descendants'!H119)</f>
        <v>Charles</v>
      </c>
      <c r="H121">
        <f>'All Girls &amp; Descendants'!I119</f>
        <v>1990</v>
      </c>
      <c r="I121" t="str">
        <f>'All Girls &amp; Descendants'!J119</f>
        <v/>
      </c>
      <c r="K121" s="3">
        <f>'All Girls &amp; Descendants'!M119</f>
        <v>32974</v>
      </c>
      <c r="L121" s="3" t="str">
        <f>'All Girls &amp; Descendants'!N119</f>
        <v xml:space="preserve"> - </v>
      </c>
      <c r="M121" t="str">
        <f>'All Girls &amp; Descendants'!O119</f>
        <v/>
      </c>
      <c r="N121" t="str">
        <f>'All Girls &amp; Descendants'!P119</f>
        <v/>
      </c>
      <c r="O121" t="str">
        <f>'All Girls &amp; Descendants'!Q119</f>
        <v>143</v>
      </c>
      <c r="P121" t="str">
        <f t="shared" si="42"/>
        <v>143b</v>
      </c>
      <c r="Q121" s="116">
        <f t="shared" si="38"/>
        <v>1</v>
      </c>
      <c r="R121" s="31" t="str">
        <f t="shared" si="39"/>
        <v>Charles Windham  ASHE</v>
      </c>
      <c r="S121" t="str">
        <f t="shared" si="40"/>
        <v>Charles ASHE (1990 - :  #143b)</v>
      </c>
      <c r="U121" s="116">
        <f t="shared" si="36"/>
        <v>143002</v>
      </c>
      <c r="V121" t="s">
        <v>1839</v>
      </c>
      <c r="W121" s="116">
        <f t="shared" si="37"/>
        <v>143</v>
      </c>
      <c r="X121" s="116" t="str">
        <f t="shared" si="41"/>
        <v>b</v>
      </c>
      <c r="Y121" s="116">
        <f>VLOOKUP(W121,'Loyd List 1-190 - Edit'!$P$1:$R$202,3,FALSE)</f>
        <v>100</v>
      </c>
    </row>
    <row r="122" spans="1:28">
      <c r="A122">
        <f>'All Girls &amp; Descendants'!B120</f>
        <v>152</v>
      </c>
      <c r="B122" t="str">
        <f>'All Girls &amp; Descendants'!C120</f>
        <v>152a</v>
      </c>
      <c r="C122" t="str">
        <f>'All Girls &amp; Descendants'!D120</f>
        <v>WHITCOMB</v>
      </c>
      <c r="D122" t="str">
        <f>'All Girls &amp; Descendants'!E120</f>
        <v>Clementine</v>
      </c>
      <c r="E122" t="str">
        <f>IF('All Girls &amp; Descendants'!F120="","",'All Girls &amp; Descendants'!F120)</f>
        <v/>
      </c>
      <c r="F122" t="str">
        <f>IF('All Girls &amp; Descendants'!G120="","",'All Girls &amp; Descendants'!G120)</f>
        <v/>
      </c>
      <c r="G122" t="str">
        <f>IF('All Girls &amp; Descendants'!H120="",D122,'All Girls &amp; Descendants'!H120)</f>
        <v>Clementine</v>
      </c>
      <c r="H122">
        <f>'All Girls &amp; Descendants'!I120</f>
        <v>1999</v>
      </c>
      <c r="I122" t="str">
        <f>'All Girls &amp; Descendants'!J120</f>
        <v/>
      </c>
      <c r="K122" s="3">
        <f>'All Girls &amp; Descendants'!M120</f>
        <v>36505</v>
      </c>
      <c r="L122" s="3" t="str">
        <f>'All Girls &amp; Descendants'!N120</f>
        <v xml:space="preserve"> - </v>
      </c>
      <c r="M122" t="str">
        <f>'All Girls &amp; Descendants'!O120</f>
        <v/>
      </c>
      <c r="N122" t="str">
        <f>'All Girls &amp; Descendants'!P120</f>
        <v/>
      </c>
      <c r="O122" t="str">
        <f>'All Girls &amp; Descendants'!Q120</f>
        <v>152</v>
      </c>
      <c r="P122" t="str">
        <f t="shared" si="42"/>
        <v>152a</v>
      </c>
      <c r="Q122" s="116">
        <f t="shared" si="38"/>
        <v>1</v>
      </c>
      <c r="R122" s="31" t="str">
        <f t="shared" si="39"/>
        <v>Clementine   WHITCOMB</v>
      </c>
      <c r="S122" t="str">
        <f t="shared" si="40"/>
        <v>Clementine WHITCOMB (1999 - :  #152a)</v>
      </c>
      <c r="U122" s="116">
        <f t="shared" si="36"/>
        <v>152001</v>
      </c>
      <c r="V122" t="s">
        <v>1842</v>
      </c>
      <c r="W122" s="116">
        <f t="shared" si="37"/>
        <v>152</v>
      </c>
      <c r="X122" s="116" t="str">
        <f t="shared" si="41"/>
        <v>a</v>
      </c>
      <c r="Y122" s="116">
        <f>VLOOKUP(W122,'Loyd List 1-190 - Edit'!$P$1:$R$202,3,FALSE)</f>
        <v>104</v>
      </c>
    </row>
    <row r="123" spans="1:28">
      <c r="A123">
        <f>'All Girls &amp; Descendants'!B121</f>
        <v>152</v>
      </c>
      <c r="B123" t="str">
        <f>'All Girls &amp; Descendants'!C121</f>
        <v>152b</v>
      </c>
      <c r="C123" t="str">
        <f>'All Girls &amp; Descendants'!D121</f>
        <v>WHITCOMB</v>
      </c>
      <c r="D123" t="str">
        <f>'All Girls &amp; Descendants'!E121</f>
        <v>Augustin</v>
      </c>
      <c r="E123" t="str">
        <f>IF('All Girls &amp; Descendants'!F121="","",'All Girls &amp; Descendants'!F121)</f>
        <v/>
      </c>
      <c r="F123" t="str">
        <f>IF('All Girls &amp; Descendants'!G121="","",'All Girls &amp; Descendants'!G121)</f>
        <v/>
      </c>
      <c r="G123" t="str">
        <f>IF('All Girls &amp; Descendants'!H121="",D123,'All Girls &amp; Descendants'!H121)</f>
        <v>Augustin</v>
      </c>
      <c r="H123">
        <f>'All Girls &amp; Descendants'!I121</f>
        <v>2001</v>
      </c>
      <c r="I123" t="str">
        <f>'All Girls &amp; Descendants'!J121</f>
        <v/>
      </c>
      <c r="K123" s="3">
        <f>'All Girls &amp; Descendants'!M121</f>
        <v>36920</v>
      </c>
      <c r="L123" s="3" t="str">
        <f>'All Girls &amp; Descendants'!N121</f>
        <v xml:space="preserve"> - </v>
      </c>
      <c r="M123" t="str">
        <f>'All Girls &amp; Descendants'!O121</f>
        <v/>
      </c>
      <c r="N123" t="str">
        <f>'All Girls &amp; Descendants'!P121</f>
        <v/>
      </c>
      <c r="O123" t="str">
        <f>'All Girls &amp; Descendants'!Q121</f>
        <v>152</v>
      </c>
      <c r="P123" t="str">
        <f t="shared" si="42"/>
        <v>152b</v>
      </c>
      <c r="Q123" s="116">
        <f t="shared" si="38"/>
        <v>1</v>
      </c>
      <c r="R123" s="31" t="str">
        <f t="shared" si="39"/>
        <v>Augustin   WHITCOMB</v>
      </c>
      <c r="S123" t="str">
        <f t="shared" si="40"/>
        <v>Augustin WHITCOMB (2001 - :  #152b)</v>
      </c>
      <c r="U123" s="116">
        <f t="shared" si="36"/>
        <v>152002</v>
      </c>
      <c r="V123" t="s">
        <v>3055</v>
      </c>
      <c r="W123" s="116">
        <f t="shared" si="37"/>
        <v>152</v>
      </c>
      <c r="X123" s="116" t="str">
        <f t="shared" si="41"/>
        <v>b</v>
      </c>
      <c r="Y123" s="116">
        <f>VLOOKUP(W123,'Loyd List 1-190 - Edit'!$P$1:$R$202,3,FALSE)</f>
        <v>104</v>
      </c>
    </row>
    <row r="124" spans="1:28">
      <c r="A124">
        <f>'All Girls &amp; Descendants'!B122</f>
        <v>154</v>
      </c>
      <c r="B124" t="str">
        <f>'All Girls &amp; Descendants'!C122</f>
        <v>154a</v>
      </c>
      <c r="C124" t="str">
        <f>'All Girls &amp; Descendants'!D122</f>
        <v>NEWING</v>
      </c>
      <c r="D124" t="str">
        <f>'All Girls &amp; Descendants'!E122</f>
        <v>Frederick</v>
      </c>
      <c r="E124" t="str">
        <f>IF('All Girls &amp; Descendants'!F122="","",'All Girls &amp; Descendants'!F122)</f>
        <v>Otto</v>
      </c>
      <c r="F124" t="str">
        <f>IF('All Girls &amp; Descendants'!G122="","",'All Girls &amp; Descendants'!G122)</f>
        <v/>
      </c>
      <c r="G124" t="str">
        <f>IF('All Girls &amp; Descendants'!H122="",D124,'All Girls &amp; Descendants'!H122)</f>
        <v>Freddie</v>
      </c>
      <c r="H124">
        <f>'All Girls &amp; Descendants'!I122</f>
        <v>2006</v>
      </c>
      <c r="I124" t="str">
        <f>'All Girls &amp; Descendants'!J122</f>
        <v/>
      </c>
      <c r="K124" s="3">
        <f>'All Girls &amp; Descendants'!M122</f>
        <v>38857</v>
      </c>
      <c r="L124" s="3" t="str">
        <f>'All Girls &amp; Descendants'!N122</f>
        <v xml:space="preserve"> - </v>
      </c>
      <c r="M124" t="str">
        <f>'All Girls &amp; Descendants'!O122</f>
        <v/>
      </c>
      <c r="N124" t="str">
        <f>'All Girls &amp; Descendants'!P122</f>
        <v/>
      </c>
      <c r="O124" t="str">
        <f>'All Girls &amp; Descendants'!Q122</f>
        <v>154</v>
      </c>
      <c r="P124" t="str">
        <f t="shared" si="42"/>
        <v>154a</v>
      </c>
      <c r="Q124" s="116">
        <f t="shared" si="38"/>
        <v>1</v>
      </c>
      <c r="R124" s="31" t="str">
        <f t="shared" si="39"/>
        <v>Frederick Otto  NEWING</v>
      </c>
      <c r="S124" t="str">
        <f t="shared" si="40"/>
        <v>Freddie NEWING (2006 - :  #154a)</v>
      </c>
      <c r="U124" s="116">
        <f t="shared" si="36"/>
        <v>154001</v>
      </c>
      <c r="V124" t="s">
        <v>3056</v>
      </c>
      <c r="W124" s="116">
        <f t="shared" si="37"/>
        <v>154</v>
      </c>
      <c r="X124" s="116" t="str">
        <f t="shared" si="41"/>
        <v>a</v>
      </c>
      <c r="Y124" s="116">
        <f>VLOOKUP(W124,'Loyd List 1-190 - Edit'!$P$1:$R$202,3,FALSE)</f>
        <v>98</v>
      </c>
    </row>
    <row r="125" spans="1:28">
      <c r="A125">
        <f>'All Girls &amp; Descendants'!B123</f>
        <v>154</v>
      </c>
      <c r="B125" t="str">
        <f>'All Girls &amp; Descendants'!C123</f>
        <v>154b</v>
      </c>
      <c r="C125" t="str">
        <f>'All Girls &amp; Descendants'!D123</f>
        <v>NEWING</v>
      </c>
      <c r="D125" t="str">
        <f>'All Girls &amp; Descendants'!E123</f>
        <v>Henry</v>
      </c>
      <c r="E125" t="str">
        <f>IF('All Girls &amp; Descendants'!F123="","",'All Girls &amp; Descendants'!F123)</f>
        <v>Augustus</v>
      </c>
      <c r="F125" t="str">
        <f>IF('All Girls &amp; Descendants'!G123="","",'All Girls &amp; Descendants'!G123)</f>
        <v/>
      </c>
      <c r="G125" t="str">
        <f>IF('All Girls &amp; Descendants'!H123="",D125,'All Girls &amp; Descendants'!H123)</f>
        <v>Gus</v>
      </c>
      <c r="H125">
        <f>'All Girls &amp; Descendants'!I123</f>
        <v>2008</v>
      </c>
      <c r="I125" t="str">
        <f>'All Girls &amp; Descendants'!J123</f>
        <v/>
      </c>
      <c r="K125" s="3">
        <f>'All Girls &amp; Descendants'!M123</f>
        <v>39719</v>
      </c>
      <c r="L125" s="3" t="str">
        <f>'All Girls &amp; Descendants'!N123</f>
        <v xml:space="preserve"> - </v>
      </c>
      <c r="M125" t="str">
        <f>'All Girls &amp; Descendants'!O123</f>
        <v/>
      </c>
      <c r="N125" t="str">
        <f>'All Girls &amp; Descendants'!P123</f>
        <v/>
      </c>
      <c r="O125" t="str">
        <f>'All Girls &amp; Descendants'!Q123</f>
        <v>154</v>
      </c>
      <c r="P125" t="str">
        <f t="shared" si="42"/>
        <v>154b</v>
      </c>
      <c r="Q125" s="116">
        <f t="shared" si="38"/>
        <v>1</v>
      </c>
      <c r="R125" s="31" t="str">
        <f t="shared" si="39"/>
        <v>Henry Augustus  NEWING</v>
      </c>
      <c r="S125" t="str">
        <f t="shared" si="40"/>
        <v>Gus NEWING (2008 - :  #154b)</v>
      </c>
      <c r="U125" s="116">
        <f t="shared" si="36"/>
        <v>154002</v>
      </c>
      <c r="V125" t="s">
        <v>3060</v>
      </c>
      <c r="W125" s="116">
        <f t="shared" si="37"/>
        <v>154</v>
      </c>
      <c r="X125" s="116" t="str">
        <f t="shared" si="41"/>
        <v>b</v>
      </c>
      <c r="Y125" s="116">
        <f>VLOOKUP(W125,'Loyd List 1-190 - Edit'!$P$1:$R$202,3,FALSE)</f>
        <v>98</v>
      </c>
    </row>
    <row r="126" spans="1:28">
      <c r="A126">
        <f>'All Girls &amp; Descendants'!B124</f>
        <v>154</v>
      </c>
      <c r="B126" t="str">
        <f>'All Girls &amp; Descendants'!C124</f>
        <v>154c</v>
      </c>
      <c r="C126" t="str">
        <f>'All Girls &amp; Descendants'!D124</f>
        <v>NEWING</v>
      </c>
      <c r="D126" t="str">
        <f>'All Girls &amp; Descendants'!E124</f>
        <v>Albert</v>
      </c>
      <c r="E126" t="str">
        <f>IF('All Girls &amp; Descendants'!F124="","",'All Girls &amp; Descendants'!F124)</f>
        <v/>
      </c>
      <c r="F126" t="str">
        <f>IF('All Girls &amp; Descendants'!G124="","",'All Girls &amp; Descendants'!G124)</f>
        <v/>
      </c>
      <c r="G126" t="str">
        <f>IF('All Girls &amp; Descendants'!H124="",D126,'All Girls &amp; Descendants'!H124)</f>
        <v>Albert</v>
      </c>
      <c r="H126">
        <f>'All Girls &amp; Descendants'!I124</f>
        <v>2015</v>
      </c>
      <c r="I126">
        <f>'All Girls &amp; Descendants'!J124</f>
        <v>2015</v>
      </c>
      <c r="K126" s="3">
        <f>'All Girls &amp; Descendants'!M124</f>
        <v>42166</v>
      </c>
      <c r="L126" s="3" t="str">
        <f>'All Girls &amp; Descendants'!N124</f>
        <v xml:space="preserve"> - </v>
      </c>
      <c r="M126">
        <f>'All Girls &amp; Descendants'!O124</f>
        <v>42166</v>
      </c>
      <c r="N126" t="str">
        <f>'All Girls &amp; Descendants'!P124</f>
        <v>11/06/2015</v>
      </c>
      <c r="O126" t="str">
        <f>'All Girls &amp; Descendants'!Q124</f>
        <v>154</v>
      </c>
      <c r="P126" t="str">
        <f t="shared" si="42"/>
        <v>154c</v>
      </c>
      <c r="Q126" s="116">
        <f t="shared" si="38"/>
        <v>1</v>
      </c>
      <c r="R126" s="31" t="str">
        <f t="shared" si="39"/>
        <v>Albert   NEWING</v>
      </c>
      <c r="S126" t="str">
        <f t="shared" si="40"/>
        <v>Albert NEWING (2015 - 2015:  #154c)</v>
      </c>
      <c r="U126" s="116">
        <f t="shared" si="36"/>
        <v>154003</v>
      </c>
      <c r="V126" t="s">
        <v>3061</v>
      </c>
      <c r="W126" s="116">
        <f t="shared" si="37"/>
        <v>154</v>
      </c>
      <c r="X126" s="116" t="str">
        <f t="shared" si="41"/>
        <v>c</v>
      </c>
      <c r="Y126" s="116">
        <f>VLOOKUP(W126,'Loyd List 1-190 - Edit'!$P$1:$R$202,3,FALSE)</f>
        <v>98</v>
      </c>
    </row>
    <row r="127" spans="1:28">
      <c r="A127">
        <f>'All Girls &amp; Descendants'!B125</f>
        <v>156</v>
      </c>
      <c r="B127" t="str">
        <f>'All Girls &amp; Descendants'!C125</f>
        <v>156a</v>
      </c>
      <c r="C127" t="str">
        <f>'All Girls &amp; Descendants'!D125</f>
        <v>GRINDAL</v>
      </c>
      <c r="D127" t="str">
        <f>'All Girls &amp; Descendants'!E125</f>
        <v>Michael</v>
      </c>
      <c r="E127" t="str">
        <f>IF('All Girls &amp; Descendants'!F125="","",'All Girls &amp; Descendants'!F125)</f>
        <v>Peter</v>
      </c>
      <c r="F127" t="str">
        <f>IF('All Girls &amp; Descendants'!G125="","",'All Girls &amp; Descendants'!G125)</f>
        <v/>
      </c>
      <c r="G127" t="str">
        <f>IF('All Girls &amp; Descendants'!H125="",D127,'All Girls &amp; Descendants'!H125)</f>
        <v>Peter</v>
      </c>
      <c r="H127">
        <f>'All Girls &amp; Descendants'!I125</f>
        <v>2014</v>
      </c>
      <c r="I127" t="str">
        <f>'All Girls &amp; Descendants'!J125</f>
        <v/>
      </c>
      <c r="K127" s="3">
        <f>'All Girls &amp; Descendants'!M125</f>
        <v>41925</v>
      </c>
      <c r="L127" s="3" t="str">
        <f>'All Girls &amp; Descendants'!N125</f>
        <v xml:space="preserve"> - </v>
      </c>
      <c r="M127" t="str">
        <f>'All Girls &amp; Descendants'!O125</f>
        <v/>
      </c>
      <c r="N127" t="str">
        <f>'All Girls &amp; Descendants'!P125</f>
        <v/>
      </c>
      <c r="O127" t="str">
        <f>'All Girls &amp; Descendants'!Q125</f>
        <v>156</v>
      </c>
      <c r="P127" t="str">
        <f t="shared" si="42"/>
        <v>156a</v>
      </c>
      <c r="Q127" s="116">
        <f t="shared" si="38"/>
        <v>1</v>
      </c>
      <c r="R127" s="31" t="str">
        <f t="shared" si="39"/>
        <v>Michael Peter  GRINDAL</v>
      </c>
      <c r="S127" t="str">
        <f t="shared" si="40"/>
        <v>Peter GRINDAL (2014 - :  #156a)</v>
      </c>
      <c r="U127" s="116">
        <f t="shared" si="36"/>
        <v>156001</v>
      </c>
      <c r="V127" t="s">
        <v>3067</v>
      </c>
      <c r="W127" s="116">
        <f t="shared" si="37"/>
        <v>156</v>
      </c>
      <c r="X127" s="116" t="str">
        <f t="shared" si="41"/>
        <v>a</v>
      </c>
      <c r="Y127" s="116">
        <f>VLOOKUP(W127,'Loyd List 1-190 - Edit'!$P$1:$R$202,3,FALSE)</f>
        <v>119</v>
      </c>
    </row>
    <row r="128" spans="1:28">
      <c r="A128">
        <f>'All Girls &amp; Descendants'!B126</f>
        <v>156</v>
      </c>
      <c r="B128" t="str">
        <f>'All Girls &amp; Descendants'!C126</f>
        <v>156b</v>
      </c>
      <c r="C128" t="str">
        <f>'All Girls &amp; Descendants'!D126</f>
        <v>GRINDAL</v>
      </c>
      <c r="D128" t="str">
        <f>'All Girls &amp; Descendants'!E126</f>
        <v>Dorothy</v>
      </c>
      <c r="E128" t="str">
        <f>IF('All Girls &amp; Descendants'!F126="","",'All Girls &amp; Descendants'!F126)</f>
        <v>Mary</v>
      </c>
      <c r="F128" t="str">
        <f>IF('All Girls &amp; Descendants'!G126="","",'All Girls &amp; Descendants'!G126)</f>
        <v>Jennifer</v>
      </c>
      <c r="G128" t="str">
        <f>IF('All Girls &amp; Descendants'!H126="",D128,'All Girls &amp; Descendants'!H126)</f>
        <v>Dorothy</v>
      </c>
      <c r="H128">
        <f>'All Girls &amp; Descendants'!I126</f>
        <v>2016</v>
      </c>
      <c r="I128" t="str">
        <f>'All Girls &amp; Descendants'!J126</f>
        <v/>
      </c>
      <c r="K128" s="3">
        <f>'All Girls &amp; Descendants'!M126</f>
        <v>42467</v>
      </c>
      <c r="L128" s="3" t="str">
        <f>'All Girls &amp; Descendants'!N126</f>
        <v xml:space="preserve"> - </v>
      </c>
      <c r="M128" t="str">
        <f>'All Girls &amp; Descendants'!O126</f>
        <v/>
      </c>
      <c r="N128" t="str">
        <f>'All Girls &amp; Descendants'!P126</f>
        <v/>
      </c>
      <c r="O128" t="str">
        <f>'All Girls &amp; Descendants'!Q126</f>
        <v>156</v>
      </c>
      <c r="P128" t="str">
        <f t="shared" si="42"/>
        <v>156b</v>
      </c>
      <c r="Q128" s="116">
        <f t="shared" si="38"/>
        <v>1</v>
      </c>
      <c r="R128" s="31" t="str">
        <f t="shared" si="39"/>
        <v>Dorothy Mary Jennifer GRINDAL</v>
      </c>
      <c r="S128" t="str">
        <f t="shared" si="40"/>
        <v>Dorothy GRINDAL (2016 - :  #156b)</v>
      </c>
      <c r="U128" s="116">
        <f t="shared" si="36"/>
        <v>156002</v>
      </c>
      <c r="V128" t="s">
        <v>3069</v>
      </c>
      <c r="W128" s="116">
        <f t="shared" si="37"/>
        <v>156</v>
      </c>
      <c r="X128" s="116" t="str">
        <f t="shared" si="41"/>
        <v>b</v>
      </c>
      <c r="Y128" s="116">
        <f>VLOOKUP(W128,'Loyd List 1-190 - Edit'!$P$1:$R$202,3,FALSE)</f>
        <v>119</v>
      </c>
    </row>
    <row r="129" spans="1:25">
      <c r="A129">
        <f>'All Girls &amp; Descendants'!B127</f>
        <v>157</v>
      </c>
      <c r="B129" t="str">
        <f>'All Girls &amp; Descendants'!C127</f>
        <v>157a</v>
      </c>
      <c r="C129" t="str">
        <f>'All Girls &amp; Descendants'!D127</f>
        <v>SIMMONDS</v>
      </c>
      <c r="D129" t="str">
        <f>'All Girls &amp; Descendants'!E127</f>
        <v>Henry</v>
      </c>
      <c r="E129" t="str">
        <f>IF('All Girls &amp; Descendants'!F127="","",'All Girls &amp; Descendants'!F127)</f>
        <v>John</v>
      </c>
      <c r="F129" t="str">
        <f>IF('All Girls &amp; Descendants'!G127="","",'All Girls &amp; Descendants'!G127)</f>
        <v>Loyd</v>
      </c>
      <c r="G129" t="str">
        <f>IF('All Girls &amp; Descendants'!H127="",D129,'All Girls &amp; Descendants'!H127)</f>
        <v>Henry</v>
      </c>
      <c r="H129">
        <f>'All Girls &amp; Descendants'!I127</f>
        <v>2012</v>
      </c>
      <c r="I129" t="str">
        <f>'All Girls &amp; Descendants'!J127</f>
        <v/>
      </c>
      <c r="K129" s="3">
        <f>'All Girls &amp; Descendants'!M127</f>
        <v>41075</v>
      </c>
      <c r="L129" s="3" t="str">
        <f>'All Girls &amp; Descendants'!N127</f>
        <v xml:space="preserve"> - </v>
      </c>
      <c r="M129" t="str">
        <f>'All Girls &amp; Descendants'!O127</f>
        <v/>
      </c>
      <c r="N129" t="str">
        <f>'All Girls &amp; Descendants'!P127</f>
        <v/>
      </c>
      <c r="O129" t="str">
        <f>'All Girls &amp; Descendants'!Q127</f>
        <v>157</v>
      </c>
      <c r="P129" t="str">
        <f t="shared" si="42"/>
        <v>157a</v>
      </c>
      <c r="Q129" s="116">
        <f t="shared" si="38"/>
        <v>1</v>
      </c>
      <c r="R129" s="31" t="str">
        <f t="shared" si="39"/>
        <v>Henry John Loyd SIMMONDS</v>
      </c>
      <c r="S129" t="str">
        <f t="shared" si="40"/>
        <v>Henry SIMMONDS (2012 - :  #157a)</v>
      </c>
      <c r="U129" s="116">
        <f t="shared" si="36"/>
        <v>157001</v>
      </c>
      <c r="V129" t="s">
        <v>3070</v>
      </c>
      <c r="W129" s="116">
        <f t="shared" si="37"/>
        <v>157</v>
      </c>
      <c r="X129" s="116" t="str">
        <f t="shared" si="41"/>
        <v>a</v>
      </c>
      <c r="Y129" s="116">
        <f>VLOOKUP(W129,'Loyd List 1-190 - Edit'!$P$1:$R$202,3,FALSE)</f>
        <v>114</v>
      </c>
    </row>
    <row r="130" spans="1:25">
      <c r="A130">
        <f>'All Girls &amp; Descendants'!B128</f>
        <v>157</v>
      </c>
      <c r="B130" t="str">
        <f>'All Girls &amp; Descendants'!C128</f>
        <v>157b</v>
      </c>
      <c r="C130" t="str">
        <f>'All Girls &amp; Descendants'!D128</f>
        <v>SIMMONDS</v>
      </c>
      <c r="D130" t="str">
        <f>'All Girls &amp; Descendants'!E128</f>
        <v>Emily</v>
      </c>
      <c r="E130" t="str">
        <f>IF('All Girls &amp; Descendants'!F128="","",'All Girls &amp; Descendants'!F128)</f>
        <v>Mary</v>
      </c>
      <c r="F130" t="str">
        <f>IF('All Girls &amp; Descendants'!G128="","",'All Girls &amp; Descendants'!G128)</f>
        <v>Loyd</v>
      </c>
      <c r="G130" t="str">
        <f>IF('All Girls &amp; Descendants'!H128="",D130,'All Girls &amp; Descendants'!H128)</f>
        <v>Emily</v>
      </c>
      <c r="H130">
        <f>'All Girls &amp; Descendants'!I128</f>
        <v>2014</v>
      </c>
      <c r="I130" t="str">
        <f>'All Girls &amp; Descendants'!J128</f>
        <v/>
      </c>
      <c r="K130" s="3">
        <f>'All Girls &amp; Descendants'!M128</f>
        <v>42000</v>
      </c>
      <c r="L130" s="3" t="str">
        <f>'All Girls &amp; Descendants'!N128</f>
        <v xml:space="preserve"> - </v>
      </c>
      <c r="M130" t="str">
        <f>'All Girls &amp; Descendants'!O128</f>
        <v/>
      </c>
      <c r="N130" t="str">
        <f>'All Girls &amp; Descendants'!P128</f>
        <v/>
      </c>
      <c r="O130" t="str">
        <f>'All Girls &amp; Descendants'!Q128</f>
        <v>157</v>
      </c>
      <c r="P130" t="str">
        <f t="shared" si="42"/>
        <v>157b</v>
      </c>
      <c r="Q130" s="116">
        <f t="shared" si="38"/>
        <v>1</v>
      </c>
      <c r="R130" s="31" t="str">
        <f t="shared" si="39"/>
        <v>Emily Mary Loyd SIMMONDS</v>
      </c>
      <c r="S130" t="str">
        <f t="shared" si="40"/>
        <v>Emily SIMMONDS (2014 - :  #157b)</v>
      </c>
      <c r="U130" s="116">
        <f t="shared" si="36"/>
        <v>157002</v>
      </c>
      <c r="V130" t="s">
        <v>3072</v>
      </c>
      <c r="W130" s="116">
        <f t="shared" si="37"/>
        <v>157</v>
      </c>
      <c r="X130" s="116" t="str">
        <f t="shared" si="41"/>
        <v>b</v>
      </c>
      <c r="Y130" s="116">
        <f>VLOOKUP(W130,'Loyd List 1-190 - Edit'!$P$1:$R$202,3,FALSE)</f>
        <v>114</v>
      </c>
    </row>
    <row r="131" spans="1:25">
      <c r="A131">
        <f>'All Girls &amp; Descendants'!B129</f>
        <v>158</v>
      </c>
      <c r="B131" t="str">
        <f>'All Girls &amp; Descendants'!C129</f>
        <v>158a</v>
      </c>
      <c r="C131" t="str">
        <f>'All Girls &amp; Descendants'!D129</f>
        <v>KYLE</v>
      </c>
      <c r="D131" t="str">
        <f>'All Girls &amp; Descendants'!E129</f>
        <v>Theodore</v>
      </c>
      <c r="E131" t="str">
        <f>IF('All Girls &amp; Descendants'!F129="","",'All Girls &amp; Descendants'!F129)</f>
        <v>Richard</v>
      </c>
      <c r="F131" t="str">
        <f>IF('All Girls &amp; Descendants'!G129="","",'All Girls &amp; Descendants'!G129)</f>
        <v/>
      </c>
      <c r="G131" t="str">
        <f>IF('All Girls &amp; Descendants'!H129="",D131,'All Girls &amp; Descendants'!H129)</f>
        <v>Theodore</v>
      </c>
      <c r="H131">
        <f>'All Girls &amp; Descendants'!I129</f>
        <v>2010</v>
      </c>
      <c r="I131" t="str">
        <f>'All Girls &amp; Descendants'!J129</f>
        <v/>
      </c>
      <c r="K131" s="3">
        <f>'All Girls &amp; Descendants'!M129</f>
        <v>40242</v>
      </c>
      <c r="L131" s="3" t="str">
        <f>'All Girls &amp; Descendants'!N129</f>
        <v xml:space="preserve"> - </v>
      </c>
      <c r="M131" t="str">
        <f>'All Girls &amp; Descendants'!O129</f>
        <v/>
      </c>
      <c r="N131" t="str">
        <f>'All Girls &amp; Descendants'!P129</f>
        <v/>
      </c>
      <c r="O131" t="str">
        <f>'All Girls &amp; Descendants'!Q129</f>
        <v>158</v>
      </c>
      <c r="P131" t="str">
        <f t="shared" si="42"/>
        <v>158a</v>
      </c>
      <c r="Q131" s="116">
        <f t="shared" si="38"/>
        <v>1</v>
      </c>
      <c r="R131" s="31" t="str">
        <f t="shared" si="39"/>
        <v>Theodore Richard  KYLE</v>
      </c>
      <c r="S131" t="str">
        <f t="shared" si="40"/>
        <v>Theodore KYLE (2010 - :  #158a)</v>
      </c>
      <c r="U131" s="116">
        <f t="shared" si="36"/>
        <v>158001</v>
      </c>
      <c r="V131" t="s">
        <v>3076</v>
      </c>
      <c r="W131" s="116">
        <f t="shared" si="37"/>
        <v>158</v>
      </c>
      <c r="X131" s="116" t="str">
        <f t="shared" si="41"/>
        <v>a</v>
      </c>
      <c r="Y131" s="116">
        <f>VLOOKUP(W131,'Loyd List 1-190 - Edit'!$P$1:$R$202,3,FALSE)</f>
        <v>114</v>
      </c>
    </row>
    <row r="132" spans="1:25">
      <c r="A132">
        <f>'All Girls &amp; Descendants'!B130</f>
        <v>159</v>
      </c>
      <c r="B132" t="str">
        <f>'All Girls &amp; Descendants'!C130</f>
        <v>159a</v>
      </c>
      <c r="C132" t="str">
        <f>'All Girls &amp; Descendants'!D130</f>
        <v>GARDENER</v>
      </c>
      <c r="D132" t="str">
        <f>'All Girls &amp; Descendants'!E130</f>
        <v>Thomas</v>
      </c>
      <c r="E132" t="str">
        <f>IF('All Girls &amp; Descendants'!F130="","",'All Girls &amp; Descendants'!F130)</f>
        <v>Philip</v>
      </c>
      <c r="F132" t="str">
        <f>IF('All Girls &amp; Descendants'!G130="","",'All Girls &amp; Descendants'!G130)</f>
        <v>Loyd</v>
      </c>
      <c r="G132" t="str">
        <f>IF('All Girls &amp; Descendants'!H130="",D132,'All Girls &amp; Descendants'!H130)</f>
        <v>Thomas</v>
      </c>
      <c r="H132">
        <f>'All Girls &amp; Descendants'!I130</f>
        <v>2010</v>
      </c>
      <c r="I132" t="str">
        <f>'All Girls &amp; Descendants'!J130</f>
        <v/>
      </c>
      <c r="K132" s="3">
        <f>'All Girls &amp; Descendants'!M130</f>
        <v>40313</v>
      </c>
      <c r="L132" s="3" t="str">
        <f>'All Girls &amp; Descendants'!N130</f>
        <v xml:space="preserve"> - </v>
      </c>
      <c r="M132" t="str">
        <f>'All Girls &amp; Descendants'!O130</f>
        <v/>
      </c>
      <c r="N132" t="str">
        <f>'All Girls &amp; Descendants'!P130</f>
        <v/>
      </c>
      <c r="O132" t="str">
        <f>'All Girls &amp; Descendants'!Q130</f>
        <v>159</v>
      </c>
      <c r="P132" t="str">
        <f t="shared" si="42"/>
        <v>159a</v>
      </c>
      <c r="Q132" s="116">
        <f t="shared" si="38"/>
        <v>1</v>
      </c>
      <c r="R132" s="31" t="str">
        <f t="shared" si="39"/>
        <v>Thomas Philip Loyd GARDENER</v>
      </c>
      <c r="S132" t="str">
        <f t="shared" si="40"/>
        <v>Thomas GARDENER (2010 - :  #159a)</v>
      </c>
      <c r="U132" s="116">
        <f t="shared" ref="U132:U137" si="43">W132*1000+VLOOKUP(X132,$AB$4:$AC$13,2,FALSE)</f>
        <v>159001</v>
      </c>
      <c r="V132" t="s">
        <v>3080</v>
      </c>
      <c r="W132" s="116">
        <f t="shared" ref="W132:W137" si="44">VALUE(LEFT(V132,3))</f>
        <v>159</v>
      </c>
      <c r="X132" s="116" t="str">
        <f t="shared" si="41"/>
        <v>a</v>
      </c>
      <c r="Y132" s="116">
        <f>VLOOKUP(W132,'Loyd List 1-190 - Edit'!$P$1:$R$202,3,FALSE)</f>
        <v>114</v>
      </c>
    </row>
    <row r="133" spans="1:25">
      <c r="A133">
        <f>'All Girls &amp; Descendants'!B131</f>
        <v>159</v>
      </c>
      <c r="B133" t="str">
        <f>'All Girls &amp; Descendants'!C131</f>
        <v>159b</v>
      </c>
      <c r="C133" t="str">
        <f>'All Girls &amp; Descendants'!D131</f>
        <v>GARDENER</v>
      </c>
      <c r="D133" t="str">
        <f>'All Girls &amp; Descendants'!E131</f>
        <v>Alice</v>
      </c>
      <c r="E133" t="str">
        <f>IF('All Girls &amp; Descendants'!F131="","",'All Girls &amp; Descendants'!F131)</f>
        <v>Daphne</v>
      </c>
      <c r="F133" t="str">
        <f>IF('All Girls &amp; Descendants'!G131="","",'All Girls &amp; Descendants'!G131)</f>
        <v>Straker</v>
      </c>
      <c r="G133" t="str">
        <f>IF('All Girls &amp; Descendants'!H131="",D133,'All Girls &amp; Descendants'!H131)</f>
        <v>Alice</v>
      </c>
      <c r="H133">
        <f>'All Girls &amp; Descendants'!I131</f>
        <v>2013</v>
      </c>
      <c r="I133" t="str">
        <f>'All Girls &amp; Descendants'!J131</f>
        <v/>
      </c>
      <c r="K133" s="3">
        <f>'All Girls &amp; Descendants'!M131</f>
        <v>41342</v>
      </c>
      <c r="L133" s="3" t="str">
        <f>'All Girls &amp; Descendants'!N131</f>
        <v xml:space="preserve"> - </v>
      </c>
      <c r="M133" t="str">
        <f>'All Girls &amp; Descendants'!O131</f>
        <v/>
      </c>
      <c r="N133" t="str">
        <f>'All Girls &amp; Descendants'!P131</f>
        <v/>
      </c>
      <c r="O133" t="str">
        <f>'All Girls &amp; Descendants'!Q131</f>
        <v>159</v>
      </c>
      <c r="P133" t="str">
        <f t="shared" si="42"/>
        <v>159b</v>
      </c>
      <c r="Q133" s="116">
        <f t="shared" ref="Q133:Q143" si="45">LEN(B133)-LEN(A133)</f>
        <v>1</v>
      </c>
      <c r="R133" s="31" t="str">
        <f t="shared" ref="R133:R143" si="46">_xlfn.CONCAT(D133," ",E133," ",F133," ",C133)</f>
        <v>Alice Daphne Straker GARDENER</v>
      </c>
      <c r="S133" t="str">
        <f t="shared" ref="S133:S143" si="47">_xlfn.CONCAT(G133," ",C133," (",H133," - ",I133,":  #",B133,")")</f>
        <v>Alice GARDENER (2013 - :  #159b)</v>
      </c>
      <c r="U133" s="116">
        <f t="shared" si="43"/>
        <v>159002</v>
      </c>
      <c r="V133" t="s">
        <v>3081</v>
      </c>
      <c r="W133" s="116">
        <f t="shared" si="44"/>
        <v>159</v>
      </c>
      <c r="X133" s="116" t="str">
        <f>RIGHT(V133,1)</f>
        <v>b</v>
      </c>
      <c r="Y133" s="116">
        <f>VLOOKUP(W133,'Loyd List 1-190 - Edit'!$P$1:$R$202,3,FALSE)</f>
        <v>114</v>
      </c>
    </row>
    <row r="134" spans="1:25">
      <c r="A134">
        <f>'All Girls &amp; Descendants'!B132</f>
        <v>161</v>
      </c>
      <c r="B134" t="str">
        <f>'All Girls &amp; Descendants'!C132</f>
        <v>161a</v>
      </c>
      <c r="C134" t="str">
        <f>'All Girls &amp; Descendants'!D132</f>
        <v>HAYNS</v>
      </c>
      <c r="D134" t="str">
        <f>'All Girls &amp; Descendants'!E132</f>
        <v>Alexia</v>
      </c>
      <c r="E134" t="str">
        <f>IF('All Girls &amp; Descendants'!F132="","",'All Girls &amp; Descendants'!F132)</f>
        <v>Charlotte</v>
      </c>
      <c r="F134" t="str">
        <f>IF('All Girls &amp; Descendants'!G132="","",'All Girls &amp; Descendants'!G132)</f>
        <v/>
      </c>
      <c r="G134" t="str">
        <f>IF('All Girls &amp; Descendants'!H132="",D134,'All Girls &amp; Descendants'!H132)</f>
        <v>Alexia</v>
      </c>
      <c r="H134">
        <f>'All Girls &amp; Descendants'!I132</f>
        <v>2014</v>
      </c>
      <c r="I134" t="str">
        <f>'All Girls &amp; Descendants'!J132</f>
        <v/>
      </c>
      <c r="K134" s="3">
        <f>'All Girls &amp; Descendants'!M132</f>
        <v>41722</v>
      </c>
      <c r="L134" s="3" t="str">
        <f>'All Girls &amp; Descendants'!N132</f>
        <v xml:space="preserve"> - </v>
      </c>
      <c r="M134" t="str">
        <f>'All Girls &amp; Descendants'!O132</f>
        <v/>
      </c>
      <c r="N134" t="str">
        <f>'All Girls &amp; Descendants'!P132</f>
        <v/>
      </c>
      <c r="O134" t="str">
        <f>'All Girls &amp; Descendants'!Q132</f>
        <v>161</v>
      </c>
      <c r="P134" t="str">
        <f t="shared" si="42"/>
        <v>161a</v>
      </c>
      <c r="Q134" s="116">
        <f t="shared" si="45"/>
        <v>1</v>
      </c>
      <c r="R134" s="31" t="str">
        <f t="shared" si="46"/>
        <v>Alexia Charlotte  HAYNS</v>
      </c>
      <c r="S134" t="str">
        <f t="shared" si="47"/>
        <v>Alexia HAYNS (2014 - :  #161a)</v>
      </c>
      <c r="U134" s="116">
        <f t="shared" si="43"/>
        <v>161001</v>
      </c>
      <c r="V134" t="s">
        <v>3085</v>
      </c>
      <c r="W134" s="116">
        <f t="shared" si="44"/>
        <v>161</v>
      </c>
      <c r="X134" s="116" t="str">
        <f>RIGHT(V134,1)</f>
        <v>a</v>
      </c>
      <c r="Y134" s="116">
        <f>VLOOKUP(W134,'Loyd List 1-190 - Edit'!$P$1:$R$202,3,FALSE)</f>
        <v>119</v>
      </c>
    </row>
    <row r="135" spans="1:25">
      <c r="A135">
        <f>'All Girls &amp; Descendants'!B133</f>
        <v>161</v>
      </c>
      <c r="B135" t="str">
        <f>'All Girls &amp; Descendants'!C133</f>
        <v>161b</v>
      </c>
      <c r="C135" t="str">
        <f>'All Girls &amp; Descendants'!D133</f>
        <v>HAYNS</v>
      </c>
      <c r="D135" t="str">
        <f>'All Girls &amp; Descendants'!E133</f>
        <v>Edward</v>
      </c>
      <c r="E135" t="str">
        <f>IF('All Girls &amp; Descendants'!F133="","",'All Girls &amp; Descendants'!F133)</f>
        <v>Loyd</v>
      </c>
      <c r="F135" t="str">
        <f>IF('All Girls &amp; Descendants'!G133="","",'All Girls &amp; Descendants'!G133)</f>
        <v>Bickford</v>
      </c>
      <c r="G135" t="str">
        <f>IF('All Girls &amp; Descendants'!H133="",D135,'All Girls &amp; Descendants'!H133)</f>
        <v>Edward</v>
      </c>
      <c r="H135">
        <f>'All Girls &amp; Descendants'!I133</f>
        <v>2016</v>
      </c>
      <c r="I135" t="str">
        <f>'All Girls &amp; Descendants'!J133</f>
        <v/>
      </c>
      <c r="K135" s="3">
        <f>'All Girls &amp; Descendants'!M133</f>
        <v>42643</v>
      </c>
      <c r="L135" s="3" t="str">
        <f>'All Girls &amp; Descendants'!N133</f>
        <v xml:space="preserve"> - </v>
      </c>
      <c r="M135" t="str">
        <f>'All Girls &amp; Descendants'!O133</f>
        <v/>
      </c>
      <c r="N135" t="str">
        <f>'All Girls &amp; Descendants'!P133</f>
        <v/>
      </c>
      <c r="O135" t="str">
        <f>'All Girls &amp; Descendants'!Q133</f>
        <v>161</v>
      </c>
      <c r="P135" t="str">
        <f t="shared" si="42"/>
        <v>161b</v>
      </c>
      <c r="Q135" s="116">
        <f t="shared" si="45"/>
        <v>1</v>
      </c>
      <c r="R135" s="31" t="str">
        <f t="shared" si="46"/>
        <v>Edward Loyd Bickford HAYNS</v>
      </c>
      <c r="S135" t="str">
        <f t="shared" si="47"/>
        <v>Edward HAYNS (2016 - :  #161b)</v>
      </c>
      <c r="U135" s="116">
        <f t="shared" si="43"/>
        <v>161002</v>
      </c>
      <c r="V135" t="s">
        <v>3087</v>
      </c>
      <c r="W135" s="116">
        <f t="shared" si="44"/>
        <v>161</v>
      </c>
      <c r="X135" s="116" t="str">
        <f>RIGHT(V135,1)</f>
        <v>b</v>
      </c>
      <c r="Y135" s="116">
        <f>VLOOKUP(W135,'Loyd List 1-190 - Edit'!$P$1:$R$202,3,FALSE)</f>
        <v>119</v>
      </c>
    </row>
    <row r="136" spans="1:25">
      <c r="A136">
        <f>'All Girls &amp; Descendants'!B134</f>
        <v>163</v>
      </c>
      <c r="B136" t="str">
        <f>'All Girls &amp; Descendants'!C134</f>
        <v>163a</v>
      </c>
      <c r="C136" t="str">
        <f>'All Girls &amp; Descendants'!D134</f>
        <v>DINSMORE</v>
      </c>
      <c r="D136" t="str">
        <f>'All Girls &amp; Descendants'!E134</f>
        <v xml:space="preserve">
Thomas</v>
      </c>
      <c r="E136" t="str">
        <f>IF('All Girls &amp; Descendants'!F134="","",'All Girls &amp; Descendants'!F134)</f>
        <v>Stephen</v>
      </c>
      <c r="F136" t="str">
        <f>IF('All Girls &amp; Descendants'!G134="","",'All Girls &amp; Descendants'!G134)</f>
        <v/>
      </c>
      <c r="G136" t="str">
        <f>IF('All Girls &amp; Descendants'!H134="",D136,'All Girls &amp; Descendants'!H134)</f>
        <v xml:space="preserve">
Thomas</v>
      </c>
      <c r="H136">
        <f>'All Girls &amp; Descendants'!I134</f>
        <v>2012</v>
      </c>
      <c r="I136" t="str">
        <f>'All Girls &amp; Descendants'!J134</f>
        <v/>
      </c>
      <c r="K136" s="3">
        <f>'All Girls &amp; Descendants'!M134</f>
        <v>41169</v>
      </c>
      <c r="L136" s="3" t="str">
        <f>'All Girls &amp; Descendants'!N134</f>
        <v xml:space="preserve"> - </v>
      </c>
      <c r="M136" t="str">
        <f>'All Girls &amp; Descendants'!O134</f>
        <v/>
      </c>
      <c r="N136" t="str">
        <f>'All Girls &amp; Descendants'!P134</f>
        <v/>
      </c>
      <c r="O136" t="str">
        <f>'All Girls &amp; Descendants'!Q134</f>
        <v>163</v>
      </c>
      <c r="P136" t="str">
        <f t="shared" si="42"/>
        <v>163a</v>
      </c>
      <c r="Q136" s="116">
        <f t="shared" si="45"/>
        <v>1</v>
      </c>
      <c r="R136" s="31" t="str">
        <f t="shared" si="46"/>
        <v xml:space="preserve">
Thomas Stephen  DINSMORE</v>
      </c>
      <c r="S136" t="str">
        <f t="shared" si="47"/>
        <v xml:space="preserve">
Thomas DINSMORE (2012 - :  #163a)</v>
      </c>
      <c r="U136" s="116">
        <f t="shared" si="43"/>
        <v>163001</v>
      </c>
      <c r="V136" t="s">
        <v>3654</v>
      </c>
      <c r="W136" s="116">
        <f t="shared" si="44"/>
        <v>163</v>
      </c>
      <c r="X136" s="116" t="str">
        <f>RIGHT(V136,1)</f>
        <v>a</v>
      </c>
      <c r="Y136" s="116">
        <f>VLOOKUP(W136,'Loyd List 1-190 - Edit'!$P$1:$R$202,3,FALSE)</f>
        <v>119</v>
      </c>
    </row>
    <row r="137" spans="1:25">
      <c r="A137">
        <f>'All Girls &amp; Descendants'!B135</f>
        <v>163</v>
      </c>
      <c r="B137" t="str">
        <f>'All Girls &amp; Descendants'!C135</f>
        <v>163b</v>
      </c>
      <c r="C137" t="str">
        <f>'All Girls &amp; Descendants'!D135</f>
        <v>DINSMORE</v>
      </c>
      <c r="D137" t="str">
        <f>'All Girls &amp; Descendants'!E135</f>
        <v>Mary</v>
      </c>
      <c r="E137" t="str">
        <f>IF('All Girls &amp; Descendants'!F135="","",'All Girls &amp; Descendants'!F135)</f>
        <v xml:space="preserve">Charlotte </v>
      </c>
      <c r="F137" t="str">
        <f>IF('All Girls &amp; Descendants'!G135="","",'All Girls &amp; Descendants'!G135)</f>
        <v/>
      </c>
      <c r="G137" t="str">
        <f>IF('All Girls &amp; Descendants'!H135="",D137,'All Girls &amp; Descendants'!H135)</f>
        <v>Mary</v>
      </c>
      <c r="H137">
        <f>'All Girls &amp; Descendants'!I135</f>
        <v>2014</v>
      </c>
      <c r="I137" t="str">
        <f>'All Girls &amp; Descendants'!J135</f>
        <v/>
      </c>
      <c r="K137" s="3">
        <f>'All Girls &amp; Descendants'!M135</f>
        <v>41932</v>
      </c>
      <c r="L137" s="3" t="str">
        <f>'All Girls &amp; Descendants'!N135</f>
        <v xml:space="preserve"> - </v>
      </c>
      <c r="M137" t="str">
        <f>'All Girls &amp; Descendants'!O135</f>
        <v/>
      </c>
      <c r="N137" t="str">
        <f>'All Girls &amp; Descendants'!P135</f>
        <v/>
      </c>
      <c r="O137" t="str">
        <f>'All Girls &amp; Descendants'!Q135</f>
        <v>163</v>
      </c>
      <c r="P137" t="str">
        <f t="shared" si="42"/>
        <v>163b</v>
      </c>
      <c r="Q137" s="116">
        <f t="shared" si="45"/>
        <v>1</v>
      </c>
      <c r="R137" s="31" t="str">
        <f t="shared" si="46"/>
        <v>Mary Charlotte   DINSMORE</v>
      </c>
      <c r="S137" t="str">
        <f t="shared" si="47"/>
        <v>Mary DINSMORE (2014 - :  #163b)</v>
      </c>
      <c r="U137" s="116">
        <f t="shared" si="43"/>
        <v>163002</v>
      </c>
      <c r="V137" t="s">
        <v>3656</v>
      </c>
      <c r="W137" s="116">
        <f t="shared" si="44"/>
        <v>163</v>
      </c>
      <c r="X137" s="116" t="str">
        <f>RIGHT(V137,1)</f>
        <v>b</v>
      </c>
      <c r="Y137" s="116">
        <f>VLOOKUP(W137,'Loyd List 1-190 - Edit'!$P$1:$R$202,3,FALSE)</f>
        <v>119</v>
      </c>
    </row>
    <row r="138" spans="1:25">
      <c r="A138">
        <f>'All Girls &amp; Descendants'!B136</f>
        <v>164</v>
      </c>
      <c r="B138" t="str">
        <f>'All Girls &amp; Descendants'!C136</f>
        <v>164a</v>
      </c>
      <c r="C138" t="str">
        <f>'All Girls &amp; Descendants'!D136</f>
        <v>LEASK</v>
      </c>
      <c r="D138" t="str">
        <f>'All Girls &amp; Descendants'!E136</f>
        <v>Fredrick</v>
      </c>
      <c r="E138" t="str">
        <f>IF('All Girls &amp; Descendants'!F136="","",'All Girls &amp; Descendants'!F136)</f>
        <v>Peter</v>
      </c>
      <c r="F138" t="str">
        <f>IF('All Girls &amp; Descendants'!G136="","",'All Girls &amp; Descendants'!G136)</f>
        <v>Loyd</v>
      </c>
      <c r="G138" t="str">
        <f>IF('All Girls &amp; Descendants'!H136="",D138,'All Girls &amp; Descendants'!H136)</f>
        <v>Freddie</v>
      </c>
      <c r="H138">
        <f>'All Girls &amp; Descendants'!I136</f>
        <v>2016</v>
      </c>
      <c r="I138" t="str">
        <f>'All Girls &amp; Descendants'!J136</f>
        <v/>
      </c>
      <c r="K138" s="3">
        <f>'All Girls &amp; Descendants'!M136</f>
        <v>42506</v>
      </c>
      <c r="L138" s="3" t="str">
        <f>'All Girls &amp; Descendants'!N136</f>
        <v xml:space="preserve"> - </v>
      </c>
      <c r="M138" t="str">
        <f>'All Girls &amp; Descendants'!O136</f>
        <v/>
      </c>
      <c r="N138" t="str">
        <f>'All Girls &amp; Descendants'!P136</f>
        <v/>
      </c>
      <c r="O138" t="str">
        <f>'All Girls &amp; Descendants'!Q136</f>
        <v>164</v>
      </c>
      <c r="P138" t="str">
        <f t="shared" si="42"/>
        <v>164a</v>
      </c>
      <c r="Q138" s="116">
        <f t="shared" si="45"/>
        <v>1</v>
      </c>
      <c r="R138" s="31" t="str">
        <f t="shared" si="46"/>
        <v>Fredrick Peter Loyd LEASK</v>
      </c>
      <c r="S138" t="str">
        <f t="shared" si="47"/>
        <v>Freddie LEASK (2016 - :  #164a)</v>
      </c>
      <c r="U138" s="116">
        <f t="shared" ref="U138:U144" si="48">W138*1000+VLOOKUP(X138,$AB$4:$AC$13,2,FALSE)</f>
        <v>164001</v>
      </c>
      <c r="V138" t="s">
        <v>3094</v>
      </c>
      <c r="W138" s="116">
        <f t="shared" ref="W138:W144" si="49">VALUE(LEFT(V138,3))</f>
        <v>164</v>
      </c>
      <c r="X138" s="116" t="str">
        <f t="shared" ref="X138:X144" si="50">RIGHT(V138,1)</f>
        <v>a</v>
      </c>
      <c r="Y138" s="116">
        <f>VLOOKUP(W138,'Loyd List 1-190 - Edit'!$P$1:$R$202,3,FALSE)</f>
        <v>136</v>
      </c>
    </row>
    <row r="139" spans="1:25">
      <c r="A139">
        <f>'All Girls &amp; Descendants'!B137</f>
        <v>164</v>
      </c>
      <c r="B139" t="str">
        <f>'All Girls &amp; Descendants'!C137</f>
        <v>164b</v>
      </c>
      <c r="C139" t="str">
        <f>'All Girls &amp; Descendants'!D137</f>
        <v>LEASK</v>
      </c>
      <c r="D139" t="str">
        <f>'All Girls &amp; Descendants'!E137</f>
        <v>Hamish</v>
      </c>
      <c r="E139" t="str">
        <f>IF('All Girls &amp; Descendants'!F137="","",'All Girls &amp; Descendants'!F137)</f>
        <v>Alexander</v>
      </c>
      <c r="F139" t="str">
        <f>IF('All Girls &amp; Descendants'!G137="","",'All Girls &amp; Descendants'!G137)</f>
        <v>Cormack</v>
      </c>
      <c r="G139" t="str">
        <f>IF('All Girls &amp; Descendants'!H137="",D139,'All Girls &amp; Descendants'!H137)</f>
        <v>Hamish</v>
      </c>
      <c r="H139">
        <f>'All Girls &amp; Descendants'!I137</f>
        <v>2018</v>
      </c>
      <c r="I139" t="str">
        <f>'All Girls &amp; Descendants'!J137</f>
        <v/>
      </c>
      <c r="K139" s="3">
        <f>'All Girls &amp; Descendants'!M137</f>
        <v>43172</v>
      </c>
      <c r="L139" s="3" t="str">
        <f>'All Girls &amp; Descendants'!N137</f>
        <v xml:space="preserve"> - </v>
      </c>
      <c r="M139" t="str">
        <f>'All Girls &amp; Descendants'!O137</f>
        <v/>
      </c>
      <c r="N139" t="str">
        <f>'All Girls &amp; Descendants'!P137</f>
        <v/>
      </c>
      <c r="O139" t="str">
        <f>'All Girls &amp; Descendants'!Q137</f>
        <v>164</v>
      </c>
      <c r="P139" t="str">
        <f t="shared" si="42"/>
        <v>164b</v>
      </c>
      <c r="Q139" s="116">
        <f t="shared" si="45"/>
        <v>1</v>
      </c>
      <c r="R139" s="31" t="str">
        <f t="shared" si="46"/>
        <v>Hamish Alexander Cormack LEASK</v>
      </c>
      <c r="S139" t="str">
        <f t="shared" si="47"/>
        <v>Hamish LEASK (2018 - :  #164b)</v>
      </c>
      <c r="U139" s="116">
        <f t="shared" si="48"/>
        <v>164002</v>
      </c>
      <c r="V139" t="s">
        <v>3096</v>
      </c>
      <c r="W139" s="116">
        <f t="shared" si="49"/>
        <v>164</v>
      </c>
      <c r="X139" s="116" t="str">
        <f t="shared" si="50"/>
        <v>b</v>
      </c>
      <c r="Y139" s="116">
        <f>VLOOKUP(W139,'Loyd List 1-190 - Edit'!$P$1:$R$202,3,FALSE)</f>
        <v>136</v>
      </c>
    </row>
    <row r="140" spans="1:25">
      <c r="A140">
        <f>'All Girls &amp; Descendants'!B138</f>
        <v>164</v>
      </c>
      <c r="B140" t="str">
        <f>'All Girls &amp; Descendants'!C138</f>
        <v>164c</v>
      </c>
      <c r="C140" t="str">
        <f>'All Girls &amp; Descendants'!D138</f>
        <v>LEASK</v>
      </c>
      <c r="D140" t="str">
        <f>'All Girls &amp; Descendants'!E138</f>
        <v>Otto</v>
      </c>
      <c r="E140" t="str">
        <f>IF('All Girls &amp; Descendants'!F138="","",'All Girls &amp; Descendants'!F138)</f>
        <v>Angus</v>
      </c>
      <c r="F140" t="str">
        <f>IF('All Girls &amp; Descendants'!G138="","",'All Girls &amp; Descendants'!G138)</f>
        <v>Davis</v>
      </c>
      <c r="G140" t="str">
        <f>IF('All Girls &amp; Descendants'!H138="",D140,'All Girls &amp; Descendants'!H138)</f>
        <v>Otto</v>
      </c>
      <c r="H140">
        <f>'All Girls &amp; Descendants'!I138</f>
        <v>2020</v>
      </c>
      <c r="I140" t="str">
        <f>'All Girls &amp; Descendants'!J138</f>
        <v/>
      </c>
      <c r="K140" s="3">
        <f>'All Girls &amp; Descendants'!M138</f>
        <v>44099</v>
      </c>
      <c r="L140" s="3" t="str">
        <f>'All Girls &amp; Descendants'!N138</f>
        <v xml:space="preserve"> - </v>
      </c>
      <c r="M140" t="str">
        <f>'All Girls &amp; Descendants'!O138</f>
        <v/>
      </c>
      <c r="N140" t="str">
        <f>'All Girls &amp; Descendants'!P138</f>
        <v/>
      </c>
      <c r="O140" t="str">
        <f>'All Girls &amp; Descendants'!Q138</f>
        <v>164</v>
      </c>
      <c r="P140" t="str">
        <f t="shared" si="42"/>
        <v>164c</v>
      </c>
      <c r="Q140" s="116">
        <f t="shared" si="45"/>
        <v>1</v>
      </c>
      <c r="R140" s="31" t="str">
        <f t="shared" si="46"/>
        <v>Otto Angus Davis LEASK</v>
      </c>
      <c r="S140" t="str">
        <f t="shared" si="47"/>
        <v>Otto LEASK (2020 - :  #164c)</v>
      </c>
      <c r="U140" s="116">
        <f t="shared" si="48"/>
        <v>164003</v>
      </c>
      <c r="V140" t="s">
        <v>3097</v>
      </c>
      <c r="W140" s="116">
        <f t="shared" si="49"/>
        <v>164</v>
      </c>
      <c r="X140" s="116" t="str">
        <f t="shared" si="50"/>
        <v>c</v>
      </c>
      <c r="Y140" s="116">
        <f>VLOOKUP(W140,'Loyd List 1-190 - Edit'!$P$1:$R$202,3,FALSE)</f>
        <v>136</v>
      </c>
    </row>
    <row r="141" spans="1:25">
      <c r="A141">
        <f>'All Girls &amp; Descendants'!B139</f>
        <v>165</v>
      </c>
      <c r="B141" t="str">
        <f>'All Girls &amp; Descendants'!C139</f>
        <v>165a</v>
      </c>
      <c r="C141" t="str">
        <f>'All Girls &amp; Descendants'!D139</f>
        <v>PURI</v>
      </c>
      <c r="D141" t="str">
        <f>'All Girls &amp; Descendants'!E139</f>
        <v>Leila</v>
      </c>
      <c r="E141" t="str">
        <f>IF('All Girls &amp; Descendants'!F139="","",'All Girls &amp; Descendants'!F139)</f>
        <v>Cherry</v>
      </c>
      <c r="F141" t="str">
        <f>IF('All Girls &amp; Descendants'!G139="","",'All Girls &amp; Descendants'!G139)</f>
        <v/>
      </c>
      <c r="G141" t="str">
        <f>IF('All Girls &amp; Descendants'!H139="",D141,'All Girls &amp; Descendants'!H139)</f>
        <v>Leila</v>
      </c>
      <c r="H141">
        <f>'All Girls &amp; Descendants'!I139</f>
        <v>2017</v>
      </c>
      <c r="I141" t="str">
        <f>'All Girls &amp; Descendants'!J139</f>
        <v/>
      </c>
      <c r="K141" s="3">
        <f>'All Girls &amp; Descendants'!M139</f>
        <v>42932</v>
      </c>
      <c r="L141" s="3" t="str">
        <f>'All Girls &amp; Descendants'!N139</f>
        <v xml:space="preserve"> - </v>
      </c>
      <c r="M141" t="str">
        <f>'All Girls &amp; Descendants'!O139</f>
        <v/>
      </c>
      <c r="N141" t="str">
        <f>'All Girls &amp; Descendants'!P139</f>
        <v/>
      </c>
      <c r="O141" t="str">
        <f>'All Girls &amp; Descendants'!Q139</f>
        <v>165</v>
      </c>
      <c r="P141" t="str">
        <f t="shared" si="42"/>
        <v>165a</v>
      </c>
      <c r="Q141" s="116">
        <f t="shared" si="45"/>
        <v>1</v>
      </c>
      <c r="R141" s="31" t="str">
        <f t="shared" si="46"/>
        <v>Leila Cherry  PURI</v>
      </c>
      <c r="S141" t="str">
        <f t="shared" si="47"/>
        <v>Leila PURI (2017 - :  #165a)</v>
      </c>
      <c r="U141" s="116">
        <f t="shared" si="48"/>
        <v>165001</v>
      </c>
      <c r="V141" t="s">
        <v>3105</v>
      </c>
      <c r="W141" s="116">
        <f t="shared" si="49"/>
        <v>165</v>
      </c>
      <c r="X141" s="116" t="str">
        <f t="shared" si="50"/>
        <v>a</v>
      </c>
      <c r="Y141" s="116">
        <f>VLOOKUP(W141,'Loyd List 1-190 - Edit'!$P$1:$R$202,3,FALSE)</f>
        <v>136</v>
      </c>
    </row>
    <row r="142" spans="1:25">
      <c r="A142">
        <f>'All Girls &amp; Descendants'!B140</f>
        <v>165</v>
      </c>
      <c r="B142" t="str">
        <f>'All Girls &amp; Descendants'!C140</f>
        <v>165b</v>
      </c>
      <c r="C142" t="str">
        <f>'All Girls &amp; Descendants'!D140</f>
        <v>PURI</v>
      </c>
      <c r="D142" t="str">
        <f>'All Girls &amp; Descendants'!E140</f>
        <v>Alana</v>
      </c>
      <c r="E142" t="str">
        <f>IF('All Girls &amp; Descendants'!F140="","",'All Girls &amp; Descendants'!F140)</f>
        <v>Kailash</v>
      </c>
      <c r="F142" t="str">
        <f>IF('All Girls &amp; Descendants'!G140="","",'All Girls &amp; Descendants'!G140)</f>
        <v/>
      </c>
      <c r="G142" t="str">
        <f>IF('All Girls &amp; Descendants'!H140="",D142,'All Girls &amp; Descendants'!H140)</f>
        <v>Alana</v>
      </c>
      <c r="H142">
        <f>'All Girls &amp; Descendants'!I140</f>
        <v>2019</v>
      </c>
      <c r="I142" t="str">
        <f>'All Girls &amp; Descendants'!J140</f>
        <v/>
      </c>
      <c r="K142" s="3">
        <f>'All Girls &amp; Descendants'!M140</f>
        <v>43558</v>
      </c>
      <c r="L142" s="3" t="str">
        <f>'All Girls &amp; Descendants'!N140</f>
        <v xml:space="preserve"> - </v>
      </c>
      <c r="M142" t="str">
        <f>'All Girls &amp; Descendants'!O140</f>
        <v/>
      </c>
      <c r="N142" t="str">
        <f>'All Girls &amp; Descendants'!P140</f>
        <v/>
      </c>
      <c r="O142" t="str">
        <f>'All Girls &amp; Descendants'!Q140</f>
        <v>165</v>
      </c>
      <c r="P142" t="str">
        <f t="shared" si="42"/>
        <v>165b</v>
      </c>
      <c r="Q142" s="116">
        <f t="shared" si="45"/>
        <v>1</v>
      </c>
      <c r="R142" s="31" t="str">
        <f t="shared" si="46"/>
        <v>Alana Kailash  PURI</v>
      </c>
      <c r="S142" t="str">
        <f t="shared" si="47"/>
        <v>Alana PURI (2019 - :  #165b)</v>
      </c>
      <c r="U142" s="116">
        <f t="shared" si="48"/>
        <v>165002</v>
      </c>
      <c r="V142" t="s">
        <v>3109</v>
      </c>
      <c r="W142" s="116">
        <f t="shared" si="49"/>
        <v>165</v>
      </c>
      <c r="X142" s="116" t="str">
        <f t="shared" si="50"/>
        <v>b</v>
      </c>
      <c r="Y142" s="116">
        <f>VLOOKUP(W142,'Loyd List 1-190 - Edit'!$P$1:$R$202,3,FALSE)</f>
        <v>136</v>
      </c>
    </row>
    <row r="143" spans="1:25">
      <c r="A143">
        <f>'All Girls &amp; Descendants'!B141</f>
        <v>168</v>
      </c>
      <c r="B143" t="str">
        <f>'All Girls &amp; Descendants'!C141</f>
        <v>168a</v>
      </c>
      <c r="C143" t="str">
        <f>'All Girls &amp; Descendants'!D141</f>
        <v>POWELL</v>
      </c>
      <c r="D143" t="str">
        <f>'All Girls &amp; Descendants'!E141</f>
        <v>Nicholas</v>
      </c>
      <c r="E143" t="str">
        <f>IF('All Girls &amp; Descendants'!F141="","",'All Girls &amp; Descendants'!F141)</f>
        <v>Rudyard</v>
      </c>
      <c r="F143" t="str">
        <f>IF('All Girls &amp; Descendants'!G141="","",'All Girls &amp; Descendants'!G141)</f>
        <v>Wroughton</v>
      </c>
      <c r="G143" t="str">
        <f>IF('All Girls &amp; Descendants'!H141="",D143,'All Girls &amp; Descendants'!H141)</f>
        <v>Nicholas</v>
      </c>
      <c r="H143">
        <f>'All Girls &amp; Descendants'!I141</f>
        <v>2020</v>
      </c>
      <c r="I143" t="str">
        <f>'All Girls &amp; Descendants'!J141</f>
        <v/>
      </c>
      <c r="K143" s="3">
        <f>'All Girls &amp; Descendants'!M141</f>
        <v>44175</v>
      </c>
      <c r="L143" s="3" t="str">
        <f>'All Girls &amp; Descendants'!N141</f>
        <v xml:space="preserve"> - </v>
      </c>
      <c r="M143" t="str">
        <f>'All Girls &amp; Descendants'!O141</f>
        <v/>
      </c>
      <c r="N143" t="str">
        <f>'All Girls &amp; Descendants'!P141</f>
        <v/>
      </c>
      <c r="O143" t="str">
        <f>'All Girls &amp; Descendants'!Q141</f>
        <v>168</v>
      </c>
      <c r="P143" t="str">
        <f t="shared" si="42"/>
        <v>168a</v>
      </c>
      <c r="Q143" s="116">
        <f t="shared" si="45"/>
        <v>1</v>
      </c>
      <c r="R143" s="31" t="str">
        <f t="shared" si="46"/>
        <v>Nicholas Rudyard Wroughton POWELL</v>
      </c>
      <c r="S143" t="str">
        <f t="shared" si="47"/>
        <v>Nicholas POWELL (2020 - :  #168a)</v>
      </c>
      <c r="U143" s="116">
        <f t="shared" si="48"/>
        <v>168001</v>
      </c>
      <c r="V143" t="s">
        <v>3114</v>
      </c>
      <c r="W143" s="116">
        <f t="shared" si="49"/>
        <v>168</v>
      </c>
      <c r="X143" s="116" t="str">
        <f t="shared" si="50"/>
        <v>a</v>
      </c>
      <c r="Y143" s="116">
        <f>VLOOKUP(W143,'Loyd List 1-190 - Edit'!$P$1:$R$202,3,FALSE)</f>
        <v>138</v>
      </c>
    </row>
    <row r="144" spans="1:25">
      <c r="A144">
        <f>'All Girls &amp; Descendants'!B142</f>
        <v>168</v>
      </c>
      <c r="B144" t="str">
        <f>'All Girls &amp; Descendants'!C142</f>
        <v>168b</v>
      </c>
      <c r="C144" t="str">
        <f>'All Girls &amp; Descendants'!D142</f>
        <v>POWELL </v>
      </c>
      <c r="D144" t="str">
        <f>'All Girls &amp; Descendants'!E142</f>
        <v>Florence</v>
      </c>
      <c r="E144" t="str">
        <f>IF('All Girls &amp; Descendants'!F142="","",'All Girls &amp; Descendants'!F142)</f>
        <v>Sofia</v>
      </c>
      <c r="F144" t="str">
        <f>IF('All Girls &amp; Descendants'!G142="","",'All Girls &amp; Descendants'!G142)</f>
        <v>Berners</v>
      </c>
      <c r="G144" t="str">
        <f>IF('All Girls &amp; Descendants'!H142="",D144,'All Girls &amp; Descendants'!H142)</f>
        <v>Florence</v>
      </c>
      <c r="H144">
        <f>'All Girls &amp; Descendants'!I142</f>
        <v>2022</v>
      </c>
      <c r="I144" t="str">
        <f>'All Girls &amp; Descendants'!J142</f>
        <v/>
      </c>
      <c r="K144" s="3">
        <f>'All Girls &amp; Descendants'!M142</f>
        <v>44651</v>
      </c>
      <c r="L144" s="3" t="str">
        <f>'All Girls &amp; Descendants'!N142</f>
        <v xml:space="preserve"> - </v>
      </c>
      <c r="M144" t="str">
        <f>'All Girls &amp; Descendants'!O142</f>
        <v/>
      </c>
      <c r="N144" t="str">
        <f>'All Girls &amp; Descendants'!P142</f>
        <v/>
      </c>
      <c r="O144" t="str">
        <f>'All Girls &amp; Descendants'!Q142</f>
        <v>168</v>
      </c>
      <c r="P144" t="str">
        <f t="shared" ref="P144:P207" si="51">B144</f>
        <v>168b</v>
      </c>
      <c r="Q144" s="116">
        <f t="shared" ref="Q144:Q207" si="52">LEN(B144)-LEN(A144)</f>
        <v>1</v>
      </c>
      <c r="R144" s="31" t="str">
        <f t="shared" ref="R144:R207" si="53">_xlfn.CONCAT(D144," ",E144," ",F144," ",C144)</f>
        <v>Florence Sofia Berners POWELL </v>
      </c>
      <c r="S144" t="str">
        <f t="shared" ref="S144:S207" si="54">_xlfn.CONCAT(G144," ",C144," (",H144," - ",I144,":  #",B144,")")</f>
        <v>Florence POWELL  (2022 - :  #168b)</v>
      </c>
      <c r="U144" s="116">
        <f t="shared" si="48"/>
        <v>168002</v>
      </c>
      <c r="V144" t="s">
        <v>4065</v>
      </c>
      <c r="W144" s="116">
        <f t="shared" si="49"/>
        <v>168</v>
      </c>
      <c r="X144" s="116" t="str">
        <f t="shared" si="50"/>
        <v>b</v>
      </c>
      <c r="Y144" s="116">
        <f>VLOOKUP(W144,'Loyd List 1-190 - Edit'!$P$1:$R$202,3,FALSE)</f>
        <v>138</v>
      </c>
    </row>
    <row r="145" spans="1:25">
      <c r="A145">
        <f>'All Girls &amp; Descendants'!B143</f>
        <v>170</v>
      </c>
      <c r="B145" t="str">
        <f>'All Girls &amp; Descendants'!C143</f>
        <v>170a</v>
      </c>
      <c r="C145" t="str">
        <f>'All Girls &amp; Descendants'!D143</f>
        <v>POWELL</v>
      </c>
      <c r="D145" t="str">
        <f>'All Girls &amp; Descendants'!E143</f>
        <v>Angus</v>
      </c>
      <c r="E145" t="str">
        <f>IF('All Girls &amp; Descendants'!F143="","",'All Girls &amp; Descendants'!F143)</f>
        <v>Thomas</v>
      </c>
      <c r="F145" t="str">
        <f>IF('All Girls &amp; Descendants'!G143="","",'All Girls &amp; Descendants'!G143)</f>
        <v>Folliott</v>
      </c>
      <c r="G145" t="str">
        <f>IF('All Girls &amp; Descendants'!H143="",D145,'All Girls &amp; Descendants'!H143)</f>
        <v>Angus</v>
      </c>
      <c r="H145">
        <f>'All Girls &amp; Descendants'!I143</f>
        <v>2021</v>
      </c>
      <c r="I145" t="str">
        <f>'All Girls &amp; Descendants'!J143</f>
        <v/>
      </c>
      <c r="K145" s="3">
        <f>'All Girls &amp; Descendants'!M143</f>
        <v>44374</v>
      </c>
      <c r="L145" s="3" t="str">
        <f>'All Girls &amp; Descendants'!N143</f>
        <v xml:space="preserve"> - </v>
      </c>
      <c r="M145" t="str">
        <f>'All Girls &amp; Descendants'!O143</f>
        <v/>
      </c>
      <c r="N145" t="str">
        <f>'All Girls &amp; Descendants'!P143</f>
        <v/>
      </c>
      <c r="O145" t="str">
        <f>'All Girls &amp; Descendants'!Q143</f>
        <v>170</v>
      </c>
      <c r="P145" t="str">
        <f t="shared" si="51"/>
        <v>170a</v>
      </c>
      <c r="Q145" s="116">
        <f t="shared" si="52"/>
        <v>1</v>
      </c>
      <c r="R145" s="31" t="str">
        <f t="shared" si="53"/>
        <v>Angus Thomas Folliott POWELL</v>
      </c>
      <c r="S145" t="str">
        <f t="shared" si="54"/>
        <v>Angus POWELL (2021 - :  #170a)</v>
      </c>
      <c r="U145" s="116">
        <f>W145*1000+VLOOKUP(X145,$AB$4:$AC$13,2,FALSE)</f>
        <v>170001</v>
      </c>
      <c r="V145" t="s">
        <v>3117</v>
      </c>
      <c r="W145" s="116">
        <f>VALUE(LEFT(V145,3))</f>
        <v>170</v>
      </c>
      <c r="X145" s="116" t="str">
        <f>RIGHT(V145,1)</f>
        <v>a</v>
      </c>
      <c r="Y145" s="116">
        <f>VLOOKUP(W145,'Loyd List 1-190 - Edit'!$P$1:$R$202,3,FALSE)</f>
        <v>138</v>
      </c>
    </row>
    <row r="146" spans="1:25">
      <c r="A146">
        <f>'All Girls &amp; Descendants'!B144</f>
        <v>2</v>
      </c>
      <c r="B146" t="str">
        <f>'All Girls &amp; Descendants'!C144</f>
        <v>2aa</v>
      </c>
      <c r="C146" t="str">
        <f>'All Girls &amp; Descendants'!D144</f>
        <v>DAVIES</v>
      </c>
      <c r="D146" t="str">
        <f>'All Girls &amp; Descendants'!E144</f>
        <v>William</v>
      </c>
      <c r="E146" t="str">
        <f>IF('All Girls &amp; Descendants'!F144="","",'All Girls &amp; Descendants'!F144)</f>
        <v/>
      </c>
      <c r="F146" t="str">
        <f>IF('All Girls &amp; Descendants'!G144="","",'All Girls &amp; Descendants'!G144)</f>
        <v/>
      </c>
      <c r="G146" t="str">
        <f>IF('All Girls &amp; Descendants'!H144="",D146,'All Girls &amp; Descendants'!H144)</f>
        <v>William</v>
      </c>
      <c r="H146" t="str">
        <f>'All Girls &amp; Descendants'!I144</f>
        <v>Date unknown</v>
      </c>
      <c r="I146">
        <f>'All Girls &amp; Descendants'!J144</f>
        <v>1908</v>
      </c>
      <c r="K146" s="3" t="str">
        <f>'All Girls &amp; Descendants'!M144</f>
        <v>Date unknown</v>
      </c>
      <c r="L146" s="3" t="str">
        <f>'All Girls &amp; Descendants'!N144</f>
        <v xml:space="preserve"> - </v>
      </c>
      <c r="M146">
        <f>'All Girls &amp; Descendants'!O144</f>
        <v>2982</v>
      </c>
      <c r="N146" t="str">
        <f>'All Girls &amp; Descendants'!P144</f>
        <v>29/02/1908</v>
      </c>
      <c r="O146" t="str">
        <f>'All Girls &amp; Descendants'!Q144</f>
        <v>2a</v>
      </c>
      <c r="P146" t="str">
        <f t="shared" si="51"/>
        <v>2aa</v>
      </c>
      <c r="Q146" s="116">
        <f t="shared" si="52"/>
        <v>2</v>
      </c>
      <c r="R146" s="31" t="str">
        <f t="shared" si="53"/>
        <v>William   DAVIES</v>
      </c>
      <c r="S146" t="str">
        <f t="shared" si="54"/>
        <v>William DAVIES (Date unknown - 1908:  #2aa)</v>
      </c>
    </row>
    <row r="147" spans="1:25">
      <c r="A147">
        <f>'All Girls &amp; Descendants'!B145</f>
        <v>2</v>
      </c>
      <c r="B147" t="str">
        <f>'All Girls &amp; Descendants'!C145</f>
        <v>2ca</v>
      </c>
      <c r="C147" t="str">
        <f>'All Girls &amp; Descendants'!D145</f>
        <v>DAVIES</v>
      </c>
      <c r="D147" t="str">
        <f>'All Girls &amp; Descendants'!E145</f>
        <v>Catherine</v>
      </c>
      <c r="E147" t="str">
        <f>IF('All Girls &amp; Descendants'!F145="","",'All Girls &amp; Descendants'!F145)</f>
        <v/>
      </c>
      <c r="F147" t="str">
        <f>IF('All Girls &amp; Descendants'!G145="","",'All Girls &amp; Descendants'!G145)</f>
        <v/>
      </c>
      <c r="G147" t="str">
        <f>IF('All Girls &amp; Descendants'!H145="",D147,'All Girls &amp; Descendants'!H145)</f>
        <v>Catherine</v>
      </c>
      <c r="H147">
        <f>'All Girls &amp; Descendants'!I145</f>
        <v>1829</v>
      </c>
      <c r="I147">
        <f>'All Girls &amp; Descendants'!J145</f>
        <v>1866</v>
      </c>
      <c r="K147" s="3" t="str">
        <f>'All Girls &amp; Descendants'!M145</f>
        <v>09/10/1829</v>
      </c>
      <c r="L147" s="3" t="str">
        <f>'All Girls &amp; Descendants'!N145</f>
        <v>26/09/1851</v>
      </c>
      <c r="M147" t="str">
        <f>'All Girls &amp; Descendants'!O145</f>
        <v>1866</v>
      </c>
      <c r="N147" t="str">
        <f>'All Girls &amp; Descendants'!P145</f>
        <v>08/02/1905</v>
      </c>
      <c r="O147" t="str">
        <f>'All Girls &amp; Descendants'!Q145</f>
        <v>2c</v>
      </c>
      <c r="P147" t="str">
        <f t="shared" si="51"/>
        <v>2ca</v>
      </c>
      <c r="Q147" s="116">
        <f t="shared" si="52"/>
        <v>2</v>
      </c>
      <c r="R147" s="31" t="str">
        <f t="shared" si="53"/>
        <v>Catherine   DAVIES</v>
      </c>
      <c r="S147" t="str">
        <f t="shared" si="54"/>
        <v>Catherine DAVIES (1829 - 1866:  #2ca)</v>
      </c>
    </row>
    <row r="148" spans="1:25">
      <c r="A148">
        <f>'All Girls &amp; Descendants'!B146</f>
        <v>18</v>
      </c>
      <c r="B148" t="str">
        <f>'All Girls &amp; Descendants'!C146</f>
        <v>18ba</v>
      </c>
      <c r="C148" t="str">
        <f>'All Girls &amp; Descendants'!D146</f>
        <v>NICOL</v>
      </c>
      <c r="D148" t="str">
        <f>'All Girls &amp; Descendants'!E146</f>
        <v>Malcolm</v>
      </c>
      <c r="E148" t="str">
        <f>IF('All Girls &amp; Descendants'!F146="","",'All Girls &amp; Descendants'!F146)</f>
        <v>William</v>
      </c>
      <c r="F148" t="str">
        <f>IF('All Girls &amp; Descendants'!G146="","",'All Girls &amp; Descendants'!G146)</f>
        <v>Prout</v>
      </c>
      <c r="G148" t="str">
        <f>IF('All Girls &amp; Descendants'!H146="",D148,'All Girls &amp; Descendants'!H146)</f>
        <v>Malcolm</v>
      </c>
      <c r="H148">
        <f>'All Girls &amp; Descendants'!I146</f>
        <v>1879</v>
      </c>
      <c r="I148">
        <f>'All Girls &amp; Descendants'!J146</f>
        <v>1891</v>
      </c>
      <c r="K148" s="3" t="str">
        <f>'All Girls &amp; Descendants'!M146</f>
        <v>20/04/1879</v>
      </c>
      <c r="L148" s="3" t="str">
        <f>'All Girls &amp; Descendants'!N146</f>
        <v>Unmarried</v>
      </c>
      <c r="M148" t="str">
        <f>'All Girls &amp; Descendants'!O146</f>
        <v>04/04/1891</v>
      </c>
      <c r="N148" t="str">
        <f>'All Girls &amp; Descendants'!P146</f>
        <v>04/04/1891</v>
      </c>
      <c r="O148" t="str">
        <f>'All Girls &amp; Descendants'!Q146</f>
        <v>18b</v>
      </c>
      <c r="P148" t="str">
        <f t="shared" si="51"/>
        <v>18ba</v>
      </c>
      <c r="Q148" s="116">
        <f t="shared" si="52"/>
        <v>2</v>
      </c>
      <c r="R148" s="31" t="str">
        <f t="shared" si="53"/>
        <v>Malcolm William Prout NICOL</v>
      </c>
      <c r="S148" t="str">
        <f t="shared" si="54"/>
        <v>Malcolm NICOL (1879 - 1891:  #18ba)</v>
      </c>
    </row>
    <row r="149" spans="1:25">
      <c r="A149">
        <f>'All Girls &amp; Descendants'!B147</f>
        <v>18</v>
      </c>
      <c r="B149" t="str">
        <f>'All Girls &amp; Descendants'!C147</f>
        <v>18bb</v>
      </c>
      <c r="C149" t="str">
        <f>'All Girls &amp; Descendants'!D147</f>
        <v>NICOL</v>
      </c>
      <c r="D149" t="str">
        <f>'All Girls &amp; Descendants'!E147</f>
        <v>Margery</v>
      </c>
      <c r="E149" t="str">
        <f>IF('All Girls &amp; Descendants'!F147="","",'All Girls &amp; Descendants'!F147)</f>
        <v>Catherine</v>
      </c>
      <c r="F149" t="str">
        <f>IF('All Girls &amp; Descendants'!G147="","",'All Girls &amp; Descendants'!G147)</f>
        <v/>
      </c>
      <c r="G149" t="str">
        <f>IF('All Girls &amp; Descendants'!H147="",D149,'All Girls &amp; Descendants'!H147)</f>
        <v>Margery</v>
      </c>
      <c r="H149">
        <f>'All Girls &amp; Descendants'!I147</f>
        <v>1880</v>
      </c>
      <c r="I149">
        <f>'All Girls &amp; Descendants'!J147</f>
        <v>1963</v>
      </c>
      <c r="K149" s="3" t="str">
        <f>'All Girls &amp; Descendants'!M147</f>
        <v>08/05/1880</v>
      </c>
      <c r="L149" s="3">
        <f>'All Girls &amp; Descendants'!N147</f>
        <v>3764</v>
      </c>
      <c r="M149">
        <f>'All Girls &amp; Descendants'!O147</f>
        <v>23101</v>
      </c>
      <c r="N149" t="str">
        <f>'All Girls &amp; Descendants'!P147</f>
        <v>31/03/1963</v>
      </c>
      <c r="O149" t="str">
        <f>'All Girls &amp; Descendants'!Q147</f>
        <v>18b</v>
      </c>
      <c r="P149" t="str">
        <f t="shared" si="51"/>
        <v>18bb</v>
      </c>
      <c r="Q149" s="116">
        <f t="shared" si="52"/>
        <v>2</v>
      </c>
      <c r="R149" s="31" t="str">
        <f t="shared" si="53"/>
        <v>Margery Catherine  NICOL</v>
      </c>
      <c r="S149" t="str">
        <f t="shared" si="54"/>
        <v>Margery NICOL (1880 - 1963:  #18bb)</v>
      </c>
    </row>
    <row r="150" spans="1:25">
      <c r="A150">
        <f>'All Girls &amp; Descendants'!B148</f>
        <v>18</v>
      </c>
      <c r="B150" t="str">
        <f>'All Girls &amp; Descendants'!C148</f>
        <v>18bc</v>
      </c>
      <c r="C150" t="str">
        <f>'All Girls &amp; Descendants'!D148</f>
        <v>NICOL</v>
      </c>
      <c r="D150" t="str">
        <f>'All Girls &amp; Descendants'!E148</f>
        <v>Randall</v>
      </c>
      <c r="E150" t="str">
        <f>IF('All Girls &amp; Descendants'!F148="","",'All Girls &amp; Descendants'!F148)</f>
        <v>James</v>
      </c>
      <c r="F150" t="str">
        <f>IF('All Girls &amp; Descendants'!G148="","",'All Girls &amp; Descendants'!G148)</f>
        <v/>
      </c>
      <c r="G150" t="str">
        <f>IF('All Girls &amp; Descendants'!H148="",D150,'All Girls &amp; Descendants'!H148)</f>
        <v>Randall</v>
      </c>
      <c r="H150">
        <f>'All Girls &amp; Descendants'!I148</f>
        <v>1882</v>
      </c>
      <c r="I150">
        <f>'All Girls &amp; Descendants'!J148</f>
        <v>1941</v>
      </c>
      <c r="K150" s="3" t="str">
        <f>'All Girls &amp; Descendants'!M148</f>
        <v>19/08/1882</v>
      </c>
      <c r="L150" s="3" t="str">
        <f>'All Girls &amp; Descendants'!N148</f>
        <v xml:space="preserve"> - </v>
      </c>
      <c r="M150">
        <f>'All Girls &amp; Descendants'!O148</f>
        <v>15298</v>
      </c>
      <c r="N150" t="str">
        <f>'All Girls &amp; Descendants'!P148</f>
        <v>18/11/1941</v>
      </c>
      <c r="O150" t="str">
        <f>'All Girls &amp; Descendants'!Q148</f>
        <v>18b</v>
      </c>
      <c r="P150" t="str">
        <f t="shared" si="51"/>
        <v>18bc</v>
      </c>
      <c r="Q150" s="116">
        <f t="shared" si="52"/>
        <v>2</v>
      </c>
      <c r="R150" s="31" t="str">
        <f t="shared" si="53"/>
        <v>Randall James  NICOL</v>
      </c>
      <c r="S150" t="str">
        <f t="shared" si="54"/>
        <v>Randall NICOL (1882 - 1941:  #18bc)</v>
      </c>
    </row>
    <row r="151" spans="1:25">
      <c r="A151">
        <f>'All Girls &amp; Descendants'!B149</f>
        <v>18</v>
      </c>
      <c r="B151" t="str">
        <f>'All Girls &amp; Descendants'!C149</f>
        <v>18bd</v>
      </c>
      <c r="C151" t="str">
        <f>'All Girls &amp; Descendants'!D149</f>
        <v>NICOL</v>
      </c>
      <c r="D151" t="str">
        <f>'All Girls &amp; Descendants'!E149</f>
        <v>Dorothy</v>
      </c>
      <c r="E151" t="str">
        <f>IF('All Girls &amp; Descendants'!F149="","",'All Girls &amp; Descendants'!F149)</f>
        <v>Ada</v>
      </c>
      <c r="F151" t="str">
        <f>IF('All Girls &amp; Descendants'!G149="","",'All Girls &amp; Descendants'!G149)</f>
        <v/>
      </c>
      <c r="G151" t="str">
        <f>IF('All Girls &amp; Descendants'!H149="",D151,'All Girls &amp; Descendants'!H149)</f>
        <v>Dorothy</v>
      </c>
      <c r="H151">
        <f>'All Girls &amp; Descendants'!I149</f>
        <v>1885</v>
      </c>
      <c r="I151">
        <f>'All Girls &amp; Descendants'!J149</f>
        <v>1964</v>
      </c>
      <c r="K151" s="3" t="str">
        <f>'All Girls &amp; Descendants'!M149</f>
        <v>20/08/1885</v>
      </c>
      <c r="L151" s="3" t="str">
        <f>'All Girls &amp; Descendants'!N149</f>
        <v xml:space="preserve"> - </v>
      </c>
      <c r="M151">
        <f>'All Girls &amp; Descendants'!O149</f>
        <v>23410</v>
      </c>
      <c r="N151" t="str">
        <f>'All Girls &amp; Descendants'!P149</f>
        <v>03/02/1964</v>
      </c>
      <c r="O151" t="str">
        <f>'All Girls &amp; Descendants'!Q149</f>
        <v>18b</v>
      </c>
      <c r="P151" t="str">
        <f t="shared" si="51"/>
        <v>18bd</v>
      </c>
      <c r="Q151" s="116">
        <f t="shared" si="52"/>
        <v>2</v>
      </c>
      <c r="R151" s="31" t="str">
        <f t="shared" si="53"/>
        <v>Dorothy Ada  NICOL</v>
      </c>
      <c r="S151" t="str">
        <f t="shared" si="54"/>
        <v>Dorothy NICOL (1885 - 1964:  #18bd)</v>
      </c>
    </row>
    <row r="152" spans="1:25">
      <c r="A152">
        <f>'All Girls &amp; Descendants'!B150</f>
        <v>18</v>
      </c>
      <c r="B152" t="str">
        <f>'All Girls &amp; Descendants'!C150</f>
        <v>18ea</v>
      </c>
      <c r="C152" t="str">
        <f>'All Girls &amp; Descendants'!D150</f>
        <v>NICOL</v>
      </c>
      <c r="D152" t="str">
        <f>'All Girls &amp; Descendants'!E150</f>
        <v>Violet</v>
      </c>
      <c r="E152" t="str">
        <f>IF('All Girls &amp; Descendants'!F150="","",'All Girls &amp; Descendants'!F150)</f>
        <v>Dyce</v>
      </c>
      <c r="F152" t="str">
        <f>IF('All Girls &amp; Descendants'!G150="","",'All Girls &amp; Descendants'!G150)</f>
        <v>Norah</v>
      </c>
      <c r="G152" t="str">
        <f>IF('All Girls &amp; Descendants'!H150="",D152,'All Girls &amp; Descendants'!H150)</f>
        <v>Violet</v>
      </c>
      <c r="H152">
        <f>'All Girls &amp; Descendants'!I150</f>
        <v>1887</v>
      </c>
      <c r="I152">
        <f>'All Girls &amp; Descendants'!J150</f>
        <v>1957</v>
      </c>
      <c r="K152" s="3" t="str">
        <f>'All Girls &amp; Descendants'!M150</f>
        <v>12/09/1887</v>
      </c>
      <c r="L152" s="3">
        <f>'All Girls &amp; Descendants'!N150</f>
        <v>3686</v>
      </c>
      <c r="M152">
        <f>'All Girls &amp; Descendants'!O150</f>
        <v>21048</v>
      </c>
      <c r="N152" t="str">
        <f>'All Girls &amp; Descendants'!P150</f>
        <v>16/08/1957</v>
      </c>
      <c r="O152" t="str">
        <f>'All Girls &amp; Descendants'!Q150</f>
        <v>18e</v>
      </c>
      <c r="P152" t="str">
        <f t="shared" si="51"/>
        <v>18ea</v>
      </c>
      <c r="Q152" s="116">
        <f t="shared" si="52"/>
        <v>2</v>
      </c>
      <c r="R152" s="31" t="str">
        <f t="shared" si="53"/>
        <v>Violet Dyce Norah NICOL</v>
      </c>
      <c r="S152" t="str">
        <f t="shared" si="54"/>
        <v>Violet NICOL (1887 - 1957:  #18ea)</v>
      </c>
    </row>
    <row r="153" spans="1:25">
      <c r="A153">
        <f>'All Girls &amp; Descendants'!B151</f>
        <v>36</v>
      </c>
      <c r="B153" t="str">
        <f>'All Girls &amp; Descendants'!C151</f>
        <v>36aa</v>
      </c>
      <c r="C153" t="str">
        <f>'All Girls &amp; Descendants'!D151</f>
        <v>COURTHOPE</v>
      </c>
      <c r="D153" t="str">
        <f>'All Girls &amp; Descendants'!E151</f>
        <v>The Hon Hilda</v>
      </c>
      <c r="E153" t="str">
        <f>IF('All Girls &amp; Descendants'!F151="","",'All Girls &amp; Descendants'!F151)</f>
        <v>Beryl</v>
      </c>
      <c r="F153" t="str">
        <f>IF('All Girls &amp; Descendants'!G151="","",'All Girls &amp; Descendants'!G151)</f>
        <v/>
      </c>
      <c r="G153" t="str">
        <f>IF('All Girls &amp; Descendants'!H151="",D153,'All Girls &amp; Descendants'!H151)</f>
        <v>Beryl</v>
      </c>
      <c r="H153">
        <f>'All Girls &amp; Descendants'!I151</f>
        <v>1900</v>
      </c>
      <c r="I153">
        <f>'All Girls &amp; Descendants'!J151</f>
        <v>1974</v>
      </c>
      <c r="K153" s="3" t="str">
        <f>'All Girls &amp; Descendants'!M151</f>
        <v>02/11/1900</v>
      </c>
      <c r="L153" s="3" t="str">
        <f>'All Girls &amp; Descendants'!N151</f>
        <v xml:space="preserve"> - </v>
      </c>
      <c r="M153">
        <f>'All Girls &amp; Descendants'!O151</f>
        <v>27246</v>
      </c>
      <c r="N153" t="str">
        <f>'All Girls &amp; Descendants'!P151</f>
        <v>05/08/1974</v>
      </c>
      <c r="O153" t="str">
        <f>'All Girls &amp; Descendants'!Q151</f>
        <v>36a</v>
      </c>
      <c r="P153" t="str">
        <f t="shared" si="51"/>
        <v>36aa</v>
      </c>
      <c r="Q153" s="116">
        <f t="shared" si="52"/>
        <v>2</v>
      </c>
      <c r="R153" s="31" t="str">
        <f t="shared" si="53"/>
        <v>The Hon Hilda Beryl  COURTHOPE</v>
      </c>
      <c r="S153" t="str">
        <f t="shared" si="54"/>
        <v>Beryl COURTHOPE (1900 - 1974:  #36aa)</v>
      </c>
    </row>
    <row r="154" spans="1:25">
      <c r="A154">
        <f>'All Girls &amp; Descendants'!B152</f>
        <v>36</v>
      </c>
      <c r="B154" t="str">
        <f>'All Girls &amp; Descendants'!C152</f>
        <v>36ab</v>
      </c>
      <c r="C154" t="str">
        <f>'All Girls &amp; Descendants'!D152</f>
        <v>COURTHOPE</v>
      </c>
      <c r="D154" t="str">
        <f>'All Girls &amp; Descendants'!E152</f>
        <v>The Hon Elinor</v>
      </c>
      <c r="E154" t="str">
        <f>IF('All Girls &amp; Descendants'!F152="","",'All Girls &amp; Descendants'!F152)</f>
        <v>Daphne</v>
      </c>
      <c r="F154" t="str">
        <f>IF('All Girls &amp; Descendants'!G152="","",'All Girls &amp; Descendants'!G152)</f>
        <v/>
      </c>
      <c r="G154" t="str">
        <f>IF('All Girls &amp; Descendants'!H152="",D154,'All Girls &amp; Descendants'!H152)</f>
        <v>Daphne</v>
      </c>
      <c r="H154">
        <f>'All Girls &amp; Descendants'!I152</f>
        <v>1902</v>
      </c>
      <c r="I154">
        <f>'All Girls &amp; Descendants'!J152</f>
        <v>1980</v>
      </c>
      <c r="K154" s="3" t="str">
        <f>'All Girls &amp; Descendants'!M152</f>
        <v>11/10/1902</v>
      </c>
      <c r="L154" s="3" t="str">
        <f>'All Girls &amp; Descendants'!N152</f>
        <v xml:space="preserve"> - </v>
      </c>
      <c r="M154">
        <f>'All Girls &amp; Descendants'!O152</f>
        <v>29387</v>
      </c>
      <c r="N154" t="str">
        <f>'All Girls &amp; Descendants'!P152</f>
        <v>15/06/1980</v>
      </c>
      <c r="O154" t="str">
        <f>'All Girls &amp; Descendants'!Q152</f>
        <v>36a</v>
      </c>
      <c r="P154" t="str">
        <f t="shared" si="51"/>
        <v>36ab</v>
      </c>
      <c r="Q154" s="116">
        <f t="shared" si="52"/>
        <v>2</v>
      </c>
      <c r="R154" s="31" t="str">
        <f t="shared" si="53"/>
        <v>The Hon Elinor Daphne  COURTHOPE</v>
      </c>
      <c r="S154" t="str">
        <f t="shared" si="54"/>
        <v>Daphne COURTHOPE (1902 - 1980:  #36ab)</v>
      </c>
    </row>
    <row r="155" spans="1:25">
      <c r="A155">
        <f>'All Girls &amp; Descendants'!B153</f>
        <v>36</v>
      </c>
      <c r="B155" t="str">
        <f>'All Girls &amp; Descendants'!C153</f>
        <v>36da</v>
      </c>
      <c r="C155" t="str">
        <f>'All Girls &amp; Descendants'!D153</f>
        <v>POWELL</v>
      </c>
      <c r="D155" t="str">
        <f>'All Girls &amp; Descendants'!E153</f>
        <v>Elinor</v>
      </c>
      <c r="E155" t="str">
        <f>IF('All Girls &amp; Descendants'!F153="","",'All Girls &amp; Descendants'!F153)</f>
        <v>Mary</v>
      </c>
      <c r="F155" t="str">
        <f>IF('All Girls &amp; Descendants'!G153="","",'All Girls &amp; Descendants'!G153)</f>
        <v/>
      </c>
      <c r="G155" t="str">
        <f>IF('All Girls &amp; Descendants'!H153="",D155,'All Girls &amp; Descendants'!H153)</f>
        <v>Elinor</v>
      </c>
      <c r="H155">
        <f>'All Girls &amp; Descendants'!I153</f>
        <v>1911</v>
      </c>
      <c r="I155">
        <f>'All Girls &amp; Descendants'!J153</f>
        <v>1997</v>
      </c>
      <c r="K155" s="3">
        <f>'All Girls &amp; Descendants'!M153</f>
        <v>4249</v>
      </c>
      <c r="L155" s="3" t="str">
        <f>'All Girls &amp; Descendants'!N153</f>
        <v xml:space="preserve"> - </v>
      </c>
      <c r="M155">
        <f>'All Girls &amp; Descendants'!O153</f>
        <v>35631</v>
      </c>
      <c r="N155" t="str">
        <f>'All Girls &amp; Descendants'!P153</f>
        <v>20/07/1997</v>
      </c>
      <c r="O155" t="str">
        <f>'All Girls &amp; Descendants'!Q153</f>
        <v>36d</v>
      </c>
      <c r="P155" t="str">
        <f t="shared" si="51"/>
        <v>36da</v>
      </c>
      <c r="Q155" s="116">
        <f t="shared" si="52"/>
        <v>2</v>
      </c>
      <c r="R155" s="31" t="str">
        <f t="shared" si="53"/>
        <v>Elinor Mary  POWELL</v>
      </c>
      <c r="S155" t="str">
        <f t="shared" si="54"/>
        <v>Elinor POWELL (1911 - 1997:  #36da)</v>
      </c>
    </row>
    <row r="156" spans="1:25">
      <c r="A156">
        <f>'All Girls &amp; Descendants'!B154</f>
        <v>36</v>
      </c>
      <c r="B156" t="str">
        <f>'All Girls &amp; Descendants'!C154</f>
        <v>36db</v>
      </c>
      <c r="C156" t="str">
        <f>'All Girls &amp; Descendants'!D154</f>
        <v>POWELL</v>
      </c>
      <c r="D156" t="str">
        <f>'All Girls &amp; Descendants'!E154</f>
        <v>John</v>
      </c>
      <c r="E156" t="str">
        <f>IF('All Girls &amp; Descendants'!F154="","",'All Girls &amp; Descendants'!F154)</f>
        <v>Henry</v>
      </c>
      <c r="F156" t="str">
        <f>IF('All Girls &amp; Descendants'!G154="","",'All Girls &amp; Descendants'!G154)</f>
        <v>Courthope</v>
      </c>
      <c r="G156" t="str">
        <f>IF('All Girls &amp; Descendants'!H154="",D156,'All Girls &amp; Descendants'!H154)</f>
        <v>John</v>
      </c>
      <c r="H156">
        <f>'All Girls &amp; Descendants'!I154</f>
        <v>1913</v>
      </c>
      <c r="I156">
        <f>'All Girls &amp; Descendants'!J154</f>
        <v>1944</v>
      </c>
      <c r="K156" s="3">
        <f>'All Girls &amp; Descendants'!M154</f>
        <v>4811</v>
      </c>
      <c r="L156" s="3">
        <f>'All Girls &amp; Descendants'!N154</f>
        <v>14347</v>
      </c>
      <c r="M156">
        <f>'All Girls &amp; Descendants'!O154</f>
        <v>16272</v>
      </c>
      <c r="N156" t="str">
        <f>'All Girls &amp; Descendants'!P154</f>
        <v>19/07/1944</v>
      </c>
      <c r="O156" t="str">
        <f>'All Girls &amp; Descendants'!Q154</f>
        <v>36d</v>
      </c>
      <c r="P156" t="str">
        <f t="shared" si="51"/>
        <v>36db</v>
      </c>
      <c r="Q156" s="116">
        <f t="shared" si="52"/>
        <v>2</v>
      </c>
      <c r="R156" s="31" t="str">
        <f t="shared" si="53"/>
        <v>John Henry Courthope POWELL</v>
      </c>
      <c r="S156" t="str">
        <f t="shared" si="54"/>
        <v>John POWELL (1913 - 1944:  #36db)</v>
      </c>
    </row>
    <row r="157" spans="1:25">
      <c r="A157">
        <f>'All Girls &amp; Descendants'!B155</f>
        <v>47</v>
      </c>
      <c r="B157" t="str">
        <f>'All Girls &amp; Descendants'!C155</f>
        <v>47aa</v>
      </c>
      <c r="C157" t="str">
        <f>'All Girls &amp; Descendants'!D155</f>
        <v>HARDCASTLE</v>
      </c>
      <c r="D157" t="str">
        <f>'All Girls &amp; Descendants'!E155</f>
        <v>Edward</v>
      </c>
      <c r="E157" t="str">
        <f>IF('All Girls &amp; Descendants'!F155="","",'All Girls &amp; Descendants'!F155)</f>
        <v>John</v>
      </c>
      <c r="F157" t="str">
        <f>IF('All Girls &amp; Descendants'!G155="","",'All Girls &amp; Descendants'!G155)</f>
        <v>Brierly</v>
      </c>
      <c r="G157" t="str">
        <f>IF('All Girls &amp; Descendants'!H155="",D157,'All Girls &amp; Descendants'!H155)</f>
        <v>John</v>
      </c>
      <c r="H157">
        <f>'All Girls &amp; Descendants'!I155</f>
        <v>1923</v>
      </c>
      <c r="I157" t="str">
        <f>'All Girls &amp; Descendants'!J155</f>
        <v/>
      </c>
      <c r="K157" s="3">
        <f>'All Girls &amp; Descendants'!M155</f>
        <v>8487</v>
      </c>
      <c r="L157" s="3">
        <f>'All Girls &amp; Descendants'!N155</f>
        <v>18485</v>
      </c>
      <c r="M157" t="str">
        <f>'All Girls &amp; Descendants'!O155</f>
        <v/>
      </c>
      <c r="N157" t="str">
        <f>'All Girls &amp; Descendants'!P155</f>
        <v/>
      </c>
      <c r="O157" t="str">
        <f>'All Girls &amp; Descendants'!Q155</f>
        <v>47a</v>
      </c>
      <c r="P157" t="str">
        <f t="shared" si="51"/>
        <v>47aa</v>
      </c>
      <c r="Q157" s="116">
        <f t="shared" si="52"/>
        <v>2</v>
      </c>
      <c r="R157" s="31" t="str">
        <f t="shared" si="53"/>
        <v>Edward John Brierly HARDCASTLE</v>
      </c>
      <c r="S157" t="str">
        <f t="shared" si="54"/>
        <v>John HARDCASTLE (1923 - :  #47aa)</v>
      </c>
    </row>
    <row r="158" spans="1:25">
      <c r="A158">
        <f>'All Girls &amp; Descendants'!B156</f>
        <v>47</v>
      </c>
      <c r="B158" t="str">
        <f>'All Girls &amp; Descendants'!C156</f>
        <v>47ab</v>
      </c>
      <c r="C158" t="str">
        <f>'All Girls &amp; Descendants'!D156</f>
        <v>HARDCASTLE</v>
      </c>
      <c r="D158" t="str">
        <f>'All Girls &amp; Descendants'!E156</f>
        <v>Priscilla</v>
      </c>
      <c r="E158" t="str">
        <f>IF('All Girls &amp; Descendants'!F156="","",'All Girls &amp; Descendants'!F156)</f>
        <v>Brierly</v>
      </c>
      <c r="F158" t="str">
        <f>IF('All Girls &amp; Descendants'!G156="","",'All Girls &amp; Descendants'!G156)</f>
        <v/>
      </c>
      <c r="G158" t="str">
        <f>IF('All Girls &amp; Descendants'!H156="",D158,'All Girls &amp; Descendants'!H156)</f>
        <v>Priscilla</v>
      </c>
      <c r="H158">
        <f>'All Girls &amp; Descendants'!I156</f>
        <v>1954</v>
      </c>
      <c r="I158" t="str">
        <f>'All Girls &amp; Descendants'!J156</f>
        <v/>
      </c>
      <c r="K158" s="3">
        <f>'All Girls &amp; Descendants'!M156</f>
        <v>19882</v>
      </c>
      <c r="L158" s="3">
        <f>'All Girls &amp; Descendants'!N156</f>
        <v>18361</v>
      </c>
      <c r="M158" t="str">
        <f>'All Girls &amp; Descendants'!O156</f>
        <v/>
      </c>
      <c r="N158" t="str">
        <f>'All Girls &amp; Descendants'!P156</f>
        <v/>
      </c>
      <c r="O158" t="str">
        <f>'All Girls &amp; Descendants'!Q156</f>
        <v>47a</v>
      </c>
      <c r="P158" t="str">
        <f t="shared" si="51"/>
        <v>47ab</v>
      </c>
      <c r="Q158" s="116">
        <f t="shared" si="52"/>
        <v>2</v>
      </c>
      <c r="R158" s="31" t="str">
        <f t="shared" si="53"/>
        <v>Priscilla Brierly  HARDCASTLE</v>
      </c>
      <c r="S158" t="str">
        <f t="shared" si="54"/>
        <v>Priscilla HARDCASTLE (1954 - :  #47ab)</v>
      </c>
    </row>
    <row r="159" spans="1:25">
      <c r="A159">
        <f>'All Girls &amp; Descendants'!B157</f>
        <v>63</v>
      </c>
      <c r="B159" t="str">
        <f>'All Girls &amp; Descendants'!C157</f>
        <v>63aa</v>
      </c>
      <c r="C159" t="str">
        <f>'All Girls &amp; Descendants'!D157</f>
        <v>MOORE</v>
      </c>
      <c r="D159" t="str">
        <f>'All Girls &amp; Descendants'!E157</f>
        <v>Arthur</v>
      </c>
      <c r="E159" t="str">
        <f>IF('All Girls &amp; Descendants'!F157="","",'All Girls &amp; Descendants'!F157)</f>
        <v>William</v>
      </c>
      <c r="F159" t="str">
        <f>IF('All Girls &amp; Descendants'!G157="","",'All Girls &amp; Descendants'!G157)</f>
        <v/>
      </c>
      <c r="G159" t="str">
        <f>IF('All Girls &amp; Descendants'!H157="",D159,'All Girls &amp; Descendants'!H157)</f>
        <v>Arthur</v>
      </c>
      <c r="H159">
        <f>'All Girls &amp; Descendants'!I157</f>
        <v>1950</v>
      </c>
      <c r="I159" t="str">
        <f>'All Girls &amp; Descendants'!J157</f>
        <v/>
      </c>
      <c r="K159" s="3">
        <f>'All Girls &amp; Descendants'!M157</f>
        <v>18440</v>
      </c>
      <c r="L159" s="3" t="str">
        <f>'All Girls &amp; Descendants'!N157</f>
        <v xml:space="preserve"> - </v>
      </c>
      <c r="M159" t="str">
        <f>'All Girls &amp; Descendants'!O157</f>
        <v/>
      </c>
      <c r="N159" t="str">
        <f>'All Girls &amp; Descendants'!P157</f>
        <v/>
      </c>
      <c r="O159" t="str">
        <f>'All Girls &amp; Descendants'!Q157</f>
        <v>63a</v>
      </c>
      <c r="P159" t="str">
        <f t="shared" si="51"/>
        <v>63aa</v>
      </c>
      <c r="Q159" s="116">
        <f t="shared" si="52"/>
        <v>2</v>
      </c>
      <c r="R159" s="31" t="str">
        <f t="shared" si="53"/>
        <v>Arthur William  MOORE</v>
      </c>
      <c r="S159" t="str">
        <f t="shared" si="54"/>
        <v>Arthur MOORE (1950 - :  #63aa)</v>
      </c>
    </row>
    <row r="160" spans="1:25">
      <c r="A160">
        <f>'All Girls &amp; Descendants'!B158</f>
        <v>63</v>
      </c>
      <c r="B160" t="str">
        <f>'All Girls &amp; Descendants'!C158</f>
        <v>63ab</v>
      </c>
      <c r="C160" t="str">
        <f>'All Girls &amp; Descendants'!D158</f>
        <v>MOORE</v>
      </c>
      <c r="D160" t="str">
        <f>'All Girls &amp; Descendants'!E158</f>
        <v>Gareth</v>
      </c>
      <c r="E160" t="str">
        <f>IF('All Girls &amp; Descendants'!F158="","",'All Girls &amp; Descendants'!F158)</f>
        <v>Allen</v>
      </c>
      <c r="F160" t="str">
        <f>IF('All Girls &amp; Descendants'!G158="","",'All Girls &amp; Descendants'!G158)</f>
        <v/>
      </c>
      <c r="G160" t="str">
        <f>IF('All Girls &amp; Descendants'!H158="",D160,'All Girls &amp; Descendants'!H158)</f>
        <v>Gareth</v>
      </c>
      <c r="H160">
        <f>'All Girls &amp; Descendants'!I158</f>
        <v>1985</v>
      </c>
      <c r="I160" t="str">
        <f>'All Girls &amp; Descendants'!J158</f>
        <v/>
      </c>
      <c r="K160" s="3">
        <f>'All Girls &amp; Descendants'!M158</f>
        <v>31283</v>
      </c>
      <c r="L160" s="3" t="str">
        <f>'All Girls &amp; Descendants'!N158</f>
        <v xml:space="preserve"> - </v>
      </c>
      <c r="M160" t="str">
        <f>'All Girls &amp; Descendants'!O158</f>
        <v/>
      </c>
      <c r="N160" t="str">
        <f>'All Girls &amp; Descendants'!P158</f>
        <v/>
      </c>
      <c r="O160" t="str">
        <f>'All Girls &amp; Descendants'!Q158</f>
        <v>63a</v>
      </c>
      <c r="P160" t="str">
        <f t="shared" si="51"/>
        <v>63ab</v>
      </c>
      <c r="Q160" s="116">
        <f t="shared" si="52"/>
        <v>2</v>
      </c>
      <c r="R160" s="31" t="str">
        <f t="shared" si="53"/>
        <v>Gareth Allen  MOORE</v>
      </c>
      <c r="S160" t="str">
        <f t="shared" si="54"/>
        <v>Gareth MOORE (1985 - :  #63ab)</v>
      </c>
    </row>
    <row r="161" spans="1:19">
      <c r="A161">
        <f>'All Girls &amp; Descendants'!B159</f>
        <v>65</v>
      </c>
      <c r="B161" t="str">
        <f>'All Girls &amp; Descendants'!C159</f>
        <v>65ca</v>
      </c>
      <c r="C161" t="str">
        <f>'All Girls &amp; Descendants'!D159</f>
        <v>WHEELER</v>
      </c>
      <c r="D161" t="str">
        <f>'All Girls &amp; Descendants'!E159</f>
        <v>Vanessa</v>
      </c>
      <c r="E161" t="str">
        <f>IF('All Girls &amp; Descendants'!F159="","",'All Girls &amp; Descendants'!F159)</f>
        <v>Chantal</v>
      </c>
      <c r="F161" t="str">
        <f>IF('All Girls &amp; Descendants'!G159="","",'All Girls &amp; Descendants'!G159)</f>
        <v/>
      </c>
      <c r="G161" t="str">
        <f>IF('All Girls &amp; Descendants'!H159="",D161,'All Girls &amp; Descendants'!H159)</f>
        <v>Vanessa</v>
      </c>
      <c r="H161">
        <f>'All Girls &amp; Descendants'!I159</f>
        <v>1971</v>
      </c>
      <c r="I161" t="str">
        <f>'All Girls &amp; Descendants'!J159</f>
        <v/>
      </c>
      <c r="K161" s="3">
        <f>'All Girls &amp; Descendants'!M159</f>
        <v>26085</v>
      </c>
      <c r="L161" s="3" t="str">
        <f>'All Girls &amp; Descendants'!N159</f>
        <v xml:space="preserve"> - </v>
      </c>
      <c r="M161" t="str">
        <f>'All Girls &amp; Descendants'!O159</f>
        <v/>
      </c>
      <c r="N161" t="str">
        <f>'All Girls &amp; Descendants'!P159</f>
        <v/>
      </c>
      <c r="O161" t="str">
        <f>'All Girls &amp; Descendants'!Q159</f>
        <v>65c</v>
      </c>
      <c r="P161" t="str">
        <f t="shared" si="51"/>
        <v>65ca</v>
      </c>
      <c r="Q161" s="116">
        <f t="shared" si="52"/>
        <v>2</v>
      </c>
      <c r="R161" s="31" t="str">
        <f t="shared" si="53"/>
        <v>Vanessa Chantal  WHEELER</v>
      </c>
      <c r="S161" t="str">
        <f t="shared" si="54"/>
        <v>Vanessa WHEELER (1971 - :  #65ca)</v>
      </c>
    </row>
    <row r="162" spans="1:19">
      <c r="A162">
        <f>'All Girls &amp; Descendants'!B160</f>
        <v>65</v>
      </c>
      <c r="B162" t="str">
        <f>'All Girls &amp; Descendants'!C160</f>
        <v>65cb</v>
      </c>
      <c r="C162" t="str">
        <f>'All Girls &amp; Descendants'!D160</f>
        <v>WHEELER</v>
      </c>
      <c r="D162" t="str">
        <f>'All Girls &amp; Descendants'!E160</f>
        <v>Karen</v>
      </c>
      <c r="E162" t="str">
        <f>IF('All Girls &amp; Descendants'!F160="","",'All Girls &amp; Descendants'!F160)</f>
        <v>Natalie</v>
      </c>
      <c r="F162" t="str">
        <f>IF('All Girls &amp; Descendants'!G160="","",'All Girls &amp; Descendants'!G160)</f>
        <v/>
      </c>
      <c r="G162" t="str">
        <f>IF('All Girls &amp; Descendants'!H160="",D162,'All Girls &amp; Descendants'!H160)</f>
        <v>Karen</v>
      </c>
      <c r="H162">
        <f>'All Girls &amp; Descendants'!I160</f>
        <v>1973</v>
      </c>
      <c r="I162" t="str">
        <f>'All Girls &amp; Descendants'!J160</f>
        <v/>
      </c>
      <c r="K162" s="3">
        <f>'All Girls &amp; Descendants'!M160</f>
        <v>26854</v>
      </c>
      <c r="L162" s="3" t="str">
        <f>'All Girls &amp; Descendants'!N160</f>
        <v xml:space="preserve"> - </v>
      </c>
      <c r="M162" t="str">
        <f>'All Girls &amp; Descendants'!O160</f>
        <v/>
      </c>
      <c r="N162" t="str">
        <f>'All Girls &amp; Descendants'!P160</f>
        <v/>
      </c>
      <c r="O162" t="str">
        <f>'All Girls &amp; Descendants'!Q160</f>
        <v>65c</v>
      </c>
      <c r="P162" t="str">
        <f t="shared" si="51"/>
        <v>65cb</v>
      </c>
      <c r="Q162" s="116">
        <f t="shared" si="52"/>
        <v>2</v>
      </c>
      <c r="R162" s="31" t="str">
        <f t="shared" si="53"/>
        <v>Karen Natalie  WHEELER</v>
      </c>
      <c r="S162" t="str">
        <f t="shared" si="54"/>
        <v>Karen WHEELER (1973 - :  #65cb)</v>
      </c>
    </row>
    <row r="163" spans="1:19">
      <c r="A163">
        <f>'All Girls &amp; Descendants'!B161</f>
        <v>70</v>
      </c>
      <c r="B163" t="str">
        <f>'All Girls &amp; Descendants'!C161</f>
        <v>70aa</v>
      </c>
      <c r="C163" t="str">
        <f>'All Girls &amp; Descendants'!D161</f>
        <v>SHEARER</v>
      </c>
      <c r="D163" t="str">
        <f>'All Girls &amp; Descendants'!E161</f>
        <v>William</v>
      </c>
      <c r="E163" t="str">
        <f>IF('All Girls &amp; Descendants'!F161="","",'All Girls &amp; Descendants'!F161)</f>
        <v>Richard</v>
      </c>
      <c r="F163" t="str">
        <f>IF('All Girls &amp; Descendants'!G161="","",'All Girls &amp; Descendants'!G161)</f>
        <v>Charles</v>
      </c>
      <c r="G163" t="str">
        <f>IF('All Girls &amp; Descendants'!H161="",D163,'All Girls &amp; Descendants'!H161)</f>
        <v>William</v>
      </c>
      <c r="H163">
        <f>'All Girls &amp; Descendants'!I161</f>
        <v>1951</v>
      </c>
      <c r="I163" t="str">
        <f>'All Girls &amp; Descendants'!J161</f>
        <v/>
      </c>
      <c r="K163" s="3">
        <f>'All Girls &amp; Descendants'!M161</f>
        <v>18659</v>
      </c>
      <c r="L163" s="3">
        <f>'All Girls &amp; Descendants'!N161</f>
        <v>29477</v>
      </c>
      <c r="M163" t="str">
        <f>'All Girls &amp; Descendants'!O161</f>
        <v/>
      </c>
      <c r="N163" t="str">
        <f>'All Girls &amp; Descendants'!P161</f>
        <v/>
      </c>
      <c r="O163" t="str">
        <f>'All Girls &amp; Descendants'!Q161</f>
        <v>70a</v>
      </c>
      <c r="P163" t="str">
        <f t="shared" si="51"/>
        <v>70aa</v>
      </c>
      <c r="Q163" s="116">
        <f t="shared" si="52"/>
        <v>2</v>
      </c>
      <c r="R163" s="31" t="str">
        <f t="shared" si="53"/>
        <v>William Richard Charles SHEARER</v>
      </c>
      <c r="S163" t="str">
        <f t="shared" si="54"/>
        <v>William SHEARER (1951 - :  #70aa)</v>
      </c>
    </row>
    <row r="164" spans="1:19">
      <c r="A164">
        <f>'All Girls &amp; Descendants'!B162</f>
        <v>70</v>
      </c>
      <c r="B164" t="str">
        <f>'All Girls &amp; Descendants'!C162</f>
        <v>70ab</v>
      </c>
      <c r="C164" t="str">
        <f>'All Girls &amp; Descendants'!D162</f>
        <v>SHEARER</v>
      </c>
      <c r="D164" t="str">
        <f>'All Girls &amp; Descendants'!E162</f>
        <v>Rosemary</v>
      </c>
      <c r="E164" t="str">
        <f>IF('All Girls &amp; Descendants'!F162="","",'All Girls &amp; Descendants'!F162)</f>
        <v>Diana</v>
      </c>
      <c r="F164" t="str">
        <f>IF('All Girls &amp; Descendants'!G162="","",'All Girls &amp; Descendants'!G162)</f>
        <v>Esther</v>
      </c>
      <c r="G164" t="str">
        <f>IF('All Girls &amp; Descendants'!H162="",D164,'All Girls &amp; Descendants'!H162)</f>
        <v>Rosemary</v>
      </c>
      <c r="H164">
        <f>'All Girls &amp; Descendants'!I162</f>
        <v>1952</v>
      </c>
      <c r="I164" t="str">
        <f>'All Girls &amp; Descendants'!J162</f>
        <v/>
      </c>
      <c r="K164" s="3">
        <f>'All Girls &amp; Descendants'!M162</f>
        <v>19320</v>
      </c>
      <c r="L164" s="3">
        <f>'All Girls &amp; Descendants'!N162</f>
        <v>29052</v>
      </c>
      <c r="M164" t="str">
        <f>'All Girls &amp; Descendants'!O162</f>
        <v/>
      </c>
      <c r="N164" t="str">
        <f>'All Girls &amp; Descendants'!P162</f>
        <v/>
      </c>
      <c r="O164" t="str">
        <f>'All Girls &amp; Descendants'!Q162</f>
        <v>70a</v>
      </c>
      <c r="P164" t="str">
        <f t="shared" si="51"/>
        <v>70ab</v>
      </c>
      <c r="Q164" s="116">
        <f t="shared" si="52"/>
        <v>2</v>
      </c>
      <c r="R164" s="31" t="str">
        <f t="shared" si="53"/>
        <v>Rosemary Diana Esther SHEARER</v>
      </c>
      <c r="S164" t="str">
        <f t="shared" si="54"/>
        <v>Rosemary SHEARER (1952 - :  #70ab)</v>
      </c>
    </row>
    <row r="165" spans="1:19">
      <c r="A165">
        <f>'All Girls &amp; Descendants'!B163</f>
        <v>70</v>
      </c>
      <c r="B165" t="str">
        <f>'All Girls &amp; Descendants'!C163</f>
        <v>70ac</v>
      </c>
      <c r="C165" t="str">
        <f>'All Girls &amp; Descendants'!D163</f>
        <v>SHEARER</v>
      </c>
      <c r="D165" t="str">
        <f>'All Girls &amp; Descendants'!E163</f>
        <v>Andrew</v>
      </c>
      <c r="E165" t="str">
        <f>IF('All Girls &amp; Descendants'!F163="","",'All Girls &amp; Descendants'!F163)</f>
        <v>John</v>
      </c>
      <c r="F165" t="str">
        <f>IF('All Girls &amp; Descendants'!G163="","",'All Girls &amp; Descendants'!G163)</f>
        <v>Micklem</v>
      </c>
      <c r="G165" t="str">
        <f>IF('All Girls &amp; Descendants'!H163="",D165,'All Girls &amp; Descendants'!H163)</f>
        <v>Andrew</v>
      </c>
      <c r="H165">
        <f>'All Girls &amp; Descendants'!I163</f>
        <v>1960</v>
      </c>
      <c r="I165" t="str">
        <f>'All Girls &amp; Descendants'!J163</f>
        <v/>
      </c>
      <c r="K165" s="3">
        <f>'All Girls &amp; Descendants'!M163</f>
        <v>22068</v>
      </c>
      <c r="L165" s="3" t="str">
        <f>'All Girls &amp; Descendants'!N163</f>
        <v xml:space="preserve"> - </v>
      </c>
      <c r="M165" t="str">
        <f>'All Girls &amp; Descendants'!O163</f>
        <v/>
      </c>
      <c r="N165" t="str">
        <f>'All Girls &amp; Descendants'!P163</f>
        <v/>
      </c>
      <c r="O165" t="str">
        <f>'All Girls &amp; Descendants'!Q163</f>
        <v>70a</v>
      </c>
      <c r="P165" t="str">
        <f t="shared" si="51"/>
        <v>70ac</v>
      </c>
      <c r="Q165" s="116">
        <f t="shared" si="52"/>
        <v>2</v>
      </c>
      <c r="R165" s="31" t="str">
        <f t="shared" si="53"/>
        <v>Andrew John Micklem SHEARER</v>
      </c>
      <c r="S165" t="str">
        <f t="shared" si="54"/>
        <v>Andrew SHEARER (1960 - :  #70ac)</v>
      </c>
    </row>
    <row r="166" spans="1:19">
      <c r="A166">
        <f>'All Girls &amp; Descendants'!B164</f>
        <v>70</v>
      </c>
      <c r="B166" t="str">
        <f>'All Girls &amp; Descendants'!C164</f>
        <v>70ba</v>
      </c>
      <c r="C166" t="str">
        <f>'All Girls &amp; Descendants'!D164</f>
        <v>MELITUS</v>
      </c>
      <c r="D166" t="str">
        <f>'All Girls &amp; Descendants'!E164</f>
        <v>Charles</v>
      </c>
      <c r="E166" t="str">
        <f>IF('All Girls &amp; Descendants'!F164="","",'All Girls &amp; Descendants'!F164)</f>
        <v>Peter</v>
      </c>
      <c r="F166" t="str">
        <f>IF('All Girls &amp; Descendants'!G164="","",'All Girls &amp; Descendants'!G164)</f>
        <v/>
      </c>
      <c r="G166" t="str">
        <f>IF('All Girls &amp; Descendants'!H164="",D166,'All Girls &amp; Descendants'!H164)</f>
        <v>Peter</v>
      </c>
      <c r="H166">
        <f>'All Girls &amp; Descendants'!I164</f>
        <v>1955</v>
      </c>
      <c r="I166" t="str">
        <f>'All Girls &amp; Descendants'!J164</f>
        <v/>
      </c>
      <c r="K166" s="3" t="str">
        <f>'All Girls &amp; Descendants'!M164</f>
        <v>10/08/1955</v>
      </c>
      <c r="L166" s="3">
        <f>'All Girls &amp; Descendants'!N164</f>
        <v>30526</v>
      </c>
      <c r="M166" t="str">
        <f>'All Girls &amp; Descendants'!O164</f>
        <v/>
      </c>
      <c r="N166" t="str">
        <f>'All Girls &amp; Descendants'!P164</f>
        <v/>
      </c>
      <c r="O166" t="str">
        <f>'All Girls &amp; Descendants'!Q164</f>
        <v>70b</v>
      </c>
      <c r="P166" t="str">
        <f t="shared" si="51"/>
        <v>70ba</v>
      </c>
      <c r="Q166" s="116">
        <f t="shared" si="52"/>
        <v>2</v>
      </c>
      <c r="R166" s="31" t="str">
        <f t="shared" si="53"/>
        <v>Charles Peter  MELITUS</v>
      </c>
      <c r="S166" t="str">
        <f t="shared" si="54"/>
        <v>Peter MELITUS (1955 - :  #70ba)</v>
      </c>
    </row>
    <row r="167" spans="1:19">
      <c r="A167">
        <f>'All Girls &amp; Descendants'!B165</f>
        <v>70</v>
      </c>
      <c r="B167" t="str">
        <f>'All Girls &amp; Descendants'!C165</f>
        <v>70bb</v>
      </c>
      <c r="C167" t="str">
        <f>'All Girls &amp; Descendants'!D165</f>
        <v>MELITUS</v>
      </c>
      <c r="D167" t="str">
        <f>'All Girls &amp; Descendants'!E165</f>
        <v>Caroline</v>
      </c>
      <c r="E167" t="str">
        <f>IF('All Girls &amp; Descendants'!F165="","",'All Girls &amp; Descendants'!F165)</f>
        <v>Margaret</v>
      </c>
      <c r="F167" t="str">
        <f>IF('All Girls &amp; Descendants'!G165="","",'All Girls &amp; Descendants'!G165)</f>
        <v>Paula</v>
      </c>
      <c r="G167" t="str">
        <f>IF('All Girls &amp; Descendants'!H165="",D167,'All Girls &amp; Descendants'!H165)</f>
        <v>Caroline</v>
      </c>
      <c r="H167">
        <f>'All Girls &amp; Descendants'!I165</f>
        <v>1959</v>
      </c>
      <c r="I167" t="str">
        <f>'All Girls &amp; Descendants'!J165</f>
        <v/>
      </c>
      <c r="K167" s="3" t="str">
        <f>'All Girls &amp; Descendants'!M165</f>
        <v>14/09/1959</v>
      </c>
      <c r="L167" s="3">
        <f>'All Girls &amp; Descendants'!N165</f>
        <v>31759</v>
      </c>
      <c r="M167" t="str">
        <f>'All Girls &amp; Descendants'!O165</f>
        <v/>
      </c>
      <c r="N167" t="str">
        <f>'All Girls &amp; Descendants'!P165</f>
        <v/>
      </c>
      <c r="O167" t="str">
        <f>'All Girls &amp; Descendants'!Q165</f>
        <v>70b</v>
      </c>
      <c r="P167" t="str">
        <f t="shared" si="51"/>
        <v>70bb</v>
      </c>
      <c r="Q167" s="116">
        <f t="shared" si="52"/>
        <v>2</v>
      </c>
      <c r="R167" s="31" t="str">
        <f t="shared" si="53"/>
        <v>Caroline Margaret Paula MELITUS</v>
      </c>
      <c r="S167" t="str">
        <f t="shared" si="54"/>
        <v>Caroline MELITUS (1959 - :  #70bb)</v>
      </c>
    </row>
    <row r="168" spans="1:19">
      <c r="A168">
        <f>'All Girls &amp; Descendants'!B166</f>
        <v>70</v>
      </c>
      <c r="B168" t="str">
        <f>'All Girls &amp; Descendants'!C166</f>
        <v>70ca</v>
      </c>
      <c r="C168" t="str">
        <f>'All Girls &amp; Descendants'!D166</f>
        <v>PAGE</v>
      </c>
      <c r="D168" t="str">
        <f>'All Girls &amp; Descendants'!E166</f>
        <v>Arthur</v>
      </c>
      <c r="E168" t="str">
        <f>IF('All Girls &amp; Descendants'!F166="","",'All Girls &amp; Descendants'!F166)</f>
        <v>Hugo</v>
      </c>
      <c r="F168" t="str">
        <f>IF('All Girls &amp; Descendants'!G166="","",'All Girls &amp; Descendants'!G166)</f>
        <v>Micklem</v>
      </c>
      <c r="G168" t="str">
        <f>IF('All Girls &amp; Descendants'!H166="",D168,'All Girls &amp; Descendants'!H166)</f>
        <v>Hugo</v>
      </c>
      <c r="H168">
        <f>'All Girls &amp; Descendants'!I166</f>
        <v>1951</v>
      </c>
      <c r="I168" t="str">
        <f>'All Girls &amp; Descendants'!J166</f>
        <v/>
      </c>
      <c r="K168" s="3">
        <f>'All Girls &amp; Descendants'!M166</f>
        <v>18887</v>
      </c>
      <c r="L168" s="3" t="str">
        <f>'All Girls &amp; Descendants'!N166</f>
        <v>00/10/1992</v>
      </c>
      <c r="M168" t="str">
        <f>'All Girls &amp; Descendants'!O166</f>
        <v/>
      </c>
      <c r="N168" t="str">
        <f>'All Girls &amp; Descendants'!P166</f>
        <v/>
      </c>
      <c r="O168" t="str">
        <f>'All Girls &amp; Descendants'!Q166</f>
        <v>70c</v>
      </c>
      <c r="P168" t="str">
        <f t="shared" si="51"/>
        <v>70ca</v>
      </c>
      <c r="Q168" s="116">
        <f t="shared" si="52"/>
        <v>2</v>
      </c>
      <c r="R168" s="31" t="str">
        <f t="shared" si="53"/>
        <v>Arthur Hugo Micklem PAGE</v>
      </c>
      <c r="S168" t="str">
        <f t="shared" si="54"/>
        <v>Hugo PAGE (1951 - :  #70ca)</v>
      </c>
    </row>
    <row r="169" spans="1:19">
      <c r="A169">
        <f>'All Girls &amp; Descendants'!B167</f>
        <v>70</v>
      </c>
      <c r="B169" t="str">
        <f>'All Girls &amp; Descendants'!C167</f>
        <v>70cb</v>
      </c>
      <c r="C169" t="str">
        <f>'All Girls &amp; Descendants'!D167</f>
        <v>PAGE</v>
      </c>
      <c r="D169" t="str">
        <f>'All Girls &amp; Descendants'!E167</f>
        <v>John</v>
      </c>
      <c r="E169" t="str">
        <f>IF('All Girls &amp; Descendants'!F167="","",'All Girls &amp; Descendants'!F167)</f>
        <v>Nathaniel</v>
      </c>
      <c r="F169" t="str">
        <f>IF('All Girls &amp; Descendants'!G167="","",'All Girls &amp; Descendants'!G167)</f>
        <v>Micklem</v>
      </c>
      <c r="G169" t="str">
        <f>IF('All Girls &amp; Descendants'!H167="",D169,'All Girls &amp; Descendants'!H167)</f>
        <v>Nat</v>
      </c>
      <c r="H169">
        <f>'All Girls &amp; Descendants'!I167</f>
        <v>1953</v>
      </c>
      <c r="I169" t="str">
        <f>'All Girls &amp; Descendants'!J167</f>
        <v/>
      </c>
      <c r="K169" s="3">
        <f>'All Girls &amp; Descendants'!M167</f>
        <v>19709</v>
      </c>
      <c r="L169" s="3">
        <f>'All Girls &amp; Descendants'!N167</f>
        <v>31094</v>
      </c>
      <c r="M169" t="str">
        <f>'All Girls &amp; Descendants'!O167</f>
        <v/>
      </c>
      <c r="N169" t="str">
        <f>'All Girls &amp; Descendants'!P167</f>
        <v/>
      </c>
      <c r="O169" t="str">
        <f>'All Girls &amp; Descendants'!Q167</f>
        <v>70c</v>
      </c>
      <c r="P169" t="str">
        <f t="shared" si="51"/>
        <v>70cb</v>
      </c>
      <c r="Q169" s="116">
        <f t="shared" si="52"/>
        <v>2</v>
      </c>
      <c r="R169" s="31" t="str">
        <f t="shared" si="53"/>
        <v>John Nathaniel Micklem PAGE</v>
      </c>
      <c r="S169" t="str">
        <f t="shared" si="54"/>
        <v>Nat PAGE (1953 - :  #70cb)</v>
      </c>
    </row>
    <row r="170" spans="1:19">
      <c r="A170">
        <f>'All Girls &amp; Descendants'!B168</f>
        <v>70</v>
      </c>
      <c r="B170" t="str">
        <f>'All Girls &amp; Descendants'!C168</f>
        <v>70cc</v>
      </c>
      <c r="C170" t="str">
        <f>'All Girls &amp; Descendants'!D168</f>
        <v>PAGE</v>
      </c>
      <c r="D170" t="str">
        <f>'All Girls &amp; Descendants'!E168</f>
        <v>Henry</v>
      </c>
      <c r="E170" t="str">
        <f>IF('All Girls &amp; Descendants'!F168="","",'All Girls &amp; Descendants'!F168)</f>
        <v>Charles</v>
      </c>
      <c r="F170" t="str">
        <f>IF('All Girls &amp; Descendants'!G168="","",'All Girls &amp; Descendants'!G168)</f>
        <v>Micklem</v>
      </c>
      <c r="G170" t="str">
        <f>IF('All Girls &amp; Descendants'!H168="",D170,'All Girls &amp; Descendants'!H168)</f>
        <v>Henry</v>
      </c>
      <c r="H170">
        <f>'All Girls &amp; Descendants'!I168</f>
        <v>1953</v>
      </c>
      <c r="I170" t="str">
        <f>'All Girls &amp; Descendants'!J168</f>
        <v/>
      </c>
      <c r="K170" s="3">
        <f>'All Girls &amp; Descendants'!M168</f>
        <v>19709</v>
      </c>
      <c r="L170" s="3">
        <f>'All Girls &amp; Descendants'!N168</f>
        <v>30536</v>
      </c>
      <c r="M170" t="str">
        <f>'All Girls &amp; Descendants'!O168</f>
        <v/>
      </c>
      <c r="N170" t="str">
        <f>'All Girls &amp; Descendants'!P168</f>
        <v/>
      </c>
      <c r="O170" t="str">
        <f>'All Girls &amp; Descendants'!Q168</f>
        <v>70c</v>
      </c>
      <c r="P170" t="str">
        <f t="shared" si="51"/>
        <v>70cc</v>
      </c>
      <c r="Q170" s="116">
        <f t="shared" si="52"/>
        <v>2</v>
      </c>
      <c r="R170" s="31" t="str">
        <f t="shared" si="53"/>
        <v>Henry Charles Micklem PAGE</v>
      </c>
      <c r="S170" t="str">
        <f t="shared" si="54"/>
        <v>Henry PAGE (1953 - :  #70cc)</v>
      </c>
    </row>
    <row r="171" spans="1:19">
      <c r="A171">
        <f>'All Girls &amp; Descendants'!B169</f>
        <v>70</v>
      </c>
      <c r="B171" t="str">
        <f>'All Girls &amp; Descendants'!C169</f>
        <v>70cd</v>
      </c>
      <c r="C171" t="str">
        <f>'All Girls &amp; Descendants'!D169</f>
        <v>PAGE</v>
      </c>
      <c r="D171" t="str">
        <f>'All Girls &amp; Descendants'!E169</f>
        <v>Rupert</v>
      </c>
      <c r="E171" t="str">
        <f>IF('All Girls &amp; Descendants'!F169="","",'All Girls &amp; Descendants'!F169)</f>
        <v>James</v>
      </c>
      <c r="F171" t="str">
        <f>IF('All Girls &amp; Descendants'!G169="","",'All Girls &amp; Descendants'!G169)</f>
        <v>Oliver</v>
      </c>
      <c r="G171" t="str">
        <f>IF('All Girls &amp; Descendants'!H169="",D171,'All Girls &amp; Descendants'!H169)</f>
        <v>Rupert</v>
      </c>
      <c r="H171">
        <f>'All Girls &amp; Descendants'!I169</f>
        <v>1963</v>
      </c>
      <c r="I171" t="str">
        <f>'All Girls &amp; Descendants'!J169</f>
        <v/>
      </c>
      <c r="K171" s="3">
        <f>'All Girls &amp; Descendants'!M169</f>
        <v>23229</v>
      </c>
      <c r="L171" s="3" t="str">
        <f>'All Girls &amp; Descendants'!N169</f>
        <v xml:space="preserve"> - </v>
      </c>
      <c r="M171" t="str">
        <f>'All Girls &amp; Descendants'!O169</f>
        <v/>
      </c>
      <c r="N171" t="str">
        <f>'All Girls &amp; Descendants'!P169</f>
        <v/>
      </c>
      <c r="O171" t="str">
        <f>'All Girls &amp; Descendants'!Q169</f>
        <v>70c</v>
      </c>
      <c r="P171" t="str">
        <f t="shared" si="51"/>
        <v>70cd</v>
      </c>
      <c r="Q171" s="116">
        <f t="shared" si="52"/>
        <v>2</v>
      </c>
      <c r="R171" s="31" t="str">
        <f t="shared" si="53"/>
        <v>Rupert James Oliver PAGE</v>
      </c>
      <c r="S171" t="str">
        <f t="shared" si="54"/>
        <v>Rupert PAGE (1963 - :  #70cd)</v>
      </c>
    </row>
    <row r="172" spans="1:19">
      <c r="A172">
        <f>'All Girls &amp; Descendants'!B170</f>
        <v>70</v>
      </c>
      <c r="B172" t="str">
        <f>'All Girls &amp; Descendants'!C170</f>
        <v>70da</v>
      </c>
      <c r="C172" t="str">
        <f>'All Girls &amp; Descendants'!D170</f>
        <v>MICKLEM</v>
      </c>
      <c r="D172" t="str">
        <f>'All Girls &amp; Descendants'!E170</f>
        <v>Philippa</v>
      </c>
      <c r="E172" t="str">
        <f>IF('All Girls &amp; Descendants'!F170="","",'All Girls &amp; Descendants'!F170)</f>
        <v>Rhona</v>
      </c>
      <c r="F172" t="str">
        <f>IF('All Girls &amp; Descendants'!G170="","",'All Girls &amp; Descendants'!G170)</f>
        <v/>
      </c>
      <c r="G172" t="str">
        <f>IF('All Girls &amp; Descendants'!H170="",D172,'All Girls &amp; Descendants'!H170)</f>
        <v>Philippa</v>
      </c>
      <c r="H172">
        <f>'All Girls &amp; Descendants'!I170</f>
        <v>1958</v>
      </c>
      <c r="I172" t="str">
        <f>'All Girls &amp; Descendants'!J170</f>
        <v/>
      </c>
      <c r="K172" s="3" t="str">
        <f>'All Girls &amp; Descendants'!M170</f>
        <v>24/09/1958</v>
      </c>
      <c r="L172" s="3">
        <f>'All Girls &amp; Descendants'!N170</f>
        <v>31494</v>
      </c>
      <c r="M172" t="str">
        <f>'All Girls &amp; Descendants'!O170</f>
        <v/>
      </c>
      <c r="N172" t="str">
        <f>'All Girls &amp; Descendants'!P170</f>
        <v/>
      </c>
      <c r="O172" t="str">
        <f>'All Girls &amp; Descendants'!Q170</f>
        <v>70d</v>
      </c>
      <c r="P172" t="str">
        <f t="shared" si="51"/>
        <v>70da</v>
      </c>
      <c r="Q172" s="116">
        <f t="shared" si="52"/>
        <v>2</v>
      </c>
      <c r="R172" s="31" t="str">
        <f t="shared" si="53"/>
        <v>Philippa Rhona  MICKLEM</v>
      </c>
      <c r="S172" t="str">
        <f t="shared" si="54"/>
        <v>Philippa MICKLEM (1958 - :  #70da)</v>
      </c>
    </row>
    <row r="173" spans="1:19">
      <c r="A173">
        <f>'All Girls &amp; Descendants'!B171</f>
        <v>70</v>
      </c>
      <c r="B173" t="str">
        <f>'All Girls &amp; Descendants'!C171</f>
        <v>70db</v>
      </c>
      <c r="C173" t="str">
        <f>'All Girls &amp; Descendants'!D171</f>
        <v>MICKLEM</v>
      </c>
      <c r="D173" t="str">
        <f>'All Girls &amp; Descendants'!E171</f>
        <v>Jeremy</v>
      </c>
      <c r="E173" t="str">
        <f>IF('All Girls &amp; Descendants'!F171="","",'All Girls &amp; Descendants'!F171)</f>
        <v>Charles</v>
      </c>
      <c r="F173" t="str">
        <f>IF('All Girls &amp; Descendants'!G171="","",'All Girls &amp; Descendants'!G171)</f>
        <v>Cracroft</v>
      </c>
      <c r="G173" t="str">
        <f>IF('All Girls &amp; Descendants'!H171="",D173,'All Girls &amp; Descendants'!H171)</f>
        <v>Jeremy</v>
      </c>
      <c r="H173">
        <f>'All Girls &amp; Descendants'!I171</f>
        <v>1961</v>
      </c>
      <c r="I173" t="str">
        <f>'All Girls &amp; Descendants'!J171</f>
        <v/>
      </c>
      <c r="K173" s="3">
        <f>'All Girls &amp; Descendants'!M171</f>
        <v>22318</v>
      </c>
      <c r="L173" s="3" t="str">
        <f>'All Girls &amp; Descendants'!N171</f>
        <v xml:space="preserve"> - </v>
      </c>
      <c r="M173" t="str">
        <f>'All Girls &amp; Descendants'!O171</f>
        <v/>
      </c>
      <c r="N173" t="str">
        <f>'All Girls &amp; Descendants'!P171</f>
        <v/>
      </c>
      <c r="O173" t="str">
        <f>'All Girls &amp; Descendants'!Q171</f>
        <v>70d</v>
      </c>
      <c r="P173" t="str">
        <f t="shared" si="51"/>
        <v>70db</v>
      </c>
      <c r="Q173" s="116">
        <f t="shared" si="52"/>
        <v>2</v>
      </c>
      <c r="R173" s="31" t="str">
        <f t="shared" si="53"/>
        <v>Jeremy Charles Cracroft MICKLEM</v>
      </c>
      <c r="S173" t="str">
        <f t="shared" si="54"/>
        <v>Jeremy MICKLEM (1961 - :  #70db)</v>
      </c>
    </row>
    <row r="174" spans="1:19">
      <c r="A174">
        <f>'All Girls &amp; Descendants'!B172</f>
        <v>70</v>
      </c>
      <c r="B174" t="str">
        <f>'All Girls &amp; Descendants'!C172</f>
        <v>70dc</v>
      </c>
      <c r="C174" t="str">
        <f>'All Girls &amp; Descendants'!D172</f>
        <v>MICKLEM</v>
      </c>
      <c r="D174" t="str">
        <f>'All Girls &amp; Descendants'!E172</f>
        <v>Sylvia</v>
      </c>
      <c r="E174" t="str">
        <f>IF('All Girls &amp; Descendants'!F172="","",'All Girls &amp; Descendants'!F172)</f>
        <v>Diana</v>
      </c>
      <c r="F174" t="str">
        <f>IF('All Girls &amp; Descendants'!G172="","",'All Girls &amp; Descendants'!G172)</f>
        <v/>
      </c>
      <c r="G174" t="str">
        <f>IF('All Girls &amp; Descendants'!H172="",D174,'All Girls &amp; Descendants'!H172)</f>
        <v>Sylvie</v>
      </c>
      <c r="H174">
        <f>'All Girls &amp; Descendants'!I172</f>
        <v>1964</v>
      </c>
      <c r="I174" t="str">
        <f>'All Girls &amp; Descendants'!J172</f>
        <v/>
      </c>
      <c r="K174" s="3">
        <f>'All Girls &amp; Descendants'!M172</f>
        <v>23567</v>
      </c>
      <c r="L174" s="3">
        <f>'All Girls &amp; Descendants'!N172</f>
        <v>31724</v>
      </c>
      <c r="M174" t="str">
        <f>'All Girls &amp; Descendants'!O172</f>
        <v/>
      </c>
      <c r="N174" t="str">
        <f>'All Girls &amp; Descendants'!P172</f>
        <v/>
      </c>
      <c r="O174" t="str">
        <f>'All Girls &amp; Descendants'!Q172</f>
        <v>70d</v>
      </c>
      <c r="P174" t="str">
        <f t="shared" si="51"/>
        <v>70dc</v>
      </c>
      <c r="Q174" s="116">
        <f t="shared" si="52"/>
        <v>2</v>
      </c>
      <c r="R174" s="31" t="str">
        <f t="shared" si="53"/>
        <v>Sylvia Diana  MICKLEM</v>
      </c>
      <c r="S174" t="str">
        <f t="shared" si="54"/>
        <v>Sylvie MICKLEM (1964 - :  #70dc)</v>
      </c>
    </row>
    <row r="175" spans="1:19">
      <c r="A175">
        <f>'All Girls &amp; Descendants'!B173</f>
        <v>85</v>
      </c>
      <c r="B175" t="str">
        <f>'All Girls &amp; Descendants'!C173</f>
        <v>85aa</v>
      </c>
      <c r="C175" t="str">
        <f>'All Girls &amp; Descendants'!D173</f>
        <v>LANE FOX</v>
      </c>
      <c r="D175" t="str">
        <f>'All Girls &amp; Descendants'!E173</f>
        <v>Charlotte</v>
      </c>
      <c r="E175" t="str">
        <f>IF('All Girls &amp; Descendants'!F173="","",'All Girls &amp; Descendants'!F173)</f>
        <v>Mary</v>
      </c>
      <c r="F175" t="str">
        <f>IF('All Girls &amp; Descendants'!G173="","",'All Girls &amp; Descendants'!G173)</f>
        <v/>
      </c>
      <c r="G175" t="str">
        <f>IF('All Girls &amp; Descendants'!H173="",D175,'All Girls &amp; Descendants'!H173)</f>
        <v>Charlotte</v>
      </c>
      <c r="H175">
        <f>'All Girls &amp; Descendants'!I173</f>
        <v>1967</v>
      </c>
      <c r="I175" t="str">
        <f>'All Girls &amp; Descendants'!J173</f>
        <v/>
      </c>
      <c r="K175" s="3">
        <f>'All Girls &amp; Descendants'!M173</f>
        <v>24580</v>
      </c>
      <c r="L175" s="3">
        <f>'All Girls &amp; Descendants'!N173</f>
        <v>33950</v>
      </c>
      <c r="M175" t="str">
        <f>'All Girls &amp; Descendants'!O173</f>
        <v/>
      </c>
      <c r="N175" t="str">
        <f>'All Girls &amp; Descendants'!P173</f>
        <v/>
      </c>
      <c r="O175" t="str">
        <f>'All Girls &amp; Descendants'!Q173</f>
        <v>85a</v>
      </c>
      <c r="P175" t="str">
        <f t="shared" si="51"/>
        <v>85aa</v>
      </c>
      <c r="Q175" s="116">
        <f t="shared" si="52"/>
        <v>2</v>
      </c>
      <c r="R175" s="31" t="str">
        <f t="shared" si="53"/>
        <v>Charlotte Mary  LANE FOX</v>
      </c>
      <c r="S175" t="str">
        <f t="shared" si="54"/>
        <v>Charlotte LANE FOX (1967 - :  #85aa)</v>
      </c>
    </row>
    <row r="176" spans="1:19">
      <c r="A176">
        <f>'All Girls &amp; Descendants'!B174</f>
        <v>85</v>
      </c>
      <c r="B176" t="str">
        <f>'All Girls &amp; Descendants'!C174</f>
        <v>85ab</v>
      </c>
      <c r="C176" t="str">
        <f>'All Girls &amp; Descendants'!D174</f>
        <v>LANE FOX</v>
      </c>
      <c r="D176" t="str">
        <f>'All Girls &amp; Descendants'!E174</f>
        <v>Oliver</v>
      </c>
      <c r="E176" t="str">
        <f>IF('All Girls &amp; Descendants'!F174="","",'All Girls &amp; Descendants'!F174)</f>
        <v>James</v>
      </c>
      <c r="F176" t="str">
        <f>IF('All Girls &amp; Descendants'!G174="","",'All Girls &amp; Descendants'!G174)</f>
        <v/>
      </c>
      <c r="G176" t="str">
        <f>IF('All Girls &amp; Descendants'!H174="",D176,'All Girls &amp; Descendants'!H174)</f>
        <v>Oliver</v>
      </c>
      <c r="H176">
        <f>'All Girls &amp; Descendants'!I174</f>
        <v>1968</v>
      </c>
      <c r="I176" t="str">
        <f>'All Girls &amp; Descendants'!J174</f>
        <v/>
      </c>
      <c r="K176" s="3">
        <f>'All Girls &amp; Descendants'!M174</f>
        <v>25084</v>
      </c>
      <c r="L176" s="3">
        <f>'All Girls &amp; Descendants'!N174</f>
        <v>36337</v>
      </c>
      <c r="M176" t="str">
        <f>'All Girls &amp; Descendants'!O174</f>
        <v/>
      </c>
      <c r="N176" t="str">
        <f>'All Girls &amp; Descendants'!P174</f>
        <v/>
      </c>
      <c r="O176" t="str">
        <f>'All Girls &amp; Descendants'!Q174</f>
        <v>85a</v>
      </c>
      <c r="P176" t="str">
        <f t="shared" si="51"/>
        <v>85ab</v>
      </c>
      <c r="Q176" s="116">
        <f t="shared" si="52"/>
        <v>2</v>
      </c>
      <c r="R176" s="31" t="str">
        <f t="shared" si="53"/>
        <v>Oliver James  LANE FOX</v>
      </c>
      <c r="S176" t="str">
        <f t="shared" si="54"/>
        <v>Oliver LANE FOX (1968 - :  #85ab)</v>
      </c>
    </row>
    <row r="177" spans="1:19">
      <c r="A177">
        <f>'All Girls &amp; Descendants'!B175</f>
        <v>85</v>
      </c>
      <c r="B177" t="str">
        <f>'All Girls &amp; Descendants'!C175</f>
        <v>85ac</v>
      </c>
      <c r="C177" t="str">
        <f>'All Girls &amp; Descendants'!D175</f>
        <v>LANE FOX</v>
      </c>
      <c r="D177" t="str">
        <f>'All Girls &amp; Descendants'!E175</f>
        <v>Sophie</v>
      </c>
      <c r="E177" t="str">
        <f>IF('All Girls &amp; Descendants'!F175="","",'All Girls &amp; Descendants'!F175)</f>
        <v>Anne</v>
      </c>
      <c r="F177" t="str">
        <f>IF('All Girls &amp; Descendants'!G175="","",'All Girls &amp; Descendants'!G175)</f>
        <v/>
      </c>
      <c r="G177" t="str">
        <f>IF('All Girls &amp; Descendants'!H175="",D177,'All Girls &amp; Descendants'!H175)</f>
        <v>Sophie</v>
      </c>
      <c r="H177">
        <f>'All Girls &amp; Descendants'!I175</f>
        <v>1972</v>
      </c>
      <c r="I177" t="str">
        <f>'All Girls &amp; Descendants'!J175</f>
        <v/>
      </c>
      <c r="K177" s="3">
        <f>'All Girls &amp; Descendants'!M175</f>
        <v>26501</v>
      </c>
      <c r="L177" s="3" t="str">
        <f>'All Girls &amp; Descendants'!N175</f>
        <v xml:space="preserve"> - </v>
      </c>
      <c r="M177" t="str">
        <f>'All Girls &amp; Descendants'!O175</f>
        <v/>
      </c>
      <c r="N177" t="str">
        <f>'All Girls &amp; Descendants'!P175</f>
        <v/>
      </c>
      <c r="O177" t="str">
        <f>'All Girls &amp; Descendants'!Q175</f>
        <v>85a</v>
      </c>
      <c r="P177" t="str">
        <f t="shared" si="51"/>
        <v>85ac</v>
      </c>
      <c r="Q177" s="116">
        <f t="shared" si="52"/>
        <v>2</v>
      </c>
      <c r="R177" s="31" t="str">
        <f t="shared" si="53"/>
        <v>Sophie Anne  LANE FOX</v>
      </c>
      <c r="S177" t="str">
        <f t="shared" si="54"/>
        <v>Sophie LANE FOX (1972 - :  #85ac)</v>
      </c>
    </row>
    <row r="178" spans="1:19">
      <c r="A178">
        <f>'All Girls &amp; Descendants'!B176</f>
        <v>85</v>
      </c>
      <c r="B178" t="str">
        <f>'All Girls &amp; Descendants'!C176</f>
        <v>85ba</v>
      </c>
      <c r="C178" t="str">
        <f>'All Girls &amp; Descendants'!D176</f>
        <v>LANE FOX</v>
      </c>
      <c r="D178" t="str">
        <f>'All Girls &amp; Descendants'!E176</f>
        <v>Lucy</v>
      </c>
      <c r="E178" t="str">
        <f>IF('All Girls &amp; Descendants'!F176="","",'All Girls &amp; Descendants'!F176)</f>
        <v>Jane</v>
      </c>
      <c r="F178" t="str">
        <f>IF('All Girls &amp; Descendants'!G176="","",'All Girls &amp; Descendants'!G176)</f>
        <v/>
      </c>
      <c r="G178" t="str">
        <f>IF('All Girls &amp; Descendants'!H176="",D178,'All Girls &amp; Descendants'!H176)</f>
        <v>Lucy</v>
      </c>
      <c r="H178">
        <f>'All Girls &amp; Descendants'!I176</f>
        <v>1965</v>
      </c>
      <c r="I178" t="str">
        <f>'All Girls &amp; Descendants'!J176</f>
        <v/>
      </c>
      <c r="K178" s="3">
        <f>'All Girls &amp; Descendants'!M176</f>
        <v>24010</v>
      </c>
      <c r="L178" s="3">
        <f>'All Girls &amp; Descendants'!N176</f>
        <v>32774</v>
      </c>
      <c r="M178" t="str">
        <f>'All Girls &amp; Descendants'!O176</f>
        <v/>
      </c>
      <c r="N178" t="str">
        <f>'All Girls &amp; Descendants'!P176</f>
        <v/>
      </c>
      <c r="O178" t="str">
        <f>'All Girls &amp; Descendants'!Q176</f>
        <v>85b</v>
      </c>
      <c r="P178" t="str">
        <f t="shared" si="51"/>
        <v>85ba</v>
      </c>
      <c r="Q178" s="116">
        <f t="shared" si="52"/>
        <v>2</v>
      </c>
      <c r="R178" s="31" t="str">
        <f t="shared" si="53"/>
        <v>Lucy Jane  LANE FOX</v>
      </c>
      <c r="S178" t="str">
        <f t="shared" si="54"/>
        <v>Lucy LANE FOX (1965 - :  #85ba)</v>
      </c>
    </row>
    <row r="179" spans="1:19">
      <c r="A179">
        <f>'All Girls &amp; Descendants'!B177</f>
        <v>85</v>
      </c>
      <c r="B179" t="str">
        <f>'All Girls &amp; Descendants'!C177</f>
        <v>85bb</v>
      </c>
      <c r="C179" t="str">
        <f>'All Girls &amp; Descendants'!D177</f>
        <v>LANE FOX</v>
      </c>
      <c r="D179" t="str">
        <f>'All Girls &amp; Descendants'!E177</f>
        <v>Serena</v>
      </c>
      <c r="E179" t="str">
        <f>IF('All Girls &amp; Descendants'!F177="","",'All Girls &amp; Descendants'!F177)</f>
        <v>Mary</v>
      </c>
      <c r="F179" t="str">
        <f>IF('All Girls &amp; Descendants'!G177="","",'All Girls &amp; Descendants'!G177)</f>
        <v/>
      </c>
      <c r="G179" t="str">
        <f>IF('All Girls &amp; Descendants'!H177="",D179,'All Girls &amp; Descendants'!H177)</f>
        <v>Serena</v>
      </c>
      <c r="H179">
        <f>'All Girls &amp; Descendants'!I177</f>
        <v>1967</v>
      </c>
      <c r="I179" t="str">
        <f>'All Girls &amp; Descendants'!J177</f>
        <v/>
      </c>
      <c r="K179" s="3">
        <f>'All Girls &amp; Descendants'!M177</f>
        <v>24522</v>
      </c>
      <c r="L179" s="3">
        <f>'All Girls &amp; Descendants'!N177</f>
        <v>35944</v>
      </c>
      <c r="M179" t="str">
        <f>'All Girls &amp; Descendants'!O177</f>
        <v/>
      </c>
      <c r="N179" t="str">
        <f>'All Girls &amp; Descendants'!P177</f>
        <v/>
      </c>
      <c r="O179" t="str">
        <f>'All Girls &amp; Descendants'!Q177</f>
        <v>85b</v>
      </c>
      <c r="P179" t="str">
        <f t="shared" si="51"/>
        <v>85bb</v>
      </c>
      <c r="Q179" s="116">
        <f t="shared" si="52"/>
        <v>2</v>
      </c>
      <c r="R179" s="31" t="str">
        <f t="shared" si="53"/>
        <v>Serena Mary  LANE FOX</v>
      </c>
      <c r="S179" t="str">
        <f t="shared" si="54"/>
        <v>Serena LANE FOX (1967 - :  #85bb)</v>
      </c>
    </row>
    <row r="180" spans="1:19">
      <c r="A180">
        <f>'All Girls &amp; Descendants'!B178</f>
        <v>85</v>
      </c>
      <c r="B180" t="str">
        <f>'All Girls &amp; Descendants'!C178</f>
        <v>85bc</v>
      </c>
      <c r="C180" t="str">
        <f>'All Girls &amp; Descendants'!D178</f>
        <v>LANE FOX</v>
      </c>
      <c r="D180" t="str">
        <f>'All Girls &amp; Descendants'!E178</f>
        <v>Emily</v>
      </c>
      <c r="E180" t="str">
        <f>IF('All Girls &amp; Descendants'!F178="","",'All Girls &amp; Descendants'!F178)</f>
        <v>Laura</v>
      </c>
      <c r="F180" t="str">
        <f>IF('All Girls &amp; Descendants'!G178="","",'All Girls &amp; Descendants'!G178)</f>
        <v/>
      </c>
      <c r="G180" t="str">
        <f>IF('All Girls &amp; Descendants'!H178="",D180,'All Girls &amp; Descendants'!H178)</f>
        <v>Emily</v>
      </c>
      <c r="H180">
        <f>'All Girls &amp; Descendants'!I178</f>
        <v>1969</v>
      </c>
      <c r="I180" t="str">
        <f>'All Girls &amp; Descendants'!J178</f>
        <v/>
      </c>
      <c r="K180" s="3">
        <f>'All Girls &amp; Descendants'!M178</f>
        <v>25478</v>
      </c>
      <c r="L180" s="3">
        <f>'All Girls &amp; Descendants'!N178</f>
        <v>33852</v>
      </c>
      <c r="M180" t="str">
        <f>'All Girls &amp; Descendants'!O178</f>
        <v/>
      </c>
      <c r="N180" t="str">
        <f>'All Girls &amp; Descendants'!P178</f>
        <v/>
      </c>
      <c r="O180" t="str">
        <f>'All Girls &amp; Descendants'!Q178</f>
        <v>85b</v>
      </c>
      <c r="P180" t="str">
        <f t="shared" si="51"/>
        <v>85bc</v>
      </c>
      <c r="Q180" s="116">
        <f t="shared" si="52"/>
        <v>2</v>
      </c>
      <c r="R180" s="31" t="str">
        <f t="shared" si="53"/>
        <v>Emily Laura  LANE FOX</v>
      </c>
      <c r="S180" t="str">
        <f t="shared" si="54"/>
        <v>Emily LANE FOX (1969 - :  #85bc)</v>
      </c>
    </row>
    <row r="181" spans="1:19">
      <c r="A181">
        <f>'All Girls &amp; Descendants'!B179</f>
        <v>85</v>
      </c>
      <c r="B181" t="str">
        <f>'All Girls &amp; Descendants'!C179</f>
        <v>85bd</v>
      </c>
      <c r="C181" t="str">
        <f>'All Girls &amp; Descendants'!D179</f>
        <v>LANE FOX</v>
      </c>
      <c r="D181" t="str">
        <f>'All Girls &amp; Descendants'!E179</f>
        <v>Charles</v>
      </c>
      <c r="E181" t="str">
        <f>IF('All Girls &amp; Descendants'!F179="","",'All Girls &amp; Descendants'!F179)</f>
        <v>James</v>
      </c>
      <c r="F181" t="str">
        <f>IF('All Girls &amp; Descendants'!G179="","",'All Girls &amp; Descendants'!G179)</f>
        <v/>
      </c>
      <c r="G181" t="str">
        <f>IF('All Girls &amp; Descendants'!H179="",D181,'All Girls &amp; Descendants'!H179)</f>
        <v>Charles</v>
      </c>
      <c r="H181">
        <f>'All Girls &amp; Descendants'!I179</f>
        <v>1977</v>
      </c>
      <c r="I181" t="str">
        <f>'All Girls &amp; Descendants'!J179</f>
        <v/>
      </c>
      <c r="K181" s="3">
        <f>'All Girls &amp; Descendants'!M179</f>
        <v>28218</v>
      </c>
      <c r="L181" s="3" t="str">
        <f>'All Girls &amp; Descendants'!N179</f>
        <v xml:space="preserve"> - </v>
      </c>
      <c r="M181" t="str">
        <f>'All Girls &amp; Descendants'!O179</f>
        <v/>
      </c>
      <c r="N181" t="str">
        <f>'All Girls &amp; Descendants'!P179</f>
        <v/>
      </c>
      <c r="O181" t="str">
        <f>'All Girls &amp; Descendants'!Q179</f>
        <v>85b</v>
      </c>
      <c r="P181" t="str">
        <f t="shared" si="51"/>
        <v>85bd</v>
      </c>
      <c r="Q181" s="116">
        <f t="shared" si="52"/>
        <v>2</v>
      </c>
      <c r="R181" s="31" t="str">
        <f t="shared" si="53"/>
        <v>Charles James  LANE FOX</v>
      </c>
      <c r="S181" t="str">
        <f t="shared" si="54"/>
        <v>Charles LANE FOX (1977 - :  #85bd)</v>
      </c>
    </row>
    <row r="182" spans="1:19">
      <c r="A182">
        <f>'All Girls &amp; Descendants'!B180</f>
        <v>85</v>
      </c>
      <c r="B182" t="str">
        <f>'All Girls &amp; Descendants'!C180</f>
        <v>85ca</v>
      </c>
      <c r="C182" t="str">
        <f>'All Girls &amp; Descendants'!D180</f>
        <v>TENNYSON d'EYNCOURT</v>
      </c>
      <c r="D182" t="str">
        <f>'All Girls &amp; Descendants'!E180</f>
        <v>James</v>
      </c>
      <c r="E182" t="str">
        <f>IF('All Girls &amp; Descendants'!F180="","",'All Girls &amp; Descendants'!F180)</f>
        <v>Alfred</v>
      </c>
      <c r="F182" t="str">
        <f>IF('All Girls &amp; Descendants'!G180="","",'All Girls &amp; Descendants'!G180)</f>
        <v>Louis</v>
      </c>
      <c r="G182" t="str">
        <f>IF('All Girls &amp; Descendants'!H180="",D182,'All Girls &amp; Descendants'!H180)</f>
        <v>James</v>
      </c>
      <c r="H182">
        <f>'All Girls &amp; Descendants'!I180</f>
        <v>1978</v>
      </c>
      <c r="I182" t="str">
        <f>'All Girls &amp; Descendants'!J180</f>
        <v/>
      </c>
      <c r="K182" s="3">
        <f>'All Girls &amp; Descendants'!M180</f>
        <v>28652</v>
      </c>
      <c r="L182" s="3" t="str">
        <f>'All Girls &amp; Descendants'!N180</f>
        <v xml:space="preserve"> - </v>
      </c>
      <c r="M182" t="str">
        <f>'All Girls &amp; Descendants'!O180</f>
        <v/>
      </c>
      <c r="N182" t="str">
        <f>'All Girls &amp; Descendants'!P180</f>
        <v/>
      </c>
      <c r="O182" t="str">
        <f>'All Girls &amp; Descendants'!Q180</f>
        <v>85c</v>
      </c>
      <c r="P182" t="str">
        <f t="shared" si="51"/>
        <v>85ca</v>
      </c>
      <c r="Q182" s="116">
        <f t="shared" si="52"/>
        <v>2</v>
      </c>
      <c r="R182" s="31" t="str">
        <f t="shared" si="53"/>
        <v>James Alfred Louis TENNYSON d'EYNCOURT</v>
      </c>
      <c r="S182" t="str">
        <f t="shared" si="54"/>
        <v>James TENNYSON d'EYNCOURT (1978 - :  #85ca)</v>
      </c>
    </row>
    <row r="183" spans="1:19">
      <c r="A183">
        <f>'All Girls &amp; Descendants'!B181</f>
        <v>85</v>
      </c>
      <c r="B183" t="str">
        <f>'All Girls &amp; Descendants'!C181</f>
        <v>85cb</v>
      </c>
      <c r="C183" t="str">
        <f>'All Girls &amp; Descendants'!D181</f>
        <v>TENNYSON d'EYNCOURT</v>
      </c>
      <c r="D183" t="str">
        <f>'All Girls &amp; Descendants'!E181</f>
        <v>Frances</v>
      </c>
      <c r="E183" t="str">
        <f>IF('All Girls &amp; Descendants'!F181="","",'All Girls &amp; Descendants'!F181)</f>
        <v>Rosemary</v>
      </c>
      <c r="F183" t="str">
        <f>IF('All Girls &amp; Descendants'!G181="","",'All Girls &amp; Descendants'!G181)</f>
        <v>Amaryllis</v>
      </c>
      <c r="G183" t="str">
        <f>IF('All Girls &amp; Descendants'!H181="",D183,'All Girls &amp; Descendants'!H181)</f>
        <v>Frances</v>
      </c>
      <c r="H183">
        <f>'All Girls &amp; Descendants'!I181</f>
        <v>1980</v>
      </c>
      <c r="I183" t="str">
        <f>'All Girls &amp; Descendants'!J181</f>
        <v/>
      </c>
      <c r="K183" s="3">
        <f>'All Girls &amp; Descendants'!M181</f>
        <v>29302</v>
      </c>
      <c r="L183" s="3" t="str">
        <f>'All Girls &amp; Descendants'!N181</f>
        <v xml:space="preserve"> - </v>
      </c>
      <c r="M183" t="str">
        <f>'All Girls &amp; Descendants'!O181</f>
        <v/>
      </c>
      <c r="N183" t="str">
        <f>'All Girls &amp; Descendants'!P181</f>
        <v/>
      </c>
      <c r="O183" t="str">
        <f>'All Girls &amp; Descendants'!Q181</f>
        <v>85c</v>
      </c>
      <c r="P183" t="str">
        <f t="shared" si="51"/>
        <v>85cb</v>
      </c>
      <c r="Q183" s="116">
        <f t="shared" si="52"/>
        <v>2</v>
      </c>
      <c r="R183" s="31" t="str">
        <f t="shared" si="53"/>
        <v>Frances Rosemary Amaryllis TENNYSON d'EYNCOURT</v>
      </c>
      <c r="S183" t="str">
        <f t="shared" si="54"/>
        <v>Frances TENNYSON d'EYNCOURT (1980 - :  #85cb)</v>
      </c>
    </row>
    <row r="184" spans="1:19">
      <c r="A184">
        <f>'All Girls &amp; Descendants'!B182</f>
        <v>85</v>
      </c>
      <c r="B184" t="str">
        <f>'All Girls &amp; Descendants'!C182</f>
        <v>85da</v>
      </c>
      <c r="C184" t="str">
        <f>'All Girls &amp; Descendants'!D182</f>
        <v>LANE FOX</v>
      </c>
      <c r="D184" t="str">
        <f>'All Girls &amp; Descendants'!E182</f>
        <v>Martha</v>
      </c>
      <c r="E184" t="str">
        <f>IF('All Girls &amp; Descendants'!F182="","",'All Girls &amp; Descendants'!F182)</f>
        <v/>
      </c>
      <c r="F184" t="str">
        <f>IF('All Girls &amp; Descendants'!G182="","",'All Girls &amp; Descendants'!G182)</f>
        <v/>
      </c>
      <c r="G184" t="str">
        <f>IF('All Girls &amp; Descendants'!H182="",D184,'All Girls &amp; Descendants'!H182)</f>
        <v>Martha</v>
      </c>
      <c r="H184">
        <f>'All Girls &amp; Descendants'!I182</f>
        <v>1973</v>
      </c>
      <c r="I184" t="str">
        <f>'All Girls &amp; Descendants'!J182</f>
        <v/>
      </c>
      <c r="K184" s="3">
        <f>'All Girls &amp; Descendants'!M182</f>
        <v>26705</v>
      </c>
      <c r="L184" s="3" t="str">
        <f>'All Girls &amp; Descendants'!N182</f>
        <v xml:space="preserve"> - </v>
      </c>
      <c r="M184" t="str">
        <f>'All Girls &amp; Descendants'!O182</f>
        <v/>
      </c>
      <c r="N184" t="str">
        <f>'All Girls &amp; Descendants'!P182</f>
        <v/>
      </c>
      <c r="O184" t="str">
        <f>'All Girls &amp; Descendants'!Q182</f>
        <v>85d</v>
      </c>
      <c r="P184" t="str">
        <f t="shared" si="51"/>
        <v>85da</v>
      </c>
      <c r="Q184" s="116">
        <f t="shared" si="52"/>
        <v>2</v>
      </c>
      <c r="R184" s="31" t="str">
        <f t="shared" si="53"/>
        <v>Martha   LANE FOX</v>
      </c>
      <c r="S184" t="str">
        <f t="shared" si="54"/>
        <v>Martha LANE FOX (1973 - :  #85da)</v>
      </c>
    </row>
    <row r="185" spans="1:19">
      <c r="A185">
        <f>'All Girls &amp; Descendants'!B183</f>
        <v>85</v>
      </c>
      <c r="B185" t="str">
        <f>'All Girls &amp; Descendants'!C183</f>
        <v>85db</v>
      </c>
      <c r="C185" t="str">
        <f>'All Girls &amp; Descendants'!D183</f>
        <v>LANE FOX</v>
      </c>
      <c r="D185" t="str">
        <f>'All Girls &amp; Descendants'!E183</f>
        <v>Henry</v>
      </c>
      <c r="E185" t="str">
        <f>IF('All Girls &amp; Descendants'!F183="","",'All Girls &amp; Descendants'!F183)</f>
        <v>James</v>
      </c>
      <c r="F185" t="str">
        <f>IF('All Girls &amp; Descendants'!G183="","",'All Girls &amp; Descendants'!G183)</f>
        <v/>
      </c>
      <c r="G185" t="str">
        <f>IF('All Girls &amp; Descendants'!H183="",D185,'All Girls &amp; Descendants'!H183)</f>
        <v>Henry</v>
      </c>
      <c r="H185">
        <f>'All Girls &amp; Descendants'!I183</f>
        <v>1974</v>
      </c>
      <c r="I185" t="str">
        <f>'All Girls &amp; Descendants'!J183</f>
        <v/>
      </c>
      <c r="K185" s="3">
        <f>'All Girls &amp; Descendants'!M183</f>
        <v>27321</v>
      </c>
      <c r="L185" s="3" t="str">
        <f>'All Girls &amp; Descendants'!N183</f>
        <v xml:space="preserve"> - </v>
      </c>
      <c r="M185" t="str">
        <f>'All Girls &amp; Descendants'!O183</f>
        <v/>
      </c>
      <c r="N185" t="str">
        <f>'All Girls &amp; Descendants'!P183</f>
        <v/>
      </c>
      <c r="O185" t="str">
        <f>'All Girls &amp; Descendants'!Q183</f>
        <v>85d</v>
      </c>
      <c r="P185" t="str">
        <f t="shared" si="51"/>
        <v>85db</v>
      </c>
      <c r="Q185" s="116">
        <f t="shared" si="52"/>
        <v>2</v>
      </c>
      <c r="R185" s="31" t="str">
        <f t="shared" si="53"/>
        <v>Henry James  LANE FOX</v>
      </c>
      <c r="S185" t="str">
        <f t="shared" si="54"/>
        <v>Henry LANE FOX (1974 - :  #85db)</v>
      </c>
    </row>
    <row r="186" spans="1:19">
      <c r="A186">
        <f>'All Girls &amp; Descendants'!B184</f>
        <v>88</v>
      </c>
      <c r="B186" t="str">
        <f>'All Girls &amp; Descendants'!C184</f>
        <v>88aa</v>
      </c>
      <c r="C186" t="str">
        <f>'All Girls &amp; Descendants'!D184</f>
        <v>HOLMAN</v>
      </c>
      <c r="D186" t="str">
        <f>'All Girls &amp; Descendants'!E184</f>
        <v>Richard</v>
      </c>
      <c r="E186" t="str">
        <f>IF('All Girls &amp; Descendants'!F184="","",'All Girls &amp; Descendants'!F184)</f>
        <v>Ian</v>
      </c>
      <c r="F186" t="str">
        <f>IF('All Girls &amp; Descendants'!G184="","",'All Girls &amp; Descendants'!G184)</f>
        <v/>
      </c>
      <c r="G186" t="str">
        <f>IF('All Girls &amp; Descendants'!H184="",D186,'All Girls &amp; Descendants'!H184)</f>
        <v>Richard</v>
      </c>
      <c r="H186">
        <f>'All Girls &amp; Descendants'!I184</f>
        <v>1958</v>
      </c>
      <c r="I186" t="str">
        <f>'All Girls &amp; Descendants'!J184</f>
        <v/>
      </c>
      <c r="K186" s="3" t="str">
        <f>'All Girls &amp; Descendants'!M184</f>
        <v>02/09/1958</v>
      </c>
      <c r="L186" s="3">
        <f>'All Girls &amp; Descendants'!N184</f>
        <v>31157</v>
      </c>
      <c r="M186" t="str">
        <f>'All Girls &amp; Descendants'!O184</f>
        <v/>
      </c>
      <c r="N186" t="str">
        <f>'All Girls &amp; Descendants'!P184</f>
        <v/>
      </c>
      <c r="O186" t="str">
        <f>'All Girls &amp; Descendants'!Q184</f>
        <v>88a</v>
      </c>
      <c r="P186" t="str">
        <f t="shared" si="51"/>
        <v>88aa</v>
      </c>
      <c r="Q186" s="116">
        <f t="shared" si="52"/>
        <v>2</v>
      </c>
      <c r="R186" s="31" t="str">
        <f t="shared" si="53"/>
        <v>Richard Ian  HOLMAN</v>
      </c>
      <c r="S186" t="str">
        <f t="shared" si="54"/>
        <v>Richard HOLMAN (1958 - :  #88aa)</v>
      </c>
    </row>
    <row r="187" spans="1:19">
      <c r="A187">
        <f>'All Girls &amp; Descendants'!B185</f>
        <v>88</v>
      </c>
      <c r="B187" t="str">
        <f>'All Girls &amp; Descendants'!C185</f>
        <v>88ab</v>
      </c>
      <c r="C187" t="str">
        <f>'All Girls &amp; Descendants'!D185</f>
        <v>HOLMAN</v>
      </c>
      <c r="D187" t="str">
        <f>'All Girls &amp; Descendants'!E185</f>
        <v>Edward</v>
      </c>
      <c r="E187" t="str">
        <f>IF('All Girls &amp; Descendants'!F185="","",'All Girls &amp; Descendants'!F185)</f>
        <v/>
      </c>
      <c r="F187" t="str">
        <f>IF('All Girls &amp; Descendants'!G185="","",'All Girls &amp; Descendants'!G185)</f>
        <v/>
      </c>
      <c r="G187" t="str">
        <f>IF('All Girls &amp; Descendants'!H185="",D187,'All Girls &amp; Descendants'!H185)</f>
        <v>Edward</v>
      </c>
      <c r="H187">
        <f>'All Girls &amp; Descendants'!I185</f>
        <v>1960</v>
      </c>
      <c r="I187" t="str">
        <f>'All Girls &amp; Descendants'!J185</f>
        <v/>
      </c>
      <c r="K187" s="3">
        <f>'All Girls &amp; Descendants'!M185</f>
        <v>21961</v>
      </c>
      <c r="L187" s="3" t="str">
        <f>'All Girls &amp; Descendants'!N185</f>
        <v xml:space="preserve"> - </v>
      </c>
      <c r="M187" t="str">
        <f>'All Girls &amp; Descendants'!O185</f>
        <v/>
      </c>
      <c r="N187" t="str">
        <f>'All Girls &amp; Descendants'!P185</f>
        <v/>
      </c>
      <c r="O187" t="str">
        <f>'All Girls &amp; Descendants'!Q185</f>
        <v>88a</v>
      </c>
      <c r="P187" t="str">
        <f t="shared" si="51"/>
        <v>88ab</v>
      </c>
      <c r="Q187" s="116">
        <f t="shared" si="52"/>
        <v>2</v>
      </c>
      <c r="R187" s="31" t="str">
        <f t="shared" si="53"/>
        <v>Edward   HOLMAN</v>
      </c>
      <c r="S187" t="str">
        <f t="shared" si="54"/>
        <v>Edward HOLMAN (1960 - :  #88ab)</v>
      </c>
    </row>
    <row r="188" spans="1:19">
      <c r="A188">
        <f>'All Girls &amp; Descendants'!B186</f>
        <v>88</v>
      </c>
      <c r="B188" t="str">
        <f>'All Girls &amp; Descendants'!C186</f>
        <v>88ac</v>
      </c>
      <c r="C188" t="str">
        <f>'All Girls &amp; Descendants'!D186</f>
        <v>HOLMAN</v>
      </c>
      <c r="D188" t="str">
        <f>'All Girls &amp; Descendants'!E186</f>
        <v>Georgina</v>
      </c>
      <c r="E188" t="str">
        <f>IF('All Girls &amp; Descendants'!F186="","",'All Girls &amp; Descendants'!F186)</f>
        <v>Mary</v>
      </c>
      <c r="F188" t="str">
        <f>IF('All Girls &amp; Descendants'!G186="","",'All Girls &amp; Descendants'!G186)</f>
        <v/>
      </c>
      <c r="G188" t="str">
        <f>IF('All Girls &amp; Descendants'!H186="",D188,'All Girls &amp; Descendants'!H186)</f>
        <v>Georgina</v>
      </c>
      <c r="H188">
        <f>'All Girls &amp; Descendants'!I186</f>
        <v>1964</v>
      </c>
      <c r="I188" t="str">
        <f>'All Girls &amp; Descendants'!J186</f>
        <v/>
      </c>
      <c r="K188" s="3">
        <f>'All Girls &amp; Descendants'!M186</f>
        <v>23654</v>
      </c>
      <c r="L188" s="3">
        <f>'All Girls &amp; Descendants'!N186</f>
        <v>32344</v>
      </c>
      <c r="M188" t="str">
        <f>'All Girls &amp; Descendants'!O186</f>
        <v/>
      </c>
      <c r="N188" t="str">
        <f>'All Girls &amp; Descendants'!P186</f>
        <v/>
      </c>
      <c r="O188" t="str">
        <f>'All Girls &amp; Descendants'!Q186</f>
        <v>88a</v>
      </c>
      <c r="P188" t="str">
        <f t="shared" si="51"/>
        <v>88ac</v>
      </c>
      <c r="Q188" s="116">
        <f t="shared" si="52"/>
        <v>2</v>
      </c>
      <c r="R188" s="31" t="str">
        <f t="shared" si="53"/>
        <v>Georgina Mary  HOLMAN</v>
      </c>
      <c r="S188" t="str">
        <f t="shared" si="54"/>
        <v>Georgina HOLMAN (1964 - :  #88ac)</v>
      </c>
    </row>
    <row r="189" spans="1:19">
      <c r="A189">
        <f>'All Girls &amp; Descendants'!B187</f>
        <v>88</v>
      </c>
      <c r="B189" t="str">
        <f>'All Girls &amp; Descendants'!C187</f>
        <v>88ad</v>
      </c>
      <c r="C189" t="str">
        <f>'All Girls &amp; Descendants'!D187</f>
        <v>HOLMAN</v>
      </c>
      <c r="D189" t="str">
        <f>'All Girls &amp; Descendants'!E187</f>
        <v>Emma</v>
      </c>
      <c r="E189" t="str">
        <f>IF('All Girls &amp; Descendants'!F187="","",'All Girls &amp; Descendants'!F187)</f>
        <v>Charlotte</v>
      </c>
      <c r="F189" t="str">
        <f>IF('All Girls &amp; Descendants'!G187="","",'All Girls &amp; Descendants'!G187)</f>
        <v/>
      </c>
      <c r="G189" t="str">
        <f>IF('All Girls &amp; Descendants'!H187="",D189,'All Girls &amp; Descendants'!H187)</f>
        <v>Emma</v>
      </c>
      <c r="H189">
        <f>'All Girls &amp; Descendants'!I187</f>
        <v>1966</v>
      </c>
      <c r="I189" t="str">
        <f>'All Girls &amp; Descendants'!J187</f>
        <v/>
      </c>
      <c r="K189" s="3">
        <f>'All Girls &amp; Descendants'!M187</f>
        <v>24208</v>
      </c>
      <c r="L189" s="3">
        <f>'All Girls &amp; Descendants'!N187</f>
        <v>32984</v>
      </c>
      <c r="M189" t="str">
        <f>'All Girls &amp; Descendants'!O187</f>
        <v/>
      </c>
      <c r="N189" t="str">
        <f>'All Girls &amp; Descendants'!P187</f>
        <v/>
      </c>
      <c r="O189" t="str">
        <f>'All Girls &amp; Descendants'!Q187</f>
        <v>88a</v>
      </c>
      <c r="P189" t="str">
        <f t="shared" si="51"/>
        <v>88ad</v>
      </c>
      <c r="Q189" s="116">
        <f t="shared" si="52"/>
        <v>2</v>
      </c>
      <c r="R189" s="31" t="str">
        <f t="shared" si="53"/>
        <v>Emma Charlotte  HOLMAN</v>
      </c>
      <c r="S189" t="str">
        <f t="shared" si="54"/>
        <v>Emma HOLMAN (1966 - :  #88ad)</v>
      </c>
    </row>
    <row r="190" spans="1:19">
      <c r="A190">
        <f>'All Girls &amp; Descendants'!B188</f>
        <v>88</v>
      </c>
      <c r="B190" t="str">
        <f>'All Girls &amp; Descendants'!C188</f>
        <v>88ba</v>
      </c>
      <c r="C190" t="str">
        <f>'All Girls &amp; Descendants'!D188</f>
        <v>KEITH</v>
      </c>
      <c r="D190" t="str">
        <f>'All Girls &amp; Descendants'!E188</f>
        <v>James</v>
      </c>
      <c r="E190" t="str">
        <f>IF('All Girls &amp; Descendants'!F188="","",'All Girls &amp; Descendants'!F188)</f>
        <v>William</v>
      </c>
      <c r="F190" t="str">
        <f>IF('All Girls &amp; Descendants'!G188="","",'All Girls &amp; Descendants'!G188)</f>
        <v>Falconer</v>
      </c>
      <c r="G190" t="str">
        <f>IF('All Girls &amp; Descendants'!H188="",D190,'All Girls &amp; Descendants'!H188)</f>
        <v>James</v>
      </c>
      <c r="H190">
        <f>'All Girls &amp; Descendants'!I188</f>
        <v>1976</v>
      </c>
      <c r="I190" t="str">
        <f>'All Girls &amp; Descendants'!J188</f>
        <v/>
      </c>
      <c r="K190" s="3">
        <f>'All Girls &amp; Descendants'!M188</f>
        <v>27865</v>
      </c>
      <c r="L190" s="3" t="str">
        <f>'All Girls &amp; Descendants'!N188</f>
        <v xml:space="preserve"> - </v>
      </c>
      <c r="M190" t="str">
        <f>'All Girls &amp; Descendants'!O188</f>
        <v/>
      </c>
      <c r="N190" t="str">
        <f>'All Girls &amp; Descendants'!P188</f>
        <v/>
      </c>
      <c r="O190" t="str">
        <f>'All Girls &amp; Descendants'!Q188</f>
        <v>88b</v>
      </c>
      <c r="P190" t="str">
        <f t="shared" si="51"/>
        <v>88ba</v>
      </c>
      <c r="Q190" s="116">
        <f t="shared" si="52"/>
        <v>2</v>
      </c>
      <c r="R190" s="31" t="str">
        <f t="shared" si="53"/>
        <v>James William Falconer KEITH</v>
      </c>
      <c r="S190" t="str">
        <f t="shared" si="54"/>
        <v>James KEITH (1976 - :  #88ba)</v>
      </c>
    </row>
    <row r="191" spans="1:19">
      <c r="A191">
        <f>'All Girls &amp; Descendants'!B189</f>
        <v>88</v>
      </c>
      <c r="B191" t="str">
        <f>'All Girls &amp; Descendants'!C189</f>
        <v>88ca</v>
      </c>
      <c r="C191" t="str">
        <f>'All Girls &amp; Descendants'!D189</f>
        <v>KEITH</v>
      </c>
      <c r="D191" t="str">
        <f>'All Girls &amp; Descendants'!E189</f>
        <v>The Honourable Iona</v>
      </c>
      <c r="E191" t="str">
        <f>IF('All Girls &amp; Descendants'!F189="","",'All Girls &amp; Descendants'!F189)</f>
        <v>Delia Mary</v>
      </c>
      <c r="F191" t="str">
        <f>IF('All Girls &amp; Descendants'!G189="","",'All Girls &amp; Descendants'!G189)</f>
        <v>Gaddis</v>
      </c>
      <c r="G191" t="str">
        <f>IF('All Girls &amp; Descendants'!H189="",D191,'All Girls &amp; Descendants'!H189)</f>
        <v>The Honourable Iona</v>
      </c>
      <c r="H191">
        <f>'All Girls &amp; Descendants'!I189</f>
        <v>1978</v>
      </c>
      <c r="I191" t="str">
        <f>'All Girls &amp; Descendants'!J189</f>
        <v/>
      </c>
      <c r="K191" s="3">
        <f>'All Girls &amp; Descendants'!M189</f>
        <v>28491</v>
      </c>
      <c r="L191" s="3" t="str">
        <f>'All Girls &amp; Descendants'!N189</f>
        <v xml:space="preserve"> - </v>
      </c>
      <c r="M191" t="str">
        <f>'All Girls &amp; Descendants'!O189</f>
        <v/>
      </c>
      <c r="N191" t="str">
        <f>'All Girls &amp; Descendants'!P189</f>
        <v/>
      </c>
      <c r="O191" t="str">
        <f>'All Girls &amp; Descendants'!Q189</f>
        <v>88c</v>
      </c>
      <c r="P191" t="str">
        <f t="shared" si="51"/>
        <v>88ca</v>
      </c>
      <c r="Q191" s="116">
        <f t="shared" si="52"/>
        <v>2</v>
      </c>
      <c r="R191" s="31" t="str">
        <f t="shared" si="53"/>
        <v>The Honourable Iona Delia Mary Gaddis KEITH</v>
      </c>
      <c r="S191" t="str">
        <f t="shared" si="54"/>
        <v>The Honourable Iona KEITH (1978 - :  #88ca)</v>
      </c>
    </row>
    <row r="192" spans="1:19">
      <c r="A192">
        <f>'All Girls &amp; Descendants'!B190</f>
        <v>90</v>
      </c>
      <c r="B192" t="str">
        <f>'All Girls &amp; Descendants'!C190</f>
        <v>90aa</v>
      </c>
      <c r="C192" t="str">
        <f>'All Girls &amp; Descendants'!D190</f>
        <v>NORMAN</v>
      </c>
      <c r="D192" t="str">
        <f>'All Girls &amp; Descendants'!E190</f>
        <v>Emily</v>
      </c>
      <c r="E192" t="str">
        <f>IF('All Girls &amp; Descendants'!F190="","",'All Girls &amp; Descendants'!F190)</f>
        <v>Kate</v>
      </c>
      <c r="F192" t="str">
        <f>IF('All Girls &amp; Descendants'!G190="","",'All Girls &amp; Descendants'!G190)</f>
        <v/>
      </c>
      <c r="G192" t="str">
        <f>IF('All Girls &amp; Descendants'!H190="",D192,'All Girls &amp; Descendants'!H190)</f>
        <v>Emily</v>
      </c>
      <c r="H192">
        <f>'All Girls &amp; Descendants'!I190</f>
        <v>1975</v>
      </c>
      <c r="I192" t="str">
        <f>'All Girls &amp; Descendants'!J190</f>
        <v/>
      </c>
      <c r="K192" s="3">
        <f>'All Girls &amp; Descendants'!M190</f>
        <v>27661</v>
      </c>
      <c r="L192" s="3" t="str">
        <f>'All Girls &amp; Descendants'!N190</f>
        <v xml:space="preserve"> - </v>
      </c>
      <c r="M192" t="str">
        <f>'All Girls &amp; Descendants'!O190</f>
        <v/>
      </c>
      <c r="N192" t="str">
        <f>'All Girls &amp; Descendants'!P190</f>
        <v/>
      </c>
      <c r="O192" t="str">
        <f>'All Girls &amp; Descendants'!Q190</f>
        <v>90a</v>
      </c>
      <c r="P192" t="str">
        <f t="shared" si="51"/>
        <v>90aa</v>
      </c>
      <c r="Q192" s="116">
        <f t="shared" si="52"/>
        <v>2</v>
      </c>
      <c r="R192" s="31" t="str">
        <f t="shared" si="53"/>
        <v>Emily Kate  NORMAN</v>
      </c>
      <c r="S192" t="str">
        <f t="shared" si="54"/>
        <v>Emily NORMAN (1975 - :  #90aa)</v>
      </c>
    </row>
    <row r="193" spans="1:19">
      <c r="A193">
        <f>'All Girls &amp; Descendants'!B191</f>
        <v>90</v>
      </c>
      <c r="B193" t="str">
        <f>'All Girls &amp; Descendants'!C191</f>
        <v>90ab</v>
      </c>
      <c r="C193" t="str">
        <f>'All Girls &amp; Descendants'!D191</f>
        <v>RANKIN</v>
      </c>
      <c r="D193" t="str">
        <f>'All Girls &amp; Descendants'!E191</f>
        <v>Lachlan</v>
      </c>
      <c r="E193" t="str">
        <f>IF('All Girls &amp; Descendants'!F191="","",'All Girls &amp; Descendants'!F191)</f>
        <v>John</v>
      </c>
      <c r="F193" t="str">
        <f>IF('All Girls &amp; Descendants'!G191="","",'All Girls &amp; Descendants'!G191)</f>
        <v/>
      </c>
      <c r="G193" t="str">
        <f>IF('All Girls &amp; Descendants'!H191="",D193,'All Girls &amp; Descendants'!H191)</f>
        <v>Lachlan</v>
      </c>
      <c r="H193">
        <f>'All Girls &amp; Descendants'!I191</f>
        <v>1980</v>
      </c>
      <c r="I193" t="str">
        <f>'All Girls &amp; Descendants'!J191</f>
        <v/>
      </c>
      <c r="K193" s="3">
        <f>'All Girls &amp; Descendants'!M191</f>
        <v>29338</v>
      </c>
      <c r="L193" s="3" t="str">
        <f>'All Girls &amp; Descendants'!N191</f>
        <v xml:space="preserve"> - </v>
      </c>
      <c r="M193" t="str">
        <f>'All Girls &amp; Descendants'!O191</f>
        <v/>
      </c>
      <c r="N193" t="str">
        <f>'All Girls &amp; Descendants'!P191</f>
        <v/>
      </c>
      <c r="O193" t="str">
        <f>'All Girls &amp; Descendants'!Q191</f>
        <v>90a</v>
      </c>
      <c r="P193" t="str">
        <f t="shared" si="51"/>
        <v>90ab</v>
      </c>
      <c r="Q193" s="116">
        <f t="shared" si="52"/>
        <v>2</v>
      </c>
      <c r="R193" s="31" t="str">
        <f t="shared" si="53"/>
        <v>Lachlan John  RANKIN</v>
      </c>
      <c r="S193" t="str">
        <f t="shared" si="54"/>
        <v>Lachlan RANKIN (1980 - :  #90ab)</v>
      </c>
    </row>
    <row r="194" spans="1:19">
      <c r="A194">
        <f>'All Girls &amp; Descendants'!B192</f>
        <v>90</v>
      </c>
      <c r="B194" t="str">
        <f>'All Girls &amp; Descendants'!C192</f>
        <v>90ba</v>
      </c>
      <c r="C194" t="str">
        <f>'All Girls &amp; Descendants'!D192</f>
        <v>STUDIATI BERNI</v>
      </c>
      <c r="D194" t="str">
        <f>'All Girls &amp; Descendants'!E192</f>
        <v>Cesare</v>
      </c>
      <c r="E194" t="str">
        <f>IF('All Girls &amp; Descendants'!F192="","",'All Girls &amp; Descendants'!F192)</f>
        <v/>
      </c>
      <c r="F194" t="str">
        <f>IF('All Girls &amp; Descendants'!G192="","",'All Girls &amp; Descendants'!G192)</f>
        <v/>
      </c>
      <c r="G194" t="str">
        <f>IF('All Girls &amp; Descendants'!H192="",D194,'All Girls &amp; Descendants'!H192)</f>
        <v>Cesare</v>
      </c>
      <c r="H194">
        <f>'All Girls &amp; Descendants'!I192</f>
        <v>1972</v>
      </c>
      <c r="I194" t="str">
        <f>'All Girls &amp; Descendants'!J192</f>
        <v/>
      </c>
      <c r="K194" s="3">
        <f>'All Girls &amp; Descendants'!M192</f>
        <v>26549</v>
      </c>
      <c r="L194" s="3" t="str">
        <f>'All Girls &amp; Descendants'!N192</f>
        <v xml:space="preserve"> - </v>
      </c>
      <c r="M194" t="str">
        <f>'All Girls &amp; Descendants'!O192</f>
        <v/>
      </c>
      <c r="N194" t="str">
        <f>'All Girls &amp; Descendants'!P192</f>
        <v/>
      </c>
      <c r="O194" t="str">
        <f>'All Girls &amp; Descendants'!Q192</f>
        <v>90b</v>
      </c>
      <c r="P194" t="str">
        <f t="shared" si="51"/>
        <v>90ba</v>
      </c>
      <c r="Q194" s="116">
        <f t="shared" si="52"/>
        <v>2</v>
      </c>
      <c r="R194" s="31" t="str">
        <f t="shared" si="53"/>
        <v>Cesare   STUDIATI BERNI</v>
      </c>
      <c r="S194" t="str">
        <f t="shared" si="54"/>
        <v>Cesare STUDIATI BERNI (1972 - :  #90ba)</v>
      </c>
    </row>
    <row r="195" spans="1:19">
      <c r="A195">
        <f>'All Girls &amp; Descendants'!B193</f>
        <v>90</v>
      </c>
      <c r="B195" t="str">
        <f>'All Girls &amp; Descendants'!C193</f>
        <v>90bb</v>
      </c>
      <c r="C195" t="str">
        <f>'All Girls &amp; Descendants'!D193</f>
        <v>STUDIATI BERNI</v>
      </c>
      <c r="D195" t="str">
        <f>'All Girls &amp; Descendants'!E193</f>
        <v>Viola</v>
      </c>
      <c r="E195" t="str">
        <f>IF('All Girls &amp; Descendants'!F193="","",'All Girls &amp; Descendants'!F193)</f>
        <v/>
      </c>
      <c r="F195" t="str">
        <f>IF('All Girls &amp; Descendants'!G193="","",'All Girls &amp; Descendants'!G193)</f>
        <v/>
      </c>
      <c r="G195" t="str">
        <f>IF('All Girls &amp; Descendants'!H193="",D195,'All Girls &amp; Descendants'!H193)</f>
        <v>Viola</v>
      </c>
      <c r="H195">
        <f>'All Girls &amp; Descendants'!I193</f>
        <v>1975</v>
      </c>
      <c r="I195" t="str">
        <f>'All Girls &amp; Descendants'!J193</f>
        <v/>
      </c>
      <c r="K195" s="3">
        <f>'All Girls &amp; Descendants'!M193</f>
        <v>27605</v>
      </c>
      <c r="L195" s="3" t="str">
        <f>'All Girls &amp; Descendants'!N193</f>
        <v xml:space="preserve"> - </v>
      </c>
      <c r="M195" t="str">
        <f>'All Girls &amp; Descendants'!O193</f>
        <v/>
      </c>
      <c r="N195" t="str">
        <f>'All Girls &amp; Descendants'!P193</f>
        <v/>
      </c>
      <c r="O195" t="str">
        <f>'All Girls &amp; Descendants'!Q193</f>
        <v>90b</v>
      </c>
      <c r="P195" t="str">
        <f t="shared" si="51"/>
        <v>90bb</v>
      </c>
      <c r="Q195" s="116">
        <f t="shared" si="52"/>
        <v>2</v>
      </c>
      <c r="R195" s="31" t="str">
        <f t="shared" si="53"/>
        <v>Viola   STUDIATI BERNI</v>
      </c>
      <c r="S195" t="str">
        <f t="shared" si="54"/>
        <v>Viola STUDIATI BERNI (1975 - :  #90bb)</v>
      </c>
    </row>
    <row r="196" spans="1:19">
      <c r="A196">
        <f>'All Girls &amp; Descendants'!B194</f>
        <v>90</v>
      </c>
      <c r="B196" t="str">
        <f>'All Girls &amp; Descendants'!C194</f>
        <v>90ca</v>
      </c>
      <c r="C196" t="str">
        <f>'All Girls &amp; Descendants'!D194</f>
        <v>CLARKE</v>
      </c>
      <c r="D196" t="str">
        <f>'All Girls &amp; Descendants'!E194</f>
        <v xml:space="preserve">Georgina </v>
      </c>
      <c r="E196" t="str">
        <f>IF('All Girls &amp; Descendants'!F194="","",'All Girls &amp; Descendants'!F194)</f>
        <v>Louise</v>
      </c>
      <c r="F196" t="str">
        <f>IF('All Girls &amp; Descendants'!G194="","",'All Girls &amp; Descendants'!G194)</f>
        <v>Stephenson</v>
      </c>
      <c r="G196" t="str">
        <f>IF('All Girls &amp; Descendants'!H194="",D196,'All Girls &amp; Descendants'!H194)</f>
        <v xml:space="preserve">Georgina </v>
      </c>
      <c r="H196">
        <f>'All Girls &amp; Descendants'!I194</f>
        <v>1976</v>
      </c>
      <c r="I196" t="str">
        <f>'All Girls &amp; Descendants'!J194</f>
        <v/>
      </c>
      <c r="K196" s="3">
        <f>'All Girls &amp; Descendants'!M194</f>
        <v>27811</v>
      </c>
      <c r="L196" s="3" t="str">
        <f>'All Girls &amp; Descendants'!N194</f>
        <v xml:space="preserve"> - </v>
      </c>
      <c r="M196" t="str">
        <f>'All Girls &amp; Descendants'!O194</f>
        <v/>
      </c>
      <c r="N196" t="str">
        <f>'All Girls &amp; Descendants'!P194</f>
        <v/>
      </c>
      <c r="O196" t="str">
        <f>'All Girls &amp; Descendants'!Q194</f>
        <v>90c</v>
      </c>
      <c r="P196" t="str">
        <f t="shared" si="51"/>
        <v>90ca</v>
      </c>
      <c r="Q196" s="116">
        <f t="shared" si="52"/>
        <v>2</v>
      </c>
      <c r="R196" s="31" t="str">
        <f t="shared" si="53"/>
        <v>Georgina  Louise Stephenson CLARKE</v>
      </c>
      <c r="S196" t="str">
        <f t="shared" si="54"/>
        <v>Georgina  CLARKE (1976 - :  #90ca)</v>
      </c>
    </row>
    <row r="197" spans="1:19">
      <c r="A197">
        <f>'All Girls &amp; Descendants'!B195</f>
        <v>90</v>
      </c>
      <c r="B197" t="str">
        <f>'All Girls &amp; Descendants'!C195</f>
        <v>90cb</v>
      </c>
      <c r="C197" t="str">
        <f>'All Girls &amp; Descendants'!D195</f>
        <v>CLARKE</v>
      </c>
      <c r="D197" t="str">
        <f>'All Girls &amp; Descendants'!E195</f>
        <v>Philippa</v>
      </c>
      <c r="E197" t="str">
        <f>IF('All Girls &amp; Descendants'!F195="","",'All Girls &amp; Descendants'!F195)</f>
        <v>Francesca</v>
      </c>
      <c r="F197" t="str">
        <f>IF('All Girls &amp; Descendants'!G195="","",'All Girls &amp; Descendants'!G195)</f>
        <v>Stephenson</v>
      </c>
      <c r="G197" t="str">
        <f>IF('All Girls &amp; Descendants'!H195="",D197,'All Girls &amp; Descendants'!H195)</f>
        <v>Philippa</v>
      </c>
      <c r="H197">
        <f>'All Girls &amp; Descendants'!I195</f>
        <v>1980</v>
      </c>
      <c r="I197">
        <f>'All Girls &amp; Descendants'!J195</f>
        <v>1980</v>
      </c>
      <c r="K197" s="3">
        <f>'All Girls &amp; Descendants'!M195</f>
        <v>29235</v>
      </c>
      <c r="L197" s="3" t="str">
        <f>'All Girls &amp; Descendants'!N195</f>
        <v xml:space="preserve"> - </v>
      </c>
      <c r="M197">
        <f>'All Girls &amp; Descendants'!O195</f>
        <v>29320</v>
      </c>
      <c r="N197" t="str">
        <f>'All Girls &amp; Descendants'!P195</f>
        <v>09/04/1980</v>
      </c>
      <c r="O197" t="str">
        <f>'All Girls &amp; Descendants'!Q195</f>
        <v>90c</v>
      </c>
      <c r="P197" t="str">
        <f t="shared" si="51"/>
        <v>90cb</v>
      </c>
      <c r="Q197" s="116">
        <f t="shared" si="52"/>
        <v>2</v>
      </c>
      <c r="R197" s="31" t="str">
        <f t="shared" si="53"/>
        <v>Philippa Francesca Stephenson CLARKE</v>
      </c>
      <c r="S197" t="str">
        <f t="shared" si="54"/>
        <v>Philippa CLARKE (1980 - 1980:  #90cb)</v>
      </c>
    </row>
    <row r="198" spans="1:19">
      <c r="A198">
        <f>'All Girls &amp; Descendants'!B196</f>
        <v>90</v>
      </c>
      <c r="B198" t="str">
        <f>'All Girls &amp; Descendants'!C196</f>
        <v>90cc</v>
      </c>
      <c r="C198" t="str">
        <f>'All Girls &amp; Descendants'!D196</f>
        <v>CLARKE</v>
      </c>
      <c r="D198" t="str">
        <f>'All Girls &amp; Descendants'!E196</f>
        <v>Marina</v>
      </c>
      <c r="E198" t="str">
        <f>IF('All Girls &amp; Descendants'!F196="","",'All Girls &amp; Descendants'!F196)</f>
        <v>Rose</v>
      </c>
      <c r="F198" t="str">
        <f>IF('All Girls &amp; Descendants'!G196="","",'All Girls &amp; Descendants'!G196)</f>
        <v>Stephenson</v>
      </c>
      <c r="G198" t="str">
        <f>IF('All Girls &amp; Descendants'!H196="",D198,'All Girls &amp; Descendants'!H196)</f>
        <v>Marina</v>
      </c>
      <c r="H198">
        <f>'All Girls &amp; Descendants'!I196</f>
        <v>1982</v>
      </c>
      <c r="I198" t="str">
        <f>'All Girls &amp; Descendants'!J196</f>
        <v/>
      </c>
      <c r="K198" s="3">
        <f>'All Girls &amp; Descendants'!M196</f>
        <v>30030</v>
      </c>
      <c r="L198" s="3" t="str">
        <f>'All Girls &amp; Descendants'!N196</f>
        <v xml:space="preserve"> - </v>
      </c>
      <c r="M198" t="str">
        <f>'All Girls &amp; Descendants'!O196</f>
        <v/>
      </c>
      <c r="N198" t="str">
        <f>'All Girls &amp; Descendants'!P196</f>
        <v/>
      </c>
      <c r="O198" t="str">
        <f>'All Girls &amp; Descendants'!Q196</f>
        <v>90c</v>
      </c>
      <c r="P198" t="str">
        <f t="shared" si="51"/>
        <v>90cc</v>
      </c>
      <c r="Q198" s="116">
        <f t="shared" si="52"/>
        <v>2</v>
      </c>
      <c r="R198" s="31" t="str">
        <f t="shared" si="53"/>
        <v>Marina Rose Stephenson CLARKE</v>
      </c>
      <c r="S198" t="str">
        <f t="shared" si="54"/>
        <v>Marina CLARKE (1982 - :  #90cc)</v>
      </c>
    </row>
    <row r="199" spans="1:19">
      <c r="A199">
        <f>'All Girls &amp; Descendants'!B197</f>
        <v>92</v>
      </c>
      <c r="B199" t="str">
        <f>'All Girls &amp; Descendants'!C197</f>
        <v>92aa</v>
      </c>
      <c r="C199" t="str">
        <f>'All Girls &amp; Descendants'!D197</f>
        <v>TATTON-BROWN</v>
      </c>
      <c r="D199" t="str">
        <f>'All Girls &amp; Descendants'!E197</f>
        <v>Hugh</v>
      </c>
      <c r="E199" t="str">
        <f>IF('All Girls &amp; Descendants'!F197="","",'All Girls &amp; Descendants'!F197)</f>
        <v>Trelawny</v>
      </c>
      <c r="F199" t="str">
        <f>IF('All Girls &amp; Descendants'!G197="","",'All Girls &amp; Descendants'!G197)</f>
        <v/>
      </c>
      <c r="G199" t="str">
        <f>IF('All Girls &amp; Descendants'!H197="",D199,'All Girls &amp; Descendants'!H197)</f>
        <v>Hugh</v>
      </c>
      <c r="H199">
        <f>'All Girls &amp; Descendants'!I197</f>
        <v>1980</v>
      </c>
      <c r="I199" t="str">
        <f>'All Girls &amp; Descendants'!J197</f>
        <v/>
      </c>
      <c r="K199" s="3">
        <f>'All Girls &amp; Descendants'!M197</f>
        <v>29424</v>
      </c>
      <c r="L199" s="3" t="str">
        <f>'All Girls &amp; Descendants'!N197</f>
        <v xml:space="preserve"> - </v>
      </c>
      <c r="M199" t="str">
        <f>'All Girls &amp; Descendants'!O197</f>
        <v/>
      </c>
      <c r="N199" t="str">
        <f>'All Girls &amp; Descendants'!P197</f>
        <v/>
      </c>
      <c r="O199" t="str">
        <f>'All Girls &amp; Descendants'!Q197</f>
        <v>92a</v>
      </c>
      <c r="P199" t="str">
        <f t="shared" si="51"/>
        <v>92aa</v>
      </c>
      <c r="Q199" s="116">
        <f t="shared" si="52"/>
        <v>2</v>
      </c>
      <c r="R199" s="31" t="str">
        <f t="shared" si="53"/>
        <v>Hugh Trelawny  TATTON-BROWN</v>
      </c>
      <c r="S199" t="str">
        <f t="shared" si="54"/>
        <v>Hugh TATTON-BROWN (1980 - :  #92aa)</v>
      </c>
    </row>
    <row r="200" spans="1:19">
      <c r="A200">
        <f>'All Girls &amp; Descendants'!B198</f>
        <v>92</v>
      </c>
      <c r="B200" t="str">
        <f>'All Girls &amp; Descendants'!C198</f>
        <v>92ab</v>
      </c>
      <c r="C200" t="str">
        <f>'All Girls &amp; Descendants'!D198</f>
        <v>TATTON-BROWN</v>
      </c>
      <c r="D200" t="str">
        <f>'All Girls &amp; Descendants'!E198</f>
        <v>Miranda</v>
      </c>
      <c r="E200" t="str">
        <f>IF('All Girls &amp; Descendants'!F198="","",'All Girls &amp; Descendants'!F198)</f>
        <v>Emily</v>
      </c>
      <c r="F200" t="str">
        <f>IF('All Girls &amp; Descendants'!G198="","",'All Girls &amp; Descendants'!G198)</f>
        <v>Jean</v>
      </c>
      <c r="G200" t="str">
        <f>IF('All Girls &amp; Descendants'!H198="",D200,'All Girls &amp; Descendants'!H198)</f>
        <v>Miranda</v>
      </c>
      <c r="H200">
        <f>'All Girls &amp; Descendants'!I198</f>
        <v>1983</v>
      </c>
      <c r="I200" t="str">
        <f>'All Girls &amp; Descendants'!J198</f>
        <v/>
      </c>
      <c r="K200" s="3" t="str">
        <f>'All Girls &amp; Descendants'!M198</f>
        <v>24/01/1983</v>
      </c>
      <c r="L200" s="3" t="str">
        <f>'All Girls &amp; Descendants'!N198</f>
        <v xml:space="preserve"> - </v>
      </c>
      <c r="M200" t="str">
        <f>'All Girls &amp; Descendants'!O198</f>
        <v/>
      </c>
      <c r="N200" t="str">
        <f>'All Girls &amp; Descendants'!P198</f>
        <v/>
      </c>
      <c r="O200" t="str">
        <f>'All Girls &amp; Descendants'!Q198</f>
        <v>92a</v>
      </c>
      <c r="P200" t="str">
        <f t="shared" si="51"/>
        <v>92ab</v>
      </c>
      <c r="Q200" s="116">
        <f t="shared" si="52"/>
        <v>2</v>
      </c>
      <c r="R200" s="31" t="str">
        <f t="shared" si="53"/>
        <v>Miranda Emily Jean TATTON-BROWN</v>
      </c>
      <c r="S200" t="str">
        <f t="shared" si="54"/>
        <v>Miranda TATTON-BROWN (1983 - :  #92ab)</v>
      </c>
    </row>
    <row r="201" spans="1:19">
      <c r="A201">
        <f>'All Girls &amp; Descendants'!B199</f>
        <v>92</v>
      </c>
      <c r="B201" t="str">
        <f>'All Girls &amp; Descendants'!C199</f>
        <v>92ac</v>
      </c>
      <c r="C201" t="str">
        <f>'All Girls &amp; Descendants'!D199</f>
        <v>TATTON-BROWN</v>
      </c>
      <c r="D201" t="str">
        <f>'All Girls &amp; Descendants'!E199</f>
        <v>Lucy</v>
      </c>
      <c r="E201" t="str">
        <f>IF('All Girls &amp; Descendants'!F199="","",'All Girls &amp; Descendants'!F199)</f>
        <v>Ann</v>
      </c>
      <c r="F201" t="str">
        <f>IF('All Girls &amp; Descendants'!G199="","",'All Girls &amp; Descendants'!G199)</f>
        <v/>
      </c>
      <c r="G201" t="str">
        <f>IF('All Girls &amp; Descendants'!H199="",D201,'All Girls &amp; Descendants'!H199)</f>
        <v>Lucy</v>
      </c>
      <c r="H201">
        <f>'All Girls &amp; Descendants'!I199</f>
        <v>1984</v>
      </c>
      <c r="I201" t="str">
        <f>'All Girls &amp; Descendants'!J199</f>
        <v/>
      </c>
      <c r="K201" s="3">
        <f>'All Girls &amp; Descendants'!M199</f>
        <v>30970</v>
      </c>
      <c r="L201" s="3" t="str">
        <f>'All Girls &amp; Descendants'!N199</f>
        <v xml:space="preserve"> - </v>
      </c>
      <c r="M201" t="str">
        <f>'All Girls &amp; Descendants'!O199</f>
        <v/>
      </c>
      <c r="N201" t="str">
        <f>'All Girls &amp; Descendants'!P199</f>
        <v/>
      </c>
      <c r="O201" t="str">
        <f>'All Girls &amp; Descendants'!Q199</f>
        <v>92a</v>
      </c>
      <c r="P201" t="str">
        <f t="shared" si="51"/>
        <v>92ac</v>
      </c>
      <c r="Q201" s="116">
        <f t="shared" si="52"/>
        <v>2</v>
      </c>
      <c r="R201" s="31" t="str">
        <f t="shared" si="53"/>
        <v>Lucy Ann  TATTON-BROWN</v>
      </c>
      <c r="S201" t="str">
        <f t="shared" si="54"/>
        <v>Lucy TATTON-BROWN (1984 - :  #92ac)</v>
      </c>
    </row>
    <row r="202" spans="1:19">
      <c r="A202">
        <f>'All Girls &amp; Descendants'!B200</f>
        <v>92</v>
      </c>
      <c r="B202" t="str">
        <f>'All Girls &amp; Descendants'!C200</f>
        <v>92ad</v>
      </c>
      <c r="C202" t="str">
        <f>'All Girls &amp; Descendants'!D200</f>
        <v>TATTON-BROWN</v>
      </c>
      <c r="D202" t="str">
        <f>'All Girls &amp; Descendants'!E200</f>
        <v>Robert</v>
      </c>
      <c r="E202" t="str">
        <f>IF('All Girls &amp; Descendants'!F200="","",'All Girls &amp; Descendants'!F200)</f>
        <v>William</v>
      </c>
      <c r="F202" t="str">
        <f>IF('All Girls &amp; Descendants'!G200="","",'All Girls &amp; Descendants'!G200)</f>
        <v>Loyd</v>
      </c>
      <c r="G202" t="str">
        <f>IF('All Girls &amp; Descendants'!H200="",D202,'All Girls &amp; Descendants'!H200)</f>
        <v>Robert</v>
      </c>
      <c r="H202">
        <f>'All Girls &amp; Descendants'!I200</f>
        <v>1993</v>
      </c>
      <c r="I202" t="str">
        <f>'All Girls &amp; Descendants'!J200</f>
        <v/>
      </c>
      <c r="K202" s="3">
        <f>'All Girls &amp; Descendants'!M200</f>
        <v>34025</v>
      </c>
      <c r="L202" s="3" t="str">
        <f>'All Girls &amp; Descendants'!N200</f>
        <v xml:space="preserve"> - </v>
      </c>
      <c r="M202" t="str">
        <f>'All Girls &amp; Descendants'!O200</f>
        <v/>
      </c>
      <c r="N202" t="str">
        <f>'All Girls &amp; Descendants'!P200</f>
        <v/>
      </c>
      <c r="O202" t="str">
        <f>'All Girls &amp; Descendants'!Q200</f>
        <v>92a</v>
      </c>
      <c r="P202" t="str">
        <f t="shared" si="51"/>
        <v>92ad</v>
      </c>
      <c r="Q202" s="116">
        <f t="shared" si="52"/>
        <v>2</v>
      </c>
      <c r="R202" s="31" t="str">
        <f t="shared" si="53"/>
        <v>Robert William Loyd TATTON-BROWN</v>
      </c>
      <c r="S202" t="str">
        <f t="shared" si="54"/>
        <v>Robert TATTON-BROWN (1993 - :  #92ad)</v>
      </c>
    </row>
    <row r="203" spans="1:19">
      <c r="A203">
        <f>'All Girls &amp; Descendants'!B201</f>
        <v>92</v>
      </c>
      <c r="B203" t="str">
        <f>'All Girls &amp; Descendants'!C201</f>
        <v>92ba</v>
      </c>
      <c r="C203" t="str">
        <f>'All Girls &amp; Descendants'!D201</f>
        <v>TATTON-BROWN</v>
      </c>
      <c r="D203" t="str">
        <f>'All Girls &amp; Descendants'!E201</f>
        <v>Olivia</v>
      </c>
      <c r="E203" t="str">
        <f>IF('All Girls &amp; Descendants'!F201="","",'All Girls &amp; Descendants'!F201)</f>
        <v>Daphne</v>
      </c>
      <c r="F203" t="str">
        <f>IF('All Girls &amp; Descendants'!G201="","",'All Girls &amp; Descendants'!G201)</f>
        <v>Noelle</v>
      </c>
      <c r="G203" t="str">
        <f>IF('All Girls &amp; Descendants'!H201="",D203,'All Girls &amp; Descendants'!H201)</f>
        <v>Olivia</v>
      </c>
      <c r="H203">
        <f>'All Girls &amp; Descendants'!I201</f>
        <v>1971</v>
      </c>
      <c r="I203" t="str">
        <f>'All Girls &amp; Descendants'!J201</f>
        <v/>
      </c>
      <c r="K203" s="3">
        <f>'All Girls &amp; Descendants'!M201</f>
        <v>26066</v>
      </c>
      <c r="L203" s="3" t="str">
        <f>'All Girls &amp; Descendants'!N201</f>
        <v>32/09/1970</v>
      </c>
      <c r="M203" t="str">
        <f>'All Girls &amp; Descendants'!O201</f>
        <v/>
      </c>
      <c r="N203" t="str">
        <f>'All Girls &amp; Descendants'!P201</f>
        <v/>
      </c>
      <c r="O203" t="str">
        <f>'All Girls &amp; Descendants'!Q201</f>
        <v>92b</v>
      </c>
      <c r="P203" t="str">
        <f t="shared" si="51"/>
        <v>92ba</v>
      </c>
      <c r="Q203" s="116">
        <f t="shared" si="52"/>
        <v>2</v>
      </c>
      <c r="R203" s="31" t="str">
        <f t="shared" si="53"/>
        <v>Olivia Daphne Noelle TATTON-BROWN</v>
      </c>
      <c r="S203" t="str">
        <f t="shared" si="54"/>
        <v>Olivia TATTON-BROWN (1971 - :  #92ba)</v>
      </c>
    </row>
    <row r="204" spans="1:19">
      <c r="A204">
        <f>'All Girls &amp; Descendants'!B202</f>
        <v>92</v>
      </c>
      <c r="B204" t="str">
        <f>'All Girls &amp; Descendants'!C202</f>
        <v>92bb</v>
      </c>
      <c r="C204" t="str">
        <f>'All Girls &amp; Descendants'!D202</f>
        <v>TATTON-BROWN</v>
      </c>
      <c r="D204" t="str">
        <f>'All Girls &amp; Descendants'!E202</f>
        <v>Benjamin</v>
      </c>
      <c r="E204" t="str">
        <f>IF('All Girls &amp; Descendants'!F202="","",'All Girls &amp; Descendants'!F202)</f>
        <v>Robert</v>
      </c>
      <c r="F204" t="str">
        <f>IF('All Girls &amp; Descendants'!G202="","",'All Girls &amp; Descendants'!G202)</f>
        <v>Louis</v>
      </c>
      <c r="G204" t="str">
        <f>IF('All Girls &amp; Descendants'!H202="",D204,'All Girls &amp; Descendants'!H202)</f>
        <v>Ben</v>
      </c>
      <c r="H204">
        <f>'All Girls &amp; Descendants'!I202</f>
        <v>1973</v>
      </c>
      <c r="I204" t="str">
        <f>'All Girls &amp; Descendants'!J202</f>
        <v/>
      </c>
      <c r="K204" s="3">
        <f>'All Girls &amp; Descendants'!M202</f>
        <v>26838</v>
      </c>
      <c r="L204" s="3" t="str">
        <f>'All Girls &amp; Descendants'!N202</f>
        <v xml:space="preserve"> - </v>
      </c>
      <c r="M204" t="str">
        <f>'All Girls &amp; Descendants'!O202</f>
        <v/>
      </c>
      <c r="N204" t="str">
        <f>'All Girls &amp; Descendants'!P202</f>
        <v/>
      </c>
      <c r="O204" t="str">
        <f>'All Girls &amp; Descendants'!Q202</f>
        <v>92b</v>
      </c>
      <c r="P204" t="str">
        <f t="shared" si="51"/>
        <v>92bb</v>
      </c>
      <c r="Q204" s="116">
        <f t="shared" si="52"/>
        <v>2</v>
      </c>
      <c r="R204" s="31" t="str">
        <f t="shared" si="53"/>
        <v>Benjamin Robert Louis TATTON-BROWN</v>
      </c>
      <c r="S204" t="str">
        <f t="shared" si="54"/>
        <v>Ben TATTON-BROWN (1973 - :  #92bb)</v>
      </c>
    </row>
    <row r="205" spans="1:19">
      <c r="A205">
        <f>'All Girls &amp; Descendants'!B203</f>
        <v>92</v>
      </c>
      <c r="B205" t="str">
        <f>'All Girls &amp; Descendants'!C203</f>
        <v>92bc</v>
      </c>
      <c r="C205" t="str">
        <f>'All Girls &amp; Descendants'!D203</f>
        <v>TATTON-BROWN</v>
      </c>
      <c r="D205" t="str">
        <f>'All Girls &amp; Descendants'!E203</f>
        <v>Daisy</v>
      </c>
      <c r="E205" t="str">
        <f>IF('All Girls &amp; Descendants'!F203="","",'All Girls &amp; Descendants'!F203)</f>
        <v>Maud</v>
      </c>
      <c r="F205" t="str">
        <f>IF('All Girls &amp; Descendants'!G203="","",'All Girls &amp; Descendants'!G203)</f>
        <v/>
      </c>
      <c r="G205" t="str">
        <f>IF('All Girls &amp; Descendants'!H203="",D205,'All Girls &amp; Descendants'!H203)</f>
        <v>Daisy</v>
      </c>
      <c r="H205">
        <f>'All Girls &amp; Descendants'!I203</f>
        <v>1983</v>
      </c>
      <c r="I205" t="str">
        <f>'All Girls &amp; Descendants'!J203</f>
        <v/>
      </c>
      <c r="K205" s="3">
        <f>'All Girls &amp; Descendants'!M203</f>
        <v>30416</v>
      </c>
      <c r="L205" s="3" t="str">
        <f>'All Girls &amp; Descendants'!N203</f>
        <v xml:space="preserve"> - </v>
      </c>
      <c r="M205" t="str">
        <f>'All Girls &amp; Descendants'!O203</f>
        <v/>
      </c>
      <c r="N205" t="str">
        <f>'All Girls &amp; Descendants'!P203</f>
        <v/>
      </c>
      <c r="O205" t="str">
        <f>'All Girls &amp; Descendants'!Q203</f>
        <v>92b</v>
      </c>
      <c r="P205" t="str">
        <f t="shared" si="51"/>
        <v>92bc</v>
      </c>
      <c r="Q205" s="116">
        <f t="shared" si="52"/>
        <v>2</v>
      </c>
      <c r="R205" s="31" t="str">
        <f t="shared" si="53"/>
        <v>Daisy Maud  TATTON-BROWN</v>
      </c>
      <c r="S205" t="str">
        <f t="shared" si="54"/>
        <v>Daisy TATTON-BROWN (1983 - :  #92bc)</v>
      </c>
    </row>
    <row r="206" spans="1:19">
      <c r="A206">
        <f>'All Girls &amp; Descendants'!B204</f>
        <v>92</v>
      </c>
      <c r="B206" t="str">
        <f>'All Girls &amp; Descendants'!C204</f>
        <v>92bd</v>
      </c>
      <c r="C206" t="str">
        <f>'All Girls &amp; Descendants'!D204</f>
        <v>TATTON-BROWN</v>
      </c>
      <c r="D206" t="str">
        <f>'All Girls &amp; Descendants'!E204</f>
        <v>Gregory</v>
      </c>
      <c r="E206" t="str">
        <f>IF('All Girls &amp; Descendants'!F204="","",'All Girls &amp; Descendants'!F204)</f>
        <v>Mark</v>
      </c>
      <c r="F206" t="str">
        <f>IF('All Girls &amp; Descendants'!G204="","",'All Girls &amp; Descendants'!G204)</f>
        <v>Eden</v>
      </c>
      <c r="G206" t="str">
        <f>IF('All Girls &amp; Descendants'!H204="",D206,'All Girls &amp; Descendants'!H204)</f>
        <v>Gregory</v>
      </c>
      <c r="H206">
        <f>'All Girls &amp; Descendants'!I204</f>
        <v>1985</v>
      </c>
      <c r="I206" t="str">
        <f>'All Girls &amp; Descendants'!J204</f>
        <v/>
      </c>
      <c r="K206" s="3">
        <f>'All Girls &amp; Descendants'!M204</f>
        <v>31234</v>
      </c>
      <c r="L206" s="3" t="str">
        <f>'All Girls &amp; Descendants'!N204</f>
        <v xml:space="preserve"> - </v>
      </c>
      <c r="M206" t="str">
        <f>'All Girls &amp; Descendants'!O204</f>
        <v/>
      </c>
      <c r="N206" t="str">
        <f>'All Girls &amp; Descendants'!P204</f>
        <v/>
      </c>
      <c r="O206" t="str">
        <f>'All Girls &amp; Descendants'!Q204</f>
        <v>92b</v>
      </c>
      <c r="P206" t="str">
        <f t="shared" si="51"/>
        <v>92bd</v>
      </c>
      <c r="Q206" s="116">
        <f t="shared" si="52"/>
        <v>2</v>
      </c>
      <c r="R206" s="31" t="str">
        <f t="shared" si="53"/>
        <v>Gregory Mark Eden TATTON-BROWN</v>
      </c>
      <c r="S206" t="str">
        <f t="shared" si="54"/>
        <v>Gregory TATTON-BROWN (1985 - :  #92bd)</v>
      </c>
    </row>
    <row r="207" spans="1:19">
      <c r="A207">
        <f>'All Girls &amp; Descendants'!B205</f>
        <v>92</v>
      </c>
      <c r="B207" t="str">
        <f>'All Girls &amp; Descendants'!C205</f>
        <v>92da</v>
      </c>
      <c r="C207" t="str">
        <f>'All Girls &amp; Descendants'!D205</f>
        <v>SURTEES</v>
      </c>
      <c r="D207" t="str">
        <f>'All Girls &amp; Descendants'!E205</f>
        <v>Jonathan</v>
      </c>
      <c r="E207" t="str">
        <f>IF('All Girls &amp; Descendants'!F205="","",'All Girls &amp; Descendants'!F205)</f>
        <v>William</v>
      </c>
      <c r="F207" t="str">
        <f>IF('All Girls &amp; Descendants'!G205="","",'All Girls &amp; Descendants'!G205)</f>
        <v>Robert</v>
      </c>
      <c r="G207" t="str">
        <f>IF('All Girls &amp; Descendants'!H205="",D207,'All Girls &amp; Descendants'!H205)</f>
        <v>Jonathan</v>
      </c>
      <c r="H207">
        <f>'All Girls &amp; Descendants'!I205</f>
        <v>1982</v>
      </c>
      <c r="I207" t="str">
        <f>'All Girls &amp; Descendants'!J205</f>
        <v/>
      </c>
      <c r="K207" s="3">
        <f>'All Girls &amp; Descendants'!M205</f>
        <v>30002</v>
      </c>
      <c r="L207" s="3" t="str">
        <f>'All Girls &amp; Descendants'!N205</f>
        <v xml:space="preserve"> - </v>
      </c>
      <c r="M207" t="str">
        <f>'All Girls &amp; Descendants'!O205</f>
        <v/>
      </c>
      <c r="N207" t="str">
        <f>'All Girls &amp; Descendants'!P205</f>
        <v/>
      </c>
      <c r="O207" t="str">
        <f>'All Girls &amp; Descendants'!Q205</f>
        <v>92d</v>
      </c>
      <c r="P207" t="str">
        <f t="shared" si="51"/>
        <v>92da</v>
      </c>
      <c r="Q207" s="116">
        <f t="shared" si="52"/>
        <v>2</v>
      </c>
      <c r="R207" s="31" t="str">
        <f t="shared" si="53"/>
        <v>Jonathan William Robert SURTEES</v>
      </c>
      <c r="S207" t="str">
        <f t="shared" si="54"/>
        <v>Jonathan SURTEES (1982 - :  #92da)</v>
      </c>
    </row>
    <row r="208" spans="1:19">
      <c r="A208">
        <f>'All Girls &amp; Descendants'!B206</f>
        <v>92</v>
      </c>
      <c r="B208" t="str">
        <f>'All Girls &amp; Descendants'!C206</f>
        <v>92db</v>
      </c>
      <c r="C208" t="str">
        <f>'All Girls &amp; Descendants'!D206</f>
        <v>SURTEES</v>
      </c>
      <c r="D208" t="str">
        <f>'All Girls &amp; Descendants'!E206</f>
        <v>Rosamund</v>
      </c>
      <c r="E208" t="str">
        <f>IF('All Girls &amp; Descendants'!F206="","",'All Girls &amp; Descendants'!F206)</f>
        <v>Daphne</v>
      </c>
      <c r="F208" t="str">
        <f>IF('All Girls &amp; Descendants'!G206="","",'All Girls &amp; Descendants'!G206)</f>
        <v>Patricia</v>
      </c>
      <c r="G208" t="str">
        <f>IF('All Girls &amp; Descendants'!H206="",D208,'All Girls &amp; Descendants'!H206)</f>
        <v>Rosamund</v>
      </c>
      <c r="H208">
        <f>'All Girls &amp; Descendants'!I206</f>
        <v>1987</v>
      </c>
      <c r="I208" t="str">
        <f>'All Girls &amp; Descendants'!J206</f>
        <v/>
      </c>
      <c r="K208" s="3">
        <f>'All Girls &amp; Descendants'!M206</f>
        <v>31816</v>
      </c>
      <c r="L208" s="3" t="str">
        <f>'All Girls &amp; Descendants'!N206</f>
        <v xml:space="preserve"> - </v>
      </c>
      <c r="M208" t="str">
        <f>'All Girls &amp; Descendants'!O206</f>
        <v/>
      </c>
      <c r="N208" t="str">
        <f>'All Girls &amp; Descendants'!P206</f>
        <v/>
      </c>
      <c r="O208" t="str">
        <f>'All Girls &amp; Descendants'!Q206</f>
        <v>92d</v>
      </c>
      <c r="P208" t="str">
        <f t="shared" ref="P208:P271" si="55">B208</f>
        <v>92db</v>
      </c>
      <c r="Q208" s="116">
        <f t="shared" ref="Q208:Q271" si="56">LEN(B208)-LEN(A208)</f>
        <v>2</v>
      </c>
      <c r="R208" s="31" t="str">
        <f t="shared" ref="R208:R271" si="57">_xlfn.CONCAT(D208," ",E208," ",F208," ",C208)</f>
        <v>Rosamund Daphne Patricia SURTEES</v>
      </c>
      <c r="S208" t="str">
        <f t="shared" ref="S208:S271" si="58">_xlfn.CONCAT(G208," ",C208," (",H208," - ",I208,":  #",B208,")")</f>
        <v>Rosamund SURTEES (1987 - :  #92db)</v>
      </c>
    </row>
    <row r="209" spans="1:19">
      <c r="A209">
        <f>'All Girls &amp; Descendants'!B207</f>
        <v>95</v>
      </c>
      <c r="B209" t="str">
        <f>'All Girls &amp; Descendants'!C207</f>
        <v>95ba</v>
      </c>
      <c r="C209" t="str">
        <f>'All Girls &amp; Descendants'!D207</f>
        <v>VESTEY</v>
      </c>
      <c r="D209" t="str">
        <f>'All Girls &amp; Descendants'!E207</f>
        <v>THE Hon William</v>
      </c>
      <c r="E209" t="str">
        <f>IF('All Girls &amp; Descendants'!F207="","",'All Girls &amp; Descendants'!F207)</f>
        <v>Guy</v>
      </c>
      <c r="F209" t="str">
        <f>IF('All Girls &amp; Descendants'!G207="","",'All Girls &amp; Descendants'!G207)</f>
        <v/>
      </c>
      <c r="G209" t="str">
        <f>IF('All Girls &amp; Descendants'!H207="",D209,'All Girls &amp; Descendants'!H207)</f>
        <v>THE Hon William</v>
      </c>
      <c r="H209">
        <f>'All Girls &amp; Descendants'!I207</f>
        <v>1983</v>
      </c>
      <c r="I209" t="str">
        <f>'All Girls &amp; Descendants'!J207</f>
        <v/>
      </c>
      <c r="K209" s="3">
        <f>'All Girls &amp; Descendants'!M207</f>
        <v>30555</v>
      </c>
      <c r="L209" s="3">
        <f>'All Girls &amp; Descendants'!N207</f>
        <v>41181</v>
      </c>
      <c r="M209" t="str">
        <f>'All Girls &amp; Descendants'!O207</f>
        <v/>
      </c>
      <c r="N209" t="str">
        <f>'All Girls &amp; Descendants'!P207</f>
        <v/>
      </c>
      <c r="O209" t="str">
        <f>'All Girls &amp; Descendants'!Q207</f>
        <v>95b</v>
      </c>
      <c r="P209" t="str">
        <f t="shared" si="55"/>
        <v>95ba</v>
      </c>
      <c r="Q209" s="116">
        <f t="shared" si="56"/>
        <v>2</v>
      </c>
      <c r="R209" s="31" t="str">
        <f t="shared" si="57"/>
        <v>THE Hon William Guy  VESTEY</v>
      </c>
      <c r="S209" t="str">
        <f t="shared" si="58"/>
        <v>THE Hon William VESTEY (1983 - :  #95ba)</v>
      </c>
    </row>
    <row r="210" spans="1:19">
      <c r="A210">
        <f>'All Girls &amp; Descendants'!B208</f>
        <v>95</v>
      </c>
      <c r="B210" t="str">
        <f>'All Girls &amp; Descendants'!C208</f>
        <v>95bb</v>
      </c>
      <c r="C210" t="str">
        <f>'All Girls &amp; Descendants'!D208</f>
        <v>VESTEY</v>
      </c>
      <c r="D210" t="str">
        <f>'All Girls &amp; Descendants'!E208</f>
        <v>THE Hon Arthur</v>
      </c>
      <c r="E210" t="str">
        <f>IF('All Girls &amp; Descendants'!F208="","",'All Girls &amp; Descendants'!F208)</f>
        <v>George</v>
      </c>
      <c r="F210" t="str">
        <f>IF('All Girls &amp; Descendants'!G208="","",'All Girls &amp; Descendants'!G208)</f>
        <v/>
      </c>
      <c r="G210" t="str">
        <f>IF('All Girls &amp; Descendants'!H208="",D210,'All Girls &amp; Descendants'!H208)</f>
        <v>THE Hon Arthur</v>
      </c>
      <c r="H210">
        <f>'All Girls &amp; Descendants'!I208</f>
        <v>1985</v>
      </c>
      <c r="I210" t="str">
        <f>'All Girls &amp; Descendants'!J208</f>
        <v/>
      </c>
      <c r="K210" s="3">
        <f>'All Girls &amp; Descendants'!M208</f>
        <v>31239</v>
      </c>
      <c r="L210" s="3" t="str">
        <f>'All Girls &amp; Descendants'!N208</f>
        <v xml:space="preserve"> - </v>
      </c>
      <c r="M210" t="str">
        <f>'All Girls &amp; Descendants'!O208</f>
        <v/>
      </c>
      <c r="N210" t="str">
        <f>'All Girls &amp; Descendants'!P208</f>
        <v/>
      </c>
      <c r="O210" t="str">
        <f>'All Girls &amp; Descendants'!Q208</f>
        <v>95b</v>
      </c>
      <c r="P210" t="str">
        <f t="shared" si="55"/>
        <v>95bb</v>
      </c>
      <c r="Q210" s="116">
        <f t="shared" si="56"/>
        <v>2</v>
      </c>
      <c r="R210" s="31" t="str">
        <f t="shared" si="57"/>
        <v>THE Hon Arthur George  VESTEY</v>
      </c>
      <c r="S210" t="str">
        <f t="shared" si="58"/>
        <v>THE Hon Arthur VESTEY (1985 - :  #95bb)</v>
      </c>
    </row>
    <row r="211" spans="1:19">
      <c r="A211">
        <f>'All Girls &amp; Descendants'!B209</f>
        <v>95</v>
      </c>
      <c r="B211" t="str">
        <f>'All Girls &amp; Descendants'!C209</f>
        <v>95bc</v>
      </c>
      <c r="C211" t="str">
        <f>'All Girls &amp; Descendants'!D209</f>
        <v>VESTEY</v>
      </c>
      <c r="D211" t="str">
        <f>'All Girls &amp; Descendants'!E209</f>
        <v>The Hon Mary</v>
      </c>
      <c r="E211" t="str">
        <f>IF('All Girls &amp; Descendants'!F209="","",'All Girls &amp; Descendants'!F209)</f>
        <v>Henrietta</v>
      </c>
      <c r="F211" t="str">
        <f>IF('All Girls &amp; Descendants'!G209="","",'All Girls &amp; Descendants'!G209)</f>
        <v/>
      </c>
      <c r="G211" t="str">
        <f>IF('All Girls &amp; Descendants'!H209="",D211,'All Girls &amp; Descendants'!H209)</f>
        <v>The Hon Mary</v>
      </c>
      <c r="H211">
        <f>'All Girls &amp; Descendants'!I209</f>
        <v>1992</v>
      </c>
      <c r="I211" t="str">
        <f>'All Girls &amp; Descendants'!J209</f>
        <v/>
      </c>
      <c r="K211" s="3">
        <f>'All Girls &amp; Descendants'!M209</f>
        <v>33721</v>
      </c>
      <c r="L211" s="3" t="str">
        <f>'All Girls &amp; Descendants'!N209</f>
        <v xml:space="preserve"> - </v>
      </c>
      <c r="M211" t="str">
        <f>'All Girls &amp; Descendants'!O209</f>
        <v/>
      </c>
      <c r="N211" t="str">
        <f>'All Girls &amp; Descendants'!P209</f>
        <v/>
      </c>
      <c r="O211" t="str">
        <f>'All Girls &amp; Descendants'!Q209</f>
        <v>95b</v>
      </c>
      <c r="P211" t="str">
        <f t="shared" si="55"/>
        <v>95bc</v>
      </c>
      <c r="Q211" s="116">
        <f t="shared" si="56"/>
        <v>2</v>
      </c>
      <c r="R211" s="31" t="str">
        <f t="shared" si="57"/>
        <v>The Hon Mary Henrietta  VESTEY</v>
      </c>
      <c r="S211" t="str">
        <f t="shared" si="58"/>
        <v>The Hon Mary VESTEY (1992 - :  #95bc)</v>
      </c>
    </row>
    <row r="212" spans="1:19">
      <c r="A212">
        <f>'All Girls &amp; Descendants'!B210</f>
        <v>97</v>
      </c>
      <c r="B212" t="str">
        <f>'All Girls &amp; Descendants'!C210</f>
        <v>97aa</v>
      </c>
      <c r="C212" t="str">
        <f>'All Girls &amp; Descendants'!D210</f>
        <v>SALE</v>
      </c>
      <c r="D212" t="str">
        <f>'All Girls &amp; Descendants'!E210</f>
        <v>Alexander</v>
      </c>
      <c r="E212" t="str">
        <f>IF('All Girls &amp; Descendants'!F210="","",'All Girls &amp; Descendants'!F210)</f>
        <v>Robert</v>
      </c>
      <c r="F212" t="str">
        <f>IF('All Girls &amp; Descendants'!G210="","",'All Girls &amp; Descendants'!G210)</f>
        <v>Loyd</v>
      </c>
      <c r="G212" t="str">
        <f>IF('All Girls &amp; Descendants'!H210="",D212,'All Girls &amp; Descendants'!H210)</f>
        <v>Alexander</v>
      </c>
      <c r="H212">
        <f>'All Girls &amp; Descendants'!I210</f>
        <v>1991</v>
      </c>
      <c r="I212" t="str">
        <f>'All Girls &amp; Descendants'!J210</f>
        <v/>
      </c>
      <c r="K212" s="3">
        <f>'All Girls &amp; Descendants'!M210</f>
        <v>33314</v>
      </c>
      <c r="L212" s="3" t="str">
        <f>'All Girls &amp; Descendants'!N210</f>
        <v xml:space="preserve"> - </v>
      </c>
      <c r="M212" t="str">
        <f>'All Girls &amp; Descendants'!O210</f>
        <v/>
      </c>
      <c r="N212" t="str">
        <f>'All Girls &amp; Descendants'!P210</f>
        <v/>
      </c>
      <c r="O212" t="str">
        <f>'All Girls &amp; Descendants'!Q210</f>
        <v>97a</v>
      </c>
      <c r="P212" t="str">
        <f t="shared" si="55"/>
        <v>97aa</v>
      </c>
      <c r="Q212" s="116">
        <f t="shared" si="56"/>
        <v>2</v>
      </c>
      <c r="R212" s="31" t="str">
        <f t="shared" si="57"/>
        <v>Alexander Robert Loyd SALE</v>
      </c>
      <c r="S212" t="str">
        <f t="shared" si="58"/>
        <v>Alexander SALE (1991 - :  #97aa)</v>
      </c>
    </row>
    <row r="213" spans="1:19">
      <c r="A213">
        <f>'All Girls &amp; Descendants'!B211</f>
        <v>97</v>
      </c>
      <c r="B213" t="str">
        <f>'All Girls &amp; Descendants'!C211</f>
        <v>97ab</v>
      </c>
      <c r="C213" t="str">
        <f>'All Girls &amp; Descendants'!D211</f>
        <v>SALE</v>
      </c>
      <c r="D213" t="str">
        <f>'All Girls &amp; Descendants'!E211</f>
        <v>Oliver</v>
      </c>
      <c r="E213" t="str">
        <f>IF('All Girls &amp; Descendants'!F211="","",'All Girls &amp; Descendants'!F211)</f>
        <v>Edward</v>
      </c>
      <c r="F213" t="str">
        <f>IF('All Girls &amp; Descendants'!G211="","",'All Girls &amp; Descendants'!G211)</f>
        <v>David</v>
      </c>
      <c r="G213" t="str">
        <f>IF('All Girls &amp; Descendants'!H211="",D213,'All Girls &amp; Descendants'!H211)</f>
        <v>Oliver</v>
      </c>
      <c r="H213">
        <f>'All Girls &amp; Descendants'!I211</f>
        <v>1995</v>
      </c>
      <c r="I213" t="str">
        <f>'All Girls &amp; Descendants'!J211</f>
        <v/>
      </c>
      <c r="K213" s="3">
        <f>'All Girls &amp; Descendants'!M211</f>
        <v>34957</v>
      </c>
      <c r="L213" s="3" t="str">
        <f>'All Girls &amp; Descendants'!N211</f>
        <v xml:space="preserve"> - </v>
      </c>
      <c r="M213" t="str">
        <f>'All Girls &amp; Descendants'!O211</f>
        <v/>
      </c>
      <c r="N213" t="str">
        <f>'All Girls &amp; Descendants'!P211</f>
        <v/>
      </c>
      <c r="O213" t="str">
        <f>'All Girls &amp; Descendants'!Q211</f>
        <v>97a</v>
      </c>
      <c r="P213" t="str">
        <f t="shared" si="55"/>
        <v>97ab</v>
      </c>
      <c r="Q213" s="116">
        <f t="shared" si="56"/>
        <v>2</v>
      </c>
      <c r="R213" s="31" t="str">
        <f t="shared" si="57"/>
        <v>Oliver Edward David SALE</v>
      </c>
      <c r="S213" t="str">
        <f t="shared" si="58"/>
        <v>Oliver SALE (1995 - :  #97ab)</v>
      </c>
    </row>
    <row r="214" spans="1:19">
      <c r="A214">
        <f>'All Girls &amp; Descendants'!B212</f>
        <v>97</v>
      </c>
      <c r="B214" t="str">
        <f>'All Girls &amp; Descendants'!C212</f>
        <v>97ea</v>
      </c>
      <c r="C214" t="str">
        <f>'All Girls &amp; Descendants'!D212</f>
        <v>SALE</v>
      </c>
      <c r="D214" t="str">
        <f>'All Girls &amp; Descendants'!E212</f>
        <v>Frank</v>
      </c>
      <c r="E214" t="str">
        <f>IF('All Girls &amp; Descendants'!F212="","",'All Girls &amp; Descendants'!F212)</f>
        <v>Thomas</v>
      </c>
      <c r="F214" t="str">
        <f>IF('All Girls &amp; Descendants'!G212="","",'All Girls &amp; Descendants'!G212)</f>
        <v>Arthur</v>
      </c>
      <c r="G214" t="str">
        <f>IF('All Girls &amp; Descendants'!H212="",D214,'All Girls &amp; Descendants'!H212)</f>
        <v>Frank</v>
      </c>
      <c r="H214">
        <f>'All Girls &amp; Descendants'!I212</f>
        <v>1995</v>
      </c>
      <c r="I214" t="str">
        <f>'All Girls &amp; Descendants'!J212</f>
        <v/>
      </c>
      <c r="K214" s="3">
        <f>'All Girls &amp; Descendants'!M212</f>
        <v>34932</v>
      </c>
      <c r="L214" s="3" t="str">
        <f>'All Girls &amp; Descendants'!N212</f>
        <v xml:space="preserve"> - </v>
      </c>
      <c r="M214" t="str">
        <f>'All Girls &amp; Descendants'!O212</f>
        <v/>
      </c>
      <c r="N214" t="str">
        <f>'All Girls &amp; Descendants'!P212</f>
        <v/>
      </c>
      <c r="O214" t="str">
        <f>'All Girls &amp; Descendants'!Q212</f>
        <v>97e</v>
      </c>
      <c r="P214" t="str">
        <f t="shared" si="55"/>
        <v>97ea</v>
      </c>
      <c r="Q214" s="116">
        <f t="shared" si="56"/>
        <v>2</v>
      </c>
      <c r="R214" s="31" t="str">
        <f t="shared" si="57"/>
        <v>Frank Thomas Arthur SALE</v>
      </c>
      <c r="S214" t="str">
        <f t="shared" si="58"/>
        <v>Frank SALE (1995 - :  #97ea)</v>
      </c>
    </row>
    <row r="215" spans="1:19">
      <c r="A215">
        <f>'All Girls &amp; Descendants'!B213</f>
        <v>97</v>
      </c>
      <c r="B215" t="str">
        <f>'All Girls &amp; Descendants'!C213</f>
        <v>97eb</v>
      </c>
      <c r="C215" t="str">
        <f>'All Girls &amp; Descendants'!D213</f>
        <v>SALE</v>
      </c>
      <c r="D215" t="str">
        <f>'All Girls &amp; Descendants'!E213</f>
        <v>Constancy</v>
      </c>
      <c r="E215" t="str">
        <f>IF('All Girls &amp; Descendants'!F213="","",'All Girls &amp; Descendants'!F213)</f>
        <v>Nancy</v>
      </c>
      <c r="F215" t="str">
        <f>IF('All Girls &amp; Descendants'!G213="","",'All Girls &amp; Descendants'!G213)</f>
        <v/>
      </c>
      <c r="G215" t="str">
        <f>IF('All Girls &amp; Descendants'!H213="",D215,'All Girls &amp; Descendants'!H213)</f>
        <v>Connie</v>
      </c>
      <c r="H215">
        <f>'All Girls &amp; Descendants'!I213</f>
        <v>1997</v>
      </c>
      <c r="I215" t="str">
        <f>'All Girls &amp; Descendants'!J213</f>
        <v/>
      </c>
      <c r="K215" s="3">
        <f>'All Girls &amp; Descendants'!M213</f>
        <v>35795</v>
      </c>
      <c r="L215" s="3" t="str">
        <f>'All Girls &amp; Descendants'!N213</f>
        <v xml:space="preserve"> - </v>
      </c>
      <c r="M215" t="str">
        <f>'All Girls &amp; Descendants'!O213</f>
        <v/>
      </c>
      <c r="N215" t="str">
        <f>'All Girls &amp; Descendants'!P213</f>
        <v/>
      </c>
      <c r="O215" t="str">
        <f>'All Girls &amp; Descendants'!Q213</f>
        <v>97e</v>
      </c>
      <c r="P215" t="str">
        <f t="shared" si="55"/>
        <v>97eb</v>
      </c>
      <c r="Q215" s="116">
        <f t="shared" si="56"/>
        <v>2</v>
      </c>
      <c r="R215" s="31" t="str">
        <f t="shared" si="57"/>
        <v>Constancy Nancy  SALE</v>
      </c>
      <c r="S215" t="str">
        <f t="shared" si="58"/>
        <v>Connie SALE (1997 - :  #97eb)</v>
      </c>
    </row>
    <row r="216" spans="1:19">
      <c r="A216">
        <f>'All Girls &amp; Descendants'!B214</f>
        <v>97</v>
      </c>
      <c r="B216" t="str">
        <f>'All Girls &amp; Descendants'!C214</f>
        <v>97ec</v>
      </c>
      <c r="C216" t="str">
        <f>'All Girls &amp; Descendants'!D214</f>
        <v>SALE</v>
      </c>
      <c r="D216" t="str">
        <f>'All Girls &amp; Descendants'!E214</f>
        <v>Grace</v>
      </c>
      <c r="E216" t="str">
        <f>IF('All Girls &amp; Descendants'!F214="","",'All Girls &amp; Descendants'!F214)</f>
        <v>Alice</v>
      </c>
      <c r="F216" t="str">
        <f>IF('All Girls &amp; Descendants'!G214="","",'All Girls &amp; Descendants'!G214)</f>
        <v/>
      </c>
      <c r="G216" t="str">
        <f>IF('All Girls &amp; Descendants'!H214="",D216,'All Girls &amp; Descendants'!H214)</f>
        <v>Grace</v>
      </c>
      <c r="H216">
        <f>'All Girls &amp; Descendants'!I214</f>
        <v>2002</v>
      </c>
      <c r="I216">
        <f>'All Girls &amp; Descendants'!J214</f>
        <v>0</v>
      </c>
      <c r="K216" s="3">
        <f>'All Girls &amp; Descendants'!M214</f>
        <v>37280</v>
      </c>
      <c r="L216" s="3" t="str">
        <f>'All Girls &amp; Descendants'!N214</f>
        <v xml:space="preserve"> - </v>
      </c>
      <c r="M216" t="str">
        <f>'All Girls &amp; Descendants'!O214</f>
        <v/>
      </c>
      <c r="N216" t="str">
        <f>'All Girls &amp; Descendants'!P214</f>
        <v/>
      </c>
      <c r="O216" t="str">
        <f>'All Girls &amp; Descendants'!Q214</f>
        <v>97e</v>
      </c>
      <c r="P216" t="str">
        <f t="shared" si="55"/>
        <v>97ec</v>
      </c>
      <c r="Q216" s="116">
        <f t="shared" si="56"/>
        <v>2</v>
      </c>
      <c r="R216" s="31" t="str">
        <f t="shared" si="57"/>
        <v>Grace Alice  SALE</v>
      </c>
      <c r="S216" t="str">
        <f t="shared" si="58"/>
        <v>Grace SALE (2002 - 0:  #97ec)</v>
      </c>
    </row>
    <row r="217" spans="1:19">
      <c r="A217">
        <f>'All Girls &amp; Descendants'!B215</f>
        <v>101</v>
      </c>
      <c r="B217" t="str">
        <f>'All Girls &amp; Descendants'!C215</f>
        <v>101aa</v>
      </c>
      <c r="C217" t="str">
        <f>'All Girls &amp; Descendants'!D215</f>
        <v>TIMPSON</v>
      </c>
      <c r="D217" t="str">
        <f>'All Girls &amp; Descendants'!E215</f>
        <v>Lawrence</v>
      </c>
      <c r="E217" t="str">
        <f>IF('All Girls &amp; Descendants'!F215="","",'All Girls &amp; Descendants'!F215)</f>
        <v>Rupert</v>
      </c>
      <c r="F217" t="str">
        <f>IF('All Girls &amp; Descendants'!G215="","",'All Girls &amp; Descendants'!G215)</f>
        <v>John</v>
      </c>
      <c r="G217" t="str">
        <f>IF('All Girls &amp; Descendants'!H215="",D217,'All Girls &amp; Descendants'!H215)</f>
        <v>Lawrence</v>
      </c>
      <c r="H217">
        <f>'All Girls &amp; Descendants'!I215</f>
        <v>1974</v>
      </c>
      <c r="I217" t="str">
        <f>'All Girls &amp; Descendants'!J215</f>
        <v/>
      </c>
      <c r="K217" s="3">
        <f>'All Girls &amp; Descendants'!M215</f>
        <v>27215</v>
      </c>
      <c r="L217" s="3" t="str">
        <f>'All Girls &amp; Descendants'!N215</f>
        <v xml:space="preserve"> - </v>
      </c>
      <c r="M217" t="str">
        <f>'All Girls &amp; Descendants'!O215</f>
        <v/>
      </c>
      <c r="N217" t="str">
        <f>'All Girls &amp; Descendants'!P215</f>
        <v/>
      </c>
      <c r="O217" t="str">
        <f>'All Girls &amp; Descendants'!Q215</f>
        <v>101a</v>
      </c>
      <c r="P217" t="str">
        <f t="shared" si="55"/>
        <v>101aa</v>
      </c>
      <c r="Q217" s="116">
        <f t="shared" si="56"/>
        <v>2</v>
      </c>
      <c r="R217" s="31" t="str">
        <f t="shared" si="57"/>
        <v>Lawrence Rupert John TIMPSON</v>
      </c>
      <c r="S217" t="str">
        <f t="shared" si="58"/>
        <v>Lawrence TIMPSON (1974 - :  #101aa)</v>
      </c>
    </row>
    <row r="218" spans="1:19">
      <c r="A218">
        <f>'All Girls &amp; Descendants'!B216</f>
        <v>101</v>
      </c>
      <c r="B218" t="str">
        <f>'All Girls &amp; Descendants'!C216</f>
        <v>101ab</v>
      </c>
      <c r="C218" t="str">
        <f>'All Girls &amp; Descendants'!D216</f>
        <v>TIMPSON</v>
      </c>
      <c r="D218" t="str">
        <f>'All Girls &amp; Descendants'!E216</f>
        <v>Catherine</v>
      </c>
      <c r="E218" t="str">
        <f>IF('All Girls &amp; Descendants'!F216="","",'All Girls &amp; Descendants'!F216)</f>
        <v>Selina</v>
      </c>
      <c r="F218" t="str">
        <f>IF('All Girls &amp; Descendants'!G216="","",'All Girls &amp; Descendants'!G216)</f>
        <v>Alexandra</v>
      </c>
      <c r="G218" t="str">
        <f>IF('All Girls &amp; Descendants'!H216="",D218,'All Girls &amp; Descendants'!H216)</f>
        <v>Catherine</v>
      </c>
      <c r="H218">
        <f>'All Girls &amp; Descendants'!I216</f>
        <v>1979</v>
      </c>
      <c r="I218" t="str">
        <f>'All Girls &amp; Descendants'!J216</f>
        <v/>
      </c>
      <c r="K218" s="3">
        <f>'All Girls &amp; Descendants'!M216</f>
        <v>28868</v>
      </c>
      <c r="L218" s="3" t="str">
        <f>'All Girls &amp; Descendants'!N216</f>
        <v xml:space="preserve"> - </v>
      </c>
      <c r="M218" t="str">
        <f>'All Girls &amp; Descendants'!O216</f>
        <v/>
      </c>
      <c r="N218" t="str">
        <f>'All Girls &amp; Descendants'!P216</f>
        <v/>
      </c>
      <c r="O218" t="str">
        <f>'All Girls &amp; Descendants'!Q216</f>
        <v>101a</v>
      </c>
      <c r="P218" t="str">
        <f t="shared" si="55"/>
        <v>101ab</v>
      </c>
      <c r="Q218" s="116">
        <f t="shared" si="56"/>
        <v>2</v>
      </c>
      <c r="R218" s="31" t="str">
        <f t="shared" si="57"/>
        <v>Catherine Selina Alexandra TIMPSON</v>
      </c>
      <c r="S218" t="str">
        <f t="shared" si="58"/>
        <v>Catherine TIMPSON (1979 - :  #101ab)</v>
      </c>
    </row>
    <row r="219" spans="1:19">
      <c r="A219">
        <f>'All Girls &amp; Descendants'!B217</f>
        <v>101</v>
      </c>
      <c r="B219" t="str">
        <f>'All Girls &amp; Descendants'!C217</f>
        <v>101ba</v>
      </c>
      <c r="C219" t="str">
        <f>'All Girls &amp; Descendants'!D217</f>
        <v>LOWRY-CORRY</v>
      </c>
      <c r="D219" t="str">
        <f>'All Girls &amp; Descendants'!E217</f>
        <v>Viscount John</v>
      </c>
      <c r="E219" t="str">
        <f>IF('All Girls &amp; Descendants'!F217="","",'All Girls &amp; Descendants'!F217)</f>
        <v>Armar</v>
      </c>
      <c r="F219" t="str">
        <f>IF('All Girls &amp; Descendants'!G217="","",'All Girls &amp; Descendants'!G217)</f>
        <v>Galbraith</v>
      </c>
      <c r="G219" t="str">
        <f>IF('All Girls &amp; Descendants'!H217="",D219,'All Girls &amp; Descendants'!H217)</f>
        <v>Viscount John</v>
      </c>
      <c r="H219">
        <f>'All Girls &amp; Descendants'!I217</f>
        <v>1985</v>
      </c>
      <c r="I219" t="str">
        <f>'All Girls &amp; Descendants'!J217</f>
        <v/>
      </c>
      <c r="K219" s="3">
        <f>'All Girls &amp; Descendants'!M217</f>
        <v>31353</v>
      </c>
      <c r="L219" s="3" t="str">
        <f>'All Girls &amp; Descendants'!N217</f>
        <v xml:space="preserve"> - </v>
      </c>
      <c r="M219" t="str">
        <f>'All Girls &amp; Descendants'!O217</f>
        <v/>
      </c>
      <c r="N219" t="str">
        <f>'All Girls &amp; Descendants'!P217</f>
        <v/>
      </c>
      <c r="O219" t="str">
        <f>'All Girls &amp; Descendants'!Q217</f>
        <v>101b</v>
      </c>
      <c r="P219" t="str">
        <f t="shared" si="55"/>
        <v>101ba</v>
      </c>
      <c r="Q219" s="116">
        <f t="shared" si="56"/>
        <v>2</v>
      </c>
      <c r="R219" s="31" t="str">
        <f t="shared" si="57"/>
        <v>Viscount John Armar Galbraith LOWRY-CORRY</v>
      </c>
      <c r="S219" t="str">
        <f t="shared" si="58"/>
        <v>Viscount John LOWRY-CORRY (1985 - :  #101ba)</v>
      </c>
    </row>
    <row r="220" spans="1:19">
      <c r="A220">
        <f>'All Girls &amp; Descendants'!B218</f>
        <v>101</v>
      </c>
      <c r="B220" t="str">
        <f>'All Girls &amp; Descendants'!C218</f>
        <v>101bb</v>
      </c>
      <c r="C220" t="str">
        <f>'All Girls &amp; Descendants'!D218</f>
        <v>LOWRY-CORRY</v>
      </c>
      <c r="D220" t="str">
        <f>'All Girls &amp; Descendants'!E218</f>
        <v>The Hon Montagu</v>
      </c>
      <c r="E220" t="str">
        <f>IF('All Girls &amp; Descendants'!F218="","",'All Girls &amp; Descendants'!F218)</f>
        <v>Gilford</v>
      </c>
      <c r="F220" t="str">
        <f>IF('All Girls &amp; Descendants'!G218="","",'All Girls &amp; Descendants'!G218)</f>
        <v>George</v>
      </c>
      <c r="G220" t="str">
        <f>IF('All Girls &amp; Descendants'!H218="",D220,'All Girls &amp; Descendants'!H218)</f>
        <v>The Hon Montagu</v>
      </c>
      <c r="H220">
        <f>'All Girls &amp; Descendants'!I218</f>
        <v>1989</v>
      </c>
      <c r="I220" t="str">
        <f>'All Girls &amp; Descendants'!J218</f>
        <v/>
      </c>
      <c r="K220" s="3">
        <f>'All Girls &amp; Descendants'!M218</f>
        <v>32597</v>
      </c>
      <c r="L220" s="3" t="str">
        <f>'All Girls &amp; Descendants'!N218</f>
        <v xml:space="preserve"> - </v>
      </c>
      <c r="M220" t="str">
        <f>'All Girls &amp; Descendants'!O218</f>
        <v/>
      </c>
      <c r="N220" t="str">
        <f>'All Girls &amp; Descendants'!P218</f>
        <v/>
      </c>
      <c r="O220" t="str">
        <f>'All Girls &amp; Descendants'!Q218</f>
        <v>101b</v>
      </c>
      <c r="P220" t="str">
        <f t="shared" si="55"/>
        <v>101bb</v>
      </c>
      <c r="Q220" s="116">
        <f t="shared" si="56"/>
        <v>2</v>
      </c>
      <c r="R220" s="31" t="str">
        <f t="shared" si="57"/>
        <v>The Hon Montagu Gilford George LOWRY-CORRY</v>
      </c>
      <c r="S220" t="str">
        <f t="shared" si="58"/>
        <v>The Hon Montagu LOWRY-CORRY (1989 - :  #101bb)</v>
      </c>
    </row>
    <row r="221" spans="1:19">
      <c r="A221">
        <f>'All Girls &amp; Descendants'!B219</f>
        <v>101</v>
      </c>
      <c r="B221" t="str">
        <f>'All Girls &amp; Descendants'!C219</f>
        <v>101bc</v>
      </c>
      <c r="C221" t="str">
        <f>'All Girls &amp; Descendants'!D219</f>
        <v>LOWRY-CORRY</v>
      </c>
      <c r="D221" t="str">
        <f>'All Girls &amp; Descendants'!E219</f>
        <v>Lady Martha</v>
      </c>
      <c r="E221" t="str">
        <f>IF('All Girls &amp; Descendants'!F219="","",'All Girls &amp; Descendants'!F219)</f>
        <v>Catherine</v>
      </c>
      <c r="F221" t="str">
        <f>IF('All Girls &amp; Descendants'!G219="","",'All Girls &amp; Descendants'!G219)</f>
        <v/>
      </c>
      <c r="G221" t="str">
        <f>IF('All Girls &amp; Descendants'!H219="",D221,'All Girls &amp; Descendants'!H219)</f>
        <v>Lady Martha</v>
      </c>
      <c r="H221">
        <f>'All Girls &amp; Descendants'!I219</f>
        <v>1992</v>
      </c>
      <c r="I221" t="str">
        <f>'All Girls &amp; Descendants'!J219</f>
        <v/>
      </c>
      <c r="K221" s="3">
        <f>'All Girls &amp; Descendants'!M219</f>
        <v>33751</v>
      </c>
      <c r="L221" s="3" t="str">
        <f>'All Girls &amp; Descendants'!N219</f>
        <v xml:space="preserve"> - </v>
      </c>
      <c r="M221" t="str">
        <f>'All Girls &amp; Descendants'!O219</f>
        <v/>
      </c>
      <c r="N221" t="str">
        <f>'All Girls &amp; Descendants'!P219</f>
        <v/>
      </c>
      <c r="O221" t="str">
        <f>'All Girls &amp; Descendants'!Q219</f>
        <v>101b</v>
      </c>
      <c r="P221" t="str">
        <f t="shared" si="55"/>
        <v>101bc</v>
      </c>
      <c r="Q221" s="116">
        <f t="shared" si="56"/>
        <v>2</v>
      </c>
      <c r="R221" s="31" t="str">
        <f t="shared" si="57"/>
        <v>Lady Martha Catherine  LOWRY-CORRY</v>
      </c>
      <c r="S221" t="str">
        <f t="shared" si="58"/>
        <v>Lady Martha LOWRY-CORRY (1992 - :  #101bc)</v>
      </c>
    </row>
    <row r="222" spans="1:19">
      <c r="A222">
        <f>'All Girls &amp; Descendants'!B220</f>
        <v>101</v>
      </c>
      <c r="B222" t="str">
        <f>'All Girls &amp; Descendants'!C220</f>
        <v>101ca</v>
      </c>
      <c r="C222" t="str">
        <f>'All Girls &amp; Descendants'!D220</f>
        <v>HISCOX</v>
      </c>
      <c r="D222" t="str">
        <f>'All Girls &amp; Descendants'!E220</f>
        <v>Milo</v>
      </c>
      <c r="E222" t="str">
        <f>IF('All Girls &amp; Descendants'!F220="","",'All Girls &amp; Descendants'!F220)</f>
        <v>Edmund</v>
      </c>
      <c r="F222" t="str">
        <f>IF('All Girls &amp; Descendants'!G220="","",'All Girls &amp; Descendants'!G220)</f>
        <v/>
      </c>
      <c r="G222" t="str">
        <f>IF('All Girls &amp; Descendants'!H220="",D222,'All Girls &amp; Descendants'!H220)</f>
        <v>Milo</v>
      </c>
      <c r="H222">
        <f>'All Girls &amp; Descendants'!I220</f>
        <v>1987</v>
      </c>
      <c r="I222" t="str">
        <f>'All Girls &amp; Descendants'!J220</f>
        <v/>
      </c>
      <c r="K222" s="3">
        <f>'All Girls &amp; Descendants'!M220</f>
        <v>31781</v>
      </c>
      <c r="L222" s="3" t="str">
        <f>'All Girls &amp; Descendants'!N220</f>
        <v xml:space="preserve"> - </v>
      </c>
      <c r="M222" t="str">
        <f>'All Girls &amp; Descendants'!O220</f>
        <v/>
      </c>
      <c r="N222" t="str">
        <f>'All Girls &amp; Descendants'!P220</f>
        <v/>
      </c>
      <c r="O222" t="str">
        <f>'All Girls &amp; Descendants'!Q220</f>
        <v>101c</v>
      </c>
      <c r="P222" t="str">
        <f t="shared" si="55"/>
        <v>101ca</v>
      </c>
      <c r="Q222" s="116">
        <f t="shared" si="56"/>
        <v>2</v>
      </c>
      <c r="R222" s="31" t="str">
        <f t="shared" si="57"/>
        <v>Milo Edmund  HISCOX</v>
      </c>
      <c r="S222" t="str">
        <f t="shared" si="58"/>
        <v>Milo HISCOX (1987 - :  #101ca)</v>
      </c>
    </row>
    <row r="223" spans="1:19">
      <c r="A223">
        <f>'All Girls &amp; Descendants'!B221</f>
        <v>101</v>
      </c>
      <c r="B223" t="str">
        <f>'All Girls &amp; Descendants'!C221</f>
        <v>101cb</v>
      </c>
      <c r="C223" t="str">
        <f>'All Girls &amp; Descendants'!D221</f>
        <v>HISCOX</v>
      </c>
      <c r="D223" t="str">
        <f>'All Girls &amp; Descendants'!E221</f>
        <v>Henry</v>
      </c>
      <c r="E223" t="str">
        <f>IF('All Girls &amp; Descendants'!F221="","",'All Girls &amp; Descendants'!F221)</f>
        <v>Charles</v>
      </c>
      <c r="F223" t="str">
        <f>IF('All Girls &amp; Descendants'!G221="","",'All Girls &amp; Descendants'!G221)</f>
        <v/>
      </c>
      <c r="G223" t="str">
        <f>IF('All Girls &amp; Descendants'!H221="",D223,'All Girls &amp; Descendants'!H221)</f>
        <v>Henry</v>
      </c>
      <c r="H223">
        <f>'All Girls &amp; Descendants'!I221</f>
        <v>1989</v>
      </c>
      <c r="I223" t="str">
        <f>'All Girls &amp; Descendants'!J221</f>
        <v/>
      </c>
      <c r="K223" s="3">
        <f>'All Girls &amp; Descendants'!M221</f>
        <v>32774</v>
      </c>
      <c r="L223" s="3" t="str">
        <f>'All Girls &amp; Descendants'!N221</f>
        <v xml:space="preserve"> - </v>
      </c>
      <c r="M223" t="str">
        <f>'All Girls &amp; Descendants'!O221</f>
        <v/>
      </c>
      <c r="N223" t="str">
        <f>'All Girls &amp; Descendants'!P221</f>
        <v/>
      </c>
      <c r="O223" t="str">
        <f>'All Girls &amp; Descendants'!Q221</f>
        <v>101c</v>
      </c>
      <c r="P223" t="str">
        <f t="shared" si="55"/>
        <v>101cb</v>
      </c>
      <c r="Q223" s="116">
        <f t="shared" si="56"/>
        <v>2</v>
      </c>
      <c r="R223" s="31" t="str">
        <f t="shared" si="57"/>
        <v>Henry Charles  HISCOX</v>
      </c>
      <c r="S223" t="str">
        <f t="shared" si="58"/>
        <v>Henry HISCOX (1989 - :  #101cb)</v>
      </c>
    </row>
    <row r="224" spans="1:19">
      <c r="A224">
        <f>'All Girls &amp; Descendants'!B222</f>
        <v>101</v>
      </c>
      <c r="B224" t="str">
        <f>'All Girls &amp; Descendants'!C222</f>
        <v>101cc</v>
      </c>
      <c r="C224" t="str">
        <f>'All Girls &amp; Descendants'!D222</f>
        <v>HISCOX</v>
      </c>
      <c r="D224" t="str">
        <f>'All Girls &amp; Descendants'!E222</f>
        <v>Sydney</v>
      </c>
      <c r="E224" t="str">
        <f>IF('All Girls &amp; Descendants'!F222="","",'All Girls &amp; Descendants'!F222)</f>
        <v>John</v>
      </c>
      <c r="F224" t="str">
        <f>IF('All Girls &amp; Descendants'!G222="","",'All Girls &amp; Descendants'!G222)</f>
        <v/>
      </c>
      <c r="G224" t="str">
        <f>IF('All Girls &amp; Descendants'!H222="",D224,'All Girls &amp; Descendants'!H222)</f>
        <v>Sydney</v>
      </c>
      <c r="H224">
        <f>'All Girls &amp; Descendants'!I222</f>
        <v>1993</v>
      </c>
      <c r="I224" t="str">
        <f>'All Girls &amp; Descendants'!J222</f>
        <v/>
      </c>
      <c r="K224" s="3">
        <f>'All Girls &amp; Descendants'!M222</f>
        <v>33993</v>
      </c>
      <c r="L224" s="3" t="str">
        <f>'All Girls &amp; Descendants'!N222</f>
        <v xml:space="preserve"> - </v>
      </c>
      <c r="M224" t="str">
        <f>'All Girls &amp; Descendants'!O222</f>
        <v/>
      </c>
      <c r="N224" t="str">
        <f>'All Girls &amp; Descendants'!P222</f>
        <v/>
      </c>
      <c r="O224" t="str">
        <f>'All Girls &amp; Descendants'!Q222</f>
        <v>101c</v>
      </c>
      <c r="P224" t="str">
        <f t="shared" si="55"/>
        <v>101cc</v>
      </c>
      <c r="Q224" s="116">
        <f t="shared" si="56"/>
        <v>2</v>
      </c>
      <c r="R224" s="31" t="str">
        <f t="shared" si="57"/>
        <v>Sydney John  HISCOX</v>
      </c>
      <c r="S224" t="str">
        <f t="shared" si="58"/>
        <v>Sydney HISCOX (1993 - :  #101cc)</v>
      </c>
    </row>
    <row r="225" spans="1:19">
      <c r="A225">
        <f>'All Girls &amp; Descendants'!B223</f>
        <v>101</v>
      </c>
      <c r="B225" t="str">
        <f>'All Girls &amp; Descendants'!C223</f>
        <v>101da</v>
      </c>
      <c r="C225" t="str">
        <f>'All Girls &amp; Descendants'!D223</f>
        <v>REID</v>
      </c>
      <c r="D225" t="str">
        <f>'All Girls &amp; Descendants'!E223</f>
        <v>Nicholas</v>
      </c>
      <c r="E225" t="str">
        <f>IF('All Girls &amp; Descendants'!F223="","",'All Girls &amp; Descendants'!F223)</f>
        <v>John</v>
      </c>
      <c r="F225" t="str">
        <f>IF('All Girls &amp; Descendants'!G223="","",'All Girls &amp; Descendants'!G223)</f>
        <v>Howard</v>
      </c>
      <c r="G225" t="str">
        <f>IF('All Girls &amp; Descendants'!H223="",D225,'All Girls &amp; Descendants'!H223)</f>
        <v>Nicholas</v>
      </c>
      <c r="H225">
        <f>'All Girls &amp; Descendants'!I223</f>
        <v>1982</v>
      </c>
      <c r="I225" t="str">
        <f>'All Girls &amp; Descendants'!J223</f>
        <v/>
      </c>
      <c r="K225" s="3" t="str">
        <f>'All Girls &amp; Descendants'!M223</f>
        <v>30/12/1982</v>
      </c>
      <c r="L225" s="3" t="str">
        <f>'All Girls &amp; Descendants'!N223</f>
        <v xml:space="preserve"> - </v>
      </c>
      <c r="M225" t="str">
        <f>'All Girls &amp; Descendants'!O223</f>
        <v/>
      </c>
      <c r="N225" t="str">
        <f>'All Girls &amp; Descendants'!P223</f>
        <v/>
      </c>
      <c r="O225" t="str">
        <f>'All Girls &amp; Descendants'!Q223</f>
        <v>101d</v>
      </c>
      <c r="P225" t="str">
        <f t="shared" si="55"/>
        <v>101da</v>
      </c>
      <c r="Q225" s="116">
        <f t="shared" si="56"/>
        <v>2</v>
      </c>
      <c r="R225" s="31" t="str">
        <f t="shared" si="57"/>
        <v>Nicholas John Howard REID</v>
      </c>
      <c r="S225" t="str">
        <f t="shared" si="58"/>
        <v>Nicholas REID (1982 - :  #101da)</v>
      </c>
    </row>
    <row r="226" spans="1:19">
      <c r="A226">
        <f>'All Girls &amp; Descendants'!B224</f>
        <v>101</v>
      </c>
      <c r="B226" t="str">
        <f>'All Girls &amp; Descendants'!C224</f>
        <v>101db</v>
      </c>
      <c r="C226" t="str">
        <f>'All Girls &amp; Descendants'!D224</f>
        <v>REID</v>
      </c>
      <c r="D226" t="str">
        <f>'All Girls &amp; Descendants'!E224</f>
        <v>Amelia</v>
      </c>
      <c r="E226" t="str">
        <f>IF('All Girls &amp; Descendants'!F224="","",'All Girls &amp; Descendants'!F224)</f>
        <v>Louise</v>
      </c>
      <c r="F226" t="str">
        <f>IF('All Girls &amp; Descendants'!G224="","",'All Girls &amp; Descendants'!G224)</f>
        <v>Catherine</v>
      </c>
      <c r="G226" t="str">
        <f>IF('All Girls &amp; Descendants'!H224="",D226,'All Girls &amp; Descendants'!H224)</f>
        <v>Amelia</v>
      </c>
      <c r="H226">
        <f>'All Girls &amp; Descendants'!I224</f>
        <v>1984</v>
      </c>
      <c r="I226" t="str">
        <f>'All Girls &amp; Descendants'!J224</f>
        <v/>
      </c>
      <c r="K226" s="3">
        <f>'All Girls &amp; Descendants'!M224</f>
        <v>31040</v>
      </c>
      <c r="L226" s="3" t="str">
        <f>'All Girls &amp; Descendants'!N224</f>
        <v xml:space="preserve"> - </v>
      </c>
      <c r="M226" t="str">
        <f>'All Girls &amp; Descendants'!O224</f>
        <v/>
      </c>
      <c r="N226" t="str">
        <f>'All Girls &amp; Descendants'!P224</f>
        <v/>
      </c>
      <c r="O226" t="str">
        <f>'All Girls &amp; Descendants'!Q224</f>
        <v>101d</v>
      </c>
      <c r="P226" t="str">
        <f t="shared" si="55"/>
        <v>101db</v>
      </c>
      <c r="Q226" s="116">
        <f t="shared" si="56"/>
        <v>2</v>
      </c>
      <c r="R226" s="31" t="str">
        <f t="shared" si="57"/>
        <v>Amelia Louise Catherine REID</v>
      </c>
      <c r="S226" t="str">
        <f t="shared" si="58"/>
        <v>Amelia REID (1984 - :  #101db)</v>
      </c>
    </row>
    <row r="227" spans="1:19">
      <c r="A227">
        <f>'All Girls &amp; Descendants'!B225</f>
        <v>101</v>
      </c>
      <c r="B227" t="str">
        <f>'All Girls &amp; Descendants'!C225</f>
        <v>101dc</v>
      </c>
      <c r="C227" t="str">
        <f>'All Girls &amp; Descendants'!D225</f>
        <v>REID</v>
      </c>
      <c r="D227" t="str">
        <f>'All Girls &amp; Descendants'!E225</f>
        <v>Clementine</v>
      </c>
      <c r="E227" t="str">
        <f>IF('All Girls &amp; Descendants'!F225="","",'All Girls &amp; Descendants'!F225)</f>
        <v>Julia</v>
      </c>
      <c r="F227" t="str">
        <f>IF('All Girls &amp; Descendants'!G225="","",'All Girls &amp; Descendants'!G225)</f>
        <v/>
      </c>
      <c r="G227" t="str">
        <f>IF('All Girls &amp; Descendants'!H225="",D227,'All Girls &amp; Descendants'!H225)</f>
        <v>Clementine</v>
      </c>
      <c r="H227">
        <f>'All Girls &amp; Descendants'!I225</f>
        <v>1988</v>
      </c>
      <c r="I227" t="str">
        <f>'All Girls &amp; Descendants'!J225</f>
        <v/>
      </c>
      <c r="K227" s="3">
        <f>'All Girls &amp; Descendants'!M225</f>
        <v>32395</v>
      </c>
      <c r="L227" s="3" t="str">
        <f>'All Girls &amp; Descendants'!N225</f>
        <v xml:space="preserve"> - </v>
      </c>
      <c r="M227" t="str">
        <f>'All Girls &amp; Descendants'!O225</f>
        <v/>
      </c>
      <c r="N227" t="str">
        <f>'All Girls &amp; Descendants'!P225</f>
        <v/>
      </c>
      <c r="O227" t="str">
        <f>'All Girls &amp; Descendants'!Q225</f>
        <v>101d</v>
      </c>
      <c r="P227" t="str">
        <f t="shared" si="55"/>
        <v>101dc</v>
      </c>
      <c r="Q227" s="116">
        <f t="shared" si="56"/>
        <v>2</v>
      </c>
      <c r="R227" s="31" t="str">
        <f t="shared" si="57"/>
        <v>Clementine Julia  REID</v>
      </c>
      <c r="S227" t="str">
        <f t="shared" si="58"/>
        <v>Clementine REID (1988 - :  #101dc)</v>
      </c>
    </row>
    <row r="228" spans="1:19">
      <c r="A228">
        <f>'All Girls &amp; Descendants'!B226</f>
        <v>101</v>
      </c>
      <c r="B228" t="str">
        <f>'All Girls &amp; Descendants'!C226</f>
        <v>101ea</v>
      </c>
      <c r="C228" t="str">
        <f>'All Girls &amp; Descendants'!D226</f>
        <v>WILLS</v>
      </c>
      <c r="D228" t="str">
        <f>'All Girls &amp; Descendants'!E226</f>
        <v>Thomas</v>
      </c>
      <c r="E228" t="str">
        <f>IF('All Girls &amp; Descendants'!F226="","",'All Girls &amp; Descendants'!F226)</f>
        <v>Robert</v>
      </c>
      <c r="F228" t="str">
        <f>IF('All Girls &amp; Descendants'!G226="","",'All Girls &amp; Descendants'!G226)</f>
        <v>Hamilton</v>
      </c>
      <c r="G228" t="str">
        <f>IF('All Girls &amp; Descendants'!H226="",D228,'All Girls &amp; Descendants'!H226)</f>
        <v>Thomas</v>
      </c>
      <c r="H228">
        <f>'All Girls &amp; Descendants'!I226</f>
        <v>1991</v>
      </c>
      <c r="I228" t="str">
        <f>'All Girls &amp; Descendants'!J226</f>
        <v/>
      </c>
      <c r="K228" s="3">
        <f>'All Girls &amp; Descendants'!M226</f>
        <v>33423</v>
      </c>
      <c r="L228" s="3" t="str">
        <f>'All Girls &amp; Descendants'!N226</f>
        <v xml:space="preserve"> - </v>
      </c>
      <c r="M228" t="str">
        <f>'All Girls &amp; Descendants'!O226</f>
        <v/>
      </c>
      <c r="N228" t="str">
        <f>'All Girls &amp; Descendants'!P226</f>
        <v/>
      </c>
      <c r="O228" t="str">
        <f>'All Girls &amp; Descendants'!Q226</f>
        <v>101e</v>
      </c>
      <c r="P228" t="str">
        <f t="shared" si="55"/>
        <v>101ea</v>
      </c>
      <c r="Q228" s="116">
        <f t="shared" si="56"/>
        <v>2</v>
      </c>
      <c r="R228" s="31" t="str">
        <f t="shared" si="57"/>
        <v>Thomas Robert Hamilton WILLS</v>
      </c>
      <c r="S228" t="str">
        <f t="shared" si="58"/>
        <v>Thomas WILLS (1991 - :  #101ea)</v>
      </c>
    </row>
    <row r="229" spans="1:19">
      <c r="A229">
        <f>'All Girls &amp; Descendants'!B227</f>
        <v>101</v>
      </c>
      <c r="B229" t="str">
        <f>'All Girls &amp; Descendants'!C227</f>
        <v>101eb</v>
      </c>
      <c r="C229" t="str">
        <f>'All Girls &amp; Descendants'!D227</f>
        <v>WILLS</v>
      </c>
      <c r="D229" t="str">
        <f>'All Girls &amp; Descendants'!E227</f>
        <v>George</v>
      </c>
      <c r="E229" t="str">
        <f>IF('All Girls &amp; Descendants'!F227="","",'All Girls &amp; Descendants'!F227)</f>
        <v>Edmund</v>
      </c>
      <c r="F229" t="str">
        <f>IF('All Girls &amp; Descendants'!G227="","",'All Girls &amp; Descendants'!G227)</f>
        <v>Hamilton</v>
      </c>
      <c r="G229" t="str">
        <f>IF('All Girls &amp; Descendants'!H227="",D229,'All Girls &amp; Descendants'!H227)</f>
        <v>George</v>
      </c>
      <c r="H229">
        <f>'All Girls &amp; Descendants'!I227</f>
        <v>1993</v>
      </c>
      <c r="I229" t="str">
        <f>'All Girls &amp; Descendants'!J227</f>
        <v/>
      </c>
      <c r="K229" s="3">
        <f>'All Girls &amp; Descendants'!M227</f>
        <v>34210</v>
      </c>
      <c r="L229" s="3" t="str">
        <f>'All Girls &amp; Descendants'!N227</f>
        <v xml:space="preserve"> - </v>
      </c>
      <c r="M229" t="str">
        <f>'All Girls &amp; Descendants'!O227</f>
        <v/>
      </c>
      <c r="N229" t="str">
        <f>'All Girls &amp; Descendants'!P227</f>
        <v/>
      </c>
      <c r="O229" t="str">
        <f>'All Girls &amp; Descendants'!Q227</f>
        <v>101e</v>
      </c>
      <c r="P229" t="str">
        <f t="shared" si="55"/>
        <v>101eb</v>
      </c>
      <c r="Q229" s="116">
        <f t="shared" si="56"/>
        <v>2</v>
      </c>
      <c r="R229" s="31" t="str">
        <f t="shared" si="57"/>
        <v>George Edmund Hamilton WILLS</v>
      </c>
      <c r="S229" t="str">
        <f t="shared" si="58"/>
        <v>George WILLS (1993 - :  #101eb)</v>
      </c>
    </row>
    <row r="230" spans="1:19">
      <c r="A230">
        <f>'All Girls &amp; Descendants'!B228</f>
        <v>101</v>
      </c>
      <c r="B230" t="str">
        <f>'All Girls &amp; Descendants'!C228</f>
        <v>101ec</v>
      </c>
      <c r="C230" t="str">
        <f>'All Girls &amp; Descendants'!D228</f>
        <v>WILLS</v>
      </c>
      <c r="D230" t="str">
        <f>'All Girls &amp; Descendants'!E228</f>
        <v>Laura</v>
      </c>
      <c r="E230" t="str">
        <f>IF('All Girls &amp; Descendants'!F228="","",'All Girls &amp; Descendants'!F228)</f>
        <v>Felicity</v>
      </c>
      <c r="F230" t="str">
        <f>IF('All Girls &amp; Descendants'!G228="","",'All Girls &amp; Descendants'!G228)</f>
        <v>Hamilton</v>
      </c>
      <c r="G230" t="str">
        <f>IF('All Girls &amp; Descendants'!H228="",D230,'All Girls &amp; Descendants'!H228)</f>
        <v>Laura</v>
      </c>
      <c r="H230">
        <f>'All Girls &amp; Descendants'!I228</f>
        <v>1996</v>
      </c>
      <c r="I230" t="str">
        <f>'All Girls &amp; Descendants'!J228</f>
        <v/>
      </c>
      <c r="K230" s="3">
        <f>'All Girls &amp; Descendants'!M228</f>
        <v>35109</v>
      </c>
      <c r="L230" s="3" t="str">
        <f>'All Girls &amp; Descendants'!N228</f>
        <v xml:space="preserve"> - </v>
      </c>
      <c r="M230" t="str">
        <f>'All Girls &amp; Descendants'!O228</f>
        <v/>
      </c>
      <c r="N230" t="str">
        <f>'All Girls &amp; Descendants'!P228</f>
        <v/>
      </c>
      <c r="O230" t="str">
        <f>'All Girls &amp; Descendants'!Q228</f>
        <v>101e</v>
      </c>
      <c r="P230" t="str">
        <f t="shared" si="55"/>
        <v>101ec</v>
      </c>
      <c r="Q230" s="116">
        <f t="shared" si="56"/>
        <v>2</v>
      </c>
      <c r="R230" s="31" t="str">
        <f t="shared" si="57"/>
        <v>Laura Felicity Hamilton WILLS</v>
      </c>
      <c r="S230" t="str">
        <f t="shared" si="58"/>
        <v>Laura WILLS (1996 - :  #101ec)</v>
      </c>
    </row>
    <row r="231" spans="1:19">
      <c r="A231">
        <f>'All Girls &amp; Descendants'!B229</f>
        <v>101</v>
      </c>
      <c r="B231" t="str">
        <f>'All Girls &amp; Descendants'!C229</f>
        <v>101fa</v>
      </c>
      <c r="C231" t="str">
        <f>'All Girls &amp; Descendants'!D229</f>
        <v>HEYWOOD</v>
      </c>
      <c r="D231" t="str">
        <f>'All Girls &amp; Descendants'!E229</f>
        <v>Richard</v>
      </c>
      <c r="E231" t="str">
        <f>IF('All Girls &amp; Descendants'!F229="","",'All Girls &amp; Descendants'!F229)</f>
        <v>Garnett</v>
      </c>
      <c r="F231" t="str">
        <f>IF('All Girls &amp; Descendants'!G229="","",'All Girls &amp; Descendants'!G229)</f>
        <v/>
      </c>
      <c r="G231" t="str">
        <f>IF('All Girls &amp; Descendants'!H229="",D231,'All Girls &amp; Descendants'!H229)</f>
        <v>Richard</v>
      </c>
      <c r="H231">
        <f>'All Girls &amp; Descendants'!I229</f>
        <v>1993</v>
      </c>
      <c r="I231" t="str">
        <f>'All Girls &amp; Descendants'!J229</f>
        <v/>
      </c>
      <c r="K231" s="3">
        <f>'All Girls &amp; Descendants'!M229</f>
        <v>34316</v>
      </c>
      <c r="L231" s="3" t="str">
        <f>'All Girls &amp; Descendants'!N229</f>
        <v xml:space="preserve"> - </v>
      </c>
      <c r="M231" t="str">
        <f>'All Girls &amp; Descendants'!O229</f>
        <v/>
      </c>
      <c r="N231" t="str">
        <f>'All Girls &amp; Descendants'!P229</f>
        <v/>
      </c>
      <c r="O231" t="str">
        <f>'All Girls &amp; Descendants'!Q229</f>
        <v>101f</v>
      </c>
      <c r="P231" t="str">
        <f t="shared" si="55"/>
        <v>101fa</v>
      </c>
      <c r="Q231" s="116">
        <f t="shared" si="56"/>
        <v>2</v>
      </c>
      <c r="R231" s="31" t="str">
        <f t="shared" si="57"/>
        <v>Richard Garnett  HEYWOOD</v>
      </c>
      <c r="S231" t="str">
        <f t="shared" si="58"/>
        <v>Richard HEYWOOD (1993 - :  #101fa)</v>
      </c>
    </row>
    <row r="232" spans="1:19">
      <c r="A232">
        <f>'All Girls &amp; Descendants'!B230</f>
        <v>101</v>
      </c>
      <c r="B232" t="str">
        <f>'All Girls &amp; Descendants'!C230</f>
        <v>101fb</v>
      </c>
      <c r="C232" t="str">
        <f>'All Girls &amp; Descendants'!D230</f>
        <v>HEYWOOD</v>
      </c>
      <c r="D232" t="str">
        <f>'All Girls &amp; Descendants'!E230</f>
        <v>Alec</v>
      </c>
      <c r="E232" t="str">
        <f>IF('All Girls &amp; Descendants'!F230="","",'All Girls &amp; Descendants'!F230)</f>
        <v>Garnett</v>
      </c>
      <c r="F232" t="str">
        <f>IF('All Girls &amp; Descendants'!G230="","",'All Girls &amp; Descendants'!G230)</f>
        <v/>
      </c>
      <c r="G232" t="str">
        <f>IF('All Girls &amp; Descendants'!H230="",D232,'All Girls &amp; Descendants'!H230)</f>
        <v>Alec</v>
      </c>
      <c r="H232">
        <f>'All Girls &amp; Descendants'!I230</f>
        <v>1996</v>
      </c>
      <c r="I232" t="str">
        <f>'All Girls &amp; Descendants'!J230</f>
        <v/>
      </c>
      <c r="K232" s="3">
        <f>'All Girls &amp; Descendants'!M230</f>
        <v>35117</v>
      </c>
      <c r="L232" s="3" t="str">
        <f>'All Girls &amp; Descendants'!N230</f>
        <v xml:space="preserve"> - </v>
      </c>
      <c r="M232" t="str">
        <f>'All Girls &amp; Descendants'!O230</f>
        <v/>
      </c>
      <c r="N232" t="str">
        <f>'All Girls &amp; Descendants'!P230</f>
        <v/>
      </c>
      <c r="O232" t="str">
        <f>'All Girls &amp; Descendants'!Q230</f>
        <v>101f</v>
      </c>
      <c r="P232" t="str">
        <f t="shared" si="55"/>
        <v>101fb</v>
      </c>
      <c r="Q232" s="116">
        <f t="shared" si="56"/>
        <v>2</v>
      </c>
      <c r="R232" s="31" t="str">
        <f t="shared" si="57"/>
        <v>Alec Garnett  HEYWOOD</v>
      </c>
      <c r="S232" t="str">
        <f t="shared" si="58"/>
        <v>Alec HEYWOOD (1996 - :  #101fb)</v>
      </c>
    </row>
    <row r="233" spans="1:19">
      <c r="A233">
        <f>'All Girls &amp; Descendants'!B231</f>
        <v>102</v>
      </c>
      <c r="B233" t="str">
        <f>'All Girls &amp; Descendants'!C231</f>
        <v>102ba</v>
      </c>
      <c r="C233" t="str">
        <f>'All Girls &amp; Descendants'!D231</f>
        <v>DUNLOP</v>
      </c>
      <c r="D233" t="str">
        <f>'All Girls &amp; Descendants'!E231</f>
        <v>Ella</v>
      </c>
      <c r="E233" t="str">
        <f>IF('All Girls &amp; Descendants'!F231="","",'All Girls &amp; Descendants'!F231)</f>
        <v>Genevieve</v>
      </c>
      <c r="F233" t="str">
        <f>IF('All Girls &amp; Descendants'!G231="","",'All Girls &amp; Descendants'!G231)</f>
        <v>Elgin</v>
      </c>
      <c r="G233" t="str">
        <f>IF('All Girls &amp; Descendants'!H231="",D233,'All Girls &amp; Descendants'!H231)</f>
        <v>Ella</v>
      </c>
      <c r="H233">
        <f>'All Girls &amp; Descendants'!I231</f>
        <v>1998</v>
      </c>
      <c r="I233" t="str">
        <f>'All Girls &amp; Descendants'!J231</f>
        <v/>
      </c>
      <c r="K233" s="3">
        <f>'All Girls &amp; Descendants'!M231</f>
        <v>35879</v>
      </c>
      <c r="L233" s="3" t="str">
        <f>'All Girls &amp; Descendants'!N231</f>
        <v xml:space="preserve"> - </v>
      </c>
      <c r="M233" t="str">
        <f>'All Girls &amp; Descendants'!O231</f>
        <v/>
      </c>
      <c r="N233" t="str">
        <f>'All Girls &amp; Descendants'!P231</f>
        <v/>
      </c>
      <c r="O233" t="str">
        <f>'All Girls &amp; Descendants'!Q231</f>
        <v>102b</v>
      </c>
      <c r="P233" t="str">
        <f t="shared" si="55"/>
        <v>102ba</v>
      </c>
      <c r="Q233" s="116">
        <f t="shared" si="56"/>
        <v>2</v>
      </c>
      <c r="R233" s="31" t="str">
        <f t="shared" si="57"/>
        <v>Ella Genevieve Elgin DUNLOP</v>
      </c>
      <c r="S233" t="str">
        <f t="shared" si="58"/>
        <v>Ella DUNLOP (1998 - :  #102ba)</v>
      </c>
    </row>
    <row r="234" spans="1:19">
      <c r="A234">
        <f>'All Girls &amp; Descendants'!B232</f>
        <v>102</v>
      </c>
      <c r="B234" t="str">
        <f>'All Girls &amp; Descendants'!C232</f>
        <v>102bb</v>
      </c>
      <c r="C234" t="str">
        <f>'All Girls &amp; Descendants'!D232</f>
        <v>DUNLOP</v>
      </c>
      <c r="D234" t="str">
        <f>'All Girls &amp; Descendants'!E232</f>
        <v>John</v>
      </c>
      <c r="E234" t="str">
        <f>IF('All Girls &amp; Descendants'!F232="","",'All Girls &amp; Descendants'!F232)</f>
        <v>Fergus</v>
      </c>
      <c r="F234" t="str">
        <f>IF('All Girls &amp; Descendants'!G232="","",'All Girls &amp; Descendants'!G232)</f>
        <v>Elgin</v>
      </c>
      <c r="G234" t="str">
        <f>IF('All Girls &amp; Descendants'!H232="",D234,'All Girls &amp; Descendants'!H232)</f>
        <v>John</v>
      </c>
      <c r="H234">
        <f>'All Girls &amp; Descendants'!I232</f>
        <v>2000</v>
      </c>
      <c r="I234">
        <f>'All Girls &amp; Descendants'!J232</f>
        <v>0</v>
      </c>
      <c r="K234" s="3">
        <f>'All Girls &amp; Descendants'!M232</f>
        <v>36711</v>
      </c>
      <c r="L234" s="3" t="str">
        <f>'All Girls &amp; Descendants'!N232</f>
        <v xml:space="preserve"> - </v>
      </c>
      <c r="M234">
        <f>'All Girls &amp; Descendants'!O232</f>
        <v>0</v>
      </c>
      <c r="N234">
        <f>'All Girls &amp; Descendants'!P232</f>
        <v>0</v>
      </c>
      <c r="O234" t="str">
        <f>'All Girls &amp; Descendants'!Q232</f>
        <v>102b</v>
      </c>
      <c r="P234" t="str">
        <f t="shared" si="55"/>
        <v>102bb</v>
      </c>
      <c r="Q234" s="116">
        <f t="shared" si="56"/>
        <v>2</v>
      </c>
      <c r="R234" s="31" t="str">
        <f t="shared" si="57"/>
        <v>John Fergus Elgin DUNLOP</v>
      </c>
      <c r="S234" t="str">
        <f t="shared" si="58"/>
        <v>John DUNLOP (2000 - 0:  #102bb)</v>
      </c>
    </row>
    <row r="235" spans="1:19">
      <c r="A235">
        <f>'All Girls &amp; Descendants'!B233</f>
        <v>103</v>
      </c>
      <c r="B235" t="str">
        <f>'All Girls &amp; Descendants'!C233</f>
        <v>103aa</v>
      </c>
      <c r="C235" t="str">
        <f>'All Girls &amp; Descendants'!D233</f>
        <v>GORE-BROWNE</v>
      </c>
      <c r="D235" t="str">
        <f>'All Girls &amp; Descendants'!E233</f>
        <v>Marina</v>
      </c>
      <c r="E235" t="str">
        <f>IF('All Girls &amp; Descendants'!F233="","",'All Girls &amp; Descendants'!F233)</f>
        <v>Harriet</v>
      </c>
      <c r="F235" t="str">
        <f>IF('All Girls &amp; Descendants'!G233="","",'All Girls &amp; Descendants'!G233)</f>
        <v/>
      </c>
      <c r="G235" t="str">
        <f>IF('All Girls &amp; Descendants'!H233="",D235,'All Girls &amp; Descendants'!H233)</f>
        <v>Marina</v>
      </c>
      <c r="H235">
        <f>'All Girls &amp; Descendants'!I233</f>
        <v>1984</v>
      </c>
      <c r="I235" t="str">
        <f>'All Girls &amp; Descendants'!J233</f>
        <v/>
      </c>
      <c r="K235" s="3">
        <f>'All Girls &amp; Descendants'!M233</f>
        <v>31035</v>
      </c>
      <c r="L235" s="3" t="str">
        <f>'All Girls &amp; Descendants'!N233</f>
        <v xml:space="preserve"> - </v>
      </c>
      <c r="M235" t="str">
        <f>'All Girls &amp; Descendants'!O233</f>
        <v/>
      </c>
      <c r="N235" t="str">
        <f>'All Girls &amp; Descendants'!P233</f>
        <v/>
      </c>
      <c r="O235" t="str">
        <f>'All Girls &amp; Descendants'!Q233</f>
        <v>103a</v>
      </c>
      <c r="P235" t="str">
        <f t="shared" si="55"/>
        <v>103aa</v>
      </c>
      <c r="Q235" s="116">
        <f t="shared" si="56"/>
        <v>2</v>
      </c>
      <c r="R235" s="31" t="str">
        <f t="shared" si="57"/>
        <v>Marina Harriet  GORE-BROWNE</v>
      </c>
      <c r="S235" t="str">
        <f t="shared" si="58"/>
        <v>Marina GORE-BROWNE (1984 - :  #103aa)</v>
      </c>
    </row>
    <row r="236" spans="1:19">
      <c r="A236">
        <f>'All Girls &amp; Descendants'!B234</f>
        <v>103</v>
      </c>
      <c r="B236" t="str">
        <f>'All Girls &amp; Descendants'!C234</f>
        <v>103ab</v>
      </c>
      <c r="C236" t="str">
        <f>'All Girls &amp; Descendants'!D234</f>
        <v>GORE-BROWNE</v>
      </c>
      <c r="D236" t="str">
        <f>'All Girls &amp; Descendants'!E234</f>
        <v>Frederick</v>
      </c>
      <c r="E236" t="str">
        <f>IF('All Girls &amp; Descendants'!F234="","",'All Girls &amp; Descendants'!F234)</f>
        <v>Henry</v>
      </c>
      <c r="F236" t="str">
        <f>IF('All Girls &amp; Descendants'!G234="","",'All Girls &amp; Descendants'!G234)</f>
        <v/>
      </c>
      <c r="G236" t="str">
        <f>IF('All Girls &amp; Descendants'!H234="",D236,'All Girls &amp; Descendants'!H234)</f>
        <v>Frederick</v>
      </c>
      <c r="H236">
        <f>'All Girls &amp; Descendants'!I234</f>
        <v>1987</v>
      </c>
      <c r="I236" t="str">
        <f>'All Girls &amp; Descendants'!J234</f>
        <v/>
      </c>
      <c r="K236" s="3">
        <f>'All Girls &amp; Descendants'!M234</f>
        <v>31798</v>
      </c>
      <c r="L236" s="3" t="str">
        <f>'All Girls &amp; Descendants'!N234</f>
        <v xml:space="preserve"> - </v>
      </c>
      <c r="M236" t="str">
        <f>'All Girls &amp; Descendants'!O234</f>
        <v/>
      </c>
      <c r="N236" t="str">
        <f>'All Girls &amp; Descendants'!P234</f>
        <v/>
      </c>
      <c r="O236" t="str">
        <f>'All Girls &amp; Descendants'!Q234</f>
        <v>103a</v>
      </c>
      <c r="P236" t="str">
        <f t="shared" si="55"/>
        <v>103ab</v>
      </c>
      <c r="Q236" s="116">
        <f t="shared" si="56"/>
        <v>2</v>
      </c>
      <c r="R236" s="31" t="str">
        <f t="shared" si="57"/>
        <v>Frederick Henry  GORE-BROWNE</v>
      </c>
      <c r="S236" t="str">
        <f t="shared" si="58"/>
        <v>Frederick GORE-BROWNE (1987 - :  #103ab)</v>
      </c>
    </row>
    <row r="237" spans="1:19">
      <c r="A237">
        <f>'All Girls &amp; Descendants'!B235</f>
        <v>103</v>
      </c>
      <c r="B237" t="str">
        <f>'All Girls &amp; Descendants'!C235</f>
        <v>103ac</v>
      </c>
      <c r="C237" t="str">
        <f>'All Girls &amp; Descendants'!D235</f>
        <v>GORE-BROWNE</v>
      </c>
      <c r="D237" t="str">
        <f>'All Girls &amp; Descendants'!E235</f>
        <v>Harry</v>
      </c>
      <c r="E237" t="str">
        <f>IF('All Girls &amp; Descendants'!F235="","",'All Girls &amp; Descendants'!F235)</f>
        <v>Alastair</v>
      </c>
      <c r="F237" t="str">
        <f>IF('All Girls &amp; Descendants'!G235="","",'All Girls &amp; Descendants'!G235)</f>
        <v/>
      </c>
      <c r="G237" t="str">
        <f>IF('All Girls &amp; Descendants'!H235="",D237,'All Girls &amp; Descendants'!H235)</f>
        <v>Harry</v>
      </c>
      <c r="H237">
        <f>'All Girls &amp; Descendants'!I235</f>
        <v>1988</v>
      </c>
      <c r="I237" t="str">
        <f>'All Girls &amp; Descendants'!J235</f>
        <v/>
      </c>
      <c r="K237" s="3">
        <f>'All Girls &amp; Descendants'!M235</f>
        <v>32253</v>
      </c>
      <c r="L237" s="3" t="str">
        <f>'All Girls &amp; Descendants'!N235</f>
        <v xml:space="preserve"> - </v>
      </c>
      <c r="M237" t="str">
        <f>'All Girls &amp; Descendants'!O235</f>
        <v/>
      </c>
      <c r="N237" t="str">
        <f>'All Girls &amp; Descendants'!P235</f>
        <v/>
      </c>
      <c r="O237" t="str">
        <f>'All Girls &amp; Descendants'!Q235</f>
        <v>103a</v>
      </c>
      <c r="P237" t="str">
        <f t="shared" si="55"/>
        <v>103ac</v>
      </c>
      <c r="Q237" s="116">
        <f t="shared" si="56"/>
        <v>2</v>
      </c>
      <c r="R237" s="31" t="str">
        <f t="shared" si="57"/>
        <v>Harry Alastair  GORE-BROWNE</v>
      </c>
      <c r="S237" t="str">
        <f t="shared" si="58"/>
        <v>Harry GORE-BROWNE (1988 - :  #103ac)</v>
      </c>
    </row>
    <row r="238" spans="1:19">
      <c r="A238">
        <f>'All Girls &amp; Descendants'!B236</f>
        <v>103</v>
      </c>
      <c r="B238" t="str">
        <f>'All Girls &amp; Descendants'!C236</f>
        <v>103ba</v>
      </c>
      <c r="C238" t="str">
        <f>'All Girls &amp; Descendants'!D236</f>
        <v>PILKINGTON</v>
      </c>
      <c r="D238" t="str">
        <f>'All Girls &amp; Descendants'!E236</f>
        <v>Edward</v>
      </c>
      <c r="E238" t="str">
        <f>IF('All Girls &amp; Descendants'!F236="","",'All Girls &amp; Descendants'!F236)</f>
        <v>Thomas</v>
      </c>
      <c r="F238" t="str">
        <f>IF('All Girls &amp; Descendants'!G236="","",'All Girls &amp; Descendants'!G236)</f>
        <v/>
      </c>
      <c r="G238" t="str">
        <f>IF('All Girls &amp; Descendants'!H236="",D238,'All Girls &amp; Descendants'!H236)</f>
        <v>Edward</v>
      </c>
      <c r="H238">
        <f>'All Girls &amp; Descendants'!I236</f>
        <v>1971</v>
      </c>
      <c r="I238" t="str">
        <f>'All Girls &amp; Descendants'!J236</f>
        <v/>
      </c>
      <c r="K238" s="3">
        <f>'All Girls &amp; Descendants'!M236</f>
        <v>26191</v>
      </c>
      <c r="L238" s="3" t="str">
        <f>'All Girls &amp; Descendants'!N236</f>
        <v xml:space="preserve"> - </v>
      </c>
      <c r="M238" t="str">
        <f>'All Girls &amp; Descendants'!O236</f>
        <v/>
      </c>
      <c r="N238" t="str">
        <f>'All Girls &amp; Descendants'!P236</f>
        <v/>
      </c>
      <c r="O238" t="str">
        <f>'All Girls &amp; Descendants'!Q236</f>
        <v>103b</v>
      </c>
      <c r="P238" t="str">
        <f t="shared" si="55"/>
        <v>103ba</v>
      </c>
      <c r="Q238" s="116">
        <f t="shared" si="56"/>
        <v>2</v>
      </c>
      <c r="R238" s="31" t="str">
        <f t="shared" si="57"/>
        <v>Edward Thomas  PILKINGTON</v>
      </c>
      <c r="S238" t="str">
        <f t="shared" si="58"/>
        <v>Edward PILKINGTON (1971 - :  #103ba)</v>
      </c>
    </row>
    <row r="239" spans="1:19">
      <c r="A239">
        <f>'All Girls &amp; Descendants'!B237</f>
        <v>103</v>
      </c>
      <c r="B239" t="str">
        <f>'All Girls &amp; Descendants'!C237</f>
        <v>103bb</v>
      </c>
      <c r="C239" t="str">
        <f>'All Girls &amp; Descendants'!D237</f>
        <v>PILKINGTON</v>
      </c>
      <c r="D239" t="str">
        <f>'All Girls &amp; Descendants'!E237</f>
        <v>Lucinda</v>
      </c>
      <c r="E239" t="str">
        <f>IF('All Girls &amp; Descendants'!F237="","",'All Girls &amp; Descendants'!F237)</f>
        <v>Mary</v>
      </c>
      <c r="F239" t="str">
        <f>IF('All Girls &amp; Descendants'!G237="","",'All Girls &amp; Descendants'!G237)</f>
        <v/>
      </c>
      <c r="G239" t="str">
        <f>IF('All Girls &amp; Descendants'!H237="",D239,'All Girls &amp; Descendants'!H237)</f>
        <v>Lucy</v>
      </c>
      <c r="H239">
        <f>'All Girls &amp; Descendants'!I237</f>
        <v>1973</v>
      </c>
      <c r="I239" t="str">
        <f>'All Girls &amp; Descendants'!J237</f>
        <v/>
      </c>
      <c r="K239" s="3">
        <f>'All Girls &amp; Descendants'!M237</f>
        <v>26808</v>
      </c>
      <c r="L239" s="3" t="str">
        <f>'All Girls &amp; Descendants'!N237</f>
        <v xml:space="preserve"> - </v>
      </c>
      <c r="M239" t="str">
        <f>'All Girls &amp; Descendants'!O237</f>
        <v/>
      </c>
      <c r="N239" t="str">
        <f>'All Girls &amp; Descendants'!P237</f>
        <v/>
      </c>
      <c r="O239" t="str">
        <f>'All Girls &amp; Descendants'!Q237</f>
        <v>103b</v>
      </c>
      <c r="P239" t="str">
        <f t="shared" si="55"/>
        <v>103bb</v>
      </c>
      <c r="Q239" s="116">
        <f t="shared" si="56"/>
        <v>2</v>
      </c>
      <c r="R239" s="31" t="str">
        <f t="shared" si="57"/>
        <v>Lucinda Mary  PILKINGTON</v>
      </c>
      <c r="S239" t="str">
        <f t="shared" si="58"/>
        <v>Lucy PILKINGTON (1973 - :  #103bb)</v>
      </c>
    </row>
    <row r="240" spans="1:19">
      <c r="A240">
        <f>'All Girls &amp; Descendants'!B238</f>
        <v>103</v>
      </c>
      <c r="B240" t="str">
        <f>'All Girls &amp; Descendants'!C238</f>
        <v>103bc</v>
      </c>
      <c r="C240" t="str">
        <f>'All Girls &amp; Descendants'!D238</f>
        <v>PILKINGTON</v>
      </c>
      <c r="D240" t="str">
        <f>'All Girls &amp; Descendants'!E238</f>
        <v>Nicholas</v>
      </c>
      <c r="E240" t="str">
        <f>IF('All Girls &amp; Descendants'!F238="","",'All Girls &amp; Descendants'!F238)</f>
        <v>James</v>
      </c>
      <c r="F240" t="str">
        <f>IF('All Girls &amp; Descendants'!G238="","",'All Girls &amp; Descendants'!G238)</f>
        <v/>
      </c>
      <c r="G240" t="str">
        <f>IF('All Girls &amp; Descendants'!H238="",D240,'All Girls &amp; Descendants'!H238)</f>
        <v>Nicholas</v>
      </c>
      <c r="H240">
        <f>'All Girls &amp; Descendants'!I238</f>
        <v>1976</v>
      </c>
      <c r="I240" t="str">
        <f>'All Girls &amp; Descendants'!J238</f>
        <v/>
      </c>
      <c r="K240" s="3">
        <f>'All Girls &amp; Descendants'!M238</f>
        <v>27879</v>
      </c>
      <c r="L240" s="3" t="str">
        <f>'All Girls &amp; Descendants'!N238</f>
        <v xml:space="preserve"> - </v>
      </c>
      <c r="M240" t="str">
        <f>'All Girls &amp; Descendants'!O238</f>
        <v/>
      </c>
      <c r="N240" t="str">
        <f>'All Girls &amp; Descendants'!P238</f>
        <v/>
      </c>
      <c r="O240" t="str">
        <f>'All Girls &amp; Descendants'!Q238</f>
        <v>103b</v>
      </c>
      <c r="P240" t="str">
        <f t="shared" si="55"/>
        <v>103bc</v>
      </c>
      <c r="Q240" s="116">
        <f t="shared" si="56"/>
        <v>2</v>
      </c>
      <c r="R240" s="31" t="str">
        <f t="shared" si="57"/>
        <v>Nicholas James  PILKINGTON</v>
      </c>
      <c r="S240" t="str">
        <f t="shared" si="58"/>
        <v>Nicholas PILKINGTON (1976 - :  #103bc)</v>
      </c>
    </row>
    <row r="241" spans="1:19">
      <c r="A241">
        <f>'All Girls &amp; Descendants'!B239</f>
        <v>103</v>
      </c>
      <c r="B241" t="str">
        <f>'All Girls &amp; Descendants'!C239</f>
        <v>103bd</v>
      </c>
      <c r="C241" t="str">
        <f>'All Girls &amp; Descendants'!D239</f>
        <v>PILKINGTON</v>
      </c>
      <c r="D241" t="str">
        <f>'All Girls &amp; Descendants'!E239</f>
        <v>Claire</v>
      </c>
      <c r="E241" t="str">
        <f>IF('All Girls &amp; Descendants'!F239="","",'All Girls &amp; Descendants'!F239)</f>
        <v>Georgina</v>
      </c>
      <c r="F241" t="str">
        <f>IF('All Girls &amp; Descendants'!G239="","",'All Girls &amp; Descendants'!G239)</f>
        <v/>
      </c>
      <c r="G241" t="str">
        <f>IF('All Girls &amp; Descendants'!H239="",D241,'All Girls &amp; Descendants'!H239)</f>
        <v>Claire</v>
      </c>
      <c r="H241">
        <f>'All Girls &amp; Descendants'!I239</f>
        <v>1979</v>
      </c>
      <c r="I241" t="str">
        <f>'All Girls &amp; Descendants'!J239</f>
        <v/>
      </c>
      <c r="K241" s="3">
        <f>'All Girls &amp; Descendants'!M239</f>
        <v>28858</v>
      </c>
      <c r="L241" s="3" t="str">
        <f>'All Girls &amp; Descendants'!N239</f>
        <v xml:space="preserve"> - </v>
      </c>
      <c r="M241" t="str">
        <f>'All Girls &amp; Descendants'!O239</f>
        <v/>
      </c>
      <c r="N241" t="str">
        <f>'All Girls &amp; Descendants'!P239</f>
        <v/>
      </c>
      <c r="O241" t="str">
        <f>'All Girls &amp; Descendants'!Q239</f>
        <v>103b</v>
      </c>
      <c r="P241" t="str">
        <f t="shared" si="55"/>
        <v>103bd</v>
      </c>
      <c r="Q241" s="116">
        <f t="shared" si="56"/>
        <v>2</v>
      </c>
      <c r="R241" s="31" t="str">
        <f t="shared" si="57"/>
        <v>Claire Georgina  PILKINGTON</v>
      </c>
      <c r="S241" t="str">
        <f t="shared" si="58"/>
        <v>Claire PILKINGTON (1979 - :  #103bd)</v>
      </c>
    </row>
    <row r="242" spans="1:19">
      <c r="A242">
        <f>'All Girls &amp; Descendants'!B240</f>
        <v>103</v>
      </c>
      <c r="B242" t="str">
        <f>'All Girls &amp; Descendants'!C240</f>
        <v>103ca</v>
      </c>
      <c r="C242" t="str">
        <f>'All Girls &amp; Descendants'!D240</f>
        <v>GORE-BROWNE</v>
      </c>
      <c r="D242" t="str">
        <f>'All Girls &amp; Descendants'!E240</f>
        <v>William</v>
      </c>
      <c r="E242" t="str">
        <f>IF('All Girls &amp; Descendants'!F240="","",'All Girls &amp; Descendants'!F240)</f>
        <v>Thomas</v>
      </c>
      <c r="F242" t="str">
        <f>IF('All Girls &amp; Descendants'!G240="","",'All Girls &amp; Descendants'!G240)</f>
        <v/>
      </c>
      <c r="G242" t="str">
        <f>IF('All Girls &amp; Descendants'!H240="",D242,'All Girls &amp; Descendants'!H240)</f>
        <v>William</v>
      </c>
      <c r="H242">
        <f>'All Girls &amp; Descendants'!I240</f>
        <v>1988</v>
      </c>
      <c r="I242" t="str">
        <f>'All Girls &amp; Descendants'!J240</f>
        <v/>
      </c>
      <c r="K242" s="3">
        <f>'All Girls &amp; Descendants'!M240</f>
        <v>32291</v>
      </c>
      <c r="L242" s="3" t="str">
        <f>'All Girls &amp; Descendants'!N240</f>
        <v xml:space="preserve"> - </v>
      </c>
      <c r="M242" t="str">
        <f>'All Girls &amp; Descendants'!O240</f>
        <v/>
      </c>
      <c r="N242" t="str">
        <f>'All Girls &amp; Descendants'!P240</f>
        <v/>
      </c>
      <c r="O242" t="str">
        <f>'All Girls &amp; Descendants'!Q240</f>
        <v>103c</v>
      </c>
      <c r="P242" t="str">
        <f t="shared" si="55"/>
        <v>103ca</v>
      </c>
      <c r="Q242" s="116">
        <f t="shared" si="56"/>
        <v>2</v>
      </c>
      <c r="R242" s="31" t="str">
        <f t="shared" si="57"/>
        <v>William Thomas  GORE-BROWNE</v>
      </c>
      <c r="S242" t="str">
        <f t="shared" si="58"/>
        <v>William GORE-BROWNE (1988 - :  #103ca)</v>
      </c>
    </row>
    <row r="243" spans="1:19">
      <c r="A243">
        <f>'All Girls &amp; Descendants'!B241</f>
        <v>103</v>
      </c>
      <c r="B243" t="str">
        <f>'All Girls &amp; Descendants'!C241</f>
        <v>103cb</v>
      </c>
      <c r="C243" t="str">
        <f>'All Girls &amp; Descendants'!D241</f>
        <v>GORE-BROWNE</v>
      </c>
      <c r="D243" t="str">
        <f>'All Girls &amp; Descendants'!E241</f>
        <v>Heather</v>
      </c>
      <c r="E243" t="str">
        <f>IF('All Girls &amp; Descendants'!F241="","",'All Girls &amp; Descendants'!F241)</f>
        <v>Caroline</v>
      </c>
      <c r="F243" t="str">
        <f>IF('All Girls &amp; Descendants'!G241="","",'All Girls &amp; Descendants'!G241)</f>
        <v>Mona</v>
      </c>
      <c r="G243" t="str">
        <f>IF('All Girls &amp; Descendants'!H241="",D243,'All Girls &amp; Descendants'!H241)</f>
        <v>Heather</v>
      </c>
      <c r="H243">
        <f>'All Girls &amp; Descendants'!I241</f>
        <v>1990</v>
      </c>
      <c r="I243" t="str">
        <f>'All Girls &amp; Descendants'!J241</f>
        <v/>
      </c>
      <c r="K243" s="3">
        <f>'All Girls &amp; Descendants'!M241</f>
        <v>32921</v>
      </c>
      <c r="L243" s="3" t="str">
        <f>'All Girls &amp; Descendants'!N241</f>
        <v xml:space="preserve"> - </v>
      </c>
      <c r="M243" t="str">
        <f>'All Girls &amp; Descendants'!O241</f>
        <v/>
      </c>
      <c r="N243" t="str">
        <f>'All Girls &amp; Descendants'!P241</f>
        <v/>
      </c>
      <c r="O243" t="str">
        <f>'All Girls &amp; Descendants'!Q241</f>
        <v>103c</v>
      </c>
      <c r="P243" t="str">
        <f t="shared" si="55"/>
        <v>103cb</v>
      </c>
      <c r="Q243" s="116">
        <f t="shared" si="56"/>
        <v>2</v>
      </c>
      <c r="R243" s="31" t="str">
        <f t="shared" si="57"/>
        <v>Heather Caroline Mona GORE-BROWNE</v>
      </c>
      <c r="S243" t="str">
        <f t="shared" si="58"/>
        <v>Heather GORE-BROWNE (1990 - :  #103cb)</v>
      </c>
    </row>
    <row r="244" spans="1:19">
      <c r="A244">
        <f>'All Girls &amp; Descendants'!B242</f>
        <v>103</v>
      </c>
      <c r="B244" t="str">
        <f>'All Girls &amp; Descendants'!C242</f>
        <v>103cc</v>
      </c>
      <c r="C244" t="str">
        <f>'All Girls &amp; Descendants'!D242</f>
        <v>GORE-BROWNE</v>
      </c>
      <c r="D244" t="str">
        <f>'All Girls &amp; Descendants'!E242</f>
        <v>Rose</v>
      </c>
      <c r="E244" t="str">
        <f>IF('All Girls &amp; Descendants'!F242="","",'All Girls &amp; Descendants'!F242)</f>
        <v>Elizabeth</v>
      </c>
      <c r="F244" t="str">
        <f>IF('All Girls &amp; Descendants'!G242="","",'All Girls &amp; Descendants'!G242)</f>
        <v>Lavinia</v>
      </c>
      <c r="G244" t="str">
        <f>IF('All Girls &amp; Descendants'!H242="",D244,'All Girls &amp; Descendants'!H242)</f>
        <v>Rose</v>
      </c>
      <c r="H244">
        <f>'All Girls &amp; Descendants'!I242</f>
        <v>1991</v>
      </c>
      <c r="I244" t="str">
        <f>'All Girls &amp; Descendants'!J242</f>
        <v/>
      </c>
      <c r="K244" s="3">
        <f>'All Girls &amp; Descendants'!M242</f>
        <v>33538</v>
      </c>
      <c r="L244" s="3" t="str">
        <f>'All Girls &amp; Descendants'!N242</f>
        <v xml:space="preserve"> - </v>
      </c>
      <c r="M244" t="str">
        <f>'All Girls &amp; Descendants'!O242</f>
        <v/>
      </c>
      <c r="N244" t="str">
        <f>'All Girls &amp; Descendants'!P242</f>
        <v/>
      </c>
      <c r="O244" t="str">
        <f>'All Girls &amp; Descendants'!Q242</f>
        <v>103c</v>
      </c>
      <c r="P244" t="str">
        <f t="shared" si="55"/>
        <v>103cc</v>
      </c>
      <c r="Q244" s="116">
        <f t="shared" si="56"/>
        <v>2</v>
      </c>
      <c r="R244" s="31" t="str">
        <f t="shared" si="57"/>
        <v>Rose Elizabeth Lavinia GORE-BROWNE</v>
      </c>
      <c r="S244" t="str">
        <f t="shared" si="58"/>
        <v>Rose GORE-BROWNE (1991 - :  #103cc)</v>
      </c>
    </row>
    <row r="245" spans="1:19">
      <c r="A245">
        <f>'All Girls &amp; Descendants'!B243</f>
        <v>103</v>
      </c>
      <c r="B245" t="str">
        <f>'All Girls &amp; Descendants'!C243</f>
        <v>103da</v>
      </c>
      <c r="C245" t="str">
        <f>'All Girls &amp; Descendants'!D243</f>
        <v>GORE-BROWNE</v>
      </c>
      <c r="D245" t="str">
        <f>'All Girls &amp; Descendants'!E243</f>
        <v>Sophie</v>
      </c>
      <c r="E245" t="str">
        <f>IF('All Girls &amp; Descendants'!F243="","",'All Girls &amp; Descendants'!F243)</f>
        <v>Mary</v>
      </c>
      <c r="F245" t="str">
        <f>IF('All Girls &amp; Descendants'!G243="","",'All Girls &amp; Descendants'!G243)</f>
        <v/>
      </c>
      <c r="G245" t="str">
        <f>IF('All Girls &amp; Descendants'!H243="",D245,'All Girls &amp; Descendants'!H243)</f>
        <v>Sophie</v>
      </c>
      <c r="H245">
        <f>'All Girls &amp; Descendants'!I243</f>
        <v>1985</v>
      </c>
      <c r="I245" t="str">
        <f>'All Girls &amp; Descendants'!J243</f>
        <v/>
      </c>
      <c r="K245" s="3">
        <f>'All Girls &amp; Descendants'!M243</f>
        <v>31134</v>
      </c>
      <c r="L245" s="3" t="str">
        <f>'All Girls &amp; Descendants'!N243</f>
        <v xml:space="preserve"> - </v>
      </c>
      <c r="M245" t="str">
        <f>'All Girls &amp; Descendants'!O243</f>
        <v/>
      </c>
      <c r="N245" t="str">
        <f>'All Girls &amp; Descendants'!P243</f>
        <v/>
      </c>
      <c r="O245" t="str">
        <f>'All Girls &amp; Descendants'!Q243</f>
        <v>103d</v>
      </c>
      <c r="P245" t="str">
        <f t="shared" si="55"/>
        <v>103da</v>
      </c>
      <c r="Q245" s="116">
        <f t="shared" si="56"/>
        <v>2</v>
      </c>
      <c r="R245" s="31" t="str">
        <f t="shared" si="57"/>
        <v>Sophie Mary  GORE-BROWNE</v>
      </c>
      <c r="S245" t="str">
        <f t="shared" si="58"/>
        <v>Sophie GORE-BROWNE (1985 - :  #103da)</v>
      </c>
    </row>
    <row r="246" spans="1:19">
      <c r="A246">
        <f>'All Girls &amp; Descendants'!B244</f>
        <v>103</v>
      </c>
      <c r="B246" t="str">
        <f>'All Girls &amp; Descendants'!C244</f>
        <v>103db</v>
      </c>
      <c r="C246" t="str">
        <f>'All Girls &amp; Descendants'!D244</f>
        <v>GORE-BROWNE</v>
      </c>
      <c r="D246" t="str">
        <f>'All Girls &amp; Descendants'!E244</f>
        <v>Elizabeth</v>
      </c>
      <c r="E246" t="str">
        <f>IF('All Girls &amp; Descendants'!F244="","",'All Girls &amp; Descendants'!F244)</f>
        <v>Clare</v>
      </c>
      <c r="F246" t="str">
        <f>IF('All Girls &amp; Descendants'!G244="","",'All Girls &amp; Descendants'!G244)</f>
        <v/>
      </c>
      <c r="G246" t="str">
        <f>IF('All Girls &amp; Descendants'!H244="",D246,'All Girls &amp; Descendants'!H244)</f>
        <v>Elizabeth</v>
      </c>
      <c r="H246">
        <f>'All Girls &amp; Descendants'!I244</f>
        <v>1988</v>
      </c>
      <c r="I246" t="str">
        <f>'All Girls &amp; Descendants'!J244</f>
        <v/>
      </c>
      <c r="K246" s="3">
        <f>'All Girls &amp; Descendants'!M244</f>
        <v>32281</v>
      </c>
      <c r="L246" s="3" t="str">
        <f>'All Girls &amp; Descendants'!N244</f>
        <v xml:space="preserve"> - </v>
      </c>
      <c r="M246" t="str">
        <f>'All Girls &amp; Descendants'!O244</f>
        <v/>
      </c>
      <c r="N246" t="str">
        <f>'All Girls &amp; Descendants'!P244</f>
        <v/>
      </c>
      <c r="O246" t="str">
        <f>'All Girls &amp; Descendants'!Q244</f>
        <v>103d</v>
      </c>
      <c r="P246" t="str">
        <f t="shared" si="55"/>
        <v>103db</v>
      </c>
      <c r="Q246" s="116">
        <f t="shared" si="56"/>
        <v>2</v>
      </c>
      <c r="R246" s="31" t="str">
        <f t="shared" si="57"/>
        <v>Elizabeth Clare  GORE-BROWNE</v>
      </c>
      <c r="S246" t="str">
        <f t="shared" si="58"/>
        <v>Elizabeth GORE-BROWNE (1988 - :  #103db)</v>
      </c>
    </row>
    <row r="247" spans="1:19">
      <c r="A247">
        <f>'All Girls &amp; Descendants'!B245</f>
        <v>103</v>
      </c>
      <c r="B247" t="str">
        <f>'All Girls &amp; Descendants'!C245</f>
        <v>103dc</v>
      </c>
      <c r="C247" t="str">
        <f>'All Girls &amp; Descendants'!D245</f>
        <v>GORE-BROWNE</v>
      </c>
      <c r="D247" t="str">
        <f>'All Girls &amp; Descendants'!E245</f>
        <v>Georgina</v>
      </c>
      <c r="E247" t="str">
        <f>IF('All Girls &amp; Descendants'!F245="","",'All Girls &amp; Descendants'!F245)</f>
        <v>Sarah</v>
      </c>
      <c r="F247" t="str">
        <f>IF('All Girls &amp; Descendants'!G245="","",'All Girls &amp; Descendants'!G245)</f>
        <v/>
      </c>
      <c r="G247" t="str">
        <f>IF('All Girls &amp; Descendants'!H245="",D247,'All Girls &amp; Descendants'!H245)</f>
        <v>Georgina</v>
      </c>
      <c r="H247">
        <f>'All Girls &amp; Descendants'!I245</f>
        <v>1992</v>
      </c>
      <c r="I247" t="str">
        <f>'All Girls &amp; Descendants'!J245</f>
        <v/>
      </c>
      <c r="K247" s="3">
        <f>'All Girls &amp; Descendants'!M245</f>
        <v>33677</v>
      </c>
      <c r="L247" s="3" t="str">
        <f>'All Girls &amp; Descendants'!N245</f>
        <v xml:space="preserve"> - </v>
      </c>
      <c r="M247" t="str">
        <f>'All Girls &amp; Descendants'!O245</f>
        <v/>
      </c>
      <c r="N247" t="str">
        <f>'All Girls &amp; Descendants'!P245</f>
        <v/>
      </c>
      <c r="O247" t="str">
        <f>'All Girls &amp; Descendants'!Q245</f>
        <v>103d</v>
      </c>
      <c r="P247" t="str">
        <f t="shared" si="55"/>
        <v>103dc</v>
      </c>
      <c r="Q247" s="116">
        <f t="shared" si="56"/>
        <v>2</v>
      </c>
      <c r="R247" s="31" t="str">
        <f t="shared" si="57"/>
        <v>Georgina Sarah  GORE-BROWNE</v>
      </c>
      <c r="S247" t="str">
        <f t="shared" si="58"/>
        <v>Georgina GORE-BROWNE (1992 - :  #103dc)</v>
      </c>
    </row>
    <row r="248" spans="1:19">
      <c r="A248">
        <f>'All Girls &amp; Descendants'!B246</f>
        <v>106</v>
      </c>
      <c r="B248" t="str">
        <f>'All Girls &amp; Descendants'!C246</f>
        <v>106aa</v>
      </c>
      <c r="C248" t="str">
        <f>'All Girls &amp; Descendants'!D246</f>
        <v>BLACKETT</v>
      </c>
      <c r="D248" t="str">
        <f>'All Girls &amp; Descendants'!E246</f>
        <v>Helena</v>
      </c>
      <c r="E248" t="str">
        <f>IF('All Girls &amp; Descendants'!F246="","",'All Girls &amp; Descendants'!F246)</f>
        <v>Charlotte</v>
      </c>
      <c r="F248" t="str">
        <f>IF('All Girls &amp; Descendants'!G246="","",'All Girls &amp; Descendants'!G246)</f>
        <v>Rose</v>
      </c>
      <c r="G248" t="str">
        <f>IF('All Girls &amp; Descendants'!H246="",D248,'All Girls &amp; Descendants'!H246)</f>
        <v>Charlotte</v>
      </c>
      <c r="H248">
        <f>'All Girls &amp; Descendants'!I246</f>
        <v>1988</v>
      </c>
      <c r="I248" t="str">
        <f>'All Girls &amp; Descendants'!J246</f>
        <v/>
      </c>
      <c r="K248" s="3">
        <f>'All Girls &amp; Descendants'!M246</f>
        <v>32408</v>
      </c>
      <c r="L248" s="3" t="str">
        <f>'All Girls &amp; Descendants'!N246</f>
        <v xml:space="preserve"> - </v>
      </c>
      <c r="M248" t="str">
        <f>'All Girls &amp; Descendants'!O246</f>
        <v/>
      </c>
      <c r="N248" t="str">
        <f>'All Girls &amp; Descendants'!P246</f>
        <v/>
      </c>
      <c r="O248" t="str">
        <f>'All Girls &amp; Descendants'!Q246</f>
        <v>106a</v>
      </c>
      <c r="P248" t="str">
        <f t="shared" si="55"/>
        <v>106aa</v>
      </c>
      <c r="Q248" s="116">
        <f t="shared" si="56"/>
        <v>2</v>
      </c>
      <c r="R248" s="31" t="str">
        <f t="shared" si="57"/>
        <v>Helena Charlotte Rose BLACKETT</v>
      </c>
      <c r="S248" t="str">
        <f t="shared" si="58"/>
        <v>Charlotte BLACKETT (1988 - :  #106aa)</v>
      </c>
    </row>
    <row r="249" spans="1:19">
      <c r="A249">
        <f>'All Girls &amp; Descendants'!B247</f>
        <v>106</v>
      </c>
      <c r="B249" t="str">
        <f>'All Girls &amp; Descendants'!C247</f>
        <v>106ab</v>
      </c>
      <c r="C249" t="str">
        <f>'All Girls &amp; Descendants'!D247</f>
        <v>BLACKETT</v>
      </c>
      <c r="D249" t="str">
        <f>'All Girls &amp; Descendants'!E247</f>
        <v>Camilla</v>
      </c>
      <c r="E249" t="str">
        <f>IF('All Girls &amp; Descendants'!F247="","",'All Girls &amp; Descendants'!F247)</f>
        <v>Harriet</v>
      </c>
      <c r="F249" t="str">
        <f>IF('All Girls &amp; Descendants'!G247="","",'All Girls &amp; Descendants'!G247)</f>
        <v>Eve</v>
      </c>
      <c r="G249" t="str">
        <f>IF('All Girls &amp; Descendants'!H247="",D249,'All Girls &amp; Descendants'!H247)</f>
        <v>Eve</v>
      </c>
      <c r="H249">
        <f>'All Girls &amp; Descendants'!I247</f>
        <v>1989</v>
      </c>
      <c r="I249" t="str">
        <f>'All Girls &amp; Descendants'!J247</f>
        <v/>
      </c>
      <c r="K249" s="3">
        <f>'All Girls &amp; Descendants'!M247</f>
        <v>32835</v>
      </c>
      <c r="L249" s="3" t="str">
        <f>'All Girls &amp; Descendants'!N247</f>
        <v xml:space="preserve"> - </v>
      </c>
      <c r="M249" t="str">
        <f>'All Girls &amp; Descendants'!O247</f>
        <v/>
      </c>
      <c r="N249" t="str">
        <f>'All Girls &amp; Descendants'!P247</f>
        <v/>
      </c>
      <c r="O249" t="str">
        <f>'All Girls &amp; Descendants'!Q247</f>
        <v>106a</v>
      </c>
      <c r="P249" t="str">
        <f t="shared" si="55"/>
        <v>106ab</v>
      </c>
      <c r="Q249" s="116">
        <f t="shared" si="56"/>
        <v>2</v>
      </c>
      <c r="R249" s="31" t="str">
        <f t="shared" si="57"/>
        <v>Camilla Harriet Eve BLACKETT</v>
      </c>
      <c r="S249" t="str">
        <f t="shared" si="58"/>
        <v>Eve BLACKETT (1989 - :  #106ab)</v>
      </c>
    </row>
    <row r="250" spans="1:19">
      <c r="A250">
        <f>'All Girls &amp; Descendants'!B248</f>
        <v>106</v>
      </c>
      <c r="B250" t="str">
        <f>'All Girls &amp; Descendants'!C248</f>
        <v>106ac</v>
      </c>
      <c r="C250" t="str">
        <f>'All Girls &amp; Descendants'!D248</f>
        <v>BLACKETT</v>
      </c>
      <c r="D250" t="str">
        <f>'All Girls &amp; Descendants'!E248</f>
        <v>Letitia</v>
      </c>
      <c r="E250" t="str">
        <f>IF('All Girls &amp; Descendants'!F248="","",'All Girls &amp; Descendants'!F248)</f>
        <v>Sarah</v>
      </c>
      <c r="F250" t="str">
        <f>IF('All Girls &amp; Descendants'!G248="","",'All Girls &amp; Descendants'!G248)</f>
        <v>Alice</v>
      </c>
      <c r="G250" t="str">
        <f>IF('All Girls &amp; Descendants'!H248="",D250,'All Girls &amp; Descendants'!H248)</f>
        <v>Lettie</v>
      </c>
      <c r="H250">
        <f>'All Girls &amp; Descendants'!I248</f>
        <v>1991</v>
      </c>
      <c r="I250" t="str">
        <f>'All Girls &amp; Descendants'!J248</f>
        <v/>
      </c>
      <c r="K250" s="3">
        <f>'All Girls &amp; Descendants'!M248</f>
        <v>33456</v>
      </c>
      <c r="L250" s="3" t="str">
        <f>'All Girls &amp; Descendants'!N248</f>
        <v xml:space="preserve"> - </v>
      </c>
      <c r="M250" t="str">
        <f>'All Girls &amp; Descendants'!O248</f>
        <v/>
      </c>
      <c r="N250" t="str">
        <f>'All Girls &amp; Descendants'!P248</f>
        <v/>
      </c>
      <c r="O250" t="str">
        <f>'All Girls &amp; Descendants'!Q248</f>
        <v>106a</v>
      </c>
      <c r="P250" t="str">
        <f t="shared" si="55"/>
        <v>106ac</v>
      </c>
      <c r="Q250" s="116">
        <f t="shared" si="56"/>
        <v>2</v>
      </c>
      <c r="R250" s="31" t="str">
        <f t="shared" si="57"/>
        <v>Letitia Sarah Alice BLACKETT</v>
      </c>
      <c r="S250" t="str">
        <f t="shared" si="58"/>
        <v>Lettie BLACKETT (1991 - :  #106ac)</v>
      </c>
    </row>
    <row r="251" spans="1:19">
      <c r="A251">
        <f>'All Girls &amp; Descendants'!B249</f>
        <v>106</v>
      </c>
      <c r="B251" t="str">
        <f>'All Girls &amp; Descendants'!C249</f>
        <v>106ad</v>
      </c>
      <c r="C251" t="str">
        <f>'All Girls &amp; Descendants'!D249</f>
        <v>BLACKETT</v>
      </c>
      <c r="D251" t="str">
        <f>'All Girls &amp; Descendants'!E249</f>
        <v>Annabel</v>
      </c>
      <c r="E251" t="str">
        <f>IF('All Girls &amp; Descendants'!F249="","",'All Girls &amp; Descendants'!F249)</f>
        <v>Victoria</v>
      </c>
      <c r="F251" t="str">
        <f>IF('All Girls &amp; Descendants'!G249="","",'All Girls &amp; Descendants'!G249)</f>
        <v>Louisa</v>
      </c>
      <c r="G251" t="str">
        <f>IF('All Girls &amp; Descendants'!H249="",D251,'All Girls &amp; Descendants'!H249)</f>
        <v>Annabel</v>
      </c>
      <c r="H251">
        <f>'All Girls &amp; Descendants'!I249</f>
        <v>1993</v>
      </c>
      <c r="I251" t="str">
        <f>'All Girls &amp; Descendants'!J249</f>
        <v/>
      </c>
      <c r="K251" s="3">
        <f>'All Girls &amp; Descendants'!M249</f>
        <v>34052</v>
      </c>
      <c r="L251" s="3" t="str">
        <f>'All Girls &amp; Descendants'!N249</f>
        <v xml:space="preserve"> - </v>
      </c>
      <c r="M251" t="str">
        <f>'All Girls &amp; Descendants'!O249</f>
        <v/>
      </c>
      <c r="N251" t="str">
        <f>'All Girls &amp; Descendants'!P249</f>
        <v/>
      </c>
      <c r="O251" t="str">
        <f>'All Girls &amp; Descendants'!Q249</f>
        <v>106a</v>
      </c>
      <c r="P251" t="str">
        <f t="shared" si="55"/>
        <v>106ad</v>
      </c>
      <c r="Q251" s="116">
        <f t="shared" si="56"/>
        <v>2</v>
      </c>
      <c r="R251" s="31" t="str">
        <f t="shared" si="57"/>
        <v>Annabel Victoria Louisa BLACKETT</v>
      </c>
      <c r="S251" t="str">
        <f t="shared" si="58"/>
        <v>Annabel BLACKETT (1993 - :  #106ad)</v>
      </c>
    </row>
    <row r="252" spans="1:19">
      <c r="A252">
        <f>'All Girls &amp; Descendants'!B250</f>
        <v>106</v>
      </c>
      <c r="B252" t="str">
        <f>'All Girls &amp; Descendants'!C250</f>
        <v>106ba</v>
      </c>
      <c r="C252" t="str">
        <f>'All Girls &amp; Descendants'!D250</f>
        <v>WINN</v>
      </c>
      <c r="D252" t="str">
        <f>'All Girls &amp; Descendants'!E250</f>
        <v>The Hon Rowland</v>
      </c>
      <c r="E252" t="str">
        <f>IF('All Girls &amp; Descendants'!F250="","",'All Girls &amp; Descendants'!F250)</f>
        <v>Charles</v>
      </c>
      <c r="F252" t="str">
        <f>IF('All Girls &amp; Descendants'!G250="","",'All Girls &amp; Descendants'!G250)</f>
        <v>Sebastian Henry</v>
      </c>
      <c r="G252" t="str">
        <f>IF('All Girls &amp; Descendants'!H250="",D252,'All Girls &amp; Descendants'!H250)</f>
        <v>The Hon Rowland</v>
      </c>
      <c r="H252">
        <f>'All Girls &amp; Descendants'!I250</f>
        <v>1986</v>
      </c>
      <c r="I252" t="str">
        <f>'All Girls &amp; Descendants'!J250</f>
        <v/>
      </c>
      <c r="K252" s="3">
        <f>'All Girls &amp; Descendants'!M250</f>
        <v>31517</v>
      </c>
      <c r="L252" s="3" t="str">
        <f>'All Girls &amp; Descendants'!N250</f>
        <v xml:space="preserve"> - </v>
      </c>
      <c r="M252" t="str">
        <f>'All Girls &amp; Descendants'!O250</f>
        <v/>
      </c>
      <c r="N252" t="str">
        <f>'All Girls &amp; Descendants'!P250</f>
        <v/>
      </c>
      <c r="O252" t="str">
        <f>'All Girls &amp; Descendants'!Q250</f>
        <v>106b</v>
      </c>
      <c r="P252" t="str">
        <f t="shared" si="55"/>
        <v>106ba</v>
      </c>
      <c r="Q252" s="116">
        <f t="shared" si="56"/>
        <v>2</v>
      </c>
      <c r="R252" s="31" t="str">
        <f t="shared" si="57"/>
        <v>The Hon Rowland Charles Sebastian Henry WINN</v>
      </c>
      <c r="S252" t="str">
        <f t="shared" si="58"/>
        <v>The Hon Rowland WINN (1986 - :  #106ba)</v>
      </c>
    </row>
    <row r="253" spans="1:19">
      <c r="A253">
        <f>'All Girls &amp; Descendants'!B251</f>
        <v>106</v>
      </c>
      <c r="B253" t="str">
        <f>'All Girls &amp; Descendants'!C251</f>
        <v>106bb</v>
      </c>
      <c r="C253" t="str">
        <f>'All Girls &amp; Descendants'!D251</f>
        <v>WINN</v>
      </c>
      <c r="D253" t="str">
        <f>'All Girls &amp; Descendants'!E251</f>
        <v>The Hon Henrietta</v>
      </c>
      <c r="E253" t="str">
        <f>IF('All Girls &amp; Descendants'!F251="","",'All Girls &amp; Descendants'!F251)</f>
        <v>Sophia</v>
      </c>
      <c r="F253" t="str">
        <f>IF('All Girls &amp; Descendants'!G251="","",'All Girls &amp; Descendants'!G251)</f>
        <v>Alexandra</v>
      </c>
      <c r="G253" t="str">
        <f>IF('All Girls &amp; Descendants'!H251="",D253,'All Girls &amp; Descendants'!H251)</f>
        <v>The Hon Henrietta</v>
      </c>
      <c r="H253">
        <f>'All Girls &amp; Descendants'!I251</f>
        <v>1993</v>
      </c>
      <c r="I253" t="str">
        <f>'All Girls &amp; Descendants'!J251</f>
        <v/>
      </c>
      <c r="K253" s="3">
        <f>'All Girls &amp; Descendants'!M251</f>
        <v>34081</v>
      </c>
      <c r="L253" s="3" t="str">
        <f>'All Girls &amp; Descendants'!N251</f>
        <v xml:space="preserve"> - </v>
      </c>
      <c r="M253" t="str">
        <f>'All Girls &amp; Descendants'!O251</f>
        <v/>
      </c>
      <c r="N253" t="str">
        <f>'All Girls &amp; Descendants'!P251</f>
        <v/>
      </c>
      <c r="O253" t="str">
        <f>'All Girls &amp; Descendants'!Q251</f>
        <v>106b</v>
      </c>
      <c r="P253" t="str">
        <f t="shared" si="55"/>
        <v>106bb</v>
      </c>
      <c r="Q253" s="116">
        <f t="shared" si="56"/>
        <v>2</v>
      </c>
      <c r="R253" s="31" t="str">
        <f t="shared" si="57"/>
        <v>The Hon Henrietta Sophia Alexandra WINN</v>
      </c>
      <c r="S253" t="str">
        <f t="shared" si="58"/>
        <v>The Hon Henrietta WINN (1993 - :  #106bb)</v>
      </c>
    </row>
    <row r="254" spans="1:19">
      <c r="A254">
        <f>'All Girls &amp; Descendants'!B252</f>
        <v>107</v>
      </c>
      <c r="B254" t="str">
        <f>'All Girls &amp; Descendants'!C252</f>
        <v>107aa</v>
      </c>
      <c r="C254" t="str">
        <f>'All Girls &amp; Descendants'!D252</f>
        <v>RUSSELL</v>
      </c>
      <c r="D254" t="str">
        <f>'All Girls &amp; Descendants'!E252</f>
        <v>Edward</v>
      </c>
      <c r="E254" t="str">
        <f>IF('All Girls &amp; Descendants'!F252="","",'All Girls &amp; Descendants'!F252)</f>
        <v>Allen</v>
      </c>
      <c r="F254" t="str">
        <f>IF('All Girls &amp; Descendants'!G252="","",'All Girls &amp; Descendants'!G252)</f>
        <v/>
      </c>
      <c r="G254" t="str">
        <f>IF('All Girls &amp; Descendants'!H252="",D254,'All Girls &amp; Descendants'!H252)</f>
        <v>Edward</v>
      </c>
      <c r="H254">
        <f>'All Girls &amp; Descendants'!I252</f>
        <v>1976</v>
      </c>
      <c r="I254" t="str">
        <f>'All Girls &amp; Descendants'!J252</f>
        <v/>
      </c>
      <c r="K254" s="3">
        <f>'All Girls &amp; Descendants'!M252</f>
        <v>28012</v>
      </c>
      <c r="L254" s="3" t="str">
        <f>'All Girls &amp; Descendants'!N252</f>
        <v xml:space="preserve"> - </v>
      </c>
      <c r="M254" t="str">
        <f>'All Girls &amp; Descendants'!O252</f>
        <v/>
      </c>
      <c r="N254" t="str">
        <f>'All Girls &amp; Descendants'!P252</f>
        <v/>
      </c>
      <c r="O254" t="str">
        <f>'All Girls &amp; Descendants'!Q252</f>
        <v>107a</v>
      </c>
      <c r="P254" t="str">
        <f t="shared" si="55"/>
        <v>107aa</v>
      </c>
      <c r="Q254" s="116">
        <f t="shared" si="56"/>
        <v>2</v>
      </c>
      <c r="R254" s="31" t="str">
        <f t="shared" si="57"/>
        <v>Edward Allen  RUSSELL</v>
      </c>
      <c r="S254" t="str">
        <f t="shared" si="58"/>
        <v>Edward RUSSELL (1976 - :  #107aa)</v>
      </c>
    </row>
    <row r="255" spans="1:19">
      <c r="A255">
        <f>'All Girls &amp; Descendants'!B253</f>
        <v>107</v>
      </c>
      <c r="B255" t="str">
        <f>'All Girls &amp; Descendants'!C253</f>
        <v>107ab</v>
      </c>
      <c r="C255" t="str">
        <f>'All Girls &amp; Descendants'!D253</f>
        <v>AMY</v>
      </c>
      <c r="D255" t="str">
        <f>'All Girls &amp; Descendants'!E253</f>
        <v>Mathew</v>
      </c>
      <c r="E255" t="str">
        <f>IF('All Girls &amp; Descendants'!F253="","",'All Girls &amp; Descendants'!F253)</f>
        <v>Howard</v>
      </c>
      <c r="F255" t="str">
        <f>IF('All Girls &amp; Descendants'!G253="","",'All Girls &amp; Descendants'!G253)</f>
        <v/>
      </c>
      <c r="G255" t="str">
        <f>IF('All Girls &amp; Descendants'!H253="",D255,'All Girls &amp; Descendants'!H253)</f>
        <v>Mathew</v>
      </c>
      <c r="H255">
        <f>'All Girls &amp; Descendants'!I253</f>
        <v>1981</v>
      </c>
      <c r="I255" t="str">
        <f>'All Girls &amp; Descendants'!J253</f>
        <v/>
      </c>
      <c r="K255" s="3">
        <f>'All Girls &amp; Descendants'!M253</f>
        <v>29743</v>
      </c>
      <c r="L255" s="3" t="str">
        <f>'All Girls &amp; Descendants'!N253</f>
        <v xml:space="preserve"> - </v>
      </c>
      <c r="M255" t="str">
        <f>'All Girls &amp; Descendants'!O253</f>
        <v/>
      </c>
      <c r="N255" t="str">
        <f>'All Girls &amp; Descendants'!P253</f>
        <v/>
      </c>
      <c r="O255" t="str">
        <f>'All Girls &amp; Descendants'!Q253</f>
        <v>107a</v>
      </c>
      <c r="P255" t="str">
        <f t="shared" si="55"/>
        <v>107ab</v>
      </c>
      <c r="Q255" s="116">
        <f t="shared" si="56"/>
        <v>2</v>
      </c>
      <c r="R255" s="31" t="str">
        <f t="shared" si="57"/>
        <v>Mathew Howard  AMY</v>
      </c>
      <c r="S255" t="str">
        <f t="shared" si="58"/>
        <v>Mathew AMY (1981 - :  #107ab)</v>
      </c>
    </row>
    <row r="256" spans="1:19">
      <c r="A256">
        <f>'All Girls &amp; Descendants'!B254</f>
        <v>107</v>
      </c>
      <c r="B256" t="str">
        <f>'All Girls &amp; Descendants'!C254</f>
        <v>107ac</v>
      </c>
      <c r="C256" t="str">
        <f>'All Girls &amp; Descendants'!D254</f>
        <v>AMY</v>
      </c>
      <c r="D256" t="str">
        <f>'All Girls &amp; Descendants'!E254</f>
        <v>Michael</v>
      </c>
      <c r="E256" t="str">
        <f>IF('All Girls &amp; Descendants'!F254="","",'All Girls &amp; Descendants'!F254)</f>
        <v>William</v>
      </c>
      <c r="F256" t="str">
        <f>IF('All Girls &amp; Descendants'!G254="","",'All Girls &amp; Descendants'!G254)</f>
        <v/>
      </c>
      <c r="G256" t="str">
        <f>IF('All Girls &amp; Descendants'!H254="",D256,'All Girls &amp; Descendants'!H254)</f>
        <v>Michael</v>
      </c>
      <c r="H256">
        <f>'All Girls &amp; Descendants'!I254</f>
        <v>1981</v>
      </c>
      <c r="I256" t="str">
        <f>'All Girls &amp; Descendants'!J254</f>
        <v/>
      </c>
      <c r="K256" s="3">
        <f>'All Girls &amp; Descendants'!M254</f>
        <v>29743</v>
      </c>
      <c r="L256" s="3" t="str">
        <f>'All Girls &amp; Descendants'!N254</f>
        <v xml:space="preserve"> - </v>
      </c>
      <c r="M256" t="str">
        <f>'All Girls &amp; Descendants'!O254</f>
        <v/>
      </c>
      <c r="N256" t="str">
        <f>'All Girls &amp; Descendants'!P254</f>
        <v/>
      </c>
      <c r="O256" t="str">
        <f>'All Girls &amp; Descendants'!Q254</f>
        <v>107a</v>
      </c>
      <c r="P256" t="str">
        <f t="shared" si="55"/>
        <v>107ac</v>
      </c>
      <c r="Q256" s="116">
        <f t="shared" si="56"/>
        <v>2</v>
      </c>
      <c r="R256" s="31" t="str">
        <f t="shared" si="57"/>
        <v>Michael William  AMY</v>
      </c>
      <c r="S256" t="str">
        <f t="shared" si="58"/>
        <v>Michael AMY (1981 - :  #107ac)</v>
      </c>
    </row>
    <row r="257" spans="1:19">
      <c r="A257">
        <f>'All Girls &amp; Descendants'!B255</f>
        <v>107</v>
      </c>
      <c r="B257" t="str">
        <f>'All Girls &amp; Descendants'!C255</f>
        <v>107ad</v>
      </c>
      <c r="C257" t="str">
        <f>'All Girls &amp; Descendants'!D255</f>
        <v>AMY</v>
      </c>
      <c r="D257" t="str">
        <f>'All Girls &amp; Descendants'!E255</f>
        <v>Jonathon</v>
      </c>
      <c r="E257" t="str">
        <f>IF('All Girls &amp; Descendants'!F255="","",'All Girls &amp; Descendants'!F255)</f>
        <v>Glen</v>
      </c>
      <c r="F257" t="str">
        <f>IF('All Girls &amp; Descendants'!G255="","",'All Girls &amp; Descendants'!G255)</f>
        <v/>
      </c>
      <c r="G257" t="str">
        <f>IF('All Girls &amp; Descendants'!H255="",D257,'All Girls &amp; Descendants'!H255)</f>
        <v>Jonathon</v>
      </c>
      <c r="H257">
        <f>'All Girls &amp; Descendants'!I255</f>
        <v>1983</v>
      </c>
      <c r="I257" t="str">
        <f>'All Girls &amp; Descendants'!J255</f>
        <v/>
      </c>
      <c r="K257" s="3">
        <f>'All Girls &amp; Descendants'!M255</f>
        <v>30528</v>
      </c>
      <c r="L257" s="3" t="str">
        <f>'All Girls &amp; Descendants'!N255</f>
        <v xml:space="preserve"> - </v>
      </c>
      <c r="M257" t="str">
        <f>'All Girls &amp; Descendants'!O255</f>
        <v/>
      </c>
      <c r="N257" t="str">
        <f>'All Girls &amp; Descendants'!P255</f>
        <v/>
      </c>
      <c r="O257" t="str">
        <f>'All Girls &amp; Descendants'!Q255</f>
        <v>107a</v>
      </c>
      <c r="P257" t="str">
        <f t="shared" si="55"/>
        <v>107ad</v>
      </c>
      <c r="Q257" s="116">
        <f t="shared" si="56"/>
        <v>2</v>
      </c>
      <c r="R257" s="31" t="str">
        <f t="shared" si="57"/>
        <v>Jonathon Glen  AMY</v>
      </c>
      <c r="S257" t="str">
        <f t="shared" si="58"/>
        <v>Jonathon AMY (1983 - :  #107ad)</v>
      </c>
    </row>
    <row r="258" spans="1:19">
      <c r="A258">
        <f>'All Girls &amp; Descendants'!B256</f>
        <v>107</v>
      </c>
      <c r="B258" t="str">
        <f>'All Girls &amp; Descendants'!C256</f>
        <v>107ba</v>
      </c>
      <c r="C258" t="str">
        <f>'All Girls &amp; Descendants'!D256</f>
        <v>THOMPSON</v>
      </c>
      <c r="D258" t="str">
        <f>'All Girls &amp; Descendants'!E256</f>
        <v>Christopher</v>
      </c>
      <c r="E258" t="str">
        <f>IF('All Girls &amp; Descendants'!F256="","",'All Girls &amp; Descendants'!F256)</f>
        <v>Allen</v>
      </c>
      <c r="F258" t="str">
        <f>IF('All Girls &amp; Descendants'!G256="","",'All Girls &amp; Descendants'!G256)</f>
        <v/>
      </c>
      <c r="G258" t="str">
        <f>IF('All Girls &amp; Descendants'!H256="",D258,'All Girls &amp; Descendants'!H256)</f>
        <v>Christopher</v>
      </c>
      <c r="H258">
        <f>'All Girls &amp; Descendants'!I256</f>
        <v>1973</v>
      </c>
      <c r="I258" t="str">
        <f>'All Girls &amp; Descendants'!J256</f>
        <v/>
      </c>
      <c r="K258" s="3">
        <f>'All Girls &amp; Descendants'!M256</f>
        <v>26951</v>
      </c>
      <c r="L258" s="3" t="str">
        <f>'All Girls &amp; Descendants'!N256</f>
        <v xml:space="preserve"> - </v>
      </c>
      <c r="M258" t="str">
        <f>'All Girls &amp; Descendants'!O256</f>
        <v/>
      </c>
      <c r="N258" t="str">
        <f>'All Girls &amp; Descendants'!P256</f>
        <v/>
      </c>
      <c r="O258" t="str">
        <f>'All Girls &amp; Descendants'!Q256</f>
        <v>107b</v>
      </c>
      <c r="P258" t="str">
        <f t="shared" si="55"/>
        <v>107ba</v>
      </c>
      <c r="Q258" s="116">
        <f t="shared" si="56"/>
        <v>2</v>
      </c>
      <c r="R258" s="31" t="str">
        <f t="shared" si="57"/>
        <v>Christopher Allen  THOMPSON</v>
      </c>
      <c r="S258" t="str">
        <f t="shared" si="58"/>
        <v>Christopher THOMPSON (1973 - :  #107ba)</v>
      </c>
    </row>
    <row r="259" spans="1:19">
      <c r="A259">
        <f>'All Girls &amp; Descendants'!B257</f>
        <v>107</v>
      </c>
      <c r="B259" t="str">
        <f>'All Girls &amp; Descendants'!C257</f>
        <v>107bb</v>
      </c>
      <c r="C259" t="str">
        <f>'All Girls &amp; Descendants'!D257</f>
        <v>THOMPSON</v>
      </c>
      <c r="D259" t="str">
        <f>'All Girls &amp; Descendants'!E257</f>
        <v>George</v>
      </c>
      <c r="E259" t="str">
        <f>IF('All Girls &amp; Descendants'!F257="","",'All Girls &amp; Descendants'!F257)</f>
        <v>William</v>
      </c>
      <c r="F259" t="str">
        <f>IF('All Girls &amp; Descendants'!G257="","",'All Girls &amp; Descendants'!G257)</f>
        <v/>
      </c>
      <c r="G259" t="str">
        <f>IF('All Girls &amp; Descendants'!H257="",D259,'All Girls &amp; Descendants'!H257)</f>
        <v>George</v>
      </c>
      <c r="H259">
        <f>'All Girls &amp; Descendants'!I257</f>
        <v>1976</v>
      </c>
      <c r="I259" t="str">
        <f>'All Girls &amp; Descendants'!J257</f>
        <v/>
      </c>
      <c r="K259" s="3">
        <f>'All Girls &amp; Descendants'!M257</f>
        <v>28029</v>
      </c>
      <c r="L259" s="3" t="str">
        <f>'All Girls &amp; Descendants'!N257</f>
        <v xml:space="preserve"> - </v>
      </c>
      <c r="M259" t="str">
        <f>'All Girls &amp; Descendants'!O257</f>
        <v/>
      </c>
      <c r="N259" t="str">
        <f>'All Girls &amp; Descendants'!P257</f>
        <v/>
      </c>
      <c r="O259" t="str">
        <f>'All Girls &amp; Descendants'!Q257</f>
        <v>107b</v>
      </c>
      <c r="P259" t="str">
        <f t="shared" si="55"/>
        <v>107bb</v>
      </c>
      <c r="Q259" s="116">
        <f t="shared" si="56"/>
        <v>2</v>
      </c>
      <c r="R259" s="31" t="str">
        <f t="shared" si="57"/>
        <v>George William  THOMPSON</v>
      </c>
      <c r="S259" t="str">
        <f t="shared" si="58"/>
        <v>George THOMPSON (1976 - :  #107bb)</v>
      </c>
    </row>
    <row r="260" spans="1:19">
      <c r="A260">
        <f>'All Girls &amp; Descendants'!B258</f>
        <v>107</v>
      </c>
      <c r="B260" t="str">
        <f>'All Girls &amp; Descendants'!C258</f>
        <v>107bc</v>
      </c>
      <c r="C260" t="str">
        <f>'All Girls &amp; Descendants'!D258</f>
        <v>THOMPSON</v>
      </c>
      <c r="D260" t="str">
        <f>'All Girls &amp; Descendants'!E258</f>
        <v>Jeremy</v>
      </c>
      <c r="E260" t="str">
        <f>IF('All Girls &amp; Descendants'!F258="","",'All Girls &amp; Descendants'!F258)</f>
        <v>James</v>
      </c>
      <c r="F260" t="str">
        <f>IF('All Girls &amp; Descendants'!G258="","",'All Girls &amp; Descendants'!G258)</f>
        <v/>
      </c>
      <c r="G260" t="str">
        <f>IF('All Girls &amp; Descendants'!H258="",D260,'All Girls &amp; Descendants'!H258)</f>
        <v>Jeremy</v>
      </c>
      <c r="H260">
        <f>'All Girls &amp; Descendants'!I258</f>
        <v>1979</v>
      </c>
      <c r="I260" t="str">
        <f>'All Girls &amp; Descendants'!J258</f>
        <v/>
      </c>
      <c r="K260" s="3">
        <f>'All Girls &amp; Descendants'!M258</f>
        <v>28963</v>
      </c>
      <c r="L260" s="3" t="str">
        <f>'All Girls &amp; Descendants'!N258</f>
        <v xml:space="preserve"> - </v>
      </c>
      <c r="M260" t="str">
        <f>'All Girls &amp; Descendants'!O258</f>
        <v/>
      </c>
      <c r="N260" t="str">
        <f>'All Girls &amp; Descendants'!P258</f>
        <v/>
      </c>
      <c r="O260" t="str">
        <f>'All Girls &amp; Descendants'!Q258</f>
        <v>107b</v>
      </c>
      <c r="P260" t="str">
        <f t="shared" si="55"/>
        <v>107bc</v>
      </c>
      <c r="Q260" s="116">
        <f t="shared" si="56"/>
        <v>2</v>
      </c>
      <c r="R260" s="31" t="str">
        <f t="shared" si="57"/>
        <v>Jeremy James  THOMPSON</v>
      </c>
      <c r="S260" t="str">
        <f t="shared" si="58"/>
        <v>Jeremy THOMPSON (1979 - :  #107bc)</v>
      </c>
    </row>
    <row r="261" spans="1:19">
      <c r="A261">
        <f>'All Girls &amp; Descendants'!B259</f>
        <v>107</v>
      </c>
      <c r="B261" t="str">
        <f>'All Girls &amp; Descendants'!C259</f>
        <v>107ca</v>
      </c>
      <c r="C261" t="str">
        <f>'All Girls &amp; Descendants'!D259</f>
        <v>ORR</v>
      </c>
      <c r="D261" t="str">
        <f>'All Girls &amp; Descendants'!E259</f>
        <v>Charitie</v>
      </c>
      <c r="E261" t="str">
        <f>IF('All Girls &amp; Descendants'!F259="","",'All Girls &amp; Descendants'!F259)</f>
        <v>Lee</v>
      </c>
      <c r="F261" t="str">
        <f>IF('All Girls &amp; Descendants'!G259="","",'All Girls &amp; Descendants'!G259)</f>
        <v/>
      </c>
      <c r="G261" t="str">
        <f>IF('All Girls &amp; Descendants'!H259="",D261,'All Girls &amp; Descendants'!H259)</f>
        <v>Charitie</v>
      </c>
      <c r="H261">
        <f>'All Girls &amp; Descendants'!I259</f>
        <v>1978</v>
      </c>
      <c r="I261" t="str">
        <f>'All Girls &amp; Descendants'!J259</f>
        <v/>
      </c>
      <c r="K261" s="3">
        <f>'All Girls &amp; Descendants'!M259</f>
        <v>28695</v>
      </c>
      <c r="L261" s="3" t="str">
        <f>'All Girls &amp; Descendants'!N259</f>
        <v xml:space="preserve"> - </v>
      </c>
      <c r="M261" t="str">
        <f>'All Girls &amp; Descendants'!O259</f>
        <v/>
      </c>
      <c r="N261" t="str">
        <f>'All Girls &amp; Descendants'!P259</f>
        <v/>
      </c>
      <c r="O261" t="str">
        <f>'All Girls &amp; Descendants'!Q259</f>
        <v>107c</v>
      </c>
      <c r="P261" t="str">
        <f t="shared" si="55"/>
        <v>107ca</v>
      </c>
      <c r="Q261" s="116">
        <f t="shared" si="56"/>
        <v>2</v>
      </c>
      <c r="R261" s="31" t="str">
        <f t="shared" si="57"/>
        <v>Charitie Lee  ORR</v>
      </c>
      <c r="S261" t="str">
        <f t="shared" si="58"/>
        <v>Charitie ORR (1978 - :  #107ca)</v>
      </c>
    </row>
    <row r="262" spans="1:19">
      <c r="A262">
        <f>'All Girls &amp; Descendants'!B260</f>
        <v>107</v>
      </c>
      <c r="B262" t="str">
        <f>'All Girls &amp; Descendants'!C260</f>
        <v>107cb</v>
      </c>
      <c r="C262" t="str">
        <f>'All Girls &amp; Descendants'!D260</f>
        <v>ORR</v>
      </c>
      <c r="D262" t="str">
        <f>'All Girls &amp; Descendants'!E260</f>
        <v>Audrey</v>
      </c>
      <c r="E262" t="str">
        <f>IF('All Girls &amp; Descendants'!F260="","",'All Girls &amp; Descendants'!F260)</f>
        <v>Dawn</v>
      </c>
      <c r="F262" t="str">
        <f>IF('All Girls &amp; Descendants'!G260="","",'All Girls &amp; Descendants'!G260)</f>
        <v/>
      </c>
      <c r="G262" t="str">
        <f>IF('All Girls &amp; Descendants'!H260="",D262,'All Girls &amp; Descendants'!H260)</f>
        <v>Audrey</v>
      </c>
      <c r="H262">
        <f>'All Girls &amp; Descendants'!I260</f>
        <v>1980</v>
      </c>
      <c r="I262" t="str">
        <f>'All Girls &amp; Descendants'!J260</f>
        <v/>
      </c>
      <c r="K262" s="3">
        <f>'All Girls &amp; Descendants'!M260</f>
        <v>29414</v>
      </c>
      <c r="L262" s="3" t="str">
        <f>'All Girls &amp; Descendants'!N260</f>
        <v xml:space="preserve"> - </v>
      </c>
      <c r="M262" t="str">
        <f>'All Girls &amp; Descendants'!O260</f>
        <v/>
      </c>
      <c r="N262" t="str">
        <f>'All Girls &amp; Descendants'!P260</f>
        <v/>
      </c>
      <c r="O262" t="str">
        <f>'All Girls &amp; Descendants'!Q260</f>
        <v>107c</v>
      </c>
      <c r="P262" t="str">
        <f t="shared" si="55"/>
        <v>107cb</v>
      </c>
      <c r="Q262" s="116">
        <f t="shared" si="56"/>
        <v>2</v>
      </c>
      <c r="R262" s="31" t="str">
        <f t="shared" si="57"/>
        <v>Audrey Dawn  ORR</v>
      </c>
      <c r="S262" t="str">
        <f t="shared" si="58"/>
        <v>Audrey ORR (1980 - :  #107cb)</v>
      </c>
    </row>
    <row r="263" spans="1:19">
      <c r="A263">
        <f>'All Girls &amp; Descendants'!B261</f>
        <v>107</v>
      </c>
      <c r="B263" t="str">
        <f>'All Girls &amp; Descendants'!C261</f>
        <v>107cc</v>
      </c>
      <c r="C263" t="str">
        <f>'All Girls &amp; Descendants'!D261</f>
        <v>ORR</v>
      </c>
      <c r="D263" t="str">
        <f>'All Girls &amp; Descendants'!E261</f>
        <v>Michael</v>
      </c>
      <c r="E263" t="str">
        <f>IF('All Girls &amp; Descendants'!F261="","",'All Girls &amp; Descendants'!F261)</f>
        <v>Travis</v>
      </c>
      <c r="F263" t="str">
        <f>IF('All Girls &amp; Descendants'!G261="","",'All Girls &amp; Descendants'!G261)</f>
        <v>Kirkman</v>
      </c>
      <c r="G263" t="str">
        <f>IF('All Girls &amp; Descendants'!H261="",D263,'All Girls &amp; Descendants'!H261)</f>
        <v>Michael</v>
      </c>
      <c r="H263">
        <f>'All Girls &amp; Descendants'!I261</f>
        <v>1984</v>
      </c>
      <c r="I263" t="str">
        <f>'All Girls &amp; Descendants'!J261</f>
        <v/>
      </c>
      <c r="K263" s="3">
        <f>'All Girls &amp; Descendants'!M261</f>
        <v>30784</v>
      </c>
      <c r="L263" s="3" t="str">
        <f>'All Girls &amp; Descendants'!N261</f>
        <v xml:space="preserve"> - </v>
      </c>
      <c r="M263" t="str">
        <f>'All Girls &amp; Descendants'!O261</f>
        <v/>
      </c>
      <c r="N263" t="str">
        <f>'All Girls &amp; Descendants'!P261</f>
        <v/>
      </c>
      <c r="O263" t="str">
        <f>'All Girls &amp; Descendants'!Q261</f>
        <v>107c</v>
      </c>
      <c r="P263" t="str">
        <f t="shared" si="55"/>
        <v>107cc</v>
      </c>
      <c r="Q263" s="116">
        <f t="shared" si="56"/>
        <v>2</v>
      </c>
      <c r="R263" s="31" t="str">
        <f t="shared" si="57"/>
        <v>Michael Travis Kirkman ORR</v>
      </c>
      <c r="S263" t="str">
        <f t="shared" si="58"/>
        <v>Michael ORR (1984 - :  #107cc)</v>
      </c>
    </row>
    <row r="264" spans="1:19">
      <c r="A264">
        <f>'All Girls &amp; Descendants'!B262</f>
        <v>107</v>
      </c>
      <c r="B264" t="str">
        <f>'All Girls &amp; Descendants'!C262</f>
        <v>107cd</v>
      </c>
      <c r="C264" t="str">
        <f>'All Girls &amp; Descendants'!D262</f>
        <v>ORR</v>
      </c>
      <c r="D264" t="str">
        <f>'All Girls &amp; Descendants'!E262</f>
        <v>Seth</v>
      </c>
      <c r="E264" t="str">
        <f>IF('All Girls &amp; Descendants'!F262="","",'All Girls &amp; Descendants'!F262)</f>
        <v>Edward</v>
      </c>
      <c r="F264" t="str">
        <f>IF('All Girls &amp; Descendants'!G262="","",'All Girls &amp; Descendants'!G262)</f>
        <v/>
      </c>
      <c r="G264" t="str">
        <f>IF('All Girls &amp; Descendants'!H262="",D264,'All Girls &amp; Descendants'!H262)</f>
        <v>Seth</v>
      </c>
      <c r="H264">
        <f>'All Girls &amp; Descendants'!I262</f>
        <v>1986</v>
      </c>
      <c r="I264" t="str">
        <f>'All Girls &amp; Descendants'!J262</f>
        <v/>
      </c>
      <c r="K264" s="3">
        <f>'All Girls &amp; Descendants'!M262</f>
        <v>31711</v>
      </c>
      <c r="L264" s="3" t="str">
        <f>'All Girls &amp; Descendants'!N262</f>
        <v xml:space="preserve"> - </v>
      </c>
      <c r="M264" t="str">
        <f>'All Girls &amp; Descendants'!O262</f>
        <v/>
      </c>
      <c r="N264" t="str">
        <f>'All Girls &amp; Descendants'!P262</f>
        <v/>
      </c>
      <c r="O264" t="str">
        <f>'All Girls &amp; Descendants'!Q262</f>
        <v>107c</v>
      </c>
      <c r="P264" t="str">
        <f t="shared" si="55"/>
        <v>107cd</v>
      </c>
      <c r="Q264" s="116">
        <f t="shared" si="56"/>
        <v>2</v>
      </c>
      <c r="R264" s="31" t="str">
        <f t="shared" si="57"/>
        <v>Seth Edward  ORR</v>
      </c>
      <c r="S264" t="str">
        <f t="shared" si="58"/>
        <v>Seth ORR (1986 - :  #107cd)</v>
      </c>
    </row>
    <row r="265" spans="1:19">
      <c r="A265">
        <f>'All Girls &amp; Descendants'!B263</f>
        <v>107</v>
      </c>
      <c r="B265" t="str">
        <f>'All Girls &amp; Descendants'!C263</f>
        <v>107da</v>
      </c>
      <c r="C265" t="str">
        <f>'All Girls &amp; Descendants'!D263</f>
        <v>ORR</v>
      </c>
      <c r="D265" t="str">
        <f>'All Girls &amp; Descendants'!E263</f>
        <v>Brandy</v>
      </c>
      <c r="E265" t="str">
        <f>IF('All Girls &amp; Descendants'!F263="","",'All Girls &amp; Descendants'!F263)</f>
        <v>Marie</v>
      </c>
      <c r="F265" t="str">
        <f>IF('All Girls &amp; Descendants'!G263="","",'All Girls &amp; Descendants'!G263)</f>
        <v/>
      </c>
      <c r="G265" t="str">
        <f>IF('All Girls &amp; Descendants'!H263="",D265,'All Girls &amp; Descendants'!H263)</f>
        <v>Brandy</v>
      </c>
      <c r="H265">
        <f>'All Girls &amp; Descendants'!I263</f>
        <v>1979</v>
      </c>
      <c r="I265" t="str">
        <f>'All Girls &amp; Descendants'!J263</f>
        <v/>
      </c>
      <c r="K265" s="3">
        <f>'All Girls &amp; Descendants'!M263</f>
        <v>28927</v>
      </c>
      <c r="L265" s="3" t="str">
        <f>'All Girls &amp; Descendants'!N263</f>
        <v xml:space="preserve"> - </v>
      </c>
      <c r="M265" t="str">
        <f>'All Girls &amp; Descendants'!O263</f>
        <v/>
      </c>
      <c r="N265" t="str">
        <f>'All Girls &amp; Descendants'!P263</f>
        <v/>
      </c>
      <c r="O265" t="str">
        <f>'All Girls &amp; Descendants'!Q263</f>
        <v>107d</v>
      </c>
      <c r="P265" t="str">
        <f t="shared" si="55"/>
        <v>107da</v>
      </c>
      <c r="Q265" s="116">
        <f t="shared" si="56"/>
        <v>2</v>
      </c>
      <c r="R265" s="31" t="str">
        <f t="shared" si="57"/>
        <v>Brandy Marie  ORR</v>
      </c>
      <c r="S265" t="str">
        <f t="shared" si="58"/>
        <v>Brandy ORR (1979 - :  #107da)</v>
      </c>
    </row>
    <row r="266" spans="1:19">
      <c r="A266">
        <f>'All Girls &amp; Descendants'!B264</f>
        <v>107</v>
      </c>
      <c r="B266" t="str">
        <f>'All Girls &amp; Descendants'!C264</f>
        <v>107db</v>
      </c>
      <c r="C266" t="str">
        <f>'All Girls &amp; Descendants'!D264</f>
        <v>ORR</v>
      </c>
      <c r="D266" t="str">
        <f>'All Girls &amp; Descendants'!E264</f>
        <v>Timothy</v>
      </c>
      <c r="E266" t="str">
        <f>IF('All Girls &amp; Descendants'!F264="","",'All Girls &amp; Descendants'!F264)</f>
        <v>James</v>
      </c>
      <c r="F266" t="str">
        <f>IF('All Girls &amp; Descendants'!G264="","",'All Girls &amp; Descendants'!G264)</f>
        <v/>
      </c>
      <c r="G266" t="str">
        <f>IF('All Girls &amp; Descendants'!H264="",D266,'All Girls &amp; Descendants'!H264)</f>
        <v>Timothy</v>
      </c>
      <c r="H266">
        <f>'All Girls &amp; Descendants'!I264</f>
        <v>1980</v>
      </c>
      <c r="I266" t="str">
        <f>'All Girls &amp; Descendants'!J264</f>
        <v/>
      </c>
      <c r="K266" s="3">
        <f>'All Girls &amp; Descendants'!M264</f>
        <v>29367</v>
      </c>
      <c r="L266" s="3" t="str">
        <f>'All Girls &amp; Descendants'!N264</f>
        <v xml:space="preserve"> - </v>
      </c>
      <c r="M266" t="str">
        <f>'All Girls &amp; Descendants'!O264</f>
        <v/>
      </c>
      <c r="N266" t="str">
        <f>'All Girls &amp; Descendants'!P264</f>
        <v/>
      </c>
      <c r="O266" t="str">
        <f>'All Girls &amp; Descendants'!Q264</f>
        <v>107d</v>
      </c>
      <c r="P266" t="str">
        <f t="shared" si="55"/>
        <v>107db</v>
      </c>
      <c r="Q266" s="116">
        <f t="shared" si="56"/>
        <v>2</v>
      </c>
      <c r="R266" s="31" t="str">
        <f t="shared" si="57"/>
        <v>Timothy James  ORR</v>
      </c>
      <c r="S266" t="str">
        <f t="shared" si="58"/>
        <v>Timothy ORR (1980 - :  #107db)</v>
      </c>
    </row>
    <row r="267" spans="1:19">
      <c r="A267">
        <f>'All Girls &amp; Descendants'!B265</f>
        <v>108</v>
      </c>
      <c r="B267" t="str">
        <f>'All Girls &amp; Descendants'!C265</f>
        <v>108aa</v>
      </c>
      <c r="C267" t="str">
        <f>'All Girls &amp; Descendants'!D265</f>
        <v>CARTER</v>
      </c>
      <c r="D267" t="str">
        <f>'All Girls &amp; Descendants'!E265</f>
        <v>Daniel</v>
      </c>
      <c r="E267" t="str">
        <f>IF('All Girls &amp; Descendants'!F265="","",'All Girls &amp; Descendants'!F265)</f>
        <v>John</v>
      </c>
      <c r="F267" t="str">
        <f>IF('All Girls &amp; Descendants'!G265="","",'All Girls &amp; Descendants'!G265)</f>
        <v/>
      </c>
      <c r="G267" t="str">
        <f>IF('All Girls &amp; Descendants'!H265="",D267,'All Girls &amp; Descendants'!H265)</f>
        <v>Daniel</v>
      </c>
      <c r="H267">
        <f>'All Girls &amp; Descendants'!I265</f>
        <v>1976</v>
      </c>
      <c r="I267" t="str">
        <f>'All Girls &amp; Descendants'!J265</f>
        <v/>
      </c>
      <c r="K267" s="3">
        <f>'All Girls &amp; Descendants'!M265</f>
        <v>28025</v>
      </c>
      <c r="L267" s="3" t="str">
        <f>'All Girls &amp; Descendants'!N265</f>
        <v xml:space="preserve"> - </v>
      </c>
      <c r="M267" t="str">
        <f>'All Girls &amp; Descendants'!O265</f>
        <v/>
      </c>
      <c r="N267" t="str">
        <f>'All Girls &amp; Descendants'!P265</f>
        <v/>
      </c>
      <c r="O267" t="str">
        <f>'All Girls &amp; Descendants'!Q265</f>
        <v>108a</v>
      </c>
      <c r="P267" t="str">
        <f t="shared" si="55"/>
        <v>108aa</v>
      </c>
      <c r="Q267" s="116">
        <f t="shared" si="56"/>
        <v>2</v>
      </c>
      <c r="R267" s="31" t="str">
        <f t="shared" si="57"/>
        <v>Daniel John  CARTER</v>
      </c>
      <c r="S267" t="str">
        <f t="shared" si="58"/>
        <v>Daniel CARTER (1976 - :  #108aa)</v>
      </c>
    </row>
    <row r="268" spans="1:19">
      <c r="A268">
        <f>'All Girls &amp; Descendants'!B266</f>
        <v>108</v>
      </c>
      <c r="B268" t="str">
        <f>'All Girls &amp; Descendants'!C266</f>
        <v>108ab</v>
      </c>
      <c r="C268" t="str">
        <f>'All Girls &amp; Descendants'!D266</f>
        <v>CARTER</v>
      </c>
      <c r="D268" t="str">
        <f>'All Girls &amp; Descendants'!E266</f>
        <v>Simon</v>
      </c>
      <c r="E268" t="str">
        <f>IF('All Girls &amp; Descendants'!F266="","",'All Girls &amp; Descendants'!F266)</f>
        <v>Peter</v>
      </c>
      <c r="F268" t="str">
        <f>IF('All Girls &amp; Descendants'!G266="","",'All Girls &amp; Descendants'!G266)</f>
        <v/>
      </c>
      <c r="G268" t="str">
        <f>IF('All Girls &amp; Descendants'!H266="",D268,'All Girls &amp; Descendants'!H266)</f>
        <v>Simon</v>
      </c>
      <c r="H268">
        <f>'All Girls &amp; Descendants'!I266</f>
        <v>1982</v>
      </c>
      <c r="I268" t="str">
        <f>'All Girls &amp; Descendants'!J266</f>
        <v/>
      </c>
      <c r="K268" s="3">
        <f>'All Girls &amp; Descendants'!M266</f>
        <v>30099</v>
      </c>
      <c r="L268" s="3" t="str">
        <f>'All Girls &amp; Descendants'!N266</f>
        <v xml:space="preserve"> - </v>
      </c>
      <c r="M268" t="str">
        <f>'All Girls &amp; Descendants'!O266</f>
        <v/>
      </c>
      <c r="N268" t="str">
        <f>'All Girls &amp; Descendants'!P266</f>
        <v/>
      </c>
      <c r="O268" t="str">
        <f>'All Girls &amp; Descendants'!Q266</f>
        <v>108a</v>
      </c>
      <c r="P268" t="str">
        <f t="shared" si="55"/>
        <v>108ab</v>
      </c>
      <c r="Q268" s="116">
        <f t="shared" si="56"/>
        <v>2</v>
      </c>
      <c r="R268" s="31" t="str">
        <f t="shared" si="57"/>
        <v>Simon Peter  CARTER</v>
      </c>
      <c r="S268" t="str">
        <f t="shared" si="58"/>
        <v>Simon CARTER (1982 - :  #108ab)</v>
      </c>
    </row>
    <row r="269" spans="1:19">
      <c r="A269">
        <f>'All Girls &amp; Descendants'!B267</f>
        <v>108</v>
      </c>
      <c r="B269" t="str">
        <f>'All Girls &amp; Descendants'!C267</f>
        <v>108ba</v>
      </c>
      <c r="C269" t="str">
        <f>'All Girls &amp; Descendants'!D267</f>
        <v>HOYLE</v>
      </c>
      <c r="D269" t="str">
        <f>'All Girls &amp; Descendants'!E267</f>
        <v>Matthew</v>
      </c>
      <c r="E269" t="str">
        <f>IF('All Girls &amp; Descendants'!F267="","",'All Girls &amp; Descendants'!F267)</f>
        <v>Christopher</v>
      </c>
      <c r="F269" t="str">
        <f>IF('All Girls &amp; Descendants'!G267="","",'All Girls &amp; Descendants'!G267)</f>
        <v>Richard</v>
      </c>
      <c r="G269" t="str">
        <f>IF('All Girls &amp; Descendants'!H267="",D269,'All Girls &amp; Descendants'!H267)</f>
        <v>Matthew</v>
      </c>
      <c r="H269">
        <f>'All Girls &amp; Descendants'!I267</f>
        <v>1982</v>
      </c>
      <c r="I269" t="str">
        <f>'All Girls &amp; Descendants'!J267</f>
        <v/>
      </c>
      <c r="K269" s="3">
        <f>'All Girls &amp; Descendants'!M267</f>
        <v>30102</v>
      </c>
      <c r="L269" s="3" t="str">
        <f>'All Girls &amp; Descendants'!N267</f>
        <v xml:space="preserve"> - </v>
      </c>
      <c r="M269" t="str">
        <f>'All Girls &amp; Descendants'!O267</f>
        <v/>
      </c>
      <c r="N269" t="str">
        <f>'All Girls &amp; Descendants'!P267</f>
        <v/>
      </c>
      <c r="O269" t="str">
        <f>'All Girls &amp; Descendants'!Q267</f>
        <v>108b</v>
      </c>
      <c r="P269" t="str">
        <f t="shared" si="55"/>
        <v>108ba</v>
      </c>
      <c r="Q269" s="116">
        <f t="shared" si="56"/>
        <v>2</v>
      </c>
      <c r="R269" s="31" t="str">
        <f t="shared" si="57"/>
        <v>Matthew Christopher Richard HOYLE</v>
      </c>
      <c r="S269" t="str">
        <f t="shared" si="58"/>
        <v>Matthew HOYLE (1982 - :  #108ba)</v>
      </c>
    </row>
    <row r="270" spans="1:19">
      <c r="A270">
        <f>'All Girls &amp; Descendants'!B268</f>
        <v>108</v>
      </c>
      <c r="B270" t="str">
        <f>'All Girls &amp; Descendants'!C268</f>
        <v>108bb</v>
      </c>
      <c r="C270" t="str">
        <f>'All Girls &amp; Descendants'!D268</f>
        <v>HOYLE</v>
      </c>
      <c r="D270" t="str">
        <f>'All Girls &amp; Descendants'!E268</f>
        <v>Darren</v>
      </c>
      <c r="E270" t="str">
        <f>IF('All Girls &amp; Descendants'!F268="","",'All Girls &amp; Descendants'!F268)</f>
        <v>Andrew</v>
      </c>
      <c r="F270" t="str">
        <f>IF('All Girls &amp; Descendants'!G268="","",'All Girls &amp; Descendants'!G268)</f>
        <v/>
      </c>
      <c r="G270" t="str">
        <f>IF('All Girls &amp; Descendants'!H268="",D270,'All Girls &amp; Descendants'!H268)</f>
        <v>Darren</v>
      </c>
      <c r="H270">
        <f>'All Girls &amp; Descendants'!I268</f>
        <v>1985</v>
      </c>
      <c r="I270" t="str">
        <f>'All Girls &amp; Descendants'!J268</f>
        <v/>
      </c>
      <c r="K270" s="3">
        <f>'All Girls &amp; Descendants'!M268</f>
        <v>31287</v>
      </c>
      <c r="L270" s="3" t="str">
        <f>'All Girls &amp; Descendants'!N268</f>
        <v xml:space="preserve"> - </v>
      </c>
      <c r="M270" t="str">
        <f>'All Girls &amp; Descendants'!O268</f>
        <v/>
      </c>
      <c r="N270" t="str">
        <f>'All Girls &amp; Descendants'!P268</f>
        <v/>
      </c>
      <c r="O270" t="str">
        <f>'All Girls &amp; Descendants'!Q268</f>
        <v>108b</v>
      </c>
      <c r="P270" t="str">
        <f t="shared" si="55"/>
        <v>108bb</v>
      </c>
      <c r="Q270" s="116">
        <f t="shared" si="56"/>
        <v>2</v>
      </c>
      <c r="R270" s="31" t="str">
        <f t="shared" si="57"/>
        <v>Darren Andrew  HOYLE</v>
      </c>
      <c r="S270" t="str">
        <f t="shared" si="58"/>
        <v>Darren HOYLE (1985 - :  #108bb)</v>
      </c>
    </row>
    <row r="271" spans="1:19">
      <c r="A271">
        <f>'All Girls &amp; Descendants'!B269</f>
        <v>108</v>
      </c>
      <c r="B271" t="str">
        <f>'All Girls &amp; Descendants'!C269</f>
        <v>108ca</v>
      </c>
      <c r="C271" t="str">
        <f>'All Girls &amp; Descendants'!D269</f>
        <v>HOYLE</v>
      </c>
      <c r="D271" t="str">
        <f>'All Girls &amp; Descendants'!E269</f>
        <v>Tanya</v>
      </c>
      <c r="E271" t="str">
        <f>IF('All Girls &amp; Descendants'!F269="","",'All Girls &amp; Descendants'!F269)</f>
        <v>Louise</v>
      </c>
      <c r="F271" t="str">
        <f>IF('All Girls &amp; Descendants'!G269="","",'All Girls &amp; Descendants'!G269)</f>
        <v/>
      </c>
      <c r="G271" t="str">
        <f>IF('All Girls &amp; Descendants'!H269="",D271,'All Girls &amp; Descendants'!H269)</f>
        <v>Tanya</v>
      </c>
      <c r="H271">
        <f>'All Girls &amp; Descendants'!I269</f>
        <v>1985</v>
      </c>
      <c r="I271" t="str">
        <f>'All Girls &amp; Descendants'!J269</f>
        <v/>
      </c>
      <c r="K271" s="3">
        <f>'All Girls &amp; Descendants'!M269</f>
        <v>31365</v>
      </c>
      <c r="L271" s="3" t="str">
        <f>'All Girls &amp; Descendants'!N269</f>
        <v xml:space="preserve"> - </v>
      </c>
      <c r="M271" t="str">
        <f>'All Girls &amp; Descendants'!O269</f>
        <v/>
      </c>
      <c r="N271" t="str">
        <f>'All Girls &amp; Descendants'!P269</f>
        <v/>
      </c>
      <c r="O271" t="str">
        <f>'All Girls &amp; Descendants'!Q269</f>
        <v>108c</v>
      </c>
      <c r="P271" t="str">
        <f t="shared" si="55"/>
        <v>108ca</v>
      </c>
      <c r="Q271" s="116">
        <f t="shared" si="56"/>
        <v>2</v>
      </c>
      <c r="R271" s="31" t="str">
        <f t="shared" si="57"/>
        <v>Tanya Louise  HOYLE</v>
      </c>
      <c r="S271" t="str">
        <f t="shared" si="58"/>
        <v>Tanya HOYLE (1985 - :  #108ca)</v>
      </c>
    </row>
    <row r="272" spans="1:19">
      <c r="A272">
        <f>'All Girls &amp; Descendants'!B270</f>
        <v>109</v>
      </c>
      <c r="B272" t="str">
        <f>'All Girls &amp; Descendants'!C270</f>
        <v>109ba</v>
      </c>
      <c r="C272" t="str">
        <f>'All Girls &amp; Descendants'!D270</f>
        <v>WALTON</v>
      </c>
      <c r="D272" t="str">
        <f>'All Girls &amp; Descendants'!E270</f>
        <v>Toby</v>
      </c>
      <c r="E272" t="str">
        <f>IF('All Girls &amp; Descendants'!F270="","",'All Girls &amp; Descendants'!F270)</f>
        <v>Chui</v>
      </c>
      <c r="F272" t="str">
        <f>IF('All Girls &amp; Descendants'!G270="","",'All Girls &amp; Descendants'!G270)</f>
        <v xml:space="preserve">Bao </v>
      </c>
      <c r="G272" t="str">
        <f>IF('All Girls &amp; Descendants'!H270="",D272,'All Girls &amp; Descendants'!H270)</f>
        <v>Toby</v>
      </c>
      <c r="H272">
        <f>'All Girls &amp; Descendants'!I270</f>
        <v>2008</v>
      </c>
      <c r="I272" t="str">
        <f>'All Girls &amp; Descendants'!J270</f>
        <v/>
      </c>
      <c r="K272" s="3">
        <f>'All Girls &amp; Descendants'!M270</f>
        <v>39536</v>
      </c>
      <c r="L272" s="3" t="str">
        <f>'All Girls &amp; Descendants'!N270</f>
        <v xml:space="preserve"> - </v>
      </c>
      <c r="M272" t="str">
        <f>'All Girls &amp; Descendants'!O270</f>
        <v/>
      </c>
      <c r="N272" t="str">
        <f>'All Girls &amp; Descendants'!P270</f>
        <v/>
      </c>
      <c r="O272" t="str">
        <f>'All Girls &amp; Descendants'!Q270</f>
        <v>109b</v>
      </c>
      <c r="P272" t="str">
        <f t="shared" ref="P272:P335" si="59">B272</f>
        <v>109ba</v>
      </c>
      <c r="Q272" s="116">
        <f t="shared" ref="Q272:Q335" si="60">LEN(B272)-LEN(A272)</f>
        <v>2</v>
      </c>
      <c r="R272" s="31" t="str">
        <f t="shared" ref="R272:R335" si="61">_xlfn.CONCAT(D272," ",E272," ",F272," ",C272)</f>
        <v>Toby Chui Bao  WALTON</v>
      </c>
      <c r="S272" t="str">
        <f t="shared" ref="S272:S335" si="62">_xlfn.CONCAT(G272," ",C272," (",H272," - ",I272,":  #",B272,")")</f>
        <v>Toby WALTON (2008 - :  #109ba)</v>
      </c>
    </row>
    <row r="273" spans="1:19">
      <c r="A273">
        <f>'All Girls &amp; Descendants'!B271</f>
        <v>109</v>
      </c>
      <c r="B273" t="str">
        <f>'All Girls &amp; Descendants'!C271</f>
        <v>109bb</v>
      </c>
      <c r="C273" t="str">
        <f>'All Girls &amp; Descendants'!D271</f>
        <v>WALTON</v>
      </c>
      <c r="D273" t="str">
        <f>'All Girls &amp; Descendants'!E271</f>
        <v>Leo</v>
      </c>
      <c r="E273" t="str">
        <f>IF('All Girls &amp; Descendants'!F271="","",'All Girls &amp; Descendants'!F271)</f>
        <v>Giap</v>
      </c>
      <c r="F273" t="str">
        <f>IF('All Girls &amp; Descendants'!G271="","",'All Girls &amp; Descendants'!G271)</f>
        <v/>
      </c>
      <c r="G273" t="str">
        <f>IF('All Girls &amp; Descendants'!H271="",D273,'All Girls &amp; Descendants'!H271)</f>
        <v>Leo</v>
      </c>
      <c r="H273">
        <f>'All Girls &amp; Descendants'!I271</f>
        <v>2012</v>
      </c>
      <c r="I273" t="str">
        <f>'All Girls &amp; Descendants'!J271</f>
        <v/>
      </c>
      <c r="K273" s="3">
        <f>'All Girls &amp; Descendants'!M271</f>
        <v>41029</v>
      </c>
      <c r="L273" s="3" t="str">
        <f>'All Girls &amp; Descendants'!N271</f>
        <v xml:space="preserve"> - </v>
      </c>
      <c r="M273" t="str">
        <f>'All Girls &amp; Descendants'!O271</f>
        <v/>
      </c>
      <c r="N273" t="str">
        <f>'All Girls &amp; Descendants'!P271</f>
        <v/>
      </c>
      <c r="O273" t="str">
        <f>'All Girls &amp; Descendants'!Q271</f>
        <v>109b</v>
      </c>
      <c r="P273" t="str">
        <f t="shared" si="59"/>
        <v>109bb</v>
      </c>
      <c r="Q273" s="116">
        <f t="shared" si="60"/>
        <v>2</v>
      </c>
      <c r="R273" s="31" t="str">
        <f t="shared" si="61"/>
        <v>Leo Giap  WALTON</v>
      </c>
      <c r="S273" t="str">
        <f t="shared" si="62"/>
        <v>Leo WALTON (2012 - :  #109bb)</v>
      </c>
    </row>
    <row r="274" spans="1:19">
      <c r="A274">
        <f>'All Girls &amp; Descendants'!B272</f>
        <v>109</v>
      </c>
      <c r="B274" t="str">
        <f>'All Girls &amp; Descendants'!C272</f>
        <v>109bc</v>
      </c>
      <c r="C274" t="str">
        <f>'All Girls &amp; Descendants'!D272</f>
        <v>WALTON</v>
      </c>
      <c r="D274" t="str">
        <f>'All Girls &amp; Descendants'!E272</f>
        <v>Benjamin</v>
      </c>
      <c r="E274" t="str">
        <f>IF('All Girls &amp; Descendants'!F272="","",'All Girls &amp; Descendants'!F272)</f>
        <v>Hai</v>
      </c>
      <c r="F274" t="str">
        <f>IF('All Girls &amp; Descendants'!G272="","",'All Girls &amp; Descendants'!G272)</f>
        <v>Nam</v>
      </c>
      <c r="G274" t="str">
        <f>IF('All Girls &amp; Descendants'!H272="",D274,'All Girls &amp; Descendants'!H272)</f>
        <v>Benjamin</v>
      </c>
      <c r="H274">
        <f>'All Girls &amp; Descendants'!I272</f>
        <v>2013</v>
      </c>
      <c r="I274" t="str">
        <f>'All Girls &amp; Descendants'!J272</f>
        <v/>
      </c>
      <c r="K274" s="3">
        <f>'All Girls &amp; Descendants'!M272</f>
        <v>41564</v>
      </c>
      <c r="L274" s="3" t="str">
        <f>'All Girls &amp; Descendants'!N272</f>
        <v xml:space="preserve"> - </v>
      </c>
      <c r="M274" t="str">
        <f>'All Girls &amp; Descendants'!O272</f>
        <v/>
      </c>
      <c r="N274" t="str">
        <f>'All Girls &amp; Descendants'!P272</f>
        <v/>
      </c>
      <c r="O274" t="str">
        <f>'All Girls &amp; Descendants'!Q272</f>
        <v>109b</v>
      </c>
      <c r="P274" t="str">
        <f t="shared" si="59"/>
        <v>109bc</v>
      </c>
      <c r="Q274" s="116">
        <f t="shared" si="60"/>
        <v>2</v>
      </c>
      <c r="R274" s="31" t="str">
        <f t="shared" si="61"/>
        <v>Benjamin Hai Nam WALTON</v>
      </c>
      <c r="S274" t="str">
        <f t="shared" si="62"/>
        <v>Benjamin WALTON (2013 - :  #109bc)</v>
      </c>
    </row>
    <row r="275" spans="1:19">
      <c r="A275">
        <f>'All Girls &amp; Descendants'!B273</f>
        <v>109</v>
      </c>
      <c r="B275" t="str">
        <f>'All Girls &amp; Descendants'!C273</f>
        <v>109bd</v>
      </c>
      <c r="C275" t="str">
        <f>'All Girls &amp; Descendants'!D273</f>
        <v>WALTON</v>
      </c>
      <c r="D275" t="str">
        <f>'All Girls &amp; Descendants'!E273</f>
        <v>Isabel</v>
      </c>
      <c r="E275" t="str">
        <f>IF('All Girls &amp; Descendants'!F273="","",'All Girls &amp; Descendants'!F273)</f>
        <v>Xuyen</v>
      </c>
      <c r="F275" t="str">
        <f>IF('All Girls &amp; Descendants'!G273="","",'All Girls &amp; Descendants'!G273)</f>
        <v>Mai</v>
      </c>
      <c r="G275" t="str">
        <f>IF('All Girls &amp; Descendants'!H273="",D275,'All Girls &amp; Descendants'!H273)</f>
        <v>Isabel</v>
      </c>
      <c r="H275">
        <f>'All Girls &amp; Descendants'!I273</f>
        <v>2016</v>
      </c>
      <c r="I275" t="str">
        <f>'All Girls &amp; Descendants'!J273</f>
        <v/>
      </c>
      <c r="K275" s="3">
        <f>'All Girls &amp; Descendants'!M273</f>
        <v>42394</v>
      </c>
      <c r="L275" s="3" t="str">
        <f>'All Girls &amp; Descendants'!N273</f>
        <v xml:space="preserve"> - </v>
      </c>
      <c r="M275" t="str">
        <f>'All Girls &amp; Descendants'!O273</f>
        <v/>
      </c>
      <c r="N275" t="str">
        <f>'All Girls &amp; Descendants'!P273</f>
        <v/>
      </c>
      <c r="O275" t="str">
        <f>'All Girls &amp; Descendants'!Q273</f>
        <v>109b</v>
      </c>
      <c r="P275" t="str">
        <f t="shared" si="59"/>
        <v>109bd</v>
      </c>
      <c r="Q275" s="116">
        <f t="shared" si="60"/>
        <v>2</v>
      </c>
      <c r="R275" s="31" t="str">
        <f t="shared" si="61"/>
        <v>Isabel Xuyen Mai WALTON</v>
      </c>
      <c r="S275" t="str">
        <f t="shared" si="62"/>
        <v>Isabel WALTON (2016 - :  #109bd)</v>
      </c>
    </row>
    <row r="276" spans="1:19">
      <c r="A276">
        <f>'All Girls &amp; Descendants'!B274</f>
        <v>110</v>
      </c>
      <c r="B276" t="str">
        <f>'All Girls &amp; Descendants'!C274</f>
        <v>110aa</v>
      </c>
      <c r="C276" t="str">
        <f>'All Girls &amp; Descendants'!D274</f>
        <v>BOYCE</v>
      </c>
      <c r="D276" t="str">
        <f>'All Girls &amp; Descendants'!E274</f>
        <v>Christopher</v>
      </c>
      <c r="E276" t="str">
        <f>IF('All Girls &amp; Descendants'!F274="","",'All Girls &amp; Descendants'!F274)</f>
        <v>Drummond</v>
      </c>
      <c r="F276" t="str">
        <f>IF('All Girls &amp; Descendants'!G274="","",'All Girls &amp; Descendants'!G274)</f>
        <v/>
      </c>
      <c r="G276" t="str">
        <f>IF('All Girls &amp; Descendants'!H274="",D276,'All Girls &amp; Descendants'!H274)</f>
        <v>Christopher</v>
      </c>
      <c r="H276">
        <f>'All Girls &amp; Descendants'!I274</f>
        <v>1990</v>
      </c>
      <c r="I276" t="str">
        <f>'All Girls &amp; Descendants'!J274</f>
        <v/>
      </c>
      <c r="K276" s="3">
        <f>'All Girls &amp; Descendants'!M274</f>
        <v>32881</v>
      </c>
      <c r="L276" s="3" t="str">
        <f>'All Girls &amp; Descendants'!N274</f>
        <v xml:space="preserve"> - </v>
      </c>
      <c r="M276" t="str">
        <f>'All Girls &amp; Descendants'!O274</f>
        <v/>
      </c>
      <c r="N276" t="str">
        <f>'All Girls &amp; Descendants'!P274</f>
        <v/>
      </c>
      <c r="O276" t="str">
        <f>'All Girls &amp; Descendants'!Q274</f>
        <v>110a</v>
      </c>
      <c r="P276" t="str">
        <f t="shared" si="59"/>
        <v>110aa</v>
      </c>
      <c r="Q276" s="116">
        <f t="shared" si="60"/>
        <v>2</v>
      </c>
      <c r="R276" s="31" t="str">
        <f t="shared" si="61"/>
        <v>Christopher Drummond  BOYCE</v>
      </c>
      <c r="S276" t="str">
        <f t="shared" si="62"/>
        <v>Christopher BOYCE (1990 - :  #110aa)</v>
      </c>
    </row>
    <row r="277" spans="1:19">
      <c r="A277">
        <f>'All Girls &amp; Descendants'!B275</f>
        <v>110</v>
      </c>
      <c r="B277" t="str">
        <f>'All Girls &amp; Descendants'!C275</f>
        <v>110ab</v>
      </c>
      <c r="C277" t="str">
        <f>'All Girls &amp; Descendants'!D275</f>
        <v>BOYCE</v>
      </c>
      <c r="D277" t="str">
        <f>'All Girls &amp; Descendants'!E275</f>
        <v>Andrew</v>
      </c>
      <c r="E277" t="str">
        <f>IF('All Girls &amp; Descendants'!F275="","",'All Girls &amp; Descendants'!F275)</f>
        <v>Alexander</v>
      </c>
      <c r="F277" t="str">
        <f>IF('All Girls &amp; Descendants'!G275="","",'All Girls &amp; Descendants'!G275)</f>
        <v/>
      </c>
      <c r="G277" t="str">
        <f>IF('All Girls &amp; Descendants'!H275="",D277,'All Girls &amp; Descendants'!H275)</f>
        <v>Andrew</v>
      </c>
      <c r="H277">
        <f>'All Girls &amp; Descendants'!I275</f>
        <v>1991</v>
      </c>
      <c r="I277" t="str">
        <f>'All Girls &amp; Descendants'!J275</f>
        <v/>
      </c>
      <c r="K277" s="3">
        <f>'All Girls &amp; Descendants'!M275</f>
        <v>33457</v>
      </c>
      <c r="L277" s="3" t="str">
        <f>'All Girls &amp; Descendants'!N275</f>
        <v xml:space="preserve"> - </v>
      </c>
      <c r="M277" t="str">
        <f>'All Girls &amp; Descendants'!O275</f>
        <v/>
      </c>
      <c r="N277" t="str">
        <f>'All Girls &amp; Descendants'!P275</f>
        <v/>
      </c>
      <c r="O277" t="str">
        <f>'All Girls &amp; Descendants'!Q275</f>
        <v>110a</v>
      </c>
      <c r="P277" t="str">
        <f t="shared" si="59"/>
        <v>110ab</v>
      </c>
      <c r="Q277" s="116">
        <f t="shared" si="60"/>
        <v>2</v>
      </c>
      <c r="R277" s="31" t="str">
        <f t="shared" si="61"/>
        <v>Andrew Alexander  BOYCE</v>
      </c>
      <c r="S277" t="str">
        <f t="shared" si="62"/>
        <v>Andrew BOYCE (1991 - :  #110ab)</v>
      </c>
    </row>
    <row r="278" spans="1:19">
      <c r="A278">
        <f>'All Girls &amp; Descendants'!B276</f>
        <v>110</v>
      </c>
      <c r="B278" t="str">
        <f>'All Girls &amp; Descendants'!C276</f>
        <v>110ac</v>
      </c>
      <c r="C278" t="str">
        <f>'All Girls &amp; Descendants'!D276</f>
        <v>BOYCE</v>
      </c>
      <c r="D278" t="str">
        <f>'All Girls &amp; Descendants'!E276</f>
        <v>Robin</v>
      </c>
      <c r="E278" t="str">
        <f>IF('All Girls &amp; Descendants'!F276="","",'All Girls &amp; Descendants'!F276)</f>
        <v>Oscar</v>
      </c>
      <c r="F278" t="str">
        <f>IF('All Girls &amp; Descendants'!G276="","",'All Girls &amp; Descendants'!G276)</f>
        <v/>
      </c>
      <c r="G278" t="str">
        <f>IF('All Girls &amp; Descendants'!H276="",D278,'All Girls &amp; Descendants'!H276)</f>
        <v>Robin</v>
      </c>
      <c r="H278">
        <f>'All Girls &amp; Descendants'!I276</f>
        <v>1997</v>
      </c>
      <c r="I278">
        <f>'All Girls &amp; Descendants'!J276</f>
        <v>2019</v>
      </c>
      <c r="K278" s="3">
        <f>'All Girls &amp; Descendants'!M276</f>
        <v>35697</v>
      </c>
      <c r="L278" s="3" t="str">
        <f>'All Girls &amp; Descendants'!N276</f>
        <v xml:space="preserve"> - </v>
      </c>
      <c r="M278">
        <f>'All Girls &amp; Descendants'!O276</f>
        <v>43623</v>
      </c>
      <c r="N278" t="str">
        <f>'All Girls &amp; Descendants'!P276</f>
        <v>07/06/2019</v>
      </c>
      <c r="O278" t="str">
        <f>'All Girls &amp; Descendants'!Q276</f>
        <v>110a</v>
      </c>
      <c r="P278" t="str">
        <f t="shared" si="59"/>
        <v>110ac</v>
      </c>
      <c r="Q278" s="116">
        <f t="shared" si="60"/>
        <v>2</v>
      </c>
      <c r="R278" s="31" t="str">
        <f t="shared" si="61"/>
        <v>Robin Oscar  BOYCE</v>
      </c>
      <c r="S278" t="str">
        <f t="shared" si="62"/>
        <v>Robin BOYCE (1997 - 2019:  #110ac)</v>
      </c>
    </row>
    <row r="279" spans="1:19">
      <c r="A279">
        <f>'All Girls &amp; Descendants'!B277</f>
        <v>110</v>
      </c>
      <c r="B279" t="str">
        <f>'All Girls &amp; Descendants'!C277</f>
        <v>110ca</v>
      </c>
      <c r="C279" t="str">
        <f>'All Girls &amp; Descendants'!D277</f>
        <v>BOYCE</v>
      </c>
      <c r="D279" t="str">
        <f>'All Girls &amp; Descendants'!E277</f>
        <v>Hannah</v>
      </c>
      <c r="E279" t="str">
        <f>IF('All Girls &amp; Descendants'!F277="","",'All Girls &amp; Descendants'!F277)</f>
        <v>Catherine</v>
      </c>
      <c r="F279" t="str">
        <f>IF('All Girls &amp; Descendants'!G277="","",'All Girls &amp; Descendants'!G277)</f>
        <v/>
      </c>
      <c r="G279" t="str">
        <f>IF('All Girls &amp; Descendants'!H277="",D279,'All Girls &amp; Descendants'!H277)</f>
        <v>Hannah</v>
      </c>
      <c r="H279">
        <f>'All Girls &amp; Descendants'!I277</f>
        <v>2011</v>
      </c>
      <c r="I279" t="str">
        <f>'All Girls &amp; Descendants'!J277</f>
        <v/>
      </c>
      <c r="K279" s="3">
        <f>'All Girls &amp; Descendants'!M277</f>
        <v>40831</v>
      </c>
      <c r="L279" s="3" t="str">
        <f>'All Girls &amp; Descendants'!N277</f>
        <v xml:space="preserve"> - </v>
      </c>
      <c r="M279" t="str">
        <f>'All Girls &amp; Descendants'!O277</f>
        <v/>
      </c>
      <c r="N279" t="str">
        <f>'All Girls &amp; Descendants'!P277</f>
        <v/>
      </c>
      <c r="O279" t="str">
        <f>'All Girls &amp; Descendants'!Q277</f>
        <v>110c</v>
      </c>
      <c r="P279" t="str">
        <f t="shared" si="59"/>
        <v>110ca</v>
      </c>
      <c r="Q279" s="116">
        <f t="shared" si="60"/>
        <v>2</v>
      </c>
      <c r="R279" s="31" t="str">
        <f t="shared" si="61"/>
        <v>Hannah Catherine  BOYCE</v>
      </c>
      <c r="S279" t="str">
        <f t="shared" si="62"/>
        <v>Hannah BOYCE (2011 - :  #110ca)</v>
      </c>
    </row>
    <row r="280" spans="1:19">
      <c r="A280">
        <f>'All Girls &amp; Descendants'!B278</f>
        <v>110</v>
      </c>
      <c r="B280" t="str">
        <f>'All Girls &amp; Descendants'!C278</f>
        <v>110da</v>
      </c>
      <c r="C280" t="str">
        <f>'All Girls &amp; Descendants'!D278</f>
        <v>BOYCE de CASTRO</v>
      </c>
      <c r="D280" t="str">
        <f>'All Girls &amp; Descendants'!E278</f>
        <v>Karina</v>
      </c>
      <c r="E280" t="str">
        <f>IF('All Girls &amp; Descendants'!F278="","",'All Girls &amp; Descendants'!F278)</f>
        <v>Boyce</v>
      </c>
      <c r="F280" t="str">
        <f>IF('All Girls &amp; Descendants'!G278="","",'All Girls &amp; Descendants'!G278)</f>
        <v/>
      </c>
      <c r="G280" t="str">
        <f>IF('All Girls &amp; Descendants'!H278="",D280,'All Girls &amp; Descendants'!H278)</f>
        <v>Karina</v>
      </c>
      <c r="H280">
        <f>'All Girls &amp; Descendants'!I278</f>
        <v>1999</v>
      </c>
      <c r="I280" t="str">
        <f>'All Girls &amp; Descendants'!J278</f>
        <v/>
      </c>
      <c r="K280" s="3">
        <f>'All Girls &amp; Descendants'!M278</f>
        <v>36202</v>
      </c>
      <c r="L280" s="3" t="str">
        <f>'All Girls &amp; Descendants'!N278</f>
        <v xml:space="preserve"> - </v>
      </c>
      <c r="M280" t="str">
        <f>'All Girls &amp; Descendants'!O278</f>
        <v/>
      </c>
      <c r="N280" t="str">
        <f>'All Girls &amp; Descendants'!P278</f>
        <v/>
      </c>
      <c r="O280" t="str">
        <f>'All Girls &amp; Descendants'!Q278</f>
        <v>110d</v>
      </c>
      <c r="P280" t="str">
        <f t="shared" si="59"/>
        <v>110da</v>
      </c>
      <c r="Q280" s="116">
        <f t="shared" si="60"/>
        <v>2</v>
      </c>
      <c r="R280" s="31" t="str">
        <f t="shared" si="61"/>
        <v>Karina Boyce  BOYCE de CASTRO</v>
      </c>
      <c r="S280" t="str">
        <f t="shared" si="62"/>
        <v>Karina BOYCE de CASTRO (1999 - :  #110da)</v>
      </c>
    </row>
    <row r="281" spans="1:19">
      <c r="A281">
        <f>'All Girls &amp; Descendants'!B279</f>
        <v>110</v>
      </c>
      <c r="B281" t="str">
        <f>'All Girls &amp; Descendants'!C279</f>
        <v>110db</v>
      </c>
      <c r="C281" t="str">
        <f>'All Girls &amp; Descendants'!D279</f>
        <v>BOYCE de CASTRO</v>
      </c>
      <c r="D281" t="str">
        <f>'All Girls &amp; Descendants'!E279</f>
        <v>Matheus</v>
      </c>
      <c r="E281" t="str">
        <f>IF('All Girls &amp; Descendants'!F279="","",'All Girls &amp; Descendants'!F279)</f>
        <v>Drummond</v>
      </c>
      <c r="F281" t="str">
        <f>IF('All Girls &amp; Descendants'!G279="","",'All Girls &amp; Descendants'!G279)</f>
        <v/>
      </c>
      <c r="G281" t="str">
        <f>IF('All Girls &amp; Descendants'!H279="",D281,'All Girls &amp; Descendants'!H279)</f>
        <v>Matheus</v>
      </c>
      <c r="H281">
        <f>'All Girls &amp; Descendants'!I279</f>
        <v>2002</v>
      </c>
      <c r="I281">
        <f>'All Girls &amp; Descendants'!J279</f>
        <v>0</v>
      </c>
      <c r="K281" s="3">
        <f>'All Girls &amp; Descendants'!M279</f>
        <v>37547</v>
      </c>
      <c r="L281" s="3" t="str">
        <f>'All Girls &amp; Descendants'!N279</f>
        <v xml:space="preserve"> - </v>
      </c>
      <c r="M281" t="str">
        <f>'All Girls &amp; Descendants'!O279</f>
        <v/>
      </c>
      <c r="N281" t="str">
        <f>'All Girls &amp; Descendants'!P279</f>
        <v/>
      </c>
      <c r="O281" t="str">
        <f>'All Girls &amp; Descendants'!Q279</f>
        <v>110d</v>
      </c>
      <c r="P281" t="str">
        <f t="shared" si="59"/>
        <v>110db</v>
      </c>
      <c r="Q281" s="116">
        <f t="shared" si="60"/>
        <v>2</v>
      </c>
      <c r="R281" s="31" t="str">
        <f t="shared" si="61"/>
        <v>Matheus Drummond  BOYCE de CASTRO</v>
      </c>
      <c r="S281" t="str">
        <f t="shared" si="62"/>
        <v>Matheus BOYCE de CASTRO (2002 - 0:  #110db)</v>
      </c>
    </row>
    <row r="282" spans="1:19">
      <c r="A282">
        <f>'All Girls &amp; Descendants'!B280</f>
        <v>115</v>
      </c>
      <c r="B282" t="str">
        <f>'All Girls &amp; Descendants'!C280</f>
        <v>115aa</v>
      </c>
      <c r="C282" t="str">
        <f>'All Girls &amp; Descendants'!D280</f>
        <v>CATOR</v>
      </c>
      <c r="D282" t="str">
        <f>'All Girls &amp; Descendants'!E280</f>
        <v>Benjamin</v>
      </c>
      <c r="E282" t="str">
        <f>IF('All Girls &amp; Descendants'!F280="","",'All Girls &amp; Descendants'!F280)</f>
        <v/>
      </c>
      <c r="F282" t="str">
        <f>IF('All Girls &amp; Descendants'!G280="","",'All Girls &amp; Descendants'!G280)</f>
        <v/>
      </c>
      <c r="G282" t="str">
        <f>IF('All Girls &amp; Descendants'!H280="",D282,'All Girls &amp; Descendants'!H280)</f>
        <v>Benjamin</v>
      </c>
      <c r="H282">
        <f>'All Girls &amp; Descendants'!I280</f>
        <v>1988</v>
      </c>
      <c r="I282" t="str">
        <f>'All Girls &amp; Descendants'!J280</f>
        <v/>
      </c>
      <c r="K282" s="3">
        <f>'All Girls &amp; Descendants'!M280</f>
        <v>32433</v>
      </c>
      <c r="L282" s="3" t="str">
        <f>'All Girls &amp; Descendants'!N280</f>
        <v xml:space="preserve"> - </v>
      </c>
      <c r="M282" t="str">
        <f>'All Girls &amp; Descendants'!O280</f>
        <v/>
      </c>
      <c r="N282" t="str">
        <f>'All Girls &amp; Descendants'!P280</f>
        <v/>
      </c>
      <c r="O282" t="str">
        <f>'All Girls &amp; Descendants'!Q280</f>
        <v>115a</v>
      </c>
      <c r="P282" t="str">
        <f t="shared" si="59"/>
        <v>115aa</v>
      </c>
      <c r="Q282" s="116">
        <f t="shared" si="60"/>
        <v>2</v>
      </c>
      <c r="R282" s="31" t="str">
        <f t="shared" si="61"/>
        <v>Benjamin   CATOR</v>
      </c>
      <c r="S282" t="str">
        <f t="shared" si="62"/>
        <v>Benjamin CATOR (1988 - :  #115aa)</v>
      </c>
    </row>
    <row r="283" spans="1:19">
      <c r="A283">
        <f>'All Girls &amp; Descendants'!B281</f>
        <v>115</v>
      </c>
      <c r="B283" t="str">
        <f>'All Girls &amp; Descendants'!C281</f>
        <v>115ab</v>
      </c>
      <c r="C283" t="str">
        <f>'All Girls &amp; Descendants'!D281</f>
        <v>CATOR</v>
      </c>
      <c r="D283" t="str">
        <f>'All Girls &amp; Descendants'!E281</f>
        <v>Lara</v>
      </c>
      <c r="E283" t="str">
        <f>IF('All Girls &amp; Descendants'!F281="","",'All Girls &amp; Descendants'!F281)</f>
        <v/>
      </c>
      <c r="F283" t="str">
        <f>IF('All Girls &amp; Descendants'!G281="","",'All Girls &amp; Descendants'!G281)</f>
        <v/>
      </c>
      <c r="G283" t="str">
        <f>IF('All Girls &amp; Descendants'!H281="",D283,'All Girls &amp; Descendants'!H281)</f>
        <v>Lara</v>
      </c>
      <c r="H283">
        <f>'All Girls &amp; Descendants'!I281</f>
        <v>1992</v>
      </c>
      <c r="I283" t="str">
        <f>'All Girls &amp; Descendants'!J281</f>
        <v/>
      </c>
      <c r="K283" s="3">
        <f>'All Girls &amp; Descendants'!M281</f>
        <v>33858</v>
      </c>
      <c r="L283" s="3" t="str">
        <f>'All Girls &amp; Descendants'!N281</f>
        <v xml:space="preserve"> - </v>
      </c>
      <c r="M283" t="str">
        <f>'All Girls &amp; Descendants'!O281</f>
        <v/>
      </c>
      <c r="N283" t="str">
        <f>'All Girls &amp; Descendants'!P281</f>
        <v/>
      </c>
      <c r="O283" t="str">
        <f>'All Girls &amp; Descendants'!Q281</f>
        <v>115a</v>
      </c>
      <c r="P283" t="str">
        <f t="shared" si="59"/>
        <v>115ab</v>
      </c>
      <c r="Q283" s="116">
        <f t="shared" si="60"/>
        <v>2</v>
      </c>
      <c r="R283" s="31" t="str">
        <f t="shared" si="61"/>
        <v>Lara   CATOR</v>
      </c>
      <c r="S283" t="str">
        <f t="shared" si="62"/>
        <v>Lara CATOR (1992 - :  #115ab)</v>
      </c>
    </row>
    <row r="284" spans="1:19">
      <c r="A284">
        <f>'All Girls &amp; Descendants'!B282</f>
        <v>115</v>
      </c>
      <c r="B284" t="str">
        <f>'All Girls &amp; Descendants'!C282</f>
        <v>115ac</v>
      </c>
      <c r="C284" t="str">
        <f>'All Girls &amp; Descendants'!D282</f>
        <v>CATOR</v>
      </c>
      <c r="D284" t="str">
        <f>'All Girls &amp; Descendants'!E282</f>
        <v>Oscar</v>
      </c>
      <c r="E284" t="str">
        <f>IF('All Girls &amp; Descendants'!F282="","",'All Girls &amp; Descendants'!F282)</f>
        <v/>
      </c>
      <c r="F284" t="str">
        <f>IF('All Girls &amp; Descendants'!G282="","",'All Girls &amp; Descendants'!G282)</f>
        <v/>
      </c>
      <c r="G284" t="str">
        <f>IF('All Girls &amp; Descendants'!H282="",D284,'All Girls &amp; Descendants'!H282)</f>
        <v>Oscar</v>
      </c>
      <c r="H284">
        <f>'All Girls &amp; Descendants'!I282</f>
        <v>1996</v>
      </c>
      <c r="I284" t="str">
        <f>'All Girls &amp; Descendants'!J282</f>
        <v/>
      </c>
      <c r="K284" s="3">
        <f>'All Girls &amp; Descendants'!M282</f>
        <v>35123</v>
      </c>
      <c r="L284" s="3" t="str">
        <f>'All Girls &amp; Descendants'!N282</f>
        <v xml:space="preserve"> - </v>
      </c>
      <c r="M284" t="str">
        <f>'All Girls &amp; Descendants'!O282</f>
        <v/>
      </c>
      <c r="N284" t="str">
        <f>'All Girls &amp; Descendants'!P282</f>
        <v/>
      </c>
      <c r="O284" t="str">
        <f>'All Girls &amp; Descendants'!Q282</f>
        <v>115a</v>
      </c>
      <c r="P284" t="str">
        <f t="shared" si="59"/>
        <v>115ac</v>
      </c>
      <c r="Q284" s="116">
        <f t="shared" si="60"/>
        <v>2</v>
      </c>
      <c r="R284" s="31" t="str">
        <f t="shared" si="61"/>
        <v>Oscar   CATOR</v>
      </c>
      <c r="S284" t="str">
        <f t="shared" si="62"/>
        <v>Oscar CATOR (1996 - :  #115ac)</v>
      </c>
    </row>
    <row r="285" spans="1:19">
      <c r="A285">
        <f>'All Girls &amp; Descendants'!B283</f>
        <v>115</v>
      </c>
      <c r="B285" t="str">
        <f>'All Girls &amp; Descendants'!C283</f>
        <v>115ba</v>
      </c>
      <c r="C285" t="str">
        <f>'All Girls &amp; Descendants'!D283</f>
        <v>SOAMES</v>
      </c>
      <c r="D285" t="str">
        <f>'All Girls &amp; Descendants'!E283</f>
        <v>Milo</v>
      </c>
      <c r="E285" t="str">
        <f>IF('All Girls &amp; Descendants'!F283="","",'All Girls &amp; Descendants'!F283)</f>
        <v/>
      </c>
      <c r="F285" t="str">
        <f>IF('All Girls &amp; Descendants'!G283="","",'All Girls &amp; Descendants'!G283)</f>
        <v/>
      </c>
      <c r="G285" t="str">
        <f>IF('All Girls &amp; Descendants'!H283="",D285,'All Girls &amp; Descendants'!H283)</f>
        <v>Milo</v>
      </c>
      <c r="H285">
        <f>'All Girls &amp; Descendants'!I283</f>
        <v>1995</v>
      </c>
      <c r="I285" t="str">
        <f>'All Girls &amp; Descendants'!J283</f>
        <v/>
      </c>
      <c r="K285" s="3">
        <f>'All Girls &amp; Descendants'!M283</f>
        <v>35054</v>
      </c>
      <c r="L285" s="3" t="str">
        <f>'All Girls &amp; Descendants'!N283</f>
        <v xml:space="preserve"> - </v>
      </c>
      <c r="M285" t="str">
        <f>'All Girls &amp; Descendants'!O283</f>
        <v/>
      </c>
      <c r="N285" t="str">
        <f>'All Girls &amp; Descendants'!P283</f>
        <v/>
      </c>
      <c r="O285" t="str">
        <f>'All Girls &amp; Descendants'!Q283</f>
        <v>115b</v>
      </c>
      <c r="P285" t="str">
        <f t="shared" si="59"/>
        <v>115ba</v>
      </c>
      <c r="Q285" s="116">
        <f t="shared" si="60"/>
        <v>2</v>
      </c>
      <c r="R285" s="31" t="str">
        <f t="shared" si="61"/>
        <v>Milo   SOAMES</v>
      </c>
      <c r="S285" t="str">
        <f t="shared" si="62"/>
        <v>Milo SOAMES (1995 - :  #115ba)</v>
      </c>
    </row>
    <row r="286" spans="1:19">
      <c r="A286">
        <f>'All Girls &amp; Descendants'!B284</f>
        <v>115</v>
      </c>
      <c r="B286" t="str">
        <f>'All Girls &amp; Descendants'!C284</f>
        <v>115bb</v>
      </c>
      <c r="C286" t="str">
        <f>'All Girls &amp; Descendants'!D284</f>
        <v>SOAMES</v>
      </c>
      <c r="D286" t="str">
        <f>'All Girls &amp; Descendants'!E284</f>
        <v>Tommy</v>
      </c>
      <c r="E286" t="str">
        <f>IF('All Girls &amp; Descendants'!F284="","",'All Girls &amp; Descendants'!F284)</f>
        <v/>
      </c>
      <c r="F286" t="str">
        <f>IF('All Girls &amp; Descendants'!G284="","",'All Girls &amp; Descendants'!G284)</f>
        <v/>
      </c>
      <c r="G286" t="str">
        <f>IF('All Girls &amp; Descendants'!H284="",D286,'All Girls &amp; Descendants'!H284)</f>
        <v>Tommy</v>
      </c>
      <c r="H286">
        <f>'All Girls &amp; Descendants'!I284</f>
        <v>1997</v>
      </c>
      <c r="I286" t="str">
        <f>'All Girls &amp; Descendants'!J284</f>
        <v/>
      </c>
      <c r="K286" s="3">
        <f>'All Girls &amp; Descendants'!M284</f>
        <v>35663</v>
      </c>
      <c r="L286" s="3" t="str">
        <f>'All Girls &amp; Descendants'!N284</f>
        <v xml:space="preserve"> - </v>
      </c>
      <c r="M286" t="str">
        <f>'All Girls &amp; Descendants'!O284</f>
        <v/>
      </c>
      <c r="N286" t="str">
        <f>'All Girls &amp; Descendants'!P284</f>
        <v/>
      </c>
      <c r="O286" t="str">
        <f>'All Girls &amp; Descendants'!Q284</f>
        <v>115b</v>
      </c>
      <c r="P286" t="str">
        <f t="shared" si="59"/>
        <v>115bb</v>
      </c>
      <c r="Q286" s="116">
        <f t="shared" si="60"/>
        <v>2</v>
      </c>
      <c r="R286" s="31" t="str">
        <f t="shared" si="61"/>
        <v>Tommy   SOAMES</v>
      </c>
      <c r="S286" t="str">
        <f t="shared" si="62"/>
        <v>Tommy SOAMES (1997 - :  #115bb)</v>
      </c>
    </row>
    <row r="287" spans="1:19">
      <c r="A287">
        <f>'All Girls &amp; Descendants'!B285</f>
        <v>115</v>
      </c>
      <c r="B287" t="str">
        <f>'All Girls &amp; Descendants'!C285</f>
        <v>115bc</v>
      </c>
      <c r="C287" t="str">
        <f>'All Girls &amp; Descendants'!D285</f>
        <v>SOAMES</v>
      </c>
      <c r="D287" t="str">
        <f>'All Girls &amp; Descendants'!E285</f>
        <v>Mary</v>
      </c>
      <c r="E287" t="str">
        <f>IF('All Girls &amp; Descendants'!F285="","",'All Girls &amp; Descendants'!F285)</f>
        <v>Alicia</v>
      </c>
      <c r="F287" t="str">
        <f>IF('All Girls &amp; Descendants'!G285="","",'All Girls &amp; Descendants'!G285)</f>
        <v>Claire</v>
      </c>
      <c r="G287" t="str">
        <f>IF('All Girls &amp; Descendants'!H285="",D287,'All Girls &amp; Descendants'!H285)</f>
        <v>Mary</v>
      </c>
      <c r="H287">
        <f>'All Girls &amp; Descendants'!I285</f>
        <v>1999</v>
      </c>
      <c r="I287" t="str">
        <f>'All Girls &amp; Descendants'!J285</f>
        <v/>
      </c>
      <c r="K287" s="3">
        <f>'All Girls &amp; Descendants'!M285</f>
        <v>36290</v>
      </c>
      <c r="L287" s="3" t="str">
        <f>'All Girls &amp; Descendants'!N285</f>
        <v xml:space="preserve"> - </v>
      </c>
      <c r="M287" t="str">
        <f>'All Girls &amp; Descendants'!O285</f>
        <v/>
      </c>
      <c r="N287" t="str">
        <f>'All Girls &amp; Descendants'!P285</f>
        <v/>
      </c>
      <c r="O287" t="str">
        <f>'All Girls &amp; Descendants'!Q285</f>
        <v>115b</v>
      </c>
      <c r="P287" t="str">
        <f t="shared" si="59"/>
        <v>115bc</v>
      </c>
      <c r="Q287" s="116">
        <f t="shared" si="60"/>
        <v>2</v>
      </c>
      <c r="R287" s="31" t="str">
        <f t="shared" si="61"/>
        <v>Mary Alicia Claire SOAMES</v>
      </c>
      <c r="S287" t="str">
        <f t="shared" si="62"/>
        <v>Mary SOAMES (1999 - :  #115bc)</v>
      </c>
    </row>
    <row r="288" spans="1:19">
      <c r="A288">
        <f>'All Girls &amp; Descendants'!B286</f>
        <v>123</v>
      </c>
      <c r="B288" t="str">
        <f>'All Girls &amp; Descendants'!C286</f>
        <v>123aa</v>
      </c>
      <c r="C288" t="str">
        <f>'All Girls &amp; Descendants'!D286</f>
        <v>TALBOT</v>
      </c>
      <c r="D288" t="str">
        <f>'All Girls &amp; Descendants'!E286</f>
        <v>Eva</v>
      </c>
      <c r="E288" t="str">
        <f>IF('All Girls &amp; Descendants'!F286="","",'All Girls &amp; Descendants'!F286)</f>
        <v>Charlotte</v>
      </c>
      <c r="F288" t="str">
        <f>IF('All Girls &amp; Descendants'!G286="","",'All Girls &amp; Descendants'!G286)</f>
        <v>Loyd</v>
      </c>
      <c r="G288" t="str">
        <f>IF('All Girls &amp; Descendants'!H286="",D288,'All Girls &amp; Descendants'!H286)</f>
        <v>Evie</v>
      </c>
      <c r="H288">
        <f>'All Girls &amp; Descendants'!I286</f>
        <v>2012</v>
      </c>
      <c r="I288" t="str">
        <f>'All Girls &amp; Descendants'!J286</f>
        <v/>
      </c>
      <c r="K288" s="3">
        <f>'All Girls &amp; Descendants'!M286</f>
        <v>41202</v>
      </c>
      <c r="L288" s="3" t="str">
        <f>'All Girls &amp; Descendants'!N286</f>
        <v xml:space="preserve"> - </v>
      </c>
      <c r="M288" t="str">
        <f>'All Girls &amp; Descendants'!O286</f>
        <v/>
      </c>
      <c r="N288" t="str">
        <f>'All Girls &amp; Descendants'!P286</f>
        <v/>
      </c>
      <c r="O288" t="str">
        <f>'All Girls &amp; Descendants'!Q286</f>
        <v>123a</v>
      </c>
      <c r="P288" t="str">
        <f t="shared" si="59"/>
        <v>123aa</v>
      </c>
      <c r="Q288" s="116">
        <f t="shared" si="60"/>
        <v>2</v>
      </c>
      <c r="R288" s="31" t="str">
        <f t="shared" si="61"/>
        <v>Eva Charlotte Loyd TALBOT</v>
      </c>
      <c r="S288" t="str">
        <f t="shared" si="62"/>
        <v>Evie TALBOT (2012 - :  #123aa)</v>
      </c>
    </row>
    <row r="289" spans="1:19">
      <c r="A289">
        <f>'All Girls &amp; Descendants'!B287</f>
        <v>123</v>
      </c>
      <c r="B289" t="str">
        <f>'All Girls &amp; Descendants'!C287</f>
        <v>123ab</v>
      </c>
      <c r="C289" t="str">
        <f>'All Girls &amp; Descendants'!D287</f>
        <v>TALBOT</v>
      </c>
      <c r="D289" t="str">
        <f>'All Girls &amp; Descendants'!E287</f>
        <v>Arlo</v>
      </c>
      <c r="E289" t="str">
        <f>IF('All Girls &amp; Descendants'!F287="","",'All Girls &amp; Descendants'!F287)</f>
        <v>Terrence</v>
      </c>
      <c r="F289" t="str">
        <f>IF('All Girls &amp; Descendants'!G287="","",'All Girls &amp; Descendants'!G287)</f>
        <v>Peter</v>
      </c>
      <c r="G289" t="str">
        <f>IF('All Girls &amp; Descendants'!H287="",D289,'All Girls &amp; Descendants'!H287)</f>
        <v>Arlo</v>
      </c>
      <c r="H289">
        <f>'All Girls &amp; Descendants'!I287</f>
        <v>2015</v>
      </c>
      <c r="I289" t="str">
        <f>'All Girls &amp; Descendants'!J287</f>
        <v/>
      </c>
      <c r="K289" s="3">
        <f>'All Girls &amp; Descendants'!M287</f>
        <v>42082</v>
      </c>
      <c r="L289" s="3" t="str">
        <f>'All Girls &amp; Descendants'!N287</f>
        <v xml:space="preserve"> - </v>
      </c>
      <c r="M289" t="str">
        <f>'All Girls &amp; Descendants'!O287</f>
        <v/>
      </c>
      <c r="N289" t="str">
        <f>'All Girls &amp; Descendants'!P287</f>
        <v/>
      </c>
      <c r="O289" t="str">
        <f>'All Girls &amp; Descendants'!Q287</f>
        <v>123a</v>
      </c>
      <c r="P289" t="str">
        <f t="shared" si="59"/>
        <v>123ab</v>
      </c>
      <c r="Q289" s="116">
        <f t="shared" si="60"/>
        <v>2</v>
      </c>
      <c r="R289" s="31" t="str">
        <f t="shared" si="61"/>
        <v>Arlo Terrence Peter TALBOT</v>
      </c>
      <c r="S289" t="str">
        <f t="shared" si="62"/>
        <v>Arlo TALBOT (2015 - :  #123ab)</v>
      </c>
    </row>
    <row r="290" spans="1:19">
      <c r="A290">
        <f>'All Girls &amp; Descendants'!B288</f>
        <v>123</v>
      </c>
      <c r="B290" t="str">
        <f>'All Girls &amp; Descendants'!C288</f>
        <v>123ba</v>
      </c>
      <c r="C290" t="str">
        <f>'All Girls &amp; Descendants'!D288</f>
        <v>CORVINO</v>
      </c>
      <c r="D290" t="str">
        <f>'All Girls &amp; Descendants'!E288</f>
        <v>Rufus</v>
      </c>
      <c r="E290" t="str">
        <f>IF('All Girls &amp; Descendants'!F288="","",'All Girls &amp; Descendants'!F288)</f>
        <v>Mali</v>
      </c>
      <c r="F290" t="str">
        <f>IF('All Girls &amp; Descendants'!G288="","",'All Girls &amp; Descendants'!G288)</f>
        <v/>
      </c>
      <c r="G290" t="str">
        <f>IF('All Girls &amp; Descendants'!H288="",D290,'All Girls &amp; Descendants'!H288)</f>
        <v>Rufus</v>
      </c>
      <c r="H290">
        <f>'All Girls &amp; Descendants'!I288</f>
        <v>2005</v>
      </c>
      <c r="I290" t="str">
        <f>'All Girls &amp; Descendants'!J288</f>
        <v/>
      </c>
      <c r="K290" s="3">
        <f>'All Girls &amp; Descendants'!M288</f>
        <v>38466</v>
      </c>
      <c r="L290" s="3" t="str">
        <f>'All Girls &amp; Descendants'!N288</f>
        <v xml:space="preserve"> - </v>
      </c>
      <c r="M290" t="str">
        <f>'All Girls &amp; Descendants'!O288</f>
        <v/>
      </c>
      <c r="N290" t="str">
        <f>'All Girls &amp; Descendants'!P288</f>
        <v/>
      </c>
      <c r="O290" t="str">
        <f>'All Girls &amp; Descendants'!Q288</f>
        <v>123b</v>
      </c>
      <c r="P290" t="str">
        <f t="shared" si="59"/>
        <v>123ba</v>
      </c>
      <c r="Q290" s="116">
        <f t="shared" si="60"/>
        <v>2</v>
      </c>
      <c r="R290" s="31" t="str">
        <f t="shared" si="61"/>
        <v>Rufus Mali  CORVINO</v>
      </c>
      <c r="S290" t="str">
        <f t="shared" si="62"/>
        <v>Rufus CORVINO (2005 - :  #123ba)</v>
      </c>
    </row>
    <row r="291" spans="1:19">
      <c r="A291">
        <f>'All Girls &amp; Descendants'!B289</f>
        <v>123</v>
      </c>
      <c r="B291" t="str">
        <f>'All Girls &amp; Descendants'!C289</f>
        <v>123bb</v>
      </c>
      <c r="C291" t="str">
        <f>'All Girls &amp; Descendants'!D289</f>
        <v>BOSMAN</v>
      </c>
      <c r="D291" t="str">
        <f>'All Girls &amp; Descendants'!E289</f>
        <v>Hal</v>
      </c>
      <c r="E291" t="str">
        <f>IF('All Girls &amp; Descendants'!F289="","",'All Girls &amp; Descendants'!F289)</f>
        <v>Alfred</v>
      </c>
      <c r="F291" t="str">
        <f>IF('All Girls &amp; Descendants'!G289="","",'All Girls &amp; Descendants'!G289)</f>
        <v>Layzell</v>
      </c>
      <c r="G291" t="str">
        <f>IF('All Girls &amp; Descendants'!H289="",D291,'All Girls &amp; Descendants'!H289)</f>
        <v>Hal</v>
      </c>
      <c r="H291">
        <f>'All Girls &amp; Descendants'!I289</f>
        <v>2017</v>
      </c>
      <c r="I291" t="str">
        <f>'All Girls &amp; Descendants'!J289</f>
        <v/>
      </c>
      <c r="K291" s="3">
        <f>'All Girls &amp; Descendants'!M289</f>
        <v>42764</v>
      </c>
      <c r="L291" s="3" t="str">
        <f>'All Girls &amp; Descendants'!N289</f>
        <v xml:space="preserve"> - </v>
      </c>
      <c r="M291" t="str">
        <f>'All Girls &amp; Descendants'!O289</f>
        <v/>
      </c>
      <c r="N291" t="str">
        <f>'All Girls &amp; Descendants'!P289</f>
        <v/>
      </c>
      <c r="O291" t="str">
        <f>'All Girls &amp; Descendants'!Q289</f>
        <v>123b</v>
      </c>
      <c r="P291" t="str">
        <f t="shared" si="59"/>
        <v>123bb</v>
      </c>
      <c r="Q291" s="116">
        <f t="shared" si="60"/>
        <v>2</v>
      </c>
      <c r="R291" s="31" t="str">
        <f t="shared" si="61"/>
        <v>Hal Alfred Layzell BOSMAN</v>
      </c>
      <c r="S291" t="str">
        <f t="shared" si="62"/>
        <v>Hal BOSMAN (2017 - :  #123bb)</v>
      </c>
    </row>
    <row r="292" spans="1:19">
      <c r="A292">
        <f>'All Girls &amp; Descendants'!B290</f>
        <v>123</v>
      </c>
      <c r="B292" t="str">
        <f>'All Girls &amp; Descendants'!C290</f>
        <v>123bc</v>
      </c>
      <c r="C292" t="str">
        <f>'All Girls &amp; Descendants'!D290</f>
        <v>BOSMAN</v>
      </c>
      <c r="D292" t="str">
        <f>'All Girls &amp; Descendants'!E290</f>
        <v>Rocky</v>
      </c>
      <c r="E292" t="str">
        <f>IF('All Girls &amp; Descendants'!F290="","",'All Girls &amp; Descendants'!F290)</f>
        <v>Terrence</v>
      </c>
      <c r="F292" t="str">
        <f>IF('All Girls &amp; Descendants'!G290="","",'All Girls &amp; Descendants'!G290)</f>
        <v/>
      </c>
      <c r="G292" t="str">
        <f>IF('All Girls &amp; Descendants'!H290="",D292,'All Girls &amp; Descendants'!H290)</f>
        <v>Rocky</v>
      </c>
      <c r="H292">
        <f>'All Girls &amp; Descendants'!I290</f>
        <v>2020</v>
      </c>
      <c r="I292" t="str">
        <f>'All Girls &amp; Descendants'!J290</f>
        <v/>
      </c>
      <c r="K292" s="3">
        <f>'All Girls &amp; Descendants'!M290</f>
        <v>43932</v>
      </c>
      <c r="L292" s="3" t="str">
        <f>'All Girls &amp; Descendants'!N290</f>
        <v xml:space="preserve"> - </v>
      </c>
      <c r="M292" t="str">
        <f>'All Girls &amp; Descendants'!O290</f>
        <v/>
      </c>
      <c r="N292" t="str">
        <f>'All Girls &amp; Descendants'!P290</f>
        <v/>
      </c>
      <c r="O292" t="str">
        <f>'All Girls &amp; Descendants'!Q290</f>
        <v>123b</v>
      </c>
      <c r="P292" t="str">
        <f t="shared" si="59"/>
        <v>123bc</v>
      </c>
      <c r="Q292" s="116">
        <f t="shared" si="60"/>
        <v>2</v>
      </c>
      <c r="R292" s="31" t="str">
        <f t="shared" si="61"/>
        <v>Rocky Terrence  BOSMAN</v>
      </c>
      <c r="S292" t="str">
        <f t="shared" si="62"/>
        <v>Rocky BOSMAN (2020 - :  #123bc)</v>
      </c>
    </row>
    <row r="293" spans="1:19">
      <c r="A293">
        <f>'All Girls &amp; Descendants'!B291</f>
        <v>143</v>
      </c>
      <c r="B293" t="str">
        <f>'All Girls &amp; Descendants'!C291</f>
        <v>143aa</v>
      </c>
      <c r="C293" t="str">
        <f>'All Girls &amp; Descendants'!D291</f>
        <v>RUSSELL-STONEHAM</v>
      </c>
      <c r="D293" t="str">
        <f>'All Girls &amp; Descendants'!E291</f>
        <v>Alice</v>
      </c>
      <c r="E293" t="str">
        <f>IF('All Girls &amp; Descendants'!F291="","",'All Girls &amp; Descendants'!F291)</f>
        <v>Isla</v>
      </c>
      <c r="F293" t="str">
        <f>IF('All Girls &amp; Descendants'!G291="","",'All Girls &amp; Descendants'!G291)</f>
        <v/>
      </c>
      <c r="G293" t="str">
        <f>IF('All Girls &amp; Descendants'!H291="",D293,'All Girls &amp; Descendants'!H291)</f>
        <v>Alice</v>
      </c>
      <c r="H293">
        <f>'All Girls &amp; Descendants'!I291</f>
        <v>2020</v>
      </c>
      <c r="I293" t="str">
        <f>'All Girls &amp; Descendants'!J291</f>
        <v/>
      </c>
      <c r="K293" s="3">
        <f>'All Girls &amp; Descendants'!M291</f>
        <v>44125</v>
      </c>
      <c r="L293" s="3" t="str">
        <f>'All Girls &amp; Descendants'!N291</f>
        <v xml:space="preserve"> - </v>
      </c>
      <c r="M293" t="str">
        <f>'All Girls &amp; Descendants'!O291</f>
        <v/>
      </c>
      <c r="N293" t="str">
        <f>'All Girls &amp; Descendants'!P291</f>
        <v/>
      </c>
      <c r="O293" t="str">
        <f>'All Girls &amp; Descendants'!Q291</f>
        <v>143a</v>
      </c>
      <c r="P293" t="str">
        <f t="shared" si="59"/>
        <v>143aa</v>
      </c>
      <c r="Q293" s="116">
        <f t="shared" si="60"/>
        <v>2</v>
      </c>
      <c r="R293" s="31" t="str">
        <f t="shared" si="61"/>
        <v>Alice Isla  RUSSELL-STONEHAM</v>
      </c>
      <c r="S293" t="str">
        <f t="shared" si="62"/>
        <v>Alice RUSSELL-STONEHAM (2020 - :  #143aa)</v>
      </c>
    </row>
    <row r="294" spans="1:19">
      <c r="A294">
        <f>'All Girls &amp; Descendants'!B292</f>
        <v>2</v>
      </c>
      <c r="B294" t="str">
        <f>'All Girls &amp; Descendants'!C292</f>
        <v>2aaa</v>
      </c>
      <c r="C294" t="str">
        <f>'All Girls &amp; Descendants'!D292</f>
        <v>DAVIES</v>
      </c>
      <c r="D294" t="str">
        <f>'All Girls &amp; Descendants'!E292</f>
        <v>William</v>
      </c>
      <c r="E294" t="str">
        <f>IF('All Girls &amp; Descendants'!F292="","",'All Girls &amp; Descendants'!F292)</f>
        <v/>
      </c>
      <c r="F294" t="str">
        <f>IF('All Girls &amp; Descendants'!G292="","",'All Girls &amp; Descendants'!G292)</f>
        <v/>
      </c>
      <c r="G294" t="str">
        <f>IF('All Girls &amp; Descendants'!H292="",D294,'All Girls &amp; Descendants'!H292)</f>
        <v>William</v>
      </c>
      <c r="H294" t="str">
        <f>'All Girls &amp; Descendants'!I292</f>
        <v>1860/61</v>
      </c>
      <c r="I294">
        <f>'All Girls &amp; Descendants'!J292</f>
        <v>1943</v>
      </c>
      <c r="K294" s="3" t="str">
        <f>'All Girls &amp; Descendants'!M292</f>
        <v>1860 or 61</v>
      </c>
      <c r="L294" s="3" t="str">
        <f>'All Girls &amp; Descendants'!N292</f>
        <v xml:space="preserve"> - </v>
      </c>
      <c r="M294">
        <f>'All Girls &amp; Descendants'!O292</f>
        <v>15847</v>
      </c>
      <c r="N294" t="str">
        <f>'All Girls &amp; Descendants'!P292</f>
        <v>21/05/1943</v>
      </c>
      <c r="O294" t="str">
        <f>'All Girls &amp; Descendants'!Q292</f>
        <v>2aa</v>
      </c>
      <c r="P294" t="str">
        <f t="shared" si="59"/>
        <v>2aaa</v>
      </c>
      <c r="Q294" s="116">
        <f t="shared" si="60"/>
        <v>3</v>
      </c>
      <c r="R294" s="31" t="str">
        <f t="shared" si="61"/>
        <v>William   DAVIES</v>
      </c>
      <c r="S294" t="str">
        <f t="shared" si="62"/>
        <v>William DAVIES (1860/61 - 1943:  #2aaa)</v>
      </c>
    </row>
    <row r="295" spans="1:19">
      <c r="A295">
        <f>'All Girls &amp; Descendants'!B293</f>
        <v>2</v>
      </c>
      <c r="B295" t="str">
        <f>'All Girls &amp; Descendants'!C293</f>
        <v>2caa</v>
      </c>
      <c r="C295" t="str">
        <f>'All Girls &amp; Descendants'!D293</f>
        <v>PROTHEROE</v>
      </c>
      <c r="D295" t="str">
        <f>'All Girls &amp; Descendants'!E293</f>
        <v>The REV Roderick</v>
      </c>
      <c r="E295" t="str">
        <f>IF('All Girls &amp; Descendants'!F293="","",'All Girls &amp; Descendants'!F293)</f>
        <v>Loyd</v>
      </c>
      <c r="F295" t="str">
        <f>IF('All Girls &amp; Descendants'!G293="","",'All Girls &amp; Descendants'!G293)</f>
        <v/>
      </c>
      <c r="G295" t="str">
        <f>IF('All Girls &amp; Descendants'!H293="",D295,'All Girls &amp; Descendants'!H293)</f>
        <v>The REV Roderick</v>
      </c>
      <c r="H295">
        <f>'All Girls &amp; Descendants'!I293</f>
        <v>1852</v>
      </c>
      <c r="I295">
        <f>'All Girls &amp; Descendants'!J293</f>
        <v>1905</v>
      </c>
      <c r="K295" s="3" t="str">
        <f>'All Girls &amp; Descendants'!M293</f>
        <v>1852</v>
      </c>
      <c r="L295" s="3" t="str">
        <f>'All Girls &amp; Descendants'!N293</f>
        <v xml:space="preserve"> - </v>
      </c>
      <c r="M295" t="str">
        <f>'All Girls &amp; Descendants'!O293</f>
        <v>1894</v>
      </c>
      <c r="N295" t="str">
        <f>'All Girls &amp; Descendants'!P293</f>
        <v>08/03/1905</v>
      </c>
      <c r="O295" t="str">
        <f>'All Girls &amp; Descendants'!Q293</f>
        <v>2ca</v>
      </c>
      <c r="P295" t="str">
        <f t="shared" si="59"/>
        <v>2caa</v>
      </c>
      <c r="Q295" s="116">
        <f t="shared" si="60"/>
        <v>3</v>
      </c>
      <c r="R295" s="31" t="str">
        <f t="shared" si="61"/>
        <v>The REV Roderick Loyd  PROTHEROE</v>
      </c>
      <c r="S295" t="str">
        <f t="shared" si="62"/>
        <v>The REV Roderick PROTHEROE (1852 - 1905:  #2caa)</v>
      </c>
    </row>
    <row r="296" spans="1:19">
      <c r="A296">
        <f>'All Girls &amp; Descendants'!B294</f>
        <v>2</v>
      </c>
      <c r="B296" t="str">
        <f>'All Girls &amp; Descendants'!C294</f>
        <v>2cab</v>
      </c>
      <c r="C296" t="str">
        <f>'All Girls &amp; Descendants'!D294</f>
        <v>PROTHEROE</v>
      </c>
      <c r="D296" t="str">
        <f>'All Girls &amp; Descendants'!E294</f>
        <v>The REV William</v>
      </c>
      <c r="E296" t="str">
        <f>IF('All Girls &amp; Descendants'!F294="","",'All Girls &amp; Descendants'!F294)</f>
        <v>Loyd</v>
      </c>
      <c r="F296" t="str">
        <f>IF('All Girls &amp; Descendants'!G294="","",'All Girls &amp; Descendants'!G294)</f>
        <v/>
      </c>
      <c r="G296" t="str">
        <f>IF('All Girls &amp; Descendants'!H294="",D296,'All Girls &amp; Descendants'!H294)</f>
        <v>The REV William</v>
      </c>
      <c r="H296">
        <f>'All Girls &amp; Descendants'!I294</f>
        <v>1855</v>
      </c>
      <c r="I296" t="str">
        <f>'All Girls &amp; Descendants'!J294</f>
        <v>1915</v>
      </c>
      <c r="K296" s="3" t="str">
        <f>'All Girls &amp; Descendants'!M294</f>
        <v>10/03/1855</v>
      </c>
      <c r="L296" s="3" t="str">
        <f>'All Girls &amp; Descendants'!N294</f>
        <v>07/02/1884</v>
      </c>
      <c r="M296" t="str">
        <f>'All Girls &amp; Descendants'!O294</f>
        <v>1915</v>
      </c>
      <c r="N296" t="str">
        <f>'All Girls &amp; Descendants'!P294</f>
        <v>29/03/1905</v>
      </c>
      <c r="O296" t="str">
        <f>'All Girls &amp; Descendants'!Q294</f>
        <v>2ca</v>
      </c>
      <c r="P296" t="str">
        <f t="shared" si="59"/>
        <v>2cab</v>
      </c>
      <c r="Q296" s="116">
        <f t="shared" si="60"/>
        <v>3</v>
      </c>
      <c r="R296" s="31" t="str">
        <f t="shared" si="61"/>
        <v>The REV William Loyd  PROTHEROE</v>
      </c>
      <c r="S296" t="str">
        <f t="shared" si="62"/>
        <v>The REV William PROTHEROE (1855 - 1915:  #2cab)</v>
      </c>
    </row>
    <row r="297" spans="1:19">
      <c r="A297">
        <f>'All Girls &amp; Descendants'!B295</f>
        <v>18</v>
      </c>
      <c r="B297" t="str">
        <f>'All Girls &amp; Descendants'!C295</f>
        <v>18bba</v>
      </c>
      <c r="C297" t="str">
        <f>'All Girls &amp; Descendants'!D295</f>
        <v>WARNER</v>
      </c>
      <c r="D297" t="str">
        <f>'All Girls &amp; Descendants'!E295</f>
        <v>Sir Edward</v>
      </c>
      <c r="E297" t="str">
        <f>IF('All Girls &amp; Descendants'!F295="","",'All Girls &amp; Descendants'!F295)</f>
        <v>Redston</v>
      </c>
      <c r="F297" t="str">
        <f>IF('All Girls &amp; Descendants'!G295="","",'All Girls &amp; Descendants'!G295)</f>
        <v/>
      </c>
      <c r="G297" t="str">
        <f>IF('All Girls &amp; Descendants'!H295="",D297,'All Girls &amp; Descendants'!H295)</f>
        <v>Sir Edward</v>
      </c>
      <c r="H297">
        <f>'All Girls &amp; Descendants'!I295</f>
        <v>1991</v>
      </c>
      <c r="I297">
        <f>'All Girls &amp; Descendants'!J295</f>
        <v>2002</v>
      </c>
      <c r="K297" s="3">
        <f>'All Girls &amp; Descendants'!M295</f>
        <v>33320</v>
      </c>
      <c r="L297" s="3">
        <f>'All Girls &amp; Descendants'!N295</f>
        <v>15845</v>
      </c>
      <c r="M297">
        <f>'All Girls &amp; Descendants'!O295</f>
        <v>37295</v>
      </c>
      <c r="N297" t="str">
        <f>'All Girls &amp; Descendants'!P295</f>
        <v>08/02/2002</v>
      </c>
      <c r="O297" t="str">
        <f>'All Girls &amp; Descendants'!Q295</f>
        <v>18bb</v>
      </c>
      <c r="P297" t="str">
        <f t="shared" si="59"/>
        <v>18bba</v>
      </c>
      <c r="Q297" s="116">
        <f t="shared" si="60"/>
        <v>3</v>
      </c>
      <c r="R297" s="31" t="str">
        <f t="shared" si="61"/>
        <v>Sir Edward Redston  WARNER</v>
      </c>
      <c r="S297" t="str">
        <f t="shared" si="62"/>
        <v>Sir Edward WARNER (1991 - 2002:  #18bba)</v>
      </c>
    </row>
    <row r="298" spans="1:19">
      <c r="A298">
        <f>'All Girls &amp; Descendants'!B296</f>
        <v>18</v>
      </c>
      <c r="B298" t="str">
        <f>'All Girls &amp; Descendants'!C296</f>
        <v>18bbb</v>
      </c>
      <c r="C298" t="str">
        <f>'All Girls &amp; Descendants'!D296</f>
        <v>WARNER (later NICOL)</v>
      </c>
      <c r="D298" t="str">
        <f>'All Girls &amp; Descendants'!E296</f>
        <v>John</v>
      </c>
      <c r="E298" t="str">
        <f>IF('All Girls &amp; Descendants'!F296="","",'All Girls &amp; Descendants'!F296)</f>
        <v>Wilmot</v>
      </c>
      <c r="F298" t="str">
        <f>IF('All Girls &amp; Descendants'!G296="","",'All Girls &amp; Descendants'!G296)</f>
        <v/>
      </c>
      <c r="G298" t="str">
        <f>IF('All Girls &amp; Descendants'!H296="",D298,'All Girls &amp; Descendants'!H296)</f>
        <v>John</v>
      </c>
      <c r="H298">
        <f>'All Girls &amp; Descendants'!I296</f>
        <v>1912</v>
      </c>
      <c r="I298">
        <f>'All Girls &amp; Descendants'!J296</f>
        <v>2008</v>
      </c>
      <c r="K298" s="3">
        <f>'All Girls &amp; Descendants'!M296</f>
        <v>4548</v>
      </c>
      <c r="L298" s="3">
        <f>'All Girls &amp; Descendants'!N296</f>
        <v>16968</v>
      </c>
      <c r="M298">
        <f>'All Girls &amp; Descendants'!O296</f>
        <v>39720</v>
      </c>
      <c r="N298" t="str">
        <f>'All Girls &amp; Descendants'!P296</f>
        <v>29/09/2008</v>
      </c>
      <c r="O298" t="str">
        <f>'All Girls &amp; Descendants'!Q296</f>
        <v>18bb</v>
      </c>
      <c r="P298" t="str">
        <f t="shared" si="59"/>
        <v>18bbb</v>
      </c>
      <c r="Q298" s="116">
        <f t="shared" si="60"/>
        <v>3</v>
      </c>
      <c r="R298" s="31" t="str">
        <f t="shared" si="61"/>
        <v>John Wilmot  WARNER (later NICOL)</v>
      </c>
      <c r="S298" t="str">
        <f t="shared" si="62"/>
        <v>John WARNER (later NICOL) (1912 - 2008:  #18bbb)</v>
      </c>
    </row>
    <row r="299" spans="1:19">
      <c r="A299">
        <f>'All Girls &amp; Descendants'!B297</f>
        <v>18</v>
      </c>
      <c r="B299" t="str">
        <f>'All Girls &amp; Descendants'!C297</f>
        <v>18bbc</v>
      </c>
      <c r="C299" t="str">
        <f>'All Girls &amp; Descendants'!D297</f>
        <v>WARNER</v>
      </c>
      <c r="D299" t="str">
        <f>'All Girls &amp; Descendants'!E297</f>
        <v>Peter</v>
      </c>
      <c r="E299" t="str">
        <f>IF('All Girls &amp; Descendants'!F297="","",'All Girls &amp; Descendants'!F297)</f>
        <v>Eric</v>
      </c>
      <c r="F299" t="str">
        <f>IF('All Girls &amp; Descendants'!G297="","",'All Girls &amp; Descendants'!G297)</f>
        <v>Henry</v>
      </c>
      <c r="G299" t="str">
        <f>IF('All Girls &amp; Descendants'!H297="",D299,'All Girls &amp; Descendants'!H297)</f>
        <v>Peter</v>
      </c>
      <c r="H299">
        <f>'All Girls &amp; Descendants'!I297</f>
        <v>1915</v>
      </c>
      <c r="I299">
        <f>'All Girls &amp; Descendants'!J297</f>
        <v>2003</v>
      </c>
      <c r="K299" s="3">
        <f>'All Girls &amp; Descendants'!M297</f>
        <v>5568</v>
      </c>
      <c r="L299" s="3" t="str">
        <f>'All Girls &amp; Descendants'!N297</f>
        <v xml:space="preserve"> - </v>
      </c>
      <c r="M299">
        <f>'All Girls &amp; Descendants'!O297</f>
        <v>37929</v>
      </c>
      <c r="N299" t="str">
        <f>'All Girls &amp; Descendants'!P297</f>
        <v>04/11/2003</v>
      </c>
      <c r="O299" t="str">
        <f>'All Girls &amp; Descendants'!Q297</f>
        <v>18bb</v>
      </c>
      <c r="P299" t="str">
        <f t="shared" si="59"/>
        <v>18bbc</v>
      </c>
      <c r="Q299" s="116">
        <f t="shared" si="60"/>
        <v>3</v>
      </c>
      <c r="R299" s="31" t="str">
        <f t="shared" si="61"/>
        <v>Peter Eric Henry WARNER</v>
      </c>
      <c r="S299" t="str">
        <f t="shared" si="62"/>
        <v>Peter WARNER (1915 - 2003:  #18bbc)</v>
      </c>
    </row>
    <row r="300" spans="1:19">
      <c r="A300">
        <f>'All Girls &amp; Descendants'!B298</f>
        <v>18</v>
      </c>
      <c r="B300" t="str">
        <f>'All Girls &amp; Descendants'!C298</f>
        <v>18eaa</v>
      </c>
      <c r="C300" t="str">
        <f>'All Girls &amp; Descendants'!D298</f>
        <v>DUGDALE</v>
      </c>
      <c r="D300" t="str">
        <f>'All Girls &amp; Descendants'!E298</f>
        <v>Brenda</v>
      </c>
      <c r="E300" t="str">
        <f>IF('All Girls &amp; Descendants'!F298="","",'All Girls &amp; Descendants'!F298)</f>
        <v/>
      </c>
      <c r="F300" t="str">
        <f>IF('All Girls &amp; Descendants'!G298="","",'All Girls &amp; Descendants'!G298)</f>
        <v/>
      </c>
      <c r="G300" t="str">
        <f>IF('All Girls &amp; Descendants'!H298="",D300,'All Girls &amp; Descendants'!H298)</f>
        <v>Brenda</v>
      </c>
      <c r="H300">
        <f>'All Girls &amp; Descendants'!I298</f>
        <v>1911</v>
      </c>
      <c r="I300">
        <f>'All Girls &amp; Descendants'!J298</f>
        <v>1987</v>
      </c>
      <c r="K300" s="3">
        <f>'All Girls &amp; Descendants'!M298</f>
        <v>4270</v>
      </c>
      <c r="L300" s="3" t="str">
        <f>'All Girls &amp; Descendants'!N298</f>
        <v xml:space="preserve"> - </v>
      </c>
      <c r="M300">
        <f>'All Girls &amp; Descendants'!O298</f>
        <v>31997</v>
      </c>
      <c r="N300" t="str">
        <f>'All Girls &amp; Descendants'!P298</f>
        <v>08/08/1987</v>
      </c>
      <c r="O300" t="str">
        <f>'All Girls &amp; Descendants'!Q298</f>
        <v>18ea</v>
      </c>
      <c r="P300" t="str">
        <f t="shared" si="59"/>
        <v>18eaa</v>
      </c>
      <c r="Q300" s="116">
        <f t="shared" si="60"/>
        <v>3</v>
      </c>
      <c r="R300" s="31" t="str">
        <f t="shared" si="61"/>
        <v>Brenda   DUGDALE</v>
      </c>
      <c r="S300" t="str">
        <f t="shared" si="62"/>
        <v>Brenda DUGDALE (1911 - 1987:  #18eaa)</v>
      </c>
    </row>
    <row r="301" spans="1:19">
      <c r="A301">
        <f>'All Girls &amp; Descendants'!B299</f>
        <v>36</v>
      </c>
      <c r="B301" t="str">
        <f>'All Girls &amp; Descendants'!C299</f>
        <v>36dba</v>
      </c>
      <c r="C301" t="str">
        <f>'All Girls &amp; Descendants'!D299</f>
        <v>POWELL</v>
      </c>
      <c r="D301" t="str">
        <f>'All Girls &amp; Descendants'!E299</f>
        <v>Elizabeth</v>
      </c>
      <c r="E301" t="str">
        <f>IF('All Girls &amp; Descendants'!F299="","",'All Girls &amp; Descendants'!F299)</f>
        <v>Clare</v>
      </c>
      <c r="F301" t="str">
        <f>IF('All Girls &amp; Descendants'!G299="","",'All Girls &amp; Descendants'!G299)</f>
        <v/>
      </c>
      <c r="G301" t="str">
        <f>IF('All Girls &amp; Descendants'!H299="",D301,'All Girls &amp; Descendants'!H299)</f>
        <v>Toodie</v>
      </c>
      <c r="H301">
        <f>'All Girls &amp; Descendants'!I299</f>
        <v>1942</v>
      </c>
      <c r="I301" t="str">
        <f>'All Girls &amp; Descendants'!J299</f>
        <v/>
      </c>
      <c r="K301" s="3">
        <f>'All Girls &amp; Descendants'!M299</f>
        <v>15491</v>
      </c>
      <c r="L301" s="3">
        <f>'All Girls &amp; Descendants'!N299</f>
        <v>24016</v>
      </c>
      <c r="M301" t="str">
        <f>'All Girls &amp; Descendants'!O299</f>
        <v/>
      </c>
      <c r="N301" t="str">
        <f>'All Girls &amp; Descendants'!P299</f>
        <v/>
      </c>
      <c r="O301" t="str">
        <f>'All Girls &amp; Descendants'!Q299</f>
        <v>36db</v>
      </c>
      <c r="P301" t="str">
        <f t="shared" si="59"/>
        <v>36dba</v>
      </c>
      <c r="Q301" s="116">
        <f t="shared" si="60"/>
        <v>3</v>
      </c>
      <c r="R301" s="31" t="str">
        <f t="shared" si="61"/>
        <v>Elizabeth Clare  POWELL</v>
      </c>
      <c r="S301" t="str">
        <f t="shared" si="62"/>
        <v>Toodie POWELL (1942 - :  #36dba)</v>
      </c>
    </row>
    <row r="302" spans="1:19">
      <c r="A302">
        <f>'All Girls &amp; Descendants'!B300</f>
        <v>36</v>
      </c>
      <c r="B302" t="str">
        <f>'All Girls &amp; Descendants'!C300</f>
        <v>36dbb</v>
      </c>
      <c r="C302" t="str">
        <f>'All Girls &amp; Descendants'!D300</f>
        <v>POWELL</v>
      </c>
      <c r="D302" t="str">
        <f>'All Girls &amp; Descendants'!E300</f>
        <v>Margaret</v>
      </c>
      <c r="E302" t="str">
        <f>IF('All Girls &amp; Descendants'!F300="","",'All Girls &amp; Descendants'!F300)</f>
        <v>Ann</v>
      </c>
      <c r="F302" t="str">
        <f>IF('All Girls &amp; Descendants'!G300="","",'All Girls &amp; Descendants'!G300)</f>
        <v/>
      </c>
      <c r="G302" t="str">
        <f>IF('All Girls &amp; Descendants'!H300="",D302,'All Girls &amp; Descendants'!H300)</f>
        <v>Margaret</v>
      </c>
      <c r="H302">
        <f>'All Girls &amp; Descendants'!I300</f>
        <v>1944</v>
      </c>
      <c r="I302" t="str">
        <f>'All Girls &amp; Descendants'!J300</f>
        <v/>
      </c>
      <c r="K302" s="3">
        <f>'All Girls &amp; Descendants'!M300</f>
        <v>16262</v>
      </c>
      <c r="L302" s="3">
        <f>'All Girls &amp; Descendants'!N300</f>
        <v>24115</v>
      </c>
      <c r="M302" t="str">
        <f>'All Girls &amp; Descendants'!O300</f>
        <v/>
      </c>
      <c r="N302" t="str">
        <f>'All Girls &amp; Descendants'!P300</f>
        <v/>
      </c>
      <c r="O302" t="str">
        <f>'All Girls &amp; Descendants'!Q300</f>
        <v>36db</v>
      </c>
      <c r="P302" t="str">
        <f t="shared" si="59"/>
        <v>36dbb</v>
      </c>
      <c r="Q302" s="116">
        <f t="shared" si="60"/>
        <v>3</v>
      </c>
      <c r="R302" s="31" t="str">
        <f t="shared" si="61"/>
        <v>Margaret Ann  POWELL</v>
      </c>
      <c r="S302" t="str">
        <f t="shared" si="62"/>
        <v>Margaret POWELL (1944 - :  #36dbb)</v>
      </c>
    </row>
    <row r="303" spans="1:19">
      <c r="A303">
        <f>'All Girls &amp; Descendants'!B301</f>
        <v>47</v>
      </c>
      <c r="B303" t="str">
        <f>'All Girls &amp; Descendants'!C301</f>
        <v>47aaa</v>
      </c>
      <c r="C303" t="str">
        <f>'All Girls &amp; Descendants'!D301</f>
        <v>HARDCASTLE</v>
      </c>
      <c r="D303" t="str">
        <f>'All Girls &amp; Descendants'!E301</f>
        <v>Mary</v>
      </c>
      <c r="E303" t="str">
        <f>IF('All Girls &amp; Descendants'!F301="","",'All Girls &amp; Descendants'!F301)</f>
        <v>Jean</v>
      </c>
      <c r="F303" t="str">
        <f>IF('All Girls &amp; Descendants'!G301="","",'All Girls &amp; Descendants'!G301)</f>
        <v/>
      </c>
      <c r="G303" t="str">
        <f>IF('All Girls &amp; Descendants'!H301="",D303,'All Girls &amp; Descendants'!H301)</f>
        <v>Mary</v>
      </c>
      <c r="H303">
        <f>'All Girls &amp; Descendants'!I301</f>
        <v>1951</v>
      </c>
      <c r="I303" t="str">
        <f>'All Girls &amp; Descendants'!J301</f>
        <v/>
      </c>
      <c r="K303" s="3">
        <f>'All Girls &amp; Descendants'!M301</f>
        <v>18846</v>
      </c>
      <c r="L303" s="3">
        <f>'All Girls &amp; Descendants'!N301</f>
        <v>27901</v>
      </c>
      <c r="M303" t="str">
        <f>'All Girls &amp; Descendants'!O301</f>
        <v/>
      </c>
      <c r="N303" t="str">
        <f>'All Girls &amp; Descendants'!P301</f>
        <v/>
      </c>
      <c r="O303" t="str">
        <f>'All Girls &amp; Descendants'!Q301</f>
        <v>47aa</v>
      </c>
      <c r="P303" t="str">
        <f t="shared" si="59"/>
        <v>47aaa</v>
      </c>
      <c r="Q303" s="116">
        <f t="shared" si="60"/>
        <v>3</v>
      </c>
      <c r="R303" s="31" t="str">
        <f t="shared" si="61"/>
        <v>Mary Jean  HARDCASTLE</v>
      </c>
      <c r="S303" t="str">
        <f t="shared" si="62"/>
        <v>Mary HARDCASTLE (1951 - :  #47aaa)</v>
      </c>
    </row>
    <row r="304" spans="1:19">
      <c r="A304">
        <f>'All Girls &amp; Descendants'!B302</f>
        <v>47</v>
      </c>
      <c r="B304" t="str">
        <f>'All Girls &amp; Descendants'!C302</f>
        <v>47aab</v>
      </c>
      <c r="C304" t="str">
        <f>'All Girls &amp; Descendants'!D302</f>
        <v>HARDCASTLE</v>
      </c>
      <c r="D304" t="str">
        <f>'All Girls &amp; Descendants'!E302</f>
        <v>John</v>
      </c>
      <c r="E304" t="str">
        <f>IF('All Girls &amp; Descendants'!F302="","",'All Girls &amp; Descendants'!F302)</f>
        <v>Michael</v>
      </c>
      <c r="F304" t="str">
        <f>IF('All Girls &amp; Descendants'!G302="","",'All Girls &amp; Descendants'!G302)</f>
        <v/>
      </c>
      <c r="G304" t="str">
        <f>IF('All Girls &amp; Descendants'!H302="",D304,'All Girls &amp; Descendants'!H302)</f>
        <v>Michael</v>
      </c>
      <c r="H304">
        <f>'All Girls &amp; Descendants'!I302</f>
        <v>1953</v>
      </c>
      <c r="I304" t="str">
        <f>'All Girls &amp; Descendants'!J302</f>
        <v/>
      </c>
      <c r="K304" s="3">
        <f>'All Girls &amp; Descendants'!M302</f>
        <v>19386</v>
      </c>
      <c r="L304" s="3">
        <f>'All Girls &amp; Descendants'!N302</f>
        <v>29365</v>
      </c>
      <c r="M304" t="str">
        <f>'All Girls &amp; Descendants'!O302</f>
        <v/>
      </c>
      <c r="N304" t="str">
        <f>'All Girls &amp; Descendants'!P302</f>
        <v/>
      </c>
      <c r="O304" t="str">
        <f>'All Girls &amp; Descendants'!Q302</f>
        <v>47aa</v>
      </c>
      <c r="P304" t="str">
        <f t="shared" si="59"/>
        <v>47aab</v>
      </c>
      <c r="Q304" s="116">
        <f t="shared" si="60"/>
        <v>3</v>
      </c>
      <c r="R304" s="31" t="str">
        <f t="shared" si="61"/>
        <v>John Michael  HARDCASTLE</v>
      </c>
      <c r="S304" t="str">
        <f t="shared" si="62"/>
        <v>Michael HARDCASTLE (1953 - :  #47aab)</v>
      </c>
    </row>
    <row r="305" spans="1:19">
      <c r="A305">
        <f>'All Girls &amp; Descendants'!B303</f>
        <v>47</v>
      </c>
      <c r="B305" t="str">
        <f>'All Girls &amp; Descendants'!C303</f>
        <v>47aac</v>
      </c>
      <c r="C305" t="str">
        <f>'All Girls &amp; Descendants'!D303</f>
        <v>HARDCASTLE</v>
      </c>
      <c r="D305" t="str">
        <f>'All Girls &amp; Descendants'!E303</f>
        <v>Anthony</v>
      </c>
      <c r="E305" t="str">
        <f>IF('All Girls &amp; Descendants'!F303="","",'All Girls &amp; Descendants'!F303)</f>
        <v>David</v>
      </c>
      <c r="F305" t="str">
        <f>IF('All Girls &amp; Descendants'!G303="","",'All Girls &amp; Descendants'!G303)</f>
        <v/>
      </c>
      <c r="G305" t="str">
        <f>IF('All Girls &amp; Descendants'!H303="",D305,'All Girls &amp; Descendants'!H303)</f>
        <v>David</v>
      </c>
      <c r="H305">
        <f>'All Girls &amp; Descendants'!I303</f>
        <v>1954</v>
      </c>
      <c r="I305" t="str">
        <f>'All Girls &amp; Descendants'!J303</f>
        <v/>
      </c>
      <c r="K305" s="3">
        <f>'All Girls &amp; Descendants'!M303</f>
        <v>19882</v>
      </c>
      <c r="L305" s="3">
        <f>'All Girls &amp; Descendants'!N303</f>
        <v>29799</v>
      </c>
      <c r="M305" t="str">
        <f>'All Girls &amp; Descendants'!O303</f>
        <v/>
      </c>
      <c r="N305" t="str">
        <f>'All Girls &amp; Descendants'!P303</f>
        <v/>
      </c>
      <c r="O305" t="str">
        <f>'All Girls &amp; Descendants'!Q303</f>
        <v>47aa</v>
      </c>
      <c r="P305" t="str">
        <f t="shared" si="59"/>
        <v>47aac</v>
      </c>
      <c r="Q305" s="116">
        <f t="shared" si="60"/>
        <v>3</v>
      </c>
      <c r="R305" s="31" t="str">
        <f t="shared" si="61"/>
        <v>Anthony David  HARDCASTLE</v>
      </c>
      <c r="S305" t="str">
        <f t="shared" si="62"/>
        <v>David HARDCASTLE (1954 - :  #47aac)</v>
      </c>
    </row>
    <row r="306" spans="1:19">
      <c r="A306">
        <f>'All Girls &amp; Descendants'!B304</f>
        <v>47</v>
      </c>
      <c r="B306" t="str">
        <f>'All Girls &amp; Descendants'!C304</f>
        <v>47aba</v>
      </c>
      <c r="C306" t="str">
        <f>'All Girls &amp; Descendants'!D304</f>
        <v>DREWE</v>
      </c>
      <c r="D306" t="str">
        <f>'All Girls &amp; Descendants'!E304</f>
        <v>Martin</v>
      </c>
      <c r="E306" t="str">
        <f>IF('All Girls &amp; Descendants'!F304="","",'All Girls &amp; Descendants'!F304)</f>
        <v>Christopher</v>
      </c>
      <c r="F306" t="str">
        <f>IF('All Girls &amp; Descendants'!G304="","",'All Girls &amp; Descendants'!G304)</f>
        <v/>
      </c>
      <c r="G306" t="str">
        <f>IF('All Girls &amp; Descendants'!H304="",D306,'All Girls &amp; Descendants'!H304)</f>
        <v>Martin</v>
      </c>
      <c r="H306">
        <f>'All Girls &amp; Descendants'!I304</f>
        <v>1951</v>
      </c>
      <c r="I306" t="str">
        <f>'All Girls &amp; Descendants'!J304</f>
        <v/>
      </c>
      <c r="K306" s="3">
        <f>'All Girls &amp; Descendants'!M304</f>
        <v>18775</v>
      </c>
      <c r="L306" s="3">
        <f>'All Girls &amp; Descendants'!N304</f>
        <v>35096</v>
      </c>
      <c r="M306" t="str">
        <f>'All Girls &amp; Descendants'!O304</f>
        <v/>
      </c>
      <c r="N306" t="str">
        <f>'All Girls &amp; Descendants'!P304</f>
        <v/>
      </c>
      <c r="O306" t="str">
        <f>'All Girls &amp; Descendants'!Q304</f>
        <v>47ab</v>
      </c>
      <c r="P306" t="str">
        <f t="shared" si="59"/>
        <v>47aba</v>
      </c>
      <c r="Q306" s="116">
        <f t="shared" si="60"/>
        <v>3</v>
      </c>
      <c r="R306" s="31" t="str">
        <f t="shared" si="61"/>
        <v>Martin Christopher  DREWE</v>
      </c>
      <c r="S306" t="str">
        <f t="shared" si="62"/>
        <v>Martin DREWE (1951 - :  #47aba)</v>
      </c>
    </row>
    <row r="307" spans="1:19">
      <c r="A307">
        <f>'All Girls &amp; Descendants'!B305</f>
        <v>47</v>
      </c>
      <c r="B307" t="str">
        <f>'All Girls &amp; Descendants'!C305</f>
        <v>47abb</v>
      </c>
      <c r="C307" t="str">
        <f>'All Girls &amp; Descendants'!D305</f>
        <v>DREWE</v>
      </c>
      <c r="D307" t="str">
        <f>'All Girls &amp; Descendants'!E305</f>
        <v>Gillian</v>
      </c>
      <c r="E307" t="str">
        <f>IF('All Girls &amp; Descendants'!F305="","",'All Girls &amp; Descendants'!F305)</f>
        <v>Frances</v>
      </c>
      <c r="F307" t="str">
        <f>IF('All Girls &amp; Descendants'!G305="","",'All Girls &amp; Descendants'!G305)</f>
        <v/>
      </c>
      <c r="G307" t="str">
        <f>IF('All Girls &amp; Descendants'!H305="",D307,'All Girls &amp; Descendants'!H305)</f>
        <v>Gillian</v>
      </c>
      <c r="H307">
        <f>'All Girls &amp; Descendants'!I305</f>
        <v>1953</v>
      </c>
      <c r="I307" t="str">
        <f>'All Girls &amp; Descendants'!J305</f>
        <v/>
      </c>
      <c r="K307" s="3">
        <f>'All Girls &amp; Descendants'!M305</f>
        <v>19560</v>
      </c>
      <c r="L307" s="3">
        <f>'All Girls &amp; Descendants'!N305</f>
        <v>29666</v>
      </c>
      <c r="M307" t="str">
        <f>'All Girls &amp; Descendants'!O305</f>
        <v/>
      </c>
      <c r="N307" t="str">
        <f>'All Girls &amp; Descendants'!P305</f>
        <v/>
      </c>
      <c r="O307" t="str">
        <f>'All Girls &amp; Descendants'!Q305</f>
        <v>47ab</v>
      </c>
      <c r="P307" t="str">
        <f t="shared" si="59"/>
        <v>47abb</v>
      </c>
      <c r="Q307" s="116">
        <f t="shared" si="60"/>
        <v>3</v>
      </c>
      <c r="R307" s="31" t="str">
        <f t="shared" si="61"/>
        <v>Gillian Frances  DREWE</v>
      </c>
      <c r="S307" t="str">
        <f t="shared" si="62"/>
        <v>Gillian DREWE (1953 - :  #47abb)</v>
      </c>
    </row>
    <row r="308" spans="1:19">
      <c r="A308">
        <f>'All Girls &amp; Descendants'!B306</f>
        <v>47</v>
      </c>
      <c r="B308" t="str">
        <f>'All Girls &amp; Descendants'!C306</f>
        <v>47abc</v>
      </c>
      <c r="C308" t="str">
        <f>'All Girls &amp; Descendants'!D306</f>
        <v>DREWE</v>
      </c>
      <c r="D308" t="str">
        <f>'All Girls &amp; Descendants'!E306</f>
        <v>Charles</v>
      </c>
      <c r="E308" t="str">
        <f>IF('All Girls &amp; Descendants'!F306="","",'All Girls &amp; Descendants'!F306)</f>
        <v>Loyd</v>
      </c>
      <c r="F308" t="str">
        <f>IF('All Girls &amp; Descendants'!G306="","",'All Girls &amp; Descendants'!G306)</f>
        <v/>
      </c>
      <c r="G308" t="str">
        <f>IF('All Girls &amp; Descendants'!H306="",D308,'All Girls &amp; Descendants'!H306)</f>
        <v>Charles</v>
      </c>
      <c r="H308">
        <f>'All Girls &amp; Descendants'!I306</f>
        <v>1957</v>
      </c>
      <c r="I308" t="str">
        <f>'All Girls &amp; Descendants'!J306</f>
        <v/>
      </c>
      <c r="K308" s="3" t="str">
        <f>'All Girls &amp; Descendants'!M306</f>
        <v>24/10/1957</v>
      </c>
      <c r="L308" s="3">
        <f>'All Girls &amp; Descendants'!N306</f>
        <v>31765</v>
      </c>
      <c r="M308" t="str">
        <f>'All Girls &amp; Descendants'!O306</f>
        <v/>
      </c>
      <c r="N308" t="str">
        <f>'All Girls &amp; Descendants'!P306</f>
        <v/>
      </c>
      <c r="O308" t="str">
        <f>'All Girls &amp; Descendants'!Q306</f>
        <v>47ab</v>
      </c>
      <c r="P308" t="str">
        <f t="shared" si="59"/>
        <v>47abc</v>
      </c>
      <c r="Q308" s="116">
        <f t="shared" si="60"/>
        <v>3</v>
      </c>
      <c r="R308" s="31" t="str">
        <f t="shared" si="61"/>
        <v>Charles Loyd  DREWE</v>
      </c>
      <c r="S308" t="str">
        <f t="shared" si="62"/>
        <v>Charles DREWE (1957 - :  #47abc)</v>
      </c>
    </row>
    <row r="309" spans="1:19">
      <c r="A309">
        <f>'All Girls &amp; Descendants'!B307</f>
        <v>63</v>
      </c>
      <c r="B309" t="str">
        <f>'All Girls &amp; Descendants'!C307</f>
        <v>63aba</v>
      </c>
      <c r="C309" t="str">
        <f>'All Girls &amp; Descendants'!D307</f>
        <v>MOORE</v>
      </c>
      <c r="D309" t="str">
        <f>'All Girls &amp; Descendants'!E307</f>
        <v>Isabel</v>
      </c>
      <c r="E309" t="str">
        <f>IF('All Girls &amp; Descendants'!F307="","",'All Girls &amp; Descendants'!F307)</f>
        <v>Eleanor</v>
      </c>
      <c r="F309" t="str">
        <f>IF('All Girls &amp; Descendants'!G307="","",'All Girls &amp; Descendants'!G307)</f>
        <v/>
      </c>
      <c r="G309" t="str">
        <f>IF('All Girls &amp; Descendants'!H307="",D309,'All Girls &amp; Descendants'!H307)</f>
        <v>Isabel</v>
      </c>
      <c r="H309">
        <f>'All Girls &amp; Descendants'!I307</f>
        <v>1989</v>
      </c>
      <c r="I309">
        <f>'All Girls &amp; Descendants'!J307</f>
        <v>2021</v>
      </c>
      <c r="K309" s="3">
        <f>'All Girls &amp; Descendants'!M307</f>
        <v>32624</v>
      </c>
      <c r="L309" s="3" t="str">
        <f>'All Girls &amp; Descendants'!N307</f>
        <v xml:space="preserve"> - </v>
      </c>
      <c r="M309">
        <f>'All Girls &amp; Descendants'!O307</f>
        <v>44468</v>
      </c>
      <c r="N309" t="str">
        <f>'All Girls &amp; Descendants'!P307</f>
        <v>29/09/2021</v>
      </c>
      <c r="O309" t="str">
        <f>'All Girls &amp; Descendants'!Q307</f>
        <v>63ab</v>
      </c>
      <c r="P309" t="str">
        <f t="shared" si="59"/>
        <v>63aba</v>
      </c>
      <c r="Q309" s="116">
        <f t="shared" si="60"/>
        <v>3</v>
      </c>
      <c r="R309" s="31" t="str">
        <f t="shared" si="61"/>
        <v>Isabel Eleanor  MOORE</v>
      </c>
      <c r="S309" t="str">
        <f t="shared" si="62"/>
        <v>Isabel MOORE (1989 - 2021:  #63aba)</v>
      </c>
    </row>
    <row r="310" spans="1:19">
      <c r="A310">
        <f>'All Girls &amp; Descendants'!B308</f>
        <v>63</v>
      </c>
      <c r="B310" t="str">
        <f>'All Girls &amp; Descendants'!C308</f>
        <v>63abb</v>
      </c>
      <c r="C310" t="str">
        <f>'All Girls &amp; Descendants'!D308</f>
        <v>MOORE</v>
      </c>
      <c r="D310" t="str">
        <f>'All Girls &amp; Descendants'!E308</f>
        <v>Alistair</v>
      </c>
      <c r="E310" t="str">
        <f>IF('All Girls &amp; Descendants'!F308="","",'All Girls &amp; Descendants'!F308)</f>
        <v>William</v>
      </c>
      <c r="F310" t="str">
        <f>IF('All Girls &amp; Descendants'!G308="","",'All Girls &amp; Descendants'!G308)</f>
        <v/>
      </c>
      <c r="G310" t="str">
        <f>IF('All Girls &amp; Descendants'!H308="",D310,'All Girls &amp; Descendants'!H308)</f>
        <v>Alistair</v>
      </c>
      <c r="H310">
        <f>'All Girls &amp; Descendants'!I308</f>
        <v>1991</v>
      </c>
      <c r="I310" t="str">
        <f>'All Girls &amp; Descendants'!J308</f>
        <v/>
      </c>
      <c r="K310" s="3">
        <f>'All Girls &amp; Descendants'!M308</f>
        <v>33349</v>
      </c>
      <c r="L310" s="3" t="str">
        <f>'All Girls &amp; Descendants'!N308</f>
        <v xml:space="preserve"> - </v>
      </c>
      <c r="M310" t="str">
        <f>'All Girls &amp; Descendants'!O308</f>
        <v/>
      </c>
      <c r="N310" t="str">
        <f>'All Girls &amp; Descendants'!P308</f>
        <v/>
      </c>
      <c r="O310" t="str">
        <f>'All Girls &amp; Descendants'!Q308</f>
        <v>63ab</v>
      </c>
      <c r="P310" t="str">
        <f t="shared" si="59"/>
        <v>63abb</v>
      </c>
      <c r="Q310" s="116">
        <f t="shared" si="60"/>
        <v>3</v>
      </c>
      <c r="R310" s="31" t="str">
        <f t="shared" si="61"/>
        <v>Alistair William  MOORE</v>
      </c>
      <c r="S310" t="str">
        <f t="shared" si="62"/>
        <v>Alistair MOORE (1991 - :  #63abb)</v>
      </c>
    </row>
    <row r="311" spans="1:19">
      <c r="A311">
        <f>'All Girls &amp; Descendants'!B309</f>
        <v>70</v>
      </c>
      <c r="B311" t="str">
        <f>'All Girls &amp; Descendants'!C309</f>
        <v>70aaa</v>
      </c>
      <c r="C311" t="str">
        <f>'All Girls &amp; Descendants'!D309</f>
        <v>SHEARER</v>
      </c>
      <c r="D311" t="str">
        <f>'All Girls &amp; Descendants'!E309</f>
        <v>Henry</v>
      </c>
      <c r="E311" t="str">
        <f>IF('All Girls &amp; Descendants'!F309="","",'All Girls &amp; Descendants'!F309)</f>
        <v>Charles</v>
      </c>
      <c r="F311" t="str">
        <f>IF('All Girls &amp; Descendants'!G309="","",'All Girls &amp; Descendants'!G309)</f>
        <v>Anthony</v>
      </c>
      <c r="G311" t="str">
        <f>IF('All Girls &amp; Descendants'!H309="",D311,'All Girls &amp; Descendants'!H309)</f>
        <v>Henry</v>
      </c>
      <c r="H311">
        <f>'All Girls &amp; Descendants'!I309</f>
        <v>1981</v>
      </c>
      <c r="I311" t="str">
        <f>'All Girls &amp; Descendants'!J309</f>
        <v/>
      </c>
      <c r="K311" s="3">
        <f>'All Girls &amp; Descendants'!M309</f>
        <v>29897</v>
      </c>
      <c r="L311" s="3" t="str">
        <f>'All Girls &amp; Descendants'!N309</f>
        <v xml:space="preserve"> - </v>
      </c>
      <c r="M311" t="str">
        <f>'All Girls &amp; Descendants'!O309</f>
        <v/>
      </c>
      <c r="N311" t="str">
        <f>'All Girls &amp; Descendants'!P309</f>
        <v/>
      </c>
      <c r="O311" t="str">
        <f>'All Girls &amp; Descendants'!Q309</f>
        <v>70aa</v>
      </c>
      <c r="P311" t="str">
        <f t="shared" si="59"/>
        <v>70aaa</v>
      </c>
      <c r="Q311" s="116">
        <f t="shared" si="60"/>
        <v>3</v>
      </c>
      <c r="R311" s="31" t="str">
        <f t="shared" si="61"/>
        <v>Henry Charles Anthony SHEARER</v>
      </c>
      <c r="S311" t="str">
        <f t="shared" si="62"/>
        <v>Henry SHEARER (1981 - :  #70aaa)</v>
      </c>
    </row>
    <row r="312" spans="1:19">
      <c r="A312">
        <f>'All Girls &amp; Descendants'!B310</f>
        <v>70</v>
      </c>
      <c r="B312" t="str">
        <f>'All Girls &amp; Descendants'!C310</f>
        <v>70aab</v>
      </c>
      <c r="C312" t="str">
        <f>'All Girls &amp; Descendants'!D310</f>
        <v>SHEARER</v>
      </c>
      <c r="D312" t="str">
        <f>'All Girls &amp; Descendants'!E310</f>
        <v>Emma</v>
      </c>
      <c r="E312" t="str">
        <f>IF('All Girls &amp; Descendants'!F310="","",'All Girls &amp; Descendants'!F310)</f>
        <v>Jane</v>
      </c>
      <c r="F312" t="str">
        <f>IF('All Girls &amp; Descendants'!G310="","",'All Girls &amp; Descendants'!G310)</f>
        <v/>
      </c>
      <c r="G312" t="str">
        <f>IF('All Girls &amp; Descendants'!H310="",D312,'All Girls &amp; Descendants'!H310)</f>
        <v>Emma</v>
      </c>
      <c r="H312">
        <f>'All Girls &amp; Descendants'!I310</f>
        <v>1986</v>
      </c>
      <c r="I312" t="str">
        <f>'All Girls &amp; Descendants'!J310</f>
        <v/>
      </c>
      <c r="K312" s="3" t="str">
        <f>'All Girls &amp; Descendants'!M310</f>
        <v>12/09/1986</v>
      </c>
      <c r="L312" s="3" t="str">
        <f>'All Girls &amp; Descendants'!N310</f>
        <v xml:space="preserve"> - </v>
      </c>
      <c r="M312" t="str">
        <f>'All Girls &amp; Descendants'!O310</f>
        <v/>
      </c>
      <c r="N312" t="str">
        <f>'All Girls &amp; Descendants'!P310</f>
        <v/>
      </c>
      <c r="O312" t="str">
        <f>'All Girls &amp; Descendants'!Q310</f>
        <v>70aa</v>
      </c>
      <c r="P312" t="str">
        <f t="shared" si="59"/>
        <v>70aab</v>
      </c>
      <c r="Q312" s="116">
        <f t="shared" si="60"/>
        <v>3</v>
      </c>
      <c r="R312" s="31" t="str">
        <f t="shared" si="61"/>
        <v>Emma Jane  SHEARER</v>
      </c>
      <c r="S312" t="str">
        <f t="shared" si="62"/>
        <v>Emma SHEARER (1986 - :  #70aab)</v>
      </c>
    </row>
    <row r="313" spans="1:19">
      <c r="A313">
        <f>'All Girls &amp; Descendants'!B311</f>
        <v>70</v>
      </c>
      <c r="B313" t="str">
        <f>'All Girls &amp; Descendants'!C311</f>
        <v>70aba</v>
      </c>
      <c r="C313" t="str">
        <f>'All Girls &amp; Descendants'!D311</f>
        <v>ANDREY</v>
      </c>
      <c r="D313" t="str">
        <f>'All Girls &amp; Descendants'!E311</f>
        <v>Christopher</v>
      </c>
      <c r="E313" t="str">
        <f>IF('All Girls &amp; Descendants'!F311="","",'All Girls &amp; Descendants'!F311)</f>
        <v>John</v>
      </c>
      <c r="F313" t="str">
        <f>IF('All Girls &amp; Descendants'!G311="","",'All Girls &amp; Descendants'!G311)</f>
        <v/>
      </c>
      <c r="G313" t="str">
        <f>IF('All Girls &amp; Descendants'!H311="",D313,'All Girls &amp; Descendants'!H311)</f>
        <v>Christopher</v>
      </c>
      <c r="H313">
        <f>'All Girls &amp; Descendants'!I311</f>
        <v>1982</v>
      </c>
      <c r="I313" t="str">
        <f>'All Girls &amp; Descendants'!J311</f>
        <v/>
      </c>
      <c r="K313" s="3" t="str">
        <f>'All Girls &amp; Descendants'!M311</f>
        <v>14/10/1982</v>
      </c>
      <c r="L313" s="3" t="str">
        <f>'All Girls &amp; Descendants'!N311</f>
        <v xml:space="preserve"> - </v>
      </c>
      <c r="M313" t="str">
        <f>'All Girls &amp; Descendants'!O311</f>
        <v/>
      </c>
      <c r="N313" t="str">
        <f>'All Girls &amp; Descendants'!P311</f>
        <v/>
      </c>
      <c r="O313" t="str">
        <f>'All Girls &amp; Descendants'!Q311</f>
        <v>70ab</v>
      </c>
      <c r="P313" t="str">
        <f t="shared" si="59"/>
        <v>70aba</v>
      </c>
      <c r="Q313" s="116">
        <f t="shared" si="60"/>
        <v>3</v>
      </c>
      <c r="R313" s="31" t="str">
        <f t="shared" si="61"/>
        <v>Christopher John  ANDREY</v>
      </c>
      <c r="S313" t="str">
        <f t="shared" si="62"/>
        <v>Christopher ANDREY (1982 - :  #70aba)</v>
      </c>
    </row>
    <row r="314" spans="1:19">
      <c r="A314">
        <f>'All Girls &amp; Descendants'!B312</f>
        <v>70</v>
      </c>
      <c r="B314" t="str">
        <f>'All Girls &amp; Descendants'!C312</f>
        <v>70abb</v>
      </c>
      <c r="C314" t="str">
        <f>'All Girls &amp; Descendants'!D312</f>
        <v>ANDREY</v>
      </c>
      <c r="D314" t="str">
        <f>'All Girls &amp; Descendants'!E312</f>
        <v>Amanda</v>
      </c>
      <c r="E314" t="str">
        <f>IF('All Girls &amp; Descendants'!F312="","",'All Girls &amp; Descendants'!F312)</f>
        <v>Charlotte</v>
      </c>
      <c r="F314" t="str">
        <f>IF('All Girls &amp; Descendants'!G312="","",'All Girls &amp; Descendants'!G312)</f>
        <v/>
      </c>
      <c r="G314" t="str">
        <f>IF('All Girls &amp; Descendants'!H312="",D314,'All Girls &amp; Descendants'!H312)</f>
        <v>Amanda</v>
      </c>
      <c r="H314">
        <f>'All Girls &amp; Descendants'!I312</f>
        <v>1987</v>
      </c>
      <c r="I314" t="str">
        <f>'All Girls &amp; Descendants'!J312</f>
        <v/>
      </c>
      <c r="K314" s="3" t="str">
        <f>'All Girls &amp; Descendants'!M312</f>
        <v>18/02/1987</v>
      </c>
      <c r="L314" s="3" t="str">
        <f>'All Girls &amp; Descendants'!N312</f>
        <v xml:space="preserve"> - </v>
      </c>
      <c r="M314" t="str">
        <f>'All Girls &amp; Descendants'!O312</f>
        <v/>
      </c>
      <c r="N314" t="str">
        <f>'All Girls &amp; Descendants'!P312</f>
        <v/>
      </c>
      <c r="O314" t="str">
        <f>'All Girls &amp; Descendants'!Q312</f>
        <v>70ab</v>
      </c>
      <c r="P314" t="str">
        <f t="shared" si="59"/>
        <v>70abb</v>
      </c>
      <c r="Q314" s="116">
        <f t="shared" si="60"/>
        <v>3</v>
      </c>
      <c r="R314" s="31" t="str">
        <f t="shared" si="61"/>
        <v>Amanda Charlotte  ANDREY</v>
      </c>
      <c r="S314" t="str">
        <f t="shared" si="62"/>
        <v>Amanda ANDREY (1987 - :  #70abb)</v>
      </c>
    </row>
    <row r="315" spans="1:19">
      <c r="A315">
        <f>'All Girls &amp; Descendants'!B313</f>
        <v>70</v>
      </c>
      <c r="B315" t="str">
        <f>'All Girls &amp; Descendants'!C313</f>
        <v>70baa</v>
      </c>
      <c r="C315" t="str">
        <f>'All Girls &amp; Descendants'!D313</f>
        <v>MELITUS</v>
      </c>
      <c r="D315" t="str">
        <f>'All Girls &amp; Descendants'!E313</f>
        <v>Zoe</v>
      </c>
      <c r="E315" t="str">
        <f>IF('All Girls &amp; Descendants'!F313="","",'All Girls &amp; Descendants'!F313)</f>
        <v>Adele</v>
      </c>
      <c r="F315" t="str">
        <f>IF('All Girls &amp; Descendants'!G313="","",'All Girls &amp; Descendants'!G313)</f>
        <v/>
      </c>
      <c r="G315" t="str">
        <f>IF('All Girls &amp; Descendants'!H313="",D315,'All Girls &amp; Descendants'!H313)</f>
        <v>Zoe</v>
      </c>
      <c r="H315">
        <f>'All Girls &amp; Descendants'!I313</f>
        <v>1979</v>
      </c>
      <c r="I315" t="str">
        <f>'All Girls &amp; Descendants'!J313</f>
        <v/>
      </c>
      <c r="K315" s="3">
        <f>'All Girls &amp; Descendants'!M313</f>
        <v>29158</v>
      </c>
      <c r="L315" s="3" t="str">
        <f>'All Girls &amp; Descendants'!N313</f>
        <v xml:space="preserve"> - </v>
      </c>
      <c r="M315" t="str">
        <f>'All Girls &amp; Descendants'!O313</f>
        <v/>
      </c>
      <c r="N315" t="str">
        <f>'All Girls &amp; Descendants'!P313</f>
        <v/>
      </c>
      <c r="O315" t="str">
        <f>'All Girls &amp; Descendants'!Q313</f>
        <v>70ba</v>
      </c>
      <c r="P315" t="str">
        <f t="shared" si="59"/>
        <v>70baa</v>
      </c>
      <c r="Q315" s="116">
        <f t="shared" si="60"/>
        <v>3</v>
      </c>
      <c r="R315" s="31" t="str">
        <f t="shared" si="61"/>
        <v>Zoe Adele  MELITUS</v>
      </c>
      <c r="S315" t="str">
        <f t="shared" si="62"/>
        <v>Zoe MELITUS (1979 - :  #70baa)</v>
      </c>
    </row>
    <row r="316" spans="1:19">
      <c r="A316">
        <f>'All Girls &amp; Descendants'!B314</f>
        <v>70</v>
      </c>
      <c r="B316" t="str">
        <f>'All Girls &amp; Descendants'!C314</f>
        <v>70bab</v>
      </c>
      <c r="C316" t="str">
        <f>'All Girls &amp; Descendants'!D314</f>
        <v>MELITUS</v>
      </c>
      <c r="D316" t="str">
        <f>'All Girls &amp; Descendants'!E314</f>
        <v>Jonathan</v>
      </c>
      <c r="E316" t="str">
        <f>IF('All Girls &amp; Descendants'!F314="","",'All Girls &amp; Descendants'!F314)</f>
        <v>Peter</v>
      </c>
      <c r="F316" t="str">
        <f>IF('All Girls &amp; Descendants'!G314="","",'All Girls &amp; Descendants'!G314)</f>
        <v/>
      </c>
      <c r="G316" t="str">
        <f>IF('All Girls &amp; Descendants'!H314="",D316,'All Girls &amp; Descendants'!H314)</f>
        <v>Peter</v>
      </c>
      <c r="H316">
        <f>'All Girls &amp; Descendants'!I314</f>
        <v>1988</v>
      </c>
      <c r="I316" t="str">
        <f>'All Girls &amp; Descendants'!J314</f>
        <v/>
      </c>
      <c r="K316" s="3">
        <f>'All Girls &amp; Descendants'!M314</f>
        <v>32319</v>
      </c>
      <c r="L316" s="3" t="str">
        <f>'All Girls &amp; Descendants'!N314</f>
        <v xml:space="preserve"> - </v>
      </c>
      <c r="M316" t="str">
        <f>'All Girls &amp; Descendants'!O314</f>
        <v/>
      </c>
      <c r="N316" t="str">
        <f>'All Girls &amp; Descendants'!P314</f>
        <v/>
      </c>
      <c r="O316" t="str">
        <f>'All Girls &amp; Descendants'!Q314</f>
        <v>70ba</v>
      </c>
      <c r="P316" t="str">
        <f t="shared" si="59"/>
        <v>70bab</v>
      </c>
      <c r="Q316" s="116">
        <f t="shared" si="60"/>
        <v>3</v>
      </c>
      <c r="R316" s="31" t="str">
        <f t="shared" si="61"/>
        <v>Jonathan Peter  MELITUS</v>
      </c>
      <c r="S316" t="str">
        <f t="shared" si="62"/>
        <v>Peter MELITUS (1988 - :  #70bab)</v>
      </c>
    </row>
    <row r="317" spans="1:19">
      <c r="A317">
        <f>'All Girls &amp; Descendants'!B315</f>
        <v>70</v>
      </c>
      <c r="B317" t="str">
        <f>'All Girls &amp; Descendants'!C315</f>
        <v>70bba</v>
      </c>
      <c r="C317" t="str">
        <f>'All Girls &amp; Descendants'!D315</f>
        <v>CHALDECOTT</v>
      </c>
      <c r="D317" t="str">
        <f>'All Girls &amp; Descendants'!E315</f>
        <v>Sophia</v>
      </c>
      <c r="E317" t="str">
        <f>IF('All Girls &amp; Descendants'!F315="","",'All Girls &amp; Descendants'!F315)</f>
        <v>Caroline</v>
      </c>
      <c r="F317" t="str">
        <f>IF('All Girls &amp; Descendants'!G315="","",'All Girls &amp; Descendants'!G315)</f>
        <v/>
      </c>
      <c r="G317" t="str">
        <f>IF('All Girls &amp; Descendants'!H315="",D317,'All Girls &amp; Descendants'!H315)</f>
        <v>Sophia</v>
      </c>
      <c r="H317">
        <f>'All Girls &amp; Descendants'!I315</f>
        <v>1989</v>
      </c>
      <c r="I317" t="str">
        <f>'All Girls &amp; Descendants'!J315</f>
        <v/>
      </c>
      <c r="K317" s="3">
        <f>'All Girls &amp; Descendants'!M315</f>
        <v>32534</v>
      </c>
      <c r="L317" s="3" t="str">
        <f>'All Girls &amp; Descendants'!N315</f>
        <v xml:space="preserve"> - </v>
      </c>
      <c r="M317" t="str">
        <f>'All Girls &amp; Descendants'!O315</f>
        <v/>
      </c>
      <c r="N317" t="str">
        <f>'All Girls &amp; Descendants'!P315</f>
        <v/>
      </c>
      <c r="O317" t="str">
        <f>'All Girls &amp; Descendants'!Q315</f>
        <v>70bb</v>
      </c>
      <c r="P317" t="str">
        <f t="shared" si="59"/>
        <v>70bba</v>
      </c>
      <c r="Q317" s="116">
        <f t="shared" si="60"/>
        <v>3</v>
      </c>
      <c r="R317" s="31" t="str">
        <f t="shared" si="61"/>
        <v>Sophia Caroline  CHALDECOTT</v>
      </c>
      <c r="S317" t="str">
        <f t="shared" si="62"/>
        <v>Sophia CHALDECOTT (1989 - :  #70bba)</v>
      </c>
    </row>
    <row r="318" spans="1:19">
      <c r="A318">
        <f>'All Girls &amp; Descendants'!B316</f>
        <v>70</v>
      </c>
      <c r="B318" t="str">
        <f>'All Girls &amp; Descendants'!C316</f>
        <v>70bbb</v>
      </c>
      <c r="C318" t="str">
        <f>'All Girls &amp; Descendants'!D316</f>
        <v>CHALDECOTT</v>
      </c>
      <c r="D318" t="str">
        <f>'All Girls &amp; Descendants'!E316</f>
        <v>Lucy</v>
      </c>
      <c r="E318" t="str">
        <f>IF('All Girls &amp; Descendants'!F316="","",'All Girls &amp; Descendants'!F316)</f>
        <v>Maria</v>
      </c>
      <c r="F318" t="str">
        <f>IF('All Girls &amp; Descendants'!G316="","",'All Girls &amp; Descendants'!G316)</f>
        <v/>
      </c>
      <c r="G318" t="str">
        <f>IF('All Girls &amp; Descendants'!H316="",D318,'All Girls &amp; Descendants'!H316)</f>
        <v>Lucy</v>
      </c>
      <c r="H318">
        <f>'All Girls &amp; Descendants'!I316</f>
        <v>1992</v>
      </c>
      <c r="I318" t="str">
        <f>'All Girls &amp; Descendants'!J316</f>
        <v/>
      </c>
      <c r="K318" s="3">
        <f>'All Girls &amp; Descendants'!M316</f>
        <v>33668</v>
      </c>
      <c r="L318" s="3" t="str">
        <f>'All Girls &amp; Descendants'!N316</f>
        <v xml:space="preserve"> - </v>
      </c>
      <c r="M318" t="str">
        <f>'All Girls &amp; Descendants'!O316</f>
        <v/>
      </c>
      <c r="N318" t="str">
        <f>'All Girls &amp; Descendants'!P316</f>
        <v/>
      </c>
      <c r="O318" t="str">
        <f>'All Girls &amp; Descendants'!Q316</f>
        <v>70bb</v>
      </c>
      <c r="P318" t="str">
        <f t="shared" si="59"/>
        <v>70bbb</v>
      </c>
      <c r="Q318" s="116">
        <f t="shared" si="60"/>
        <v>3</v>
      </c>
      <c r="R318" s="31" t="str">
        <f t="shared" si="61"/>
        <v>Lucy Maria  CHALDECOTT</v>
      </c>
      <c r="S318" t="str">
        <f t="shared" si="62"/>
        <v>Lucy CHALDECOTT (1992 - :  #70bbb)</v>
      </c>
    </row>
    <row r="319" spans="1:19">
      <c r="A319">
        <f>'All Girls &amp; Descendants'!B317</f>
        <v>70</v>
      </c>
      <c r="B319" t="str">
        <f>'All Girls &amp; Descendants'!C317</f>
        <v>70bbc</v>
      </c>
      <c r="C319" t="str">
        <f>'All Girls &amp; Descendants'!D317</f>
        <v>CHALDECOTT</v>
      </c>
      <c r="D319" t="str">
        <f>'All Girls &amp; Descendants'!E317</f>
        <v>Thomas</v>
      </c>
      <c r="E319" t="str">
        <f>IF('All Girls &amp; Descendants'!F317="","",'All Girls &amp; Descendants'!F317)</f>
        <v>Owen</v>
      </c>
      <c r="F319" t="str">
        <f>IF('All Girls &amp; Descendants'!G317="","",'All Girls &amp; Descendants'!G317)</f>
        <v/>
      </c>
      <c r="G319" t="str">
        <f>IF('All Girls &amp; Descendants'!H317="",D319,'All Girls &amp; Descendants'!H317)</f>
        <v>Thomas</v>
      </c>
      <c r="H319">
        <f>'All Girls &amp; Descendants'!I317</f>
        <v>1999</v>
      </c>
      <c r="I319" t="str">
        <f>'All Girls &amp; Descendants'!J317</f>
        <v/>
      </c>
      <c r="K319" s="3">
        <f>'All Girls &amp; Descendants'!M317</f>
        <v>36464</v>
      </c>
      <c r="L319" s="3" t="str">
        <f>'All Girls &amp; Descendants'!N317</f>
        <v xml:space="preserve"> - </v>
      </c>
      <c r="M319" t="str">
        <f>'All Girls &amp; Descendants'!O317</f>
        <v/>
      </c>
      <c r="N319" t="str">
        <f>'All Girls &amp; Descendants'!P317</f>
        <v/>
      </c>
      <c r="O319" t="str">
        <f>'All Girls &amp; Descendants'!Q317</f>
        <v>70bb</v>
      </c>
      <c r="P319" t="str">
        <f t="shared" si="59"/>
        <v>70bbc</v>
      </c>
      <c r="Q319" s="116">
        <f t="shared" si="60"/>
        <v>3</v>
      </c>
      <c r="R319" s="31" t="str">
        <f t="shared" si="61"/>
        <v>Thomas Owen  CHALDECOTT</v>
      </c>
      <c r="S319" t="str">
        <f t="shared" si="62"/>
        <v>Thomas CHALDECOTT (1999 - :  #70bbc)</v>
      </c>
    </row>
    <row r="320" spans="1:19">
      <c r="A320">
        <f>'All Girls &amp; Descendants'!B318</f>
        <v>70</v>
      </c>
      <c r="B320" t="str">
        <f>'All Girls &amp; Descendants'!C318</f>
        <v>70cca</v>
      </c>
      <c r="C320" t="str">
        <f>'All Girls &amp; Descendants'!D318</f>
        <v>PAGE</v>
      </c>
      <c r="D320" t="str">
        <f>'All Girls &amp; Descendants'!E318</f>
        <v>George</v>
      </c>
      <c r="E320" t="str">
        <f>IF('All Girls &amp; Descendants'!F318="","",'All Girls &amp; Descendants'!F318)</f>
        <v>Arthur</v>
      </c>
      <c r="F320" t="str">
        <f>IF('All Girls &amp; Descendants'!G318="","",'All Girls &amp; Descendants'!G318)</f>
        <v>Louis</v>
      </c>
      <c r="G320" t="str">
        <f>IF('All Girls &amp; Descendants'!H318="",D320,'All Girls &amp; Descendants'!H318)</f>
        <v>George</v>
      </c>
      <c r="H320">
        <f>'All Girls &amp; Descendants'!I318</f>
        <v>1998</v>
      </c>
      <c r="I320" t="str">
        <f>'All Girls &amp; Descendants'!J318</f>
        <v/>
      </c>
      <c r="K320" s="3">
        <f>'All Girls &amp; Descendants'!M318</f>
        <v>35882</v>
      </c>
      <c r="L320" s="3" t="str">
        <f>'All Girls &amp; Descendants'!N318</f>
        <v xml:space="preserve"> - </v>
      </c>
      <c r="M320" t="str">
        <f>'All Girls &amp; Descendants'!O318</f>
        <v/>
      </c>
      <c r="N320" t="str">
        <f>'All Girls &amp; Descendants'!P318</f>
        <v/>
      </c>
      <c r="O320" t="str">
        <f>'All Girls &amp; Descendants'!Q318</f>
        <v>70cc</v>
      </c>
      <c r="P320" t="str">
        <f t="shared" si="59"/>
        <v>70cca</v>
      </c>
      <c r="Q320" s="116">
        <f t="shared" si="60"/>
        <v>3</v>
      </c>
      <c r="R320" s="31" t="str">
        <f t="shared" si="61"/>
        <v>George Arthur Louis PAGE</v>
      </c>
      <c r="S320" t="str">
        <f t="shared" si="62"/>
        <v>George PAGE (1998 - :  #70cca)</v>
      </c>
    </row>
    <row r="321" spans="1:19">
      <c r="A321">
        <f>'All Girls &amp; Descendants'!B319</f>
        <v>70</v>
      </c>
      <c r="B321" t="str">
        <f>'All Girls &amp; Descendants'!C319</f>
        <v>70dca</v>
      </c>
      <c r="C321" t="str">
        <f>'All Girls &amp; Descendants'!D319</f>
        <v>GOW</v>
      </c>
      <c r="D321" t="str">
        <f>'All Girls &amp; Descendants'!E319</f>
        <v>Simeon</v>
      </c>
      <c r="E321" t="str">
        <f>IF('All Girls &amp; Descendants'!F319="","",'All Girls &amp; Descendants'!F319)</f>
        <v>Nathaniel</v>
      </c>
      <c r="F321" t="str">
        <f>IF('All Girls &amp; Descendants'!G319="","",'All Girls &amp; Descendants'!G319)</f>
        <v>Benjamin</v>
      </c>
      <c r="G321" t="str">
        <f>IF('All Girls &amp; Descendants'!H319="",D321,'All Girls &amp; Descendants'!H319)</f>
        <v>Simeon</v>
      </c>
      <c r="H321">
        <f>'All Girls &amp; Descendants'!I319</f>
        <v>1990</v>
      </c>
      <c r="I321" t="str">
        <f>'All Girls &amp; Descendants'!J319</f>
        <v/>
      </c>
      <c r="K321" s="3">
        <f>'All Girls &amp; Descendants'!M319</f>
        <v>33169</v>
      </c>
      <c r="L321" s="3" t="str">
        <f>'All Girls &amp; Descendants'!N319</f>
        <v xml:space="preserve"> - </v>
      </c>
      <c r="M321" t="str">
        <f>'All Girls &amp; Descendants'!O319</f>
        <v/>
      </c>
      <c r="N321" t="str">
        <f>'All Girls &amp; Descendants'!P319</f>
        <v/>
      </c>
      <c r="O321" t="str">
        <f>'All Girls &amp; Descendants'!Q319</f>
        <v>70dc</v>
      </c>
      <c r="P321" t="str">
        <f t="shared" si="59"/>
        <v>70dca</v>
      </c>
      <c r="Q321" s="116">
        <f t="shared" si="60"/>
        <v>3</v>
      </c>
      <c r="R321" s="31" t="str">
        <f t="shared" si="61"/>
        <v>Simeon Nathaniel Benjamin GOW</v>
      </c>
      <c r="S321" t="str">
        <f t="shared" si="62"/>
        <v>Simeon GOW (1990 - :  #70dca)</v>
      </c>
    </row>
    <row r="322" spans="1:19">
      <c r="A322">
        <f>'All Girls &amp; Descendants'!B320</f>
        <v>70</v>
      </c>
      <c r="B322" t="str">
        <f>'All Girls &amp; Descendants'!C320</f>
        <v>70dcb</v>
      </c>
      <c r="C322" t="str">
        <f>'All Girls &amp; Descendants'!D320</f>
        <v>GOW</v>
      </c>
      <c r="D322" t="str">
        <f>'All Girls &amp; Descendants'!E320</f>
        <v>Christopher</v>
      </c>
      <c r="E322" t="str">
        <f>IF('All Girls &amp; Descendants'!F320="","",'All Girls &amp; Descendants'!F320)</f>
        <v>Gavin</v>
      </c>
      <c r="F322" t="str">
        <f>IF('All Girls &amp; Descendants'!G320="","",'All Girls &amp; Descendants'!G320)</f>
        <v>Thomas</v>
      </c>
      <c r="G322" t="str">
        <f>IF('All Girls &amp; Descendants'!H320="",D322,'All Girls &amp; Descendants'!H320)</f>
        <v>Christopher</v>
      </c>
      <c r="H322">
        <f>'All Girls &amp; Descendants'!I320</f>
        <v>1996</v>
      </c>
      <c r="I322" t="str">
        <f>'All Girls &amp; Descendants'!J320</f>
        <v/>
      </c>
      <c r="K322" s="3">
        <f>'All Girls &amp; Descendants'!M320</f>
        <v>35174</v>
      </c>
      <c r="L322" s="3" t="str">
        <f>'All Girls &amp; Descendants'!N320</f>
        <v xml:space="preserve"> - </v>
      </c>
      <c r="M322" t="str">
        <f>'All Girls &amp; Descendants'!O320</f>
        <v/>
      </c>
      <c r="N322" t="str">
        <f>'All Girls &amp; Descendants'!P320</f>
        <v/>
      </c>
      <c r="O322" t="str">
        <f>'All Girls &amp; Descendants'!Q320</f>
        <v>70dc</v>
      </c>
      <c r="P322" t="str">
        <f t="shared" si="59"/>
        <v>70dcb</v>
      </c>
      <c r="Q322" s="116">
        <f t="shared" si="60"/>
        <v>3</v>
      </c>
      <c r="R322" s="31" t="str">
        <f t="shared" si="61"/>
        <v>Christopher Gavin Thomas GOW</v>
      </c>
      <c r="S322" t="str">
        <f t="shared" si="62"/>
        <v>Christopher GOW (1996 - :  #70dcb)</v>
      </c>
    </row>
    <row r="323" spans="1:19">
      <c r="A323">
        <f>'All Girls &amp; Descendants'!B321</f>
        <v>70</v>
      </c>
      <c r="B323" t="str">
        <f>'All Girls &amp; Descendants'!C321</f>
        <v>70dcc</v>
      </c>
      <c r="C323" t="str">
        <f>'All Girls &amp; Descendants'!D321</f>
        <v>GOW</v>
      </c>
      <c r="D323" t="str">
        <f>'All Girls &amp; Descendants'!E321</f>
        <v>Joanna</v>
      </c>
      <c r="E323" t="str">
        <f>IF('All Girls &amp; Descendants'!F321="","",'All Girls &amp; Descendants'!F321)</f>
        <v>Louise</v>
      </c>
      <c r="F323" t="str">
        <f>IF('All Girls &amp; Descendants'!G321="","",'All Girls &amp; Descendants'!G321)</f>
        <v/>
      </c>
      <c r="G323" t="str">
        <f>IF('All Girls &amp; Descendants'!H321="",D323,'All Girls &amp; Descendants'!H321)</f>
        <v>Joanna</v>
      </c>
      <c r="H323">
        <f>'All Girls &amp; Descendants'!I321</f>
        <v>1998</v>
      </c>
      <c r="I323" t="str">
        <f>'All Girls &amp; Descendants'!J321</f>
        <v/>
      </c>
      <c r="K323" s="3">
        <f>'All Girls &amp; Descendants'!M321</f>
        <v>35929</v>
      </c>
      <c r="L323" s="3" t="str">
        <f>'All Girls &amp; Descendants'!N321</f>
        <v xml:space="preserve"> - </v>
      </c>
      <c r="M323" t="str">
        <f>'All Girls &amp; Descendants'!O321</f>
        <v/>
      </c>
      <c r="N323" t="str">
        <f>'All Girls &amp; Descendants'!P321</f>
        <v/>
      </c>
      <c r="O323" t="str">
        <f>'All Girls &amp; Descendants'!Q321</f>
        <v>70dc</v>
      </c>
      <c r="P323" t="str">
        <f t="shared" si="59"/>
        <v>70dcc</v>
      </c>
      <c r="Q323" s="116">
        <f t="shared" si="60"/>
        <v>3</v>
      </c>
      <c r="R323" s="31" t="str">
        <f t="shared" si="61"/>
        <v>Joanna Louise  GOW</v>
      </c>
      <c r="S323" t="str">
        <f t="shared" si="62"/>
        <v>Joanna GOW (1998 - :  #70dcc)</v>
      </c>
    </row>
    <row r="324" spans="1:19">
      <c r="A324">
        <f>'All Girls &amp; Descendants'!B322</f>
        <v>85</v>
      </c>
      <c r="B324" t="str">
        <f>'All Girls &amp; Descendants'!C322</f>
        <v>85aaa</v>
      </c>
      <c r="C324" t="str">
        <f>'All Girls &amp; Descendants'!D322</f>
        <v>ELLIS</v>
      </c>
      <c r="D324" t="str">
        <f>'All Girls &amp; Descendants'!E322</f>
        <v>Matilda</v>
      </c>
      <c r="E324" t="str">
        <f>IF('All Girls &amp; Descendants'!F322="","",'All Girls &amp; Descendants'!F322)</f>
        <v>Prudence</v>
      </c>
      <c r="F324" t="str">
        <f>IF('All Girls &amp; Descendants'!G322="","",'All Girls &amp; Descendants'!G322)</f>
        <v/>
      </c>
      <c r="G324" t="str">
        <f>IF('All Girls &amp; Descendants'!H322="",D324,'All Girls &amp; Descendants'!H322)</f>
        <v>Matilda</v>
      </c>
      <c r="H324">
        <f>'All Girls &amp; Descendants'!I322</f>
        <v>1995</v>
      </c>
      <c r="I324" t="str">
        <f>'All Girls &amp; Descendants'!J322</f>
        <v/>
      </c>
      <c r="K324" s="3">
        <f>'All Girls &amp; Descendants'!M322</f>
        <v>34905</v>
      </c>
      <c r="L324" s="3" t="str">
        <f>'All Girls &amp; Descendants'!N322</f>
        <v xml:space="preserve"> - </v>
      </c>
      <c r="M324" t="str">
        <f>'All Girls &amp; Descendants'!O322</f>
        <v/>
      </c>
      <c r="N324" t="str">
        <f>'All Girls &amp; Descendants'!P322</f>
        <v/>
      </c>
      <c r="O324" t="str">
        <f>'All Girls &amp; Descendants'!Q322</f>
        <v>85aa</v>
      </c>
      <c r="P324" t="str">
        <f t="shared" si="59"/>
        <v>85aaa</v>
      </c>
      <c r="Q324" s="116">
        <f t="shared" si="60"/>
        <v>3</v>
      </c>
      <c r="R324" s="31" t="str">
        <f t="shared" si="61"/>
        <v>Matilda Prudence  ELLIS</v>
      </c>
      <c r="S324" t="str">
        <f t="shared" si="62"/>
        <v>Matilda ELLIS (1995 - :  #85aaa)</v>
      </c>
    </row>
    <row r="325" spans="1:19">
      <c r="A325">
        <f>'All Girls &amp; Descendants'!B323</f>
        <v>85</v>
      </c>
      <c r="B325" t="str">
        <f>'All Girls &amp; Descendants'!C323</f>
        <v>85aab</v>
      </c>
      <c r="C325" t="str">
        <f>'All Girls &amp; Descendants'!D323</f>
        <v>ELLIS</v>
      </c>
      <c r="D325" t="str">
        <f>'All Girls &amp; Descendants'!E323</f>
        <v>Tabitha</v>
      </c>
      <c r="E325" t="str">
        <f>IF('All Girls &amp; Descendants'!F323="","",'All Girls &amp; Descendants'!F323)</f>
        <v>Hope</v>
      </c>
      <c r="F325" t="str">
        <f>IF('All Girls &amp; Descendants'!G323="","",'All Girls &amp; Descendants'!G323)</f>
        <v/>
      </c>
      <c r="G325" t="str">
        <f>IF('All Girls &amp; Descendants'!H323="",D325,'All Girls &amp; Descendants'!H323)</f>
        <v>Tabitha</v>
      </c>
      <c r="H325">
        <f>'All Girls &amp; Descendants'!I323</f>
        <v>1997</v>
      </c>
      <c r="I325" t="str">
        <f>'All Girls &amp; Descendants'!J323</f>
        <v/>
      </c>
      <c r="K325" s="3">
        <f>'All Girls &amp; Descendants'!M323</f>
        <v>35706</v>
      </c>
      <c r="L325" s="3" t="str">
        <f>'All Girls &amp; Descendants'!N323</f>
        <v xml:space="preserve"> - </v>
      </c>
      <c r="M325" t="str">
        <f>'All Girls &amp; Descendants'!O323</f>
        <v/>
      </c>
      <c r="N325" t="str">
        <f>'All Girls &amp; Descendants'!P323</f>
        <v/>
      </c>
      <c r="O325" t="str">
        <f>'All Girls &amp; Descendants'!Q323</f>
        <v>85aa</v>
      </c>
      <c r="P325" t="str">
        <f t="shared" si="59"/>
        <v>85aab</v>
      </c>
      <c r="Q325" s="116">
        <f t="shared" si="60"/>
        <v>3</v>
      </c>
      <c r="R325" s="31" t="str">
        <f t="shared" si="61"/>
        <v>Tabitha Hope  ELLIS</v>
      </c>
      <c r="S325" t="str">
        <f t="shared" si="62"/>
        <v>Tabitha ELLIS (1997 - :  #85aab)</v>
      </c>
    </row>
    <row r="326" spans="1:19">
      <c r="A326">
        <f>'All Girls &amp; Descendants'!B324</f>
        <v>85</v>
      </c>
      <c r="B326" t="str">
        <f>'All Girls &amp; Descendants'!C324</f>
        <v>85aba</v>
      </c>
      <c r="C326" t="str">
        <f>'All Girls &amp; Descendants'!D324</f>
        <v>LANE FOX</v>
      </c>
      <c r="D326" t="str">
        <f>'All Girls &amp; Descendants'!E324</f>
        <v>Esme</v>
      </c>
      <c r="E326" t="str">
        <f>IF('All Girls &amp; Descendants'!F324="","",'All Girls &amp; Descendants'!F324)</f>
        <v>Grace G</v>
      </c>
      <c r="F326" t="str">
        <f>IF('All Girls &amp; Descendants'!G324="","",'All Girls &amp; Descendants'!G324)</f>
        <v/>
      </c>
      <c r="G326" t="str">
        <f>IF('All Girls &amp; Descendants'!H324="",D326,'All Girls &amp; Descendants'!H324)</f>
        <v>Esme</v>
      </c>
      <c r="H326">
        <f>'All Girls &amp; Descendants'!I324</f>
        <v>1998</v>
      </c>
      <c r="I326" t="str">
        <f>'All Girls &amp; Descendants'!J324</f>
        <v/>
      </c>
      <c r="K326" s="3">
        <f>'All Girls &amp; Descendants'!M324</f>
        <v>36000</v>
      </c>
      <c r="L326" s="3" t="str">
        <f>'All Girls &amp; Descendants'!N324</f>
        <v xml:space="preserve"> - </v>
      </c>
      <c r="M326" t="str">
        <f>'All Girls &amp; Descendants'!O324</f>
        <v/>
      </c>
      <c r="N326" t="str">
        <f>'All Girls &amp; Descendants'!P324</f>
        <v/>
      </c>
      <c r="O326" t="str">
        <f>'All Girls &amp; Descendants'!Q324</f>
        <v>85ab</v>
      </c>
      <c r="P326" t="str">
        <f t="shared" si="59"/>
        <v>85aba</v>
      </c>
      <c r="Q326" s="116">
        <f t="shared" si="60"/>
        <v>3</v>
      </c>
      <c r="R326" s="31" t="str">
        <f t="shared" si="61"/>
        <v>Esme Grace G  LANE FOX</v>
      </c>
      <c r="S326" t="str">
        <f t="shared" si="62"/>
        <v>Esme LANE FOX (1998 - :  #85aba)</v>
      </c>
    </row>
    <row r="327" spans="1:19">
      <c r="A327">
        <f>'All Girls &amp; Descendants'!B325</f>
        <v>85</v>
      </c>
      <c r="B327" t="str">
        <f>'All Girls &amp; Descendants'!C325</f>
        <v>85abb</v>
      </c>
      <c r="C327" t="str">
        <f>'All Girls &amp; Descendants'!D325</f>
        <v>LANE FOX</v>
      </c>
      <c r="D327" t="str">
        <f>'All Girls &amp; Descendants'!E325</f>
        <v>Georgia</v>
      </c>
      <c r="E327" t="str">
        <f>IF('All Girls &amp; Descendants'!F325="","",'All Girls &amp; Descendants'!F325)</f>
        <v>Rose</v>
      </c>
      <c r="F327" t="str">
        <f>IF('All Girls &amp; Descendants'!G325="","",'All Girls &amp; Descendants'!G325)</f>
        <v/>
      </c>
      <c r="G327" t="str">
        <f>IF('All Girls &amp; Descendants'!H325="",D327,'All Girls &amp; Descendants'!H325)</f>
        <v>Georgia</v>
      </c>
      <c r="H327">
        <f>'All Girls &amp; Descendants'!I325</f>
        <v>2000</v>
      </c>
      <c r="I327" t="str">
        <f>'All Girls &amp; Descendants'!J325</f>
        <v/>
      </c>
      <c r="K327" s="3">
        <f>'All Girls &amp; Descendants'!M325</f>
        <v>36700</v>
      </c>
      <c r="L327" s="3" t="str">
        <f>'All Girls &amp; Descendants'!N325</f>
        <v xml:space="preserve"> - </v>
      </c>
      <c r="M327" t="str">
        <f>'All Girls &amp; Descendants'!O325</f>
        <v/>
      </c>
      <c r="N327" t="str">
        <f>'All Girls &amp; Descendants'!P325</f>
        <v/>
      </c>
      <c r="O327" t="str">
        <f>'All Girls &amp; Descendants'!Q325</f>
        <v>85ab</v>
      </c>
      <c r="P327" t="str">
        <f t="shared" si="59"/>
        <v>85abb</v>
      </c>
      <c r="Q327" s="116">
        <f t="shared" si="60"/>
        <v>3</v>
      </c>
      <c r="R327" s="31" t="str">
        <f t="shared" si="61"/>
        <v>Georgia Rose  LANE FOX</v>
      </c>
      <c r="S327" t="str">
        <f t="shared" si="62"/>
        <v>Georgia LANE FOX (2000 - :  #85abb)</v>
      </c>
    </row>
    <row r="328" spans="1:19">
      <c r="A328">
        <f>'All Girls &amp; Descendants'!B326</f>
        <v>85</v>
      </c>
      <c r="B328" t="str">
        <f>'All Girls &amp; Descendants'!C326</f>
        <v>85bca</v>
      </c>
      <c r="C328" t="str">
        <f>'All Girls &amp; Descendants'!D326</f>
        <v>GASZTOWTT</v>
      </c>
      <c r="D328" t="str">
        <f>'All Girls &amp; Descendants'!E326</f>
        <v>Lily</v>
      </c>
      <c r="E328" t="str">
        <f>IF('All Girls &amp; Descendants'!F326="","",'All Girls &amp; Descendants'!F326)</f>
        <v>Joanna</v>
      </c>
      <c r="F328" t="str">
        <f>IF('All Girls &amp; Descendants'!G326="","",'All Girls &amp; Descendants'!G326)</f>
        <v/>
      </c>
      <c r="G328" t="str">
        <f>IF('All Girls &amp; Descendants'!H326="",D328,'All Girls &amp; Descendants'!H326)</f>
        <v>Lily</v>
      </c>
      <c r="H328">
        <f>'All Girls &amp; Descendants'!I326</f>
        <v>1997</v>
      </c>
      <c r="I328" t="str">
        <f>'All Girls &amp; Descendants'!J326</f>
        <v/>
      </c>
      <c r="K328" s="3">
        <f>'All Girls &amp; Descendants'!M326</f>
        <v>35612</v>
      </c>
      <c r="L328" s="3" t="str">
        <f>'All Girls &amp; Descendants'!N326</f>
        <v xml:space="preserve"> - </v>
      </c>
      <c r="M328" t="str">
        <f>'All Girls &amp; Descendants'!O326</f>
        <v/>
      </c>
      <c r="N328" t="str">
        <f>'All Girls &amp; Descendants'!P326</f>
        <v/>
      </c>
      <c r="O328" t="str">
        <f>'All Girls &amp; Descendants'!Q326</f>
        <v>85bc</v>
      </c>
      <c r="P328" t="str">
        <f t="shared" si="59"/>
        <v>85bca</v>
      </c>
      <c r="Q328" s="116">
        <f t="shared" si="60"/>
        <v>3</v>
      </c>
      <c r="R328" s="31" t="str">
        <f t="shared" si="61"/>
        <v>Lily Joanna  GASZTOWTT</v>
      </c>
      <c r="S328" t="str">
        <f t="shared" si="62"/>
        <v>Lily GASZTOWTT (1997 - :  #85bca)</v>
      </c>
    </row>
    <row r="329" spans="1:19">
      <c r="A329">
        <f>'All Girls &amp; Descendants'!B327</f>
        <v>88</v>
      </c>
      <c r="B329" t="str">
        <f>'All Girls &amp; Descendants'!C327</f>
        <v>88aaa</v>
      </c>
      <c r="C329" t="str">
        <f>'All Girls &amp; Descendants'!D327</f>
        <v>HOLMAN-BAIRD</v>
      </c>
      <c r="D329" t="str">
        <f>'All Girls &amp; Descendants'!E327</f>
        <v>Louise</v>
      </c>
      <c r="E329" t="str">
        <f>IF('All Girls &amp; Descendants'!F327="","",'All Girls &amp; Descendants'!F327)</f>
        <v>Saragh</v>
      </c>
      <c r="F329" t="str">
        <f>IF('All Girls &amp; Descendants'!G327="","",'All Girls &amp; Descendants'!G327)</f>
        <v/>
      </c>
      <c r="G329" t="str">
        <f>IF('All Girls &amp; Descendants'!H327="",D329,'All Girls &amp; Descendants'!H327)</f>
        <v>Louise</v>
      </c>
      <c r="H329">
        <f>'All Girls &amp; Descendants'!I327</f>
        <v>1986</v>
      </c>
      <c r="I329" t="str">
        <f>'All Girls &amp; Descendants'!J327</f>
        <v/>
      </c>
      <c r="K329" s="3" t="str">
        <f>'All Girls &amp; Descendants'!M327</f>
        <v>31/12/1986</v>
      </c>
      <c r="L329" s="3" t="str">
        <f>'All Girls &amp; Descendants'!N327</f>
        <v xml:space="preserve"> - </v>
      </c>
      <c r="M329" t="str">
        <f>'All Girls &amp; Descendants'!O327</f>
        <v/>
      </c>
      <c r="N329" t="str">
        <f>'All Girls &amp; Descendants'!P327</f>
        <v/>
      </c>
      <c r="O329" t="str">
        <f>'All Girls &amp; Descendants'!Q327</f>
        <v>88aa</v>
      </c>
      <c r="P329" t="str">
        <f t="shared" si="59"/>
        <v>88aaa</v>
      </c>
      <c r="Q329" s="116">
        <f t="shared" si="60"/>
        <v>3</v>
      </c>
      <c r="R329" s="31" t="str">
        <f t="shared" si="61"/>
        <v>Louise Saragh  HOLMAN-BAIRD</v>
      </c>
      <c r="S329" t="str">
        <f t="shared" si="62"/>
        <v>Louise HOLMAN-BAIRD (1986 - :  #88aaa)</v>
      </c>
    </row>
    <row r="330" spans="1:19">
      <c r="A330">
        <f>'All Girls &amp; Descendants'!B328</f>
        <v>88</v>
      </c>
      <c r="B330" t="str">
        <f>'All Girls &amp; Descendants'!C328</f>
        <v>88aab</v>
      </c>
      <c r="C330" t="str">
        <f>'All Girls &amp; Descendants'!D328</f>
        <v>HOLMAN-BAIRD</v>
      </c>
      <c r="D330" t="str">
        <f>'All Girls &amp; Descendants'!E328</f>
        <v>Angus</v>
      </c>
      <c r="E330" t="str">
        <f>IF('All Girls &amp; Descendants'!F328="","",'All Girls &amp; Descendants'!F328)</f>
        <v>John</v>
      </c>
      <c r="F330" t="str">
        <f>IF('All Girls &amp; Descendants'!G328="","",'All Girls &amp; Descendants'!G328)</f>
        <v/>
      </c>
      <c r="G330" t="str">
        <f>IF('All Girls &amp; Descendants'!H328="",D330,'All Girls &amp; Descendants'!H328)</f>
        <v>Angus</v>
      </c>
      <c r="H330">
        <f>'All Girls &amp; Descendants'!I328</f>
        <v>1997</v>
      </c>
      <c r="I330" t="str">
        <f>'All Girls &amp; Descendants'!J328</f>
        <v/>
      </c>
      <c r="K330" s="3">
        <f>'All Girls &amp; Descendants'!M328</f>
        <v>35444</v>
      </c>
      <c r="L330" s="3" t="str">
        <f>'All Girls &amp; Descendants'!N328</f>
        <v xml:space="preserve"> - </v>
      </c>
      <c r="M330" t="str">
        <f>'All Girls &amp; Descendants'!O328</f>
        <v/>
      </c>
      <c r="N330" t="str">
        <f>'All Girls &amp; Descendants'!P328</f>
        <v/>
      </c>
      <c r="O330" t="str">
        <f>'All Girls &amp; Descendants'!Q328</f>
        <v>88aa</v>
      </c>
      <c r="P330" t="str">
        <f t="shared" si="59"/>
        <v>88aab</v>
      </c>
      <c r="Q330" s="116">
        <f t="shared" si="60"/>
        <v>3</v>
      </c>
      <c r="R330" s="31" t="str">
        <f t="shared" si="61"/>
        <v>Angus John  HOLMAN-BAIRD</v>
      </c>
      <c r="S330" t="str">
        <f t="shared" si="62"/>
        <v>Angus HOLMAN-BAIRD (1997 - :  #88aab)</v>
      </c>
    </row>
    <row r="331" spans="1:19">
      <c r="A331">
        <f>'All Girls &amp; Descendants'!B329</f>
        <v>88</v>
      </c>
      <c r="B331" t="str">
        <f>'All Girls &amp; Descendants'!C329</f>
        <v>88aac</v>
      </c>
      <c r="C331" t="str">
        <f>'All Girls &amp; Descendants'!D329</f>
        <v>HOLMAN-BAIRD</v>
      </c>
      <c r="D331" t="str">
        <f>'All Girls &amp; Descendants'!E329</f>
        <v>Amelia</v>
      </c>
      <c r="E331" t="str">
        <f>IF('All Girls &amp; Descendants'!F329="","",'All Girls &amp; Descendants'!F329)</f>
        <v>Jo</v>
      </c>
      <c r="F331" t="str">
        <f>IF('All Girls &amp; Descendants'!G329="","",'All Girls &amp; Descendants'!G329)</f>
        <v/>
      </c>
      <c r="G331" t="str">
        <f>IF('All Girls &amp; Descendants'!H329="",D331,'All Girls &amp; Descendants'!H329)</f>
        <v>Amelia</v>
      </c>
      <c r="H331">
        <f>'All Girls &amp; Descendants'!I329</f>
        <v>1998</v>
      </c>
      <c r="I331" t="str">
        <f>'All Girls &amp; Descendants'!J329</f>
        <v/>
      </c>
      <c r="K331" s="3">
        <f>'All Girls &amp; Descendants'!M329</f>
        <v>36158</v>
      </c>
      <c r="L331" s="3" t="str">
        <f>'All Girls &amp; Descendants'!N329</f>
        <v xml:space="preserve"> - </v>
      </c>
      <c r="M331" t="str">
        <f>'All Girls &amp; Descendants'!O329</f>
        <v/>
      </c>
      <c r="N331" t="str">
        <f>'All Girls &amp; Descendants'!P329</f>
        <v/>
      </c>
      <c r="O331" t="str">
        <f>'All Girls &amp; Descendants'!Q329</f>
        <v>88aa</v>
      </c>
      <c r="P331" t="str">
        <f t="shared" si="59"/>
        <v>88aac</v>
      </c>
      <c r="Q331" s="116">
        <f t="shared" si="60"/>
        <v>3</v>
      </c>
      <c r="R331" s="31" t="str">
        <f t="shared" si="61"/>
        <v>Amelia Jo  HOLMAN-BAIRD</v>
      </c>
      <c r="S331" t="str">
        <f t="shared" si="62"/>
        <v>Amelia HOLMAN-BAIRD (1998 - :  #88aac)</v>
      </c>
    </row>
    <row r="332" spans="1:19">
      <c r="A332">
        <f>'All Girls &amp; Descendants'!B330</f>
        <v>88</v>
      </c>
      <c r="B332" t="str">
        <f>'All Girls &amp; Descendants'!C330</f>
        <v>88aca</v>
      </c>
      <c r="C332" t="str">
        <f>'All Girls &amp; Descendants'!D330</f>
        <v>STIRRUP</v>
      </c>
      <c r="D332" t="str">
        <f>'All Girls &amp; Descendants'!E330</f>
        <v>William</v>
      </c>
      <c r="E332" t="str">
        <f>IF('All Girls &amp; Descendants'!F330="","",'All Girls &amp; Descendants'!F330)</f>
        <v>John</v>
      </c>
      <c r="F332" t="str">
        <f>IF('All Girls &amp; Descendants'!G330="","",'All Girls &amp; Descendants'!G330)</f>
        <v/>
      </c>
      <c r="G332" t="str">
        <f>IF('All Girls &amp; Descendants'!H330="",D332,'All Girls &amp; Descendants'!H330)</f>
        <v>William</v>
      </c>
      <c r="H332">
        <f>'All Girls &amp; Descendants'!I330</f>
        <v>1992</v>
      </c>
      <c r="I332" t="str">
        <f>'All Girls &amp; Descendants'!J330</f>
        <v/>
      </c>
      <c r="K332" s="3">
        <f>'All Girls &amp; Descendants'!M330</f>
        <v>33857</v>
      </c>
      <c r="L332" s="3" t="str">
        <f>'All Girls &amp; Descendants'!N330</f>
        <v xml:space="preserve"> - </v>
      </c>
      <c r="M332" t="str">
        <f>'All Girls &amp; Descendants'!O330</f>
        <v/>
      </c>
      <c r="N332" t="str">
        <f>'All Girls &amp; Descendants'!P330</f>
        <v/>
      </c>
      <c r="O332" t="str">
        <f>'All Girls &amp; Descendants'!Q330</f>
        <v>88ac</v>
      </c>
      <c r="P332" t="str">
        <f t="shared" si="59"/>
        <v>88aca</v>
      </c>
      <c r="Q332" s="116">
        <f t="shared" si="60"/>
        <v>3</v>
      </c>
      <c r="R332" s="31" t="str">
        <f t="shared" si="61"/>
        <v>William John  STIRRUP</v>
      </c>
      <c r="S332" t="str">
        <f t="shared" si="62"/>
        <v>William STIRRUP (1992 - :  #88aca)</v>
      </c>
    </row>
    <row r="333" spans="1:19">
      <c r="A333">
        <f>'All Girls &amp; Descendants'!B331</f>
        <v>88</v>
      </c>
      <c r="B333" t="str">
        <f>'All Girls &amp; Descendants'!C331</f>
        <v>88acb</v>
      </c>
      <c r="C333" t="str">
        <f>'All Girls &amp; Descendants'!D331</f>
        <v>STIRRUP</v>
      </c>
      <c r="D333" t="str">
        <f>'All Girls &amp; Descendants'!E331</f>
        <v>Timothy</v>
      </c>
      <c r="E333" t="str">
        <f>IF('All Girls &amp; Descendants'!F331="","",'All Girls &amp; Descendants'!F331)</f>
        <v>Charles</v>
      </c>
      <c r="F333" t="str">
        <f>IF('All Girls &amp; Descendants'!G331="","",'All Girls &amp; Descendants'!G331)</f>
        <v/>
      </c>
      <c r="G333" t="str">
        <f>IF('All Girls &amp; Descendants'!H331="",D333,'All Girls &amp; Descendants'!H331)</f>
        <v>Timothy</v>
      </c>
      <c r="H333">
        <f>'All Girls &amp; Descendants'!I331</f>
        <v>1994</v>
      </c>
      <c r="I333" t="str">
        <f>'All Girls &amp; Descendants'!J331</f>
        <v/>
      </c>
      <c r="K333" s="3">
        <f>'All Girls &amp; Descendants'!M331</f>
        <v>34491</v>
      </c>
      <c r="L333" s="3" t="str">
        <f>'All Girls &amp; Descendants'!N331</f>
        <v xml:space="preserve"> - </v>
      </c>
      <c r="M333" t="str">
        <f>'All Girls &amp; Descendants'!O331</f>
        <v/>
      </c>
      <c r="N333" t="str">
        <f>'All Girls &amp; Descendants'!P331</f>
        <v/>
      </c>
      <c r="O333" t="str">
        <f>'All Girls &amp; Descendants'!Q331</f>
        <v>88ac</v>
      </c>
      <c r="P333" t="str">
        <f t="shared" si="59"/>
        <v>88acb</v>
      </c>
      <c r="Q333" s="116">
        <f t="shared" si="60"/>
        <v>3</v>
      </c>
      <c r="R333" s="31" t="str">
        <f t="shared" si="61"/>
        <v>Timothy Charles  STIRRUP</v>
      </c>
      <c r="S333" t="str">
        <f t="shared" si="62"/>
        <v>Timothy STIRRUP (1994 - :  #88acb)</v>
      </c>
    </row>
    <row r="334" spans="1:19">
      <c r="A334">
        <f>'All Girls &amp; Descendants'!B332</f>
        <v>88</v>
      </c>
      <c r="B334" t="str">
        <f>'All Girls &amp; Descendants'!C332</f>
        <v>88acc</v>
      </c>
      <c r="C334" t="str">
        <f>'All Girls &amp; Descendants'!D332</f>
        <v>STIRRUP</v>
      </c>
      <c r="D334" t="str">
        <f>'All Girls &amp; Descendants'!E332</f>
        <v>Isabelle</v>
      </c>
      <c r="E334" t="str">
        <f>IF('All Girls &amp; Descendants'!F332="","",'All Girls &amp; Descendants'!F332)</f>
        <v>Diana</v>
      </c>
      <c r="F334" t="str">
        <f>IF('All Girls &amp; Descendants'!G332="","",'All Girls &amp; Descendants'!G332)</f>
        <v/>
      </c>
      <c r="G334" t="str">
        <f>IF('All Girls &amp; Descendants'!H332="",D334,'All Girls &amp; Descendants'!H332)</f>
        <v>Isabelle</v>
      </c>
      <c r="H334">
        <f>'All Girls &amp; Descendants'!I332</f>
        <v>1997</v>
      </c>
      <c r="I334" t="str">
        <f>'All Girls &amp; Descendants'!J332</f>
        <v/>
      </c>
      <c r="K334" s="3">
        <f>'All Girls &amp; Descendants'!M332</f>
        <v>35534</v>
      </c>
      <c r="L334" s="3" t="str">
        <f>'All Girls &amp; Descendants'!N332</f>
        <v xml:space="preserve"> - </v>
      </c>
      <c r="M334" t="str">
        <f>'All Girls &amp; Descendants'!O332</f>
        <v/>
      </c>
      <c r="N334" t="str">
        <f>'All Girls &amp; Descendants'!P332</f>
        <v/>
      </c>
      <c r="O334" t="str">
        <f>'All Girls &amp; Descendants'!Q332</f>
        <v>88ac</v>
      </c>
      <c r="P334" t="str">
        <f t="shared" si="59"/>
        <v>88acc</v>
      </c>
      <c r="Q334" s="116">
        <f t="shared" si="60"/>
        <v>3</v>
      </c>
      <c r="R334" s="31" t="str">
        <f t="shared" si="61"/>
        <v>Isabelle Diana  STIRRUP</v>
      </c>
      <c r="S334" t="str">
        <f t="shared" si="62"/>
        <v>Isabelle STIRRUP (1997 - :  #88acc)</v>
      </c>
    </row>
    <row r="335" spans="1:19">
      <c r="A335">
        <f>'All Girls &amp; Descendants'!B333</f>
        <v>88</v>
      </c>
      <c r="B335" t="str">
        <f>'All Girls &amp; Descendants'!C333</f>
        <v>88ada</v>
      </c>
      <c r="C335" t="str">
        <f>'All Girls &amp; Descendants'!D333</f>
        <v>COLE</v>
      </c>
      <c r="D335" t="str">
        <f>'All Girls &amp; Descendants'!E333</f>
        <v>Sophie</v>
      </c>
      <c r="E335" t="str">
        <f>IF('All Girls &amp; Descendants'!F333="","",'All Girls &amp; Descendants'!F333)</f>
        <v>Charlotte</v>
      </c>
      <c r="F335" t="str">
        <f>IF('All Girls &amp; Descendants'!G333="","",'All Girls &amp; Descendants'!G333)</f>
        <v/>
      </c>
      <c r="G335" t="str">
        <f>IF('All Girls &amp; Descendants'!H333="",D335,'All Girls &amp; Descendants'!H333)</f>
        <v>Sophie</v>
      </c>
      <c r="H335">
        <f>'All Girls &amp; Descendants'!I333</f>
        <v>1992</v>
      </c>
      <c r="I335" t="str">
        <f>'All Girls &amp; Descendants'!J333</f>
        <v/>
      </c>
      <c r="K335" s="3">
        <f>'All Girls &amp; Descendants'!M333</f>
        <v>33820</v>
      </c>
      <c r="L335" s="3" t="str">
        <f>'All Girls &amp; Descendants'!N333</f>
        <v xml:space="preserve"> - </v>
      </c>
      <c r="M335" t="str">
        <f>'All Girls &amp; Descendants'!O333</f>
        <v/>
      </c>
      <c r="N335" t="str">
        <f>'All Girls &amp; Descendants'!P333</f>
        <v/>
      </c>
      <c r="O335" t="str">
        <f>'All Girls &amp; Descendants'!Q333</f>
        <v>88ad</v>
      </c>
      <c r="P335" t="str">
        <f t="shared" si="59"/>
        <v>88ada</v>
      </c>
      <c r="Q335" s="116">
        <f t="shared" si="60"/>
        <v>3</v>
      </c>
      <c r="R335" s="31" t="str">
        <f t="shared" si="61"/>
        <v>Sophie Charlotte  COLE</v>
      </c>
      <c r="S335" t="str">
        <f t="shared" si="62"/>
        <v>Sophie COLE (1992 - :  #88ada)</v>
      </c>
    </row>
    <row r="336" spans="1:19">
      <c r="A336">
        <f>'All Girls &amp; Descendants'!B334</f>
        <v>88</v>
      </c>
      <c r="B336" t="str">
        <f>'All Girls &amp; Descendants'!C334</f>
        <v>88adb</v>
      </c>
      <c r="C336" t="str">
        <f>'All Girls &amp; Descendants'!D334</f>
        <v>COLE</v>
      </c>
      <c r="D336" t="str">
        <f>'All Girls &amp; Descendants'!E334</f>
        <v>Patrick</v>
      </c>
      <c r="E336" t="str">
        <f>IF('All Girls &amp; Descendants'!F334="","",'All Girls &amp; Descendants'!F334)</f>
        <v>James</v>
      </c>
      <c r="F336" t="str">
        <f>IF('All Girls &amp; Descendants'!G334="","",'All Girls &amp; Descendants'!G334)</f>
        <v/>
      </c>
      <c r="G336" t="str">
        <f>IF('All Girls &amp; Descendants'!H334="",D336,'All Girls &amp; Descendants'!H334)</f>
        <v>Patrick</v>
      </c>
      <c r="H336">
        <f>'All Girls &amp; Descendants'!I334</f>
        <v>1994</v>
      </c>
      <c r="I336" t="str">
        <f>'All Girls &amp; Descendants'!J334</f>
        <v/>
      </c>
      <c r="K336" s="3">
        <f>'All Girls &amp; Descendants'!M334</f>
        <v>34408</v>
      </c>
      <c r="L336" s="3" t="str">
        <f>'All Girls &amp; Descendants'!N334</f>
        <v xml:space="preserve"> - </v>
      </c>
      <c r="M336" t="str">
        <f>'All Girls &amp; Descendants'!O334</f>
        <v/>
      </c>
      <c r="N336" t="str">
        <f>'All Girls &amp; Descendants'!P334</f>
        <v/>
      </c>
      <c r="O336" t="str">
        <f>'All Girls &amp; Descendants'!Q334</f>
        <v>88ad</v>
      </c>
      <c r="P336" t="str">
        <f t="shared" ref="P336:P367" si="63">B336</f>
        <v>88adb</v>
      </c>
      <c r="Q336" s="116">
        <f t="shared" ref="Q336:Q367" si="64">LEN(B336)-LEN(A336)</f>
        <v>3</v>
      </c>
      <c r="R336" s="31" t="str">
        <f t="shared" ref="R336:R367" si="65">_xlfn.CONCAT(D336," ",E336," ",F336," ",C336)</f>
        <v>Patrick James  COLE</v>
      </c>
      <c r="S336" t="str">
        <f t="shared" ref="S336:S367" si="66">_xlfn.CONCAT(G336," ",C336," (",H336," - ",I336,":  #",B336,")")</f>
        <v>Patrick COLE (1994 - :  #88adb)</v>
      </c>
    </row>
    <row r="337" spans="1:19">
      <c r="A337">
        <f>'All Girls &amp; Descendants'!B335</f>
        <v>92</v>
      </c>
      <c r="B337" t="str">
        <f>'All Girls &amp; Descendants'!C335</f>
        <v>92aaa</v>
      </c>
      <c r="C337" t="str">
        <f>'All Girls &amp; Descendants'!D335</f>
        <v>TATTON-BROWN</v>
      </c>
      <c r="D337" t="str">
        <f>'All Girls &amp; Descendants'!E335</f>
        <v>Jake</v>
      </c>
      <c r="E337" t="str">
        <f>IF('All Girls &amp; Descendants'!F335="","",'All Girls &amp; Descendants'!F335)</f>
        <v>Michael</v>
      </c>
      <c r="F337" t="str">
        <f>IF('All Girls &amp; Descendants'!G335="","",'All Girls &amp; Descendants'!G335)</f>
        <v/>
      </c>
      <c r="G337" t="str">
        <f>IF('All Girls &amp; Descendants'!H335="",D337,'All Girls &amp; Descendants'!H335)</f>
        <v>Jake</v>
      </c>
      <c r="H337">
        <f>'All Girls &amp; Descendants'!I335</f>
        <v>2016</v>
      </c>
      <c r="I337" t="str">
        <f>'All Girls &amp; Descendants'!J335</f>
        <v/>
      </c>
      <c r="K337" s="3">
        <f>'All Girls &amp; Descendants'!M335</f>
        <v>42553</v>
      </c>
      <c r="L337" s="3" t="str">
        <f>'All Girls &amp; Descendants'!N335</f>
        <v xml:space="preserve"> - </v>
      </c>
      <c r="M337" t="str">
        <f>'All Girls &amp; Descendants'!O335</f>
        <v/>
      </c>
      <c r="N337" t="str">
        <f>'All Girls &amp; Descendants'!P335</f>
        <v/>
      </c>
      <c r="O337" t="str">
        <f>'All Girls &amp; Descendants'!Q335</f>
        <v>92aa</v>
      </c>
      <c r="P337" t="str">
        <f t="shared" si="63"/>
        <v>92aaa</v>
      </c>
      <c r="Q337" s="116">
        <f t="shared" si="64"/>
        <v>3</v>
      </c>
      <c r="R337" s="31" t="str">
        <f t="shared" si="65"/>
        <v>Jake Michael  TATTON-BROWN</v>
      </c>
      <c r="S337" t="str">
        <f t="shared" si="66"/>
        <v>Jake TATTON-BROWN (2016 - :  #92aaa)</v>
      </c>
    </row>
    <row r="338" spans="1:19">
      <c r="A338">
        <f>'All Girls &amp; Descendants'!B336</f>
        <v>92</v>
      </c>
      <c r="B338" t="str">
        <f>'All Girls &amp; Descendants'!C336</f>
        <v>92aab</v>
      </c>
      <c r="C338" t="str">
        <f>'All Girls &amp; Descendants'!D336</f>
        <v>TATTON-BROWN</v>
      </c>
      <c r="D338" t="str">
        <f>'All Girls &amp; Descendants'!E336</f>
        <v>Zachery</v>
      </c>
      <c r="E338" t="str">
        <f>IF('All Girls &amp; Descendants'!F336="","",'All Girls &amp; Descendants'!F336)</f>
        <v>Finn</v>
      </c>
      <c r="F338" t="str">
        <f>IF('All Girls &amp; Descendants'!G336="","",'All Girls &amp; Descendants'!G336)</f>
        <v/>
      </c>
      <c r="G338" t="str">
        <f>IF('All Girls &amp; Descendants'!H336="",D338,'All Girls &amp; Descendants'!H336)</f>
        <v>Zachery</v>
      </c>
      <c r="H338">
        <f>'All Girls &amp; Descendants'!I336</f>
        <v>2016</v>
      </c>
      <c r="I338" t="str">
        <f>'All Girls &amp; Descendants'!J336</f>
        <v/>
      </c>
      <c r="K338" s="3">
        <f>'All Girls &amp; Descendants'!M336</f>
        <v>42559</v>
      </c>
      <c r="L338" s="3" t="str">
        <f>'All Girls &amp; Descendants'!N336</f>
        <v xml:space="preserve"> - </v>
      </c>
      <c r="M338" t="str">
        <f>'All Girls &amp; Descendants'!O336</f>
        <v/>
      </c>
      <c r="N338" t="str">
        <f>'All Girls &amp; Descendants'!P336</f>
        <v/>
      </c>
      <c r="O338" t="str">
        <f>'All Girls &amp; Descendants'!Q336</f>
        <v>92aa</v>
      </c>
      <c r="P338" t="str">
        <f t="shared" si="63"/>
        <v>92aab</v>
      </c>
      <c r="Q338" s="116">
        <f t="shared" si="64"/>
        <v>3</v>
      </c>
      <c r="R338" s="31" t="str">
        <f t="shared" si="65"/>
        <v>Zachery Finn  TATTON-BROWN</v>
      </c>
      <c r="S338" t="str">
        <f t="shared" si="66"/>
        <v>Zachery TATTON-BROWN (2016 - :  #92aab)</v>
      </c>
    </row>
    <row r="339" spans="1:19">
      <c r="A339">
        <f>'All Girls &amp; Descendants'!B337</f>
        <v>92</v>
      </c>
      <c r="B339" t="str">
        <f>'All Girls &amp; Descendants'!C337</f>
        <v>92aca</v>
      </c>
      <c r="C339" t="str">
        <f>'All Girls &amp; Descendants'!D337</f>
        <v>BATTEY</v>
      </c>
      <c r="D339" t="str">
        <f>'All Girls &amp; Descendants'!E337</f>
        <v>Maia</v>
      </c>
      <c r="E339" t="str">
        <f>IF('All Girls &amp; Descendants'!F337="","",'All Girls &amp; Descendants'!F337)</f>
        <v>Veronica</v>
      </c>
      <c r="F339" t="str">
        <f>IF('All Girls &amp; Descendants'!G337="","",'All Girls &amp; Descendants'!G337)</f>
        <v>Kaur</v>
      </c>
      <c r="G339" t="str">
        <f>IF('All Girls &amp; Descendants'!H337="",D339,'All Girls &amp; Descendants'!H337)</f>
        <v>Maia</v>
      </c>
      <c r="H339">
        <f>'All Girls &amp; Descendants'!I337</f>
        <v>2014</v>
      </c>
      <c r="I339" t="str">
        <f>'All Girls &amp; Descendants'!J337</f>
        <v/>
      </c>
      <c r="K339" s="3">
        <f>'All Girls &amp; Descendants'!M337</f>
        <v>41983</v>
      </c>
      <c r="L339" s="3" t="str">
        <f>'All Girls &amp; Descendants'!N337</f>
        <v xml:space="preserve"> - </v>
      </c>
      <c r="M339" t="str">
        <f>'All Girls &amp; Descendants'!O337</f>
        <v/>
      </c>
      <c r="N339" t="str">
        <f>'All Girls &amp; Descendants'!P337</f>
        <v/>
      </c>
      <c r="O339" t="str">
        <f>'All Girls &amp; Descendants'!Q337</f>
        <v>92ac</v>
      </c>
      <c r="P339" t="str">
        <f t="shared" si="63"/>
        <v>92aca</v>
      </c>
      <c r="Q339" s="116">
        <f t="shared" si="64"/>
        <v>3</v>
      </c>
      <c r="R339" s="31" t="str">
        <f t="shared" si="65"/>
        <v>Maia Veronica Kaur BATTEY</v>
      </c>
      <c r="S339" t="str">
        <f t="shared" si="66"/>
        <v>Maia BATTEY (2014 - :  #92aca)</v>
      </c>
    </row>
    <row r="340" spans="1:19">
      <c r="A340">
        <f>'All Girls &amp; Descendants'!B338</f>
        <v>92</v>
      </c>
      <c r="B340" t="str">
        <f>'All Girls &amp; Descendants'!C338</f>
        <v>92acb</v>
      </c>
      <c r="C340" t="str">
        <f>'All Girls &amp; Descendants'!D338</f>
        <v>BATTEY</v>
      </c>
      <c r="D340" t="str">
        <f>'All Girls &amp; Descendants'!E338</f>
        <v>Cara</v>
      </c>
      <c r="E340" t="str">
        <f>IF('All Girls &amp; Descendants'!F338="","",'All Girls &amp; Descendants'!F338)</f>
        <v>Ann</v>
      </c>
      <c r="F340" t="str">
        <f>IF('All Girls &amp; Descendants'!G338="","",'All Girls &amp; Descendants'!G338)</f>
        <v>Rose</v>
      </c>
      <c r="G340" t="str">
        <f>IF('All Girls &amp; Descendants'!H338="",D340,'All Girls &amp; Descendants'!H338)</f>
        <v>Cara</v>
      </c>
      <c r="H340">
        <f>'All Girls &amp; Descendants'!I338</f>
        <v>2017</v>
      </c>
      <c r="I340" t="str">
        <f>'All Girls &amp; Descendants'!J338</f>
        <v/>
      </c>
      <c r="K340" s="3">
        <f>'All Girls &amp; Descendants'!M338</f>
        <v>42787</v>
      </c>
      <c r="L340" s="3" t="str">
        <f>'All Girls &amp; Descendants'!N338</f>
        <v xml:space="preserve"> - </v>
      </c>
      <c r="M340" t="str">
        <f>'All Girls &amp; Descendants'!O338</f>
        <v/>
      </c>
      <c r="N340" t="str">
        <f>'All Girls &amp; Descendants'!P338</f>
        <v/>
      </c>
      <c r="O340" t="str">
        <f>'All Girls &amp; Descendants'!Q338</f>
        <v>92ac</v>
      </c>
      <c r="P340" t="str">
        <f t="shared" si="63"/>
        <v>92acb</v>
      </c>
      <c r="Q340" s="116">
        <f t="shared" si="64"/>
        <v>3</v>
      </c>
      <c r="R340" s="31" t="str">
        <f t="shared" si="65"/>
        <v>Cara Ann Rose BATTEY</v>
      </c>
      <c r="S340" t="str">
        <f t="shared" si="66"/>
        <v>Cara BATTEY (2017 - :  #92acb)</v>
      </c>
    </row>
    <row r="341" spans="1:19">
      <c r="A341">
        <f>'All Girls &amp; Descendants'!B339</f>
        <v>92</v>
      </c>
      <c r="B341" t="str">
        <f>'All Girls &amp; Descendants'!C339</f>
        <v>92baa</v>
      </c>
      <c r="C341" t="str">
        <f>'All Girls &amp; Descendants'!D339</f>
        <v>ANDERSEN</v>
      </c>
      <c r="D341" t="str">
        <f>'All Girls &amp; Descendants'!E339</f>
        <v>Octavia</v>
      </c>
      <c r="E341" t="str">
        <f>IF('All Girls &amp; Descendants'!F339="","",'All Girls &amp; Descendants'!F339)</f>
        <v>Kenya</v>
      </c>
      <c r="F341" t="str">
        <f>IF('All Girls &amp; Descendants'!G339="","",'All Girls &amp; Descendants'!G339)</f>
        <v/>
      </c>
      <c r="G341" t="str">
        <f>IF('All Girls &amp; Descendants'!H339="",D341,'All Girls &amp; Descendants'!H339)</f>
        <v>Octavia</v>
      </c>
      <c r="H341">
        <f>'All Girls &amp; Descendants'!I339</f>
        <v>1999</v>
      </c>
      <c r="I341" t="str">
        <f>'All Girls &amp; Descendants'!J339</f>
        <v/>
      </c>
      <c r="K341" s="3">
        <f>'All Girls &amp; Descendants'!M339</f>
        <v>36230</v>
      </c>
      <c r="L341" s="3" t="str">
        <f>'All Girls &amp; Descendants'!N339</f>
        <v xml:space="preserve"> - </v>
      </c>
      <c r="M341" t="str">
        <f>'All Girls &amp; Descendants'!O339</f>
        <v/>
      </c>
      <c r="N341" t="str">
        <f>'All Girls &amp; Descendants'!P339</f>
        <v/>
      </c>
      <c r="O341" t="str">
        <f>'All Girls &amp; Descendants'!Q339</f>
        <v>92ba</v>
      </c>
      <c r="P341" t="str">
        <f t="shared" si="63"/>
        <v>92baa</v>
      </c>
      <c r="Q341" s="116">
        <f t="shared" si="64"/>
        <v>3</v>
      </c>
      <c r="R341" s="31" t="str">
        <f t="shared" si="65"/>
        <v>Octavia Kenya  ANDERSEN</v>
      </c>
      <c r="S341" t="str">
        <f t="shared" si="66"/>
        <v>Octavia ANDERSEN (1999 - :  #92baa)</v>
      </c>
    </row>
    <row r="342" spans="1:19">
      <c r="A342">
        <f>'All Girls &amp; Descendants'!B340</f>
        <v>92</v>
      </c>
      <c r="B342" t="str">
        <f>'All Girls &amp; Descendants'!C340</f>
        <v>92bab</v>
      </c>
      <c r="C342" t="str">
        <f>'All Girls &amp; Descendants'!D340</f>
        <v>ANDERSEN</v>
      </c>
      <c r="D342" t="str">
        <f>'All Girls &amp; Descendants'!E340</f>
        <v>Augustus</v>
      </c>
      <c r="E342" t="str">
        <f>IF('All Girls &amp; Descendants'!F340="","",'All Girls &amp; Descendants'!F340)</f>
        <v>Eden</v>
      </c>
      <c r="F342" t="str">
        <f>IF('All Girls &amp; Descendants'!G340="","",'All Girls &amp; Descendants'!G340)</f>
        <v/>
      </c>
      <c r="G342" t="str">
        <f>IF('All Girls &amp; Descendants'!H340="",D342,'All Girls &amp; Descendants'!H340)</f>
        <v>Augustus</v>
      </c>
      <c r="H342">
        <f>'All Girls &amp; Descendants'!I340</f>
        <v>2003</v>
      </c>
      <c r="I342" t="str">
        <f>'All Girls &amp; Descendants'!J340</f>
        <v/>
      </c>
      <c r="K342" s="3">
        <f>'All Girls &amp; Descendants'!M340</f>
        <v>37794</v>
      </c>
      <c r="L342" s="3" t="str">
        <f>'All Girls &amp; Descendants'!N340</f>
        <v xml:space="preserve"> - </v>
      </c>
      <c r="M342" t="str">
        <f>'All Girls &amp; Descendants'!O340</f>
        <v/>
      </c>
      <c r="N342" t="str">
        <f>'All Girls &amp; Descendants'!P340</f>
        <v/>
      </c>
      <c r="O342" t="str">
        <f>'All Girls &amp; Descendants'!Q340</f>
        <v>92ba</v>
      </c>
      <c r="P342" t="str">
        <f t="shared" si="63"/>
        <v>92bab</v>
      </c>
      <c r="Q342" s="116">
        <f t="shared" si="64"/>
        <v>3</v>
      </c>
      <c r="R342" s="31" t="str">
        <f t="shared" si="65"/>
        <v>Augustus Eden  ANDERSEN</v>
      </c>
      <c r="S342" t="str">
        <f t="shared" si="66"/>
        <v>Augustus ANDERSEN (2003 - :  #92bab)</v>
      </c>
    </row>
    <row r="343" spans="1:19">
      <c r="A343">
        <f>'All Girls &amp; Descendants'!B341</f>
        <v>92</v>
      </c>
      <c r="B343" t="str">
        <f>'All Girls &amp; Descendants'!C341</f>
        <v>92bba</v>
      </c>
      <c r="C343" t="str">
        <f>'All Girls &amp; Descendants'!D341</f>
        <v>TATTON-BROWN</v>
      </c>
      <c r="D343" t="str">
        <f>'All Girls &amp; Descendants'!E341</f>
        <v>Felix</v>
      </c>
      <c r="E343" t="str">
        <f>IF('All Girls &amp; Descendants'!F341="","",'All Girls &amp; Descendants'!F341)</f>
        <v>Edgar</v>
      </c>
      <c r="F343" t="str">
        <f>IF('All Girls &amp; Descendants'!G341="","",'All Girls &amp; Descendants'!G341)</f>
        <v>Oliver</v>
      </c>
      <c r="G343" t="str">
        <f>IF('All Girls &amp; Descendants'!H341="",D343,'All Girls &amp; Descendants'!H341)</f>
        <v>Felix</v>
      </c>
      <c r="H343">
        <f>'All Girls &amp; Descendants'!I341</f>
        <v>2004</v>
      </c>
      <c r="I343" t="str">
        <f>'All Girls &amp; Descendants'!J341</f>
        <v/>
      </c>
      <c r="K343" s="3">
        <f>'All Girls &amp; Descendants'!M341</f>
        <v>38267</v>
      </c>
      <c r="L343" s="3" t="str">
        <f>'All Girls &amp; Descendants'!N341</f>
        <v xml:space="preserve"> - </v>
      </c>
      <c r="M343" t="str">
        <f>'All Girls &amp; Descendants'!O341</f>
        <v/>
      </c>
      <c r="N343" t="str">
        <f>'All Girls &amp; Descendants'!P341</f>
        <v/>
      </c>
      <c r="O343" t="str">
        <f>'All Girls &amp; Descendants'!Q341</f>
        <v>92bb</v>
      </c>
      <c r="P343" t="str">
        <f t="shared" si="63"/>
        <v>92bba</v>
      </c>
      <c r="Q343" s="116">
        <f t="shared" si="64"/>
        <v>3</v>
      </c>
      <c r="R343" s="31" t="str">
        <f t="shared" si="65"/>
        <v>Felix Edgar Oliver TATTON-BROWN</v>
      </c>
      <c r="S343" t="str">
        <f t="shared" si="66"/>
        <v>Felix TATTON-BROWN (2004 - :  #92bba)</v>
      </c>
    </row>
    <row r="344" spans="1:19">
      <c r="A344">
        <f>'All Girls &amp; Descendants'!B342</f>
        <v>92</v>
      </c>
      <c r="B344" t="str">
        <f>'All Girls &amp; Descendants'!C342</f>
        <v>92bbb</v>
      </c>
      <c r="C344" t="str">
        <f>'All Girls &amp; Descendants'!D342</f>
        <v>TATTON-BROWN</v>
      </c>
      <c r="D344" t="str">
        <f>'All Girls &amp; Descendants'!E342</f>
        <v>Marius</v>
      </c>
      <c r="E344" t="str">
        <f>IF('All Girls &amp; Descendants'!F342="","",'All Girls &amp; Descendants'!F342)</f>
        <v>Cesar</v>
      </c>
      <c r="F344" t="str">
        <f>IF('All Girls &amp; Descendants'!G342="","",'All Girls &amp; Descendants'!G342)</f>
        <v>Fabien</v>
      </c>
      <c r="G344" t="str">
        <f>IF('All Girls &amp; Descendants'!H342="",D344,'All Girls &amp; Descendants'!H342)</f>
        <v>Marius</v>
      </c>
      <c r="H344">
        <f>'All Girls &amp; Descendants'!I342</f>
        <v>2004</v>
      </c>
      <c r="I344" t="str">
        <f>'All Girls &amp; Descendants'!J342</f>
        <v/>
      </c>
      <c r="K344" s="3">
        <f>'All Girls &amp; Descendants'!M342</f>
        <v>38267</v>
      </c>
      <c r="L344" s="3" t="str">
        <f>'All Girls &amp; Descendants'!N342</f>
        <v xml:space="preserve"> - </v>
      </c>
      <c r="M344" t="str">
        <f>'All Girls &amp; Descendants'!O342</f>
        <v/>
      </c>
      <c r="N344" t="str">
        <f>'All Girls &amp; Descendants'!P342</f>
        <v/>
      </c>
      <c r="O344" t="str">
        <f>'All Girls &amp; Descendants'!Q342</f>
        <v>92bb</v>
      </c>
      <c r="P344" t="str">
        <f t="shared" si="63"/>
        <v>92bbb</v>
      </c>
      <c r="Q344" s="116">
        <f t="shared" si="64"/>
        <v>3</v>
      </c>
      <c r="R344" s="31" t="str">
        <f t="shared" si="65"/>
        <v>Marius Cesar Fabien TATTON-BROWN</v>
      </c>
      <c r="S344" t="str">
        <f t="shared" si="66"/>
        <v>Marius TATTON-BROWN (2004 - :  #92bbb)</v>
      </c>
    </row>
    <row r="345" spans="1:19">
      <c r="A345">
        <f>'All Girls &amp; Descendants'!B343</f>
        <v>92</v>
      </c>
      <c r="B345" t="str">
        <f>'All Girls &amp; Descendants'!C343</f>
        <v>92bbc</v>
      </c>
      <c r="C345" t="str">
        <f>'All Girls &amp; Descendants'!D343</f>
        <v>TATTON-BROWN</v>
      </c>
      <c r="D345" t="str">
        <f>'All Girls &amp; Descendants'!E343</f>
        <v>Poppy</v>
      </c>
      <c r="E345" t="str">
        <f>IF('All Girls &amp; Descendants'!F343="","",'All Girls &amp; Descendants'!F343)</f>
        <v>May</v>
      </c>
      <c r="F345" t="str">
        <f>IF('All Girls &amp; Descendants'!G343="","",'All Girls &amp; Descendants'!G343)</f>
        <v/>
      </c>
      <c r="G345" t="str">
        <f>IF('All Girls &amp; Descendants'!H343="",D345,'All Girls &amp; Descendants'!H343)</f>
        <v>Poppy</v>
      </c>
      <c r="H345">
        <f>'All Girls &amp; Descendants'!I343</f>
        <v>2008</v>
      </c>
      <c r="I345" t="str">
        <f>'All Girls &amp; Descendants'!J343</f>
        <v/>
      </c>
      <c r="K345" s="3">
        <f>'All Girls &amp; Descendants'!M343</f>
        <v>39703</v>
      </c>
      <c r="L345" s="3" t="str">
        <f>'All Girls &amp; Descendants'!N343</f>
        <v xml:space="preserve"> - </v>
      </c>
      <c r="M345" t="str">
        <f>'All Girls &amp; Descendants'!O343</f>
        <v/>
      </c>
      <c r="N345" t="str">
        <f>'All Girls &amp; Descendants'!P343</f>
        <v/>
      </c>
      <c r="O345" t="str">
        <f>'All Girls &amp; Descendants'!Q343</f>
        <v>92bb</v>
      </c>
      <c r="P345" t="str">
        <f t="shared" si="63"/>
        <v>92bbc</v>
      </c>
      <c r="Q345" s="116">
        <f t="shared" si="64"/>
        <v>3</v>
      </c>
      <c r="R345" s="31" t="str">
        <f t="shared" si="65"/>
        <v>Poppy May  TATTON-BROWN</v>
      </c>
      <c r="S345" t="str">
        <f t="shared" si="66"/>
        <v>Poppy TATTON-BROWN (2008 - :  #92bbc)</v>
      </c>
    </row>
    <row r="346" spans="1:19">
      <c r="A346">
        <f>'All Girls &amp; Descendants'!B344</f>
        <v>92</v>
      </c>
      <c r="B346" t="str">
        <f>'All Girls &amp; Descendants'!C344</f>
        <v>92bca</v>
      </c>
      <c r="C346" t="str">
        <f>'All Girls &amp; Descendants'!D344</f>
        <v>BOURNE</v>
      </c>
      <c r="D346" t="str">
        <f>'All Girls &amp; Descendants'!E344</f>
        <v>Rose</v>
      </c>
      <c r="E346" t="str">
        <f>IF('All Girls &amp; Descendants'!F344="","",'All Girls &amp; Descendants'!F344)</f>
        <v>Henrietta</v>
      </c>
      <c r="F346" t="str">
        <f>IF('All Girls &amp; Descendants'!G344="","",'All Girls &amp; Descendants'!G344)</f>
        <v/>
      </c>
      <c r="G346" t="str">
        <f>IF('All Girls &amp; Descendants'!H344="",D346,'All Girls &amp; Descendants'!H344)</f>
        <v>Rose</v>
      </c>
      <c r="H346">
        <f>'All Girls &amp; Descendants'!I344</f>
        <v>2014</v>
      </c>
      <c r="I346" t="str">
        <f>'All Girls &amp; Descendants'!J344</f>
        <v/>
      </c>
      <c r="K346" s="3">
        <f>'All Girls &amp; Descendants'!M344</f>
        <v>41747</v>
      </c>
      <c r="L346" s="3" t="str">
        <f>'All Girls &amp; Descendants'!N344</f>
        <v xml:space="preserve"> - </v>
      </c>
      <c r="M346" t="str">
        <f>'All Girls &amp; Descendants'!O344</f>
        <v/>
      </c>
      <c r="N346" t="str">
        <f>'All Girls &amp; Descendants'!P344</f>
        <v/>
      </c>
      <c r="O346" t="str">
        <f>'All Girls &amp; Descendants'!Q344</f>
        <v>92bc</v>
      </c>
      <c r="P346" t="str">
        <f t="shared" si="63"/>
        <v>92bca</v>
      </c>
      <c r="Q346" s="116">
        <f t="shared" si="64"/>
        <v>3</v>
      </c>
      <c r="R346" s="31" t="str">
        <f t="shared" si="65"/>
        <v>Rose Henrietta  BOURNE</v>
      </c>
      <c r="S346" t="str">
        <f t="shared" si="66"/>
        <v>Rose BOURNE (2014 - :  #92bca)</v>
      </c>
    </row>
    <row r="347" spans="1:19">
      <c r="A347">
        <f>'All Girls &amp; Descendants'!B345</f>
        <v>92</v>
      </c>
      <c r="B347" t="str">
        <f>'All Girls &amp; Descendants'!C345</f>
        <v>92bcb</v>
      </c>
      <c r="C347" t="str">
        <f>'All Girls &amp; Descendants'!D345</f>
        <v>BOURNE</v>
      </c>
      <c r="D347" t="str">
        <f>'All Girls &amp; Descendants'!E345</f>
        <v>Basil</v>
      </c>
      <c r="E347" t="str">
        <f>IF('All Girls &amp; Descendants'!F345="","",'All Girls &amp; Descendants'!F345)</f>
        <v>Louis</v>
      </c>
      <c r="F347" t="str">
        <f>IF('All Girls &amp; Descendants'!G345="","",'All Girls &amp; Descendants'!G345)</f>
        <v/>
      </c>
      <c r="G347" t="str">
        <f>IF('All Girls &amp; Descendants'!H345="",D347,'All Girls &amp; Descendants'!H345)</f>
        <v>Basil</v>
      </c>
      <c r="H347">
        <f>'All Girls &amp; Descendants'!I345</f>
        <v>2016</v>
      </c>
      <c r="I347" t="str">
        <f>'All Girls &amp; Descendants'!J345</f>
        <v/>
      </c>
      <c r="K347" s="3">
        <f>'All Girls &amp; Descendants'!M345</f>
        <v>42399</v>
      </c>
      <c r="L347" s="3" t="str">
        <f>'All Girls &amp; Descendants'!N345</f>
        <v xml:space="preserve"> - </v>
      </c>
      <c r="M347" t="str">
        <f>'All Girls &amp; Descendants'!O345</f>
        <v/>
      </c>
      <c r="N347" t="str">
        <f>'All Girls &amp; Descendants'!P345</f>
        <v/>
      </c>
      <c r="O347" t="str">
        <f>'All Girls &amp; Descendants'!Q345</f>
        <v>92bc</v>
      </c>
      <c r="P347" t="str">
        <f t="shared" si="63"/>
        <v>92bcb</v>
      </c>
      <c r="Q347" s="116">
        <f t="shared" si="64"/>
        <v>3</v>
      </c>
      <c r="R347" s="31" t="str">
        <f t="shared" si="65"/>
        <v>Basil Louis  BOURNE</v>
      </c>
      <c r="S347" t="str">
        <f t="shared" si="66"/>
        <v>Basil BOURNE (2016 - :  #92bcb)</v>
      </c>
    </row>
    <row r="348" spans="1:19">
      <c r="A348">
        <f>'All Girls &amp; Descendants'!B346</f>
        <v>92</v>
      </c>
      <c r="B348" t="str">
        <f>'All Girls &amp; Descendants'!C346</f>
        <v>92bcc</v>
      </c>
      <c r="C348" t="str">
        <f>'All Girls &amp; Descendants'!D346</f>
        <v>BOURNE</v>
      </c>
      <c r="D348" t="str">
        <f>'All Girls &amp; Descendants'!E346</f>
        <v>Montague</v>
      </c>
      <c r="E348" t="str">
        <f>IF('All Girls &amp; Descendants'!F346="","",'All Girls &amp; Descendants'!F346)</f>
        <v>Alfred</v>
      </c>
      <c r="F348" t="str">
        <f>IF('All Girls &amp; Descendants'!G346="","",'All Girls &amp; Descendants'!G346)</f>
        <v/>
      </c>
      <c r="G348" t="str">
        <f>IF('All Girls &amp; Descendants'!H346="",D348,'All Girls &amp; Descendants'!H346)</f>
        <v>Montague</v>
      </c>
      <c r="H348">
        <f>'All Girls &amp; Descendants'!I346</f>
        <v>2020</v>
      </c>
      <c r="I348" t="str">
        <f>'All Girls &amp; Descendants'!J346</f>
        <v/>
      </c>
      <c r="K348" s="3">
        <f>'All Girls &amp; Descendants'!M346</f>
        <v>44158</v>
      </c>
      <c r="L348" s="3" t="str">
        <f>'All Girls &amp; Descendants'!N346</f>
        <v xml:space="preserve"> - </v>
      </c>
      <c r="M348" t="str">
        <f>'All Girls &amp; Descendants'!O346</f>
        <v/>
      </c>
      <c r="N348" t="str">
        <f>'All Girls &amp; Descendants'!P346</f>
        <v/>
      </c>
      <c r="O348" t="str">
        <f>'All Girls &amp; Descendants'!Q346</f>
        <v>92bc</v>
      </c>
      <c r="P348" t="str">
        <f t="shared" si="63"/>
        <v>92bcc</v>
      </c>
      <c r="Q348" s="116">
        <f t="shared" si="64"/>
        <v>3</v>
      </c>
      <c r="R348" s="31" t="str">
        <f t="shared" si="65"/>
        <v>Montague Alfred  BOURNE</v>
      </c>
      <c r="S348" t="str">
        <f t="shared" si="66"/>
        <v>Montague BOURNE (2020 - :  #92bcc)</v>
      </c>
    </row>
    <row r="349" spans="1:19">
      <c r="A349">
        <f>'All Girls &amp; Descendants'!B347</f>
        <v>92</v>
      </c>
      <c r="B349" t="str">
        <f>'All Girls &amp; Descendants'!C347</f>
        <v>92bda</v>
      </c>
      <c r="C349" t="str">
        <f>'All Girls &amp; Descendants'!D347</f>
        <v>TATTON-BROWN</v>
      </c>
      <c r="D349" t="str">
        <f>'All Girls &amp; Descendants'!E347</f>
        <v>Alice</v>
      </c>
      <c r="E349" t="str">
        <f>IF('All Girls &amp; Descendants'!F347="","",'All Girls &amp; Descendants'!F347)</f>
        <v>Clementine</v>
      </c>
      <c r="F349" t="str">
        <f>IF('All Girls &amp; Descendants'!G347="","",'All Girls &amp; Descendants'!G347)</f>
        <v>Mary</v>
      </c>
      <c r="G349" t="str">
        <f>IF('All Girls &amp; Descendants'!H347="",D349,'All Girls &amp; Descendants'!H347)</f>
        <v>Alice</v>
      </c>
      <c r="H349">
        <f>'All Girls &amp; Descendants'!I347</f>
        <v>2013</v>
      </c>
      <c r="I349" t="str">
        <f>'All Girls &amp; Descendants'!J347</f>
        <v/>
      </c>
      <c r="K349" s="3">
        <f>'All Girls &amp; Descendants'!M347</f>
        <v>41567</v>
      </c>
      <c r="L349" s="3" t="str">
        <f>'All Girls &amp; Descendants'!N347</f>
        <v xml:space="preserve"> - </v>
      </c>
      <c r="M349" t="str">
        <f>'All Girls &amp; Descendants'!O347</f>
        <v/>
      </c>
      <c r="N349" t="str">
        <f>'All Girls &amp; Descendants'!P347</f>
        <v/>
      </c>
      <c r="O349" t="str">
        <f>'All Girls &amp; Descendants'!Q347</f>
        <v>92bd</v>
      </c>
      <c r="P349" t="str">
        <f t="shared" si="63"/>
        <v>92bda</v>
      </c>
      <c r="Q349" s="116">
        <f t="shared" si="64"/>
        <v>3</v>
      </c>
      <c r="R349" s="31" t="str">
        <f t="shared" si="65"/>
        <v>Alice Clementine Mary TATTON-BROWN</v>
      </c>
      <c r="S349" t="str">
        <f t="shared" si="66"/>
        <v>Alice TATTON-BROWN (2013 - :  #92bda)</v>
      </c>
    </row>
    <row r="350" spans="1:19">
      <c r="A350">
        <f>'All Girls &amp; Descendants'!B348</f>
        <v>92</v>
      </c>
      <c r="B350" t="str">
        <f>'All Girls &amp; Descendants'!C348</f>
        <v>92bdb</v>
      </c>
      <c r="C350" t="str">
        <f>'All Girls &amp; Descendants'!D348</f>
        <v>TATTON-BROWN</v>
      </c>
      <c r="D350" t="str">
        <f>'All Girls &amp; Descendants'!E348</f>
        <v>Théodore</v>
      </c>
      <c r="E350" t="str">
        <f>IF('All Girls &amp; Descendants'!F348="","",'All Girls &amp; Descendants'!F348)</f>
        <v>Eden</v>
      </c>
      <c r="F350" t="str">
        <f>IF('All Girls &amp; Descendants'!G348="","",'All Girls &amp; Descendants'!G348)</f>
        <v>Louis</v>
      </c>
      <c r="G350" t="str">
        <f>IF('All Girls &amp; Descendants'!H348="",D350,'All Girls &amp; Descendants'!H348)</f>
        <v>Théodore</v>
      </c>
      <c r="H350">
        <f>'All Girls &amp; Descendants'!I348</f>
        <v>2018</v>
      </c>
      <c r="I350" t="str">
        <f>'All Girls &amp; Descendants'!J348</f>
        <v/>
      </c>
      <c r="K350" s="3">
        <f>'All Girls &amp; Descendants'!M348</f>
        <v>43260</v>
      </c>
      <c r="L350" s="3" t="str">
        <f>'All Girls &amp; Descendants'!N348</f>
        <v xml:space="preserve"> - </v>
      </c>
      <c r="M350" t="str">
        <f>'All Girls &amp; Descendants'!O348</f>
        <v/>
      </c>
      <c r="N350" t="str">
        <f>'All Girls &amp; Descendants'!P348</f>
        <v/>
      </c>
      <c r="O350" t="str">
        <f>'All Girls &amp; Descendants'!Q348</f>
        <v>92bd</v>
      </c>
      <c r="P350" t="str">
        <f t="shared" si="63"/>
        <v>92bdb</v>
      </c>
      <c r="Q350" s="116">
        <f t="shared" si="64"/>
        <v>3</v>
      </c>
      <c r="R350" s="31" t="str">
        <f t="shared" si="65"/>
        <v>Théodore Eden Louis TATTON-BROWN</v>
      </c>
      <c r="S350" t="str">
        <f t="shared" si="66"/>
        <v>Théodore TATTON-BROWN (2018 - :  #92bdb)</v>
      </c>
    </row>
    <row r="351" spans="1:19">
      <c r="A351">
        <f>'All Girls &amp; Descendants'!B349</f>
        <v>92</v>
      </c>
      <c r="B351" t="str">
        <f>'All Girls &amp; Descendants'!C349</f>
        <v>92bdc</v>
      </c>
      <c r="C351" t="str">
        <f>'All Girls &amp; Descendants'!D349</f>
        <v>TATTON-BROWN</v>
      </c>
      <c r="D351" t="str">
        <f>'All Girls &amp; Descendants'!E349</f>
        <v>Oscar</v>
      </c>
      <c r="E351" t="str">
        <f>IF('All Girls &amp; Descendants'!F349="","",'All Girls &amp; Descendants'!F349)</f>
        <v>Arthur</v>
      </c>
      <c r="F351" t="str">
        <f>IF('All Girls &amp; Descendants'!G349="","",'All Girls &amp; Descendants'!G349)</f>
        <v>Alexandre</v>
      </c>
      <c r="G351" t="str">
        <f>IF('All Girls &amp; Descendants'!H349="",D351,'All Girls &amp; Descendants'!H349)</f>
        <v>Oscar</v>
      </c>
      <c r="H351">
        <f>'All Girls &amp; Descendants'!I349</f>
        <v>2021</v>
      </c>
      <c r="I351" t="str">
        <f>'All Girls &amp; Descendants'!J349</f>
        <v/>
      </c>
      <c r="K351" s="3">
        <f>'All Girls &amp; Descendants'!M349</f>
        <v>44239</v>
      </c>
      <c r="L351" s="3" t="str">
        <f>'All Girls &amp; Descendants'!N349</f>
        <v xml:space="preserve"> - </v>
      </c>
      <c r="M351" t="str">
        <f>'All Girls &amp; Descendants'!O349</f>
        <v/>
      </c>
      <c r="N351" t="str">
        <f>'All Girls &amp; Descendants'!P349</f>
        <v/>
      </c>
      <c r="O351" t="str">
        <f>'All Girls &amp; Descendants'!Q349</f>
        <v>92bd</v>
      </c>
      <c r="P351" t="str">
        <f t="shared" si="63"/>
        <v>92bdc</v>
      </c>
      <c r="Q351" s="116">
        <f t="shared" si="64"/>
        <v>3</v>
      </c>
      <c r="R351" s="31" t="str">
        <f t="shared" si="65"/>
        <v>Oscar Arthur Alexandre TATTON-BROWN</v>
      </c>
      <c r="S351" t="str">
        <f t="shared" si="66"/>
        <v>Oscar TATTON-BROWN (2021 - :  #92bdc)</v>
      </c>
    </row>
    <row r="352" spans="1:19">
      <c r="A352">
        <f>'All Girls &amp; Descendants'!B350</f>
        <v>95</v>
      </c>
      <c r="B352" t="str">
        <f>'All Girls &amp; Descendants'!C350</f>
        <v>95baa</v>
      </c>
      <c r="C352" t="str">
        <f>'All Girls &amp; Descendants'!D350</f>
        <v>VESTEY</v>
      </c>
      <c r="D352" t="str">
        <f>'All Girls &amp; Descendants'!E350</f>
        <v>Ella</v>
      </c>
      <c r="E352" t="str">
        <f>IF('All Girls &amp; Descendants'!F350="","",'All Girls &amp; Descendants'!F350)</f>
        <v>Victoria</v>
      </c>
      <c r="F352" t="str">
        <f>IF('All Girls &amp; Descendants'!G350="","",'All Girls &amp; Descendants'!G350)</f>
        <v/>
      </c>
      <c r="G352" t="str">
        <f>IF('All Girls &amp; Descendants'!H350="",D352,'All Girls &amp; Descendants'!H350)</f>
        <v>Ella</v>
      </c>
      <c r="H352">
        <f>'All Girls &amp; Descendants'!I350</f>
        <v>2015</v>
      </c>
      <c r="I352" t="str">
        <f>'All Girls &amp; Descendants'!J350</f>
        <v/>
      </c>
      <c r="K352" s="3">
        <f>'All Girls &amp; Descendants'!M350</f>
        <v>42198</v>
      </c>
      <c r="L352" s="3" t="str">
        <f>'All Girls &amp; Descendants'!N350</f>
        <v xml:space="preserve"> - </v>
      </c>
      <c r="M352" t="str">
        <f>'All Girls &amp; Descendants'!O350</f>
        <v/>
      </c>
      <c r="N352" t="str">
        <f>'All Girls &amp; Descendants'!P350</f>
        <v/>
      </c>
      <c r="O352" t="str">
        <f>'All Girls &amp; Descendants'!Q350</f>
        <v>95ba</v>
      </c>
      <c r="P352" t="str">
        <f t="shared" si="63"/>
        <v>95baa</v>
      </c>
      <c r="Q352" s="116">
        <f t="shared" si="64"/>
        <v>3</v>
      </c>
      <c r="R352" s="31" t="str">
        <f t="shared" si="65"/>
        <v>Ella Victoria  VESTEY</v>
      </c>
      <c r="S352" t="str">
        <f t="shared" si="66"/>
        <v>Ella VESTEY (2015 - :  #95baa)</v>
      </c>
    </row>
    <row r="353" spans="1:19">
      <c r="A353">
        <f>'All Girls &amp; Descendants'!B351</f>
        <v>95</v>
      </c>
      <c r="B353" t="str">
        <f>'All Girls &amp; Descendants'!C351</f>
        <v>95bab</v>
      </c>
      <c r="C353" t="str">
        <f>'All Girls &amp; Descendants'!D351</f>
        <v>VESTEY</v>
      </c>
      <c r="D353" t="str">
        <f>'All Girls &amp; Descendants'!E351</f>
        <v>Samuel</v>
      </c>
      <c r="E353" t="str">
        <f>IF('All Girls &amp; Descendants'!F351="","",'All Girls &amp; Descendants'!F351)</f>
        <v>Oscar</v>
      </c>
      <c r="F353" t="str">
        <f>IF('All Girls &amp; Descendants'!G351="","",'All Girls &amp; Descendants'!G351)</f>
        <v>Mark</v>
      </c>
      <c r="G353" t="str">
        <f>IF('All Girls &amp; Descendants'!H351="",D353,'All Girls &amp; Descendants'!H351)</f>
        <v>Samuel</v>
      </c>
      <c r="H353">
        <f>'All Girls &amp; Descendants'!I351</f>
        <v>2018</v>
      </c>
      <c r="I353" t="str">
        <f>'All Girls &amp; Descendants'!J351</f>
        <v/>
      </c>
      <c r="K353" s="3">
        <f>'All Girls &amp; Descendants'!M351</f>
        <v>43411</v>
      </c>
      <c r="L353" s="3" t="str">
        <f>'All Girls &amp; Descendants'!N351</f>
        <v xml:space="preserve"> - </v>
      </c>
      <c r="M353" t="str">
        <f>'All Girls &amp; Descendants'!O351</f>
        <v/>
      </c>
      <c r="N353" t="str">
        <f>'All Girls &amp; Descendants'!P351</f>
        <v/>
      </c>
      <c r="O353" t="str">
        <f>'All Girls &amp; Descendants'!Q351</f>
        <v>95ba</v>
      </c>
      <c r="P353" t="str">
        <f t="shared" si="63"/>
        <v>95bab</v>
      </c>
      <c r="Q353" s="116">
        <f t="shared" si="64"/>
        <v>3</v>
      </c>
      <c r="R353" s="31" t="str">
        <f t="shared" si="65"/>
        <v>Samuel Oscar Mark VESTEY</v>
      </c>
      <c r="S353" t="str">
        <f t="shared" si="66"/>
        <v>Samuel VESTEY (2018 - :  #95bab)</v>
      </c>
    </row>
    <row r="354" spans="1:19">
      <c r="A354">
        <f>'All Girls &amp; Descendants'!B352</f>
        <v>95</v>
      </c>
      <c r="B354" t="str">
        <f>'All Girls &amp; Descendants'!C352</f>
        <v>95bba</v>
      </c>
      <c r="C354" t="str">
        <f>'All Girls &amp; Descendants'!D352</f>
        <v>VESTEY</v>
      </c>
      <c r="D354" t="str">
        <f>'All Girls &amp; Descendants'!E352</f>
        <v>Frank</v>
      </c>
      <c r="E354" t="str">
        <f>IF('All Girls &amp; Descendants'!F352="","",'All Girls &amp; Descendants'!F352)</f>
        <v>William</v>
      </c>
      <c r="F354" t="str">
        <f>IF('All Girls &amp; Descendants'!G352="","",'All Girls &amp; Descendants'!G352)</f>
        <v/>
      </c>
      <c r="G354" t="str">
        <f>IF('All Girls &amp; Descendants'!H352="",D354,'All Girls &amp; Descendants'!H352)</f>
        <v>Frank</v>
      </c>
      <c r="H354">
        <f>'All Girls &amp; Descendants'!I352</f>
        <v>2016</v>
      </c>
      <c r="I354" t="str">
        <f>'All Girls &amp; Descendants'!J352</f>
        <v/>
      </c>
      <c r="K354" s="3">
        <f>'All Girls &amp; Descendants'!M352</f>
        <v>42576</v>
      </c>
      <c r="L354" s="3" t="str">
        <f>'All Girls &amp; Descendants'!N352</f>
        <v xml:space="preserve"> - </v>
      </c>
      <c r="M354" t="str">
        <f>'All Girls &amp; Descendants'!O352</f>
        <v/>
      </c>
      <c r="N354" t="str">
        <f>'All Girls &amp; Descendants'!P352</f>
        <v/>
      </c>
      <c r="O354" t="str">
        <f>'All Girls &amp; Descendants'!Q352</f>
        <v>95bb</v>
      </c>
      <c r="P354" t="str">
        <f t="shared" si="63"/>
        <v>95bba</v>
      </c>
      <c r="Q354" s="116">
        <f t="shared" si="64"/>
        <v>3</v>
      </c>
      <c r="R354" s="31" t="str">
        <f t="shared" si="65"/>
        <v>Frank William  VESTEY</v>
      </c>
      <c r="S354" t="str">
        <f t="shared" si="66"/>
        <v>Frank VESTEY (2016 - :  #95bba)</v>
      </c>
    </row>
    <row r="355" spans="1:19">
      <c r="A355">
        <f>'All Girls &amp; Descendants'!B353</f>
        <v>95</v>
      </c>
      <c r="B355" t="str">
        <f>'All Girls &amp; Descendants'!C353</f>
        <v>95bbb</v>
      </c>
      <c r="C355" t="str">
        <f>'All Girls &amp; Descendants'!D353</f>
        <v>VESTEY</v>
      </c>
      <c r="D355" t="str">
        <f>'All Girls &amp; Descendants'!E353</f>
        <v>Cosima </v>
      </c>
      <c r="E355" t="str">
        <f>IF('All Girls &amp; Descendants'!F353="","",'All Girls &amp; Descendants'!F353)</f>
        <v>Dora</v>
      </c>
      <c r="F355" t="str">
        <f>IF('All Girls &amp; Descendants'!G353="","",'All Girls &amp; Descendants'!G353)</f>
        <v/>
      </c>
      <c r="G355" t="str">
        <f>IF('All Girls &amp; Descendants'!H353="",D355,'All Girls &amp; Descendants'!H353)</f>
        <v>Cosima </v>
      </c>
      <c r="H355">
        <f>'All Girls &amp; Descendants'!I353</f>
        <v>2018</v>
      </c>
      <c r="I355" t="str">
        <f>'All Girls &amp; Descendants'!J353</f>
        <v/>
      </c>
      <c r="K355" s="3">
        <f>'All Girls &amp; Descendants'!M353</f>
        <v>43434</v>
      </c>
      <c r="L355" s="3" t="str">
        <f>'All Girls &amp; Descendants'!N353</f>
        <v xml:space="preserve"> - </v>
      </c>
      <c r="M355" t="str">
        <f>'All Girls &amp; Descendants'!O353</f>
        <v/>
      </c>
      <c r="N355" t="str">
        <f>'All Girls &amp; Descendants'!P353</f>
        <v/>
      </c>
      <c r="O355" t="str">
        <f>'All Girls &amp; Descendants'!Q353</f>
        <v>95bb</v>
      </c>
      <c r="P355" t="str">
        <f t="shared" si="63"/>
        <v>95bbb</v>
      </c>
      <c r="Q355" s="116">
        <f t="shared" si="64"/>
        <v>3</v>
      </c>
      <c r="R355" s="31" t="str">
        <f t="shared" si="65"/>
        <v>Cosima  Dora  VESTEY</v>
      </c>
      <c r="S355" t="str">
        <f t="shared" si="66"/>
        <v>Cosima  VESTEY (2018 - :  #95bbb)</v>
      </c>
    </row>
    <row r="356" spans="1:19">
      <c r="A356">
        <f>'All Girls &amp; Descendants'!B354</f>
        <v>95</v>
      </c>
      <c r="B356" t="str">
        <f>'All Girls &amp; Descendants'!C354</f>
        <v>95bbc</v>
      </c>
      <c r="C356" t="str">
        <f>'All Girls &amp; Descendants'!D354</f>
        <v>VESTEY</v>
      </c>
      <c r="D356" t="str">
        <f>'All Girls &amp; Descendants'!E354</f>
        <v>Daisy</v>
      </c>
      <c r="E356" t="str">
        <f>IF('All Girls &amp; Descendants'!F354="","",'All Girls &amp; Descendants'!F354)</f>
        <v>Celia</v>
      </c>
      <c r="F356" t="str">
        <f>IF('All Girls &amp; Descendants'!G354="","",'All Girls &amp; Descendants'!G354)</f>
        <v/>
      </c>
      <c r="G356" t="str">
        <f>IF('All Girls &amp; Descendants'!H354="",D356,'All Girls &amp; Descendants'!H354)</f>
        <v>Daisy</v>
      </c>
      <c r="H356">
        <f>'All Girls &amp; Descendants'!I354</f>
        <v>2021</v>
      </c>
      <c r="I356" t="str">
        <f>'All Girls &amp; Descendants'!J354</f>
        <v/>
      </c>
      <c r="K356" s="3">
        <f>'All Girls &amp; Descendants'!M354</f>
        <v>44208</v>
      </c>
      <c r="L356" s="3" t="str">
        <f>'All Girls &amp; Descendants'!N354</f>
        <v xml:space="preserve"> - </v>
      </c>
      <c r="M356" t="str">
        <f>'All Girls &amp; Descendants'!O354</f>
        <v/>
      </c>
      <c r="N356" t="str">
        <f>'All Girls &amp; Descendants'!P354</f>
        <v/>
      </c>
      <c r="O356" t="str">
        <f>'All Girls &amp; Descendants'!Q354</f>
        <v>95bb</v>
      </c>
      <c r="P356" t="str">
        <f t="shared" si="63"/>
        <v>95bbc</v>
      </c>
      <c r="Q356" s="116">
        <f t="shared" si="64"/>
        <v>3</v>
      </c>
      <c r="R356" s="31" t="str">
        <f t="shared" si="65"/>
        <v>Daisy Celia  VESTEY</v>
      </c>
      <c r="S356" t="str">
        <f t="shared" si="66"/>
        <v>Daisy VESTEY (2021 - :  #95bbc)</v>
      </c>
    </row>
    <row r="357" spans="1:19">
      <c r="A357">
        <f>'All Girls &amp; Descendants'!B355</f>
        <v>95</v>
      </c>
      <c r="B357" t="str">
        <f>'All Girls &amp; Descendants'!C355</f>
        <v>95bca</v>
      </c>
      <c r="C357" t="str">
        <f>'All Girls &amp; Descendants'!D355</f>
        <v>VESTEY</v>
      </c>
      <c r="D357" t="str">
        <f>'All Girls &amp; Descendants'!E355</f>
        <v>Lyra</v>
      </c>
      <c r="E357" t="str">
        <f>IF('All Girls &amp; Descendants'!F355="","",'All Girls &amp; Descendants'!F355)</f>
        <v>Celia</v>
      </c>
      <c r="F357" t="str">
        <f>IF('All Girls &amp; Descendants'!G355="","",'All Girls &amp; Descendants'!G355)</f>
        <v/>
      </c>
      <c r="G357" t="str">
        <f>IF('All Girls &amp; Descendants'!H355="",D357,'All Girls &amp; Descendants'!H355)</f>
        <v>Lyra</v>
      </c>
      <c r="H357">
        <f>'All Girls &amp; Descendants'!I355</f>
        <v>2021</v>
      </c>
      <c r="I357" t="str">
        <f>'All Girls &amp; Descendants'!J355</f>
        <v/>
      </c>
      <c r="K357" s="3">
        <f>'All Girls &amp; Descendants'!M355</f>
        <v>44518</v>
      </c>
      <c r="L357" s="3" t="str">
        <f>'All Girls &amp; Descendants'!N355</f>
        <v xml:space="preserve"> - </v>
      </c>
      <c r="M357" t="str">
        <f>'All Girls &amp; Descendants'!O355</f>
        <v/>
      </c>
      <c r="N357" t="str">
        <f>'All Girls &amp; Descendants'!P355</f>
        <v/>
      </c>
      <c r="O357" t="str">
        <f>'All Girls &amp; Descendants'!Q355</f>
        <v>95bc</v>
      </c>
      <c r="P357" t="str">
        <f t="shared" si="63"/>
        <v>95bca</v>
      </c>
      <c r="Q357" s="116">
        <f t="shared" si="64"/>
        <v>3</v>
      </c>
      <c r="R357" s="31" t="str">
        <f t="shared" si="65"/>
        <v>Lyra Celia  VESTEY</v>
      </c>
      <c r="S357" t="str">
        <f t="shared" si="66"/>
        <v>Lyra VESTEY (2021 - :  #95bca)</v>
      </c>
    </row>
    <row r="358" spans="1:19">
      <c r="A358">
        <f>'All Girls &amp; Descendants'!B356</f>
        <v>106</v>
      </c>
      <c r="B358" t="str">
        <f>'All Girls &amp; Descendants'!C356</f>
        <v>106aaa</v>
      </c>
      <c r="C358" t="str">
        <f>'All Girls &amp; Descendants'!D356</f>
        <v>HOLLAND</v>
      </c>
      <c r="D358" t="str">
        <f>'All Girls &amp; Descendants'!E356</f>
        <v>Frederick</v>
      </c>
      <c r="E358" t="str">
        <f>IF('All Girls &amp; Descendants'!F356="","",'All Girls &amp; Descendants'!F356)</f>
        <v>John</v>
      </c>
      <c r="F358" t="str">
        <f>IF('All Girls &amp; Descendants'!G356="","",'All Girls &amp; Descendants'!G356)</f>
        <v>Wilfred</v>
      </c>
      <c r="G358" t="str">
        <f>IF('All Girls &amp; Descendants'!H356="",D358,'All Girls &amp; Descendants'!H356)</f>
        <v>Frederick</v>
      </c>
      <c r="H358">
        <f>'All Girls &amp; Descendants'!I356</f>
        <v>2019</v>
      </c>
      <c r="I358" t="str">
        <f>'All Girls &amp; Descendants'!J356</f>
        <v/>
      </c>
      <c r="K358" s="3">
        <f>'All Girls &amp; Descendants'!M356</f>
        <v>43681</v>
      </c>
      <c r="L358" s="3" t="str">
        <f>'All Girls &amp; Descendants'!N356</f>
        <v xml:space="preserve"> - </v>
      </c>
      <c r="M358" t="str">
        <f>'All Girls &amp; Descendants'!O356</f>
        <v/>
      </c>
      <c r="N358" t="str">
        <f>'All Girls &amp; Descendants'!P356</f>
        <v/>
      </c>
      <c r="O358" t="str">
        <f>'All Girls &amp; Descendants'!Q356</f>
        <v>106aa</v>
      </c>
      <c r="P358" t="str">
        <f t="shared" si="63"/>
        <v>106aaa</v>
      </c>
      <c r="Q358" s="116">
        <f t="shared" si="64"/>
        <v>3</v>
      </c>
      <c r="R358" s="31" t="str">
        <f t="shared" si="65"/>
        <v>Frederick John Wilfred HOLLAND</v>
      </c>
      <c r="S358" t="str">
        <f t="shared" si="66"/>
        <v>Frederick HOLLAND (2019 - :  #106aaa)</v>
      </c>
    </row>
    <row r="359" spans="1:19">
      <c r="A359">
        <f>'All Girls &amp; Descendants'!B357</f>
        <v>106</v>
      </c>
      <c r="B359" t="str">
        <f>'All Girls &amp; Descendants'!C357</f>
        <v>106aab</v>
      </c>
      <c r="C359" t="str">
        <f>'All Girls &amp; Descendants'!D357</f>
        <v>HOLLAND</v>
      </c>
      <c r="D359" t="str">
        <f>'All Girls &amp; Descendants'!E357</f>
        <v>Zander</v>
      </c>
      <c r="E359" t="str">
        <f>IF('All Girls &amp; Descendants'!F357="","",'All Girls &amp; Descendants'!F357)</f>
        <v>Edward</v>
      </c>
      <c r="F359" t="str">
        <f>IF('All Girls &amp; Descendants'!G357="","",'All Girls &amp; Descendants'!G357)</f>
        <v>William</v>
      </c>
      <c r="G359" t="str">
        <f>IF('All Girls &amp; Descendants'!H357="",D359,'All Girls &amp; Descendants'!H357)</f>
        <v>Zander</v>
      </c>
      <c r="H359">
        <f>'All Girls &amp; Descendants'!I357</f>
        <v>2022</v>
      </c>
      <c r="I359">
        <f>'All Girls &amp; Descendants'!J357</f>
        <v>2022</v>
      </c>
      <c r="K359" s="3">
        <f>'All Girls &amp; Descendants'!M357</f>
        <v>44696</v>
      </c>
      <c r="L359" s="3" t="str">
        <f>'All Girls &amp; Descendants'!N357</f>
        <v xml:space="preserve"> - </v>
      </c>
      <c r="M359">
        <f>'All Girls &amp; Descendants'!O357</f>
        <v>44696</v>
      </c>
      <c r="N359" t="str">
        <f>'All Girls &amp; Descendants'!P357</f>
        <v>15/05/2022</v>
      </c>
      <c r="O359" t="str">
        <f>'All Girls &amp; Descendants'!Q357</f>
        <v>106aa</v>
      </c>
      <c r="P359" t="str">
        <f t="shared" si="63"/>
        <v>106aab</v>
      </c>
      <c r="Q359" s="116">
        <f t="shared" si="64"/>
        <v>3</v>
      </c>
      <c r="R359" s="31" t="str">
        <f t="shared" si="65"/>
        <v>Zander Edward William HOLLAND</v>
      </c>
      <c r="S359" t="str">
        <f t="shared" si="66"/>
        <v>Zander HOLLAND (2022 - 2022:  #106aab)</v>
      </c>
    </row>
    <row r="360" spans="1:19">
      <c r="A360">
        <f>'All Girls &amp; Descendants'!B358</f>
        <v>106</v>
      </c>
      <c r="B360" t="str">
        <f>'All Girls &amp; Descendants'!C358</f>
        <v>106aba</v>
      </c>
      <c r="C360" t="str">
        <f>'All Girls &amp; Descendants'!D358</f>
        <v>TELFORD</v>
      </c>
      <c r="D360" t="str">
        <f>'All Girls &amp; Descendants'!E358</f>
        <v>Rupert</v>
      </c>
      <c r="E360" t="str">
        <f>IF('All Girls &amp; Descendants'!F358="","",'All Girls &amp; Descendants'!F358)</f>
        <v>Leo</v>
      </c>
      <c r="F360" t="str">
        <f>IF('All Girls &amp; Descendants'!G358="","",'All Girls &amp; Descendants'!G358)</f>
        <v>James</v>
      </c>
      <c r="G360" t="str">
        <f>IF('All Girls &amp; Descendants'!H358="",D360,'All Girls &amp; Descendants'!H358)</f>
        <v>Rupert</v>
      </c>
      <c r="H360">
        <f>'All Girls &amp; Descendants'!I358</f>
        <v>2022</v>
      </c>
      <c r="I360">
        <f>'All Girls &amp; Descendants'!J358</f>
        <v>0</v>
      </c>
      <c r="K360" s="3">
        <f>'All Girls &amp; Descendants'!M358</f>
        <v>44697</v>
      </c>
      <c r="L360" s="3" t="str">
        <f>'All Girls &amp; Descendants'!N358</f>
        <v xml:space="preserve"> - </v>
      </c>
      <c r="M360" t="str">
        <f>'All Girls &amp; Descendants'!O358</f>
        <v/>
      </c>
      <c r="N360" t="str">
        <f>'All Girls &amp; Descendants'!P358</f>
        <v/>
      </c>
      <c r="O360" t="str">
        <f>'All Girls &amp; Descendants'!Q358</f>
        <v>106ab</v>
      </c>
      <c r="P360" t="str">
        <f t="shared" si="63"/>
        <v>106aba</v>
      </c>
      <c r="Q360" s="116">
        <f t="shared" si="64"/>
        <v>3</v>
      </c>
      <c r="R360" s="31" t="str">
        <f t="shared" si="65"/>
        <v>Rupert Leo James TELFORD</v>
      </c>
      <c r="S360" t="str">
        <f t="shared" si="66"/>
        <v>Rupert TELFORD (2022 - 0:  #106aba)</v>
      </c>
    </row>
    <row r="361" spans="1:19">
      <c r="A361">
        <f>'All Girls &amp; Descendants'!B359</f>
        <v>110</v>
      </c>
      <c r="B361" t="str">
        <f>'All Girls &amp; Descendants'!C359</f>
        <v>110aaa</v>
      </c>
      <c r="C361" t="str">
        <f>'All Girls &amp; Descendants'!D359</f>
        <v>BOYCE</v>
      </c>
      <c r="D361" t="str">
        <f>'All Girls &amp; Descendants'!E359</f>
        <v>Rowan</v>
      </c>
      <c r="E361" t="str">
        <f>IF('All Girls &amp; Descendants'!F359="","",'All Girls &amp; Descendants'!F359)</f>
        <v>Emily</v>
      </c>
      <c r="F361" t="str">
        <f>IF('All Girls &amp; Descendants'!G359="","",'All Girls &amp; Descendants'!G359)</f>
        <v/>
      </c>
      <c r="G361" t="str">
        <f>IF('All Girls &amp; Descendants'!H359="",D361,'All Girls &amp; Descendants'!H359)</f>
        <v>Rowan</v>
      </c>
      <c r="H361">
        <f>'All Girls &amp; Descendants'!I359</f>
        <v>2021</v>
      </c>
      <c r="I361" t="str">
        <f>'All Girls &amp; Descendants'!J359</f>
        <v/>
      </c>
      <c r="K361" s="3">
        <f>'All Girls &amp; Descendants'!M359</f>
        <v>44275</v>
      </c>
      <c r="L361" s="3" t="str">
        <f>'All Girls &amp; Descendants'!N359</f>
        <v xml:space="preserve"> - </v>
      </c>
      <c r="M361" t="str">
        <f>'All Girls &amp; Descendants'!O359</f>
        <v/>
      </c>
      <c r="N361" t="str">
        <f>'All Girls &amp; Descendants'!P359</f>
        <v/>
      </c>
      <c r="O361" t="str">
        <f>'All Girls &amp; Descendants'!Q359</f>
        <v>110aa</v>
      </c>
      <c r="P361" t="str">
        <f t="shared" si="63"/>
        <v>110aaa</v>
      </c>
      <c r="Q361" s="116">
        <f t="shared" si="64"/>
        <v>3</v>
      </c>
      <c r="R361" s="31" t="str">
        <f t="shared" si="65"/>
        <v>Rowan Emily  BOYCE</v>
      </c>
      <c r="S361" t="str">
        <f t="shared" si="66"/>
        <v>Rowan BOYCE (2021 - :  #110aaa)</v>
      </c>
    </row>
    <row r="362" spans="1:19">
      <c r="A362">
        <f>'All Girls &amp; Descendants'!B360</f>
        <v>2</v>
      </c>
      <c r="B362" t="str">
        <f>'All Girls &amp; Descendants'!C360</f>
        <v>2aaaa</v>
      </c>
      <c r="C362" t="str">
        <f>'All Girls &amp; Descendants'!D360</f>
        <v>DAVIES</v>
      </c>
      <c r="D362" t="str">
        <f>'All Girls &amp; Descendants'!E360</f>
        <v>Margaret</v>
      </c>
      <c r="E362" t="str">
        <f>IF('All Girls &amp; Descendants'!F360="","",'All Girls &amp; Descendants'!F360)</f>
        <v>Elizabeth</v>
      </c>
      <c r="F362" t="str">
        <f>IF('All Girls &amp; Descendants'!G360="","",'All Girls &amp; Descendants'!G360)</f>
        <v/>
      </c>
      <c r="G362" t="str">
        <f>IF('All Girls &amp; Descendants'!H360="",D362,'All Girls &amp; Descendants'!H360)</f>
        <v>Margaret</v>
      </c>
      <c r="H362">
        <f>'All Girls &amp; Descendants'!I360</f>
        <v>1897</v>
      </c>
      <c r="I362">
        <f>'All Girls &amp; Descendants'!J360</f>
        <v>1982</v>
      </c>
      <c r="K362" s="3" t="str">
        <f>'All Girls &amp; Descendants'!M360</f>
        <v>05/09/1897</v>
      </c>
      <c r="L362" s="3" t="str">
        <f>'All Girls &amp; Descendants'!N360</f>
        <v xml:space="preserve"> - </v>
      </c>
      <c r="M362">
        <f>'All Girls &amp; Descendants'!O360</f>
        <v>30297</v>
      </c>
      <c r="N362" t="str">
        <f>'All Girls &amp; Descendants'!P360</f>
        <v>12/12/1982</v>
      </c>
      <c r="O362" t="str">
        <f>'All Girls &amp; Descendants'!Q360</f>
        <v>2aaa</v>
      </c>
      <c r="P362" t="str">
        <f t="shared" si="63"/>
        <v>2aaaa</v>
      </c>
      <c r="Q362" s="116">
        <f t="shared" si="64"/>
        <v>4</v>
      </c>
      <c r="R362" s="31" t="str">
        <f t="shared" si="65"/>
        <v>Margaret Elizabeth  DAVIES</v>
      </c>
      <c r="S362" t="str">
        <f t="shared" si="66"/>
        <v>Margaret DAVIES (1897 - 1982:  #2aaaa)</v>
      </c>
    </row>
    <row r="363" spans="1:19">
      <c r="A363">
        <f>'All Girls &amp; Descendants'!B361</f>
        <v>2</v>
      </c>
      <c r="B363" t="str">
        <f>'All Girls &amp; Descendants'!C361</f>
        <v>2caba</v>
      </c>
      <c r="C363" t="str">
        <f>'All Girls &amp; Descendants'!D361</f>
        <v>PROTHEROE</v>
      </c>
      <c r="D363" t="str">
        <f>'All Girls &amp; Descendants'!E361</f>
        <v>Canon William</v>
      </c>
      <c r="E363" t="str">
        <f>IF('All Girls &amp; Descendants'!F361="","",'All Girls &amp; Descendants'!F361)</f>
        <v>Loyd</v>
      </c>
      <c r="F363" t="str">
        <f>IF('All Girls &amp; Descendants'!G361="","",'All Girls &amp; Descendants'!G361)</f>
        <v>Musgrave</v>
      </c>
      <c r="G363" t="str">
        <f>IF('All Girls &amp; Descendants'!H361="",D363,'All Girls &amp; Descendants'!H361)</f>
        <v>Canon William</v>
      </c>
      <c r="H363">
        <f>'All Girls &amp; Descendants'!I361</f>
        <v>1885</v>
      </c>
      <c r="I363">
        <f>'All Girls &amp; Descendants'!J361</f>
        <v>1962</v>
      </c>
      <c r="K363" s="3" t="str">
        <f>'All Girls &amp; Descendants'!M361</f>
        <v>1885</v>
      </c>
      <c r="L363" s="3">
        <f>'All Girls &amp; Descendants'!N361</f>
        <v>7507</v>
      </c>
      <c r="M363">
        <f>'All Girls &amp; Descendants'!O361</f>
        <v>22919</v>
      </c>
      <c r="N363" t="str">
        <f>'All Girls &amp; Descendants'!P361</f>
        <v>30/09/1962</v>
      </c>
      <c r="O363" t="str">
        <f>'All Girls &amp; Descendants'!Q361</f>
        <v>2cab</v>
      </c>
      <c r="P363" t="str">
        <f t="shared" si="63"/>
        <v>2caba</v>
      </c>
      <c r="Q363" s="116">
        <f t="shared" si="64"/>
        <v>4</v>
      </c>
      <c r="R363" s="31" t="str">
        <f t="shared" si="65"/>
        <v>Canon William Loyd Musgrave PROTHEROE</v>
      </c>
      <c r="S363" t="str">
        <f t="shared" si="66"/>
        <v>Canon William PROTHEROE (1885 - 1962:  #2caba)</v>
      </c>
    </row>
    <row r="364" spans="1:19">
      <c r="A364">
        <f>'All Girls &amp; Descendants'!B362</f>
        <v>2</v>
      </c>
      <c r="B364" t="str">
        <f>'All Girls &amp; Descendants'!C362</f>
        <v>2cabb</v>
      </c>
      <c r="C364" t="str">
        <f>'All Girls &amp; Descendants'!D362</f>
        <v>PROTHEROE</v>
      </c>
      <c r="D364" t="str">
        <f>'All Girls &amp; Descendants'!E362</f>
        <v>Alice</v>
      </c>
      <c r="E364" t="str">
        <f>IF('All Girls &amp; Descendants'!F362="","",'All Girls &amp; Descendants'!F362)</f>
        <v>Muriel</v>
      </c>
      <c r="F364" t="str">
        <f>IF('All Girls &amp; Descendants'!G362="","",'All Girls &amp; Descendants'!G362)</f>
        <v>Loyd</v>
      </c>
      <c r="G364" t="str">
        <f>IF('All Girls &amp; Descendants'!H362="",D364,'All Girls &amp; Descendants'!H362)</f>
        <v>Alice</v>
      </c>
      <c r="H364">
        <f>'All Girls &amp; Descendants'!I362</f>
        <v>1886</v>
      </c>
      <c r="I364" t="str">
        <f>'All Girls &amp; Descendants'!J362</f>
        <v/>
      </c>
      <c r="K364" s="3" t="str">
        <f>'All Girls &amp; Descendants'!M362</f>
        <v>1886</v>
      </c>
      <c r="L364" s="3" t="str">
        <f>'All Girls &amp; Descendants'!N362</f>
        <v>1920</v>
      </c>
      <c r="M364" t="str">
        <f>'All Girls &amp; Descendants'!O362</f>
        <v/>
      </c>
      <c r="N364" t="str">
        <f>'All Girls &amp; Descendants'!P362</f>
        <v/>
      </c>
      <c r="O364" t="str">
        <f>'All Girls &amp; Descendants'!Q362</f>
        <v>2cab</v>
      </c>
      <c r="P364" t="str">
        <f t="shared" si="63"/>
        <v>2cabb</v>
      </c>
      <c r="Q364" s="116">
        <f t="shared" si="64"/>
        <v>4</v>
      </c>
      <c r="R364" s="31" t="str">
        <f t="shared" si="65"/>
        <v>Alice Muriel Loyd PROTHEROE</v>
      </c>
      <c r="S364" t="str">
        <f t="shared" si="66"/>
        <v>Alice PROTHEROE (1886 - :  #2cabb)</v>
      </c>
    </row>
    <row r="365" spans="1:19">
      <c r="A365">
        <f>'All Girls &amp; Descendants'!B363</f>
        <v>2</v>
      </c>
      <c r="B365" t="str">
        <f>'All Girls &amp; Descendants'!C363</f>
        <v>2cabc</v>
      </c>
      <c r="C365" t="str">
        <f>'All Girls &amp; Descendants'!D363</f>
        <v>PROTHEROE</v>
      </c>
      <c r="D365" t="str">
        <f>'All Girls &amp; Descendants'!E363</f>
        <v>Edward</v>
      </c>
      <c r="E365" t="str">
        <f>IF('All Girls &amp; Descendants'!F363="","",'All Girls &amp; Descendants'!F363)</f>
        <v>Loyd</v>
      </c>
      <c r="F365" t="str">
        <f>IF('All Girls &amp; Descendants'!G363="","",'All Girls &amp; Descendants'!G363)</f>
        <v>Musgrave</v>
      </c>
      <c r="G365" t="str">
        <f>IF('All Girls &amp; Descendants'!H363="",D365,'All Girls &amp; Descendants'!H363)</f>
        <v>Edward</v>
      </c>
      <c r="H365">
        <f>'All Girls &amp; Descendants'!I363</f>
        <v>1888</v>
      </c>
      <c r="I365">
        <f>'All Girls &amp; Descendants'!J363</f>
        <v>1905</v>
      </c>
      <c r="K365" s="3" t="str">
        <f>'All Girls &amp; Descendants'!M363</f>
        <v>1888</v>
      </c>
      <c r="L365" s="3" t="str">
        <f>'All Girls &amp; Descendants'!N363</f>
        <v>1932</v>
      </c>
      <c r="M365" t="str">
        <f>'All Girls &amp; Descendants'!O363</f>
        <v>1970</v>
      </c>
      <c r="N365" t="str">
        <f>'All Girls &amp; Descendants'!P363</f>
        <v>23/05/1905</v>
      </c>
      <c r="O365" t="str">
        <f>'All Girls &amp; Descendants'!Q363</f>
        <v>2cab</v>
      </c>
      <c r="P365" t="str">
        <f t="shared" si="63"/>
        <v>2cabc</v>
      </c>
      <c r="Q365" s="116">
        <f t="shared" si="64"/>
        <v>4</v>
      </c>
      <c r="R365" s="31" t="str">
        <f t="shared" si="65"/>
        <v>Edward Loyd Musgrave PROTHEROE</v>
      </c>
      <c r="S365" t="str">
        <f t="shared" si="66"/>
        <v>Edward PROTHEROE (1888 - 1905:  #2cabc)</v>
      </c>
    </row>
    <row r="366" spans="1:19">
      <c r="A366">
        <f>'All Girls &amp; Descendants'!B364</f>
        <v>2</v>
      </c>
      <c r="B366" t="str">
        <f>'All Girls &amp; Descendants'!C364</f>
        <v>2cabd</v>
      </c>
      <c r="C366" t="str">
        <f>'All Girls &amp; Descendants'!D364</f>
        <v>PROTHEROE</v>
      </c>
      <c r="D366" t="str">
        <f>'All Girls &amp; Descendants'!E364</f>
        <v>Roderick</v>
      </c>
      <c r="E366" t="str">
        <f>IF('All Girls &amp; Descendants'!F364="","",'All Girls &amp; Descendants'!F364)</f>
        <v>Norman</v>
      </c>
      <c r="F366" t="str">
        <f>IF('All Girls &amp; Descendants'!G364="","",'All Girls &amp; Descendants'!G364)</f>
        <v>Loyd</v>
      </c>
      <c r="G366" t="str">
        <f>IF('All Girls &amp; Descendants'!H364="",D366,'All Girls &amp; Descendants'!H364)</f>
        <v>Roderick</v>
      </c>
      <c r="H366">
        <f>'All Girls &amp; Descendants'!I364</f>
        <v>1890</v>
      </c>
      <c r="I366">
        <f>'All Girls &amp; Descendants'!J364</f>
        <v>1905</v>
      </c>
      <c r="K366" s="3" t="str">
        <f>'All Girls &amp; Descendants'!M364</f>
        <v>1890</v>
      </c>
      <c r="L366" s="3" t="str">
        <f>'All Girls &amp; Descendants'!N364</f>
        <v xml:space="preserve"> - </v>
      </c>
      <c r="M366" t="str">
        <f>'All Girls &amp; Descendants'!O364</f>
        <v>1948</v>
      </c>
      <c r="N366" t="str">
        <f>'All Girls &amp; Descendants'!P364</f>
        <v>01/05/1905</v>
      </c>
      <c r="O366" t="str">
        <f>'All Girls &amp; Descendants'!Q364</f>
        <v>2cab</v>
      </c>
      <c r="P366" t="str">
        <f t="shared" si="63"/>
        <v>2cabd</v>
      </c>
      <c r="Q366" s="116">
        <f t="shared" si="64"/>
        <v>4</v>
      </c>
      <c r="R366" s="31" t="str">
        <f t="shared" si="65"/>
        <v>Roderick Norman Loyd PROTHEROE</v>
      </c>
      <c r="S366" t="str">
        <f t="shared" si="66"/>
        <v>Roderick PROTHEROE (1890 - 1905:  #2cabd)</v>
      </c>
    </row>
    <row r="367" spans="1:19">
      <c r="A367">
        <f>'All Girls &amp; Descendants'!B365</f>
        <v>2</v>
      </c>
      <c r="B367" t="str">
        <f>'All Girls &amp; Descendants'!C365</f>
        <v>2cabe</v>
      </c>
      <c r="C367" t="str">
        <f>'All Girls &amp; Descendants'!D365</f>
        <v>PROTHEROE</v>
      </c>
      <c r="D367" t="str">
        <f>'All Girls &amp; Descendants'!E365</f>
        <v>Norah</v>
      </c>
      <c r="E367" t="str">
        <f>IF('All Girls &amp; Descendants'!F365="","",'All Girls &amp; Descendants'!F365)</f>
        <v>Evelyn</v>
      </c>
      <c r="F367" t="str">
        <f>IF('All Girls &amp; Descendants'!G365="","",'All Girls &amp; Descendants'!G365)</f>
        <v>Loyd</v>
      </c>
      <c r="G367" t="str">
        <f>IF('All Girls &amp; Descendants'!H365="",D367,'All Girls &amp; Descendants'!H365)</f>
        <v>Norah</v>
      </c>
      <c r="H367">
        <f>'All Girls &amp; Descendants'!I365</f>
        <v>1899</v>
      </c>
      <c r="I367">
        <f>'All Girls &amp; Descendants'!J365</f>
        <v>1905</v>
      </c>
      <c r="K367" s="3" t="str">
        <f>'All Girls &amp; Descendants'!M365</f>
        <v>1899</v>
      </c>
      <c r="L367" s="3" t="str">
        <f>'All Girls &amp; Descendants'!N365</f>
        <v>Unmarried</v>
      </c>
      <c r="M367" t="str">
        <f>'All Girls &amp; Descendants'!O365</f>
        <v>1945</v>
      </c>
      <c r="N367" t="str">
        <f>'All Girls &amp; Descendants'!P365</f>
        <v>28/04/1905</v>
      </c>
      <c r="O367" t="str">
        <f>'All Girls &amp; Descendants'!Q365</f>
        <v>2cab</v>
      </c>
      <c r="P367" t="str">
        <f t="shared" si="63"/>
        <v>2cabe</v>
      </c>
      <c r="Q367" s="116">
        <f t="shared" si="64"/>
        <v>4</v>
      </c>
      <c r="R367" s="31" t="str">
        <f t="shared" si="65"/>
        <v>Norah Evelyn Loyd PROTHEROE</v>
      </c>
      <c r="S367" t="str">
        <f t="shared" si="66"/>
        <v>Norah PROTHEROE (1899 - 1905:  #2cabe)</v>
      </c>
    </row>
    <row r="368" spans="1:19">
      <c r="L368" s="3"/>
      <c r="Q368" s="116"/>
      <c r="R368" s="31"/>
    </row>
    <row r="369" spans="12:18">
      <c r="L369" s="3"/>
      <c r="Q369" s="116"/>
      <c r="R369" s="31"/>
    </row>
    <row r="370" spans="12:18">
      <c r="L370" s="3"/>
      <c r="Q370" s="116"/>
      <c r="R370" s="31"/>
    </row>
    <row r="371" spans="12:18">
      <c r="L371" s="3"/>
      <c r="Q371" s="116"/>
      <c r="R371" s="31"/>
    </row>
    <row r="372" spans="12:18">
      <c r="L372" s="3"/>
      <c r="Q372" s="116"/>
      <c r="R372" s="31"/>
    </row>
    <row r="373" spans="12:18">
      <c r="L373" s="3"/>
      <c r="Q373" s="116"/>
      <c r="R373" s="31"/>
    </row>
    <row r="374" spans="12:18">
      <c r="L374" s="3"/>
      <c r="Q374" s="116"/>
      <c r="R374" s="31"/>
    </row>
    <row r="375" spans="12:18">
      <c r="L375" s="3"/>
      <c r="Q375" s="116"/>
      <c r="R375" s="31"/>
    </row>
    <row r="376" spans="12:18">
      <c r="L376" s="3"/>
      <c r="Q376" s="116"/>
      <c r="R376" s="31"/>
    </row>
    <row r="377" spans="12:18">
      <c r="Q377" s="116"/>
      <c r="R377" s="31"/>
    </row>
    <row r="378" spans="12:18">
      <c r="Q378" s="116"/>
      <c r="R378" s="31"/>
    </row>
    <row r="379" spans="12:18">
      <c r="Q379" s="116"/>
      <c r="R379" s="31"/>
    </row>
    <row r="380" spans="12:18">
      <c r="Q380" s="116"/>
      <c r="R380" s="31"/>
    </row>
    <row r="381" spans="12:18">
      <c r="Q381" s="116"/>
      <c r="R381" s="31"/>
    </row>
    <row r="382" spans="12:18">
      <c r="Q382" s="116"/>
      <c r="R382" s="31"/>
    </row>
    <row r="383" spans="12:18">
      <c r="Q383" s="116"/>
      <c r="R383" s="31"/>
    </row>
    <row r="384" spans="12:18">
      <c r="Q384" s="116"/>
      <c r="R384" s="31"/>
    </row>
    <row r="385" spans="17:18">
      <c r="Q385" s="116"/>
      <c r="R385" s="31"/>
    </row>
    <row r="386" spans="17:18">
      <c r="Q386" s="116"/>
      <c r="R386" s="31"/>
    </row>
    <row r="387" spans="17:18">
      <c r="Q387" s="116"/>
      <c r="R387" s="31"/>
    </row>
    <row r="388" spans="17:18">
      <c r="Q388" s="116"/>
      <c r="R388" s="31"/>
    </row>
    <row r="389" spans="17:18">
      <c r="Q389" s="116"/>
      <c r="R389" s="31"/>
    </row>
    <row r="390" spans="17:18">
      <c r="Q390" s="116"/>
      <c r="R390" s="31"/>
    </row>
    <row r="391" spans="17:18">
      <c r="Q391" s="116"/>
      <c r="R391" s="31"/>
    </row>
    <row r="392" spans="17:18">
      <c r="Q392" s="116"/>
      <c r="R392" s="31"/>
    </row>
    <row r="393" spans="17:18">
      <c r="Q393" s="116"/>
      <c r="R393" s="31"/>
    </row>
    <row r="394" spans="17:18">
      <c r="Q394" s="116"/>
      <c r="R394" s="31"/>
    </row>
    <row r="395" spans="17:18">
      <c r="Q395" s="116"/>
      <c r="R395" s="31"/>
    </row>
    <row r="396" spans="17:18">
      <c r="Q396" s="116"/>
      <c r="R396" s="31"/>
    </row>
    <row r="397" spans="17:18">
      <c r="Q397" s="116"/>
      <c r="R397" s="31"/>
    </row>
    <row r="398" spans="17:18">
      <c r="Q398" s="116"/>
      <c r="R398" s="31"/>
    </row>
    <row r="399" spans="17:18">
      <c r="Q399" s="116"/>
      <c r="R399" s="31"/>
    </row>
    <row r="400" spans="17:18">
      <c r="Q400" s="116"/>
      <c r="R400" s="31"/>
    </row>
    <row r="401" spans="17:18">
      <c r="Q401" s="116"/>
      <c r="R401" s="31"/>
    </row>
    <row r="402" spans="17:18">
      <c r="Q402" s="116"/>
      <c r="R402" s="31"/>
    </row>
    <row r="403" spans="17:18">
      <c r="Q403" s="116"/>
      <c r="R403" s="31"/>
    </row>
    <row r="404" spans="17:18">
      <c r="Q404" s="116"/>
      <c r="R404" s="31"/>
    </row>
    <row r="405" spans="17:18">
      <c r="Q405" s="116"/>
      <c r="R405" s="31"/>
    </row>
    <row r="406" spans="17:18">
      <c r="Q406" s="116"/>
      <c r="R406" s="31"/>
    </row>
    <row r="407" spans="17:18">
      <c r="Q407" s="116"/>
      <c r="R407" s="31"/>
    </row>
    <row r="408" spans="17:18">
      <c r="Q408" s="116"/>
      <c r="R408" s="31"/>
    </row>
    <row r="409" spans="17:18">
      <c r="Q409" s="116"/>
      <c r="R409" s="31"/>
    </row>
    <row r="410" spans="17:18">
      <c r="Q410" s="116"/>
      <c r="R410" s="31"/>
    </row>
    <row r="411" spans="17:18">
      <c r="Q411" s="116"/>
      <c r="R411" s="31"/>
    </row>
    <row r="412" spans="17:18">
      <c r="Q412" s="116"/>
      <c r="R412" s="31"/>
    </row>
    <row r="413" spans="17:18">
      <c r="Q413" s="116"/>
      <c r="R413" s="31"/>
    </row>
    <row r="414" spans="17:18">
      <c r="Q414" s="116"/>
      <c r="R414" s="31"/>
    </row>
    <row r="415" spans="17:18">
      <c r="Q415" s="116"/>
      <c r="R415" s="31"/>
    </row>
    <row r="416" spans="17:18">
      <c r="Q416" s="116"/>
      <c r="R416" s="31"/>
    </row>
    <row r="417" spans="17:18">
      <c r="Q417" s="116"/>
      <c r="R417" s="31"/>
    </row>
    <row r="418" spans="17:18">
      <c r="Q418" s="116"/>
      <c r="R418" s="31"/>
    </row>
    <row r="419" spans="17:18">
      <c r="Q419" s="116"/>
      <c r="R419" s="31"/>
    </row>
    <row r="420" spans="17:18">
      <c r="Q420" s="116"/>
      <c r="R420" s="31"/>
    </row>
    <row r="421" spans="17:18">
      <c r="Q421" s="116"/>
      <c r="R421" s="31"/>
    </row>
    <row r="422" spans="17:18">
      <c r="Q422" s="116"/>
      <c r="R422" s="31"/>
    </row>
    <row r="423" spans="17:18">
      <c r="Q423" s="116"/>
      <c r="R423" s="31"/>
    </row>
    <row r="424" spans="17:18">
      <c r="Q424" s="116"/>
      <c r="R424" s="31"/>
    </row>
    <row r="425" spans="17:18">
      <c r="Q425" s="116"/>
      <c r="R425" s="31"/>
    </row>
    <row r="426" spans="17:18">
      <c r="Q426" s="116"/>
      <c r="R426" s="31"/>
    </row>
    <row r="427" spans="17:18">
      <c r="Q427" s="116"/>
      <c r="R427" s="31"/>
    </row>
    <row r="428" spans="17:18">
      <c r="Q428" s="116"/>
      <c r="R428" s="31"/>
    </row>
    <row r="429" spans="17:18">
      <c r="Q429" s="116"/>
      <c r="R429" s="31"/>
    </row>
    <row r="430" spans="17:18">
      <c r="Q430" s="116"/>
      <c r="R430" s="31"/>
    </row>
    <row r="431" spans="17:18">
      <c r="Q431" s="116"/>
      <c r="R431" s="31"/>
    </row>
    <row r="432" spans="17:18">
      <c r="Q432" s="116"/>
      <c r="R432" s="31"/>
    </row>
    <row r="433" spans="17:18">
      <c r="Q433" s="116"/>
      <c r="R433" s="31"/>
    </row>
    <row r="434" spans="17:18">
      <c r="Q434" s="116"/>
      <c r="R434" s="31"/>
    </row>
    <row r="435" spans="17:18">
      <c r="Q435" s="116"/>
      <c r="R435" s="31"/>
    </row>
    <row r="436" spans="17:18">
      <c r="Q436" s="116"/>
      <c r="R436" s="31"/>
    </row>
    <row r="437" spans="17:18">
      <c r="Q437" s="116"/>
      <c r="R437" s="31"/>
    </row>
    <row r="438" spans="17:18">
      <c r="Q438" s="116"/>
      <c r="R438" s="31"/>
    </row>
    <row r="439" spans="17:18">
      <c r="Q439" s="116"/>
      <c r="R439" s="31"/>
    </row>
    <row r="440" spans="17:18">
      <c r="Q440" s="116"/>
      <c r="R440" s="31"/>
    </row>
    <row r="441" spans="17:18">
      <c r="Q441" s="116"/>
      <c r="R441" s="31"/>
    </row>
    <row r="442" spans="17:18">
      <c r="Q442" s="116"/>
      <c r="R442" s="31"/>
    </row>
    <row r="443" spans="17:18">
      <c r="Q443" s="116"/>
      <c r="R443" s="31"/>
    </row>
    <row r="444" spans="17:18">
      <c r="Q444" s="116"/>
      <c r="R444" s="31"/>
    </row>
    <row r="445" spans="17:18">
      <c r="Q445" s="116"/>
      <c r="R445" s="31"/>
    </row>
    <row r="446" spans="17:18">
      <c r="Q446" s="116"/>
      <c r="R446" s="31"/>
    </row>
    <row r="447" spans="17:18">
      <c r="Q447" s="116"/>
      <c r="R447" s="31"/>
    </row>
  </sheetData>
  <autoFilter ref="A3:S447" xr:uid="{B9106459-2560-BC48-91F4-C95F43DE466F}"/>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3E50-39D1-1E45-A9D8-790587F1B457}">
  <dimension ref="A1:AE118"/>
  <sheetViews>
    <sheetView topLeftCell="P1" workbookViewId="0">
      <selection activeCell="E66" sqref="E66"/>
    </sheetView>
  </sheetViews>
  <sheetFormatPr baseColWidth="10" defaultRowHeight="16"/>
  <sheetData>
    <row r="1" spans="1:31" ht="52">
      <c r="A1" s="33" t="s">
        <v>1195</v>
      </c>
      <c r="B1" s="33" t="s">
        <v>780</v>
      </c>
      <c r="C1" s="34" t="s">
        <v>781</v>
      </c>
      <c r="D1" s="33" t="s">
        <v>777</v>
      </c>
      <c r="E1" s="33" t="s">
        <v>778</v>
      </c>
      <c r="F1" s="33" t="s">
        <v>779</v>
      </c>
      <c r="G1" s="33" t="s">
        <v>1154</v>
      </c>
      <c r="H1" s="33" t="s">
        <v>1177</v>
      </c>
      <c r="I1" s="35" t="s">
        <v>1137</v>
      </c>
      <c r="J1" s="5" t="s">
        <v>784</v>
      </c>
      <c r="K1" s="8" t="s">
        <v>1138</v>
      </c>
      <c r="L1" s="33" t="s">
        <v>785</v>
      </c>
      <c r="M1" s="33" t="s">
        <v>786</v>
      </c>
      <c r="N1" s="97" t="s">
        <v>1142</v>
      </c>
      <c r="O1" s="36" t="s">
        <v>1141</v>
      </c>
      <c r="P1" s="36" t="s">
        <v>1365</v>
      </c>
      <c r="Q1" s="36" t="s">
        <v>1145</v>
      </c>
      <c r="R1" s="33" t="s">
        <v>966</v>
      </c>
      <c r="S1" s="36" t="s">
        <v>2351</v>
      </c>
      <c r="T1" s="36" t="s">
        <v>2355</v>
      </c>
      <c r="U1" s="36" t="s">
        <v>2549</v>
      </c>
      <c r="V1" s="36" t="s">
        <v>2877</v>
      </c>
      <c r="W1" s="33" t="s">
        <v>1359</v>
      </c>
      <c r="X1" s="36" t="s">
        <v>1381</v>
      </c>
      <c r="Y1" s="33" t="s">
        <v>794</v>
      </c>
      <c r="Z1" s="33" t="s">
        <v>1155</v>
      </c>
      <c r="AA1" s="33" t="s">
        <v>1256</v>
      </c>
      <c r="AB1" s="33" t="s">
        <v>790</v>
      </c>
      <c r="AC1" s="33" t="s">
        <v>791</v>
      </c>
      <c r="AD1" s="33" t="s">
        <v>792</v>
      </c>
      <c r="AE1" s="33" t="s">
        <v>2359</v>
      </c>
    </row>
    <row r="2" spans="1:31" ht="19">
      <c r="B2">
        <v>2</v>
      </c>
      <c r="C2" s="2" t="s">
        <v>1962</v>
      </c>
      <c r="D2" t="s">
        <v>914</v>
      </c>
      <c r="I2" s="9"/>
      <c r="J2" s="5"/>
      <c r="K2" s="8"/>
      <c r="N2" s="98" t="s">
        <v>1949</v>
      </c>
      <c r="O2" s="20"/>
      <c r="P2" s="21" t="s">
        <v>2899</v>
      </c>
      <c r="Q2" s="17"/>
      <c r="R2" s="23" t="s">
        <v>2815</v>
      </c>
      <c r="S2">
        <v>2</v>
      </c>
      <c r="T2">
        <v>2</v>
      </c>
      <c r="U2">
        <v>1</v>
      </c>
      <c r="V2" s="101">
        <v>1</v>
      </c>
      <c r="AB2" s="101">
        <v>1</v>
      </c>
      <c r="AE2" s="71" t="s">
        <v>2360</v>
      </c>
    </row>
    <row r="3" spans="1:31" ht="19">
      <c r="B3">
        <v>2</v>
      </c>
      <c r="C3" s="2" t="s">
        <v>1962</v>
      </c>
      <c r="D3" t="s">
        <v>1010</v>
      </c>
      <c r="I3" s="9"/>
      <c r="J3" s="5"/>
      <c r="K3" s="8"/>
      <c r="M3" s="3"/>
      <c r="N3" s="98" t="s">
        <v>1965</v>
      </c>
      <c r="O3" s="20"/>
      <c r="P3" s="21" t="s">
        <v>2899</v>
      </c>
      <c r="Q3" s="17"/>
      <c r="R3" s="23" t="s">
        <v>2814</v>
      </c>
      <c r="S3">
        <v>2</v>
      </c>
      <c r="T3">
        <v>2</v>
      </c>
      <c r="U3">
        <v>1</v>
      </c>
      <c r="V3" s="101">
        <v>1</v>
      </c>
      <c r="AB3" s="101">
        <v>1</v>
      </c>
      <c r="AE3" s="71" t="s">
        <v>0</v>
      </c>
    </row>
    <row r="4" spans="1:31" ht="19">
      <c r="B4">
        <v>2</v>
      </c>
      <c r="C4" s="2" t="s">
        <v>1962</v>
      </c>
      <c r="D4" t="s">
        <v>830</v>
      </c>
      <c r="I4" s="9"/>
      <c r="J4" s="5"/>
      <c r="K4" s="8" t="s">
        <v>1966</v>
      </c>
      <c r="M4" s="3"/>
      <c r="N4" s="98" t="s">
        <v>1969</v>
      </c>
      <c r="O4" s="20"/>
      <c r="P4" s="21" t="s">
        <v>2899</v>
      </c>
      <c r="Q4" s="17"/>
      <c r="R4" s="23" t="s">
        <v>2815</v>
      </c>
      <c r="S4">
        <v>2</v>
      </c>
      <c r="T4">
        <v>2</v>
      </c>
      <c r="U4">
        <v>1</v>
      </c>
      <c r="V4" s="101">
        <v>1</v>
      </c>
      <c r="W4" t="s">
        <v>952</v>
      </c>
      <c r="AE4" s="71" t="s">
        <v>2366</v>
      </c>
    </row>
    <row r="5" spans="1:31" ht="19">
      <c r="B5">
        <v>11</v>
      </c>
      <c r="C5" s="2" t="s">
        <v>2006</v>
      </c>
      <c r="D5" t="s">
        <v>1452</v>
      </c>
      <c r="I5" s="9"/>
      <c r="J5" s="5"/>
      <c r="K5" s="8">
        <v>13948</v>
      </c>
      <c r="L5" t="s">
        <v>797</v>
      </c>
      <c r="M5" s="3">
        <v>5016</v>
      </c>
      <c r="N5" s="98" t="s">
        <v>2007</v>
      </c>
      <c r="O5" s="20"/>
      <c r="P5" s="21" t="s">
        <v>2885</v>
      </c>
      <c r="Q5" s="17"/>
      <c r="R5" s="23" t="s">
        <v>2814</v>
      </c>
      <c r="S5">
        <v>3</v>
      </c>
      <c r="T5">
        <v>3</v>
      </c>
      <c r="U5">
        <v>2</v>
      </c>
      <c r="V5" s="101">
        <v>1</v>
      </c>
      <c r="AE5" s="71" t="s">
        <v>2387</v>
      </c>
    </row>
    <row r="6" spans="1:31" ht="19">
      <c r="B6">
        <v>11</v>
      </c>
      <c r="C6" s="2" t="s">
        <v>2006</v>
      </c>
      <c r="D6" t="s">
        <v>998</v>
      </c>
      <c r="I6" s="9"/>
      <c r="J6" s="5"/>
      <c r="K6" s="8" t="s">
        <v>2008</v>
      </c>
      <c r="L6" t="s">
        <v>797</v>
      </c>
      <c r="M6" t="s">
        <v>2009</v>
      </c>
      <c r="N6" s="98" t="s">
        <v>2010</v>
      </c>
      <c r="O6" s="20"/>
      <c r="P6" s="21" t="s">
        <v>2885</v>
      </c>
      <c r="Q6" s="17"/>
      <c r="R6" s="23" t="s">
        <v>2814</v>
      </c>
      <c r="S6">
        <v>3</v>
      </c>
      <c r="T6">
        <v>3</v>
      </c>
      <c r="U6">
        <v>2</v>
      </c>
      <c r="V6" s="101">
        <v>1</v>
      </c>
      <c r="AE6" s="71" t="s">
        <v>2389</v>
      </c>
    </row>
    <row r="7" spans="1:31" ht="19">
      <c r="B7">
        <v>11</v>
      </c>
      <c r="C7" s="2" t="s">
        <v>2006</v>
      </c>
      <c r="D7" t="s">
        <v>807</v>
      </c>
      <c r="I7" s="9"/>
      <c r="J7" s="5"/>
      <c r="K7" s="8" t="s">
        <v>2013</v>
      </c>
      <c r="L7" t="s">
        <v>797</v>
      </c>
      <c r="M7" t="s">
        <v>2014</v>
      </c>
      <c r="N7" s="98" t="s">
        <v>2011</v>
      </c>
      <c r="O7" s="20"/>
      <c r="P7" s="21" t="s">
        <v>2885</v>
      </c>
      <c r="Q7" s="17"/>
      <c r="R7" s="23" t="s">
        <v>2815</v>
      </c>
      <c r="S7">
        <v>3</v>
      </c>
      <c r="T7">
        <v>3</v>
      </c>
      <c r="U7">
        <v>2</v>
      </c>
      <c r="V7" s="101">
        <v>1</v>
      </c>
      <c r="AE7" s="71" t="s">
        <v>2387</v>
      </c>
    </row>
    <row r="8" spans="1:31" ht="19">
      <c r="B8">
        <v>11</v>
      </c>
      <c r="C8" s="2" t="s">
        <v>2006</v>
      </c>
      <c r="D8" t="s">
        <v>2015</v>
      </c>
      <c r="I8" s="9"/>
      <c r="J8" s="5"/>
      <c r="K8" s="8" t="s">
        <v>2016</v>
      </c>
      <c r="L8" t="s">
        <v>797</v>
      </c>
      <c r="M8" t="s">
        <v>2017</v>
      </c>
      <c r="N8" s="98" t="s">
        <v>2012</v>
      </c>
      <c r="O8" s="20"/>
      <c r="P8" s="21" t="s">
        <v>2885</v>
      </c>
      <c r="Q8" s="17"/>
      <c r="R8" s="23" t="s">
        <v>2814</v>
      </c>
      <c r="S8">
        <v>3</v>
      </c>
      <c r="T8">
        <v>3</v>
      </c>
      <c r="U8">
        <v>2</v>
      </c>
      <c r="V8" s="101">
        <v>1</v>
      </c>
      <c r="AE8" s="71" t="s">
        <v>2390</v>
      </c>
    </row>
    <row r="9" spans="1:31" ht="19">
      <c r="B9">
        <v>11</v>
      </c>
      <c r="C9" s="2" t="s">
        <v>2006</v>
      </c>
      <c r="D9" t="s">
        <v>811</v>
      </c>
      <c r="E9" t="s">
        <v>1497</v>
      </c>
      <c r="I9" s="9"/>
      <c r="J9" s="5"/>
      <c r="K9" s="8" t="s">
        <v>2018</v>
      </c>
      <c r="L9" t="s">
        <v>2019</v>
      </c>
      <c r="M9" s="3">
        <v>1103</v>
      </c>
      <c r="N9" s="98" t="s">
        <v>2020</v>
      </c>
      <c r="O9" s="20"/>
      <c r="P9" s="21" t="s">
        <v>2885</v>
      </c>
      <c r="Q9" s="17"/>
      <c r="R9" s="23" t="s">
        <v>2815</v>
      </c>
      <c r="S9">
        <v>3</v>
      </c>
      <c r="T9">
        <v>3</v>
      </c>
      <c r="U9">
        <v>2</v>
      </c>
      <c r="V9" s="101">
        <v>1</v>
      </c>
      <c r="W9" t="s">
        <v>2393</v>
      </c>
      <c r="X9" s="2" t="s">
        <v>2820</v>
      </c>
      <c r="AE9" s="71" t="s">
        <v>2392</v>
      </c>
    </row>
    <row r="10" spans="1:31" ht="19">
      <c r="B10">
        <v>18</v>
      </c>
      <c r="C10" s="2" t="s">
        <v>2022</v>
      </c>
      <c r="D10" t="s">
        <v>882</v>
      </c>
      <c r="E10" t="s">
        <v>2023</v>
      </c>
      <c r="I10" s="9"/>
      <c r="J10" s="5"/>
      <c r="K10" s="8" t="s">
        <v>2025</v>
      </c>
      <c r="L10" t="s">
        <v>797</v>
      </c>
      <c r="M10" s="3">
        <v>10173</v>
      </c>
      <c r="N10" s="98" t="s">
        <v>2026</v>
      </c>
      <c r="O10" s="20"/>
      <c r="P10" s="21" t="s">
        <v>2897</v>
      </c>
      <c r="Q10" s="17"/>
      <c r="R10" s="23" t="s">
        <v>2814</v>
      </c>
      <c r="S10">
        <v>3</v>
      </c>
      <c r="T10">
        <v>3</v>
      </c>
      <c r="U10">
        <v>2</v>
      </c>
      <c r="V10" s="101">
        <v>1</v>
      </c>
      <c r="AE10" s="71" t="s">
        <v>2395</v>
      </c>
    </row>
    <row r="11" spans="1:31" ht="19">
      <c r="B11">
        <v>18</v>
      </c>
      <c r="C11" s="2" t="s">
        <v>2022</v>
      </c>
      <c r="D11" t="s">
        <v>830</v>
      </c>
      <c r="E11" t="s">
        <v>811</v>
      </c>
      <c r="I11" s="9"/>
      <c r="J11" s="5"/>
      <c r="K11" s="8" t="s">
        <v>2027</v>
      </c>
      <c r="L11" t="s">
        <v>2028</v>
      </c>
      <c r="M11" s="3">
        <v>5345</v>
      </c>
      <c r="N11" s="98" t="s">
        <v>2029</v>
      </c>
      <c r="O11" s="20"/>
      <c r="P11" s="21" t="s">
        <v>2897</v>
      </c>
      <c r="Q11" s="17"/>
      <c r="R11" s="23" t="s">
        <v>2815</v>
      </c>
      <c r="S11">
        <v>3</v>
      </c>
      <c r="T11">
        <v>3</v>
      </c>
      <c r="U11">
        <v>2</v>
      </c>
      <c r="V11" s="101">
        <v>1</v>
      </c>
      <c r="W11" t="s">
        <v>2396</v>
      </c>
      <c r="X11" t="s">
        <v>2397</v>
      </c>
      <c r="AE11" s="71" t="s">
        <v>2398</v>
      </c>
    </row>
    <row r="12" spans="1:31" ht="19">
      <c r="B12">
        <v>18</v>
      </c>
      <c r="C12" s="2" t="s">
        <v>2022</v>
      </c>
      <c r="D12" t="s">
        <v>918</v>
      </c>
      <c r="E12" t="s">
        <v>2023</v>
      </c>
      <c r="I12" s="9"/>
      <c r="J12" s="5"/>
      <c r="K12" s="8" t="s">
        <v>2096</v>
      </c>
      <c r="L12" t="s">
        <v>2097</v>
      </c>
      <c r="M12" s="3">
        <v>14158</v>
      </c>
      <c r="N12" s="98" t="s">
        <v>2098</v>
      </c>
      <c r="O12" s="20"/>
      <c r="P12" s="21" t="s">
        <v>2897</v>
      </c>
      <c r="Q12" s="17"/>
      <c r="R12" s="23" t="s">
        <v>2815</v>
      </c>
      <c r="S12">
        <v>3</v>
      </c>
      <c r="T12">
        <v>3</v>
      </c>
      <c r="U12">
        <v>2</v>
      </c>
      <c r="V12" s="101">
        <v>1</v>
      </c>
      <c r="W12" t="s">
        <v>2436</v>
      </c>
      <c r="X12" t="s">
        <v>2437</v>
      </c>
      <c r="AE12" t="s">
        <v>52</v>
      </c>
    </row>
    <row r="13" spans="1:31" ht="19">
      <c r="B13">
        <v>18</v>
      </c>
      <c r="C13" s="2" t="s">
        <v>2022</v>
      </c>
      <c r="D13" t="s">
        <v>998</v>
      </c>
      <c r="E13" t="s">
        <v>1497</v>
      </c>
      <c r="I13" s="9"/>
      <c r="J13" s="5"/>
      <c r="K13" s="8" t="s">
        <v>2095</v>
      </c>
      <c r="M13" s="3">
        <v>15875</v>
      </c>
      <c r="N13" s="98" t="s">
        <v>2094</v>
      </c>
      <c r="O13" s="20"/>
      <c r="P13" s="21" t="s">
        <v>2897</v>
      </c>
      <c r="Q13" s="17"/>
      <c r="R13" s="23" t="s">
        <v>2814</v>
      </c>
      <c r="S13">
        <v>3</v>
      </c>
      <c r="T13">
        <v>3</v>
      </c>
      <c r="U13">
        <v>2</v>
      </c>
      <c r="V13" s="101">
        <v>1</v>
      </c>
      <c r="AE13" t="s">
        <v>2438</v>
      </c>
    </row>
    <row r="14" spans="1:31" ht="19">
      <c r="B14">
        <v>18</v>
      </c>
      <c r="C14" s="2" t="s">
        <v>2022</v>
      </c>
      <c r="D14" t="s">
        <v>914</v>
      </c>
      <c r="E14" t="s">
        <v>1497</v>
      </c>
      <c r="I14" s="9"/>
      <c r="J14" s="5"/>
      <c r="K14" s="8" t="s">
        <v>2099</v>
      </c>
      <c r="L14" s="3" t="s">
        <v>2100</v>
      </c>
      <c r="M14" s="3">
        <v>12925</v>
      </c>
      <c r="N14" s="98" t="s">
        <v>2101</v>
      </c>
      <c r="O14" s="20"/>
      <c r="P14" s="21" t="s">
        <v>2897</v>
      </c>
      <c r="Q14" s="17"/>
      <c r="R14" s="23" t="s">
        <v>2815</v>
      </c>
      <c r="S14">
        <v>3</v>
      </c>
      <c r="T14">
        <v>3</v>
      </c>
      <c r="U14">
        <v>2</v>
      </c>
      <c r="V14" s="101">
        <v>1</v>
      </c>
      <c r="W14" t="s">
        <v>2102</v>
      </c>
      <c r="X14" t="s">
        <v>2439</v>
      </c>
      <c r="AE14" s="71" t="s">
        <v>2440</v>
      </c>
    </row>
    <row r="15" spans="1:31" ht="19">
      <c r="B15">
        <v>19</v>
      </c>
      <c r="C15" s="2" t="s">
        <v>2109</v>
      </c>
      <c r="D15" t="s">
        <v>830</v>
      </c>
      <c r="I15" s="9"/>
      <c r="J15" s="5"/>
      <c r="K15" s="8" t="s">
        <v>2110</v>
      </c>
      <c r="L15" t="s">
        <v>797</v>
      </c>
      <c r="M15" s="3" t="s">
        <v>2111</v>
      </c>
      <c r="N15" s="98" t="s">
        <v>2114</v>
      </c>
      <c r="O15" s="20"/>
      <c r="P15" s="21" t="s">
        <v>2898</v>
      </c>
      <c r="Q15" s="17"/>
      <c r="R15" s="23" t="s">
        <v>2815</v>
      </c>
      <c r="S15">
        <v>3</v>
      </c>
      <c r="T15">
        <v>3</v>
      </c>
      <c r="U15">
        <v>2</v>
      </c>
      <c r="V15" s="101">
        <v>1</v>
      </c>
      <c r="AE15" s="71"/>
    </row>
    <row r="16" spans="1:31" ht="19">
      <c r="B16">
        <v>19</v>
      </c>
      <c r="C16" s="2" t="s">
        <v>2109</v>
      </c>
      <c r="D16" t="s">
        <v>928</v>
      </c>
      <c r="I16" s="9"/>
      <c r="J16" s="5"/>
      <c r="K16" s="8" t="s">
        <v>2112</v>
      </c>
      <c r="L16" t="s">
        <v>797</v>
      </c>
      <c r="M16" s="3" t="s">
        <v>2113</v>
      </c>
      <c r="N16" s="98" t="s">
        <v>2115</v>
      </c>
      <c r="O16" s="20"/>
      <c r="P16" s="21" t="s">
        <v>2898</v>
      </c>
      <c r="Q16" s="17"/>
      <c r="R16" s="23" t="s">
        <v>2815</v>
      </c>
      <c r="S16">
        <v>3</v>
      </c>
      <c r="T16">
        <v>3</v>
      </c>
      <c r="U16">
        <v>2</v>
      </c>
      <c r="V16" s="101">
        <v>1</v>
      </c>
      <c r="AE16" s="71"/>
    </row>
    <row r="17" spans="1:31" ht="19">
      <c r="B17">
        <v>19</v>
      </c>
      <c r="C17" s="2" t="s">
        <v>2109</v>
      </c>
      <c r="D17" t="s">
        <v>2116</v>
      </c>
      <c r="E17" t="s">
        <v>1036</v>
      </c>
      <c r="I17" s="9"/>
      <c r="J17" s="5"/>
      <c r="K17" s="8" t="s">
        <v>2117</v>
      </c>
      <c r="L17" t="s">
        <v>2118</v>
      </c>
      <c r="M17" s="3">
        <v>5949</v>
      </c>
      <c r="N17" s="98" t="s">
        <v>2119</v>
      </c>
      <c r="O17" s="20"/>
      <c r="P17" s="21" t="s">
        <v>2898</v>
      </c>
      <c r="Q17" s="17"/>
      <c r="R17" s="23" t="s">
        <v>2814</v>
      </c>
      <c r="S17">
        <v>3</v>
      </c>
      <c r="T17">
        <v>3</v>
      </c>
      <c r="U17">
        <v>2</v>
      </c>
      <c r="V17" s="101">
        <v>1</v>
      </c>
      <c r="AE17" s="71"/>
    </row>
    <row r="18" spans="1:31" ht="19">
      <c r="B18">
        <v>19</v>
      </c>
      <c r="C18" s="2" t="s">
        <v>2109</v>
      </c>
      <c r="D18" t="s">
        <v>2120</v>
      </c>
      <c r="E18" t="s">
        <v>807</v>
      </c>
      <c r="I18" s="9"/>
      <c r="J18" s="5"/>
      <c r="K18" s="8" t="s">
        <v>2121</v>
      </c>
      <c r="L18" t="s">
        <v>2122</v>
      </c>
      <c r="M18" s="3" t="s">
        <v>2123</v>
      </c>
      <c r="N18" s="98" t="s">
        <v>2124</v>
      </c>
      <c r="O18" s="20"/>
      <c r="P18" s="21" t="s">
        <v>2898</v>
      </c>
      <c r="Q18" s="17"/>
      <c r="R18" s="23" t="s">
        <v>2815</v>
      </c>
      <c r="S18">
        <v>3</v>
      </c>
      <c r="T18">
        <v>3</v>
      </c>
      <c r="U18">
        <v>2</v>
      </c>
      <c r="V18" s="101">
        <v>1</v>
      </c>
      <c r="AE18" s="71"/>
    </row>
    <row r="19" spans="1:31" ht="19">
      <c r="B19">
        <v>19</v>
      </c>
      <c r="C19" s="2" t="s">
        <v>2109</v>
      </c>
      <c r="D19" t="s">
        <v>811</v>
      </c>
      <c r="E19" t="s">
        <v>1497</v>
      </c>
      <c r="I19" s="9"/>
      <c r="J19" s="5"/>
      <c r="K19" s="8" t="s">
        <v>2125</v>
      </c>
      <c r="L19" t="s">
        <v>2126</v>
      </c>
      <c r="M19" s="3" t="s">
        <v>2128</v>
      </c>
      <c r="N19" s="98" t="s">
        <v>2127</v>
      </c>
      <c r="O19" s="20"/>
      <c r="P19" s="21" t="s">
        <v>2898</v>
      </c>
      <c r="Q19" s="17"/>
      <c r="R19" s="23" t="s">
        <v>2815</v>
      </c>
      <c r="S19">
        <v>3</v>
      </c>
      <c r="T19">
        <v>3</v>
      </c>
      <c r="U19">
        <v>2</v>
      </c>
      <c r="V19" s="101">
        <v>1</v>
      </c>
      <c r="W19" t="s">
        <v>2129</v>
      </c>
      <c r="AE19" s="71"/>
    </row>
    <row r="20" spans="1:31" ht="17">
      <c r="B20">
        <v>36</v>
      </c>
      <c r="C20" t="s">
        <v>2133</v>
      </c>
      <c r="D20" t="s">
        <v>913</v>
      </c>
      <c r="E20" t="s">
        <v>1497</v>
      </c>
      <c r="I20" s="9"/>
      <c r="J20" s="5"/>
      <c r="K20" s="8" t="s">
        <v>2134</v>
      </c>
      <c r="L20" t="s">
        <v>2135</v>
      </c>
      <c r="M20" s="3"/>
      <c r="N20" s="98" t="s">
        <v>2136</v>
      </c>
      <c r="O20" s="20"/>
      <c r="P20" s="21" t="s">
        <v>2900</v>
      </c>
      <c r="Q20" s="17"/>
      <c r="R20" s="23" t="s">
        <v>2815</v>
      </c>
      <c r="S20">
        <v>4</v>
      </c>
      <c r="T20">
        <v>3</v>
      </c>
      <c r="U20">
        <v>3</v>
      </c>
      <c r="V20" s="101">
        <v>1</v>
      </c>
      <c r="W20" t="s">
        <v>2141</v>
      </c>
      <c r="X20" t="s">
        <v>2448</v>
      </c>
      <c r="AE20" s="71" t="s">
        <v>2449</v>
      </c>
    </row>
    <row r="21" spans="1:31" ht="17">
      <c r="B21">
        <v>36</v>
      </c>
      <c r="C21" t="s">
        <v>2133</v>
      </c>
      <c r="D21" t="s">
        <v>924</v>
      </c>
      <c r="I21" s="9"/>
      <c r="J21" s="5"/>
      <c r="K21" s="8" t="s">
        <v>2142</v>
      </c>
      <c r="M21" s="3" t="s">
        <v>2143</v>
      </c>
      <c r="N21" s="98" t="s">
        <v>2144</v>
      </c>
      <c r="O21" s="20"/>
      <c r="P21" s="21" t="s">
        <v>2900</v>
      </c>
      <c r="Q21" s="17"/>
      <c r="R21" s="23" t="s">
        <v>2815</v>
      </c>
      <c r="S21">
        <v>4</v>
      </c>
      <c r="T21">
        <v>3</v>
      </c>
      <c r="U21">
        <v>3</v>
      </c>
      <c r="V21" s="101">
        <v>1</v>
      </c>
      <c r="AE21" s="71" t="s">
        <v>2451</v>
      </c>
    </row>
    <row r="22" spans="1:31" ht="17">
      <c r="B22">
        <v>36</v>
      </c>
      <c r="C22" t="s">
        <v>2133</v>
      </c>
      <c r="D22" t="s">
        <v>842</v>
      </c>
      <c r="E22" t="s">
        <v>811</v>
      </c>
      <c r="I22" s="9"/>
      <c r="J22" s="5"/>
      <c r="K22" s="8" t="s">
        <v>2145</v>
      </c>
      <c r="L22" t="s">
        <v>797</v>
      </c>
      <c r="M22" s="3">
        <v>19816</v>
      </c>
      <c r="N22" s="98" t="s">
        <v>2146</v>
      </c>
      <c r="O22" s="20"/>
      <c r="P22" s="21" t="s">
        <v>2900</v>
      </c>
      <c r="Q22" s="17"/>
      <c r="R22" s="23" t="s">
        <v>2815</v>
      </c>
      <c r="S22">
        <v>4</v>
      </c>
      <c r="T22">
        <v>3</v>
      </c>
      <c r="U22">
        <v>3</v>
      </c>
      <c r="V22" s="101">
        <v>1</v>
      </c>
      <c r="AE22" s="71" t="s">
        <v>2452</v>
      </c>
    </row>
    <row r="23" spans="1:31" ht="17">
      <c r="B23">
        <v>36</v>
      </c>
      <c r="C23" t="s">
        <v>2133</v>
      </c>
      <c r="D23" t="s">
        <v>2148</v>
      </c>
      <c r="E23" t="s">
        <v>1036</v>
      </c>
      <c r="I23" s="9"/>
      <c r="J23" s="5"/>
      <c r="K23" s="8" t="s">
        <v>2149</v>
      </c>
      <c r="L23" s="3">
        <v>3966</v>
      </c>
      <c r="M23" s="3">
        <v>26373</v>
      </c>
      <c r="N23" s="98" t="s">
        <v>2147</v>
      </c>
      <c r="O23" s="20"/>
      <c r="P23" s="21" t="s">
        <v>2900</v>
      </c>
      <c r="Q23" s="17"/>
      <c r="R23" s="23" t="s">
        <v>2814</v>
      </c>
      <c r="S23">
        <v>4</v>
      </c>
      <c r="T23">
        <v>3</v>
      </c>
      <c r="U23">
        <v>3</v>
      </c>
      <c r="V23" s="101">
        <v>1</v>
      </c>
      <c r="W23" t="s">
        <v>2150</v>
      </c>
      <c r="X23" s="71" t="s">
        <v>2453</v>
      </c>
      <c r="AE23" t="s">
        <v>2454</v>
      </c>
    </row>
    <row r="24" spans="1:31" ht="17">
      <c r="B24">
        <v>36</v>
      </c>
      <c r="C24" t="s">
        <v>2133</v>
      </c>
      <c r="D24" t="s">
        <v>1071</v>
      </c>
      <c r="E24" t="s">
        <v>2186</v>
      </c>
      <c r="I24" s="9"/>
      <c r="J24" s="5"/>
      <c r="K24" s="8" t="s">
        <v>2187</v>
      </c>
      <c r="L24" s="3"/>
      <c r="M24" s="3">
        <v>27072</v>
      </c>
      <c r="N24" s="98" t="s">
        <v>2182</v>
      </c>
      <c r="O24" s="20"/>
      <c r="P24" s="21" t="s">
        <v>2900</v>
      </c>
      <c r="Q24" s="17"/>
      <c r="R24" s="23" t="s">
        <v>2814</v>
      </c>
      <c r="S24">
        <v>4</v>
      </c>
      <c r="T24">
        <v>3</v>
      </c>
      <c r="U24">
        <v>3</v>
      </c>
      <c r="V24" s="101">
        <v>1</v>
      </c>
      <c r="AE24" s="71" t="s">
        <v>2476</v>
      </c>
    </row>
    <row r="25" spans="1:31" ht="17">
      <c r="B25">
        <v>36</v>
      </c>
      <c r="C25" t="s">
        <v>2133</v>
      </c>
      <c r="D25" t="s">
        <v>928</v>
      </c>
      <c r="E25" t="s">
        <v>812</v>
      </c>
      <c r="I25" s="9"/>
      <c r="J25" s="5"/>
      <c r="K25" s="8" t="s">
        <v>2188</v>
      </c>
      <c r="L25" s="3"/>
      <c r="M25" s="3" t="s">
        <v>2189</v>
      </c>
      <c r="N25" s="98" t="s">
        <v>2183</v>
      </c>
      <c r="O25" s="20"/>
      <c r="P25" s="21" t="s">
        <v>2900</v>
      </c>
      <c r="Q25" s="17"/>
      <c r="R25" s="23" t="s">
        <v>2815</v>
      </c>
      <c r="S25">
        <v>4</v>
      </c>
      <c r="T25">
        <v>3</v>
      </c>
      <c r="U25">
        <v>3</v>
      </c>
      <c r="V25" s="101">
        <v>1</v>
      </c>
      <c r="AE25" s="71" t="s">
        <v>2451</v>
      </c>
    </row>
    <row r="26" spans="1:31" ht="17">
      <c r="B26">
        <v>36</v>
      </c>
      <c r="C26" t="s">
        <v>2133</v>
      </c>
      <c r="D26" t="s">
        <v>902</v>
      </c>
      <c r="I26" s="9"/>
      <c r="J26" s="5"/>
      <c r="K26" s="8" t="s">
        <v>2190</v>
      </c>
      <c r="L26" s="3"/>
      <c r="M26" s="3">
        <v>24198</v>
      </c>
      <c r="N26" s="98" t="s">
        <v>2184</v>
      </c>
      <c r="O26" s="20"/>
      <c r="P26" s="21" t="s">
        <v>2900</v>
      </c>
      <c r="Q26" s="17"/>
      <c r="R26" s="23" t="s">
        <v>2815</v>
      </c>
      <c r="S26">
        <v>4</v>
      </c>
      <c r="T26">
        <v>3</v>
      </c>
      <c r="U26">
        <v>3</v>
      </c>
      <c r="V26" s="101">
        <v>1</v>
      </c>
      <c r="AE26" s="71" t="s">
        <v>2477</v>
      </c>
    </row>
    <row r="27" spans="1:31" ht="17">
      <c r="B27">
        <v>36</v>
      </c>
      <c r="C27" t="s">
        <v>2133</v>
      </c>
      <c r="I27" s="9"/>
      <c r="J27" s="5"/>
      <c r="K27" s="8" t="s">
        <v>2191</v>
      </c>
      <c r="M27" s="3">
        <v>710</v>
      </c>
      <c r="N27" s="98" t="s">
        <v>2185</v>
      </c>
      <c r="O27" s="20"/>
      <c r="P27" s="21" t="s">
        <v>2900</v>
      </c>
      <c r="Q27" s="17"/>
      <c r="R27" s="23" t="s">
        <v>2814</v>
      </c>
      <c r="S27">
        <v>4</v>
      </c>
      <c r="T27">
        <v>3</v>
      </c>
      <c r="U27">
        <v>3</v>
      </c>
      <c r="V27" s="101">
        <v>1</v>
      </c>
      <c r="AE27" s="71" t="s">
        <v>2478</v>
      </c>
    </row>
    <row r="28" spans="1:31" ht="19">
      <c r="B28">
        <v>42</v>
      </c>
      <c r="C28" s="2" t="s">
        <v>2195</v>
      </c>
      <c r="D28" t="s">
        <v>2196</v>
      </c>
      <c r="E28" t="s">
        <v>830</v>
      </c>
      <c r="I28" s="9"/>
      <c r="J28" s="5"/>
      <c r="K28" s="8" t="s">
        <v>2197</v>
      </c>
      <c r="L28" s="3">
        <v>8333</v>
      </c>
      <c r="M28" s="3"/>
      <c r="N28" s="98" t="s">
        <v>2413</v>
      </c>
      <c r="O28" s="20"/>
      <c r="P28" s="16">
        <v>42</v>
      </c>
      <c r="Q28" s="17"/>
      <c r="R28" s="23" t="s">
        <v>2815</v>
      </c>
      <c r="S28">
        <v>4</v>
      </c>
      <c r="T28">
        <v>3</v>
      </c>
      <c r="U28">
        <v>3</v>
      </c>
      <c r="V28" s="101">
        <v>1</v>
      </c>
      <c r="W28" t="s">
        <v>2198</v>
      </c>
      <c r="X28" t="s">
        <v>2480</v>
      </c>
      <c r="AE28" s="71"/>
    </row>
    <row r="29" spans="1:31" ht="19">
      <c r="A29" t="s">
        <v>1497</v>
      </c>
      <c r="B29">
        <v>47</v>
      </c>
      <c r="C29" s="2" t="s">
        <v>2200</v>
      </c>
      <c r="D29" t="s">
        <v>1063</v>
      </c>
      <c r="E29" t="s">
        <v>811</v>
      </c>
      <c r="F29" t="s">
        <v>1497</v>
      </c>
      <c r="I29" s="9"/>
      <c r="K29" s="5" t="s">
        <v>2201</v>
      </c>
      <c r="L29" s="8">
        <v>7824</v>
      </c>
      <c r="M29" s="3">
        <v>20111</v>
      </c>
      <c r="N29" s="98" t="s">
        <v>2202</v>
      </c>
      <c r="O29" s="20"/>
      <c r="P29" s="21" t="s">
        <v>2901</v>
      </c>
      <c r="Q29" s="17"/>
      <c r="R29" s="23" t="s">
        <v>2815</v>
      </c>
      <c r="S29">
        <v>4</v>
      </c>
      <c r="T29">
        <v>3</v>
      </c>
      <c r="U29">
        <v>3</v>
      </c>
      <c r="V29" s="101">
        <v>1</v>
      </c>
      <c r="W29" t="s">
        <v>2203</v>
      </c>
      <c r="X29" t="s">
        <v>2481</v>
      </c>
      <c r="AE29" s="71" t="s">
        <v>2482</v>
      </c>
    </row>
    <row r="30" spans="1:31" ht="19">
      <c r="B30">
        <v>47</v>
      </c>
      <c r="C30" s="2" t="s">
        <v>2200</v>
      </c>
      <c r="D30" t="s">
        <v>2504</v>
      </c>
      <c r="E30" t="s">
        <v>931</v>
      </c>
      <c r="F30" t="s">
        <v>1497</v>
      </c>
      <c r="I30" s="9"/>
      <c r="J30" s="5"/>
      <c r="K30" s="8" t="s">
        <v>2505</v>
      </c>
      <c r="L30" s="3">
        <v>14626</v>
      </c>
      <c r="M30" s="3">
        <v>26646</v>
      </c>
      <c r="N30" s="98" t="s">
        <v>2506</v>
      </c>
      <c r="O30" s="20"/>
      <c r="P30" s="21" t="s">
        <v>2901</v>
      </c>
      <c r="Q30" s="17"/>
      <c r="R30" s="23" t="s">
        <v>2815</v>
      </c>
      <c r="S30">
        <v>4</v>
      </c>
      <c r="T30">
        <v>3</v>
      </c>
      <c r="U30">
        <v>3</v>
      </c>
      <c r="V30" s="101">
        <v>1</v>
      </c>
      <c r="W30" t="s">
        <v>2509</v>
      </c>
      <c r="X30" t="s">
        <v>2508</v>
      </c>
      <c r="AE30" s="71" t="s">
        <v>2507</v>
      </c>
    </row>
    <row r="31" spans="1:31" ht="19">
      <c r="A31" t="s">
        <v>2242</v>
      </c>
      <c r="B31">
        <v>48</v>
      </c>
      <c r="C31" s="2" t="s">
        <v>2240</v>
      </c>
      <c r="D31" t="s">
        <v>2241</v>
      </c>
      <c r="E31" t="s">
        <v>2242</v>
      </c>
      <c r="I31" s="9"/>
      <c r="J31" s="5"/>
      <c r="K31" s="8">
        <v>1628</v>
      </c>
      <c r="L31" s="3" t="s">
        <v>797</v>
      </c>
      <c r="M31" s="3">
        <v>30447</v>
      </c>
      <c r="N31" s="98" t="s">
        <v>2243</v>
      </c>
      <c r="O31" s="20"/>
      <c r="P31" s="16"/>
      <c r="Q31" s="17"/>
      <c r="R31" s="24" t="s">
        <v>2814</v>
      </c>
      <c r="S31">
        <v>4</v>
      </c>
      <c r="T31">
        <v>3</v>
      </c>
      <c r="U31">
        <v>3</v>
      </c>
      <c r="V31" s="101">
        <v>1</v>
      </c>
      <c r="AE31" s="71"/>
    </row>
    <row r="32" spans="1:31" ht="19">
      <c r="A32" t="s">
        <v>1497</v>
      </c>
      <c r="B32">
        <v>63</v>
      </c>
      <c r="C32" s="2" t="s">
        <v>2246</v>
      </c>
      <c r="D32" t="s">
        <v>1083</v>
      </c>
      <c r="E32" t="s">
        <v>2247</v>
      </c>
      <c r="F32" t="s">
        <v>1497</v>
      </c>
      <c r="I32" s="9"/>
      <c r="J32" s="7">
        <v>9820</v>
      </c>
      <c r="K32" s="8">
        <v>17896</v>
      </c>
      <c r="L32" s="3"/>
      <c r="M32" s="3"/>
      <c r="N32" s="98" t="s">
        <v>2249</v>
      </c>
      <c r="O32" s="20"/>
      <c r="P32" s="21" t="s">
        <v>2902</v>
      </c>
      <c r="Q32" s="17"/>
      <c r="R32" s="23" t="s">
        <v>2815</v>
      </c>
      <c r="S32">
        <v>5</v>
      </c>
      <c r="T32">
        <v>3</v>
      </c>
      <c r="U32">
        <v>4</v>
      </c>
      <c r="V32" s="101">
        <v>1</v>
      </c>
      <c r="W32" t="s">
        <v>2248</v>
      </c>
      <c r="AE32" s="71" t="s">
        <v>2510</v>
      </c>
    </row>
    <row r="33" spans="1:31" ht="19">
      <c r="A33" t="s">
        <v>863</v>
      </c>
      <c r="B33">
        <v>63</v>
      </c>
      <c r="C33" s="2" t="s">
        <v>2246</v>
      </c>
      <c r="D33" t="s">
        <v>1452</v>
      </c>
      <c r="E33" t="s">
        <v>863</v>
      </c>
      <c r="I33" s="9"/>
      <c r="K33" s="7">
        <v>10772</v>
      </c>
      <c r="L33" s="3"/>
      <c r="M33" s="3"/>
      <c r="N33" s="98" t="s">
        <v>2259</v>
      </c>
      <c r="O33" s="20"/>
      <c r="P33" s="21" t="s">
        <v>2902</v>
      </c>
      <c r="Q33" s="17"/>
      <c r="R33" s="23" t="s">
        <v>2814</v>
      </c>
      <c r="S33">
        <v>5</v>
      </c>
      <c r="T33">
        <v>3</v>
      </c>
      <c r="U33">
        <v>4</v>
      </c>
      <c r="V33" s="101">
        <v>1</v>
      </c>
      <c r="AE33" s="71" t="s">
        <v>2514</v>
      </c>
    </row>
    <row r="34" spans="1:31" ht="19">
      <c r="B34">
        <v>63</v>
      </c>
      <c r="C34" s="2" t="s">
        <v>2246</v>
      </c>
      <c r="D34" t="s">
        <v>2257</v>
      </c>
      <c r="E34" t="s">
        <v>2258</v>
      </c>
      <c r="I34" s="9"/>
      <c r="K34" s="7">
        <v>11230</v>
      </c>
      <c r="M34" s="3">
        <v>12706</v>
      </c>
      <c r="N34" s="98" t="s">
        <v>2260</v>
      </c>
      <c r="O34" s="20"/>
      <c r="P34" s="21" t="s">
        <v>2902</v>
      </c>
      <c r="Q34" s="17"/>
      <c r="R34" s="23" t="s">
        <v>2814</v>
      </c>
      <c r="S34">
        <v>5</v>
      </c>
      <c r="T34">
        <v>3</v>
      </c>
      <c r="U34">
        <v>4</v>
      </c>
      <c r="V34" s="101">
        <v>1</v>
      </c>
      <c r="AE34" s="71" t="s">
        <v>2516</v>
      </c>
    </row>
    <row r="35" spans="1:31" ht="19">
      <c r="B35">
        <v>65</v>
      </c>
      <c r="C35" s="2" t="s">
        <v>2264</v>
      </c>
      <c r="D35" t="s">
        <v>861</v>
      </c>
      <c r="E35" t="s">
        <v>822</v>
      </c>
      <c r="I35" s="9"/>
      <c r="J35" s="5"/>
      <c r="K35" s="8">
        <v>4844</v>
      </c>
      <c r="L35" s="3"/>
      <c r="M35" s="3"/>
      <c r="N35" s="98" t="s">
        <v>2265</v>
      </c>
      <c r="O35" s="20"/>
      <c r="P35" s="21" t="s">
        <v>2903</v>
      </c>
      <c r="Q35" s="17"/>
      <c r="R35" s="23" t="s">
        <v>2814</v>
      </c>
      <c r="S35">
        <v>5</v>
      </c>
      <c r="T35">
        <v>3</v>
      </c>
      <c r="U35">
        <v>4</v>
      </c>
      <c r="V35" s="101">
        <v>1</v>
      </c>
      <c r="X35" t="s">
        <v>2517</v>
      </c>
      <c r="AE35" s="71" t="s">
        <v>2519</v>
      </c>
    </row>
    <row r="36" spans="1:31" ht="19">
      <c r="B36">
        <v>65</v>
      </c>
      <c r="C36" s="2" t="s">
        <v>2264</v>
      </c>
      <c r="D36" t="s">
        <v>2266</v>
      </c>
      <c r="E36" t="s">
        <v>2267</v>
      </c>
      <c r="F36" t="s">
        <v>822</v>
      </c>
      <c r="I36" s="9"/>
      <c r="J36" s="5"/>
      <c r="K36" s="8">
        <v>8801</v>
      </c>
      <c r="L36" s="3"/>
      <c r="M36" s="3"/>
      <c r="N36" s="98" t="s">
        <v>2268</v>
      </c>
      <c r="O36" s="20"/>
      <c r="P36" s="21" t="s">
        <v>2903</v>
      </c>
      <c r="Q36" s="17"/>
      <c r="R36" s="23" t="s">
        <v>2814</v>
      </c>
      <c r="S36">
        <v>5</v>
      </c>
      <c r="T36">
        <v>3</v>
      </c>
      <c r="U36">
        <v>4</v>
      </c>
      <c r="V36" s="101">
        <v>1</v>
      </c>
      <c r="AE36" s="71" t="s">
        <v>2521</v>
      </c>
    </row>
    <row r="37" spans="1:31" ht="19">
      <c r="B37">
        <v>65</v>
      </c>
      <c r="C37" s="2" t="s">
        <v>2264</v>
      </c>
      <c r="D37" t="s">
        <v>818</v>
      </c>
      <c r="E37" t="s">
        <v>841</v>
      </c>
      <c r="F37" t="s">
        <v>822</v>
      </c>
      <c r="I37" s="9"/>
      <c r="J37" s="5"/>
      <c r="K37" s="8">
        <v>9743</v>
      </c>
      <c r="L37" s="3">
        <v>25689</v>
      </c>
      <c r="M37" s="3"/>
      <c r="N37" s="98" t="s">
        <v>2269</v>
      </c>
      <c r="O37" s="20"/>
      <c r="P37" s="21" t="s">
        <v>2903</v>
      </c>
      <c r="Q37" s="17"/>
      <c r="R37" s="23" t="s">
        <v>2815</v>
      </c>
      <c r="S37">
        <v>5</v>
      </c>
      <c r="T37">
        <v>3</v>
      </c>
      <c r="U37">
        <v>4</v>
      </c>
      <c r="V37" s="101">
        <v>1</v>
      </c>
      <c r="W37" t="s">
        <v>2270</v>
      </c>
      <c r="X37" t="s">
        <v>2523</v>
      </c>
      <c r="AE37" s="71" t="s">
        <v>2522</v>
      </c>
    </row>
    <row r="38" spans="1:31" ht="19">
      <c r="B38">
        <v>70</v>
      </c>
      <c r="C38" s="2" t="s">
        <v>2278</v>
      </c>
      <c r="D38" t="s">
        <v>2279</v>
      </c>
      <c r="E38" t="s">
        <v>1826</v>
      </c>
      <c r="I38" s="9"/>
      <c r="K38" s="7">
        <v>7955</v>
      </c>
      <c r="L38" s="8">
        <v>18280</v>
      </c>
      <c r="M38" s="3">
        <v>32962</v>
      </c>
      <c r="N38" s="98" t="s">
        <v>2277</v>
      </c>
      <c r="O38" s="20"/>
      <c r="P38" s="21" t="s">
        <v>2904</v>
      </c>
      <c r="Q38" s="17"/>
      <c r="R38" s="23" t="s">
        <v>2814</v>
      </c>
      <c r="S38">
        <v>5</v>
      </c>
      <c r="T38">
        <v>3</v>
      </c>
      <c r="U38">
        <v>4</v>
      </c>
      <c r="V38" s="101">
        <v>1</v>
      </c>
      <c r="W38" t="s">
        <v>2280</v>
      </c>
      <c r="X38" t="s">
        <v>2525</v>
      </c>
      <c r="AE38" s="71" t="s">
        <v>2528</v>
      </c>
    </row>
    <row r="39" spans="1:31" ht="19">
      <c r="B39">
        <v>70</v>
      </c>
      <c r="C39" s="2" t="s">
        <v>2278</v>
      </c>
      <c r="D39" t="s">
        <v>2295</v>
      </c>
      <c r="E39" t="s">
        <v>882</v>
      </c>
      <c r="I39" s="9"/>
      <c r="K39" s="7">
        <v>8863</v>
      </c>
      <c r="L39" s="8">
        <v>19873</v>
      </c>
      <c r="M39" s="3"/>
      <c r="N39" s="98" t="s">
        <v>2298</v>
      </c>
      <c r="O39" s="20"/>
      <c r="P39" s="21" t="s">
        <v>2904</v>
      </c>
      <c r="Q39" s="17"/>
      <c r="R39" s="23" t="s">
        <v>2814</v>
      </c>
      <c r="S39">
        <v>5</v>
      </c>
      <c r="T39">
        <v>3</v>
      </c>
      <c r="U39">
        <v>4</v>
      </c>
      <c r="V39" s="101">
        <v>1</v>
      </c>
      <c r="W39" t="s">
        <v>2297</v>
      </c>
      <c r="X39" t="s">
        <v>2529</v>
      </c>
      <c r="AE39" s="71"/>
    </row>
    <row r="40" spans="1:31" ht="19">
      <c r="B40">
        <v>70</v>
      </c>
      <c r="C40" s="2" t="s">
        <v>2278</v>
      </c>
      <c r="D40" t="s">
        <v>839</v>
      </c>
      <c r="E40" t="s">
        <v>799</v>
      </c>
      <c r="I40" s="9"/>
      <c r="J40" s="5"/>
      <c r="K40" s="8">
        <v>9399</v>
      </c>
      <c r="L40" s="3">
        <v>18606</v>
      </c>
      <c r="M40" s="3"/>
      <c r="N40" s="98" t="s">
        <v>2312</v>
      </c>
      <c r="O40" s="20"/>
      <c r="P40" s="21" t="s">
        <v>2904</v>
      </c>
      <c r="Q40" s="17"/>
      <c r="R40" s="23" t="s">
        <v>2814</v>
      </c>
      <c r="S40">
        <v>5</v>
      </c>
      <c r="T40">
        <v>3</v>
      </c>
      <c r="U40">
        <v>4</v>
      </c>
      <c r="V40" s="101">
        <v>1</v>
      </c>
      <c r="W40" t="s">
        <v>2313</v>
      </c>
      <c r="X40" s="2" t="s">
        <v>2536</v>
      </c>
      <c r="AE40" s="71" t="s">
        <v>2535</v>
      </c>
    </row>
    <row r="41" spans="1:31" ht="19">
      <c r="A41" t="s">
        <v>2327</v>
      </c>
      <c r="B41">
        <v>70</v>
      </c>
      <c r="C41" s="2" t="s">
        <v>2278</v>
      </c>
      <c r="D41" t="s">
        <v>852</v>
      </c>
      <c r="E41" t="s">
        <v>917</v>
      </c>
      <c r="F41" t="s">
        <v>2326</v>
      </c>
      <c r="I41" s="9"/>
      <c r="J41" s="5"/>
      <c r="K41" s="8">
        <v>9805</v>
      </c>
      <c r="L41" s="3">
        <v>20986</v>
      </c>
      <c r="M41" s="3"/>
      <c r="N41" s="98" t="s">
        <v>2328</v>
      </c>
      <c r="O41" s="20"/>
      <c r="P41" s="21" t="s">
        <v>2904</v>
      </c>
      <c r="Q41" s="17"/>
      <c r="R41" s="23" t="s">
        <v>2815</v>
      </c>
      <c r="S41">
        <v>5</v>
      </c>
      <c r="T41">
        <v>3</v>
      </c>
      <c r="U41">
        <v>4</v>
      </c>
      <c r="V41" s="101">
        <v>1</v>
      </c>
      <c r="W41" t="s">
        <v>2329</v>
      </c>
      <c r="AE41" s="71" t="s">
        <v>2546</v>
      </c>
    </row>
    <row r="42" spans="1:31" ht="19">
      <c r="B42">
        <v>70</v>
      </c>
      <c r="C42" s="2" t="s">
        <v>2278</v>
      </c>
      <c r="D42" t="s">
        <v>952</v>
      </c>
      <c r="E42" t="s">
        <v>1752</v>
      </c>
      <c r="I42" s="9"/>
      <c r="J42" s="5"/>
      <c r="K42" s="8">
        <v>10640</v>
      </c>
      <c r="L42" s="3">
        <v>19784</v>
      </c>
      <c r="M42" s="3"/>
      <c r="N42" s="98" t="s">
        <v>2346</v>
      </c>
      <c r="O42" s="20"/>
      <c r="P42" s="21" t="s">
        <v>2904</v>
      </c>
      <c r="Q42" s="17"/>
      <c r="R42" s="23" t="s">
        <v>2814</v>
      </c>
      <c r="S42">
        <v>5</v>
      </c>
      <c r="T42">
        <v>3</v>
      </c>
      <c r="U42">
        <v>4</v>
      </c>
      <c r="V42" s="101">
        <v>1</v>
      </c>
      <c r="W42" t="s">
        <v>2347</v>
      </c>
      <c r="X42" t="s">
        <v>2547</v>
      </c>
      <c r="AE42" s="102"/>
    </row>
    <row r="43" spans="1:31" ht="19">
      <c r="B43">
        <v>70</v>
      </c>
      <c r="C43" s="2" t="s">
        <v>2278</v>
      </c>
      <c r="D43" t="s">
        <v>2319</v>
      </c>
      <c r="E43" t="s">
        <v>807</v>
      </c>
      <c r="F43" t="s">
        <v>2349</v>
      </c>
      <c r="I43" s="9"/>
      <c r="J43" s="5"/>
      <c r="K43" s="8">
        <v>11587</v>
      </c>
      <c r="L43" s="3" t="s">
        <v>797</v>
      </c>
      <c r="M43" s="3">
        <v>18546</v>
      </c>
      <c r="N43" s="98" t="s">
        <v>2348</v>
      </c>
      <c r="O43" s="20"/>
      <c r="P43" s="21" t="s">
        <v>2904</v>
      </c>
      <c r="Q43" s="17"/>
      <c r="R43" s="23" t="s">
        <v>2815</v>
      </c>
      <c r="S43">
        <v>5</v>
      </c>
      <c r="T43">
        <v>3</v>
      </c>
      <c r="U43">
        <v>4</v>
      </c>
      <c r="V43" s="101">
        <v>1</v>
      </c>
      <c r="AE43" s="71" t="s">
        <v>2548</v>
      </c>
    </row>
    <row r="44" spans="1:31" ht="19">
      <c r="B44">
        <v>85</v>
      </c>
      <c r="C44" s="2" t="s">
        <v>1357</v>
      </c>
      <c r="D44" t="s">
        <v>851</v>
      </c>
      <c r="E44" t="s">
        <v>918</v>
      </c>
      <c r="G44" s="31"/>
      <c r="I44" s="9"/>
      <c r="J44" s="5"/>
      <c r="K44" s="8">
        <v>13981</v>
      </c>
      <c r="L44" s="3">
        <v>23797</v>
      </c>
      <c r="M44" s="62">
        <v>42565</v>
      </c>
      <c r="N44" s="13" t="s">
        <v>1312</v>
      </c>
      <c r="O44" s="20"/>
      <c r="P44" s="16">
        <v>85</v>
      </c>
      <c r="Q44" s="17"/>
      <c r="R44" s="23" t="s">
        <v>2815</v>
      </c>
      <c r="S44">
        <v>6</v>
      </c>
      <c r="T44">
        <v>3</v>
      </c>
      <c r="U44">
        <v>5</v>
      </c>
      <c r="V44" s="101">
        <v>1</v>
      </c>
      <c r="W44" t="s">
        <v>2561</v>
      </c>
      <c r="X44" t="s">
        <v>2562</v>
      </c>
      <c r="Z44" t="s">
        <v>1358</v>
      </c>
      <c r="AE44" s="71" t="s">
        <v>2564</v>
      </c>
    </row>
    <row r="45" spans="1:31" ht="19">
      <c r="B45">
        <v>85</v>
      </c>
      <c r="C45" s="2" t="s">
        <v>1357</v>
      </c>
      <c r="D45" s="71" t="s">
        <v>811</v>
      </c>
      <c r="E45" t="s">
        <v>918</v>
      </c>
      <c r="G45" s="31"/>
      <c r="I45" s="9"/>
      <c r="J45" s="5"/>
      <c r="K45" s="8">
        <v>14531</v>
      </c>
      <c r="L45" s="3">
        <v>23188</v>
      </c>
      <c r="M45" s="62"/>
      <c r="N45" s="13" t="s">
        <v>1313</v>
      </c>
      <c r="O45" s="20"/>
      <c r="P45" s="21" t="s">
        <v>2905</v>
      </c>
      <c r="Q45" s="17"/>
      <c r="R45" s="23" t="s">
        <v>2815</v>
      </c>
      <c r="S45">
        <v>6</v>
      </c>
      <c r="T45">
        <v>3</v>
      </c>
      <c r="U45">
        <v>5</v>
      </c>
      <c r="V45" s="101">
        <v>1</v>
      </c>
      <c r="W45" t="s">
        <v>2570</v>
      </c>
      <c r="AE45" s="71" t="s">
        <v>2569</v>
      </c>
    </row>
    <row r="46" spans="1:31" ht="19">
      <c r="B46">
        <v>85</v>
      </c>
      <c r="C46" s="2" t="s">
        <v>1357</v>
      </c>
      <c r="D46" s="71" t="s">
        <v>1387</v>
      </c>
      <c r="G46" s="31"/>
      <c r="I46" s="9"/>
      <c r="J46" s="5"/>
      <c r="K46" s="8">
        <v>16435</v>
      </c>
      <c r="L46" s="3">
        <v>28478</v>
      </c>
      <c r="M46" s="62"/>
      <c r="N46" s="13" t="s">
        <v>1388</v>
      </c>
      <c r="O46" s="20"/>
      <c r="P46" s="21" t="s">
        <v>2905</v>
      </c>
      <c r="Q46" s="17"/>
      <c r="R46" s="23" t="s">
        <v>2814</v>
      </c>
      <c r="S46">
        <v>6</v>
      </c>
      <c r="T46">
        <v>3</v>
      </c>
      <c r="U46">
        <v>5</v>
      </c>
      <c r="V46" s="101">
        <v>1</v>
      </c>
      <c r="W46" t="s">
        <v>2580</v>
      </c>
      <c r="AE46" s="71"/>
    </row>
    <row r="47" spans="1:31" ht="19">
      <c r="B47">
        <v>85</v>
      </c>
      <c r="C47" s="2" t="s">
        <v>1357</v>
      </c>
      <c r="D47" s="71" t="s">
        <v>897</v>
      </c>
      <c r="E47" t="s">
        <v>918</v>
      </c>
      <c r="G47" s="31"/>
      <c r="I47" s="9"/>
      <c r="J47" s="5"/>
      <c r="K47" s="8">
        <v>17080</v>
      </c>
      <c r="L47" s="3">
        <v>25745</v>
      </c>
      <c r="M47" s="62"/>
      <c r="N47" s="13" t="s">
        <v>1395</v>
      </c>
      <c r="O47" s="20"/>
      <c r="P47" s="21" t="s">
        <v>2905</v>
      </c>
      <c r="Q47" s="17"/>
      <c r="R47" s="23" t="s">
        <v>2815</v>
      </c>
      <c r="S47">
        <v>6</v>
      </c>
      <c r="T47">
        <v>3</v>
      </c>
      <c r="U47">
        <v>5</v>
      </c>
      <c r="V47" s="101">
        <v>1</v>
      </c>
      <c r="W47" t="s">
        <v>2584</v>
      </c>
      <c r="X47" s="71" t="s">
        <v>2585</v>
      </c>
      <c r="AE47" s="71" t="s">
        <v>2586</v>
      </c>
    </row>
    <row r="48" spans="1:31" ht="19">
      <c r="B48">
        <v>88</v>
      </c>
      <c r="C48" s="2" t="s">
        <v>1430</v>
      </c>
      <c r="D48" s="71" t="s">
        <v>1431</v>
      </c>
      <c r="E48" t="s">
        <v>952</v>
      </c>
      <c r="F48" t="s">
        <v>1432</v>
      </c>
      <c r="G48" s="31"/>
      <c r="I48" s="9"/>
      <c r="J48" s="5"/>
      <c r="K48" s="8">
        <v>13688</v>
      </c>
      <c r="L48" s="3">
        <v>21021</v>
      </c>
      <c r="M48" s="62"/>
      <c r="N48" s="13" t="s">
        <v>1433</v>
      </c>
      <c r="O48" s="20"/>
      <c r="P48" s="21" t="s">
        <v>2906</v>
      </c>
      <c r="Q48" s="17"/>
      <c r="R48" s="23" t="s">
        <v>2814</v>
      </c>
      <c r="S48">
        <v>6</v>
      </c>
      <c r="T48">
        <v>3</v>
      </c>
      <c r="U48">
        <v>5</v>
      </c>
      <c r="V48" s="101">
        <v>1</v>
      </c>
      <c r="W48" t="s">
        <v>2590</v>
      </c>
      <c r="X48" t="s">
        <v>2591</v>
      </c>
      <c r="AE48" s="71" t="s">
        <v>2589</v>
      </c>
    </row>
    <row r="49" spans="1:31" ht="19">
      <c r="B49">
        <v>88</v>
      </c>
      <c r="C49" s="2" t="s">
        <v>1457</v>
      </c>
      <c r="D49" s="71" t="s">
        <v>891</v>
      </c>
      <c r="E49" t="s">
        <v>860</v>
      </c>
      <c r="F49" t="s">
        <v>1459</v>
      </c>
      <c r="G49" s="31"/>
      <c r="I49" s="9"/>
      <c r="J49" s="5"/>
      <c r="K49" s="8">
        <v>14298</v>
      </c>
      <c r="L49" s="3">
        <v>26581</v>
      </c>
      <c r="M49" s="62"/>
      <c r="N49" s="13" t="s">
        <v>1458</v>
      </c>
      <c r="O49" s="20"/>
      <c r="P49" s="21" t="s">
        <v>2906</v>
      </c>
      <c r="Q49" s="17"/>
      <c r="R49" s="23" t="s">
        <v>2815</v>
      </c>
      <c r="S49">
        <v>6</v>
      </c>
      <c r="T49">
        <v>3</v>
      </c>
      <c r="U49">
        <v>5</v>
      </c>
      <c r="V49" s="101">
        <v>1</v>
      </c>
      <c r="W49" t="s">
        <v>2608</v>
      </c>
      <c r="X49" s="71" t="s">
        <v>2609</v>
      </c>
      <c r="AE49" s="71" t="s">
        <v>2607</v>
      </c>
    </row>
    <row r="50" spans="1:31" ht="19">
      <c r="B50">
        <v>88</v>
      </c>
      <c r="C50" s="2" t="s">
        <v>1430</v>
      </c>
      <c r="D50" s="71" t="s">
        <v>1466</v>
      </c>
      <c r="E50" t="s">
        <v>905</v>
      </c>
      <c r="G50" s="31"/>
      <c r="I50" s="9"/>
      <c r="J50" s="5"/>
      <c r="K50" s="8">
        <v>16913</v>
      </c>
      <c r="L50" s="3"/>
      <c r="M50" s="62"/>
      <c r="N50" s="13" t="s">
        <v>1467</v>
      </c>
      <c r="O50" s="20"/>
      <c r="P50" s="21" t="s">
        <v>2906</v>
      </c>
      <c r="Q50" s="17"/>
      <c r="R50" s="23" t="s">
        <v>2815</v>
      </c>
      <c r="S50">
        <v>6</v>
      </c>
      <c r="T50">
        <v>3</v>
      </c>
      <c r="U50">
        <v>5</v>
      </c>
      <c r="V50" s="101">
        <v>1</v>
      </c>
      <c r="AE50" s="71" t="s">
        <v>2613</v>
      </c>
    </row>
    <row r="51" spans="1:31" ht="19">
      <c r="B51">
        <v>90</v>
      </c>
      <c r="C51" s="2" t="s">
        <v>2553</v>
      </c>
      <c r="D51" s="71" t="s">
        <v>1470</v>
      </c>
      <c r="G51" s="31"/>
      <c r="I51" s="9"/>
      <c r="J51" s="5"/>
      <c r="K51" s="8">
        <v>15522</v>
      </c>
      <c r="L51" s="3">
        <v>22815</v>
      </c>
      <c r="M51" s="62"/>
      <c r="N51" s="13" t="s">
        <v>1471</v>
      </c>
      <c r="O51" s="20"/>
      <c r="P51" s="21" t="s">
        <v>2907</v>
      </c>
      <c r="Q51" s="17"/>
      <c r="R51" s="23" t="s">
        <v>2814</v>
      </c>
      <c r="S51">
        <v>6</v>
      </c>
      <c r="T51">
        <v>3</v>
      </c>
      <c r="U51">
        <v>5</v>
      </c>
      <c r="V51" s="101">
        <v>1</v>
      </c>
      <c r="W51" t="s">
        <v>2617</v>
      </c>
      <c r="X51" t="s">
        <v>2616</v>
      </c>
      <c r="AE51" s="71" t="s">
        <v>2614</v>
      </c>
    </row>
    <row r="52" spans="1:31" ht="19">
      <c r="B52">
        <v>90</v>
      </c>
      <c r="C52" s="2" t="s">
        <v>2553</v>
      </c>
      <c r="D52" s="71" t="s">
        <v>1473</v>
      </c>
      <c r="G52" s="31"/>
      <c r="I52" s="9"/>
      <c r="J52" s="5"/>
      <c r="K52" s="8">
        <v>16205</v>
      </c>
      <c r="L52" s="3">
        <v>26324</v>
      </c>
      <c r="M52" s="62"/>
      <c r="N52" s="13" t="s">
        <v>1474</v>
      </c>
      <c r="O52" s="20"/>
      <c r="P52" s="21" t="s">
        <v>2907</v>
      </c>
      <c r="Q52" s="17"/>
      <c r="R52" s="23" t="s">
        <v>2814</v>
      </c>
      <c r="S52">
        <v>6</v>
      </c>
      <c r="T52">
        <v>3</v>
      </c>
      <c r="U52">
        <v>5</v>
      </c>
      <c r="V52" s="101">
        <v>1</v>
      </c>
      <c r="W52" t="s">
        <v>2620</v>
      </c>
      <c r="X52" s="71" t="s">
        <v>2621</v>
      </c>
      <c r="AE52" s="71" t="s">
        <v>2619</v>
      </c>
    </row>
    <row r="53" spans="1:31" ht="19">
      <c r="B53">
        <v>90</v>
      </c>
      <c r="C53" s="2" t="s">
        <v>1480</v>
      </c>
      <c r="D53" s="71" t="s">
        <v>1483</v>
      </c>
      <c r="E53" t="s">
        <v>1481</v>
      </c>
      <c r="F53" t="s">
        <v>1482</v>
      </c>
      <c r="G53" s="31"/>
      <c r="I53" s="9"/>
      <c r="J53" s="5"/>
      <c r="K53" s="8">
        <v>18281</v>
      </c>
      <c r="L53" s="3">
        <v>26815</v>
      </c>
      <c r="M53" s="62"/>
      <c r="N53" s="13" t="s">
        <v>1485</v>
      </c>
      <c r="O53" s="20"/>
      <c r="P53" s="21" t="s">
        <v>2907</v>
      </c>
      <c r="Q53" s="17"/>
      <c r="R53" s="23" t="s">
        <v>2815</v>
      </c>
      <c r="S53">
        <v>6</v>
      </c>
      <c r="T53">
        <v>3</v>
      </c>
      <c r="U53">
        <v>5</v>
      </c>
      <c r="V53" s="101">
        <v>1</v>
      </c>
      <c r="W53" t="s">
        <v>2623</v>
      </c>
      <c r="X53" t="s">
        <v>2624</v>
      </c>
      <c r="AE53" s="71" t="s">
        <v>2622</v>
      </c>
    </row>
    <row r="54" spans="1:31" ht="19">
      <c r="B54">
        <v>92</v>
      </c>
      <c r="C54" s="2" t="s">
        <v>1494</v>
      </c>
      <c r="D54" s="71" t="s">
        <v>919</v>
      </c>
      <c r="E54" t="s">
        <v>830</v>
      </c>
      <c r="F54" t="s">
        <v>855</v>
      </c>
      <c r="G54" s="31"/>
      <c r="I54" s="9"/>
      <c r="J54" s="5"/>
      <c r="K54" s="8">
        <v>17201</v>
      </c>
      <c r="L54" s="3">
        <v>28875</v>
      </c>
      <c r="M54" s="62"/>
      <c r="N54" s="13" t="s">
        <v>1498</v>
      </c>
      <c r="O54" s="20"/>
      <c r="P54" s="21" t="s">
        <v>2908</v>
      </c>
      <c r="Q54" s="17"/>
      <c r="R54" s="23" t="s">
        <v>2815</v>
      </c>
      <c r="S54">
        <v>6</v>
      </c>
      <c r="T54">
        <v>3</v>
      </c>
      <c r="U54">
        <v>5</v>
      </c>
      <c r="V54" s="101">
        <v>1</v>
      </c>
      <c r="W54" t="s">
        <v>2629</v>
      </c>
      <c r="X54" s="71" t="s">
        <v>2630</v>
      </c>
      <c r="AE54" s="71" t="s">
        <v>2628</v>
      </c>
    </row>
    <row r="55" spans="1:31" ht="19">
      <c r="B55">
        <v>92</v>
      </c>
      <c r="C55" s="2" t="s">
        <v>1494</v>
      </c>
      <c r="D55" s="71" t="s">
        <v>1504</v>
      </c>
      <c r="E55" t="s">
        <v>1505</v>
      </c>
      <c r="G55" s="31"/>
      <c r="I55" s="9"/>
      <c r="J55" s="5"/>
      <c r="K55" s="8">
        <v>17827</v>
      </c>
      <c r="L55" s="3"/>
      <c r="M55" s="62"/>
      <c r="N55" s="13" t="s">
        <v>1503</v>
      </c>
      <c r="O55" s="20"/>
      <c r="P55" s="21" t="s">
        <v>2908</v>
      </c>
      <c r="Q55" s="17"/>
      <c r="R55" s="23" t="s">
        <v>2815</v>
      </c>
      <c r="S55">
        <v>6</v>
      </c>
      <c r="T55">
        <v>3</v>
      </c>
      <c r="U55">
        <v>5</v>
      </c>
      <c r="V55" s="101">
        <v>1</v>
      </c>
      <c r="W55" t="s">
        <v>2637</v>
      </c>
      <c r="X55" s="71" t="s">
        <v>2636</v>
      </c>
      <c r="AE55" s="71" t="s">
        <v>2635</v>
      </c>
    </row>
    <row r="56" spans="1:31" ht="19">
      <c r="B56">
        <v>92</v>
      </c>
      <c r="C56" s="2" t="s">
        <v>1494</v>
      </c>
      <c r="D56" s="71" t="s">
        <v>1519</v>
      </c>
      <c r="E56" t="s">
        <v>870</v>
      </c>
      <c r="G56" s="31"/>
      <c r="I56" s="9"/>
      <c r="J56" s="5"/>
      <c r="K56" s="8">
        <v>18958</v>
      </c>
      <c r="L56" s="3"/>
      <c r="M56" s="62"/>
      <c r="N56" s="13" t="s">
        <v>1520</v>
      </c>
      <c r="O56" s="20"/>
      <c r="P56" s="21" t="s">
        <v>2908</v>
      </c>
      <c r="Q56" s="17"/>
      <c r="R56" s="23" t="s">
        <v>2814</v>
      </c>
      <c r="S56">
        <v>6</v>
      </c>
      <c r="T56">
        <v>3</v>
      </c>
      <c r="U56">
        <v>5</v>
      </c>
      <c r="V56" s="101">
        <v>1</v>
      </c>
      <c r="AE56" s="71" t="s">
        <v>2642</v>
      </c>
    </row>
    <row r="57" spans="1:31" ht="19">
      <c r="B57">
        <v>92</v>
      </c>
      <c r="C57" s="2" t="s">
        <v>1494</v>
      </c>
      <c r="D57" s="71" t="s">
        <v>1036</v>
      </c>
      <c r="E57" t="s">
        <v>854</v>
      </c>
      <c r="F57" t="s">
        <v>1037</v>
      </c>
      <c r="G57" s="31"/>
      <c r="I57" s="9"/>
      <c r="J57" s="5"/>
      <c r="K57" s="8">
        <v>19725</v>
      </c>
      <c r="L57" s="3"/>
      <c r="M57" s="62"/>
      <c r="N57" s="13" t="s">
        <v>1521</v>
      </c>
      <c r="O57" s="20"/>
      <c r="P57" s="21" t="s">
        <v>2908</v>
      </c>
      <c r="Q57" s="17"/>
      <c r="R57" s="23" t="s">
        <v>2814</v>
      </c>
      <c r="S57">
        <v>6</v>
      </c>
      <c r="T57">
        <v>3</v>
      </c>
      <c r="U57">
        <v>5</v>
      </c>
      <c r="V57" s="101">
        <v>1</v>
      </c>
      <c r="W57" t="s">
        <v>1522</v>
      </c>
      <c r="X57" s="71" t="s">
        <v>231</v>
      </c>
      <c r="AE57" s="71" t="s">
        <v>2643</v>
      </c>
    </row>
    <row r="58" spans="1:31" ht="19">
      <c r="B58">
        <v>95</v>
      </c>
      <c r="C58" s="2" t="s">
        <v>1528</v>
      </c>
      <c r="D58" s="71" t="s">
        <v>921</v>
      </c>
      <c r="E58" t="s">
        <v>867</v>
      </c>
      <c r="G58" s="31"/>
      <c r="I58" s="9"/>
      <c r="J58" s="5"/>
      <c r="K58" s="8">
        <v>17151</v>
      </c>
      <c r="L58" s="3"/>
      <c r="M58" s="62"/>
      <c r="N58" s="13" t="s">
        <v>1529</v>
      </c>
      <c r="O58" s="20"/>
      <c r="P58" s="21" t="s">
        <v>2909</v>
      </c>
      <c r="Q58" s="17"/>
      <c r="R58" s="23" t="s">
        <v>2814</v>
      </c>
      <c r="S58">
        <v>6</v>
      </c>
      <c r="T58">
        <v>3</v>
      </c>
      <c r="U58">
        <v>5</v>
      </c>
      <c r="V58" s="101">
        <v>1</v>
      </c>
      <c r="W58" t="s">
        <v>2647</v>
      </c>
      <c r="X58" s="71" t="s">
        <v>2648</v>
      </c>
      <c r="AE58" s="71" t="s">
        <v>2649</v>
      </c>
    </row>
    <row r="59" spans="1:31" ht="19">
      <c r="A59" t="s">
        <v>2650</v>
      </c>
      <c r="B59">
        <v>95</v>
      </c>
      <c r="C59" s="2" t="s">
        <v>1528</v>
      </c>
      <c r="D59" s="71" t="s">
        <v>1531</v>
      </c>
      <c r="E59" t="s">
        <v>952</v>
      </c>
      <c r="G59" s="31"/>
      <c r="I59" s="9"/>
      <c r="J59" s="5"/>
      <c r="K59" s="8">
        <v>18182</v>
      </c>
      <c r="L59" s="3">
        <v>29942</v>
      </c>
      <c r="M59" s="62"/>
      <c r="N59" s="13" t="s">
        <v>1530</v>
      </c>
      <c r="O59" s="20"/>
      <c r="P59" s="21" t="s">
        <v>2909</v>
      </c>
      <c r="Q59" s="17"/>
      <c r="R59" s="23" t="s">
        <v>2814</v>
      </c>
      <c r="S59">
        <v>6</v>
      </c>
      <c r="T59">
        <v>3</v>
      </c>
      <c r="U59">
        <v>5</v>
      </c>
      <c r="V59" s="101">
        <v>1</v>
      </c>
      <c r="W59" t="s">
        <v>2651</v>
      </c>
      <c r="X59" s="71" t="s">
        <v>2652</v>
      </c>
      <c r="AE59" s="71"/>
    </row>
    <row r="60" spans="1:31" ht="19">
      <c r="B60">
        <v>97</v>
      </c>
      <c r="C60" s="2" t="s">
        <v>1541</v>
      </c>
      <c r="D60" s="71" t="s">
        <v>982</v>
      </c>
      <c r="E60" t="s">
        <v>811</v>
      </c>
      <c r="F60" t="s">
        <v>1497</v>
      </c>
      <c r="G60" s="31"/>
      <c r="I60" s="9"/>
      <c r="J60" s="5"/>
      <c r="K60" s="8">
        <v>18979</v>
      </c>
      <c r="L60" s="3"/>
      <c r="M60" s="62"/>
      <c r="N60" s="13" t="s">
        <v>1542</v>
      </c>
      <c r="O60" s="20"/>
      <c r="P60" s="21" t="s">
        <v>2910</v>
      </c>
      <c r="Q60" s="17"/>
      <c r="R60" s="23" t="s">
        <v>2815</v>
      </c>
      <c r="S60">
        <v>6</v>
      </c>
      <c r="T60">
        <v>3</v>
      </c>
      <c r="U60">
        <v>5</v>
      </c>
      <c r="V60" s="101">
        <v>1</v>
      </c>
      <c r="W60" t="s">
        <v>2656</v>
      </c>
      <c r="X60" s="71" t="s">
        <v>2655</v>
      </c>
      <c r="AE60" s="71" t="s">
        <v>2654</v>
      </c>
    </row>
    <row r="61" spans="1:31" ht="19">
      <c r="B61">
        <v>97</v>
      </c>
      <c r="C61" s="2" t="s">
        <v>1541</v>
      </c>
      <c r="D61" s="71" t="s">
        <v>1543</v>
      </c>
      <c r="E61" t="s">
        <v>1544</v>
      </c>
      <c r="G61" s="31"/>
      <c r="I61" s="9"/>
      <c r="J61" s="5"/>
      <c r="K61" s="8">
        <v>19805</v>
      </c>
      <c r="L61" s="3"/>
      <c r="M61" s="62"/>
      <c r="N61" s="13" t="s">
        <v>1547</v>
      </c>
      <c r="O61" s="20"/>
      <c r="P61" s="21" t="s">
        <v>2910</v>
      </c>
      <c r="Q61" s="17"/>
      <c r="R61" s="23" t="s">
        <v>2814</v>
      </c>
      <c r="S61">
        <v>6</v>
      </c>
      <c r="T61">
        <v>3</v>
      </c>
      <c r="U61">
        <v>5</v>
      </c>
      <c r="V61" s="101">
        <v>1</v>
      </c>
      <c r="AE61" s="71" t="s">
        <v>2658</v>
      </c>
    </row>
    <row r="62" spans="1:31" ht="19">
      <c r="B62">
        <v>97</v>
      </c>
      <c r="C62" s="2" t="s">
        <v>1541</v>
      </c>
      <c r="D62" s="71" t="s">
        <v>917</v>
      </c>
      <c r="E62" t="s">
        <v>902</v>
      </c>
      <c r="G62" s="31"/>
      <c r="I62" s="9"/>
      <c r="J62" s="5"/>
      <c r="K62" s="8">
        <v>20710</v>
      </c>
      <c r="L62" s="3"/>
      <c r="M62" s="62">
        <v>21047</v>
      </c>
      <c r="N62" s="13" t="s">
        <v>1548</v>
      </c>
      <c r="O62" s="20"/>
      <c r="P62" s="21" t="s">
        <v>2910</v>
      </c>
      <c r="Q62" s="17"/>
      <c r="R62" s="23" t="s">
        <v>2815</v>
      </c>
      <c r="S62">
        <v>6</v>
      </c>
      <c r="T62">
        <v>3</v>
      </c>
      <c r="U62">
        <v>5</v>
      </c>
      <c r="V62" s="101">
        <v>1</v>
      </c>
      <c r="AE62" s="71" t="s">
        <v>2659</v>
      </c>
    </row>
    <row r="63" spans="1:31" ht="19">
      <c r="B63">
        <v>97</v>
      </c>
      <c r="C63" s="2" t="s">
        <v>1541</v>
      </c>
      <c r="D63" s="71" t="s">
        <v>1549</v>
      </c>
      <c r="E63" t="s">
        <v>865</v>
      </c>
      <c r="F63" t="s">
        <v>1550</v>
      </c>
      <c r="G63" s="31"/>
      <c r="I63" s="9"/>
      <c r="J63" s="5"/>
      <c r="K63" s="8">
        <v>21654</v>
      </c>
      <c r="L63" s="3"/>
      <c r="M63" s="62"/>
      <c r="N63" s="13" t="s">
        <v>1551</v>
      </c>
      <c r="O63" s="20"/>
      <c r="P63" s="21" t="s">
        <v>2910</v>
      </c>
      <c r="Q63" s="17"/>
      <c r="R63" s="23" t="s">
        <v>2815</v>
      </c>
      <c r="S63">
        <v>6</v>
      </c>
      <c r="T63">
        <v>3</v>
      </c>
      <c r="U63">
        <v>5</v>
      </c>
      <c r="V63" s="101">
        <v>1</v>
      </c>
      <c r="AE63" s="71" t="s">
        <v>2665</v>
      </c>
    </row>
    <row r="64" spans="1:31" ht="19">
      <c r="B64">
        <v>97</v>
      </c>
      <c r="C64" s="2" t="s">
        <v>1541</v>
      </c>
      <c r="D64" s="71" t="s">
        <v>811</v>
      </c>
      <c r="E64" t="s">
        <v>842</v>
      </c>
      <c r="F64" t="s">
        <v>885</v>
      </c>
      <c r="G64" s="31"/>
      <c r="I64" s="9"/>
      <c r="J64" s="5"/>
      <c r="K64" s="8">
        <v>23286</v>
      </c>
      <c r="L64" s="3"/>
      <c r="M64" s="62"/>
      <c r="N64" s="13" t="s">
        <v>1552</v>
      </c>
      <c r="O64" s="20"/>
      <c r="P64" s="21" t="s">
        <v>2910</v>
      </c>
      <c r="Q64" s="17"/>
      <c r="R64" s="23" t="s">
        <v>2815</v>
      </c>
      <c r="S64">
        <v>6</v>
      </c>
      <c r="T64">
        <v>3</v>
      </c>
      <c r="U64">
        <v>5</v>
      </c>
      <c r="V64" s="101">
        <v>1</v>
      </c>
      <c r="X64" s="71" t="s">
        <v>285</v>
      </c>
      <c r="AE64" s="71" t="s">
        <v>2661</v>
      </c>
    </row>
    <row r="65" spans="1:31" ht="19">
      <c r="B65">
        <v>101</v>
      </c>
      <c r="C65" s="2" t="s">
        <v>1559</v>
      </c>
      <c r="D65" s="71" t="s">
        <v>1558</v>
      </c>
      <c r="E65" t="s">
        <v>867</v>
      </c>
      <c r="G65" s="31"/>
      <c r="I65" s="9"/>
      <c r="J65" s="5"/>
      <c r="K65" s="8">
        <v>18336</v>
      </c>
      <c r="L65" s="3">
        <v>26600</v>
      </c>
      <c r="M65" s="62"/>
      <c r="N65" s="13" t="s">
        <v>1560</v>
      </c>
      <c r="O65" s="20"/>
      <c r="P65" s="21" t="s">
        <v>2878</v>
      </c>
      <c r="Q65" s="17"/>
      <c r="R65" s="23" t="s">
        <v>2814</v>
      </c>
      <c r="S65">
        <v>7</v>
      </c>
      <c r="T65">
        <v>4</v>
      </c>
      <c r="U65">
        <v>5</v>
      </c>
      <c r="V65" s="101">
        <v>1</v>
      </c>
      <c r="W65" t="s">
        <v>2667</v>
      </c>
      <c r="X65" s="71" t="s">
        <v>2668</v>
      </c>
      <c r="AE65" s="71" t="s">
        <v>2666</v>
      </c>
    </row>
    <row r="66" spans="1:31" ht="19">
      <c r="B66">
        <v>101</v>
      </c>
      <c r="C66" s="2" t="s">
        <v>1559</v>
      </c>
      <c r="D66" s="71" t="s">
        <v>1566</v>
      </c>
      <c r="E66" t="s">
        <v>922</v>
      </c>
      <c r="G66" s="31"/>
      <c r="I66" s="9"/>
      <c r="J66" s="5"/>
      <c r="K66" s="8">
        <v>19187</v>
      </c>
      <c r="L66" s="3">
        <v>30933</v>
      </c>
      <c r="M66" s="62"/>
      <c r="N66" s="13" t="s">
        <v>1567</v>
      </c>
      <c r="O66" s="20"/>
      <c r="P66" s="21" t="s">
        <v>2878</v>
      </c>
      <c r="Q66" s="17"/>
      <c r="R66" s="23" t="s">
        <v>2814</v>
      </c>
      <c r="S66">
        <v>7</v>
      </c>
      <c r="T66">
        <v>4</v>
      </c>
      <c r="U66">
        <v>5</v>
      </c>
      <c r="V66" s="101">
        <v>1</v>
      </c>
      <c r="W66" t="s">
        <v>2672</v>
      </c>
      <c r="X66" s="71" t="s">
        <v>2673</v>
      </c>
      <c r="AE66" s="71" t="s">
        <v>2671</v>
      </c>
    </row>
    <row r="67" spans="1:31" ht="19">
      <c r="B67">
        <v>101</v>
      </c>
      <c r="C67" s="2" t="s">
        <v>1559</v>
      </c>
      <c r="D67" s="71" t="s">
        <v>1578</v>
      </c>
      <c r="E67" t="s">
        <v>952</v>
      </c>
      <c r="G67" s="31"/>
      <c r="I67" s="9"/>
      <c r="J67" s="5"/>
      <c r="K67" s="8">
        <v>19724</v>
      </c>
      <c r="L67" s="3"/>
      <c r="M67" s="62"/>
      <c r="N67" s="13" t="s">
        <v>1579</v>
      </c>
      <c r="O67" s="20"/>
      <c r="P67" s="21" t="s">
        <v>2878</v>
      </c>
      <c r="Q67" s="17"/>
      <c r="R67" s="23" t="s">
        <v>2814</v>
      </c>
      <c r="S67">
        <v>7</v>
      </c>
      <c r="T67">
        <v>4</v>
      </c>
      <c r="U67">
        <v>5</v>
      </c>
      <c r="V67" s="101">
        <v>1</v>
      </c>
      <c r="W67" t="s">
        <v>2677</v>
      </c>
      <c r="X67" s="71" t="s">
        <v>2678</v>
      </c>
      <c r="AE67" s="71"/>
    </row>
    <row r="68" spans="1:31" ht="19">
      <c r="B68">
        <v>101</v>
      </c>
      <c r="C68" s="2" t="s">
        <v>1559</v>
      </c>
      <c r="D68" s="71" t="s">
        <v>1586</v>
      </c>
      <c r="E68" t="s">
        <v>1436</v>
      </c>
      <c r="G68" s="31"/>
      <c r="I68" s="9"/>
      <c r="J68" s="5"/>
      <c r="K68" s="8">
        <v>20890</v>
      </c>
      <c r="L68" s="3">
        <v>29701</v>
      </c>
      <c r="M68" s="62"/>
      <c r="N68" s="13" t="s">
        <v>1587</v>
      </c>
      <c r="O68" s="20"/>
      <c r="P68" s="21" t="s">
        <v>2878</v>
      </c>
      <c r="Q68" s="17"/>
      <c r="R68" s="23" t="s">
        <v>2814</v>
      </c>
      <c r="S68">
        <v>7</v>
      </c>
      <c r="T68">
        <v>4</v>
      </c>
      <c r="U68">
        <v>5</v>
      </c>
      <c r="V68" s="101">
        <v>1</v>
      </c>
      <c r="W68" t="s">
        <v>2682</v>
      </c>
      <c r="X68" s="71" t="s">
        <v>2683</v>
      </c>
      <c r="AE68" s="71"/>
    </row>
    <row r="69" spans="1:31" ht="19">
      <c r="B69">
        <v>101</v>
      </c>
      <c r="C69" s="2" t="s">
        <v>1559</v>
      </c>
      <c r="D69" s="71" t="s">
        <v>1597</v>
      </c>
      <c r="E69" t="s">
        <v>839</v>
      </c>
      <c r="G69" s="31"/>
      <c r="I69" s="9"/>
      <c r="J69" s="5"/>
      <c r="K69" s="8">
        <v>21772</v>
      </c>
      <c r="L69" s="3" t="s">
        <v>1600</v>
      </c>
      <c r="M69" s="62"/>
      <c r="N69" s="13" t="s">
        <v>1598</v>
      </c>
      <c r="O69" s="20"/>
      <c r="P69" s="21" t="s">
        <v>2878</v>
      </c>
      <c r="Q69" s="17"/>
      <c r="R69" s="23" t="s">
        <v>2814</v>
      </c>
      <c r="S69">
        <v>7</v>
      </c>
      <c r="T69">
        <v>4</v>
      </c>
      <c r="U69">
        <v>5</v>
      </c>
      <c r="V69" s="101">
        <v>1</v>
      </c>
      <c r="W69" t="s">
        <v>2687</v>
      </c>
      <c r="X69" s="71" t="s">
        <v>2688</v>
      </c>
      <c r="AE69" s="71" t="s">
        <v>2686</v>
      </c>
    </row>
    <row r="70" spans="1:31" ht="19">
      <c r="B70">
        <v>101</v>
      </c>
      <c r="C70" s="2" t="s">
        <v>1559</v>
      </c>
      <c r="D70" s="71" t="s">
        <v>1605</v>
      </c>
      <c r="E70" s="72" t="s">
        <v>859</v>
      </c>
      <c r="G70" s="31"/>
      <c r="I70" s="9"/>
      <c r="J70" s="5"/>
      <c r="K70" s="8">
        <v>23298</v>
      </c>
      <c r="L70" s="3" t="s">
        <v>1606</v>
      </c>
      <c r="M70" s="62"/>
      <c r="N70" s="13" t="s">
        <v>1607</v>
      </c>
      <c r="O70" s="20"/>
      <c r="P70" s="21" t="s">
        <v>2878</v>
      </c>
      <c r="Q70" s="17"/>
      <c r="R70" s="23" t="s">
        <v>2814</v>
      </c>
      <c r="S70">
        <v>7</v>
      </c>
      <c r="T70">
        <v>4</v>
      </c>
      <c r="U70">
        <v>5</v>
      </c>
      <c r="V70" s="101">
        <v>1</v>
      </c>
      <c r="W70" t="s">
        <v>1608</v>
      </c>
      <c r="X70" s="71" t="s">
        <v>2689</v>
      </c>
      <c r="AE70" s="71"/>
    </row>
    <row r="71" spans="1:31" ht="19">
      <c r="A71" t="s">
        <v>943</v>
      </c>
      <c r="B71">
        <v>102</v>
      </c>
      <c r="C71" s="2" t="s">
        <v>1615</v>
      </c>
      <c r="D71" s="71" t="s">
        <v>1616</v>
      </c>
      <c r="E71" s="72" t="s">
        <v>870</v>
      </c>
      <c r="G71" s="31"/>
      <c r="I71" s="9"/>
      <c r="J71" s="5"/>
      <c r="K71" s="8">
        <v>20615</v>
      </c>
      <c r="L71" s="3"/>
      <c r="M71" s="62"/>
      <c r="N71" s="13" t="s">
        <v>1617</v>
      </c>
      <c r="O71" s="20"/>
      <c r="P71" s="21" t="s">
        <v>2879</v>
      </c>
      <c r="Q71" s="17"/>
      <c r="R71" s="23" t="s">
        <v>2814</v>
      </c>
      <c r="S71">
        <v>7</v>
      </c>
      <c r="T71">
        <v>4</v>
      </c>
      <c r="U71">
        <v>5</v>
      </c>
      <c r="V71" s="101">
        <v>1</v>
      </c>
      <c r="AE71" s="71" t="s">
        <v>2691</v>
      </c>
    </row>
    <row r="72" spans="1:31" ht="19">
      <c r="B72">
        <v>102</v>
      </c>
      <c r="C72" s="2" t="s">
        <v>1615</v>
      </c>
      <c r="D72" s="71" t="s">
        <v>843</v>
      </c>
      <c r="E72" s="72" t="s">
        <v>1618</v>
      </c>
      <c r="G72" s="31"/>
      <c r="I72" s="9"/>
      <c r="J72" s="5"/>
      <c r="K72" s="8">
        <v>21328</v>
      </c>
      <c r="L72" s="3">
        <v>34930</v>
      </c>
      <c r="M72" s="62"/>
      <c r="N72" s="13" t="s">
        <v>1619</v>
      </c>
      <c r="O72" s="20"/>
      <c r="P72" s="21" t="s">
        <v>2879</v>
      </c>
      <c r="Q72" s="17"/>
      <c r="R72" s="23" t="s">
        <v>2815</v>
      </c>
      <c r="S72">
        <v>7</v>
      </c>
      <c r="T72">
        <v>4</v>
      </c>
      <c r="U72">
        <v>5</v>
      </c>
      <c r="V72" s="101">
        <v>1</v>
      </c>
      <c r="W72" t="s">
        <v>1620</v>
      </c>
      <c r="X72" s="71" t="s">
        <v>2692</v>
      </c>
      <c r="AE72" s="71" t="s">
        <v>2693</v>
      </c>
    </row>
    <row r="73" spans="1:31" ht="19">
      <c r="B73">
        <v>102</v>
      </c>
      <c r="C73" s="2" t="s">
        <v>1615</v>
      </c>
      <c r="D73" s="71" t="s">
        <v>1625</v>
      </c>
      <c r="E73" s="72" t="s">
        <v>952</v>
      </c>
      <c r="G73" s="31"/>
      <c r="I73" s="9"/>
      <c r="J73" s="5"/>
      <c r="K73" s="8">
        <v>22181</v>
      </c>
      <c r="L73" s="3"/>
      <c r="M73" s="62"/>
      <c r="N73" s="13" t="s">
        <v>1626</v>
      </c>
      <c r="O73" s="20"/>
      <c r="P73" s="21" t="s">
        <v>2879</v>
      </c>
      <c r="Q73" s="17"/>
      <c r="R73" s="23" t="s">
        <v>2814</v>
      </c>
      <c r="S73">
        <v>7</v>
      </c>
      <c r="T73">
        <v>4</v>
      </c>
      <c r="U73">
        <v>5</v>
      </c>
      <c r="V73" s="101">
        <v>1</v>
      </c>
      <c r="AE73" s="71" t="s">
        <v>2695</v>
      </c>
    </row>
    <row r="74" spans="1:31" ht="19">
      <c r="B74">
        <v>103</v>
      </c>
      <c r="C74" s="2" t="s">
        <v>1628</v>
      </c>
      <c r="D74" s="71" t="s">
        <v>918</v>
      </c>
      <c r="E74" s="72" t="s">
        <v>931</v>
      </c>
      <c r="G74" s="31"/>
      <c r="I74" s="9"/>
      <c r="J74" s="5"/>
      <c r="K74" s="8">
        <v>17252</v>
      </c>
      <c r="L74" s="3">
        <v>30422</v>
      </c>
      <c r="M74" s="62"/>
      <c r="N74" s="13" t="s">
        <v>1629</v>
      </c>
      <c r="O74" s="20"/>
      <c r="P74" s="21" t="s">
        <v>2880</v>
      </c>
      <c r="Q74" s="17"/>
      <c r="R74" s="23" t="s">
        <v>2815</v>
      </c>
      <c r="S74">
        <v>7</v>
      </c>
      <c r="T74">
        <v>4</v>
      </c>
      <c r="U74">
        <v>5</v>
      </c>
      <c r="V74" s="101">
        <v>1</v>
      </c>
      <c r="W74" t="s">
        <v>2697</v>
      </c>
      <c r="X74" s="71" t="s">
        <v>2698</v>
      </c>
      <c r="AE74" s="71" t="s">
        <v>2696</v>
      </c>
    </row>
    <row r="75" spans="1:31" ht="19">
      <c r="B75">
        <v>103</v>
      </c>
      <c r="C75" s="2" t="s">
        <v>1628</v>
      </c>
      <c r="D75" s="71" t="s">
        <v>846</v>
      </c>
      <c r="E75" s="72" t="s">
        <v>870</v>
      </c>
      <c r="G75" s="31"/>
      <c r="I75" s="9"/>
      <c r="J75" s="5"/>
      <c r="K75" s="8">
        <v>17923</v>
      </c>
      <c r="L75" s="3">
        <v>25603</v>
      </c>
      <c r="M75" s="62"/>
      <c r="N75" s="13" t="s">
        <v>1633</v>
      </c>
      <c r="O75" s="20"/>
      <c r="P75" s="21" t="s">
        <v>2880</v>
      </c>
      <c r="Q75" s="17"/>
      <c r="R75" s="23" t="s">
        <v>2814</v>
      </c>
      <c r="S75">
        <v>7</v>
      </c>
      <c r="T75">
        <v>4</v>
      </c>
      <c r="U75">
        <v>5</v>
      </c>
      <c r="V75" s="101">
        <v>1</v>
      </c>
      <c r="W75" t="s">
        <v>2701</v>
      </c>
      <c r="X75" s="71" t="s">
        <v>2702</v>
      </c>
      <c r="AE75" s="71" t="s">
        <v>2700</v>
      </c>
    </row>
    <row r="76" spans="1:31" ht="19">
      <c r="B76">
        <v>103</v>
      </c>
      <c r="C76" s="2" t="s">
        <v>1628</v>
      </c>
      <c r="D76" s="71" t="s">
        <v>905</v>
      </c>
      <c r="E76" s="72" t="s">
        <v>917</v>
      </c>
      <c r="G76" s="31"/>
      <c r="I76" s="9"/>
      <c r="J76" s="5"/>
      <c r="K76" s="8">
        <v>19227</v>
      </c>
      <c r="L76" s="3">
        <v>31752</v>
      </c>
      <c r="M76" s="62"/>
      <c r="N76" s="13" t="s">
        <v>1645</v>
      </c>
      <c r="O76" s="20"/>
      <c r="P76" s="21" t="s">
        <v>2880</v>
      </c>
      <c r="Q76" s="17"/>
      <c r="R76" s="23" t="s">
        <v>2815</v>
      </c>
      <c r="S76">
        <v>7</v>
      </c>
      <c r="T76">
        <v>4</v>
      </c>
      <c r="U76">
        <v>5</v>
      </c>
      <c r="V76" s="101">
        <v>1</v>
      </c>
      <c r="W76" t="s">
        <v>2708</v>
      </c>
      <c r="X76" s="71" t="s">
        <v>2707</v>
      </c>
      <c r="AE76" s="71" t="s">
        <v>2706</v>
      </c>
    </row>
    <row r="77" spans="1:31" ht="19">
      <c r="B77">
        <v>103</v>
      </c>
      <c r="C77" s="2" t="s">
        <v>1628</v>
      </c>
      <c r="D77" s="71" t="s">
        <v>896</v>
      </c>
      <c r="E77" s="72" t="s">
        <v>902</v>
      </c>
      <c r="G77" s="31"/>
      <c r="I77" s="9"/>
      <c r="J77" s="5"/>
      <c r="K77" s="8">
        <v>20500</v>
      </c>
      <c r="L77" s="3"/>
      <c r="M77" s="62"/>
      <c r="N77" s="13" t="s">
        <v>1652</v>
      </c>
      <c r="O77" s="20"/>
      <c r="P77" s="21" t="s">
        <v>2880</v>
      </c>
      <c r="Q77" s="17"/>
      <c r="R77" s="23" t="s">
        <v>2815</v>
      </c>
      <c r="S77">
        <v>7</v>
      </c>
      <c r="T77">
        <v>4</v>
      </c>
      <c r="U77">
        <v>5</v>
      </c>
      <c r="V77" s="101">
        <v>1</v>
      </c>
      <c r="W77" t="s">
        <v>2714</v>
      </c>
      <c r="X77" s="71" t="s">
        <v>2713</v>
      </c>
      <c r="AE77" s="71" t="s">
        <v>2712</v>
      </c>
    </row>
    <row r="78" spans="1:31" ht="19">
      <c r="B78">
        <v>106</v>
      </c>
      <c r="C78" s="2" t="s">
        <v>1658</v>
      </c>
      <c r="D78" s="71" t="s">
        <v>1659</v>
      </c>
      <c r="E78" s="72" t="s">
        <v>876</v>
      </c>
      <c r="F78" t="s">
        <v>903</v>
      </c>
      <c r="G78" s="31"/>
      <c r="I78" s="9"/>
      <c r="J78" s="11"/>
      <c r="K78" s="10">
        <v>20347</v>
      </c>
      <c r="L78" s="3">
        <v>31940</v>
      </c>
      <c r="M78" s="62"/>
      <c r="N78" s="13" t="s">
        <v>1661</v>
      </c>
      <c r="O78" s="20"/>
      <c r="P78" s="21" t="s">
        <v>2881</v>
      </c>
      <c r="Q78" s="17"/>
      <c r="R78" s="23" t="s">
        <v>2814</v>
      </c>
      <c r="S78">
        <v>7</v>
      </c>
      <c r="T78">
        <v>4</v>
      </c>
      <c r="U78">
        <v>5</v>
      </c>
      <c r="V78" s="101">
        <v>1</v>
      </c>
      <c r="W78" t="s">
        <v>2719</v>
      </c>
      <c r="X78" s="71" t="s">
        <v>2720</v>
      </c>
      <c r="AE78" s="71" t="s">
        <v>2718</v>
      </c>
    </row>
    <row r="79" spans="1:31" ht="19">
      <c r="A79" t="s">
        <v>1674</v>
      </c>
      <c r="B79">
        <v>106</v>
      </c>
      <c r="C79" s="2" t="s">
        <v>1658</v>
      </c>
      <c r="D79" s="71" t="s">
        <v>917</v>
      </c>
      <c r="E79" t="s">
        <v>1670</v>
      </c>
      <c r="F79" t="s">
        <v>885</v>
      </c>
      <c r="G79" s="31"/>
      <c r="I79" s="9"/>
      <c r="J79" s="11"/>
      <c r="K79" s="10">
        <v>21753</v>
      </c>
      <c r="L79" s="3"/>
      <c r="M79" s="62"/>
      <c r="N79" s="13" t="s">
        <v>1671</v>
      </c>
      <c r="O79" s="20"/>
      <c r="P79" s="21" t="s">
        <v>2881</v>
      </c>
      <c r="Q79" s="17"/>
      <c r="R79" s="23" t="s">
        <v>2815</v>
      </c>
      <c r="S79">
        <v>7</v>
      </c>
      <c r="T79">
        <v>4</v>
      </c>
      <c r="U79">
        <v>5</v>
      </c>
      <c r="V79" s="101">
        <v>1</v>
      </c>
      <c r="W79" t="s">
        <v>2726</v>
      </c>
      <c r="X79" s="71" t="s">
        <v>2727</v>
      </c>
      <c r="AE79" s="71" t="s">
        <v>2725</v>
      </c>
    </row>
    <row r="80" spans="1:31" ht="19">
      <c r="B80">
        <v>107</v>
      </c>
      <c r="C80" s="2" t="s">
        <v>1681</v>
      </c>
      <c r="D80" s="71" t="s">
        <v>1682</v>
      </c>
      <c r="E80" t="s">
        <v>870</v>
      </c>
      <c r="G80" s="31"/>
      <c r="I80" s="9"/>
      <c r="J80" s="5"/>
      <c r="K80" s="8">
        <v>18767</v>
      </c>
      <c r="L80" s="3">
        <v>27439</v>
      </c>
      <c r="M80" s="62"/>
      <c r="N80" s="13" t="s">
        <v>1684</v>
      </c>
      <c r="O80" s="20"/>
      <c r="P80" s="21" t="s">
        <v>2882</v>
      </c>
      <c r="Q80" s="17"/>
      <c r="R80" s="23" t="s">
        <v>2814</v>
      </c>
      <c r="S80">
        <v>7</v>
      </c>
      <c r="T80">
        <v>4</v>
      </c>
      <c r="U80">
        <v>5</v>
      </c>
      <c r="V80" s="101">
        <v>1</v>
      </c>
      <c r="W80" t="s">
        <v>2739</v>
      </c>
      <c r="AE80" s="71" t="s">
        <v>2730</v>
      </c>
    </row>
    <row r="81" spans="1:31" ht="19">
      <c r="B81">
        <v>107</v>
      </c>
      <c r="C81" s="2" t="s">
        <v>1695</v>
      </c>
      <c r="D81" s="71" t="s">
        <v>1696</v>
      </c>
      <c r="E81" t="s">
        <v>1010</v>
      </c>
      <c r="G81" s="31"/>
      <c r="I81" s="9"/>
      <c r="J81" s="5"/>
      <c r="K81" s="8">
        <v>20168</v>
      </c>
      <c r="L81" s="3">
        <v>26625</v>
      </c>
      <c r="M81" s="62"/>
      <c r="N81" s="13" t="s">
        <v>1697</v>
      </c>
      <c r="O81" s="20"/>
      <c r="P81" s="21" t="s">
        <v>2882</v>
      </c>
      <c r="Q81" s="17"/>
      <c r="R81" s="23" t="s">
        <v>2814</v>
      </c>
      <c r="S81">
        <v>7</v>
      </c>
      <c r="T81">
        <v>4</v>
      </c>
      <c r="U81">
        <v>5</v>
      </c>
      <c r="V81" s="101">
        <v>1</v>
      </c>
      <c r="W81" t="s">
        <v>2738</v>
      </c>
      <c r="X81" t="s">
        <v>2734</v>
      </c>
      <c r="AE81" s="71" t="s">
        <v>2733</v>
      </c>
    </row>
    <row r="82" spans="1:31" ht="19">
      <c r="B82">
        <v>107</v>
      </c>
      <c r="C82" s="2" t="s">
        <v>1695</v>
      </c>
      <c r="D82" s="71" t="s">
        <v>891</v>
      </c>
      <c r="E82" t="s">
        <v>819</v>
      </c>
      <c r="F82" t="s">
        <v>1497</v>
      </c>
      <c r="G82" s="31"/>
      <c r="I82" s="9"/>
      <c r="J82" s="5"/>
      <c r="K82" s="8">
        <v>20501</v>
      </c>
      <c r="L82" s="3">
        <v>28277</v>
      </c>
      <c r="M82" s="62"/>
      <c r="N82" s="13" t="s">
        <v>1702</v>
      </c>
      <c r="O82" s="20"/>
      <c r="P82" s="21" t="s">
        <v>2882</v>
      </c>
      <c r="Q82" s="17"/>
      <c r="R82" s="23" t="s">
        <v>2814</v>
      </c>
      <c r="S82">
        <v>7</v>
      </c>
      <c r="T82">
        <v>4</v>
      </c>
      <c r="U82">
        <v>5</v>
      </c>
      <c r="V82" s="101">
        <v>1</v>
      </c>
      <c r="W82" s="71" t="s">
        <v>2741</v>
      </c>
      <c r="X82" t="s">
        <v>1706</v>
      </c>
      <c r="AE82" s="71" t="s">
        <v>2740</v>
      </c>
    </row>
    <row r="83" spans="1:31" ht="19">
      <c r="A83" t="s">
        <v>1179</v>
      </c>
      <c r="B83">
        <v>107</v>
      </c>
      <c r="C83" s="2" t="s">
        <v>1695</v>
      </c>
      <c r="D83" s="71" t="s">
        <v>811</v>
      </c>
      <c r="E83" t="s">
        <v>830</v>
      </c>
      <c r="G83" s="31"/>
      <c r="I83" s="9"/>
      <c r="J83" s="5"/>
      <c r="K83" s="8">
        <v>21795</v>
      </c>
      <c r="L83" s="3">
        <v>22514</v>
      </c>
      <c r="M83" s="62"/>
      <c r="N83" s="13" t="s">
        <v>1711</v>
      </c>
      <c r="O83" s="20"/>
      <c r="P83" s="21" t="s">
        <v>2882</v>
      </c>
      <c r="Q83" s="17"/>
      <c r="R83" s="23" t="s">
        <v>2815</v>
      </c>
      <c r="S83">
        <v>7</v>
      </c>
      <c r="T83">
        <v>4</v>
      </c>
      <c r="U83">
        <v>5</v>
      </c>
      <c r="V83" s="101">
        <v>1</v>
      </c>
      <c r="W83" s="71" t="s">
        <v>2743</v>
      </c>
      <c r="X83" t="s">
        <v>2744</v>
      </c>
      <c r="AE83" s="71" t="s">
        <v>2742</v>
      </c>
    </row>
    <row r="84" spans="1:31" ht="19">
      <c r="B84">
        <v>107</v>
      </c>
      <c r="C84" s="2" t="s">
        <v>1695</v>
      </c>
      <c r="D84" s="71" t="s">
        <v>1647</v>
      </c>
      <c r="E84" t="s">
        <v>1716</v>
      </c>
      <c r="G84" s="31"/>
      <c r="I84" s="9"/>
      <c r="J84" s="5"/>
      <c r="K84" s="8">
        <v>25931</v>
      </c>
      <c r="L84" s="3"/>
      <c r="M84" s="62"/>
      <c r="N84" s="13" t="s">
        <v>1718</v>
      </c>
      <c r="O84" s="20"/>
      <c r="P84" s="21" t="s">
        <v>2882</v>
      </c>
      <c r="Q84" s="17"/>
      <c r="R84" s="23" t="s">
        <v>2815</v>
      </c>
      <c r="S84">
        <v>7</v>
      </c>
      <c r="T84">
        <v>4</v>
      </c>
      <c r="U84">
        <v>5</v>
      </c>
      <c r="V84" s="101">
        <v>1</v>
      </c>
      <c r="W84" t="s">
        <v>1717</v>
      </c>
      <c r="X84" t="s">
        <v>2747</v>
      </c>
      <c r="AE84" s="71" t="s">
        <v>2746</v>
      </c>
    </row>
    <row r="85" spans="1:31">
      <c r="B85">
        <v>108</v>
      </c>
      <c r="C85" s="71" t="s">
        <v>1720</v>
      </c>
      <c r="D85" t="s">
        <v>1036</v>
      </c>
      <c r="E85" t="s">
        <v>870</v>
      </c>
      <c r="G85" s="31"/>
      <c r="I85" s="9"/>
      <c r="J85" s="5"/>
      <c r="K85" s="8">
        <v>19687</v>
      </c>
      <c r="L85" s="3">
        <v>29860</v>
      </c>
      <c r="M85" s="62"/>
      <c r="N85" s="13" t="s">
        <v>1721</v>
      </c>
      <c r="O85" s="20"/>
      <c r="P85" s="21" t="s">
        <v>2883</v>
      </c>
      <c r="Q85" s="17"/>
      <c r="R85" s="23" t="s">
        <v>2814</v>
      </c>
      <c r="S85">
        <v>7</v>
      </c>
      <c r="T85">
        <v>4</v>
      </c>
      <c r="U85">
        <v>5</v>
      </c>
      <c r="V85" s="101">
        <v>1</v>
      </c>
      <c r="W85" t="s">
        <v>2749</v>
      </c>
      <c r="X85" t="s">
        <v>2750</v>
      </c>
      <c r="AE85" s="71"/>
    </row>
    <row r="86" spans="1:31" ht="19">
      <c r="B86">
        <v>108</v>
      </c>
      <c r="C86" s="2" t="s">
        <v>1720</v>
      </c>
      <c r="D86" s="71" t="s">
        <v>928</v>
      </c>
      <c r="E86" t="s">
        <v>830</v>
      </c>
      <c r="F86" t="s">
        <v>914</v>
      </c>
      <c r="G86" s="31"/>
      <c r="I86" s="9"/>
      <c r="J86" s="5"/>
      <c r="K86" s="8">
        <v>20801</v>
      </c>
      <c r="L86" s="3">
        <v>29533</v>
      </c>
      <c r="M86" s="62"/>
      <c r="N86" s="13" t="s">
        <v>1727</v>
      </c>
      <c r="O86" s="20"/>
      <c r="P86" s="21" t="s">
        <v>2883</v>
      </c>
      <c r="Q86" s="17"/>
      <c r="R86" s="23" t="s">
        <v>2815</v>
      </c>
      <c r="S86">
        <v>7</v>
      </c>
      <c r="T86">
        <v>4</v>
      </c>
      <c r="U86">
        <v>5</v>
      </c>
      <c r="V86" s="101">
        <v>1</v>
      </c>
      <c r="W86" s="71" t="s">
        <v>2751</v>
      </c>
      <c r="AE86" s="71"/>
    </row>
    <row r="87" spans="1:31" ht="19">
      <c r="B87">
        <v>108</v>
      </c>
      <c r="C87" s="2" t="s">
        <v>1720</v>
      </c>
      <c r="D87" s="71" t="s">
        <v>905</v>
      </c>
      <c r="E87" t="s">
        <v>842</v>
      </c>
      <c r="G87" s="31"/>
      <c r="I87" s="9"/>
      <c r="J87" s="5"/>
      <c r="K87" s="8">
        <v>22617</v>
      </c>
      <c r="L87" s="3">
        <v>30086</v>
      </c>
      <c r="M87" s="62"/>
      <c r="N87" s="13" t="s">
        <v>1731</v>
      </c>
      <c r="O87" s="20"/>
      <c r="P87" s="21" t="s">
        <v>2883</v>
      </c>
      <c r="Q87" s="17"/>
      <c r="R87" s="23" t="s">
        <v>2815</v>
      </c>
      <c r="S87">
        <v>7</v>
      </c>
      <c r="T87">
        <v>4</v>
      </c>
      <c r="U87">
        <v>5</v>
      </c>
      <c r="V87" s="101">
        <v>1</v>
      </c>
      <c r="W87" s="71" t="s">
        <v>2752</v>
      </c>
      <c r="AE87" s="71"/>
    </row>
    <row r="88" spans="1:31" ht="19">
      <c r="B88">
        <v>108</v>
      </c>
      <c r="C88" s="2" t="s">
        <v>1720</v>
      </c>
      <c r="D88" s="71" t="s">
        <v>865</v>
      </c>
      <c r="E88" t="s">
        <v>918</v>
      </c>
      <c r="G88" s="31"/>
      <c r="I88" s="9"/>
      <c r="J88" s="5"/>
      <c r="K88" s="8">
        <v>23324</v>
      </c>
      <c r="L88" s="3">
        <v>31227</v>
      </c>
      <c r="M88" s="62"/>
      <c r="N88" s="13" t="s">
        <v>1734</v>
      </c>
      <c r="O88" s="20"/>
      <c r="P88" s="21" t="s">
        <v>2883</v>
      </c>
      <c r="Q88" s="17"/>
      <c r="R88" s="23" t="s">
        <v>2815</v>
      </c>
      <c r="S88">
        <v>7</v>
      </c>
      <c r="T88">
        <v>4</v>
      </c>
      <c r="U88">
        <v>5</v>
      </c>
      <c r="V88" s="101">
        <v>1</v>
      </c>
      <c r="W88" s="71" t="s">
        <v>2753</v>
      </c>
      <c r="AE88" s="71"/>
    </row>
    <row r="89" spans="1:31" ht="19">
      <c r="B89">
        <v>109</v>
      </c>
      <c r="C89" s="2" t="s">
        <v>1738</v>
      </c>
      <c r="D89" s="71" t="s">
        <v>2754</v>
      </c>
      <c r="G89" s="31"/>
      <c r="I89" s="9"/>
      <c r="J89" s="5"/>
      <c r="K89" s="8">
        <v>23706</v>
      </c>
      <c r="L89" s="3"/>
      <c r="M89" s="62"/>
      <c r="N89" s="13" t="s">
        <v>1739</v>
      </c>
      <c r="O89" s="20"/>
      <c r="P89" s="21" t="s">
        <v>2884</v>
      </c>
      <c r="Q89" s="17"/>
      <c r="R89" s="23" t="s">
        <v>2814</v>
      </c>
      <c r="S89">
        <v>7</v>
      </c>
      <c r="T89">
        <v>4</v>
      </c>
      <c r="U89">
        <v>5</v>
      </c>
      <c r="V89" s="101">
        <v>1</v>
      </c>
      <c r="AE89" s="71" t="s">
        <v>2755</v>
      </c>
    </row>
    <row r="90" spans="1:31" ht="19">
      <c r="B90">
        <v>109</v>
      </c>
      <c r="C90" s="2" t="s">
        <v>1738</v>
      </c>
      <c r="D90" s="71" t="s">
        <v>919</v>
      </c>
      <c r="G90" s="31"/>
      <c r="I90" s="9"/>
      <c r="J90" s="5"/>
      <c r="K90" s="8">
        <v>24706</v>
      </c>
      <c r="L90" s="3"/>
      <c r="M90" s="62"/>
      <c r="N90" s="13" t="s">
        <v>1740</v>
      </c>
      <c r="O90" s="20"/>
      <c r="P90" s="21" t="s">
        <v>2884</v>
      </c>
      <c r="Q90" s="17"/>
      <c r="R90" s="23" t="s">
        <v>2815</v>
      </c>
      <c r="S90">
        <v>7</v>
      </c>
      <c r="T90">
        <v>4</v>
      </c>
      <c r="U90">
        <v>5</v>
      </c>
      <c r="V90" s="101">
        <v>1</v>
      </c>
      <c r="AE90" s="71" t="s">
        <v>2756</v>
      </c>
    </row>
    <row r="91" spans="1:31" ht="19">
      <c r="B91">
        <v>110</v>
      </c>
      <c r="C91" s="2" t="s">
        <v>1742</v>
      </c>
      <c r="D91" t="s">
        <v>842</v>
      </c>
      <c r="E91" t="s">
        <v>1743</v>
      </c>
      <c r="G91" s="31"/>
      <c r="I91" s="9"/>
      <c r="J91" s="5"/>
      <c r="K91" s="8">
        <v>22492</v>
      </c>
      <c r="L91" s="3">
        <v>32004</v>
      </c>
      <c r="M91" s="62"/>
      <c r="N91" s="13" t="s">
        <v>1744</v>
      </c>
      <c r="O91" s="20"/>
      <c r="P91" s="21" t="s">
        <v>2886</v>
      </c>
      <c r="Q91" s="17"/>
      <c r="R91" s="23" t="s">
        <v>2815</v>
      </c>
      <c r="S91">
        <v>7</v>
      </c>
      <c r="T91">
        <v>4</v>
      </c>
      <c r="U91">
        <v>5</v>
      </c>
      <c r="V91" s="101">
        <v>1</v>
      </c>
      <c r="W91" s="71" t="s">
        <v>2758</v>
      </c>
      <c r="AE91" s="71" t="s">
        <v>2757</v>
      </c>
    </row>
    <row r="92" spans="1:31" ht="19">
      <c r="B92">
        <v>110</v>
      </c>
      <c r="C92" s="2" t="s">
        <v>1742</v>
      </c>
      <c r="D92" t="s">
        <v>936</v>
      </c>
      <c r="E92" t="s">
        <v>870</v>
      </c>
      <c r="G92" s="31"/>
      <c r="I92" s="9"/>
      <c r="J92" s="5"/>
      <c r="K92" s="8">
        <v>23060</v>
      </c>
      <c r="L92" s="3"/>
      <c r="M92" s="62"/>
      <c r="N92" s="13" t="s">
        <v>1749</v>
      </c>
      <c r="O92" s="20"/>
      <c r="P92" s="21" t="s">
        <v>2886</v>
      </c>
      <c r="Q92" s="17"/>
      <c r="R92" s="23" t="s">
        <v>2814</v>
      </c>
      <c r="S92">
        <v>7</v>
      </c>
      <c r="T92">
        <v>4</v>
      </c>
      <c r="U92">
        <v>5</v>
      </c>
      <c r="V92" s="101">
        <v>1</v>
      </c>
      <c r="AE92" s="71" t="s">
        <v>2760</v>
      </c>
    </row>
    <row r="93" spans="1:31" ht="19">
      <c r="B93">
        <v>110</v>
      </c>
      <c r="C93" s="2" t="s">
        <v>1742</v>
      </c>
      <c r="D93" t="s">
        <v>902</v>
      </c>
      <c r="E93" t="s">
        <v>810</v>
      </c>
      <c r="G93" s="31"/>
      <c r="I93" s="9"/>
      <c r="J93" s="5"/>
      <c r="K93" s="8">
        <v>23456</v>
      </c>
      <c r="L93" s="3"/>
      <c r="M93" s="62"/>
      <c r="N93" s="13" t="s">
        <v>1750</v>
      </c>
      <c r="O93" s="20"/>
      <c r="P93" s="21" t="s">
        <v>2886</v>
      </c>
      <c r="Q93" s="17"/>
      <c r="R93" s="23" t="s">
        <v>2815</v>
      </c>
      <c r="S93">
        <v>7</v>
      </c>
      <c r="T93">
        <v>4</v>
      </c>
      <c r="U93">
        <v>5</v>
      </c>
      <c r="V93" s="101">
        <v>1</v>
      </c>
      <c r="AE93" s="71" t="s">
        <v>2761</v>
      </c>
    </row>
    <row r="94" spans="1:31" ht="19">
      <c r="B94">
        <v>110</v>
      </c>
      <c r="C94" s="2" t="s">
        <v>1742</v>
      </c>
      <c r="D94" t="s">
        <v>1752</v>
      </c>
      <c r="E94" t="s">
        <v>882</v>
      </c>
      <c r="G94" s="31"/>
      <c r="I94" s="9"/>
      <c r="J94" s="5"/>
      <c r="K94" s="8">
        <v>24376</v>
      </c>
      <c r="L94" s="3">
        <v>35276</v>
      </c>
      <c r="M94" s="62"/>
      <c r="N94" s="13" t="s">
        <v>1751</v>
      </c>
      <c r="O94" s="20"/>
      <c r="P94" s="21" t="s">
        <v>2886</v>
      </c>
      <c r="Q94" s="17"/>
      <c r="R94" s="23" t="s">
        <v>2814</v>
      </c>
      <c r="S94">
        <v>7</v>
      </c>
      <c r="T94">
        <v>4</v>
      </c>
      <c r="U94">
        <v>5</v>
      </c>
      <c r="V94" s="101">
        <v>1</v>
      </c>
      <c r="W94" t="s">
        <v>2763</v>
      </c>
      <c r="X94" s="71" t="s">
        <v>2764</v>
      </c>
      <c r="AE94" s="71" t="s">
        <v>2762</v>
      </c>
    </row>
    <row r="95" spans="1:31" ht="19">
      <c r="B95">
        <v>112</v>
      </c>
      <c r="C95" s="2" t="s">
        <v>1758</v>
      </c>
      <c r="D95" t="s">
        <v>1759</v>
      </c>
      <c r="E95" t="s">
        <v>842</v>
      </c>
      <c r="G95" s="31"/>
      <c r="I95" s="9"/>
      <c r="J95" s="5"/>
      <c r="K95" s="8">
        <v>21471</v>
      </c>
      <c r="L95" s="3"/>
      <c r="M95" s="62"/>
      <c r="N95" s="13" t="s">
        <v>1760</v>
      </c>
      <c r="O95" s="20"/>
      <c r="P95" s="21" t="s">
        <v>2887</v>
      </c>
      <c r="Q95" s="17"/>
      <c r="R95" s="23" t="s">
        <v>2815</v>
      </c>
      <c r="S95">
        <v>7</v>
      </c>
      <c r="T95">
        <v>4</v>
      </c>
      <c r="U95">
        <v>5</v>
      </c>
      <c r="V95" s="101">
        <v>1</v>
      </c>
      <c r="AE95" s="71" t="s">
        <v>2765</v>
      </c>
    </row>
    <row r="96" spans="1:31" ht="19">
      <c r="B96">
        <v>112</v>
      </c>
      <c r="C96" s="2" t="s">
        <v>1758</v>
      </c>
      <c r="D96" t="s">
        <v>1764</v>
      </c>
      <c r="E96" t="s">
        <v>1765</v>
      </c>
      <c r="G96" s="31"/>
      <c r="I96" s="9"/>
      <c r="J96" s="5"/>
      <c r="K96" s="8">
        <v>22204</v>
      </c>
      <c r="L96" s="3"/>
      <c r="M96" s="62"/>
      <c r="N96" s="13" t="s">
        <v>1761</v>
      </c>
      <c r="O96" s="20"/>
      <c r="P96" s="21" t="s">
        <v>2887</v>
      </c>
      <c r="Q96" s="17"/>
      <c r="R96" s="23" t="s">
        <v>2814</v>
      </c>
      <c r="S96">
        <v>7</v>
      </c>
      <c r="T96">
        <v>4</v>
      </c>
      <c r="U96">
        <v>5</v>
      </c>
      <c r="V96" s="101">
        <v>1</v>
      </c>
      <c r="AE96" s="71" t="s">
        <v>2766</v>
      </c>
    </row>
    <row r="97" spans="2:31" ht="19">
      <c r="B97">
        <v>112</v>
      </c>
      <c r="C97" s="2" t="s">
        <v>1758</v>
      </c>
      <c r="D97" t="s">
        <v>1766</v>
      </c>
      <c r="E97" t="s">
        <v>928</v>
      </c>
      <c r="G97" s="31"/>
      <c r="I97" s="9"/>
      <c r="J97" s="5"/>
      <c r="K97" s="8">
        <v>22576</v>
      </c>
      <c r="L97" s="3"/>
      <c r="M97" s="62"/>
      <c r="N97" s="13" t="s">
        <v>1762</v>
      </c>
      <c r="O97" s="20"/>
      <c r="P97" s="21" t="s">
        <v>2887</v>
      </c>
      <c r="Q97" s="17"/>
      <c r="R97" s="23" t="s">
        <v>2815</v>
      </c>
      <c r="S97">
        <v>7</v>
      </c>
      <c r="T97">
        <v>4</v>
      </c>
      <c r="U97">
        <v>5</v>
      </c>
      <c r="V97" s="101">
        <v>1</v>
      </c>
      <c r="AE97" s="71" t="s">
        <v>2766</v>
      </c>
    </row>
    <row r="98" spans="2:31" ht="19">
      <c r="B98">
        <v>112</v>
      </c>
      <c r="C98" s="2" t="s">
        <v>1758</v>
      </c>
      <c r="D98" t="s">
        <v>1767</v>
      </c>
      <c r="E98" t="s">
        <v>1768</v>
      </c>
      <c r="G98" s="31"/>
      <c r="I98" s="9"/>
      <c r="J98" s="5"/>
      <c r="K98" s="8">
        <v>23091</v>
      </c>
      <c r="L98" s="3"/>
      <c r="M98" s="62"/>
      <c r="N98" s="13" t="s">
        <v>1763</v>
      </c>
      <c r="O98" s="20"/>
      <c r="P98" s="21" t="s">
        <v>2887</v>
      </c>
      <c r="Q98" s="17"/>
      <c r="R98" s="23" t="s">
        <v>2814</v>
      </c>
      <c r="S98">
        <v>7</v>
      </c>
      <c r="T98">
        <v>4</v>
      </c>
      <c r="U98">
        <v>5</v>
      </c>
      <c r="V98" s="101">
        <v>1</v>
      </c>
      <c r="AE98" s="71" t="s">
        <v>2766</v>
      </c>
    </row>
    <row r="99" spans="2:31" ht="19">
      <c r="B99">
        <v>115</v>
      </c>
      <c r="C99" s="2" t="s">
        <v>1770</v>
      </c>
      <c r="D99" t="s">
        <v>1771</v>
      </c>
      <c r="E99" t="s">
        <v>1772</v>
      </c>
      <c r="F99" t="s">
        <v>1654</v>
      </c>
      <c r="G99" s="31"/>
      <c r="I99" s="9"/>
      <c r="J99" s="5"/>
      <c r="K99" s="8">
        <v>23647</v>
      </c>
      <c r="L99" s="3">
        <v>33516</v>
      </c>
      <c r="M99" s="62"/>
      <c r="N99" s="13" t="s">
        <v>1773</v>
      </c>
      <c r="O99" s="20"/>
      <c r="P99" s="21" t="s">
        <v>2888</v>
      </c>
      <c r="Q99" s="17"/>
      <c r="R99" s="23" t="s">
        <v>2814</v>
      </c>
      <c r="S99">
        <v>7</v>
      </c>
      <c r="T99">
        <v>4</v>
      </c>
      <c r="U99">
        <v>5</v>
      </c>
      <c r="V99" s="101">
        <v>1</v>
      </c>
      <c r="W99" t="s">
        <v>2768</v>
      </c>
      <c r="X99" s="71" t="s">
        <v>2769</v>
      </c>
      <c r="AE99" s="71" t="s">
        <v>2767</v>
      </c>
    </row>
    <row r="100" spans="2:31" ht="19">
      <c r="B100">
        <v>115</v>
      </c>
      <c r="C100" s="2" t="s">
        <v>1770</v>
      </c>
      <c r="D100" t="s">
        <v>1779</v>
      </c>
      <c r="E100" t="s">
        <v>870</v>
      </c>
      <c r="F100" t="s">
        <v>1775</v>
      </c>
      <c r="G100" s="31"/>
      <c r="I100" s="9"/>
      <c r="J100" s="5"/>
      <c r="K100" s="8">
        <v>24650</v>
      </c>
      <c r="L100" s="3">
        <v>34125</v>
      </c>
      <c r="M100" s="62"/>
      <c r="N100" s="13" t="s">
        <v>1780</v>
      </c>
      <c r="O100" s="20"/>
      <c r="P100" s="21" t="s">
        <v>2888</v>
      </c>
      <c r="Q100" s="17"/>
      <c r="R100" s="23" t="s">
        <v>2814</v>
      </c>
      <c r="S100">
        <v>7</v>
      </c>
      <c r="T100">
        <v>4</v>
      </c>
      <c r="U100">
        <v>5</v>
      </c>
      <c r="V100" s="101">
        <v>1</v>
      </c>
      <c r="W100" t="s">
        <v>2771</v>
      </c>
      <c r="X100" s="71" t="s">
        <v>2772</v>
      </c>
      <c r="AE100" s="71" t="s">
        <v>2770</v>
      </c>
    </row>
    <row r="101" spans="2:31" ht="19">
      <c r="B101">
        <v>115</v>
      </c>
      <c r="C101" s="2" t="s">
        <v>1770</v>
      </c>
      <c r="D101" t="s">
        <v>1785</v>
      </c>
      <c r="E101" t="s">
        <v>1786</v>
      </c>
      <c r="F101" t="s">
        <v>892</v>
      </c>
      <c r="G101" s="31"/>
      <c r="I101" s="9"/>
      <c r="J101" s="5"/>
      <c r="K101" s="8">
        <v>25302</v>
      </c>
      <c r="L101" s="3">
        <v>36127</v>
      </c>
      <c r="M101" s="62"/>
      <c r="N101" s="13" t="s">
        <v>1787</v>
      </c>
      <c r="O101" s="20"/>
      <c r="P101" s="21" t="s">
        <v>2888</v>
      </c>
      <c r="Q101" s="17"/>
      <c r="R101" s="23" t="s">
        <v>2814</v>
      </c>
      <c r="S101">
        <v>7</v>
      </c>
      <c r="T101">
        <v>4</v>
      </c>
      <c r="U101">
        <v>5</v>
      </c>
      <c r="V101" s="101">
        <v>1</v>
      </c>
      <c r="W101" t="s">
        <v>1788</v>
      </c>
      <c r="X101" s="71" t="s">
        <v>2774</v>
      </c>
      <c r="AE101" s="71" t="s">
        <v>2773</v>
      </c>
    </row>
    <row r="102" spans="2:31" ht="19">
      <c r="B102">
        <v>115</v>
      </c>
      <c r="C102" s="2" t="s">
        <v>1770</v>
      </c>
      <c r="D102" t="s">
        <v>1789</v>
      </c>
      <c r="E102" t="s">
        <v>848</v>
      </c>
      <c r="F102" t="s">
        <v>1790</v>
      </c>
      <c r="G102" s="31"/>
      <c r="I102" s="9"/>
      <c r="J102" s="5"/>
      <c r="K102" s="8">
        <v>26203</v>
      </c>
      <c r="L102" s="3"/>
      <c r="M102" s="62"/>
      <c r="N102" s="13" t="s">
        <v>1791</v>
      </c>
      <c r="O102" s="20"/>
      <c r="P102" s="21" t="s">
        <v>2888</v>
      </c>
      <c r="Q102" s="17"/>
      <c r="R102" s="23" t="s">
        <v>2815</v>
      </c>
      <c r="S102">
        <v>7</v>
      </c>
      <c r="T102">
        <v>4</v>
      </c>
      <c r="U102">
        <v>5</v>
      </c>
      <c r="V102" s="101">
        <v>1</v>
      </c>
      <c r="AE102" s="71" t="s">
        <v>2775</v>
      </c>
    </row>
    <row r="103" spans="2:31" ht="19">
      <c r="B103">
        <v>115</v>
      </c>
      <c r="C103" s="2" t="s">
        <v>1770</v>
      </c>
      <c r="D103" t="s">
        <v>1792</v>
      </c>
      <c r="E103" t="s">
        <v>824</v>
      </c>
      <c r="G103" s="31"/>
      <c r="I103" s="9"/>
      <c r="J103" s="5"/>
      <c r="K103" s="8">
        <v>27069</v>
      </c>
      <c r="L103" s="3"/>
      <c r="M103" s="62"/>
      <c r="N103" s="13" t="s">
        <v>1793</v>
      </c>
      <c r="O103" s="20"/>
      <c r="P103" s="21" t="s">
        <v>2888</v>
      </c>
      <c r="Q103" s="17"/>
      <c r="R103" s="23" t="s">
        <v>2814</v>
      </c>
      <c r="S103">
        <v>7</v>
      </c>
      <c r="T103">
        <v>4</v>
      </c>
      <c r="U103">
        <v>5</v>
      </c>
      <c r="V103" s="101">
        <v>1</v>
      </c>
      <c r="AE103" s="71" t="s">
        <v>2776</v>
      </c>
    </row>
    <row r="104" spans="2:31" ht="19">
      <c r="B104">
        <v>116</v>
      </c>
      <c r="C104" s="2" t="s">
        <v>1795</v>
      </c>
      <c r="D104" t="s">
        <v>1796</v>
      </c>
      <c r="G104" s="31"/>
      <c r="I104" s="9"/>
      <c r="J104" s="5"/>
      <c r="K104" s="8">
        <v>25587</v>
      </c>
      <c r="L104" s="3" t="s">
        <v>1797</v>
      </c>
      <c r="M104" s="62">
        <v>25587</v>
      </c>
      <c r="N104" s="13" t="s">
        <v>1798</v>
      </c>
      <c r="O104" s="20"/>
      <c r="P104" s="21" t="s">
        <v>2889</v>
      </c>
      <c r="Q104" s="17"/>
      <c r="R104" s="23" t="s">
        <v>2815</v>
      </c>
      <c r="S104">
        <v>7</v>
      </c>
      <c r="T104">
        <v>4</v>
      </c>
      <c r="U104">
        <v>5</v>
      </c>
      <c r="V104" s="101">
        <v>1</v>
      </c>
      <c r="AE104" s="71" t="s">
        <v>2777</v>
      </c>
    </row>
    <row r="105" spans="2:31" ht="19">
      <c r="B105">
        <v>116</v>
      </c>
      <c r="C105" s="2" t="s">
        <v>1795</v>
      </c>
      <c r="D105" t="s">
        <v>985</v>
      </c>
      <c r="G105" s="31"/>
      <c r="I105" s="9"/>
      <c r="J105" s="5"/>
      <c r="K105" s="8">
        <v>26157</v>
      </c>
      <c r="L105" s="3"/>
      <c r="M105" s="62"/>
      <c r="N105" s="13" t="s">
        <v>1799</v>
      </c>
      <c r="O105" s="20"/>
      <c r="P105" s="21" t="s">
        <v>2889</v>
      </c>
      <c r="Q105" s="17"/>
      <c r="R105" s="23" t="s">
        <v>2814</v>
      </c>
      <c r="S105">
        <v>7</v>
      </c>
      <c r="T105">
        <v>4</v>
      </c>
      <c r="U105">
        <v>5</v>
      </c>
      <c r="V105" s="101">
        <v>1</v>
      </c>
      <c r="AE105" s="71" t="s">
        <v>2778</v>
      </c>
    </row>
    <row r="106" spans="2:31" ht="19">
      <c r="B106">
        <v>116</v>
      </c>
      <c r="C106" s="2" t="s">
        <v>1795</v>
      </c>
      <c r="D106" t="s">
        <v>1654</v>
      </c>
      <c r="G106" s="31"/>
      <c r="I106" s="9"/>
      <c r="J106" s="5"/>
      <c r="K106" s="8">
        <v>26753</v>
      </c>
      <c r="L106" s="3"/>
      <c r="M106" s="62"/>
      <c r="N106" s="13" t="s">
        <v>1800</v>
      </c>
      <c r="O106" s="20"/>
      <c r="P106" s="21" t="s">
        <v>2889</v>
      </c>
      <c r="Q106" s="17"/>
      <c r="R106" s="23" t="s">
        <v>2814</v>
      </c>
      <c r="S106">
        <v>7</v>
      </c>
      <c r="T106">
        <v>4</v>
      </c>
      <c r="U106">
        <v>5</v>
      </c>
      <c r="V106" s="101">
        <v>1</v>
      </c>
      <c r="AE106" s="71" t="s">
        <v>2779</v>
      </c>
    </row>
    <row r="107" spans="2:31" ht="19">
      <c r="B107">
        <v>123</v>
      </c>
      <c r="C107" s="2" t="s">
        <v>1803</v>
      </c>
      <c r="D107" t="s">
        <v>939</v>
      </c>
      <c r="E107" t="s">
        <v>922</v>
      </c>
      <c r="F107" t="s">
        <v>1497</v>
      </c>
      <c r="G107" s="31"/>
      <c r="I107" s="9"/>
      <c r="J107" s="5"/>
      <c r="K107" s="8">
        <v>28739</v>
      </c>
      <c r="L107" s="3"/>
      <c r="M107" s="62"/>
      <c r="N107" s="13" t="s">
        <v>1806</v>
      </c>
      <c r="O107" s="20"/>
      <c r="P107" s="21" t="s">
        <v>2890</v>
      </c>
      <c r="Q107" s="17"/>
      <c r="R107" s="23" t="s">
        <v>2814</v>
      </c>
      <c r="S107">
        <v>8</v>
      </c>
      <c r="T107">
        <v>4</v>
      </c>
      <c r="U107">
        <v>6</v>
      </c>
      <c r="V107" s="101">
        <v>1</v>
      </c>
      <c r="AE107" s="71" t="s">
        <v>2780</v>
      </c>
    </row>
    <row r="108" spans="2:31" ht="19">
      <c r="B108">
        <v>123</v>
      </c>
      <c r="C108" s="2" t="s">
        <v>1803</v>
      </c>
      <c r="D108" t="s">
        <v>1804</v>
      </c>
      <c r="E108" t="s">
        <v>1805</v>
      </c>
      <c r="F108" t="s">
        <v>1497</v>
      </c>
      <c r="G108" s="31"/>
      <c r="I108" s="9"/>
      <c r="J108" s="5"/>
      <c r="K108" s="8">
        <v>29571</v>
      </c>
      <c r="L108" s="3"/>
      <c r="M108" s="62"/>
      <c r="N108" s="13" t="s">
        <v>1807</v>
      </c>
      <c r="O108" s="20"/>
      <c r="P108" s="21" t="s">
        <v>2890</v>
      </c>
      <c r="Q108" s="17"/>
      <c r="R108" s="23" t="s">
        <v>2815</v>
      </c>
      <c r="S108">
        <v>8</v>
      </c>
      <c r="T108">
        <v>4</v>
      </c>
      <c r="U108">
        <v>6</v>
      </c>
      <c r="V108" s="101">
        <v>1</v>
      </c>
      <c r="AE108" s="71" t="s">
        <v>2781</v>
      </c>
    </row>
    <row r="109" spans="2:31" ht="19">
      <c r="B109">
        <v>125</v>
      </c>
      <c r="C109" s="2" t="s">
        <v>1809</v>
      </c>
      <c r="D109" t="s">
        <v>920</v>
      </c>
      <c r="E109" t="s">
        <v>896</v>
      </c>
      <c r="G109" s="31"/>
      <c r="I109" s="9"/>
      <c r="J109" s="5"/>
      <c r="K109" s="8">
        <v>27964</v>
      </c>
      <c r="L109" s="3"/>
      <c r="M109" s="62"/>
      <c r="N109" s="13" t="s">
        <v>1811</v>
      </c>
      <c r="O109" s="20"/>
      <c r="P109" s="21" t="s">
        <v>2891</v>
      </c>
      <c r="Q109" s="17"/>
      <c r="R109" s="23" t="s">
        <v>2815</v>
      </c>
      <c r="S109">
        <v>8</v>
      </c>
      <c r="T109">
        <v>4</v>
      </c>
      <c r="U109">
        <v>6</v>
      </c>
      <c r="V109" s="101">
        <v>1</v>
      </c>
      <c r="AE109" s="71"/>
    </row>
    <row r="110" spans="2:31" ht="19">
      <c r="B110">
        <v>125</v>
      </c>
      <c r="C110" s="2" t="s">
        <v>1809</v>
      </c>
      <c r="D110" t="s">
        <v>1810</v>
      </c>
      <c r="E110" t="s">
        <v>870</v>
      </c>
      <c r="G110" s="31"/>
      <c r="I110" s="9"/>
      <c r="J110" s="5"/>
      <c r="K110" s="8">
        <v>28633</v>
      </c>
      <c r="L110" s="3"/>
      <c r="M110" s="62"/>
      <c r="N110" s="13" t="s">
        <v>1812</v>
      </c>
      <c r="O110" s="20"/>
      <c r="P110" s="21" t="s">
        <v>2891</v>
      </c>
      <c r="Q110" s="17"/>
      <c r="R110" s="23" t="s">
        <v>2814</v>
      </c>
      <c r="S110">
        <v>8</v>
      </c>
      <c r="T110">
        <v>4</v>
      </c>
      <c r="U110">
        <v>6</v>
      </c>
      <c r="V110" s="101">
        <v>1</v>
      </c>
      <c r="AE110" s="71"/>
    </row>
    <row r="111" spans="2:31" ht="19">
      <c r="B111">
        <v>128</v>
      </c>
      <c r="C111" s="2" t="s">
        <v>1814</v>
      </c>
      <c r="D111" t="s">
        <v>944</v>
      </c>
      <c r="E111" t="s">
        <v>1436</v>
      </c>
      <c r="G111" s="31"/>
      <c r="I111" s="9"/>
      <c r="J111" s="5"/>
      <c r="K111" s="8">
        <v>33242</v>
      </c>
      <c r="L111" s="3"/>
      <c r="M111" s="62"/>
      <c r="N111" s="13" t="s">
        <v>1816</v>
      </c>
      <c r="O111" s="20"/>
      <c r="P111" s="21" t="s">
        <v>2892</v>
      </c>
      <c r="Q111" s="17"/>
      <c r="R111" s="23" t="s">
        <v>2814</v>
      </c>
      <c r="S111">
        <v>8</v>
      </c>
      <c r="T111">
        <v>4</v>
      </c>
      <c r="U111">
        <v>6</v>
      </c>
      <c r="V111" s="101">
        <v>1</v>
      </c>
      <c r="AE111" s="71" t="s">
        <v>2782</v>
      </c>
    </row>
    <row r="112" spans="2:31" ht="19">
      <c r="B112">
        <v>128</v>
      </c>
      <c r="C112" s="2" t="s">
        <v>1814</v>
      </c>
      <c r="D112" t="s">
        <v>985</v>
      </c>
      <c r="E112" t="s">
        <v>1815</v>
      </c>
      <c r="G112" s="31"/>
      <c r="I112" s="9"/>
      <c r="J112" s="5"/>
      <c r="K112" s="8">
        <v>34194</v>
      </c>
      <c r="L112" s="3"/>
      <c r="M112" s="62"/>
      <c r="N112" s="13" t="s">
        <v>1817</v>
      </c>
      <c r="O112" s="20"/>
      <c r="P112" s="21" t="s">
        <v>2892</v>
      </c>
      <c r="Q112" s="17"/>
      <c r="R112" s="23" t="s">
        <v>2814</v>
      </c>
      <c r="S112">
        <v>8</v>
      </c>
      <c r="T112">
        <v>4</v>
      </c>
      <c r="U112">
        <v>6</v>
      </c>
      <c r="V112" s="101">
        <v>1</v>
      </c>
      <c r="AE112" s="71" t="s">
        <v>2783</v>
      </c>
    </row>
    <row r="113" spans="2:31" ht="19">
      <c r="B113">
        <v>137</v>
      </c>
      <c r="C113" s="2" t="s">
        <v>1820</v>
      </c>
      <c r="D113" t="s">
        <v>1821</v>
      </c>
      <c r="E113" t="s">
        <v>1822</v>
      </c>
      <c r="F113" t="s">
        <v>845</v>
      </c>
      <c r="G113" s="31"/>
      <c r="I113" s="9"/>
      <c r="J113" s="5"/>
      <c r="K113" s="8">
        <v>36097</v>
      </c>
      <c r="L113" s="3"/>
      <c r="M113" s="62"/>
      <c r="N113" s="13" t="s">
        <v>1823</v>
      </c>
      <c r="O113" s="20"/>
      <c r="P113" s="21" t="s">
        <v>2893</v>
      </c>
      <c r="Q113" s="17"/>
      <c r="R113" s="23" t="s">
        <v>2814</v>
      </c>
      <c r="S113">
        <v>8</v>
      </c>
      <c r="T113">
        <v>4</v>
      </c>
      <c r="U113">
        <v>6</v>
      </c>
      <c r="V113" s="101">
        <v>1</v>
      </c>
      <c r="AE113" s="71" t="s">
        <v>2784</v>
      </c>
    </row>
    <row r="114" spans="2:31" ht="19">
      <c r="B114">
        <v>141</v>
      </c>
      <c r="C114" s="2" t="s">
        <v>1830</v>
      </c>
      <c r="D114" t="s">
        <v>1665</v>
      </c>
      <c r="E114" t="s">
        <v>870</v>
      </c>
      <c r="F114" t="s">
        <v>937</v>
      </c>
      <c r="G114" s="31"/>
      <c r="I114" s="9"/>
      <c r="J114" s="5"/>
      <c r="K114" s="8">
        <v>35127</v>
      </c>
      <c r="L114" s="3"/>
      <c r="M114" s="62"/>
      <c r="N114" s="13" t="s">
        <v>1833</v>
      </c>
      <c r="O114" s="20"/>
      <c r="P114" s="21" t="s">
        <v>2894</v>
      </c>
      <c r="Q114" s="17"/>
      <c r="R114" s="23" t="s">
        <v>2814</v>
      </c>
      <c r="S114">
        <v>8</v>
      </c>
      <c r="T114">
        <v>4</v>
      </c>
      <c r="U114">
        <v>6</v>
      </c>
      <c r="V114" s="101">
        <v>1</v>
      </c>
      <c r="AE114" s="71" t="s">
        <v>2788</v>
      </c>
    </row>
    <row r="115" spans="2:31" ht="19">
      <c r="B115">
        <v>141</v>
      </c>
      <c r="C115" s="2" t="s">
        <v>1830</v>
      </c>
      <c r="D115" t="s">
        <v>807</v>
      </c>
      <c r="E115" t="s">
        <v>1831</v>
      </c>
      <c r="F115" t="s">
        <v>1832</v>
      </c>
      <c r="G115" s="31"/>
      <c r="I115" s="9"/>
      <c r="J115" s="5"/>
      <c r="K115" s="8">
        <v>35895</v>
      </c>
      <c r="L115" s="3"/>
      <c r="M115" s="62"/>
      <c r="N115" s="13" t="s">
        <v>1834</v>
      </c>
      <c r="O115" s="20"/>
      <c r="P115" s="21" t="s">
        <v>2894</v>
      </c>
      <c r="Q115" s="17"/>
      <c r="R115" s="23" t="s">
        <v>2815</v>
      </c>
      <c r="S115">
        <v>8</v>
      </c>
      <c r="T115">
        <v>4</v>
      </c>
      <c r="U115">
        <v>6</v>
      </c>
      <c r="V115" s="101">
        <v>1</v>
      </c>
      <c r="AE115" s="71" t="s">
        <v>2787</v>
      </c>
    </row>
    <row r="116" spans="2:31" ht="19">
      <c r="B116">
        <v>143</v>
      </c>
      <c r="C116" s="2" t="s">
        <v>1836</v>
      </c>
      <c r="D116" t="s">
        <v>1380</v>
      </c>
      <c r="E116" t="s">
        <v>1630</v>
      </c>
      <c r="G116" s="31"/>
      <c r="I116" s="9"/>
      <c r="J116" s="5"/>
      <c r="K116" s="8">
        <v>32181</v>
      </c>
      <c r="L116" s="3"/>
      <c r="M116" s="62"/>
      <c r="N116" s="13" t="s">
        <v>1838</v>
      </c>
      <c r="O116" s="20"/>
      <c r="P116" s="21" t="s">
        <v>2895</v>
      </c>
      <c r="Q116" s="17"/>
      <c r="R116" s="23" t="s">
        <v>2814</v>
      </c>
      <c r="S116">
        <v>8</v>
      </c>
      <c r="T116">
        <v>4</v>
      </c>
      <c r="U116">
        <v>6</v>
      </c>
      <c r="V116" s="101">
        <v>1</v>
      </c>
      <c r="AE116" s="71" t="s">
        <v>2789</v>
      </c>
    </row>
    <row r="117" spans="2:31" ht="19">
      <c r="B117">
        <v>143</v>
      </c>
      <c r="C117" s="2" t="s">
        <v>1836</v>
      </c>
      <c r="D117" t="s">
        <v>917</v>
      </c>
      <c r="E117" t="s">
        <v>1837</v>
      </c>
      <c r="G117" s="31"/>
      <c r="I117" s="9"/>
      <c r="J117" s="5"/>
      <c r="K117" s="8">
        <v>32974</v>
      </c>
      <c r="L117" s="3"/>
      <c r="M117" s="62"/>
      <c r="N117" s="13" t="s">
        <v>1839</v>
      </c>
      <c r="O117" s="20"/>
      <c r="P117" s="21" t="s">
        <v>2895</v>
      </c>
      <c r="Q117" s="17"/>
      <c r="R117" s="23" t="s">
        <v>2815</v>
      </c>
      <c r="S117">
        <v>8</v>
      </c>
      <c r="T117">
        <v>4</v>
      </c>
      <c r="U117">
        <v>6</v>
      </c>
      <c r="V117" s="101">
        <v>1</v>
      </c>
      <c r="AE117" s="71" t="s">
        <v>2790</v>
      </c>
    </row>
    <row r="118" spans="2:31" ht="19">
      <c r="B118">
        <v>152</v>
      </c>
      <c r="C118" s="2" t="s">
        <v>1841</v>
      </c>
      <c r="D118" t="s">
        <v>1595</v>
      </c>
      <c r="G118" s="31"/>
      <c r="I118" s="9"/>
      <c r="J118" s="5"/>
      <c r="K118" s="8">
        <v>36505</v>
      </c>
      <c r="L118" s="3"/>
      <c r="M118" s="62"/>
      <c r="N118" s="13" t="s">
        <v>1842</v>
      </c>
      <c r="O118" s="20"/>
      <c r="P118" s="21" t="s">
        <v>2896</v>
      </c>
      <c r="Q118" s="17"/>
      <c r="R118" s="23" t="s">
        <v>2814</v>
      </c>
      <c r="S118">
        <v>8</v>
      </c>
      <c r="T118">
        <v>4</v>
      </c>
      <c r="U118">
        <v>6</v>
      </c>
      <c r="V118" s="101">
        <v>1</v>
      </c>
      <c r="AE118" s="71"/>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916B-73BE-0A41-8622-EF30A1E506FF}">
  <sheetPr filterMode="1"/>
  <dimension ref="A1:R87"/>
  <sheetViews>
    <sheetView workbookViewId="0">
      <pane xSplit="1" ySplit="1" topLeftCell="H3" activePane="bottomRight" state="frozen"/>
      <selection pane="topRight" activeCell="B1" sqref="B1"/>
      <selection pane="bottomLeft" activeCell="A2" sqref="A2"/>
      <selection pane="bottomRight" activeCell="R25" sqref="R25"/>
    </sheetView>
  </sheetViews>
  <sheetFormatPr baseColWidth="10" defaultRowHeight="16"/>
  <cols>
    <col min="1" max="1" width="12" bestFit="1" customWidth="1"/>
    <col min="2" max="2" width="30" customWidth="1"/>
    <col min="3" max="3" width="13.6640625" bestFit="1" customWidth="1"/>
    <col min="4" max="4" width="26.33203125" bestFit="1" customWidth="1"/>
    <col min="6" max="6" width="27.83203125" bestFit="1" customWidth="1"/>
    <col min="7" max="7" width="74.5" customWidth="1"/>
    <col min="8" max="8" width="15.6640625" customWidth="1"/>
    <col min="9" max="9" width="23.33203125" bestFit="1" customWidth="1"/>
    <col min="10" max="10" width="19.1640625" customWidth="1"/>
    <col min="11" max="11" width="11.1640625" customWidth="1"/>
    <col min="12" max="12" width="12.1640625" bestFit="1" customWidth="1"/>
    <col min="13" max="13" width="9.83203125" customWidth="1"/>
    <col min="14" max="14" width="20.33203125" customWidth="1"/>
    <col min="15" max="15" width="13" customWidth="1"/>
    <col min="16" max="18" width="12" customWidth="1"/>
  </cols>
  <sheetData>
    <row r="1" spans="1:18" ht="30" customHeight="1" thickBot="1">
      <c r="A1" s="44" t="s">
        <v>1142</v>
      </c>
      <c r="B1" s="45" t="s">
        <v>1141</v>
      </c>
      <c r="C1" s="45" t="s">
        <v>793</v>
      </c>
      <c r="D1" s="45" t="s">
        <v>1145</v>
      </c>
      <c r="E1" s="45" t="s">
        <v>1143</v>
      </c>
      <c r="F1" s="46" t="s">
        <v>1144</v>
      </c>
      <c r="G1" s="45" t="s">
        <v>1306</v>
      </c>
      <c r="H1" s="45" t="s">
        <v>1298</v>
      </c>
      <c r="I1" s="46" t="s">
        <v>1297</v>
      </c>
      <c r="J1" s="36" t="s">
        <v>1300</v>
      </c>
      <c r="K1" s="36" t="s">
        <v>1302</v>
      </c>
      <c r="L1" s="36" t="s">
        <v>1303</v>
      </c>
      <c r="M1" s="36" t="s">
        <v>1305</v>
      </c>
      <c r="N1" s="36" t="s">
        <v>1307</v>
      </c>
      <c r="O1" s="36" t="s">
        <v>1403</v>
      </c>
    </row>
    <row r="2" spans="1:18">
      <c r="A2" s="63">
        <v>85</v>
      </c>
      <c r="B2" s="63" t="s">
        <v>1258</v>
      </c>
      <c r="C2" s="15">
        <v>56</v>
      </c>
      <c r="D2" s="15" t="s">
        <v>1259</v>
      </c>
      <c r="E2" s="67">
        <v>28</v>
      </c>
      <c r="F2" s="67" t="s">
        <v>1292</v>
      </c>
      <c r="G2" s="57" t="s">
        <v>1156</v>
      </c>
      <c r="H2" s="52">
        <v>109</v>
      </c>
      <c r="I2" s="52">
        <v>4</v>
      </c>
      <c r="J2" t="s">
        <v>916</v>
      </c>
      <c r="O2">
        <v>138</v>
      </c>
    </row>
    <row r="3" spans="1:18">
      <c r="A3" s="64">
        <v>95</v>
      </c>
      <c r="B3" s="64" t="s">
        <v>1263</v>
      </c>
      <c r="C3" s="17">
        <v>56</v>
      </c>
      <c r="D3" s="17" t="s">
        <v>1259</v>
      </c>
      <c r="E3" s="68">
        <v>28</v>
      </c>
      <c r="F3" s="68" t="s">
        <v>1259</v>
      </c>
      <c r="G3" s="58" t="s">
        <v>1156</v>
      </c>
      <c r="H3" s="53">
        <v>101</v>
      </c>
      <c r="I3" s="53">
        <v>1</v>
      </c>
      <c r="J3" t="s">
        <v>916</v>
      </c>
      <c r="O3">
        <v>138</v>
      </c>
    </row>
    <row r="4" spans="1:18" ht="17" thickBot="1">
      <c r="A4" s="65">
        <v>101</v>
      </c>
      <c r="B4" s="65" t="s">
        <v>1349</v>
      </c>
      <c r="C4" s="18">
        <v>56</v>
      </c>
      <c r="D4" s="18" t="s">
        <v>1259</v>
      </c>
      <c r="E4" s="69">
        <v>28</v>
      </c>
      <c r="F4" s="69" t="s">
        <v>1259</v>
      </c>
      <c r="G4" s="59" t="s">
        <v>1156</v>
      </c>
      <c r="H4" s="54">
        <v>91</v>
      </c>
      <c r="I4" s="54">
        <v>5</v>
      </c>
      <c r="J4" t="s">
        <v>916</v>
      </c>
      <c r="O4">
        <v>138</v>
      </c>
    </row>
    <row r="5" spans="1:18">
      <c r="A5" s="63">
        <v>109</v>
      </c>
      <c r="B5" s="63" t="s">
        <v>1272</v>
      </c>
      <c r="C5" s="15">
        <v>80</v>
      </c>
      <c r="D5" s="15" t="s">
        <v>1273</v>
      </c>
      <c r="E5" s="67">
        <v>29</v>
      </c>
      <c r="F5" s="67" t="s">
        <v>1273</v>
      </c>
      <c r="G5" s="57" t="s">
        <v>1314</v>
      </c>
      <c r="H5" s="52">
        <v>89</v>
      </c>
      <c r="I5" s="52">
        <v>1</v>
      </c>
      <c r="J5" t="s">
        <v>916</v>
      </c>
    </row>
    <row r="6" spans="1:18">
      <c r="A6" s="64">
        <v>110</v>
      </c>
      <c r="B6" s="64" t="s">
        <v>1274</v>
      </c>
      <c r="C6" s="17">
        <v>80</v>
      </c>
      <c r="D6" s="17" t="s">
        <v>1273</v>
      </c>
      <c r="E6" s="68">
        <v>29</v>
      </c>
      <c r="F6" s="68" t="s">
        <v>1273</v>
      </c>
      <c r="G6" s="58" t="s">
        <v>1315</v>
      </c>
      <c r="H6" s="53">
        <v>88</v>
      </c>
      <c r="I6" s="53">
        <v>1</v>
      </c>
      <c r="J6" t="s">
        <v>916</v>
      </c>
    </row>
    <row r="7" spans="1:18">
      <c r="A7" s="64">
        <v>114</v>
      </c>
      <c r="B7" s="64" t="s">
        <v>1350</v>
      </c>
      <c r="C7" s="17">
        <v>80</v>
      </c>
      <c r="D7" s="17" t="s">
        <v>1273</v>
      </c>
      <c r="E7" s="68">
        <v>29</v>
      </c>
      <c r="F7" s="68" t="s">
        <v>1273</v>
      </c>
      <c r="G7" s="58" t="s">
        <v>1316</v>
      </c>
      <c r="H7" s="53">
        <v>83</v>
      </c>
      <c r="I7" s="53">
        <v>3</v>
      </c>
      <c r="J7" t="s">
        <v>916</v>
      </c>
    </row>
    <row r="8" spans="1:18" ht="17" thickBot="1">
      <c r="A8" s="65">
        <v>119</v>
      </c>
      <c r="B8" s="65" t="s">
        <v>1223</v>
      </c>
      <c r="C8" s="18">
        <v>80</v>
      </c>
      <c r="D8" s="18" t="s">
        <v>1273</v>
      </c>
      <c r="E8" s="69">
        <v>29</v>
      </c>
      <c r="F8" s="69" t="s">
        <v>1273</v>
      </c>
      <c r="G8" s="58" t="s">
        <v>1317</v>
      </c>
      <c r="H8" s="54">
        <v>79</v>
      </c>
      <c r="I8" s="54">
        <v>4</v>
      </c>
      <c r="J8" t="s">
        <v>916</v>
      </c>
    </row>
    <row r="9" spans="1:18">
      <c r="A9" s="63">
        <v>102</v>
      </c>
      <c r="B9" s="63" t="s">
        <v>1351</v>
      </c>
      <c r="C9" s="15">
        <v>62</v>
      </c>
      <c r="D9" s="15" t="s">
        <v>1266</v>
      </c>
      <c r="E9" s="67">
        <v>30</v>
      </c>
      <c r="F9" s="67" t="s">
        <v>1266</v>
      </c>
      <c r="G9" s="57" t="s">
        <v>1157</v>
      </c>
      <c r="H9" s="52">
        <v>91</v>
      </c>
      <c r="I9" s="52">
        <v>1</v>
      </c>
      <c r="J9" t="s">
        <v>916</v>
      </c>
    </row>
    <row r="10" spans="1:18">
      <c r="A10" s="64">
        <v>98</v>
      </c>
      <c r="B10" s="64" t="s">
        <v>1204</v>
      </c>
      <c r="C10" s="17">
        <v>77</v>
      </c>
      <c r="D10" s="17" t="s">
        <v>1265</v>
      </c>
      <c r="E10" s="68">
        <v>30</v>
      </c>
      <c r="F10" s="68" t="s">
        <v>1265</v>
      </c>
      <c r="G10" s="58" t="s">
        <v>1318</v>
      </c>
      <c r="H10" s="53">
        <v>99</v>
      </c>
      <c r="I10" s="53">
        <v>5</v>
      </c>
      <c r="J10" t="s">
        <v>916</v>
      </c>
    </row>
    <row r="11" spans="1:18" ht="17" thickBot="1">
      <c r="A11" s="65">
        <v>106</v>
      </c>
      <c r="B11" s="65" t="s">
        <v>1267</v>
      </c>
      <c r="C11" s="18">
        <v>77</v>
      </c>
      <c r="D11" s="18" t="s">
        <v>1265</v>
      </c>
      <c r="E11" s="69">
        <v>30</v>
      </c>
      <c r="F11" s="69" t="s">
        <v>1265</v>
      </c>
      <c r="G11" s="59" t="s">
        <v>1319</v>
      </c>
      <c r="H11" s="54">
        <v>93</v>
      </c>
      <c r="I11" s="54">
        <v>1</v>
      </c>
      <c r="J11" t="s">
        <v>916</v>
      </c>
    </row>
    <row r="12" spans="1:18" ht="18" thickBot="1">
      <c r="A12" s="66">
        <v>89</v>
      </c>
      <c r="B12" s="66" t="s">
        <v>1352</v>
      </c>
      <c r="C12" s="47">
        <v>54</v>
      </c>
      <c r="D12" s="47" t="s">
        <v>1293</v>
      </c>
      <c r="E12" s="70">
        <v>32</v>
      </c>
      <c r="F12" s="70" t="s">
        <v>1293</v>
      </c>
      <c r="G12" s="59" t="s">
        <v>1320</v>
      </c>
      <c r="H12" s="55">
        <v>90</v>
      </c>
      <c r="I12" s="55">
        <v>2</v>
      </c>
      <c r="J12" t="s">
        <v>1299</v>
      </c>
      <c r="R12" s="237" t="s">
        <v>4076</v>
      </c>
    </row>
    <row r="13" spans="1:18">
      <c r="A13" s="63">
        <v>86</v>
      </c>
      <c r="B13" s="63" t="s">
        <v>1202</v>
      </c>
      <c r="C13" s="15">
        <v>71</v>
      </c>
      <c r="D13" s="15" t="s">
        <v>1260</v>
      </c>
      <c r="E13" s="67">
        <v>34</v>
      </c>
      <c r="F13" s="67" t="s">
        <v>1260</v>
      </c>
      <c r="G13" s="57" t="s">
        <v>1321</v>
      </c>
      <c r="H13" s="52">
        <v>108</v>
      </c>
      <c r="I13" s="52">
        <v>3</v>
      </c>
      <c r="J13" t="s">
        <v>1299</v>
      </c>
      <c r="R13" s="203" t="s">
        <v>4077</v>
      </c>
    </row>
    <row r="14" spans="1:18" ht="18" thickBot="1">
      <c r="A14" s="65">
        <v>107</v>
      </c>
      <c r="B14" s="65" t="s">
        <v>1268</v>
      </c>
      <c r="C14" s="18">
        <v>76</v>
      </c>
      <c r="D14" s="18" t="s">
        <v>1269</v>
      </c>
      <c r="E14" s="69">
        <v>34</v>
      </c>
      <c r="F14" s="69" t="s">
        <v>1269</v>
      </c>
      <c r="G14" s="58" t="s">
        <v>1322</v>
      </c>
      <c r="H14" s="54">
        <v>93</v>
      </c>
      <c r="I14" s="54">
        <v>1</v>
      </c>
      <c r="J14" t="s">
        <v>1299</v>
      </c>
      <c r="R14" s="238" t="s">
        <v>4078</v>
      </c>
    </row>
    <row r="15" spans="1:18" ht="17">
      <c r="A15" s="63">
        <v>108</v>
      </c>
      <c r="B15" s="63" t="s">
        <v>1270</v>
      </c>
      <c r="C15" s="15">
        <v>55</v>
      </c>
      <c r="D15" s="15" t="s">
        <v>1271</v>
      </c>
      <c r="E15" s="67">
        <v>35</v>
      </c>
      <c r="F15" s="67" t="s">
        <v>1271</v>
      </c>
      <c r="G15" s="57">
        <v>0</v>
      </c>
      <c r="H15" s="52">
        <v>90</v>
      </c>
      <c r="I15" s="52">
        <v>1</v>
      </c>
      <c r="J15" t="s">
        <v>916</v>
      </c>
      <c r="R15" s="238" t="s">
        <v>4079</v>
      </c>
    </row>
    <row r="16" spans="1:18">
      <c r="A16" s="64">
        <v>112</v>
      </c>
      <c r="B16" s="64" t="s">
        <v>1275</v>
      </c>
      <c r="C16" s="17">
        <v>55</v>
      </c>
      <c r="D16" s="17" t="s">
        <v>1271</v>
      </c>
      <c r="E16" s="68">
        <v>35</v>
      </c>
      <c r="F16" s="68" t="s">
        <v>1271</v>
      </c>
      <c r="G16" s="58">
        <v>0</v>
      </c>
      <c r="H16" s="53">
        <v>85</v>
      </c>
      <c r="I16" s="53">
        <v>1</v>
      </c>
      <c r="J16" t="s">
        <v>916</v>
      </c>
      <c r="R16" s="203" t="s">
        <v>4080</v>
      </c>
    </row>
    <row r="17" spans="1:18">
      <c r="A17" s="64">
        <v>116</v>
      </c>
      <c r="B17" s="64" t="s">
        <v>1277</v>
      </c>
      <c r="C17" s="17">
        <v>55</v>
      </c>
      <c r="D17" s="17" t="s">
        <v>1271</v>
      </c>
      <c r="E17" s="68">
        <v>35</v>
      </c>
      <c r="F17" s="68" t="s">
        <v>1271</v>
      </c>
      <c r="G17" s="58">
        <v>0</v>
      </c>
      <c r="H17" s="53">
        <v>82</v>
      </c>
      <c r="I17" s="53">
        <v>1</v>
      </c>
      <c r="J17" t="s">
        <v>916</v>
      </c>
    </row>
    <row r="18" spans="1:18" ht="17" thickBot="1">
      <c r="A18" s="65">
        <v>117</v>
      </c>
      <c r="B18" s="65" t="s">
        <v>1216</v>
      </c>
      <c r="C18" s="18">
        <v>55</v>
      </c>
      <c r="D18" s="18" t="s">
        <v>1271</v>
      </c>
      <c r="E18" s="69">
        <v>35</v>
      </c>
      <c r="F18" s="69" t="s">
        <v>1271</v>
      </c>
      <c r="G18" s="58" t="s">
        <v>1323</v>
      </c>
      <c r="H18" s="54">
        <v>79</v>
      </c>
      <c r="I18" s="54">
        <v>3</v>
      </c>
      <c r="J18" t="s">
        <v>916</v>
      </c>
      <c r="R18" s="203" t="s">
        <v>4081</v>
      </c>
    </row>
    <row r="19" spans="1:18" ht="17" hidden="1" thickBot="1">
      <c r="A19" s="66">
        <v>97</v>
      </c>
      <c r="B19" s="66" t="s">
        <v>1353</v>
      </c>
      <c r="C19" s="47">
        <v>53</v>
      </c>
      <c r="D19" s="47" t="s">
        <v>1264</v>
      </c>
      <c r="E19" s="70">
        <v>41</v>
      </c>
      <c r="F19" s="70" t="s">
        <v>1264</v>
      </c>
      <c r="G19" s="56" t="s">
        <v>1324</v>
      </c>
      <c r="H19" s="55">
        <v>83</v>
      </c>
      <c r="I19" s="55">
        <v>5</v>
      </c>
      <c r="J19" t="s">
        <v>1308</v>
      </c>
    </row>
    <row r="20" spans="1:18" ht="17" thickBot="1">
      <c r="A20" s="64">
        <v>88</v>
      </c>
      <c r="B20" s="64" t="s">
        <v>1261</v>
      </c>
      <c r="C20" s="17">
        <v>66</v>
      </c>
      <c r="D20" s="17" t="s">
        <v>1262</v>
      </c>
      <c r="E20" s="68">
        <v>44</v>
      </c>
      <c r="F20" s="68" t="s">
        <v>1262</v>
      </c>
      <c r="G20" s="59" t="s">
        <v>1325</v>
      </c>
      <c r="H20" s="56">
        <v>106</v>
      </c>
      <c r="I20" s="56">
        <v>1</v>
      </c>
      <c r="J20" t="s">
        <v>912</v>
      </c>
      <c r="R20" s="203" t="s">
        <v>4082</v>
      </c>
    </row>
    <row r="21" spans="1:18">
      <c r="A21" s="63">
        <v>115</v>
      </c>
      <c r="B21" s="63" t="s">
        <v>1354</v>
      </c>
      <c r="C21" s="15">
        <v>78</v>
      </c>
      <c r="D21" s="15" t="s">
        <v>1276</v>
      </c>
      <c r="E21" s="67">
        <v>46</v>
      </c>
      <c r="F21" s="67" t="s">
        <v>1276</v>
      </c>
      <c r="G21" s="57" t="s">
        <v>1159</v>
      </c>
      <c r="H21" s="52">
        <v>79</v>
      </c>
      <c r="I21" s="52">
        <v>1</v>
      </c>
      <c r="J21" t="s">
        <v>1299</v>
      </c>
    </row>
    <row r="22" spans="1:18">
      <c r="A22" s="64">
        <v>127</v>
      </c>
      <c r="B22" s="64" t="s">
        <v>1283</v>
      </c>
      <c r="C22" s="17">
        <v>78</v>
      </c>
      <c r="D22" s="17" t="s">
        <v>1276</v>
      </c>
      <c r="E22" s="68">
        <v>46</v>
      </c>
      <c r="F22" s="68" t="s">
        <v>1276</v>
      </c>
      <c r="G22" s="58" t="s">
        <v>1326</v>
      </c>
      <c r="H22" s="53">
        <v>70</v>
      </c>
      <c r="I22" s="53">
        <v>0</v>
      </c>
      <c r="J22" t="s">
        <v>1299</v>
      </c>
    </row>
    <row r="23" spans="1:18" ht="18" thickBot="1">
      <c r="A23" s="65">
        <v>140</v>
      </c>
      <c r="B23" s="65" t="s">
        <v>1287</v>
      </c>
      <c r="C23" s="18">
        <v>78</v>
      </c>
      <c r="D23" s="18" t="s">
        <v>1276</v>
      </c>
      <c r="E23" s="69">
        <v>46</v>
      </c>
      <c r="F23" s="69" t="s">
        <v>1276</v>
      </c>
      <c r="G23" s="59" t="s">
        <v>1327</v>
      </c>
      <c r="H23" s="54">
        <v>60</v>
      </c>
      <c r="I23" s="54">
        <v>1</v>
      </c>
      <c r="J23" t="s">
        <v>1299</v>
      </c>
      <c r="R23" s="237" t="s">
        <v>891</v>
      </c>
    </row>
    <row r="24" spans="1:18">
      <c r="A24" s="63">
        <v>123</v>
      </c>
      <c r="B24" s="63" t="s">
        <v>1199</v>
      </c>
      <c r="C24" s="15">
        <v>89</v>
      </c>
      <c r="D24" s="15" t="s">
        <v>1200</v>
      </c>
      <c r="E24" s="67">
        <v>54</v>
      </c>
      <c r="F24" s="67" t="s">
        <v>1200</v>
      </c>
      <c r="G24" s="57" t="s">
        <v>1328</v>
      </c>
      <c r="H24" s="52">
        <v>72</v>
      </c>
      <c r="I24" s="52">
        <v>1</v>
      </c>
      <c r="J24" t="s">
        <v>912</v>
      </c>
    </row>
    <row r="25" spans="1:18" ht="17" thickBot="1">
      <c r="A25" s="65">
        <v>129</v>
      </c>
      <c r="B25" s="65" t="s">
        <v>1205</v>
      </c>
      <c r="C25" s="18">
        <v>89</v>
      </c>
      <c r="D25" s="18" t="s">
        <v>1200</v>
      </c>
      <c r="E25" s="69">
        <v>54</v>
      </c>
      <c r="F25" s="69" t="s">
        <v>1200</v>
      </c>
      <c r="G25" s="58" t="s">
        <v>1161</v>
      </c>
      <c r="H25" s="54">
        <v>69</v>
      </c>
      <c r="I25" s="54">
        <v>0</v>
      </c>
      <c r="J25" t="s">
        <v>912</v>
      </c>
    </row>
    <row r="26" spans="1:18">
      <c r="A26" s="63">
        <v>147</v>
      </c>
      <c r="B26" s="63" t="s">
        <v>1215</v>
      </c>
      <c r="C26" s="15">
        <v>117</v>
      </c>
      <c r="D26" s="15" t="s">
        <v>1216</v>
      </c>
      <c r="E26" s="67">
        <v>55</v>
      </c>
      <c r="F26" s="67" t="s">
        <v>1216</v>
      </c>
      <c r="G26" s="57" t="s">
        <v>1329</v>
      </c>
      <c r="H26" s="52">
        <v>56</v>
      </c>
      <c r="I26" s="52">
        <v>0</v>
      </c>
      <c r="J26" t="s">
        <v>916</v>
      </c>
    </row>
    <row r="27" spans="1:18">
      <c r="A27" s="64">
        <v>151</v>
      </c>
      <c r="B27" s="64" t="s">
        <v>1218</v>
      </c>
      <c r="C27" s="17">
        <v>117</v>
      </c>
      <c r="D27" s="17" t="s">
        <v>1216</v>
      </c>
      <c r="E27" s="68">
        <v>55</v>
      </c>
      <c r="F27" s="68" t="s">
        <v>1216</v>
      </c>
      <c r="G27" s="58" t="s">
        <v>1164</v>
      </c>
      <c r="H27" s="53">
        <v>54</v>
      </c>
      <c r="I27" s="53">
        <v>0</v>
      </c>
      <c r="J27" t="s">
        <v>916</v>
      </c>
    </row>
    <row r="28" spans="1:18" ht="17" thickBot="1">
      <c r="A28" s="65">
        <v>153</v>
      </c>
      <c r="B28" s="65" t="s">
        <v>1220</v>
      </c>
      <c r="C28" s="18">
        <v>117</v>
      </c>
      <c r="D28" s="18" t="s">
        <v>1216</v>
      </c>
      <c r="E28" s="69">
        <v>55</v>
      </c>
      <c r="F28" s="69" t="s">
        <v>1216</v>
      </c>
      <c r="G28" s="59" t="s">
        <v>1164</v>
      </c>
      <c r="H28" s="54">
        <v>53</v>
      </c>
      <c r="I28" s="54">
        <v>0</v>
      </c>
      <c r="J28" t="s">
        <v>916</v>
      </c>
    </row>
    <row r="29" spans="1:18">
      <c r="A29" s="63">
        <v>138</v>
      </c>
      <c r="B29" s="63" t="s">
        <v>1210</v>
      </c>
      <c r="C29" s="15">
        <v>100</v>
      </c>
      <c r="D29" s="15" t="s">
        <v>1295</v>
      </c>
      <c r="E29" s="67">
        <v>56</v>
      </c>
      <c r="F29" s="67" t="s">
        <v>1295</v>
      </c>
      <c r="G29" s="57" t="s">
        <v>1330</v>
      </c>
      <c r="H29" s="48">
        <v>62</v>
      </c>
      <c r="I29" s="48">
        <v>3</v>
      </c>
      <c r="J29" t="s">
        <v>916</v>
      </c>
      <c r="O29">
        <v>138</v>
      </c>
    </row>
    <row r="30" spans="1:18">
      <c r="A30" s="64">
        <v>143</v>
      </c>
      <c r="B30" s="64" t="s">
        <v>1212</v>
      </c>
      <c r="C30" s="17">
        <v>100</v>
      </c>
      <c r="D30" s="17" t="s">
        <v>1295</v>
      </c>
      <c r="E30" s="68">
        <v>56</v>
      </c>
      <c r="F30" s="68" t="s">
        <v>1295</v>
      </c>
      <c r="G30" s="58" t="s">
        <v>1291</v>
      </c>
      <c r="H30" s="49">
        <v>59</v>
      </c>
      <c r="I30" s="49">
        <v>1</v>
      </c>
      <c r="J30" t="s">
        <v>916</v>
      </c>
      <c r="O30">
        <v>138</v>
      </c>
    </row>
    <row r="31" spans="1:18" ht="17" thickBot="1">
      <c r="A31" s="65">
        <v>150</v>
      </c>
      <c r="B31" s="65" t="s">
        <v>1217</v>
      </c>
      <c r="C31" s="18">
        <v>100</v>
      </c>
      <c r="D31" s="18" t="s">
        <v>1295</v>
      </c>
      <c r="E31" s="69">
        <v>56</v>
      </c>
      <c r="F31" s="69" t="s">
        <v>1295</v>
      </c>
      <c r="G31" s="59" t="s">
        <v>1175</v>
      </c>
      <c r="H31" s="50">
        <v>55</v>
      </c>
      <c r="I31" s="50">
        <v>2</v>
      </c>
      <c r="J31" t="s">
        <v>916</v>
      </c>
      <c r="O31">
        <v>138</v>
      </c>
    </row>
    <row r="32" spans="1:18">
      <c r="A32" s="63">
        <v>120</v>
      </c>
      <c r="B32" s="63" t="s">
        <v>1278</v>
      </c>
      <c r="C32" s="15">
        <v>96</v>
      </c>
      <c r="D32" s="15" t="s">
        <v>1279</v>
      </c>
      <c r="E32" s="67">
        <v>66</v>
      </c>
      <c r="F32" s="67" t="s">
        <v>1279</v>
      </c>
      <c r="G32" s="57" t="s">
        <v>1331</v>
      </c>
      <c r="H32" s="48">
        <v>74</v>
      </c>
      <c r="I32" s="48">
        <v>0</v>
      </c>
      <c r="J32" t="s">
        <v>912</v>
      </c>
    </row>
    <row r="33" spans="1:13">
      <c r="A33" s="64">
        <v>121</v>
      </c>
      <c r="B33" s="64" t="s">
        <v>1241</v>
      </c>
      <c r="C33" s="17">
        <v>96</v>
      </c>
      <c r="D33" s="17" t="s">
        <v>1279</v>
      </c>
      <c r="E33" s="68">
        <v>66</v>
      </c>
      <c r="F33" s="68" t="s">
        <v>1279</v>
      </c>
      <c r="G33" s="58" t="s">
        <v>1171</v>
      </c>
      <c r="H33" s="49">
        <v>72</v>
      </c>
      <c r="I33" s="49">
        <v>3</v>
      </c>
      <c r="J33" t="s">
        <v>912</v>
      </c>
    </row>
    <row r="34" spans="1:13">
      <c r="A34" s="64">
        <v>137</v>
      </c>
      <c r="B34" s="64" t="s">
        <v>1284</v>
      </c>
      <c r="C34" s="17">
        <v>99</v>
      </c>
      <c r="D34" s="17" t="s">
        <v>1285</v>
      </c>
      <c r="E34" s="68">
        <v>66</v>
      </c>
      <c r="F34" s="68" t="s">
        <v>1285</v>
      </c>
      <c r="G34" s="58" t="s">
        <v>1332</v>
      </c>
      <c r="H34" s="49">
        <v>62</v>
      </c>
      <c r="I34" s="49">
        <v>1</v>
      </c>
      <c r="J34" t="s">
        <v>912</v>
      </c>
    </row>
    <row r="35" spans="1:13" ht="17" thickBot="1">
      <c r="A35" s="65">
        <v>144</v>
      </c>
      <c r="B35" s="65" t="s">
        <v>1288</v>
      </c>
      <c r="C35" s="18">
        <v>99</v>
      </c>
      <c r="D35" s="18" t="s">
        <v>1285</v>
      </c>
      <c r="E35" s="69">
        <v>66</v>
      </c>
      <c r="F35" s="69" t="s">
        <v>1285</v>
      </c>
      <c r="G35" s="58" t="s">
        <v>1333</v>
      </c>
      <c r="H35" s="50">
        <v>59</v>
      </c>
      <c r="I35" s="50">
        <v>0</v>
      </c>
      <c r="J35" t="s">
        <v>912</v>
      </c>
    </row>
    <row r="36" spans="1:13">
      <c r="A36" s="63">
        <v>124</v>
      </c>
      <c r="B36" s="63" t="s">
        <v>1280</v>
      </c>
      <c r="C36" s="15">
        <v>94</v>
      </c>
      <c r="D36" s="15" t="s">
        <v>1281</v>
      </c>
      <c r="E36" s="67">
        <v>68</v>
      </c>
      <c r="F36" s="67" t="s">
        <v>1281</v>
      </c>
      <c r="G36" s="57" t="s">
        <v>1334</v>
      </c>
      <c r="H36" s="48">
        <v>72</v>
      </c>
      <c r="I36" s="48">
        <v>0</v>
      </c>
      <c r="J36" t="s">
        <v>912</v>
      </c>
    </row>
    <row r="37" spans="1:13">
      <c r="A37" s="64">
        <v>126</v>
      </c>
      <c r="B37" s="64" t="s">
        <v>1282</v>
      </c>
      <c r="C37" s="17">
        <v>94</v>
      </c>
      <c r="D37" s="17" t="s">
        <v>1281</v>
      </c>
      <c r="E37" s="68">
        <v>68</v>
      </c>
      <c r="F37" s="68" t="s">
        <v>1281</v>
      </c>
      <c r="G37" s="58" t="s">
        <v>1335</v>
      </c>
      <c r="H37" s="49">
        <v>70</v>
      </c>
      <c r="I37" s="49">
        <v>0</v>
      </c>
      <c r="J37" t="s">
        <v>912</v>
      </c>
    </row>
    <row r="38" spans="1:13">
      <c r="A38" s="64">
        <v>131</v>
      </c>
      <c r="B38" s="64" t="s">
        <v>1230</v>
      </c>
      <c r="C38" s="17">
        <v>94</v>
      </c>
      <c r="D38" s="17" t="s">
        <v>1281</v>
      </c>
      <c r="E38" s="68">
        <v>68</v>
      </c>
      <c r="F38" s="68" t="s">
        <v>1281</v>
      </c>
      <c r="G38" s="58" t="s">
        <v>1166</v>
      </c>
      <c r="H38" s="49">
        <v>68</v>
      </c>
      <c r="I38" s="49">
        <v>3</v>
      </c>
      <c r="J38" t="s">
        <v>912</v>
      </c>
      <c r="L38" s="61" t="s">
        <v>1356</v>
      </c>
    </row>
    <row r="39" spans="1:13">
      <c r="A39" s="64">
        <v>136</v>
      </c>
      <c r="B39" s="64" t="s">
        <v>1235</v>
      </c>
      <c r="C39" s="17">
        <v>94</v>
      </c>
      <c r="D39" s="17" t="s">
        <v>1281</v>
      </c>
      <c r="E39" s="68">
        <v>68</v>
      </c>
      <c r="F39" s="68" t="s">
        <v>1281</v>
      </c>
      <c r="G39" s="58" t="s">
        <v>1336</v>
      </c>
      <c r="H39" s="49">
        <v>64</v>
      </c>
      <c r="I39" s="49">
        <v>3</v>
      </c>
      <c r="J39" t="s">
        <v>912</v>
      </c>
    </row>
    <row r="40" spans="1:13">
      <c r="A40" s="64">
        <v>139</v>
      </c>
      <c r="B40" s="64" t="s">
        <v>1286</v>
      </c>
      <c r="C40" s="17">
        <v>94</v>
      </c>
      <c r="D40" s="17" t="s">
        <v>1281</v>
      </c>
      <c r="E40" s="68">
        <v>68</v>
      </c>
      <c r="F40" s="68" t="s">
        <v>1281</v>
      </c>
      <c r="G40" s="58" t="s">
        <v>1337</v>
      </c>
      <c r="H40" s="49">
        <v>62</v>
      </c>
      <c r="I40" s="49">
        <v>0</v>
      </c>
      <c r="J40" t="s">
        <v>912</v>
      </c>
    </row>
    <row r="41" spans="1:13" ht="17" thickBot="1">
      <c r="A41" s="65">
        <v>142</v>
      </c>
      <c r="B41" s="65" t="s">
        <v>1249</v>
      </c>
      <c r="C41" s="18">
        <v>94</v>
      </c>
      <c r="D41" s="18" t="s">
        <v>1281</v>
      </c>
      <c r="E41" s="69">
        <v>68</v>
      </c>
      <c r="F41" s="69" t="s">
        <v>1281</v>
      </c>
      <c r="G41" s="58" t="s">
        <v>1173</v>
      </c>
      <c r="H41" s="50">
        <v>59</v>
      </c>
      <c r="I41" s="50">
        <v>2</v>
      </c>
      <c r="J41" t="s">
        <v>912</v>
      </c>
    </row>
    <row r="42" spans="1:13">
      <c r="A42" s="63">
        <v>125</v>
      </c>
      <c r="B42" s="63" t="s">
        <v>1201</v>
      </c>
      <c r="C42" s="15">
        <v>86</v>
      </c>
      <c r="D42" s="15" t="s">
        <v>1202</v>
      </c>
      <c r="E42" s="67">
        <v>71</v>
      </c>
      <c r="F42" s="67" t="s">
        <v>1202</v>
      </c>
      <c r="G42" s="57" t="s">
        <v>1338</v>
      </c>
      <c r="H42" s="48">
        <v>70</v>
      </c>
      <c r="I42" s="48">
        <v>1</v>
      </c>
      <c r="J42" t="s">
        <v>912</v>
      </c>
    </row>
    <row r="43" spans="1:13">
      <c r="A43" s="64">
        <v>130</v>
      </c>
      <c r="B43" s="64" t="s">
        <v>1206</v>
      </c>
      <c r="C43" s="17">
        <v>86</v>
      </c>
      <c r="D43" s="17" t="s">
        <v>1202</v>
      </c>
      <c r="E43" s="68">
        <v>71</v>
      </c>
      <c r="F43" s="68" t="s">
        <v>1202</v>
      </c>
      <c r="G43" s="58" t="s">
        <v>1339</v>
      </c>
      <c r="H43" s="49">
        <v>69</v>
      </c>
      <c r="I43" s="49">
        <v>1</v>
      </c>
      <c r="J43" t="s">
        <v>912</v>
      </c>
    </row>
    <row r="44" spans="1:13" ht="17" thickBot="1">
      <c r="A44" s="65">
        <v>135</v>
      </c>
      <c r="B44" s="65" t="s">
        <v>1209</v>
      </c>
      <c r="C44" s="18">
        <v>86</v>
      </c>
      <c r="D44" s="18" t="s">
        <v>1202</v>
      </c>
      <c r="E44" s="69">
        <v>71</v>
      </c>
      <c r="F44" s="69" t="s">
        <v>1202</v>
      </c>
      <c r="G44" s="59" t="s">
        <v>1340</v>
      </c>
      <c r="H44" s="50">
        <v>66</v>
      </c>
      <c r="I44" s="50">
        <v>2</v>
      </c>
      <c r="J44" t="s">
        <v>912</v>
      </c>
    </row>
    <row r="45" spans="1:13">
      <c r="A45" s="63">
        <v>141</v>
      </c>
      <c r="B45" s="63" t="s">
        <v>1211</v>
      </c>
      <c r="C45" s="15">
        <v>104</v>
      </c>
      <c r="D45" s="15" t="s">
        <v>1296</v>
      </c>
      <c r="E45" s="67">
        <v>72</v>
      </c>
      <c r="F45" s="67" t="s">
        <v>1296</v>
      </c>
      <c r="G45" s="57" t="s">
        <v>1162</v>
      </c>
      <c r="H45" s="48">
        <v>60</v>
      </c>
      <c r="I45" s="48">
        <v>1</v>
      </c>
      <c r="J45" t="s">
        <v>916</v>
      </c>
      <c r="K45" s="61" t="s">
        <v>1309</v>
      </c>
      <c r="L45" s="61" t="s">
        <v>1310</v>
      </c>
      <c r="M45" t="s">
        <v>1397</v>
      </c>
    </row>
    <row r="46" spans="1:13">
      <c r="A46" s="64">
        <v>146</v>
      </c>
      <c r="B46" s="64" t="s">
        <v>1214</v>
      </c>
      <c r="C46" s="17">
        <v>104</v>
      </c>
      <c r="D46" s="17" t="s">
        <v>1296</v>
      </c>
      <c r="E46" s="68">
        <v>72</v>
      </c>
      <c r="F46" s="68" t="s">
        <v>1296</v>
      </c>
      <c r="G46" s="58" t="s">
        <v>1162</v>
      </c>
      <c r="H46" s="49">
        <v>58</v>
      </c>
      <c r="I46" s="49">
        <v>2</v>
      </c>
      <c r="J46" t="s">
        <v>916</v>
      </c>
    </row>
    <row r="47" spans="1:13" ht="17" thickBot="1">
      <c r="A47" s="65">
        <v>152</v>
      </c>
      <c r="B47" s="65" t="s">
        <v>1219</v>
      </c>
      <c r="C47" s="18">
        <v>104</v>
      </c>
      <c r="D47" s="18" t="s">
        <v>1296</v>
      </c>
      <c r="E47" s="69">
        <v>72</v>
      </c>
      <c r="F47" s="69" t="s">
        <v>1296</v>
      </c>
      <c r="G47" s="59" t="s">
        <v>1162</v>
      </c>
      <c r="H47" s="50">
        <v>54</v>
      </c>
      <c r="I47" s="50">
        <v>1</v>
      </c>
      <c r="J47" t="s">
        <v>916</v>
      </c>
    </row>
    <row r="48" spans="1:13">
      <c r="A48" s="63">
        <v>128</v>
      </c>
      <c r="B48" s="63" t="s">
        <v>1203</v>
      </c>
      <c r="C48" s="15">
        <v>98</v>
      </c>
      <c r="D48" s="15" t="s">
        <v>1204</v>
      </c>
      <c r="E48" s="67">
        <v>77</v>
      </c>
      <c r="F48" s="67" t="s">
        <v>1204</v>
      </c>
      <c r="G48" s="57" t="s">
        <v>1341</v>
      </c>
      <c r="H48" s="48">
        <v>69</v>
      </c>
      <c r="I48" s="48">
        <v>1</v>
      </c>
      <c r="J48" t="s">
        <v>916</v>
      </c>
    </row>
    <row r="49" spans="1:12">
      <c r="A49" s="64">
        <v>134</v>
      </c>
      <c r="B49" s="64" t="s">
        <v>1208</v>
      </c>
      <c r="C49" s="17">
        <v>98</v>
      </c>
      <c r="D49" s="17" t="s">
        <v>1204</v>
      </c>
      <c r="E49" s="68">
        <v>77</v>
      </c>
      <c r="F49" s="68" t="s">
        <v>1204</v>
      </c>
      <c r="G49" s="58" t="s">
        <v>1342</v>
      </c>
      <c r="H49" s="49">
        <v>66</v>
      </c>
      <c r="I49" s="49">
        <v>0</v>
      </c>
      <c r="J49" t="s">
        <v>916</v>
      </c>
    </row>
    <row r="50" spans="1:12">
      <c r="A50" s="64">
        <v>145</v>
      </c>
      <c r="B50" s="64" t="s">
        <v>1213</v>
      </c>
      <c r="C50" s="17">
        <v>98</v>
      </c>
      <c r="D50" s="17" t="s">
        <v>1204</v>
      </c>
      <c r="E50" s="68">
        <v>77</v>
      </c>
      <c r="F50" s="68" t="s">
        <v>1204</v>
      </c>
      <c r="G50" s="58" t="s">
        <v>1343</v>
      </c>
      <c r="H50" s="49">
        <v>58</v>
      </c>
      <c r="I50" s="49">
        <v>0</v>
      </c>
      <c r="J50" t="s">
        <v>916</v>
      </c>
    </row>
    <row r="51" spans="1:12">
      <c r="A51" s="64">
        <v>154</v>
      </c>
      <c r="B51" s="64" t="s">
        <v>1221</v>
      </c>
      <c r="C51" s="17">
        <v>98</v>
      </c>
      <c r="D51" s="17" t="s">
        <v>1204</v>
      </c>
      <c r="E51" s="68">
        <v>77</v>
      </c>
      <c r="F51" s="68" t="s">
        <v>1204</v>
      </c>
      <c r="G51" s="58" t="s">
        <v>1344</v>
      </c>
      <c r="H51" s="49">
        <v>52</v>
      </c>
      <c r="I51" s="49">
        <v>0</v>
      </c>
      <c r="J51" t="s">
        <v>916</v>
      </c>
    </row>
    <row r="52" spans="1:12">
      <c r="A52" s="64">
        <v>122</v>
      </c>
      <c r="B52" s="64" t="s">
        <v>1198</v>
      </c>
      <c r="C52" s="17">
        <v>105</v>
      </c>
      <c r="D52" s="17" t="s">
        <v>1294</v>
      </c>
      <c r="E52" s="68">
        <v>77</v>
      </c>
      <c r="F52" s="68" t="s">
        <v>1294</v>
      </c>
      <c r="G52" s="58" t="s">
        <v>1345</v>
      </c>
      <c r="H52" s="49">
        <v>72</v>
      </c>
      <c r="I52" s="49">
        <v>0</v>
      </c>
      <c r="J52" t="s">
        <v>916</v>
      </c>
    </row>
    <row r="53" spans="1:12" ht="17" thickBot="1">
      <c r="A53" s="65">
        <v>133</v>
      </c>
      <c r="B53" s="65" t="s">
        <v>1207</v>
      </c>
      <c r="C53" s="18">
        <v>105</v>
      </c>
      <c r="D53" s="18" t="s">
        <v>1294</v>
      </c>
      <c r="E53" s="69">
        <v>77</v>
      </c>
      <c r="F53" s="69" t="s">
        <v>1294</v>
      </c>
      <c r="G53" s="58" t="s">
        <v>1346</v>
      </c>
      <c r="H53" s="50">
        <v>67</v>
      </c>
      <c r="I53" s="50">
        <v>0</v>
      </c>
      <c r="J53" t="s">
        <v>916</v>
      </c>
      <c r="L53" s="61" t="s">
        <v>1355</v>
      </c>
    </row>
    <row r="54" spans="1:12" ht="17" thickBot="1">
      <c r="A54" s="66">
        <v>149</v>
      </c>
      <c r="B54" s="66" t="s">
        <v>1289</v>
      </c>
      <c r="C54" s="47">
        <v>113</v>
      </c>
      <c r="D54" s="47" t="s">
        <v>1290</v>
      </c>
      <c r="E54" s="70">
        <v>78</v>
      </c>
      <c r="F54" s="70" t="s">
        <v>1290</v>
      </c>
      <c r="G54" s="56" t="s">
        <v>1163</v>
      </c>
      <c r="H54" s="51">
        <v>55</v>
      </c>
      <c r="I54" s="51">
        <v>0</v>
      </c>
      <c r="J54" t="s">
        <v>912</v>
      </c>
    </row>
    <row r="55" spans="1:12">
      <c r="A55" s="63">
        <v>157</v>
      </c>
      <c r="B55" s="63" t="s">
        <v>1225</v>
      </c>
      <c r="C55" s="15">
        <v>114</v>
      </c>
      <c r="D55" s="15" t="s">
        <v>1226</v>
      </c>
      <c r="E55" s="67">
        <v>80</v>
      </c>
      <c r="F55" s="67" t="s">
        <v>1226</v>
      </c>
      <c r="G55" s="57" t="s">
        <v>1165</v>
      </c>
      <c r="H55" s="48">
        <v>46</v>
      </c>
      <c r="I55" s="48">
        <v>0</v>
      </c>
      <c r="J55" t="s">
        <v>916</v>
      </c>
    </row>
    <row r="56" spans="1:12">
      <c r="A56" s="64">
        <v>158</v>
      </c>
      <c r="B56" s="64" t="s">
        <v>1227</v>
      </c>
      <c r="C56" s="17">
        <v>114</v>
      </c>
      <c r="D56" s="17" t="s">
        <v>1226</v>
      </c>
      <c r="E56" s="68">
        <v>80</v>
      </c>
      <c r="F56" s="68" t="s">
        <v>1226</v>
      </c>
      <c r="G56" s="58" t="s">
        <v>1165</v>
      </c>
      <c r="H56" s="49">
        <v>44</v>
      </c>
      <c r="I56" s="49">
        <v>0</v>
      </c>
      <c r="J56" t="s">
        <v>916</v>
      </c>
    </row>
    <row r="57" spans="1:12">
      <c r="A57" s="64">
        <v>159</v>
      </c>
      <c r="B57" s="64" t="s">
        <v>1228</v>
      </c>
      <c r="C57" s="17">
        <v>114</v>
      </c>
      <c r="D57" s="17" t="s">
        <v>1226</v>
      </c>
      <c r="E57" s="68">
        <v>80</v>
      </c>
      <c r="F57" s="68" t="s">
        <v>1226</v>
      </c>
      <c r="G57" s="58" t="s">
        <v>1165</v>
      </c>
      <c r="H57" s="49">
        <v>42</v>
      </c>
      <c r="I57" s="49">
        <v>0</v>
      </c>
      <c r="J57" t="s">
        <v>916</v>
      </c>
    </row>
    <row r="58" spans="1:12">
      <c r="A58" s="64">
        <v>155</v>
      </c>
      <c r="B58" s="64" t="s">
        <v>1222</v>
      </c>
      <c r="C58" s="17">
        <v>119</v>
      </c>
      <c r="D58" s="17" t="s">
        <v>1223</v>
      </c>
      <c r="E58" s="68">
        <v>80</v>
      </c>
      <c r="F58" s="68" t="s">
        <v>1223</v>
      </c>
      <c r="G58" s="58" t="s">
        <v>1347</v>
      </c>
      <c r="H58" s="49">
        <v>48</v>
      </c>
      <c r="I58" s="49">
        <v>0</v>
      </c>
      <c r="J58" t="s">
        <v>916</v>
      </c>
    </row>
    <row r="59" spans="1:12">
      <c r="A59" s="64">
        <v>156</v>
      </c>
      <c r="B59" s="64" t="s">
        <v>1224</v>
      </c>
      <c r="C59" s="17">
        <v>119</v>
      </c>
      <c r="D59" s="17" t="s">
        <v>1223</v>
      </c>
      <c r="E59" s="68">
        <v>80</v>
      </c>
      <c r="F59" s="68" t="s">
        <v>1223</v>
      </c>
      <c r="G59" s="58" t="s">
        <v>1348</v>
      </c>
      <c r="H59" s="49">
        <v>46</v>
      </c>
      <c r="I59" s="49">
        <v>0</v>
      </c>
      <c r="J59" t="s">
        <v>916</v>
      </c>
    </row>
    <row r="60" spans="1:12">
      <c r="A60" s="64">
        <v>161</v>
      </c>
      <c r="B60" s="64" t="s">
        <v>1231</v>
      </c>
      <c r="C60" s="17">
        <v>119</v>
      </c>
      <c r="D60" s="17" t="s">
        <v>1223</v>
      </c>
      <c r="E60" s="68">
        <v>80</v>
      </c>
      <c r="F60" s="68" t="s">
        <v>1223</v>
      </c>
      <c r="G60" s="58" t="s">
        <v>1167</v>
      </c>
      <c r="H60" s="49">
        <v>39</v>
      </c>
      <c r="I60" s="49">
        <v>0</v>
      </c>
      <c r="J60" t="s">
        <v>916</v>
      </c>
    </row>
    <row r="61" spans="1:12" ht="17" thickBot="1">
      <c r="A61" s="65">
        <v>163</v>
      </c>
      <c r="B61" s="65" t="s">
        <v>1233</v>
      </c>
      <c r="C61" s="18">
        <v>119</v>
      </c>
      <c r="D61" s="18" t="s">
        <v>1223</v>
      </c>
      <c r="E61" s="69">
        <v>80</v>
      </c>
      <c r="F61" s="69" t="s">
        <v>1223</v>
      </c>
      <c r="G61" s="58" t="s">
        <v>1167</v>
      </c>
      <c r="H61" s="50">
        <v>37</v>
      </c>
      <c r="I61" s="50">
        <v>0</v>
      </c>
      <c r="J61" t="s">
        <v>916</v>
      </c>
    </row>
    <row r="62" spans="1:12">
      <c r="A62" s="63">
        <v>166</v>
      </c>
      <c r="B62" s="63" t="s">
        <v>1237</v>
      </c>
      <c r="C62" s="15">
        <v>130</v>
      </c>
      <c r="D62" s="15" t="s">
        <v>1206</v>
      </c>
      <c r="E62" s="67">
        <v>86</v>
      </c>
      <c r="F62" s="67" t="s">
        <v>1206</v>
      </c>
      <c r="G62" s="57" t="s">
        <v>1169</v>
      </c>
      <c r="H62" s="48">
        <v>33</v>
      </c>
      <c r="I62" s="48">
        <v>0</v>
      </c>
      <c r="J62" t="s">
        <v>912</v>
      </c>
    </row>
    <row r="63" spans="1:12">
      <c r="A63" s="64">
        <v>173</v>
      </c>
      <c r="B63" s="64" t="s">
        <v>1245</v>
      </c>
      <c r="C63" s="17">
        <v>135</v>
      </c>
      <c r="D63" s="17" t="s">
        <v>1209</v>
      </c>
      <c r="E63" s="68">
        <v>86</v>
      </c>
      <c r="F63" s="68" t="s">
        <v>1209</v>
      </c>
      <c r="G63" s="58" t="s">
        <v>1172</v>
      </c>
      <c r="H63" s="49">
        <v>29</v>
      </c>
      <c r="I63" s="49">
        <v>0</v>
      </c>
      <c r="J63" t="s">
        <v>912</v>
      </c>
    </row>
    <row r="64" spans="1:12" ht="17" thickBot="1">
      <c r="A64" s="65">
        <v>177</v>
      </c>
      <c r="B64" s="65" t="s">
        <v>1250</v>
      </c>
      <c r="C64" s="18">
        <v>135</v>
      </c>
      <c r="D64" s="18" t="s">
        <v>1209</v>
      </c>
      <c r="E64" s="69">
        <v>86</v>
      </c>
      <c r="F64" s="69" t="s">
        <v>1209</v>
      </c>
      <c r="G64" s="59" t="s">
        <v>1174</v>
      </c>
      <c r="H64" s="50">
        <v>26</v>
      </c>
      <c r="I64" s="50">
        <v>0</v>
      </c>
      <c r="J64" t="s">
        <v>912</v>
      </c>
    </row>
    <row r="65" spans="1:10">
      <c r="A65" s="63">
        <v>160</v>
      </c>
      <c r="B65" s="63" t="s">
        <v>1229</v>
      </c>
      <c r="C65" s="15">
        <v>131</v>
      </c>
      <c r="D65" s="15" t="s">
        <v>1230</v>
      </c>
      <c r="E65" s="67">
        <v>94</v>
      </c>
      <c r="F65" s="67" t="s">
        <v>1230</v>
      </c>
      <c r="G65" s="57" t="s">
        <v>1166</v>
      </c>
      <c r="H65" s="48">
        <v>39</v>
      </c>
      <c r="I65" s="48">
        <v>0</v>
      </c>
      <c r="J65" t="s">
        <v>912</v>
      </c>
    </row>
    <row r="66" spans="1:10">
      <c r="A66" s="64">
        <v>162</v>
      </c>
      <c r="B66" s="64" t="s">
        <v>1232</v>
      </c>
      <c r="C66" s="17">
        <v>131</v>
      </c>
      <c r="D66" s="17" t="s">
        <v>1230</v>
      </c>
      <c r="E66" s="68">
        <v>94</v>
      </c>
      <c r="F66" s="68" t="s">
        <v>1230</v>
      </c>
      <c r="G66" s="58" t="s">
        <v>1166</v>
      </c>
      <c r="H66" s="49">
        <v>37</v>
      </c>
      <c r="I66" s="49">
        <v>0</v>
      </c>
      <c r="J66" t="s">
        <v>912</v>
      </c>
    </row>
    <row r="67" spans="1:10">
      <c r="A67" s="64">
        <v>167</v>
      </c>
      <c r="B67" s="64" t="s">
        <v>1238</v>
      </c>
      <c r="C67" s="17">
        <v>131</v>
      </c>
      <c r="D67" s="17" t="s">
        <v>1230</v>
      </c>
      <c r="E67" s="68">
        <v>94</v>
      </c>
      <c r="F67" s="68" t="s">
        <v>1230</v>
      </c>
      <c r="G67" s="58" t="s">
        <v>1166</v>
      </c>
      <c r="H67" s="49">
        <v>33</v>
      </c>
      <c r="I67" s="49">
        <v>0</v>
      </c>
      <c r="J67" t="s">
        <v>912</v>
      </c>
    </row>
    <row r="68" spans="1:10">
      <c r="A68" s="64">
        <v>164</v>
      </c>
      <c r="B68" s="64" t="s">
        <v>1234</v>
      </c>
      <c r="C68" s="17">
        <v>136</v>
      </c>
      <c r="D68" s="17" t="s">
        <v>1235</v>
      </c>
      <c r="E68" s="68">
        <v>94</v>
      </c>
      <c r="F68" s="68" t="s">
        <v>1235</v>
      </c>
      <c r="G68" s="58" t="s">
        <v>1168</v>
      </c>
      <c r="H68" s="49">
        <v>37</v>
      </c>
      <c r="I68" s="49">
        <v>0</v>
      </c>
      <c r="J68" t="s">
        <v>912</v>
      </c>
    </row>
    <row r="69" spans="1:10">
      <c r="A69" s="64">
        <v>165</v>
      </c>
      <c r="B69" s="64" t="s">
        <v>1236</v>
      </c>
      <c r="C69" s="17">
        <v>136</v>
      </c>
      <c r="D69" s="17" t="s">
        <v>1235</v>
      </c>
      <c r="E69" s="68">
        <v>94</v>
      </c>
      <c r="F69" s="68" t="s">
        <v>1235</v>
      </c>
      <c r="G69" s="58" t="s">
        <v>1168</v>
      </c>
      <c r="H69" s="49">
        <v>35</v>
      </c>
      <c r="I69" s="49">
        <v>0</v>
      </c>
      <c r="J69" t="s">
        <v>912</v>
      </c>
    </row>
    <row r="70" spans="1:10">
      <c r="A70" s="64">
        <v>172</v>
      </c>
      <c r="B70" s="64" t="s">
        <v>1244</v>
      </c>
      <c r="C70" s="17">
        <v>136</v>
      </c>
      <c r="D70" s="17" t="s">
        <v>1235</v>
      </c>
      <c r="E70" s="68">
        <v>94</v>
      </c>
      <c r="F70" s="68" t="s">
        <v>1235</v>
      </c>
      <c r="G70" s="58" t="s">
        <v>1168</v>
      </c>
      <c r="H70" s="49">
        <v>30</v>
      </c>
      <c r="I70" s="49">
        <v>0</v>
      </c>
      <c r="J70" t="s">
        <v>912</v>
      </c>
    </row>
    <row r="71" spans="1:10">
      <c r="A71" s="64">
        <v>176</v>
      </c>
      <c r="B71" s="64" t="s">
        <v>1248</v>
      </c>
      <c r="C71" s="17">
        <v>142</v>
      </c>
      <c r="D71" s="17" t="s">
        <v>1249</v>
      </c>
      <c r="E71" s="68">
        <v>94</v>
      </c>
      <c r="F71" s="68" t="s">
        <v>1249</v>
      </c>
      <c r="G71" s="58" t="s">
        <v>1173</v>
      </c>
      <c r="H71" s="49">
        <v>27</v>
      </c>
      <c r="I71" s="49">
        <v>0</v>
      </c>
      <c r="J71" t="s">
        <v>912</v>
      </c>
    </row>
    <row r="72" spans="1:10" ht="17" thickBot="1">
      <c r="A72" s="65">
        <v>179</v>
      </c>
      <c r="B72" s="65" t="s">
        <v>1252</v>
      </c>
      <c r="C72" s="18">
        <v>142</v>
      </c>
      <c r="D72" s="18" t="s">
        <v>1249</v>
      </c>
      <c r="E72" s="69">
        <v>94</v>
      </c>
      <c r="F72" s="69" t="s">
        <v>1249</v>
      </c>
      <c r="G72" s="59" t="s">
        <v>1173</v>
      </c>
      <c r="H72" s="50">
        <v>25</v>
      </c>
      <c r="I72" s="50">
        <v>0</v>
      </c>
      <c r="J72" t="s">
        <v>912</v>
      </c>
    </row>
    <row r="73" spans="1:10">
      <c r="A73" s="63">
        <v>169</v>
      </c>
      <c r="B73" s="63" t="s">
        <v>1240</v>
      </c>
      <c r="C73" s="15">
        <v>121</v>
      </c>
      <c r="D73" s="15" t="s">
        <v>1241</v>
      </c>
      <c r="E73" s="67">
        <v>96</v>
      </c>
      <c r="F73" s="67" t="s">
        <v>1241</v>
      </c>
      <c r="G73" s="57" t="s">
        <v>1171</v>
      </c>
      <c r="H73" s="48">
        <v>33</v>
      </c>
      <c r="I73" s="48">
        <v>0</v>
      </c>
      <c r="J73" t="s">
        <v>912</v>
      </c>
    </row>
    <row r="74" spans="1:10">
      <c r="A74" s="64">
        <v>171</v>
      </c>
      <c r="B74" s="64" t="s">
        <v>1243</v>
      </c>
      <c r="C74" s="17">
        <v>121</v>
      </c>
      <c r="D74" s="17" t="s">
        <v>1241</v>
      </c>
      <c r="E74" s="68">
        <v>96</v>
      </c>
      <c r="F74" s="68" t="s">
        <v>1241</v>
      </c>
      <c r="G74" s="58" t="s">
        <v>1171</v>
      </c>
      <c r="H74" s="49">
        <v>31</v>
      </c>
      <c r="I74" s="49">
        <v>0</v>
      </c>
      <c r="J74" t="s">
        <v>912</v>
      </c>
    </row>
    <row r="75" spans="1:10" ht="17" thickBot="1">
      <c r="A75" s="65">
        <v>174</v>
      </c>
      <c r="B75" s="65" t="s">
        <v>1246</v>
      </c>
      <c r="C75" s="18">
        <v>121</v>
      </c>
      <c r="D75" s="18" t="s">
        <v>1241</v>
      </c>
      <c r="E75" s="69">
        <v>96</v>
      </c>
      <c r="F75" s="69" t="s">
        <v>1241</v>
      </c>
      <c r="G75" s="59" t="s">
        <v>1171</v>
      </c>
      <c r="H75" s="50">
        <v>29</v>
      </c>
      <c r="I75" s="50">
        <v>0</v>
      </c>
      <c r="J75" t="s">
        <v>912</v>
      </c>
    </row>
    <row r="76" spans="1:10">
      <c r="A76" s="63">
        <v>168</v>
      </c>
      <c r="B76" s="63" t="s">
        <v>1239</v>
      </c>
      <c r="C76" s="15">
        <v>138</v>
      </c>
      <c r="D76" s="15" t="s">
        <v>1210</v>
      </c>
      <c r="E76" s="67">
        <v>100</v>
      </c>
      <c r="F76" s="67" t="s">
        <v>1210</v>
      </c>
      <c r="G76" s="57" t="s">
        <v>1170</v>
      </c>
      <c r="H76" s="48">
        <v>33</v>
      </c>
      <c r="I76" s="48">
        <v>0</v>
      </c>
      <c r="J76" t="s">
        <v>916</v>
      </c>
    </row>
    <row r="77" spans="1:10">
      <c r="A77" s="64">
        <v>170</v>
      </c>
      <c r="B77" s="64" t="s">
        <v>1242</v>
      </c>
      <c r="C77" s="17">
        <v>138</v>
      </c>
      <c r="D77" s="17" t="s">
        <v>1210</v>
      </c>
      <c r="E77" s="68">
        <v>100</v>
      </c>
      <c r="F77" s="68" t="s">
        <v>1210</v>
      </c>
      <c r="G77" s="58" t="s">
        <v>1170</v>
      </c>
      <c r="H77" s="49">
        <v>32</v>
      </c>
      <c r="I77" s="49">
        <v>0</v>
      </c>
      <c r="J77" t="s">
        <v>916</v>
      </c>
    </row>
    <row r="78" spans="1:10">
      <c r="A78" s="64">
        <v>175</v>
      </c>
      <c r="B78" s="64" t="s">
        <v>1247</v>
      </c>
      <c r="C78" s="17">
        <v>138</v>
      </c>
      <c r="D78" s="17" t="s">
        <v>1210</v>
      </c>
      <c r="E78" s="68">
        <v>100</v>
      </c>
      <c r="F78" s="68" t="s">
        <v>1210</v>
      </c>
      <c r="G78" s="58" t="s">
        <v>1170</v>
      </c>
      <c r="H78" s="49">
        <v>28</v>
      </c>
      <c r="I78" s="49">
        <v>0</v>
      </c>
      <c r="J78" t="s">
        <v>916</v>
      </c>
    </row>
    <row r="79" spans="1:10">
      <c r="A79" s="64">
        <v>178</v>
      </c>
      <c r="B79" s="64" t="s">
        <v>1251</v>
      </c>
      <c r="C79" s="17">
        <v>150</v>
      </c>
      <c r="D79" s="17" t="s">
        <v>1217</v>
      </c>
      <c r="E79" s="68">
        <v>100</v>
      </c>
      <c r="F79" s="68" t="s">
        <v>1217</v>
      </c>
      <c r="G79" s="58" t="s">
        <v>1175</v>
      </c>
      <c r="H79" s="49">
        <v>25</v>
      </c>
      <c r="I79" s="49">
        <v>0</v>
      </c>
      <c r="J79" t="s">
        <v>916</v>
      </c>
    </row>
    <row r="80" spans="1:10" ht="17" thickBot="1">
      <c r="A80" s="65">
        <v>181</v>
      </c>
      <c r="B80" s="65" t="s">
        <v>1254</v>
      </c>
      <c r="C80" s="18">
        <v>150</v>
      </c>
      <c r="D80" s="18" t="s">
        <v>1217</v>
      </c>
      <c r="E80" s="69">
        <v>100</v>
      </c>
      <c r="F80" s="69" t="s">
        <v>1217</v>
      </c>
      <c r="G80" s="58" t="s">
        <v>1176</v>
      </c>
      <c r="H80" s="50">
        <v>22</v>
      </c>
      <c r="I80" s="50">
        <v>0</v>
      </c>
      <c r="J80" t="s">
        <v>916</v>
      </c>
    </row>
    <row r="81" spans="1:10">
      <c r="A81" s="63">
        <v>180</v>
      </c>
      <c r="B81" s="63" t="s">
        <v>1253</v>
      </c>
      <c r="C81" s="15">
        <v>146</v>
      </c>
      <c r="D81" s="15" t="s">
        <v>1214</v>
      </c>
      <c r="E81" s="67">
        <v>104</v>
      </c>
      <c r="F81" s="67" t="s">
        <v>1214</v>
      </c>
      <c r="G81" s="57" t="s">
        <v>1257</v>
      </c>
      <c r="H81" s="48">
        <v>23</v>
      </c>
      <c r="I81" s="48">
        <v>0</v>
      </c>
      <c r="J81" t="s">
        <v>912</v>
      </c>
    </row>
    <row r="82" spans="1:10" ht="17" thickBot="1">
      <c r="A82" s="65">
        <v>182</v>
      </c>
      <c r="B82" s="65" t="s">
        <v>1255</v>
      </c>
      <c r="C82" s="18">
        <v>146</v>
      </c>
      <c r="D82" s="18" t="s">
        <v>1214</v>
      </c>
      <c r="E82" s="69">
        <v>104</v>
      </c>
      <c r="F82" s="69" t="s">
        <v>1214</v>
      </c>
      <c r="G82" s="59" t="s">
        <v>1257</v>
      </c>
      <c r="H82" s="50">
        <v>21</v>
      </c>
      <c r="I82" s="50">
        <v>0</v>
      </c>
      <c r="J82" t="s">
        <v>912</v>
      </c>
    </row>
    <row r="87" spans="1:10">
      <c r="B87" t="s">
        <v>921</v>
      </c>
      <c r="C87">
        <v>2073842332</v>
      </c>
      <c r="D87" t="s">
        <v>1951</v>
      </c>
    </row>
  </sheetData>
  <autoFilter ref="A1:O82" xr:uid="{1529DD50-A4C4-FF4A-BF57-0E098F89D79D}">
    <filterColumn colId="9">
      <filters>
        <filter val="Domimic"/>
        <filter val="Dominic"/>
        <filter val="Jeremy"/>
      </filters>
    </filterColumn>
  </autoFilter>
  <sortState xmlns:xlrd2="http://schemas.microsoft.com/office/spreadsheetml/2017/richdata2" ref="H2:M82">
    <sortCondition ref="L2:L82"/>
    <sortCondition ref="J2:J82"/>
  </sortState>
  <hyperlinks>
    <hyperlink ref="R13" r:id="rId1" tooltip="mailto:michael@loydthreepwood.com" display="mailto:michael@loydthreepwood.com" xr:uid="{AD3F0BD9-E454-334A-A13D-4BE8DE76F677}"/>
    <hyperlink ref="R16" r:id="rId2" tooltip="mailto:loydthreepwood@gmail.com" display="mailto:loydthreepwood@gmail.com" xr:uid="{57C284D3-FB84-A644-9FC9-3C3B56714BC6}"/>
    <hyperlink ref="R18" r:id="rId3" tooltip="mailto:loydthreepwood@gmail.com" display="mailto:loydthreepwood@gmail.com" xr:uid="{D0CA900D-1748-1049-BA5B-2D4BC76A54D1}"/>
    <hyperlink ref="R20" r:id="rId4" tooltip="mailto:loydthreepwood@gmail.com" display="mailto:loydthreepwood@gmail.com" xr:uid="{4A448BB8-D813-5043-ABFE-8CB0E78CC125}"/>
  </hyperlinks>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41FB-D4FA-9A4A-A77F-E15B5A06E9DE}">
  <dimension ref="A1:CX242"/>
  <sheetViews>
    <sheetView topLeftCell="B1" workbookViewId="0">
      <pane xSplit="5" ySplit="1" topLeftCell="Y203" activePane="bottomRight" state="frozen"/>
      <selection activeCell="B1" sqref="B1"/>
      <selection pane="topRight" activeCell="G1" sqref="G1"/>
      <selection pane="bottomLeft" activeCell="B2" sqref="B2"/>
      <selection pane="bottomRight" sqref="A1:AG242"/>
    </sheetView>
  </sheetViews>
  <sheetFormatPr baseColWidth="10" defaultRowHeight="16"/>
  <cols>
    <col min="3" max="3" width="7" customWidth="1"/>
    <col min="5" max="5" width="25.5" customWidth="1"/>
    <col min="6" max="6" width="15.5" customWidth="1"/>
    <col min="7" max="7" width="12.33203125" customWidth="1"/>
    <col min="8" max="8" width="12.1640625" customWidth="1"/>
    <col min="9" max="12" width="10.83203125" customWidth="1"/>
    <col min="15" max="15" width="12.6640625" customWidth="1"/>
    <col min="16" max="16" width="12.83203125" bestFit="1" customWidth="1"/>
    <col min="17" max="17" width="22.5" customWidth="1"/>
    <col min="19" max="19" width="26.83203125" customWidth="1"/>
    <col min="20" max="20" width="7.1640625" customWidth="1"/>
    <col min="22" max="24" width="10.83203125" customWidth="1"/>
    <col min="25" max="25" width="49.5" customWidth="1"/>
    <col min="26" max="26" width="14" customWidth="1"/>
    <col min="28" max="28" width="15.6640625" customWidth="1"/>
  </cols>
  <sheetData>
    <row r="1" spans="1:102" ht="52">
      <c r="A1" s="33" t="s">
        <v>1178</v>
      </c>
      <c r="B1" s="33" t="s">
        <v>1195</v>
      </c>
      <c r="C1" s="33" t="s">
        <v>1135</v>
      </c>
      <c r="D1" s="33" t="s">
        <v>780</v>
      </c>
      <c r="E1" s="34" t="s">
        <v>781</v>
      </c>
      <c r="F1" s="33" t="s">
        <v>777</v>
      </c>
      <c r="G1" s="33" t="s">
        <v>778</v>
      </c>
      <c r="H1" s="33" t="s">
        <v>779</v>
      </c>
      <c r="I1" s="33" t="s">
        <v>1154</v>
      </c>
      <c r="J1" s="33" t="s">
        <v>1177</v>
      </c>
      <c r="K1" s="35" t="s">
        <v>1137</v>
      </c>
      <c r="L1" s="5" t="s">
        <v>784</v>
      </c>
      <c r="M1" s="8" t="s">
        <v>1138</v>
      </c>
      <c r="N1" s="33" t="s">
        <v>785</v>
      </c>
      <c r="O1" s="33" t="s">
        <v>786</v>
      </c>
      <c r="P1" s="36" t="s">
        <v>1142</v>
      </c>
      <c r="Q1" s="36" t="s">
        <v>1141</v>
      </c>
      <c r="R1" s="36" t="s">
        <v>1365</v>
      </c>
      <c r="S1" s="36" t="s">
        <v>1145</v>
      </c>
      <c r="T1" s="33" t="s">
        <v>966</v>
      </c>
      <c r="U1" s="36" t="s">
        <v>2351</v>
      </c>
      <c r="V1" s="36" t="s">
        <v>2355</v>
      </c>
      <c r="W1" s="36" t="s">
        <v>2549</v>
      </c>
      <c r="X1" s="36" t="s">
        <v>2550</v>
      </c>
      <c r="Y1" s="33" t="s">
        <v>1359</v>
      </c>
      <c r="Z1" s="36" t="s">
        <v>1381</v>
      </c>
      <c r="AA1" s="33" t="s">
        <v>794</v>
      </c>
      <c r="AB1" s="33" t="s">
        <v>1155</v>
      </c>
      <c r="AC1" s="33" t="s">
        <v>1256</v>
      </c>
      <c r="AD1" s="33" t="s">
        <v>790</v>
      </c>
      <c r="AE1" s="33" t="s">
        <v>791</v>
      </c>
      <c r="AF1" s="33" t="s">
        <v>792</v>
      </c>
      <c r="AG1" s="33" t="s">
        <v>2359</v>
      </c>
    </row>
    <row r="2" spans="1:102" ht="19">
      <c r="A2">
        <f>IF(O2="?",2021-I2,J2-I2)</f>
        <v>25</v>
      </c>
      <c r="C2">
        <v>3299</v>
      </c>
      <c r="D2">
        <v>85</v>
      </c>
      <c r="E2" s="2" t="s">
        <v>782</v>
      </c>
      <c r="F2" t="s">
        <v>839</v>
      </c>
      <c r="I2" s="31">
        <f>YEAR(L2)</f>
        <v>1912</v>
      </c>
      <c r="J2">
        <f>IF(O2="?",O2,YEAR(O2))</f>
        <v>1937</v>
      </c>
      <c r="K2" s="9" t="str">
        <f>IF(B2="",_xlfn.CONCAT(F2," (",D2,"): ",I2),_xlfn.CONCAT(B2," (",D2,"): ",I2))</f>
        <v>Anne (85): 1912</v>
      </c>
      <c r="L2" s="5">
        <v>4671</v>
      </c>
      <c r="M2" s="8">
        <v>4671</v>
      </c>
      <c r="N2" s="3">
        <v>13527</v>
      </c>
      <c r="O2" s="62">
        <f>(VLOOKUP(D2,DateDeath,12,FALSE))</f>
        <v>13527</v>
      </c>
      <c r="P2" s="13">
        <f>D2</f>
        <v>85</v>
      </c>
      <c r="Q2" s="20" t="str">
        <f>_xlfn.CONCAT(K2," - ",J2)</f>
        <v>Anne (85): 1912 - 1937</v>
      </c>
      <c r="R2" s="16">
        <f>VLOOKUP(P2,'Loyd List 1-190 - Edit'!$P$3:$R$184,3,FALSE)</f>
        <v>56</v>
      </c>
      <c r="S2" s="17" t="str">
        <f>VLOOKUP(R2,'Loyd List 1-190 - Edit'!$R$3:$S$184,2,FALSE)</f>
        <v>Tommy (56): 1882–1944</v>
      </c>
      <c r="T2" s="23" t="s">
        <v>2814</v>
      </c>
      <c r="U2">
        <f>IF(D2&lt;10,W2+V2-1,IF(D2&gt;=10,W2+V2-2))</f>
        <v>5</v>
      </c>
      <c r="V2">
        <f>LEN(P2)</f>
        <v>2</v>
      </c>
      <c r="W2">
        <f>VLOOKUP(D2,Generation,2,FALSE)</f>
        <v>5</v>
      </c>
      <c r="X2">
        <f>COUNTIF($R$2:$R$41,P2)</f>
        <v>4</v>
      </c>
      <c r="Y2" t="s">
        <v>2556</v>
      </c>
      <c r="Z2" t="s">
        <v>2558</v>
      </c>
      <c r="AB2" t="s">
        <v>1156</v>
      </c>
      <c r="AC2">
        <f>A2</f>
        <v>25</v>
      </c>
      <c r="AG2" s="71" t="s">
        <v>2559</v>
      </c>
      <c r="AH2" s="2"/>
      <c r="AI2" s="2" t="s">
        <v>2557</v>
      </c>
      <c r="AJ2" s="2"/>
      <c r="AP2" s="2"/>
      <c r="AQ2" s="2"/>
      <c r="AR2" s="2"/>
      <c r="AS2" s="2"/>
      <c r="AT2" s="2"/>
    </row>
    <row r="3" spans="1:102" ht="19">
      <c r="D3">
        <f>D2</f>
        <v>85</v>
      </c>
      <c r="E3" s="2" t="s">
        <v>1357</v>
      </c>
      <c r="F3" t="s">
        <v>851</v>
      </c>
      <c r="G3" t="s">
        <v>918</v>
      </c>
      <c r="I3" s="31"/>
      <c r="K3" s="9"/>
      <c r="L3" s="5"/>
      <c r="M3" s="8">
        <v>13981</v>
      </c>
      <c r="N3" s="3">
        <v>23797</v>
      </c>
      <c r="O3" s="62">
        <v>42565</v>
      </c>
      <c r="P3" s="13" t="s">
        <v>1312</v>
      </c>
      <c r="Q3" s="20"/>
      <c r="R3" s="16">
        <v>85</v>
      </c>
      <c r="S3" s="17"/>
      <c r="T3" s="23" t="s">
        <v>2815</v>
      </c>
      <c r="U3">
        <f>IF(D3&lt;10,W3+V3-1,IF(D3&gt;=10,W3+V3-2))</f>
        <v>6</v>
      </c>
      <c r="V3">
        <f>LEN(P3)</f>
        <v>3</v>
      </c>
      <c r="W3">
        <f>VLOOKUP(D3,Generation,2,FALSE)</f>
        <v>5</v>
      </c>
      <c r="X3">
        <f t="shared" ref="X3:X66" si="0">COUNTIF($R$2:$R$41,P3)</f>
        <v>3</v>
      </c>
      <c r="Y3" t="s">
        <v>2561</v>
      </c>
      <c r="Z3" t="s">
        <v>2562</v>
      </c>
      <c r="AB3" t="s">
        <v>1358</v>
      </c>
      <c r="AG3" s="71" t="s">
        <v>2564</v>
      </c>
      <c r="AH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row>
    <row r="4" spans="1:102" ht="19">
      <c r="D4">
        <f t="shared" ref="D4:D22" si="1">D3</f>
        <v>85</v>
      </c>
      <c r="E4" s="2" t="s">
        <v>1357</v>
      </c>
      <c r="F4" s="71" t="s">
        <v>876</v>
      </c>
      <c r="G4" t="s">
        <v>870</v>
      </c>
      <c r="I4" s="31"/>
      <c r="K4" s="9"/>
      <c r="L4" s="5"/>
      <c r="M4" s="8">
        <v>24580</v>
      </c>
      <c r="N4" s="3">
        <v>33950</v>
      </c>
      <c r="O4" s="62"/>
      <c r="P4" s="13" t="s">
        <v>1360</v>
      </c>
      <c r="Q4" s="20"/>
      <c r="R4" s="21" t="str">
        <f>MID(P4,1,LEN(P4)-1)</f>
        <v>85a</v>
      </c>
      <c r="S4" s="17"/>
      <c r="T4" s="23" t="s">
        <v>2814</v>
      </c>
      <c r="U4">
        <f>IF(D4&lt;10,W4+V4-1,IF(D4&gt;=10,W4+V4-2))</f>
        <v>7</v>
      </c>
      <c r="V4">
        <f>LEN(P4)</f>
        <v>4</v>
      </c>
      <c r="W4">
        <f>VLOOKUP(D4,Generation,2,FALSE)</f>
        <v>5</v>
      </c>
      <c r="X4">
        <f t="shared" si="0"/>
        <v>2</v>
      </c>
      <c r="Y4" t="s">
        <v>2565</v>
      </c>
      <c r="AG4" s="71" t="s">
        <v>2566</v>
      </c>
      <c r="AH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row>
    <row r="5" spans="1:102" ht="19">
      <c r="D5">
        <f t="shared" si="1"/>
        <v>85</v>
      </c>
      <c r="E5" s="2" t="s">
        <v>1361</v>
      </c>
      <c r="F5" s="71" t="s">
        <v>1362</v>
      </c>
      <c r="G5" t="s">
        <v>1363</v>
      </c>
      <c r="I5" s="31"/>
      <c r="K5" s="9"/>
      <c r="L5" s="5"/>
      <c r="M5" s="8">
        <v>34905</v>
      </c>
      <c r="N5" s="3"/>
      <c r="O5" s="62"/>
      <c r="P5" s="13" t="s">
        <v>1367</v>
      </c>
      <c r="Q5" s="20"/>
      <c r="R5" s="21" t="str">
        <f t="shared" ref="R5:R67" si="2">MID(P5,1,LEN(P5)-1)</f>
        <v>85aa</v>
      </c>
      <c r="S5" s="17"/>
      <c r="T5" s="23" t="s">
        <v>2814</v>
      </c>
      <c r="U5">
        <f>IF(D5&lt;10,W5+V5-1,IF(D5&gt;=10,W5+V5-2))</f>
        <v>8</v>
      </c>
      <c r="V5">
        <f t="shared" ref="V5:V69" si="3">LEN(P5)</f>
        <v>5</v>
      </c>
      <c r="W5">
        <f t="shared" ref="W5:W69" si="4">VLOOKUP(D5,Generation,2,FALSE)</f>
        <v>5</v>
      </c>
      <c r="X5">
        <f t="shared" si="0"/>
        <v>0</v>
      </c>
      <c r="AG5" s="71"/>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row>
    <row r="6" spans="1:102" ht="19">
      <c r="D6">
        <f t="shared" si="1"/>
        <v>85</v>
      </c>
      <c r="E6" s="2" t="s">
        <v>1361</v>
      </c>
      <c r="F6" s="71" t="s">
        <v>975</v>
      </c>
      <c r="G6" t="s">
        <v>1364</v>
      </c>
      <c r="I6" s="31"/>
      <c r="K6" s="9"/>
      <c r="L6" s="5"/>
      <c r="M6" s="8">
        <v>35706</v>
      </c>
      <c r="N6" s="3"/>
      <c r="O6" s="62"/>
      <c r="P6" s="13" t="s">
        <v>1368</v>
      </c>
      <c r="Q6" s="20"/>
      <c r="R6" s="21" t="str">
        <f t="shared" si="2"/>
        <v>85aa</v>
      </c>
      <c r="S6" s="17"/>
      <c r="T6" s="23" t="s">
        <v>2814</v>
      </c>
      <c r="U6">
        <f t="shared" ref="U6:U70" si="5">IF(D6&lt;10,W6+V6-1,IF(D6&gt;=10,W6+V6-2))</f>
        <v>8</v>
      </c>
      <c r="V6">
        <f t="shared" si="3"/>
        <v>5</v>
      </c>
      <c r="W6">
        <f t="shared" si="4"/>
        <v>5</v>
      </c>
      <c r="X6">
        <f t="shared" si="0"/>
        <v>0</v>
      </c>
      <c r="AG6" s="71"/>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row>
    <row r="7" spans="1:102" ht="19">
      <c r="D7">
        <f>D4</f>
        <v>85</v>
      </c>
      <c r="E7" s="2" t="s">
        <v>1357</v>
      </c>
      <c r="F7" s="71" t="s">
        <v>1369</v>
      </c>
      <c r="G7" t="s">
        <v>918</v>
      </c>
      <c r="I7" s="31"/>
      <c r="K7" s="9"/>
      <c r="L7" s="5"/>
      <c r="M7" s="8">
        <v>25084</v>
      </c>
      <c r="N7" s="3">
        <v>36337</v>
      </c>
      <c r="O7" s="62"/>
      <c r="P7" s="13" t="s">
        <v>1366</v>
      </c>
      <c r="Q7" s="20"/>
      <c r="R7" s="21" t="str">
        <f t="shared" si="2"/>
        <v>85a</v>
      </c>
      <c r="S7" s="17"/>
      <c r="T7" s="23" t="s">
        <v>2815</v>
      </c>
      <c r="U7">
        <f t="shared" si="5"/>
        <v>7</v>
      </c>
      <c r="V7">
        <f t="shared" si="3"/>
        <v>4</v>
      </c>
      <c r="W7">
        <f t="shared" si="4"/>
        <v>5</v>
      </c>
      <c r="X7">
        <f t="shared" si="0"/>
        <v>2</v>
      </c>
      <c r="Y7" t="s">
        <v>2567</v>
      </c>
      <c r="AG7" s="71" t="s">
        <v>2563</v>
      </c>
      <c r="AH7" s="2"/>
      <c r="AK7" s="2"/>
      <c r="AL7" s="2"/>
      <c r="AM7" s="2"/>
      <c r="AN7" s="2"/>
      <c r="CL7" s="2"/>
      <c r="CM7" s="2"/>
      <c r="CN7" s="2"/>
      <c r="CO7" s="2"/>
      <c r="CP7" s="2"/>
      <c r="CQ7" s="2"/>
      <c r="CR7" s="2"/>
      <c r="CS7" s="2"/>
      <c r="CT7" s="2"/>
      <c r="CU7" s="2"/>
      <c r="CV7" s="2"/>
      <c r="CW7" s="2"/>
      <c r="CX7" s="2"/>
    </row>
    <row r="8" spans="1:102" ht="19">
      <c r="D8">
        <f t="shared" si="1"/>
        <v>85</v>
      </c>
      <c r="E8" s="2" t="s">
        <v>1357</v>
      </c>
      <c r="F8" t="s">
        <v>1370</v>
      </c>
      <c r="G8" t="s">
        <v>1371</v>
      </c>
      <c r="I8" s="31"/>
      <c r="K8" s="9"/>
      <c r="L8" s="5"/>
      <c r="M8" s="8">
        <v>36000</v>
      </c>
      <c r="N8" s="3"/>
      <c r="O8" s="62"/>
      <c r="P8" s="13" t="s">
        <v>1372</v>
      </c>
      <c r="Q8" s="20"/>
      <c r="R8" s="21" t="str">
        <f t="shared" si="2"/>
        <v>85ab</v>
      </c>
      <c r="S8" s="17"/>
      <c r="T8" s="23" t="s">
        <v>2814</v>
      </c>
      <c r="U8">
        <f t="shared" si="5"/>
        <v>8</v>
      </c>
      <c r="V8">
        <f t="shared" si="3"/>
        <v>5</v>
      </c>
      <c r="W8">
        <f t="shared" si="4"/>
        <v>5</v>
      </c>
      <c r="X8">
        <f t="shared" si="0"/>
        <v>0</v>
      </c>
      <c r="AG8" s="71"/>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row>
    <row r="9" spans="1:102" ht="19">
      <c r="D9">
        <f t="shared" si="1"/>
        <v>85</v>
      </c>
      <c r="E9" s="2" t="s">
        <v>1357</v>
      </c>
      <c r="F9" s="71" t="s">
        <v>1373</v>
      </c>
      <c r="G9" t="s">
        <v>937</v>
      </c>
      <c r="I9" s="31"/>
      <c r="K9" s="9"/>
      <c r="L9" s="5"/>
      <c r="M9" s="8">
        <v>36700</v>
      </c>
      <c r="N9" s="3"/>
      <c r="O9" s="62"/>
      <c r="P9" s="13" t="s">
        <v>1374</v>
      </c>
      <c r="Q9" s="20"/>
      <c r="R9" s="21" t="str">
        <f t="shared" si="2"/>
        <v>85ab</v>
      </c>
      <c r="S9" s="17"/>
      <c r="T9" s="23" t="s">
        <v>2814</v>
      </c>
      <c r="U9">
        <f t="shared" si="5"/>
        <v>8</v>
      </c>
      <c r="V9">
        <f t="shared" si="3"/>
        <v>5</v>
      </c>
      <c r="W9">
        <f t="shared" si="4"/>
        <v>5</v>
      </c>
      <c r="X9">
        <f t="shared" si="0"/>
        <v>0</v>
      </c>
      <c r="AG9" s="71"/>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ht="19">
      <c r="D10">
        <f t="shared" si="1"/>
        <v>85</v>
      </c>
      <c r="E10" s="2" t="s">
        <v>1357</v>
      </c>
      <c r="F10" s="71" t="s">
        <v>938</v>
      </c>
      <c r="G10" t="s">
        <v>839</v>
      </c>
      <c r="I10" s="31"/>
      <c r="K10" s="9"/>
      <c r="L10" s="5"/>
      <c r="M10" s="8">
        <v>26501</v>
      </c>
      <c r="N10" s="3"/>
      <c r="O10" s="62"/>
      <c r="P10" s="13" t="s">
        <v>1375</v>
      </c>
      <c r="Q10" s="20"/>
      <c r="R10" s="21" t="str">
        <f t="shared" si="2"/>
        <v>85a</v>
      </c>
      <c r="S10" s="17"/>
      <c r="T10" s="23" t="s">
        <v>2814</v>
      </c>
      <c r="U10">
        <f t="shared" si="5"/>
        <v>7</v>
      </c>
      <c r="V10">
        <f t="shared" si="3"/>
        <v>4</v>
      </c>
      <c r="W10">
        <f t="shared" si="4"/>
        <v>5</v>
      </c>
      <c r="X10">
        <f t="shared" si="0"/>
        <v>0</v>
      </c>
      <c r="AG10" s="71" t="s">
        <v>2568</v>
      </c>
      <c r="AH10" s="2"/>
      <c r="CE10" s="2"/>
      <c r="CF10" s="2"/>
      <c r="CG10" s="2"/>
      <c r="CH10" s="2"/>
      <c r="CI10" s="2"/>
      <c r="CJ10" s="2"/>
      <c r="CK10" s="2"/>
      <c r="CL10" s="2"/>
      <c r="CM10" s="2"/>
      <c r="CN10" s="2"/>
      <c r="CO10" s="2"/>
      <c r="CP10" s="2"/>
      <c r="CQ10" s="2"/>
      <c r="CR10" s="2"/>
      <c r="CS10" s="2"/>
      <c r="CT10" s="2"/>
      <c r="CU10" s="2"/>
      <c r="CV10" s="2"/>
      <c r="CW10" s="2"/>
      <c r="CX10" s="2"/>
    </row>
    <row r="11" spans="1:102" ht="19">
      <c r="D11">
        <f t="shared" si="1"/>
        <v>85</v>
      </c>
      <c r="E11" s="2" t="s">
        <v>1357</v>
      </c>
      <c r="F11" s="71" t="s">
        <v>811</v>
      </c>
      <c r="G11" t="s">
        <v>918</v>
      </c>
      <c r="I11" s="31"/>
      <c r="K11" s="9"/>
      <c r="L11" s="5"/>
      <c r="M11" s="8">
        <v>14531</v>
      </c>
      <c r="N11" s="3">
        <v>23188</v>
      </c>
      <c r="O11" s="62"/>
      <c r="P11" s="13" t="s">
        <v>1313</v>
      </c>
      <c r="Q11" s="20"/>
      <c r="R11" s="21" t="str">
        <f t="shared" si="2"/>
        <v>85</v>
      </c>
      <c r="S11" s="17"/>
      <c r="T11" s="23" t="s">
        <v>2815</v>
      </c>
      <c r="U11">
        <f t="shared" si="5"/>
        <v>6</v>
      </c>
      <c r="V11">
        <f t="shared" si="3"/>
        <v>3</v>
      </c>
      <c r="W11">
        <f t="shared" si="4"/>
        <v>5</v>
      </c>
      <c r="X11">
        <f t="shared" si="0"/>
        <v>4</v>
      </c>
      <c r="Y11" t="s">
        <v>2570</v>
      </c>
      <c r="AG11" s="71" t="s">
        <v>2569</v>
      </c>
      <c r="AH11" s="2"/>
      <c r="AJ11" s="2"/>
      <c r="AK11" s="2"/>
      <c r="CC11" s="2"/>
      <c r="CD11" s="2"/>
      <c r="CE11" s="2"/>
      <c r="CF11" s="2"/>
      <c r="CG11" s="2"/>
      <c r="CH11" s="2"/>
      <c r="CI11" s="2"/>
      <c r="CJ11" s="2"/>
      <c r="CK11" s="2"/>
      <c r="CL11" s="2"/>
      <c r="CM11" s="2"/>
      <c r="CN11" s="2"/>
      <c r="CO11" s="2"/>
      <c r="CP11" s="2"/>
      <c r="CQ11" s="2"/>
      <c r="CR11" s="2"/>
      <c r="CS11" s="2"/>
      <c r="CT11" s="2"/>
      <c r="CU11" s="2"/>
      <c r="CV11" s="2"/>
      <c r="CW11" s="2"/>
      <c r="CX11" s="2"/>
    </row>
    <row r="12" spans="1:102" ht="19">
      <c r="D12">
        <f t="shared" si="1"/>
        <v>85</v>
      </c>
      <c r="E12" s="2" t="s">
        <v>1357</v>
      </c>
      <c r="F12" s="71" t="s">
        <v>1376</v>
      </c>
      <c r="G12" t="s">
        <v>922</v>
      </c>
      <c r="I12" s="31"/>
      <c r="K12" s="9"/>
      <c r="L12" s="5"/>
      <c r="M12" s="8">
        <v>24010</v>
      </c>
      <c r="N12" s="3">
        <v>32774</v>
      </c>
      <c r="O12" s="62"/>
      <c r="P12" s="13" t="s">
        <v>1378</v>
      </c>
      <c r="Q12" s="20"/>
      <c r="R12" s="21" t="str">
        <f t="shared" si="2"/>
        <v>85b</v>
      </c>
      <c r="S12" s="17"/>
      <c r="T12" s="23" t="s">
        <v>2814</v>
      </c>
      <c r="U12">
        <f t="shared" si="5"/>
        <v>7</v>
      </c>
      <c r="V12">
        <f t="shared" si="3"/>
        <v>4</v>
      </c>
      <c r="W12">
        <f t="shared" si="4"/>
        <v>5</v>
      </c>
      <c r="X12">
        <f t="shared" si="0"/>
        <v>0</v>
      </c>
      <c r="Y12" t="s">
        <v>2572</v>
      </c>
      <c r="Z12" t="s">
        <v>2573</v>
      </c>
      <c r="AG12" s="71" t="s">
        <v>2571</v>
      </c>
      <c r="AH12" s="2"/>
      <c r="AJ12" s="2"/>
      <c r="AK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ht="19">
      <c r="D13">
        <f t="shared" si="1"/>
        <v>85</v>
      </c>
      <c r="E13" s="2" t="s">
        <v>1357</v>
      </c>
      <c r="F13" s="71" t="s">
        <v>1377</v>
      </c>
      <c r="G13" t="s">
        <v>870</v>
      </c>
      <c r="I13" s="31"/>
      <c r="K13" s="9"/>
      <c r="L13" s="5"/>
      <c r="M13" s="8">
        <v>24522</v>
      </c>
      <c r="N13" s="3">
        <v>35944</v>
      </c>
      <c r="O13" s="62"/>
      <c r="P13" s="13" t="s">
        <v>1379</v>
      </c>
      <c r="Q13" s="20"/>
      <c r="R13" s="21" t="str">
        <f t="shared" si="2"/>
        <v>85b</v>
      </c>
      <c r="S13" s="17"/>
      <c r="T13" s="23" t="s">
        <v>2814</v>
      </c>
      <c r="U13">
        <f t="shared" si="5"/>
        <v>7</v>
      </c>
      <c r="V13">
        <f t="shared" si="3"/>
        <v>4</v>
      </c>
      <c r="W13">
        <f t="shared" si="4"/>
        <v>5</v>
      </c>
      <c r="X13">
        <f t="shared" si="0"/>
        <v>0</v>
      </c>
      <c r="Y13" t="s">
        <v>2575</v>
      </c>
      <c r="Z13" t="s">
        <v>2576</v>
      </c>
      <c r="AG13" s="71" t="s">
        <v>2574</v>
      </c>
      <c r="AJ13" s="2"/>
      <c r="AL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ht="19">
      <c r="D14">
        <f t="shared" si="1"/>
        <v>85</v>
      </c>
      <c r="E14" s="2" t="s">
        <v>1357</v>
      </c>
      <c r="F14" s="71" t="s">
        <v>1380</v>
      </c>
      <c r="G14" t="s">
        <v>976</v>
      </c>
      <c r="I14" s="31"/>
      <c r="K14" s="9"/>
      <c r="L14" s="5"/>
      <c r="M14" s="8">
        <v>25478</v>
      </c>
      <c r="N14" s="3">
        <v>33852</v>
      </c>
      <c r="O14" s="62"/>
      <c r="P14" s="13" t="s">
        <v>1385</v>
      </c>
      <c r="Q14" s="20"/>
      <c r="R14" s="21" t="str">
        <f t="shared" si="2"/>
        <v>85b</v>
      </c>
      <c r="S14" s="17"/>
      <c r="T14" s="23" t="s">
        <v>2814</v>
      </c>
      <c r="U14">
        <f t="shared" si="5"/>
        <v>7</v>
      </c>
      <c r="V14">
        <f t="shared" si="3"/>
        <v>4</v>
      </c>
      <c r="W14">
        <f t="shared" si="4"/>
        <v>5</v>
      </c>
      <c r="X14">
        <f t="shared" si="0"/>
        <v>1</v>
      </c>
      <c r="Y14" t="s">
        <v>2578</v>
      </c>
      <c r="Z14" s="71" t="s">
        <v>2579</v>
      </c>
      <c r="AG14" s="71" t="s">
        <v>2577</v>
      </c>
      <c r="AH14" s="2"/>
      <c r="AI14" s="2"/>
      <c r="AJ14" s="2"/>
      <c r="AL14" s="71" t="s">
        <v>199</v>
      </c>
      <c r="AN14" s="71"/>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ht="19">
      <c r="D15">
        <f t="shared" si="1"/>
        <v>85</v>
      </c>
      <c r="E15" s="2" t="s">
        <v>1382</v>
      </c>
      <c r="F15" s="71" t="s">
        <v>1383</v>
      </c>
      <c r="G15" t="s">
        <v>936</v>
      </c>
      <c r="I15" s="31"/>
      <c r="K15" s="9"/>
      <c r="L15" s="5"/>
      <c r="M15" s="8">
        <v>35612</v>
      </c>
      <c r="N15" s="3"/>
      <c r="O15" s="62"/>
      <c r="P15" s="13" t="s">
        <v>1384</v>
      </c>
      <c r="Q15" s="20"/>
      <c r="R15" s="21" t="str">
        <f t="shared" si="2"/>
        <v>85bc</v>
      </c>
      <c r="S15" s="17"/>
      <c r="T15" s="23" t="s">
        <v>2814</v>
      </c>
      <c r="U15">
        <f t="shared" si="5"/>
        <v>8</v>
      </c>
      <c r="V15">
        <f t="shared" si="3"/>
        <v>5</v>
      </c>
      <c r="W15">
        <f t="shared" si="4"/>
        <v>5</v>
      </c>
      <c r="X15">
        <f t="shared" si="0"/>
        <v>0</v>
      </c>
      <c r="AG15" s="71"/>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ht="19">
      <c r="D16">
        <f t="shared" si="1"/>
        <v>85</v>
      </c>
      <c r="E16" s="2" t="s">
        <v>1357</v>
      </c>
      <c r="F16" s="71" t="s">
        <v>917</v>
      </c>
      <c r="G16" t="s">
        <v>918</v>
      </c>
      <c r="I16" s="31"/>
      <c r="K16" s="9"/>
      <c r="L16" s="5"/>
      <c r="M16" s="8">
        <v>28218</v>
      </c>
      <c r="N16" s="3"/>
      <c r="O16" s="62"/>
      <c r="P16" s="13" t="s">
        <v>1386</v>
      </c>
      <c r="Q16" s="20"/>
      <c r="R16" s="21" t="str">
        <f t="shared" si="2"/>
        <v>85b</v>
      </c>
      <c r="S16" s="17"/>
      <c r="T16" s="23" t="s">
        <v>2815</v>
      </c>
      <c r="U16">
        <f t="shared" si="5"/>
        <v>7</v>
      </c>
      <c r="V16">
        <f t="shared" si="3"/>
        <v>4</v>
      </c>
      <c r="W16">
        <f t="shared" si="4"/>
        <v>5</v>
      </c>
      <c r="X16">
        <f t="shared" si="0"/>
        <v>0</v>
      </c>
      <c r="AG16" s="71" t="s">
        <v>2581</v>
      </c>
      <c r="AH16" s="71"/>
      <c r="AI16" s="71"/>
      <c r="AJ16" s="71"/>
      <c r="AL16" s="71"/>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ht="19">
      <c r="D17">
        <f t="shared" si="1"/>
        <v>85</v>
      </c>
      <c r="E17" s="2" t="s">
        <v>1357</v>
      </c>
      <c r="F17" s="71" t="s">
        <v>1387</v>
      </c>
      <c r="I17" s="31"/>
      <c r="K17" s="9"/>
      <c r="L17" s="5"/>
      <c r="M17" s="8">
        <v>16435</v>
      </c>
      <c r="N17" s="3">
        <v>28478</v>
      </c>
      <c r="O17" s="62"/>
      <c r="P17" s="13" t="s">
        <v>1388</v>
      </c>
      <c r="Q17" s="20"/>
      <c r="R17" s="21" t="str">
        <f t="shared" si="2"/>
        <v>85</v>
      </c>
      <c r="S17" s="17"/>
      <c r="T17" s="23" t="s">
        <v>2814</v>
      </c>
      <c r="U17">
        <f t="shared" si="5"/>
        <v>6</v>
      </c>
      <c r="V17">
        <f t="shared" si="3"/>
        <v>3</v>
      </c>
      <c r="W17">
        <f t="shared" si="4"/>
        <v>5</v>
      </c>
      <c r="X17">
        <f t="shared" si="0"/>
        <v>2</v>
      </c>
      <c r="Y17" t="s">
        <v>2580</v>
      </c>
      <c r="AG17" s="71"/>
      <c r="AH17" s="71"/>
      <c r="AI17" s="71"/>
      <c r="AJ17" s="71"/>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ht="19">
      <c r="D18">
        <f t="shared" si="1"/>
        <v>85</v>
      </c>
      <c r="E18" s="2" t="s">
        <v>1389</v>
      </c>
      <c r="F18" s="71" t="s">
        <v>918</v>
      </c>
      <c r="G18" t="s">
        <v>1063</v>
      </c>
      <c r="H18" t="s">
        <v>1390</v>
      </c>
      <c r="I18" s="31"/>
      <c r="K18" s="9"/>
      <c r="L18" s="5"/>
      <c r="M18" s="8">
        <v>28652</v>
      </c>
      <c r="N18" s="3"/>
      <c r="O18" s="62"/>
      <c r="P18" s="13" t="s">
        <v>1393</v>
      </c>
      <c r="Q18" s="20"/>
      <c r="R18" s="21" t="str">
        <f t="shared" si="2"/>
        <v>85c</v>
      </c>
      <c r="S18" s="17"/>
      <c r="T18" s="23" t="s">
        <v>2815</v>
      </c>
      <c r="U18">
        <f t="shared" si="5"/>
        <v>7</v>
      </c>
      <c r="V18">
        <f t="shared" si="3"/>
        <v>4</v>
      </c>
      <c r="W18">
        <f t="shared" si="4"/>
        <v>5</v>
      </c>
      <c r="X18">
        <f t="shared" si="0"/>
        <v>0</v>
      </c>
      <c r="AG18" s="71" t="s">
        <v>2582</v>
      </c>
      <c r="AH18" s="71"/>
      <c r="AJ18" s="71"/>
      <c r="AK18" s="71"/>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ht="19">
      <c r="D19">
        <f t="shared" si="1"/>
        <v>85</v>
      </c>
      <c r="E19" s="2" t="s">
        <v>1389</v>
      </c>
      <c r="F19" s="71" t="s">
        <v>1036</v>
      </c>
      <c r="G19" t="s">
        <v>1391</v>
      </c>
      <c r="H19" t="s">
        <v>1392</v>
      </c>
      <c r="I19" s="31"/>
      <c r="K19" s="9"/>
      <c r="L19" s="5"/>
      <c r="M19" s="8">
        <v>29302</v>
      </c>
      <c r="N19" s="3"/>
      <c r="O19" s="62"/>
      <c r="P19" s="13" t="s">
        <v>1394</v>
      </c>
      <c r="Q19" s="20"/>
      <c r="R19" s="21" t="str">
        <f t="shared" si="2"/>
        <v>85c</v>
      </c>
      <c r="S19" s="17"/>
      <c r="T19" s="23" t="s">
        <v>2814</v>
      </c>
      <c r="U19">
        <f t="shared" si="5"/>
        <v>7</v>
      </c>
      <c r="V19">
        <f t="shared" si="3"/>
        <v>4</v>
      </c>
      <c r="W19">
        <f t="shared" si="4"/>
        <v>5</v>
      </c>
      <c r="X19">
        <f t="shared" si="0"/>
        <v>0</v>
      </c>
      <c r="AG19" s="71" t="s">
        <v>2583</v>
      </c>
      <c r="AI19" s="71"/>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ht="19">
      <c r="D20">
        <f t="shared" si="1"/>
        <v>85</v>
      </c>
      <c r="E20" s="2" t="s">
        <v>1357</v>
      </c>
      <c r="F20" s="71" t="s">
        <v>897</v>
      </c>
      <c r="G20" t="s">
        <v>918</v>
      </c>
      <c r="I20" s="31"/>
      <c r="K20" s="9"/>
      <c r="L20" s="5"/>
      <c r="M20" s="8">
        <v>17080</v>
      </c>
      <c r="N20" s="3">
        <v>25745</v>
      </c>
      <c r="O20" s="62"/>
      <c r="P20" s="13" t="s">
        <v>1395</v>
      </c>
      <c r="Q20" s="20"/>
      <c r="R20" s="21" t="str">
        <f t="shared" si="2"/>
        <v>85</v>
      </c>
      <c r="S20" s="17"/>
      <c r="T20" s="23" t="s">
        <v>2815</v>
      </c>
      <c r="U20">
        <f t="shared" si="5"/>
        <v>6</v>
      </c>
      <c r="V20">
        <f t="shared" si="3"/>
        <v>3</v>
      </c>
      <c r="W20">
        <f t="shared" si="4"/>
        <v>5</v>
      </c>
      <c r="X20">
        <f t="shared" si="0"/>
        <v>2</v>
      </c>
      <c r="Y20" t="s">
        <v>2584</v>
      </c>
      <c r="Z20" s="71" t="s">
        <v>2585</v>
      </c>
      <c r="AG20" s="71" t="s">
        <v>2586</v>
      </c>
      <c r="AH20" s="71"/>
      <c r="AK20" s="71"/>
      <c r="AL20" s="71"/>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ht="19">
      <c r="D21">
        <f t="shared" si="1"/>
        <v>85</v>
      </c>
      <c r="E21" s="2" t="s">
        <v>1357</v>
      </c>
      <c r="F21" s="71" t="s">
        <v>1396</v>
      </c>
      <c r="I21" s="31"/>
      <c r="K21" s="9"/>
      <c r="L21" s="5"/>
      <c r="M21" s="8">
        <v>26705</v>
      </c>
      <c r="N21" s="3"/>
      <c r="O21" s="62"/>
      <c r="P21" s="13" t="s">
        <v>1427</v>
      </c>
      <c r="Q21" s="20"/>
      <c r="R21" s="21" t="str">
        <f t="shared" si="2"/>
        <v>85d</v>
      </c>
      <c r="S21" s="17"/>
      <c r="T21" s="23" t="s">
        <v>2814</v>
      </c>
      <c r="U21">
        <f t="shared" si="5"/>
        <v>7</v>
      </c>
      <c r="V21">
        <f t="shared" si="3"/>
        <v>4</v>
      </c>
      <c r="W21">
        <f t="shared" si="4"/>
        <v>5</v>
      </c>
      <c r="X21">
        <f t="shared" si="0"/>
        <v>0</v>
      </c>
      <c r="AG21" s="71" t="s">
        <v>2587</v>
      </c>
      <c r="AI21" s="71"/>
      <c r="AJ21" s="71"/>
      <c r="AK21" s="71"/>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ht="19">
      <c r="D22">
        <f t="shared" si="1"/>
        <v>85</v>
      </c>
      <c r="E22" s="2" t="s">
        <v>1357</v>
      </c>
      <c r="F22" s="71" t="s">
        <v>807</v>
      </c>
      <c r="G22" t="s">
        <v>918</v>
      </c>
      <c r="I22" s="31"/>
      <c r="K22" s="9"/>
      <c r="L22" s="5"/>
      <c r="M22" s="8">
        <v>27321</v>
      </c>
      <c r="N22" s="3"/>
      <c r="O22" s="62"/>
      <c r="P22" s="13" t="s">
        <v>1428</v>
      </c>
      <c r="Q22" s="20"/>
      <c r="R22" s="21" t="str">
        <f t="shared" si="2"/>
        <v>85d</v>
      </c>
      <c r="S22" s="17"/>
      <c r="T22" s="23" t="s">
        <v>2815</v>
      </c>
      <c r="U22">
        <f t="shared" si="5"/>
        <v>7</v>
      </c>
      <c r="V22">
        <f t="shared" si="3"/>
        <v>4</v>
      </c>
      <c r="W22">
        <f t="shared" si="4"/>
        <v>5</v>
      </c>
      <c r="X22">
        <f t="shared" si="0"/>
        <v>0</v>
      </c>
      <c r="AG22" s="71" t="s">
        <v>2588</v>
      </c>
      <c r="AH22" s="71"/>
      <c r="AJ22" s="71"/>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ht="19">
      <c r="A23">
        <f>IF(O23="?",2021-I23,J23-I23)</f>
        <v>20</v>
      </c>
      <c r="C23">
        <v>3465</v>
      </c>
      <c r="D23">
        <v>88</v>
      </c>
      <c r="E23" s="2" t="s">
        <v>782</v>
      </c>
      <c r="F23" t="s">
        <v>844</v>
      </c>
      <c r="G23" t="s">
        <v>845</v>
      </c>
      <c r="H23" t="s">
        <v>846</v>
      </c>
      <c r="I23" s="31">
        <f>YEAR(L23)</f>
        <v>1915</v>
      </c>
      <c r="J23">
        <f>IF(O23="?",O23,YEAR(O23))</f>
        <v>1935</v>
      </c>
      <c r="K23" s="9" t="str">
        <f>IF(B23="",_xlfn.CONCAT(F23," (",D23,"): ",I23),_xlfn.CONCAT(B23," (",D23,"): ",I23))</f>
        <v>Delia (88): 1915</v>
      </c>
      <c r="L23" s="5">
        <v>5734</v>
      </c>
      <c r="M23" s="8">
        <v>5734</v>
      </c>
      <c r="N23" s="3">
        <v>12848</v>
      </c>
      <c r="O23" s="62">
        <f>VLOOKUP(D23,DateDeath,12,FALSE)</f>
        <v>12848</v>
      </c>
      <c r="P23" s="13">
        <f>D23</f>
        <v>88</v>
      </c>
      <c r="Q23" s="20" t="str">
        <f>_xlfn.CONCAT(K23," - ",J23)</f>
        <v>Delia (88): 1915 - 1935</v>
      </c>
      <c r="R23" s="16">
        <f>VLOOKUP(P23,'Loyd List 1-190 - Edit'!$P$3:$R$184,3,FALSE)</f>
        <v>66</v>
      </c>
      <c r="S23" s="17" t="str">
        <f>VLOOKUP(R23,'Loyd List 1-190 - Edit'!$R$3:$S$184,2,FALSE)</f>
        <v>William (66): 1889–1947</v>
      </c>
      <c r="T23" s="23" t="s">
        <v>2814</v>
      </c>
      <c r="U23">
        <f t="shared" si="5"/>
        <v>5</v>
      </c>
      <c r="V23">
        <f t="shared" si="3"/>
        <v>2</v>
      </c>
      <c r="W23">
        <f t="shared" si="4"/>
        <v>5</v>
      </c>
      <c r="X23">
        <f t="shared" si="0"/>
        <v>3</v>
      </c>
      <c r="Y23" t="s">
        <v>1429</v>
      </c>
      <c r="Z23" t="e">
        <f>U23-Y23</f>
        <v>#VALUE!</v>
      </c>
      <c r="AA23" t="s">
        <v>847</v>
      </c>
      <c r="AB23" t="str">
        <f>MID(AG23,4,SEARCH(".",AG23)-SEARCH("Of ",AG23))</f>
        <v>16 Garden Wood, Inchmarlo, Banchory, AB31 4AW.</v>
      </c>
      <c r="AC23">
        <f>A23</f>
        <v>20</v>
      </c>
      <c r="AG23" s="71" t="s">
        <v>208</v>
      </c>
      <c r="AH23" s="2" t="s">
        <v>200</v>
      </c>
      <c r="AI23" s="2" t="s">
        <v>201</v>
      </c>
      <c r="AJ23" s="2" t="s">
        <v>202</v>
      </c>
      <c r="AK23" s="2" t="s">
        <v>203</v>
      </c>
      <c r="AL23" s="2" t="s">
        <v>204</v>
      </c>
    </row>
    <row r="24" spans="1:102" ht="19">
      <c r="D24">
        <f>D23</f>
        <v>88</v>
      </c>
      <c r="E24" s="2" t="s">
        <v>1430</v>
      </c>
      <c r="F24" s="71" t="s">
        <v>1431</v>
      </c>
      <c r="G24" t="s">
        <v>952</v>
      </c>
      <c r="H24" t="s">
        <v>1432</v>
      </c>
      <c r="I24" s="31"/>
      <c r="K24" s="9"/>
      <c r="L24" s="5"/>
      <c r="M24" s="8">
        <v>13688</v>
      </c>
      <c r="N24" s="3">
        <v>21021</v>
      </c>
      <c r="O24" s="62"/>
      <c r="P24" s="13" t="s">
        <v>1433</v>
      </c>
      <c r="Q24" s="20"/>
      <c r="R24" s="21" t="str">
        <f t="shared" si="2"/>
        <v>88</v>
      </c>
      <c r="S24" s="17"/>
      <c r="T24" s="23" t="s">
        <v>2814</v>
      </c>
      <c r="U24">
        <f t="shared" si="5"/>
        <v>6</v>
      </c>
      <c r="V24">
        <f t="shared" si="3"/>
        <v>3</v>
      </c>
      <c r="W24">
        <f t="shared" si="4"/>
        <v>5</v>
      </c>
      <c r="X24">
        <f t="shared" si="0"/>
        <v>4</v>
      </c>
      <c r="Y24" t="s">
        <v>2590</v>
      </c>
      <c r="Z24" t="s">
        <v>2591</v>
      </c>
      <c r="AG24" s="71" t="s">
        <v>2589</v>
      </c>
      <c r="AH24" s="1"/>
      <c r="AJ24" s="71"/>
      <c r="AK24" s="71"/>
    </row>
    <row r="25" spans="1:102" ht="19">
      <c r="D25">
        <f>D24</f>
        <v>88</v>
      </c>
      <c r="E25" s="2" t="s">
        <v>1435</v>
      </c>
      <c r="F25" s="71" t="s">
        <v>928</v>
      </c>
      <c r="G25" t="s">
        <v>1434</v>
      </c>
      <c r="I25" s="31"/>
      <c r="K25" s="9"/>
      <c r="L25" s="5"/>
      <c r="M25" s="8">
        <v>21430</v>
      </c>
      <c r="N25" s="3">
        <v>31157</v>
      </c>
      <c r="P25" s="13" t="s">
        <v>1437</v>
      </c>
      <c r="Q25" s="20"/>
      <c r="R25" s="21" t="str">
        <f t="shared" si="2"/>
        <v>88a</v>
      </c>
      <c r="S25" s="17"/>
      <c r="T25" s="23" t="s">
        <v>2815</v>
      </c>
      <c r="U25">
        <f t="shared" si="5"/>
        <v>7</v>
      </c>
      <c r="V25">
        <f t="shared" si="3"/>
        <v>4</v>
      </c>
      <c r="W25">
        <f t="shared" si="4"/>
        <v>5</v>
      </c>
      <c r="X25">
        <f t="shared" si="0"/>
        <v>3</v>
      </c>
      <c r="Y25" t="s">
        <v>2594</v>
      </c>
      <c r="Z25" s="3" t="s">
        <v>2596</v>
      </c>
      <c r="AG25" s="71" t="s">
        <v>2593</v>
      </c>
      <c r="AI25" s="71"/>
      <c r="AJ25" s="71"/>
      <c r="AK25" s="71"/>
      <c r="AL25" s="71"/>
    </row>
    <row r="26" spans="1:102" ht="19">
      <c r="D26">
        <f>D25</f>
        <v>88</v>
      </c>
      <c r="E26" s="2" t="s">
        <v>1435</v>
      </c>
      <c r="F26" s="71" t="s">
        <v>1436</v>
      </c>
      <c r="G26" t="s">
        <v>998</v>
      </c>
      <c r="I26" s="31"/>
      <c r="K26" s="9"/>
      <c r="L26" s="5"/>
      <c r="M26" s="8">
        <v>31777</v>
      </c>
      <c r="N26" s="3"/>
      <c r="O26" s="62"/>
      <c r="P26" s="13" t="s">
        <v>1439</v>
      </c>
      <c r="Q26" s="20"/>
      <c r="R26" s="21" t="str">
        <f t="shared" si="2"/>
        <v>88aa</v>
      </c>
      <c r="S26" s="17"/>
      <c r="T26" s="23" t="s">
        <v>2814</v>
      </c>
      <c r="U26">
        <f t="shared" si="5"/>
        <v>8</v>
      </c>
      <c r="V26">
        <f t="shared" si="3"/>
        <v>5</v>
      </c>
      <c r="W26">
        <f t="shared" si="4"/>
        <v>5</v>
      </c>
      <c r="X26">
        <f t="shared" si="0"/>
        <v>0</v>
      </c>
      <c r="AG26" s="71" t="s">
        <v>2595</v>
      </c>
      <c r="AH26" s="71"/>
      <c r="AJ26" s="71"/>
      <c r="AK26" s="71"/>
      <c r="AL26" s="71"/>
    </row>
    <row r="27" spans="1:102" ht="19">
      <c r="D27">
        <f>D26</f>
        <v>88</v>
      </c>
      <c r="E27" s="2" t="s">
        <v>1435</v>
      </c>
      <c r="F27" s="71" t="s">
        <v>1442</v>
      </c>
      <c r="G27" t="s">
        <v>842</v>
      </c>
      <c r="I27" s="31"/>
      <c r="K27" s="9"/>
      <c r="L27" s="5"/>
      <c r="M27" s="8">
        <v>35444</v>
      </c>
      <c r="N27" s="3"/>
      <c r="O27" s="62"/>
      <c r="P27" s="13" t="s">
        <v>1440</v>
      </c>
      <c r="Q27" s="20"/>
      <c r="R27" s="21" t="str">
        <f t="shared" si="2"/>
        <v>88aa</v>
      </c>
      <c r="S27" s="17"/>
      <c r="T27" s="23" t="s">
        <v>2815</v>
      </c>
      <c r="U27">
        <f t="shared" si="5"/>
        <v>8</v>
      </c>
      <c r="V27">
        <f t="shared" si="3"/>
        <v>5</v>
      </c>
      <c r="W27">
        <f t="shared" si="4"/>
        <v>5</v>
      </c>
      <c r="X27">
        <f t="shared" si="0"/>
        <v>0</v>
      </c>
      <c r="AG27" s="71" t="s">
        <v>2597</v>
      </c>
      <c r="AH27" s="71"/>
      <c r="AI27" s="71"/>
    </row>
    <row r="28" spans="1:102" ht="19">
      <c r="D28">
        <f>D27</f>
        <v>88</v>
      </c>
      <c r="E28" s="2" t="s">
        <v>1435</v>
      </c>
      <c r="F28" s="71" t="s">
        <v>1443</v>
      </c>
      <c r="G28" t="s">
        <v>1444</v>
      </c>
      <c r="I28" s="31"/>
      <c r="K28" s="9"/>
      <c r="L28" s="5"/>
      <c r="M28" s="8">
        <v>36158</v>
      </c>
      <c r="N28" s="3"/>
      <c r="O28" s="62"/>
      <c r="P28" s="13" t="s">
        <v>1441</v>
      </c>
      <c r="Q28" s="20"/>
      <c r="R28" s="21" t="str">
        <f t="shared" si="2"/>
        <v>88aa</v>
      </c>
      <c r="S28" s="17"/>
      <c r="T28" s="23" t="s">
        <v>2814</v>
      </c>
      <c r="U28">
        <f t="shared" si="5"/>
        <v>8</v>
      </c>
      <c r="V28">
        <f t="shared" si="3"/>
        <v>5</v>
      </c>
      <c r="W28">
        <f t="shared" si="4"/>
        <v>5</v>
      </c>
      <c r="X28">
        <f t="shared" si="0"/>
        <v>0</v>
      </c>
      <c r="AG28" s="71" t="s">
        <v>2597</v>
      </c>
      <c r="AH28" s="71"/>
      <c r="AI28" s="71"/>
      <c r="AJ28" s="71"/>
    </row>
    <row r="29" spans="1:102" ht="19">
      <c r="D29">
        <v>88</v>
      </c>
      <c r="E29" s="2" t="s">
        <v>1445</v>
      </c>
      <c r="F29" s="71" t="s">
        <v>811</v>
      </c>
      <c r="I29" s="31"/>
      <c r="K29" s="9"/>
      <c r="L29" s="5"/>
      <c r="M29" s="8">
        <v>21961</v>
      </c>
      <c r="N29" s="3"/>
      <c r="O29" s="62"/>
      <c r="P29" s="13" t="s">
        <v>1438</v>
      </c>
      <c r="Q29" s="20"/>
      <c r="R29" s="21" t="str">
        <f t="shared" si="2"/>
        <v>88a</v>
      </c>
      <c r="S29" s="17"/>
      <c r="T29" s="23" t="s">
        <v>2815</v>
      </c>
      <c r="U29">
        <f t="shared" si="5"/>
        <v>7</v>
      </c>
      <c r="V29">
        <f t="shared" si="3"/>
        <v>4</v>
      </c>
      <c r="W29">
        <f t="shared" si="4"/>
        <v>5</v>
      </c>
      <c r="X29">
        <f t="shared" si="0"/>
        <v>0</v>
      </c>
      <c r="AG29" s="71" t="s">
        <v>2592</v>
      </c>
      <c r="AH29" s="2"/>
      <c r="AI29" s="2"/>
      <c r="AJ29" s="2"/>
      <c r="AK29" s="2"/>
      <c r="AL29" s="2"/>
    </row>
    <row r="30" spans="1:102" ht="19">
      <c r="D30">
        <v>88</v>
      </c>
      <c r="E30" s="2" t="s">
        <v>1445</v>
      </c>
      <c r="F30" s="71" t="s">
        <v>846</v>
      </c>
      <c r="G30" t="s">
        <v>870</v>
      </c>
      <c r="I30" s="31"/>
      <c r="K30" s="9"/>
      <c r="L30" s="5"/>
      <c r="M30" s="8">
        <v>23654</v>
      </c>
      <c r="N30" s="3">
        <v>32344</v>
      </c>
      <c r="O30" s="62"/>
      <c r="P30" s="13" t="s">
        <v>1446</v>
      </c>
      <c r="Q30" s="20"/>
      <c r="R30" s="21" t="str">
        <f t="shared" si="2"/>
        <v>88a</v>
      </c>
      <c r="S30" s="17"/>
      <c r="T30" s="23" t="s">
        <v>2814</v>
      </c>
      <c r="U30">
        <f t="shared" si="5"/>
        <v>7</v>
      </c>
      <c r="V30">
        <f t="shared" si="3"/>
        <v>4</v>
      </c>
      <c r="W30">
        <f t="shared" si="4"/>
        <v>5</v>
      </c>
      <c r="X30">
        <f t="shared" si="0"/>
        <v>3</v>
      </c>
      <c r="Y30" t="s">
        <v>2599</v>
      </c>
      <c r="Z30" s="71" t="s">
        <v>2600</v>
      </c>
      <c r="AG30" s="71" t="s">
        <v>2598</v>
      </c>
      <c r="AH30" s="71"/>
      <c r="AJ30" s="71"/>
      <c r="AL30" s="71"/>
    </row>
    <row r="31" spans="1:102" ht="19">
      <c r="D31">
        <v>88</v>
      </c>
      <c r="E31" s="2" t="s">
        <v>1447</v>
      </c>
      <c r="F31" s="71" t="s">
        <v>830</v>
      </c>
      <c r="G31" t="s">
        <v>842</v>
      </c>
      <c r="I31" s="31"/>
      <c r="K31" s="9"/>
      <c r="L31" s="5"/>
      <c r="M31" s="8">
        <v>33857</v>
      </c>
      <c r="N31" s="3"/>
      <c r="O31" s="62"/>
      <c r="P31" s="13" t="s">
        <v>1449</v>
      </c>
      <c r="Q31" s="20"/>
      <c r="R31" s="21" t="str">
        <f t="shared" si="2"/>
        <v>88ac</v>
      </c>
      <c r="S31" s="17"/>
      <c r="T31" s="23" t="s">
        <v>2815</v>
      </c>
      <c r="U31">
        <f t="shared" si="5"/>
        <v>8</v>
      </c>
      <c r="V31">
        <f t="shared" si="3"/>
        <v>5</v>
      </c>
      <c r="W31">
        <f t="shared" si="4"/>
        <v>5</v>
      </c>
      <c r="X31">
        <f t="shared" si="0"/>
        <v>0</v>
      </c>
      <c r="AG31" s="71" t="s">
        <v>2601</v>
      </c>
      <c r="AH31" s="71"/>
      <c r="AJ31" s="71"/>
      <c r="AK31" s="71"/>
    </row>
    <row r="32" spans="1:102" ht="19">
      <c r="D32">
        <v>88</v>
      </c>
      <c r="E32" s="2" t="s">
        <v>1447</v>
      </c>
      <c r="F32" s="71" t="s">
        <v>919</v>
      </c>
      <c r="G32" t="s">
        <v>917</v>
      </c>
      <c r="I32" s="31"/>
      <c r="K32" s="9"/>
      <c r="L32" s="5"/>
      <c r="M32" s="8">
        <v>34491</v>
      </c>
      <c r="N32" s="3"/>
      <c r="O32" s="62"/>
      <c r="P32" s="13" t="s">
        <v>1450</v>
      </c>
      <c r="Q32" s="20"/>
      <c r="R32" s="21" t="str">
        <f t="shared" si="2"/>
        <v>88ac</v>
      </c>
      <c r="S32" s="17"/>
      <c r="T32" s="23" t="s">
        <v>2815</v>
      </c>
      <c r="U32">
        <f t="shared" si="5"/>
        <v>8</v>
      </c>
      <c r="V32">
        <f t="shared" si="3"/>
        <v>5</v>
      </c>
      <c r="W32">
        <f t="shared" si="4"/>
        <v>5</v>
      </c>
      <c r="X32">
        <f t="shared" si="0"/>
        <v>0</v>
      </c>
      <c r="AG32" s="71" t="s">
        <v>2601</v>
      </c>
      <c r="AH32" s="2"/>
      <c r="AI32" s="2"/>
      <c r="AJ32" s="2"/>
      <c r="AK32" s="2"/>
      <c r="AL32" s="2"/>
    </row>
    <row r="33" spans="1:41" ht="19">
      <c r="D33">
        <v>88</v>
      </c>
      <c r="E33" s="2" t="s">
        <v>1447</v>
      </c>
      <c r="F33" s="71" t="s">
        <v>1448</v>
      </c>
      <c r="G33" t="s">
        <v>798</v>
      </c>
      <c r="I33" s="31"/>
      <c r="K33" s="9"/>
      <c r="L33" s="5"/>
      <c r="M33" s="8">
        <v>35534</v>
      </c>
      <c r="N33" s="3"/>
      <c r="O33" s="62"/>
      <c r="P33" s="13" t="s">
        <v>1451</v>
      </c>
      <c r="Q33" s="20"/>
      <c r="R33" s="21" t="str">
        <f t="shared" si="2"/>
        <v>88ac</v>
      </c>
      <c r="S33" s="17"/>
      <c r="T33" s="23" t="s">
        <v>2814</v>
      </c>
      <c r="U33">
        <f t="shared" si="5"/>
        <v>8</v>
      </c>
      <c r="V33">
        <f t="shared" si="3"/>
        <v>5</v>
      </c>
      <c r="W33">
        <f t="shared" si="4"/>
        <v>5</v>
      </c>
      <c r="X33">
        <f t="shared" si="0"/>
        <v>0</v>
      </c>
      <c r="AG33" s="71" t="s">
        <v>2601</v>
      </c>
      <c r="AH33" s="71"/>
    </row>
    <row r="34" spans="1:41" ht="19">
      <c r="D34">
        <v>88</v>
      </c>
      <c r="E34" s="2" t="s">
        <v>1445</v>
      </c>
      <c r="F34" s="71" t="s">
        <v>1452</v>
      </c>
      <c r="G34" t="s">
        <v>876</v>
      </c>
      <c r="I34" s="31"/>
      <c r="K34" s="9"/>
      <c r="L34" s="5"/>
      <c r="M34" s="8">
        <v>24208</v>
      </c>
      <c r="N34" s="3">
        <v>32984</v>
      </c>
      <c r="O34" s="62"/>
      <c r="P34" s="13" t="s">
        <v>1453</v>
      </c>
      <c r="Q34" s="20"/>
      <c r="R34" s="21" t="str">
        <f t="shared" si="2"/>
        <v>88a</v>
      </c>
      <c r="S34" s="17"/>
      <c r="T34" s="23" t="s">
        <v>2814</v>
      </c>
      <c r="U34">
        <f t="shared" si="5"/>
        <v>7</v>
      </c>
      <c r="V34">
        <f t="shared" si="3"/>
        <v>4</v>
      </c>
      <c r="W34">
        <f t="shared" si="4"/>
        <v>5</v>
      </c>
      <c r="X34">
        <f t="shared" si="0"/>
        <v>2</v>
      </c>
      <c r="Y34" t="s">
        <v>2603</v>
      </c>
      <c r="Z34" t="s">
        <v>2604</v>
      </c>
      <c r="AG34" s="71" t="s">
        <v>2602</v>
      </c>
      <c r="AI34" s="71"/>
      <c r="AJ34" s="71"/>
      <c r="AK34" s="71"/>
    </row>
    <row r="35" spans="1:41" ht="19">
      <c r="D35">
        <f>D26</f>
        <v>88</v>
      </c>
      <c r="E35" s="2" t="s">
        <v>1454</v>
      </c>
      <c r="F35" s="71" t="s">
        <v>938</v>
      </c>
      <c r="G35" t="s">
        <v>876</v>
      </c>
      <c r="I35" s="31"/>
      <c r="K35" s="9"/>
      <c r="L35" s="5"/>
      <c r="M35" s="8">
        <v>33820</v>
      </c>
      <c r="N35" s="3"/>
      <c r="O35" s="62"/>
      <c r="P35" s="13" t="s">
        <v>1455</v>
      </c>
      <c r="Q35" s="20"/>
      <c r="R35" s="21" t="str">
        <f t="shared" si="2"/>
        <v>88ad</v>
      </c>
      <c r="S35" s="17"/>
      <c r="T35" s="23" t="s">
        <v>2815</v>
      </c>
      <c r="U35">
        <f t="shared" si="5"/>
        <v>8</v>
      </c>
      <c r="V35">
        <f t="shared" si="3"/>
        <v>5</v>
      </c>
      <c r="W35">
        <f t="shared" si="4"/>
        <v>5</v>
      </c>
      <c r="X35">
        <f t="shared" si="0"/>
        <v>0</v>
      </c>
      <c r="AG35" s="71" t="s">
        <v>2605</v>
      </c>
      <c r="AH35" s="71"/>
    </row>
    <row r="36" spans="1:41" ht="19">
      <c r="D36">
        <f>D27</f>
        <v>88</v>
      </c>
      <c r="E36" s="2" t="s">
        <v>1454</v>
      </c>
      <c r="F36" s="71" t="s">
        <v>896</v>
      </c>
      <c r="G36" t="s">
        <v>918</v>
      </c>
      <c r="I36" s="31"/>
      <c r="K36" s="9"/>
      <c r="L36" s="5"/>
      <c r="M36" s="8">
        <v>34408</v>
      </c>
      <c r="N36" s="3"/>
      <c r="O36" s="62"/>
      <c r="P36" s="13" t="s">
        <v>1456</v>
      </c>
      <c r="Q36" s="20"/>
      <c r="R36" s="21" t="str">
        <f t="shared" si="2"/>
        <v>88ad</v>
      </c>
      <c r="S36" s="17"/>
      <c r="T36" s="23" t="s">
        <v>2814</v>
      </c>
      <c r="U36">
        <f t="shared" si="5"/>
        <v>8</v>
      </c>
      <c r="V36">
        <f t="shared" si="3"/>
        <v>5</v>
      </c>
      <c r="W36">
        <f t="shared" si="4"/>
        <v>5</v>
      </c>
      <c r="X36">
        <f t="shared" si="0"/>
        <v>0</v>
      </c>
      <c r="AG36" s="71" t="s">
        <v>2606</v>
      </c>
    </row>
    <row r="37" spans="1:41" ht="19">
      <c r="D37">
        <f>D28</f>
        <v>88</v>
      </c>
      <c r="E37" s="2" t="s">
        <v>1457</v>
      </c>
      <c r="F37" s="71" t="s">
        <v>891</v>
      </c>
      <c r="G37" t="s">
        <v>860</v>
      </c>
      <c r="H37" t="s">
        <v>1459</v>
      </c>
      <c r="I37" s="31"/>
      <c r="K37" s="9"/>
      <c r="L37" s="5"/>
      <c r="M37" s="8">
        <v>14298</v>
      </c>
      <c r="N37" s="3">
        <v>26581</v>
      </c>
      <c r="O37" s="62"/>
      <c r="P37" s="13" t="s">
        <v>1458</v>
      </c>
      <c r="Q37" s="20"/>
      <c r="R37" s="21" t="str">
        <f t="shared" si="2"/>
        <v>88</v>
      </c>
      <c r="S37" s="17"/>
      <c r="T37" s="23" t="s">
        <v>2815</v>
      </c>
      <c r="U37">
        <f t="shared" si="5"/>
        <v>6</v>
      </c>
      <c r="V37">
        <f t="shared" si="3"/>
        <v>3</v>
      </c>
      <c r="W37">
        <f t="shared" si="4"/>
        <v>5</v>
      </c>
      <c r="X37">
        <f t="shared" si="0"/>
        <v>1</v>
      </c>
      <c r="Y37" t="s">
        <v>2608</v>
      </c>
      <c r="Z37" s="71" t="s">
        <v>2609</v>
      </c>
      <c r="AG37" s="71" t="s">
        <v>2607</v>
      </c>
      <c r="AH37" s="71"/>
      <c r="AI37" s="71"/>
    </row>
    <row r="38" spans="1:41" ht="19">
      <c r="D38">
        <f>D29</f>
        <v>88</v>
      </c>
      <c r="E38" s="2" t="s">
        <v>1457</v>
      </c>
      <c r="F38" s="71" t="s">
        <v>918</v>
      </c>
      <c r="G38" t="s">
        <v>830</v>
      </c>
      <c r="H38" t="s">
        <v>1462</v>
      </c>
      <c r="I38" s="31"/>
      <c r="K38" s="9"/>
      <c r="L38" s="5"/>
      <c r="M38" s="8">
        <v>27865</v>
      </c>
      <c r="N38" s="3"/>
      <c r="O38" s="62"/>
      <c r="P38" s="13" t="s">
        <v>1460</v>
      </c>
      <c r="Q38" s="20"/>
      <c r="R38" s="21" t="str">
        <f t="shared" si="2"/>
        <v>88b</v>
      </c>
      <c r="S38" s="17"/>
      <c r="T38" s="23" t="s">
        <v>2815</v>
      </c>
      <c r="U38">
        <f t="shared" si="5"/>
        <v>7</v>
      </c>
      <c r="V38">
        <f t="shared" si="3"/>
        <v>4</v>
      </c>
      <c r="W38">
        <f t="shared" si="4"/>
        <v>5</v>
      </c>
      <c r="X38">
        <f t="shared" si="0"/>
        <v>0</v>
      </c>
      <c r="AG38" s="71" t="s">
        <v>2610</v>
      </c>
      <c r="AH38" s="71" t="s">
        <v>2611</v>
      </c>
    </row>
    <row r="39" spans="1:41" ht="19">
      <c r="D39">
        <f>D30</f>
        <v>88</v>
      </c>
      <c r="E39" s="2" t="s">
        <v>1457</v>
      </c>
      <c r="F39" s="71" t="s">
        <v>1463</v>
      </c>
      <c r="G39" t="s">
        <v>1464</v>
      </c>
      <c r="H39" t="s">
        <v>1465</v>
      </c>
      <c r="I39" s="31"/>
      <c r="K39" s="9"/>
      <c r="L39" s="5"/>
      <c r="M39" s="8">
        <v>28491</v>
      </c>
      <c r="N39" s="3"/>
      <c r="O39" s="62"/>
      <c r="P39" s="13" t="s">
        <v>1461</v>
      </c>
      <c r="Q39" s="20"/>
      <c r="R39" s="21" t="str">
        <f t="shared" si="2"/>
        <v>88c</v>
      </c>
      <c r="S39" s="17"/>
      <c r="T39" s="23" t="s">
        <v>2814</v>
      </c>
      <c r="U39">
        <f t="shared" si="5"/>
        <v>7</v>
      </c>
      <c r="V39">
        <f t="shared" si="3"/>
        <v>4</v>
      </c>
      <c r="W39">
        <f t="shared" si="4"/>
        <v>5</v>
      </c>
      <c r="X39">
        <f t="shared" si="0"/>
        <v>0</v>
      </c>
      <c r="AG39" s="71" t="s">
        <v>2612</v>
      </c>
      <c r="AH39" s="71"/>
      <c r="AK39" s="2"/>
      <c r="AL39" s="2"/>
    </row>
    <row r="40" spans="1:41" ht="19">
      <c r="D40">
        <v>88</v>
      </c>
      <c r="E40" s="2" t="s">
        <v>1430</v>
      </c>
      <c r="F40" s="71" t="s">
        <v>1466</v>
      </c>
      <c r="G40" t="s">
        <v>905</v>
      </c>
      <c r="I40" s="31"/>
      <c r="K40" s="9"/>
      <c r="L40" s="5"/>
      <c r="M40" s="8">
        <v>16913</v>
      </c>
      <c r="N40" s="3"/>
      <c r="O40" s="62"/>
      <c r="P40" s="13" t="s">
        <v>1467</v>
      </c>
      <c r="Q40" s="20"/>
      <c r="R40" s="21" t="str">
        <f t="shared" si="2"/>
        <v>88</v>
      </c>
      <c r="S40" s="17"/>
      <c r="T40" s="23" t="s">
        <v>2815</v>
      </c>
      <c r="U40">
        <f t="shared" si="5"/>
        <v>6</v>
      </c>
      <c r="V40">
        <f t="shared" si="3"/>
        <v>3</v>
      </c>
      <c r="W40">
        <f t="shared" si="4"/>
        <v>5</v>
      </c>
      <c r="X40">
        <f t="shared" si="0"/>
        <v>1</v>
      </c>
      <c r="AG40" s="71" t="s">
        <v>2613</v>
      </c>
      <c r="AH40" s="71"/>
      <c r="AI40" s="2"/>
      <c r="AJ40" s="2"/>
      <c r="AK40" s="2"/>
      <c r="AL40" s="2"/>
    </row>
    <row r="41" spans="1:41" ht="19">
      <c r="A41">
        <f>IF(O41="?",2021-I41,J41-I41)</f>
        <v>23</v>
      </c>
      <c r="C41">
        <v>3605</v>
      </c>
      <c r="D41">
        <v>90</v>
      </c>
      <c r="E41" s="2" t="s">
        <v>782</v>
      </c>
      <c r="F41" t="s">
        <v>849</v>
      </c>
      <c r="G41" t="s">
        <v>850</v>
      </c>
      <c r="I41" s="31">
        <f>YEAR(L41)</f>
        <v>1917</v>
      </c>
      <c r="J41">
        <f>IF(O41="?",O41,YEAR(O41))</f>
        <v>1940</v>
      </c>
      <c r="K41" s="9" t="str">
        <f>IF(B41="",_xlfn.CONCAT(F41," (",D41,"): ",I41),_xlfn.CONCAT(B41," (",D41,"): ",I41))</f>
        <v>Averil (90): 1917</v>
      </c>
      <c r="L41" s="5">
        <v>6293</v>
      </c>
      <c r="M41" s="8">
        <v>6293</v>
      </c>
      <c r="N41" s="3">
        <v>14632</v>
      </c>
      <c r="O41" s="62">
        <f>VLOOKUP(D41,DateDeath,12,FALSE)</f>
        <v>14632</v>
      </c>
      <c r="P41" s="13">
        <f>D41</f>
        <v>90</v>
      </c>
      <c r="Q41" s="20" t="str">
        <f>_xlfn.CONCAT(K41," - ",J41)</f>
        <v>Averil (90): 1917 - 1940</v>
      </c>
      <c r="R41" s="16">
        <f>VLOOKUP(P41,'Loyd List 1-190 - Edit'!$P$3:$R$184,3,FALSE)</f>
        <v>52</v>
      </c>
      <c r="S41" s="17" t="str">
        <f>VLOOKUP(R41,'Loyd List 1-190 - Edit'!$R$3:$S$184,2,FALSE)</f>
        <v>Lewis (52): 1880–1918</v>
      </c>
      <c r="T41" s="23" t="s">
        <v>2814</v>
      </c>
      <c r="U41">
        <f t="shared" si="5"/>
        <v>5</v>
      </c>
      <c r="V41">
        <f t="shared" si="3"/>
        <v>2</v>
      </c>
      <c r="W41">
        <f t="shared" si="4"/>
        <v>5</v>
      </c>
      <c r="X41">
        <f t="shared" si="0"/>
        <v>0</v>
      </c>
      <c r="Y41" t="s">
        <v>1468</v>
      </c>
      <c r="Z41" t="s">
        <v>1469</v>
      </c>
      <c r="AA41" t="s">
        <v>1484</v>
      </c>
      <c r="AC41">
        <f>A41</f>
        <v>23</v>
      </c>
      <c r="AG41" s="71" t="s">
        <v>223</v>
      </c>
      <c r="AH41" s="2" t="s">
        <v>205</v>
      </c>
      <c r="AI41" s="2" t="s">
        <v>206</v>
      </c>
      <c r="AJ41" s="2" t="s">
        <v>207</v>
      </c>
    </row>
    <row r="42" spans="1:41" ht="19">
      <c r="D42">
        <f>D41</f>
        <v>90</v>
      </c>
      <c r="E42" s="2" t="s">
        <v>2553</v>
      </c>
      <c r="F42" s="71" t="s">
        <v>1470</v>
      </c>
      <c r="I42" s="31"/>
      <c r="K42" s="9"/>
      <c r="L42" s="5"/>
      <c r="M42" s="8">
        <v>15522</v>
      </c>
      <c r="N42" s="3">
        <v>22815</v>
      </c>
      <c r="O42" s="62"/>
      <c r="P42" s="13" t="s">
        <v>1471</v>
      </c>
      <c r="Q42" s="20"/>
      <c r="R42" s="21" t="str">
        <f t="shared" si="2"/>
        <v>90</v>
      </c>
      <c r="S42" s="17"/>
      <c r="T42" s="23" t="s">
        <v>2814</v>
      </c>
      <c r="U42">
        <f t="shared" si="5"/>
        <v>6</v>
      </c>
      <c r="V42">
        <f t="shared" si="3"/>
        <v>3</v>
      </c>
      <c r="W42">
        <f t="shared" si="4"/>
        <v>5</v>
      </c>
      <c r="X42">
        <f t="shared" si="0"/>
        <v>0</v>
      </c>
      <c r="Y42" t="s">
        <v>2617</v>
      </c>
      <c r="Z42" t="s">
        <v>2616</v>
      </c>
      <c r="AG42" s="71" t="s">
        <v>2614</v>
      </c>
      <c r="AH42" s="71"/>
      <c r="AI42" s="71"/>
      <c r="AJ42" s="71"/>
    </row>
    <row r="43" spans="1:41" ht="19">
      <c r="D43">
        <f>D42</f>
        <v>90</v>
      </c>
      <c r="E43" s="2" t="s">
        <v>1472</v>
      </c>
      <c r="F43" s="71" t="s">
        <v>1380</v>
      </c>
      <c r="G43" t="s">
        <v>985</v>
      </c>
      <c r="I43" s="31"/>
      <c r="K43" s="9"/>
      <c r="L43" s="5"/>
      <c r="M43" s="8">
        <v>27661</v>
      </c>
      <c r="N43" s="3"/>
      <c r="O43" s="62"/>
      <c r="P43" s="13" t="s">
        <v>2551</v>
      </c>
      <c r="Q43" s="20"/>
      <c r="R43" s="21" t="str">
        <f t="shared" si="2"/>
        <v>90a</v>
      </c>
      <c r="S43" s="17"/>
      <c r="T43" s="23" t="s">
        <v>2814</v>
      </c>
      <c r="U43">
        <f t="shared" si="5"/>
        <v>7</v>
      </c>
      <c r="V43">
        <f t="shared" si="3"/>
        <v>4</v>
      </c>
      <c r="W43">
        <f t="shared" si="4"/>
        <v>5</v>
      </c>
      <c r="X43">
        <f t="shared" si="0"/>
        <v>0</v>
      </c>
      <c r="AG43" s="71" t="s">
        <v>2615</v>
      </c>
      <c r="AI43" s="71"/>
      <c r="AJ43" s="71"/>
      <c r="AK43" s="71"/>
    </row>
    <row r="44" spans="1:41" ht="19">
      <c r="D44">
        <f>D43</f>
        <v>90</v>
      </c>
      <c r="E44" s="2" t="s">
        <v>2552</v>
      </c>
      <c r="F44" s="71" t="s">
        <v>2554</v>
      </c>
      <c r="G44" t="s">
        <v>842</v>
      </c>
      <c r="I44" s="31"/>
      <c r="K44" s="9"/>
      <c r="L44" s="5"/>
      <c r="M44" s="8">
        <v>29338</v>
      </c>
      <c r="N44" s="3"/>
      <c r="O44" s="62"/>
      <c r="P44" s="13" t="s">
        <v>2555</v>
      </c>
      <c r="Q44" s="20"/>
      <c r="R44" s="21" t="str">
        <f t="shared" si="2"/>
        <v>90a</v>
      </c>
      <c r="S44" s="17"/>
      <c r="T44" s="23" t="s">
        <v>2815</v>
      </c>
      <c r="U44">
        <f t="shared" si="5"/>
        <v>7</v>
      </c>
      <c r="V44">
        <f t="shared" si="3"/>
        <v>4</v>
      </c>
      <c r="W44">
        <f t="shared" si="4"/>
        <v>5</v>
      </c>
      <c r="X44">
        <f t="shared" si="0"/>
        <v>0</v>
      </c>
      <c r="AG44" s="71" t="s">
        <v>2618</v>
      </c>
      <c r="AH44" s="71"/>
      <c r="AJ44" s="71"/>
    </row>
    <row r="45" spans="1:41" ht="19">
      <c r="D45">
        <f>D43</f>
        <v>90</v>
      </c>
      <c r="E45" s="2" t="s">
        <v>2553</v>
      </c>
      <c r="F45" s="71" t="s">
        <v>1473</v>
      </c>
      <c r="I45" s="31"/>
      <c r="K45" s="9"/>
      <c r="L45" s="5"/>
      <c r="M45" s="8">
        <v>16205</v>
      </c>
      <c r="N45" s="3">
        <v>26324</v>
      </c>
      <c r="O45" s="62"/>
      <c r="P45" s="13" t="s">
        <v>1474</v>
      </c>
      <c r="Q45" s="20"/>
      <c r="R45" s="21" t="str">
        <f t="shared" si="2"/>
        <v>90</v>
      </c>
      <c r="S45" s="17"/>
      <c r="T45" s="23" t="s">
        <v>2814</v>
      </c>
      <c r="U45">
        <f t="shared" si="5"/>
        <v>6</v>
      </c>
      <c r="V45">
        <f t="shared" si="3"/>
        <v>3</v>
      </c>
      <c r="W45">
        <f t="shared" si="4"/>
        <v>5</v>
      </c>
      <c r="X45">
        <f t="shared" si="0"/>
        <v>0</v>
      </c>
      <c r="Y45" t="s">
        <v>2620</v>
      </c>
      <c r="Z45" s="71" t="s">
        <v>2621</v>
      </c>
      <c r="AG45" s="71" t="s">
        <v>2619</v>
      </c>
      <c r="AH45" s="71"/>
      <c r="AI45" s="71"/>
      <c r="AJ45" s="71"/>
    </row>
    <row r="46" spans="1:41" ht="19">
      <c r="D46">
        <f t="shared" ref="D46:D51" si="6">D45</f>
        <v>90</v>
      </c>
      <c r="E46" s="2" t="s">
        <v>1475</v>
      </c>
      <c r="F46" s="71" t="s">
        <v>1476</v>
      </c>
      <c r="I46" s="31"/>
      <c r="K46" s="9"/>
      <c r="L46" s="5"/>
      <c r="M46" s="8">
        <v>26549</v>
      </c>
      <c r="N46" s="3"/>
      <c r="O46" s="62"/>
      <c r="P46" s="13" t="s">
        <v>1478</v>
      </c>
      <c r="Q46" s="20"/>
      <c r="R46" s="21" t="str">
        <f t="shared" si="2"/>
        <v>90b</v>
      </c>
      <c r="S46" s="17"/>
      <c r="T46" s="23" t="s">
        <v>2814</v>
      </c>
      <c r="U46">
        <f t="shared" si="5"/>
        <v>7</v>
      </c>
      <c r="V46">
        <f t="shared" si="3"/>
        <v>4</v>
      </c>
      <c r="W46">
        <f t="shared" si="4"/>
        <v>5</v>
      </c>
      <c r="X46">
        <f t="shared" si="0"/>
        <v>0</v>
      </c>
      <c r="AG46" s="71" t="s">
        <v>226</v>
      </c>
      <c r="AH46" s="71"/>
      <c r="AI46" s="71"/>
      <c r="AK46" s="71"/>
      <c r="AL46" s="71"/>
      <c r="AM46" s="71"/>
      <c r="AN46" s="71"/>
      <c r="AO46" s="71"/>
    </row>
    <row r="47" spans="1:41" ht="19">
      <c r="D47">
        <f t="shared" si="6"/>
        <v>90</v>
      </c>
      <c r="E47" s="2" t="s">
        <v>1475</v>
      </c>
      <c r="F47" s="71" t="s">
        <v>1477</v>
      </c>
      <c r="I47" s="31"/>
      <c r="K47" s="9"/>
      <c r="L47" s="5"/>
      <c r="M47" s="8">
        <v>27605</v>
      </c>
      <c r="N47" s="3"/>
      <c r="O47" s="62"/>
      <c r="P47" s="13" t="s">
        <v>1479</v>
      </c>
      <c r="Q47" s="20"/>
      <c r="R47" s="21" t="str">
        <f t="shared" si="2"/>
        <v>90b</v>
      </c>
      <c r="S47" s="17"/>
      <c r="T47" s="23" t="s">
        <v>2814</v>
      </c>
      <c r="U47">
        <f t="shared" si="5"/>
        <v>7</v>
      </c>
      <c r="V47">
        <f t="shared" si="3"/>
        <v>4</v>
      </c>
      <c r="W47">
        <f t="shared" si="4"/>
        <v>5</v>
      </c>
      <c r="X47">
        <f t="shared" si="0"/>
        <v>0</v>
      </c>
      <c r="AG47" s="71"/>
    </row>
    <row r="48" spans="1:41" ht="19">
      <c r="D48">
        <f t="shared" si="6"/>
        <v>90</v>
      </c>
      <c r="E48" s="2" t="s">
        <v>1480</v>
      </c>
      <c r="F48" s="71" t="s">
        <v>1483</v>
      </c>
      <c r="G48" t="s">
        <v>1481</v>
      </c>
      <c r="H48" t="s">
        <v>1482</v>
      </c>
      <c r="I48" s="31"/>
      <c r="K48" s="9"/>
      <c r="L48" s="5"/>
      <c r="M48" s="8">
        <v>18281</v>
      </c>
      <c r="N48" s="3">
        <v>26815</v>
      </c>
      <c r="O48" s="62"/>
      <c r="P48" s="13" t="s">
        <v>1485</v>
      </c>
      <c r="Q48" s="20"/>
      <c r="R48" s="21" t="str">
        <f t="shared" si="2"/>
        <v>90</v>
      </c>
      <c r="S48" s="17"/>
      <c r="T48" s="23" t="s">
        <v>2815</v>
      </c>
      <c r="U48">
        <f t="shared" si="5"/>
        <v>6</v>
      </c>
      <c r="V48">
        <f t="shared" si="3"/>
        <v>3</v>
      </c>
      <c r="W48">
        <f t="shared" si="4"/>
        <v>5</v>
      </c>
      <c r="X48">
        <f t="shared" si="0"/>
        <v>0</v>
      </c>
      <c r="Y48" t="s">
        <v>2623</v>
      </c>
      <c r="Z48" t="s">
        <v>2624</v>
      </c>
      <c r="AG48" s="71" t="s">
        <v>2622</v>
      </c>
      <c r="AI48" s="71"/>
      <c r="AJ48" s="71"/>
    </row>
    <row r="49" spans="1:88" ht="19">
      <c r="D49">
        <f t="shared" si="6"/>
        <v>90</v>
      </c>
      <c r="E49" s="2" t="s">
        <v>1480</v>
      </c>
      <c r="F49" s="71" t="s">
        <v>1489</v>
      </c>
      <c r="G49" t="s">
        <v>1436</v>
      </c>
      <c r="H49" t="s">
        <v>1482</v>
      </c>
      <c r="I49" s="31"/>
      <c r="K49" s="9"/>
      <c r="L49" s="5"/>
      <c r="M49" s="8">
        <v>27811</v>
      </c>
      <c r="N49" s="3"/>
      <c r="O49" s="62"/>
      <c r="P49" s="13" t="s">
        <v>1486</v>
      </c>
      <c r="Q49" s="20"/>
      <c r="R49" s="21" t="str">
        <f t="shared" si="2"/>
        <v>90c</v>
      </c>
      <c r="S49" s="17"/>
      <c r="T49" s="23" t="s">
        <v>2814</v>
      </c>
      <c r="U49">
        <f t="shared" si="5"/>
        <v>7</v>
      </c>
      <c r="V49">
        <f t="shared" si="3"/>
        <v>4</v>
      </c>
      <c r="W49">
        <f t="shared" si="4"/>
        <v>5</v>
      </c>
      <c r="X49">
        <f t="shared" si="0"/>
        <v>0</v>
      </c>
      <c r="AG49" s="71" t="s">
        <v>2625</v>
      </c>
      <c r="AI49" s="71"/>
      <c r="AJ49" s="71"/>
    </row>
    <row r="50" spans="1:88" ht="19">
      <c r="D50">
        <f t="shared" si="6"/>
        <v>90</v>
      </c>
      <c r="E50" s="2" t="s">
        <v>1480</v>
      </c>
      <c r="F50" s="71" t="s">
        <v>1490</v>
      </c>
      <c r="G50" t="s">
        <v>1491</v>
      </c>
      <c r="H50" t="s">
        <v>1482</v>
      </c>
      <c r="I50" s="31"/>
      <c r="K50" s="9"/>
      <c r="L50" s="5"/>
      <c r="M50" s="8">
        <v>29235</v>
      </c>
      <c r="N50" s="3"/>
      <c r="O50" s="62">
        <v>29320</v>
      </c>
      <c r="P50" s="13" t="s">
        <v>1487</v>
      </c>
      <c r="Q50" s="20"/>
      <c r="R50" s="21" t="str">
        <f t="shared" si="2"/>
        <v>90c</v>
      </c>
      <c r="S50" s="17"/>
      <c r="T50" s="23" t="s">
        <v>2814</v>
      </c>
      <c r="U50">
        <f t="shared" si="5"/>
        <v>7</v>
      </c>
      <c r="V50">
        <f t="shared" si="3"/>
        <v>4</v>
      </c>
      <c r="W50">
        <f t="shared" si="4"/>
        <v>5</v>
      </c>
      <c r="X50">
        <f t="shared" si="0"/>
        <v>0</v>
      </c>
      <c r="AG50" s="71" t="s">
        <v>2626</v>
      </c>
      <c r="AI50" s="71"/>
      <c r="AJ50" s="71"/>
    </row>
    <row r="51" spans="1:88" ht="19">
      <c r="D51">
        <f t="shared" si="6"/>
        <v>90</v>
      </c>
      <c r="E51" s="2" t="s">
        <v>1480</v>
      </c>
      <c r="F51" s="71" t="s">
        <v>1492</v>
      </c>
      <c r="G51" t="s">
        <v>937</v>
      </c>
      <c r="H51" t="s">
        <v>1482</v>
      </c>
      <c r="I51" s="31"/>
      <c r="K51" s="9"/>
      <c r="L51" s="5"/>
      <c r="M51" s="8">
        <v>30030</v>
      </c>
      <c r="N51" s="3"/>
      <c r="O51" s="62"/>
      <c r="P51" s="13" t="s">
        <v>1488</v>
      </c>
      <c r="Q51" s="20"/>
      <c r="R51" s="21" t="str">
        <f t="shared" si="2"/>
        <v>90c</v>
      </c>
      <c r="S51" s="17"/>
      <c r="T51" s="23" t="s">
        <v>2815</v>
      </c>
      <c r="U51">
        <f t="shared" si="5"/>
        <v>7</v>
      </c>
      <c r="V51">
        <f t="shared" si="3"/>
        <v>4</v>
      </c>
      <c r="W51">
        <f t="shared" si="4"/>
        <v>5</v>
      </c>
      <c r="X51">
        <f t="shared" si="0"/>
        <v>0</v>
      </c>
      <c r="AG51" s="71" t="s">
        <v>2627</v>
      </c>
      <c r="AI51" s="71"/>
      <c r="AJ51" s="71"/>
    </row>
    <row r="52" spans="1:88" ht="19">
      <c r="A52">
        <f>IF(O52="?",2021-I52,J52-I52)</f>
        <v>28</v>
      </c>
      <c r="C52">
        <v>3701</v>
      </c>
      <c r="D52">
        <v>92</v>
      </c>
      <c r="E52" s="2" t="s">
        <v>782</v>
      </c>
      <c r="F52" t="s">
        <v>853</v>
      </c>
      <c r="G52" t="s">
        <v>854</v>
      </c>
      <c r="H52" t="s">
        <v>855</v>
      </c>
      <c r="I52" s="31">
        <f>YEAR(L52)</f>
        <v>1917</v>
      </c>
      <c r="J52">
        <f>IF(O52="?",O52,YEAR(O52))</f>
        <v>1945</v>
      </c>
      <c r="K52" s="9" t="str">
        <f>IF(B52="",_xlfn.CONCAT(F52," (",D52,"): ",I52),_xlfn.CONCAT(B52," (",D52,"): ",I52))</f>
        <v>Daphne (92): 1917</v>
      </c>
      <c r="L52" s="5">
        <v>6540</v>
      </c>
      <c r="M52" s="8">
        <v>6540</v>
      </c>
      <c r="N52" s="3">
        <v>16674</v>
      </c>
      <c r="O52" s="62">
        <f>VLOOKUP(D52,DateDeath,12,FALSE)</f>
        <v>16674</v>
      </c>
      <c r="P52" s="13">
        <f>D52</f>
        <v>92</v>
      </c>
      <c r="Q52" s="20" t="str">
        <f>_xlfn.CONCAT(K52," - ",J52)</f>
        <v>Daphne (92): 1917 - 1945</v>
      </c>
      <c r="R52" s="16">
        <f>VLOOKUP(P52,'Loyd List 1-190 - Edit'!$P$3:$R$184,3,FALSE)</f>
        <v>54</v>
      </c>
      <c r="S52" s="17" t="str">
        <f>VLOOKUP(R52,'Loyd List 1-190 - Edit'!$R$3:$S$184,2,FALSE)</f>
        <v>Alfred (54): 1882–1919</v>
      </c>
      <c r="T52" s="23" t="s">
        <v>2814</v>
      </c>
      <c r="U52">
        <f t="shared" si="5"/>
        <v>5</v>
      </c>
      <c r="V52">
        <f t="shared" si="3"/>
        <v>2</v>
      </c>
      <c r="W52">
        <f t="shared" si="4"/>
        <v>5</v>
      </c>
      <c r="X52">
        <f t="shared" si="0"/>
        <v>0</v>
      </c>
      <c r="Y52" t="s">
        <v>1493</v>
      </c>
      <c r="Z52" t="e">
        <f>U52-Y52</f>
        <v>#VALUE!</v>
      </c>
      <c r="AC52">
        <f>A52</f>
        <v>28</v>
      </c>
      <c r="AG52" s="71" t="s">
        <v>230</v>
      </c>
      <c r="AH52" s="2" t="s">
        <v>209</v>
      </c>
      <c r="AI52" s="2" t="s">
        <v>210</v>
      </c>
      <c r="AJ52" s="2" t="s">
        <v>211</v>
      </c>
    </row>
    <row r="53" spans="1:88" ht="19">
      <c r="D53">
        <f t="shared" ref="D53:D60" si="7">D52</f>
        <v>92</v>
      </c>
      <c r="E53" s="2" t="s">
        <v>1494</v>
      </c>
      <c r="F53" s="71" t="s">
        <v>919</v>
      </c>
      <c r="G53" t="s">
        <v>830</v>
      </c>
      <c r="H53" t="s">
        <v>855</v>
      </c>
      <c r="I53" s="31"/>
      <c r="K53" s="9"/>
      <c r="L53" s="5"/>
      <c r="M53" s="8">
        <v>17201</v>
      </c>
      <c r="N53" s="3">
        <v>28875</v>
      </c>
      <c r="O53" s="62"/>
      <c r="P53" s="13" t="s">
        <v>1498</v>
      </c>
      <c r="Q53" s="20"/>
      <c r="R53" s="21" t="str">
        <f t="shared" si="2"/>
        <v>92</v>
      </c>
      <c r="S53" s="17"/>
      <c r="T53" s="23" t="s">
        <v>2815</v>
      </c>
      <c r="U53">
        <f t="shared" si="5"/>
        <v>6</v>
      </c>
      <c r="V53">
        <f t="shared" si="3"/>
        <v>3</v>
      </c>
      <c r="W53">
        <f t="shared" si="4"/>
        <v>5</v>
      </c>
      <c r="X53">
        <f t="shared" si="0"/>
        <v>0</v>
      </c>
      <c r="Y53" t="s">
        <v>2629</v>
      </c>
      <c r="Z53" s="71" t="s">
        <v>2630</v>
      </c>
      <c r="AG53" s="71" t="s">
        <v>2628</v>
      </c>
      <c r="AH53" s="71"/>
      <c r="AJ53" s="71"/>
      <c r="AL53" s="71"/>
      <c r="BZ53" s="2"/>
      <c r="CA53" s="2"/>
      <c r="CB53" s="2"/>
      <c r="CC53" s="2"/>
      <c r="CD53" s="2"/>
      <c r="CE53" s="2"/>
      <c r="CF53" s="2"/>
      <c r="CG53" s="2"/>
      <c r="CH53" s="2"/>
      <c r="CI53" s="2"/>
      <c r="CJ53" s="2"/>
    </row>
    <row r="54" spans="1:88" ht="19">
      <c r="D54">
        <f t="shared" si="7"/>
        <v>92</v>
      </c>
      <c r="E54" s="2" t="s">
        <v>1494</v>
      </c>
      <c r="F54" s="71" t="s">
        <v>1495</v>
      </c>
      <c r="G54" t="s">
        <v>855</v>
      </c>
      <c r="I54" s="31"/>
      <c r="K54" s="9"/>
      <c r="L54" s="5"/>
      <c r="M54" s="8">
        <v>29424</v>
      </c>
      <c r="N54" s="3"/>
      <c r="O54" s="62"/>
      <c r="P54" s="13" t="s">
        <v>1499</v>
      </c>
      <c r="Q54" s="20"/>
      <c r="R54" s="21" t="str">
        <f t="shared" si="2"/>
        <v>92a</v>
      </c>
      <c r="S54" s="17"/>
      <c r="T54" s="23" t="s">
        <v>2815</v>
      </c>
      <c r="U54">
        <f t="shared" si="5"/>
        <v>7</v>
      </c>
      <c r="V54">
        <f t="shared" si="3"/>
        <v>4</v>
      </c>
      <c r="W54">
        <f t="shared" si="4"/>
        <v>5</v>
      </c>
      <c r="X54">
        <f t="shared" si="0"/>
        <v>0</v>
      </c>
      <c r="AG54" s="71" t="s">
        <v>2631</v>
      </c>
      <c r="AH54" s="71"/>
      <c r="BQ54" s="2"/>
      <c r="BR54" s="2"/>
      <c r="BS54" s="2"/>
      <c r="BT54" s="2"/>
      <c r="BU54" s="2"/>
      <c r="BV54" s="2"/>
      <c r="BW54" s="2"/>
      <c r="BX54" s="2"/>
      <c r="BY54" s="2"/>
      <c r="BZ54" s="2"/>
      <c r="CA54" s="2"/>
      <c r="CB54" s="2"/>
      <c r="CC54" s="2"/>
      <c r="CD54" s="2"/>
      <c r="CE54" s="2"/>
      <c r="CF54" s="2"/>
      <c r="CG54" s="2"/>
      <c r="CH54" s="2"/>
      <c r="CI54" s="2"/>
      <c r="CJ54" s="2"/>
    </row>
    <row r="55" spans="1:88" ht="19">
      <c r="D55">
        <f t="shared" si="7"/>
        <v>92</v>
      </c>
      <c r="E55" s="2" t="s">
        <v>1494</v>
      </c>
      <c r="F55" s="71" t="s">
        <v>1496</v>
      </c>
      <c r="G55" t="s">
        <v>1380</v>
      </c>
      <c r="H55" t="s">
        <v>884</v>
      </c>
      <c r="I55" s="31"/>
      <c r="K55" s="9"/>
      <c r="L55" s="5"/>
      <c r="M55" s="8">
        <v>30340</v>
      </c>
      <c r="N55" s="3"/>
      <c r="O55" s="62"/>
      <c r="P55" s="13" t="s">
        <v>1500</v>
      </c>
      <c r="Q55" s="20"/>
      <c r="R55" s="21" t="str">
        <f t="shared" si="2"/>
        <v>92a</v>
      </c>
      <c r="S55" s="17"/>
      <c r="T55" s="23" t="s">
        <v>2814</v>
      </c>
      <c r="U55">
        <f t="shared" si="5"/>
        <v>7</v>
      </c>
      <c r="V55">
        <f t="shared" si="3"/>
        <v>4</v>
      </c>
      <c r="W55">
        <f t="shared" si="4"/>
        <v>5</v>
      </c>
      <c r="X55">
        <f t="shared" si="0"/>
        <v>0</v>
      </c>
      <c r="AG55" s="71" t="s">
        <v>2632</v>
      </c>
      <c r="AI55" s="71"/>
      <c r="AJ55" s="71"/>
      <c r="BN55" s="2"/>
      <c r="BO55" s="2"/>
      <c r="BP55" s="2"/>
      <c r="BQ55" s="2"/>
      <c r="BR55" s="2"/>
      <c r="BS55" s="2"/>
      <c r="BT55" s="2"/>
      <c r="BU55" s="2"/>
      <c r="BV55" s="2"/>
      <c r="BW55" s="2"/>
      <c r="BX55" s="2"/>
      <c r="BY55" s="2"/>
      <c r="BZ55" s="2"/>
      <c r="CA55" s="2"/>
      <c r="CB55" s="2"/>
      <c r="CC55" s="2"/>
      <c r="CD55" s="2"/>
      <c r="CE55" s="2"/>
      <c r="CF55" s="2"/>
      <c r="CG55" s="2"/>
      <c r="CH55" s="2"/>
      <c r="CI55" s="2"/>
      <c r="CJ55" s="2"/>
    </row>
    <row r="56" spans="1:88" ht="19">
      <c r="D56">
        <f t="shared" si="7"/>
        <v>92</v>
      </c>
      <c r="E56" s="2" t="s">
        <v>1494</v>
      </c>
      <c r="F56" s="71" t="s">
        <v>1376</v>
      </c>
      <c r="G56" t="s">
        <v>1010</v>
      </c>
      <c r="I56" s="31"/>
      <c r="K56" s="9"/>
      <c r="L56" s="5"/>
      <c r="M56" s="8">
        <v>30970</v>
      </c>
      <c r="N56" s="3"/>
      <c r="O56" s="62"/>
      <c r="P56" s="13" t="s">
        <v>1501</v>
      </c>
      <c r="Q56" s="20"/>
      <c r="R56" s="21" t="str">
        <f t="shared" si="2"/>
        <v>92a</v>
      </c>
      <c r="S56" s="17"/>
      <c r="T56" s="23" t="s">
        <v>2814</v>
      </c>
      <c r="U56">
        <f t="shared" si="5"/>
        <v>7</v>
      </c>
      <c r="V56">
        <f t="shared" si="3"/>
        <v>4</v>
      </c>
      <c r="W56">
        <f t="shared" si="4"/>
        <v>5</v>
      </c>
      <c r="X56">
        <f t="shared" si="0"/>
        <v>0</v>
      </c>
      <c r="AG56" s="71" t="s">
        <v>2633</v>
      </c>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row>
    <row r="57" spans="1:88" ht="19">
      <c r="D57">
        <f t="shared" si="7"/>
        <v>92</v>
      </c>
      <c r="E57" s="2" t="s">
        <v>1494</v>
      </c>
      <c r="F57" s="71" t="s">
        <v>902</v>
      </c>
      <c r="G57" t="s">
        <v>830</v>
      </c>
      <c r="H57" t="s">
        <v>1497</v>
      </c>
      <c r="I57" s="31"/>
      <c r="K57" s="9"/>
      <c r="L57" s="5"/>
      <c r="M57" s="8">
        <v>34025</v>
      </c>
      <c r="N57" s="3"/>
      <c r="O57" s="62"/>
      <c r="P57" s="13" t="s">
        <v>1502</v>
      </c>
      <c r="Q57" s="20"/>
      <c r="R57" s="21" t="str">
        <f t="shared" si="2"/>
        <v>92a</v>
      </c>
      <c r="S57" s="17"/>
      <c r="T57" s="23" t="s">
        <v>2815</v>
      </c>
      <c r="U57">
        <f t="shared" si="5"/>
        <v>7</v>
      </c>
      <c r="V57">
        <f t="shared" si="3"/>
        <v>4</v>
      </c>
      <c r="W57">
        <f t="shared" si="4"/>
        <v>5</v>
      </c>
      <c r="X57">
        <f t="shared" si="0"/>
        <v>0</v>
      </c>
      <c r="AG57" s="71" t="s">
        <v>2634</v>
      </c>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row>
    <row r="58" spans="1:88" ht="19">
      <c r="D58">
        <f t="shared" si="7"/>
        <v>92</v>
      </c>
      <c r="E58" s="2" t="s">
        <v>1494</v>
      </c>
      <c r="F58" s="71" t="s">
        <v>1504</v>
      </c>
      <c r="G58" t="s">
        <v>1505</v>
      </c>
      <c r="I58" s="31"/>
      <c r="K58" s="9"/>
      <c r="L58" s="5"/>
      <c r="M58" s="8">
        <v>17827</v>
      </c>
      <c r="N58" s="3"/>
      <c r="O58" s="62"/>
      <c r="P58" s="13" t="s">
        <v>1503</v>
      </c>
      <c r="Q58" s="20"/>
      <c r="R58" s="21" t="str">
        <f t="shared" si="2"/>
        <v>92</v>
      </c>
      <c r="S58" s="17"/>
      <c r="T58" s="23" t="s">
        <v>2815</v>
      </c>
      <c r="U58">
        <f t="shared" si="5"/>
        <v>6</v>
      </c>
      <c r="V58">
        <f t="shared" si="3"/>
        <v>3</v>
      </c>
      <c r="W58">
        <f t="shared" si="4"/>
        <v>5</v>
      </c>
      <c r="X58">
        <f t="shared" si="0"/>
        <v>0</v>
      </c>
      <c r="Y58" t="s">
        <v>2637</v>
      </c>
      <c r="Z58" s="71" t="s">
        <v>2636</v>
      </c>
      <c r="AG58" s="71" t="s">
        <v>2635</v>
      </c>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row>
    <row r="59" spans="1:88" ht="19">
      <c r="D59">
        <f t="shared" si="7"/>
        <v>92</v>
      </c>
      <c r="E59" s="2" t="s">
        <v>1494</v>
      </c>
      <c r="F59" s="71" t="s">
        <v>1510</v>
      </c>
      <c r="G59" t="s">
        <v>853</v>
      </c>
      <c r="H59" t="s">
        <v>1511</v>
      </c>
      <c r="I59" s="31"/>
      <c r="K59" s="9"/>
      <c r="L59" s="5"/>
      <c r="M59" s="8">
        <v>26066</v>
      </c>
      <c r="N59" s="3" t="s">
        <v>1512</v>
      </c>
      <c r="O59" s="62"/>
      <c r="P59" s="13" t="s">
        <v>1506</v>
      </c>
      <c r="Q59" s="20"/>
      <c r="R59" s="21" t="str">
        <f t="shared" si="2"/>
        <v>92b</v>
      </c>
      <c r="S59" s="17"/>
      <c r="T59" s="23" t="s">
        <v>2814</v>
      </c>
      <c r="U59">
        <f t="shared" si="5"/>
        <v>7</v>
      </c>
      <c r="V59">
        <f t="shared" si="3"/>
        <v>4</v>
      </c>
      <c r="W59">
        <f t="shared" si="4"/>
        <v>5</v>
      </c>
      <c r="X59">
        <f t="shared" si="0"/>
        <v>0</v>
      </c>
      <c r="Y59" t="s">
        <v>2644</v>
      </c>
      <c r="AG59" s="71" t="s">
        <v>2638</v>
      </c>
      <c r="AH59" s="71"/>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row>
    <row r="60" spans="1:88" ht="19">
      <c r="D60">
        <f t="shared" si="7"/>
        <v>92</v>
      </c>
      <c r="E60" s="2" t="s">
        <v>1513</v>
      </c>
      <c r="F60" s="71" t="s">
        <v>1514</v>
      </c>
      <c r="G60" t="s">
        <v>1515</v>
      </c>
      <c r="I60" s="31"/>
      <c r="K60" s="9"/>
      <c r="L60" s="5"/>
      <c r="M60" s="8">
        <v>36230</v>
      </c>
      <c r="N60" s="3"/>
      <c r="O60" s="62"/>
      <c r="P60" s="13" t="s">
        <v>1516</v>
      </c>
      <c r="Q60" s="20"/>
      <c r="R60" s="21" t="str">
        <f t="shared" si="2"/>
        <v>92ba</v>
      </c>
      <c r="S60" s="17"/>
      <c r="T60" s="23" t="s">
        <v>2814</v>
      </c>
      <c r="U60">
        <f t="shared" si="5"/>
        <v>8</v>
      </c>
      <c r="V60">
        <f t="shared" si="3"/>
        <v>5</v>
      </c>
      <c r="W60">
        <f t="shared" si="4"/>
        <v>5</v>
      </c>
      <c r="X60">
        <f t="shared" si="0"/>
        <v>0</v>
      </c>
      <c r="AG60" s="71"/>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row>
    <row r="61" spans="1:88" ht="19">
      <c r="D61">
        <f>D59</f>
        <v>92</v>
      </c>
      <c r="E61" s="2" t="s">
        <v>1494</v>
      </c>
      <c r="F61" s="71" t="s">
        <v>925</v>
      </c>
      <c r="G61" t="s">
        <v>902</v>
      </c>
      <c r="H61" t="s">
        <v>1390</v>
      </c>
      <c r="I61" s="31"/>
      <c r="K61" s="9"/>
      <c r="L61" s="5"/>
      <c r="M61" s="8">
        <v>26838</v>
      </c>
      <c r="N61" s="3"/>
      <c r="O61" s="62"/>
      <c r="P61" s="13" t="s">
        <v>1507</v>
      </c>
      <c r="Q61" s="20"/>
      <c r="R61" s="21" t="str">
        <f t="shared" si="2"/>
        <v>92b</v>
      </c>
      <c r="S61" s="17"/>
      <c r="T61" s="23" t="s">
        <v>2815</v>
      </c>
      <c r="U61">
        <f t="shared" si="5"/>
        <v>7</v>
      </c>
      <c r="V61">
        <f t="shared" si="3"/>
        <v>4</v>
      </c>
      <c r="W61">
        <f t="shared" si="4"/>
        <v>5</v>
      </c>
      <c r="X61">
        <f t="shared" si="0"/>
        <v>0</v>
      </c>
      <c r="AG61" s="71" t="s">
        <v>2639</v>
      </c>
      <c r="AH61" s="71"/>
      <c r="AI61" s="71"/>
      <c r="AJ61" s="71"/>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row>
    <row r="62" spans="1:88" ht="19">
      <c r="D62">
        <f t="shared" ref="D62:D67" si="8">D61</f>
        <v>92</v>
      </c>
      <c r="E62" s="2" t="s">
        <v>1494</v>
      </c>
      <c r="F62" s="71" t="s">
        <v>946</v>
      </c>
      <c r="G62" t="s">
        <v>854</v>
      </c>
      <c r="I62" s="31"/>
      <c r="K62" s="9"/>
      <c r="L62" s="5"/>
      <c r="M62" s="8">
        <v>30416</v>
      </c>
      <c r="N62" s="3"/>
      <c r="O62" s="62"/>
      <c r="P62" s="13" t="s">
        <v>1508</v>
      </c>
      <c r="Q62" s="20"/>
      <c r="R62" s="21" t="str">
        <f t="shared" si="2"/>
        <v>92b</v>
      </c>
      <c r="S62" s="17"/>
      <c r="T62" s="23" t="s">
        <v>2814</v>
      </c>
      <c r="U62">
        <f t="shared" si="5"/>
        <v>7</v>
      </c>
      <c r="V62">
        <f t="shared" si="3"/>
        <v>4</v>
      </c>
      <c r="W62">
        <f t="shared" si="4"/>
        <v>5</v>
      </c>
      <c r="X62">
        <f t="shared" si="0"/>
        <v>0</v>
      </c>
      <c r="AG62" s="71" t="s">
        <v>2640</v>
      </c>
      <c r="AH62" s="71"/>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row>
    <row r="63" spans="1:88" ht="19">
      <c r="D63">
        <f t="shared" si="8"/>
        <v>92</v>
      </c>
      <c r="E63" s="2" t="s">
        <v>1494</v>
      </c>
      <c r="F63" s="71" t="s">
        <v>1517</v>
      </c>
      <c r="G63" t="s">
        <v>1518</v>
      </c>
      <c r="H63" t="s">
        <v>1505</v>
      </c>
      <c r="I63" s="31"/>
      <c r="K63" s="9"/>
      <c r="L63" s="5"/>
      <c r="M63" s="8">
        <v>31234</v>
      </c>
      <c r="N63" s="3"/>
      <c r="O63" s="62"/>
      <c r="P63" s="13" t="s">
        <v>1509</v>
      </c>
      <c r="Q63" s="20"/>
      <c r="R63" s="21" t="str">
        <f t="shared" si="2"/>
        <v>92b</v>
      </c>
      <c r="S63" s="17"/>
      <c r="T63" s="23" t="s">
        <v>2815</v>
      </c>
      <c r="U63">
        <f t="shared" si="5"/>
        <v>7</v>
      </c>
      <c r="V63">
        <f t="shared" si="3"/>
        <v>4</v>
      </c>
      <c r="W63">
        <f t="shared" si="4"/>
        <v>5</v>
      </c>
      <c r="X63">
        <f t="shared" si="0"/>
        <v>0</v>
      </c>
      <c r="AG63" s="71" t="s">
        <v>2641</v>
      </c>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row>
    <row r="64" spans="1:88" ht="19">
      <c r="D64">
        <f t="shared" si="8"/>
        <v>92</v>
      </c>
      <c r="E64" s="2" t="s">
        <v>1494</v>
      </c>
      <c r="F64" s="71" t="s">
        <v>1519</v>
      </c>
      <c r="G64" t="s">
        <v>870</v>
      </c>
      <c r="I64" s="31"/>
      <c r="K64" s="9"/>
      <c r="L64" s="5"/>
      <c r="M64" s="8">
        <v>18958</v>
      </c>
      <c r="N64" s="3"/>
      <c r="O64" s="62"/>
      <c r="P64" s="13" t="s">
        <v>1520</v>
      </c>
      <c r="Q64" s="20"/>
      <c r="R64" s="21" t="str">
        <f t="shared" si="2"/>
        <v>92</v>
      </c>
      <c r="S64" s="17"/>
      <c r="T64" s="23" t="s">
        <v>2814</v>
      </c>
      <c r="U64">
        <f t="shared" si="5"/>
        <v>6</v>
      </c>
      <c r="V64">
        <f t="shared" si="3"/>
        <v>3</v>
      </c>
      <c r="W64">
        <f t="shared" si="4"/>
        <v>5</v>
      </c>
      <c r="X64">
        <f t="shared" si="0"/>
        <v>0</v>
      </c>
      <c r="AG64" s="71" t="s">
        <v>2642</v>
      </c>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row>
    <row r="65" spans="1:88" ht="19">
      <c r="D65">
        <f t="shared" si="8"/>
        <v>92</v>
      </c>
      <c r="E65" s="2" t="s">
        <v>1494</v>
      </c>
      <c r="F65" s="71" t="s">
        <v>1036</v>
      </c>
      <c r="G65" t="s">
        <v>854</v>
      </c>
      <c r="H65" t="s">
        <v>1037</v>
      </c>
      <c r="I65" s="31"/>
      <c r="K65" s="9"/>
      <c r="L65" s="5"/>
      <c r="M65" s="8">
        <v>19725</v>
      </c>
      <c r="N65" s="3"/>
      <c r="O65" s="62"/>
      <c r="P65" s="13" t="s">
        <v>1521</v>
      </c>
      <c r="Q65" s="20"/>
      <c r="R65" s="21" t="str">
        <f t="shared" si="2"/>
        <v>92</v>
      </c>
      <c r="S65" s="17"/>
      <c r="T65" s="23" t="s">
        <v>2814</v>
      </c>
      <c r="U65">
        <f t="shared" si="5"/>
        <v>6</v>
      </c>
      <c r="V65">
        <f t="shared" si="3"/>
        <v>3</v>
      </c>
      <c r="W65">
        <f t="shared" si="4"/>
        <v>5</v>
      </c>
      <c r="X65">
        <f t="shared" si="0"/>
        <v>0</v>
      </c>
      <c r="Y65" t="s">
        <v>1522</v>
      </c>
      <c r="Z65" s="71" t="s">
        <v>231</v>
      </c>
      <c r="AG65" s="71" t="s">
        <v>2643</v>
      </c>
      <c r="AH65" s="71"/>
      <c r="AI65" s="71"/>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row>
    <row r="66" spans="1:88" ht="19">
      <c r="D66">
        <f t="shared" si="8"/>
        <v>92</v>
      </c>
      <c r="E66" s="2" t="s">
        <v>1523</v>
      </c>
      <c r="F66" s="71" t="s">
        <v>1483</v>
      </c>
      <c r="G66" t="s">
        <v>830</v>
      </c>
      <c r="H66" t="s">
        <v>902</v>
      </c>
      <c r="I66" s="31"/>
      <c r="K66" s="9"/>
      <c r="L66" s="5"/>
      <c r="M66" s="8">
        <v>30002</v>
      </c>
      <c r="N66" s="3"/>
      <c r="O66" s="62"/>
      <c r="P66" s="13" t="s">
        <v>1524</v>
      </c>
      <c r="Q66" s="20"/>
      <c r="R66" s="21" t="str">
        <f t="shared" si="2"/>
        <v>92d</v>
      </c>
      <c r="S66" s="17"/>
      <c r="T66" s="23" t="s">
        <v>2815</v>
      </c>
      <c r="U66">
        <f t="shared" si="5"/>
        <v>7</v>
      </c>
      <c r="V66">
        <f t="shared" si="3"/>
        <v>4</v>
      </c>
      <c r="W66">
        <f t="shared" si="4"/>
        <v>5</v>
      </c>
      <c r="X66">
        <f t="shared" si="0"/>
        <v>0</v>
      </c>
      <c r="AG66" s="71" t="s">
        <v>2645</v>
      </c>
      <c r="AH66" s="71"/>
      <c r="AJ66" s="71"/>
      <c r="AK66" s="71"/>
      <c r="AM66" s="71"/>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row>
    <row r="67" spans="1:88" ht="19">
      <c r="D67">
        <f t="shared" si="8"/>
        <v>92</v>
      </c>
      <c r="E67" s="2" t="s">
        <v>1523</v>
      </c>
      <c r="F67" s="71" t="s">
        <v>1526</v>
      </c>
      <c r="G67" t="s">
        <v>853</v>
      </c>
      <c r="H67" t="s">
        <v>899</v>
      </c>
      <c r="I67" s="31"/>
      <c r="K67" s="9"/>
      <c r="L67" s="5"/>
      <c r="M67" s="8">
        <v>31816</v>
      </c>
      <c r="N67" s="3"/>
      <c r="O67" s="62"/>
      <c r="P67" s="13" t="s">
        <v>1525</v>
      </c>
      <c r="Q67" s="20"/>
      <c r="R67" s="21" t="str">
        <f t="shared" si="2"/>
        <v>92d</v>
      </c>
      <c r="S67" s="17"/>
      <c r="T67" s="23" t="s">
        <v>2814</v>
      </c>
      <c r="U67">
        <f t="shared" si="5"/>
        <v>7</v>
      </c>
      <c r="V67">
        <f t="shared" si="3"/>
        <v>4</v>
      </c>
      <c r="W67">
        <f t="shared" si="4"/>
        <v>5</v>
      </c>
      <c r="X67">
        <f t="shared" ref="X67:X130" si="9">COUNTIF($R$2:$R$41,P67)</f>
        <v>0</v>
      </c>
      <c r="AG67" s="71" t="s">
        <v>2646</v>
      </c>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row>
    <row r="68" spans="1:88" ht="19">
      <c r="A68" t="e">
        <f>IF(O68="?",2021-I68,J68-I68)</f>
        <v>#VALUE!</v>
      </c>
      <c r="B68" t="s">
        <v>1186</v>
      </c>
      <c r="C68">
        <v>3789</v>
      </c>
      <c r="D68">
        <v>93</v>
      </c>
      <c r="E68" s="2" t="s">
        <v>782</v>
      </c>
      <c r="F68" t="s">
        <v>856</v>
      </c>
      <c r="G68" t="s">
        <v>857</v>
      </c>
      <c r="I68" s="31">
        <f>YEAR(L68)</f>
        <v>1920</v>
      </c>
      <c r="J68" t="e">
        <f>IF(O68="?",O68,YEAR(O68))</f>
        <v>#VALUE!</v>
      </c>
      <c r="K68" s="9" t="str">
        <f>IF(B68="",_xlfn.CONCAT(F68," (",D68,"): ",I68),_xlfn.CONCAT(B68," (",D68,"): ",I68))</f>
        <v>Jill (93): 1920</v>
      </c>
      <c r="L68" s="5">
        <v>7391</v>
      </c>
      <c r="M68" s="8">
        <v>7391</v>
      </c>
      <c r="N68" t="s">
        <v>797</v>
      </c>
      <c r="O68" s="62" t="str">
        <f>VLOOKUP(D68,DateDeath,12,FALSE)</f>
        <v xml:space="preserve"> - </v>
      </c>
      <c r="P68" s="13">
        <f>D68</f>
        <v>93</v>
      </c>
      <c r="Q68" s="20" t="e">
        <f>_xlfn.CONCAT(K68," - ",J68)</f>
        <v>#VALUE!</v>
      </c>
      <c r="R68" s="16">
        <f>VLOOKUP(P68,'Loyd List 1-190 - Edit'!$P$3:$R$184,3,FALSE)</f>
        <v>68</v>
      </c>
      <c r="S68" s="17" t="str">
        <f>VLOOKUP(R68,'Loyd List 1-190 - Edit'!$R$3:$S$184,2,FALSE)</f>
        <v>Cecil (68): 1890–1963</v>
      </c>
      <c r="T68" s="23" t="s">
        <v>2814</v>
      </c>
      <c r="U68">
        <f t="shared" si="5"/>
        <v>5</v>
      </c>
      <c r="V68">
        <f t="shared" si="3"/>
        <v>2</v>
      </c>
      <c r="W68">
        <f t="shared" si="4"/>
        <v>5</v>
      </c>
      <c r="X68">
        <f t="shared" si="9"/>
        <v>0</v>
      </c>
      <c r="Y68" t="e">
        <f>VLOOKUP(D68,'Data check lookup table'!$A$2:$B$173,2,FALSE)</f>
        <v>#N/A</v>
      </c>
      <c r="Z68" t="e">
        <f>U68-Y68</f>
        <v>#N/A</v>
      </c>
      <c r="AC68" t="e">
        <f>A68</f>
        <v>#VALUE!</v>
      </c>
      <c r="AG68" s="71" t="s">
        <v>232</v>
      </c>
      <c r="AH68" s="2" t="s">
        <v>212</v>
      </c>
      <c r="AI68" s="2" t="s">
        <v>213</v>
      </c>
      <c r="AJ68" s="2" t="s">
        <v>214</v>
      </c>
      <c r="AK68" s="2" t="s">
        <v>215</v>
      </c>
      <c r="AL68" s="2" t="s">
        <v>216</v>
      </c>
      <c r="AM68" s="2" t="s">
        <v>217</v>
      </c>
      <c r="AN68" s="2" t="s">
        <v>218</v>
      </c>
      <c r="AO68" s="2" t="s">
        <v>219</v>
      </c>
      <c r="AP68" s="2" t="s">
        <v>220</v>
      </c>
      <c r="AQ68" s="2" t="s">
        <v>221</v>
      </c>
      <c r="AR68" s="2" t="s">
        <v>222</v>
      </c>
    </row>
    <row r="69" spans="1:88" ht="19">
      <c r="A69">
        <f>IF(O69="?",2021-I69,J69-I69)</f>
        <v>24</v>
      </c>
      <c r="C69">
        <v>3821</v>
      </c>
      <c r="D69">
        <v>95</v>
      </c>
      <c r="E69" s="2" t="s">
        <v>782</v>
      </c>
      <c r="F69" t="s">
        <v>859</v>
      </c>
      <c r="I69" s="31">
        <f>YEAR(L69)</f>
        <v>1920</v>
      </c>
      <c r="J69">
        <f>IF(O69="?",O69,YEAR(O69))</f>
        <v>1944</v>
      </c>
      <c r="K69" s="9" t="str">
        <f>IF(B69="",_xlfn.CONCAT(F69," (",D69,"): ",I69),_xlfn.CONCAT(B69," (",D69,"): ",I69))</f>
        <v>Hester (95): 1920</v>
      </c>
      <c r="L69" s="5">
        <v>7641</v>
      </c>
      <c r="M69" s="8">
        <v>7641</v>
      </c>
      <c r="N69" s="3">
        <v>16261</v>
      </c>
      <c r="O69" s="62">
        <f>VLOOKUP(D69,DateDeath,12,FALSE)</f>
        <v>16261</v>
      </c>
      <c r="P69" s="13">
        <f>D69</f>
        <v>95</v>
      </c>
      <c r="Q69" s="20" t="str">
        <f>_xlfn.CONCAT(K69," - ",J69)</f>
        <v>Hester (95): 1920 - 1944</v>
      </c>
      <c r="R69" s="16">
        <f>VLOOKUP(P69,'Loyd List 1-190 - Edit'!$P$3:$R$184,3,FALSE)</f>
        <v>56</v>
      </c>
      <c r="S69" s="17" t="str">
        <f>VLOOKUP(R69,'Loyd List 1-190 - Edit'!$R$3:$S$184,2,FALSE)</f>
        <v>Tommy (56): 1882–1944</v>
      </c>
      <c r="T69" s="23" t="s">
        <v>2814</v>
      </c>
      <c r="U69">
        <f t="shared" si="5"/>
        <v>5</v>
      </c>
      <c r="V69">
        <f t="shared" si="3"/>
        <v>2</v>
      </c>
      <c r="W69">
        <f t="shared" si="4"/>
        <v>5</v>
      </c>
      <c r="X69">
        <f t="shared" si="9"/>
        <v>0</v>
      </c>
      <c r="Y69" t="s">
        <v>1527</v>
      </c>
      <c r="AA69" t="s">
        <v>847</v>
      </c>
      <c r="AB69" t="s">
        <v>1156</v>
      </c>
      <c r="AC69">
        <f>A69</f>
        <v>24</v>
      </c>
      <c r="AG69" s="71" t="s">
        <v>245</v>
      </c>
      <c r="AH69" s="2" t="s">
        <v>224</v>
      </c>
      <c r="AI69" s="2" t="s">
        <v>225</v>
      </c>
    </row>
    <row r="70" spans="1:88" ht="19">
      <c r="D70">
        <f>D69</f>
        <v>95</v>
      </c>
      <c r="E70" s="2" t="s">
        <v>1528</v>
      </c>
      <c r="F70" s="71" t="s">
        <v>921</v>
      </c>
      <c r="G70" t="s">
        <v>867</v>
      </c>
      <c r="I70" s="31"/>
      <c r="K70" s="9"/>
      <c r="L70" s="5"/>
      <c r="M70" s="8">
        <v>17151</v>
      </c>
      <c r="N70" s="3"/>
      <c r="O70" s="62"/>
      <c r="P70" s="13" t="s">
        <v>1529</v>
      </c>
      <c r="Q70" s="20"/>
      <c r="R70" s="21" t="str">
        <f>MID(P70,1,LEN(P70)-1)</f>
        <v>95</v>
      </c>
      <c r="S70" s="17"/>
      <c r="T70" s="23" t="s">
        <v>2814</v>
      </c>
      <c r="U70">
        <f t="shared" si="5"/>
        <v>6</v>
      </c>
      <c r="V70">
        <f t="shared" ref="V70:V133" si="10">LEN(P70)</f>
        <v>3</v>
      </c>
      <c r="W70">
        <f t="shared" ref="W70:W133" si="11">VLOOKUP(D70,Generation,2,FALSE)</f>
        <v>5</v>
      </c>
      <c r="X70">
        <f t="shared" si="9"/>
        <v>0</v>
      </c>
      <c r="Y70" t="s">
        <v>2647</v>
      </c>
      <c r="Z70" s="71" t="s">
        <v>2648</v>
      </c>
      <c r="AG70" s="71" t="s">
        <v>2649</v>
      </c>
      <c r="AI70" s="71"/>
      <c r="AJ70" s="71"/>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row>
    <row r="71" spans="1:88" ht="19">
      <c r="B71" t="s">
        <v>2650</v>
      </c>
      <c r="D71">
        <f>D70</f>
        <v>95</v>
      </c>
      <c r="E71" s="2" t="s">
        <v>1528</v>
      </c>
      <c r="F71" s="71" t="s">
        <v>1531</v>
      </c>
      <c r="G71" t="s">
        <v>952</v>
      </c>
      <c r="I71" s="31"/>
      <c r="K71" s="9"/>
      <c r="L71" s="5"/>
      <c r="M71" s="8">
        <v>18182</v>
      </c>
      <c r="N71" s="3">
        <v>29942</v>
      </c>
      <c r="O71" s="62"/>
      <c r="P71" s="13" t="s">
        <v>1530</v>
      </c>
      <c r="Q71" s="20"/>
      <c r="R71" s="21" t="str">
        <f>MID(P71,1,LEN(P71)-1)</f>
        <v>95</v>
      </c>
      <c r="S71" s="17"/>
      <c r="T71" s="23" t="s">
        <v>2814</v>
      </c>
      <c r="U71">
        <f t="shared" ref="U71:U134" si="12">IF(D71&lt;10,W71+V71-1,IF(D71&gt;=10,W71+V71-2))</f>
        <v>6</v>
      </c>
      <c r="V71">
        <f t="shared" si="10"/>
        <v>3</v>
      </c>
      <c r="W71">
        <f t="shared" si="11"/>
        <v>5</v>
      </c>
      <c r="X71">
        <f t="shared" si="9"/>
        <v>0</v>
      </c>
      <c r="Y71" t="s">
        <v>2651</v>
      </c>
      <c r="Z71" s="71" t="s">
        <v>2652</v>
      </c>
      <c r="AG71" s="71"/>
      <c r="AH71" s="71"/>
      <c r="AI71" s="71"/>
      <c r="AK71" s="71"/>
      <c r="AL71" s="71"/>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row>
    <row r="72" spans="1:88" ht="19">
      <c r="D72">
        <f>D71</f>
        <v>95</v>
      </c>
      <c r="E72" s="71" t="s">
        <v>1532</v>
      </c>
      <c r="F72" s="71" t="s">
        <v>1536</v>
      </c>
      <c r="G72" t="s">
        <v>1533</v>
      </c>
      <c r="I72" s="31"/>
      <c r="K72" s="9"/>
      <c r="L72" s="5"/>
      <c r="M72" s="8">
        <v>30555</v>
      </c>
      <c r="N72" s="3"/>
      <c r="O72" s="62"/>
      <c r="P72" s="13" t="s">
        <v>1537</v>
      </c>
      <c r="Q72" s="20"/>
      <c r="R72" s="21" t="str">
        <f>MID(P72,1,LEN(P72)-1)</f>
        <v>95b</v>
      </c>
      <c r="S72" s="17"/>
      <c r="T72" s="23" t="s">
        <v>2815</v>
      </c>
      <c r="U72">
        <f t="shared" si="12"/>
        <v>7</v>
      </c>
      <c r="V72">
        <f t="shared" si="10"/>
        <v>4</v>
      </c>
      <c r="W72">
        <f t="shared" si="11"/>
        <v>5</v>
      </c>
      <c r="X72">
        <f t="shared" si="9"/>
        <v>0</v>
      </c>
      <c r="AG72" s="71" t="s">
        <v>2653</v>
      </c>
      <c r="AI72" s="71"/>
      <c r="AJ72" s="71"/>
      <c r="AK72" s="71"/>
      <c r="AL72" s="71"/>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row>
    <row r="73" spans="1:88" ht="19">
      <c r="D73">
        <f>D72</f>
        <v>95</v>
      </c>
      <c r="E73" s="71" t="s">
        <v>1532</v>
      </c>
      <c r="F73" s="71" t="s">
        <v>1535</v>
      </c>
      <c r="G73" t="s">
        <v>913</v>
      </c>
      <c r="I73" s="31"/>
      <c r="K73" s="9"/>
      <c r="L73" s="5"/>
      <c r="M73" s="8">
        <v>31239</v>
      </c>
      <c r="N73" s="3"/>
      <c r="O73" s="62"/>
      <c r="P73" s="13" t="s">
        <v>1538</v>
      </c>
      <c r="Q73" s="20"/>
      <c r="R73" s="21" t="str">
        <f>MID(P73,1,LEN(P73)-1)</f>
        <v>95b</v>
      </c>
      <c r="S73" s="17"/>
      <c r="T73" s="23" t="s">
        <v>2815</v>
      </c>
      <c r="U73">
        <f t="shared" si="12"/>
        <v>7</v>
      </c>
      <c r="V73">
        <f t="shared" si="10"/>
        <v>4</v>
      </c>
      <c r="W73">
        <f t="shared" si="11"/>
        <v>5</v>
      </c>
      <c r="X73">
        <f t="shared" si="9"/>
        <v>0</v>
      </c>
      <c r="AG73" s="71" t="s">
        <v>2653</v>
      </c>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row>
    <row r="74" spans="1:88" ht="19">
      <c r="D74">
        <f>D73</f>
        <v>95</v>
      </c>
      <c r="E74" s="71" t="s">
        <v>1532</v>
      </c>
      <c r="F74" s="71" t="s">
        <v>1534</v>
      </c>
      <c r="G74" t="s">
        <v>921</v>
      </c>
      <c r="I74" s="31"/>
      <c r="K74" s="9"/>
      <c r="L74" s="5"/>
      <c r="M74" s="8">
        <v>33721</v>
      </c>
      <c r="N74" s="3"/>
      <c r="O74" s="62"/>
      <c r="P74" s="13" t="s">
        <v>1539</v>
      </c>
      <c r="Q74" s="20"/>
      <c r="R74" s="21" t="str">
        <f>MID(P74,1,LEN(P74)-1)</f>
        <v>95b</v>
      </c>
      <c r="S74" s="17"/>
      <c r="T74" s="23" t="s">
        <v>2814</v>
      </c>
      <c r="U74">
        <f t="shared" si="12"/>
        <v>7</v>
      </c>
      <c r="V74">
        <f t="shared" si="10"/>
        <v>4</v>
      </c>
      <c r="W74">
        <f t="shared" si="11"/>
        <v>5</v>
      </c>
      <c r="X74">
        <f t="shared" si="9"/>
        <v>0</v>
      </c>
      <c r="AG74" s="71" t="s">
        <v>2653</v>
      </c>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row>
    <row r="75" spans="1:88" ht="19">
      <c r="A75">
        <f>IF(O75="?",2021-I75,J75-I75)</f>
        <v>29</v>
      </c>
      <c r="C75">
        <v>3879</v>
      </c>
      <c r="D75">
        <v>97</v>
      </c>
      <c r="E75" s="2" t="s">
        <v>782</v>
      </c>
      <c r="F75" t="s">
        <v>861</v>
      </c>
      <c r="G75" t="s">
        <v>862</v>
      </c>
      <c r="H75" t="s">
        <v>863</v>
      </c>
      <c r="I75" s="31">
        <f>YEAR(L75)</f>
        <v>1922</v>
      </c>
      <c r="J75">
        <f>IF(O75="?",O75,YEAR(O75))</f>
        <v>1951</v>
      </c>
      <c r="K75" s="9" t="str">
        <f>IF(B75="",_xlfn.CONCAT(F75," (",D75,"): ",I75),_xlfn.CONCAT(B75," (",D75,"): ",I75))</f>
        <v>Audrey (97): 1922</v>
      </c>
      <c r="L75" s="5">
        <v>8184</v>
      </c>
      <c r="M75" s="8">
        <v>8184</v>
      </c>
      <c r="N75" s="3">
        <v>18753</v>
      </c>
      <c r="O75" s="62">
        <f>VLOOKUP(D75,DateDeath,12,FALSE)</f>
        <v>18753</v>
      </c>
      <c r="P75" s="13">
        <f>D75</f>
        <v>97</v>
      </c>
      <c r="Q75" s="20" t="str">
        <f>_xlfn.CONCAT(K75," - ",J75)</f>
        <v>Audrey (97): 1922 - 1951</v>
      </c>
      <c r="R75" s="16">
        <f>VLOOKUP(P75,'Loyd List 1-190 - Edit'!$P$3:$R$184,3,FALSE)</f>
        <v>53</v>
      </c>
      <c r="S75" s="17" t="str">
        <f>VLOOKUP(R75,'Loyd List 1-190 - Edit'!$R$3:$S$184,2,FALSE)</f>
        <v>Edward (53): 1881–1962</v>
      </c>
      <c r="T75" s="23" t="s">
        <v>2814</v>
      </c>
      <c r="U75">
        <f t="shared" si="12"/>
        <v>5</v>
      </c>
      <c r="V75">
        <f t="shared" si="10"/>
        <v>2</v>
      </c>
      <c r="W75">
        <f t="shared" si="11"/>
        <v>5</v>
      </c>
      <c r="X75">
        <f t="shared" si="9"/>
        <v>0</v>
      </c>
      <c r="Y75" t="s">
        <v>1540</v>
      </c>
      <c r="AA75" t="s">
        <v>864</v>
      </c>
      <c r="AB75" t="str">
        <f>MID(AG75,4,SEARCH(".",AG75)-SEARCH("Of ",AG75))</f>
        <v>Dowdeswell Home Farm, Andoversford, Gloucestershire, GL54 4LX.</v>
      </c>
      <c r="AC75">
        <f>A75</f>
        <v>29</v>
      </c>
      <c r="AG75" s="71" t="s">
        <v>255</v>
      </c>
      <c r="AH75" s="2" t="s">
        <v>227</v>
      </c>
      <c r="AI75" s="2" t="s">
        <v>228</v>
      </c>
      <c r="AJ75" s="2" t="s">
        <v>229</v>
      </c>
    </row>
    <row r="76" spans="1:88" ht="19">
      <c r="D76">
        <f t="shared" ref="D76:D82" si="13">D75</f>
        <v>97</v>
      </c>
      <c r="E76" s="2" t="s">
        <v>1541</v>
      </c>
      <c r="F76" s="71" t="s">
        <v>982</v>
      </c>
      <c r="G76" t="s">
        <v>811</v>
      </c>
      <c r="H76" t="s">
        <v>1497</v>
      </c>
      <c r="I76" s="31"/>
      <c r="K76" s="9"/>
      <c r="L76" s="5"/>
      <c r="M76" s="8">
        <v>18979</v>
      </c>
      <c r="N76" s="3"/>
      <c r="O76" s="62"/>
      <c r="P76" s="13" t="s">
        <v>1542</v>
      </c>
      <c r="Q76" s="20"/>
      <c r="R76" s="21" t="str">
        <f t="shared" ref="R76:R84" si="14">MID(P76,1,LEN(P76)-1)</f>
        <v>97</v>
      </c>
      <c r="S76" s="17"/>
      <c r="T76" s="23" t="s">
        <v>2815</v>
      </c>
      <c r="U76">
        <f t="shared" si="12"/>
        <v>6</v>
      </c>
      <c r="V76">
        <f t="shared" si="10"/>
        <v>3</v>
      </c>
      <c r="W76">
        <f t="shared" si="11"/>
        <v>5</v>
      </c>
      <c r="X76">
        <f t="shared" si="9"/>
        <v>0</v>
      </c>
      <c r="Y76" t="s">
        <v>2656</v>
      </c>
      <c r="Z76" s="71" t="s">
        <v>2655</v>
      </c>
      <c r="AG76" s="71" t="s">
        <v>2654</v>
      </c>
      <c r="AH76" s="71"/>
      <c r="AI76" s="71"/>
      <c r="AJ76" s="71"/>
    </row>
    <row r="77" spans="1:88" ht="19">
      <c r="D77">
        <f t="shared" si="13"/>
        <v>97</v>
      </c>
      <c r="E77" s="2" t="s">
        <v>1541</v>
      </c>
      <c r="F77" s="71" t="s">
        <v>924</v>
      </c>
      <c r="G77" t="s">
        <v>902</v>
      </c>
      <c r="H77" t="s">
        <v>1497</v>
      </c>
      <c r="I77" s="31"/>
      <c r="K77" s="9"/>
      <c r="L77" s="5"/>
      <c r="M77" s="8">
        <v>33314</v>
      </c>
      <c r="N77" s="3"/>
      <c r="O77" s="62"/>
      <c r="P77" s="13" t="s">
        <v>1545</v>
      </c>
      <c r="Q77" s="20"/>
      <c r="R77" s="21" t="str">
        <f t="shared" si="14"/>
        <v>97a</v>
      </c>
      <c r="S77" s="17"/>
      <c r="T77" s="23" t="s">
        <v>2815</v>
      </c>
      <c r="U77">
        <f t="shared" si="12"/>
        <v>7</v>
      </c>
      <c r="V77">
        <f t="shared" si="10"/>
        <v>4</v>
      </c>
      <c r="W77">
        <f t="shared" si="11"/>
        <v>5</v>
      </c>
      <c r="X77">
        <f t="shared" si="9"/>
        <v>0</v>
      </c>
      <c r="AG77" s="71" t="s">
        <v>2657</v>
      </c>
      <c r="AH77" s="71"/>
    </row>
    <row r="78" spans="1:88" ht="19">
      <c r="D78">
        <f t="shared" si="13"/>
        <v>97</v>
      </c>
      <c r="E78" s="2" t="s">
        <v>1541</v>
      </c>
      <c r="F78" s="71" t="s">
        <v>1369</v>
      </c>
      <c r="G78" t="s">
        <v>811</v>
      </c>
      <c r="H78" t="s">
        <v>905</v>
      </c>
      <c r="I78" s="31"/>
      <c r="K78" s="9"/>
      <c r="L78" s="5"/>
      <c r="M78" s="8">
        <v>34957</v>
      </c>
      <c r="N78" s="3"/>
      <c r="O78" s="62"/>
      <c r="P78" s="13" t="s">
        <v>1546</v>
      </c>
      <c r="Q78" s="20"/>
      <c r="R78" s="21" t="str">
        <f t="shared" si="14"/>
        <v>97a</v>
      </c>
      <c r="S78" s="17"/>
      <c r="T78" s="23" t="s">
        <v>2815</v>
      </c>
      <c r="U78">
        <f t="shared" si="12"/>
        <v>7</v>
      </c>
      <c r="V78">
        <f t="shared" si="10"/>
        <v>4</v>
      </c>
      <c r="W78">
        <f t="shared" si="11"/>
        <v>5</v>
      </c>
      <c r="X78">
        <f t="shared" si="9"/>
        <v>0</v>
      </c>
      <c r="AG78" s="71" t="s">
        <v>2657</v>
      </c>
      <c r="AH78" s="71"/>
    </row>
    <row r="79" spans="1:88" ht="19">
      <c r="D79">
        <f t="shared" si="13"/>
        <v>97</v>
      </c>
      <c r="E79" s="2" t="s">
        <v>1541</v>
      </c>
      <c r="F79" s="71" t="s">
        <v>1543</v>
      </c>
      <c r="G79" t="s">
        <v>1544</v>
      </c>
      <c r="I79" s="31"/>
      <c r="K79" s="9"/>
      <c r="L79" s="5"/>
      <c r="M79" s="8">
        <v>19805</v>
      </c>
      <c r="N79" s="3"/>
      <c r="O79" s="62"/>
      <c r="P79" s="13" t="s">
        <v>1547</v>
      </c>
      <c r="Q79" s="20"/>
      <c r="R79" s="21" t="str">
        <f t="shared" si="14"/>
        <v>97</v>
      </c>
      <c r="S79" s="17"/>
      <c r="T79" s="23" t="s">
        <v>2814</v>
      </c>
      <c r="U79">
        <f t="shared" si="12"/>
        <v>6</v>
      </c>
      <c r="V79">
        <f t="shared" si="10"/>
        <v>3</v>
      </c>
      <c r="W79">
        <f t="shared" si="11"/>
        <v>5</v>
      </c>
      <c r="X79">
        <f t="shared" si="9"/>
        <v>0</v>
      </c>
      <c r="AG79" s="71" t="s">
        <v>2658</v>
      </c>
      <c r="AH79" s="71"/>
      <c r="AI79" s="71"/>
      <c r="AJ79" s="71"/>
      <c r="AK79" s="71"/>
    </row>
    <row r="80" spans="1:88" ht="19">
      <c r="D80">
        <f t="shared" si="13"/>
        <v>97</v>
      </c>
      <c r="E80" s="2" t="s">
        <v>1541</v>
      </c>
      <c r="F80" s="71" t="s">
        <v>917</v>
      </c>
      <c r="G80" t="s">
        <v>902</v>
      </c>
      <c r="I80" s="31"/>
      <c r="K80" s="9"/>
      <c r="L80" s="5"/>
      <c r="M80" s="8">
        <v>20710</v>
      </c>
      <c r="N80" s="3"/>
      <c r="O80" s="62">
        <v>21047</v>
      </c>
      <c r="P80" s="13" t="s">
        <v>1548</v>
      </c>
      <c r="Q80" s="20"/>
      <c r="R80" s="21" t="str">
        <f t="shared" si="14"/>
        <v>97</v>
      </c>
      <c r="S80" s="17"/>
      <c r="T80" s="23" t="s">
        <v>2815</v>
      </c>
      <c r="U80">
        <f t="shared" si="12"/>
        <v>6</v>
      </c>
      <c r="V80">
        <f t="shared" si="10"/>
        <v>3</v>
      </c>
      <c r="W80">
        <f t="shared" si="11"/>
        <v>5</v>
      </c>
      <c r="X80">
        <f t="shared" si="9"/>
        <v>0</v>
      </c>
      <c r="AG80" s="71" t="s">
        <v>2659</v>
      </c>
      <c r="AH80" s="71"/>
    </row>
    <row r="81" spans="1:75" ht="19">
      <c r="D81">
        <f t="shared" si="13"/>
        <v>97</v>
      </c>
      <c r="E81" s="2" t="s">
        <v>1541</v>
      </c>
      <c r="F81" s="71" t="s">
        <v>1549</v>
      </c>
      <c r="G81" t="s">
        <v>865</v>
      </c>
      <c r="H81" t="s">
        <v>1550</v>
      </c>
      <c r="I81" s="31"/>
      <c r="K81" s="9"/>
      <c r="L81" s="5"/>
      <c r="M81" s="8">
        <v>21654</v>
      </c>
      <c r="N81" s="3"/>
      <c r="O81" s="62"/>
      <c r="P81" s="13" t="s">
        <v>1551</v>
      </c>
      <c r="Q81" s="20"/>
      <c r="R81" s="21" t="str">
        <f t="shared" si="14"/>
        <v>97</v>
      </c>
      <c r="S81" s="17"/>
      <c r="T81" s="23" t="s">
        <v>2815</v>
      </c>
      <c r="U81">
        <f t="shared" si="12"/>
        <v>6</v>
      </c>
      <c r="V81">
        <f t="shared" si="10"/>
        <v>3</v>
      </c>
      <c r="W81">
        <f t="shared" si="11"/>
        <v>5</v>
      </c>
      <c r="X81">
        <f t="shared" si="9"/>
        <v>0</v>
      </c>
      <c r="AG81" s="71" t="s">
        <v>2665</v>
      </c>
      <c r="AH81" s="71"/>
      <c r="AI81" s="71" t="s">
        <v>2660</v>
      </c>
      <c r="AJ81" s="71"/>
      <c r="AK81" s="71"/>
      <c r="AL81" s="71"/>
    </row>
    <row r="82" spans="1:75" ht="19">
      <c r="D82">
        <f t="shared" si="13"/>
        <v>97</v>
      </c>
      <c r="E82" s="2" t="s">
        <v>1541</v>
      </c>
      <c r="F82" s="71" t="s">
        <v>811</v>
      </c>
      <c r="G82" t="s">
        <v>842</v>
      </c>
      <c r="H82" t="s">
        <v>885</v>
      </c>
      <c r="I82" s="31"/>
      <c r="K82" s="9"/>
      <c r="L82" s="5"/>
      <c r="M82" s="8">
        <v>23286</v>
      </c>
      <c r="N82" s="3"/>
      <c r="O82" s="62"/>
      <c r="P82" s="13" t="s">
        <v>1552</v>
      </c>
      <c r="Q82" s="20"/>
      <c r="R82" s="21" t="str">
        <f t="shared" si="14"/>
        <v>97</v>
      </c>
      <c r="S82" s="17"/>
      <c r="T82" s="23" t="s">
        <v>2815</v>
      </c>
      <c r="U82">
        <f t="shared" si="12"/>
        <v>6</v>
      </c>
      <c r="V82">
        <f t="shared" si="10"/>
        <v>3</v>
      </c>
      <c r="W82">
        <f t="shared" si="11"/>
        <v>5</v>
      </c>
      <c r="X82">
        <f t="shared" si="9"/>
        <v>0</v>
      </c>
      <c r="Z82" s="71" t="s">
        <v>285</v>
      </c>
      <c r="AG82" s="71" t="s">
        <v>2661</v>
      </c>
      <c r="AH82" s="71"/>
      <c r="AI82" s="71"/>
    </row>
    <row r="83" spans="1:75" ht="19">
      <c r="D83">
        <f t="shared" ref="D83:D112" si="15">D82</f>
        <v>97</v>
      </c>
      <c r="E83" s="2" t="s">
        <v>1541</v>
      </c>
      <c r="F83" s="71" t="s">
        <v>1060</v>
      </c>
      <c r="G83" t="s">
        <v>852</v>
      </c>
      <c r="H83" t="s">
        <v>804</v>
      </c>
      <c r="I83" s="31"/>
      <c r="K83" s="9"/>
      <c r="L83" s="5"/>
      <c r="M83" s="8">
        <v>34932</v>
      </c>
      <c r="N83" s="3"/>
      <c r="O83" s="62"/>
      <c r="P83" s="13" t="s">
        <v>1555</v>
      </c>
      <c r="Q83" s="20"/>
      <c r="R83" s="21" t="str">
        <f t="shared" si="14"/>
        <v>97e</v>
      </c>
      <c r="S83" s="17"/>
      <c r="T83" s="23" t="s">
        <v>2815</v>
      </c>
      <c r="U83">
        <f t="shared" si="12"/>
        <v>7</v>
      </c>
      <c r="V83">
        <f t="shared" si="10"/>
        <v>4</v>
      </c>
      <c r="W83">
        <f t="shared" si="11"/>
        <v>5</v>
      </c>
      <c r="X83">
        <f t="shared" si="9"/>
        <v>0</v>
      </c>
      <c r="AG83" s="71" t="s">
        <v>2662</v>
      </c>
    </row>
    <row r="84" spans="1:75" ht="19">
      <c r="D84">
        <f t="shared" si="15"/>
        <v>97</v>
      </c>
      <c r="E84" s="2" t="s">
        <v>1541</v>
      </c>
      <c r="F84" s="71" t="s">
        <v>1553</v>
      </c>
      <c r="G84" t="s">
        <v>1554</v>
      </c>
      <c r="I84" s="31"/>
      <c r="K84" s="9"/>
      <c r="L84" s="5"/>
      <c r="M84" s="8">
        <v>35795</v>
      </c>
      <c r="N84" s="3"/>
      <c r="O84" s="62"/>
      <c r="P84" s="13" t="s">
        <v>1556</v>
      </c>
      <c r="Q84" s="20"/>
      <c r="R84" s="21" t="str">
        <f t="shared" si="14"/>
        <v>97e</v>
      </c>
      <c r="S84" s="17"/>
      <c r="T84" s="23" t="s">
        <v>2814</v>
      </c>
      <c r="U84">
        <f t="shared" si="12"/>
        <v>7</v>
      </c>
      <c r="V84">
        <f t="shared" si="10"/>
        <v>4</v>
      </c>
      <c r="W84">
        <f t="shared" si="11"/>
        <v>5</v>
      </c>
      <c r="X84">
        <f t="shared" si="9"/>
        <v>0</v>
      </c>
      <c r="AG84" s="71" t="s">
        <v>2663</v>
      </c>
      <c r="AI84" s="71" t="s">
        <v>2664</v>
      </c>
      <c r="AJ84" s="71"/>
    </row>
    <row r="85" spans="1:75" ht="19">
      <c r="A85">
        <f>IF(O85="?",2021-I85,J85-I85)</f>
        <v>25</v>
      </c>
      <c r="C85">
        <v>4017</v>
      </c>
      <c r="D85">
        <v>101</v>
      </c>
      <c r="E85" s="2" t="s">
        <v>782</v>
      </c>
      <c r="F85" t="s">
        <v>867</v>
      </c>
      <c r="I85" s="31">
        <f>YEAR(L85)</f>
        <v>1923</v>
      </c>
      <c r="J85">
        <f>IF(O85="?",O85,YEAR(O85))</f>
        <v>1948</v>
      </c>
      <c r="K85" s="9" t="str">
        <f>IF(B85="",_xlfn.CONCAT(F85," (",D85,"): ",I85),_xlfn.CONCAT(B85," (",D85,"): ",I85))</f>
        <v>Catherine (101): 1923</v>
      </c>
      <c r="L85" s="5">
        <v>8553</v>
      </c>
      <c r="M85" s="8">
        <v>8553</v>
      </c>
      <c r="N85" s="3">
        <v>17868</v>
      </c>
      <c r="O85" s="62">
        <f>VLOOKUP(D85,DateDeath,12,FALSE)</f>
        <v>17868</v>
      </c>
      <c r="P85" s="13">
        <f>D85</f>
        <v>101</v>
      </c>
      <c r="Q85" s="20" t="str">
        <f>_xlfn.CONCAT(K85," - ",J85)</f>
        <v>Catherine (101): 1923 - 1948</v>
      </c>
      <c r="R85" s="16">
        <f>VLOOKUP(P85,'Loyd List 1-190 - Edit'!$P$3:$R$184,3,FALSE)</f>
        <v>56</v>
      </c>
      <c r="S85" s="17" t="str">
        <f>VLOOKUP(R85,'Loyd List 1-190 - Edit'!$R$3:$S$184,2,FALSE)</f>
        <v>Tommy (56): 1882–1944</v>
      </c>
      <c r="T85" s="23" t="s">
        <v>2814</v>
      </c>
      <c r="U85">
        <f t="shared" si="12"/>
        <v>6</v>
      </c>
      <c r="V85">
        <f t="shared" si="10"/>
        <v>3</v>
      </c>
      <c r="W85">
        <f t="shared" si="11"/>
        <v>5</v>
      </c>
      <c r="X85">
        <f t="shared" si="9"/>
        <v>0</v>
      </c>
      <c r="Y85" t="s">
        <v>1557</v>
      </c>
      <c r="AA85" t="s">
        <v>868</v>
      </c>
      <c r="AB85" t="s">
        <v>1156</v>
      </c>
      <c r="AC85">
        <f>A85</f>
        <v>25</v>
      </c>
      <c r="AG85" s="71" t="s">
        <v>314</v>
      </c>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row>
    <row r="86" spans="1:75" ht="19">
      <c r="D86">
        <f t="shared" si="15"/>
        <v>101</v>
      </c>
      <c r="E86" s="2" t="s">
        <v>1559</v>
      </c>
      <c r="F86" s="71" t="s">
        <v>1558</v>
      </c>
      <c r="G86" t="s">
        <v>867</v>
      </c>
      <c r="I86" s="31"/>
      <c r="K86" s="9"/>
      <c r="L86" s="5"/>
      <c r="M86" s="8">
        <v>18336</v>
      </c>
      <c r="N86" s="3">
        <v>26600</v>
      </c>
      <c r="O86" s="62"/>
      <c r="P86" s="13" t="s">
        <v>1560</v>
      </c>
      <c r="Q86" s="20"/>
      <c r="R86" s="21" t="str">
        <f t="shared" ref="R86:R107" si="16">MID(P86,1,LEN(P86)-1)</f>
        <v>101</v>
      </c>
      <c r="S86" s="17"/>
      <c r="T86" s="23" t="s">
        <v>2814</v>
      </c>
      <c r="U86">
        <f t="shared" si="12"/>
        <v>7</v>
      </c>
      <c r="V86">
        <f t="shared" si="10"/>
        <v>4</v>
      </c>
      <c r="W86">
        <f t="shared" si="11"/>
        <v>5</v>
      </c>
      <c r="X86">
        <f t="shared" si="9"/>
        <v>0</v>
      </c>
      <c r="Y86" t="s">
        <v>2667</v>
      </c>
      <c r="Z86" s="71" t="s">
        <v>2668</v>
      </c>
      <c r="AG86" s="71" t="s">
        <v>2666</v>
      </c>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row>
    <row r="87" spans="1:75" ht="19">
      <c r="D87">
        <f t="shared" si="15"/>
        <v>101</v>
      </c>
      <c r="E87" s="2" t="s">
        <v>1561</v>
      </c>
      <c r="F87" s="71" t="s">
        <v>1562</v>
      </c>
      <c r="G87" t="s">
        <v>971</v>
      </c>
      <c r="H87" t="s">
        <v>842</v>
      </c>
      <c r="I87" s="31"/>
      <c r="K87" s="9"/>
      <c r="L87" s="5"/>
      <c r="M87" s="8">
        <v>27215</v>
      </c>
      <c r="N87" s="3"/>
      <c r="O87" s="62"/>
      <c r="P87" s="13" t="s">
        <v>1564</v>
      </c>
      <c r="Q87" s="20"/>
      <c r="R87" s="21" t="str">
        <f t="shared" si="16"/>
        <v>101a</v>
      </c>
      <c r="S87" s="17"/>
      <c r="T87" s="23" t="s">
        <v>2815</v>
      </c>
      <c r="U87">
        <f t="shared" si="12"/>
        <v>8</v>
      </c>
      <c r="V87">
        <f t="shared" si="10"/>
        <v>5</v>
      </c>
      <c r="W87">
        <f t="shared" si="11"/>
        <v>5</v>
      </c>
      <c r="X87">
        <f t="shared" si="9"/>
        <v>0</v>
      </c>
      <c r="AG87" s="71" t="s">
        <v>2669</v>
      </c>
      <c r="AH87" s="71"/>
      <c r="AJ87" s="71"/>
      <c r="AK87" s="71"/>
    </row>
    <row r="88" spans="1:75" ht="19">
      <c r="D88">
        <f t="shared" si="15"/>
        <v>101</v>
      </c>
      <c r="E88" s="2" t="s">
        <v>1561</v>
      </c>
      <c r="F88" s="71" t="s">
        <v>867</v>
      </c>
      <c r="G88" t="s">
        <v>1563</v>
      </c>
      <c r="H88" t="s">
        <v>927</v>
      </c>
      <c r="I88" s="31"/>
      <c r="K88" s="9"/>
      <c r="L88" s="5"/>
      <c r="M88" s="8">
        <v>28868</v>
      </c>
      <c r="N88" s="3"/>
      <c r="O88" s="62"/>
      <c r="P88" s="13" t="s">
        <v>1565</v>
      </c>
      <c r="Q88" s="20"/>
      <c r="R88" s="21" t="str">
        <f t="shared" si="16"/>
        <v>101a</v>
      </c>
      <c r="S88" s="17"/>
      <c r="T88" s="23" t="s">
        <v>2814</v>
      </c>
      <c r="U88">
        <f t="shared" si="12"/>
        <v>8</v>
      </c>
      <c r="V88">
        <f t="shared" si="10"/>
        <v>5</v>
      </c>
      <c r="W88">
        <f t="shared" si="11"/>
        <v>5</v>
      </c>
      <c r="X88">
        <f t="shared" si="9"/>
        <v>0</v>
      </c>
      <c r="AG88" s="71" t="s">
        <v>2670</v>
      </c>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row>
    <row r="89" spans="1:75" ht="19">
      <c r="D89">
        <f t="shared" si="15"/>
        <v>101</v>
      </c>
      <c r="E89" s="2" t="s">
        <v>1559</v>
      </c>
      <c r="F89" s="71" t="s">
        <v>1566</v>
      </c>
      <c r="G89" t="s">
        <v>922</v>
      </c>
      <c r="I89" s="31"/>
      <c r="K89" s="9"/>
      <c r="L89" s="5"/>
      <c r="M89" s="8">
        <v>19187</v>
      </c>
      <c r="N89" s="3">
        <v>30933</v>
      </c>
      <c r="O89" s="62"/>
      <c r="P89" s="13" t="s">
        <v>1567</v>
      </c>
      <c r="Q89" s="20"/>
      <c r="R89" s="21" t="str">
        <f t="shared" si="16"/>
        <v>101</v>
      </c>
      <c r="S89" s="17"/>
      <c r="T89" s="23" t="s">
        <v>2814</v>
      </c>
      <c r="U89">
        <f t="shared" si="12"/>
        <v>7</v>
      </c>
      <c r="V89">
        <f t="shared" si="10"/>
        <v>4</v>
      </c>
      <c r="W89">
        <f t="shared" si="11"/>
        <v>5</v>
      </c>
      <c r="X89">
        <f t="shared" si="9"/>
        <v>0</v>
      </c>
      <c r="Y89" t="s">
        <v>2672</v>
      </c>
      <c r="Z89" s="71" t="s">
        <v>2673</v>
      </c>
      <c r="AG89" s="71" t="s">
        <v>2671</v>
      </c>
      <c r="AH89" s="71"/>
      <c r="AK89" s="71"/>
    </row>
    <row r="90" spans="1:75" ht="19">
      <c r="D90">
        <f t="shared" si="15"/>
        <v>101</v>
      </c>
      <c r="E90" s="2" t="s">
        <v>1568</v>
      </c>
      <c r="F90" s="71" t="s">
        <v>1571</v>
      </c>
      <c r="G90" t="s">
        <v>1569</v>
      </c>
      <c r="H90" t="s">
        <v>1570</v>
      </c>
      <c r="I90" s="31"/>
      <c r="K90" s="9"/>
      <c r="L90" s="5"/>
      <c r="M90" s="8">
        <v>31353</v>
      </c>
      <c r="N90" s="3"/>
      <c r="O90" s="62"/>
      <c r="P90" s="13" t="s">
        <v>1574</v>
      </c>
      <c r="Q90" s="20"/>
      <c r="R90" s="21" t="str">
        <f t="shared" si="16"/>
        <v>101b</v>
      </c>
      <c r="S90" s="17"/>
      <c r="T90" s="23" t="s">
        <v>2815</v>
      </c>
      <c r="U90">
        <f t="shared" si="12"/>
        <v>8</v>
      </c>
      <c r="V90">
        <f t="shared" si="10"/>
        <v>5</v>
      </c>
      <c r="W90">
        <f t="shared" si="11"/>
        <v>5</v>
      </c>
      <c r="X90">
        <f t="shared" si="9"/>
        <v>0</v>
      </c>
      <c r="AG90" s="71" t="s">
        <v>2674</v>
      </c>
      <c r="AH90" s="71"/>
    </row>
    <row r="91" spans="1:75" ht="19">
      <c r="D91">
        <f t="shared" si="15"/>
        <v>101</v>
      </c>
      <c r="E91" s="2" t="s">
        <v>1568</v>
      </c>
      <c r="F91" s="71" t="s">
        <v>1572</v>
      </c>
      <c r="G91" t="s">
        <v>1573</v>
      </c>
      <c r="H91" t="s">
        <v>913</v>
      </c>
      <c r="I91" s="31"/>
      <c r="K91" s="9"/>
      <c r="L91" s="5"/>
      <c r="M91" s="8">
        <v>32597</v>
      </c>
      <c r="N91" s="3"/>
      <c r="O91" s="62"/>
      <c r="P91" s="13" t="s">
        <v>1575</v>
      </c>
      <c r="Q91" s="20"/>
      <c r="R91" s="21" t="str">
        <f t="shared" si="16"/>
        <v>101b</v>
      </c>
      <c r="S91" s="17"/>
      <c r="T91" s="23" t="s">
        <v>2815</v>
      </c>
      <c r="U91">
        <f t="shared" si="12"/>
        <v>8</v>
      </c>
      <c r="V91">
        <f t="shared" si="10"/>
        <v>5</v>
      </c>
      <c r="W91">
        <f t="shared" si="11"/>
        <v>5</v>
      </c>
      <c r="X91">
        <f t="shared" si="9"/>
        <v>0</v>
      </c>
      <c r="AG91" s="71" t="s">
        <v>2675</v>
      </c>
      <c r="AH91" s="71"/>
    </row>
    <row r="92" spans="1:75" ht="19">
      <c r="D92">
        <f t="shared" si="15"/>
        <v>101</v>
      </c>
      <c r="E92" s="2" t="s">
        <v>1568</v>
      </c>
      <c r="F92" s="71" t="s">
        <v>1576</v>
      </c>
      <c r="G92" t="s">
        <v>867</v>
      </c>
      <c r="I92" s="31"/>
      <c r="K92" s="9"/>
      <c r="L92" s="5"/>
      <c r="M92" s="8">
        <v>33751</v>
      </c>
      <c r="N92" s="3"/>
      <c r="O92" s="62"/>
      <c r="P92" s="13" t="s">
        <v>1577</v>
      </c>
      <c r="Q92" s="20"/>
      <c r="R92" s="21" t="str">
        <f t="shared" si="16"/>
        <v>101b</v>
      </c>
      <c r="S92" s="17"/>
      <c r="T92" s="23" t="s">
        <v>2814</v>
      </c>
      <c r="U92">
        <f t="shared" si="12"/>
        <v>8</v>
      </c>
      <c r="V92">
        <f t="shared" si="10"/>
        <v>5</v>
      </c>
      <c r="W92">
        <f t="shared" si="11"/>
        <v>5</v>
      </c>
      <c r="X92">
        <f t="shared" si="9"/>
        <v>0</v>
      </c>
      <c r="AG92" s="71" t="s">
        <v>2676</v>
      </c>
      <c r="AH92" s="71"/>
    </row>
    <row r="93" spans="1:75" ht="19">
      <c r="D93">
        <f t="shared" si="15"/>
        <v>101</v>
      </c>
      <c r="E93" s="2" t="s">
        <v>1559</v>
      </c>
      <c r="F93" s="71" t="s">
        <v>1578</v>
      </c>
      <c r="G93" t="s">
        <v>952</v>
      </c>
      <c r="I93" s="31"/>
      <c r="K93" s="9"/>
      <c r="L93" s="5"/>
      <c r="M93" s="8">
        <v>19724</v>
      </c>
      <c r="N93" s="3"/>
      <c r="O93" s="62"/>
      <c r="P93" s="13" t="s">
        <v>1579</v>
      </c>
      <c r="Q93" s="20"/>
      <c r="R93" s="21" t="str">
        <f t="shared" si="16"/>
        <v>101</v>
      </c>
      <c r="S93" s="17"/>
      <c r="T93" s="23" t="s">
        <v>2814</v>
      </c>
      <c r="U93">
        <f t="shared" si="12"/>
        <v>7</v>
      </c>
      <c r="V93">
        <f t="shared" si="10"/>
        <v>4</v>
      </c>
      <c r="W93">
        <f t="shared" si="11"/>
        <v>5</v>
      </c>
      <c r="X93">
        <f t="shared" si="9"/>
        <v>0</v>
      </c>
      <c r="Y93" t="s">
        <v>2677</v>
      </c>
      <c r="Z93" s="71" t="s">
        <v>2678</v>
      </c>
      <c r="AG93" s="71"/>
      <c r="AH93" s="71"/>
      <c r="AI93" s="71"/>
      <c r="BV93" s="2"/>
      <c r="BW93" s="2"/>
    </row>
    <row r="94" spans="1:75" ht="19">
      <c r="D94">
        <f t="shared" si="15"/>
        <v>101</v>
      </c>
      <c r="E94" s="2" t="s">
        <v>1580</v>
      </c>
      <c r="F94" s="71" t="s">
        <v>1581</v>
      </c>
      <c r="G94" t="s">
        <v>1481</v>
      </c>
      <c r="I94" s="31"/>
      <c r="K94" s="9"/>
      <c r="L94" s="5"/>
      <c r="M94" s="8">
        <v>31781</v>
      </c>
      <c r="N94" s="3"/>
      <c r="O94" s="62"/>
      <c r="P94" s="13" t="s">
        <v>1582</v>
      </c>
      <c r="Q94" s="20"/>
      <c r="R94" s="21" t="str">
        <f t="shared" si="16"/>
        <v>101c</v>
      </c>
      <c r="S94" s="17"/>
      <c r="T94" s="23" t="s">
        <v>2815</v>
      </c>
      <c r="U94">
        <f t="shared" si="12"/>
        <v>8</v>
      </c>
      <c r="V94">
        <f t="shared" si="10"/>
        <v>5</v>
      </c>
      <c r="W94">
        <f t="shared" si="11"/>
        <v>5</v>
      </c>
      <c r="X94">
        <f t="shared" si="9"/>
        <v>0</v>
      </c>
      <c r="AG94" s="71" t="s">
        <v>2679</v>
      </c>
      <c r="AH94" s="71"/>
      <c r="AJ94" s="71"/>
      <c r="AK94" s="71"/>
      <c r="AM94" s="71"/>
      <c r="BS94" s="2"/>
      <c r="BT94" s="2"/>
      <c r="BU94" s="2"/>
      <c r="BV94" s="2"/>
      <c r="BW94" s="2"/>
    </row>
    <row r="95" spans="1:75" ht="19">
      <c r="D95">
        <f t="shared" si="15"/>
        <v>101</v>
      </c>
      <c r="E95" s="2" t="s">
        <v>1580</v>
      </c>
      <c r="F95" s="71" t="s">
        <v>807</v>
      </c>
      <c r="G95" t="s">
        <v>917</v>
      </c>
      <c r="I95" s="31"/>
      <c r="K95" s="9"/>
      <c r="L95" s="5"/>
      <c r="M95" s="8">
        <v>32774</v>
      </c>
      <c r="N95" s="3"/>
      <c r="O95" s="62"/>
      <c r="P95" s="13" t="s">
        <v>1584</v>
      </c>
      <c r="Q95" s="20"/>
      <c r="R95" s="21" t="str">
        <f t="shared" si="16"/>
        <v>101c</v>
      </c>
      <c r="S95" s="17"/>
      <c r="T95" s="23" t="s">
        <v>2815</v>
      </c>
      <c r="U95">
        <f t="shared" si="12"/>
        <v>8</v>
      </c>
      <c r="V95">
        <f t="shared" si="10"/>
        <v>5</v>
      </c>
      <c r="W95">
        <f t="shared" si="11"/>
        <v>5</v>
      </c>
      <c r="X95">
        <f t="shared" si="9"/>
        <v>0</v>
      </c>
      <c r="AG95" s="71" t="s">
        <v>2680</v>
      </c>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row>
    <row r="96" spans="1:75" ht="19">
      <c r="D96">
        <f t="shared" si="15"/>
        <v>101</v>
      </c>
      <c r="E96" s="2" t="s">
        <v>1580</v>
      </c>
      <c r="F96" s="71" t="s">
        <v>1583</v>
      </c>
      <c r="G96" t="s">
        <v>842</v>
      </c>
      <c r="I96" s="31"/>
      <c r="K96" s="9"/>
      <c r="L96" s="5"/>
      <c r="M96" s="8">
        <v>33993</v>
      </c>
      <c r="N96" s="3"/>
      <c r="O96" s="62"/>
      <c r="P96" s="13" t="s">
        <v>1585</v>
      </c>
      <c r="Q96" s="20"/>
      <c r="R96" s="21" t="str">
        <f t="shared" si="16"/>
        <v>101c</v>
      </c>
      <c r="S96" s="17"/>
      <c r="T96" s="23" t="s">
        <v>2815</v>
      </c>
      <c r="U96">
        <f t="shared" si="12"/>
        <v>8</v>
      </c>
      <c r="V96">
        <f t="shared" si="10"/>
        <v>5</v>
      </c>
      <c r="W96">
        <f t="shared" si="11"/>
        <v>5</v>
      </c>
      <c r="X96">
        <f t="shared" si="9"/>
        <v>0</v>
      </c>
      <c r="AG96" s="71" t="s">
        <v>2681</v>
      </c>
      <c r="AH96" s="71"/>
      <c r="AJ96" s="71"/>
      <c r="BM96" s="2"/>
      <c r="BN96" s="2"/>
      <c r="BO96" s="2"/>
      <c r="BP96" s="2"/>
      <c r="BQ96" s="2"/>
      <c r="BR96" s="2"/>
      <c r="BS96" s="2"/>
      <c r="BT96" s="2"/>
      <c r="BU96" s="2"/>
      <c r="BV96" s="2"/>
      <c r="BW96" s="2"/>
    </row>
    <row r="97" spans="1:75" ht="19">
      <c r="D97">
        <f t="shared" si="15"/>
        <v>101</v>
      </c>
      <c r="E97" s="2" t="s">
        <v>1559</v>
      </c>
      <c r="F97" s="71" t="s">
        <v>1586</v>
      </c>
      <c r="G97" t="s">
        <v>1436</v>
      </c>
      <c r="I97" s="31"/>
      <c r="K97" s="9"/>
      <c r="L97" s="5"/>
      <c r="M97" s="8">
        <v>20890</v>
      </c>
      <c r="N97" s="3">
        <v>29701</v>
      </c>
      <c r="O97" s="62"/>
      <c r="P97" s="13" t="s">
        <v>1587</v>
      </c>
      <c r="Q97" s="20"/>
      <c r="R97" s="21" t="str">
        <f t="shared" si="16"/>
        <v>101</v>
      </c>
      <c r="S97" s="17"/>
      <c r="T97" s="23" t="s">
        <v>2814</v>
      </c>
      <c r="U97">
        <f t="shared" si="12"/>
        <v>7</v>
      </c>
      <c r="V97">
        <f t="shared" si="10"/>
        <v>4</v>
      </c>
      <c r="W97">
        <f t="shared" si="11"/>
        <v>5</v>
      </c>
      <c r="X97">
        <f t="shared" si="9"/>
        <v>0</v>
      </c>
      <c r="Y97" t="s">
        <v>2682</v>
      </c>
      <c r="Z97" s="71" t="s">
        <v>2683</v>
      </c>
      <c r="AG97" s="71"/>
      <c r="AH97" s="71"/>
      <c r="BI97" s="2"/>
      <c r="BJ97" s="2"/>
      <c r="BK97" s="2"/>
      <c r="BL97" s="2"/>
      <c r="BM97" s="2"/>
      <c r="BN97" s="2"/>
      <c r="BO97" s="2"/>
      <c r="BP97" s="2"/>
      <c r="BQ97" s="2"/>
      <c r="BR97" s="2"/>
      <c r="BS97" s="2"/>
      <c r="BT97" s="2"/>
      <c r="BU97" s="2"/>
      <c r="BV97" s="2"/>
      <c r="BW97" s="2"/>
    </row>
    <row r="98" spans="1:75" ht="19">
      <c r="D98">
        <f t="shared" si="15"/>
        <v>101</v>
      </c>
      <c r="E98" s="2" t="s">
        <v>1588</v>
      </c>
      <c r="F98" s="71" t="s">
        <v>1589</v>
      </c>
      <c r="G98" t="s">
        <v>842</v>
      </c>
      <c r="H98" t="s">
        <v>1590</v>
      </c>
      <c r="I98" s="31"/>
      <c r="K98" s="9"/>
      <c r="L98" s="5"/>
      <c r="M98" s="8">
        <v>30315</v>
      </c>
      <c r="N98" s="3"/>
      <c r="O98" s="62"/>
      <c r="P98" s="13" t="s">
        <v>1592</v>
      </c>
      <c r="Q98" s="20"/>
      <c r="R98" s="21" t="str">
        <f t="shared" si="16"/>
        <v>101d</v>
      </c>
      <c r="S98" s="17"/>
      <c r="T98" s="23" t="s">
        <v>2815</v>
      </c>
      <c r="U98">
        <f t="shared" si="12"/>
        <v>8</v>
      </c>
      <c r="V98">
        <f t="shared" si="10"/>
        <v>5</v>
      </c>
      <c r="W98">
        <f t="shared" si="11"/>
        <v>5</v>
      </c>
      <c r="X98">
        <f t="shared" si="9"/>
        <v>0</v>
      </c>
      <c r="AG98" s="71" t="s">
        <v>2684</v>
      </c>
      <c r="AH98" s="71"/>
      <c r="AJ98" s="71"/>
      <c r="AL98" s="71"/>
      <c r="AM98" s="71"/>
      <c r="BG98" s="2"/>
      <c r="BH98" s="2"/>
      <c r="BI98" s="2"/>
      <c r="BJ98" s="2"/>
      <c r="BK98" s="2"/>
      <c r="BL98" s="2"/>
      <c r="BM98" s="2"/>
      <c r="BN98" s="2"/>
      <c r="BO98" s="2"/>
      <c r="BP98" s="2"/>
      <c r="BQ98" s="2"/>
      <c r="BR98" s="2"/>
      <c r="BS98" s="2"/>
      <c r="BT98" s="2"/>
      <c r="BU98" s="2"/>
      <c r="BV98" s="2"/>
      <c r="BW98" s="2"/>
    </row>
    <row r="99" spans="1:75" ht="19">
      <c r="D99">
        <f t="shared" si="15"/>
        <v>101</v>
      </c>
      <c r="E99" s="2" t="s">
        <v>1588</v>
      </c>
      <c r="F99" s="71" t="s">
        <v>1591</v>
      </c>
      <c r="G99" t="s">
        <v>1436</v>
      </c>
      <c r="H99" t="s">
        <v>867</v>
      </c>
      <c r="I99" s="31"/>
      <c r="K99" s="9"/>
      <c r="L99" s="5"/>
      <c r="M99" s="8">
        <v>31040</v>
      </c>
      <c r="N99" s="3"/>
      <c r="O99" s="62"/>
      <c r="P99" s="13" t="s">
        <v>1593</v>
      </c>
      <c r="Q99" s="20"/>
      <c r="R99" s="21" t="str">
        <f t="shared" si="16"/>
        <v>101d</v>
      </c>
      <c r="S99" s="17"/>
      <c r="T99" s="23" t="s">
        <v>2814</v>
      </c>
      <c r="U99">
        <f t="shared" si="12"/>
        <v>8</v>
      </c>
      <c r="V99">
        <f t="shared" si="10"/>
        <v>5</v>
      </c>
      <c r="W99">
        <f t="shared" si="11"/>
        <v>5</v>
      </c>
      <c r="X99">
        <f t="shared" si="9"/>
        <v>0</v>
      </c>
      <c r="AG99" s="71" t="s">
        <v>2685</v>
      </c>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row>
    <row r="100" spans="1:75" ht="19">
      <c r="D100">
        <f t="shared" si="15"/>
        <v>101</v>
      </c>
      <c r="E100" s="2" t="s">
        <v>1588</v>
      </c>
      <c r="F100" s="71" t="s">
        <v>1595</v>
      </c>
      <c r="G100" t="s">
        <v>1594</v>
      </c>
      <c r="I100" s="31"/>
      <c r="K100" s="9"/>
      <c r="L100" s="5"/>
      <c r="M100" s="8">
        <v>32395</v>
      </c>
      <c r="N100" s="3"/>
      <c r="O100" s="62"/>
      <c r="P100" s="13" t="s">
        <v>1596</v>
      </c>
      <c r="Q100" s="20"/>
      <c r="R100" s="21" t="str">
        <f t="shared" si="16"/>
        <v>101d</v>
      </c>
      <c r="S100" s="17"/>
      <c r="T100" s="23" t="s">
        <v>2814</v>
      </c>
      <c r="U100">
        <f t="shared" si="12"/>
        <v>8</v>
      </c>
      <c r="V100">
        <f t="shared" si="10"/>
        <v>5</v>
      </c>
      <c r="W100">
        <f t="shared" si="11"/>
        <v>5</v>
      </c>
      <c r="X100">
        <f t="shared" si="9"/>
        <v>0</v>
      </c>
      <c r="AG100" s="71" t="s">
        <v>2685</v>
      </c>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row>
    <row r="101" spans="1:75" ht="19">
      <c r="D101">
        <f t="shared" si="15"/>
        <v>101</v>
      </c>
      <c r="E101" s="2" t="s">
        <v>1559</v>
      </c>
      <c r="F101" s="71" t="s">
        <v>1597</v>
      </c>
      <c r="G101" t="s">
        <v>839</v>
      </c>
      <c r="I101" s="31"/>
      <c r="K101" s="9"/>
      <c r="L101" s="5"/>
      <c r="M101" s="8">
        <v>21772</v>
      </c>
      <c r="N101" s="3" t="s">
        <v>1600</v>
      </c>
      <c r="O101" s="62"/>
      <c r="P101" s="13" t="s">
        <v>1598</v>
      </c>
      <c r="Q101" s="20"/>
      <c r="R101" s="21" t="str">
        <f t="shared" si="16"/>
        <v>101</v>
      </c>
      <c r="S101" s="17"/>
      <c r="T101" s="23" t="s">
        <v>2814</v>
      </c>
      <c r="U101">
        <f t="shared" si="12"/>
        <v>7</v>
      </c>
      <c r="V101">
        <f t="shared" si="10"/>
        <v>4</v>
      </c>
      <c r="W101">
        <f t="shared" si="11"/>
        <v>5</v>
      </c>
      <c r="X101">
        <f t="shared" si="9"/>
        <v>0</v>
      </c>
      <c r="Y101" t="s">
        <v>2687</v>
      </c>
      <c r="Z101" s="71" t="s">
        <v>2688</v>
      </c>
      <c r="AG101" s="71" t="s">
        <v>2686</v>
      </c>
      <c r="AJ101" s="71"/>
      <c r="AK101" s="71"/>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row>
    <row r="102" spans="1:75" ht="19">
      <c r="D102">
        <f t="shared" si="15"/>
        <v>101</v>
      </c>
      <c r="E102" s="2" t="s">
        <v>1599</v>
      </c>
      <c r="F102" s="71" t="s">
        <v>852</v>
      </c>
      <c r="G102" t="s">
        <v>902</v>
      </c>
      <c r="H102" t="s">
        <v>979</v>
      </c>
      <c r="I102" s="31"/>
      <c r="K102" s="9"/>
      <c r="L102" s="5"/>
      <c r="M102" s="8">
        <v>33423</v>
      </c>
      <c r="N102" s="3"/>
      <c r="O102" s="62"/>
      <c r="P102" s="13" t="s">
        <v>1601</v>
      </c>
      <c r="Q102" s="20"/>
      <c r="R102" s="21" t="str">
        <f t="shared" si="16"/>
        <v>101e</v>
      </c>
      <c r="S102" s="17"/>
      <c r="T102" s="23" t="s">
        <v>2815</v>
      </c>
      <c r="U102">
        <f t="shared" si="12"/>
        <v>8</v>
      </c>
      <c r="V102">
        <f t="shared" si="10"/>
        <v>5</v>
      </c>
      <c r="W102">
        <f t="shared" si="11"/>
        <v>5</v>
      </c>
      <c r="X102">
        <f t="shared" si="9"/>
        <v>0</v>
      </c>
      <c r="AG102" s="71"/>
      <c r="AH102" s="71"/>
      <c r="AI102" s="71"/>
      <c r="AJ102" s="71"/>
      <c r="AK102" s="71"/>
      <c r="AL102" s="71"/>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row>
    <row r="103" spans="1:75" ht="20" customHeight="1">
      <c r="D103">
        <f t="shared" si="15"/>
        <v>101</v>
      </c>
      <c r="E103" s="2" t="s">
        <v>1599</v>
      </c>
      <c r="F103" s="71" t="s">
        <v>913</v>
      </c>
      <c r="G103" s="72" t="s">
        <v>1481</v>
      </c>
      <c r="H103" t="s">
        <v>979</v>
      </c>
      <c r="I103" s="31"/>
      <c r="K103" s="9"/>
      <c r="L103" s="5"/>
      <c r="M103" s="8">
        <v>34210</v>
      </c>
      <c r="N103" s="3"/>
      <c r="O103" s="62"/>
      <c r="P103" s="13" t="s">
        <v>1602</v>
      </c>
      <c r="Q103" s="20"/>
      <c r="R103" s="21" t="str">
        <f t="shared" si="16"/>
        <v>101e</v>
      </c>
      <c r="S103" s="17"/>
      <c r="T103" s="23" t="s">
        <v>2815</v>
      </c>
      <c r="U103">
        <f t="shared" si="12"/>
        <v>8</v>
      </c>
      <c r="V103">
        <f t="shared" si="10"/>
        <v>5</v>
      </c>
      <c r="W103">
        <f t="shared" si="11"/>
        <v>5</v>
      </c>
      <c r="X103">
        <f t="shared" si="9"/>
        <v>0</v>
      </c>
      <c r="AG103" s="71"/>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row>
    <row r="104" spans="1:75" ht="20" customHeight="1">
      <c r="D104">
        <f t="shared" si="15"/>
        <v>101</v>
      </c>
      <c r="E104" s="2" t="s">
        <v>1599</v>
      </c>
      <c r="F104" s="71" t="s">
        <v>976</v>
      </c>
      <c r="G104" s="72" t="s">
        <v>1603</v>
      </c>
      <c r="H104" t="s">
        <v>979</v>
      </c>
      <c r="I104" s="31"/>
      <c r="K104" s="9"/>
      <c r="L104" s="5"/>
      <c r="M104" s="8">
        <v>35109</v>
      </c>
      <c r="N104" s="3"/>
      <c r="O104" s="62"/>
      <c r="P104" s="13" t="s">
        <v>1604</v>
      </c>
      <c r="Q104" s="20"/>
      <c r="R104" s="21" t="str">
        <f t="shared" si="16"/>
        <v>101e</v>
      </c>
      <c r="S104" s="17"/>
      <c r="T104" s="23" t="s">
        <v>2814</v>
      </c>
      <c r="U104">
        <f t="shared" si="12"/>
        <v>8</v>
      </c>
      <c r="V104">
        <f t="shared" si="10"/>
        <v>5</v>
      </c>
      <c r="W104">
        <f t="shared" si="11"/>
        <v>5</v>
      </c>
      <c r="X104">
        <f t="shared" si="9"/>
        <v>0</v>
      </c>
      <c r="AG104" s="71"/>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row>
    <row r="105" spans="1:75" ht="20" customHeight="1">
      <c r="D105">
        <f t="shared" si="15"/>
        <v>101</v>
      </c>
      <c r="E105" s="2" t="s">
        <v>1559</v>
      </c>
      <c r="F105" s="71" t="s">
        <v>1605</v>
      </c>
      <c r="G105" s="72" t="s">
        <v>859</v>
      </c>
      <c r="I105" s="31"/>
      <c r="K105" s="9"/>
      <c r="L105" s="5"/>
      <c r="M105" s="8">
        <v>23298</v>
      </c>
      <c r="N105" s="3" t="s">
        <v>1606</v>
      </c>
      <c r="O105" s="62"/>
      <c r="P105" s="13" t="s">
        <v>1607</v>
      </c>
      <c r="Q105" s="20"/>
      <c r="R105" s="21" t="str">
        <f t="shared" si="16"/>
        <v>101</v>
      </c>
      <c r="S105" s="17"/>
      <c r="T105" s="23" t="s">
        <v>2814</v>
      </c>
      <c r="U105">
        <f t="shared" si="12"/>
        <v>7</v>
      </c>
      <c r="V105">
        <f t="shared" si="10"/>
        <v>4</v>
      </c>
      <c r="W105">
        <f t="shared" si="11"/>
        <v>5</v>
      </c>
      <c r="X105">
        <f t="shared" si="9"/>
        <v>0</v>
      </c>
      <c r="Y105" t="s">
        <v>1608</v>
      </c>
      <c r="Z105" s="71" t="s">
        <v>2689</v>
      </c>
      <c r="AG105" s="71"/>
      <c r="AH105" s="71"/>
      <c r="AI105" s="71"/>
      <c r="AK105" s="71"/>
      <c r="AL105" s="71"/>
      <c r="AN105" s="71"/>
      <c r="AO105" s="71"/>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row>
    <row r="106" spans="1:75" ht="20" customHeight="1">
      <c r="D106">
        <f t="shared" si="15"/>
        <v>101</v>
      </c>
      <c r="E106" s="2" t="s">
        <v>1609</v>
      </c>
      <c r="F106" s="72" t="s">
        <v>928</v>
      </c>
      <c r="G106" t="s">
        <v>1610</v>
      </c>
      <c r="I106" s="31"/>
      <c r="K106" s="9"/>
      <c r="L106" s="5"/>
      <c r="M106" s="8">
        <v>34316</v>
      </c>
      <c r="N106" s="3"/>
      <c r="O106" s="62"/>
      <c r="P106" s="13" t="s">
        <v>1611</v>
      </c>
      <c r="Q106" s="20"/>
      <c r="R106" s="21" t="str">
        <f t="shared" si="16"/>
        <v>101f</v>
      </c>
      <c r="S106" s="17"/>
      <c r="T106" s="23" t="s">
        <v>2815</v>
      </c>
      <c r="U106">
        <f t="shared" si="12"/>
        <v>8</v>
      </c>
      <c r="V106">
        <f t="shared" si="10"/>
        <v>5</v>
      </c>
      <c r="W106">
        <f t="shared" si="11"/>
        <v>5</v>
      </c>
      <c r="X106">
        <f t="shared" si="9"/>
        <v>0</v>
      </c>
      <c r="AG106" s="71" t="s">
        <v>2690</v>
      </c>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row>
    <row r="107" spans="1:75" ht="20" customHeight="1">
      <c r="D107">
        <f t="shared" si="15"/>
        <v>101</v>
      </c>
      <c r="E107" s="2" t="s">
        <v>1609</v>
      </c>
      <c r="F107" s="72" t="s">
        <v>1612</v>
      </c>
      <c r="G107" t="s">
        <v>1610</v>
      </c>
      <c r="I107" s="31"/>
      <c r="K107" s="9"/>
      <c r="L107" s="5"/>
      <c r="M107" s="8">
        <v>35117</v>
      </c>
      <c r="N107" s="3"/>
      <c r="O107" s="62"/>
      <c r="P107" s="13" t="s">
        <v>1613</v>
      </c>
      <c r="Q107" s="20"/>
      <c r="R107" s="21" t="str">
        <f t="shared" si="16"/>
        <v>101f</v>
      </c>
      <c r="S107" s="17"/>
      <c r="T107" s="23" t="s">
        <v>2815</v>
      </c>
      <c r="U107">
        <f t="shared" si="12"/>
        <v>8</v>
      </c>
      <c r="V107">
        <f t="shared" si="10"/>
        <v>5</v>
      </c>
      <c r="W107">
        <f t="shared" si="11"/>
        <v>5</v>
      </c>
      <c r="X107">
        <f t="shared" si="9"/>
        <v>0</v>
      </c>
      <c r="AG107" s="71" t="s">
        <v>2690</v>
      </c>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row>
    <row r="108" spans="1:75" ht="19">
      <c r="A108">
        <f>IF(O108="?",2021-I108,J108-I108)</f>
        <v>31</v>
      </c>
      <c r="C108">
        <v>4141</v>
      </c>
      <c r="D108">
        <v>102</v>
      </c>
      <c r="E108" s="2" t="s">
        <v>782</v>
      </c>
      <c r="F108" t="s">
        <v>869</v>
      </c>
      <c r="G108" t="s">
        <v>870</v>
      </c>
      <c r="I108" s="31">
        <f>YEAR(L108)</f>
        <v>1923</v>
      </c>
      <c r="J108">
        <f>IF(O108="?",O108,YEAR(O108))</f>
        <v>1954</v>
      </c>
      <c r="K108" s="9" t="str">
        <f>IF(B108="",_xlfn.CONCAT(F108," (",D108,"): ",I108),_xlfn.CONCAT(B108," (",D108,"): ",I108))</f>
        <v>Zelda (102): 1923</v>
      </c>
      <c r="L108" s="5">
        <v>8745</v>
      </c>
      <c r="M108" s="8">
        <v>8745</v>
      </c>
      <c r="N108" s="3">
        <v>19810</v>
      </c>
      <c r="O108" s="62">
        <f>VLOOKUP(D108,DateDeath,12,FALSE)</f>
        <v>19810</v>
      </c>
      <c r="P108" s="13">
        <f>D108</f>
        <v>102</v>
      </c>
      <c r="Q108" s="20" t="str">
        <f>_xlfn.CONCAT(K108," - ",J108)</f>
        <v>Zelda (102): 1923 - 1954</v>
      </c>
      <c r="R108" s="16">
        <f>VLOOKUP(P108,'Loyd List 1-190 - Edit'!$P$3:$R$184,3,FALSE)</f>
        <v>62</v>
      </c>
      <c r="S108" s="17" t="str">
        <f>VLOOKUP(R108,'Loyd List 1-190 - Edit'!$R$3:$S$184,2,FALSE)</f>
        <v>Bobby (62): 1887–1977</v>
      </c>
      <c r="T108" s="23" t="s">
        <v>2814</v>
      </c>
      <c r="U108">
        <f t="shared" si="12"/>
        <v>6</v>
      </c>
      <c r="V108">
        <f t="shared" si="10"/>
        <v>3</v>
      </c>
      <c r="W108">
        <f t="shared" si="11"/>
        <v>5</v>
      </c>
      <c r="X108">
        <f t="shared" si="9"/>
        <v>0</v>
      </c>
      <c r="Y108" t="s">
        <v>1614</v>
      </c>
      <c r="Z108" t="e">
        <f>U108-Y108</f>
        <v>#VALUE!</v>
      </c>
      <c r="AA108" t="s">
        <v>847</v>
      </c>
      <c r="AB108" t="s">
        <v>1157</v>
      </c>
      <c r="AC108">
        <f>A108</f>
        <v>31</v>
      </c>
      <c r="AG108" s="71" t="s">
        <v>372</v>
      </c>
      <c r="AH108" s="2" t="s">
        <v>233</v>
      </c>
      <c r="AI108" s="2" t="s">
        <v>234</v>
      </c>
      <c r="AJ108" s="2" t="s">
        <v>235</v>
      </c>
    </row>
    <row r="109" spans="1:75" ht="19">
      <c r="B109" t="s">
        <v>943</v>
      </c>
      <c r="D109">
        <f t="shared" si="15"/>
        <v>102</v>
      </c>
      <c r="E109" s="2" t="s">
        <v>1615</v>
      </c>
      <c r="F109" s="71" t="s">
        <v>1616</v>
      </c>
      <c r="G109" s="72" t="s">
        <v>870</v>
      </c>
      <c r="I109" s="31"/>
      <c r="K109" s="9"/>
      <c r="L109" s="5"/>
      <c r="M109" s="8">
        <v>20615</v>
      </c>
      <c r="N109" s="3"/>
      <c r="O109" s="62"/>
      <c r="P109" s="13" t="s">
        <v>1617</v>
      </c>
      <c r="Q109" s="20"/>
      <c r="R109" s="21" t="str">
        <f>MID(P109,1,LEN(P109)-1)</f>
        <v>102</v>
      </c>
      <c r="S109" s="17"/>
      <c r="T109" s="23" t="s">
        <v>2814</v>
      </c>
      <c r="U109">
        <f t="shared" si="12"/>
        <v>7</v>
      </c>
      <c r="V109">
        <f t="shared" si="10"/>
        <v>4</v>
      </c>
      <c r="W109">
        <f t="shared" si="11"/>
        <v>5</v>
      </c>
      <c r="X109">
        <f t="shared" si="9"/>
        <v>0</v>
      </c>
      <c r="AG109" s="71" t="s">
        <v>2691</v>
      </c>
      <c r="AI109" s="71"/>
      <c r="AJ109" s="71"/>
    </row>
    <row r="110" spans="1:75" ht="19">
      <c r="D110">
        <f t="shared" si="15"/>
        <v>102</v>
      </c>
      <c r="E110" s="2" t="s">
        <v>1615</v>
      </c>
      <c r="F110" s="71" t="s">
        <v>843</v>
      </c>
      <c r="G110" s="72" t="s">
        <v>1618</v>
      </c>
      <c r="I110" s="31"/>
      <c r="K110" s="9"/>
      <c r="L110" s="5"/>
      <c r="M110" s="8">
        <v>21328</v>
      </c>
      <c r="N110" s="3">
        <v>34930</v>
      </c>
      <c r="O110" s="62"/>
      <c r="P110" s="13" t="s">
        <v>1619</v>
      </c>
      <c r="Q110" s="20"/>
      <c r="R110" s="21" t="str">
        <f>MID(P110,1,LEN(P110)-1)</f>
        <v>102</v>
      </c>
      <c r="S110" s="17"/>
      <c r="T110" s="23" t="s">
        <v>2815</v>
      </c>
      <c r="U110">
        <f t="shared" si="12"/>
        <v>7</v>
      </c>
      <c r="V110">
        <f t="shared" si="10"/>
        <v>4</v>
      </c>
      <c r="W110">
        <f t="shared" si="11"/>
        <v>5</v>
      </c>
      <c r="X110">
        <f t="shared" si="9"/>
        <v>0</v>
      </c>
      <c r="Y110" t="s">
        <v>1620</v>
      </c>
      <c r="Z110" s="71" t="s">
        <v>2692</v>
      </c>
      <c r="AG110" s="71" t="s">
        <v>2693</v>
      </c>
      <c r="AI110" s="71"/>
      <c r="AK110" s="71"/>
      <c r="AL110" s="71"/>
    </row>
    <row r="111" spans="1:75" ht="19">
      <c r="D111">
        <f t="shared" si="15"/>
        <v>102</v>
      </c>
      <c r="E111" s="2" t="s">
        <v>1615</v>
      </c>
      <c r="F111" s="71" t="s">
        <v>1621</v>
      </c>
      <c r="G111" s="72" t="s">
        <v>1622</v>
      </c>
      <c r="H111" t="s">
        <v>1623</v>
      </c>
      <c r="I111" s="31"/>
      <c r="K111" s="9"/>
      <c r="L111" s="5"/>
      <c r="M111" s="8">
        <v>35879</v>
      </c>
      <c r="N111" s="3"/>
      <c r="O111" s="62"/>
      <c r="P111" s="13" t="s">
        <v>1624</v>
      </c>
      <c r="Q111" s="20"/>
      <c r="R111" s="21" t="str">
        <f>MID(P111,1,LEN(P111)-1)</f>
        <v>102b</v>
      </c>
      <c r="S111" s="17"/>
      <c r="T111" s="23" t="s">
        <v>2814</v>
      </c>
      <c r="U111">
        <f t="shared" si="12"/>
        <v>8</v>
      </c>
      <c r="V111">
        <f t="shared" si="10"/>
        <v>5</v>
      </c>
      <c r="W111">
        <f t="shared" si="11"/>
        <v>5</v>
      </c>
      <c r="X111">
        <f t="shared" si="9"/>
        <v>0</v>
      </c>
      <c r="AG111" s="71" t="s">
        <v>2694</v>
      </c>
      <c r="AH111" s="71"/>
      <c r="AJ111" s="71"/>
      <c r="AK111" s="71"/>
      <c r="AM111" s="71"/>
      <c r="AN111" s="71"/>
    </row>
    <row r="112" spans="1:75" ht="19">
      <c r="D112">
        <f t="shared" si="15"/>
        <v>102</v>
      </c>
      <c r="E112" s="2" t="s">
        <v>1615</v>
      </c>
      <c r="F112" s="71" t="s">
        <v>1625</v>
      </c>
      <c r="G112" s="72" t="s">
        <v>952</v>
      </c>
      <c r="I112" s="31"/>
      <c r="K112" s="9"/>
      <c r="L112" s="5"/>
      <c r="M112" s="8">
        <v>22181</v>
      </c>
      <c r="N112" s="3"/>
      <c r="O112" s="62"/>
      <c r="P112" s="13" t="s">
        <v>1626</v>
      </c>
      <c r="Q112" s="20"/>
      <c r="R112" s="21" t="str">
        <f>MID(P112,1,LEN(P112)-1)</f>
        <v>102</v>
      </c>
      <c r="S112" s="17"/>
      <c r="T112" s="23" t="s">
        <v>2814</v>
      </c>
      <c r="U112">
        <f t="shared" si="12"/>
        <v>7</v>
      </c>
      <c r="V112">
        <f t="shared" si="10"/>
        <v>4</v>
      </c>
      <c r="W112">
        <f t="shared" si="11"/>
        <v>5</v>
      </c>
      <c r="X112">
        <f t="shared" si="9"/>
        <v>0</v>
      </c>
      <c r="AG112" s="71" t="s">
        <v>2695</v>
      </c>
      <c r="AH112" s="2"/>
      <c r="AI112" s="2"/>
      <c r="AJ112" s="2"/>
    </row>
    <row r="113" spans="1:42" ht="19">
      <c r="A113">
        <f>IF(O113="?",2021-I113,J113-I113)</f>
        <v>23</v>
      </c>
      <c r="C113">
        <v>4183</v>
      </c>
      <c r="D113">
        <v>103</v>
      </c>
      <c r="E113" s="2" t="s">
        <v>782</v>
      </c>
      <c r="F113" t="s">
        <v>871</v>
      </c>
      <c r="G113" t="s">
        <v>799</v>
      </c>
      <c r="H113" t="s">
        <v>846</v>
      </c>
      <c r="I113" s="31">
        <f>YEAR(L113)</f>
        <v>1923</v>
      </c>
      <c r="J113">
        <f>IF(O113="?",O113,YEAR(O113))</f>
        <v>1946</v>
      </c>
      <c r="K113" s="9" t="str">
        <f>IF(B113="",_xlfn.CONCAT(F113," (",D113,"): ",I113),_xlfn.CONCAT(B113," (",D113,"): ",I113))</f>
        <v>Lavinia (103): 1923</v>
      </c>
      <c r="L113" s="5">
        <v>8756</v>
      </c>
      <c r="M113" s="8">
        <v>8756</v>
      </c>
      <c r="N113" s="3">
        <v>16805</v>
      </c>
      <c r="O113" s="62">
        <f>VLOOKUP(D113,DateDeath,12,FALSE)</f>
        <v>16805</v>
      </c>
      <c r="P113" s="13">
        <f>D113</f>
        <v>103</v>
      </c>
      <c r="Q113" s="20" t="str">
        <f>_xlfn.CONCAT(K113," - ",J113)</f>
        <v>Lavinia (103): 1923 - 1946</v>
      </c>
      <c r="R113" s="16">
        <f>VLOOKUP(P113,'Loyd List 1-190 - Edit'!$P$3:$R$184,3,FALSE)</f>
        <v>72</v>
      </c>
      <c r="S113" s="17" t="str">
        <f>VLOOKUP(R113,'Loyd List 1-190 - Edit'!$R$3:$S$184,2,FALSE)</f>
        <v>Charles (72): 1891–1973</v>
      </c>
      <c r="T113" s="23" t="s">
        <v>2814</v>
      </c>
      <c r="U113">
        <f t="shared" si="12"/>
        <v>6</v>
      </c>
      <c r="V113">
        <f t="shared" si="10"/>
        <v>3</v>
      </c>
      <c r="W113">
        <f t="shared" si="11"/>
        <v>5</v>
      </c>
      <c r="X113">
        <f t="shared" si="9"/>
        <v>0</v>
      </c>
      <c r="Y113" t="s">
        <v>1627</v>
      </c>
      <c r="Z113" t="e">
        <f>U113-Y113</f>
        <v>#VALUE!</v>
      </c>
      <c r="AA113" t="s">
        <v>802</v>
      </c>
      <c r="AC113">
        <f>A113</f>
        <v>23</v>
      </c>
      <c r="AG113" s="71" t="s">
        <v>392</v>
      </c>
      <c r="AH113" s="2" t="s">
        <v>236</v>
      </c>
      <c r="AI113" s="2" t="s">
        <v>237</v>
      </c>
      <c r="AJ113" s="2" t="s">
        <v>238</v>
      </c>
      <c r="AK113" s="2" t="s">
        <v>239</v>
      </c>
      <c r="AL113" s="2" t="s">
        <v>240</v>
      </c>
      <c r="AM113" s="2" t="s">
        <v>241</v>
      </c>
      <c r="AN113" s="2" t="s">
        <v>242</v>
      </c>
      <c r="AO113" s="2" t="s">
        <v>243</v>
      </c>
      <c r="AP113" s="2" t="s">
        <v>244</v>
      </c>
    </row>
    <row r="114" spans="1:42" ht="19">
      <c r="D114">
        <f>D113</f>
        <v>103</v>
      </c>
      <c r="E114" s="2" t="s">
        <v>1628</v>
      </c>
      <c r="F114" s="71" t="s">
        <v>918</v>
      </c>
      <c r="G114" s="72" t="s">
        <v>931</v>
      </c>
      <c r="I114" s="31"/>
      <c r="K114" s="9"/>
      <c r="L114" s="5"/>
      <c r="M114" s="8">
        <v>17252</v>
      </c>
      <c r="N114" s="3">
        <v>30422</v>
      </c>
      <c r="O114" s="62"/>
      <c r="P114" s="13" t="s">
        <v>1629</v>
      </c>
      <c r="Q114" s="20"/>
      <c r="R114" s="21" t="str">
        <f t="shared" ref="R114:R130" si="17">MID(P114,1,LEN(P114)-1)</f>
        <v>103</v>
      </c>
      <c r="S114" s="17"/>
      <c r="T114" s="23" t="s">
        <v>2815</v>
      </c>
      <c r="U114">
        <f t="shared" si="12"/>
        <v>7</v>
      </c>
      <c r="V114">
        <f t="shared" si="10"/>
        <v>4</v>
      </c>
      <c r="W114">
        <f t="shared" si="11"/>
        <v>5</v>
      </c>
      <c r="X114">
        <f t="shared" si="9"/>
        <v>0</v>
      </c>
      <c r="Y114" t="s">
        <v>2697</v>
      </c>
      <c r="Z114" s="71" t="s">
        <v>2698</v>
      </c>
      <c r="AG114" s="71" t="s">
        <v>2696</v>
      </c>
    </row>
    <row r="115" spans="1:42" ht="19">
      <c r="D115">
        <f t="shared" ref="D115:D122" si="18">D114</f>
        <v>103</v>
      </c>
      <c r="E115" s="2" t="s">
        <v>1628</v>
      </c>
      <c r="F115" s="71" t="s">
        <v>1492</v>
      </c>
      <c r="G115" s="72" t="s">
        <v>1630</v>
      </c>
      <c r="I115" s="31"/>
      <c r="K115" s="9"/>
      <c r="L115" s="5"/>
      <c r="M115" s="8">
        <v>31035</v>
      </c>
      <c r="N115" s="3"/>
      <c r="O115" s="62"/>
      <c r="P115" s="13" t="s">
        <v>1631</v>
      </c>
      <c r="Q115" s="20"/>
      <c r="R115" s="21" t="str">
        <f t="shared" si="17"/>
        <v>103a</v>
      </c>
      <c r="S115" s="17"/>
      <c r="T115" s="23" t="s">
        <v>2814</v>
      </c>
      <c r="U115">
        <f t="shared" si="12"/>
        <v>8</v>
      </c>
      <c r="V115">
        <f t="shared" si="10"/>
        <v>5</v>
      </c>
      <c r="W115">
        <f t="shared" si="11"/>
        <v>5</v>
      </c>
      <c r="X115">
        <f t="shared" si="9"/>
        <v>0</v>
      </c>
      <c r="AG115" s="71" t="s">
        <v>2699</v>
      </c>
      <c r="AH115" s="71"/>
      <c r="AJ115" s="71"/>
      <c r="AK115" s="71"/>
      <c r="AL115" s="71"/>
      <c r="AM115" s="71"/>
    </row>
    <row r="116" spans="1:42" ht="19">
      <c r="D116">
        <f t="shared" si="18"/>
        <v>103</v>
      </c>
      <c r="E116" s="2" t="s">
        <v>1628</v>
      </c>
      <c r="F116" s="71" t="s">
        <v>1632</v>
      </c>
      <c r="G116" s="72" t="s">
        <v>807</v>
      </c>
      <c r="I116" s="31"/>
      <c r="K116" s="9"/>
      <c r="L116" s="5"/>
      <c r="M116" s="8">
        <v>31798</v>
      </c>
      <c r="N116" s="3"/>
      <c r="O116" s="62"/>
      <c r="P116" s="13" t="s">
        <v>1634</v>
      </c>
      <c r="Q116" s="20"/>
      <c r="R116" s="21" t="str">
        <f t="shared" si="17"/>
        <v>103a</v>
      </c>
      <c r="S116" s="17"/>
      <c r="T116" s="23" t="s">
        <v>2815</v>
      </c>
      <c r="U116">
        <f t="shared" si="12"/>
        <v>8</v>
      </c>
      <c r="V116">
        <f t="shared" si="10"/>
        <v>5</v>
      </c>
      <c r="W116">
        <f t="shared" si="11"/>
        <v>5</v>
      </c>
      <c r="X116">
        <f t="shared" si="9"/>
        <v>0</v>
      </c>
      <c r="AG116" s="71" t="s">
        <v>2699</v>
      </c>
      <c r="AH116" s="2"/>
      <c r="AI116" s="2"/>
      <c r="AJ116" s="2"/>
      <c r="AK116" s="2"/>
      <c r="AL116" s="2"/>
      <c r="AM116" s="2"/>
      <c r="AN116" s="2"/>
      <c r="AO116" s="2"/>
      <c r="AP116" s="2"/>
    </row>
    <row r="117" spans="1:42" ht="19">
      <c r="D117">
        <f t="shared" si="18"/>
        <v>103</v>
      </c>
      <c r="E117" s="2" t="s">
        <v>1628</v>
      </c>
      <c r="F117" s="71" t="s">
        <v>1635</v>
      </c>
      <c r="G117" s="72" t="s">
        <v>1636</v>
      </c>
      <c r="I117" s="31"/>
      <c r="K117" s="9"/>
      <c r="L117" s="5"/>
      <c r="M117" s="8">
        <v>32253</v>
      </c>
      <c r="N117" s="3"/>
      <c r="O117" s="62"/>
      <c r="P117" s="13" t="s">
        <v>1637</v>
      </c>
      <c r="Q117" s="20"/>
      <c r="R117" s="21" t="str">
        <f t="shared" si="17"/>
        <v>103a</v>
      </c>
      <c r="S117" s="17"/>
      <c r="T117" s="23" t="s">
        <v>2815</v>
      </c>
      <c r="U117">
        <f t="shared" si="12"/>
        <v>8</v>
      </c>
      <c r="V117">
        <f t="shared" si="10"/>
        <v>5</v>
      </c>
      <c r="W117">
        <f t="shared" si="11"/>
        <v>5</v>
      </c>
      <c r="X117">
        <f t="shared" si="9"/>
        <v>0</v>
      </c>
      <c r="AG117" s="71" t="s">
        <v>2699</v>
      </c>
      <c r="AH117" s="2"/>
      <c r="AI117" s="2"/>
      <c r="AJ117" s="2"/>
      <c r="AK117" s="2"/>
      <c r="AL117" s="2"/>
      <c r="AM117" s="2"/>
      <c r="AN117" s="2"/>
      <c r="AO117" s="2"/>
      <c r="AP117" s="2"/>
    </row>
    <row r="118" spans="1:42" ht="19">
      <c r="D118">
        <f>D117</f>
        <v>103</v>
      </c>
      <c r="E118" s="2" t="s">
        <v>1628</v>
      </c>
      <c r="F118" s="71" t="s">
        <v>846</v>
      </c>
      <c r="G118" s="72" t="s">
        <v>870</v>
      </c>
      <c r="I118" s="31"/>
      <c r="K118" s="9"/>
      <c r="L118" s="5"/>
      <c r="M118" s="8">
        <v>17923</v>
      </c>
      <c r="N118" s="3">
        <v>25603</v>
      </c>
      <c r="O118" s="62"/>
      <c r="P118" s="13" t="s">
        <v>1633</v>
      </c>
      <c r="Q118" s="20"/>
      <c r="R118" s="21" t="str">
        <f t="shared" si="17"/>
        <v>103</v>
      </c>
      <c r="S118" s="17"/>
      <c r="T118" s="23" t="s">
        <v>2814</v>
      </c>
      <c r="U118">
        <f t="shared" si="12"/>
        <v>7</v>
      </c>
      <c r="V118">
        <f t="shared" si="10"/>
        <v>4</v>
      </c>
      <c r="W118">
        <f t="shared" si="11"/>
        <v>5</v>
      </c>
      <c r="X118">
        <f t="shared" si="9"/>
        <v>0</v>
      </c>
      <c r="Y118" t="s">
        <v>2701</v>
      </c>
      <c r="Z118" s="71" t="s">
        <v>2702</v>
      </c>
      <c r="AG118" s="71" t="s">
        <v>2700</v>
      </c>
      <c r="AJ118" s="71"/>
    </row>
    <row r="119" spans="1:42" ht="19">
      <c r="D119">
        <f t="shared" si="18"/>
        <v>103</v>
      </c>
      <c r="E119" s="2" t="s">
        <v>1638</v>
      </c>
      <c r="F119" s="71" t="s">
        <v>811</v>
      </c>
      <c r="G119" s="72" t="s">
        <v>852</v>
      </c>
      <c r="I119" s="31"/>
      <c r="K119" s="9"/>
      <c r="L119" s="5"/>
      <c r="M119" s="8">
        <v>26191</v>
      </c>
      <c r="N119" s="3"/>
      <c r="O119" s="62"/>
      <c r="P119" s="13" t="s">
        <v>1639</v>
      </c>
      <c r="Q119" s="20"/>
      <c r="R119" s="21" t="str">
        <f t="shared" si="17"/>
        <v>103b</v>
      </c>
      <c r="S119" s="17"/>
      <c r="T119" s="23" t="s">
        <v>2815</v>
      </c>
      <c r="U119">
        <f t="shared" si="12"/>
        <v>8</v>
      </c>
      <c r="V119">
        <f t="shared" si="10"/>
        <v>5</v>
      </c>
      <c r="W119">
        <f t="shared" si="11"/>
        <v>5</v>
      </c>
      <c r="X119">
        <f t="shared" si="9"/>
        <v>0</v>
      </c>
      <c r="AG119" s="71" t="s">
        <v>2703</v>
      </c>
    </row>
    <row r="120" spans="1:42" ht="19">
      <c r="B120" t="s">
        <v>1376</v>
      </c>
      <c r="D120">
        <f t="shared" si="18"/>
        <v>103</v>
      </c>
      <c r="E120" s="2" t="s">
        <v>1638</v>
      </c>
      <c r="F120" s="71" t="s">
        <v>1640</v>
      </c>
      <c r="G120" s="72" t="s">
        <v>870</v>
      </c>
      <c r="I120" s="31"/>
      <c r="K120" s="9"/>
      <c r="L120" s="5"/>
      <c r="M120" s="8">
        <v>26808</v>
      </c>
      <c r="N120" s="3"/>
      <c r="O120" s="62"/>
      <c r="P120" s="13" t="s">
        <v>1641</v>
      </c>
      <c r="Q120" s="20"/>
      <c r="R120" s="21" t="str">
        <f t="shared" si="17"/>
        <v>103b</v>
      </c>
      <c r="S120" s="17"/>
      <c r="T120" s="23" t="s">
        <v>2814</v>
      </c>
      <c r="U120">
        <f t="shared" si="12"/>
        <v>8</v>
      </c>
      <c r="V120">
        <f t="shared" si="10"/>
        <v>5</v>
      </c>
      <c r="W120">
        <f t="shared" si="11"/>
        <v>5</v>
      </c>
      <c r="X120">
        <f t="shared" si="9"/>
        <v>0</v>
      </c>
      <c r="AG120" s="71" t="s">
        <v>2704</v>
      </c>
      <c r="AH120" s="71"/>
    </row>
    <row r="121" spans="1:42" ht="19">
      <c r="D121">
        <f t="shared" si="18"/>
        <v>103</v>
      </c>
      <c r="E121" s="2" t="s">
        <v>1638</v>
      </c>
      <c r="F121" s="71" t="s">
        <v>1589</v>
      </c>
      <c r="G121" s="72" t="s">
        <v>918</v>
      </c>
      <c r="I121" s="31"/>
      <c r="K121" s="9"/>
      <c r="L121" s="5"/>
      <c r="M121" s="8">
        <v>27879</v>
      </c>
      <c r="N121" s="3"/>
      <c r="O121" s="62"/>
      <c r="P121" s="13" t="s">
        <v>1642</v>
      </c>
      <c r="Q121" s="20"/>
      <c r="R121" s="21" t="str">
        <f t="shared" si="17"/>
        <v>103b</v>
      </c>
      <c r="S121" s="17"/>
      <c r="T121" s="23" t="s">
        <v>2815</v>
      </c>
      <c r="U121">
        <f t="shared" si="12"/>
        <v>8</v>
      </c>
      <c r="V121">
        <f t="shared" si="10"/>
        <v>5</v>
      </c>
      <c r="W121">
        <f t="shared" si="11"/>
        <v>5</v>
      </c>
      <c r="X121">
        <f t="shared" si="9"/>
        <v>0</v>
      </c>
      <c r="AG121" s="71" t="s">
        <v>2705</v>
      </c>
      <c r="AI121" s="71"/>
      <c r="AJ121" s="71"/>
    </row>
    <row r="122" spans="1:42" ht="19">
      <c r="D122">
        <f t="shared" si="18"/>
        <v>103</v>
      </c>
      <c r="E122" s="2" t="s">
        <v>1638</v>
      </c>
      <c r="F122" s="71" t="s">
        <v>1644</v>
      </c>
      <c r="G122" s="72" t="s">
        <v>846</v>
      </c>
      <c r="I122" s="31"/>
      <c r="K122" s="9"/>
      <c r="L122" s="5"/>
      <c r="M122" s="8">
        <v>28858</v>
      </c>
      <c r="N122" s="3"/>
      <c r="O122" s="62"/>
      <c r="P122" s="13" t="s">
        <v>1651</v>
      </c>
      <c r="Q122" s="20"/>
      <c r="R122" s="21" t="str">
        <f t="shared" si="17"/>
        <v>103b</v>
      </c>
      <c r="S122" s="17"/>
      <c r="T122" s="23" t="s">
        <v>2814</v>
      </c>
      <c r="U122">
        <f t="shared" si="12"/>
        <v>8</v>
      </c>
      <c r="V122">
        <f t="shared" si="10"/>
        <v>5</v>
      </c>
      <c r="W122">
        <f t="shared" si="11"/>
        <v>5</v>
      </c>
      <c r="X122">
        <f t="shared" si="9"/>
        <v>0</v>
      </c>
      <c r="AG122" s="71" t="s">
        <v>2705</v>
      </c>
      <c r="AH122" s="2"/>
      <c r="AI122" s="2"/>
      <c r="AJ122" s="2"/>
      <c r="AK122" s="2"/>
      <c r="AL122" s="2"/>
      <c r="AM122" s="2"/>
      <c r="AN122" s="2"/>
      <c r="AO122" s="2"/>
      <c r="AP122" s="2"/>
    </row>
    <row r="123" spans="1:42" ht="19">
      <c r="D123">
        <f>D122</f>
        <v>103</v>
      </c>
      <c r="E123" s="2" t="s">
        <v>1628</v>
      </c>
      <c r="F123" s="71" t="s">
        <v>905</v>
      </c>
      <c r="G123" s="72" t="s">
        <v>917</v>
      </c>
      <c r="I123" s="31"/>
      <c r="K123" s="9"/>
      <c r="L123" s="5"/>
      <c r="M123" s="8">
        <v>19227</v>
      </c>
      <c r="N123" s="3">
        <v>31752</v>
      </c>
      <c r="O123" s="62"/>
      <c r="P123" s="13" t="s">
        <v>1645</v>
      </c>
      <c r="Q123" s="20"/>
      <c r="R123" s="21" t="str">
        <f t="shared" si="17"/>
        <v>103</v>
      </c>
      <c r="S123" s="17"/>
      <c r="T123" s="23" t="s">
        <v>2815</v>
      </c>
      <c r="U123">
        <f t="shared" si="12"/>
        <v>7</v>
      </c>
      <c r="V123">
        <f t="shared" si="10"/>
        <v>4</v>
      </c>
      <c r="W123">
        <f t="shared" si="11"/>
        <v>5</v>
      </c>
      <c r="X123">
        <f t="shared" si="9"/>
        <v>0</v>
      </c>
      <c r="Y123" t="s">
        <v>2708</v>
      </c>
      <c r="Z123" s="71" t="s">
        <v>2707</v>
      </c>
      <c r="AG123" s="71" t="s">
        <v>2706</v>
      </c>
      <c r="AJ123" s="71"/>
      <c r="AK123" s="71"/>
    </row>
    <row r="124" spans="1:42" ht="19">
      <c r="D124">
        <f t="shared" ref="D124:D156" si="19">D123</f>
        <v>103</v>
      </c>
      <c r="E124" s="2" t="s">
        <v>1628</v>
      </c>
      <c r="F124" s="71" t="s">
        <v>830</v>
      </c>
      <c r="G124" s="72" t="s">
        <v>852</v>
      </c>
      <c r="I124" s="31"/>
      <c r="K124" s="9"/>
      <c r="L124" s="5"/>
      <c r="M124" s="8">
        <v>32291</v>
      </c>
      <c r="N124" s="3"/>
      <c r="O124" s="62"/>
      <c r="P124" s="13" t="s">
        <v>1646</v>
      </c>
      <c r="Q124" s="20"/>
      <c r="R124" s="21" t="str">
        <f t="shared" si="17"/>
        <v>103c</v>
      </c>
      <c r="S124" s="17"/>
      <c r="T124" s="23" t="s">
        <v>2815</v>
      </c>
      <c r="U124">
        <f t="shared" si="12"/>
        <v>8</v>
      </c>
      <c r="V124">
        <f t="shared" si="10"/>
        <v>5</v>
      </c>
      <c r="W124">
        <f t="shared" si="11"/>
        <v>5</v>
      </c>
      <c r="X124">
        <f t="shared" si="9"/>
        <v>0</v>
      </c>
      <c r="AG124" s="71" t="s">
        <v>2709</v>
      </c>
    </row>
    <row r="125" spans="1:42" ht="19">
      <c r="D125">
        <f t="shared" si="19"/>
        <v>103</v>
      </c>
      <c r="E125" s="2" t="s">
        <v>1628</v>
      </c>
      <c r="F125" s="71" t="s">
        <v>1647</v>
      </c>
      <c r="G125" s="72" t="s">
        <v>903</v>
      </c>
      <c r="H125" t="s">
        <v>1648</v>
      </c>
      <c r="I125" s="31"/>
      <c r="K125" s="9"/>
      <c r="L125" s="5"/>
      <c r="M125" s="8">
        <v>32921</v>
      </c>
      <c r="N125" s="3"/>
      <c r="O125" s="62"/>
      <c r="P125" s="13" t="s">
        <v>1649</v>
      </c>
      <c r="Q125" s="20"/>
      <c r="R125" s="21" t="str">
        <f t="shared" si="17"/>
        <v>103c</v>
      </c>
      <c r="S125" s="17"/>
      <c r="T125" s="23" t="s">
        <v>2814</v>
      </c>
      <c r="U125">
        <f t="shared" si="12"/>
        <v>8</v>
      </c>
      <c r="V125">
        <f t="shared" si="10"/>
        <v>5</v>
      </c>
      <c r="W125">
        <f t="shared" si="11"/>
        <v>5</v>
      </c>
      <c r="X125">
        <f t="shared" si="9"/>
        <v>0</v>
      </c>
      <c r="AG125" s="71" t="s">
        <v>2710</v>
      </c>
    </row>
    <row r="126" spans="1:42" ht="19">
      <c r="D126">
        <f t="shared" si="19"/>
        <v>103</v>
      </c>
      <c r="E126" s="2" t="s">
        <v>1628</v>
      </c>
      <c r="F126" s="71" t="s">
        <v>937</v>
      </c>
      <c r="G126" s="72" t="s">
        <v>952</v>
      </c>
      <c r="H126" t="s">
        <v>871</v>
      </c>
      <c r="I126" s="31"/>
      <c r="K126" s="9"/>
      <c r="L126" s="5"/>
      <c r="M126" s="8">
        <v>33538</v>
      </c>
      <c r="N126" s="3"/>
      <c r="O126" s="62"/>
      <c r="P126" s="13" t="s">
        <v>1650</v>
      </c>
      <c r="Q126" s="20"/>
      <c r="R126" s="21" t="str">
        <f t="shared" si="17"/>
        <v>103c</v>
      </c>
      <c r="S126" s="17"/>
      <c r="T126" s="23" t="s">
        <v>2814</v>
      </c>
      <c r="U126">
        <f t="shared" si="12"/>
        <v>8</v>
      </c>
      <c r="V126">
        <f t="shared" si="10"/>
        <v>5</v>
      </c>
      <c r="W126">
        <f t="shared" si="11"/>
        <v>5</v>
      </c>
      <c r="X126">
        <f t="shared" si="9"/>
        <v>0</v>
      </c>
      <c r="AG126" s="71" t="s">
        <v>2711</v>
      </c>
      <c r="AH126" s="71"/>
    </row>
    <row r="127" spans="1:42" ht="19">
      <c r="D127">
        <f t="shared" si="19"/>
        <v>103</v>
      </c>
      <c r="E127" s="2" t="s">
        <v>1628</v>
      </c>
      <c r="F127" s="71" t="s">
        <v>896</v>
      </c>
      <c r="G127" s="72" t="s">
        <v>902</v>
      </c>
      <c r="I127" s="31"/>
      <c r="K127" s="9"/>
      <c r="L127" s="5"/>
      <c r="M127" s="8">
        <v>20500</v>
      </c>
      <c r="N127" s="3"/>
      <c r="O127" s="62"/>
      <c r="P127" s="13" t="s">
        <v>1652</v>
      </c>
      <c r="Q127" s="20"/>
      <c r="R127" s="21" t="str">
        <f t="shared" si="17"/>
        <v>103</v>
      </c>
      <c r="S127" s="17"/>
      <c r="T127" s="23" t="s">
        <v>2815</v>
      </c>
      <c r="U127">
        <f t="shared" si="12"/>
        <v>7</v>
      </c>
      <c r="V127">
        <f t="shared" si="10"/>
        <v>4</v>
      </c>
      <c r="W127">
        <f t="shared" si="11"/>
        <v>5</v>
      </c>
      <c r="X127">
        <f t="shared" si="9"/>
        <v>0</v>
      </c>
      <c r="Y127" t="s">
        <v>2714</v>
      </c>
      <c r="Z127" s="71" t="s">
        <v>2713</v>
      </c>
      <c r="AG127" s="71" t="s">
        <v>2712</v>
      </c>
      <c r="AH127" s="71"/>
    </row>
    <row r="128" spans="1:42" ht="19">
      <c r="D128">
        <f t="shared" si="19"/>
        <v>103</v>
      </c>
      <c r="E128" s="2" t="s">
        <v>1628</v>
      </c>
      <c r="F128" s="71" t="s">
        <v>938</v>
      </c>
      <c r="G128" s="72" t="s">
        <v>870</v>
      </c>
      <c r="I128" s="31"/>
      <c r="K128" s="9"/>
      <c r="L128" s="5"/>
      <c r="M128" s="8">
        <v>31134</v>
      </c>
      <c r="N128" s="3"/>
      <c r="O128" s="62"/>
      <c r="P128" s="13" t="s">
        <v>1653</v>
      </c>
      <c r="Q128" s="20"/>
      <c r="R128" s="21" t="str">
        <f t="shared" si="17"/>
        <v>103d</v>
      </c>
      <c r="S128" s="17"/>
      <c r="T128" s="23" t="s">
        <v>2814</v>
      </c>
      <c r="U128">
        <f t="shared" si="12"/>
        <v>8</v>
      </c>
      <c r="V128">
        <f t="shared" si="10"/>
        <v>5</v>
      </c>
      <c r="W128">
        <f t="shared" si="11"/>
        <v>5</v>
      </c>
      <c r="X128">
        <f t="shared" si="9"/>
        <v>0</v>
      </c>
      <c r="AG128" s="71" t="s">
        <v>2715</v>
      </c>
      <c r="AI128" s="71"/>
      <c r="AN128" s="2"/>
      <c r="AO128" s="2"/>
      <c r="AP128" s="2"/>
    </row>
    <row r="129" spans="1:49" ht="19">
      <c r="D129">
        <f t="shared" si="19"/>
        <v>103</v>
      </c>
      <c r="E129" s="2" t="s">
        <v>1628</v>
      </c>
      <c r="F129" s="71" t="s">
        <v>952</v>
      </c>
      <c r="G129" s="72" t="s">
        <v>1654</v>
      </c>
      <c r="I129" s="31"/>
      <c r="K129" s="9"/>
      <c r="L129" s="5"/>
      <c r="M129" s="8">
        <v>32281</v>
      </c>
      <c r="N129" s="3"/>
      <c r="O129" s="62"/>
      <c r="P129" s="13" t="s">
        <v>1643</v>
      </c>
      <c r="Q129" s="20"/>
      <c r="R129" s="21" t="str">
        <f t="shared" si="17"/>
        <v>103d</v>
      </c>
      <c r="S129" s="17"/>
      <c r="T129" s="23" t="s">
        <v>2814</v>
      </c>
      <c r="U129">
        <f t="shared" si="12"/>
        <v>8</v>
      </c>
      <c r="V129">
        <f t="shared" si="10"/>
        <v>5</v>
      </c>
      <c r="W129">
        <f t="shared" si="11"/>
        <v>5</v>
      </c>
      <c r="X129">
        <f t="shared" si="9"/>
        <v>0</v>
      </c>
      <c r="AG129" s="71" t="s">
        <v>2716</v>
      </c>
      <c r="AH129" s="71"/>
      <c r="AJ129" s="71" t="s">
        <v>437</v>
      </c>
      <c r="AK129" s="2"/>
      <c r="AL129" s="2"/>
      <c r="AM129" s="2"/>
      <c r="AN129" s="2"/>
      <c r="AO129" s="2"/>
      <c r="AP129" s="2"/>
    </row>
    <row r="130" spans="1:49" ht="19">
      <c r="D130">
        <f t="shared" si="19"/>
        <v>103</v>
      </c>
      <c r="E130" s="2" t="s">
        <v>1628</v>
      </c>
      <c r="F130" s="71" t="s">
        <v>846</v>
      </c>
      <c r="G130" s="72" t="s">
        <v>998</v>
      </c>
      <c r="I130" s="31"/>
      <c r="K130" s="9"/>
      <c r="L130" s="5"/>
      <c r="M130" s="8">
        <v>33867</v>
      </c>
      <c r="N130" s="3"/>
      <c r="O130" s="62"/>
      <c r="P130" s="13" t="s">
        <v>1655</v>
      </c>
      <c r="Q130" s="20"/>
      <c r="R130" s="21" t="str">
        <f t="shared" si="17"/>
        <v>103d</v>
      </c>
      <c r="S130" s="17"/>
      <c r="T130" s="23" t="s">
        <v>2814</v>
      </c>
      <c r="U130">
        <f t="shared" si="12"/>
        <v>8</v>
      </c>
      <c r="V130">
        <f t="shared" si="10"/>
        <v>5</v>
      </c>
      <c r="W130">
        <f t="shared" si="11"/>
        <v>5</v>
      </c>
      <c r="X130">
        <f t="shared" si="9"/>
        <v>0</v>
      </c>
      <c r="AG130" s="71" t="s">
        <v>2717</v>
      </c>
      <c r="AH130" s="2"/>
      <c r="AI130" s="2"/>
      <c r="AJ130" s="2"/>
      <c r="AK130" s="2"/>
      <c r="AL130" s="2"/>
      <c r="AM130" s="2"/>
      <c r="AN130" s="2"/>
      <c r="AO130" s="2"/>
      <c r="AP130" s="2"/>
    </row>
    <row r="131" spans="1:49" ht="19">
      <c r="A131">
        <f>IF(O131="?",2021-I131,J131-I131)</f>
        <v>26</v>
      </c>
      <c r="C131">
        <v>4321</v>
      </c>
      <c r="D131">
        <v>106</v>
      </c>
      <c r="E131" s="2" t="s">
        <v>782</v>
      </c>
      <c r="F131" t="s">
        <v>874</v>
      </c>
      <c r="G131" t="s">
        <v>875</v>
      </c>
      <c r="H131" t="s">
        <v>876</v>
      </c>
      <c r="I131" s="31">
        <f>YEAR(L131)</f>
        <v>1928</v>
      </c>
      <c r="J131">
        <f>IF(O131="?",O131,YEAR(O131))</f>
        <v>1954</v>
      </c>
      <c r="K131" s="9" t="str">
        <f>IF(B131="",_xlfn.CONCAT(F131," (",D131,"): ",I131),_xlfn.CONCAT(B131," (",D131,"): ",I131))</f>
        <v>Denise (106): 1928</v>
      </c>
      <c r="L131" s="11">
        <v>10547</v>
      </c>
      <c r="M131" s="10">
        <v>10547</v>
      </c>
      <c r="N131" s="3">
        <v>19885</v>
      </c>
      <c r="O131" s="62">
        <f>VLOOKUP(D131,DateDeath,12,FALSE)</f>
        <v>19885</v>
      </c>
      <c r="P131" s="13">
        <f>D131</f>
        <v>106</v>
      </c>
      <c r="Q131" s="20" t="str">
        <f>_xlfn.CONCAT(K131," - ",J131)</f>
        <v>Denise (106): 1928 - 1954</v>
      </c>
      <c r="R131" s="16">
        <f>VLOOKUP(P131,'Loyd List 1-190 - Edit'!$P$3:$R$184,3,FALSE)</f>
        <v>77</v>
      </c>
      <c r="S131" s="17" t="str">
        <f>VLOOKUP(R131,'Loyd List 1-190 - Edit'!$R$3:$S$184,2,FALSE)</f>
        <v>Wilfrid (77): 1893–1971</v>
      </c>
      <c r="T131" s="23" t="s">
        <v>2814</v>
      </c>
      <c r="U131">
        <f t="shared" si="12"/>
        <v>6</v>
      </c>
      <c r="V131">
        <f t="shared" si="10"/>
        <v>3</v>
      </c>
      <c r="W131">
        <f t="shared" si="11"/>
        <v>5</v>
      </c>
      <c r="X131">
        <f t="shared" ref="X131:X194" si="20">COUNTIF($R$2:$R$41,P131)</f>
        <v>0</v>
      </c>
      <c r="Y131" t="s">
        <v>1657</v>
      </c>
      <c r="AA131" t="s">
        <v>847</v>
      </c>
      <c r="AB131" t="str">
        <f>MID(AG131,4,SEARCH(".",AG131)-SEARCH("Of ",AG131))</f>
        <v>36 Broad Street, Ludlow, Shropshire, SY8 1NL.</v>
      </c>
      <c r="AC131">
        <f>A131</f>
        <v>26</v>
      </c>
      <c r="AG131" s="71" t="s">
        <v>453</v>
      </c>
      <c r="AH131" s="2" t="s">
        <v>246</v>
      </c>
    </row>
    <row r="132" spans="1:49" ht="19">
      <c r="D132">
        <f t="shared" si="19"/>
        <v>106</v>
      </c>
      <c r="E132" s="2" t="s">
        <v>1658</v>
      </c>
      <c r="F132" s="71" t="s">
        <v>1659</v>
      </c>
      <c r="G132" s="72" t="s">
        <v>876</v>
      </c>
      <c r="H132" t="s">
        <v>903</v>
      </c>
      <c r="I132" s="31"/>
      <c r="K132" s="9"/>
      <c r="L132" s="11"/>
      <c r="M132" s="10">
        <v>20347</v>
      </c>
      <c r="N132" s="3">
        <v>31940</v>
      </c>
      <c r="O132" s="62"/>
      <c r="P132" s="13" t="s">
        <v>1661</v>
      </c>
      <c r="Q132" s="20"/>
      <c r="R132" s="21" t="str">
        <f t="shared" ref="R132:R139" si="21">MID(P132,1,LEN(P132)-1)</f>
        <v>106</v>
      </c>
      <c r="S132" s="17"/>
      <c r="T132" s="23" t="s">
        <v>2814</v>
      </c>
      <c r="U132">
        <f t="shared" si="12"/>
        <v>7</v>
      </c>
      <c r="V132">
        <f t="shared" si="10"/>
        <v>4</v>
      </c>
      <c r="W132">
        <f t="shared" si="11"/>
        <v>5</v>
      </c>
      <c r="X132">
        <f t="shared" si="20"/>
        <v>0</v>
      </c>
      <c r="Y132" t="s">
        <v>2719</v>
      </c>
      <c r="Z132" s="71" t="s">
        <v>2720</v>
      </c>
      <c r="AG132" s="71" t="s">
        <v>2718</v>
      </c>
      <c r="AH132" s="71"/>
      <c r="AI132" s="71"/>
    </row>
    <row r="133" spans="1:49" ht="19">
      <c r="D133">
        <f t="shared" si="19"/>
        <v>106</v>
      </c>
      <c r="E133" s="2" t="s">
        <v>1660</v>
      </c>
      <c r="F133" s="71" t="s">
        <v>876</v>
      </c>
      <c r="I133" s="31"/>
      <c r="K133" s="9"/>
      <c r="L133" s="11"/>
      <c r="M133" s="10">
        <v>32408</v>
      </c>
      <c r="N133" s="3"/>
      <c r="O133" s="62"/>
      <c r="P133" s="13" t="s">
        <v>1662</v>
      </c>
      <c r="Q133" s="20"/>
      <c r="R133" s="21" t="str">
        <f t="shared" si="21"/>
        <v>106a</v>
      </c>
      <c r="S133" s="17"/>
      <c r="T133" s="23" t="s">
        <v>2814</v>
      </c>
      <c r="U133">
        <f t="shared" si="12"/>
        <v>8</v>
      </c>
      <c r="V133">
        <f t="shared" si="10"/>
        <v>5</v>
      </c>
      <c r="W133">
        <f t="shared" si="11"/>
        <v>5</v>
      </c>
      <c r="X133">
        <f t="shared" si="20"/>
        <v>0</v>
      </c>
      <c r="AG133" s="71" t="s">
        <v>2721</v>
      </c>
      <c r="AH133" s="71"/>
      <c r="AJ133" s="71"/>
    </row>
    <row r="134" spans="1:49" ht="19">
      <c r="B134" t="s">
        <v>1663</v>
      </c>
      <c r="D134">
        <f t="shared" si="19"/>
        <v>106</v>
      </c>
      <c r="E134" s="2" t="s">
        <v>1660</v>
      </c>
      <c r="F134" s="71" t="s">
        <v>904</v>
      </c>
      <c r="I134" s="31"/>
      <c r="K134" s="9"/>
      <c r="L134" s="11"/>
      <c r="M134" s="10">
        <v>32835</v>
      </c>
      <c r="N134" s="3"/>
      <c r="O134" s="62"/>
      <c r="P134" s="13" t="s">
        <v>1664</v>
      </c>
      <c r="Q134" s="20"/>
      <c r="R134" s="21" t="str">
        <f t="shared" si="21"/>
        <v>106a</v>
      </c>
      <c r="S134" s="17"/>
      <c r="T134" s="23" t="s">
        <v>2814</v>
      </c>
      <c r="U134">
        <f t="shared" si="12"/>
        <v>8</v>
      </c>
      <c r="V134">
        <f t="shared" ref="V134:V197" si="22">LEN(P134)</f>
        <v>5</v>
      </c>
      <c r="W134">
        <f t="shared" ref="W134:W197" si="23">VLOOKUP(D134,Generation,2,FALSE)</f>
        <v>5</v>
      </c>
      <c r="X134">
        <f t="shared" si="20"/>
        <v>0</v>
      </c>
      <c r="AG134" s="71" t="s">
        <v>2724</v>
      </c>
      <c r="AI134" s="71"/>
    </row>
    <row r="135" spans="1:49" ht="19">
      <c r="B135" t="s">
        <v>1666</v>
      </c>
      <c r="D135">
        <f t="shared" si="19"/>
        <v>106</v>
      </c>
      <c r="E135" s="2" t="s">
        <v>1660</v>
      </c>
      <c r="F135" s="71" t="s">
        <v>1665</v>
      </c>
      <c r="I135" s="31"/>
      <c r="K135" s="9"/>
      <c r="L135" s="11"/>
      <c r="M135" s="10">
        <v>33456</v>
      </c>
      <c r="N135" s="3"/>
      <c r="O135" s="62"/>
      <c r="P135" s="13" t="s">
        <v>1667</v>
      </c>
      <c r="Q135" s="20"/>
      <c r="R135" s="21" t="str">
        <f t="shared" si="21"/>
        <v>106a</v>
      </c>
      <c r="S135" s="17"/>
      <c r="T135" s="23" t="s">
        <v>2814</v>
      </c>
      <c r="U135">
        <f t="shared" ref="U135:U198" si="24">IF(D135&lt;10,W135+V135-1,IF(D135&gt;=10,W135+V135-2))</f>
        <v>8</v>
      </c>
      <c r="V135">
        <f t="shared" si="22"/>
        <v>5</v>
      </c>
      <c r="W135">
        <f t="shared" si="23"/>
        <v>5</v>
      </c>
      <c r="X135">
        <f t="shared" si="20"/>
        <v>0</v>
      </c>
      <c r="AG135" s="71" t="s">
        <v>2722</v>
      </c>
      <c r="AI135" s="71"/>
      <c r="AJ135" s="71"/>
    </row>
    <row r="136" spans="1:49" ht="19">
      <c r="D136">
        <f t="shared" si="19"/>
        <v>106</v>
      </c>
      <c r="E136" s="2" t="s">
        <v>1660</v>
      </c>
      <c r="F136" s="71" t="s">
        <v>1669</v>
      </c>
      <c r="I136" s="31"/>
      <c r="K136" s="9"/>
      <c r="L136" s="11"/>
      <c r="M136" s="10">
        <v>34052</v>
      </c>
      <c r="N136" s="3"/>
      <c r="O136" s="62"/>
      <c r="P136" s="13" t="s">
        <v>1668</v>
      </c>
      <c r="Q136" s="20"/>
      <c r="R136" s="21" t="str">
        <f t="shared" si="21"/>
        <v>106a</v>
      </c>
      <c r="S136" s="17"/>
      <c r="T136" s="23" t="s">
        <v>2814</v>
      </c>
      <c r="U136">
        <f t="shared" si="24"/>
        <v>8</v>
      </c>
      <c r="V136">
        <f t="shared" si="22"/>
        <v>5</v>
      </c>
      <c r="W136">
        <f t="shared" si="23"/>
        <v>5</v>
      </c>
      <c r="X136">
        <f t="shared" si="20"/>
        <v>0</v>
      </c>
      <c r="AG136" s="71" t="s">
        <v>2723</v>
      </c>
      <c r="AT136" s="2"/>
      <c r="AU136" s="2"/>
      <c r="AV136" s="2"/>
      <c r="AW136" s="2"/>
    </row>
    <row r="137" spans="1:49" ht="19">
      <c r="B137" t="s">
        <v>1674</v>
      </c>
      <c r="D137">
        <f t="shared" si="19"/>
        <v>106</v>
      </c>
      <c r="E137" s="2" t="s">
        <v>1658</v>
      </c>
      <c r="F137" s="71" t="s">
        <v>917</v>
      </c>
      <c r="G137" t="s">
        <v>1670</v>
      </c>
      <c r="H137" t="s">
        <v>885</v>
      </c>
      <c r="I137" s="31"/>
      <c r="K137" s="9"/>
      <c r="L137" s="11"/>
      <c r="M137" s="10">
        <v>21753</v>
      </c>
      <c r="N137" s="3"/>
      <c r="O137" s="62"/>
      <c r="P137" s="13" t="s">
        <v>1671</v>
      </c>
      <c r="Q137" s="20"/>
      <c r="R137" s="21" t="str">
        <f t="shared" si="21"/>
        <v>106</v>
      </c>
      <c r="S137" s="17"/>
      <c r="T137" s="23" t="s">
        <v>2815</v>
      </c>
      <c r="U137">
        <f t="shared" si="24"/>
        <v>7</v>
      </c>
      <c r="V137">
        <f t="shared" si="22"/>
        <v>4</v>
      </c>
      <c r="W137">
        <f t="shared" si="23"/>
        <v>5</v>
      </c>
      <c r="X137">
        <f t="shared" si="20"/>
        <v>0</v>
      </c>
      <c r="Y137" t="s">
        <v>2726</v>
      </c>
      <c r="Z137" s="71" t="s">
        <v>2727</v>
      </c>
      <c r="AG137" s="71" t="s">
        <v>2725</v>
      </c>
      <c r="AH137" s="71"/>
      <c r="AI137" s="71"/>
      <c r="AK137" s="71"/>
      <c r="AR137" s="2"/>
      <c r="AS137" s="2"/>
      <c r="AT137" s="2"/>
      <c r="AU137" s="2"/>
      <c r="AV137" s="2"/>
      <c r="AW137" s="2"/>
    </row>
    <row r="138" spans="1:49" ht="19">
      <c r="D138">
        <f t="shared" si="19"/>
        <v>106</v>
      </c>
      <c r="E138" s="2" t="s">
        <v>1658</v>
      </c>
      <c r="F138" s="71" t="s">
        <v>1672</v>
      </c>
      <c r="G138" t="s">
        <v>917</v>
      </c>
      <c r="H138" t="s">
        <v>1673</v>
      </c>
      <c r="I138" s="31"/>
      <c r="K138" s="9"/>
      <c r="L138" s="11"/>
      <c r="M138" s="10">
        <v>31517</v>
      </c>
      <c r="N138" s="3"/>
      <c r="O138" s="62"/>
      <c r="P138" s="13" t="s">
        <v>1675</v>
      </c>
      <c r="Q138" s="20"/>
      <c r="R138" s="21" t="str">
        <f t="shared" si="21"/>
        <v>106b</v>
      </c>
      <c r="S138" s="17"/>
      <c r="T138" s="23" t="s">
        <v>2815</v>
      </c>
      <c r="U138">
        <f t="shared" si="24"/>
        <v>8</v>
      </c>
      <c r="V138">
        <f t="shared" si="22"/>
        <v>5</v>
      </c>
      <c r="W138">
        <f t="shared" si="23"/>
        <v>5</v>
      </c>
      <c r="X138">
        <f t="shared" si="20"/>
        <v>0</v>
      </c>
      <c r="AG138" s="71" t="s">
        <v>2728</v>
      </c>
      <c r="AH138" s="71"/>
      <c r="AI138" s="71"/>
      <c r="AM138" s="2"/>
      <c r="AN138" s="2"/>
      <c r="AO138" s="2"/>
      <c r="AP138" s="2"/>
      <c r="AQ138" s="2"/>
      <c r="AR138" s="2"/>
      <c r="AS138" s="2"/>
      <c r="AT138" s="2"/>
      <c r="AU138" s="2"/>
      <c r="AV138" s="2"/>
      <c r="AW138" s="2"/>
    </row>
    <row r="139" spans="1:49" ht="19">
      <c r="D139">
        <f t="shared" si="19"/>
        <v>106</v>
      </c>
      <c r="E139" s="2" t="s">
        <v>1658</v>
      </c>
      <c r="F139" s="71" t="s">
        <v>1676</v>
      </c>
      <c r="G139" t="s">
        <v>1677</v>
      </c>
      <c r="H139" t="s">
        <v>927</v>
      </c>
      <c r="I139" s="31"/>
      <c r="K139" s="9"/>
      <c r="L139" s="11"/>
      <c r="M139" s="10">
        <v>34081</v>
      </c>
      <c r="N139" s="3"/>
      <c r="O139" s="62"/>
      <c r="P139" s="13" t="s">
        <v>1678</v>
      </c>
      <c r="Q139" s="20"/>
      <c r="R139" s="21" t="str">
        <f t="shared" si="21"/>
        <v>106b</v>
      </c>
      <c r="S139" s="17"/>
      <c r="T139" s="23" t="s">
        <v>2814</v>
      </c>
      <c r="U139">
        <f t="shared" si="24"/>
        <v>8</v>
      </c>
      <c r="V139">
        <f t="shared" si="22"/>
        <v>5</v>
      </c>
      <c r="W139">
        <f t="shared" si="23"/>
        <v>5</v>
      </c>
      <c r="X139">
        <f t="shared" si="20"/>
        <v>0</v>
      </c>
      <c r="AG139" s="71" t="s">
        <v>2729</v>
      </c>
      <c r="AH139" s="71"/>
      <c r="AI139" s="71"/>
      <c r="AJ139" s="2"/>
      <c r="AK139" s="2"/>
      <c r="AL139" s="2"/>
      <c r="AM139" s="2"/>
      <c r="AN139" s="2"/>
      <c r="AO139" s="2"/>
      <c r="AP139" s="2"/>
      <c r="AQ139" s="2"/>
      <c r="AR139" s="2"/>
      <c r="AS139" s="2"/>
      <c r="AT139" s="2"/>
      <c r="AU139" s="2"/>
      <c r="AV139" s="2"/>
      <c r="AW139" s="2"/>
    </row>
    <row r="140" spans="1:49" ht="19">
      <c r="A140">
        <f>IF(O140="?",2021-I140,J140-I140)</f>
        <v>20</v>
      </c>
      <c r="B140" t="s">
        <v>1679</v>
      </c>
      <c r="C140">
        <v>4387</v>
      </c>
      <c r="D140">
        <v>107</v>
      </c>
      <c r="E140" s="2" t="s">
        <v>782</v>
      </c>
      <c r="F140" t="s">
        <v>877</v>
      </c>
      <c r="G140" t="s">
        <v>819</v>
      </c>
      <c r="H140" t="s">
        <v>878</v>
      </c>
      <c r="I140" s="31">
        <f>YEAR(L140)</f>
        <v>1928</v>
      </c>
      <c r="J140">
        <f>IF(O140="?",O140,YEAR(O140))</f>
        <v>1948</v>
      </c>
      <c r="K140" s="9" t="str">
        <f>IF(B140="",_xlfn.CONCAT(F140," (",D140,"): ",I140),_xlfn.CONCAT(B140," (",D140,"): ",I140))</f>
        <v>Wooie (107): 1928</v>
      </c>
      <c r="L140" s="5">
        <v>10559</v>
      </c>
      <c r="M140" s="8">
        <v>10559</v>
      </c>
      <c r="N140" s="3">
        <v>17647</v>
      </c>
      <c r="O140" s="62">
        <f>VLOOKUP(D140,DateDeath,12,FALSE)</f>
        <v>17647</v>
      </c>
      <c r="P140" s="13">
        <f>D140</f>
        <v>107</v>
      </c>
      <c r="Q140" s="20" t="str">
        <f>_xlfn.CONCAT(K140," - ",J140)</f>
        <v>Wooie (107): 1928 - 1948</v>
      </c>
      <c r="R140" s="16">
        <f>VLOOKUP(P140,'Loyd List 1-190 - Edit'!$P$3:$R$184,3,FALSE)</f>
        <v>76</v>
      </c>
      <c r="S140" s="17" t="str">
        <f>VLOOKUP(R140,'Loyd List 1-190 - Edit'!$R$3:$S$184,2,FALSE)</f>
        <v>Edward (76): 1893–1932</v>
      </c>
      <c r="T140" s="23" t="s">
        <v>2814</v>
      </c>
      <c r="U140">
        <f t="shared" si="24"/>
        <v>6</v>
      </c>
      <c r="V140">
        <f t="shared" si="22"/>
        <v>3</v>
      </c>
      <c r="W140">
        <f t="shared" si="23"/>
        <v>5</v>
      </c>
      <c r="X140">
        <f t="shared" si="20"/>
        <v>0</v>
      </c>
      <c r="Y140" t="s">
        <v>1680</v>
      </c>
      <c r="Z140" t="s">
        <v>1683</v>
      </c>
      <c r="AA140" t="s">
        <v>847</v>
      </c>
      <c r="AB140" t="str">
        <f>MID(AG140,4,SEARCH(".",AG140)-SEARCH("Of ",AG140))</f>
        <v>4409 Benjamin Drive, Yakima, Washington, 98908, USA.</v>
      </c>
      <c r="AC140">
        <f>A140</f>
        <v>20</v>
      </c>
      <c r="AG140" s="71" t="s">
        <v>485</v>
      </c>
      <c r="AH140" s="2" t="s">
        <v>247</v>
      </c>
      <c r="AI140" s="2" t="s">
        <v>248</v>
      </c>
      <c r="AJ140" s="2" t="s">
        <v>249</v>
      </c>
      <c r="AK140" s="2" t="s">
        <v>250</v>
      </c>
      <c r="AL140" s="2" t="s">
        <v>251</v>
      </c>
      <c r="AM140" s="2" t="s">
        <v>13</v>
      </c>
      <c r="AN140" s="2" t="s">
        <v>252</v>
      </c>
      <c r="AO140" s="2" t="s">
        <v>253</v>
      </c>
      <c r="AP140" s="2" t="s">
        <v>254</v>
      </c>
    </row>
    <row r="141" spans="1:49" ht="19">
      <c r="D141">
        <f t="shared" si="19"/>
        <v>107</v>
      </c>
      <c r="E141" s="2" t="s">
        <v>1681</v>
      </c>
      <c r="F141" s="71" t="s">
        <v>1682</v>
      </c>
      <c r="G141" t="s">
        <v>870</v>
      </c>
      <c r="I141" s="31"/>
      <c r="K141" s="9"/>
      <c r="L141" s="5"/>
      <c r="M141" s="8">
        <v>18767</v>
      </c>
      <c r="N141" s="3">
        <v>27439</v>
      </c>
      <c r="O141" s="62"/>
      <c r="P141" s="13" t="s">
        <v>1684</v>
      </c>
      <c r="Q141" s="20"/>
      <c r="R141" s="21" t="str">
        <f t="shared" ref="R141:R200" si="25">MID(P141,1,LEN(P141)-1)</f>
        <v>107</v>
      </c>
      <c r="S141" s="17"/>
      <c r="T141" s="23" t="s">
        <v>2814</v>
      </c>
      <c r="U141">
        <f t="shared" si="24"/>
        <v>7</v>
      </c>
      <c r="V141">
        <f t="shared" si="22"/>
        <v>4</v>
      </c>
      <c r="W141">
        <f t="shared" si="23"/>
        <v>5</v>
      </c>
      <c r="X141">
        <f t="shared" si="20"/>
        <v>0</v>
      </c>
      <c r="Y141" t="s">
        <v>2739</v>
      </c>
      <c r="AG141" s="71" t="s">
        <v>2730</v>
      </c>
      <c r="AH141" s="71"/>
      <c r="AJ141" s="71" t="s">
        <v>491</v>
      </c>
      <c r="AL141" s="71"/>
      <c r="AM141" s="71"/>
    </row>
    <row r="142" spans="1:49" ht="19">
      <c r="D142">
        <f t="shared" si="19"/>
        <v>107</v>
      </c>
      <c r="E142" s="2" t="s">
        <v>1685</v>
      </c>
      <c r="F142" s="71" t="s">
        <v>811</v>
      </c>
      <c r="G142" t="s">
        <v>1687</v>
      </c>
      <c r="I142" s="31"/>
      <c r="K142" s="9"/>
      <c r="L142" s="5"/>
      <c r="M142" s="8">
        <v>28012</v>
      </c>
      <c r="N142" s="3"/>
      <c r="O142" s="62"/>
      <c r="P142" s="13" t="s">
        <v>1686</v>
      </c>
      <c r="Q142" s="20"/>
      <c r="R142" s="21" t="str">
        <f t="shared" si="25"/>
        <v>107a</v>
      </c>
      <c r="S142" s="17"/>
      <c r="T142" s="23" t="s">
        <v>2815</v>
      </c>
      <c r="U142">
        <f t="shared" si="24"/>
        <v>8</v>
      </c>
      <c r="V142">
        <f t="shared" si="22"/>
        <v>5</v>
      </c>
      <c r="W142">
        <f t="shared" si="23"/>
        <v>5</v>
      </c>
      <c r="X142">
        <f t="shared" si="20"/>
        <v>0</v>
      </c>
      <c r="AG142" s="71" t="s">
        <v>492</v>
      </c>
      <c r="AH142" s="2"/>
      <c r="AI142" s="2"/>
      <c r="AJ142" s="2"/>
      <c r="AK142" s="2"/>
      <c r="AL142" s="2"/>
      <c r="AM142" s="2"/>
      <c r="AN142" s="2"/>
      <c r="AO142" s="2"/>
      <c r="AP142" s="2"/>
    </row>
    <row r="143" spans="1:49" ht="19">
      <c r="D143">
        <f t="shared" si="19"/>
        <v>107</v>
      </c>
      <c r="E143" s="2" t="s">
        <v>1688</v>
      </c>
      <c r="F143" s="71" t="s">
        <v>1689</v>
      </c>
      <c r="G143" t="s">
        <v>1590</v>
      </c>
      <c r="I143" s="31"/>
      <c r="K143" s="9"/>
      <c r="L143" s="5"/>
      <c r="M143" s="8">
        <v>29743</v>
      </c>
      <c r="N143" s="3"/>
      <c r="O143" s="62"/>
      <c r="P143" s="13" t="s">
        <v>1690</v>
      </c>
      <c r="Q143" s="20"/>
      <c r="R143" s="21" t="str">
        <f t="shared" si="25"/>
        <v>107ab</v>
      </c>
      <c r="S143" s="17"/>
      <c r="T143" s="23" t="s">
        <v>2815</v>
      </c>
      <c r="U143">
        <f t="shared" si="24"/>
        <v>9</v>
      </c>
      <c r="V143">
        <f t="shared" si="22"/>
        <v>6</v>
      </c>
      <c r="W143">
        <f t="shared" si="23"/>
        <v>5</v>
      </c>
      <c r="X143">
        <f t="shared" si="20"/>
        <v>0</v>
      </c>
      <c r="AG143" s="71" t="s">
        <v>2731</v>
      </c>
      <c r="AH143" s="71"/>
      <c r="AI143" s="71"/>
      <c r="AJ143" s="71"/>
    </row>
    <row r="144" spans="1:49" ht="19">
      <c r="D144">
        <f t="shared" si="19"/>
        <v>107</v>
      </c>
      <c r="E144" s="2" t="s">
        <v>1688</v>
      </c>
      <c r="F144" s="71" t="s">
        <v>891</v>
      </c>
      <c r="G144" t="s">
        <v>830</v>
      </c>
      <c r="I144" s="31"/>
      <c r="K144" s="9"/>
      <c r="L144" s="5"/>
      <c r="M144" s="8">
        <v>29743</v>
      </c>
      <c r="N144" s="3"/>
      <c r="O144" s="62"/>
      <c r="P144" s="13" t="s">
        <v>1691</v>
      </c>
      <c r="Q144" s="20"/>
      <c r="R144" s="21" t="str">
        <f t="shared" si="25"/>
        <v>107ab</v>
      </c>
      <c r="S144" s="17"/>
      <c r="T144" s="23" t="s">
        <v>2815</v>
      </c>
      <c r="U144">
        <f t="shared" si="24"/>
        <v>9</v>
      </c>
      <c r="V144">
        <f t="shared" si="22"/>
        <v>6</v>
      </c>
      <c r="W144">
        <f t="shared" si="23"/>
        <v>5</v>
      </c>
      <c r="X144">
        <f t="shared" si="20"/>
        <v>0</v>
      </c>
      <c r="AG144" s="71" t="s">
        <v>2732</v>
      </c>
      <c r="AH144" s="2"/>
      <c r="AI144" s="2"/>
      <c r="AJ144" s="2"/>
      <c r="AK144" s="2"/>
      <c r="AL144" s="2"/>
      <c r="AM144" s="2"/>
      <c r="AN144" s="2"/>
      <c r="AO144" s="2"/>
      <c r="AP144" s="2"/>
    </row>
    <row r="145" spans="1:69" ht="19">
      <c r="D145">
        <f t="shared" si="19"/>
        <v>107</v>
      </c>
      <c r="E145" s="2" t="s">
        <v>1688</v>
      </c>
      <c r="F145" s="71" t="s">
        <v>1692</v>
      </c>
      <c r="G145" t="s">
        <v>1693</v>
      </c>
      <c r="I145" s="31"/>
      <c r="K145" s="9"/>
      <c r="L145" s="5"/>
      <c r="M145" s="8">
        <v>30528</v>
      </c>
      <c r="N145" s="3"/>
      <c r="O145" s="62"/>
      <c r="P145" s="13" t="s">
        <v>1694</v>
      </c>
      <c r="Q145" s="20"/>
      <c r="R145" s="21" t="str">
        <f t="shared" si="25"/>
        <v>107a</v>
      </c>
      <c r="S145" s="17"/>
      <c r="T145" s="23" t="s">
        <v>2815</v>
      </c>
      <c r="U145">
        <f t="shared" si="24"/>
        <v>8</v>
      </c>
      <c r="V145">
        <f t="shared" si="22"/>
        <v>5</v>
      </c>
      <c r="W145">
        <f t="shared" si="23"/>
        <v>5</v>
      </c>
      <c r="X145">
        <f t="shared" si="20"/>
        <v>0</v>
      </c>
      <c r="AG145" s="71"/>
      <c r="AH145" s="71"/>
      <c r="AI145" s="71"/>
      <c r="AJ145" s="71"/>
    </row>
    <row r="146" spans="1:69" ht="19">
      <c r="D146">
        <f t="shared" si="19"/>
        <v>107</v>
      </c>
      <c r="E146" s="2" t="s">
        <v>1695</v>
      </c>
      <c r="F146" s="71" t="s">
        <v>1696</v>
      </c>
      <c r="G146" t="s">
        <v>1010</v>
      </c>
      <c r="I146" s="31"/>
      <c r="K146" s="9"/>
      <c r="L146" s="5"/>
      <c r="M146" s="8">
        <v>20168</v>
      </c>
      <c r="N146" s="3">
        <v>26625</v>
      </c>
      <c r="O146" s="62"/>
      <c r="P146" s="13" t="s">
        <v>1697</v>
      </c>
      <c r="Q146" s="20"/>
      <c r="R146" s="21" t="str">
        <f t="shared" si="25"/>
        <v>107</v>
      </c>
      <c r="S146" s="17"/>
      <c r="T146" s="23" t="s">
        <v>2814</v>
      </c>
      <c r="U146">
        <f t="shared" si="24"/>
        <v>7</v>
      </c>
      <c r="V146">
        <f t="shared" si="22"/>
        <v>4</v>
      </c>
      <c r="W146">
        <f t="shared" si="23"/>
        <v>5</v>
      </c>
      <c r="X146">
        <f t="shared" si="20"/>
        <v>0</v>
      </c>
      <c r="Y146" t="s">
        <v>2738</v>
      </c>
      <c r="Z146" t="s">
        <v>2734</v>
      </c>
      <c r="AG146" s="71" t="s">
        <v>2733</v>
      </c>
      <c r="AH146" s="71"/>
      <c r="AI146" s="71"/>
    </row>
    <row r="147" spans="1:69" ht="19">
      <c r="D147">
        <f t="shared" si="19"/>
        <v>107</v>
      </c>
      <c r="E147" s="2" t="s">
        <v>1698</v>
      </c>
      <c r="F147" s="71" t="s">
        <v>866</v>
      </c>
      <c r="G147" t="s">
        <v>1687</v>
      </c>
      <c r="I147" s="31"/>
      <c r="K147" s="9"/>
      <c r="L147" s="5"/>
      <c r="M147" s="8">
        <v>26951</v>
      </c>
      <c r="N147" s="3"/>
      <c r="O147" s="62"/>
      <c r="P147" s="13" t="s">
        <v>1699</v>
      </c>
      <c r="Q147" s="20"/>
      <c r="R147" s="21" t="str">
        <f t="shared" si="25"/>
        <v>107b</v>
      </c>
      <c r="S147" s="17"/>
      <c r="T147" s="23" t="s">
        <v>2815</v>
      </c>
      <c r="U147">
        <f t="shared" si="24"/>
        <v>8</v>
      </c>
      <c r="V147">
        <f t="shared" si="22"/>
        <v>5</v>
      </c>
      <c r="W147">
        <f t="shared" si="23"/>
        <v>5</v>
      </c>
      <c r="X147">
        <f t="shared" si="20"/>
        <v>0</v>
      </c>
      <c r="AG147" s="71" t="s">
        <v>2736</v>
      </c>
      <c r="AI147" s="71"/>
    </row>
    <row r="148" spans="1:69" ht="19">
      <c r="D148">
        <f t="shared" si="19"/>
        <v>107</v>
      </c>
      <c r="E148" s="2" t="s">
        <v>1698</v>
      </c>
      <c r="F148" s="71" t="s">
        <v>913</v>
      </c>
      <c r="G148" t="s">
        <v>830</v>
      </c>
      <c r="I148" s="31"/>
      <c r="K148" s="9"/>
      <c r="L148" s="5"/>
      <c r="M148" s="8">
        <v>28029</v>
      </c>
      <c r="N148" s="3"/>
      <c r="O148" s="62"/>
      <c r="P148" s="13" t="s">
        <v>1700</v>
      </c>
      <c r="Q148" s="20"/>
      <c r="R148" s="21" t="str">
        <f t="shared" si="25"/>
        <v>107b</v>
      </c>
      <c r="S148" s="17"/>
      <c r="T148" s="23" t="s">
        <v>2815</v>
      </c>
      <c r="U148">
        <f t="shared" si="24"/>
        <v>8</v>
      </c>
      <c r="V148">
        <f t="shared" si="22"/>
        <v>5</v>
      </c>
      <c r="W148">
        <f t="shared" si="23"/>
        <v>5</v>
      </c>
      <c r="X148">
        <f t="shared" si="20"/>
        <v>0</v>
      </c>
      <c r="AG148" s="71" t="s">
        <v>2735</v>
      </c>
      <c r="AI148" s="71"/>
    </row>
    <row r="149" spans="1:69" ht="19">
      <c r="D149">
        <f t="shared" si="19"/>
        <v>107</v>
      </c>
      <c r="E149" s="2" t="s">
        <v>1698</v>
      </c>
      <c r="F149" s="71" t="s">
        <v>916</v>
      </c>
      <c r="G149" t="s">
        <v>918</v>
      </c>
      <c r="I149" s="31"/>
      <c r="K149" s="9"/>
      <c r="L149" s="5"/>
      <c r="M149" s="8">
        <v>28963</v>
      </c>
      <c r="N149" s="3"/>
      <c r="O149" s="62"/>
      <c r="P149" s="13" t="s">
        <v>1701</v>
      </c>
      <c r="Q149" s="20"/>
      <c r="R149" s="21" t="str">
        <f t="shared" si="25"/>
        <v>107b</v>
      </c>
      <c r="S149" s="17"/>
      <c r="T149" s="23" t="s">
        <v>2815</v>
      </c>
      <c r="U149">
        <f t="shared" si="24"/>
        <v>8</v>
      </c>
      <c r="V149">
        <f t="shared" si="22"/>
        <v>5</v>
      </c>
      <c r="W149">
        <f t="shared" si="23"/>
        <v>5</v>
      </c>
      <c r="X149">
        <f t="shared" si="20"/>
        <v>0</v>
      </c>
      <c r="AG149" s="71" t="s">
        <v>2737</v>
      </c>
      <c r="AI149" s="71"/>
      <c r="AJ149" s="71"/>
      <c r="AK149" s="71"/>
    </row>
    <row r="150" spans="1:69" ht="19">
      <c r="D150">
        <f t="shared" si="19"/>
        <v>107</v>
      </c>
      <c r="E150" s="2" t="s">
        <v>1695</v>
      </c>
      <c r="F150" s="71" t="s">
        <v>891</v>
      </c>
      <c r="G150" t="s">
        <v>819</v>
      </c>
      <c r="H150" t="s">
        <v>1497</v>
      </c>
      <c r="I150" s="31"/>
      <c r="K150" s="9"/>
      <c r="L150" s="5"/>
      <c r="M150" s="8">
        <v>20501</v>
      </c>
      <c r="N150" s="3">
        <v>28277</v>
      </c>
      <c r="O150" s="62"/>
      <c r="P150" s="13" t="s">
        <v>1702</v>
      </c>
      <c r="Q150" s="20"/>
      <c r="R150" s="21" t="str">
        <f t="shared" si="25"/>
        <v>107</v>
      </c>
      <c r="S150" s="17"/>
      <c r="T150" s="23" t="s">
        <v>2814</v>
      </c>
      <c r="U150">
        <f t="shared" si="24"/>
        <v>7</v>
      </c>
      <c r="V150">
        <f t="shared" si="22"/>
        <v>4</v>
      </c>
      <c r="W150">
        <f t="shared" si="23"/>
        <v>5</v>
      </c>
      <c r="X150">
        <f t="shared" si="20"/>
        <v>0</v>
      </c>
      <c r="Y150" s="71" t="s">
        <v>2741</v>
      </c>
      <c r="Z150" t="s">
        <v>1706</v>
      </c>
      <c r="AG150" s="71" t="s">
        <v>2740</v>
      </c>
      <c r="AJ150" s="71"/>
      <c r="AK150" s="71"/>
      <c r="AL150" s="71"/>
    </row>
    <row r="151" spans="1:69" ht="19">
      <c r="D151">
        <f t="shared" si="19"/>
        <v>107</v>
      </c>
      <c r="E151" s="2" t="s">
        <v>1695</v>
      </c>
      <c r="F151" s="71" t="s">
        <v>1703</v>
      </c>
      <c r="G151" t="s">
        <v>1704</v>
      </c>
      <c r="I151" s="31"/>
      <c r="K151" s="9"/>
      <c r="L151" s="5"/>
      <c r="M151" s="8">
        <v>28695</v>
      </c>
      <c r="N151" s="3"/>
      <c r="O151" s="62"/>
      <c r="P151" s="13" t="s">
        <v>1705</v>
      </c>
      <c r="Q151" s="20"/>
      <c r="R151" s="21" t="str">
        <f t="shared" si="25"/>
        <v>107c</v>
      </c>
      <c r="S151" s="17"/>
      <c r="T151" s="23" t="s">
        <v>2814</v>
      </c>
      <c r="U151">
        <f t="shared" si="24"/>
        <v>8</v>
      </c>
      <c r="V151">
        <f t="shared" si="22"/>
        <v>5</v>
      </c>
      <c r="W151">
        <f t="shared" si="23"/>
        <v>5</v>
      </c>
      <c r="X151">
        <f t="shared" si="20"/>
        <v>0</v>
      </c>
      <c r="AG151" s="71"/>
      <c r="AH151" s="2"/>
      <c r="AI151" s="2"/>
      <c r="AJ151" s="2"/>
      <c r="AK151" s="2"/>
      <c r="AL151" s="2"/>
      <c r="AM151" s="2"/>
      <c r="AN151" s="2"/>
      <c r="AO151" s="2"/>
      <c r="AP151" s="2"/>
    </row>
    <row r="152" spans="1:69" ht="19">
      <c r="D152">
        <f t="shared" si="19"/>
        <v>107</v>
      </c>
      <c r="E152" s="2" t="s">
        <v>1695</v>
      </c>
      <c r="F152" s="71" t="s">
        <v>861</v>
      </c>
      <c r="G152" t="s">
        <v>1707</v>
      </c>
      <c r="I152" s="31"/>
      <c r="K152" s="9"/>
      <c r="L152" s="5"/>
      <c r="M152" s="8">
        <v>29414</v>
      </c>
      <c r="N152" s="3"/>
      <c r="O152" s="62"/>
      <c r="P152" s="13" t="s">
        <v>1709</v>
      </c>
      <c r="Q152" s="20"/>
      <c r="R152" s="21" t="str">
        <f t="shared" si="25"/>
        <v>107c</v>
      </c>
      <c r="S152" s="17"/>
      <c r="T152" s="23" t="s">
        <v>2815</v>
      </c>
      <c r="U152">
        <f t="shared" si="24"/>
        <v>8</v>
      </c>
      <c r="V152">
        <f t="shared" si="22"/>
        <v>5</v>
      </c>
      <c r="W152">
        <f t="shared" si="23"/>
        <v>5</v>
      </c>
      <c r="X152">
        <f t="shared" si="20"/>
        <v>0</v>
      </c>
      <c r="AG152" s="71"/>
      <c r="AH152" s="71"/>
      <c r="AI152" s="71"/>
      <c r="AJ152" s="71"/>
      <c r="AK152" s="71"/>
      <c r="AL152" s="71"/>
      <c r="AM152" s="71"/>
      <c r="AN152" s="71"/>
      <c r="AO152" s="71"/>
      <c r="AQ152" s="71"/>
      <c r="AR152" s="71"/>
      <c r="AS152" s="71"/>
      <c r="AT152" s="71"/>
      <c r="AU152" s="71"/>
    </row>
    <row r="153" spans="1:69" ht="19">
      <c r="D153">
        <f t="shared" si="19"/>
        <v>107</v>
      </c>
      <c r="E153" s="2" t="s">
        <v>1695</v>
      </c>
      <c r="F153" s="71" t="s">
        <v>891</v>
      </c>
      <c r="G153" t="s">
        <v>1708</v>
      </c>
      <c r="H153" t="s">
        <v>819</v>
      </c>
      <c r="I153" s="31"/>
      <c r="K153" s="9"/>
      <c r="L153" s="5"/>
      <c r="M153" s="8">
        <v>30784</v>
      </c>
      <c r="N153" s="3"/>
      <c r="O153" s="62"/>
      <c r="P153" s="13" t="s">
        <v>1710</v>
      </c>
      <c r="Q153" s="20"/>
      <c r="R153" s="21" t="str">
        <f t="shared" si="25"/>
        <v>107c</v>
      </c>
      <c r="S153" s="17"/>
      <c r="T153" s="23" t="s">
        <v>2814</v>
      </c>
      <c r="U153">
        <f t="shared" si="24"/>
        <v>8</v>
      </c>
      <c r="V153">
        <f t="shared" si="22"/>
        <v>5</v>
      </c>
      <c r="W153">
        <f t="shared" si="23"/>
        <v>5</v>
      </c>
      <c r="X153">
        <f t="shared" si="20"/>
        <v>0</v>
      </c>
      <c r="AG153" s="71"/>
      <c r="AH153" s="2"/>
      <c r="AI153" s="2"/>
      <c r="AJ153" s="2"/>
      <c r="AK153" s="2"/>
      <c r="AL153" s="2"/>
      <c r="AM153" s="2"/>
      <c r="AN153" s="2"/>
      <c r="AO153" s="2"/>
      <c r="AP153" s="2"/>
    </row>
    <row r="154" spans="1:69" ht="19">
      <c r="B154" t="s">
        <v>1179</v>
      </c>
      <c r="D154">
        <f t="shared" si="19"/>
        <v>107</v>
      </c>
      <c r="E154" s="2" t="s">
        <v>1695</v>
      </c>
      <c r="F154" s="71" t="s">
        <v>811</v>
      </c>
      <c r="G154" t="s">
        <v>830</v>
      </c>
      <c r="I154" s="31"/>
      <c r="K154" s="9"/>
      <c r="L154" s="5"/>
      <c r="M154" s="8">
        <v>21795</v>
      </c>
      <c r="N154" s="3">
        <v>22514</v>
      </c>
      <c r="O154" s="62"/>
      <c r="P154" s="13" t="s">
        <v>1711</v>
      </c>
      <c r="Q154" s="20"/>
      <c r="R154" s="21" t="str">
        <f t="shared" si="25"/>
        <v>107</v>
      </c>
      <c r="S154" s="17"/>
      <c r="T154" s="23" t="s">
        <v>2815</v>
      </c>
      <c r="U154">
        <f t="shared" si="24"/>
        <v>7</v>
      </c>
      <c r="V154">
        <f t="shared" si="22"/>
        <v>4</v>
      </c>
      <c r="W154">
        <f t="shared" si="23"/>
        <v>5</v>
      </c>
      <c r="X154">
        <f t="shared" si="20"/>
        <v>0</v>
      </c>
      <c r="Y154" s="71" t="s">
        <v>2743</v>
      </c>
      <c r="Z154" t="s">
        <v>2744</v>
      </c>
      <c r="AG154" s="71" t="s">
        <v>2742</v>
      </c>
      <c r="AH154" s="2"/>
      <c r="AI154" s="2"/>
      <c r="AJ154" s="2"/>
      <c r="AK154" s="2"/>
      <c r="AL154" s="2"/>
      <c r="AM154" s="2"/>
      <c r="AN154" s="2"/>
      <c r="AO154" s="2"/>
      <c r="AP154" s="2"/>
    </row>
    <row r="155" spans="1:69" ht="19">
      <c r="D155">
        <f t="shared" si="19"/>
        <v>107</v>
      </c>
      <c r="E155" s="2" t="s">
        <v>1695</v>
      </c>
      <c r="F155" s="71" t="s">
        <v>1712</v>
      </c>
      <c r="G155" t="s">
        <v>1713</v>
      </c>
      <c r="I155" s="31"/>
      <c r="K155" s="9"/>
      <c r="L155" s="5"/>
      <c r="M155" s="8">
        <v>28927</v>
      </c>
      <c r="O155" s="62"/>
      <c r="P155" s="13" t="s">
        <v>1714</v>
      </c>
      <c r="Q155" s="20"/>
      <c r="R155" s="21" t="str">
        <f t="shared" si="25"/>
        <v>107d</v>
      </c>
      <c r="S155" s="17"/>
      <c r="T155" s="23" t="s">
        <v>2815</v>
      </c>
      <c r="U155">
        <f t="shared" si="24"/>
        <v>8</v>
      </c>
      <c r="V155">
        <f t="shared" si="22"/>
        <v>5</v>
      </c>
      <c r="W155">
        <f t="shared" si="23"/>
        <v>5</v>
      </c>
      <c r="X155">
        <f t="shared" si="20"/>
        <v>0</v>
      </c>
      <c r="AG155" s="71"/>
      <c r="AH155" s="2"/>
      <c r="AI155" s="2"/>
      <c r="AJ155" s="2"/>
      <c r="AK155" s="2"/>
      <c r="AL155" s="2"/>
      <c r="AM155" s="2"/>
      <c r="AN155" s="2"/>
      <c r="AO155" s="2"/>
      <c r="AP155" s="2"/>
    </row>
    <row r="156" spans="1:69" ht="19">
      <c r="D156">
        <f t="shared" si="19"/>
        <v>107</v>
      </c>
      <c r="E156" s="2" t="s">
        <v>1695</v>
      </c>
      <c r="F156" s="71" t="s">
        <v>919</v>
      </c>
      <c r="G156" t="s">
        <v>918</v>
      </c>
      <c r="I156" s="31"/>
      <c r="K156" s="9"/>
      <c r="L156" s="5"/>
      <c r="M156" s="8">
        <v>29367</v>
      </c>
      <c r="N156" s="3"/>
      <c r="O156" s="62"/>
      <c r="P156" s="13" t="s">
        <v>1715</v>
      </c>
      <c r="Q156" s="20"/>
      <c r="R156" s="21" t="str">
        <f t="shared" si="25"/>
        <v>107d</v>
      </c>
      <c r="S156" s="17"/>
      <c r="T156" s="23" t="s">
        <v>2814</v>
      </c>
      <c r="U156">
        <f t="shared" si="24"/>
        <v>8</v>
      </c>
      <c r="V156">
        <f t="shared" si="22"/>
        <v>5</v>
      </c>
      <c r="W156">
        <f t="shared" si="23"/>
        <v>5</v>
      </c>
      <c r="X156">
        <f t="shared" si="20"/>
        <v>0</v>
      </c>
      <c r="AG156" s="71" t="s">
        <v>2745</v>
      </c>
      <c r="AH156" s="2"/>
      <c r="AI156" s="2"/>
      <c r="AJ156" s="2"/>
      <c r="AK156" s="2"/>
      <c r="AL156" s="2"/>
      <c r="AM156" s="2"/>
      <c r="AN156" s="2"/>
      <c r="AO156" s="2"/>
      <c r="AP156" s="2"/>
    </row>
    <row r="157" spans="1:69" ht="19">
      <c r="D157">
        <f>D156</f>
        <v>107</v>
      </c>
      <c r="E157" s="2" t="s">
        <v>1695</v>
      </c>
      <c r="F157" s="71" t="s">
        <v>1647</v>
      </c>
      <c r="G157" t="s">
        <v>1716</v>
      </c>
      <c r="I157" s="31"/>
      <c r="K157" s="9"/>
      <c r="L157" s="5"/>
      <c r="M157" s="8">
        <v>25931</v>
      </c>
      <c r="N157" s="3"/>
      <c r="O157" s="62"/>
      <c r="P157" s="13" t="s">
        <v>1718</v>
      </c>
      <c r="Q157" s="20"/>
      <c r="R157" s="21" t="str">
        <f t="shared" si="25"/>
        <v>107</v>
      </c>
      <c r="S157" s="17"/>
      <c r="T157" s="23" t="s">
        <v>2815</v>
      </c>
      <c r="U157">
        <f t="shared" si="24"/>
        <v>7</v>
      </c>
      <c r="V157">
        <f t="shared" si="22"/>
        <v>4</v>
      </c>
      <c r="W157">
        <f t="shared" si="23"/>
        <v>5</v>
      </c>
      <c r="X157">
        <f t="shared" si="20"/>
        <v>0</v>
      </c>
      <c r="Y157" t="s">
        <v>1717</v>
      </c>
      <c r="Z157" t="s">
        <v>2747</v>
      </c>
      <c r="AG157" s="71" t="s">
        <v>2746</v>
      </c>
      <c r="AI157" s="71"/>
      <c r="AJ157" s="71"/>
      <c r="AK157" s="71"/>
      <c r="AL157" s="71" t="s">
        <v>540</v>
      </c>
      <c r="AM157" s="71" t="s">
        <v>541</v>
      </c>
      <c r="AN157" s="71" t="s">
        <v>542</v>
      </c>
      <c r="AO157" s="71" t="s">
        <v>543</v>
      </c>
      <c r="AP157" s="71" t="s">
        <v>544</v>
      </c>
    </row>
    <row r="158" spans="1:69" ht="19">
      <c r="A158">
        <f>IF(O158="?",2021-I158,J158-I158)</f>
        <v>20</v>
      </c>
      <c r="C158">
        <v>4515</v>
      </c>
      <c r="D158">
        <v>108</v>
      </c>
      <c r="E158" s="2" t="s">
        <v>782</v>
      </c>
      <c r="F158" t="s">
        <v>879</v>
      </c>
      <c r="G158" t="s">
        <v>880</v>
      </c>
      <c r="H158" t="s">
        <v>881</v>
      </c>
      <c r="I158" s="31">
        <f>YEAR(L158)</f>
        <v>1931</v>
      </c>
      <c r="J158">
        <f>IF(O158="?",O158,YEAR(O158))</f>
        <v>1951</v>
      </c>
      <c r="K158" s="9" t="str">
        <f>IF(B158="",_xlfn.CONCAT(F158," (",D158,"): ",I158),_xlfn.CONCAT(B158," (",D158,"): ",I158))</f>
        <v>Joscelyn (108): 1931</v>
      </c>
      <c r="L158" s="5">
        <v>11658</v>
      </c>
      <c r="M158" s="8">
        <v>11658</v>
      </c>
      <c r="N158" s="3">
        <v>18653</v>
      </c>
      <c r="O158" s="62">
        <f>VLOOKUP(D158,DateDeath,12,FALSE)</f>
        <v>18653</v>
      </c>
      <c r="P158" s="13">
        <f>D158</f>
        <v>108</v>
      </c>
      <c r="Q158" s="20" t="str">
        <f>_xlfn.CONCAT(K158," - ",J158)</f>
        <v>Joscelyn (108): 1931 - 1951</v>
      </c>
      <c r="R158" s="16">
        <f>VLOOKUP(P158,'Loyd List 1-190 - Edit'!$P$3:$R$184,3,FALSE)</f>
        <v>55</v>
      </c>
      <c r="S158" s="17" t="str">
        <f>VLOOKUP(R158,'Loyd List 1-190 - Edit'!$R$3:$S$184,2,FALSE)</f>
        <v>Dick (55): 1882–1950</v>
      </c>
      <c r="T158" s="23" t="s">
        <v>2814</v>
      </c>
      <c r="U158">
        <f t="shared" si="24"/>
        <v>6</v>
      </c>
      <c r="V158">
        <f t="shared" si="22"/>
        <v>3</v>
      </c>
      <c r="W158">
        <f t="shared" si="23"/>
        <v>5</v>
      </c>
      <c r="X158">
        <f t="shared" si="20"/>
        <v>0</v>
      </c>
      <c r="Y158" t="s">
        <v>1719</v>
      </c>
      <c r="Z158" t="e">
        <f>U158-Y158</f>
        <v>#VALUE!</v>
      </c>
      <c r="AA158" t="s">
        <v>847</v>
      </c>
      <c r="AC158">
        <f>A158</f>
        <v>20</v>
      </c>
      <c r="AG158" s="71" t="s">
        <v>545</v>
      </c>
      <c r="AH158" s="2" t="s">
        <v>256</v>
      </c>
      <c r="AI158" s="2" t="s">
        <v>257</v>
      </c>
      <c r="AJ158" s="2" t="s">
        <v>258</v>
      </c>
      <c r="AK158" s="2" t="s">
        <v>259</v>
      </c>
      <c r="AL158" s="2" t="s">
        <v>260</v>
      </c>
      <c r="AM158" s="2" t="s">
        <v>261</v>
      </c>
      <c r="AN158" s="2" t="s">
        <v>262</v>
      </c>
      <c r="AO158" s="2" t="s">
        <v>263</v>
      </c>
      <c r="AP158" s="2" t="s">
        <v>264</v>
      </c>
      <c r="AQ158" s="2" t="s">
        <v>265</v>
      </c>
      <c r="AR158" s="2" t="s">
        <v>266</v>
      </c>
      <c r="AS158" s="2" t="s">
        <v>267</v>
      </c>
      <c r="AT158" s="2" t="s">
        <v>268</v>
      </c>
      <c r="AU158" s="2" t="s">
        <v>269</v>
      </c>
      <c r="AV158" s="2" t="s">
        <v>270</v>
      </c>
      <c r="AW158" s="2" t="s">
        <v>271</v>
      </c>
      <c r="AX158" s="2" t="s">
        <v>272</v>
      </c>
      <c r="AY158" s="2" t="s">
        <v>273</v>
      </c>
      <c r="AZ158" s="2" t="s">
        <v>274</v>
      </c>
      <c r="BA158" s="2" t="s">
        <v>275</v>
      </c>
      <c r="BB158" s="2" t="s">
        <v>276</v>
      </c>
      <c r="BC158" s="2" t="s">
        <v>277</v>
      </c>
      <c r="BD158" s="2" t="s">
        <v>278</v>
      </c>
      <c r="BE158" s="2" t="s">
        <v>279</v>
      </c>
      <c r="BF158" s="2" t="s">
        <v>280</v>
      </c>
      <c r="BG158" s="2" t="s">
        <v>281</v>
      </c>
      <c r="BH158" s="2" t="s">
        <v>282</v>
      </c>
      <c r="BI158" s="2" t="s">
        <v>283</v>
      </c>
      <c r="BJ158" s="2" t="s">
        <v>284</v>
      </c>
      <c r="BK158" s="2" t="s">
        <v>285</v>
      </c>
      <c r="BL158" s="2" t="s">
        <v>286</v>
      </c>
      <c r="BM158" s="2" t="s">
        <v>287</v>
      </c>
      <c r="BN158" s="2" t="s">
        <v>288</v>
      </c>
      <c r="BO158" s="2" t="s">
        <v>289</v>
      </c>
      <c r="BP158" s="2" t="s">
        <v>290</v>
      </c>
      <c r="BQ158" s="2" t="s">
        <v>291</v>
      </c>
    </row>
    <row r="159" spans="1:69" ht="19">
      <c r="D159">
        <f>D158</f>
        <v>108</v>
      </c>
      <c r="E159" s="71" t="s">
        <v>1720</v>
      </c>
      <c r="F159" t="s">
        <v>1036</v>
      </c>
      <c r="G159" t="s">
        <v>870</v>
      </c>
      <c r="I159" s="31"/>
      <c r="K159" s="9"/>
      <c r="L159" s="5"/>
      <c r="M159" s="8">
        <v>19687</v>
      </c>
      <c r="N159" s="3">
        <v>29860</v>
      </c>
      <c r="O159" s="62"/>
      <c r="P159" s="13" t="s">
        <v>1721</v>
      </c>
      <c r="Q159" s="20"/>
      <c r="R159" s="21" t="str">
        <f t="shared" si="25"/>
        <v>108</v>
      </c>
      <c r="S159" s="17"/>
      <c r="T159" s="23" t="s">
        <v>2814</v>
      </c>
      <c r="U159">
        <f t="shared" si="24"/>
        <v>7</v>
      </c>
      <c r="V159">
        <f t="shared" si="22"/>
        <v>4</v>
      </c>
      <c r="W159">
        <f t="shared" si="23"/>
        <v>5</v>
      </c>
      <c r="X159">
        <f t="shared" si="20"/>
        <v>0</v>
      </c>
      <c r="Y159" t="s">
        <v>2749</v>
      </c>
      <c r="Z159" t="s">
        <v>2750</v>
      </c>
      <c r="AG159" s="71"/>
      <c r="AH159" s="71"/>
      <c r="AI159" s="71"/>
      <c r="AJ159" s="71"/>
      <c r="AK159" s="71"/>
      <c r="AL159" s="71"/>
      <c r="AM159" s="71"/>
      <c r="AN159" s="71"/>
      <c r="BH159" s="2"/>
      <c r="BI159" s="2"/>
      <c r="BJ159" s="2"/>
      <c r="BK159" s="2"/>
      <c r="BL159" s="2"/>
      <c r="BM159" s="2"/>
      <c r="BN159" s="2"/>
      <c r="BO159" s="2"/>
      <c r="BP159" s="2"/>
      <c r="BQ159" s="2"/>
    </row>
    <row r="160" spans="1:69" ht="19">
      <c r="D160">
        <f t="shared" ref="D160:D178" si="26">D159</f>
        <v>108</v>
      </c>
      <c r="E160" s="2" t="s">
        <v>1722</v>
      </c>
      <c r="F160" s="71" t="s">
        <v>1725</v>
      </c>
      <c r="G160" t="s">
        <v>842</v>
      </c>
      <c r="I160" s="31"/>
      <c r="K160" s="9"/>
      <c r="L160" s="5"/>
      <c r="M160" s="8">
        <v>28025</v>
      </c>
      <c r="N160" s="3"/>
      <c r="O160" s="62"/>
      <c r="P160" s="13" t="s">
        <v>1723</v>
      </c>
      <c r="Q160" s="20"/>
      <c r="R160" s="21" t="str">
        <f t="shared" si="25"/>
        <v>108a</v>
      </c>
      <c r="S160" s="17"/>
      <c r="T160" s="23" t="s">
        <v>2815</v>
      </c>
      <c r="U160">
        <f t="shared" si="24"/>
        <v>8</v>
      </c>
      <c r="V160">
        <f t="shared" si="22"/>
        <v>5</v>
      </c>
      <c r="W160">
        <f t="shared" si="23"/>
        <v>5</v>
      </c>
      <c r="X160">
        <f t="shared" si="20"/>
        <v>0</v>
      </c>
      <c r="AG160" s="71"/>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row>
    <row r="161" spans="1:69" ht="19">
      <c r="D161">
        <f t="shared" si="26"/>
        <v>108</v>
      </c>
      <c r="E161" s="2" t="s">
        <v>1722</v>
      </c>
      <c r="F161" s="71" t="s">
        <v>932</v>
      </c>
      <c r="G161" t="s">
        <v>865</v>
      </c>
      <c r="I161" s="31"/>
      <c r="K161" s="9"/>
      <c r="L161" s="5"/>
      <c r="M161" s="8">
        <v>30099</v>
      </c>
      <c r="N161" s="3"/>
      <c r="O161" s="62"/>
      <c r="P161" s="13" t="s">
        <v>1724</v>
      </c>
      <c r="Q161" s="20"/>
      <c r="R161" s="21" t="str">
        <f t="shared" si="25"/>
        <v>108a</v>
      </c>
      <c r="S161" s="17"/>
      <c r="T161" s="23" t="s">
        <v>2815</v>
      </c>
      <c r="U161">
        <f t="shared" si="24"/>
        <v>8</v>
      </c>
      <c r="V161">
        <f t="shared" si="22"/>
        <v>5</v>
      </c>
      <c r="W161">
        <f t="shared" si="23"/>
        <v>5</v>
      </c>
      <c r="X161">
        <f t="shared" si="20"/>
        <v>0</v>
      </c>
      <c r="AG161" s="71"/>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row>
    <row r="162" spans="1:69" ht="19">
      <c r="D162">
        <f t="shared" si="26"/>
        <v>108</v>
      </c>
      <c r="E162" s="2" t="s">
        <v>1720</v>
      </c>
      <c r="F162" s="71" t="s">
        <v>928</v>
      </c>
      <c r="G162" t="s">
        <v>830</v>
      </c>
      <c r="H162" t="s">
        <v>914</v>
      </c>
      <c r="I162" s="31"/>
      <c r="K162" s="9"/>
      <c r="L162" s="5"/>
      <c r="M162" s="8">
        <v>20801</v>
      </c>
      <c r="N162" s="3">
        <v>29533</v>
      </c>
      <c r="O162" s="62"/>
      <c r="P162" s="13" t="s">
        <v>1727</v>
      </c>
      <c r="Q162" s="20"/>
      <c r="R162" s="21" t="str">
        <f t="shared" si="25"/>
        <v>108</v>
      </c>
      <c r="S162" s="17"/>
      <c r="T162" s="23" t="s">
        <v>2815</v>
      </c>
      <c r="U162">
        <f t="shared" si="24"/>
        <v>7</v>
      </c>
      <c r="V162">
        <f t="shared" si="22"/>
        <v>4</v>
      </c>
      <c r="W162">
        <f t="shared" si="23"/>
        <v>5</v>
      </c>
      <c r="X162">
        <f t="shared" si="20"/>
        <v>0</v>
      </c>
      <c r="Y162" s="71" t="s">
        <v>2751</v>
      </c>
      <c r="AG162" s="71"/>
      <c r="AH162" s="71"/>
      <c r="AJ162" s="71"/>
      <c r="AK162" s="71"/>
      <c r="AL162" s="71"/>
      <c r="AM162" s="71"/>
      <c r="AV162" s="2"/>
      <c r="AW162" s="2"/>
      <c r="AX162" s="2"/>
      <c r="AY162" s="2"/>
      <c r="AZ162" s="2"/>
      <c r="BA162" s="2"/>
      <c r="BB162" s="2"/>
      <c r="BC162" s="2"/>
      <c r="BD162" s="2"/>
      <c r="BE162" s="2"/>
      <c r="BF162" s="2"/>
      <c r="BG162" s="2"/>
      <c r="BH162" s="2"/>
      <c r="BI162" s="2"/>
      <c r="BJ162" s="2"/>
      <c r="BK162" s="2"/>
      <c r="BL162" s="2"/>
      <c r="BM162" s="2"/>
      <c r="BN162" s="2"/>
      <c r="BO162" s="2"/>
      <c r="BP162" s="2"/>
      <c r="BQ162" s="2"/>
    </row>
    <row r="163" spans="1:69" ht="19">
      <c r="D163">
        <f t="shared" si="26"/>
        <v>108</v>
      </c>
      <c r="E163" s="2" t="s">
        <v>1720</v>
      </c>
      <c r="F163" s="71" t="s">
        <v>1726</v>
      </c>
      <c r="G163" t="s">
        <v>866</v>
      </c>
      <c r="H163" t="s">
        <v>928</v>
      </c>
      <c r="I163" s="31"/>
      <c r="K163" s="9"/>
      <c r="L163" s="5"/>
      <c r="M163" s="8">
        <v>30102</v>
      </c>
      <c r="N163" s="3"/>
      <c r="O163" s="62"/>
      <c r="P163" s="13" t="s">
        <v>1728</v>
      </c>
      <c r="Q163" s="20"/>
      <c r="R163" s="21" t="str">
        <f t="shared" si="25"/>
        <v>108b</v>
      </c>
      <c r="S163" s="17"/>
      <c r="T163" s="23" t="s">
        <v>2815</v>
      </c>
      <c r="U163">
        <f t="shared" si="24"/>
        <v>8</v>
      </c>
      <c r="V163">
        <f t="shared" si="22"/>
        <v>5</v>
      </c>
      <c r="W163">
        <f t="shared" si="23"/>
        <v>5</v>
      </c>
      <c r="X163">
        <f t="shared" si="20"/>
        <v>0</v>
      </c>
      <c r="AG163" s="71"/>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row>
    <row r="164" spans="1:69" ht="19">
      <c r="D164">
        <f t="shared" si="26"/>
        <v>108</v>
      </c>
      <c r="E164" s="2" t="s">
        <v>1720</v>
      </c>
      <c r="F164" s="71" t="s">
        <v>1729</v>
      </c>
      <c r="G164" t="s">
        <v>885</v>
      </c>
      <c r="I164" s="31"/>
      <c r="K164" s="9"/>
      <c r="L164" s="5"/>
      <c r="M164" s="8">
        <v>31195</v>
      </c>
      <c r="N164" s="3"/>
      <c r="O164" s="62"/>
      <c r="P164" s="13" t="s">
        <v>1730</v>
      </c>
      <c r="Q164" s="20"/>
      <c r="R164" s="21" t="str">
        <f t="shared" si="25"/>
        <v>108b</v>
      </c>
      <c r="S164" s="17"/>
      <c r="T164" s="23" t="s">
        <v>2815</v>
      </c>
      <c r="U164">
        <f t="shared" si="24"/>
        <v>8</v>
      </c>
      <c r="V164">
        <f t="shared" si="22"/>
        <v>5</v>
      </c>
      <c r="W164">
        <f t="shared" si="23"/>
        <v>5</v>
      </c>
      <c r="X164">
        <f t="shared" si="20"/>
        <v>0</v>
      </c>
      <c r="AG164" s="71"/>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row>
    <row r="165" spans="1:69" ht="19">
      <c r="D165">
        <f t="shared" si="26"/>
        <v>108</v>
      </c>
      <c r="E165" s="2" t="s">
        <v>1720</v>
      </c>
      <c r="F165" s="71" t="s">
        <v>905</v>
      </c>
      <c r="G165" t="s">
        <v>842</v>
      </c>
      <c r="I165" s="31"/>
      <c r="K165" s="9"/>
      <c r="L165" s="5"/>
      <c r="M165" s="8">
        <v>22617</v>
      </c>
      <c r="N165" s="3">
        <v>30086</v>
      </c>
      <c r="O165" s="62"/>
      <c r="P165" s="13" t="s">
        <v>1731</v>
      </c>
      <c r="Q165" s="20"/>
      <c r="R165" s="21" t="str">
        <f t="shared" si="25"/>
        <v>108</v>
      </c>
      <c r="S165" s="17"/>
      <c r="T165" s="23" t="s">
        <v>2815</v>
      </c>
      <c r="U165">
        <f t="shared" si="24"/>
        <v>7</v>
      </c>
      <c r="V165">
        <f t="shared" si="22"/>
        <v>4</v>
      </c>
      <c r="W165">
        <f t="shared" si="23"/>
        <v>5</v>
      </c>
      <c r="X165">
        <f t="shared" si="20"/>
        <v>0</v>
      </c>
      <c r="Y165" s="71" t="s">
        <v>2752</v>
      </c>
      <c r="AG165" s="71"/>
      <c r="AH165" s="71"/>
      <c r="AJ165" s="71"/>
      <c r="AK165" s="71"/>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row>
    <row r="166" spans="1:69" ht="19">
      <c r="D166">
        <f t="shared" si="26"/>
        <v>108</v>
      </c>
      <c r="E166" s="2" t="s">
        <v>1720</v>
      </c>
      <c r="F166" s="71" t="s">
        <v>1732</v>
      </c>
      <c r="G166" t="s">
        <v>1436</v>
      </c>
      <c r="I166" s="31"/>
      <c r="K166" s="9"/>
      <c r="L166" s="5"/>
      <c r="M166" s="8">
        <v>31365</v>
      </c>
      <c r="N166" s="3"/>
      <c r="O166" s="62"/>
      <c r="P166" s="13" t="s">
        <v>1733</v>
      </c>
      <c r="Q166" s="20"/>
      <c r="R166" s="21" t="str">
        <f t="shared" si="25"/>
        <v>108c</v>
      </c>
      <c r="S166" s="17"/>
      <c r="T166" s="23" t="s">
        <v>2814</v>
      </c>
      <c r="U166">
        <f t="shared" si="24"/>
        <v>8</v>
      </c>
      <c r="V166">
        <f t="shared" si="22"/>
        <v>5</v>
      </c>
      <c r="W166">
        <f t="shared" si="23"/>
        <v>5</v>
      </c>
      <c r="X166">
        <f t="shared" si="20"/>
        <v>0</v>
      </c>
      <c r="AG166" s="71"/>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row>
    <row r="167" spans="1:69" ht="19">
      <c r="D167">
        <f t="shared" si="26"/>
        <v>108</v>
      </c>
      <c r="E167" s="2" t="s">
        <v>1720</v>
      </c>
      <c r="F167" s="71" t="s">
        <v>865</v>
      </c>
      <c r="G167" t="s">
        <v>918</v>
      </c>
      <c r="I167" s="31"/>
      <c r="K167" s="9"/>
      <c r="L167" s="5"/>
      <c r="M167" s="8">
        <v>23324</v>
      </c>
      <c r="N167" s="3">
        <v>31227</v>
      </c>
      <c r="O167" s="62"/>
      <c r="P167" s="13" t="s">
        <v>1734</v>
      </c>
      <c r="Q167" s="20"/>
      <c r="R167" s="21" t="str">
        <f t="shared" si="25"/>
        <v>108</v>
      </c>
      <c r="S167" s="17"/>
      <c r="T167" s="23" t="s">
        <v>2815</v>
      </c>
      <c r="U167">
        <f t="shared" si="24"/>
        <v>7</v>
      </c>
      <c r="V167">
        <f t="shared" si="22"/>
        <v>4</v>
      </c>
      <c r="W167">
        <f t="shared" si="23"/>
        <v>5</v>
      </c>
      <c r="X167">
        <f t="shared" si="20"/>
        <v>0</v>
      </c>
      <c r="Y167" s="71" t="s">
        <v>2753</v>
      </c>
      <c r="AG167" s="71"/>
      <c r="AH167" s="71"/>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row>
    <row r="168" spans="1:69" ht="19">
      <c r="A168">
        <f>IF(O168="?",2021-I168,J168-I168)</f>
        <v>31</v>
      </c>
      <c r="C168">
        <v>4567</v>
      </c>
      <c r="D168">
        <v>109</v>
      </c>
      <c r="E168" s="2" t="s">
        <v>782</v>
      </c>
      <c r="F168" t="s">
        <v>882</v>
      </c>
      <c r="G168" t="s">
        <v>883</v>
      </c>
      <c r="H168" t="s">
        <v>870</v>
      </c>
      <c r="I168" s="31">
        <f>YEAR(L168)</f>
        <v>1932</v>
      </c>
      <c r="J168">
        <f>IF(O168="?",O168,YEAR(O168))</f>
        <v>1963</v>
      </c>
      <c r="K168" s="9" t="str">
        <f>IF(B168="",_xlfn.CONCAT(F168," (",D168,"): ",I168),_xlfn.CONCAT(B168," (",D168,"): ",I168))</f>
        <v>Margaret (109): 1932</v>
      </c>
      <c r="L168" s="5">
        <v>11749</v>
      </c>
      <c r="M168" s="8">
        <v>11749</v>
      </c>
      <c r="N168" s="3">
        <v>23364</v>
      </c>
      <c r="O168" s="62">
        <f>VLOOKUP(D168,DateDeath,12,FALSE)</f>
        <v>23364</v>
      </c>
      <c r="P168" s="13">
        <f>D168</f>
        <v>109</v>
      </c>
      <c r="Q168" s="20" t="str">
        <f>_xlfn.CONCAT(K168," - ",J168)</f>
        <v>Margaret (109): 1932 - 1963</v>
      </c>
      <c r="R168" s="16">
        <f>VLOOKUP(P168,'Loyd List 1-190 - Edit'!$P$3:$R$184,3,FALSE)</f>
        <v>80</v>
      </c>
      <c r="S168" s="17" t="str">
        <f>VLOOKUP(R168,'Loyd List 1-190 - Edit'!$R$3:$S$184,2,FALSE)</f>
        <v>Eric (80): 1894–1963</v>
      </c>
      <c r="T168" s="23" t="s">
        <v>2814</v>
      </c>
      <c r="U168">
        <f t="shared" si="24"/>
        <v>6</v>
      </c>
      <c r="V168">
        <f t="shared" si="22"/>
        <v>3</v>
      </c>
      <c r="W168">
        <f t="shared" si="23"/>
        <v>5</v>
      </c>
      <c r="X168">
        <f t="shared" si="20"/>
        <v>0</v>
      </c>
      <c r="Y168" t="s">
        <v>1737</v>
      </c>
      <c r="AA168" t="s">
        <v>847</v>
      </c>
      <c r="AB168" t="str">
        <f>MID(AG168,4,SEARCH(".",AG168)-SEARCH("Of ",AG168))</f>
        <v>8 Bristol House, 80A Southampton Row, London WC1B 4BA.</v>
      </c>
      <c r="AC168">
        <f>A168</f>
        <v>31</v>
      </c>
      <c r="AG168" s="71" t="s">
        <v>570</v>
      </c>
      <c r="AH168" s="2" t="s">
        <v>292</v>
      </c>
      <c r="AI168" s="2" t="s">
        <v>293</v>
      </c>
      <c r="AJ168" s="2">
        <v>40</v>
      </c>
      <c r="AK168" s="2" t="s">
        <v>294</v>
      </c>
      <c r="AL168" s="2" t="s">
        <v>295</v>
      </c>
      <c r="AM168" s="2" t="s">
        <v>296</v>
      </c>
      <c r="AN168" s="2" t="s">
        <v>297</v>
      </c>
      <c r="AO168" s="2" t="s">
        <v>298</v>
      </c>
      <c r="AP168" s="2" t="s">
        <v>299</v>
      </c>
      <c r="AQ168" s="2" t="s">
        <v>300</v>
      </c>
      <c r="AR168" s="2" t="s">
        <v>301</v>
      </c>
      <c r="AS168" s="2" t="s">
        <v>302</v>
      </c>
      <c r="AT168" s="2" t="s">
        <v>303</v>
      </c>
      <c r="AU168" s="2" t="s">
        <v>304</v>
      </c>
    </row>
    <row r="169" spans="1:69" ht="19">
      <c r="D169">
        <f t="shared" si="26"/>
        <v>109</v>
      </c>
      <c r="E169" s="2" t="s">
        <v>1738</v>
      </c>
      <c r="F169" s="71" t="s">
        <v>2754</v>
      </c>
      <c r="I169" s="31"/>
      <c r="K169" s="9"/>
      <c r="L169" s="5"/>
      <c r="M169" s="8">
        <v>23706</v>
      </c>
      <c r="N169" s="3"/>
      <c r="O169" s="62"/>
      <c r="P169" s="13" t="s">
        <v>1739</v>
      </c>
      <c r="Q169" s="20"/>
      <c r="R169" s="21" t="str">
        <f t="shared" si="25"/>
        <v>109</v>
      </c>
      <c r="S169" s="17"/>
      <c r="T169" s="23" t="s">
        <v>2814</v>
      </c>
      <c r="U169">
        <f t="shared" si="24"/>
        <v>7</v>
      </c>
      <c r="V169">
        <f t="shared" si="22"/>
        <v>4</v>
      </c>
      <c r="W169">
        <f t="shared" si="23"/>
        <v>5</v>
      </c>
      <c r="X169">
        <f t="shared" si="20"/>
        <v>0</v>
      </c>
      <c r="AG169" s="71" t="s">
        <v>2755</v>
      </c>
      <c r="AI169" s="1"/>
      <c r="AK169" s="1"/>
      <c r="AM169" s="1"/>
      <c r="AO169" s="1"/>
      <c r="AQ169" s="1"/>
      <c r="AS169" s="1"/>
      <c r="AW169" s="71"/>
    </row>
    <row r="170" spans="1:69" ht="19">
      <c r="D170">
        <f t="shared" si="26"/>
        <v>109</v>
      </c>
      <c r="E170" s="2" t="s">
        <v>1738</v>
      </c>
      <c r="F170" s="71" t="s">
        <v>919</v>
      </c>
      <c r="I170" s="31"/>
      <c r="K170" s="9"/>
      <c r="L170" s="5"/>
      <c r="M170" s="8">
        <v>24706</v>
      </c>
      <c r="N170" s="3"/>
      <c r="O170" s="62"/>
      <c r="P170" s="13" t="s">
        <v>1740</v>
      </c>
      <c r="Q170" s="20"/>
      <c r="R170" s="21" t="str">
        <f t="shared" si="25"/>
        <v>109</v>
      </c>
      <c r="S170" s="17"/>
      <c r="T170" s="23" t="s">
        <v>2815</v>
      </c>
      <c r="U170">
        <f t="shared" si="24"/>
        <v>7</v>
      </c>
      <c r="V170">
        <f t="shared" si="22"/>
        <v>4</v>
      </c>
      <c r="W170">
        <f t="shared" si="23"/>
        <v>5</v>
      </c>
      <c r="X170">
        <f t="shared" si="20"/>
        <v>0</v>
      </c>
      <c r="AG170" s="71" t="s">
        <v>2756</v>
      </c>
      <c r="AH170" s="2"/>
      <c r="AI170" s="2"/>
      <c r="AJ170" s="2"/>
      <c r="AK170" s="2"/>
      <c r="AL170" s="2"/>
      <c r="AM170" s="2"/>
      <c r="AN170" s="2"/>
      <c r="AO170" s="2"/>
      <c r="AP170" s="2"/>
      <c r="AQ170" s="2"/>
      <c r="AR170" s="2"/>
      <c r="AS170" s="2"/>
      <c r="AT170" s="2"/>
      <c r="AU170" s="2"/>
    </row>
    <row r="171" spans="1:69" ht="19">
      <c r="A171">
        <f>IF(O171="?",2021-I171,J171-I171)</f>
        <v>26</v>
      </c>
      <c r="C171">
        <v>4587</v>
      </c>
      <c r="D171">
        <v>110</v>
      </c>
      <c r="E171" s="2" t="s">
        <v>782</v>
      </c>
      <c r="F171" t="s">
        <v>884</v>
      </c>
      <c r="G171" t="s">
        <v>863</v>
      </c>
      <c r="I171" s="31">
        <f>YEAR(L171)</f>
        <v>1933</v>
      </c>
      <c r="J171">
        <f>IF(O171="?",O171,YEAR(O171))</f>
        <v>1959</v>
      </c>
      <c r="K171" s="9" t="str">
        <f>IF(B171="",_xlfn.CONCAT(F171," (",D171,"): ",I171),_xlfn.CONCAT(B171," (",D171,"): ",I171))</f>
        <v>Jean (110): 1933</v>
      </c>
      <c r="L171" s="5">
        <v>12297</v>
      </c>
      <c r="M171" s="8">
        <v>12297</v>
      </c>
      <c r="N171" s="3">
        <v>21801</v>
      </c>
      <c r="O171" s="62">
        <f>VLOOKUP(D171,DateDeath,12,FALSE)</f>
        <v>21801</v>
      </c>
      <c r="P171" s="13">
        <f>D171</f>
        <v>110</v>
      </c>
      <c r="Q171" s="20" t="str">
        <f>_xlfn.CONCAT(K171," - ",J171)</f>
        <v>Jean (110): 1933 - 1959</v>
      </c>
      <c r="R171" s="16">
        <f>VLOOKUP(P171,'Loyd List 1-190 - Edit'!$P$3:$R$184,3,FALSE)</f>
        <v>80</v>
      </c>
      <c r="S171" s="17" t="str">
        <f>VLOOKUP(R171,'Loyd List 1-190 - Edit'!$R$3:$S$184,2,FALSE)</f>
        <v>Eric (80): 1894–1963</v>
      </c>
      <c r="T171" s="23" t="s">
        <v>2814</v>
      </c>
      <c r="U171">
        <f t="shared" si="24"/>
        <v>6</v>
      </c>
      <c r="V171">
        <f t="shared" si="22"/>
        <v>3</v>
      </c>
      <c r="W171">
        <f t="shared" si="23"/>
        <v>5</v>
      </c>
      <c r="X171">
        <f t="shared" si="20"/>
        <v>0</v>
      </c>
      <c r="Y171" t="s">
        <v>1741</v>
      </c>
      <c r="AA171" t="s">
        <v>802</v>
      </c>
      <c r="AB171" t="str">
        <f>MID(AG171,4,SEARCH(".",AG171)-SEARCH("Of ",AG171))</f>
        <v>The Oaks, Church Lane, Westbere, Canterbury, Kent, CT2 0HA.</v>
      </c>
      <c r="AC171">
        <f>A171</f>
        <v>26</v>
      </c>
      <c r="AG171" s="71" t="s">
        <v>579</v>
      </c>
      <c r="AH171" s="2" t="s">
        <v>305</v>
      </c>
      <c r="AI171" s="2" t="s">
        <v>306</v>
      </c>
      <c r="AJ171" s="2" t="s">
        <v>307</v>
      </c>
      <c r="AK171" s="2" t="s">
        <v>308</v>
      </c>
      <c r="AL171" s="2" t="s">
        <v>309</v>
      </c>
      <c r="AM171" s="2" t="s">
        <v>13</v>
      </c>
    </row>
    <row r="172" spans="1:69" ht="19">
      <c r="D172">
        <f t="shared" si="26"/>
        <v>110</v>
      </c>
      <c r="E172" s="2" t="s">
        <v>1742</v>
      </c>
      <c r="F172" t="s">
        <v>842</v>
      </c>
      <c r="G172" t="s">
        <v>1743</v>
      </c>
      <c r="I172" s="31"/>
      <c r="K172" s="9"/>
      <c r="L172" s="5"/>
      <c r="M172" s="8">
        <v>22492</v>
      </c>
      <c r="N172" s="3">
        <v>32004</v>
      </c>
      <c r="O172" s="62"/>
      <c r="P172" s="13" t="s">
        <v>1744</v>
      </c>
      <c r="Q172" s="20"/>
      <c r="R172" s="21" t="str">
        <f t="shared" si="25"/>
        <v>110</v>
      </c>
      <c r="S172" s="17"/>
      <c r="T172" s="23" t="s">
        <v>2815</v>
      </c>
      <c r="U172">
        <f t="shared" si="24"/>
        <v>7</v>
      </c>
      <c r="V172">
        <f t="shared" si="22"/>
        <v>4</v>
      </c>
      <c r="W172">
        <f t="shared" si="23"/>
        <v>5</v>
      </c>
      <c r="X172">
        <f t="shared" si="20"/>
        <v>0</v>
      </c>
      <c r="Y172" s="71" t="s">
        <v>2758</v>
      </c>
      <c r="AG172" s="71" t="s">
        <v>2757</v>
      </c>
      <c r="AH172" s="71"/>
    </row>
    <row r="173" spans="1:69" ht="19">
      <c r="D173">
        <f t="shared" si="26"/>
        <v>110</v>
      </c>
      <c r="E173" s="2" t="s">
        <v>1742</v>
      </c>
      <c r="F173" t="s">
        <v>866</v>
      </c>
      <c r="G173" t="s">
        <v>1743</v>
      </c>
      <c r="I173" s="31"/>
      <c r="K173" s="9"/>
      <c r="L173" s="5"/>
      <c r="M173" s="8">
        <v>32881</v>
      </c>
      <c r="N173" s="3"/>
      <c r="O173" s="62"/>
      <c r="P173" s="13" t="s">
        <v>1745</v>
      </c>
      <c r="Q173" s="20"/>
      <c r="R173" s="21" t="str">
        <f t="shared" si="25"/>
        <v>110a</v>
      </c>
      <c r="S173" s="17"/>
      <c r="T173" s="23" t="s">
        <v>2815</v>
      </c>
      <c r="U173">
        <f t="shared" si="24"/>
        <v>8</v>
      </c>
      <c r="V173">
        <f t="shared" si="22"/>
        <v>5</v>
      </c>
      <c r="W173">
        <f t="shared" si="23"/>
        <v>5</v>
      </c>
      <c r="X173">
        <f t="shared" si="20"/>
        <v>0</v>
      </c>
      <c r="AG173" s="71" t="s">
        <v>2759</v>
      </c>
      <c r="AI173" s="71"/>
      <c r="AK173" s="71"/>
      <c r="AL173" s="71"/>
    </row>
    <row r="174" spans="1:69" ht="19">
      <c r="D174">
        <f t="shared" si="26"/>
        <v>110</v>
      </c>
      <c r="E174" s="2" t="s">
        <v>1742</v>
      </c>
      <c r="F174" t="s">
        <v>885</v>
      </c>
      <c r="G174" t="s">
        <v>924</v>
      </c>
      <c r="I174" s="31"/>
      <c r="K174" s="9"/>
      <c r="L174" s="5"/>
      <c r="M174" s="8">
        <v>33457</v>
      </c>
      <c r="N174" s="3"/>
      <c r="O174" s="62"/>
      <c r="P174" s="13" t="s">
        <v>1746</v>
      </c>
      <c r="Q174" s="20"/>
      <c r="R174" s="21" t="str">
        <f t="shared" si="25"/>
        <v>110a</v>
      </c>
      <c r="S174" s="17"/>
      <c r="T174" s="23" t="s">
        <v>2815</v>
      </c>
      <c r="U174">
        <f t="shared" si="24"/>
        <v>8</v>
      </c>
      <c r="V174">
        <f t="shared" si="22"/>
        <v>5</v>
      </c>
      <c r="W174">
        <f t="shared" si="23"/>
        <v>5</v>
      </c>
      <c r="X174">
        <f t="shared" si="20"/>
        <v>0</v>
      </c>
      <c r="AG174" s="71" t="s">
        <v>2759</v>
      </c>
      <c r="AH174" s="2"/>
      <c r="AI174" s="2"/>
      <c r="AJ174" s="2"/>
      <c r="AK174" s="2"/>
      <c r="AL174" s="2"/>
      <c r="AM174" s="2"/>
    </row>
    <row r="175" spans="1:69" ht="19">
      <c r="D175">
        <f t="shared" si="26"/>
        <v>110</v>
      </c>
      <c r="E175" s="2" t="s">
        <v>1742</v>
      </c>
      <c r="F175" t="s">
        <v>897</v>
      </c>
      <c r="G175" t="s">
        <v>1747</v>
      </c>
      <c r="I175" s="31"/>
      <c r="K175" s="9"/>
      <c r="L175" s="5"/>
      <c r="M175" s="8">
        <v>28392</v>
      </c>
      <c r="N175" s="3"/>
      <c r="O175" s="62"/>
      <c r="P175" s="13" t="s">
        <v>1748</v>
      </c>
      <c r="Q175" s="20"/>
      <c r="R175" s="21" t="str">
        <f t="shared" si="25"/>
        <v>110a</v>
      </c>
      <c r="S175" s="17"/>
      <c r="T175" s="23" t="s">
        <v>2815</v>
      </c>
      <c r="U175">
        <f t="shared" si="24"/>
        <v>8</v>
      </c>
      <c r="V175">
        <f t="shared" si="22"/>
        <v>5</v>
      </c>
      <c r="W175">
        <f t="shared" si="23"/>
        <v>5</v>
      </c>
      <c r="X175">
        <f t="shared" si="20"/>
        <v>0</v>
      </c>
      <c r="AG175" s="71" t="s">
        <v>2759</v>
      </c>
      <c r="AH175" s="2"/>
      <c r="AI175" s="2"/>
      <c r="AJ175" s="2"/>
      <c r="AK175" s="2"/>
      <c r="AL175" s="2"/>
      <c r="AM175" s="2"/>
    </row>
    <row r="176" spans="1:69" ht="19">
      <c r="D176">
        <f t="shared" si="26"/>
        <v>110</v>
      </c>
      <c r="E176" s="2" t="s">
        <v>1742</v>
      </c>
      <c r="F176" t="s">
        <v>936</v>
      </c>
      <c r="G176" t="s">
        <v>870</v>
      </c>
      <c r="I176" s="31"/>
      <c r="K176" s="9"/>
      <c r="L176" s="5"/>
      <c r="M176" s="8">
        <v>23060</v>
      </c>
      <c r="N176" s="3"/>
      <c r="O176" s="62"/>
      <c r="P176" s="13" t="s">
        <v>1749</v>
      </c>
      <c r="Q176" s="20"/>
      <c r="R176" s="21" t="str">
        <f t="shared" si="25"/>
        <v>110</v>
      </c>
      <c r="S176" s="17"/>
      <c r="T176" s="23" t="s">
        <v>2814</v>
      </c>
      <c r="U176">
        <f t="shared" si="24"/>
        <v>7</v>
      </c>
      <c r="V176">
        <f t="shared" si="22"/>
        <v>4</v>
      </c>
      <c r="W176">
        <f t="shared" si="23"/>
        <v>5</v>
      </c>
      <c r="X176">
        <f t="shared" si="20"/>
        <v>0</v>
      </c>
      <c r="AG176" s="71" t="s">
        <v>2760</v>
      </c>
    </row>
    <row r="177" spans="1:93" ht="19">
      <c r="D177">
        <f t="shared" si="26"/>
        <v>110</v>
      </c>
      <c r="E177" s="2" t="s">
        <v>1742</v>
      </c>
      <c r="F177" t="s">
        <v>902</v>
      </c>
      <c r="G177" t="s">
        <v>810</v>
      </c>
      <c r="I177" s="31"/>
      <c r="K177" s="9"/>
      <c r="L177" s="5"/>
      <c r="M177" s="8">
        <v>23456</v>
      </c>
      <c r="N177" s="3"/>
      <c r="O177" s="62"/>
      <c r="P177" s="13" t="s">
        <v>1750</v>
      </c>
      <c r="Q177" s="20"/>
      <c r="R177" s="21" t="str">
        <f t="shared" si="25"/>
        <v>110</v>
      </c>
      <c r="S177" s="17"/>
      <c r="T177" s="23" t="s">
        <v>2815</v>
      </c>
      <c r="U177">
        <f t="shared" si="24"/>
        <v>7</v>
      </c>
      <c r="V177">
        <f t="shared" si="22"/>
        <v>4</v>
      </c>
      <c r="W177">
        <f t="shared" si="23"/>
        <v>5</v>
      </c>
      <c r="X177">
        <f t="shared" si="20"/>
        <v>0</v>
      </c>
      <c r="AG177" s="71" t="s">
        <v>2761</v>
      </c>
    </row>
    <row r="178" spans="1:93" ht="19">
      <c r="D178">
        <f t="shared" si="26"/>
        <v>110</v>
      </c>
      <c r="E178" s="2" t="s">
        <v>1742</v>
      </c>
      <c r="F178" t="s">
        <v>1752</v>
      </c>
      <c r="G178" t="s">
        <v>882</v>
      </c>
      <c r="I178" s="31"/>
      <c r="K178" s="9"/>
      <c r="L178" s="5"/>
      <c r="M178" s="8">
        <v>24376</v>
      </c>
      <c r="N178" s="3">
        <v>35276</v>
      </c>
      <c r="O178" s="62"/>
      <c r="P178" s="13" t="s">
        <v>1751</v>
      </c>
      <c r="Q178" s="20"/>
      <c r="R178" s="21" t="str">
        <f t="shared" si="25"/>
        <v>110</v>
      </c>
      <c r="S178" s="17"/>
      <c r="T178" s="23" t="s">
        <v>2814</v>
      </c>
      <c r="U178">
        <f t="shared" si="24"/>
        <v>7</v>
      </c>
      <c r="V178">
        <f t="shared" si="22"/>
        <v>4</v>
      </c>
      <c r="W178">
        <f t="shared" si="23"/>
        <v>5</v>
      </c>
      <c r="X178">
        <f t="shared" si="20"/>
        <v>0</v>
      </c>
      <c r="Y178" t="s">
        <v>2763</v>
      </c>
      <c r="Z178" s="71" t="s">
        <v>2764</v>
      </c>
      <c r="AG178" s="71" t="s">
        <v>2762</v>
      </c>
      <c r="AI178" s="71"/>
      <c r="AK178" s="71"/>
      <c r="AL178" s="71"/>
      <c r="AM178" s="71"/>
    </row>
    <row r="179" spans="1:93" ht="19">
      <c r="D179">
        <f>D178</f>
        <v>110</v>
      </c>
      <c r="E179" s="2" t="s">
        <v>1753</v>
      </c>
      <c r="F179" t="s">
        <v>1754</v>
      </c>
      <c r="G179" t="s">
        <v>1755</v>
      </c>
      <c r="I179" s="31"/>
      <c r="K179" s="9"/>
      <c r="L179" s="5"/>
      <c r="M179" s="8">
        <v>36202</v>
      </c>
      <c r="N179" s="3"/>
      <c r="O179" s="62"/>
      <c r="P179" s="13" t="s">
        <v>1756</v>
      </c>
      <c r="Q179" s="20"/>
      <c r="R179" s="21" t="str">
        <f t="shared" si="25"/>
        <v>110d</v>
      </c>
      <c r="S179" s="17"/>
      <c r="T179" s="23" t="s">
        <v>2814</v>
      </c>
      <c r="U179">
        <f t="shared" si="24"/>
        <v>8</v>
      </c>
      <c r="V179">
        <f t="shared" si="22"/>
        <v>5</v>
      </c>
      <c r="W179">
        <f t="shared" si="23"/>
        <v>5</v>
      </c>
      <c r="X179">
        <f t="shared" si="20"/>
        <v>0</v>
      </c>
      <c r="AG179" s="71"/>
      <c r="AH179" s="2"/>
      <c r="AI179" s="2"/>
      <c r="AJ179" s="2"/>
      <c r="AK179" s="2"/>
      <c r="AL179" s="2"/>
      <c r="AM179" s="2"/>
    </row>
    <row r="180" spans="1:93" ht="19">
      <c r="A180">
        <f>IF(O180="?",2021-I180,J180-I180)</f>
        <v>30</v>
      </c>
      <c r="B180" t="s">
        <v>1736</v>
      </c>
      <c r="C180">
        <v>4651</v>
      </c>
      <c r="D180">
        <v>112</v>
      </c>
      <c r="E180" s="2" t="s">
        <v>782</v>
      </c>
      <c r="F180" t="s">
        <v>887</v>
      </c>
      <c r="G180" t="s">
        <v>888</v>
      </c>
      <c r="H180" t="s">
        <v>889</v>
      </c>
      <c r="I180" s="31">
        <f>YEAR(L180)</f>
        <v>1936</v>
      </c>
      <c r="J180">
        <f>IF(O180="?",O180,YEAR(O180))</f>
        <v>1966</v>
      </c>
      <c r="K180" s="9" t="str">
        <f>IF(B180="",_xlfn.CONCAT(F180," (",D180,"): ",I180),_xlfn.CONCAT(B180," (",D180,"): ",I180))</f>
        <v>Deen (112): 1936</v>
      </c>
      <c r="L180" s="5">
        <v>13204</v>
      </c>
      <c r="M180" s="8">
        <v>13204</v>
      </c>
      <c r="N180" s="3">
        <v>24181</v>
      </c>
      <c r="O180" s="62">
        <f>VLOOKUP(D180,DateDeath,12,FALSE)</f>
        <v>24181</v>
      </c>
      <c r="P180" s="13">
        <f>D180</f>
        <v>112</v>
      </c>
      <c r="Q180" s="20" t="str">
        <f>_xlfn.CONCAT(K180," - ",J180)</f>
        <v>Deen (112): 1936 - 1966</v>
      </c>
      <c r="R180" s="16">
        <f>VLOOKUP(P180,'Loyd List 1-190 - Edit'!$P$3:$R$184,3,FALSE)</f>
        <v>55</v>
      </c>
      <c r="S180" s="17" t="str">
        <f>VLOOKUP(R180,'Loyd List 1-190 - Edit'!$R$3:$S$184,2,FALSE)</f>
        <v>Dick (55): 1882–1950</v>
      </c>
      <c r="T180" s="23" t="s">
        <v>2814</v>
      </c>
      <c r="U180">
        <f t="shared" si="24"/>
        <v>6</v>
      </c>
      <c r="V180">
        <f t="shared" si="22"/>
        <v>3</v>
      </c>
      <c r="W180">
        <f t="shared" si="23"/>
        <v>5</v>
      </c>
      <c r="X180">
        <f t="shared" si="20"/>
        <v>0</v>
      </c>
      <c r="Y180" t="s">
        <v>1757</v>
      </c>
      <c r="AA180" t="s">
        <v>802</v>
      </c>
      <c r="AC180">
        <f>A180</f>
        <v>30</v>
      </c>
      <c r="AG180" s="71" t="s">
        <v>605</v>
      </c>
      <c r="AH180" s="2" t="s">
        <v>310</v>
      </c>
      <c r="AI180" s="2" t="s">
        <v>311</v>
      </c>
      <c r="AJ180" s="2" t="s">
        <v>312</v>
      </c>
      <c r="AK180" s="2" t="s">
        <v>313</v>
      </c>
      <c r="AL180" s="2" t="s">
        <v>185</v>
      </c>
    </row>
    <row r="181" spans="1:93" ht="19">
      <c r="D181">
        <f>D180</f>
        <v>112</v>
      </c>
      <c r="E181" s="2" t="s">
        <v>1758</v>
      </c>
      <c r="F181" t="s">
        <v>1759</v>
      </c>
      <c r="G181" t="s">
        <v>842</v>
      </c>
      <c r="I181" s="31"/>
      <c r="K181" s="9"/>
      <c r="L181" s="5"/>
      <c r="M181" s="8">
        <v>21471</v>
      </c>
      <c r="N181" s="3"/>
      <c r="O181" s="62"/>
      <c r="P181" s="13" t="s">
        <v>1760</v>
      </c>
      <c r="Q181" s="20"/>
      <c r="R181" s="21" t="str">
        <f t="shared" si="25"/>
        <v>112</v>
      </c>
      <c r="S181" s="17"/>
      <c r="T181" s="23" t="s">
        <v>2815</v>
      </c>
      <c r="U181">
        <f t="shared" si="24"/>
        <v>7</v>
      </c>
      <c r="V181">
        <f t="shared" si="22"/>
        <v>4</v>
      </c>
      <c r="W181">
        <f t="shared" si="23"/>
        <v>5</v>
      </c>
      <c r="X181">
        <f t="shared" si="20"/>
        <v>0</v>
      </c>
      <c r="AG181" s="71" t="s">
        <v>2765</v>
      </c>
      <c r="AK181" s="71"/>
      <c r="AO181" s="71"/>
      <c r="AQ181" s="71"/>
      <c r="AS181" s="71"/>
      <c r="AU181" s="71"/>
    </row>
    <row r="182" spans="1:93" ht="19">
      <c r="D182">
        <f t="shared" ref="D182:D196" si="27">D181</f>
        <v>112</v>
      </c>
      <c r="E182" s="2" t="s">
        <v>1758</v>
      </c>
      <c r="F182" t="s">
        <v>1764</v>
      </c>
      <c r="G182" t="s">
        <v>1765</v>
      </c>
      <c r="I182" s="31"/>
      <c r="K182" s="9"/>
      <c r="L182" s="5"/>
      <c r="M182" s="8">
        <v>22204</v>
      </c>
      <c r="N182" s="3"/>
      <c r="O182" s="62"/>
      <c r="P182" s="13" t="s">
        <v>1761</v>
      </c>
      <c r="Q182" s="20"/>
      <c r="R182" s="21" t="str">
        <f t="shared" si="25"/>
        <v>112</v>
      </c>
      <c r="S182" s="17"/>
      <c r="T182" s="23" t="s">
        <v>2814</v>
      </c>
      <c r="U182">
        <f t="shared" si="24"/>
        <v>7</v>
      </c>
      <c r="V182">
        <f t="shared" si="22"/>
        <v>4</v>
      </c>
      <c r="W182">
        <f t="shared" si="23"/>
        <v>5</v>
      </c>
      <c r="X182">
        <f t="shared" si="20"/>
        <v>0</v>
      </c>
      <c r="AG182" s="71" t="s">
        <v>2766</v>
      </c>
      <c r="AH182" s="2"/>
      <c r="AI182" s="2"/>
      <c r="AJ182" s="2"/>
      <c r="AK182" s="2"/>
      <c r="AL182" s="2"/>
    </row>
    <row r="183" spans="1:93" ht="19">
      <c r="D183">
        <f t="shared" si="27"/>
        <v>112</v>
      </c>
      <c r="E183" s="2" t="s">
        <v>1758</v>
      </c>
      <c r="F183" t="s">
        <v>1766</v>
      </c>
      <c r="G183" t="s">
        <v>928</v>
      </c>
      <c r="I183" s="31"/>
      <c r="K183" s="9"/>
      <c r="L183" s="5"/>
      <c r="M183" s="8">
        <v>22576</v>
      </c>
      <c r="N183" s="3"/>
      <c r="O183" s="62"/>
      <c r="P183" s="13" t="s">
        <v>1762</v>
      </c>
      <c r="Q183" s="20"/>
      <c r="R183" s="21" t="str">
        <f t="shared" si="25"/>
        <v>112</v>
      </c>
      <c r="S183" s="17"/>
      <c r="T183" s="23" t="s">
        <v>2815</v>
      </c>
      <c r="U183">
        <f t="shared" si="24"/>
        <v>7</v>
      </c>
      <c r="V183">
        <f t="shared" si="22"/>
        <v>4</v>
      </c>
      <c r="W183">
        <f t="shared" si="23"/>
        <v>5</v>
      </c>
      <c r="X183">
        <f t="shared" si="20"/>
        <v>0</v>
      </c>
      <c r="AG183" s="71" t="s">
        <v>2766</v>
      </c>
      <c r="AH183" s="2"/>
      <c r="AI183" s="2"/>
      <c r="AJ183" s="2"/>
      <c r="AK183" s="2"/>
      <c r="AL183" s="2"/>
    </row>
    <row r="184" spans="1:93" ht="19">
      <c r="D184">
        <f t="shared" si="27"/>
        <v>112</v>
      </c>
      <c r="E184" s="2" t="s">
        <v>1758</v>
      </c>
      <c r="F184" t="s">
        <v>1767</v>
      </c>
      <c r="G184" t="s">
        <v>1768</v>
      </c>
      <c r="I184" s="31"/>
      <c r="K184" s="9"/>
      <c r="L184" s="5"/>
      <c r="M184" s="8">
        <v>23091</v>
      </c>
      <c r="N184" s="3"/>
      <c r="O184" s="62"/>
      <c r="P184" s="13" t="s">
        <v>1763</v>
      </c>
      <c r="Q184" s="20"/>
      <c r="R184" s="21" t="str">
        <f t="shared" si="25"/>
        <v>112</v>
      </c>
      <c r="S184" s="17"/>
      <c r="T184" s="23" t="s">
        <v>2814</v>
      </c>
      <c r="U184">
        <f t="shared" si="24"/>
        <v>7</v>
      </c>
      <c r="V184">
        <f t="shared" si="22"/>
        <v>4</v>
      </c>
      <c r="W184">
        <f t="shared" si="23"/>
        <v>5</v>
      </c>
      <c r="X184">
        <f t="shared" si="20"/>
        <v>0</v>
      </c>
      <c r="AG184" s="71" t="s">
        <v>2766</v>
      </c>
      <c r="AH184" s="2"/>
      <c r="AI184" s="2"/>
      <c r="AJ184" s="2"/>
      <c r="AK184" s="2"/>
      <c r="AL184" s="2"/>
    </row>
    <row r="185" spans="1:93" ht="19">
      <c r="A185">
        <f>IF(O185="?",2021-I185,J185-I185)</f>
        <v>24</v>
      </c>
      <c r="C185">
        <v>4715</v>
      </c>
      <c r="D185">
        <v>115</v>
      </c>
      <c r="E185" s="2" t="s">
        <v>782</v>
      </c>
      <c r="F185" t="s">
        <v>892</v>
      </c>
      <c r="G185" t="s">
        <v>893</v>
      </c>
      <c r="I185" s="31">
        <f>YEAR(L185)</f>
        <v>1939</v>
      </c>
      <c r="J185">
        <f>IF(O185="?",O185,YEAR(O185))</f>
        <v>1963</v>
      </c>
      <c r="K185" s="9" t="str">
        <f>IF(B185="",_xlfn.CONCAT(F185," (",D185,"): ",I185),_xlfn.CONCAT(B185," (",D185,"): ",I185))</f>
        <v>Belinda (115): 1939</v>
      </c>
      <c r="L185" s="5">
        <v>14432</v>
      </c>
      <c r="M185" s="8">
        <v>14432</v>
      </c>
      <c r="N185" s="3">
        <v>23298</v>
      </c>
      <c r="O185" s="62">
        <f>VLOOKUP(D185,DateDeath,12,FALSE)</f>
        <v>23298</v>
      </c>
      <c r="P185" s="13">
        <f>D185</f>
        <v>115</v>
      </c>
      <c r="Q185" s="20" t="str">
        <f>_xlfn.CONCAT(K185," - ",J185)</f>
        <v>Belinda (115): 1939 - 1963</v>
      </c>
      <c r="R185" s="16">
        <f>VLOOKUP(P185,'Loyd List 1-190 - Edit'!$P$3:$R$184,3,FALSE)</f>
        <v>78</v>
      </c>
      <c r="S185" s="17" t="str">
        <f>VLOOKUP(R185,'Loyd List 1-190 - Edit'!$R$3:$S$184,2,FALSE)</f>
        <v>Vivian (78): 1894–1972</v>
      </c>
      <c r="T185" s="23" t="s">
        <v>2814</v>
      </c>
      <c r="U185">
        <f t="shared" si="24"/>
        <v>6</v>
      </c>
      <c r="V185">
        <f t="shared" si="22"/>
        <v>3</v>
      </c>
      <c r="W185">
        <f t="shared" si="23"/>
        <v>5</v>
      </c>
      <c r="X185">
        <f t="shared" si="20"/>
        <v>0</v>
      </c>
      <c r="Y185" t="s">
        <v>1769</v>
      </c>
      <c r="AA185" t="s">
        <v>847</v>
      </c>
      <c r="AB185" t="s">
        <v>1159</v>
      </c>
      <c r="AC185">
        <f>A185</f>
        <v>24</v>
      </c>
      <c r="AG185" s="71" t="s">
        <v>1158</v>
      </c>
      <c r="AH185" s="2" t="s">
        <v>315</v>
      </c>
      <c r="AI185" s="2" t="s">
        <v>316</v>
      </c>
      <c r="AJ185" s="2" t="s">
        <v>317</v>
      </c>
      <c r="AK185" s="2" t="s">
        <v>318</v>
      </c>
      <c r="AL185" s="2" t="s">
        <v>319</v>
      </c>
      <c r="AM185" s="2" t="s">
        <v>320</v>
      </c>
      <c r="AN185" s="2" t="s">
        <v>321</v>
      </c>
      <c r="AO185" s="2" t="s">
        <v>322</v>
      </c>
      <c r="AP185" s="2" t="s">
        <v>323</v>
      </c>
      <c r="AQ185" s="2" t="s">
        <v>324</v>
      </c>
      <c r="AR185" s="2" t="s">
        <v>325</v>
      </c>
      <c r="AS185" s="2" t="s">
        <v>326</v>
      </c>
      <c r="AT185" s="2" t="s">
        <v>327</v>
      </c>
      <c r="AU185" s="2" t="s">
        <v>328</v>
      </c>
      <c r="AV185" s="2" t="s">
        <v>329</v>
      </c>
      <c r="AW185" s="2" t="s">
        <v>330</v>
      </c>
      <c r="AX185" s="2" t="s">
        <v>331</v>
      </c>
      <c r="AY185" s="2" t="s">
        <v>332</v>
      </c>
      <c r="AZ185" s="2" t="s">
        <v>333</v>
      </c>
      <c r="BA185" s="2" t="s">
        <v>334</v>
      </c>
      <c r="BB185" s="2" t="s">
        <v>335</v>
      </c>
      <c r="BC185" s="2" t="s">
        <v>336</v>
      </c>
      <c r="BD185" s="2" t="s">
        <v>337</v>
      </c>
      <c r="BE185" s="2" t="s">
        <v>338</v>
      </c>
      <c r="BF185" s="2" t="s">
        <v>339</v>
      </c>
      <c r="BG185" s="2" t="s">
        <v>340</v>
      </c>
      <c r="BH185" s="2" t="s">
        <v>341</v>
      </c>
      <c r="BI185" s="2" t="s">
        <v>342</v>
      </c>
      <c r="BJ185" s="2" t="s">
        <v>340</v>
      </c>
      <c r="BK185" s="2" t="s">
        <v>343</v>
      </c>
      <c r="BL185" s="2" t="s">
        <v>344</v>
      </c>
      <c r="BM185" s="2" t="s">
        <v>340</v>
      </c>
      <c r="BN185" s="2" t="s">
        <v>345</v>
      </c>
      <c r="BO185" s="2" t="s">
        <v>346</v>
      </c>
      <c r="BP185" s="2" t="s">
        <v>347</v>
      </c>
      <c r="BQ185" s="2" t="s">
        <v>348</v>
      </c>
      <c r="BR185" s="2" t="s">
        <v>349</v>
      </c>
      <c r="BS185" s="2" t="s">
        <v>350</v>
      </c>
      <c r="BT185" s="2" t="s">
        <v>351</v>
      </c>
      <c r="BU185" s="2" t="s">
        <v>352</v>
      </c>
      <c r="BV185" s="2" t="s">
        <v>353</v>
      </c>
      <c r="BW185" s="2" t="s">
        <v>354</v>
      </c>
      <c r="BX185" s="2" t="s">
        <v>355</v>
      </c>
      <c r="BY185" s="2" t="s">
        <v>356</v>
      </c>
      <c r="BZ185" s="2" t="s">
        <v>1</v>
      </c>
      <c r="CA185" s="2" t="s">
        <v>357</v>
      </c>
      <c r="CB185" s="2" t="s">
        <v>358</v>
      </c>
      <c r="CC185" s="2" t="s">
        <v>359</v>
      </c>
      <c r="CD185" s="2" t="s">
        <v>360</v>
      </c>
      <c r="CE185" s="2" t="s">
        <v>361</v>
      </c>
      <c r="CF185" s="2" t="s">
        <v>362</v>
      </c>
      <c r="CG185" s="2" t="s">
        <v>363</v>
      </c>
      <c r="CH185" s="2" t="s">
        <v>364</v>
      </c>
      <c r="CI185" s="2" t="s">
        <v>365</v>
      </c>
      <c r="CJ185" s="2" t="s">
        <v>366</v>
      </c>
      <c r="CK185" s="2" t="s">
        <v>367</v>
      </c>
      <c r="CL185" s="2" t="s">
        <v>368</v>
      </c>
      <c r="CM185" s="2" t="s">
        <v>369</v>
      </c>
      <c r="CN185" s="2" t="s">
        <v>370</v>
      </c>
      <c r="CO185" s="2" t="s">
        <v>371</v>
      </c>
    </row>
    <row r="186" spans="1:93" ht="19">
      <c r="D186">
        <f t="shared" si="27"/>
        <v>115</v>
      </c>
      <c r="E186" s="2" t="s">
        <v>1770</v>
      </c>
      <c r="F186" t="s">
        <v>1771</v>
      </c>
      <c r="G186" t="s">
        <v>1772</v>
      </c>
      <c r="H186" t="s">
        <v>1654</v>
      </c>
      <c r="I186" s="31"/>
      <c r="K186" s="9"/>
      <c r="L186" s="5"/>
      <c r="M186" s="8">
        <v>23647</v>
      </c>
      <c r="N186" s="3">
        <v>33516</v>
      </c>
      <c r="O186" s="62"/>
      <c r="P186" s="13" t="s">
        <v>1773</v>
      </c>
      <c r="Q186" s="20"/>
      <c r="R186" s="21" t="str">
        <f t="shared" si="25"/>
        <v>115</v>
      </c>
      <c r="S186" s="17"/>
      <c r="T186" s="23" t="s">
        <v>2814</v>
      </c>
      <c r="U186">
        <f t="shared" si="24"/>
        <v>7</v>
      </c>
      <c r="V186">
        <f t="shared" si="22"/>
        <v>4</v>
      </c>
      <c r="W186">
        <f t="shared" si="23"/>
        <v>5</v>
      </c>
      <c r="X186">
        <f t="shared" si="20"/>
        <v>0</v>
      </c>
      <c r="Y186" t="s">
        <v>2768</v>
      </c>
      <c r="Z186" s="71" t="s">
        <v>2769</v>
      </c>
      <c r="AG186" s="71" t="s">
        <v>2767</v>
      </c>
      <c r="AH186" s="71"/>
      <c r="AI186" s="71"/>
      <c r="AJ186" s="71"/>
      <c r="AK186" s="71"/>
      <c r="AL186" s="71"/>
      <c r="AO186" s="71"/>
      <c r="AP186" s="71"/>
      <c r="AQ186" s="71"/>
      <c r="AR186" s="71"/>
      <c r="AS186" s="71"/>
      <c r="AT186" s="71"/>
      <c r="AU186" s="71"/>
      <c r="AV186" s="71"/>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row>
    <row r="187" spans="1:93" ht="19">
      <c r="D187">
        <f t="shared" si="27"/>
        <v>115</v>
      </c>
      <c r="E187" s="2" t="s">
        <v>1774</v>
      </c>
      <c r="F187" t="s">
        <v>925</v>
      </c>
      <c r="I187" s="31"/>
      <c r="K187" s="9"/>
      <c r="L187" s="5"/>
      <c r="M187" s="8">
        <v>32433</v>
      </c>
      <c r="N187" s="3"/>
      <c r="O187" s="62"/>
      <c r="P187" s="13" t="s">
        <v>1776</v>
      </c>
      <c r="Q187" s="20"/>
      <c r="R187" s="21" t="str">
        <f t="shared" si="25"/>
        <v>115a</v>
      </c>
      <c r="S187" s="17"/>
      <c r="T187" s="23" t="s">
        <v>2815</v>
      </c>
      <c r="U187">
        <f t="shared" si="24"/>
        <v>8</v>
      </c>
      <c r="V187">
        <f t="shared" si="22"/>
        <v>5</v>
      </c>
      <c r="W187">
        <f t="shared" si="23"/>
        <v>5</v>
      </c>
      <c r="X187">
        <f t="shared" si="20"/>
        <v>0</v>
      </c>
      <c r="AG187" s="71"/>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row>
    <row r="188" spans="1:93" ht="19">
      <c r="D188">
        <f t="shared" si="27"/>
        <v>115</v>
      </c>
      <c r="E188" s="2" t="s">
        <v>1774</v>
      </c>
      <c r="F188" t="s">
        <v>1775</v>
      </c>
      <c r="I188" s="31"/>
      <c r="K188" s="9"/>
      <c r="L188" s="5"/>
      <c r="M188" s="8">
        <v>33858</v>
      </c>
      <c r="N188" s="3"/>
      <c r="O188" s="62"/>
      <c r="P188" s="13" t="s">
        <v>1777</v>
      </c>
      <c r="Q188" s="20"/>
      <c r="R188" s="21" t="str">
        <f t="shared" si="25"/>
        <v>115a</v>
      </c>
      <c r="S188" s="17"/>
      <c r="T188" s="23" t="s">
        <v>2814</v>
      </c>
      <c r="U188">
        <f t="shared" si="24"/>
        <v>8</v>
      </c>
      <c r="V188">
        <f t="shared" si="22"/>
        <v>5</v>
      </c>
      <c r="W188">
        <f t="shared" si="23"/>
        <v>5</v>
      </c>
      <c r="X188">
        <f t="shared" si="20"/>
        <v>0</v>
      </c>
      <c r="AG188" s="71"/>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row>
    <row r="189" spans="1:93" ht="19">
      <c r="D189">
        <f t="shared" si="27"/>
        <v>115</v>
      </c>
      <c r="E189" s="2" t="s">
        <v>1774</v>
      </c>
      <c r="F189" t="s">
        <v>1747</v>
      </c>
      <c r="I189" s="31"/>
      <c r="K189" s="9"/>
      <c r="L189" s="5"/>
      <c r="M189" s="8">
        <v>35123</v>
      </c>
      <c r="N189" s="3"/>
      <c r="O189" s="62"/>
      <c r="P189" s="13" t="s">
        <v>1778</v>
      </c>
      <c r="Q189" s="20"/>
      <c r="R189" s="21" t="str">
        <f t="shared" si="25"/>
        <v>115a</v>
      </c>
      <c r="S189" s="17"/>
      <c r="T189" s="23" t="s">
        <v>2815</v>
      </c>
      <c r="U189">
        <f t="shared" si="24"/>
        <v>8</v>
      </c>
      <c r="V189">
        <f t="shared" si="22"/>
        <v>5</v>
      </c>
      <c r="W189">
        <f t="shared" si="23"/>
        <v>5</v>
      </c>
      <c r="X189">
        <f t="shared" si="20"/>
        <v>0</v>
      </c>
      <c r="AG189" s="71"/>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row>
    <row r="190" spans="1:93" ht="19">
      <c r="D190">
        <f t="shared" si="27"/>
        <v>115</v>
      </c>
      <c r="E190" s="2" t="s">
        <v>1770</v>
      </c>
      <c r="F190" t="s">
        <v>1779</v>
      </c>
      <c r="G190" t="s">
        <v>870</v>
      </c>
      <c r="H190" t="s">
        <v>1775</v>
      </c>
      <c r="I190" s="31"/>
      <c r="K190" s="9"/>
      <c r="L190" s="5"/>
      <c r="M190" s="8">
        <v>24650</v>
      </c>
      <c r="N190" s="3">
        <v>34125</v>
      </c>
      <c r="O190" s="62"/>
      <c r="P190" s="13" t="s">
        <v>1780</v>
      </c>
      <c r="Q190" s="20"/>
      <c r="R190" s="21" t="str">
        <f t="shared" si="25"/>
        <v>115</v>
      </c>
      <c r="S190" s="17"/>
      <c r="T190" s="23" t="s">
        <v>2814</v>
      </c>
      <c r="U190">
        <f t="shared" si="24"/>
        <v>7</v>
      </c>
      <c r="V190">
        <f t="shared" si="22"/>
        <v>4</v>
      </c>
      <c r="W190">
        <f t="shared" si="23"/>
        <v>5</v>
      </c>
      <c r="X190">
        <f t="shared" si="20"/>
        <v>0</v>
      </c>
      <c r="Y190" t="s">
        <v>2771</v>
      </c>
      <c r="Z190" s="71" t="s">
        <v>2772</v>
      </c>
      <c r="AG190" s="71" t="s">
        <v>2770</v>
      </c>
      <c r="AH190" s="2"/>
      <c r="AI190" s="2"/>
      <c r="AJ190" s="2"/>
      <c r="AK190" s="2"/>
      <c r="AL190" s="2"/>
      <c r="AM190" s="71"/>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row>
    <row r="191" spans="1:93" ht="19">
      <c r="D191">
        <f t="shared" si="27"/>
        <v>115</v>
      </c>
      <c r="E191" s="2" t="s">
        <v>1781</v>
      </c>
      <c r="F191" t="s">
        <v>1581</v>
      </c>
      <c r="I191" s="31"/>
      <c r="K191" s="9"/>
      <c r="L191" s="5"/>
      <c r="M191" s="8">
        <v>35054</v>
      </c>
      <c r="N191" s="3"/>
      <c r="O191" s="62"/>
      <c r="P191" s="13" t="s">
        <v>1782</v>
      </c>
      <c r="Q191" s="20"/>
      <c r="R191" s="21" t="str">
        <f t="shared" si="25"/>
        <v>115b</v>
      </c>
      <c r="S191" s="17"/>
      <c r="T191" s="23" t="s">
        <v>2815</v>
      </c>
      <c r="U191">
        <f t="shared" si="24"/>
        <v>8</v>
      </c>
      <c r="V191">
        <f t="shared" si="22"/>
        <v>5</v>
      </c>
      <c r="W191">
        <f t="shared" si="23"/>
        <v>5</v>
      </c>
      <c r="X191">
        <f t="shared" si="20"/>
        <v>0</v>
      </c>
      <c r="AG191" s="71"/>
      <c r="AH191" s="71"/>
      <c r="AI191" s="71"/>
      <c r="AJ191" s="71"/>
      <c r="AK191" s="71"/>
      <c r="AL191" s="71"/>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row>
    <row r="192" spans="1:93" ht="19">
      <c r="D192">
        <f t="shared" si="27"/>
        <v>115</v>
      </c>
      <c r="E192" s="2" t="s">
        <v>1781</v>
      </c>
      <c r="F192" t="s">
        <v>1181</v>
      </c>
      <c r="I192" s="31"/>
      <c r="K192" s="9"/>
      <c r="L192" s="5"/>
      <c r="M192" s="8">
        <v>35663</v>
      </c>
      <c r="N192" s="3"/>
      <c r="O192" s="62"/>
      <c r="P192" s="13" t="s">
        <v>1783</v>
      </c>
      <c r="Q192" s="20"/>
      <c r="R192" s="21" t="str">
        <f t="shared" si="25"/>
        <v>115b</v>
      </c>
      <c r="S192" s="17"/>
      <c r="T192" s="23" t="s">
        <v>2815</v>
      </c>
      <c r="U192">
        <f t="shared" si="24"/>
        <v>8</v>
      </c>
      <c r="V192">
        <f t="shared" si="22"/>
        <v>5</v>
      </c>
      <c r="W192">
        <f t="shared" si="23"/>
        <v>5</v>
      </c>
      <c r="X192">
        <f t="shared" si="20"/>
        <v>0</v>
      </c>
      <c r="AG192" s="71"/>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row>
    <row r="193" spans="1:93" ht="19">
      <c r="D193">
        <f t="shared" si="27"/>
        <v>115</v>
      </c>
      <c r="E193" s="2" t="s">
        <v>1781</v>
      </c>
      <c r="F193" t="s">
        <v>870</v>
      </c>
      <c r="G193" t="s">
        <v>1772</v>
      </c>
      <c r="H193" t="s">
        <v>1644</v>
      </c>
      <c r="I193" s="31"/>
      <c r="K193" s="9"/>
      <c r="L193" s="5"/>
      <c r="M193" s="8">
        <v>36290</v>
      </c>
      <c r="N193" s="3"/>
      <c r="O193" s="62"/>
      <c r="P193" s="13" t="s">
        <v>1784</v>
      </c>
      <c r="Q193" s="20"/>
      <c r="R193" s="21" t="str">
        <f t="shared" si="25"/>
        <v>115b</v>
      </c>
      <c r="S193" s="17"/>
      <c r="T193" s="23" t="s">
        <v>2814</v>
      </c>
      <c r="U193">
        <f t="shared" si="24"/>
        <v>8</v>
      </c>
      <c r="V193">
        <f t="shared" si="22"/>
        <v>5</v>
      </c>
      <c r="W193">
        <f t="shared" si="23"/>
        <v>5</v>
      </c>
      <c r="X193">
        <f t="shared" si="20"/>
        <v>0</v>
      </c>
      <c r="AG193" s="71"/>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row>
    <row r="194" spans="1:93" ht="19">
      <c r="D194">
        <f t="shared" si="27"/>
        <v>115</v>
      </c>
      <c r="E194" s="2" t="s">
        <v>1770</v>
      </c>
      <c r="F194" t="s">
        <v>1785</v>
      </c>
      <c r="G194" t="s">
        <v>1786</v>
      </c>
      <c r="H194" t="s">
        <v>892</v>
      </c>
      <c r="I194" s="31"/>
      <c r="K194" s="9"/>
      <c r="L194" s="5"/>
      <c r="M194" s="8">
        <v>25302</v>
      </c>
      <c r="N194" s="3">
        <v>36127</v>
      </c>
      <c r="O194" s="62"/>
      <c r="P194" s="13" t="s">
        <v>1787</v>
      </c>
      <c r="Q194" s="20"/>
      <c r="R194" s="21" t="str">
        <f t="shared" si="25"/>
        <v>115</v>
      </c>
      <c r="S194" s="17"/>
      <c r="T194" s="23" t="s">
        <v>2814</v>
      </c>
      <c r="U194">
        <f t="shared" si="24"/>
        <v>7</v>
      </c>
      <c r="V194">
        <f t="shared" si="22"/>
        <v>4</v>
      </c>
      <c r="W194">
        <f t="shared" si="23"/>
        <v>5</v>
      </c>
      <c r="X194">
        <f t="shared" si="20"/>
        <v>0</v>
      </c>
      <c r="Y194" t="s">
        <v>1788</v>
      </c>
      <c r="Z194" s="71" t="s">
        <v>2774</v>
      </c>
      <c r="AG194" s="71" t="s">
        <v>2773</v>
      </c>
      <c r="AJ194" s="71" t="s">
        <v>657</v>
      </c>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row>
    <row r="195" spans="1:93" ht="19">
      <c r="D195">
        <f t="shared" si="27"/>
        <v>115</v>
      </c>
      <c r="E195" s="2" t="s">
        <v>1770</v>
      </c>
      <c r="F195" t="s">
        <v>1789</v>
      </c>
      <c r="G195" t="s">
        <v>848</v>
      </c>
      <c r="H195" t="s">
        <v>1790</v>
      </c>
      <c r="I195" s="31"/>
      <c r="K195" s="9"/>
      <c r="L195" s="5"/>
      <c r="M195" s="8">
        <v>26203</v>
      </c>
      <c r="N195" s="3"/>
      <c r="O195" s="62"/>
      <c r="P195" s="13" t="s">
        <v>1791</v>
      </c>
      <c r="Q195" s="20"/>
      <c r="R195" s="21" t="str">
        <f t="shared" si="25"/>
        <v>115</v>
      </c>
      <c r="S195" s="17"/>
      <c r="T195" s="23" t="s">
        <v>2815</v>
      </c>
      <c r="U195">
        <f t="shared" si="24"/>
        <v>7</v>
      </c>
      <c r="V195">
        <f t="shared" si="22"/>
        <v>4</v>
      </c>
      <c r="W195">
        <f t="shared" si="23"/>
        <v>5</v>
      </c>
      <c r="X195">
        <f t="shared" ref="X195:X242" si="28">COUNTIF($R$2:$R$41,P195)</f>
        <v>0</v>
      </c>
      <c r="AG195" s="71" t="s">
        <v>2775</v>
      </c>
      <c r="AI195" s="71"/>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row>
    <row r="196" spans="1:93" ht="19">
      <c r="D196">
        <f t="shared" si="27"/>
        <v>115</v>
      </c>
      <c r="E196" s="2" t="s">
        <v>1770</v>
      </c>
      <c r="F196" t="s">
        <v>1792</v>
      </c>
      <c r="G196" t="s">
        <v>824</v>
      </c>
      <c r="I196" s="31"/>
      <c r="K196" s="9"/>
      <c r="L196" s="5"/>
      <c r="M196" s="8">
        <v>27069</v>
      </c>
      <c r="N196" s="3"/>
      <c r="O196" s="62"/>
      <c r="P196" s="13" t="s">
        <v>1793</v>
      </c>
      <c r="Q196" s="20"/>
      <c r="R196" s="21" t="str">
        <f t="shared" si="25"/>
        <v>115</v>
      </c>
      <c r="S196" s="17"/>
      <c r="T196" s="23" t="s">
        <v>2814</v>
      </c>
      <c r="U196">
        <f t="shared" si="24"/>
        <v>7</v>
      </c>
      <c r="V196">
        <f t="shared" si="22"/>
        <v>4</v>
      </c>
      <c r="W196">
        <f t="shared" si="23"/>
        <v>5</v>
      </c>
      <c r="X196">
        <f t="shared" si="28"/>
        <v>0</v>
      </c>
      <c r="AG196" s="71" t="s">
        <v>2776</v>
      </c>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row>
    <row r="197" spans="1:93" ht="19">
      <c r="A197">
        <f>IF(O197="?",2021-I197,J197-I197)</f>
        <v>30</v>
      </c>
      <c r="B197" t="s">
        <v>1735</v>
      </c>
      <c r="C197">
        <v>4785</v>
      </c>
      <c r="D197">
        <v>116</v>
      </c>
      <c r="E197" s="2" t="s">
        <v>782</v>
      </c>
      <c r="F197" t="s">
        <v>882</v>
      </c>
      <c r="G197" t="s">
        <v>894</v>
      </c>
      <c r="H197" t="s">
        <v>895</v>
      </c>
      <c r="I197" s="31">
        <f>YEAR(L197)</f>
        <v>1939</v>
      </c>
      <c r="J197">
        <f>IF(O197="?",O197,YEAR(O197))</f>
        <v>1969</v>
      </c>
      <c r="K197" s="9" t="str">
        <f>IF(B197="",_xlfn.CONCAT(F197," (",D197,"): ",I197),_xlfn.CONCAT(B197," (",D197,"): ",I197))</f>
        <v>Peggy (116): 1939</v>
      </c>
      <c r="L197" s="5">
        <v>14567</v>
      </c>
      <c r="M197" s="8">
        <v>14567</v>
      </c>
      <c r="N197" s="3">
        <v>25312</v>
      </c>
      <c r="O197" s="62">
        <f>VLOOKUP(D197,DateDeath,12,FALSE)</f>
        <v>25312</v>
      </c>
      <c r="P197" s="13">
        <f>D197</f>
        <v>116</v>
      </c>
      <c r="Q197" s="20" t="str">
        <f>_xlfn.CONCAT(K197," - ",J197)</f>
        <v>Peggy (116): 1939 - 1969</v>
      </c>
      <c r="R197" s="16">
        <f>VLOOKUP(P197,'Loyd List 1-190 - Edit'!$P$3:$R$184,3,FALSE)</f>
        <v>55</v>
      </c>
      <c r="S197" s="17" t="str">
        <f>VLOOKUP(R197,'Loyd List 1-190 - Edit'!$R$3:$S$184,2,FALSE)</f>
        <v>Dick (55): 1882–1950</v>
      </c>
      <c r="T197" s="23" t="s">
        <v>2814</v>
      </c>
      <c r="U197">
        <f t="shared" si="24"/>
        <v>6</v>
      </c>
      <c r="V197">
        <f t="shared" si="22"/>
        <v>3</v>
      </c>
      <c r="W197">
        <f t="shared" si="23"/>
        <v>5</v>
      </c>
      <c r="X197">
        <f t="shared" si="28"/>
        <v>0</v>
      </c>
      <c r="Y197" t="s">
        <v>1794</v>
      </c>
      <c r="AA197" t="s">
        <v>802</v>
      </c>
      <c r="AC197">
        <f>A197</f>
        <v>30</v>
      </c>
      <c r="AG197" s="71" t="s">
        <v>663</v>
      </c>
      <c r="AH197" s="2" t="s">
        <v>373</v>
      </c>
      <c r="AI197" s="2" t="s">
        <v>374</v>
      </c>
      <c r="AJ197" s="2" t="s">
        <v>375</v>
      </c>
      <c r="AK197" s="2" t="s">
        <v>376</v>
      </c>
      <c r="AL197" s="2" t="s">
        <v>377</v>
      </c>
      <c r="AM197" s="2" t="s">
        <v>378</v>
      </c>
      <c r="AN197" s="2" t="s">
        <v>379</v>
      </c>
      <c r="AO197" s="2" t="s">
        <v>380</v>
      </c>
      <c r="AP197" s="2" t="s">
        <v>381</v>
      </c>
      <c r="AQ197" s="2" t="s">
        <v>382</v>
      </c>
      <c r="AR197" s="2" t="s">
        <v>383</v>
      </c>
      <c r="AS197" s="2" t="s">
        <v>384</v>
      </c>
      <c r="AT197" s="2" t="s">
        <v>385</v>
      </c>
      <c r="AU197" s="2" t="s">
        <v>386</v>
      </c>
      <c r="AV197" s="2" t="s">
        <v>387</v>
      </c>
      <c r="AW197" s="2" t="s">
        <v>388</v>
      </c>
      <c r="AX197" s="2" t="s">
        <v>389</v>
      </c>
      <c r="AY197" s="2" t="s">
        <v>390</v>
      </c>
      <c r="AZ197" s="2" t="s">
        <v>391</v>
      </c>
    </row>
    <row r="198" spans="1:93" ht="19">
      <c r="D198">
        <v>116</v>
      </c>
      <c r="E198" s="2" t="s">
        <v>1795</v>
      </c>
      <c r="F198" t="s">
        <v>1796</v>
      </c>
      <c r="I198" s="31"/>
      <c r="K198" s="9"/>
      <c r="L198" s="5"/>
      <c r="M198" s="8">
        <v>25587</v>
      </c>
      <c r="N198" s="3" t="s">
        <v>1797</v>
      </c>
      <c r="O198" s="62">
        <v>25587</v>
      </c>
      <c r="P198" s="13" t="s">
        <v>1798</v>
      </c>
      <c r="Q198" s="20"/>
      <c r="R198" s="21" t="str">
        <f t="shared" si="25"/>
        <v>116</v>
      </c>
      <c r="S198" s="17"/>
      <c r="T198" s="23" t="s">
        <v>2815</v>
      </c>
      <c r="U198">
        <f t="shared" si="24"/>
        <v>7</v>
      </c>
      <c r="V198">
        <f t="shared" ref="V198:V242" si="29">LEN(P198)</f>
        <v>4</v>
      </c>
      <c r="W198">
        <f t="shared" ref="W198:W242" si="30">VLOOKUP(D198,Generation,2,FALSE)</f>
        <v>5</v>
      </c>
      <c r="X198">
        <f t="shared" si="28"/>
        <v>0</v>
      </c>
      <c r="AG198" s="71" t="s">
        <v>2777</v>
      </c>
      <c r="AK198" s="71"/>
      <c r="AZ198" s="2"/>
    </row>
    <row r="199" spans="1:93" ht="19">
      <c r="D199">
        <v>116</v>
      </c>
      <c r="E199" s="2" t="s">
        <v>1795</v>
      </c>
      <c r="F199" t="s">
        <v>985</v>
      </c>
      <c r="I199" s="31"/>
      <c r="K199" s="9"/>
      <c r="L199" s="5"/>
      <c r="M199" s="8">
        <v>26157</v>
      </c>
      <c r="N199" s="3"/>
      <c r="O199" s="62"/>
      <c r="P199" s="13" t="s">
        <v>1799</v>
      </c>
      <c r="Q199" s="20"/>
      <c r="R199" s="21" t="str">
        <f t="shared" si="25"/>
        <v>116</v>
      </c>
      <c r="S199" s="17"/>
      <c r="T199" s="23" t="s">
        <v>2814</v>
      </c>
      <c r="U199">
        <f t="shared" ref="U199:U242" si="31">IF(D199&lt;10,W199+V199-1,IF(D199&gt;=10,W199+V199-2))</f>
        <v>7</v>
      </c>
      <c r="V199">
        <f t="shared" si="29"/>
        <v>4</v>
      </c>
      <c r="W199">
        <f t="shared" si="30"/>
        <v>5</v>
      </c>
      <c r="X199">
        <f t="shared" si="28"/>
        <v>0</v>
      </c>
      <c r="AG199" s="71" t="s">
        <v>2778</v>
      </c>
      <c r="AH199" s="71"/>
      <c r="AO199" s="2"/>
      <c r="AP199" s="2"/>
      <c r="AQ199" s="2"/>
      <c r="AR199" s="2"/>
      <c r="AS199" s="2"/>
      <c r="AT199" s="2"/>
      <c r="AU199" s="2"/>
      <c r="AV199" s="2"/>
      <c r="AW199" s="2"/>
      <c r="AX199" s="2"/>
      <c r="AY199" s="2"/>
      <c r="AZ199" s="2"/>
    </row>
    <row r="200" spans="1:93" ht="19">
      <c r="D200">
        <v>116</v>
      </c>
      <c r="E200" s="2" t="s">
        <v>1795</v>
      </c>
      <c r="F200" t="s">
        <v>1654</v>
      </c>
      <c r="I200" s="31"/>
      <c r="K200" s="9"/>
      <c r="L200" s="5"/>
      <c r="M200" s="8">
        <v>26753</v>
      </c>
      <c r="N200" s="3"/>
      <c r="O200" s="62"/>
      <c r="P200" s="13" t="s">
        <v>1800</v>
      </c>
      <c r="Q200" s="20"/>
      <c r="R200" s="21" t="str">
        <f t="shared" si="25"/>
        <v>116</v>
      </c>
      <c r="S200" s="17"/>
      <c r="T200" s="23" t="s">
        <v>2814</v>
      </c>
      <c r="U200">
        <f t="shared" si="31"/>
        <v>7</v>
      </c>
      <c r="V200">
        <f t="shared" si="29"/>
        <v>4</v>
      </c>
      <c r="W200">
        <f t="shared" si="30"/>
        <v>5</v>
      </c>
      <c r="X200">
        <f t="shared" si="28"/>
        <v>0</v>
      </c>
      <c r="AG200" s="71" t="s">
        <v>2779</v>
      </c>
      <c r="AJ200" s="2"/>
      <c r="AK200" s="2"/>
      <c r="AL200" s="2"/>
      <c r="AM200" s="2"/>
      <c r="AN200" s="2"/>
      <c r="AO200" s="2"/>
      <c r="AP200" s="2"/>
      <c r="AQ200" s="2"/>
      <c r="AR200" s="2"/>
      <c r="AS200" s="2"/>
      <c r="AT200" s="2"/>
      <c r="AU200" s="2"/>
      <c r="AV200" s="2"/>
      <c r="AW200" s="2"/>
      <c r="AX200" s="2"/>
      <c r="AY200" s="2"/>
      <c r="AZ200" s="2"/>
    </row>
    <row r="201" spans="1:93" ht="19">
      <c r="A201" t="e">
        <f>IF(O201="?",2021-I201,J201-I201)</f>
        <v>#VALUE!</v>
      </c>
      <c r="C201">
        <v>4823</v>
      </c>
      <c r="D201">
        <v>118</v>
      </c>
      <c r="E201" s="2" t="s">
        <v>782</v>
      </c>
      <c r="F201" t="s">
        <v>899</v>
      </c>
      <c r="G201" t="s">
        <v>900</v>
      </c>
      <c r="H201" t="s">
        <v>901</v>
      </c>
      <c r="I201" s="31">
        <f>YEAR(L201)</f>
        <v>1942</v>
      </c>
      <c r="J201" t="e">
        <f>IF(O201="?",O201,YEAR(O201))</f>
        <v>#VALUE!</v>
      </c>
      <c r="K201" s="9" t="str">
        <f>IF(B201="",_xlfn.CONCAT(F201," (",D201,"): ",I201),_xlfn.CONCAT(B201," (",D201,"): ",I201))</f>
        <v>Patricia (118): 1942</v>
      </c>
      <c r="L201" s="5">
        <v>15429</v>
      </c>
      <c r="M201" s="8">
        <v>15429</v>
      </c>
      <c r="N201" t="s">
        <v>797</v>
      </c>
      <c r="O201" s="62" t="str">
        <f>VLOOKUP(D201,DateDeath,12,FALSE)</f>
        <v xml:space="preserve"> - </v>
      </c>
      <c r="P201" s="13">
        <f>D201</f>
        <v>118</v>
      </c>
      <c r="Q201" s="20" t="e">
        <f>_xlfn.CONCAT(K201," - ",J201)</f>
        <v>#VALUE!</v>
      </c>
      <c r="R201" s="16">
        <f>VLOOKUP(P201,'Loyd List 1-190 - Edit'!$P$3:$R$184,3,FALSE)</f>
        <v>55</v>
      </c>
      <c r="S201" s="17" t="str">
        <f>VLOOKUP(R201,'Loyd List 1-190 - Edit'!$R$3:$S$184,2,FALSE)</f>
        <v>Dick (55): 1882–1950</v>
      </c>
      <c r="T201" s="23" t="s">
        <v>2814</v>
      </c>
      <c r="U201">
        <f t="shared" si="31"/>
        <v>6</v>
      </c>
      <c r="V201">
        <f t="shared" si="29"/>
        <v>3</v>
      </c>
      <c r="W201">
        <f t="shared" si="30"/>
        <v>5</v>
      </c>
      <c r="X201">
        <f t="shared" si="28"/>
        <v>0</v>
      </c>
      <c r="Y201" t="e">
        <f>VLOOKUP(D201,'Data check lookup table'!$A$2:$B$173,2,FALSE)</f>
        <v>#N/A</v>
      </c>
      <c r="Z201" t="e">
        <f>U201-Y201</f>
        <v>#N/A</v>
      </c>
      <c r="AC201" t="e">
        <f>A201</f>
        <v>#VALUE!</v>
      </c>
      <c r="AG201" s="71" t="s">
        <v>679</v>
      </c>
      <c r="AH201" s="2" t="s">
        <v>393</v>
      </c>
      <c r="AI201" s="2" t="s">
        <v>394</v>
      </c>
      <c r="AJ201" s="2" t="s">
        <v>395</v>
      </c>
      <c r="AK201" s="2" t="s">
        <v>396</v>
      </c>
      <c r="AL201" s="2" t="s">
        <v>397</v>
      </c>
      <c r="AM201" s="2" t="s">
        <v>398</v>
      </c>
      <c r="AN201" s="2" t="s">
        <v>399</v>
      </c>
      <c r="AO201" s="2" t="s">
        <v>400</v>
      </c>
      <c r="AP201" s="2" t="s">
        <v>401</v>
      </c>
      <c r="AQ201" s="2" t="s">
        <v>402</v>
      </c>
      <c r="AR201" s="2" t="s">
        <v>403</v>
      </c>
      <c r="AS201" s="2" t="s">
        <v>404</v>
      </c>
      <c r="AT201" s="2" t="s">
        <v>405</v>
      </c>
      <c r="AU201" s="2" t="s">
        <v>406</v>
      </c>
      <c r="AV201" s="2" t="s">
        <v>407</v>
      </c>
      <c r="AW201" s="2" t="s">
        <v>408</v>
      </c>
      <c r="AX201" s="2" t="s">
        <v>409</v>
      </c>
      <c r="AY201" s="2" t="s">
        <v>410</v>
      </c>
      <c r="AZ201" s="2" t="s">
        <v>411</v>
      </c>
      <c r="BA201" s="2" t="s">
        <v>412</v>
      </c>
      <c r="BB201" s="2" t="s">
        <v>413</v>
      </c>
      <c r="BC201" s="2" t="s">
        <v>414</v>
      </c>
      <c r="BD201" s="2" t="s">
        <v>415</v>
      </c>
      <c r="BE201" s="2" t="s">
        <v>416</v>
      </c>
      <c r="BF201" s="2" t="s">
        <v>417</v>
      </c>
      <c r="BG201" s="2" t="s">
        <v>418</v>
      </c>
      <c r="BH201" s="2" t="s">
        <v>419</v>
      </c>
      <c r="BI201" s="2" t="s">
        <v>420</v>
      </c>
      <c r="BJ201" s="2" t="s">
        <v>1</v>
      </c>
      <c r="BK201" s="2" t="s">
        <v>421</v>
      </c>
      <c r="BL201" s="2" t="s">
        <v>422</v>
      </c>
      <c r="BM201" s="2" t="s">
        <v>423</v>
      </c>
      <c r="BN201" s="2" t="s">
        <v>424</v>
      </c>
      <c r="BO201" s="2" t="s">
        <v>425</v>
      </c>
      <c r="BP201" s="2" t="s">
        <v>426</v>
      </c>
      <c r="BQ201" s="2" t="s">
        <v>427</v>
      </c>
      <c r="BR201" s="2" t="s">
        <v>428</v>
      </c>
      <c r="BS201" s="2" t="s">
        <v>429</v>
      </c>
      <c r="BT201" s="2" t="s">
        <v>430</v>
      </c>
      <c r="BU201" s="2" t="s">
        <v>431</v>
      </c>
      <c r="BV201" s="2" t="s">
        <v>432</v>
      </c>
      <c r="BW201" s="2" t="s">
        <v>433</v>
      </c>
      <c r="BX201" s="2" t="s">
        <v>434</v>
      </c>
      <c r="BY201" s="2" t="s">
        <v>435</v>
      </c>
      <c r="BZ201" s="2" t="s">
        <v>436</v>
      </c>
      <c r="CA201" s="2" t="s">
        <v>437</v>
      </c>
    </row>
    <row r="202" spans="1:93" ht="19">
      <c r="A202">
        <f>IF(O202="?",2021-I202,J202-I202)</f>
        <v>21</v>
      </c>
      <c r="C202">
        <v>4851</v>
      </c>
      <c r="D202">
        <v>120</v>
      </c>
      <c r="E202" s="2" t="s">
        <v>782</v>
      </c>
      <c r="F202" t="s">
        <v>903</v>
      </c>
      <c r="G202" t="s">
        <v>904</v>
      </c>
      <c r="I202" s="31">
        <f>YEAR(L202)</f>
        <v>1947</v>
      </c>
      <c r="J202">
        <f>IF(O202="?",O202,YEAR(O202))</f>
        <v>1968</v>
      </c>
      <c r="K202" s="9" t="str">
        <f>IF(B202="",_xlfn.CONCAT(F202," (",D202,"): ",I202),_xlfn.CONCAT(B202," (",D202,"): ",I202))</f>
        <v>Caroline (120): 1947</v>
      </c>
      <c r="L202" s="5">
        <v>17183</v>
      </c>
      <c r="M202" s="8">
        <v>17183</v>
      </c>
      <c r="N202" s="3">
        <v>24960</v>
      </c>
      <c r="O202" s="62">
        <f>VLOOKUP(D202,DateDeath,12,FALSE)</f>
        <v>24960</v>
      </c>
      <c r="P202" s="13">
        <f>D202</f>
        <v>120</v>
      </c>
      <c r="Q202" s="20" t="str">
        <f>_xlfn.CONCAT(K202," - ",J202)</f>
        <v>Caroline (120): 1947 - 1968</v>
      </c>
      <c r="R202" s="16">
        <f>VLOOKUP(P202,'Loyd List 1-190 - Edit'!$P$3:$R$184,3,FALSE)</f>
        <v>96</v>
      </c>
      <c r="S202" s="17" t="str">
        <f>VLOOKUP(R202,'Loyd List 1-190 - Edit'!$R$3:$S$184,2,FALSE)</f>
        <v>Edward (96): 1921–1977</v>
      </c>
      <c r="T202" s="23" t="s">
        <v>2814</v>
      </c>
      <c r="U202">
        <f t="shared" si="31"/>
        <v>7</v>
      </c>
      <c r="V202">
        <f t="shared" si="29"/>
        <v>3</v>
      </c>
      <c r="W202">
        <f t="shared" si="30"/>
        <v>6</v>
      </c>
      <c r="X202">
        <f t="shared" si="28"/>
        <v>0</v>
      </c>
      <c r="Y202" t="s">
        <v>1801</v>
      </c>
      <c r="AB202" t="str">
        <f>MID(AG202,4,SEARCH(".",AG202)-SEARCH("Of ",AG202))</f>
        <v>3 Whittingstall Mansions, Whittingstall Road, London SW6 4EE.</v>
      </c>
      <c r="AC202">
        <f>A202</f>
        <v>21</v>
      </c>
      <c r="AG202" s="71" t="s">
        <v>690</v>
      </c>
      <c r="AH202" s="2"/>
      <c r="AI202" s="2" t="s">
        <v>438</v>
      </c>
      <c r="AJ202" s="2" t="s">
        <v>439</v>
      </c>
      <c r="AK202" s="2" t="s">
        <v>440</v>
      </c>
      <c r="AL202" s="2" t="s">
        <v>441</v>
      </c>
      <c r="AM202" s="2" t="s">
        <v>442</v>
      </c>
      <c r="AN202" s="2" t="s">
        <v>443</v>
      </c>
      <c r="AO202" s="2" t="s">
        <v>194</v>
      </c>
      <c r="AP202" s="2" t="s">
        <v>444</v>
      </c>
    </row>
    <row r="203" spans="1:93" ht="19">
      <c r="A203">
        <f>IF(O203="?",2021-I203,J203-I203)</f>
        <v>24</v>
      </c>
      <c r="C203">
        <v>4893</v>
      </c>
      <c r="D203">
        <v>123</v>
      </c>
      <c r="E203" s="2" t="s">
        <v>782</v>
      </c>
      <c r="F203" t="s">
        <v>862</v>
      </c>
      <c r="G203" t="s">
        <v>907</v>
      </c>
      <c r="I203" s="31">
        <f>YEAR(L203)</f>
        <v>1949</v>
      </c>
      <c r="J203">
        <f>IF(O203="?",O203,YEAR(O203))</f>
        <v>1973</v>
      </c>
      <c r="K203" s="9" t="str">
        <f>IF(B203="",_xlfn.CONCAT(F203," (",D203,"): ",I203),_xlfn.CONCAT(B203," (",D203,"): ",I203))</f>
        <v>Janet (123): 1949</v>
      </c>
      <c r="L203" s="5">
        <v>18019</v>
      </c>
      <c r="M203" s="8">
        <v>18019</v>
      </c>
      <c r="N203" s="3">
        <v>26992</v>
      </c>
      <c r="O203" s="62">
        <f>VLOOKUP(D203,DateDeath,12,FALSE)</f>
        <v>26992</v>
      </c>
      <c r="P203" s="13">
        <f>D203</f>
        <v>123</v>
      </c>
      <c r="Q203" s="20" t="str">
        <f>_xlfn.CONCAT(K203," - ",J203)</f>
        <v>Janet (123): 1949 - 1973</v>
      </c>
      <c r="R203" s="16">
        <f>VLOOKUP(P203,'Loyd List 1-190 - Edit'!$P$3:$R$184,3,FALSE)</f>
        <v>89</v>
      </c>
      <c r="S203" s="17" t="str">
        <f>VLOOKUP(R203,'Loyd List 1-190 - Edit'!$R$3:$S$184,2,FALSE)</f>
        <v>Sir Francis/Frank (89): 1916–2006</v>
      </c>
      <c r="T203" s="23" t="s">
        <v>2814</v>
      </c>
      <c r="U203">
        <f t="shared" si="31"/>
        <v>7</v>
      </c>
      <c r="V203">
        <f t="shared" si="29"/>
        <v>3</v>
      </c>
      <c r="W203">
        <f t="shared" si="30"/>
        <v>6</v>
      </c>
      <c r="X203">
        <f t="shared" si="28"/>
        <v>0</v>
      </c>
      <c r="Y203" t="s">
        <v>1802</v>
      </c>
      <c r="AA203" t="s">
        <v>847</v>
      </c>
      <c r="AB203" t="str">
        <f>MID(AG203,4,SEARCH(".",AG203)-SEARCH("Of ",AG203))</f>
        <v>The Corner House, Stoke-by-Nayland, Suffolk, CO6 4SE.</v>
      </c>
      <c r="AC203">
        <f>A203</f>
        <v>24</v>
      </c>
      <c r="AG203" s="71" t="s">
        <v>705</v>
      </c>
      <c r="AH203" s="2" t="s">
        <v>445</v>
      </c>
      <c r="AI203" s="2" t="s">
        <v>446</v>
      </c>
      <c r="AJ203" s="2" t="s">
        <v>447</v>
      </c>
      <c r="AK203" s="2" t="s">
        <v>448</v>
      </c>
      <c r="AL203" s="2" t="s">
        <v>449</v>
      </c>
      <c r="AM203" s="2" t="s">
        <v>450</v>
      </c>
      <c r="AN203" s="2" t="s">
        <v>451</v>
      </c>
      <c r="AO203" s="2" t="s">
        <v>452</v>
      </c>
    </row>
    <row r="204" spans="1:93" ht="19">
      <c r="D204">
        <f>D203</f>
        <v>123</v>
      </c>
      <c r="E204" s="2" t="s">
        <v>1803</v>
      </c>
      <c r="F204" t="s">
        <v>939</v>
      </c>
      <c r="G204" t="s">
        <v>922</v>
      </c>
      <c r="H204" t="s">
        <v>1497</v>
      </c>
      <c r="I204" s="31"/>
      <c r="K204" s="9"/>
      <c r="L204" s="5"/>
      <c r="M204" s="8">
        <v>28739</v>
      </c>
      <c r="N204" s="3"/>
      <c r="O204" s="62"/>
      <c r="P204" s="13" t="s">
        <v>1806</v>
      </c>
      <c r="Q204" s="20"/>
      <c r="R204" s="21" t="str">
        <f>MID(P204,1,LEN(P204)-1)</f>
        <v>123</v>
      </c>
      <c r="S204" s="17"/>
      <c r="T204" s="23" t="s">
        <v>2814</v>
      </c>
      <c r="U204">
        <f t="shared" si="31"/>
        <v>8</v>
      </c>
      <c r="V204">
        <f t="shared" si="29"/>
        <v>4</v>
      </c>
      <c r="W204">
        <f t="shared" si="30"/>
        <v>6</v>
      </c>
      <c r="X204">
        <f t="shared" si="28"/>
        <v>0</v>
      </c>
      <c r="AG204" s="71" t="s">
        <v>2780</v>
      </c>
      <c r="AK204" s="71"/>
      <c r="AS204" s="71"/>
    </row>
    <row r="205" spans="1:93" ht="19">
      <c r="D205">
        <f>D204</f>
        <v>123</v>
      </c>
      <c r="E205" s="2" t="s">
        <v>1803</v>
      </c>
      <c r="F205" t="s">
        <v>1804</v>
      </c>
      <c r="G205" t="s">
        <v>1805</v>
      </c>
      <c r="H205" t="s">
        <v>1497</v>
      </c>
      <c r="I205" s="31"/>
      <c r="K205" s="9"/>
      <c r="L205" s="5"/>
      <c r="M205" s="8">
        <v>29571</v>
      </c>
      <c r="N205" s="3"/>
      <c r="O205" s="62"/>
      <c r="P205" s="13" t="s">
        <v>1807</v>
      </c>
      <c r="Q205" s="20"/>
      <c r="R205" s="21" t="str">
        <f>MID(P205,1,LEN(P205)-1)</f>
        <v>123</v>
      </c>
      <c r="S205" s="17"/>
      <c r="T205" s="23" t="s">
        <v>2815</v>
      </c>
      <c r="U205">
        <f t="shared" si="31"/>
        <v>8</v>
      </c>
      <c r="V205">
        <f t="shared" si="29"/>
        <v>4</v>
      </c>
      <c r="W205">
        <f t="shared" si="30"/>
        <v>6</v>
      </c>
      <c r="X205">
        <f t="shared" si="28"/>
        <v>0</v>
      </c>
      <c r="AG205" s="71" t="s">
        <v>2781</v>
      </c>
      <c r="AH205" s="2"/>
      <c r="AI205" s="2"/>
      <c r="AJ205" s="2"/>
      <c r="AK205" s="2"/>
      <c r="AL205" s="2"/>
      <c r="AM205" s="2"/>
      <c r="AN205" s="2"/>
      <c r="AO205" s="2"/>
    </row>
    <row r="206" spans="1:93" ht="19">
      <c r="A206">
        <f>IF(O206="?",2021-I206,J206-I206)</f>
        <v>20</v>
      </c>
      <c r="C206">
        <v>4927</v>
      </c>
      <c r="D206">
        <v>125</v>
      </c>
      <c r="E206" s="2" t="s">
        <v>782</v>
      </c>
      <c r="F206" t="s">
        <v>908</v>
      </c>
      <c r="G206" t="s">
        <v>870</v>
      </c>
      <c r="I206" s="31">
        <f>YEAR(L206)</f>
        <v>1951</v>
      </c>
      <c r="J206">
        <f>IF(O206="?",O206,YEAR(O206))</f>
        <v>1971</v>
      </c>
      <c r="K206" s="9" t="str">
        <f>IF(B206="",_xlfn.CONCAT(F206," (",D206,"): ",I206),_xlfn.CONCAT(B206," (",D206,"): ",I206))</f>
        <v>Rona (125): 1951</v>
      </c>
      <c r="L206" s="5">
        <v>18683</v>
      </c>
      <c r="M206" s="8">
        <v>18683</v>
      </c>
      <c r="N206" s="3">
        <v>26173</v>
      </c>
      <c r="O206" s="62">
        <f>VLOOKUP(D206,DateDeath,12,FALSE)</f>
        <v>26173</v>
      </c>
      <c r="P206" s="13">
        <f>D206</f>
        <v>125</v>
      </c>
      <c r="Q206" s="20" t="str">
        <f>_xlfn.CONCAT(K206," - ",J206)</f>
        <v>Rona (125): 1951 - 1971</v>
      </c>
      <c r="R206" s="16">
        <f>VLOOKUP(P206,'Loyd List 1-190 - Edit'!$P$3:$R$184,3,FALSE)</f>
        <v>86</v>
      </c>
      <c r="S206" s="17" t="str">
        <f>VLOOKUP(R206,'Loyd List 1-190 - Edit'!$R$3:$S$184,2,FALSE)</f>
        <v>Peter (86): 1913–2008</v>
      </c>
      <c r="T206" s="23" t="s">
        <v>2814</v>
      </c>
      <c r="U206">
        <f t="shared" si="31"/>
        <v>7</v>
      </c>
      <c r="V206">
        <f t="shared" si="29"/>
        <v>3</v>
      </c>
      <c r="W206">
        <f t="shared" si="30"/>
        <v>6</v>
      </c>
      <c r="X206">
        <f t="shared" si="28"/>
        <v>0</v>
      </c>
      <c r="Y206" t="s">
        <v>1808</v>
      </c>
      <c r="AA206" t="s">
        <v>802</v>
      </c>
      <c r="AB206" t="str">
        <f>MID(AG206,4,SEARCH(".",AG206)-SEARCH("Of ",AG206))</f>
        <v>896 Westpoint Drive, Kelowna, British Columbia, Canada.</v>
      </c>
      <c r="AC206">
        <f>A206</f>
        <v>20</v>
      </c>
      <c r="AG206" s="71" t="s">
        <v>719</v>
      </c>
      <c r="AH206" s="2" t="s">
        <v>454</v>
      </c>
      <c r="AI206" s="2" t="s">
        <v>455</v>
      </c>
      <c r="AJ206" s="2" t="s">
        <v>456</v>
      </c>
      <c r="AK206" s="2" t="s">
        <v>457</v>
      </c>
      <c r="AL206" s="2" t="s">
        <v>458</v>
      </c>
      <c r="AM206" s="2" t="s">
        <v>459</v>
      </c>
      <c r="AN206" s="2" t="s">
        <v>460</v>
      </c>
      <c r="AO206" s="2" t="s">
        <v>461</v>
      </c>
      <c r="AP206" s="2" t="s">
        <v>462</v>
      </c>
      <c r="AQ206" s="2" t="s">
        <v>463</v>
      </c>
      <c r="AR206" s="2" t="s">
        <v>464</v>
      </c>
      <c r="AS206" s="2" t="s">
        <v>465</v>
      </c>
      <c r="AT206" s="2" t="s">
        <v>466</v>
      </c>
      <c r="AU206" s="2" t="s">
        <v>467</v>
      </c>
      <c r="AV206" s="2" t="s">
        <v>468</v>
      </c>
      <c r="AW206" s="2" t="s">
        <v>469</v>
      </c>
      <c r="AX206" s="2" t="s">
        <v>470</v>
      </c>
      <c r="AY206" s="2" t="s">
        <v>471</v>
      </c>
      <c r="AZ206" s="2" t="s">
        <v>472</v>
      </c>
      <c r="BA206" s="2" t="s">
        <v>473</v>
      </c>
      <c r="BB206" s="2" t="s">
        <v>474</v>
      </c>
      <c r="BC206" s="2" t="s">
        <v>475</v>
      </c>
      <c r="BD206" s="2" t="s">
        <v>476</v>
      </c>
      <c r="BE206" s="2" t="s">
        <v>477</v>
      </c>
      <c r="BF206" s="2" t="s">
        <v>478</v>
      </c>
      <c r="BG206" s="2" t="s">
        <v>479</v>
      </c>
      <c r="BH206" s="2" t="s">
        <v>480</v>
      </c>
      <c r="BI206" s="2" t="s">
        <v>481</v>
      </c>
      <c r="BJ206" s="2" t="s">
        <v>482</v>
      </c>
      <c r="BK206" s="2" t="s">
        <v>483</v>
      </c>
      <c r="BL206" s="2" t="s">
        <v>484</v>
      </c>
    </row>
    <row r="207" spans="1:93" ht="19">
      <c r="D207">
        <f>D206</f>
        <v>125</v>
      </c>
      <c r="E207" s="2" t="s">
        <v>1809</v>
      </c>
      <c r="F207" t="s">
        <v>920</v>
      </c>
      <c r="G207" t="s">
        <v>896</v>
      </c>
      <c r="I207" s="31"/>
      <c r="K207" s="9"/>
      <c r="L207" s="5"/>
      <c r="M207" s="8">
        <v>27964</v>
      </c>
      <c r="N207" s="3"/>
      <c r="O207" s="62"/>
      <c r="P207" s="13" t="s">
        <v>1811</v>
      </c>
      <c r="Q207" s="20"/>
      <c r="R207" s="21" t="str">
        <f>MID(P207,1,LEN(P207)-1)</f>
        <v>125</v>
      </c>
      <c r="S207" s="17"/>
      <c r="T207" s="23" t="s">
        <v>2815</v>
      </c>
      <c r="U207">
        <f t="shared" si="31"/>
        <v>8</v>
      </c>
      <c r="V207">
        <f t="shared" si="29"/>
        <v>4</v>
      </c>
      <c r="W207">
        <f t="shared" si="30"/>
        <v>6</v>
      </c>
      <c r="X207">
        <f t="shared" si="28"/>
        <v>0</v>
      </c>
      <c r="AG207" s="71"/>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row>
    <row r="208" spans="1:93" ht="19">
      <c r="D208">
        <f>D206</f>
        <v>125</v>
      </c>
      <c r="E208" s="2" t="s">
        <v>1809</v>
      </c>
      <c r="F208" t="s">
        <v>1810</v>
      </c>
      <c r="G208" t="s">
        <v>870</v>
      </c>
      <c r="I208" s="31"/>
      <c r="K208" s="9"/>
      <c r="L208" s="5"/>
      <c r="M208" s="8">
        <v>28633</v>
      </c>
      <c r="N208" s="3"/>
      <c r="O208" s="62"/>
      <c r="P208" s="13" t="s">
        <v>1812</v>
      </c>
      <c r="Q208" s="20"/>
      <c r="R208" s="21" t="str">
        <f>MID(P208,1,LEN(P208)-1)</f>
        <v>125</v>
      </c>
      <c r="S208" s="17"/>
      <c r="T208" s="23" t="s">
        <v>2814</v>
      </c>
      <c r="U208">
        <f t="shared" si="31"/>
        <v>8</v>
      </c>
      <c r="V208">
        <f t="shared" si="29"/>
        <v>4</v>
      </c>
      <c r="W208">
        <f t="shared" si="30"/>
        <v>6</v>
      </c>
      <c r="X208">
        <f t="shared" si="28"/>
        <v>0</v>
      </c>
      <c r="AG208" s="71"/>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row>
    <row r="209" spans="1:95" ht="19">
      <c r="A209">
        <f>IF(O209="?",2021-I209,J209-I209)</f>
        <v>36</v>
      </c>
      <c r="C209">
        <v>4975</v>
      </c>
      <c r="D209">
        <v>128</v>
      </c>
      <c r="E209" s="2" t="s">
        <v>782</v>
      </c>
      <c r="F209" t="s">
        <v>910</v>
      </c>
      <c r="G209" t="s">
        <v>903</v>
      </c>
      <c r="I209" s="31">
        <f>YEAR(L209)</f>
        <v>1952</v>
      </c>
      <c r="J209">
        <f>IF(O209="?",O209,YEAR(O209))</f>
        <v>1988</v>
      </c>
      <c r="K209" s="9" t="str">
        <f>IF(B209="",_xlfn.CONCAT(F209," (",D209,"): ",I209),_xlfn.CONCAT(B209," (",D209,"): ",I209))</f>
        <v>Julie (128): 1952</v>
      </c>
      <c r="L209" s="5">
        <v>19114</v>
      </c>
      <c r="M209" s="8">
        <v>19114</v>
      </c>
      <c r="N209" s="3">
        <v>32402</v>
      </c>
      <c r="O209" s="62">
        <f>VLOOKUP(D209,DateDeath,12,FALSE)</f>
        <v>32402</v>
      </c>
      <c r="P209" s="13">
        <f>D209</f>
        <v>128</v>
      </c>
      <c r="Q209" s="20" t="str">
        <f>_xlfn.CONCAT(K209," - ",J209)</f>
        <v>Julie (128): 1952 - 1988</v>
      </c>
      <c r="R209" s="16">
        <f>VLOOKUP(P209,'Loyd List 1-190 - Edit'!$P$3:$R$184,3,FALSE)</f>
        <v>98</v>
      </c>
      <c r="S209" s="17" t="str">
        <f>VLOOKUP(R209,'Loyd List 1-190 - Edit'!$R$3:$S$184,2,FALSE)</f>
        <v>Peter (98): 1922–2022</v>
      </c>
      <c r="T209" s="23" t="s">
        <v>2814</v>
      </c>
      <c r="U209">
        <f t="shared" si="31"/>
        <v>7</v>
      </c>
      <c r="V209">
        <f t="shared" si="29"/>
        <v>3</v>
      </c>
      <c r="W209">
        <f t="shared" si="30"/>
        <v>6</v>
      </c>
      <c r="X209">
        <f t="shared" si="28"/>
        <v>0</v>
      </c>
      <c r="Y209" t="s">
        <v>1813</v>
      </c>
      <c r="AA209" t="s">
        <v>847</v>
      </c>
      <c r="AB209" t="str">
        <f>MID(AG209,4,SEARCH(".",AG209)-SEARCH("Of ",AG209))</f>
        <v>29 Westfields, St Albans, Hertfordshire, AL3 4LR.</v>
      </c>
      <c r="AC209">
        <f>A209</f>
        <v>36</v>
      </c>
      <c r="AG209" s="71" t="s">
        <v>728</v>
      </c>
      <c r="AH209" s="2" t="s">
        <v>486</v>
      </c>
      <c r="AI209" s="2" t="s">
        <v>487</v>
      </c>
      <c r="AJ209" s="2" t="s">
        <v>488</v>
      </c>
      <c r="AK209" s="2" t="s">
        <v>489</v>
      </c>
      <c r="AL209" s="2" t="s">
        <v>490</v>
      </c>
      <c r="AM209" s="2" t="s">
        <v>491</v>
      </c>
      <c r="AN209" s="2" t="s">
        <v>492</v>
      </c>
      <c r="AO209" s="2" t="s">
        <v>493</v>
      </c>
      <c r="AP209" s="2" t="s">
        <v>494</v>
      </c>
      <c r="AQ209" s="2" t="s">
        <v>495</v>
      </c>
      <c r="AR209" s="2" t="s">
        <v>496</v>
      </c>
      <c r="AS209" s="2" t="s">
        <v>497</v>
      </c>
      <c r="AT209" s="2" t="s">
        <v>498</v>
      </c>
      <c r="AU209" s="2" t="s">
        <v>499</v>
      </c>
      <c r="AV209" s="2" t="s">
        <v>500</v>
      </c>
      <c r="AW209" s="2" t="s">
        <v>501</v>
      </c>
      <c r="AX209" s="2" t="s">
        <v>502</v>
      </c>
      <c r="AY209" s="2" t="s">
        <v>503</v>
      </c>
      <c r="AZ209" s="2" t="s">
        <v>504</v>
      </c>
      <c r="BA209" s="2" t="s">
        <v>505</v>
      </c>
      <c r="BB209" s="2" t="s">
        <v>506</v>
      </c>
      <c r="BC209" s="2" t="s">
        <v>507</v>
      </c>
      <c r="BD209" s="2" t="s">
        <v>508</v>
      </c>
      <c r="BE209" s="2" t="s">
        <v>509</v>
      </c>
      <c r="BF209" s="2" t="s">
        <v>510</v>
      </c>
      <c r="BG209" s="2" t="s">
        <v>508</v>
      </c>
      <c r="BH209" s="2" t="s">
        <v>511</v>
      </c>
      <c r="BI209" s="2" t="s">
        <v>512</v>
      </c>
      <c r="BJ209" s="2" t="s">
        <v>513</v>
      </c>
      <c r="BK209" s="2" t="s">
        <v>514</v>
      </c>
      <c r="BL209" s="2" t="s">
        <v>508</v>
      </c>
      <c r="BM209" s="2" t="s">
        <v>515</v>
      </c>
      <c r="BN209" s="2" t="s">
        <v>516</v>
      </c>
      <c r="BO209" s="2" t="s">
        <v>517</v>
      </c>
      <c r="BP209" s="2" t="s">
        <v>518</v>
      </c>
      <c r="BQ209" s="2" t="s">
        <v>519</v>
      </c>
      <c r="BR209" s="2" t="s">
        <v>520</v>
      </c>
      <c r="BS209" s="2" t="s">
        <v>521</v>
      </c>
      <c r="BT209" s="2" t="s">
        <v>522</v>
      </c>
      <c r="BU209" s="2" t="s">
        <v>523</v>
      </c>
      <c r="BV209" s="2" t="s">
        <v>524</v>
      </c>
      <c r="BW209" s="2" t="s">
        <v>525</v>
      </c>
      <c r="BX209" s="2" t="s">
        <v>526</v>
      </c>
      <c r="BY209" s="2" t="s">
        <v>527</v>
      </c>
      <c r="BZ209" s="2" t="s">
        <v>528</v>
      </c>
      <c r="CA209" s="2" t="s">
        <v>529</v>
      </c>
      <c r="CB209" s="2" t="s">
        <v>530</v>
      </c>
      <c r="CC209" s="2" t="s">
        <v>531</v>
      </c>
      <c r="CD209" s="2" t="s">
        <v>532</v>
      </c>
      <c r="CE209" s="2" t="s">
        <v>533</v>
      </c>
      <c r="CF209" s="2" t="s">
        <v>534</v>
      </c>
      <c r="CG209" s="2" t="s">
        <v>535</v>
      </c>
      <c r="CH209" s="2" t="s">
        <v>536</v>
      </c>
      <c r="CI209" s="2" t="s">
        <v>537</v>
      </c>
      <c r="CJ209" s="2" t="s">
        <v>508</v>
      </c>
      <c r="CK209" s="2" t="s">
        <v>538</v>
      </c>
      <c r="CL209" s="2" t="s">
        <v>539</v>
      </c>
      <c r="CM209" s="2" t="s">
        <v>540</v>
      </c>
      <c r="CN209" s="2" t="s">
        <v>541</v>
      </c>
      <c r="CO209" s="2" t="s">
        <v>542</v>
      </c>
      <c r="CP209" s="2" t="s">
        <v>543</v>
      </c>
      <c r="CQ209" s="2" t="s">
        <v>544</v>
      </c>
    </row>
    <row r="210" spans="1:95" ht="19">
      <c r="D210">
        <f>D209</f>
        <v>128</v>
      </c>
      <c r="E210" s="2" t="s">
        <v>1814</v>
      </c>
      <c r="F210" t="s">
        <v>944</v>
      </c>
      <c r="G210" t="s">
        <v>1436</v>
      </c>
      <c r="I210" s="31"/>
      <c r="K210" s="9"/>
      <c r="L210" s="5"/>
      <c r="M210" s="8">
        <v>33242</v>
      </c>
      <c r="N210" s="3"/>
      <c r="O210" s="62"/>
      <c r="P210" s="13" t="s">
        <v>1816</v>
      </c>
      <c r="Q210" s="20"/>
      <c r="R210" s="21" t="str">
        <f>MID(P210,1,LEN(P210)-1)</f>
        <v>128</v>
      </c>
      <c r="S210" s="17"/>
      <c r="T210" s="23" t="s">
        <v>2814</v>
      </c>
      <c r="U210">
        <f t="shared" si="31"/>
        <v>8</v>
      </c>
      <c r="V210">
        <f t="shared" si="29"/>
        <v>4</v>
      </c>
      <c r="W210">
        <f t="shared" si="30"/>
        <v>6</v>
      </c>
      <c r="X210">
        <f t="shared" si="28"/>
        <v>0</v>
      </c>
      <c r="AG210" s="71" t="s">
        <v>2782</v>
      </c>
      <c r="AH210" s="71"/>
      <c r="AI210" s="71"/>
      <c r="AJ210" s="71"/>
      <c r="AK210" s="71"/>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row>
    <row r="211" spans="1:95" ht="19">
      <c r="D211">
        <f>D209</f>
        <v>128</v>
      </c>
      <c r="E211" s="2" t="s">
        <v>1814</v>
      </c>
      <c r="F211" t="s">
        <v>985</v>
      </c>
      <c r="G211" t="s">
        <v>1815</v>
      </c>
      <c r="I211" s="31"/>
      <c r="K211" s="9"/>
      <c r="L211" s="5"/>
      <c r="M211" s="8">
        <v>34194</v>
      </c>
      <c r="N211" s="3"/>
      <c r="O211" s="62"/>
      <c r="P211" s="13" t="s">
        <v>1817</v>
      </c>
      <c r="Q211" s="20"/>
      <c r="R211" s="21" t="str">
        <f>MID(P211,1,LEN(P211)-1)</f>
        <v>128</v>
      </c>
      <c r="S211" s="17"/>
      <c r="T211" s="23" t="s">
        <v>2814</v>
      </c>
      <c r="U211">
        <f t="shared" si="31"/>
        <v>8</v>
      </c>
      <c r="V211">
        <f t="shared" si="29"/>
        <v>4</v>
      </c>
      <c r="W211">
        <f t="shared" si="30"/>
        <v>6</v>
      </c>
      <c r="X211">
        <f t="shared" si="28"/>
        <v>0</v>
      </c>
      <c r="AG211" s="71" t="s">
        <v>2783</v>
      </c>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row>
    <row r="212" spans="1:95" ht="19">
      <c r="A212">
        <f>IF(O212="?",2021-I212,J212-I212)</f>
        <v>31</v>
      </c>
      <c r="C212">
        <v>4999</v>
      </c>
      <c r="D212">
        <v>129</v>
      </c>
      <c r="E212" s="2" t="s">
        <v>782</v>
      </c>
      <c r="F212" t="s">
        <v>798</v>
      </c>
      <c r="G212" t="s">
        <v>882</v>
      </c>
      <c r="I212" s="31">
        <f>YEAR(L212)</f>
        <v>1952</v>
      </c>
      <c r="J212">
        <f>IF(O212="?",O212,YEAR(O212))</f>
        <v>1983</v>
      </c>
      <c r="K212" s="9" t="str">
        <f>IF(B212="",_xlfn.CONCAT(F212," (",D212,"): ",I212),_xlfn.CONCAT(B212," (",D212,"): ",I212))</f>
        <v>Diana (129): 1952</v>
      </c>
      <c r="L212" s="5">
        <v>19127</v>
      </c>
      <c r="M212" s="8">
        <v>19127</v>
      </c>
      <c r="N212" s="3">
        <v>30506</v>
      </c>
      <c r="O212" s="62">
        <f>VLOOKUP(D212,DateDeath,12,FALSE)</f>
        <v>30506</v>
      </c>
      <c r="P212" s="13">
        <f>D212</f>
        <v>129</v>
      </c>
      <c r="Q212" s="20" t="str">
        <f>_xlfn.CONCAT(K212," - ",J212)</f>
        <v>Diana (129): 1952 - 1983</v>
      </c>
      <c r="R212" s="16">
        <f>VLOOKUP(P212,'Loyd List 1-190 - Edit'!$P$3:$R$184,3,FALSE)</f>
        <v>89</v>
      </c>
      <c r="S212" s="17" t="str">
        <f>VLOOKUP(R212,'Loyd List 1-190 - Edit'!$R$3:$S$184,2,FALSE)</f>
        <v>Sir Francis/Frank (89): 1916–2006</v>
      </c>
      <c r="T212" s="23" t="s">
        <v>2814</v>
      </c>
      <c r="U212">
        <f t="shared" si="31"/>
        <v>7</v>
      </c>
      <c r="V212">
        <f t="shared" si="29"/>
        <v>3</v>
      </c>
      <c r="W212">
        <f t="shared" si="30"/>
        <v>6</v>
      </c>
      <c r="X212">
        <f t="shared" si="28"/>
        <v>0</v>
      </c>
      <c r="Y212" t="s">
        <v>1818</v>
      </c>
      <c r="AB212" t="s">
        <v>1161</v>
      </c>
      <c r="AC212">
        <f>A212</f>
        <v>31</v>
      </c>
      <c r="AG212" s="71" t="s">
        <v>1160</v>
      </c>
      <c r="AH212" s="2" t="s">
        <v>546</v>
      </c>
      <c r="AI212" s="2" t="s">
        <v>547</v>
      </c>
      <c r="AJ212" s="2" t="s">
        <v>548</v>
      </c>
      <c r="AK212" s="2" t="s">
        <v>549</v>
      </c>
      <c r="AL212" s="2" t="s">
        <v>550</v>
      </c>
      <c r="AM212" s="2" t="s">
        <v>551</v>
      </c>
      <c r="AN212" s="2" t="s">
        <v>552</v>
      </c>
      <c r="AO212" s="2" t="s">
        <v>553</v>
      </c>
      <c r="AP212" s="2" t="s">
        <v>554</v>
      </c>
      <c r="AQ212" s="2" t="s">
        <v>555</v>
      </c>
      <c r="AR212" s="2" t="s">
        <v>556</v>
      </c>
      <c r="AS212" s="2" t="s">
        <v>557</v>
      </c>
      <c r="AT212" s="2" t="s">
        <v>558</v>
      </c>
      <c r="AU212" s="2" t="s">
        <v>559</v>
      </c>
      <c r="AV212" s="2" t="s">
        <v>560</v>
      </c>
      <c r="AW212" s="2" t="s">
        <v>561</v>
      </c>
      <c r="AX212" s="2" t="s">
        <v>562</v>
      </c>
      <c r="AY212" s="2" t="s">
        <v>563</v>
      </c>
      <c r="AZ212" s="2" t="s">
        <v>564</v>
      </c>
      <c r="BA212" s="2" t="s">
        <v>565</v>
      </c>
      <c r="BB212" s="2" t="s">
        <v>566</v>
      </c>
      <c r="BC212" s="2" t="s">
        <v>567</v>
      </c>
      <c r="BD212" s="2" t="s">
        <v>568</v>
      </c>
      <c r="BE212" s="2" t="s">
        <v>569</v>
      </c>
    </row>
    <row r="213" spans="1:95" ht="19">
      <c r="A213">
        <f>IF(O213="?",2021-I213,J213-I213)</f>
        <v>36</v>
      </c>
      <c r="C213">
        <v>5121</v>
      </c>
      <c r="D213">
        <v>137</v>
      </c>
      <c r="E213" s="2" t="s">
        <v>782</v>
      </c>
      <c r="F213" t="s">
        <v>921</v>
      </c>
      <c r="G213" t="s">
        <v>922</v>
      </c>
      <c r="H213" t="s">
        <v>923</v>
      </c>
      <c r="I213" s="31">
        <f>YEAR(L213)</f>
        <v>1959</v>
      </c>
      <c r="J213">
        <f>IF(O213="?",O213,YEAR(O213))</f>
        <v>1995</v>
      </c>
      <c r="K213" s="9" t="str">
        <f>IF(B213="",_xlfn.CONCAT(F213," (",D213,"): ",I213),_xlfn.CONCAT(B213," (",D213,"): ",I213))</f>
        <v>Henrietta (137): 1959</v>
      </c>
      <c r="L213" s="5">
        <v>21581</v>
      </c>
      <c r="M213" s="8">
        <v>21581</v>
      </c>
      <c r="N213" s="3">
        <v>34853</v>
      </c>
      <c r="O213" s="62">
        <f>VLOOKUP(D213,DateDeath,12,FALSE)</f>
        <v>34853</v>
      </c>
      <c r="P213" s="13">
        <f>D213</f>
        <v>137</v>
      </c>
      <c r="Q213" s="20" t="str">
        <f>_xlfn.CONCAT(K213," - ",J213)</f>
        <v>Henrietta (137): 1959 - 1995</v>
      </c>
      <c r="R213" s="16">
        <f>VLOOKUP(P213,'Loyd List 1-190 - Edit'!$P$3:$R$184,3,FALSE)</f>
        <v>99</v>
      </c>
      <c r="S213" s="17" t="str">
        <f>VLOOKUP(R213,'Loyd List 1-190 - Edit'!$R$3:$S$184,2,FALSE)</f>
        <v>Peter (99): 1923–1974</v>
      </c>
      <c r="T213" s="23" t="s">
        <v>2814</v>
      </c>
      <c r="U213">
        <f t="shared" si="31"/>
        <v>7</v>
      </c>
      <c r="V213">
        <f t="shared" si="29"/>
        <v>3</v>
      </c>
      <c r="W213">
        <f t="shared" si="30"/>
        <v>6</v>
      </c>
      <c r="X213">
        <f t="shared" si="28"/>
        <v>0</v>
      </c>
      <c r="Y213" t="s">
        <v>1819</v>
      </c>
      <c r="AA213" t="s">
        <v>802</v>
      </c>
      <c r="AB213" t="str">
        <f>MID(AG213,4,SEARCH(".",AG213)-SEARCH("Of ",AG213))</f>
        <v>204 Hammersmith Grove, London W6 7HG.</v>
      </c>
      <c r="AC213">
        <f>A213</f>
        <v>36</v>
      </c>
      <c r="AG213" s="71" t="s">
        <v>755</v>
      </c>
      <c r="AH213" s="2" t="s">
        <v>571</v>
      </c>
      <c r="AI213" s="2" t="s">
        <v>572</v>
      </c>
      <c r="AJ213" s="2" t="s">
        <v>573</v>
      </c>
      <c r="AK213" s="2" t="s">
        <v>574</v>
      </c>
      <c r="AL213" s="2" t="s">
        <v>575</v>
      </c>
      <c r="AM213" s="2" t="s">
        <v>576</v>
      </c>
      <c r="AN213" s="2" t="s">
        <v>577</v>
      </c>
      <c r="AO213" s="2" t="s">
        <v>578</v>
      </c>
    </row>
    <row r="214" spans="1:95" ht="19">
      <c r="D214">
        <f>D213</f>
        <v>137</v>
      </c>
      <c r="E214" s="2" t="s">
        <v>1820</v>
      </c>
      <c r="F214" t="s">
        <v>1821</v>
      </c>
      <c r="G214" t="s">
        <v>1822</v>
      </c>
      <c r="H214" t="s">
        <v>845</v>
      </c>
      <c r="I214" s="31"/>
      <c r="K214" s="9"/>
      <c r="L214" s="5"/>
      <c r="M214" s="8">
        <v>36097</v>
      </c>
      <c r="N214" s="3"/>
      <c r="O214" s="62"/>
      <c r="P214" s="13" t="s">
        <v>1823</v>
      </c>
      <c r="Q214" s="20"/>
      <c r="R214" s="21" t="str">
        <f>MID(P214,1,LEN(P214)-1)</f>
        <v>137</v>
      </c>
      <c r="S214" s="17"/>
      <c r="T214" s="23" t="s">
        <v>2814</v>
      </c>
      <c r="U214">
        <f t="shared" si="31"/>
        <v>8</v>
      </c>
      <c r="V214">
        <f t="shared" si="29"/>
        <v>4</v>
      </c>
      <c r="W214">
        <f t="shared" si="30"/>
        <v>6</v>
      </c>
      <c r="X214">
        <f t="shared" si="28"/>
        <v>0</v>
      </c>
      <c r="AG214" s="71" t="s">
        <v>2784</v>
      </c>
      <c r="AH214" s="2"/>
      <c r="AI214" s="2"/>
      <c r="AJ214" s="2"/>
      <c r="AK214" s="2"/>
      <c r="AL214" s="2"/>
      <c r="AM214" s="2"/>
      <c r="AN214" s="2"/>
      <c r="AO214" s="2"/>
    </row>
    <row r="215" spans="1:95" ht="19">
      <c r="A215">
        <f>IF(O215="?",2021-I215,J215-I215)</f>
        <v>31</v>
      </c>
      <c r="B215" t="s">
        <v>885</v>
      </c>
      <c r="C215">
        <v>5171</v>
      </c>
      <c r="D215">
        <v>140</v>
      </c>
      <c r="E215" s="2" t="s">
        <v>782</v>
      </c>
      <c r="F215" t="s">
        <v>845</v>
      </c>
      <c r="G215" t="s">
        <v>798</v>
      </c>
      <c r="H215" t="s">
        <v>926</v>
      </c>
      <c r="I215" s="31">
        <f>YEAR(L215)</f>
        <v>1961</v>
      </c>
      <c r="J215">
        <f>IF(O215="?",O215,YEAR(O215))</f>
        <v>1992</v>
      </c>
      <c r="K215" s="9" t="str">
        <f>IF(B215="",_xlfn.CONCAT(F215," (",D215,"): ",I215),_xlfn.CONCAT(B215," (",D215,"): ",I215))</f>
        <v>Andrew (140): 1961</v>
      </c>
      <c r="L215" s="5">
        <v>22520</v>
      </c>
      <c r="M215" s="8">
        <v>22520</v>
      </c>
      <c r="N215" s="3">
        <v>33684</v>
      </c>
      <c r="O215" s="62">
        <f>VLOOKUP(D215,DateDeath,12,FALSE)</f>
        <v>33684</v>
      </c>
      <c r="P215" s="13">
        <f>D215</f>
        <v>140</v>
      </c>
      <c r="Q215" s="20" t="str">
        <f>_xlfn.CONCAT(K215," - ",J215)</f>
        <v>Andrew (140): 1961 - 1992</v>
      </c>
      <c r="R215" s="16">
        <f>VLOOKUP(P215,'Loyd List 1-190 - Edit'!$P$3:$R$184,3,FALSE)</f>
        <v>78</v>
      </c>
      <c r="S215" s="17" t="str">
        <f>VLOOKUP(R215,'Loyd List 1-190 - Edit'!$R$3:$S$184,2,FALSE)</f>
        <v>Vivian (78): 1894–1972</v>
      </c>
      <c r="T215" s="23" t="s">
        <v>2814</v>
      </c>
      <c r="U215">
        <f t="shared" si="31"/>
        <v>6</v>
      </c>
      <c r="V215">
        <f t="shared" si="29"/>
        <v>3</v>
      </c>
      <c r="W215">
        <f t="shared" si="30"/>
        <v>5</v>
      </c>
      <c r="X215">
        <f t="shared" si="28"/>
        <v>0</v>
      </c>
      <c r="Y215" t="s">
        <v>1824</v>
      </c>
      <c r="AA215" t="s">
        <v>847</v>
      </c>
      <c r="AB215" t="str">
        <f>MID(AG215,4,SEARCH(".",AG215)-SEARCH("Of ",AG215))</f>
        <v>The Old Vicarage, Vale Farm, Barkestone Le Vale, Leicestershire, NG13 0JA.</v>
      </c>
      <c r="AC215">
        <f>A215</f>
        <v>31</v>
      </c>
      <c r="AG215" s="71" t="s">
        <v>756</v>
      </c>
      <c r="AH215" s="2" t="s">
        <v>580</v>
      </c>
      <c r="AI215" s="2" t="s">
        <v>581</v>
      </c>
      <c r="AJ215" s="2" t="s">
        <v>582</v>
      </c>
      <c r="AK215" s="2" t="s">
        <v>583</v>
      </c>
      <c r="AL215" s="2" t="s">
        <v>584</v>
      </c>
      <c r="AM215" s="2" t="s">
        <v>585</v>
      </c>
      <c r="AN215" s="2" t="s">
        <v>586</v>
      </c>
      <c r="AO215" s="2" t="s">
        <v>587</v>
      </c>
      <c r="AP215" s="2" t="s">
        <v>588</v>
      </c>
      <c r="AQ215" s="2" t="s">
        <v>589</v>
      </c>
      <c r="AR215" s="2" t="s">
        <v>590</v>
      </c>
      <c r="AS215" s="2" t="s">
        <v>591</v>
      </c>
      <c r="AT215" s="2" t="s">
        <v>592</v>
      </c>
      <c r="AU215" s="2" t="s">
        <v>593</v>
      </c>
      <c r="AV215" s="2" t="s">
        <v>594</v>
      </c>
      <c r="AW215" s="2" t="s">
        <v>595</v>
      </c>
      <c r="AX215" s="2" t="s">
        <v>596</v>
      </c>
      <c r="AY215" s="2" t="s">
        <v>597</v>
      </c>
      <c r="AZ215" s="2" t="s">
        <v>598</v>
      </c>
      <c r="BA215" s="2" t="s">
        <v>599</v>
      </c>
      <c r="BB215" s="2" t="s">
        <v>600</v>
      </c>
      <c r="BC215" s="2" t="s">
        <v>601</v>
      </c>
      <c r="BD215" s="2" t="s">
        <v>602</v>
      </c>
      <c r="BE215" s="2" t="s">
        <v>603</v>
      </c>
      <c r="BF215" s="2" t="s">
        <v>604</v>
      </c>
    </row>
    <row r="216" spans="1:95" ht="19">
      <c r="D216">
        <f>D215</f>
        <v>140</v>
      </c>
      <c r="E216" s="2" t="s">
        <v>1825</v>
      </c>
      <c r="F216" t="s">
        <v>946</v>
      </c>
      <c r="G216" t="s">
        <v>952</v>
      </c>
      <c r="I216" s="31"/>
      <c r="K216" s="9"/>
      <c r="L216" s="5"/>
      <c r="M216" s="8">
        <v>34702</v>
      </c>
      <c r="N216" s="3"/>
      <c r="O216" s="62"/>
      <c r="P216" s="13" t="s">
        <v>1827</v>
      </c>
      <c r="Q216" s="20"/>
      <c r="R216" s="21" t="str">
        <f>MID(P216,1,LEN(P216)-1)</f>
        <v>140a</v>
      </c>
      <c r="S216" s="17"/>
      <c r="T216" s="23" t="s">
        <v>2814</v>
      </c>
      <c r="U216">
        <f t="shared" si="31"/>
        <v>8</v>
      </c>
      <c r="V216">
        <f t="shared" si="29"/>
        <v>5</v>
      </c>
      <c r="W216">
        <f t="shared" si="30"/>
        <v>5</v>
      </c>
      <c r="X216">
        <f t="shared" si="28"/>
        <v>0</v>
      </c>
      <c r="AG216" s="71" t="s">
        <v>2785</v>
      </c>
      <c r="AK216" s="71"/>
      <c r="AM216" s="71"/>
      <c r="AN216" s="71"/>
      <c r="AO216" s="71"/>
      <c r="AP216" s="71"/>
      <c r="AQ216" s="71"/>
      <c r="AR216" s="71"/>
      <c r="AS216" s="71"/>
      <c r="AT216" s="71"/>
      <c r="AU216" s="71"/>
      <c r="AV216" s="71"/>
      <c r="AW216" s="71"/>
      <c r="AX216" s="2"/>
      <c r="AY216" s="2"/>
      <c r="AZ216" s="2"/>
      <c r="BA216" s="2"/>
      <c r="BB216" s="2"/>
      <c r="BC216" s="2"/>
      <c r="BD216" s="2"/>
      <c r="BE216" s="2"/>
      <c r="BF216" s="2"/>
    </row>
    <row r="217" spans="1:95" ht="19">
      <c r="D217">
        <f>D216</f>
        <v>140</v>
      </c>
      <c r="E217" s="2" t="s">
        <v>1825</v>
      </c>
      <c r="F217" t="s">
        <v>1826</v>
      </c>
      <c r="G217" t="s">
        <v>1452</v>
      </c>
      <c r="I217" s="31"/>
      <c r="K217" s="9"/>
      <c r="L217" s="5"/>
      <c r="M217" s="8">
        <v>34702</v>
      </c>
      <c r="N217" s="3"/>
      <c r="O217" s="62"/>
      <c r="P217" s="13" t="s">
        <v>1828</v>
      </c>
      <c r="Q217" s="20"/>
      <c r="R217" s="21" t="str">
        <f>MID(P217,1,LEN(P217)-1)</f>
        <v>140a</v>
      </c>
      <c r="S217" s="17"/>
      <c r="T217" s="23" t="s">
        <v>2814</v>
      </c>
      <c r="U217">
        <f t="shared" si="31"/>
        <v>8</v>
      </c>
      <c r="V217">
        <f t="shared" si="29"/>
        <v>5</v>
      </c>
      <c r="W217">
        <f t="shared" si="30"/>
        <v>5</v>
      </c>
      <c r="X217">
        <f t="shared" si="28"/>
        <v>0</v>
      </c>
      <c r="AG217" s="71" t="s">
        <v>2786</v>
      </c>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row>
    <row r="218" spans="1:95" ht="19">
      <c r="A218">
        <f>IF(O218="?",2021-I218,J218-I218)</f>
        <v>34</v>
      </c>
      <c r="C218">
        <v>5193</v>
      </c>
      <c r="D218">
        <v>141</v>
      </c>
      <c r="E218" s="2" t="s">
        <v>782</v>
      </c>
      <c r="F218" t="s">
        <v>927</v>
      </c>
      <c r="G218" t="s">
        <v>870</v>
      </c>
      <c r="I218" s="31">
        <f>YEAR(L218)</f>
        <v>1961</v>
      </c>
      <c r="J218">
        <f>IF(O218="?",O218,YEAR(O218))</f>
        <v>1995</v>
      </c>
      <c r="K218" s="9" t="str">
        <f>IF(B218="",_xlfn.CONCAT(F218," (",D218,"): ",I218),_xlfn.CONCAT(B218," (",D218,"): ",I218))</f>
        <v>Alexandra (141): 1961</v>
      </c>
      <c r="L218" s="5">
        <v>22568</v>
      </c>
      <c r="M218" s="8">
        <v>22568</v>
      </c>
      <c r="N218" s="3">
        <v>34741</v>
      </c>
      <c r="O218" s="62">
        <f>VLOOKUP(D218,DateDeath,12,FALSE)</f>
        <v>34741</v>
      </c>
      <c r="P218" s="13">
        <f>D218</f>
        <v>141</v>
      </c>
      <c r="Q218" s="20" t="str">
        <f>_xlfn.CONCAT(K218," - ",J218)</f>
        <v>Alexandra (141): 1961 - 1995</v>
      </c>
      <c r="R218" s="16">
        <f>VLOOKUP(P218,'Loyd List 1-190 - Edit'!$P$3:$R$184,3,FALSE)</f>
        <v>104</v>
      </c>
      <c r="S218" s="17" t="str">
        <f>VLOOKUP(R218,'Loyd List 1-190 - Edit'!$R$3:$S$184,2,FALSE)</f>
        <v>Sir Julian (104): 1926–2018</v>
      </c>
      <c r="T218" s="23" t="s">
        <v>2814</v>
      </c>
      <c r="U218">
        <f t="shared" si="31"/>
        <v>7</v>
      </c>
      <c r="V218">
        <f t="shared" si="29"/>
        <v>3</v>
      </c>
      <c r="W218">
        <f t="shared" si="30"/>
        <v>6</v>
      </c>
      <c r="X218">
        <f t="shared" si="28"/>
        <v>0</v>
      </c>
      <c r="Y218" t="s">
        <v>1829</v>
      </c>
      <c r="AA218" t="s">
        <v>847</v>
      </c>
      <c r="AB218" t="s">
        <v>1162</v>
      </c>
      <c r="AC218">
        <f>A218</f>
        <v>34</v>
      </c>
      <c r="AG218" s="71" t="s">
        <v>757</v>
      </c>
      <c r="AH218" s="2"/>
      <c r="AI218" s="2"/>
      <c r="AJ218" s="2"/>
    </row>
    <row r="219" spans="1:95" ht="19">
      <c r="D219">
        <f>D218</f>
        <v>141</v>
      </c>
      <c r="E219" s="2" t="s">
        <v>1830</v>
      </c>
      <c r="F219" t="s">
        <v>1665</v>
      </c>
      <c r="G219" t="s">
        <v>870</v>
      </c>
      <c r="H219" t="s">
        <v>937</v>
      </c>
      <c r="I219" s="31"/>
      <c r="K219" s="9"/>
      <c r="L219" s="5"/>
      <c r="M219" s="8">
        <v>35127</v>
      </c>
      <c r="N219" s="3"/>
      <c r="O219" s="62"/>
      <c r="P219" s="13" t="s">
        <v>1833</v>
      </c>
      <c r="Q219" s="20"/>
      <c r="R219" s="21" t="str">
        <f>MID(P219,1,LEN(P219)-1)</f>
        <v>141</v>
      </c>
      <c r="S219" s="17"/>
      <c r="T219" s="23" t="s">
        <v>2814</v>
      </c>
      <c r="U219">
        <f t="shared" si="31"/>
        <v>8</v>
      </c>
      <c r="V219">
        <f t="shared" si="29"/>
        <v>4</v>
      </c>
      <c r="W219">
        <f t="shared" si="30"/>
        <v>6</v>
      </c>
      <c r="X219">
        <f t="shared" si="28"/>
        <v>0</v>
      </c>
      <c r="AG219" s="71" t="s">
        <v>2788</v>
      </c>
      <c r="AI219" s="71"/>
    </row>
    <row r="220" spans="1:95" ht="19">
      <c r="D220">
        <f>D219</f>
        <v>141</v>
      </c>
      <c r="E220" s="2" t="s">
        <v>1830</v>
      </c>
      <c r="F220" t="s">
        <v>807</v>
      </c>
      <c r="G220" t="s">
        <v>1831</v>
      </c>
      <c r="H220" t="s">
        <v>1832</v>
      </c>
      <c r="I220" s="31"/>
      <c r="K220" s="9"/>
      <c r="L220" s="5"/>
      <c r="M220" s="8">
        <v>35895</v>
      </c>
      <c r="N220" s="3"/>
      <c r="O220" s="62"/>
      <c r="P220" s="13" t="s">
        <v>1834</v>
      </c>
      <c r="Q220" s="20"/>
      <c r="R220" s="21" t="str">
        <f>MID(P220,1,LEN(P220)-1)</f>
        <v>141</v>
      </c>
      <c r="S220" s="17"/>
      <c r="T220" s="23" t="s">
        <v>2815</v>
      </c>
      <c r="U220">
        <f t="shared" si="31"/>
        <v>8</v>
      </c>
      <c r="V220">
        <f t="shared" si="29"/>
        <v>4</v>
      </c>
      <c r="W220">
        <f t="shared" si="30"/>
        <v>6</v>
      </c>
      <c r="X220">
        <f t="shared" si="28"/>
        <v>0</v>
      </c>
      <c r="AG220" s="71" t="s">
        <v>2787</v>
      </c>
      <c r="AH220" s="2"/>
      <c r="AI220" s="2"/>
      <c r="AJ220" s="2"/>
    </row>
    <row r="221" spans="1:95" ht="19">
      <c r="A221">
        <f>IF(O221="?",2021-I221,J221-I221)</f>
        <v>23</v>
      </c>
      <c r="C221">
        <v>5233</v>
      </c>
      <c r="D221">
        <v>143</v>
      </c>
      <c r="E221" s="2" t="s">
        <v>782</v>
      </c>
      <c r="F221" t="s">
        <v>929</v>
      </c>
      <c r="G221" t="s">
        <v>930</v>
      </c>
      <c r="I221" s="31">
        <f>YEAR(L221)</f>
        <v>1962</v>
      </c>
      <c r="J221">
        <f>IF(O221="?",O221,YEAR(O221))</f>
        <v>1985</v>
      </c>
      <c r="K221" s="9" t="str">
        <f>IF(B221="",_xlfn.CONCAT(F221," (",D221,"): ",I221),_xlfn.CONCAT(B221," (",D221,"): ",I221))</f>
        <v>Harriet (143): 1962</v>
      </c>
      <c r="L221" s="5">
        <v>22817</v>
      </c>
      <c r="M221" s="8">
        <v>22817</v>
      </c>
      <c r="N221" s="3">
        <v>31339</v>
      </c>
      <c r="O221" s="62">
        <f>VLOOKUP(D221,DateDeath,12,FALSE)</f>
        <v>31339</v>
      </c>
      <c r="P221" s="13">
        <f>D221</f>
        <v>143</v>
      </c>
      <c r="Q221" s="20" t="str">
        <f>_xlfn.CONCAT(K221," - ",J221)</f>
        <v>Harriet (143): 1962 - 1985</v>
      </c>
      <c r="R221" s="16">
        <f>VLOOKUP(P221,'Loyd List 1-190 - Edit'!$P$3:$R$184,3,FALSE)</f>
        <v>100</v>
      </c>
      <c r="S221" s="17" t="str">
        <f>VLOOKUP(R221,'Loyd List 1-190 - Edit'!$R$3:$S$184,2,FALSE)</f>
        <v>Christopher (100): 1923–2013</v>
      </c>
      <c r="T221" s="23" t="s">
        <v>2814</v>
      </c>
      <c r="U221">
        <f t="shared" si="31"/>
        <v>7</v>
      </c>
      <c r="V221">
        <f t="shared" si="29"/>
        <v>3</v>
      </c>
      <c r="W221">
        <f t="shared" si="30"/>
        <v>6</v>
      </c>
      <c r="X221">
        <f t="shared" si="28"/>
        <v>0</v>
      </c>
      <c r="Y221" t="s">
        <v>1835</v>
      </c>
      <c r="AA221" t="s">
        <v>847</v>
      </c>
      <c r="AB221" t="s">
        <v>1291</v>
      </c>
      <c r="AC221">
        <f>A221</f>
        <v>23</v>
      </c>
      <c r="AG221" s="71" t="s">
        <v>758</v>
      </c>
      <c r="AH221" s="2" t="s">
        <v>606</v>
      </c>
      <c r="AI221" s="2" t="s">
        <v>607</v>
      </c>
      <c r="AJ221" s="2" t="s">
        <v>608</v>
      </c>
      <c r="AK221" s="2" t="s">
        <v>609</v>
      </c>
      <c r="AL221" s="2" t="s">
        <v>610</v>
      </c>
      <c r="AM221" s="2" t="s">
        <v>611</v>
      </c>
      <c r="AN221" s="2" t="s">
        <v>612</v>
      </c>
      <c r="AO221" s="2" t="s">
        <v>613</v>
      </c>
      <c r="AP221" s="2" t="s">
        <v>614</v>
      </c>
      <c r="AQ221" s="2" t="s">
        <v>615</v>
      </c>
    </row>
    <row r="222" spans="1:95" ht="19">
      <c r="D222">
        <f>D221</f>
        <v>143</v>
      </c>
      <c r="E222" s="2" t="s">
        <v>1836</v>
      </c>
      <c r="F222" t="s">
        <v>1380</v>
      </c>
      <c r="G222" t="s">
        <v>1630</v>
      </c>
      <c r="I222" s="31"/>
      <c r="K222" s="9"/>
      <c r="L222" s="5"/>
      <c r="M222" s="8">
        <v>32181</v>
      </c>
      <c r="N222" s="3"/>
      <c r="O222" s="62"/>
      <c r="P222" s="13" t="s">
        <v>1838</v>
      </c>
      <c r="Q222" s="20"/>
      <c r="R222" s="21" t="str">
        <f>MID(P222,1,LEN(P222)-1)</f>
        <v>143</v>
      </c>
      <c r="S222" s="17"/>
      <c r="T222" s="23" t="s">
        <v>2814</v>
      </c>
      <c r="U222">
        <f t="shared" si="31"/>
        <v>8</v>
      </c>
      <c r="V222">
        <f t="shared" si="29"/>
        <v>4</v>
      </c>
      <c r="W222">
        <f t="shared" si="30"/>
        <v>6</v>
      </c>
      <c r="X222">
        <f t="shared" si="28"/>
        <v>0</v>
      </c>
      <c r="AG222" s="71" t="s">
        <v>2789</v>
      </c>
      <c r="AK222" s="71"/>
      <c r="AN222" s="2"/>
      <c r="AO222" s="2"/>
      <c r="AP222" s="2"/>
      <c r="AQ222" s="2"/>
    </row>
    <row r="223" spans="1:95" ht="19">
      <c r="D223">
        <f>D222</f>
        <v>143</v>
      </c>
      <c r="E223" s="2" t="s">
        <v>1836</v>
      </c>
      <c r="F223" t="s">
        <v>917</v>
      </c>
      <c r="G223" t="s">
        <v>1837</v>
      </c>
      <c r="I223" s="31"/>
      <c r="K223" s="9"/>
      <c r="L223" s="5"/>
      <c r="M223" s="8">
        <v>32974</v>
      </c>
      <c r="N223" s="3"/>
      <c r="O223" s="62"/>
      <c r="P223" s="13" t="s">
        <v>1839</v>
      </c>
      <c r="Q223" s="20"/>
      <c r="R223" s="21" t="str">
        <f>MID(P223,1,LEN(P223)-1)</f>
        <v>143</v>
      </c>
      <c r="S223" s="17"/>
      <c r="T223" s="23" t="s">
        <v>2815</v>
      </c>
      <c r="U223">
        <f t="shared" si="31"/>
        <v>8</v>
      </c>
      <c r="V223">
        <f t="shared" si="29"/>
        <v>4</v>
      </c>
      <c r="W223">
        <f t="shared" si="30"/>
        <v>6</v>
      </c>
      <c r="X223">
        <f t="shared" si="28"/>
        <v>0</v>
      </c>
      <c r="AG223" s="71" t="s">
        <v>2790</v>
      </c>
      <c r="AH223" s="2"/>
      <c r="AI223" s="2"/>
      <c r="AJ223" s="2"/>
      <c r="AK223" s="2"/>
      <c r="AL223" s="2"/>
      <c r="AM223" s="2"/>
      <c r="AN223" s="2"/>
      <c r="AO223" s="2"/>
      <c r="AP223" s="2"/>
      <c r="AQ223" s="2"/>
    </row>
    <row r="224" spans="1:95" ht="19">
      <c r="A224">
        <f>IF(O224="?",2021-I224,J224-I224)</f>
        <v>41</v>
      </c>
      <c r="C224">
        <v>5287</v>
      </c>
      <c r="D224">
        <v>147</v>
      </c>
      <c r="E224" s="2" t="s">
        <v>782</v>
      </c>
      <c r="F224" t="s">
        <v>933</v>
      </c>
      <c r="G224" t="s">
        <v>870</v>
      </c>
      <c r="I224" s="31">
        <f>YEAR(L224)</f>
        <v>1965</v>
      </c>
      <c r="J224">
        <f>IF(O224="?",O224,YEAR(O224))</f>
        <v>2006</v>
      </c>
      <c r="K224" s="9" t="str">
        <f>IF(B224="",_xlfn.CONCAT(F224," (",D224,"): ",I224),_xlfn.CONCAT(B224," (",D224,"): ",I224))</f>
        <v>Susannah (147): 1965</v>
      </c>
      <c r="L224" s="5">
        <v>24014</v>
      </c>
      <c r="M224" s="8">
        <v>24014</v>
      </c>
      <c r="O224" s="62">
        <f>VLOOKUP(D224,DateDeath,12,FALSE)</f>
        <v>38849</v>
      </c>
      <c r="P224" s="13">
        <f>D224</f>
        <v>147</v>
      </c>
      <c r="Q224" s="20" t="str">
        <f>_xlfn.CONCAT(K224," - ",J224)</f>
        <v>Susannah (147): 1965 - 2006</v>
      </c>
      <c r="R224" s="16">
        <f>VLOOKUP(P224,'Loyd List 1-190 - Edit'!$P$3:$R$184,3,FALSE)</f>
        <v>117</v>
      </c>
      <c r="S224" s="17" t="str">
        <f>VLOOKUP(R224,'Loyd List 1-190 - Edit'!$R$3:$S$184,2,FALSE)</f>
        <v>Patrick (117): 1942–</v>
      </c>
      <c r="T224" s="23" t="s">
        <v>2814</v>
      </c>
      <c r="U224">
        <f t="shared" si="31"/>
        <v>7</v>
      </c>
      <c r="V224">
        <f t="shared" si="29"/>
        <v>3</v>
      </c>
      <c r="W224">
        <f t="shared" si="30"/>
        <v>6</v>
      </c>
      <c r="X224">
        <f t="shared" si="28"/>
        <v>0</v>
      </c>
      <c r="Y224" t="e">
        <f>VLOOKUP(D224,'Data check lookup table'!$A$2:$B$173,2,FALSE)</f>
        <v>#N/A</v>
      </c>
      <c r="Z224" t="e">
        <f>U224-Y224</f>
        <v>#N/A</v>
      </c>
      <c r="AB224" t="str">
        <f>MID(AG224,4,SEARCH(".",AG224)-SEARCH("Of ",AG224))</f>
        <v>La Joie, La Passee, St Sampsons, Guernsey, Channel Islands.</v>
      </c>
      <c r="AC224">
        <f>A224</f>
        <v>41</v>
      </c>
      <c r="AG224" s="71" t="s">
        <v>759</v>
      </c>
      <c r="AH224" s="2" t="s">
        <v>616</v>
      </c>
      <c r="AI224" s="2" t="s">
        <v>617</v>
      </c>
      <c r="AJ224" s="2" t="s">
        <v>618</v>
      </c>
      <c r="AK224" s="2" t="s">
        <v>619</v>
      </c>
      <c r="AL224" s="2" t="s">
        <v>620</v>
      </c>
      <c r="AM224" s="2" t="s">
        <v>621</v>
      </c>
      <c r="AN224" s="2" t="s">
        <v>622</v>
      </c>
      <c r="AO224" s="2" t="s">
        <v>623</v>
      </c>
      <c r="AP224" s="2" t="s">
        <v>189</v>
      </c>
    </row>
    <row r="225" spans="1:66" ht="19">
      <c r="A225">
        <f>IF(O225="?",2021-I225,J225-I225)</f>
        <v>35</v>
      </c>
      <c r="C225">
        <v>5327</v>
      </c>
      <c r="D225">
        <v>151</v>
      </c>
      <c r="E225" s="2" t="s">
        <v>782</v>
      </c>
      <c r="F225" t="s">
        <v>935</v>
      </c>
      <c r="G225" t="s">
        <v>936</v>
      </c>
      <c r="I225" s="31">
        <f>YEAR(L225)</f>
        <v>1967</v>
      </c>
      <c r="J225">
        <f>IF(O225="?",O225,YEAR(O225))</f>
        <v>2002</v>
      </c>
      <c r="K225" s="9" t="str">
        <f>IF(B225="",_xlfn.CONCAT(F225," (",D225,"): ",I225),_xlfn.CONCAT(B225," (",D225,"): ",I225))</f>
        <v>Elspeth (151): 1967</v>
      </c>
      <c r="L225" s="5">
        <v>24623</v>
      </c>
      <c r="M225" s="8">
        <v>24623</v>
      </c>
      <c r="O225" s="62">
        <f>VLOOKUP(D225,DateDeath,12,FALSE)</f>
        <v>37520</v>
      </c>
      <c r="P225" s="13">
        <f>D225</f>
        <v>151</v>
      </c>
      <c r="Q225" s="20" t="str">
        <f>_xlfn.CONCAT(K225," - ",J225)</f>
        <v>Elspeth (151): 1967 - 2002</v>
      </c>
      <c r="R225" s="16">
        <f>VLOOKUP(P225,'Loyd List 1-190 - Edit'!$P$3:$R$184,3,FALSE)</f>
        <v>117</v>
      </c>
      <c r="S225" s="17" t="str">
        <f>VLOOKUP(R225,'Loyd List 1-190 - Edit'!$R$3:$S$184,2,FALSE)</f>
        <v>Patrick (117): 1942–</v>
      </c>
      <c r="T225" s="23" t="s">
        <v>2814</v>
      </c>
      <c r="U225">
        <f t="shared" si="31"/>
        <v>7</v>
      </c>
      <c r="V225">
        <f t="shared" si="29"/>
        <v>3</v>
      </c>
      <c r="W225">
        <f t="shared" si="30"/>
        <v>6</v>
      </c>
      <c r="X225">
        <f t="shared" si="28"/>
        <v>0</v>
      </c>
      <c r="Y225" t="e">
        <f>VLOOKUP(D225,'Data check lookup table'!$A$2:$B$173,2,FALSE)</f>
        <v>#N/A</v>
      </c>
      <c r="Z225" t="e">
        <f>U225-Y225</f>
        <v>#N/A</v>
      </c>
      <c r="AB225" t="s">
        <v>1164</v>
      </c>
      <c r="AC225">
        <f>A225</f>
        <v>35</v>
      </c>
      <c r="AG225" s="71" t="s">
        <v>760</v>
      </c>
      <c r="AH225" s="2" t="s">
        <v>624</v>
      </c>
      <c r="AI225" s="2" t="s">
        <v>625</v>
      </c>
      <c r="AJ225" s="2" t="s">
        <v>626</v>
      </c>
      <c r="AK225" s="2" t="s">
        <v>627</v>
      </c>
      <c r="AL225" s="2" t="s">
        <v>628</v>
      </c>
      <c r="AM225" s="2" t="s">
        <v>629</v>
      </c>
      <c r="AN225" s="2" t="s">
        <v>630</v>
      </c>
    </row>
    <row r="226" spans="1:66" ht="19">
      <c r="A226">
        <f>IF(O226="?",2021-I226,J226-I226)</f>
        <v>28</v>
      </c>
      <c r="C226">
        <v>5335</v>
      </c>
      <c r="D226">
        <v>152</v>
      </c>
      <c r="E226" s="2" t="s">
        <v>782</v>
      </c>
      <c r="F226" t="s">
        <v>870</v>
      </c>
      <c r="G226" t="s">
        <v>937</v>
      </c>
      <c r="I226" s="31">
        <f>YEAR(L226)</f>
        <v>1967</v>
      </c>
      <c r="J226">
        <f>IF(O226="?",O226,YEAR(O226))</f>
        <v>1995</v>
      </c>
      <c r="K226" s="9" t="str">
        <f>IF(B226="",_xlfn.CONCAT(F226," (",D226,"): ",I226),_xlfn.CONCAT(B226," (",D226,"): ",I226))</f>
        <v>Mary (152): 1967</v>
      </c>
      <c r="L226" s="5">
        <v>24631</v>
      </c>
      <c r="M226" s="8">
        <v>24631</v>
      </c>
      <c r="N226" s="3">
        <v>34818</v>
      </c>
      <c r="O226" s="62">
        <f>VLOOKUP(D226,DateDeath,12,FALSE)</f>
        <v>34818</v>
      </c>
      <c r="P226" s="13">
        <f>D226</f>
        <v>152</v>
      </c>
      <c r="Q226" s="20" t="str">
        <f>_xlfn.CONCAT(K226," - ",J226)</f>
        <v>Mary (152): 1967 - 1995</v>
      </c>
      <c r="R226" s="16">
        <f>VLOOKUP(P226,'Loyd List 1-190 - Edit'!$P$3:$R$184,3,FALSE)</f>
        <v>104</v>
      </c>
      <c r="S226" s="17" t="str">
        <f>VLOOKUP(R226,'Loyd List 1-190 - Edit'!$R$3:$S$184,2,FALSE)</f>
        <v>Sir Julian (104): 1926–2018</v>
      </c>
      <c r="T226" s="23" t="s">
        <v>2814</v>
      </c>
      <c r="U226">
        <f t="shared" si="31"/>
        <v>7</v>
      </c>
      <c r="V226">
        <f t="shared" si="29"/>
        <v>3</v>
      </c>
      <c r="W226">
        <f t="shared" si="30"/>
        <v>6</v>
      </c>
      <c r="X226">
        <f t="shared" si="28"/>
        <v>0</v>
      </c>
      <c r="Y226" t="s">
        <v>1840</v>
      </c>
      <c r="AA226" t="s">
        <v>847</v>
      </c>
      <c r="AB226" t="s">
        <v>1162</v>
      </c>
      <c r="AC226">
        <f>A226</f>
        <v>28</v>
      </c>
      <c r="AG226" s="71" t="s">
        <v>761</v>
      </c>
      <c r="AH226" s="2" t="s">
        <v>631</v>
      </c>
      <c r="AI226" s="2" t="s">
        <v>632</v>
      </c>
      <c r="AJ226" s="2" t="s">
        <v>633</v>
      </c>
      <c r="AK226" s="2" t="s">
        <v>634</v>
      </c>
      <c r="AL226" s="2" t="s">
        <v>635</v>
      </c>
      <c r="AM226" s="2" t="s">
        <v>636</v>
      </c>
      <c r="AN226" s="2" t="s">
        <v>1</v>
      </c>
      <c r="AO226" s="2" t="s">
        <v>637</v>
      </c>
      <c r="AP226" s="2" t="s">
        <v>638</v>
      </c>
      <c r="AQ226" s="2" t="s">
        <v>639</v>
      </c>
      <c r="AR226" s="2" t="s">
        <v>640</v>
      </c>
      <c r="AS226" s="2" t="s">
        <v>641</v>
      </c>
      <c r="AT226" s="2" t="s">
        <v>642</v>
      </c>
      <c r="AU226" s="2" t="s">
        <v>643</v>
      </c>
      <c r="AV226" s="2" t="s">
        <v>644</v>
      </c>
      <c r="AW226" s="2" t="s">
        <v>645</v>
      </c>
      <c r="AX226" s="2" t="s">
        <v>646</v>
      </c>
      <c r="AY226" s="2" t="s">
        <v>647</v>
      </c>
      <c r="AZ226" s="2" t="s">
        <v>648</v>
      </c>
      <c r="BA226" s="2" t="s">
        <v>649</v>
      </c>
      <c r="BB226" s="2" t="s">
        <v>650</v>
      </c>
      <c r="BC226" s="2" t="s">
        <v>651</v>
      </c>
      <c r="BD226" s="2" t="s">
        <v>652</v>
      </c>
      <c r="BE226" s="2" t="s">
        <v>653</v>
      </c>
      <c r="BF226" s="2" t="s">
        <v>654</v>
      </c>
      <c r="BG226" s="2" t="s">
        <v>655</v>
      </c>
      <c r="BH226" s="2" t="s">
        <v>656</v>
      </c>
      <c r="BI226" s="2" t="s">
        <v>657</v>
      </c>
      <c r="BJ226" s="2" t="s">
        <v>658</v>
      </c>
      <c r="BK226" s="2" t="s">
        <v>659</v>
      </c>
      <c r="BL226" s="2" t="s">
        <v>660</v>
      </c>
      <c r="BM226" s="2" t="s">
        <v>661</v>
      </c>
      <c r="BN226" s="2" t="s">
        <v>662</v>
      </c>
    </row>
    <row r="227" spans="1:66" ht="19">
      <c r="D227">
        <f>D226</f>
        <v>152</v>
      </c>
      <c r="E227" s="2" t="s">
        <v>1841</v>
      </c>
      <c r="F227" t="s">
        <v>1595</v>
      </c>
      <c r="I227" s="31"/>
      <c r="K227" s="9"/>
      <c r="L227" s="5"/>
      <c r="M227" s="8">
        <v>36505</v>
      </c>
      <c r="N227" s="3"/>
      <c r="O227" s="62"/>
      <c r="P227" s="13" t="s">
        <v>1842</v>
      </c>
      <c r="Q227" s="20"/>
      <c r="R227" s="21" t="str">
        <f>MID(P227,1,LEN(P227)-1)</f>
        <v>152</v>
      </c>
      <c r="S227" s="17"/>
      <c r="T227" s="23" t="s">
        <v>2814</v>
      </c>
      <c r="U227">
        <f t="shared" si="31"/>
        <v>8</v>
      </c>
      <c r="V227">
        <f t="shared" si="29"/>
        <v>4</v>
      </c>
      <c r="W227">
        <f t="shared" si="30"/>
        <v>6</v>
      </c>
      <c r="X227">
        <f t="shared" si="28"/>
        <v>0</v>
      </c>
      <c r="AG227" s="71"/>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row>
    <row r="228" spans="1:66" s="60" customFormat="1" ht="19">
      <c r="A228" s="60">
        <f t="shared" ref="A228:A242" si="32">IF(O228="?",2021-I228,J228-I228)</f>
        <v>34</v>
      </c>
      <c r="C228" s="60">
        <v>5357</v>
      </c>
      <c r="D228" s="60">
        <v>154</v>
      </c>
      <c r="E228" s="4" t="s">
        <v>782</v>
      </c>
      <c r="F228" s="60" t="s">
        <v>938</v>
      </c>
      <c r="G228" s="60" t="s">
        <v>939</v>
      </c>
      <c r="I228" s="73">
        <f t="shared" ref="I228:I242" si="33">YEAR(L228)</f>
        <v>1969</v>
      </c>
      <c r="J228" s="60">
        <f t="shared" ref="J228:J242" si="34">IF(O228="?",O228,YEAR(O228))</f>
        <v>2003</v>
      </c>
      <c r="K228" s="74" t="str">
        <f t="shared" ref="K228:K242" si="35">IF(B228="",_xlfn.CONCAT(F228," (",D228,"): ",I228),_xlfn.CONCAT(B228," (",D228,"): ",I228))</f>
        <v>Sophie (154): 1969</v>
      </c>
      <c r="L228" s="33">
        <v>25364</v>
      </c>
      <c r="M228" s="75">
        <v>25364</v>
      </c>
      <c r="O228" s="76">
        <f t="shared" ref="O228:O242" si="36">VLOOKUP(D228,DateDeath,12,FALSE)</f>
        <v>37821</v>
      </c>
      <c r="P228" s="77">
        <f t="shared" ref="P228:P242" si="37">D228</f>
        <v>154</v>
      </c>
      <c r="Q228" s="78" t="str">
        <f t="shared" ref="Q228:Q242" si="38">_xlfn.CONCAT(K228," - ",J228)</f>
        <v>Sophie (154): 1969 - 2003</v>
      </c>
      <c r="R228" s="79">
        <f>VLOOKUP(P228,'Loyd List 1-190 - Edit'!$P$3:$R$184,3,FALSE)</f>
        <v>98</v>
      </c>
      <c r="S228" s="80" t="str">
        <f>VLOOKUP(R228,'Loyd List 1-190 - Edit'!$R$3:$S$184,2,FALSE)</f>
        <v>Peter (98): 1922–2022</v>
      </c>
      <c r="T228" s="81" t="s">
        <v>2814</v>
      </c>
      <c r="U228">
        <f t="shared" si="31"/>
        <v>7</v>
      </c>
      <c r="V228">
        <f t="shared" si="29"/>
        <v>3</v>
      </c>
      <c r="W228">
        <f t="shared" si="30"/>
        <v>6</v>
      </c>
      <c r="X228">
        <f t="shared" si="28"/>
        <v>0</v>
      </c>
      <c r="Y228" t="e">
        <f>VLOOKUP(D228,'Data check lookup table'!$A$2:$B$173,2,FALSE)</f>
        <v>#N/A</v>
      </c>
      <c r="Z228" s="60" t="e">
        <f t="shared" ref="Z228:Z242" si="39">U228-Y228</f>
        <v>#N/A</v>
      </c>
      <c r="AB228" s="60" t="str">
        <f>MID(AG228,4,SEARCH(".",AG228)-SEARCH("Of ",AG228))</f>
        <v>18 Vereker Road, London W14 9JR.</v>
      </c>
      <c r="AC228" s="60">
        <f t="shared" ref="AC228:AC242" si="40">A228</f>
        <v>34</v>
      </c>
      <c r="AG228" s="104" t="s">
        <v>762</v>
      </c>
      <c r="AH228" s="4" t="s">
        <v>664</v>
      </c>
      <c r="AI228" s="4" t="s">
        <v>665</v>
      </c>
      <c r="AJ228" s="4" t="s">
        <v>666</v>
      </c>
      <c r="AK228" s="4" t="s">
        <v>667</v>
      </c>
      <c r="AL228" s="4" t="s">
        <v>668</v>
      </c>
      <c r="AM228" s="4" t="s">
        <v>669</v>
      </c>
      <c r="AN228" s="4" t="s">
        <v>670</v>
      </c>
      <c r="AO228" s="4" t="s">
        <v>671</v>
      </c>
      <c r="AP228" s="4" t="s">
        <v>672</v>
      </c>
      <c r="AQ228" s="4" t="s">
        <v>673</v>
      </c>
      <c r="AR228" s="4" t="s">
        <v>674</v>
      </c>
    </row>
    <row r="229" spans="1:66" ht="19">
      <c r="A229">
        <f t="shared" si="32"/>
        <v>37</v>
      </c>
      <c r="C229">
        <v>5379</v>
      </c>
      <c r="D229">
        <v>156</v>
      </c>
      <c r="E229" s="2" t="s">
        <v>782</v>
      </c>
      <c r="F229" t="s">
        <v>941</v>
      </c>
      <c r="G229" t="s">
        <v>942</v>
      </c>
      <c r="I229" s="31">
        <f t="shared" si="33"/>
        <v>1975</v>
      </c>
      <c r="J229">
        <f t="shared" si="34"/>
        <v>2012</v>
      </c>
      <c r="K229" s="9" t="str">
        <f t="shared" si="35"/>
        <v>Amy (156): 1975</v>
      </c>
      <c r="L229" s="5">
        <v>27457</v>
      </c>
      <c r="M229" s="8">
        <v>27457</v>
      </c>
      <c r="O229" s="62">
        <f t="shared" si="36"/>
        <v>41250</v>
      </c>
      <c r="P229" s="13">
        <f t="shared" si="37"/>
        <v>156</v>
      </c>
      <c r="Q229" s="20" t="str">
        <f t="shared" si="38"/>
        <v>Amy (156): 1975 - 2012</v>
      </c>
      <c r="R229" s="16">
        <f>VLOOKUP(P229,'Loyd List 1-190 - Edit'!$P$3:$R$184,3,FALSE)</f>
        <v>119</v>
      </c>
      <c r="S229" s="17" t="str">
        <f>VLOOKUP(R229,'Loyd List 1-190 - Edit'!$R$3:$S$184,2,FALSE)</f>
        <v>Peter (119): 1942–</v>
      </c>
      <c r="T229" s="23" t="s">
        <v>2814</v>
      </c>
      <c r="U229">
        <f t="shared" si="31"/>
        <v>7</v>
      </c>
      <c r="V229">
        <f t="shared" si="29"/>
        <v>3</v>
      </c>
      <c r="W229">
        <f t="shared" si="30"/>
        <v>6</v>
      </c>
      <c r="X229">
        <f t="shared" si="28"/>
        <v>0</v>
      </c>
      <c r="Y229" t="e">
        <f>VLOOKUP(D229,'Data check lookup table'!$A$2:$B$173,2,FALSE)</f>
        <v>#N/A</v>
      </c>
      <c r="Z229" t="e">
        <f t="shared" si="39"/>
        <v>#N/A</v>
      </c>
      <c r="AB229" t="str">
        <f>MID(AG229,4,SEARCH(".",AG229)-SEARCH("Of ",AG229))</f>
        <v>121 Dawes Road, London SW6 7DU.</v>
      </c>
      <c r="AC229">
        <f t="shared" si="40"/>
        <v>37</v>
      </c>
      <c r="AG229" s="71" t="s">
        <v>763</v>
      </c>
      <c r="AH229" s="2" t="s">
        <v>675</v>
      </c>
      <c r="AI229" s="2" t="s">
        <v>676</v>
      </c>
      <c r="AJ229" s="2" t="s">
        <v>677</v>
      </c>
      <c r="AK229" s="2" t="s">
        <v>678</v>
      </c>
    </row>
    <row r="230" spans="1:66" ht="19">
      <c r="A230">
        <f t="shared" si="32"/>
        <v>36</v>
      </c>
      <c r="C230">
        <v>5391</v>
      </c>
      <c r="D230">
        <v>157</v>
      </c>
      <c r="E230" s="2" t="s">
        <v>782</v>
      </c>
      <c r="F230" t="s">
        <v>943</v>
      </c>
      <c r="G230" t="s">
        <v>922</v>
      </c>
      <c r="I230" s="31">
        <f t="shared" si="33"/>
        <v>1975</v>
      </c>
      <c r="J230">
        <f t="shared" si="34"/>
        <v>2011</v>
      </c>
      <c r="K230" s="9" t="str">
        <f t="shared" si="35"/>
        <v>Tessa (157): 1975</v>
      </c>
      <c r="L230" s="5">
        <v>27606</v>
      </c>
      <c r="M230" s="8">
        <v>27606</v>
      </c>
      <c r="O230" s="62">
        <f t="shared" si="36"/>
        <v>40761</v>
      </c>
      <c r="P230" s="13">
        <f t="shared" si="37"/>
        <v>157</v>
      </c>
      <c r="Q230" s="20" t="str">
        <f t="shared" si="38"/>
        <v>Tessa (157): 1975 - 2011</v>
      </c>
      <c r="R230" s="16">
        <f>VLOOKUP(P230,'Loyd List 1-190 - Edit'!$P$3:$R$184,3,FALSE)</f>
        <v>114</v>
      </c>
      <c r="S230" s="17" t="str">
        <f>VLOOKUP(R230,'Loyd List 1-190 - Edit'!$R$3:$S$184,2,FALSE)</f>
        <v>Michael (114): 1938–</v>
      </c>
      <c r="T230" s="23" t="s">
        <v>2814</v>
      </c>
      <c r="U230">
        <f t="shared" si="31"/>
        <v>7</v>
      </c>
      <c r="V230">
        <f t="shared" si="29"/>
        <v>3</v>
      </c>
      <c r="W230">
        <f t="shared" si="30"/>
        <v>6</v>
      </c>
      <c r="X230">
        <f t="shared" si="28"/>
        <v>0</v>
      </c>
      <c r="Y230" t="e">
        <f>VLOOKUP(D230,'Data check lookup table'!$A$2:$B$173,2,FALSE)</f>
        <v>#N/A</v>
      </c>
      <c r="Z230" t="e">
        <f t="shared" si="39"/>
        <v>#N/A</v>
      </c>
      <c r="AB230" t="s">
        <v>1165</v>
      </c>
      <c r="AC230">
        <f t="shared" si="40"/>
        <v>36</v>
      </c>
      <c r="AG230" s="71" t="s">
        <v>764</v>
      </c>
      <c r="AH230" s="2" t="s">
        <v>680</v>
      </c>
      <c r="AI230" s="2" t="s">
        <v>681</v>
      </c>
    </row>
    <row r="231" spans="1:66" ht="19">
      <c r="A231">
        <f t="shared" si="32"/>
        <v>31</v>
      </c>
      <c r="C231">
        <v>5399</v>
      </c>
      <c r="D231">
        <v>158</v>
      </c>
      <c r="E231" s="2" t="s">
        <v>782</v>
      </c>
      <c r="F231" t="s">
        <v>944</v>
      </c>
      <c r="G231" t="s">
        <v>945</v>
      </c>
      <c r="I231" s="31">
        <f t="shared" si="33"/>
        <v>1977</v>
      </c>
      <c r="J231">
        <f t="shared" si="34"/>
        <v>2008</v>
      </c>
      <c r="K231" s="9" t="str">
        <f t="shared" si="35"/>
        <v>Chloe (158): 1977</v>
      </c>
      <c r="L231" s="5">
        <v>28368</v>
      </c>
      <c r="M231" s="8">
        <v>28368</v>
      </c>
      <c r="O231" s="62">
        <f t="shared" si="36"/>
        <v>39599</v>
      </c>
      <c r="P231" s="13">
        <f t="shared" si="37"/>
        <v>158</v>
      </c>
      <c r="Q231" s="20" t="str">
        <f t="shared" si="38"/>
        <v>Chloe (158): 1977 - 2008</v>
      </c>
      <c r="R231" s="16">
        <f>VLOOKUP(P231,'Loyd List 1-190 - Edit'!$P$3:$R$184,3,FALSE)</f>
        <v>114</v>
      </c>
      <c r="S231" s="17" t="str">
        <f>VLOOKUP(R231,'Loyd List 1-190 - Edit'!$R$3:$S$184,2,FALSE)</f>
        <v>Michael (114): 1938–</v>
      </c>
      <c r="T231" s="23" t="s">
        <v>2814</v>
      </c>
      <c r="U231">
        <f t="shared" si="31"/>
        <v>7</v>
      </c>
      <c r="V231">
        <f t="shared" si="29"/>
        <v>3</v>
      </c>
      <c r="W231">
        <f t="shared" si="30"/>
        <v>6</v>
      </c>
      <c r="X231">
        <f t="shared" si="28"/>
        <v>0</v>
      </c>
      <c r="Y231" t="e">
        <f>VLOOKUP(D231,'Data check lookup table'!$A$2:$B$173,2,FALSE)</f>
        <v>#N/A</v>
      </c>
      <c r="Z231" t="e">
        <f t="shared" si="39"/>
        <v>#N/A</v>
      </c>
      <c r="AB231" t="s">
        <v>1165</v>
      </c>
      <c r="AC231">
        <f t="shared" si="40"/>
        <v>31</v>
      </c>
      <c r="AG231" s="71" t="s">
        <v>765</v>
      </c>
      <c r="AH231" s="2" t="s">
        <v>682</v>
      </c>
      <c r="AI231" s="2" t="s">
        <v>683</v>
      </c>
      <c r="AJ231" s="2" t="s">
        <v>684</v>
      </c>
      <c r="AK231" s="2" t="s">
        <v>685</v>
      </c>
      <c r="AL231" s="2" t="s">
        <v>686</v>
      </c>
      <c r="AM231" s="2" t="s">
        <v>687</v>
      </c>
      <c r="AN231" s="2" t="s">
        <v>688</v>
      </c>
      <c r="AO231" s="2" t="s">
        <v>689</v>
      </c>
    </row>
    <row r="232" spans="1:66" ht="19">
      <c r="A232">
        <f t="shared" si="32"/>
        <v>28</v>
      </c>
      <c r="C232">
        <v>5407</v>
      </c>
      <c r="D232">
        <v>159</v>
      </c>
      <c r="E232" s="2" t="s">
        <v>782</v>
      </c>
      <c r="F232" t="s">
        <v>946</v>
      </c>
      <c r="G232" t="s">
        <v>839</v>
      </c>
      <c r="I232" s="31">
        <f t="shared" si="33"/>
        <v>1979</v>
      </c>
      <c r="J232">
        <f t="shared" si="34"/>
        <v>2007</v>
      </c>
      <c r="K232" s="9" t="str">
        <f t="shared" si="35"/>
        <v>Daisy (159): 1979</v>
      </c>
      <c r="L232" s="5">
        <v>29086</v>
      </c>
      <c r="M232" s="8">
        <v>29086</v>
      </c>
      <c r="O232" s="62">
        <f t="shared" si="36"/>
        <v>39424</v>
      </c>
      <c r="P232" s="13">
        <f t="shared" si="37"/>
        <v>159</v>
      </c>
      <c r="Q232" s="20" t="str">
        <f t="shared" si="38"/>
        <v>Daisy (159): 1979 - 2007</v>
      </c>
      <c r="R232" s="16">
        <f>VLOOKUP(P232,'Loyd List 1-190 - Edit'!$P$3:$R$184,3,FALSE)</f>
        <v>114</v>
      </c>
      <c r="S232" s="17" t="str">
        <f>VLOOKUP(R232,'Loyd List 1-190 - Edit'!$R$3:$S$184,2,FALSE)</f>
        <v>Michael (114): 1938–</v>
      </c>
      <c r="T232" s="23" t="s">
        <v>2814</v>
      </c>
      <c r="U232">
        <f t="shared" si="31"/>
        <v>7</v>
      </c>
      <c r="V232">
        <f t="shared" si="29"/>
        <v>3</v>
      </c>
      <c r="W232">
        <f t="shared" si="30"/>
        <v>6</v>
      </c>
      <c r="X232">
        <f t="shared" si="28"/>
        <v>0</v>
      </c>
      <c r="Y232" t="e">
        <f>VLOOKUP(D232,'Data check lookup table'!$A$2:$B$173,2,FALSE)</f>
        <v>#N/A</v>
      </c>
      <c r="Z232" t="e">
        <f t="shared" si="39"/>
        <v>#N/A</v>
      </c>
      <c r="AB232" t="s">
        <v>1165</v>
      </c>
      <c r="AC232">
        <f t="shared" si="40"/>
        <v>28</v>
      </c>
      <c r="AG232" s="71" t="s">
        <v>766</v>
      </c>
      <c r="AH232" s="2" t="s">
        <v>691</v>
      </c>
      <c r="AI232" s="2" t="s">
        <v>692</v>
      </c>
      <c r="AJ232" s="2" t="s">
        <v>693</v>
      </c>
      <c r="AK232" s="2" t="s">
        <v>694</v>
      </c>
      <c r="AL232" s="2" t="s">
        <v>695</v>
      </c>
    </row>
    <row r="233" spans="1:66" ht="19">
      <c r="A233">
        <f t="shared" si="32"/>
        <v>30</v>
      </c>
      <c r="C233">
        <v>5423</v>
      </c>
      <c r="D233">
        <v>161</v>
      </c>
      <c r="E233" s="2" t="s">
        <v>782</v>
      </c>
      <c r="F233" t="s">
        <v>948</v>
      </c>
      <c r="G233" t="s">
        <v>863</v>
      </c>
      <c r="I233" s="31">
        <f t="shared" si="33"/>
        <v>1982</v>
      </c>
      <c r="J233">
        <f t="shared" si="34"/>
        <v>2012</v>
      </c>
      <c r="K233" s="9" t="str">
        <f t="shared" si="35"/>
        <v>Molly (161): 1982</v>
      </c>
      <c r="L233" s="5">
        <v>30048</v>
      </c>
      <c r="M233" s="8">
        <v>30048</v>
      </c>
      <c r="O233" s="62">
        <f t="shared" si="36"/>
        <v>41139</v>
      </c>
      <c r="P233" s="13">
        <f t="shared" si="37"/>
        <v>161</v>
      </c>
      <c r="Q233" s="20" t="str">
        <f t="shared" si="38"/>
        <v>Molly (161): 1982 - 2012</v>
      </c>
      <c r="R233" s="16">
        <f>VLOOKUP(P233,'Loyd List 1-190 - Edit'!$P$3:$R$184,3,FALSE)</f>
        <v>119</v>
      </c>
      <c r="S233" s="17" t="str">
        <f>VLOOKUP(R233,'Loyd List 1-190 - Edit'!$R$3:$S$184,2,FALSE)</f>
        <v>Peter (119): 1942–</v>
      </c>
      <c r="T233" s="23" t="s">
        <v>2814</v>
      </c>
      <c r="U233">
        <f t="shared" si="31"/>
        <v>7</v>
      </c>
      <c r="V233">
        <f t="shared" si="29"/>
        <v>3</v>
      </c>
      <c r="W233">
        <f t="shared" si="30"/>
        <v>6</v>
      </c>
      <c r="X233">
        <f t="shared" si="28"/>
        <v>0</v>
      </c>
      <c r="Y233" t="e">
        <f>VLOOKUP(D233,'Data check lookup table'!$A$2:$B$173,2,FALSE)</f>
        <v>#N/A</v>
      </c>
      <c r="Z233" t="e">
        <f t="shared" si="39"/>
        <v>#N/A</v>
      </c>
      <c r="AB233" t="s">
        <v>1167</v>
      </c>
      <c r="AC233">
        <f t="shared" si="40"/>
        <v>30</v>
      </c>
      <c r="AG233" s="71" t="s">
        <v>767</v>
      </c>
      <c r="AH233" s="2" t="s">
        <v>696</v>
      </c>
      <c r="AI233" s="2" t="s">
        <v>697</v>
      </c>
      <c r="AJ233" s="2" t="s">
        <v>698</v>
      </c>
      <c r="AK233" s="2" t="s">
        <v>699</v>
      </c>
      <c r="AL233" s="2" t="s">
        <v>700</v>
      </c>
      <c r="AM233" s="2" t="s">
        <v>185</v>
      </c>
    </row>
    <row r="234" spans="1:66" ht="19">
      <c r="A234">
        <f t="shared" si="32"/>
        <v>25</v>
      </c>
      <c r="C234">
        <v>5439</v>
      </c>
      <c r="D234">
        <v>163</v>
      </c>
      <c r="E234" s="2" t="s">
        <v>782</v>
      </c>
      <c r="F234" t="s">
        <v>929</v>
      </c>
      <c r="G234" t="s">
        <v>949</v>
      </c>
      <c r="I234" s="31">
        <f t="shared" si="33"/>
        <v>1984</v>
      </c>
      <c r="J234">
        <f t="shared" si="34"/>
        <v>2009</v>
      </c>
      <c r="K234" s="9" t="str">
        <f t="shared" si="35"/>
        <v>Harriet (163): 1984</v>
      </c>
      <c r="L234" s="5">
        <v>30820</v>
      </c>
      <c r="M234" s="8">
        <v>30820</v>
      </c>
      <c r="O234" s="62">
        <f t="shared" si="36"/>
        <v>39921</v>
      </c>
      <c r="P234" s="13">
        <f t="shared" si="37"/>
        <v>163</v>
      </c>
      <c r="Q234" s="20" t="str">
        <f t="shared" si="38"/>
        <v>Harriet (163): 1984 - 2009</v>
      </c>
      <c r="R234" s="16">
        <f>VLOOKUP(P234,'Loyd List 1-190 - Edit'!$P$3:$R$184,3,FALSE)</f>
        <v>119</v>
      </c>
      <c r="S234" s="17" t="str">
        <f>VLOOKUP(R234,'Loyd List 1-190 - Edit'!$R$3:$S$184,2,FALSE)</f>
        <v>Peter (119): 1942–</v>
      </c>
      <c r="T234" s="23" t="s">
        <v>2814</v>
      </c>
      <c r="U234">
        <f t="shared" si="31"/>
        <v>7</v>
      </c>
      <c r="V234">
        <f t="shared" si="29"/>
        <v>3</v>
      </c>
      <c r="W234">
        <f t="shared" si="30"/>
        <v>6</v>
      </c>
      <c r="X234">
        <f t="shared" si="28"/>
        <v>0</v>
      </c>
      <c r="Y234" t="e">
        <f>VLOOKUP(D234,'Data check lookup table'!$A$2:$B$173,2,FALSE)</f>
        <v>#N/A</v>
      </c>
      <c r="Z234" t="e">
        <f t="shared" si="39"/>
        <v>#N/A</v>
      </c>
      <c r="AB234" t="s">
        <v>1167</v>
      </c>
      <c r="AC234">
        <f t="shared" si="40"/>
        <v>25</v>
      </c>
      <c r="AG234" s="71" t="s">
        <v>768</v>
      </c>
      <c r="AH234" s="2" t="s">
        <v>701</v>
      </c>
      <c r="AI234" s="2" t="s">
        <v>702</v>
      </c>
      <c r="AJ234" s="2" t="s">
        <v>703</v>
      </c>
      <c r="AK234" s="2" t="s">
        <v>704</v>
      </c>
    </row>
    <row r="235" spans="1:66" ht="19">
      <c r="A235">
        <f t="shared" si="32"/>
        <v>27</v>
      </c>
      <c r="C235">
        <v>5445</v>
      </c>
      <c r="D235">
        <v>164</v>
      </c>
      <c r="E235" s="2" t="s">
        <v>950</v>
      </c>
      <c r="F235" t="s">
        <v>951</v>
      </c>
      <c r="G235" t="s">
        <v>867</v>
      </c>
      <c r="I235" s="31">
        <f t="shared" si="33"/>
        <v>1984</v>
      </c>
      <c r="J235">
        <f t="shared" si="34"/>
        <v>2011</v>
      </c>
      <c r="K235" s="9" t="str">
        <f t="shared" si="35"/>
        <v>Poppy (164): 1984</v>
      </c>
      <c r="L235" s="5">
        <v>31032</v>
      </c>
      <c r="M235" s="8">
        <v>31032</v>
      </c>
      <c r="O235" s="62">
        <f t="shared" si="36"/>
        <v>40789</v>
      </c>
      <c r="P235" s="13">
        <f t="shared" si="37"/>
        <v>164</v>
      </c>
      <c r="Q235" s="20" t="str">
        <f t="shared" si="38"/>
        <v>Poppy (164): 1984 - 2011</v>
      </c>
      <c r="R235" s="16">
        <f>VLOOKUP(P235,'Loyd List 1-190 - Edit'!$P$3:$R$184,3,FALSE)</f>
        <v>136</v>
      </c>
      <c r="S235" s="17" t="str">
        <f>VLOOKUP(R235,'Loyd List 1-190 - Edit'!$R$3:$S$184,2,FALSE)</f>
        <v>Tim (136): 1957–</v>
      </c>
      <c r="T235" s="23" t="s">
        <v>2814</v>
      </c>
      <c r="U235">
        <f t="shared" si="31"/>
        <v>8</v>
      </c>
      <c r="V235">
        <f t="shared" si="29"/>
        <v>3</v>
      </c>
      <c r="W235">
        <f t="shared" si="30"/>
        <v>7</v>
      </c>
      <c r="X235">
        <f t="shared" si="28"/>
        <v>0</v>
      </c>
      <c r="Y235" t="e">
        <f>VLOOKUP(D235,'Data check lookup table'!$A$2:$B$173,2,FALSE)</f>
        <v>#N/A</v>
      </c>
      <c r="Z235" t="e">
        <f t="shared" si="39"/>
        <v>#N/A</v>
      </c>
      <c r="AB235" t="s">
        <v>1168</v>
      </c>
      <c r="AC235">
        <f t="shared" si="40"/>
        <v>27</v>
      </c>
      <c r="AG235" s="71" t="s">
        <v>769</v>
      </c>
      <c r="AH235" s="2" t="s">
        <v>706</v>
      </c>
      <c r="AI235" s="2" t="s">
        <v>707</v>
      </c>
      <c r="AJ235" s="2" t="s">
        <v>708</v>
      </c>
      <c r="AK235" s="2" t="s">
        <v>709</v>
      </c>
      <c r="AL235" s="2" t="s">
        <v>710</v>
      </c>
      <c r="AM235" s="2" t="s">
        <v>711</v>
      </c>
      <c r="AN235" s="2" t="s">
        <v>712</v>
      </c>
      <c r="AO235" s="2" t="s">
        <v>713</v>
      </c>
      <c r="AP235" s="2" t="s">
        <v>714</v>
      </c>
    </row>
    <row r="236" spans="1:66" ht="19">
      <c r="A236">
        <f t="shared" si="32"/>
        <v>28</v>
      </c>
      <c r="C236">
        <v>5451</v>
      </c>
      <c r="D236">
        <v>165</v>
      </c>
      <c r="E236" s="2" t="s">
        <v>950</v>
      </c>
      <c r="F236" t="s">
        <v>937</v>
      </c>
      <c r="G236" t="s">
        <v>952</v>
      </c>
      <c r="I236" s="31">
        <f t="shared" si="33"/>
        <v>1986</v>
      </c>
      <c r="J236">
        <f t="shared" si="34"/>
        <v>2014</v>
      </c>
      <c r="K236" s="9" t="str">
        <f t="shared" si="35"/>
        <v>Rose (165): 1986</v>
      </c>
      <c r="L236" s="5">
        <v>31600</v>
      </c>
      <c r="M236" s="8">
        <v>31600</v>
      </c>
      <c r="O236" s="62">
        <f t="shared" si="36"/>
        <v>41811</v>
      </c>
      <c r="P236" s="13">
        <f t="shared" si="37"/>
        <v>165</v>
      </c>
      <c r="Q236" s="20" t="str">
        <f t="shared" si="38"/>
        <v>Rose (165): 1986 - 2014</v>
      </c>
      <c r="R236" s="16">
        <f>VLOOKUP(P236,'Loyd List 1-190 - Edit'!$P$3:$R$184,3,FALSE)</f>
        <v>136</v>
      </c>
      <c r="S236" s="17" t="str">
        <f>VLOOKUP(R236,'Loyd List 1-190 - Edit'!$R$3:$S$184,2,FALSE)</f>
        <v>Tim (136): 1957–</v>
      </c>
      <c r="T236" s="23" t="s">
        <v>2814</v>
      </c>
      <c r="U236">
        <f t="shared" si="31"/>
        <v>8</v>
      </c>
      <c r="V236">
        <f t="shared" si="29"/>
        <v>3</v>
      </c>
      <c r="W236">
        <f t="shared" si="30"/>
        <v>7</v>
      </c>
      <c r="X236">
        <f t="shared" si="28"/>
        <v>0</v>
      </c>
      <c r="Y236" t="e">
        <f>VLOOKUP(D236,'Data check lookup table'!$A$2:$B$173,2,FALSE)</f>
        <v>#N/A</v>
      </c>
      <c r="Z236" t="e">
        <f t="shared" si="39"/>
        <v>#N/A</v>
      </c>
      <c r="AB236" t="s">
        <v>1168</v>
      </c>
      <c r="AC236">
        <f t="shared" si="40"/>
        <v>28</v>
      </c>
      <c r="AG236" s="71" t="s">
        <v>770</v>
      </c>
      <c r="AH236" s="2" t="s">
        <v>715</v>
      </c>
      <c r="AI236" s="2" t="s">
        <v>716</v>
      </c>
      <c r="AJ236" s="2" t="s">
        <v>717</v>
      </c>
      <c r="AK236" s="2" t="s">
        <v>718</v>
      </c>
    </row>
    <row r="237" spans="1:66" ht="19">
      <c r="A237">
        <f t="shared" si="32"/>
        <v>31</v>
      </c>
      <c r="C237">
        <v>5473</v>
      </c>
      <c r="D237">
        <v>168</v>
      </c>
      <c r="E237" s="2" t="s">
        <v>782</v>
      </c>
      <c r="F237" t="s">
        <v>954</v>
      </c>
      <c r="G237" t="s">
        <v>870</v>
      </c>
      <c r="I237" s="31">
        <f t="shared" si="33"/>
        <v>1988</v>
      </c>
      <c r="J237">
        <f t="shared" si="34"/>
        <v>2019</v>
      </c>
      <c r="K237" s="9" t="str">
        <f t="shared" si="35"/>
        <v>Camilla (168): 1988</v>
      </c>
      <c r="L237" s="5">
        <v>32294</v>
      </c>
      <c r="M237" s="8">
        <v>32294</v>
      </c>
      <c r="O237" s="62">
        <f t="shared" si="36"/>
        <v>43666</v>
      </c>
      <c r="P237" s="13">
        <f t="shared" si="37"/>
        <v>168</v>
      </c>
      <c r="Q237" s="20" t="str">
        <f t="shared" si="38"/>
        <v>Camilla (168): 1988 - 2019</v>
      </c>
      <c r="R237" s="16">
        <f>VLOOKUP(P237,'Loyd List 1-190 - Edit'!$P$3:$R$184,3,FALSE)</f>
        <v>138</v>
      </c>
      <c r="S237" s="17" t="str">
        <f>VLOOKUP(R237,'Loyd List 1-190 - Edit'!$R$3:$S$184,2,FALSE)</f>
        <v>Thomas (138): 1959–</v>
      </c>
      <c r="T237" s="23" t="s">
        <v>2814</v>
      </c>
      <c r="U237">
        <f t="shared" si="31"/>
        <v>8</v>
      </c>
      <c r="V237">
        <f t="shared" si="29"/>
        <v>3</v>
      </c>
      <c r="W237">
        <f t="shared" si="30"/>
        <v>7</v>
      </c>
      <c r="X237">
        <f t="shared" si="28"/>
        <v>0</v>
      </c>
      <c r="Y237" t="e">
        <f>VLOOKUP(D237,'Data check lookup table'!$A$2:$B$173,2,FALSE)</f>
        <v>#N/A</v>
      </c>
      <c r="Z237" t="e">
        <f t="shared" si="39"/>
        <v>#N/A</v>
      </c>
      <c r="AB237" t="s">
        <v>1170</v>
      </c>
      <c r="AC237">
        <f t="shared" si="40"/>
        <v>31</v>
      </c>
      <c r="AG237" s="71" t="s">
        <v>771</v>
      </c>
      <c r="AH237" s="2" t="s">
        <v>720</v>
      </c>
      <c r="AI237" s="2" t="s">
        <v>721</v>
      </c>
      <c r="AJ237" s="2" t="s">
        <v>722</v>
      </c>
      <c r="AK237" s="2" t="s">
        <v>723</v>
      </c>
      <c r="AL237" s="2" t="s">
        <v>724</v>
      </c>
    </row>
    <row r="238" spans="1:66" ht="19">
      <c r="A238">
        <f t="shared" si="32"/>
        <v>31</v>
      </c>
      <c r="C238">
        <v>5491</v>
      </c>
      <c r="D238">
        <v>170</v>
      </c>
      <c r="E238" s="2" t="s">
        <v>782</v>
      </c>
      <c r="F238" t="s">
        <v>938</v>
      </c>
      <c r="G238" t="s">
        <v>937</v>
      </c>
      <c r="I238" s="31">
        <f t="shared" si="33"/>
        <v>1989</v>
      </c>
      <c r="J238">
        <f t="shared" si="34"/>
        <v>2020</v>
      </c>
      <c r="K238" s="9" t="str">
        <f t="shared" si="35"/>
        <v>Sophie (170): 1989</v>
      </c>
      <c r="L238" s="5">
        <v>32844</v>
      </c>
      <c r="M238" s="8">
        <v>32844</v>
      </c>
      <c r="O238" s="62">
        <f t="shared" si="36"/>
        <v>44184</v>
      </c>
      <c r="P238" s="13">
        <f t="shared" si="37"/>
        <v>170</v>
      </c>
      <c r="Q238" s="20" t="str">
        <f t="shared" si="38"/>
        <v>Sophie (170): 1989 - 2020</v>
      </c>
      <c r="R238" s="16">
        <f>VLOOKUP(P238,'Loyd List 1-190 - Edit'!$P$3:$R$184,3,FALSE)</f>
        <v>138</v>
      </c>
      <c r="S238" s="17" t="str">
        <f>VLOOKUP(R238,'Loyd List 1-190 - Edit'!$R$3:$S$184,2,FALSE)</f>
        <v>Thomas (138): 1959–</v>
      </c>
      <c r="T238" s="23" t="s">
        <v>2814</v>
      </c>
      <c r="U238">
        <f t="shared" si="31"/>
        <v>8</v>
      </c>
      <c r="V238">
        <f t="shared" si="29"/>
        <v>3</v>
      </c>
      <c r="W238">
        <f t="shared" si="30"/>
        <v>7</v>
      </c>
      <c r="X238">
        <f t="shared" si="28"/>
        <v>0</v>
      </c>
      <c r="Y238" t="e">
        <f>VLOOKUP(D238,'Data check lookup table'!$A$2:$B$173,2,FALSE)</f>
        <v>#N/A</v>
      </c>
      <c r="Z238" t="e">
        <f t="shared" si="39"/>
        <v>#N/A</v>
      </c>
      <c r="AB238" t="s">
        <v>1170</v>
      </c>
      <c r="AC238">
        <f t="shared" si="40"/>
        <v>31</v>
      </c>
      <c r="AG238" s="71" t="s">
        <v>772</v>
      </c>
      <c r="AH238" s="2" t="s">
        <v>725</v>
      </c>
      <c r="AI238" s="2" t="s">
        <v>726</v>
      </c>
      <c r="AJ238" s="2" t="s">
        <v>727</v>
      </c>
    </row>
    <row r="239" spans="1:66" ht="19">
      <c r="A239">
        <f t="shared" si="32"/>
        <v>-91</v>
      </c>
      <c r="C239">
        <v>5503</v>
      </c>
      <c r="D239">
        <v>172</v>
      </c>
      <c r="E239" s="2" t="s">
        <v>950</v>
      </c>
      <c r="F239" t="s">
        <v>972</v>
      </c>
      <c r="G239" t="s">
        <v>973</v>
      </c>
      <c r="I239" s="31">
        <f t="shared" si="33"/>
        <v>1991</v>
      </c>
      <c r="J239">
        <f t="shared" si="34"/>
        <v>1900</v>
      </c>
      <c r="K239" s="9" t="str">
        <f t="shared" si="35"/>
        <v>Florina (172): 1991</v>
      </c>
      <c r="L239" s="5">
        <v>33597</v>
      </c>
      <c r="M239" s="8">
        <v>33597</v>
      </c>
      <c r="O239" s="62">
        <f t="shared" si="36"/>
        <v>0</v>
      </c>
      <c r="P239" s="13">
        <f t="shared" si="37"/>
        <v>172</v>
      </c>
      <c r="Q239" s="20" t="str">
        <f t="shared" si="38"/>
        <v>Florina (172): 1991 - 1900</v>
      </c>
      <c r="R239" s="16">
        <f>VLOOKUP(P239,'Loyd List 1-190 - Edit'!$P$3:$R$184,3,FALSE)</f>
        <v>136</v>
      </c>
      <c r="S239" s="17" t="str">
        <f>VLOOKUP(R239,'Loyd List 1-190 - Edit'!$R$3:$S$184,2,FALSE)</f>
        <v>Tim (136): 1957–</v>
      </c>
      <c r="T239" s="23" t="s">
        <v>2814</v>
      </c>
      <c r="U239">
        <f t="shared" si="31"/>
        <v>8</v>
      </c>
      <c r="V239">
        <f t="shared" si="29"/>
        <v>3</v>
      </c>
      <c r="W239">
        <f t="shared" si="30"/>
        <v>7</v>
      </c>
      <c r="X239">
        <f t="shared" si="28"/>
        <v>0</v>
      </c>
      <c r="Y239" t="e">
        <f>VLOOKUP(D239,'Data check lookup table'!$A$2:$B$173,2,FALSE)</f>
        <v>#N/A</v>
      </c>
      <c r="Z239" t="e">
        <f t="shared" si="39"/>
        <v>#N/A</v>
      </c>
      <c r="AB239" t="s">
        <v>1168</v>
      </c>
      <c r="AC239">
        <f t="shared" si="40"/>
        <v>-91</v>
      </c>
      <c r="AG239" s="71" t="s">
        <v>773</v>
      </c>
      <c r="AH239" s="2" t="s">
        <v>729</v>
      </c>
      <c r="AI239" s="2" t="s">
        <v>730</v>
      </c>
      <c r="AJ239" s="2" t="s">
        <v>731</v>
      </c>
      <c r="AK239" s="2" t="s">
        <v>732</v>
      </c>
      <c r="AL239" s="2" t="s">
        <v>733</v>
      </c>
      <c r="AM239" s="2" t="s">
        <v>734</v>
      </c>
      <c r="AN239" s="2" t="s">
        <v>735</v>
      </c>
      <c r="AO239" s="2" t="s">
        <v>736</v>
      </c>
      <c r="AP239" s="2" t="s">
        <v>737</v>
      </c>
      <c r="AQ239" s="2" t="s">
        <v>738</v>
      </c>
    </row>
    <row r="240" spans="1:66" ht="19">
      <c r="A240">
        <f t="shared" si="32"/>
        <v>-92</v>
      </c>
      <c r="B240" t="s">
        <v>870</v>
      </c>
      <c r="C240">
        <v>5517</v>
      </c>
      <c r="D240">
        <v>174</v>
      </c>
      <c r="E240" s="2" t="s">
        <v>782</v>
      </c>
      <c r="F240" t="s">
        <v>975</v>
      </c>
      <c r="G240" t="s">
        <v>976</v>
      </c>
      <c r="H240" t="s">
        <v>870</v>
      </c>
      <c r="I240" s="31">
        <f t="shared" si="33"/>
        <v>1992</v>
      </c>
      <c r="J240">
        <f t="shared" si="34"/>
        <v>1900</v>
      </c>
      <c r="K240" s="9" t="str">
        <f t="shared" si="35"/>
        <v>Mary (174): 1992</v>
      </c>
      <c r="L240" s="5">
        <v>33922</v>
      </c>
      <c r="M240" s="8">
        <v>33922</v>
      </c>
      <c r="O240" s="62">
        <f t="shared" si="36"/>
        <v>0</v>
      </c>
      <c r="P240" s="13">
        <f t="shared" si="37"/>
        <v>174</v>
      </c>
      <c r="Q240" s="20" t="str">
        <f t="shared" si="38"/>
        <v>Mary (174): 1992 - 1900</v>
      </c>
      <c r="R240" s="16">
        <f>VLOOKUP(P240,'Loyd List 1-190 - Edit'!$P$3:$R$184,3,FALSE)</f>
        <v>121</v>
      </c>
      <c r="S240" s="17" t="str">
        <f>VLOOKUP(R240,'Loyd List 1-190 - Edit'!$R$3:$S$184,2,FALSE)</f>
        <v>David (121): 1949–</v>
      </c>
      <c r="T240" s="23" t="s">
        <v>2814</v>
      </c>
      <c r="U240">
        <f t="shared" si="31"/>
        <v>8</v>
      </c>
      <c r="V240">
        <f t="shared" si="29"/>
        <v>3</v>
      </c>
      <c r="W240">
        <f t="shared" si="30"/>
        <v>7</v>
      </c>
      <c r="X240">
        <f t="shared" si="28"/>
        <v>0</v>
      </c>
      <c r="Y240" t="e">
        <f>VLOOKUP(D240,'Data check lookup table'!$A$2:$B$173,2,FALSE)</f>
        <v>#N/A</v>
      </c>
      <c r="Z240" t="e">
        <f t="shared" si="39"/>
        <v>#N/A</v>
      </c>
      <c r="AB240" t="s">
        <v>1171</v>
      </c>
      <c r="AC240">
        <f t="shared" si="40"/>
        <v>-92</v>
      </c>
      <c r="AG240" s="71" t="s">
        <v>774</v>
      </c>
      <c r="AH240" s="2" t="s">
        <v>739</v>
      </c>
      <c r="AI240" s="2" t="s">
        <v>740</v>
      </c>
      <c r="AJ240" s="2" t="s">
        <v>741</v>
      </c>
    </row>
    <row r="241" spans="1:42" ht="19">
      <c r="A241">
        <f t="shared" si="32"/>
        <v>-99</v>
      </c>
      <c r="C241">
        <v>5563</v>
      </c>
      <c r="D241">
        <v>181</v>
      </c>
      <c r="E241" s="2" t="s">
        <v>782</v>
      </c>
      <c r="F241" t="s">
        <v>983</v>
      </c>
      <c r="G241" t="s">
        <v>937</v>
      </c>
      <c r="I241" s="31">
        <f t="shared" si="33"/>
        <v>1999</v>
      </c>
      <c r="J241">
        <f t="shared" si="34"/>
        <v>1900</v>
      </c>
      <c r="K241" s="9" t="str">
        <f t="shared" si="35"/>
        <v>Eliza (181): 1999</v>
      </c>
      <c r="L241" s="5">
        <v>36194</v>
      </c>
      <c r="M241" s="8">
        <v>36194</v>
      </c>
      <c r="O241" s="62">
        <f t="shared" si="36"/>
        <v>0</v>
      </c>
      <c r="P241" s="13">
        <f t="shared" si="37"/>
        <v>181</v>
      </c>
      <c r="Q241" s="20" t="str">
        <f t="shared" si="38"/>
        <v>Eliza (181): 1999 - 1900</v>
      </c>
      <c r="R241" s="16">
        <f>VLOOKUP(P241,'Loyd List 1-190 - Edit'!$P$3:$R$184,3,FALSE)</f>
        <v>150</v>
      </c>
      <c r="S241" s="17" t="str">
        <f>VLOOKUP(R241,'Loyd List 1-190 - Edit'!$R$3:$S$184,2,FALSE)</f>
        <v>James (150): 1966–</v>
      </c>
      <c r="T241" s="23" t="s">
        <v>2814</v>
      </c>
      <c r="U241">
        <f t="shared" si="31"/>
        <v>8</v>
      </c>
      <c r="V241">
        <f t="shared" si="29"/>
        <v>3</v>
      </c>
      <c r="W241">
        <f t="shared" si="30"/>
        <v>7</v>
      </c>
      <c r="X241">
        <f t="shared" si="28"/>
        <v>0</v>
      </c>
      <c r="Y241" t="e">
        <f>VLOOKUP(D241,'Data check lookup table'!$A$2:$B$173,2,FALSE)</f>
        <v>#N/A</v>
      </c>
      <c r="Z241" t="e">
        <f t="shared" si="39"/>
        <v>#N/A</v>
      </c>
      <c r="AB241" t="s">
        <v>1176</v>
      </c>
      <c r="AC241">
        <f t="shared" si="40"/>
        <v>-99</v>
      </c>
      <c r="AG241" s="71" t="s">
        <v>775</v>
      </c>
      <c r="AH241" s="2" t="s">
        <v>742</v>
      </c>
      <c r="AI241" s="2" t="s">
        <v>743</v>
      </c>
      <c r="AJ241" s="2" t="s">
        <v>744</v>
      </c>
      <c r="AK241" s="2" t="s">
        <v>745</v>
      </c>
      <c r="AL241" s="2" t="s">
        <v>746</v>
      </c>
      <c r="AM241" s="2" t="s">
        <v>114</v>
      </c>
    </row>
    <row r="242" spans="1:42" ht="19">
      <c r="A242">
        <f t="shared" si="32"/>
        <v>-100</v>
      </c>
      <c r="C242">
        <v>5569</v>
      </c>
      <c r="D242">
        <v>182</v>
      </c>
      <c r="E242" s="2" t="s">
        <v>782</v>
      </c>
      <c r="F242" t="s">
        <v>984</v>
      </c>
      <c r="G242" t="s">
        <v>985</v>
      </c>
      <c r="I242" s="31">
        <f t="shared" si="33"/>
        <v>2000</v>
      </c>
      <c r="J242">
        <f t="shared" si="34"/>
        <v>1900</v>
      </c>
      <c r="K242" s="9" t="str">
        <f t="shared" si="35"/>
        <v>Rosanna (182): 2000</v>
      </c>
      <c r="L242" s="5">
        <v>36729</v>
      </c>
      <c r="M242" s="8">
        <v>36729</v>
      </c>
      <c r="O242" s="62">
        <f t="shared" si="36"/>
        <v>0</v>
      </c>
      <c r="P242" s="13">
        <f t="shared" si="37"/>
        <v>182</v>
      </c>
      <c r="Q242" s="20" t="str">
        <f t="shared" si="38"/>
        <v>Rosanna (182): 2000 - 1900</v>
      </c>
      <c r="R242" s="16">
        <f>VLOOKUP(P242,'Loyd List 1-190 - Edit'!$P$3:$R$184,3,FALSE)</f>
        <v>146</v>
      </c>
      <c r="S242" s="17" t="str">
        <f>VLOOKUP(R242,'Loyd List 1-190 - Edit'!$R$3:$S$184,2,FALSE)</f>
        <v>Charles (146): 1963–</v>
      </c>
      <c r="T242" s="23" t="s">
        <v>2814</v>
      </c>
      <c r="U242">
        <f t="shared" si="31"/>
        <v>8</v>
      </c>
      <c r="V242">
        <f t="shared" si="29"/>
        <v>3</v>
      </c>
      <c r="W242">
        <f t="shared" si="30"/>
        <v>7</v>
      </c>
      <c r="X242">
        <f t="shared" si="28"/>
        <v>0</v>
      </c>
      <c r="Y242" t="e">
        <f>VLOOKUP(D242,'Data check lookup table'!$A$2:$B$173,2,FALSE)</f>
        <v>#N/A</v>
      </c>
      <c r="Z242" t="e">
        <f t="shared" si="39"/>
        <v>#N/A</v>
      </c>
      <c r="AB242" t="s">
        <v>1257</v>
      </c>
      <c r="AC242">
        <f t="shared" si="40"/>
        <v>-100</v>
      </c>
      <c r="AG242" s="71" t="s">
        <v>776</v>
      </c>
      <c r="AH242" s="2" t="s">
        <v>747</v>
      </c>
      <c r="AI242" s="2" t="s">
        <v>721</v>
      </c>
      <c r="AJ242" s="2" t="s">
        <v>748</v>
      </c>
      <c r="AK242" s="2" t="s">
        <v>749</v>
      </c>
      <c r="AL242" s="2" t="s">
        <v>750</v>
      </c>
      <c r="AM242" s="2" t="s">
        <v>751</v>
      </c>
      <c r="AN242" s="2" t="s">
        <v>752</v>
      </c>
      <c r="AO242" s="2" t="s">
        <v>753</v>
      </c>
      <c r="AP242" s="2" t="s">
        <v>754</v>
      </c>
    </row>
  </sheetData>
  <sortState xmlns:xlrd2="http://schemas.microsoft.com/office/spreadsheetml/2017/richdata2" ref="A2:AG242">
    <sortCondition ref="T2:T242"/>
    <sortCondition ref="D2:D242"/>
  </sortState>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22F4-468D-5345-B9CA-D1F5B4396C7D}">
  <dimension ref="A1:CO184"/>
  <sheetViews>
    <sheetView workbookViewId="0">
      <pane xSplit="6" ySplit="1" topLeftCell="Y161" activePane="bottomRight" state="frozen"/>
      <selection pane="topRight" activeCell="G1" sqref="G1"/>
      <selection pane="bottomLeft" activeCell="A2" sqref="A2"/>
      <selection pane="bottomRight" activeCell="Y189" sqref="Y189"/>
    </sheetView>
  </sheetViews>
  <sheetFormatPr baseColWidth="10" defaultRowHeight="16"/>
  <cols>
    <col min="3" max="3" width="11" customWidth="1"/>
    <col min="5" max="5" width="27.1640625" customWidth="1"/>
    <col min="6" max="6" width="22.83203125" customWidth="1"/>
    <col min="7" max="7" width="12.83203125" customWidth="1"/>
    <col min="11" max="11" width="19.5" customWidth="1"/>
    <col min="15" max="15" width="16.5" customWidth="1"/>
    <col min="16" max="16" width="12.1640625" style="72" bestFit="1" customWidth="1"/>
    <col min="17" max="17" width="24.1640625" customWidth="1"/>
    <col min="21" max="21" width="12.1640625" customWidth="1"/>
    <col min="22" max="22" width="7.6640625" customWidth="1"/>
    <col min="23" max="23" width="11" customWidth="1"/>
    <col min="24" max="24" width="12.33203125" customWidth="1"/>
    <col min="25" max="25" width="55.1640625" customWidth="1"/>
    <col min="26" max="26" width="24.83203125" customWidth="1"/>
    <col min="28" max="28" width="34.33203125" bestFit="1" customWidth="1"/>
  </cols>
  <sheetData>
    <row r="1" spans="1:93" ht="51">
      <c r="A1" s="33" t="s">
        <v>1178</v>
      </c>
      <c r="B1" s="33" t="s">
        <v>1195</v>
      </c>
      <c r="C1" s="33" t="s">
        <v>1135</v>
      </c>
      <c r="D1" s="33" t="s">
        <v>780</v>
      </c>
      <c r="E1" s="34" t="s">
        <v>781</v>
      </c>
      <c r="F1" s="33" t="s">
        <v>777</v>
      </c>
      <c r="G1" s="33" t="s">
        <v>778</v>
      </c>
      <c r="H1" s="33" t="s">
        <v>779</v>
      </c>
      <c r="I1" s="33" t="s">
        <v>1154</v>
      </c>
      <c r="J1" s="33" t="s">
        <v>1177</v>
      </c>
      <c r="K1" s="35" t="s">
        <v>1137</v>
      </c>
      <c r="L1" s="5" t="s">
        <v>784</v>
      </c>
      <c r="M1" s="8" t="s">
        <v>1138</v>
      </c>
      <c r="N1" s="33" t="s">
        <v>785</v>
      </c>
      <c r="O1" s="33" t="s">
        <v>786</v>
      </c>
      <c r="P1" s="97" t="s">
        <v>1142</v>
      </c>
      <c r="Q1" s="36" t="s">
        <v>1141</v>
      </c>
      <c r="R1" s="36" t="s">
        <v>1365</v>
      </c>
      <c r="S1" s="36" t="s">
        <v>1145</v>
      </c>
      <c r="T1" s="33" t="s">
        <v>966</v>
      </c>
      <c r="U1" s="36" t="s">
        <v>2351</v>
      </c>
      <c r="V1" s="36" t="s">
        <v>2355</v>
      </c>
      <c r="W1" s="36" t="s">
        <v>2549</v>
      </c>
      <c r="X1" s="36" t="s">
        <v>2550</v>
      </c>
      <c r="Y1" s="33" t="s">
        <v>1359</v>
      </c>
      <c r="Z1" s="36" t="s">
        <v>1381</v>
      </c>
      <c r="AA1" s="33" t="s">
        <v>794</v>
      </c>
      <c r="AB1" s="33" t="s">
        <v>1155</v>
      </c>
      <c r="AC1" s="33" t="s">
        <v>1256</v>
      </c>
      <c r="AD1" s="33" t="s">
        <v>790</v>
      </c>
      <c r="AE1" s="33" t="s">
        <v>791</v>
      </c>
      <c r="AF1" s="33" t="s">
        <v>792</v>
      </c>
      <c r="AG1" s="33" t="s">
        <v>2359</v>
      </c>
      <c r="AH1" s="33"/>
      <c r="AI1" s="33"/>
      <c r="AJ1" s="33" t="s">
        <v>789</v>
      </c>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row>
    <row r="2" spans="1:93" ht="19">
      <c r="A2">
        <v>67</v>
      </c>
      <c r="C2">
        <v>39</v>
      </c>
      <c r="D2">
        <v>2</v>
      </c>
      <c r="E2" s="2" t="s">
        <v>955</v>
      </c>
      <c r="F2" t="s">
        <v>922</v>
      </c>
      <c r="I2" t="s">
        <v>1845</v>
      </c>
      <c r="J2" t="s">
        <v>1846</v>
      </c>
      <c r="K2" s="9" t="s">
        <v>1847</v>
      </c>
      <c r="L2" s="5" t="s">
        <v>958</v>
      </c>
      <c r="M2" s="8" t="s">
        <v>958</v>
      </c>
      <c r="N2" t="s">
        <v>959</v>
      </c>
      <c r="O2" t="s">
        <v>960</v>
      </c>
      <c r="P2" s="98">
        <v>2</v>
      </c>
      <c r="Q2" s="20" t="s">
        <v>1848</v>
      </c>
      <c r="R2" s="21">
        <v>1</v>
      </c>
      <c r="S2" s="17" t="s">
        <v>1849</v>
      </c>
      <c r="T2" s="23" t="s">
        <v>2814</v>
      </c>
      <c r="U2">
        <f>IF(D2&lt;10,W2+V2-1,IF(D2&gt;=10,W2+V2-2))</f>
        <v>1</v>
      </c>
      <c r="V2">
        <f t="shared" ref="V2:V33" si="0">LEN(P2)</f>
        <v>1</v>
      </c>
      <c r="W2">
        <f t="shared" ref="W2:W33" si="1">VLOOKUP(D2,Generation,2,FALSE)</f>
        <v>1</v>
      </c>
      <c r="Y2" t="s">
        <v>1947</v>
      </c>
      <c r="Z2" t="s">
        <v>2560</v>
      </c>
      <c r="AB2" t="s">
        <v>2358</v>
      </c>
      <c r="AC2">
        <v>67</v>
      </c>
      <c r="AG2" s="71"/>
      <c r="AH2" s="2"/>
      <c r="AI2" s="2"/>
      <c r="AJ2" s="2"/>
      <c r="AK2" s="2"/>
      <c r="AL2" s="2"/>
      <c r="AM2" s="2"/>
      <c r="AN2" s="2"/>
      <c r="AO2" s="2"/>
      <c r="AP2" s="2"/>
      <c r="AQ2" s="2"/>
      <c r="AR2" s="2"/>
      <c r="AS2" s="2"/>
      <c r="AT2" s="2"/>
      <c r="AU2" s="2"/>
      <c r="AV2" s="2"/>
      <c r="AW2" s="2"/>
      <c r="AX2" s="2"/>
    </row>
    <row r="3" spans="1:93" ht="19">
      <c r="D3">
        <f t="shared" ref="D3:D12" si="2">D2</f>
        <v>2</v>
      </c>
      <c r="E3" s="2" t="s">
        <v>1962</v>
      </c>
      <c r="F3" t="s">
        <v>914</v>
      </c>
      <c r="K3" s="9"/>
      <c r="L3" s="5"/>
      <c r="M3" s="8"/>
      <c r="P3" s="98" t="s">
        <v>1949</v>
      </c>
      <c r="Q3" s="20"/>
      <c r="R3" s="21" t="str">
        <f>MID(P3,1,LEN(P3)-1)</f>
        <v>2</v>
      </c>
      <c r="S3" s="17"/>
      <c r="T3" s="23" t="s">
        <v>2815</v>
      </c>
      <c r="U3">
        <f t="shared" ref="U3:U66" si="3">IF(D3&lt;10,W3+V3-1,IF(D3&gt;=10,W3+V3-2))</f>
        <v>2</v>
      </c>
      <c r="V3">
        <f t="shared" si="0"/>
        <v>2</v>
      </c>
      <c r="W3">
        <f t="shared" si="1"/>
        <v>1</v>
      </c>
      <c r="AG3" s="71" t="s">
        <v>2360</v>
      </c>
      <c r="AH3" s="2"/>
      <c r="AI3" s="2"/>
      <c r="AJ3" s="2"/>
      <c r="AK3" s="2"/>
      <c r="AL3" s="2"/>
      <c r="CC3" s="2"/>
      <c r="CD3" s="2"/>
      <c r="CE3" s="2"/>
      <c r="CF3" s="2"/>
      <c r="CG3" s="2"/>
      <c r="CH3" s="2"/>
      <c r="CI3" s="2"/>
      <c r="CJ3" s="2"/>
      <c r="CK3" s="2"/>
      <c r="CL3" s="2"/>
      <c r="CM3" s="2"/>
      <c r="CN3" s="2"/>
      <c r="CO3" s="2"/>
    </row>
    <row r="4" spans="1:93" ht="25" customHeight="1">
      <c r="D4">
        <f t="shared" si="2"/>
        <v>2</v>
      </c>
      <c r="E4" s="2" t="s">
        <v>1948</v>
      </c>
      <c r="F4" t="s">
        <v>830</v>
      </c>
      <c r="I4" t="s">
        <v>840</v>
      </c>
      <c r="K4" s="9"/>
      <c r="L4" s="5" t="s">
        <v>2361</v>
      </c>
      <c r="M4" s="8"/>
      <c r="O4" s="3">
        <v>2982</v>
      </c>
      <c r="P4" s="98" t="s">
        <v>1960</v>
      </c>
      <c r="Q4" s="20"/>
      <c r="R4" s="21" t="str">
        <f>MID(P4,1,LEN(P4)-1)</f>
        <v>2a</v>
      </c>
      <c r="S4" s="17"/>
      <c r="T4" s="23" t="s">
        <v>2815</v>
      </c>
      <c r="U4">
        <f t="shared" si="3"/>
        <v>3</v>
      </c>
      <c r="V4">
        <f t="shared" si="0"/>
        <v>3</v>
      </c>
      <c r="W4">
        <f t="shared" si="1"/>
        <v>1</v>
      </c>
      <c r="Y4" t="s">
        <v>2378</v>
      </c>
      <c r="Z4" t="s">
        <v>2364</v>
      </c>
      <c r="AF4" s="2"/>
      <c r="AG4" s="71" t="s">
        <v>2362</v>
      </c>
      <c r="AI4" s="2"/>
      <c r="AJ4" s="2"/>
      <c r="AK4" s="2"/>
      <c r="AL4" s="2"/>
      <c r="BX4" s="2"/>
      <c r="BY4" s="2"/>
      <c r="BZ4" s="2"/>
      <c r="CA4" s="2"/>
      <c r="CB4" s="2"/>
      <c r="CC4" s="2"/>
      <c r="CD4" s="2"/>
      <c r="CE4" s="2"/>
      <c r="CF4" s="2"/>
      <c r="CG4" s="2"/>
      <c r="CH4" s="2"/>
      <c r="CI4" s="2"/>
      <c r="CJ4" s="2"/>
      <c r="CK4" s="2"/>
      <c r="CL4" s="2"/>
      <c r="CM4" s="2"/>
      <c r="CN4" s="2"/>
      <c r="CO4" s="2"/>
    </row>
    <row r="5" spans="1:93" ht="19">
      <c r="D5">
        <f t="shared" si="2"/>
        <v>2</v>
      </c>
      <c r="E5" s="2" t="s">
        <v>1948</v>
      </c>
      <c r="F5" t="s">
        <v>830</v>
      </c>
      <c r="I5" t="s">
        <v>1950</v>
      </c>
      <c r="K5" s="9"/>
      <c r="L5" s="5"/>
      <c r="M5" s="8"/>
      <c r="O5" s="3">
        <v>15847</v>
      </c>
      <c r="P5" s="98" t="s">
        <v>1961</v>
      </c>
      <c r="Q5" s="20"/>
      <c r="R5" s="21" t="str">
        <f t="shared" ref="R5:R19" si="4">MID(P5,1,LEN(P5)-1)</f>
        <v>2aa</v>
      </c>
      <c r="S5" s="17"/>
      <c r="T5" s="23" t="s">
        <v>2815</v>
      </c>
      <c r="U5">
        <f t="shared" si="3"/>
        <v>4</v>
      </c>
      <c r="V5">
        <f t="shared" si="0"/>
        <v>4</v>
      </c>
      <c r="W5">
        <f t="shared" si="1"/>
        <v>1</v>
      </c>
      <c r="AG5" s="71" t="s">
        <v>2363</v>
      </c>
      <c r="AH5" s="2"/>
      <c r="AI5" s="2"/>
      <c r="AJ5" s="2"/>
      <c r="AK5" s="2"/>
      <c r="AL5" s="2"/>
      <c r="AM5" s="2"/>
      <c r="AN5" s="2"/>
      <c r="AO5" s="2"/>
      <c r="AP5" s="2"/>
      <c r="AQ5" s="2"/>
      <c r="BX5" s="2"/>
      <c r="BY5" s="2"/>
      <c r="BZ5" s="2"/>
      <c r="CA5" s="2"/>
      <c r="CB5" s="2"/>
      <c r="CC5" s="2"/>
      <c r="CD5" s="2"/>
      <c r="CE5" s="2"/>
      <c r="CF5" s="2"/>
      <c r="CG5" s="2"/>
      <c r="CH5" s="2"/>
      <c r="CI5" s="2"/>
      <c r="CJ5" s="2"/>
      <c r="CK5" s="2"/>
      <c r="CL5" s="2"/>
      <c r="CM5" s="2"/>
      <c r="CN5" s="2"/>
      <c r="CO5" s="2"/>
    </row>
    <row r="6" spans="1:93" ht="19">
      <c r="D6">
        <f t="shared" si="2"/>
        <v>2</v>
      </c>
      <c r="E6" s="2" t="s">
        <v>1948</v>
      </c>
      <c r="F6" t="s">
        <v>882</v>
      </c>
      <c r="G6" t="s">
        <v>952</v>
      </c>
      <c r="K6" s="9"/>
      <c r="L6" s="5"/>
      <c r="M6" s="8" t="s">
        <v>1959</v>
      </c>
      <c r="O6" s="96">
        <v>30297</v>
      </c>
      <c r="P6" s="98" t="s">
        <v>1963</v>
      </c>
      <c r="Q6" s="20"/>
      <c r="R6" s="21" t="str">
        <f t="shared" si="4"/>
        <v>2aaa</v>
      </c>
      <c r="S6" s="17"/>
      <c r="T6" s="23" t="s">
        <v>2814</v>
      </c>
      <c r="U6">
        <f t="shared" si="3"/>
        <v>5</v>
      </c>
      <c r="V6">
        <f t="shared" si="0"/>
        <v>5</v>
      </c>
      <c r="W6">
        <f t="shared" si="1"/>
        <v>1</v>
      </c>
      <c r="AG6" s="71" t="s">
        <v>2365</v>
      </c>
      <c r="AH6" s="2"/>
      <c r="AI6" s="2"/>
      <c r="AJ6" s="2"/>
      <c r="AK6" s="2"/>
      <c r="AL6" s="2"/>
      <c r="AM6" s="2"/>
      <c r="AN6" s="2"/>
      <c r="AO6" s="2"/>
      <c r="AP6" s="2"/>
      <c r="BR6" s="2"/>
      <c r="BS6" s="2"/>
      <c r="BT6" s="2"/>
      <c r="BU6" s="2"/>
      <c r="BV6" s="2"/>
      <c r="BW6" s="2"/>
      <c r="BX6" s="2"/>
      <c r="BY6" s="2"/>
      <c r="BZ6" s="2"/>
      <c r="CA6" s="2"/>
      <c r="CB6" s="2"/>
      <c r="CC6" s="2"/>
      <c r="CD6" s="2"/>
      <c r="CE6" s="2"/>
      <c r="CF6" s="2"/>
      <c r="CG6" s="2"/>
      <c r="CH6" s="2"/>
      <c r="CI6" s="2"/>
      <c r="CJ6" s="2"/>
      <c r="CK6" s="2"/>
      <c r="CL6" s="2"/>
      <c r="CM6" s="2"/>
      <c r="CN6" s="2"/>
      <c r="CO6" s="2"/>
    </row>
    <row r="7" spans="1:93" ht="19">
      <c r="D7">
        <f t="shared" si="2"/>
        <v>2</v>
      </c>
      <c r="E7" s="2" t="s">
        <v>1962</v>
      </c>
      <c r="F7" t="s">
        <v>1010</v>
      </c>
      <c r="K7" s="9"/>
      <c r="L7" s="5"/>
      <c r="M7" s="8"/>
      <c r="O7" s="3"/>
      <c r="P7" s="98" t="s">
        <v>1965</v>
      </c>
      <c r="Q7" s="20"/>
      <c r="R7" s="21" t="str">
        <f t="shared" si="4"/>
        <v>2</v>
      </c>
      <c r="S7" s="17"/>
      <c r="T7" s="23" t="s">
        <v>2814</v>
      </c>
      <c r="U7">
        <f t="shared" si="3"/>
        <v>2</v>
      </c>
      <c r="V7">
        <f t="shared" si="0"/>
        <v>2</v>
      </c>
      <c r="W7">
        <f t="shared" si="1"/>
        <v>1</v>
      </c>
      <c r="AG7" s="71" t="s">
        <v>0</v>
      </c>
      <c r="AH7" s="2"/>
      <c r="AJ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row>
    <row r="8" spans="1:93" ht="19">
      <c r="D8">
        <f t="shared" si="2"/>
        <v>2</v>
      </c>
      <c r="E8" s="2" t="s">
        <v>1962</v>
      </c>
      <c r="F8" t="s">
        <v>830</v>
      </c>
      <c r="K8" s="9"/>
      <c r="L8" s="5"/>
      <c r="M8" s="8" t="s">
        <v>1966</v>
      </c>
      <c r="O8" s="3"/>
      <c r="P8" s="98" t="s">
        <v>1969</v>
      </c>
      <c r="Q8" s="20"/>
      <c r="R8" s="21" t="str">
        <f t="shared" si="4"/>
        <v>2</v>
      </c>
      <c r="S8" s="17"/>
      <c r="T8" s="23" t="s">
        <v>2815</v>
      </c>
      <c r="U8">
        <f t="shared" si="3"/>
        <v>2</v>
      </c>
      <c r="V8">
        <f t="shared" si="0"/>
        <v>2</v>
      </c>
      <c r="W8">
        <f t="shared" si="1"/>
        <v>1</v>
      </c>
      <c r="Y8" t="s">
        <v>952</v>
      </c>
      <c r="AG8" s="71" t="s">
        <v>2366</v>
      </c>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row>
    <row r="9" spans="1:93" ht="19">
      <c r="D9">
        <f t="shared" si="2"/>
        <v>2</v>
      </c>
      <c r="E9" s="2" t="s">
        <v>1948</v>
      </c>
      <c r="F9" t="s">
        <v>867</v>
      </c>
      <c r="K9" s="9"/>
      <c r="L9" s="5"/>
      <c r="M9" s="5" t="s">
        <v>1967</v>
      </c>
      <c r="N9" t="s">
        <v>1968</v>
      </c>
      <c r="O9" s="95" t="s">
        <v>1971</v>
      </c>
      <c r="P9" s="98" t="s">
        <v>1970</v>
      </c>
      <c r="Q9" s="20"/>
      <c r="R9" s="21" t="str">
        <f t="shared" si="4"/>
        <v>2c</v>
      </c>
      <c r="S9" s="17"/>
      <c r="T9" s="23" t="s">
        <v>2814</v>
      </c>
      <c r="U9">
        <f t="shared" si="3"/>
        <v>3</v>
      </c>
      <c r="V9">
        <f t="shared" si="0"/>
        <v>3</v>
      </c>
      <c r="W9">
        <f t="shared" si="1"/>
        <v>1</v>
      </c>
      <c r="Y9" t="s">
        <v>2368</v>
      </c>
      <c r="Z9" t="s">
        <v>2369</v>
      </c>
      <c r="AG9" s="71" t="s">
        <v>2367</v>
      </c>
      <c r="AH9" s="2"/>
      <c r="AI9" s="2"/>
      <c r="AJ9" s="2"/>
      <c r="AK9" s="2"/>
      <c r="AL9" s="2"/>
      <c r="AM9" s="2"/>
      <c r="AN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row>
    <row r="10" spans="1:93" ht="19">
      <c r="D10">
        <f t="shared" si="2"/>
        <v>2</v>
      </c>
      <c r="E10" s="2" t="s">
        <v>1973</v>
      </c>
      <c r="F10" t="s">
        <v>1972</v>
      </c>
      <c r="G10" t="s">
        <v>1497</v>
      </c>
      <c r="K10" s="9"/>
      <c r="L10" s="5">
        <v>1852</v>
      </c>
      <c r="M10" s="8"/>
      <c r="O10" s="95" t="s">
        <v>1974</v>
      </c>
      <c r="P10" s="98" t="s">
        <v>1978</v>
      </c>
      <c r="Q10" s="20"/>
      <c r="R10" s="21" t="str">
        <f t="shared" si="4"/>
        <v>2ca</v>
      </c>
      <c r="S10" s="17"/>
      <c r="T10" s="23" t="s">
        <v>2815</v>
      </c>
      <c r="U10">
        <f t="shared" si="3"/>
        <v>4</v>
      </c>
      <c r="V10">
        <f t="shared" si="0"/>
        <v>4</v>
      </c>
      <c r="W10">
        <f t="shared" si="1"/>
        <v>1</v>
      </c>
      <c r="AG10" s="71" t="s">
        <v>2374</v>
      </c>
      <c r="AH10" s="2"/>
      <c r="AI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row>
    <row r="11" spans="1:93" ht="19">
      <c r="D11">
        <f t="shared" si="2"/>
        <v>2</v>
      </c>
      <c r="E11" s="2" t="s">
        <v>1973</v>
      </c>
      <c r="F11" t="s">
        <v>1975</v>
      </c>
      <c r="G11" t="s">
        <v>1497</v>
      </c>
      <c r="K11" s="9"/>
      <c r="L11" s="5"/>
      <c r="M11" s="5" t="s">
        <v>1976</v>
      </c>
      <c r="N11" t="s">
        <v>2370</v>
      </c>
      <c r="O11" s="95" t="s">
        <v>1977</v>
      </c>
      <c r="P11" s="98" t="s">
        <v>1979</v>
      </c>
      <c r="Q11" s="20"/>
      <c r="R11" s="21" t="str">
        <f t="shared" si="4"/>
        <v>2ca</v>
      </c>
      <c r="S11" s="17"/>
      <c r="T11" s="23" t="s">
        <v>2815</v>
      </c>
      <c r="U11">
        <f t="shared" si="3"/>
        <v>4</v>
      </c>
      <c r="V11">
        <f t="shared" si="0"/>
        <v>4</v>
      </c>
      <c r="W11">
        <f t="shared" si="1"/>
        <v>1</v>
      </c>
      <c r="Y11" t="s">
        <v>2371</v>
      </c>
      <c r="Z11" t="s">
        <v>2372</v>
      </c>
      <c r="AG11" s="71" t="s">
        <v>2373</v>
      </c>
      <c r="AI11" s="2"/>
      <c r="AJ11" s="2"/>
      <c r="AK11" s="2"/>
      <c r="AL11" s="2"/>
      <c r="AM11" s="2"/>
      <c r="AN11" s="2" t="s">
        <v>2</v>
      </c>
      <c r="AP11" s="2"/>
      <c r="AQ11" s="2"/>
      <c r="AR11" s="2"/>
      <c r="AS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row>
    <row r="12" spans="1:93" ht="19">
      <c r="D12">
        <f t="shared" si="2"/>
        <v>2</v>
      </c>
      <c r="E12" s="2" t="s">
        <v>1973</v>
      </c>
      <c r="F12" t="s">
        <v>1980</v>
      </c>
      <c r="G12" t="s">
        <v>1497</v>
      </c>
      <c r="H12" t="s">
        <v>1981</v>
      </c>
      <c r="K12" s="9"/>
      <c r="L12" s="5">
        <v>1885</v>
      </c>
      <c r="M12" s="8"/>
      <c r="N12" s="8">
        <v>7507</v>
      </c>
      <c r="O12" s="3">
        <v>22919</v>
      </c>
      <c r="P12" s="98" t="s">
        <v>1982</v>
      </c>
      <c r="Q12" s="20"/>
      <c r="R12" s="21" t="str">
        <f t="shared" si="4"/>
        <v>2cab</v>
      </c>
      <c r="S12" s="17"/>
      <c r="T12" s="23" t="s">
        <v>2815</v>
      </c>
      <c r="U12">
        <f t="shared" si="3"/>
        <v>5</v>
      </c>
      <c r="V12">
        <f t="shared" si="0"/>
        <v>5</v>
      </c>
      <c r="W12">
        <f t="shared" si="1"/>
        <v>1</v>
      </c>
      <c r="Y12" t="s">
        <v>2377</v>
      </c>
      <c r="Z12" s="2" t="s">
        <v>2376</v>
      </c>
      <c r="AG12" s="71" t="s">
        <v>2375</v>
      </c>
      <c r="AI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row>
    <row r="13" spans="1:93" ht="19">
      <c r="D13">
        <f t="shared" ref="D13:D19" si="5">D12</f>
        <v>2</v>
      </c>
      <c r="E13" s="2" t="s">
        <v>1973</v>
      </c>
      <c r="F13" t="s">
        <v>830</v>
      </c>
      <c r="G13" t="s">
        <v>1497</v>
      </c>
      <c r="K13" s="9"/>
      <c r="L13" s="5">
        <v>1921</v>
      </c>
      <c r="M13" s="8"/>
      <c r="N13" s="8"/>
      <c r="O13" s="95" t="s">
        <v>1983</v>
      </c>
      <c r="P13" s="98" t="s">
        <v>1984</v>
      </c>
      <c r="Q13" s="20"/>
      <c r="R13" s="21" t="str">
        <f t="shared" si="4"/>
        <v>2caba</v>
      </c>
      <c r="S13" s="17"/>
      <c r="T13" s="23" t="s">
        <v>2815</v>
      </c>
      <c r="U13">
        <f t="shared" si="3"/>
        <v>6</v>
      </c>
      <c r="V13">
        <f t="shared" si="0"/>
        <v>6</v>
      </c>
      <c r="W13">
        <f t="shared" si="1"/>
        <v>1</v>
      </c>
      <c r="Y13" t="s">
        <v>2381</v>
      </c>
      <c r="AG13" s="71" t="s">
        <v>3</v>
      </c>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row>
    <row r="14" spans="1:93" ht="19">
      <c r="D14">
        <f t="shared" si="5"/>
        <v>2</v>
      </c>
      <c r="E14" s="2" t="s">
        <v>1973</v>
      </c>
      <c r="F14" t="s">
        <v>894</v>
      </c>
      <c r="G14" t="s">
        <v>904</v>
      </c>
      <c r="K14" s="9"/>
      <c r="L14" s="5">
        <v>1924</v>
      </c>
      <c r="M14" s="8"/>
      <c r="N14" s="10" t="s">
        <v>1987</v>
      </c>
      <c r="O14" s="3"/>
      <c r="P14" s="98" t="s">
        <v>1985</v>
      </c>
      <c r="Q14" s="20"/>
      <c r="R14" s="21" t="str">
        <f t="shared" si="4"/>
        <v>2caba</v>
      </c>
      <c r="S14" s="17"/>
      <c r="T14" s="23" t="s">
        <v>2814</v>
      </c>
      <c r="U14">
        <f t="shared" si="3"/>
        <v>6</v>
      </c>
      <c r="V14">
        <f t="shared" si="0"/>
        <v>6</v>
      </c>
      <c r="W14">
        <f t="shared" si="1"/>
        <v>1</v>
      </c>
      <c r="Y14" t="s">
        <v>1986</v>
      </c>
      <c r="Z14" t="s">
        <v>2382</v>
      </c>
      <c r="AG14" s="71"/>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row>
    <row r="15" spans="1:93" ht="19">
      <c r="D15">
        <f t="shared" si="5"/>
        <v>2</v>
      </c>
      <c r="E15" s="2" t="s">
        <v>1973</v>
      </c>
      <c r="F15" t="s">
        <v>1988</v>
      </c>
      <c r="G15" t="s">
        <v>1989</v>
      </c>
      <c r="H15" t="s">
        <v>1497</v>
      </c>
      <c r="K15" s="9"/>
      <c r="L15" s="5">
        <v>1886</v>
      </c>
      <c r="M15" s="8"/>
      <c r="N15" s="10" t="s">
        <v>1992</v>
      </c>
      <c r="O15" s="3"/>
      <c r="P15" s="98" t="s">
        <v>1991</v>
      </c>
      <c r="Q15" s="20"/>
      <c r="R15" s="21" t="str">
        <f t="shared" si="4"/>
        <v>2cab</v>
      </c>
      <c r="S15" s="17"/>
      <c r="T15" s="23" t="s">
        <v>2814</v>
      </c>
      <c r="U15">
        <f t="shared" si="3"/>
        <v>5</v>
      </c>
      <c r="V15">
        <f t="shared" si="0"/>
        <v>5</v>
      </c>
      <c r="W15">
        <f t="shared" si="1"/>
        <v>1</v>
      </c>
      <c r="Y15" t="s">
        <v>1990</v>
      </c>
      <c r="Z15" t="s">
        <v>2383</v>
      </c>
      <c r="AG15" s="71"/>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row>
    <row r="16" spans="1:93" ht="19">
      <c r="D16">
        <f t="shared" si="5"/>
        <v>2</v>
      </c>
      <c r="E16" s="2" t="s">
        <v>1994</v>
      </c>
      <c r="F16" t="s">
        <v>1993</v>
      </c>
      <c r="G16" t="s">
        <v>870</v>
      </c>
      <c r="H16" t="s">
        <v>1497</v>
      </c>
      <c r="K16" s="9"/>
      <c r="L16" s="5">
        <v>1886</v>
      </c>
      <c r="M16" s="8">
        <v>9486</v>
      </c>
      <c r="N16" s="10">
        <v>18683</v>
      </c>
      <c r="O16" s="3"/>
      <c r="P16" s="98" t="s">
        <v>1995</v>
      </c>
      <c r="Q16" s="20"/>
      <c r="R16" s="21" t="str">
        <f t="shared" si="4"/>
        <v>2cabb</v>
      </c>
      <c r="S16" s="17"/>
      <c r="T16" s="23" t="s">
        <v>2814</v>
      </c>
      <c r="U16">
        <f t="shared" si="3"/>
        <v>6</v>
      </c>
      <c r="V16">
        <f t="shared" si="0"/>
        <v>6</v>
      </c>
      <c r="W16">
        <f t="shared" si="1"/>
        <v>1</v>
      </c>
      <c r="Y16" t="s">
        <v>1996</v>
      </c>
      <c r="Z16" t="s">
        <v>2384</v>
      </c>
      <c r="AG16" s="71"/>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row>
    <row r="17" spans="1:93" ht="19">
      <c r="D17">
        <f t="shared" si="5"/>
        <v>2</v>
      </c>
      <c r="E17" s="2" t="s">
        <v>1973</v>
      </c>
      <c r="F17" t="s">
        <v>811</v>
      </c>
      <c r="G17" t="s">
        <v>1497</v>
      </c>
      <c r="H17" t="s">
        <v>1981</v>
      </c>
      <c r="K17" s="9"/>
      <c r="L17" s="5">
        <v>1988</v>
      </c>
      <c r="M17" s="8"/>
      <c r="N17" s="10" t="s">
        <v>1998</v>
      </c>
      <c r="O17" s="95" t="s">
        <v>1997</v>
      </c>
      <c r="P17" s="98" t="s">
        <v>1999</v>
      </c>
      <c r="Q17" s="20"/>
      <c r="R17" s="21" t="str">
        <f t="shared" si="4"/>
        <v>2cabba</v>
      </c>
      <c r="S17" s="17"/>
      <c r="T17" s="23" t="s">
        <v>2815</v>
      </c>
      <c r="U17">
        <f t="shared" si="3"/>
        <v>7</v>
      </c>
      <c r="V17">
        <f t="shared" si="0"/>
        <v>7</v>
      </c>
      <c r="W17">
        <f t="shared" si="1"/>
        <v>1</v>
      </c>
      <c r="Y17" t="s">
        <v>2379</v>
      </c>
      <c r="Z17" t="s">
        <v>2385</v>
      </c>
      <c r="AG17" s="71"/>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row>
    <row r="18" spans="1:93" ht="19">
      <c r="D18">
        <f t="shared" si="5"/>
        <v>2</v>
      </c>
      <c r="E18" s="2" t="s">
        <v>1973</v>
      </c>
      <c r="F18" t="s">
        <v>1549</v>
      </c>
      <c r="G18" t="s">
        <v>841</v>
      </c>
      <c r="H18" t="s">
        <v>1497</v>
      </c>
      <c r="K18" s="9"/>
      <c r="L18" s="11">
        <v>1890</v>
      </c>
      <c r="M18" s="8"/>
      <c r="N18" s="8"/>
      <c r="O18" s="95" t="s">
        <v>2001</v>
      </c>
      <c r="P18" s="98" t="s">
        <v>2000</v>
      </c>
      <c r="Q18" s="20"/>
      <c r="R18" s="21" t="str">
        <f t="shared" si="4"/>
        <v>2cabba</v>
      </c>
      <c r="S18" s="17"/>
      <c r="T18" s="23" t="s">
        <v>2815</v>
      </c>
      <c r="U18">
        <f t="shared" si="3"/>
        <v>7</v>
      </c>
      <c r="V18">
        <f t="shared" si="0"/>
        <v>7</v>
      </c>
      <c r="W18">
        <f t="shared" si="1"/>
        <v>1</v>
      </c>
      <c r="Y18" t="s">
        <v>2380</v>
      </c>
      <c r="Z18" t="s">
        <v>2386</v>
      </c>
      <c r="AG18" s="71"/>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row>
    <row r="19" spans="1:93" ht="19">
      <c r="D19">
        <f t="shared" si="5"/>
        <v>2</v>
      </c>
      <c r="E19" s="2" t="s">
        <v>1973</v>
      </c>
      <c r="F19" t="s">
        <v>2003</v>
      </c>
      <c r="G19" t="s">
        <v>904</v>
      </c>
      <c r="H19" t="s">
        <v>1497</v>
      </c>
      <c r="K19" s="9"/>
      <c r="L19" s="11">
        <v>1899</v>
      </c>
      <c r="M19" s="10"/>
      <c r="N19" s="8" t="s">
        <v>797</v>
      </c>
      <c r="O19" s="10" t="s">
        <v>2004</v>
      </c>
      <c r="P19" s="98" t="s">
        <v>2002</v>
      </c>
      <c r="Q19" s="20"/>
      <c r="R19" s="21" t="str">
        <f t="shared" si="4"/>
        <v>2cabba</v>
      </c>
      <c r="S19" s="17"/>
      <c r="T19" s="23" t="s">
        <v>2814</v>
      </c>
      <c r="U19">
        <f t="shared" si="3"/>
        <v>7</v>
      </c>
      <c r="V19">
        <f t="shared" si="0"/>
        <v>7</v>
      </c>
      <c r="W19">
        <f t="shared" si="1"/>
        <v>1</v>
      </c>
      <c r="AG19" s="71"/>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row>
    <row r="20" spans="1:93" ht="19">
      <c r="A20">
        <v>26</v>
      </c>
      <c r="C20">
        <v>337</v>
      </c>
      <c r="D20">
        <v>5</v>
      </c>
      <c r="E20" s="2" t="s">
        <v>955</v>
      </c>
      <c r="F20" t="s">
        <v>867</v>
      </c>
      <c r="I20" t="s">
        <v>1850</v>
      </c>
      <c r="J20" t="s">
        <v>1851</v>
      </c>
      <c r="K20" s="9" t="s">
        <v>1852</v>
      </c>
      <c r="L20" s="5" t="s">
        <v>967</v>
      </c>
      <c r="M20" s="8" t="s">
        <v>967</v>
      </c>
      <c r="N20" t="s">
        <v>797</v>
      </c>
      <c r="O20" t="s">
        <v>968</v>
      </c>
      <c r="P20" s="98">
        <v>5</v>
      </c>
      <c r="Q20" s="20" t="s">
        <v>1853</v>
      </c>
      <c r="R20" s="16">
        <v>1</v>
      </c>
      <c r="S20" s="17" t="s">
        <v>1849</v>
      </c>
      <c r="T20" s="23" t="s">
        <v>2814</v>
      </c>
      <c r="U20">
        <f t="shared" si="3"/>
        <v>1</v>
      </c>
      <c r="V20">
        <f t="shared" si="0"/>
        <v>1</v>
      </c>
      <c r="W20">
        <f t="shared" si="1"/>
        <v>1</v>
      </c>
      <c r="AC20">
        <v>26</v>
      </c>
      <c r="AG20" s="71" t="s">
        <v>4</v>
      </c>
      <c r="AH20" s="2" t="s">
        <v>5</v>
      </c>
      <c r="AI20" s="2" t="s">
        <v>6</v>
      </c>
    </row>
    <row r="21" spans="1:93" ht="19">
      <c r="A21">
        <v>2</v>
      </c>
      <c r="C21">
        <v>361</v>
      </c>
      <c r="D21">
        <v>7</v>
      </c>
      <c r="E21" s="2" t="s">
        <v>955</v>
      </c>
      <c r="F21" t="s">
        <v>987</v>
      </c>
      <c r="I21" t="s">
        <v>1854</v>
      </c>
      <c r="J21" t="s">
        <v>1855</v>
      </c>
      <c r="K21" s="9" t="s">
        <v>1856</v>
      </c>
      <c r="L21" s="5" t="s">
        <v>988</v>
      </c>
      <c r="M21" s="8" t="s">
        <v>988</v>
      </c>
      <c r="N21" t="s">
        <v>797</v>
      </c>
      <c r="O21" t="s">
        <v>1197</v>
      </c>
      <c r="P21" s="98">
        <v>7</v>
      </c>
      <c r="Q21" s="20" t="s">
        <v>1857</v>
      </c>
      <c r="R21" s="16">
        <v>1</v>
      </c>
      <c r="S21" s="17" t="s">
        <v>1849</v>
      </c>
      <c r="T21" s="23" t="s">
        <v>2814</v>
      </c>
      <c r="U21">
        <f t="shared" si="3"/>
        <v>1</v>
      </c>
      <c r="V21">
        <f t="shared" si="0"/>
        <v>1</v>
      </c>
      <c r="W21">
        <f t="shared" si="1"/>
        <v>1</v>
      </c>
      <c r="AC21">
        <v>2</v>
      </c>
      <c r="AG21" s="71" t="s">
        <v>7</v>
      </c>
      <c r="AH21" s="2" t="s">
        <v>8</v>
      </c>
      <c r="AI21" s="2" t="s">
        <v>9</v>
      </c>
      <c r="AJ21" s="2" t="s">
        <v>10</v>
      </c>
      <c r="AK21" s="2" t="s">
        <v>11</v>
      </c>
      <c r="AL21" s="2" t="s">
        <v>12</v>
      </c>
    </row>
    <row r="22" spans="1:93" ht="19">
      <c r="A22">
        <v>48</v>
      </c>
      <c r="C22">
        <v>691</v>
      </c>
      <c r="D22">
        <v>11</v>
      </c>
      <c r="E22" s="2" t="s">
        <v>782</v>
      </c>
      <c r="F22" t="s">
        <v>998</v>
      </c>
      <c r="I22" t="s">
        <v>1858</v>
      </c>
      <c r="J22" t="s">
        <v>1859</v>
      </c>
      <c r="K22" s="9" t="s">
        <v>1860</v>
      </c>
      <c r="L22" s="5" t="s">
        <v>999</v>
      </c>
      <c r="M22" s="8" t="s">
        <v>999</v>
      </c>
      <c r="N22" t="s">
        <v>1000</v>
      </c>
      <c r="O22" t="s">
        <v>1001</v>
      </c>
      <c r="P22" s="98">
        <v>11</v>
      </c>
      <c r="Q22" s="20" t="s">
        <v>1861</v>
      </c>
      <c r="R22" s="16">
        <v>8</v>
      </c>
      <c r="S22" s="17" t="s">
        <v>1862</v>
      </c>
      <c r="T22" s="23" t="s">
        <v>2814</v>
      </c>
      <c r="U22">
        <f t="shared" si="3"/>
        <v>2</v>
      </c>
      <c r="V22">
        <f t="shared" si="0"/>
        <v>2</v>
      </c>
      <c r="W22">
        <f t="shared" si="1"/>
        <v>2</v>
      </c>
      <c r="Y22" t="s">
        <v>2005</v>
      </c>
      <c r="Z22">
        <v>1</v>
      </c>
      <c r="AA22" t="s">
        <v>847</v>
      </c>
      <c r="AC22">
        <v>48</v>
      </c>
      <c r="AG22" s="71" t="s">
        <v>14</v>
      </c>
      <c r="AH22" s="2" t="s">
        <v>15</v>
      </c>
      <c r="AI22" s="2" t="s">
        <v>16</v>
      </c>
      <c r="AJ22" s="2"/>
      <c r="AK22" s="2"/>
      <c r="AL22" s="2"/>
      <c r="AM22" s="2"/>
      <c r="AN22" s="2"/>
      <c r="AO22" s="2" t="s">
        <v>2388</v>
      </c>
      <c r="AP22" s="2"/>
      <c r="AQ22" s="2"/>
      <c r="AR22" s="2"/>
      <c r="AS22" s="2"/>
      <c r="AT22" s="2"/>
      <c r="AU22" s="2"/>
      <c r="AV22" s="2"/>
      <c r="AW22" s="2"/>
      <c r="AX22" s="2"/>
      <c r="AY22" s="2"/>
      <c r="BD22" s="2"/>
      <c r="BE22" s="2"/>
      <c r="BF22" s="2"/>
      <c r="BG22" s="2"/>
    </row>
    <row r="23" spans="1:93" ht="19">
      <c r="D23">
        <f>D22</f>
        <v>11</v>
      </c>
      <c r="E23" s="2" t="s">
        <v>2006</v>
      </c>
      <c r="F23" t="s">
        <v>1452</v>
      </c>
      <c r="K23" s="9"/>
      <c r="L23" s="5"/>
      <c r="M23" s="8">
        <v>13948</v>
      </c>
      <c r="N23" t="s">
        <v>797</v>
      </c>
      <c r="O23" s="3">
        <v>5016</v>
      </c>
      <c r="P23" s="98" t="s">
        <v>2007</v>
      </c>
      <c r="Q23" s="20"/>
      <c r="R23" s="21" t="str">
        <f>MID(P23,1,LEN(P23)-1)</f>
        <v>11</v>
      </c>
      <c r="S23" s="17"/>
      <c r="T23" s="23" t="s">
        <v>2814</v>
      </c>
      <c r="U23">
        <f t="shared" si="3"/>
        <v>3</v>
      </c>
      <c r="V23">
        <f t="shared" si="0"/>
        <v>3</v>
      </c>
      <c r="W23">
        <f t="shared" si="1"/>
        <v>2</v>
      </c>
      <c r="AG23" s="71" t="s">
        <v>2387</v>
      </c>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row>
    <row r="24" spans="1:93" ht="19">
      <c r="D24">
        <f>D23</f>
        <v>11</v>
      </c>
      <c r="E24" s="2" t="s">
        <v>2006</v>
      </c>
      <c r="F24" t="s">
        <v>998</v>
      </c>
      <c r="K24" s="9"/>
      <c r="L24" s="5"/>
      <c r="M24" s="8" t="s">
        <v>2008</v>
      </c>
      <c r="N24" t="s">
        <v>797</v>
      </c>
      <c r="O24" t="s">
        <v>2009</v>
      </c>
      <c r="P24" s="98" t="s">
        <v>2010</v>
      </c>
      <c r="Q24" s="20"/>
      <c r="R24" s="21" t="str">
        <f>MID(P24,1,LEN(P24)-1)</f>
        <v>11</v>
      </c>
      <c r="S24" s="17"/>
      <c r="T24" s="23" t="s">
        <v>2814</v>
      </c>
      <c r="U24">
        <f t="shared" si="3"/>
        <v>3</v>
      </c>
      <c r="V24">
        <f t="shared" si="0"/>
        <v>3</v>
      </c>
      <c r="W24">
        <f t="shared" si="1"/>
        <v>2</v>
      </c>
      <c r="AG24" s="71" t="s">
        <v>2389</v>
      </c>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row>
    <row r="25" spans="1:93" ht="19">
      <c r="D25">
        <f>D24</f>
        <v>11</v>
      </c>
      <c r="E25" s="2" t="s">
        <v>2006</v>
      </c>
      <c r="F25" t="s">
        <v>807</v>
      </c>
      <c r="K25" s="9"/>
      <c r="L25" s="5"/>
      <c r="M25" s="8" t="s">
        <v>2013</v>
      </c>
      <c r="N25" t="s">
        <v>797</v>
      </c>
      <c r="O25" t="s">
        <v>2014</v>
      </c>
      <c r="P25" s="98" t="s">
        <v>2011</v>
      </c>
      <c r="Q25" s="20"/>
      <c r="R25" s="21" t="str">
        <f>MID(P25,1,LEN(P25)-1)</f>
        <v>11</v>
      </c>
      <c r="S25" s="17"/>
      <c r="T25" s="23" t="s">
        <v>2815</v>
      </c>
      <c r="U25">
        <f t="shared" si="3"/>
        <v>3</v>
      </c>
      <c r="V25">
        <f t="shared" si="0"/>
        <v>3</v>
      </c>
      <c r="W25">
        <f t="shared" si="1"/>
        <v>2</v>
      </c>
      <c r="AG25" s="71" t="s">
        <v>2387</v>
      </c>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row>
    <row r="26" spans="1:93" ht="19">
      <c r="D26">
        <f>D25</f>
        <v>11</v>
      </c>
      <c r="E26" s="2" t="s">
        <v>2006</v>
      </c>
      <c r="F26" t="s">
        <v>2015</v>
      </c>
      <c r="K26" s="9"/>
      <c r="L26" s="5"/>
      <c r="M26" s="8" t="s">
        <v>2016</v>
      </c>
      <c r="N26" t="s">
        <v>797</v>
      </c>
      <c r="O26" t="s">
        <v>2017</v>
      </c>
      <c r="P26" s="98" t="s">
        <v>2012</v>
      </c>
      <c r="Q26" s="20"/>
      <c r="R26" s="21" t="str">
        <f>MID(P26,1,LEN(P26)-1)</f>
        <v>11</v>
      </c>
      <c r="S26" s="17"/>
      <c r="T26" s="23" t="s">
        <v>2814</v>
      </c>
      <c r="U26">
        <f t="shared" si="3"/>
        <v>3</v>
      </c>
      <c r="V26">
        <f t="shared" si="0"/>
        <v>3</v>
      </c>
      <c r="W26">
        <f t="shared" si="1"/>
        <v>2</v>
      </c>
      <c r="AG26" s="71" t="s">
        <v>2390</v>
      </c>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row>
    <row r="27" spans="1:93" ht="19">
      <c r="D27">
        <f>D26</f>
        <v>11</v>
      </c>
      <c r="E27" s="2" t="s">
        <v>2006</v>
      </c>
      <c r="F27" t="s">
        <v>811</v>
      </c>
      <c r="G27" t="s">
        <v>1497</v>
      </c>
      <c r="K27" s="9"/>
      <c r="L27" s="5"/>
      <c r="M27" s="8" t="s">
        <v>2018</v>
      </c>
      <c r="N27" t="s">
        <v>2019</v>
      </c>
      <c r="O27" s="3">
        <v>1103</v>
      </c>
      <c r="P27" s="98" t="s">
        <v>2020</v>
      </c>
      <c r="Q27" s="20"/>
      <c r="R27" s="21" t="str">
        <f>MID(P27,1,LEN(P27)-1)</f>
        <v>11</v>
      </c>
      <c r="S27" s="17"/>
      <c r="T27" s="23" t="s">
        <v>2815</v>
      </c>
      <c r="U27">
        <f t="shared" si="3"/>
        <v>3</v>
      </c>
      <c r="V27">
        <f t="shared" si="0"/>
        <v>3</v>
      </c>
      <c r="W27">
        <f t="shared" si="1"/>
        <v>2</v>
      </c>
      <c r="Y27" t="s">
        <v>2393</v>
      </c>
      <c r="Z27" s="2" t="s">
        <v>2820</v>
      </c>
      <c r="AG27" s="71" t="s">
        <v>2392</v>
      </c>
      <c r="AH27" s="2"/>
      <c r="AI27" s="2" t="s">
        <v>2391</v>
      </c>
      <c r="AJ27" s="2" t="s">
        <v>17</v>
      </c>
      <c r="AK27" s="2" t="s">
        <v>18</v>
      </c>
      <c r="AL27" s="2"/>
      <c r="AM27" s="2"/>
      <c r="AN27" s="2"/>
      <c r="AO27" s="2"/>
      <c r="AP27" s="2"/>
      <c r="AQ27" s="2"/>
      <c r="AR27" s="2"/>
      <c r="AS27" s="2"/>
      <c r="AT27" s="2"/>
      <c r="AU27" s="2"/>
      <c r="AV27" s="2"/>
      <c r="AW27" s="2"/>
      <c r="AX27" s="2"/>
      <c r="AY27" s="2"/>
      <c r="AZ27" s="2"/>
      <c r="BA27" s="2"/>
      <c r="BB27" s="2"/>
      <c r="BC27" s="2"/>
      <c r="BD27" s="2"/>
      <c r="BE27" s="2"/>
      <c r="BF27" s="2"/>
      <c r="BG27" s="2"/>
    </row>
    <row r="28" spans="1:93" ht="19">
      <c r="A28">
        <v>51</v>
      </c>
      <c r="C28">
        <v>739</v>
      </c>
      <c r="D28">
        <v>12</v>
      </c>
      <c r="E28" s="2" t="s">
        <v>782</v>
      </c>
      <c r="F28" t="s">
        <v>983</v>
      </c>
      <c r="I28" t="s">
        <v>1858</v>
      </c>
      <c r="J28" t="s">
        <v>1863</v>
      </c>
      <c r="K28" s="9" t="s">
        <v>1864</v>
      </c>
      <c r="L28" s="5" t="s">
        <v>1003</v>
      </c>
      <c r="M28" s="8" t="s">
        <v>1003</v>
      </c>
      <c r="N28" t="s">
        <v>797</v>
      </c>
      <c r="O28" t="s">
        <v>1004</v>
      </c>
      <c r="P28" s="98">
        <v>12</v>
      </c>
      <c r="Q28" s="20" t="s">
        <v>1865</v>
      </c>
      <c r="R28" s="16">
        <v>4</v>
      </c>
      <c r="S28" s="17" t="s">
        <v>1866</v>
      </c>
      <c r="T28" s="23" t="s">
        <v>2814</v>
      </c>
      <c r="U28">
        <f t="shared" si="3"/>
        <v>2</v>
      </c>
      <c r="V28">
        <f t="shared" si="0"/>
        <v>2</v>
      </c>
      <c r="W28">
        <f t="shared" si="1"/>
        <v>2</v>
      </c>
      <c r="Y28">
        <v>0</v>
      </c>
      <c r="Z28">
        <v>0</v>
      </c>
      <c r="AC28">
        <v>51</v>
      </c>
      <c r="AG28" s="71" t="s">
        <v>19</v>
      </c>
      <c r="AH28" s="2" t="s">
        <v>20</v>
      </c>
      <c r="AI28" s="2" t="s">
        <v>21</v>
      </c>
    </row>
    <row r="29" spans="1:93" ht="19">
      <c r="A29">
        <v>21</v>
      </c>
      <c r="C29">
        <v>859</v>
      </c>
      <c r="D29">
        <v>15</v>
      </c>
      <c r="E29" s="2" t="s">
        <v>782</v>
      </c>
      <c r="F29" t="s">
        <v>1010</v>
      </c>
      <c r="G29" t="s">
        <v>1011</v>
      </c>
      <c r="I29" t="s">
        <v>1867</v>
      </c>
      <c r="J29" t="s">
        <v>1868</v>
      </c>
      <c r="K29" s="9" t="s">
        <v>1869</v>
      </c>
      <c r="L29" s="5" t="s">
        <v>1012</v>
      </c>
      <c r="M29" s="8" t="s">
        <v>1012</v>
      </c>
      <c r="N29" t="s">
        <v>797</v>
      </c>
      <c r="O29" t="s">
        <v>1013</v>
      </c>
      <c r="P29" s="98">
        <v>15</v>
      </c>
      <c r="Q29" s="20" t="s">
        <v>1870</v>
      </c>
      <c r="R29" s="16">
        <v>8</v>
      </c>
      <c r="S29" s="17" t="s">
        <v>1862</v>
      </c>
      <c r="T29" s="23" t="s">
        <v>2814</v>
      </c>
      <c r="U29">
        <f t="shared" si="3"/>
        <v>2</v>
      </c>
      <c r="V29">
        <f t="shared" si="0"/>
        <v>2</v>
      </c>
      <c r="W29">
        <f t="shared" si="1"/>
        <v>2</v>
      </c>
      <c r="Y29">
        <v>0</v>
      </c>
      <c r="Z29">
        <v>0</v>
      </c>
      <c r="AC29">
        <v>21</v>
      </c>
      <c r="AG29" s="71" t="s">
        <v>22</v>
      </c>
      <c r="AH29" s="2" t="s">
        <v>23</v>
      </c>
      <c r="AI29" s="2" t="s">
        <v>24</v>
      </c>
    </row>
    <row r="30" spans="1:93" ht="19">
      <c r="A30">
        <v>86</v>
      </c>
      <c r="C30">
        <v>867</v>
      </c>
      <c r="D30">
        <v>16</v>
      </c>
      <c r="E30" s="2" t="s">
        <v>782</v>
      </c>
      <c r="F30" t="s">
        <v>1014</v>
      </c>
      <c r="I30" t="s">
        <v>1871</v>
      </c>
      <c r="J30">
        <v>1900</v>
      </c>
      <c r="K30" s="9" t="s">
        <v>1872</v>
      </c>
      <c r="L30" s="5" t="s">
        <v>1015</v>
      </c>
      <c r="M30" s="8" t="s">
        <v>1015</v>
      </c>
      <c r="N30" t="s">
        <v>1016</v>
      </c>
      <c r="O30" s="3">
        <v>260</v>
      </c>
      <c r="P30" s="98">
        <v>16</v>
      </c>
      <c r="Q30" s="20" t="s">
        <v>1873</v>
      </c>
      <c r="R30" s="16">
        <v>4</v>
      </c>
      <c r="S30" s="17" t="s">
        <v>1866</v>
      </c>
      <c r="T30" s="23" t="s">
        <v>2814</v>
      </c>
      <c r="U30">
        <f t="shared" si="3"/>
        <v>2</v>
      </c>
      <c r="V30">
        <f t="shared" si="0"/>
        <v>2</v>
      </c>
      <c r="W30">
        <f t="shared" si="1"/>
        <v>2</v>
      </c>
      <c r="Y30" t="s">
        <v>2021</v>
      </c>
      <c r="Z30">
        <v>0</v>
      </c>
      <c r="AC30">
        <v>86</v>
      </c>
      <c r="AG30" s="71" t="s">
        <v>25</v>
      </c>
      <c r="AH30" s="2" t="s">
        <v>26</v>
      </c>
      <c r="AI30" s="2" t="s">
        <v>27</v>
      </c>
      <c r="AJ30" s="2" t="s">
        <v>28</v>
      </c>
    </row>
    <row r="31" spans="1:93" ht="19">
      <c r="A31">
        <v>90</v>
      </c>
      <c r="C31">
        <v>885</v>
      </c>
      <c r="D31">
        <v>18</v>
      </c>
      <c r="E31" s="2" t="s">
        <v>782</v>
      </c>
      <c r="F31" t="s">
        <v>867</v>
      </c>
      <c r="G31" t="s">
        <v>1019</v>
      </c>
      <c r="I31" t="s">
        <v>1874</v>
      </c>
      <c r="J31">
        <v>1905</v>
      </c>
      <c r="K31" s="9" t="s">
        <v>1875</v>
      </c>
      <c r="L31" s="5" t="s">
        <v>1020</v>
      </c>
      <c r="M31" s="8" t="s">
        <v>1020</v>
      </c>
      <c r="N31" t="s">
        <v>1021</v>
      </c>
      <c r="O31" s="3">
        <v>2175</v>
      </c>
      <c r="P31" s="98">
        <v>18</v>
      </c>
      <c r="Q31" s="20" t="s">
        <v>1876</v>
      </c>
      <c r="R31" s="16">
        <v>8</v>
      </c>
      <c r="S31" s="17" t="s">
        <v>1862</v>
      </c>
      <c r="T31" s="23" t="s">
        <v>2814</v>
      </c>
      <c r="U31">
        <f t="shared" si="3"/>
        <v>2</v>
      </c>
      <c r="V31">
        <f t="shared" si="0"/>
        <v>2</v>
      </c>
      <c r="W31">
        <f t="shared" si="1"/>
        <v>2</v>
      </c>
      <c r="Y31" t="s">
        <v>2024</v>
      </c>
      <c r="Z31">
        <v>1</v>
      </c>
      <c r="AA31" t="s">
        <v>847</v>
      </c>
      <c r="AC31">
        <v>90</v>
      </c>
      <c r="AG31" s="71" t="s">
        <v>29</v>
      </c>
      <c r="AH31" s="2" t="s">
        <v>30</v>
      </c>
      <c r="AI31" s="2" t="s">
        <v>31</v>
      </c>
    </row>
    <row r="32" spans="1:93" ht="19">
      <c r="D32">
        <f t="shared" ref="D32:D44" si="6">D31</f>
        <v>18</v>
      </c>
      <c r="E32" s="2" t="s">
        <v>2022</v>
      </c>
      <c r="F32" t="s">
        <v>882</v>
      </c>
      <c r="G32" t="s">
        <v>2023</v>
      </c>
      <c r="K32" s="9"/>
      <c r="L32" s="5"/>
      <c r="M32" s="8" t="s">
        <v>2025</v>
      </c>
      <c r="N32" t="s">
        <v>797</v>
      </c>
      <c r="O32" s="3">
        <v>10173</v>
      </c>
      <c r="P32" s="98" t="s">
        <v>2026</v>
      </c>
      <c r="Q32" s="20"/>
      <c r="R32" s="21" t="str">
        <f t="shared" ref="R32:R77" si="7">MID(P32,1,LEN(P32)-1)</f>
        <v>18</v>
      </c>
      <c r="S32" s="17"/>
      <c r="T32" s="23" t="s">
        <v>2814</v>
      </c>
      <c r="U32">
        <f t="shared" si="3"/>
        <v>3</v>
      </c>
      <c r="V32">
        <f t="shared" si="0"/>
        <v>3</v>
      </c>
      <c r="W32">
        <f t="shared" si="1"/>
        <v>2</v>
      </c>
      <c r="AG32" s="71" t="s">
        <v>2395</v>
      </c>
      <c r="AH32" s="2"/>
      <c r="AI32" s="2"/>
      <c r="AJ32" s="2"/>
      <c r="CN32" s="2"/>
      <c r="CO32" s="2"/>
    </row>
    <row r="33" spans="4:93" ht="19">
      <c r="D33">
        <f t="shared" si="6"/>
        <v>18</v>
      </c>
      <c r="E33" s="2" t="s">
        <v>2022</v>
      </c>
      <c r="F33" t="s">
        <v>830</v>
      </c>
      <c r="G33" t="s">
        <v>811</v>
      </c>
      <c r="K33" s="9"/>
      <c r="L33" s="5"/>
      <c r="M33" s="8" t="s">
        <v>2027</v>
      </c>
      <c r="N33" t="s">
        <v>2028</v>
      </c>
      <c r="O33" s="3">
        <v>5345</v>
      </c>
      <c r="P33" s="98" t="s">
        <v>2029</v>
      </c>
      <c r="Q33" s="20"/>
      <c r="R33" s="21" t="str">
        <f t="shared" si="7"/>
        <v>18</v>
      </c>
      <c r="S33" s="17"/>
      <c r="T33" s="23" t="s">
        <v>2815</v>
      </c>
      <c r="U33">
        <f t="shared" si="3"/>
        <v>3</v>
      </c>
      <c r="V33">
        <f t="shared" si="0"/>
        <v>3</v>
      </c>
      <c r="W33">
        <f t="shared" si="1"/>
        <v>2</v>
      </c>
      <c r="Y33" t="s">
        <v>2396</v>
      </c>
      <c r="Z33" t="s">
        <v>2397</v>
      </c>
      <c r="AG33" s="71" t="s">
        <v>2398</v>
      </c>
      <c r="AH33" s="2"/>
      <c r="AI33" s="2"/>
      <c r="AJ33" s="2"/>
      <c r="AK33" s="2"/>
      <c r="CK33" s="2"/>
      <c r="CL33" s="2"/>
      <c r="CM33" s="2"/>
      <c r="CN33" s="2"/>
      <c r="CO33" s="2"/>
    </row>
    <row r="34" spans="4:93" ht="19">
      <c r="D34">
        <f t="shared" si="6"/>
        <v>18</v>
      </c>
      <c r="E34" s="2" t="s">
        <v>2022</v>
      </c>
      <c r="F34" t="s">
        <v>2030</v>
      </c>
      <c r="G34" t="s">
        <v>830</v>
      </c>
      <c r="H34" t="s">
        <v>2031</v>
      </c>
      <c r="K34" s="9"/>
      <c r="L34" s="5"/>
      <c r="M34" s="8" t="s">
        <v>2032</v>
      </c>
      <c r="N34" t="s">
        <v>797</v>
      </c>
      <c r="O34" s="3" t="s">
        <v>2033</v>
      </c>
      <c r="P34" s="98" t="s">
        <v>2034</v>
      </c>
      <c r="Q34" s="20"/>
      <c r="R34" s="21" t="str">
        <f t="shared" si="7"/>
        <v>18b</v>
      </c>
      <c r="S34" s="17"/>
      <c r="T34" s="23" t="s">
        <v>2815</v>
      </c>
      <c r="U34">
        <f t="shared" si="3"/>
        <v>4</v>
      </c>
      <c r="V34">
        <f t="shared" ref="V34:V65" si="8">LEN(P34)</f>
        <v>4</v>
      </c>
      <c r="W34">
        <f t="shared" ref="W34:W65" si="9">VLOOKUP(D34,Generation,2,FALSE)</f>
        <v>2</v>
      </c>
      <c r="AG34" s="71" t="s">
        <v>2399</v>
      </c>
      <c r="AH34" s="2"/>
      <c r="AI34" s="2"/>
      <c r="AJ34" s="2"/>
      <c r="CG34" s="2"/>
      <c r="CH34" s="2"/>
      <c r="CI34" s="2"/>
      <c r="CJ34" s="2"/>
      <c r="CK34" s="2"/>
      <c r="CL34" s="2"/>
      <c r="CM34" s="2"/>
      <c r="CN34" s="2"/>
      <c r="CO34" s="2"/>
    </row>
    <row r="35" spans="4:93" ht="19">
      <c r="D35">
        <f t="shared" si="6"/>
        <v>18</v>
      </c>
      <c r="E35" s="2" t="s">
        <v>2022</v>
      </c>
      <c r="F35" t="s">
        <v>2036</v>
      </c>
      <c r="G35" t="s">
        <v>867</v>
      </c>
      <c r="K35" s="9"/>
      <c r="L35" s="5"/>
      <c r="M35" s="8" t="s">
        <v>2037</v>
      </c>
      <c r="N35" s="3">
        <v>3764</v>
      </c>
      <c r="O35" s="3">
        <v>23101</v>
      </c>
      <c r="P35" s="98" t="s">
        <v>2035</v>
      </c>
      <c r="Q35" s="20"/>
      <c r="R35" s="21" t="str">
        <f t="shared" si="7"/>
        <v>18b</v>
      </c>
      <c r="S35" s="17"/>
      <c r="T35" s="23" t="s">
        <v>2814</v>
      </c>
      <c r="U35">
        <f t="shared" si="3"/>
        <v>4</v>
      </c>
      <c r="V35">
        <f t="shared" si="8"/>
        <v>4</v>
      </c>
      <c r="W35">
        <f t="shared" si="9"/>
        <v>2</v>
      </c>
      <c r="Y35" t="s">
        <v>2043</v>
      </c>
      <c r="Z35" t="s">
        <v>2400</v>
      </c>
      <c r="AG35" s="71"/>
      <c r="AH35" s="2"/>
      <c r="AI35" s="2"/>
      <c r="AJ35" s="2"/>
      <c r="CC35" s="2"/>
      <c r="CD35" s="2"/>
      <c r="CE35" s="2"/>
      <c r="CF35" s="2"/>
      <c r="CG35" s="2"/>
      <c r="CH35" s="2"/>
      <c r="CI35" s="2"/>
      <c r="CJ35" s="2"/>
      <c r="CK35" s="2"/>
      <c r="CL35" s="2"/>
      <c r="CM35" s="2"/>
      <c r="CN35" s="2"/>
      <c r="CO35" s="2"/>
    </row>
    <row r="36" spans="4:93" ht="19">
      <c r="D36">
        <f t="shared" si="6"/>
        <v>18</v>
      </c>
      <c r="E36" s="2" t="s">
        <v>2038</v>
      </c>
      <c r="F36" t="s">
        <v>2040</v>
      </c>
      <c r="G36" t="s">
        <v>2041</v>
      </c>
      <c r="K36" s="9"/>
      <c r="L36" s="5"/>
      <c r="M36" s="8">
        <v>33320</v>
      </c>
      <c r="N36" s="3">
        <v>15845</v>
      </c>
      <c r="O36" s="3"/>
      <c r="P36" s="98" t="s">
        <v>2042</v>
      </c>
      <c r="Q36" s="20"/>
      <c r="R36" s="21" t="str">
        <f t="shared" si="7"/>
        <v>18bb</v>
      </c>
      <c r="S36" s="17"/>
      <c r="T36" s="23" t="s">
        <v>2815</v>
      </c>
      <c r="U36">
        <f t="shared" si="3"/>
        <v>5</v>
      </c>
      <c r="V36">
        <f t="shared" si="8"/>
        <v>5</v>
      </c>
      <c r="W36">
        <f t="shared" si="9"/>
        <v>2</v>
      </c>
      <c r="Y36" t="s">
        <v>2044</v>
      </c>
      <c r="Z36" t="s">
        <v>2402</v>
      </c>
      <c r="AG36" s="71" t="s">
        <v>2401</v>
      </c>
      <c r="AI36" s="2"/>
      <c r="AJ36" s="2"/>
      <c r="AK36" s="2"/>
      <c r="AL36" s="2"/>
      <c r="AM36" s="2"/>
      <c r="AN36" s="2"/>
      <c r="AO36" s="2"/>
      <c r="AP36" s="2"/>
      <c r="AQ36" s="2"/>
      <c r="BZ36" s="2"/>
      <c r="CA36" s="2"/>
      <c r="CB36" s="2"/>
      <c r="CC36" s="2"/>
      <c r="CD36" s="2"/>
      <c r="CE36" s="2"/>
      <c r="CF36" s="2"/>
      <c r="CG36" s="2"/>
      <c r="CH36" s="2"/>
      <c r="CI36" s="2"/>
      <c r="CJ36" s="2"/>
      <c r="CK36" s="2"/>
      <c r="CL36" s="2"/>
      <c r="CM36" s="2"/>
      <c r="CN36" s="2"/>
      <c r="CO36" s="2"/>
    </row>
    <row r="37" spans="4:93" ht="19">
      <c r="D37">
        <f t="shared" si="6"/>
        <v>18</v>
      </c>
      <c r="E37" s="2" t="s">
        <v>2048</v>
      </c>
      <c r="F37" t="s">
        <v>902</v>
      </c>
      <c r="G37" t="s">
        <v>2045</v>
      </c>
      <c r="H37" t="s">
        <v>2041</v>
      </c>
      <c r="K37" s="9"/>
      <c r="L37" s="5"/>
      <c r="M37" s="8">
        <v>16740</v>
      </c>
      <c r="N37" s="3">
        <v>28938</v>
      </c>
      <c r="O37" s="3"/>
      <c r="P37" s="98" t="s">
        <v>2046</v>
      </c>
      <c r="Q37" s="20"/>
      <c r="R37" s="21" t="str">
        <f t="shared" si="7"/>
        <v>18bba</v>
      </c>
      <c r="S37" s="17"/>
      <c r="T37" s="23" t="s">
        <v>2815</v>
      </c>
      <c r="U37">
        <f t="shared" si="3"/>
        <v>6</v>
      </c>
      <c r="V37">
        <f t="shared" si="8"/>
        <v>6</v>
      </c>
      <c r="W37">
        <f t="shared" si="9"/>
        <v>2</v>
      </c>
      <c r="Y37" t="s">
        <v>2047</v>
      </c>
      <c r="Z37" t="s">
        <v>2403</v>
      </c>
      <c r="AG37" s="71" t="s">
        <v>2404</v>
      </c>
      <c r="AI37" s="2"/>
      <c r="AJ37" s="2"/>
      <c r="AL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row>
    <row r="38" spans="4:93" ht="19">
      <c r="D38">
        <f t="shared" si="6"/>
        <v>18</v>
      </c>
      <c r="E38" s="2" t="s">
        <v>2053</v>
      </c>
      <c r="F38" t="s">
        <v>2054</v>
      </c>
      <c r="G38" t="s">
        <v>2055</v>
      </c>
      <c r="H38" t="s">
        <v>2056</v>
      </c>
      <c r="K38" s="9"/>
      <c r="L38" s="5"/>
      <c r="M38" s="8">
        <v>29488</v>
      </c>
      <c r="N38" s="3"/>
      <c r="O38" s="3"/>
      <c r="P38" s="98" t="s">
        <v>2049</v>
      </c>
      <c r="Q38" s="20"/>
      <c r="R38" s="21" t="str">
        <f t="shared" si="7"/>
        <v>18bbaa</v>
      </c>
      <c r="S38" s="17"/>
      <c r="T38" s="23" t="s">
        <v>2815</v>
      </c>
      <c r="U38">
        <f t="shared" si="3"/>
        <v>7</v>
      </c>
      <c r="V38">
        <f t="shared" si="8"/>
        <v>7</v>
      </c>
      <c r="W38">
        <f t="shared" si="9"/>
        <v>2</v>
      </c>
      <c r="AG38" s="71" t="s">
        <v>2405</v>
      </c>
      <c r="AH38" s="2"/>
      <c r="AI38" s="2"/>
      <c r="A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row>
    <row r="39" spans="4:93" ht="19">
      <c r="D39">
        <f t="shared" si="6"/>
        <v>18</v>
      </c>
      <c r="E39" s="2" t="s">
        <v>2053</v>
      </c>
      <c r="F39" t="s">
        <v>938</v>
      </c>
      <c r="G39" t="s">
        <v>876</v>
      </c>
      <c r="K39" s="9"/>
      <c r="L39" s="5"/>
      <c r="M39" s="8">
        <v>30285</v>
      </c>
      <c r="N39" s="3"/>
      <c r="O39" s="3"/>
      <c r="P39" s="98" t="s">
        <v>2050</v>
      </c>
      <c r="Q39" s="20"/>
      <c r="R39" s="21" t="str">
        <f t="shared" si="7"/>
        <v>18bbaa</v>
      </c>
      <c r="S39" s="17"/>
      <c r="T39" s="23" t="s">
        <v>2814</v>
      </c>
      <c r="U39">
        <f t="shared" si="3"/>
        <v>7</v>
      </c>
      <c r="V39">
        <f t="shared" si="8"/>
        <v>7</v>
      </c>
      <c r="W39">
        <f t="shared" si="9"/>
        <v>2</v>
      </c>
      <c r="AG39" s="71" t="s">
        <v>2406</v>
      </c>
      <c r="AH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row>
    <row r="40" spans="4:93" ht="19">
      <c r="D40">
        <f t="shared" si="6"/>
        <v>18</v>
      </c>
      <c r="E40" s="2" t="s">
        <v>2053</v>
      </c>
      <c r="F40" t="s">
        <v>1804</v>
      </c>
      <c r="G40" t="s">
        <v>924</v>
      </c>
      <c r="K40" s="9"/>
      <c r="L40" s="5"/>
      <c r="M40" s="8">
        <v>31237</v>
      </c>
      <c r="N40" s="3"/>
      <c r="O40" s="3"/>
      <c r="P40" s="98" t="s">
        <v>2051</v>
      </c>
      <c r="Q40" s="20"/>
      <c r="R40" s="21" t="str">
        <f t="shared" si="7"/>
        <v>18bbaa</v>
      </c>
      <c r="S40" s="17"/>
      <c r="T40" s="23" t="s">
        <v>2815</v>
      </c>
      <c r="U40">
        <f t="shared" si="3"/>
        <v>7</v>
      </c>
      <c r="V40">
        <f t="shared" si="8"/>
        <v>7</v>
      </c>
      <c r="W40">
        <f t="shared" si="9"/>
        <v>2</v>
      </c>
      <c r="AG40" s="71" t="s">
        <v>2406</v>
      </c>
      <c r="AH40" s="2"/>
      <c r="AI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row>
    <row r="41" spans="4:93" ht="19">
      <c r="D41">
        <f t="shared" si="6"/>
        <v>18</v>
      </c>
      <c r="E41" s="2" t="s">
        <v>2053</v>
      </c>
      <c r="F41" t="s">
        <v>913</v>
      </c>
      <c r="G41" t="s">
        <v>2057</v>
      </c>
      <c r="K41" s="9"/>
      <c r="L41" s="5"/>
      <c r="M41" s="8">
        <v>32446</v>
      </c>
      <c r="O41" s="3"/>
      <c r="P41" s="98" t="s">
        <v>2052</v>
      </c>
      <c r="Q41" s="20"/>
      <c r="R41" s="21" t="str">
        <f t="shared" si="7"/>
        <v>18bbaa</v>
      </c>
      <c r="S41" s="17"/>
      <c r="T41" s="23" t="s">
        <v>2815</v>
      </c>
      <c r="U41">
        <f t="shared" si="3"/>
        <v>7</v>
      </c>
      <c r="V41">
        <f t="shared" si="8"/>
        <v>7</v>
      </c>
      <c r="W41">
        <f t="shared" si="9"/>
        <v>2</v>
      </c>
      <c r="AG41" s="71"/>
      <c r="AH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row>
    <row r="42" spans="4:93" ht="19">
      <c r="D42">
        <f t="shared" si="6"/>
        <v>18</v>
      </c>
      <c r="E42" s="2" t="s">
        <v>2038</v>
      </c>
      <c r="F42" t="s">
        <v>952</v>
      </c>
      <c r="G42" t="s">
        <v>2036</v>
      </c>
      <c r="K42" s="9"/>
      <c r="L42" s="5"/>
      <c r="M42" s="8">
        <v>17515</v>
      </c>
      <c r="N42" s="3">
        <v>27013</v>
      </c>
      <c r="O42" s="3"/>
      <c r="P42" s="98" t="s">
        <v>2407</v>
      </c>
      <c r="Q42" s="20"/>
      <c r="R42" s="21" t="str">
        <f t="shared" si="7"/>
        <v>18bba</v>
      </c>
      <c r="S42" s="17"/>
      <c r="T42" s="23" t="s">
        <v>2814</v>
      </c>
      <c r="U42">
        <f t="shared" si="3"/>
        <v>6</v>
      </c>
      <c r="V42">
        <f t="shared" si="8"/>
        <v>6</v>
      </c>
      <c r="W42">
        <f t="shared" si="9"/>
        <v>2</v>
      </c>
      <c r="Y42" t="s">
        <v>2415</v>
      </c>
      <c r="Z42" t="s">
        <v>2416</v>
      </c>
      <c r="AG42" s="71" t="s">
        <v>2419</v>
      </c>
      <c r="AH42" s="2"/>
      <c r="AI42" s="2"/>
      <c r="AK42" s="2"/>
      <c r="AL42" s="2"/>
      <c r="AM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row>
    <row r="43" spans="4:93" ht="19">
      <c r="D43">
        <f t="shared" si="6"/>
        <v>18</v>
      </c>
      <c r="E43" s="2" t="s">
        <v>2058</v>
      </c>
      <c r="F43" t="s">
        <v>842</v>
      </c>
      <c r="K43" s="9"/>
      <c r="L43" s="5"/>
      <c r="M43" s="8">
        <v>27812</v>
      </c>
      <c r="O43" s="3"/>
      <c r="P43" s="98" t="s">
        <v>2408</v>
      </c>
      <c r="Q43" s="20"/>
      <c r="R43" s="21" t="str">
        <f t="shared" si="7"/>
        <v>18bbab</v>
      </c>
      <c r="S43" s="17"/>
      <c r="T43" s="23" t="s">
        <v>2815</v>
      </c>
      <c r="U43">
        <f t="shared" si="3"/>
        <v>7</v>
      </c>
      <c r="V43">
        <f t="shared" si="8"/>
        <v>7</v>
      </c>
      <c r="W43">
        <f t="shared" si="9"/>
        <v>2</v>
      </c>
      <c r="AG43" s="71" t="s">
        <v>2417</v>
      </c>
      <c r="AH43" s="2"/>
      <c r="AJ43" s="2"/>
      <c r="AK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row>
    <row r="44" spans="4:93" ht="19">
      <c r="D44">
        <f t="shared" si="6"/>
        <v>18</v>
      </c>
      <c r="E44" s="2" t="s">
        <v>2058</v>
      </c>
      <c r="F44" t="s">
        <v>902</v>
      </c>
      <c r="K44" s="9"/>
      <c r="L44" s="5"/>
      <c r="M44" s="8">
        <v>28686</v>
      </c>
      <c r="O44" s="3"/>
      <c r="P44" s="98" t="s">
        <v>2409</v>
      </c>
      <c r="Q44" s="20"/>
      <c r="R44" s="21" t="str">
        <f t="shared" si="7"/>
        <v>18bbab</v>
      </c>
      <c r="S44" s="17"/>
      <c r="T44" s="23" t="s">
        <v>2815</v>
      </c>
      <c r="U44">
        <f t="shared" si="3"/>
        <v>7</v>
      </c>
      <c r="V44">
        <f t="shared" si="8"/>
        <v>7</v>
      </c>
      <c r="W44">
        <f t="shared" si="9"/>
        <v>2</v>
      </c>
      <c r="AG44" s="71" t="s">
        <v>2418</v>
      </c>
      <c r="AI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row>
    <row r="45" spans="4:93" ht="19">
      <c r="D45">
        <v>18</v>
      </c>
      <c r="E45" s="2" t="s">
        <v>2038</v>
      </c>
      <c r="F45" t="s">
        <v>2059</v>
      </c>
      <c r="G45" t="s">
        <v>913</v>
      </c>
      <c r="K45" s="9"/>
      <c r="L45" s="5"/>
      <c r="M45" s="8">
        <v>17515</v>
      </c>
      <c r="O45" s="3"/>
      <c r="P45" s="98" t="s">
        <v>2062</v>
      </c>
      <c r="Q45" s="20"/>
      <c r="R45" s="21" t="str">
        <f t="shared" si="7"/>
        <v>18bba</v>
      </c>
      <c r="S45" s="17"/>
      <c r="T45" s="23" t="s">
        <v>2815</v>
      </c>
      <c r="U45">
        <f t="shared" si="3"/>
        <v>6</v>
      </c>
      <c r="V45">
        <f t="shared" si="8"/>
        <v>6</v>
      </c>
      <c r="W45">
        <f t="shared" si="9"/>
        <v>2</v>
      </c>
      <c r="AG45" s="71" t="s">
        <v>2420</v>
      </c>
      <c r="AH45" s="2"/>
      <c r="AJ45" s="2"/>
      <c r="AK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row>
    <row r="46" spans="4:93" ht="19">
      <c r="D46">
        <v>18</v>
      </c>
      <c r="E46" s="2" t="s">
        <v>2038</v>
      </c>
      <c r="F46" t="s">
        <v>2060</v>
      </c>
      <c r="G46" t="s">
        <v>2061</v>
      </c>
      <c r="H46" t="s">
        <v>1589</v>
      </c>
      <c r="K46" s="9"/>
      <c r="L46" s="5"/>
      <c r="M46" s="8">
        <v>18189</v>
      </c>
      <c r="N46" s="3">
        <v>30688</v>
      </c>
      <c r="O46" s="3"/>
      <c r="P46" s="98" t="s">
        <v>2410</v>
      </c>
      <c r="Q46" s="20"/>
      <c r="R46" s="21" t="str">
        <f t="shared" si="7"/>
        <v>18bba</v>
      </c>
      <c r="S46" s="17"/>
      <c r="T46" s="23" t="s">
        <v>2815</v>
      </c>
      <c r="U46">
        <f t="shared" si="3"/>
        <v>6</v>
      </c>
      <c r="V46">
        <f t="shared" si="8"/>
        <v>6</v>
      </c>
      <c r="W46">
        <f t="shared" si="9"/>
        <v>2</v>
      </c>
      <c r="Y46" t="s">
        <v>2065</v>
      </c>
      <c r="Z46" t="s">
        <v>2421</v>
      </c>
      <c r="AG46" s="71" t="s">
        <v>2422</v>
      </c>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row>
    <row r="47" spans="4:93" ht="19">
      <c r="D47">
        <v>18</v>
      </c>
      <c r="E47" s="2" t="s">
        <v>2038</v>
      </c>
      <c r="F47" t="s">
        <v>1589</v>
      </c>
      <c r="G47" t="s">
        <v>2041</v>
      </c>
      <c r="K47" s="9"/>
      <c r="L47" s="5"/>
      <c r="M47" s="8">
        <v>31152</v>
      </c>
      <c r="O47" s="3"/>
      <c r="P47" s="98" t="s">
        <v>2411</v>
      </c>
      <c r="Q47" s="20"/>
      <c r="R47" s="21" t="str">
        <f t="shared" si="7"/>
        <v>18bbad</v>
      </c>
      <c r="S47" s="17"/>
      <c r="T47" s="23" t="s">
        <v>2815</v>
      </c>
      <c r="U47">
        <f t="shared" si="3"/>
        <v>7</v>
      </c>
      <c r="V47">
        <f t="shared" si="8"/>
        <v>7</v>
      </c>
      <c r="W47">
        <f t="shared" si="9"/>
        <v>2</v>
      </c>
      <c r="AG47" s="71" t="s">
        <v>2423</v>
      </c>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row>
    <row r="48" spans="4:93" ht="19">
      <c r="D48">
        <v>18</v>
      </c>
      <c r="E48" s="2" t="s">
        <v>2038</v>
      </c>
      <c r="F48" t="s">
        <v>929</v>
      </c>
      <c r="G48" t="s">
        <v>2063</v>
      </c>
      <c r="K48" s="9"/>
      <c r="L48" s="5"/>
      <c r="M48" s="8">
        <v>32182</v>
      </c>
      <c r="O48" s="3"/>
      <c r="P48" s="98" t="s">
        <v>2412</v>
      </c>
      <c r="Q48" s="20"/>
      <c r="R48" s="21" t="str">
        <f t="shared" si="7"/>
        <v>18bbad</v>
      </c>
      <c r="S48" s="17"/>
      <c r="T48" s="23" t="s">
        <v>2814</v>
      </c>
      <c r="U48">
        <f t="shared" si="3"/>
        <v>7</v>
      </c>
      <c r="V48">
        <f t="shared" si="8"/>
        <v>7</v>
      </c>
      <c r="W48">
        <f t="shared" si="9"/>
        <v>2</v>
      </c>
      <c r="AG48" s="71"/>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row>
    <row r="49" spans="2:93" ht="19">
      <c r="D49">
        <v>18</v>
      </c>
      <c r="E49" s="2" t="s">
        <v>2067</v>
      </c>
      <c r="F49" t="s">
        <v>842</v>
      </c>
      <c r="G49" t="s">
        <v>2064</v>
      </c>
      <c r="K49" s="9"/>
      <c r="L49" s="5"/>
      <c r="M49" s="8">
        <v>4548</v>
      </c>
      <c r="N49" s="3">
        <v>16968</v>
      </c>
      <c r="O49" s="3"/>
      <c r="P49" s="98" t="s">
        <v>2039</v>
      </c>
      <c r="Q49" s="20"/>
      <c r="R49" s="21" t="str">
        <f t="shared" si="7"/>
        <v>18bb</v>
      </c>
      <c r="S49" s="17"/>
      <c r="T49" s="23" t="s">
        <v>2815</v>
      </c>
      <c r="U49">
        <f t="shared" si="3"/>
        <v>5</v>
      </c>
      <c r="V49">
        <f t="shared" si="8"/>
        <v>5</v>
      </c>
      <c r="W49">
        <f t="shared" si="9"/>
        <v>2</v>
      </c>
      <c r="Y49" t="s">
        <v>2066</v>
      </c>
      <c r="Z49" t="s">
        <v>2425</v>
      </c>
      <c r="AG49" t="s">
        <v>2424</v>
      </c>
    </row>
    <row r="50" spans="2:93" ht="19">
      <c r="D50">
        <v>18</v>
      </c>
      <c r="E50" s="2" t="s">
        <v>2022</v>
      </c>
      <c r="F50" t="s">
        <v>2068</v>
      </c>
      <c r="G50" t="s">
        <v>914</v>
      </c>
      <c r="K50" s="9"/>
      <c r="L50" s="5"/>
      <c r="M50" s="8">
        <v>17309</v>
      </c>
      <c r="N50" s="3"/>
      <c r="O50" s="3"/>
      <c r="P50" s="98" t="s">
        <v>2069</v>
      </c>
      <c r="Q50" s="20"/>
      <c r="R50" s="21" t="str">
        <f t="shared" si="7"/>
        <v>18bbb</v>
      </c>
      <c r="S50" s="17"/>
      <c r="T50" s="23" t="s">
        <v>2815</v>
      </c>
      <c r="U50">
        <f t="shared" si="3"/>
        <v>6</v>
      </c>
      <c r="V50">
        <f t="shared" si="8"/>
        <v>6</v>
      </c>
      <c r="W50">
        <f t="shared" si="9"/>
        <v>2</v>
      </c>
      <c r="Y50" t="s">
        <v>2427</v>
      </c>
      <c r="Z50" t="s">
        <v>2428</v>
      </c>
      <c r="AG50" s="71" t="s">
        <v>2426</v>
      </c>
      <c r="AI50" s="2"/>
      <c r="AJ50" s="2"/>
      <c r="AK50" s="2"/>
    </row>
    <row r="51" spans="2:93" ht="19">
      <c r="D51">
        <v>18</v>
      </c>
      <c r="E51" s="2" t="s">
        <v>2022</v>
      </c>
      <c r="F51" t="s">
        <v>885</v>
      </c>
      <c r="G51" t="s">
        <v>1635</v>
      </c>
      <c r="K51" s="9"/>
      <c r="L51" s="5"/>
      <c r="M51" s="8">
        <v>18110</v>
      </c>
      <c r="N51" s="3">
        <v>28756</v>
      </c>
      <c r="O51" s="3"/>
      <c r="P51" s="98" t="s">
        <v>2070</v>
      </c>
      <c r="Q51" s="20"/>
      <c r="R51" s="21" t="str">
        <f t="shared" si="7"/>
        <v>18bbb</v>
      </c>
      <c r="S51" s="17"/>
      <c r="T51" s="23" t="s">
        <v>2815</v>
      </c>
      <c r="U51">
        <f t="shared" si="3"/>
        <v>6</v>
      </c>
      <c r="V51">
        <f t="shared" si="8"/>
        <v>6</v>
      </c>
      <c r="W51">
        <f t="shared" si="9"/>
        <v>2</v>
      </c>
      <c r="Y51" t="s">
        <v>2071</v>
      </c>
      <c r="AG51" s="71" t="s">
        <v>2429</v>
      </c>
    </row>
    <row r="52" spans="2:93" ht="19">
      <c r="D52">
        <f>D51</f>
        <v>18</v>
      </c>
      <c r="E52" s="2" t="s">
        <v>2022</v>
      </c>
      <c r="F52" t="s">
        <v>973</v>
      </c>
      <c r="G52" t="s">
        <v>1436</v>
      </c>
      <c r="K52" s="9"/>
      <c r="L52" s="5"/>
      <c r="M52" s="8">
        <v>30033</v>
      </c>
      <c r="N52" s="3"/>
      <c r="O52" s="3"/>
      <c r="P52" s="98" t="s">
        <v>2072</v>
      </c>
      <c r="Q52" s="20"/>
      <c r="R52" s="21" t="str">
        <f t="shared" si="7"/>
        <v>18bbbb</v>
      </c>
      <c r="S52" s="17"/>
      <c r="T52" s="23" t="s">
        <v>2814</v>
      </c>
      <c r="U52">
        <f t="shared" si="3"/>
        <v>7</v>
      </c>
      <c r="V52">
        <f t="shared" si="8"/>
        <v>7</v>
      </c>
      <c r="W52">
        <f t="shared" si="9"/>
        <v>2</v>
      </c>
      <c r="AG52" s="71"/>
    </row>
    <row r="53" spans="2:93" ht="19">
      <c r="B53" t="s">
        <v>1376</v>
      </c>
      <c r="D53">
        <f>D52</f>
        <v>18</v>
      </c>
      <c r="E53" s="2" t="s">
        <v>2022</v>
      </c>
      <c r="F53" t="s">
        <v>1640</v>
      </c>
      <c r="G53" t="s">
        <v>923</v>
      </c>
      <c r="K53" s="9"/>
      <c r="L53" s="5"/>
      <c r="M53" s="8">
        <v>30736</v>
      </c>
      <c r="O53" s="3"/>
      <c r="P53" s="98" t="s">
        <v>2073</v>
      </c>
      <c r="Q53" s="20"/>
      <c r="R53" s="21" t="str">
        <f t="shared" si="7"/>
        <v>18bbbb</v>
      </c>
      <c r="S53" s="17"/>
      <c r="T53" s="23" t="s">
        <v>2814</v>
      </c>
      <c r="U53">
        <f t="shared" si="3"/>
        <v>7</v>
      </c>
      <c r="V53">
        <f t="shared" si="8"/>
        <v>7</v>
      </c>
      <c r="W53">
        <f t="shared" si="9"/>
        <v>2</v>
      </c>
      <c r="AG53" s="71"/>
    </row>
    <row r="54" spans="2:93" ht="19">
      <c r="D54">
        <f t="shared" ref="D54:D70" si="10">D53</f>
        <v>18</v>
      </c>
      <c r="E54" s="2" t="s">
        <v>2022</v>
      </c>
      <c r="F54" t="s">
        <v>2074</v>
      </c>
      <c r="G54" t="s">
        <v>891</v>
      </c>
      <c r="K54" s="9"/>
      <c r="L54" s="5"/>
      <c r="M54" s="8">
        <v>32089</v>
      </c>
      <c r="O54" s="3">
        <v>32188</v>
      </c>
      <c r="P54" s="98" t="s">
        <v>2075</v>
      </c>
      <c r="Q54" s="20"/>
      <c r="R54" s="21" t="str">
        <f t="shared" si="7"/>
        <v>18bbbb</v>
      </c>
      <c r="S54" s="17"/>
      <c r="T54" s="23" t="s">
        <v>2815</v>
      </c>
      <c r="U54">
        <f t="shared" si="3"/>
        <v>7</v>
      </c>
      <c r="V54">
        <f t="shared" si="8"/>
        <v>7</v>
      </c>
      <c r="W54">
        <f t="shared" si="9"/>
        <v>2</v>
      </c>
      <c r="AG54" s="71"/>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row>
    <row r="55" spans="2:93" ht="19">
      <c r="D55">
        <f t="shared" si="10"/>
        <v>18</v>
      </c>
      <c r="E55" s="2" t="s">
        <v>2022</v>
      </c>
      <c r="F55" t="s">
        <v>918</v>
      </c>
      <c r="G55" t="s">
        <v>865</v>
      </c>
      <c r="H55" t="s">
        <v>902</v>
      </c>
      <c r="K55" s="9"/>
      <c r="L55" s="5"/>
      <c r="M55" s="8">
        <v>33261</v>
      </c>
      <c r="O55" s="3"/>
      <c r="P55" s="98" t="s">
        <v>2076</v>
      </c>
      <c r="Q55" s="20"/>
      <c r="R55" s="21" t="str">
        <f t="shared" si="7"/>
        <v>18bbbb</v>
      </c>
      <c r="S55" s="17"/>
      <c r="T55" s="23" t="s">
        <v>2815</v>
      </c>
      <c r="U55">
        <f t="shared" si="3"/>
        <v>7</v>
      </c>
      <c r="V55">
        <f t="shared" si="8"/>
        <v>7</v>
      </c>
      <c r="W55">
        <f t="shared" si="9"/>
        <v>2</v>
      </c>
      <c r="AG55" s="71"/>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row>
    <row r="56" spans="2:93" ht="19">
      <c r="D56">
        <f t="shared" si="10"/>
        <v>18</v>
      </c>
      <c r="E56" s="2" t="s">
        <v>2022</v>
      </c>
      <c r="F56" t="s">
        <v>2030</v>
      </c>
      <c r="G56" t="s">
        <v>918</v>
      </c>
      <c r="K56" s="9"/>
      <c r="L56" s="5"/>
      <c r="M56" s="8">
        <v>19451</v>
      </c>
      <c r="N56" s="3">
        <v>31017</v>
      </c>
      <c r="O56" s="3"/>
      <c r="P56" s="98" t="s">
        <v>2077</v>
      </c>
      <c r="Q56" s="20"/>
      <c r="R56" s="21" t="str">
        <f t="shared" si="7"/>
        <v>18bbb</v>
      </c>
      <c r="S56" s="17"/>
      <c r="T56" s="23" t="s">
        <v>2815</v>
      </c>
      <c r="U56">
        <f t="shared" si="3"/>
        <v>6</v>
      </c>
      <c r="V56">
        <f t="shared" si="8"/>
        <v>6</v>
      </c>
      <c r="W56">
        <f t="shared" si="9"/>
        <v>2</v>
      </c>
      <c r="Y56" t="s">
        <v>2078</v>
      </c>
      <c r="Z56" t="s">
        <v>2430</v>
      </c>
      <c r="AG56" s="71" t="s">
        <v>2431</v>
      </c>
      <c r="CK56" s="2"/>
      <c r="CL56" s="2"/>
      <c r="CM56" s="2"/>
      <c r="CN56" s="2"/>
      <c r="CO56" s="2"/>
    </row>
    <row r="57" spans="2:93" ht="19">
      <c r="D57">
        <f t="shared" si="10"/>
        <v>18</v>
      </c>
      <c r="E57" s="2" t="s">
        <v>2022</v>
      </c>
      <c r="F57" t="s">
        <v>2079</v>
      </c>
      <c r="G57" t="s">
        <v>952</v>
      </c>
      <c r="K57" s="9"/>
      <c r="L57" s="5"/>
      <c r="M57" s="8">
        <v>31375</v>
      </c>
      <c r="O57" s="3"/>
      <c r="P57" s="98" t="s">
        <v>2356</v>
      </c>
      <c r="Q57" s="20"/>
      <c r="R57" s="21" t="str">
        <f t="shared" si="7"/>
        <v>18bbbc</v>
      </c>
      <c r="S57" s="17"/>
      <c r="T57" s="23" t="s">
        <v>2814</v>
      </c>
      <c r="U57">
        <f t="shared" si="3"/>
        <v>7</v>
      </c>
      <c r="V57">
        <f t="shared" si="8"/>
        <v>7</v>
      </c>
      <c r="W57">
        <f t="shared" si="9"/>
        <v>2</v>
      </c>
      <c r="AG57" s="71" t="s">
        <v>2432</v>
      </c>
      <c r="CC57" s="2"/>
      <c r="CD57" s="2"/>
      <c r="CE57" s="2"/>
      <c r="CF57" s="2"/>
      <c r="CG57" s="2"/>
      <c r="CH57" s="2"/>
      <c r="CI57" s="2"/>
      <c r="CJ57" s="2"/>
      <c r="CK57" s="2"/>
      <c r="CL57" s="2"/>
      <c r="CM57" s="2"/>
      <c r="CN57" s="2"/>
      <c r="CO57" s="2"/>
    </row>
    <row r="58" spans="2:93" ht="19">
      <c r="D58">
        <f t="shared" si="10"/>
        <v>18</v>
      </c>
      <c r="E58" s="2" t="s">
        <v>2022</v>
      </c>
      <c r="F58" t="s">
        <v>2080</v>
      </c>
      <c r="G58" t="s">
        <v>867</v>
      </c>
      <c r="K58" s="9"/>
      <c r="L58" s="5"/>
      <c r="M58" s="8">
        <v>31375</v>
      </c>
      <c r="O58" s="3"/>
      <c r="P58" s="98" t="s">
        <v>2356</v>
      </c>
      <c r="Q58" s="20"/>
      <c r="R58" s="21" t="str">
        <f t="shared" si="7"/>
        <v>18bbbc</v>
      </c>
      <c r="S58" s="17"/>
      <c r="T58" s="23" t="s">
        <v>2814</v>
      </c>
      <c r="U58">
        <f t="shared" si="3"/>
        <v>7</v>
      </c>
      <c r="V58">
        <f t="shared" si="8"/>
        <v>7</v>
      </c>
      <c r="W58">
        <f t="shared" si="9"/>
        <v>2</v>
      </c>
      <c r="AG58" t="s">
        <v>2433</v>
      </c>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row>
    <row r="59" spans="2:93" ht="19">
      <c r="D59">
        <f t="shared" si="10"/>
        <v>18</v>
      </c>
      <c r="E59" s="2" t="s">
        <v>2022</v>
      </c>
      <c r="F59" t="s">
        <v>1988</v>
      </c>
      <c r="G59" t="s">
        <v>870</v>
      </c>
      <c r="H59" t="s">
        <v>937</v>
      </c>
      <c r="K59" s="9"/>
      <c r="L59" s="5"/>
      <c r="M59" s="8">
        <v>32163</v>
      </c>
      <c r="O59" s="3"/>
      <c r="P59" s="98" t="s">
        <v>2081</v>
      </c>
      <c r="Q59" s="20"/>
      <c r="R59" s="21" t="str">
        <f t="shared" si="7"/>
        <v>18bbbc</v>
      </c>
      <c r="S59" s="17"/>
      <c r="T59" s="23" t="s">
        <v>2814</v>
      </c>
      <c r="U59">
        <f t="shared" si="3"/>
        <v>7</v>
      </c>
      <c r="V59">
        <f t="shared" si="8"/>
        <v>7</v>
      </c>
      <c r="W59">
        <f t="shared" si="9"/>
        <v>2</v>
      </c>
      <c r="AG59" s="71"/>
      <c r="BY59" s="2"/>
      <c r="BZ59" s="2"/>
      <c r="CA59" s="2"/>
      <c r="CB59" s="2"/>
      <c r="CC59" s="2"/>
      <c r="CD59" s="2"/>
      <c r="CE59" s="2"/>
      <c r="CF59" s="2"/>
      <c r="CG59" s="2"/>
      <c r="CH59" s="2"/>
      <c r="CI59" s="2"/>
      <c r="CJ59" s="2"/>
      <c r="CK59" s="2"/>
      <c r="CL59" s="2"/>
      <c r="CM59" s="2"/>
      <c r="CN59" s="2"/>
      <c r="CO59" s="2"/>
    </row>
    <row r="60" spans="2:93" ht="19">
      <c r="D60">
        <f t="shared" si="10"/>
        <v>18</v>
      </c>
      <c r="E60" s="2" t="s">
        <v>2022</v>
      </c>
      <c r="F60" t="s">
        <v>867</v>
      </c>
      <c r="G60" t="s">
        <v>882</v>
      </c>
      <c r="K60" s="9"/>
      <c r="L60" s="5"/>
      <c r="M60" s="8">
        <v>32987</v>
      </c>
      <c r="O60" s="3"/>
      <c r="P60" s="98" t="s">
        <v>2357</v>
      </c>
      <c r="Q60" s="20"/>
      <c r="R60" s="21" t="str">
        <f t="shared" si="7"/>
        <v>18bbbc</v>
      </c>
      <c r="S60" s="17"/>
      <c r="T60" s="23" t="s">
        <v>2814</v>
      </c>
      <c r="U60">
        <f t="shared" si="3"/>
        <v>7</v>
      </c>
      <c r="V60">
        <f t="shared" si="8"/>
        <v>7</v>
      </c>
      <c r="W60">
        <f t="shared" si="9"/>
        <v>2</v>
      </c>
      <c r="AG60" s="71"/>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row>
    <row r="61" spans="2:93" ht="19">
      <c r="D61">
        <f t="shared" si="10"/>
        <v>18</v>
      </c>
      <c r="E61" s="2" t="s">
        <v>2022</v>
      </c>
      <c r="F61" t="s">
        <v>2082</v>
      </c>
      <c r="G61" t="s">
        <v>1543</v>
      </c>
      <c r="K61" s="9"/>
      <c r="L61" s="5"/>
      <c r="M61" s="8">
        <v>32988</v>
      </c>
      <c r="O61" s="3"/>
      <c r="P61" s="98" t="s">
        <v>2357</v>
      </c>
      <c r="Q61" s="20"/>
      <c r="R61" s="21" t="str">
        <f t="shared" si="7"/>
        <v>18bbbc</v>
      </c>
      <c r="S61" s="17"/>
      <c r="T61" s="23" t="s">
        <v>2814</v>
      </c>
      <c r="U61">
        <f t="shared" si="3"/>
        <v>7</v>
      </c>
      <c r="V61">
        <f t="shared" si="8"/>
        <v>7</v>
      </c>
      <c r="W61">
        <f t="shared" si="9"/>
        <v>2</v>
      </c>
      <c r="AG61" s="71"/>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row>
    <row r="62" spans="2:93" ht="19">
      <c r="D62">
        <f t="shared" si="10"/>
        <v>18</v>
      </c>
      <c r="E62" s="2" t="s">
        <v>2022</v>
      </c>
      <c r="F62" t="s">
        <v>2083</v>
      </c>
      <c r="G62" t="s">
        <v>1654</v>
      </c>
      <c r="H62" t="s">
        <v>798</v>
      </c>
      <c r="K62" s="9"/>
      <c r="L62" s="5"/>
      <c r="M62" s="8">
        <v>33682</v>
      </c>
      <c r="O62" s="3"/>
      <c r="P62" s="98" t="s">
        <v>2084</v>
      </c>
      <c r="Q62" s="20"/>
      <c r="R62" s="21" t="str">
        <f t="shared" si="7"/>
        <v>18bbbc</v>
      </c>
      <c r="S62" s="17"/>
      <c r="T62" s="23" t="s">
        <v>2814</v>
      </c>
      <c r="U62">
        <f t="shared" si="3"/>
        <v>7</v>
      </c>
      <c r="V62">
        <f t="shared" si="8"/>
        <v>7</v>
      </c>
      <c r="W62">
        <f t="shared" si="9"/>
        <v>2</v>
      </c>
      <c r="AG62" s="71"/>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row>
    <row r="63" spans="2:93" ht="19">
      <c r="D63">
        <f t="shared" si="10"/>
        <v>18</v>
      </c>
      <c r="E63" s="2" t="s">
        <v>2022</v>
      </c>
      <c r="F63" t="s">
        <v>896</v>
      </c>
      <c r="G63" t="s">
        <v>830</v>
      </c>
      <c r="H63" t="s">
        <v>2086</v>
      </c>
      <c r="K63" s="9"/>
      <c r="L63" s="5"/>
      <c r="M63" s="8">
        <v>35061</v>
      </c>
      <c r="O63" s="3"/>
      <c r="P63" s="98" t="s">
        <v>2085</v>
      </c>
      <c r="Q63" s="20"/>
      <c r="R63" s="21" t="str">
        <f t="shared" si="7"/>
        <v>18bbbc</v>
      </c>
      <c r="S63" s="17"/>
      <c r="T63" s="23" t="s">
        <v>2815</v>
      </c>
      <c r="U63">
        <f t="shared" si="3"/>
        <v>7</v>
      </c>
      <c r="V63">
        <f t="shared" si="8"/>
        <v>7</v>
      </c>
      <c r="W63">
        <f t="shared" si="9"/>
        <v>2</v>
      </c>
      <c r="AG63" s="71"/>
      <c r="BQ63" s="2"/>
      <c r="BR63" s="2"/>
      <c r="BS63" s="2"/>
      <c r="BT63" s="2"/>
      <c r="BU63" s="2"/>
      <c r="BV63" s="2"/>
      <c r="BW63" s="2"/>
      <c r="BX63" s="2"/>
      <c r="BY63" s="2"/>
      <c r="BZ63" s="2"/>
      <c r="CA63" s="2"/>
      <c r="CB63" s="2"/>
      <c r="CC63" s="2"/>
      <c r="CD63" s="2"/>
      <c r="CE63" s="2"/>
      <c r="CF63" s="2"/>
      <c r="CG63" s="2"/>
      <c r="CH63" s="2"/>
      <c r="CI63" s="2"/>
      <c r="CJ63" s="2"/>
      <c r="CK63" s="2"/>
      <c r="CL63" s="2"/>
      <c r="CM63" s="2"/>
      <c r="CN63" s="2"/>
      <c r="CO63" s="2"/>
    </row>
    <row r="64" spans="2:93" ht="19">
      <c r="D64">
        <f t="shared" si="10"/>
        <v>18</v>
      </c>
      <c r="E64" s="2" t="s">
        <v>2038</v>
      </c>
      <c r="F64" t="s">
        <v>865</v>
      </c>
      <c r="G64" t="s">
        <v>810</v>
      </c>
      <c r="H64" t="s">
        <v>807</v>
      </c>
      <c r="K64" s="9"/>
      <c r="L64" s="5"/>
      <c r="M64" s="8">
        <v>5568</v>
      </c>
      <c r="O64" s="3"/>
      <c r="P64" s="98" t="s">
        <v>2087</v>
      </c>
      <c r="Q64" s="20"/>
      <c r="R64" s="21" t="str">
        <f t="shared" si="7"/>
        <v>18bb</v>
      </c>
      <c r="S64" s="17"/>
      <c r="T64" s="23" t="s">
        <v>2815</v>
      </c>
      <c r="U64">
        <f t="shared" si="3"/>
        <v>5</v>
      </c>
      <c r="V64">
        <f t="shared" si="8"/>
        <v>5</v>
      </c>
      <c r="W64">
        <f t="shared" si="9"/>
        <v>2</v>
      </c>
      <c r="AG64" s="71" t="s">
        <v>2434</v>
      </c>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row>
    <row r="65" spans="1:93" ht="19">
      <c r="D65">
        <f t="shared" si="10"/>
        <v>18</v>
      </c>
      <c r="E65" s="2" t="s">
        <v>2022</v>
      </c>
      <c r="F65" t="s">
        <v>2068</v>
      </c>
      <c r="G65" t="s">
        <v>918</v>
      </c>
      <c r="K65" s="9"/>
      <c r="L65" s="5"/>
      <c r="M65" s="8" t="s">
        <v>2088</v>
      </c>
      <c r="O65" s="3">
        <v>15298</v>
      </c>
      <c r="P65" s="98" t="s">
        <v>2089</v>
      </c>
      <c r="Q65" s="20"/>
      <c r="R65" s="21" t="str">
        <f t="shared" si="7"/>
        <v>18b</v>
      </c>
      <c r="S65" s="17"/>
      <c r="T65" s="23" t="s">
        <v>2815</v>
      </c>
      <c r="U65">
        <f t="shared" si="3"/>
        <v>4</v>
      </c>
      <c r="V65">
        <f t="shared" si="8"/>
        <v>4</v>
      </c>
      <c r="W65">
        <f t="shared" si="9"/>
        <v>2</v>
      </c>
      <c r="AG65" s="71"/>
      <c r="AH65" t="s">
        <v>2435</v>
      </c>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row>
    <row r="66" spans="1:93" ht="19">
      <c r="D66">
        <f t="shared" si="10"/>
        <v>18</v>
      </c>
      <c r="E66" s="2" t="s">
        <v>2022</v>
      </c>
      <c r="F66" t="s">
        <v>2090</v>
      </c>
      <c r="G66" t="s">
        <v>2091</v>
      </c>
      <c r="K66" s="9"/>
      <c r="L66" s="5"/>
      <c r="M66" s="8" t="s">
        <v>2092</v>
      </c>
      <c r="O66" s="3">
        <v>23410</v>
      </c>
      <c r="P66" s="98" t="s">
        <v>2093</v>
      </c>
      <c r="Q66" s="20"/>
      <c r="R66" s="21" t="str">
        <f t="shared" si="7"/>
        <v>18b</v>
      </c>
      <c r="S66" s="17"/>
      <c r="T66" s="23" t="s">
        <v>2814</v>
      </c>
      <c r="U66">
        <f t="shared" si="3"/>
        <v>4</v>
      </c>
      <c r="V66">
        <f t="shared" ref="V66:V97" si="11">LEN(P66)</f>
        <v>4</v>
      </c>
      <c r="W66">
        <f t="shared" ref="W66:W97" si="12">VLOOKUP(D66,Generation,2,FALSE)</f>
        <v>2</v>
      </c>
      <c r="AG66" s="71"/>
      <c r="AH66" t="s">
        <v>2435</v>
      </c>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row>
    <row r="67" spans="1:93" ht="19">
      <c r="D67">
        <f t="shared" si="10"/>
        <v>18</v>
      </c>
      <c r="E67" s="2" t="s">
        <v>2022</v>
      </c>
      <c r="F67" t="s">
        <v>918</v>
      </c>
      <c r="G67" t="s">
        <v>2023</v>
      </c>
      <c r="K67" s="9"/>
      <c r="L67" s="5"/>
      <c r="M67" s="8" t="s">
        <v>2096</v>
      </c>
      <c r="N67" t="s">
        <v>2097</v>
      </c>
      <c r="O67" s="3">
        <v>14158</v>
      </c>
      <c r="P67" s="98" t="s">
        <v>2098</v>
      </c>
      <c r="Q67" s="20"/>
      <c r="R67" s="21" t="str">
        <f t="shared" si="7"/>
        <v>18</v>
      </c>
      <c r="S67" s="17"/>
      <c r="T67" s="23" t="s">
        <v>2815</v>
      </c>
      <c r="U67">
        <f t="shared" ref="U67:U131" si="13">IF(D67&lt;10,W67+V67-1,IF(D67&gt;=10,W67+V67-2))</f>
        <v>3</v>
      </c>
      <c r="V67">
        <f t="shared" si="11"/>
        <v>3</v>
      </c>
      <c r="W67">
        <f t="shared" si="12"/>
        <v>2</v>
      </c>
      <c r="Y67" t="s">
        <v>2436</v>
      </c>
      <c r="Z67" t="s">
        <v>2437</v>
      </c>
      <c r="AG67" t="s">
        <v>52</v>
      </c>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row>
    <row r="68" spans="1:93" ht="19">
      <c r="D68">
        <f t="shared" si="10"/>
        <v>18</v>
      </c>
      <c r="E68" s="2" t="s">
        <v>2022</v>
      </c>
      <c r="F68" t="s">
        <v>998</v>
      </c>
      <c r="G68" t="s">
        <v>1497</v>
      </c>
      <c r="K68" s="9"/>
      <c r="L68" s="5"/>
      <c r="M68" s="8" t="s">
        <v>2095</v>
      </c>
      <c r="O68" s="3">
        <v>15875</v>
      </c>
      <c r="P68" s="98" t="s">
        <v>2094</v>
      </c>
      <c r="Q68" s="20"/>
      <c r="R68" s="21" t="str">
        <f t="shared" si="7"/>
        <v>18</v>
      </c>
      <c r="S68" s="17"/>
      <c r="T68" s="23" t="s">
        <v>2814</v>
      </c>
      <c r="U68">
        <f t="shared" si="13"/>
        <v>3</v>
      </c>
      <c r="V68">
        <f t="shared" si="11"/>
        <v>3</v>
      </c>
      <c r="W68">
        <f t="shared" si="12"/>
        <v>2</v>
      </c>
      <c r="AG68" t="s">
        <v>2438</v>
      </c>
      <c r="AN68" s="1"/>
      <c r="AO68" s="1"/>
      <c r="AP68" s="1"/>
      <c r="AQ68" s="1"/>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row>
    <row r="69" spans="1:93" ht="19">
      <c r="D69">
        <f t="shared" si="10"/>
        <v>18</v>
      </c>
      <c r="E69" s="2" t="s">
        <v>2022</v>
      </c>
      <c r="F69" t="s">
        <v>914</v>
      </c>
      <c r="G69" t="s">
        <v>1497</v>
      </c>
      <c r="K69" s="9"/>
      <c r="L69" s="5"/>
      <c r="M69" s="8" t="s">
        <v>2099</v>
      </c>
      <c r="N69" s="3" t="s">
        <v>2100</v>
      </c>
      <c r="O69" s="3">
        <v>12925</v>
      </c>
      <c r="P69" s="98" t="s">
        <v>2101</v>
      </c>
      <c r="Q69" s="20"/>
      <c r="R69" s="21" t="str">
        <f t="shared" si="7"/>
        <v>18</v>
      </c>
      <c r="S69" s="17"/>
      <c r="T69" s="23" t="s">
        <v>2815</v>
      </c>
      <c r="U69">
        <f t="shared" si="13"/>
        <v>3</v>
      </c>
      <c r="V69">
        <f t="shared" si="11"/>
        <v>3</v>
      </c>
      <c r="W69">
        <f t="shared" si="12"/>
        <v>2</v>
      </c>
      <c r="Y69" t="s">
        <v>2102</v>
      </c>
      <c r="Z69" t="s">
        <v>2439</v>
      </c>
      <c r="AG69" s="71" t="s">
        <v>2440</v>
      </c>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row>
    <row r="70" spans="1:93" ht="19">
      <c r="D70">
        <f t="shared" si="10"/>
        <v>18</v>
      </c>
      <c r="E70" s="2" t="s">
        <v>2022</v>
      </c>
      <c r="F70" t="s">
        <v>1826</v>
      </c>
      <c r="G70" t="s">
        <v>2023</v>
      </c>
      <c r="H70" t="s">
        <v>2003</v>
      </c>
      <c r="K70" s="9"/>
      <c r="L70" s="5"/>
      <c r="M70" s="8" t="s">
        <v>2104</v>
      </c>
      <c r="N70" s="3">
        <v>3686</v>
      </c>
      <c r="O70" s="3">
        <v>21048</v>
      </c>
      <c r="P70" s="98" t="s">
        <v>2103</v>
      </c>
      <c r="Q70" s="20"/>
      <c r="R70" s="21" t="str">
        <f t="shared" si="7"/>
        <v>18e</v>
      </c>
      <c r="S70" s="17"/>
      <c r="T70" s="23" t="s">
        <v>2814</v>
      </c>
      <c r="U70">
        <f t="shared" si="13"/>
        <v>4</v>
      </c>
      <c r="V70">
        <f t="shared" si="11"/>
        <v>4</v>
      </c>
      <c r="W70">
        <f t="shared" si="12"/>
        <v>2</v>
      </c>
      <c r="Y70" t="s">
        <v>2105</v>
      </c>
      <c r="Z70" t="s">
        <v>2441</v>
      </c>
      <c r="AG70" s="71"/>
      <c r="AH70" s="1"/>
      <c r="AI70" s="1"/>
      <c r="AJ70" s="1"/>
      <c r="AK70" s="1"/>
      <c r="AL70" s="1"/>
      <c r="AM70" s="1"/>
      <c r="AN70" s="1"/>
      <c r="AO70" s="1"/>
      <c r="AP70" s="1"/>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row>
    <row r="71" spans="1:93" ht="19">
      <c r="D71">
        <f>D70</f>
        <v>18</v>
      </c>
      <c r="E71" s="2" t="s">
        <v>2106</v>
      </c>
      <c r="F71" t="s">
        <v>877</v>
      </c>
      <c r="K71" s="9"/>
      <c r="L71" s="5"/>
      <c r="M71" s="8">
        <v>4270</v>
      </c>
      <c r="O71" s="3">
        <v>31997</v>
      </c>
      <c r="P71" s="98" t="s">
        <v>2107</v>
      </c>
      <c r="Q71" s="20"/>
      <c r="R71" s="21" t="str">
        <f t="shared" si="7"/>
        <v>18ea</v>
      </c>
      <c r="S71" s="17"/>
      <c r="T71" s="23" t="s">
        <v>2814</v>
      </c>
      <c r="U71">
        <f t="shared" si="13"/>
        <v>5</v>
      </c>
      <c r="V71">
        <f t="shared" si="11"/>
        <v>5</v>
      </c>
      <c r="W71">
        <f t="shared" si="12"/>
        <v>2</v>
      </c>
      <c r="AG71" s="71" t="s">
        <v>2442</v>
      </c>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row>
    <row r="72" spans="1:93" ht="19">
      <c r="A72">
        <v>90</v>
      </c>
      <c r="C72">
        <v>1185</v>
      </c>
      <c r="D72">
        <v>19</v>
      </c>
      <c r="E72" s="2" t="s">
        <v>782</v>
      </c>
      <c r="F72" t="s">
        <v>1022</v>
      </c>
      <c r="I72" t="s">
        <v>1877</v>
      </c>
      <c r="J72">
        <v>1907</v>
      </c>
      <c r="K72" s="9" t="s">
        <v>1878</v>
      </c>
      <c r="L72" s="5" t="s">
        <v>1023</v>
      </c>
      <c r="M72" s="8" t="s">
        <v>1023</v>
      </c>
      <c r="N72" t="s">
        <v>1024</v>
      </c>
      <c r="O72" s="3">
        <v>2886</v>
      </c>
      <c r="P72" s="98">
        <v>19</v>
      </c>
      <c r="Q72" s="20" t="s">
        <v>1879</v>
      </c>
      <c r="R72" s="16">
        <v>8</v>
      </c>
      <c r="S72" s="17" t="s">
        <v>1862</v>
      </c>
      <c r="T72" s="23" t="s">
        <v>2814</v>
      </c>
      <c r="U72">
        <f t="shared" si="13"/>
        <v>2</v>
      </c>
      <c r="V72">
        <f t="shared" si="11"/>
        <v>2</v>
      </c>
      <c r="W72">
        <f t="shared" si="12"/>
        <v>2</v>
      </c>
      <c r="Y72" t="s">
        <v>2108</v>
      </c>
      <c r="Z72">
        <v>1</v>
      </c>
      <c r="AA72" t="s">
        <v>802</v>
      </c>
      <c r="AC72">
        <v>90</v>
      </c>
      <c r="AG72" s="71" t="s">
        <v>72</v>
      </c>
      <c r="AH72" s="2" t="s">
        <v>73</v>
      </c>
      <c r="AI72" s="2" t="s">
        <v>74</v>
      </c>
      <c r="AJ72" s="2" t="s">
        <v>75</v>
      </c>
      <c r="AK72" s="2" t="s">
        <v>76</v>
      </c>
      <c r="AL72" s="2" t="s">
        <v>77</v>
      </c>
      <c r="AM72" s="2" t="s">
        <v>78</v>
      </c>
      <c r="AN72" s="2" t="s">
        <v>79</v>
      </c>
      <c r="AO72" s="2" t="s">
        <v>80</v>
      </c>
      <c r="AP72" s="2" t="s">
        <v>81</v>
      </c>
      <c r="AQ72" s="2" t="s">
        <v>82</v>
      </c>
      <c r="AR72" s="2" t="s">
        <v>83</v>
      </c>
      <c r="AS72" s="2" t="s">
        <v>84</v>
      </c>
      <c r="AT72" s="2" t="s">
        <v>85</v>
      </c>
      <c r="AU72" s="2" t="s">
        <v>86</v>
      </c>
      <c r="AV72" s="2" t="s">
        <v>87</v>
      </c>
      <c r="AW72" s="2" t="s">
        <v>88</v>
      </c>
      <c r="AX72" s="2" t="s">
        <v>89</v>
      </c>
      <c r="AY72" s="2" t="s">
        <v>90</v>
      </c>
      <c r="AZ72" s="2" t="s">
        <v>91</v>
      </c>
      <c r="BA72" s="2" t="s">
        <v>92</v>
      </c>
      <c r="BB72" s="2" t="s">
        <v>93</v>
      </c>
      <c r="BC72" s="2" t="s">
        <v>94</v>
      </c>
      <c r="BD72" s="2" t="s">
        <v>95</v>
      </c>
      <c r="BE72" s="2" t="s">
        <v>96</v>
      </c>
    </row>
    <row r="73" spans="1:93" ht="19">
      <c r="D73">
        <f>D72</f>
        <v>19</v>
      </c>
      <c r="E73" s="2" t="s">
        <v>2109</v>
      </c>
      <c r="F73" t="s">
        <v>830</v>
      </c>
      <c r="K73" s="9"/>
      <c r="L73" s="5"/>
      <c r="M73" s="8" t="s">
        <v>2110</v>
      </c>
      <c r="N73" t="s">
        <v>797</v>
      </c>
      <c r="O73" s="3" t="s">
        <v>2111</v>
      </c>
      <c r="P73" s="98" t="s">
        <v>2114</v>
      </c>
      <c r="Q73" s="20"/>
      <c r="R73" s="21" t="str">
        <f t="shared" si="7"/>
        <v>19</v>
      </c>
      <c r="S73" s="17"/>
      <c r="T73" s="23" t="s">
        <v>2815</v>
      </c>
      <c r="U73">
        <f t="shared" si="13"/>
        <v>3</v>
      </c>
      <c r="V73">
        <f t="shared" si="11"/>
        <v>3</v>
      </c>
      <c r="W73">
        <f t="shared" si="12"/>
        <v>2</v>
      </c>
      <c r="AG73" s="71"/>
      <c r="AH73" s="2"/>
      <c r="AI73" s="2"/>
      <c r="AJ73" s="2"/>
      <c r="AK73" s="2"/>
      <c r="AL73" s="2"/>
      <c r="AM73" s="2"/>
      <c r="AN73" s="2"/>
      <c r="AO73" s="2"/>
      <c r="AP73" s="2"/>
      <c r="AQ73" s="2"/>
      <c r="AR73" s="2"/>
      <c r="AS73" s="2"/>
      <c r="AT73" s="2"/>
      <c r="AU73" s="2"/>
      <c r="AV73" s="2"/>
      <c r="AW73" s="2"/>
      <c r="AX73" s="2"/>
      <c r="AY73" s="2"/>
      <c r="AZ73" s="2"/>
      <c r="BA73" s="2"/>
      <c r="BB73" s="2"/>
      <c r="BC73" s="2"/>
      <c r="BD73" s="2"/>
      <c r="BE73" s="2"/>
    </row>
    <row r="74" spans="1:93" ht="19">
      <c r="D74">
        <f>D73</f>
        <v>19</v>
      </c>
      <c r="E74" s="2" t="s">
        <v>2109</v>
      </c>
      <c r="F74" t="s">
        <v>928</v>
      </c>
      <c r="K74" s="9"/>
      <c r="L74" s="5"/>
      <c r="M74" s="8" t="s">
        <v>2112</v>
      </c>
      <c r="N74" t="s">
        <v>797</v>
      </c>
      <c r="O74" s="3" t="s">
        <v>2113</v>
      </c>
      <c r="P74" s="98" t="s">
        <v>2115</v>
      </c>
      <c r="Q74" s="20"/>
      <c r="R74" s="21" t="str">
        <f t="shared" si="7"/>
        <v>19</v>
      </c>
      <c r="S74" s="17"/>
      <c r="T74" s="23" t="s">
        <v>2815</v>
      </c>
      <c r="U74">
        <f t="shared" si="13"/>
        <v>3</v>
      </c>
      <c r="V74">
        <f t="shared" si="11"/>
        <v>3</v>
      </c>
      <c r="W74">
        <f t="shared" si="12"/>
        <v>2</v>
      </c>
      <c r="AG74" s="71"/>
      <c r="AH74" s="2"/>
      <c r="AI74" s="2"/>
      <c r="AJ74" s="2"/>
      <c r="AK74" s="2"/>
      <c r="AL74" s="2"/>
      <c r="AM74" s="2"/>
      <c r="AN74" s="2"/>
      <c r="AO74" s="2"/>
      <c r="AP74" s="2"/>
      <c r="AQ74" s="2"/>
      <c r="AR74" s="2"/>
      <c r="AS74" s="2"/>
      <c r="AT74" s="2"/>
      <c r="AU74" s="2"/>
      <c r="AV74" s="2"/>
      <c r="AW74" s="2"/>
      <c r="AX74" s="2"/>
      <c r="AY74" s="2"/>
      <c r="AZ74" s="2"/>
      <c r="BA74" s="2"/>
      <c r="BB74" s="2"/>
      <c r="BC74" s="2"/>
      <c r="BD74" s="2"/>
      <c r="BE74" s="2"/>
    </row>
    <row r="75" spans="1:93" ht="19">
      <c r="D75">
        <f>D74</f>
        <v>19</v>
      </c>
      <c r="E75" s="2" t="s">
        <v>2109</v>
      </c>
      <c r="F75" t="s">
        <v>2116</v>
      </c>
      <c r="G75" t="s">
        <v>1036</v>
      </c>
      <c r="K75" s="9"/>
      <c r="L75" s="5"/>
      <c r="M75" s="8" t="s">
        <v>2117</v>
      </c>
      <c r="N75" t="s">
        <v>2118</v>
      </c>
      <c r="O75" s="3">
        <v>5949</v>
      </c>
      <c r="P75" s="98" t="s">
        <v>2119</v>
      </c>
      <c r="Q75" s="20"/>
      <c r="R75" s="21" t="str">
        <f t="shared" si="7"/>
        <v>19</v>
      </c>
      <c r="S75" s="17"/>
      <c r="T75" s="23" t="s">
        <v>2814</v>
      </c>
      <c r="U75">
        <f t="shared" si="13"/>
        <v>3</v>
      </c>
      <c r="V75">
        <f t="shared" si="11"/>
        <v>3</v>
      </c>
      <c r="W75">
        <f t="shared" si="12"/>
        <v>2</v>
      </c>
      <c r="AG75" s="71"/>
      <c r="AH75" s="2"/>
      <c r="AI75" s="2"/>
      <c r="AJ75" s="2"/>
      <c r="AK75" s="2"/>
      <c r="AL75" s="2"/>
      <c r="AM75" s="2"/>
      <c r="AN75" s="2"/>
      <c r="AO75" s="2"/>
      <c r="AP75" s="2"/>
      <c r="AQ75" s="2"/>
      <c r="AR75" s="2"/>
      <c r="AS75" s="2"/>
      <c r="AT75" s="2"/>
      <c r="AU75" s="2"/>
      <c r="AV75" s="2"/>
      <c r="AW75" s="2"/>
      <c r="AX75" s="2"/>
      <c r="AY75" s="2"/>
      <c r="AZ75" s="2"/>
      <c r="BA75" s="2"/>
      <c r="BB75" s="2"/>
      <c r="BC75" s="2"/>
      <c r="BD75" s="2"/>
      <c r="BE75" s="2"/>
    </row>
    <row r="76" spans="1:93" ht="19">
      <c r="D76">
        <f>D75</f>
        <v>19</v>
      </c>
      <c r="E76" s="2" t="s">
        <v>2109</v>
      </c>
      <c r="F76" t="s">
        <v>2120</v>
      </c>
      <c r="G76" t="s">
        <v>807</v>
      </c>
      <c r="K76" s="9"/>
      <c r="L76" s="5"/>
      <c r="M76" s="8" t="s">
        <v>2121</v>
      </c>
      <c r="N76" t="s">
        <v>2122</v>
      </c>
      <c r="O76" s="3" t="s">
        <v>2123</v>
      </c>
      <c r="P76" s="98" t="s">
        <v>2124</v>
      </c>
      <c r="Q76" s="20"/>
      <c r="R76" s="21" t="str">
        <f t="shared" si="7"/>
        <v>19</v>
      </c>
      <c r="S76" s="17"/>
      <c r="T76" s="23" t="s">
        <v>2815</v>
      </c>
      <c r="U76">
        <f t="shared" si="13"/>
        <v>3</v>
      </c>
      <c r="V76">
        <f t="shared" si="11"/>
        <v>3</v>
      </c>
      <c r="W76">
        <f t="shared" si="12"/>
        <v>2</v>
      </c>
      <c r="AG76" s="71"/>
      <c r="AH76" s="2"/>
      <c r="AI76" s="2"/>
      <c r="AJ76" s="2"/>
      <c r="AK76" s="2"/>
      <c r="AL76" s="2"/>
      <c r="AM76" s="2"/>
      <c r="AN76" s="2"/>
      <c r="AO76" s="2"/>
      <c r="AP76" s="2"/>
      <c r="AQ76" s="2"/>
      <c r="AR76" s="2"/>
      <c r="AS76" s="2"/>
      <c r="AT76" s="2"/>
      <c r="AU76" s="2"/>
      <c r="AV76" s="2"/>
      <c r="AW76" s="2"/>
      <c r="AX76" s="2"/>
      <c r="AY76" s="2"/>
      <c r="AZ76" s="2"/>
      <c r="BA76" s="2"/>
      <c r="BB76" s="2"/>
      <c r="BC76" s="2"/>
      <c r="BD76" s="2"/>
      <c r="BE76" s="2"/>
    </row>
    <row r="77" spans="1:93" ht="19">
      <c r="D77">
        <f>D76</f>
        <v>19</v>
      </c>
      <c r="E77" s="2" t="s">
        <v>2109</v>
      </c>
      <c r="F77" t="s">
        <v>811</v>
      </c>
      <c r="G77" t="s">
        <v>1497</v>
      </c>
      <c r="K77" s="9"/>
      <c r="L77" s="5"/>
      <c r="M77" s="8" t="s">
        <v>2125</v>
      </c>
      <c r="N77" t="s">
        <v>2126</v>
      </c>
      <c r="O77" s="3" t="s">
        <v>2128</v>
      </c>
      <c r="P77" s="98" t="s">
        <v>2127</v>
      </c>
      <c r="Q77" s="20"/>
      <c r="R77" s="21" t="str">
        <f t="shared" si="7"/>
        <v>19</v>
      </c>
      <c r="S77" s="17"/>
      <c r="T77" s="23" t="s">
        <v>2815</v>
      </c>
      <c r="U77">
        <f t="shared" si="13"/>
        <v>3</v>
      </c>
      <c r="V77">
        <f t="shared" si="11"/>
        <v>3</v>
      </c>
      <c r="W77">
        <f t="shared" si="12"/>
        <v>2</v>
      </c>
      <c r="Y77" t="s">
        <v>2129</v>
      </c>
      <c r="AG77" s="71"/>
      <c r="AH77" s="2"/>
      <c r="AI77" s="2"/>
      <c r="AJ77" s="2"/>
      <c r="AK77" s="2"/>
      <c r="AL77" s="2"/>
      <c r="AM77" s="2"/>
      <c r="AN77" s="2"/>
      <c r="AO77" s="2"/>
      <c r="AP77" s="2"/>
      <c r="AQ77" s="2"/>
      <c r="AR77" s="2"/>
      <c r="AS77" s="2"/>
      <c r="AT77" s="2"/>
      <c r="AU77" s="2"/>
      <c r="AV77" s="2"/>
      <c r="AW77" s="2"/>
      <c r="AX77" s="2"/>
      <c r="AY77" s="2"/>
      <c r="AZ77" s="2"/>
      <c r="BA77" s="2"/>
      <c r="BB77" s="2"/>
      <c r="BC77" s="2"/>
      <c r="BD77" s="2"/>
      <c r="BE77" s="2"/>
    </row>
    <row r="78" spans="1:93" ht="19">
      <c r="A78">
        <v>32</v>
      </c>
      <c r="C78">
        <v>1311</v>
      </c>
      <c r="D78">
        <v>24</v>
      </c>
      <c r="E78" s="2" t="s">
        <v>782</v>
      </c>
      <c r="F78" t="s">
        <v>1036</v>
      </c>
      <c r="G78" t="s">
        <v>1037</v>
      </c>
      <c r="I78" t="s">
        <v>1880</v>
      </c>
      <c r="J78" t="s">
        <v>1881</v>
      </c>
      <c r="K78" s="9" t="s">
        <v>1882</v>
      </c>
      <c r="L78" s="5" t="s">
        <v>1038</v>
      </c>
      <c r="M78" s="8" t="s">
        <v>1038</v>
      </c>
      <c r="N78" t="s">
        <v>1039</v>
      </c>
      <c r="O78" t="s">
        <v>1040</v>
      </c>
      <c r="P78" s="98">
        <v>24</v>
      </c>
      <c r="Q78" s="20" t="s">
        <v>1883</v>
      </c>
      <c r="R78" s="16">
        <v>8</v>
      </c>
      <c r="S78" s="17" t="s">
        <v>1862</v>
      </c>
      <c r="T78" s="23" t="s">
        <v>2814</v>
      </c>
      <c r="U78">
        <f t="shared" si="13"/>
        <v>2</v>
      </c>
      <c r="V78">
        <f t="shared" si="11"/>
        <v>2</v>
      </c>
      <c r="W78">
        <f t="shared" si="12"/>
        <v>2</v>
      </c>
      <c r="Y78" t="s">
        <v>2130</v>
      </c>
      <c r="Z78">
        <v>0</v>
      </c>
      <c r="AC78">
        <v>32</v>
      </c>
      <c r="AG78" s="71" t="s">
        <v>97</v>
      </c>
      <c r="AH78" s="2" t="s">
        <v>98</v>
      </c>
      <c r="AI78" s="2" t="s">
        <v>99</v>
      </c>
      <c r="AJ78" s="2" t="s">
        <v>100</v>
      </c>
      <c r="AK78" s="2" t="s">
        <v>101</v>
      </c>
      <c r="AL78" s="2" t="s">
        <v>102</v>
      </c>
      <c r="AM78" s="2" t="s">
        <v>103</v>
      </c>
    </row>
    <row r="79" spans="1:93" ht="19">
      <c r="A79">
        <v>83</v>
      </c>
      <c r="C79">
        <v>1335</v>
      </c>
      <c r="D79">
        <v>26</v>
      </c>
      <c r="E79" s="2" t="s">
        <v>782</v>
      </c>
      <c r="F79" t="s">
        <v>1043</v>
      </c>
      <c r="G79" t="s">
        <v>992</v>
      </c>
      <c r="I79" t="s">
        <v>1884</v>
      </c>
      <c r="J79">
        <v>1920</v>
      </c>
      <c r="K79" s="9" t="s">
        <v>1885</v>
      </c>
      <c r="L79" s="5" t="s">
        <v>1044</v>
      </c>
      <c r="M79" s="8" t="s">
        <v>1044</v>
      </c>
      <c r="N79" t="s">
        <v>1045</v>
      </c>
      <c r="O79" s="3">
        <v>7527</v>
      </c>
      <c r="P79" s="98">
        <v>26</v>
      </c>
      <c r="Q79" s="20" t="s">
        <v>1886</v>
      </c>
      <c r="R79" s="16">
        <v>9</v>
      </c>
      <c r="S79" s="17" t="s">
        <v>1887</v>
      </c>
      <c r="T79" s="23" t="s">
        <v>2814</v>
      </c>
      <c r="U79">
        <f t="shared" si="13"/>
        <v>3</v>
      </c>
      <c r="V79">
        <f t="shared" si="11"/>
        <v>2</v>
      </c>
      <c r="W79">
        <f t="shared" si="12"/>
        <v>3</v>
      </c>
      <c r="Y79" t="s">
        <v>2131</v>
      </c>
      <c r="Z79">
        <v>0</v>
      </c>
      <c r="AC79">
        <v>83</v>
      </c>
      <c r="AG79" s="71" t="s">
        <v>104</v>
      </c>
      <c r="AH79" s="71" t="s">
        <v>105</v>
      </c>
      <c r="AI79" s="2" t="s">
        <v>106</v>
      </c>
      <c r="AJ79" s="2" t="s">
        <v>107</v>
      </c>
      <c r="AK79" s="2" t="s">
        <v>108</v>
      </c>
      <c r="AL79" s="2" t="s">
        <v>109</v>
      </c>
      <c r="AM79" s="2" t="s">
        <v>110</v>
      </c>
      <c r="AN79" s="2" t="s">
        <v>111</v>
      </c>
      <c r="AO79" s="2" t="s">
        <v>112</v>
      </c>
      <c r="AP79" s="2" t="s">
        <v>113</v>
      </c>
    </row>
    <row r="80" spans="1:93" ht="19">
      <c r="A80">
        <v>86</v>
      </c>
      <c r="C80">
        <v>1487</v>
      </c>
      <c r="D80">
        <v>31</v>
      </c>
      <c r="E80" s="2" t="s">
        <v>782</v>
      </c>
      <c r="F80" t="s">
        <v>870</v>
      </c>
      <c r="G80" t="s">
        <v>1058</v>
      </c>
      <c r="I80" t="s">
        <v>1888</v>
      </c>
      <c r="J80">
        <v>1934</v>
      </c>
      <c r="K80" s="9" t="s">
        <v>1889</v>
      </c>
      <c r="L80" s="5" t="s">
        <v>1059</v>
      </c>
      <c r="M80" s="8" t="s">
        <v>1059</v>
      </c>
      <c r="N80" t="s">
        <v>797</v>
      </c>
      <c r="O80" s="3">
        <v>12640</v>
      </c>
      <c r="P80" s="98">
        <v>31</v>
      </c>
      <c r="Q80" s="20" t="s">
        <v>1890</v>
      </c>
      <c r="R80" s="16">
        <v>22</v>
      </c>
      <c r="S80" s="17" t="s">
        <v>1891</v>
      </c>
      <c r="T80" s="23" t="s">
        <v>2814</v>
      </c>
      <c r="U80">
        <f t="shared" si="13"/>
        <v>3</v>
      </c>
      <c r="V80">
        <f t="shared" si="11"/>
        <v>2</v>
      </c>
      <c r="W80">
        <f t="shared" si="12"/>
        <v>3</v>
      </c>
      <c r="Y80">
        <v>0</v>
      </c>
      <c r="Z80">
        <v>0</v>
      </c>
      <c r="AC80">
        <v>86</v>
      </c>
      <c r="AG80" s="71" t="s">
        <v>115</v>
      </c>
      <c r="AH80" s="71" t="s">
        <v>116</v>
      </c>
      <c r="AI80" s="2" t="s">
        <v>117</v>
      </c>
      <c r="AJ80" s="2" t="s">
        <v>118</v>
      </c>
    </row>
    <row r="81" spans="1:93" ht="19">
      <c r="A81">
        <v>42</v>
      </c>
      <c r="C81">
        <v>1671</v>
      </c>
      <c r="D81">
        <v>36</v>
      </c>
      <c r="E81" s="2" t="s">
        <v>782</v>
      </c>
      <c r="F81" t="s">
        <v>1071</v>
      </c>
      <c r="G81" t="s">
        <v>998</v>
      </c>
      <c r="I81" t="s">
        <v>1892</v>
      </c>
      <c r="J81" t="s">
        <v>1893</v>
      </c>
      <c r="K81" s="9" t="s">
        <v>1894</v>
      </c>
      <c r="L81" s="5" t="s">
        <v>1076</v>
      </c>
      <c r="M81" s="8" t="s">
        <v>1076</v>
      </c>
      <c r="N81" t="s">
        <v>1072</v>
      </c>
      <c r="O81" s="3" t="s">
        <v>1073</v>
      </c>
      <c r="P81" s="98">
        <v>36</v>
      </c>
      <c r="Q81" s="20" t="s">
        <v>1895</v>
      </c>
      <c r="R81" s="16">
        <v>22</v>
      </c>
      <c r="S81" s="17" t="s">
        <v>1891</v>
      </c>
      <c r="T81" s="23" t="s">
        <v>2814</v>
      </c>
      <c r="U81">
        <f t="shared" si="13"/>
        <v>3</v>
      </c>
      <c r="V81">
        <f t="shared" si="11"/>
        <v>2</v>
      </c>
      <c r="W81">
        <f t="shared" si="12"/>
        <v>3</v>
      </c>
      <c r="Y81" t="s">
        <v>2132</v>
      </c>
      <c r="Z81">
        <v>8</v>
      </c>
      <c r="AA81" t="s">
        <v>1074</v>
      </c>
      <c r="AC81">
        <v>42</v>
      </c>
      <c r="AG81" s="71" t="s">
        <v>119</v>
      </c>
      <c r="AH81" s="71" t="s">
        <v>120</v>
      </c>
      <c r="AI81" s="2" t="s">
        <v>121</v>
      </c>
    </row>
    <row r="82" spans="1:93" ht="19">
      <c r="D82">
        <f>D81</f>
        <v>36</v>
      </c>
      <c r="E82" t="s">
        <v>2133</v>
      </c>
      <c r="F82" t="s">
        <v>913</v>
      </c>
      <c r="G82" t="s">
        <v>1497</v>
      </c>
      <c r="K82" s="9"/>
      <c r="L82" s="5"/>
      <c r="M82" s="8" t="s">
        <v>2134</v>
      </c>
      <c r="N82" t="s">
        <v>2135</v>
      </c>
      <c r="O82" s="3"/>
      <c r="P82" s="98" t="s">
        <v>2136</v>
      </c>
      <c r="Q82" s="20"/>
      <c r="R82" s="21" t="str">
        <f t="shared" ref="R82:R106" si="14">MID(P82,1,LEN(P82)-1)</f>
        <v>36</v>
      </c>
      <c r="S82" s="17"/>
      <c r="T82" s="23" t="s">
        <v>2815</v>
      </c>
      <c r="U82">
        <f t="shared" si="13"/>
        <v>4</v>
      </c>
      <c r="V82">
        <f t="shared" si="11"/>
        <v>3</v>
      </c>
      <c r="W82">
        <f t="shared" si="12"/>
        <v>3</v>
      </c>
      <c r="Y82" t="s">
        <v>2141</v>
      </c>
      <c r="Z82" t="s">
        <v>2448</v>
      </c>
      <c r="AG82" s="71" t="s">
        <v>2449</v>
      </c>
      <c r="AH82" s="71"/>
      <c r="AI82" s="2"/>
      <c r="AJ82" s="2"/>
      <c r="AK82" s="2"/>
      <c r="AL82" s="2"/>
      <c r="AM82" s="2"/>
      <c r="AN82" s="2"/>
      <c r="AO82" s="2"/>
      <c r="AP82" s="2"/>
      <c r="AQ82" s="2"/>
      <c r="AR82" s="2"/>
      <c r="AS82" s="2"/>
      <c r="CN82" s="2"/>
      <c r="CO82" s="2"/>
    </row>
    <row r="83" spans="1:93" ht="19">
      <c r="B83" t="s">
        <v>1993</v>
      </c>
      <c r="D83">
        <f t="shared" ref="D83:D106" si="15">D82</f>
        <v>36</v>
      </c>
      <c r="E83" t="s">
        <v>2133</v>
      </c>
      <c r="F83" t="s">
        <v>2137</v>
      </c>
      <c r="G83" t="s">
        <v>1993</v>
      </c>
      <c r="K83" s="9"/>
      <c r="L83" s="5"/>
      <c r="M83" s="8">
        <v>307</v>
      </c>
      <c r="O83" s="3">
        <v>27246</v>
      </c>
      <c r="P83" s="98" t="s">
        <v>2138</v>
      </c>
      <c r="Q83" s="20"/>
      <c r="R83" s="21" t="str">
        <f t="shared" si="14"/>
        <v>36a</v>
      </c>
      <c r="S83" s="17"/>
      <c r="T83" s="23" t="s">
        <v>2814</v>
      </c>
      <c r="U83">
        <f t="shared" si="13"/>
        <v>5</v>
      </c>
      <c r="V83">
        <f t="shared" si="11"/>
        <v>4</v>
      </c>
      <c r="W83">
        <f t="shared" si="12"/>
        <v>3</v>
      </c>
      <c r="AG83" s="71" t="s">
        <v>2447</v>
      </c>
      <c r="AH83" s="71"/>
      <c r="AI83" s="2"/>
      <c r="AJ83" s="4"/>
      <c r="AK83" s="2"/>
      <c r="AL83" s="2"/>
      <c r="AM83" s="2"/>
      <c r="AN83" s="2"/>
      <c r="AO83" s="2"/>
      <c r="AP83" s="2"/>
      <c r="AQ83" s="2"/>
      <c r="AR83" s="2"/>
      <c r="AS83" s="2"/>
      <c r="AT83" s="2"/>
      <c r="AU83" s="2"/>
      <c r="AV83" s="2"/>
      <c r="AW83" s="2"/>
      <c r="AX83" s="2"/>
      <c r="AY83" s="2"/>
      <c r="AZ83" s="4"/>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row>
    <row r="84" spans="1:93" ht="19">
      <c r="B84" t="s">
        <v>853</v>
      </c>
      <c r="D84">
        <f t="shared" si="15"/>
        <v>36</v>
      </c>
      <c r="E84" t="s">
        <v>2133</v>
      </c>
      <c r="F84" t="s">
        <v>2140</v>
      </c>
      <c r="G84" t="s">
        <v>853</v>
      </c>
      <c r="K84" s="9"/>
      <c r="L84" s="5"/>
      <c r="M84" s="8">
        <v>1015</v>
      </c>
      <c r="O84" s="3">
        <v>29387</v>
      </c>
      <c r="P84" s="98" t="s">
        <v>2139</v>
      </c>
      <c r="Q84" s="20"/>
      <c r="R84" s="21" t="str">
        <f t="shared" si="14"/>
        <v>36a</v>
      </c>
      <c r="S84" s="17"/>
      <c r="T84" s="23" t="s">
        <v>2814</v>
      </c>
      <c r="U84">
        <f t="shared" si="13"/>
        <v>5</v>
      </c>
      <c r="V84">
        <f t="shared" si="11"/>
        <v>4</v>
      </c>
      <c r="W84">
        <f t="shared" si="12"/>
        <v>3</v>
      </c>
      <c r="AG84" s="71" t="s">
        <v>2450</v>
      </c>
      <c r="AH84" s="71"/>
      <c r="AI84" s="2"/>
      <c r="AJ84" s="4"/>
      <c r="AK84" s="2"/>
      <c r="AL84" s="2"/>
      <c r="AM84" s="2"/>
      <c r="AN84" s="2"/>
      <c r="AO84" s="2"/>
      <c r="AP84" s="2"/>
      <c r="AQ84" s="2"/>
      <c r="AR84" s="2"/>
      <c r="AS84" s="2"/>
      <c r="AT84" s="2"/>
      <c r="AU84" s="2"/>
      <c r="AV84" s="2"/>
      <c r="AW84" s="2"/>
      <c r="AX84" s="2"/>
      <c r="AY84" s="2"/>
      <c r="AZ84" s="4"/>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row>
    <row r="85" spans="1:93" ht="19">
      <c r="D85">
        <f t="shared" si="15"/>
        <v>36</v>
      </c>
      <c r="E85" t="s">
        <v>2133</v>
      </c>
      <c r="F85" t="s">
        <v>924</v>
      </c>
      <c r="K85" s="9"/>
      <c r="L85" s="5"/>
      <c r="M85" s="8" t="s">
        <v>2142</v>
      </c>
      <c r="O85" s="3" t="s">
        <v>2143</v>
      </c>
      <c r="P85" s="98" t="s">
        <v>2144</v>
      </c>
      <c r="Q85" s="20"/>
      <c r="R85" s="21" t="str">
        <f t="shared" si="14"/>
        <v>36</v>
      </c>
      <c r="S85" s="17"/>
      <c r="T85" s="23" t="s">
        <v>2815</v>
      </c>
      <c r="U85">
        <f t="shared" si="13"/>
        <v>4</v>
      </c>
      <c r="V85">
        <f t="shared" si="11"/>
        <v>3</v>
      </c>
      <c r="W85">
        <f t="shared" si="12"/>
        <v>3</v>
      </c>
      <c r="AG85" s="71" t="s">
        <v>2451</v>
      </c>
      <c r="AH85" s="71"/>
      <c r="AI85" s="2"/>
      <c r="AJ85" s="2"/>
      <c r="AK85" s="2"/>
      <c r="CB85" s="2"/>
      <c r="CC85" s="2"/>
      <c r="CD85" s="2"/>
      <c r="CE85" s="2"/>
      <c r="CF85" s="2"/>
      <c r="CG85" s="2"/>
      <c r="CH85" s="2"/>
      <c r="CI85" s="2"/>
      <c r="CJ85" s="2"/>
      <c r="CK85" s="2"/>
      <c r="CL85" s="2"/>
      <c r="CM85" s="2"/>
      <c r="CN85" s="2"/>
      <c r="CO85" s="2"/>
    </row>
    <row r="86" spans="1:93" ht="19">
      <c r="D86">
        <f t="shared" si="15"/>
        <v>36</v>
      </c>
      <c r="E86" t="s">
        <v>2133</v>
      </c>
      <c r="F86" t="s">
        <v>842</v>
      </c>
      <c r="G86" t="s">
        <v>811</v>
      </c>
      <c r="K86" s="9"/>
      <c r="L86" s="5"/>
      <c r="M86" s="8" t="s">
        <v>2145</v>
      </c>
      <c r="N86" t="s">
        <v>797</v>
      </c>
      <c r="O86" s="3">
        <v>19816</v>
      </c>
      <c r="P86" s="98" t="s">
        <v>2146</v>
      </c>
      <c r="Q86" s="20"/>
      <c r="R86" s="21" t="str">
        <f t="shared" si="14"/>
        <v>36</v>
      </c>
      <c r="S86" s="17"/>
      <c r="T86" s="23" t="s">
        <v>2815</v>
      </c>
      <c r="U86">
        <f t="shared" si="13"/>
        <v>4</v>
      </c>
      <c r="V86">
        <f t="shared" si="11"/>
        <v>3</v>
      </c>
      <c r="W86">
        <f t="shared" si="12"/>
        <v>3</v>
      </c>
      <c r="AG86" s="71" t="s">
        <v>2452</v>
      </c>
      <c r="AH86" s="71"/>
      <c r="AI86" s="2"/>
      <c r="BW86" s="2"/>
      <c r="BX86" s="2"/>
      <c r="BY86" s="2"/>
      <c r="BZ86" s="2"/>
      <c r="CA86" s="2"/>
      <c r="CB86" s="2"/>
      <c r="CC86" s="2"/>
      <c r="CD86" s="2"/>
      <c r="CE86" s="2"/>
      <c r="CF86" s="2"/>
      <c r="CG86" s="2"/>
      <c r="CH86" s="2"/>
      <c r="CI86" s="2"/>
      <c r="CJ86" s="2"/>
      <c r="CK86" s="2"/>
      <c r="CL86" s="2"/>
      <c r="CM86" s="2"/>
      <c r="CN86" s="2"/>
      <c r="CO86" s="2"/>
    </row>
    <row r="87" spans="1:93" ht="19">
      <c r="D87">
        <f t="shared" si="15"/>
        <v>36</v>
      </c>
      <c r="E87" t="s">
        <v>2133</v>
      </c>
      <c r="F87" t="s">
        <v>2148</v>
      </c>
      <c r="G87" t="s">
        <v>1036</v>
      </c>
      <c r="K87" s="9"/>
      <c r="L87" s="5"/>
      <c r="M87" s="8" t="s">
        <v>2149</v>
      </c>
      <c r="N87" s="3">
        <v>3966</v>
      </c>
      <c r="O87" s="3">
        <v>26373</v>
      </c>
      <c r="P87" s="98" t="s">
        <v>2147</v>
      </c>
      <c r="Q87" s="20"/>
      <c r="R87" s="21" t="str">
        <f t="shared" si="14"/>
        <v>36</v>
      </c>
      <c r="S87" s="17"/>
      <c r="T87" s="23" t="s">
        <v>2814</v>
      </c>
      <c r="U87">
        <f t="shared" si="13"/>
        <v>4</v>
      </c>
      <c r="V87">
        <f t="shared" si="11"/>
        <v>3</v>
      </c>
      <c r="W87">
        <f t="shared" si="12"/>
        <v>3</v>
      </c>
      <c r="Y87" t="s">
        <v>2150</v>
      </c>
      <c r="Z87" s="71" t="s">
        <v>2453</v>
      </c>
      <c r="AG87" t="s">
        <v>2454</v>
      </c>
      <c r="AH87" s="71"/>
      <c r="AI87" s="2"/>
      <c r="AJ87" s="2"/>
      <c r="AK87" s="2"/>
      <c r="AL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row>
    <row r="88" spans="1:93" ht="19">
      <c r="D88">
        <f t="shared" si="15"/>
        <v>36</v>
      </c>
      <c r="E88" t="s">
        <v>2151</v>
      </c>
      <c r="F88" t="s">
        <v>1071</v>
      </c>
      <c r="G88" t="s">
        <v>870</v>
      </c>
      <c r="K88" s="9"/>
      <c r="L88" s="5"/>
      <c r="M88" s="8">
        <v>4249</v>
      </c>
      <c r="N88" s="3"/>
      <c r="O88" s="3">
        <v>35631</v>
      </c>
      <c r="P88" s="98" t="s">
        <v>2152</v>
      </c>
      <c r="Q88" s="20"/>
      <c r="R88" s="21" t="str">
        <f t="shared" si="14"/>
        <v>36d</v>
      </c>
      <c r="S88" s="17"/>
      <c r="T88" s="23" t="s">
        <v>2814</v>
      </c>
      <c r="U88">
        <f t="shared" si="13"/>
        <v>5</v>
      </c>
      <c r="V88">
        <f t="shared" si="11"/>
        <v>4</v>
      </c>
      <c r="W88">
        <f t="shared" si="12"/>
        <v>3</v>
      </c>
      <c r="AG88" s="71" t="s">
        <v>2455</v>
      </c>
      <c r="AH88" s="2"/>
      <c r="AI88" s="2"/>
      <c r="AJ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row>
    <row r="89" spans="1:93" ht="19">
      <c r="A89" t="s">
        <v>1654</v>
      </c>
      <c r="D89">
        <f t="shared" si="15"/>
        <v>36</v>
      </c>
      <c r="E89" t="s">
        <v>2151</v>
      </c>
      <c r="F89" t="s">
        <v>842</v>
      </c>
      <c r="G89" t="s">
        <v>807</v>
      </c>
      <c r="H89" t="s">
        <v>2153</v>
      </c>
      <c r="K89" s="9"/>
      <c r="L89" s="5"/>
      <c r="M89" s="8">
        <v>4811</v>
      </c>
      <c r="N89" s="3">
        <v>14347</v>
      </c>
      <c r="O89" s="3">
        <v>16272</v>
      </c>
      <c r="P89" s="98" t="s">
        <v>2154</v>
      </c>
      <c r="Q89" s="20"/>
      <c r="R89" s="21" t="str">
        <f t="shared" si="14"/>
        <v>36d</v>
      </c>
      <c r="S89" s="17"/>
      <c r="T89" s="23" t="s">
        <v>2815</v>
      </c>
      <c r="U89">
        <f t="shared" si="13"/>
        <v>5</v>
      </c>
      <c r="V89">
        <f t="shared" si="11"/>
        <v>4</v>
      </c>
      <c r="W89">
        <f t="shared" si="12"/>
        <v>3</v>
      </c>
      <c r="Y89" t="s">
        <v>2155</v>
      </c>
      <c r="Z89" t="s">
        <v>2456</v>
      </c>
      <c r="AG89" s="71" t="s">
        <v>2457</v>
      </c>
      <c r="AH89" s="2"/>
      <c r="AI89" s="2"/>
      <c r="AJ89" s="2"/>
      <c r="AK89" s="2"/>
      <c r="AM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row>
    <row r="90" spans="1:93" ht="19">
      <c r="A90" t="s">
        <v>2459</v>
      </c>
      <c r="D90">
        <f t="shared" si="15"/>
        <v>36</v>
      </c>
      <c r="E90" t="s">
        <v>2151</v>
      </c>
      <c r="F90" t="s">
        <v>952</v>
      </c>
      <c r="G90" t="s">
        <v>1654</v>
      </c>
      <c r="H90" t="s">
        <v>2156</v>
      </c>
      <c r="K90" s="9"/>
      <c r="L90" s="5"/>
      <c r="M90" s="8">
        <v>15491</v>
      </c>
      <c r="N90" s="3">
        <v>24016</v>
      </c>
      <c r="O90" s="3"/>
      <c r="P90" s="98" t="s">
        <v>2157</v>
      </c>
      <c r="Q90" s="20"/>
      <c r="R90" s="21" t="str">
        <f t="shared" si="14"/>
        <v>36db</v>
      </c>
      <c r="S90" s="17"/>
      <c r="T90" s="23" t="s">
        <v>2814</v>
      </c>
      <c r="U90">
        <f t="shared" si="13"/>
        <v>6</v>
      </c>
      <c r="V90">
        <f t="shared" si="11"/>
        <v>5</v>
      </c>
      <c r="W90">
        <f t="shared" si="12"/>
        <v>3</v>
      </c>
      <c r="Y90" t="s">
        <v>2458</v>
      </c>
      <c r="Z90" t="s">
        <v>2460</v>
      </c>
      <c r="AG90" s="71" t="s">
        <v>2461</v>
      </c>
      <c r="AH90" s="2"/>
      <c r="AI90" s="2"/>
      <c r="AJ90" s="2"/>
      <c r="AK90" s="2"/>
      <c r="AL90" s="2"/>
      <c r="AM90" s="2"/>
      <c r="AN90" s="2"/>
      <c r="AO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row>
    <row r="91" spans="1:93" ht="20" customHeight="1">
      <c r="D91">
        <f t="shared" si="15"/>
        <v>36</v>
      </c>
      <c r="E91" t="s">
        <v>2158</v>
      </c>
      <c r="F91" t="s">
        <v>902</v>
      </c>
      <c r="G91" t="s">
        <v>885</v>
      </c>
      <c r="K91" s="9"/>
      <c r="L91" s="5"/>
      <c r="M91" s="8">
        <v>24592</v>
      </c>
      <c r="N91" s="3">
        <v>34776</v>
      </c>
      <c r="O91" s="3"/>
      <c r="P91" s="98" t="s">
        <v>2159</v>
      </c>
      <c r="Q91" s="20"/>
      <c r="R91" s="21" t="str">
        <f t="shared" si="14"/>
        <v>36dba</v>
      </c>
      <c r="S91" s="17"/>
      <c r="T91" s="23" t="s">
        <v>2815</v>
      </c>
      <c r="U91">
        <f t="shared" si="13"/>
        <v>7</v>
      </c>
      <c r="V91">
        <f t="shared" si="11"/>
        <v>6</v>
      </c>
      <c r="W91">
        <f t="shared" si="12"/>
        <v>3</v>
      </c>
      <c r="Y91" t="s">
        <v>2463</v>
      </c>
      <c r="Z91" t="s">
        <v>2462</v>
      </c>
      <c r="AG91" s="71" t="s">
        <v>2466</v>
      </c>
      <c r="AH91" s="2"/>
      <c r="AI91" s="2"/>
      <c r="AJ91" s="2"/>
      <c r="AK91" s="2"/>
      <c r="AL91" s="2"/>
      <c r="AT91" s="2"/>
      <c r="AU91" s="2"/>
      <c r="AV91" s="2"/>
      <c r="AW91" s="2"/>
      <c r="AX91" s="2"/>
      <c r="AY91" s="2"/>
      <c r="AZ91" s="4"/>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row>
    <row r="92" spans="1:93" ht="20" customHeight="1">
      <c r="D92">
        <f t="shared" si="15"/>
        <v>36</v>
      </c>
      <c r="E92" t="s">
        <v>2158</v>
      </c>
      <c r="F92" t="s">
        <v>2160</v>
      </c>
      <c r="G92" t="s">
        <v>902</v>
      </c>
      <c r="K92" s="9"/>
      <c r="L92" s="5"/>
      <c r="M92" s="8">
        <v>36135</v>
      </c>
      <c r="N92" s="3"/>
      <c r="O92" s="3"/>
      <c r="P92" s="98" t="s">
        <v>2161</v>
      </c>
      <c r="Q92" s="20"/>
      <c r="R92" s="21" t="str">
        <f t="shared" si="14"/>
        <v>36dbaa</v>
      </c>
      <c r="S92" s="17"/>
      <c r="T92" s="23" t="s">
        <v>2815</v>
      </c>
      <c r="U92">
        <f t="shared" si="13"/>
        <v>8</v>
      </c>
      <c r="V92">
        <f t="shared" si="11"/>
        <v>7</v>
      </c>
      <c r="W92">
        <f t="shared" si="12"/>
        <v>3</v>
      </c>
      <c r="AG92" s="71" t="s">
        <v>2464</v>
      </c>
      <c r="AH92" s="2"/>
      <c r="AO92" s="2"/>
      <c r="AP92" s="2"/>
      <c r="AQ92" s="2"/>
      <c r="AR92" s="2"/>
      <c r="AS92" s="2"/>
      <c r="AT92" s="2"/>
      <c r="AU92" s="2"/>
      <c r="AV92" s="2"/>
      <c r="AW92" s="2"/>
      <c r="AX92" s="2"/>
      <c r="AY92" s="2"/>
      <c r="AZ92" s="4"/>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row>
    <row r="93" spans="1:93" ht="20" customHeight="1">
      <c r="D93">
        <f t="shared" si="15"/>
        <v>36</v>
      </c>
      <c r="E93" t="s">
        <v>2158</v>
      </c>
      <c r="F93" t="s">
        <v>1654</v>
      </c>
      <c r="G93" t="s">
        <v>1010</v>
      </c>
      <c r="K93" s="9"/>
      <c r="L93" s="5"/>
      <c r="M93" s="8">
        <v>25361</v>
      </c>
      <c r="N93" s="3"/>
      <c r="O93" s="3"/>
      <c r="P93" s="98" t="s">
        <v>2163</v>
      </c>
      <c r="Q93" s="20"/>
      <c r="R93" s="21" t="str">
        <f t="shared" si="14"/>
        <v>36dba</v>
      </c>
      <c r="S93" s="17"/>
      <c r="T93" s="23" t="s">
        <v>2814</v>
      </c>
      <c r="U93">
        <f t="shared" si="13"/>
        <v>7</v>
      </c>
      <c r="V93">
        <f t="shared" si="11"/>
        <v>6</v>
      </c>
      <c r="W93">
        <f t="shared" si="12"/>
        <v>3</v>
      </c>
      <c r="AG93" s="71" t="s">
        <v>2465</v>
      </c>
      <c r="AH93" s="2"/>
      <c r="AI93" s="2"/>
      <c r="AJ93" s="2"/>
      <c r="AK93" s="2"/>
      <c r="AL93" s="2"/>
      <c r="AM93" s="2"/>
      <c r="AN93" s="2"/>
      <c r="AO93" s="2"/>
      <c r="AP93" s="2"/>
      <c r="AQ93" s="2"/>
      <c r="AR93" s="2"/>
      <c r="AS93" s="2"/>
      <c r="AT93" s="2"/>
      <c r="AU93" s="2"/>
      <c r="AV93" s="2"/>
      <c r="AW93" s="2"/>
      <c r="AX93" s="2"/>
      <c r="AY93" s="2"/>
      <c r="AZ93" s="4"/>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row>
    <row r="94" spans="1:93" ht="20" customHeight="1">
      <c r="B94" t="s">
        <v>1010</v>
      </c>
      <c r="D94">
        <f t="shared" si="15"/>
        <v>36</v>
      </c>
      <c r="E94" t="s">
        <v>2158</v>
      </c>
      <c r="F94" t="s">
        <v>1635</v>
      </c>
      <c r="G94" t="s">
        <v>2162</v>
      </c>
      <c r="K94" s="9"/>
      <c r="L94" s="5"/>
      <c r="M94" s="8">
        <v>31287</v>
      </c>
      <c r="N94" s="3"/>
      <c r="O94" s="3"/>
      <c r="P94" s="98" t="s">
        <v>2164</v>
      </c>
      <c r="Q94" s="20"/>
      <c r="R94" s="21" t="str">
        <f t="shared" si="14"/>
        <v>36dba</v>
      </c>
      <c r="S94" s="17"/>
      <c r="T94" s="23" t="s">
        <v>2815</v>
      </c>
      <c r="U94">
        <f t="shared" si="13"/>
        <v>7</v>
      </c>
      <c r="V94">
        <f t="shared" si="11"/>
        <v>6</v>
      </c>
      <c r="W94">
        <f t="shared" si="12"/>
        <v>3</v>
      </c>
      <c r="AG94" s="71" t="s">
        <v>2467</v>
      </c>
      <c r="AH94" s="2"/>
      <c r="AI94" s="2"/>
      <c r="AJ94" s="4"/>
      <c r="AK94" s="2"/>
      <c r="AL94" s="2"/>
      <c r="AM94" s="2"/>
      <c r="AN94" s="2"/>
      <c r="AO94" s="2"/>
      <c r="AP94" s="2"/>
      <c r="AQ94" s="2"/>
      <c r="AR94" s="2"/>
      <c r="AS94" s="2"/>
      <c r="AT94" s="2"/>
      <c r="AU94" s="2"/>
      <c r="AV94" s="2"/>
      <c r="AW94" s="2"/>
      <c r="AX94" s="2"/>
      <c r="AY94" s="2"/>
      <c r="AZ94" s="4"/>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row>
    <row r="95" spans="1:93" ht="20" customHeight="1">
      <c r="D95">
        <f t="shared" si="15"/>
        <v>36</v>
      </c>
      <c r="E95" t="s">
        <v>2151</v>
      </c>
      <c r="F95" t="s">
        <v>882</v>
      </c>
      <c r="G95" t="s">
        <v>1010</v>
      </c>
      <c r="K95" s="9"/>
      <c r="L95" s="5"/>
      <c r="M95" s="8">
        <v>16262</v>
      </c>
      <c r="N95" s="3">
        <v>24115</v>
      </c>
      <c r="O95" s="3"/>
      <c r="P95" s="98" t="s">
        <v>2165</v>
      </c>
      <c r="Q95" s="20"/>
      <c r="R95" s="21" t="str">
        <f t="shared" si="14"/>
        <v>36db</v>
      </c>
      <c r="S95" s="17"/>
      <c r="T95" s="23" t="s">
        <v>2814</v>
      </c>
      <c r="U95">
        <f t="shared" si="13"/>
        <v>6</v>
      </c>
      <c r="V95">
        <f t="shared" si="11"/>
        <v>5</v>
      </c>
      <c r="W95">
        <f t="shared" si="12"/>
        <v>3</v>
      </c>
      <c r="Y95" t="s">
        <v>2166</v>
      </c>
      <c r="Z95" t="s">
        <v>2469</v>
      </c>
      <c r="AG95" s="71" t="s">
        <v>2468</v>
      </c>
      <c r="AH95" s="1"/>
      <c r="AI95" s="1"/>
      <c r="AJ95" s="1"/>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row>
    <row r="96" spans="1:93" ht="20" customHeight="1">
      <c r="D96">
        <f t="shared" si="15"/>
        <v>36</v>
      </c>
      <c r="E96" t="s">
        <v>2167</v>
      </c>
      <c r="F96" t="s">
        <v>922</v>
      </c>
      <c r="G96" t="s">
        <v>882</v>
      </c>
      <c r="K96" s="9"/>
      <c r="L96" s="5"/>
      <c r="M96" s="8">
        <v>24458</v>
      </c>
      <c r="N96" s="3"/>
      <c r="O96" s="3"/>
      <c r="P96" s="98" t="s">
        <v>2168</v>
      </c>
      <c r="Q96" s="20"/>
      <c r="R96" s="21" t="str">
        <f t="shared" si="14"/>
        <v>36dbb</v>
      </c>
      <c r="S96" s="17"/>
      <c r="T96" s="23" t="s">
        <v>2814</v>
      </c>
      <c r="U96">
        <f t="shared" si="13"/>
        <v>7</v>
      </c>
      <c r="V96">
        <f t="shared" si="11"/>
        <v>6</v>
      </c>
      <c r="W96">
        <f t="shared" si="12"/>
        <v>3</v>
      </c>
      <c r="Y96" t="s">
        <v>2205</v>
      </c>
      <c r="Z96" t="s">
        <v>2471</v>
      </c>
      <c r="AG96" s="71" t="s">
        <v>2470</v>
      </c>
      <c r="AH96" s="2"/>
      <c r="AI96" s="2"/>
      <c r="AJ96" s="4"/>
      <c r="AK96" s="2"/>
      <c r="AL96" s="1"/>
      <c r="AM96" s="1"/>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row>
    <row r="97" spans="1:93" ht="20" customHeight="1">
      <c r="D97">
        <f t="shared" si="15"/>
        <v>36</v>
      </c>
      <c r="E97" t="s">
        <v>1681</v>
      </c>
      <c r="F97" t="s">
        <v>2169</v>
      </c>
      <c r="G97" t="s">
        <v>2170</v>
      </c>
      <c r="H97" t="s">
        <v>2171</v>
      </c>
      <c r="K97" s="9"/>
      <c r="L97" s="5"/>
      <c r="M97" s="8">
        <v>34947</v>
      </c>
      <c r="N97" s="3"/>
      <c r="O97" s="3"/>
      <c r="P97" s="98" t="s">
        <v>2172</v>
      </c>
      <c r="Q97" s="20"/>
      <c r="R97" s="21" t="str">
        <f t="shared" si="14"/>
        <v>36dbba</v>
      </c>
      <c r="S97" s="17"/>
      <c r="T97" s="23" t="s">
        <v>2815</v>
      </c>
      <c r="U97">
        <f t="shared" si="13"/>
        <v>8</v>
      </c>
      <c r="V97">
        <f t="shared" si="11"/>
        <v>7</v>
      </c>
      <c r="W97">
        <f t="shared" si="12"/>
        <v>3</v>
      </c>
      <c r="AG97" s="71" t="s">
        <v>2472</v>
      </c>
      <c r="AH97" s="71"/>
      <c r="AJ97" s="71"/>
      <c r="AL97" s="71"/>
      <c r="AN97" s="71"/>
      <c r="AO97" s="71"/>
      <c r="BJ97" s="71"/>
      <c r="BK97" s="71"/>
      <c r="BL97" s="71"/>
      <c r="BM97" s="71"/>
      <c r="BN97" s="71"/>
      <c r="BO97" s="71"/>
      <c r="BP97" s="71"/>
      <c r="BQ97" s="2"/>
      <c r="BR97" s="2"/>
      <c r="BS97" s="2"/>
      <c r="BT97" s="2"/>
      <c r="BU97" s="2"/>
      <c r="BV97" s="2"/>
      <c r="BW97" s="2"/>
      <c r="BX97" s="2"/>
      <c r="BY97" s="2"/>
      <c r="BZ97" s="2"/>
      <c r="CA97" s="2"/>
      <c r="CB97" s="2"/>
      <c r="CC97" s="2"/>
      <c r="CD97" s="2"/>
      <c r="CE97" s="2"/>
      <c r="CF97" s="2"/>
      <c r="CG97" s="2"/>
      <c r="CH97" s="2"/>
      <c r="CI97" s="2"/>
      <c r="CJ97" s="2"/>
      <c r="CK97" s="2"/>
      <c r="CL97" s="2"/>
      <c r="CM97" s="2"/>
      <c r="CN97" s="2"/>
      <c r="CO97" s="2"/>
    </row>
    <row r="98" spans="1:93" ht="19">
      <c r="D98">
        <f t="shared" si="15"/>
        <v>36</v>
      </c>
      <c r="E98" t="s">
        <v>1681</v>
      </c>
      <c r="F98" t="s">
        <v>2173</v>
      </c>
      <c r="G98" t="s">
        <v>918</v>
      </c>
      <c r="H98" t="s">
        <v>2171</v>
      </c>
      <c r="K98" s="9"/>
      <c r="L98" s="5"/>
      <c r="M98" s="8">
        <v>35660</v>
      </c>
      <c r="N98" s="3"/>
      <c r="O98" s="3"/>
      <c r="P98" s="98" t="s">
        <v>2174</v>
      </c>
      <c r="Q98" s="20"/>
      <c r="R98" s="21" t="str">
        <f t="shared" si="14"/>
        <v>36dbba</v>
      </c>
      <c r="S98" s="17"/>
      <c r="T98" s="23" t="s">
        <v>2814</v>
      </c>
      <c r="U98">
        <f t="shared" si="13"/>
        <v>8</v>
      </c>
      <c r="V98">
        <f t="shared" ref="V98:V113" si="16">LEN(P98)</f>
        <v>7</v>
      </c>
      <c r="W98">
        <f t="shared" ref="W98:W130" si="17">VLOOKUP(D98,Generation,2,FALSE)</f>
        <v>3</v>
      </c>
      <c r="AG98" s="71" t="s">
        <v>2472</v>
      </c>
      <c r="AH98" s="2"/>
      <c r="AI98" s="2"/>
      <c r="AJ98" s="4"/>
      <c r="AK98" s="2"/>
      <c r="AL98" s="2"/>
      <c r="AM98" s="2"/>
      <c r="AN98" s="2"/>
      <c r="AO98" s="2"/>
      <c r="AP98" s="2"/>
      <c r="AQ98" s="2"/>
      <c r="AR98" s="2"/>
      <c r="AS98" s="2"/>
      <c r="AT98" s="2"/>
      <c r="AU98" s="2"/>
      <c r="AV98" s="2"/>
      <c r="AW98" s="2"/>
      <c r="AX98" s="2"/>
      <c r="AY98" s="2"/>
      <c r="AZ98" s="4"/>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row>
    <row r="99" spans="1:93" ht="19">
      <c r="D99">
        <f t="shared" si="15"/>
        <v>36</v>
      </c>
      <c r="E99" t="s">
        <v>2167</v>
      </c>
      <c r="F99" t="s">
        <v>928</v>
      </c>
      <c r="G99" t="s">
        <v>2170</v>
      </c>
      <c r="K99" s="9"/>
      <c r="L99" s="5"/>
      <c r="M99" s="8">
        <v>25252</v>
      </c>
      <c r="N99" s="3"/>
      <c r="O99" s="3"/>
      <c r="P99" s="98" t="s">
        <v>2175</v>
      </c>
      <c r="Q99" s="20"/>
      <c r="R99" s="21" t="str">
        <f t="shared" si="14"/>
        <v>36dbb</v>
      </c>
      <c r="S99" s="17"/>
      <c r="T99" s="23" t="s">
        <v>2815</v>
      </c>
      <c r="U99">
        <f t="shared" si="13"/>
        <v>7</v>
      </c>
      <c r="V99">
        <f t="shared" si="16"/>
        <v>6</v>
      </c>
      <c r="W99">
        <f t="shared" si="17"/>
        <v>3</v>
      </c>
      <c r="Y99" t="s">
        <v>2176</v>
      </c>
      <c r="Z99" t="s">
        <v>2474</v>
      </c>
      <c r="AG99" s="71" t="s">
        <v>2473</v>
      </c>
      <c r="AH99" s="2"/>
      <c r="AI99" s="2"/>
      <c r="AJ99" s="4"/>
      <c r="AK99" s="2"/>
      <c r="AL99" s="2"/>
      <c r="AM99" s="2"/>
      <c r="AN99" s="2"/>
      <c r="AO99" s="2"/>
      <c r="AP99" s="2"/>
      <c r="AQ99" s="2"/>
      <c r="AR99" s="2"/>
      <c r="AS99" s="2"/>
      <c r="AT99" s="2"/>
      <c r="AU99" s="2"/>
      <c r="AV99" s="2"/>
      <c r="AW99" s="2"/>
      <c r="AX99" s="2"/>
      <c r="AY99" s="2"/>
      <c r="AZ99" s="4"/>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row>
    <row r="100" spans="1:93" ht="19">
      <c r="D100">
        <f t="shared" si="15"/>
        <v>36</v>
      </c>
      <c r="E100" t="s">
        <v>2167</v>
      </c>
      <c r="F100" t="s">
        <v>1747</v>
      </c>
      <c r="G100" t="s">
        <v>918</v>
      </c>
      <c r="H100" t="s">
        <v>2177</v>
      </c>
      <c r="K100" s="9"/>
      <c r="L100" s="5"/>
      <c r="M100" s="8">
        <v>35978</v>
      </c>
      <c r="N100" s="3"/>
      <c r="O100" s="3"/>
      <c r="P100" s="98" t="s">
        <v>2178</v>
      </c>
      <c r="Q100" s="20"/>
      <c r="R100" s="21" t="str">
        <f t="shared" si="14"/>
        <v>36dbbb</v>
      </c>
      <c r="S100" s="17"/>
      <c r="T100" s="23" t="s">
        <v>2815</v>
      </c>
      <c r="U100">
        <f t="shared" si="13"/>
        <v>8</v>
      </c>
      <c r="V100">
        <f t="shared" si="16"/>
        <v>7</v>
      </c>
      <c r="W100">
        <f t="shared" si="17"/>
        <v>3</v>
      </c>
      <c r="AG100" s="71" t="s">
        <v>2472</v>
      </c>
      <c r="AH100" s="71"/>
      <c r="AI100" s="71"/>
      <c r="AJ100" s="71"/>
      <c r="AK100" s="71"/>
      <c r="AL100" s="71"/>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row>
    <row r="101" spans="1:93" ht="19">
      <c r="D101">
        <f t="shared" si="15"/>
        <v>36</v>
      </c>
      <c r="E101" t="s">
        <v>2167</v>
      </c>
      <c r="F101" t="s">
        <v>917</v>
      </c>
      <c r="G101" t="s">
        <v>2173</v>
      </c>
      <c r="K101" s="9"/>
      <c r="L101" s="5"/>
      <c r="M101" s="8">
        <v>27143</v>
      </c>
      <c r="N101" s="3"/>
      <c r="O101" s="3"/>
      <c r="P101" s="98" t="s">
        <v>2180</v>
      </c>
      <c r="Q101" s="20"/>
      <c r="R101" s="21" t="str">
        <f t="shared" si="14"/>
        <v>36dbb</v>
      </c>
      <c r="S101" s="17"/>
      <c r="T101" s="23" t="s">
        <v>2815</v>
      </c>
      <c r="U101">
        <f t="shared" si="13"/>
        <v>7</v>
      </c>
      <c r="V101">
        <f t="shared" si="16"/>
        <v>6</v>
      </c>
      <c r="W101">
        <f t="shared" si="17"/>
        <v>3</v>
      </c>
      <c r="AG101" s="71" t="s">
        <v>2470</v>
      </c>
      <c r="AH101" s="2"/>
      <c r="AI101" s="2"/>
      <c r="AJ101" s="4"/>
      <c r="AK101" s="2"/>
      <c r="AL101" s="2"/>
      <c r="AM101" s="2"/>
      <c r="AN101" s="2"/>
      <c r="AO101" s="2"/>
      <c r="AP101" s="2"/>
      <c r="AQ101" s="2"/>
      <c r="AR101" s="2"/>
      <c r="AS101" s="2"/>
      <c r="AT101" s="2"/>
      <c r="AU101" s="2"/>
      <c r="AV101" s="2"/>
      <c r="AW101" s="2"/>
      <c r="AX101" s="2"/>
      <c r="AY101" s="2"/>
      <c r="AZ101" s="4"/>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row>
    <row r="102" spans="1:93" ht="19">
      <c r="D102">
        <f>D101</f>
        <v>36</v>
      </c>
      <c r="E102" t="s">
        <v>2167</v>
      </c>
      <c r="F102" t="s">
        <v>885</v>
      </c>
      <c r="G102" t="s">
        <v>918</v>
      </c>
      <c r="H102" t="s">
        <v>2179</v>
      </c>
      <c r="K102" s="9"/>
      <c r="L102" s="5"/>
      <c r="M102" s="8">
        <v>28209</v>
      </c>
      <c r="N102" s="3"/>
      <c r="O102" s="3"/>
      <c r="P102" s="98" t="s">
        <v>2181</v>
      </c>
      <c r="Q102" s="20"/>
      <c r="R102" s="21" t="str">
        <f t="shared" si="14"/>
        <v>36dbb</v>
      </c>
      <c r="S102" s="17"/>
      <c r="T102" s="23" t="s">
        <v>2815</v>
      </c>
      <c r="U102">
        <f t="shared" si="13"/>
        <v>7</v>
      </c>
      <c r="V102">
        <f t="shared" si="16"/>
        <v>6</v>
      </c>
      <c r="W102">
        <f t="shared" si="17"/>
        <v>3</v>
      </c>
      <c r="AG102" s="71" t="s">
        <v>2475</v>
      </c>
      <c r="AH102" s="2"/>
      <c r="AI102" s="2"/>
      <c r="AJ102" s="4"/>
      <c r="AK102" s="2"/>
      <c r="AL102" s="2"/>
      <c r="AM102" s="2"/>
      <c r="AN102" s="2"/>
      <c r="AO102" s="2"/>
      <c r="AP102" s="2"/>
      <c r="AQ102" s="2"/>
      <c r="AR102" s="2"/>
      <c r="AS102" s="2"/>
      <c r="AT102" s="2"/>
      <c r="AU102" s="2"/>
      <c r="AV102" s="2"/>
      <c r="AW102" s="2"/>
      <c r="AX102" s="2"/>
      <c r="AY102" s="2"/>
      <c r="AZ102" s="4"/>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row>
    <row r="103" spans="1:93" ht="19">
      <c r="D103">
        <f t="shared" si="15"/>
        <v>36</v>
      </c>
      <c r="E103" t="s">
        <v>2133</v>
      </c>
      <c r="F103" t="s">
        <v>1071</v>
      </c>
      <c r="G103" t="s">
        <v>2186</v>
      </c>
      <c r="K103" s="9"/>
      <c r="L103" s="5"/>
      <c r="M103" s="8" t="s">
        <v>2187</v>
      </c>
      <c r="N103" s="3"/>
      <c r="O103" s="3">
        <v>27072</v>
      </c>
      <c r="P103" s="98" t="s">
        <v>2182</v>
      </c>
      <c r="Q103" s="20"/>
      <c r="R103" s="21" t="str">
        <f t="shared" si="14"/>
        <v>36</v>
      </c>
      <c r="S103" s="17"/>
      <c r="T103" s="23" t="s">
        <v>2814</v>
      </c>
      <c r="U103">
        <f t="shared" si="13"/>
        <v>4</v>
      </c>
      <c r="V103">
        <f t="shared" si="16"/>
        <v>3</v>
      </c>
      <c r="W103">
        <f t="shared" si="17"/>
        <v>3</v>
      </c>
      <c r="AG103" s="71" t="s">
        <v>2476</v>
      </c>
      <c r="AH103" s="71"/>
      <c r="AJ103" s="71"/>
      <c r="AK103" s="71"/>
      <c r="AL103" s="71"/>
      <c r="AV103" s="2"/>
      <c r="AW103" s="2"/>
      <c r="AX103" s="2"/>
      <c r="AY103" s="2"/>
      <c r="AZ103" s="4"/>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row>
    <row r="104" spans="1:93" ht="19">
      <c r="D104">
        <f t="shared" si="15"/>
        <v>36</v>
      </c>
      <c r="E104" t="s">
        <v>2133</v>
      </c>
      <c r="F104" t="s">
        <v>928</v>
      </c>
      <c r="G104" t="s">
        <v>812</v>
      </c>
      <c r="K104" s="9"/>
      <c r="L104" s="5"/>
      <c r="M104" s="8" t="s">
        <v>2188</v>
      </c>
      <c r="N104" s="3"/>
      <c r="O104" s="3" t="s">
        <v>2189</v>
      </c>
      <c r="P104" s="98" t="s">
        <v>2183</v>
      </c>
      <c r="Q104" s="20"/>
      <c r="R104" s="21" t="str">
        <f t="shared" si="14"/>
        <v>36</v>
      </c>
      <c r="S104" s="17"/>
      <c r="T104" s="23" t="s">
        <v>2815</v>
      </c>
      <c r="U104">
        <f t="shared" si="13"/>
        <v>4</v>
      </c>
      <c r="V104">
        <f t="shared" si="16"/>
        <v>3</v>
      </c>
      <c r="W104">
        <f t="shared" si="17"/>
        <v>3</v>
      </c>
      <c r="AG104" s="71" t="s">
        <v>2451</v>
      </c>
      <c r="AH104" s="2"/>
      <c r="AI104" s="2"/>
      <c r="AJ104" s="4"/>
      <c r="AK104" s="2"/>
      <c r="AL104" s="2"/>
      <c r="AM104" s="2"/>
      <c r="AN104" s="2"/>
      <c r="AO104" s="2"/>
      <c r="AP104" s="2"/>
      <c r="AQ104" s="2"/>
      <c r="AR104" s="2"/>
      <c r="AS104" s="2"/>
      <c r="AT104" s="2"/>
      <c r="AU104" s="2"/>
      <c r="AV104" s="2"/>
      <c r="AW104" s="2"/>
      <c r="AX104" s="2"/>
      <c r="AY104" s="2"/>
      <c r="AZ104" s="4"/>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row>
    <row r="105" spans="1:93" ht="19">
      <c r="D105">
        <f t="shared" si="15"/>
        <v>36</v>
      </c>
      <c r="E105" t="s">
        <v>2133</v>
      </c>
      <c r="F105" t="s">
        <v>902</v>
      </c>
      <c r="K105" s="9"/>
      <c r="L105" s="5"/>
      <c r="M105" s="8" t="s">
        <v>2190</v>
      </c>
      <c r="N105" s="3"/>
      <c r="O105" s="3">
        <v>24198</v>
      </c>
      <c r="P105" s="98" t="s">
        <v>2184</v>
      </c>
      <c r="Q105" s="20"/>
      <c r="R105" s="21" t="str">
        <f t="shared" si="14"/>
        <v>36</v>
      </c>
      <c r="S105" s="17"/>
      <c r="T105" s="23" t="s">
        <v>2815</v>
      </c>
      <c r="U105">
        <f t="shared" si="13"/>
        <v>4</v>
      </c>
      <c r="V105">
        <f t="shared" si="16"/>
        <v>3</v>
      </c>
      <c r="W105">
        <f t="shared" si="17"/>
        <v>3</v>
      </c>
      <c r="AG105" s="71" t="s">
        <v>2477</v>
      </c>
      <c r="AH105" s="71"/>
      <c r="AJ105" s="71"/>
      <c r="AK105" s="71"/>
      <c r="AT105" s="2"/>
      <c r="AU105" s="2"/>
      <c r="AV105" s="2"/>
      <c r="AW105" s="2"/>
      <c r="AX105" s="2"/>
      <c r="AY105" s="2"/>
      <c r="AZ105" s="4"/>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row>
    <row r="106" spans="1:93" ht="19">
      <c r="D106">
        <f t="shared" si="15"/>
        <v>36</v>
      </c>
      <c r="E106" t="s">
        <v>2133</v>
      </c>
      <c r="K106" s="9"/>
      <c r="L106" s="5"/>
      <c r="M106" s="8" t="s">
        <v>2191</v>
      </c>
      <c r="O106" s="3">
        <v>710</v>
      </c>
      <c r="P106" s="98" t="s">
        <v>2185</v>
      </c>
      <c r="Q106" s="20"/>
      <c r="R106" s="21" t="str">
        <f t="shared" si="14"/>
        <v>36</v>
      </c>
      <c r="S106" s="17"/>
      <c r="T106" s="23" t="s">
        <v>2814</v>
      </c>
      <c r="U106">
        <f t="shared" si="13"/>
        <v>4</v>
      </c>
      <c r="V106">
        <f t="shared" si="16"/>
        <v>3</v>
      </c>
      <c r="W106">
        <f t="shared" si="17"/>
        <v>3</v>
      </c>
      <c r="AG106" s="71" t="s">
        <v>2478</v>
      </c>
      <c r="AH106" s="71"/>
      <c r="AI106" s="71"/>
      <c r="AK106" s="71"/>
      <c r="AL106" s="2"/>
      <c r="AM106" s="2"/>
      <c r="AN106" s="2"/>
      <c r="AO106" s="2"/>
      <c r="AP106" s="2"/>
      <c r="AQ106" s="2"/>
      <c r="AR106" s="2"/>
      <c r="AS106" s="2"/>
      <c r="AT106" s="2"/>
      <c r="AU106" s="2"/>
      <c r="AV106" s="2"/>
      <c r="AW106" s="2"/>
      <c r="AX106" s="2"/>
      <c r="AY106" s="2"/>
      <c r="AZ106" s="4"/>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row>
    <row r="107" spans="1:93" ht="19">
      <c r="A107">
        <v>93</v>
      </c>
      <c r="C107">
        <v>2085</v>
      </c>
      <c r="D107">
        <v>37</v>
      </c>
      <c r="E107" s="2" t="s">
        <v>782</v>
      </c>
      <c r="F107" t="s">
        <v>1075</v>
      </c>
      <c r="I107" t="s">
        <v>1892</v>
      </c>
      <c r="J107">
        <v>1946</v>
      </c>
      <c r="K107" s="9" t="s">
        <v>1896</v>
      </c>
      <c r="L107" s="5" t="s">
        <v>1077</v>
      </c>
      <c r="M107" s="8" t="s">
        <v>1077</v>
      </c>
      <c r="N107" t="s">
        <v>797</v>
      </c>
      <c r="O107" s="3">
        <v>17062</v>
      </c>
      <c r="P107" s="98">
        <v>37</v>
      </c>
      <c r="Q107" s="20" t="s">
        <v>1897</v>
      </c>
      <c r="R107" s="16">
        <v>14</v>
      </c>
      <c r="S107" s="17" t="s">
        <v>1898</v>
      </c>
      <c r="T107" s="23" t="s">
        <v>2814</v>
      </c>
      <c r="U107">
        <f t="shared" si="13"/>
        <v>3</v>
      </c>
      <c r="V107">
        <f t="shared" si="16"/>
        <v>2</v>
      </c>
      <c r="W107">
        <f t="shared" si="17"/>
        <v>3</v>
      </c>
      <c r="Y107">
        <v>0</v>
      </c>
      <c r="Z107">
        <v>0</v>
      </c>
      <c r="AC107">
        <v>93</v>
      </c>
      <c r="AG107" s="71" t="s">
        <v>122</v>
      </c>
      <c r="AH107" s="2" t="s">
        <v>123</v>
      </c>
      <c r="AI107" s="2" t="s">
        <v>124</v>
      </c>
      <c r="AJ107" s="2" t="s">
        <v>125</v>
      </c>
    </row>
    <row r="108" spans="1:93" ht="19">
      <c r="A108">
        <v>70</v>
      </c>
      <c r="C108">
        <v>2095</v>
      </c>
      <c r="D108">
        <v>38</v>
      </c>
      <c r="E108" s="2" t="s">
        <v>782</v>
      </c>
      <c r="F108" t="s">
        <v>799</v>
      </c>
      <c r="G108" t="s">
        <v>998</v>
      </c>
      <c r="I108" t="s">
        <v>1899</v>
      </c>
      <c r="J108">
        <v>1924</v>
      </c>
      <c r="K108" s="9" t="s">
        <v>1900</v>
      </c>
      <c r="L108" s="5" t="s">
        <v>1078</v>
      </c>
      <c r="M108" s="8" t="s">
        <v>1078</v>
      </c>
      <c r="N108" t="s">
        <v>797</v>
      </c>
      <c r="O108" s="3">
        <v>8948</v>
      </c>
      <c r="P108" s="98">
        <v>38</v>
      </c>
      <c r="Q108" s="20" t="s">
        <v>1901</v>
      </c>
      <c r="R108" s="16">
        <v>23</v>
      </c>
      <c r="S108" s="17" t="s">
        <v>1902</v>
      </c>
      <c r="T108" s="23" t="s">
        <v>2814</v>
      </c>
      <c r="U108">
        <f t="shared" si="13"/>
        <v>3</v>
      </c>
      <c r="V108">
        <f t="shared" si="16"/>
        <v>2</v>
      </c>
      <c r="W108">
        <f t="shared" si="17"/>
        <v>3</v>
      </c>
      <c r="Y108">
        <v>0</v>
      </c>
      <c r="Z108">
        <v>0</v>
      </c>
      <c r="AC108">
        <v>70</v>
      </c>
      <c r="AG108" s="71" t="s">
        <v>126</v>
      </c>
      <c r="AH108" s="2" t="s">
        <v>127</v>
      </c>
      <c r="AI108" s="2" t="s">
        <v>128</v>
      </c>
    </row>
    <row r="109" spans="1:93" ht="19">
      <c r="A109">
        <v>72</v>
      </c>
      <c r="C109">
        <v>2103</v>
      </c>
      <c r="D109">
        <v>39</v>
      </c>
      <c r="E109" s="2" t="s">
        <v>782</v>
      </c>
      <c r="F109" t="s">
        <v>1036</v>
      </c>
      <c r="G109" t="s">
        <v>1079</v>
      </c>
      <c r="I109" t="s">
        <v>1903</v>
      </c>
      <c r="J109">
        <v>1927</v>
      </c>
      <c r="K109" s="9" t="s">
        <v>1904</v>
      </c>
      <c r="L109" s="5" t="s">
        <v>1080</v>
      </c>
      <c r="M109" s="8" t="s">
        <v>1080</v>
      </c>
      <c r="N109" t="s">
        <v>797</v>
      </c>
      <c r="O109" s="3">
        <v>9992</v>
      </c>
      <c r="P109" s="98">
        <v>39</v>
      </c>
      <c r="Q109" s="20" t="s">
        <v>1905</v>
      </c>
      <c r="R109" s="16">
        <v>22</v>
      </c>
      <c r="S109" s="17" t="s">
        <v>1891</v>
      </c>
      <c r="T109" s="23" t="s">
        <v>2814</v>
      </c>
      <c r="U109">
        <f t="shared" si="13"/>
        <v>3</v>
      </c>
      <c r="V109">
        <f t="shared" si="16"/>
        <v>2</v>
      </c>
      <c r="W109">
        <f t="shared" si="17"/>
        <v>3</v>
      </c>
      <c r="Y109">
        <v>0</v>
      </c>
      <c r="Z109">
        <v>0</v>
      </c>
      <c r="AC109">
        <v>72</v>
      </c>
      <c r="AG109" s="71" t="s">
        <v>129</v>
      </c>
      <c r="AH109" s="2" t="s">
        <v>130</v>
      </c>
      <c r="AI109" s="2" t="s">
        <v>131</v>
      </c>
      <c r="AJ109" s="2" t="s">
        <v>132</v>
      </c>
    </row>
    <row r="110" spans="1:93" ht="19">
      <c r="A110">
        <v>65</v>
      </c>
      <c r="C110">
        <v>2113</v>
      </c>
      <c r="D110">
        <v>40</v>
      </c>
      <c r="E110" s="2" t="s">
        <v>782</v>
      </c>
      <c r="F110" t="s">
        <v>929</v>
      </c>
      <c r="G110" t="s">
        <v>1081</v>
      </c>
      <c r="I110" t="s">
        <v>1881</v>
      </c>
      <c r="J110">
        <v>1921</v>
      </c>
      <c r="K110" s="9" t="s">
        <v>2192</v>
      </c>
      <c r="L110" s="5" t="s">
        <v>1082</v>
      </c>
      <c r="M110" s="8" t="s">
        <v>1082</v>
      </c>
      <c r="N110" t="s">
        <v>797</v>
      </c>
      <c r="O110" s="3">
        <v>7912</v>
      </c>
      <c r="P110" s="98">
        <v>40</v>
      </c>
      <c r="Q110" s="20" t="s">
        <v>2193</v>
      </c>
      <c r="R110" s="16">
        <v>23</v>
      </c>
      <c r="S110" s="17" t="s">
        <v>1902</v>
      </c>
      <c r="T110" s="23" t="s">
        <v>2814</v>
      </c>
      <c r="U110">
        <f t="shared" si="13"/>
        <v>3</v>
      </c>
      <c r="V110">
        <f t="shared" si="16"/>
        <v>2</v>
      </c>
      <c r="W110">
        <f t="shared" si="17"/>
        <v>3</v>
      </c>
      <c r="Y110">
        <v>1</v>
      </c>
      <c r="Z110">
        <v>1</v>
      </c>
      <c r="AA110" t="s">
        <v>802</v>
      </c>
      <c r="AC110">
        <v>47</v>
      </c>
      <c r="AG110" s="71" t="s">
        <v>133</v>
      </c>
      <c r="AH110" s="2" t="s">
        <v>134</v>
      </c>
      <c r="AI110" s="2" t="s">
        <v>135</v>
      </c>
      <c r="AJ110" s="2" t="s">
        <v>136</v>
      </c>
      <c r="AK110" s="2" t="s">
        <v>137</v>
      </c>
      <c r="AL110" s="2" t="s">
        <v>138</v>
      </c>
      <c r="AM110" s="2" t="s">
        <v>139</v>
      </c>
      <c r="AN110" s="2" t="s">
        <v>140</v>
      </c>
    </row>
    <row r="111" spans="1:93" ht="19">
      <c r="A111">
        <v>47</v>
      </c>
      <c r="C111">
        <v>2143</v>
      </c>
      <c r="D111">
        <v>42</v>
      </c>
      <c r="E111" s="2" t="s">
        <v>782</v>
      </c>
      <c r="F111" t="s">
        <v>1086</v>
      </c>
      <c r="G111" t="s">
        <v>1087</v>
      </c>
      <c r="I111" t="s">
        <v>1859</v>
      </c>
      <c r="J111">
        <v>1905</v>
      </c>
      <c r="K111" s="9" t="s">
        <v>1906</v>
      </c>
      <c r="L111" s="5" t="s">
        <v>1088</v>
      </c>
      <c r="M111" s="8" t="s">
        <v>1088</v>
      </c>
      <c r="N111" t="s">
        <v>1089</v>
      </c>
      <c r="O111" s="3">
        <v>2016</v>
      </c>
      <c r="P111" s="98">
        <v>42</v>
      </c>
      <c r="Q111" s="20" t="s">
        <v>1907</v>
      </c>
      <c r="R111" s="16">
        <v>23</v>
      </c>
      <c r="S111" s="17" t="s">
        <v>1891</v>
      </c>
      <c r="T111" s="23" t="s">
        <v>2814</v>
      </c>
      <c r="U111">
        <f t="shared" si="13"/>
        <v>3</v>
      </c>
      <c r="V111">
        <f t="shared" si="16"/>
        <v>2</v>
      </c>
      <c r="W111">
        <f t="shared" si="17"/>
        <v>3</v>
      </c>
      <c r="Y111" t="s">
        <v>2194</v>
      </c>
      <c r="Z111" t="s">
        <v>2479</v>
      </c>
      <c r="AC111">
        <v>77</v>
      </c>
      <c r="AG111" s="71"/>
      <c r="AH111" s="2"/>
      <c r="AI111" s="2"/>
      <c r="AJ111" s="2"/>
    </row>
    <row r="112" spans="1:93" ht="19">
      <c r="D112">
        <f>D111</f>
        <v>42</v>
      </c>
      <c r="E112" s="2" t="s">
        <v>2195</v>
      </c>
      <c r="F112" t="s">
        <v>2196</v>
      </c>
      <c r="G112" t="s">
        <v>830</v>
      </c>
      <c r="K112" s="9"/>
      <c r="L112" s="5"/>
      <c r="M112" s="8" t="s">
        <v>2197</v>
      </c>
      <c r="N112" s="3">
        <v>8333</v>
      </c>
      <c r="O112" s="3"/>
      <c r="P112" s="98" t="s">
        <v>2413</v>
      </c>
      <c r="Q112" s="20"/>
      <c r="R112" s="16">
        <v>42</v>
      </c>
      <c r="S112" s="17"/>
      <c r="T112" s="23"/>
      <c r="U112">
        <f t="shared" si="13"/>
        <v>4</v>
      </c>
      <c r="V112">
        <f t="shared" si="16"/>
        <v>3</v>
      </c>
      <c r="W112">
        <f t="shared" si="17"/>
        <v>3</v>
      </c>
      <c r="Y112" t="s">
        <v>2198</v>
      </c>
      <c r="Z112" t="s">
        <v>2480</v>
      </c>
      <c r="AG112" s="71"/>
      <c r="AH112" s="2"/>
      <c r="AI112" s="2"/>
      <c r="AJ112" s="2"/>
    </row>
    <row r="113" spans="1:40" ht="19">
      <c r="A113">
        <v>77</v>
      </c>
      <c r="C113">
        <v>2161</v>
      </c>
      <c r="D113">
        <v>43</v>
      </c>
      <c r="E113" s="2" t="s">
        <v>782</v>
      </c>
      <c r="F113" t="s">
        <v>882</v>
      </c>
      <c r="G113" t="s">
        <v>1090</v>
      </c>
      <c r="I113" t="s">
        <v>1908</v>
      </c>
      <c r="J113">
        <v>1936</v>
      </c>
      <c r="K113" s="9" t="s">
        <v>1909</v>
      </c>
      <c r="L113" s="5" t="s">
        <v>1091</v>
      </c>
      <c r="M113" s="8" t="s">
        <v>1091</v>
      </c>
      <c r="N113" t="s">
        <v>797</v>
      </c>
      <c r="O113" s="3">
        <v>13330</v>
      </c>
      <c r="P113" s="98">
        <v>43</v>
      </c>
      <c r="Q113" s="20" t="s">
        <v>1910</v>
      </c>
      <c r="R113" s="16">
        <v>22</v>
      </c>
      <c r="S113" s="17" t="s">
        <v>1891</v>
      </c>
      <c r="T113" s="23" t="s">
        <v>2814</v>
      </c>
      <c r="U113">
        <f t="shared" si="13"/>
        <v>3</v>
      </c>
      <c r="V113">
        <f t="shared" si="16"/>
        <v>2</v>
      </c>
      <c r="W113">
        <f t="shared" si="17"/>
        <v>3</v>
      </c>
      <c r="Y113">
        <v>1</v>
      </c>
      <c r="Z113">
        <v>1</v>
      </c>
      <c r="AA113" t="s">
        <v>802</v>
      </c>
      <c r="AC113">
        <v>76</v>
      </c>
    </row>
    <row r="114" spans="1:40" ht="19">
      <c r="A114">
        <v>76</v>
      </c>
      <c r="C114">
        <v>2243</v>
      </c>
      <c r="D114">
        <v>47</v>
      </c>
      <c r="E114" s="2" t="s">
        <v>782</v>
      </c>
      <c r="F114" t="s">
        <v>903</v>
      </c>
      <c r="G114" t="s">
        <v>812</v>
      </c>
      <c r="I114" t="s">
        <v>1911</v>
      </c>
      <c r="J114">
        <v>1940</v>
      </c>
      <c r="K114" s="9" t="s">
        <v>1912</v>
      </c>
      <c r="L114" s="5" t="s">
        <v>1099</v>
      </c>
      <c r="M114" s="8" t="s">
        <v>1099</v>
      </c>
      <c r="N114" t="s">
        <v>1100</v>
      </c>
      <c r="O114" s="3">
        <v>14948</v>
      </c>
      <c r="P114" s="98">
        <v>47</v>
      </c>
      <c r="Q114" s="20" t="s">
        <v>1913</v>
      </c>
      <c r="R114" s="16">
        <v>22</v>
      </c>
      <c r="S114" s="17" t="s">
        <v>1902</v>
      </c>
      <c r="T114" s="23" t="s">
        <v>2814</v>
      </c>
      <c r="U114">
        <f t="shared" si="13"/>
        <v>3</v>
      </c>
      <c r="V114">
        <f t="shared" ref="V114:V178" si="18">LEN(P114)</f>
        <v>2</v>
      </c>
      <c r="W114">
        <f t="shared" si="17"/>
        <v>3</v>
      </c>
      <c r="Y114" t="s">
        <v>2199</v>
      </c>
      <c r="Z114">
        <v>1</v>
      </c>
      <c r="AC114">
        <v>73</v>
      </c>
      <c r="AG114" s="71"/>
      <c r="AH114" s="2"/>
      <c r="AI114" s="2" t="s">
        <v>141</v>
      </c>
    </row>
    <row r="115" spans="1:40" ht="19">
      <c r="B115" t="s">
        <v>1497</v>
      </c>
      <c r="D115">
        <f>D114</f>
        <v>47</v>
      </c>
      <c r="E115" s="2" t="s">
        <v>2200</v>
      </c>
      <c r="F115" t="s">
        <v>1063</v>
      </c>
      <c r="G115" t="s">
        <v>811</v>
      </c>
      <c r="H115" t="s">
        <v>1497</v>
      </c>
      <c r="K115" s="9"/>
      <c r="M115" s="5" t="s">
        <v>2201</v>
      </c>
      <c r="N115" s="8">
        <v>7824</v>
      </c>
      <c r="O115" s="3">
        <v>20111</v>
      </c>
      <c r="P115" s="98" t="s">
        <v>2202</v>
      </c>
      <c r="Q115" s="20"/>
      <c r="R115" s="21" t="str">
        <f t="shared" ref="R115:R130" si="19">MID(P115,1,LEN(P115)-1)</f>
        <v>47</v>
      </c>
      <c r="S115" s="17"/>
      <c r="T115" s="23" t="s">
        <v>2815</v>
      </c>
      <c r="U115">
        <f t="shared" si="13"/>
        <v>4</v>
      </c>
      <c r="V115">
        <f t="shared" si="18"/>
        <v>3</v>
      </c>
      <c r="W115">
        <f t="shared" si="17"/>
        <v>3</v>
      </c>
      <c r="Y115" t="s">
        <v>2203</v>
      </c>
      <c r="Z115" t="s">
        <v>2481</v>
      </c>
      <c r="AG115" s="71" t="s">
        <v>2482</v>
      </c>
      <c r="AH115" s="2"/>
      <c r="AI115" s="2"/>
      <c r="AJ115" s="2"/>
      <c r="AK115" s="2"/>
      <c r="AL115" s="2"/>
    </row>
    <row r="116" spans="1:40" ht="19">
      <c r="B116" t="s">
        <v>842</v>
      </c>
      <c r="D116">
        <f t="shared" ref="D116:D132" si="20">D115</f>
        <v>47</v>
      </c>
      <c r="E116" s="2" t="s">
        <v>2200</v>
      </c>
      <c r="F116" t="s">
        <v>811</v>
      </c>
      <c r="G116" t="s">
        <v>842</v>
      </c>
      <c r="H116" t="s">
        <v>2204</v>
      </c>
      <c r="K116" s="9"/>
      <c r="L116" s="5"/>
      <c r="M116" s="8">
        <v>8487</v>
      </c>
      <c r="N116" s="3">
        <v>18485</v>
      </c>
      <c r="O116" s="3"/>
      <c r="P116" s="98" t="s">
        <v>2207</v>
      </c>
      <c r="Q116" s="20"/>
      <c r="R116" s="21" t="str">
        <f t="shared" si="19"/>
        <v>47a</v>
      </c>
      <c r="S116" s="17"/>
      <c r="T116" s="23" t="s">
        <v>2815</v>
      </c>
      <c r="U116">
        <f t="shared" si="13"/>
        <v>5</v>
      </c>
      <c r="V116">
        <f t="shared" si="18"/>
        <v>4</v>
      </c>
      <c r="W116">
        <f t="shared" si="17"/>
        <v>3</v>
      </c>
      <c r="Y116" t="s">
        <v>2206</v>
      </c>
      <c r="Z116" t="s">
        <v>2483</v>
      </c>
      <c r="AG116" s="71" t="s">
        <v>2484</v>
      </c>
      <c r="AH116" s="71"/>
      <c r="AI116" s="71"/>
      <c r="AJ116" s="71"/>
      <c r="AK116" s="2"/>
      <c r="AL116" s="2"/>
      <c r="AM116" s="2"/>
    </row>
    <row r="117" spans="1:40" ht="19">
      <c r="D117">
        <f t="shared" si="20"/>
        <v>47</v>
      </c>
      <c r="E117" s="2" t="s">
        <v>2200</v>
      </c>
      <c r="F117" t="s">
        <v>870</v>
      </c>
      <c r="G117" t="s">
        <v>884</v>
      </c>
      <c r="K117" s="9"/>
      <c r="L117" s="5"/>
      <c r="M117" s="8">
        <v>18846</v>
      </c>
      <c r="N117" s="3">
        <v>27901</v>
      </c>
      <c r="O117" s="3"/>
      <c r="P117" s="98" t="s">
        <v>2208</v>
      </c>
      <c r="Q117" s="20"/>
      <c r="R117" s="21" t="str">
        <f t="shared" si="19"/>
        <v>47aa</v>
      </c>
      <c r="S117" s="17"/>
      <c r="T117" s="23" t="s">
        <v>2814</v>
      </c>
      <c r="U117">
        <f t="shared" si="13"/>
        <v>6</v>
      </c>
      <c r="V117">
        <f t="shared" si="18"/>
        <v>5</v>
      </c>
      <c r="W117">
        <f t="shared" si="17"/>
        <v>3</v>
      </c>
      <c r="Y117" t="s">
        <v>2209</v>
      </c>
      <c r="Z117" t="s">
        <v>2486</v>
      </c>
      <c r="AG117" s="71" t="s">
        <v>2485</v>
      </c>
      <c r="AI117" s="71"/>
      <c r="AJ117" s="71"/>
    </row>
    <row r="118" spans="1:40" ht="19">
      <c r="D118">
        <f t="shared" si="20"/>
        <v>47</v>
      </c>
      <c r="E118" s="2" t="s">
        <v>2210</v>
      </c>
      <c r="F118" t="s">
        <v>2211</v>
      </c>
      <c r="G118" t="s">
        <v>870</v>
      </c>
      <c r="K118" s="9"/>
      <c r="L118" s="5"/>
      <c r="M118" s="8">
        <v>28324</v>
      </c>
      <c r="N118" s="3"/>
      <c r="O118" s="3"/>
      <c r="P118" s="98" t="s">
        <v>2212</v>
      </c>
      <c r="Q118" s="20"/>
      <c r="R118" s="21" t="str">
        <f t="shared" si="19"/>
        <v>47aaa</v>
      </c>
      <c r="S118" s="17"/>
      <c r="T118" s="23" t="s">
        <v>2814</v>
      </c>
      <c r="U118">
        <f t="shared" si="13"/>
        <v>7</v>
      </c>
      <c r="V118">
        <f t="shared" si="18"/>
        <v>6</v>
      </c>
      <c r="W118">
        <f t="shared" si="17"/>
        <v>3</v>
      </c>
      <c r="AG118" s="71" t="s">
        <v>2487</v>
      </c>
      <c r="AH118" s="71"/>
      <c r="AI118" s="71"/>
    </row>
    <row r="119" spans="1:40" ht="19">
      <c r="D119">
        <f t="shared" si="20"/>
        <v>47</v>
      </c>
      <c r="E119" s="2" t="s">
        <v>2210</v>
      </c>
      <c r="F119" t="s">
        <v>2213</v>
      </c>
      <c r="G119" t="s">
        <v>1988</v>
      </c>
      <c r="K119" s="9"/>
      <c r="L119" s="5"/>
      <c r="M119" s="8">
        <v>29435</v>
      </c>
      <c r="N119" s="3"/>
      <c r="O119" s="3"/>
      <c r="P119" s="98" t="s">
        <v>2214</v>
      </c>
      <c r="Q119" s="20"/>
      <c r="R119" s="21" t="str">
        <f t="shared" si="19"/>
        <v>47aaa</v>
      </c>
      <c r="S119" s="17"/>
      <c r="T119" s="23" t="s">
        <v>2814</v>
      </c>
      <c r="U119">
        <f t="shared" si="13"/>
        <v>7</v>
      </c>
      <c r="V119">
        <f t="shared" si="18"/>
        <v>6</v>
      </c>
      <c r="W119">
        <f t="shared" si="17"/>
        <v>3</v>
      </c>
      <c r="AG119" s="71" t="s">
        <v>2488</v>
      </c>
      <c r="AH119" s="71"/>
      <c r="AI119" s="2"/>
    </row>
    <row r="120" spans="1:40" ht="19">
      <c r="B120" t="s">
        <v>891</v>
      </c>
      <c r="D120">
        <f t="shared" si="20"/>
        <v>47</v>
      </c>
      <c r="E120" s="2" t="s">
        <v>2200</v>
      </c>
      <c r="F120" t="s">
        <v>842</v>
      </c>
      <c r="G120" t="s">
        <v>891</v>
      </c>
      <c r="K120" s="9"/>
      <c r="L120" s="5"/>
      <c r="M120" s="8">
        <v>19386</v>
      </c>
      <c r="N120" s="3">
        <v>29365</v>
      </c>
      <c r="O120" s="3"/>
      <c r="P120" s="98" t="s">
        <v>2215</v>
      </c>
      <c r="Q120" s="20"/>
      <c r="R120" s="21" t="str">
        <f t="shared" si="19"/>
        <v>47aa</v>
      </c>
      <c r="S120" s="17"/>
      <c r="T120" s="23" t="s">
        <v>2815</v>
      </c>
      <c r="U120">
        <f t="shared" si="13"/>
        <v>6</v>
      </c>
      <c r="V120">
        <f t="shared" si="18"/>
        <v>5</v>
      </c>
      <c r="W120">
        <f t="shared" si="17"/>
        <v>3</v>
      </c>
      <c r="Y120" t="s">
        <v>2216</v>
      </c>
      <c r="Z120" t="s">
        <v>2490</v>
      </c>
      <c r="AG120" s="71" t="s">
        <v>2489</v>
      </c>
      <c r="AH120" s="2"/>
      <c r="AI120" s="2"/>
      <c r="AJ120" s="2"/>
      <c r="AK120" s="2"/>
      <c r="AL120" s="2"/>
      <c r="AM120" s="2"/>
    </row>
    <row r="121" spans="1:40" ht="19">
      <c r="D121">
        <f t="shared" si="20"/>
        <v>47</v>
      </c>
      <c r="E121" s="2" t="s">
        <v>2200</v>
      </c>
      <c r="F121" t="s">
        <v>2217</v>
      </c>
      <c r="G121" s="99" t="s">
        <v>1822</v>
      </c>
      <c r="H121" t="s">
        <v>952</v>
      </c>
      <c r="K121" s="9"/>
      <c r="L121" s="5"/>
      <c r="M121" s="8">
        <v>28926</v>
      </c>
      <c r="N121" s="3" t="s">
        <v>2218</v>
      </c>
      <c r="O121" s="3"/>
      <c r="P121" s="98" t="s">
        <v>2414</v>
      </c>
      <c r="Q121" s="20"/>
      <c r="R121" s="21" t="str">
        <f t="shared" si="19"/>
        <v>47aab</v>
      </c>
      <c r="S121" s="17"/>
      <c r="T121" s="23" t="s">
        <v>2814</v>
      </c>
      <c r="U121">
        <f t="shared" si="13"/>
        <v>7</v>
      </c>
      <c r="V121">
        <f t="shared" si="18"/>
        <v>6</v>
      </c>
      <c r="W121">
        <f t="shared" si="17"/>
        <v>3</v>
      </c>
      <c r="Y121" t="s">
        <v>2219</v>
      </c>
      <c r="AG121" s="71" t="s">
        <v>2491</v>
      </c>
      <c r="AH121" s="2"/>
      <c r="AI121" s="2"/>
    </row>
    <row r="122" spans="1:40" ht="19">
      <c r="D122">
        <f t="shared" si="20"/>
        <v>47</v>
      </c>
      <c r="E122" s="2" t="s">
        <v>2200</v>
      </c>
      <c r="F122" t="s">
        <v>2220</v>
      </c>
      <c r="G122" t="s">
        <v>884</v>
      </c>
      <c r="H122" t="s">
        <v>927</v>
      </c>
      <c r="K122" s="9"/>
      <c r="L122" s="5"/>
      <c r="M122" s="8">
        <v>29452</v>
      </c>
      <c r="N122" s="3"/>
      <c r="O122" s="3"/>
      <c r="P122" s="98" t="s">
        <v>2222</v>
      </c>
      <c r="Q122" s="20"/>
      <c r="R122" s="21" t="str">
        <f t="shared" si="19"/>
        <v>47aab</v>
      </c>
      <c r="S122" s="17"/>
      <c r="T122" s="23" t="s">
        <v>2814</v>
      </c>
      <c r="U122">
        <f t="shared" si="13"/>
        <v>7</v>
      </c>
      <c r="V122">
        <f t="shared" si="18"/>
        <v>6</v>
      </c>
      <c r="W122">
        <f t="shared" si="17"/>
        <v>3</v>
      </c>
      <c r="AG122" s="71"/>
      <c r="AH122" s="2"/>
      <c r="AI122" s="2"/>
    </row>
    <row r="123" spans="1:40" ht="19">
      <c r="D123">
        <f t="shared" si="20"/>
        <v>47</v>
      </c>
      <c r="E123" s="2" t="s">
        <v>2200</v>
      </c>
      <c r="F123" t="s">
        <v>905</v>
      </c>
      <c r="G123" t="s">
        <v>902</v>
      </c>
      <c r="H123" t="s">
        <v>2221</v>
      </c>
      <c r="K123" s="9"/>
      <c r="L123" s="5"/>
      <c r="M123" s="8">
        <v>30250</v>
      </c>
      <c r="N123" s="3"/>
      <c r="O123" s="3"/>
      <c r="P123" s="98" t="s">
        <v>2223</v>
      </c>
      <c r="Q123" s="20"/>
      <c r="R123" s="21" t="str">
        <f t="shared" si="19"/>
        <v>47aab</v>
      </c>
      <c r="S123" s="17"/>
      <c r="T123" s="23" t="s">
        <v>2815</v>
      </c>
      <c r="U123">
        <f t="shared" si="13"/>
        <v>7</v>
      </c>
      <c r="V123">
        <f t="shared" si="18"/>
        <v>6</v>
      </c>
      <c r="W123">
        <f t="shared" si="17"/>
        <v>3</v>
      </c>
      <c r="AG123" s="71"/>
      <c r="AH123" s="2"/>
      <c r="AI123" s="2"/>
      <c r="AJ123" s="2"/>
    </row>
    <row r="124" spans="1:40" ht="19">
      <c r="B124" t="s">
        <v>905</v>
      </c>
      <c r="D124">
        <f t="shared" si="20"/>
        <v>47</v>
      </c>
      <c r="E124" s="2" t="s">
        <v>2200</v>
      </c>
      <c r="F124" t="s">
        <v>931</v>
      </c>
      <c r="G124" t="s">
        <v>905</v>
      </c>
      <c r="K124" s="9"/>
      <c r="L124" s="5"/>
      <c r="M124" s="8">
        <v>19882</v>
      </c>
      <c r="N124" s="3">
        <v>29799</v>
      </c>
      <c r="O124" s="3"/>
      <c r="P124" s="98" t="s">
        <v>2224</v>
      </c>
      <c r="Q124" s="20"/>
      <c r="R124" s="21" t="str">
        <f t="shared" si="19"/>
        <v>47aa</v>
      </c>
      <c r="S124" s="17"/>
      <c r="T124" s="23" t="s">
        <v>2815</v>
      </c>
      <c r="U124">
        <f t="shared" si="13"/>
        <v>6</v>
      </c>
      <c r="V124">
        <f t="shared" si="18"/>
        <v>5</v>
      </c>
      <c r="W124">
        <f t="shared" si="17"/>
        <v>3</v>
      </c>
      <c r="Y124" t="s">
        <v>2493</v>
      </c>
      <c r="Z124" t="s">
        <v>2494</v>
      </c>
      <c r="AG124" s="71" t="s">
        <v>2492</v>
      </c>
    </row>
    <row r="125" spans="1:40" ht="19">
      <c r="D125">
        <f t="shared" si="20"/>
        <v>47</v>
      </c>
      <c r="E125" s="2" t="s">
        <v>2200</v>
      </c>
      <c r="F125" t="s">
        <v>2225</v>
      </c>
      <c r="G125" t="s">
        <v>2204</v>
      </c>
      <c r="K125" s="9"/>
      <c r="L125" s="5"/>
      <c r="M125" s="8">
        <v>19882</v>
      </c>
      <c r="N125" s="3">
        <v>18361</v>
      </c>
      <c r="O125" s="3"/>
      <c r="P125" s="98" t="s">
        <v>2226</v>
      </c>
      <c r="Q125" s="20"/>
      <c r="R125" s="21" t="str">
        <f t="shared" si="19"/>
        <v>47a</v>
      </c>
      <c r="S125" s="17"/>
      <c r="T125" s="23" t="s">
        <v>2814</v>
      </c>
      <c r="U125">
        <f t="shared" si="13"/>
        <v>5</v>
      </c>
      <c r="V125">
        <f t="shared" si="18"/>
        <v>4</v>
      </c>
      <c r="W125">
        <f t="shared" si="17"/>
        <v>3</v>
      </c>
      <c r="Y125" t="s">
        <v>2227</v>
      </c>
      <c r="Z125" s="103" t="s">
        <v>2495</v>
      </c>
      <c r="AG125" s="71" t="s">
        <v>2496</v>
      </c>
      <c r="AH125" s="2"/>
      <c r="AJ125" s="2"/>
      <c r="AK125" s="2"/>
      <c r="AL125" s="2"/>
      <c r="AM125" s="2"/>
      <c r="AN125" s="2"/>
    </row>
    <row r="126" spans="1:40" ht="19">
      <c r="D126">
        <f t="shared" si="20"/>
        <v>47</v>
      </c>
      <c r="E126" s="2" t="s">
        <v>2228</v>
      </c>
      <c r="F126" t="s">
        <v>851</v>
      </c>
      <c r="G126" t="s">
        <v>866</v>
      </c>
      <c r="K126" s="9"/>
      <c r="L126" s="5"/>
      <c r="M126" s="8">
        <v>18775</v>
      </c>
      <c r="N126" s="3">
        <v>35096</v>
      </c>
      <c r="O126" s="3"/>
      <c r="P126" s="98" t="s">
        <v>2230</v>
      </c>
      <c r="Q126" s="20"/>
      <c r="R126" s="21" t="str">
        <f t="shared" si="19"/>
        <v>47ab</v>
      </c>
      <c r="S126" s="17"/>
      <c r="T126" s="23" t="s">
        <v>2815</v>
      </c>
      <c r="U126">
        <f t="shared" si="13"/>
        <v>6</v>
      </c>
      <c r="V126">
        <f t="shared" si="18"/>
        <v>5</v>
      </c>
      <c r="W126">
        <f t="shared" si="17"/>
        <v>3</v>
      </c>
      <c r="Y126" t="s">
        <v>2229</v>
      </c>
      <c r="Z126" t="s">
        <v>2498</v>
      </c>
      <c r="AG126" s="71" t="s">
        <v>2497</v>
      </c>
      <c r="AH126" s="2"/>
      <c r="AI126" s="71"/>
      <c r="AJ126" s="2"/>
      <c r="AK126" s="2"/>
    </row>
    <row r="127" spans="1:40" ht="19">
      <c r="D127">
        <f t="shared" si="20"/>
        <v>47</v>
      </c>
      <c r="E127" s="2" t="s">
        <v>2228</v>
      </c>
      <c r="F127" t="s">
        <v>2231</v>
      </c>
      <c r="G127" t="s">
        <v>1036</v>
      </c>
      <c r="K127" s="9"/>
      <c r="L127" s="5"/>
      <c r="M127" s="8">
        <v>19560</v>
      </c>
      <c r="N127" s="3">
        <v>29666</v>
      </c>
      <c r="O127" s="3"/>
      <c r="P127" s="98" t="s">
        <v>2232</v>
      </c>
      <c r="Q127" s="20"/>
      <c r="R127" s="21" t="str">
        <f t="shared" si="19"/>
        <v>47ab</v>
      </c>
      <c r="S127" s="17"/>
      <c r="T127" s="23" t="s">
        <v>2814</v>
      </c>
      <c r="U127">
        <f t="shared" si="13"/>
        <v>6</v>
      </c>
      <c r="V127">
        <f t="shared" si="18"/>
        <v>5</v>
      </c>
      <c r="W127">
        <f t="shared" si="17"/>
        <v>3</v>
      </c>
      <c r="Y127" t="s">
        <v>2233</v>
      </c>
      <c r="Z127" t="s">
        <v>2500</v>
      </c>
      <c r="AG127" s="71" t="s">
        <v>2499</v>
      </c>
      <c r="AH127" s="2"/>
      <c r="AK127" s="2"/>
      <c r="AL127" s="2"/>
      <c r="AM127" s="2"/>
    </row>
    <row r="128" spans="1:40" ht="19">
      <c r="D128">
        <f t="shared" si="20"/>
        <v>47</v>
      </c>
      <c r="E128" s="2" t="s">
        <v>2228</v>
      </c>
      <c r="F128" t="s">
        <v>917</v>
      </c>
      <c r="G128" t="s">
        <v>1497</v>
      </c>
      <c r="K128" s="9"/>
      <c r="L128" s="5"/>
      <c r="M128" s="8">
        <v>21117</v>
      </c>
      <c r="N128" s="3">
        <v>31765</v>
      </c>
      <c r="O128" s="3"/>
      <c r="P128" s="98" t="s">
        <v>2234</v>
      </c>
      <c r="Q128" s="20"/>
      <c r="R128" s="21" t="str">
        <f t="shared" si="19"/>
        <v>47ab</v>
      </c>
      <c r="S128" s="17"/>
      <c r="T128" s="23" t="s">
        <v>2815</v>
      </c>
      <c r="U128">
        <f t="shared" si="13"/>
        <v>6</v>
      </c>
      <c r="V128">
        <f t="shared" si="18"/>
        <v>5</v>
      </c>
      <c r="W128">
        <f t="shared" si="17"/>
        <v>3</v>
      </c>
      <c r="Y128" t="s">
        <v>2235</v>
      </c>
      <c r="Z128" t="s">
        <v>2502</v>
      </c>
      <c r="AG128" s="71" t="s">
        <v>2501</v>
      </c>
      <c r="AI128" s="2"/>
      <c r="AJ128" s="2"/>
      <c r="AN128" s="2"/>
    </row>
    <row r="129" spans="1:44" ht="20" customHeight="1">
      <c r="D129">
        <f t="shared" si="20"/>
        <v>47</v>
      </c>
      <c r="E129" s="2" t="s">
        <v>2228</v>
      </c>
      <c r="F129" t="s">
        <v>891</v>
      </c>
      <c r="G129" t="s">
        <v>2236</v>
      </c>
      <c r="H129" t="s">
        <v>2237</v>
      </c>
      <c r="K129" s="9"/>
      <c r="L129" s="5"/>
      <c r="M129" s="8">
        <v>32053</v>
      </c>
      <c r="N129" s="3"/>
      <c r="O129" s="3"/>
      <c r="P129" s="98" t="s">
        <v>2238</v>
      </c>
      <c r="Q129" s="20"/>
      <c r="R129" s="21" t="str">
        <f t="shared" si="19"/>
        <v>47abc</v>
      </c>
      <c r="S129" s="17"/>
      <c r="T129" s="23" t="s">
        <v>2815</v>
      </c>
      <c r="U129">
        <f t="shared" si="13"/>
        <v>7</v>
      </c>
      <c r="V129">
        <f t="shared" si="18"/>
        <v>6</v>
      </c>
      <c r="W129">
        <f t="shared" si="17"/>
        <v>3</v>
      </c>
      <c r="AG129" s="71" t="s">
        <v>2503</v>
      </c>
      <c r="AH129" s="71" t="s">
        <v>142</v>
      </c>
      <c r="AI129" s="71"/>
      <c r="AJ129" s="71" t="s">
        <v>143</v>
      </c>
      <c r="AK129" s="71"/>
      <c r="AL129" s="71"/>
      <c r="AM129" s="71"/>
      <c r="AN129" s="2"/>
    </row>
    <row r="130" spans="1:44" ht="20" customHeight="1">
      <c r="D130">
        <f t="shared" si="20"/>
        <v>47</v>
      </c>
      <c r="E130" s="2" t="s">
        <v>2200</v>
      </c>
      <c r="F130" t="s">
        <v>2504</v>
      </c>
      <c r="G130" t="s">
        <v>931</v>
      </c>
      <c r="H130" t="s">
        <v>1497</v>
      </c>
      <c r="K130" s="9"/>
      <c r="L130" s="5"/>
      <c r="M130" s="8" t="s">
        <v>2505</v>
      </c>
      <c r="N130" s="3">
        <v>14626</v>
      </c>
      <c r="O130" s="3">
        <v>26646</v>
      </c>
      <c r="P130" s="98" t="s">
        <v>2506</v>
      </c>
      <c r="Q130" s="20"/>
      <c r="R130" s="21" t="str">
        <f t="shared" si="19"/>
        <v>47</v>
      </c>
      <c r="S130" s="17"/>
      <c r="T130" s="23" t="s">
        <v>2815</v>
      </c>
      <c r="U130">
        <f t="shared" si="13"/>
        <v>4</v>
      </c>
      <c r="V130">
        <f t="shared" si="18"/>
        <v>3</v>
      </c>
      <c r="W130">
        <f t="shared" si="17"/>
        <v>3</v>
      </c>
      <c r="Y130" t="s">
        <v>2509</v>
      </c>
      <c r="Z130" t="s">
        <v>2508</v>
      </c>
      <c r="AG130" s="71" t="s">
        <v>2507</v>
      </c>
      <c r="AH130" s="71"/>
      <c r="AI130" s="71"/>
      <c r="AJ130" s="71"/>
      <c r="AK130" s="71"/>
      <c r="AL130" s="71"/>
      <c r="AM130" s="71"/>
      <c r="AN130" s="2"/>
    </row>
    <row r="131" spans="1:44" ht="19">
      <c r="A131">
        <v>73</v>
      </c>
      <c r="C131">
        <v>2383</v>
      </c>
      <c r="D131">
        <v>48</v>
      </c>
      <c r="E131" s="2" t="s">
        <v>782</v>
      </c>
      <c r="F131" t="s">
        <v>903</v>
      </c>
      <c r="G131" t="s">
        <v>1101</v>
      </c>
      <c r="I131" t="s">
        <v>1914</v>
      </c>
      <c r="J131">
        <v>1938</v>
      </c>
      <c r="K131" s="9" t="s">
        <v>1915</v>
      </c>
      <c r="L131" s="5" t="s">
        <v>1102</v>
      </c>
      <c r="M131" s="8" t="s">
        <v>1102</v>
      </c>
      <c r="N131" s="3">
        <v>557</v>
      </c>
      <c r="O131" s="3">
        <v>13932</v>
      </c>
      <c r="P131" s="98">
        <v>48</v>
      </c>
      <c r="Q131" s="20" t="s">
        <v>1916</v>
      </c>
      <c r="R131" s="16">
        <v>23</v>
      </c>
      <c r="S131" s="17" t="s">
        <v>1902</v>
      </c>
      <c r="T131" s="24" t="s">
        <v>2814</v>
      </c>
      <c r="U131">
        <f t="shared" si="13"/>
        <v>3</v>
      </c>
      <c r="V131">
        <f t="shared" si="18"/>
        <v>2</v>
      </c>
      <c r="W131">
        <f t="shared" ref="W131:W162" si="21">VLOOKUP(D131,Generation,2,FALSE)</f>
        <v>3</v>
      </c>
      <c r="Y131" t="s">
        <v>2239</v>
      </c>
      <c r="Z131">
        <v>0</v>
      </c>
      <c r="AC131">
        <v>0</v>
      </c>
      <c r="AG131" s="71" t="s">
        <v>152</v>
      </c>
      <c r="AH131" s="2" t="s">
        <v>153</v>
      </c>
      <c r="AI131" s="2" t="s">
        <v>154</v>
      </c>
      <c r="AK131" s="71" t="s">
        <v>144</v>
      </c>
      <c r="AL131" s="2" t="s">
        <v>145</v>
      </c>
      <c r="AM131" s="2" t="s">
        <v>146</v>
      </c>
      <c r="AN131" s="2" t="s">
        <v>147</v>
      </c>
      <c r="AO131" s="2" t="s">
        <v>148</v>
      </c>
      <c r="AP131" s="2" t="s">
        <v>149</v>
      </c>
      <c r="AQ131" s="2" t="s">
        <v>150</v>
      </c>
      <c r="AR131" s="2" t="s">
        <v>151</v>
      </c>
    </row>
    <row r="132" spans="1:44" ht="19">
      <c r="B132" t="s">
        <v>2242</v>
      </c>
      <c r="D132">
        <f t="shared" si="20"/>
        <v>48</v>
      </c>
      <c r="E132" s="2" t="s">
        <v>2240</v>
      </c>
      <c r="F132" t="s">
        <v>2241</v>
      </c>
      <c r="G132" t="s">
        <v>2242</v>
      </c>
      <c r="K132" s="9"/>
      <c r="L132" s="5"/>
      <c r="M132" s="8">
        <v>1628</v>
      </c>
      <c r="N132" s="3" t="s">
        <v>797</v>
      </c>
      <c r="O132" s="3">
        <v>30447</v>
      </c>
      <c r="P132" s="98" t="s">
        <v>2243</v>
      </c>
      <c r="Q132" s="20"/>
      <c r="R132" s="16"/>
      <c r="S132" s="17"/>
      <c r="T132" s="24" t="s">
        <v>2814</v>
      </c>
      <c r="U132">
        <f t="shared" ref="U132:U184" si="22">IF(D132&lt;10,W132+V132-1,IF(D132&gt;=10,W132+V132-2))</f>
        <v>4</v>
      </c>
      <c r="V132">
        <f t="shared" si="18"/>
        <v>3</v>
      </c>
      <c r="W132">
        <f t="shared" si="21"/>
        <v>3</v>
      </c>
      <c r="AG132" s="71"/>
      <c r="AH132" s="2"/>
      <c r="AI132" s="2"/>
    </row>
    <row r="133" spans="1:44" ht="19">
      <c r="A133">
        <v>0</v>
      </c>
      <c r="C133">
        <v>2401</v>
      </c>
      <c r="D133">
        <v>49</v>
      </c>
      <c r="E133" s="2" t="s">
        <v>782</v>
      </c>
      <c r="F133" t="s">
        <v>870</v>
      </c>
      <c r="G133" t="s">
        <v>1103</v>
      </c>
      <c r="I133" t="s">
        <v>1917</v>
      </c>
      <c r="J133" t="s">
        <v>1917</v>
      </c>
      <c r="K133" s="9" t="s">
        <v>1918</v>
      </c>
      <c r="L133" s="5" t="s">
        <v>1104</v>
      </c>
      <c r="M133" s="8" t="s">
        <v>1104</v>
      </c>
      <c r="N133" t="s">
        <v>797</v>
      </c>
      <c r="O133" s="8" t="s">
        <v>1104</v>
      </c>
      <c r="P133" s="98">
        <v>49</v>
      </c>
      <c r="Q133" s="20" t="s">
        <v>1919</v>
      </c>
      <c r="R133" s="16">
        <v>23</v>
      </c>
      <c r="S133" s="17" t="s">
        <v>1923</v>
      </c>
      <c r="T133" s="23" t="s">
        <v>2814</v>
      </c>
      <c r="U133">
        <f t="shared" si="22"/>
        <v>3</v>
      </c>
      <c r="V133">
        <f t="shared" si="18"/>
        <v>2</v>
      </c>
      <c r="W133">
        <f t="shared" si="21"/>
        <v>3</v>
      </c>
      <c r="Y133">
        <v>0</v>
      </c>
      <c r="Z133">
        <v>0</v>
      </c>
      <c r="AC133">
        <v>77</v>
      </c>
      <c r="AG133" s="71" t="s">
        <v>155</v>
      </c>
      <c r="AH133" s="2" t="s">
        <v>156</v>
      </c>
      <c r="AI133" s="2" t="s">
        <v>157</v>
      </c>
      <c r="AJ133" s="2" t="s">
        <v>158</v>
      </c>
    </row>
    <row r="134" spans="1:44" ht="19">
      <c r="A134">
        <v>77</v>
      </c>
      <c r="C134">
        <v>2573</v>
      </c>
      <c r="D134">
        <v>59</v>
      </c>
      <c r="E134" s="2" t="s">
        <v>782</v>
      </c>
      <c r="F134" t="s">
        <v>904</v>
      </c>
      <c r="G134" t="s">
        <v>998</v>
      </c>
      <c r="I134" t="s">
        <v>1920</v>
      </c>
      <c r="J134">
        <v>1962</v>
      </c>
      <c r="K134" s="9" t="s">
        <v>1921</v>
      </c>
      <c r="L134" s="5" t="s">
        <v>1121</v>
      </c>
      <c r="M134" s="8" t="s">
        <v>1121</v>
      </c>
      <c r="N134" t="s">
        <v>797</v>
      </c>
      <c r="O134" s="3">
        <v>22867</v>
      </c>
      <c r="P134" s="98">
        <v>59</v>
      </c>
      <c r="Q134" s="20" t="s">
        <v>1922</v>
      </c>
      <c r="R134" s="16">
        <v>41</v>
      </c>
      <c r="S134" s="17" t="s">
        <v>1292</v>
      </c>
      <c r="T134" s="23" t="s">
        <v>2814</v>
      </c>
      <c r="U134">
        <f t="shared" si="22"/>
        <v>4</v>
      </c>
      <c r="V134">
        <f t="shared" si="18"/>
        <v>2</v>
      </c>
      <c r="W134">
        <f t="shared" si="21"/>
        <v>4</v>
      </c>
      <c r="Y134">
        <v>0</v>
      </c>
      <c r="Z134">
        <v>0</v>
      </c>
      <c r="AC134">
        <v>104</v>
      </c>
      <c r="AG134" s="71" t="s">
        <v>159</v>
      </c>
      <c r="AH134" s="2" t="s">
        <v>160</v>
      </c>
      <c r="AI134" s="2" t="s">
        <v>161</v>
      </c>
      <c r="AJ134" s="2" t="s">
        <v>162</v>
      </c>
      <c r="AK134" s="2" t="s">
        <v>163</v>
      </c>
      <c r="AL134" s="2" t="s">
        <v>164</v>
      </c>
      <c r="AM134" s="2" t="s">
        <v>165</v>
      </c>
      <c r="AN134" s="2" t="s">
        <v>166</v>
      </c>
    </row>
    <row r="135" spans="1:44" ht="19">
      <c r="A135">
        <v>104</v>
      </c>
      <c r="B135" t="s">
        <v>1182</v>
      </c>
      <c r="C135">
        <v>2583</v>
      </c>
      <c r="D135">
        <v>60</v>
      </c>
      <c r="E135" s="2" t="s">
        <v>782</v>
      </c>
      <c r="F135" t="s">
        <v>870</v>
      </c>
      <c r="G135" t="s">
        <v>1122</v>
      </c>
      <c r="I135" t="s">
        <v>1920</v>
      </c>
      <c r="J135">
        <v>1989</v>
      </c>
      <c r="K135" s="9" t="s">
        <v>1924</v>
      </c>
      <c r="L135" t="s">
        <v>1123</v>
      </c>
      <c r="M135" t="s">
        <v>1123</v>
      </c>
      <c r="N135" s="3">
        <v>6845</v>
      </c>
      <c r="O135" s="3">
        <v>32541</v>
      </c>
      <c r="P135" s="98">
        <v>60</v>
      </c>
      <c r="Q135" s="20" t="s">
        <v>1925</v>
      </c>
      <c r="R135" s="16">
        <v>28</v>
      </c>
      <c r="S135" s="17" t="s">
        <v>1923</v>
      </c>
      <c r="T135" s="23" t="s">
        <v>2814</v>
      </c>
      <c r="U135">
        <f t="shared" si="22"/>
        <v>4</v>
      </c>
      <c r="V135">
        <f t="shared" si="18"/>
        <v>2</v>
      </c>
      <c r="W135">
        <f t="shared" si="21"/>
        <v>4</v>
      </c>
      <c r="Y135" t="s">
        <v>2244</v>
      </c>
      <c r="Z135">
        <v>3</v>
      </c>
      <c r="AA135" t="s">
        <v>898</v>
      </c>
      <c r="AC135">
        <v>81</v>
      </c>
      <c r="AG135" s="71" t="s">
        <v>167</v>
      </c>
      <c r="AH135" s="2" t="s">
        <v>168</v>
      </c>
      <c r="AI135" s="2" t="s">
        <v>169</v>
      </c>
      <c r="AJ135" s="2" t="s">
        <v>170</v>
      </c>
    </row>
    <row r="136" spans="1:44" ht="19">
      <c r="A136">
        <v>81</v>
      </c>
      <c r="C136">
        <v>2645</v>
      </c>
      <c r="D136">
        <v>63</v>
      </c>
      <c r="E136" s="2" t="s">
        <v>782</v>
      </c>
      <c r="F136" t="s">
        <v>870</v>
      </c>
      <c r="G136" t="s">
        <v>850</v>
      </c>
      <c r="H136" t="s">
        <v>812</v>
      </c>
      <c r="I136" t="s">
        <v>1926</v>
      </c>
      <c r="J136">
        <v>1968</v>
      </c>
      <c r="K136" s="9" t="s">
        <v>1927</v>
      </c>
      <c r="L136" s="5" t="s">
        <v>1126</v>
      </c>
      <c r="M136" s="8" t="s">
        <v>1126</v>
      </c>
      <c r="N136" s="3">
        <v>9298</v>
      </c>
      <c r="O136" s="3">
        <v>25096</v>
      </c>
      <c r="P136" s="98">
        <v>63</v>
      </c>
      <c r="Q136" s="20" t="s">
        <v>1928</v>
      </c>
      <c r="R136" s="16">
        <v>41</v>
      </c>
      <c r="S136" s="17" t="s">
        <v>1931</v>
      </c>
      <c r="T136" s="23" t="s">
        <v>2814</v>
      </c>
      <c r="U136">
        <f t="shared" si="22"/>
        <v>4</v>
      </c>
      <c r="V136">
        <f t="shared" si="18"/>
        <v>2</v>
      </c>
      <c r="W136">
        <f t="shared" si="21"/>
        <v>4</v>
      </c>
      <c r="Y136" t="s">
        <v>2245</v>
      </c>
      <c r="Z136">
        <v>0</v>
      </c>
      <c r="AC136">
        <v>30</v>
      </c>
      <c r="AG136" s="71" t="s">
        <v>172</v>
      </c>
      <c r="AH136" s="2" t="s">
        <v>173</v>
      </c>
      <c r="AI136" s="2" t="s">
        <v>174</v>
      </c>
      <c r="AJ136" s="2" t="s">
        <v>175</v>
      </c>
    </row>
    <row r="137" spans="1:44" ht="19">
      <c r="B137" t="s">
        <v>1497</v>
      </c>
      <c r="D137">
        <f>D136</f>
        <v>63</v>
      </c>
      <c r="E137" s="2" t="s">
        <v>2246</v>
      </c>
      <c r="F137" t="s">
        <v>1083</v>
      </c>
      <c r="G137" t="s">
        <v>2247</v>
      </c>
      <c r="H137" t="s">
        <v>1497</v>
      </c>
      <c r="K137" s="9"/>
      <c r="L137" s="7">
        <v>9820</v>
      </c>
      <c r="M137" s="8">
        <v>17896</v>
      </c>
      <c r="N137" s="3"/>
      <c r="O137" s="3"/>
      <c r="P137" s="98" t="s">
        <v>2249</v>
      </c>
      <c r="Q137" s="20"/>
      <c r="R137" s="21" t="str">
        <f t="shared" ref="R137:R143" si="23">MID(P137,1,LEN(P137)-1)</f>
        <v>63</v>
      </c>
      <c r="S137" s="17"/>
      <c r="T137" s="23" t="s">
        <v>2815</v>
      </c>
      <c r="U137">
        <f t="shared" si="22"/>
        <v>5</v>
      </c>
      <c r="V137">
        <f t="shared" si="18"/>
        <v>3</v>
      </c>
      <c r="W137">
        <f t="shared" si="21"/>
        <v>4</v>
      </c>
      <c r="Y137" t="s">
        <v>2248</v>
      </c>
      <c r="AG137" s="71" t="s">
        <v>2510</v>
      </c>
    </row>
    <row r="138" spans="1:44" ht="19">
      <c r="D138">
        <f t="shared" ref="D138:D143" si="24">D137</f>
        <v>63</v>
      </c>
      <c r="E138" s="2" t="s">
        <v>2246</v>
      </c>
      <c r="F138" t="s">
        <v>804</v>
      </c>
      <c r="G138" t="s">
        <v>830</v>
      </c>
      <c r="K138" s="9"/>
      <c r="M138" s="7">
        <v>18440</v>
      </c>
      <c r="N138" s="3"/>
      <c r="O138" s="3"/>
      <c r="P138" s="98" t="s">
        <v>2250</v>
      </c>
      <c r="Q138" s="20"/>
      <c r="R138" s="21" t="str">
        <f t="shared" si="23"/>
        <v>63a</v>
      </c>
      <c r="S138" s="17"/>
      <c r="T138" s="23"/>
      <c r="U138">
        <f t="shared" si="22"/>
        <v>6</v>
      </c>
      <c r="V138">
        <f t="shared" si="18"/>
        <v>4</v>
      </c>
      <c r="W138">
        <f t="shared" si="21"/>
        <v>4</v>
      </c>
      <c r="AG138" s="71" t="s">
        <v>2511</v>
      </c>
      <c r="AH138" s="2"/>
      <c r="AI138" s="2"/>
      <c r="AJ138" s="2"/>
      <c r="AK138" s="2"/>
      <c r="AL138" s="2"/>
    </row>
    <row r="139" spans="1:44" ht="19">
      <c r="D139">
        <f t="shared" si="24"/>
        <v>63</v>
      </c>
      <c r="E139" s="2" t="s">
        <v>2246</v>
      </c>
      <c r="F139" t="s">
        <v>953</v>
      </c>
      <c r="G139" t="s">
        <v>1687</v>
      </c>
      <c r="K139" s="9"/>
      <c r="L139" s="7">
        <v>19831</v>
      </c>
      <c r="M139" s="8">
        <v>31283</v>
      </c>
      <c r="N139" s="3"/>
      <c r="O139" s="3"/>
      <c r="P139" s="98" t="s">
        <v>2251</v>
      </c>
      <c r="Q139" s="20"/>
      <c r="R139" s="21" t="str">
        <f t="shared" si="23"/>
        <v>63a</v>
      </c>
      <c r="S139" s="17"/>
      <c r="T139" s="23"/>
      <c r="U139">
        <f t="shared" si="22"/>
        <v>6</v>
      </c>
      <c r="V139">
        <f t="shared" si="18"/>
        <v>4</v>
      </c>
      <c r="W139">
        <f t="shared" si="21"/>
        <v>4</v>
      </c>
      <c r="Y139" t="s">
        <v>2252</v>
      </c>
      <c r="Z139" t="s">
        <v>2512</v>
      </c>
      <c r="AG139" s="71" t="s">
        <v>2513</v>
      </c>
      <c r="AH139" s="2"/>
      <c r="AI139" s="2"/>
      <c r="AJ139" s="2"/>
      <c r="AK139" s="2"/>
      <c r="AL139" s="2"/>
      <c r="AM139" s="2"/>
      <c r="AN139" s="2"/>
      <c r="AO139" s="2"/>
      <c r="AP139" s="2"/>
    </row>
    <row r="140" spans="1:44" ht="19">
      <c r="D140">
        <f t="shared" si="24"/>
        <v>63</v>
      </c>
      <c r="E140" s="2" t="s">
        <v>2246</v>
      </c>
      <c r="F140" t="s">
        <v>863</v>
      </c>
      <c r="G140" t="s">
        <v>2253</v>
      </c>
      <c r="K140" s="9"/>
      <c r="M140" s="7">
        <v>32624</v>
      </c>
      <c r="N140" s="3"/>
      <c r="O140" s="3"/>
      <c r="P140" s="98" t="s">
        <v>2255</v>
      </c>
      <c r="Q140" s="20"/>
      <c r="R140" s="21" t="str">
        <f t="shared" si="23"/>
        <v>63ab</v>
      </c>
      <c r="S140" s="17"/>
      <c r="T140" s="23"/>
      <c r="U140">
        <f t="shared" si="22"/>
        <v>7</v>
      </c>
      <c r="V140">
        <f t="shared" si="18"/>
        <v>5</v>
      </c>
      <c r="W140">
        <f t="shared" si="21"/>
        <v>4</v>
      </c>
      <c r="AG140" s="71"/>
    </row>
    <row r="141" spans="1:44" ht="19">
      <c r="D141">
        <f t="shared" si="24"/>
        <v>63</v>
      </c>
      <c r="E141" s="2" t="s">
        <v>2246</v>
      </c>
      <c r="F141" t="s">
        <v>2254</v>
      </c>
      <c r="G141" t="s">
        <v>830</v>
      </c>
      <c r="K141" s="9"/>
      <c r="M141" s="7">
        <v>33349</v>
      </c>
      <c r="N141" s="3"/>
      <c r="O141" s="3"/>
      <c r="P141" s="98" t="s">
        <v>2256</v>
      </c>
      <c r="Q141" s="20"/>
      <c r="R141" s="21" t="str">
        <f t="shared" si="23"/>
        <v>63ab</v>
      </c>
      <c r="S141" s="17"/>
      <c r="T141" s="23"/>
      <c r="U141">
        <f t="shared" si="22"/>
        <v>7</v>
      </c>
      <c r="V141">
        <f t="shared" si="18"/>
        <v>5</v>
      </c>
      <c r="W141">
        <f t="shared" si="21"/>
        <v>4</v>
      </c>
      <c r="AG141" s="71"/>
      <c r="AH141" s="2"/>
      <c r="AI141" s="2"/>
      <c r="AJ141" s="2"/>
      <c r="AK141" s="2"/>
      <c r="AL141" s="2" t="s">
        <v>2515</v>
      </c>
    </row>
    <row r="142" spans="1:44" ht="19">
      <c r="B142" t="s">
        <v>863</v>
      </c>
      <c r="D142">
        <f t="shared" si="24"/>
        <v>63</v>
      </c>
      <c r="E142" s="2" t="s">
        <v>2246</v>
      </c>
      <c r="F142" t="s">
        <v>1452</v>
      </c>
      <c r="G142" t="s">
        <v>863</v>
      </c>
      <c r="K142" s="9"/>
      <c r="M142" s="7">
        <v>10772</v>
      </c>
      <c r="N142" s="3"/>
      <c r="O142" s="3"/>
      <c r="P142" s="98" t="s">
        <v>2259</v>
      </c>
      <c r="Q142" s="20"/>
      <c r="R142" s="21" t="str">
        <f t="shared" si="23"/>
        <v>63</v>
      </c>
      <c r="S142" s="17"/>
      <c r="T142" s="23"/>
      <c r="U142">
        <f t="shared" si="22"/>
        <v>5</v>
      </c>
      <c r="V142">
        <f t="shared" si="18"/>
        <v>3</v>
      </c>
      <c r="W142">
        <f t="shared" si="21"/>
        <v>4</v>
      </c>
      <c r="AG142" s="71" t="s">
        <v>2514</v>
      </c>
      <c r="AI142" s="2"/>
      <c r="AJ142" s="2" t="s">
        <v>171</v>
      </c>
      <c r="AK142" s="2"/>
      <c r="AL142" s="2"/>
      <c r="AM142" s="2"/>
    </row>
    <row r="143" spans="1:44" ht="19">
      <c r="D143">
        <f t="shared" si="24"/>
        <v>63</v>
      </c>
      <c r="E143" s="2" t="s">
        <v>2246</v>
      </c>
      <c r="F143" t="s">
        <v>2257</v>
      </c>
      <c r="G143" t="s">
        <v>2258</v>
      </c>
      <c r="K143" s="9"/>
      <c r="M143" s="7">
        <v>11230</v>
      </c>
      <c r="O143" s="3">
        <v>12706</v>
      </c>
      <c r="P143" s="98" t="s">
        <v>2260</v>
      </c>
      <c r="Q143" s="20"/>
      <c r="R143" s="21" t="str">
        <f t="shared" si="23"/>
        <v>63</v>
      </c>
      <c r="S143" s="17"/>
      <c r="T143" s="23"/>
      <c r="U143">
        <f t="shared" si="22"/>
        <v>5</v>
      </c>
      <c r="V143">
        <f t="shared" si="18"/>
        <v>3</v>
      </c>
      <c r="W143">
        <f t="shared" si="21"/>
        <v>4</v>
      </c>
      <c r="AG143" s="71" t="s">
        <v>2516</v>
      </c>
      <c r="AH143" s="71"/>
      <c r="AI143" s="2"/>
      <c r="AJ143" s="2"/>
    </row>
    <row r="144" spans="1:44" ht="19">
      <c r="A144">
        <v>30</v>
      </c>
      <c r="C144">
        <v>2723</v>
      </c>
      <c r="D144">
        <v>64</v>
      </c>
      <c r="E144" s="2" t="s">
        <v>782</v>
      </c>
      <c r="F144" t="s">
        <v>799</v>
      </c>
      <c r="G144" t="s">
        <v>929</v>
      </c>
      <c r="H144" t="s">
        <v>1127</v>
      </c>
      <c r="I144" t="s">
        <v>1926</v>
      </c>
      <c r="J144">
        <v>1917</v>
      </c>
      <c r="K144" s="9" t="s">
        <v>1929</v>
      </c>
      <c r="L144" s="5" t="s">
        <v>1128</v>
      </c>
      <c r="M144" s="8" t="s">
        <v>1128</v>
      </c>
      <c r="N144" s="3">
        <v>2663</v>
      </c>
      <c r="O144" s="3">
        <v>6374</v>
      </c>
      <c r="P144" s="98">
        <v>64</v>
      </c>
      <c r="Q144" s="20" t="s">
        <v>1930</v>
      </c>
      <c r="R144" s="16">
        <v>35</v>
      </c>
      <c r="S144" s="17" t="s">
        <v>1935</v>
      </c>
      <c r="T144" s="23" t="s">
        <v>2814</v>
      </c>
      <c r="U144">
        <f t="shared" si="22"/>
        <v>4</v>
      </c>
      <c r="V144">
        <f t="shared" si="18"/>
        <v>2</v>
      </c>
      <c r="W144">
        <f t="shared" si="21"/>
        <v>4</v>
      </c>
      <c r="Y144" t="s">
        <v>2261</v>
      </c>
      <c r="Z144">
        <v>3</v>
      </c>
      <c r="AA144" t="s">
        <v>1131</v>
      </c>
      <c r="AC144">
        <v>78</v>
      </c>
      <c r="AG144" s="71" t="s">
        <v>176</v>
      </c>
      <c r="AH144" s="71" t="s">
        <v>177</v>
      </c>
    </row>
    <row r="145" spans="1:93" ht="19">
      <c r="A145">
        <v>78</v>
      </c>
      <c r="B145" t="s">
        <v>2262</v>
      </c>
      <c r="C145">
        <v>2733</v>
      </c>
      <c r="D145">
        <v>65</v>
      </c>
      <c r="E145" s="2" t="s">
        <v>782</v>
      </c>
      <c r="F145" t="s">
        <v>1129</v>
      </c>
      <c r="G145" t="s">
        <v>1075</v>
      </c>
      <c r="H145" t="s">
        <v>1130</v>
      </c>
      <c r="I145" t="s">
        <v>1932</v>
      </c>
      <c r="J145">
        <v>1967</v>
      </c>
      <c r="K145" s="9" t="s">
        <v>1933</v>
      </c>
      <c r="L145" s="5" t="s">
        <v>1096</v>
      </c>
      <c r="M145" s="8" t="s">
        <v>1096</v>
      </c>
      <c r="N145" s="3">
        <v>4554</v>
      </c>
      <c r="O145" s="3">
        <v>24576</v>
      </c>
      <c r="P145" s="98">
        <v>65</v>
      </c>
      <c r="Q145" s="20" t="s">
        <v>1934</v>
      </c>
      <c r="R145" s="16">
        <v>34</v>
      </c>
      <c r="S145" s="17" t="s">
        <v>1939</v>
      </c>
      <c r="T145" s="23" t="s">
        <v>2814</v>
      </c>
      <c r="U145">
        <f t="shared" si="22"/>
        <v>4</v>
      </c>
      <c r="V145">
        <f t="shared" si="18"/>
        <v>2</v>
      </c>
      <c r="W145">
        <f t="shared" si="21"/>
        <v>4</v>
      </c>
      <c r="Y145" t="s">
        <v>2263</v>
      </c>
      <c r="Z145">
        <v>6</v>
      </c>
      <c r="AA145" t="s">
        <v>803</v>
      </c>
      <c r="AC145">
        <v>73</v>
      </c>
      <c r="AG145" s="71" t="s">
        <v>186</v>
      </c>
      <c r="AH145" s="71" t="s">
        <v>187</v>
      </c>
      <c r="AM145" s="71" t="s">
        <v>2518</v>
      </c>
    </row>
    <row r="146" spans="1:93" ht="19">
      <c r="D146">
        <f>D145</f>
        <v>65</v>
      </c>
      <c r="E146" s="2" t="s">
        <v>2264</v>
      </c>
      <c r="F146" t="s">
        <v>861</v>
      </c>
      <c r="G146" t="s">
        <v>822</v>
      </c>
      <c r="K146" s="9"/>
      <c r="L146" s="5"/>
      <c r="M146" s="8">
        <v>4844</v>
      </c>
      <c r="N146" s="3"/>
      <c r="O146" s="3"/>
      <c r="P146" s="98" t="s">
        <v>2265</v>
      </c>
      <c r="Q146" s="20"/>
      <c r="R146" s="21" t="str">
        <f>MID(P146,1,LEN(P146)-1)</f>
        <v>65</v>
      </c>
      <c r="S146" s="17"/>
      <c r="T146" s="23" t="s">
        <v>2814</v>
      </c>
      <c r="U146">
        <f t="shared" si="22"/>
        <v>5</v>
      </c>
      <c r="V146">
        <f t="shared" si="18"/>
        <v>3</v>
      </c>
      <c r="W146">
        <f t="shared" si="21"/>
        <v>4</v>
      </c>
      <c r="Z146" t="s">
        <v>2517</v>
      </c>
      <c r="AG146" s="71" t="s">
        <v>2519</v>
      </c>
      <c r="AH146" s="71"/>
      <c r="AK146" s="2" t="s">
        <v>2520</v>
      </c>
      <c r="AL146" s="2"/>
      <c r="CK146" s="2"/>
      <c r="CL146" s="2"/>
      <c r="CM146" s="2"/>
      <c r="CN146" s="2"/>
      <c r="CO146" s="2"/>
    </row>
    <row r="147" spans="1:93" ht="19">
      <c r="D147">
        <f>D146</f>
        <v>65</v>
      </c>
      <c r="E147" s="2" t="s">
        <v>2264</v>
      </c>
      <c r="F147" t="s">
        <v>2266</v>
      </c>
      <c r="G147" t="s">
        <v>2267</v>
      </c>
      <c r="H147" t="s">
        <v>822</v>
      </c>
      <c r="K147" s="9"/>
      <c r="L147" s="5"/>
      <c r="M147" s="8">
        <v>8801</v>
      </c>
      <c r="N147" s="3"/>
      <c r="O147" s="3"/>
      <c r="P147" s="98" t="s">
        <v>2268</v>
      </c>
      <c r="Q147" s="20"/>
      <c r="R147" s="21" t="str">
        <f>MID(P147,1,LEN(P147)-1)</f>
        <v>65</v>
      </c>
      <c r="S147" s="17"/>
      <c r="T147" s="23" t="s">
        <v>2814</v>
      </c>
      <c r="U147">
        <f t="shared" si="22"/>
        <v>5</v>
      </c>
      <c r="V147">
        <f t="shared" si="18"/>
        <v>3</v>
      </c>
      <c r="W147">
        <f t="shared" si="21"/>
        <v>4</v>
      </c>
      <c r="AG147" s="71" t="s">
        <v>2521</v>
      </c>
      <c r="AH147" s="71"/>
      <c r="AI147" s="2"/>
      <c r="AJ147" s="2"/>
      <c r="AK147" s="2"/>
      <c r="AL147" s="2"/>
      <c r="AM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row>
    <row r="148" spans="1:93" ht="19">
      <c r="D148">
        <f>D147</f>
        <v>65</v>
      </c>
      <c r="E148" s="2" t="s">
        <v>2264</v>
      </c>
      <c r="F148" t="s">
        <v>818</v>
      </c>
      <c r="G148" t="s">
        <v>841</v>
      </c>
      <c r="H148" t="s">
        <v>822</v>
      </c>
      <c r="K148" s="9"/>
      <c r="L148" s="5"/>
      <c r="M148" s="8">
        <v>9743</v>
      </c>
      <c r="N148" s="3">
        <v>25689</v>
      </c>
      <c r="O148" s="3"/>
      <c r="P148" s="98" t="s">
        <v>2269</v>
      </c>
      <c r="Q148" s="20"/>
      <c r="R148" s="21" t="str">
        <f>MID(P148,1,LEN(P148)-1)</f>
        <v>65</v>
      </c>
      <c r="S148" s="17"/>
      <c r="T148" s="23" t="s">
        <v>2815</v>
      </c>
      <c r="U148">
        <f t="shared" si="22"/>
        <v>5</v>
      </c>
      <c r="V148">
        <f t="shared" si="18"/>
        <v>3</v>
      </c>
      <c r="W148">
        <f t="shared" si="21"/>
        <v>4</v>
      </c>
      <c r="Y148" t="s">
        <v>2270</v>
      </c>
      <c r="Z148" t="s">
        <v>2523</v>
      </c>
      <c r="AG148" s="71" t="s">
        <v>2522</v>
      </c>
      <c r="AH148" s="71"/>
      <c r="AJ148" s="2"/>
      <c r="AK148" s="2"/>
      <c r="AL148" s="2"/>
      <c r="AM148" s="2"/>
      <c r="AO148" s="2"/>
      <c r="AP148" s="2"/>
      <c r="AQ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row>
    <row r="149" spans="1:93" ht="19">
      <c r="D149">
        <f>D148</f>
        <v>65</v>
      </c>
      <c r="E149" s="2" t="s">
        <v>2264</v>
      </c>
      <c r="F149" t="s">
        <v>2271</v>
      </c>
      <c r="G149" t="s">
        <v>2272</v>
      </c>
      <c r="K149" s="9"/>
      <c r="L149" s="5"/>
      <c r="M149" s="8">
        <v>26085</v>
      </c>
      <c r="N149" s="3"/>
      <c r="O149" s="3"/>
      <c r="P149" s="98" t="s">
        <v>2273</v>
      </c>
      <c r="Q149" s="20"/>
      <c r="R149" s="21" t="str">
        <f>MID(P149,1,LEN(P149)-1)</f>
        <v>65c</v>
      </c>
      <c r="S149" s="17"/>
      <c r="T149" s="23" t="s">
        <v>2814</v>
      </c>
      <c r="U149">
        <f t="shared" si="22"/>
        <v>6</v>
      </c>
      <c r="V149">
        <f t="shared" si="18"/>
        <v>4</v>
      </c>
      <c r="W149">
        <f t="shared" si="21"/>
        <v>4</v>
      </c>
      <c r="AG149" s="71" t="s">
        <v>2524</v>
      </c>
      <c r="AH149" s="71"/>
      <c r="AJ149" s="2"/>
      <c r="AK149" s="2"/>
      <c r="AL149" s="2" t="s">
        <v>178</v>
      </c>
      <c r="AM149" s="2" t="s">
        <v>179</v>
      </c>
      <c r="AN149" s="2" t="s">
        <v>180</v>
      </c>
      <c r="AO149" s="2" t="s">
        <v>181</v>
      </c>
      <c r="AP149" s="2" t="s">
        <v>182</v>
      </c>
      <c r="AQ149" s="2" t="s">
        <v>183</v>
      </c>
      <c r="AR149" s="2" t="s">
        <v>184</v>
      </c>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row>
    <row r="150" spans="1:93" ht="19">
      <c r="D150">
        <f>D149</f>
        <v>65</v>
      </c>
      <c r="E150" s="2" t="s">
        <v>2264</v>
      </c>
      <c r="F150" t="s">
        <v>1768</v>
      </c>
      <c r="G150" t="s">
        <v>2274</v>
      </c>
      <c r="K150" s="9"/>
      <c r="L150" s="5"/>
      <c r="M150" s="8">
        <v>26854</v>
      </c>
      <c r="N150" s="3"/>
      <c r="O150" s="3"/>
      <c r="P150" s="98" t="s">
        <v>2275</v>
      </c>
      <c r="Q150" s="20"/>
      <c r="R150" s="21" t="str">
        <f>MID(P150,1,LEN(P150)-1)</f>
        <v>65c</v>
      </c>
      <c r="S150" s="17"/>
      <c r="T150" s="23" t="s">
        <v>2814</v>
      </c>
      <c r="U150">
        <f t="shared" si="22"/>
        <v>6</v>
      </c>
      <c r="V150">
        <f t="shared" si="18"/>
        <v>4</v>
      </c>
      <c r="W150">
        <f t="shared" si="21"/>
        <v>4</v>
      </c>
      <c r="AG150" s="71"/>
      <c r="AH150" s="71"/>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row>
    <row r="151" spans="1:93" ht="19">
      <c r="A151">
        <v>73</v>
      </c>
      <c r="C151">
        <v>2861</v>
      </c>
      <c r="D151">
        <v>70</v>
      </c>
      <c r="E151" s="2" t="s">
        <v>782</v>
      </c>
      <c r="F151" t="s">
        <v>798</v>
      </c>
      <c r="G151" t="s">
        <v>799</v>
      </c>
      <c r="H151" t="s">
        <v>800</v>
      </c>
      <c r="I151" t="s">
        <v>1936</v>
      </c>
      <c r="J151">
        <v>1963</v>
      </c>
      <c r="K151" s="9" t="s">
        <v>1937</v>
      </c>
      <c r="L151" s="5" t="s">
        <v>801</v>
      </c>
      <c r="M151" s="8" t="s">
        <v>801</v>
      </c>
      <c r="N151" s="3">
        <v>7620</v>
      </c>
      <c r="O151" s="3">
        <v>23193</v>
      </c>
      <c r="P151" s="98">
        <v>70</v>
      </c>
      <c r="Q151" s="20" t="s">
        <v>1938</v>
      </c>
      <c r="R151" s="16">
        <v>46</v>
      </c>
      <c r="S151" s="17" t="s">
        <v>1923</v>
      </c>
      <c r="T151" s="23" t="s">
        <v>2814</v>
      </c>
      <c r="U151">
        <f t="shared" si="22"/>
        <v>4</v>
      </c>
      <c r="V151">
        <f t="shared" si="18"/>
        <v>2</v>
      </c>
      <c r="W151">
        <f t="shared" si="21"/>
        <v>4</v>
      </c>
      <c r="Y151" t="s">
        <v>2276</v>
      </c>
      <c r="Z151">
        <v>0</v>
      </c>
      <c r="AC151">
        <v>0</v>
      </c>
      <c r="AG151" s="71" t="s">
        <v>190</v>
      </c>
      <c r="AH151" s="71" t="s">
        <v>191</v>
      </c>
      <c r="AI151" s="1" t="s">
        <v>192</v>
      </c>
      <c r="AJ151" s="1" t="s">
        <v>193</v>
      </c>
      <c r="AK151" s="2"/>
      <c r="AL151" s="2"/>
      <c r="AM151" s="2"/>
      <c r="AN151" s="2"/>
      <c r="AO151" s="2"/>
      <c r="AP151" s="71" t="s">
        <v>188</v>
      </c>
      <c r="AQ151" s="2"/>
      <c r="AR151" s="2"/>
      <c r="AS151" s="2"/>
      <c r="AT151" s="2"/>
      <c r="AU151" s="2"/>
      <c r="AV151" s="2"/>
    </row>
    <row r="152" spans="1:93" ht="19">
      <c r="D152">
        <f>D151</f>
        <v>70</v>
      </c>
      <c r="E152" s="2" t="s">
        <v>2278</v>
      </c>
      <c r="F152" t="s">
        <v>2279</v>
      </c>
      <c r="G152" t="s">
        <v>1826</v>
      </c>
      <c r="K152" s="9"/>
      <c r="M152" s="7">
        <v>7955</v>
      </c>
      <c r="N152" s="8">
        <v>18280</v>
      </c>
      <c r="O152" s="3">
        <v>32962</v>
      </c>
      <c r="P152" s="98" t="s">
        <v>2277</v>
      </c>
      <c r="Q152" s="20"/>
      <c r="R152" s="21" t="str">
        <f t="shared" ref="R152:R182" si="25">MID(P152,1,LEN(P152)-1)</f>
        <v>70</v>
      </c>
      <c r="S152" s="17"/>
      <c r="T152" s="23" t="s">
        <v>2814</v>
      </c>
      <c r="U152">
        <f t="shared" si="22"/>
        <v>5</v>
      </c>
      <c r="V152">
        <f t="shared" si="18"/>
        <v>3</v>
      </c>
      <c r="W152">
        <f t="shared" si="21"/>
        <v>4</v>
      </c>
      <c r="Y152" t="s">
        <v>2280</v>
      </c>
      <c r="Z152" t="s">
        <v>2525</v>
      </c>
      <c r="AG152" s="71" t="s">
        <v>2528</v>
      </c>
      <c r="AH152" s="71"/>
      <c r="AI152" s="2"/>
      <c r="AJ152" s="2"/>
      <c r="AK152" s="2"/>
      <c r="AL152" s="2"/>
    </row>
    <row r="153" spans="1:93" ht="19">
      <c r="D153">
        <f t="shared" ref="D153:D182" si="26">D152</f>
        <v>70</v>
      </c>
      <c r="E153" s="2" t="s">
        <v>2281</v>
      </c>
      <c r="F153" t="s">
        <v>830</v>
      </c>
      <c r="G153" t="s">
        <v>928</v>
      </c>
      <c r="H153" t="s">
        <v>917</v>
      </c>
      <c r="K153" s="9"/>
      <c r="M153" s="7">
        <v>18659</v>
      </c>
      <c r="N153" s="8">
        <v>29477</v>
      </c>
      <c r="O153" s="3"/>
      <c r="P153" s="98" t="s">
        <v>2282</v>
      </c>
      <c r="Q153" s="20"/>
      <c r="R153" s="21" t="str">
        <f t="shared" si="25"/>
        <v>70a</v>
      </c>
      <c r="S153" s="17"/>
      <c r="T153" s="23" t="s">
        <v>2815</v>
      </c>
      <c r="U153">
        <f t="shared" si="22"/>
        <v>6</v>
      </c>
      <c r="V153">
        <f t="shared" si="18"/>
        <v>4</v>
      </c>
      <c r="W153">
        <f t="shared" si="21"/>
        <v>4</v>
      </c>
      <c r="Y153" t="s">
        <v>2283</v>
      </c>
      <c r="AG153" s="71" t="s">
        <v>2526</v>
      </c>
      <c r="AH153" s="71"/>
      <c r="AI153" s="71"/>
      <c r="AJ153" s="71"/>
      <c r="AK153" s="71"/>
      <c r="AL153" s="71"/>
      <c r="AM153" s="71"/>
      <c r="AN153" s="71"/>
    </row>
    <row r="154" spans="1:93" ht="19">
      <c r="D154">
        <f t="shared" si="26"/>
        <v>70</v>
      </c>
      <c r="E154" s="2" t="s">
        <v>2281</v>
      </c>
      <c r="F154" t="s">
        <v>807</v>
      </c>
      <c r="G154" t="s">
        <v>917</v>
      </c>
      <c r="H154" t="s">
        <v>931</v>
      </c>
      <c r="K154" s="9"/>
      <c r="M154" s="7">
        <v>29897</v>
      </c>
      <c r="N154" s="8"/>
      <c r="O154" s="3"/>
      <c r="P154" s="98" t="s">
        <v>2284</v>
      </c>
      <c r="Q154" s="20"/>
      <c r="R154" s="21" t="str">
        <f t="shared" si="25"/>
        <v>70aa</v>
      </c>
      <c r="S154" s="17"/>
      <c r="T154" s="23" t="s">
        <v>2815</v>
      </c>
      <c r="U154">
        <f t="shared" si="22"/>
        <v>7</v>
      </c>
      <c r="V154">
        <f t="shared" si="18"/>
        <v>5</v>
      </c>
      <c r="W154">
        <f t="shared" si="21"/>
        <v>4</v>
      </c>
      <c r="AG154" s="71"/>
      <c r="AH154" s="71"/>
      <c r="AI154" s="71"/>
      <c r="AJ154" s="71"/>
      <c r="AK154" s="71"/>
      <c r="AL154" s="71"/>
      <c r="AM154" s="71"/>
      <c r="AN154" s="71"/>
    </row>
    <row r="155" spans="1:93" ht="19">
      <c r="D155">
        <f t="shared" si="26"/>
        <v>70</v>
      </c>
      <c r="E155" s="2" t="s">
        <v>2281</v>
      </c>
      <c r="F155" t="s">
        <v>1452</v>
      </c>
      <c r="G155" t="s">
        <v>922</v>
      </c>
      <c r="K155" s="9"/>
      <c r="M155" s="7">
        <v>31667</v>
      </c>
      <c r="N155" s="8"/>
      <c r="O155" s="3"/>
      <c r="P155" s="98" t="s">
        <v>2285</v>
      </c>
      <c r="Q155" s="20"/>
      <c r="R155" s="21" t="str">
        <f t="shared" si="25"/>
        <v>70aa</v>
      </c>
      <c r="S155" s="17"/>
      <c r="T155" s="23" t="s">
        <v>2814</v>
      </c>
      <c r="U155">
        <f t="shared" si="22"/>
        <v>7</v>
      </c>
      <c r="V155">
        <f t="shared" si="18"/>
        <v>5</v>
      </c>
      <c r="W155">
        <f t="shared" si="21"/>
        <v>4</v>
      </c>
      <c r="AG155" s="71"/>
      <c r="AH155" s="71"/>
      <c r="AI155" s="71"/>
      <c r="AJ155" s="71"/>
      <c r="AK155" s="71"/>
      <c r="AL155" s="71"/>
      <c r="AM155" s="71"/>
      <c r="AN155" s="71"/>
    </row>
    <row r="156" spans="1:93" ht="19">
      <c r="D156">
        <f t="shared" si="26"/>
        <v>70</v>
      </c>
      <c r="E156" s="2" t="s">
        <v>2281</v>
      </c>
      <c r="F156" t="s">
        <v>1391</v>
      </c>
      <c r="G156" t="s">
        <v>798</v>
      </c>
      <c r="H156" t="s">
        <v>2286</v>
      </c>
      <c r="K156" s="9"/>
      <c r="M156" s="7">
        <v>19320</v>
      </c>
      <c r="N156" s="8">
        <v>29052</v>
      </c>
      <c r="O156" s="3"/>
      <c r="P156" s="98" t="s">
        <v>2287</v>
      </c>
      <c r="Q156" s="20"/>
      <c r="R156" s="21" t="str">
        <f t="shared" si="25"/>
        <v>70a</v>
      </c>
      <c r="S156" s="17"/>
      <c r="T156" s="23" t="s">
        <v>2814</v>
      </c>
      <c r="U156">
        <f t="shared" si="22"/>
        <v>6</v>
      </c>
      <c r="V156">
        <f t="shared" si="18"/>
        <v>4</v>
      </c>
      <c r="W156">
        <f t="shared" si="21"/>
        <v>4</v>
      </c>
      <c r="Y156" t="s">
        <v>2288</v>
      </c>
      <c r="AG156" s="71"/>
      <c r="AH156" s="71"/>
      <c r="AI156" s="71"/>
      <c r="AJ156" s="71"/>
      <c r="AK156" s="71"/>
      <c r="AL156" s="71"/>
      <c r="AM156" s="71"/>
      <c r="AN156" s="71"/>
    </row>
    <row r="157" spans="1:93" ht="19">
      <c r="D157">
        <f t="shared" si="26"/>
        <v>70</v>
      </c>
      <c r="E157" s="2" t="s">
        <v>2289</v>
      </c>
      <c r="F157" t="s">
        <v>866</v>
      </c>
      <c r="G157" t="s">
        <v>842</v>
      </c>
      <c r="K157" s="9"/>
      <c r="M157" s="7">
        <v>30238</v>
      </c>
      <c r="N157" s="8"/>
      <c r="O157" s="3"/>
      <c r="P157" s="98" t="s">
        <v>2291</v>
      </c>
      <c r="Q157" s="20"/>
      <c r="R157" s="21" t="str">
        <f t="shared" si="25"/>
        <v>70ab</v>
      </c>
      <c r="S157" s="17"/>
      <c r="T157" s="23" t="s">
        <v>2815</v>
      </c>
      <c r="U157">
        <f t="shared" si="22"/>
        <v>7</v>
      </c>
      <c r="V157">
        <f t="shared" si="18"/>
        <v>5</v>
      </c>
      <c r="W157">
        <f t="shared" si="21"/>
        <v>4</v>
      </c>
      <c r="AG157" s="71"/>
      <c r="AH157" s="71"/>
      <c r="AI157" s="71"/>
      <c r="AJ157" s="71"/>
      <c r="AK157" s="71"/>
      <c r="AL157" s="71"/>
      <c r="AM157" s="71"/>
      <c r="AN157" s="71"/>
    </row>
    <row r="158" spans="1:93" ht="19">
      <c r="D158">
        <f t="shared" si="26"/>
        <v>70</v>
      </c>
      <c r="E158" s="2" t="s">
        <v>2289</v>
      </c>
      <c r="F158" t="s">
        <v>2290</v>
      </c>
      <c r="G158" t="s">
        <v>876</v>
      </c>
      <c r="K158" s="9"/>
      <c r="M158" s="7">
        <v>31826</v>
      </c>
      <c r="N158" s="8"/>
      <c r="O158" s="3"/>
      <c r="P158" s="98" t="s">
        <v>2292</v>
      </c>
      <c r="Q158" s="20"/>
      <c r="R158" s="21" t="str">
        <f t="shared" si="25"/>
        <v>70ab</v>
      </c>
      <c r="S158" s="17"/>
      <c r="T158" s="23" t="s">
        <v>2814</v>
      </c>
      <c r="U158">
        <f t="shared" si="22"/>
        <v>7</v>
      </c>
      <c r="V158">
        <f t="shared" si="18"/>
        <v>5</v>
      </c>
      <c r="W158">
        <f t="shared" si="21"/>
        <v>4</v>
      </c>
      <c r="AG158" s="71"/>
      <c r="AH158" s="71"/>
      <c r="AI158" s="71"/>
      <c r="AJ158" s="71"/>
      <c r="AK158" s="71"/>
      <c r="AL158" s="71"/>
      <c r="AM158" s="71"/>
      <c r="AN158" s="71"/>
    </row>
    <row r="159" spans="1:93" ht="19">
      <c r="D159">
        <f t="shared" si="26"/>
        <v>70</v>
      </c>
      <c r="E159" s="2" t="s">
        <v>2281</v>
      </c>
      <c r="F159" t="s">
        <v>885</v>
      </c>
      <c r="G159" t="s">
        <v>842</v>
      </c>
      <c r="H159" t="s">
        <v>2293</v>
      </c>
      <c r="K159" s="9"/>
      <c r="M159" s="7">
        <v>22068</v>
      </c>
      <c r="N159" s="8"/>
      <c r="O159" s="3"/>
      <c r="P159" s="98" t="s">
        <v>2294</v>
      </c>
      <c r="Q159" s="20"/>
      <c r="R159" s="21" t="str">
        <f t="shared" si="25"/>
        <v>70a</v>
      </c>
      <c r="S159" s="17"/>
      <c r="T159" s="23" t="s">
        <v>2815</v>
      </c>
      <c r="U159">
        <f t="shared" si="22"/>
        <v>6</v>
      </c>
      <c r="V159">
        <f t="shared" si="18"/>
        <v>4</v>
      </c>
      <c r="W159">
        <f t="shared" si="21"/>
        <v>4</v>
      </c>
      <c r="AG159" s="71" t="s">
        <v>2527</v>
      </c>
      <c r="AH159" s="71"/>
      <c r="AI159" s="71"/>
      <c r="AJ159" s="71"/>
      <c r="AK159" s="71"/>
      <c r="AL159" s="71"/>
      <c r="AM159" s="71"/>
      <c r="AN159" s="71"/>
    </row>
    <row r="160" spans="1:93" ht="19">
      <c r="D160">
        <f t="shared" si="26"/>
        <v>70</v>
      </c>
      <c r="E160" s="2" t="s">
        <v>2278</v>
      </c>
      <c r="F160" t="s">
        <v>2295</v>
      </c>
      <c r="G160" t="s">
        <v>882</v>
      </c>
      <c r="K160" s="9"/>
      <c r="M160" s="7">
        <v>8863</v>
      </c>
      <c r="N160" s="8">
        <v>19873</v>
      </c>
      <c r="O160" s="3"/>
      <c r="P160" s="98" t="s">
        <v>2298</v>
      </c>
      <c r="Q160" s="20"/>
      <c r="R160" s="21" t="str">
        <f t="shared" si="25"/>
        <v>70</v>
      </c>
      <c r="S160" s="17"/>
      <c r="T160" s="23" t="s">
        <v>2814</v>
      </c>
      <c r="U160">
        <f t="shared" si="22"/>
        <v>5</v>
      </c>
      <c r="V160">
        <f t="shared" si="18"/>
        <v>3</v>
      </c>
      <c r="W160">
        <f t="shared" si="21"/>
        <v>4</v>
      </c>
      <c r="Y160" t="s">
        <v>2297</v>
      </c>
      <c r="Z160" t="s">
        <v>2529</v>
      </c>
      <c r="AG160" s="71"/>
      <c r="AH160" s="71"/>
      <c r="AI160" s="71"/>
      <c r="AJ160" s="71"/>
      <c r="AK160" s="71"/>
      <c r="AL160" s="71"/>
      <c r="AM160" s="71"/>
      <c r="AN160" s="71"/>
    </row>
    <row r="161" spans="2:48" ht="19">
      <c r="B161" t="s">
        <v>865</v>
      </c>
      <c r="D161">
        <f t="shared" si="26"/>
        <v>70</v>
      </c>
      <c r="E161" s="2" t="s">
        <v>2296</v>
      </c>
      <c r="F161" t="s">
        <v>917</v>
      </c>
      <c r="G161" t="s">
        <v>865</v>
      </c>
      <c r="K161" s="9"/>
      <c r="M161" s="7">
        <v>20311</v>
      </c>
      <c r="N161" s="8">
        <v>30526</v>
      </c>
      <c r="O161" s="3"/>
      <c r="P161" s="98" t="s">
        <v>2299</v>
      </c>
      <c r="Q161" s="20"/>
      <c r="R161" s="21" t="str">
        <f t="shared" si="25"/>
        <v>70b</v>
      </c>
      <c r="S161" s="17"/>
      <c r="T161" s="23" t="s">
        <v>2815</v>
      </c>
      <c r="U161">
        <f t="shared" si="22"/>
        <v>6</v>
      </c>
      <c r="V161">
        <f t="shared" si="18"/>
        <v>4</v>
      </c>
      <c r="W161">
        <f t="shared" si="21"/>
        <v>4</v>
      </c>
      <c r="Y161" t="s">
        <v>2300</v>
      </c>
      <c r="AG161" s="71"/>
      <c r="AH161" s="71"/>
      <c r="AI161" s="71"/>
      <c r="AJ161" s="71"/>
      <c r="AK161" s="71"/>
      <c r="AL161" s="71"/>
      <c r="AM161" s="71"/>
      <c r="AN161" s="71"/>
    </row>
    <row r="162" spans="2:48" ht="19">
      <c r="D162">
        <f t="shared" si="26"/>
        <v>70</v>
      </c>
      <c r="E162" s="2" t="s">
        <v>2296</v>
      </c>
      <c r="F162" t="s">
        <v>2301</v>
      </c>
      <c r="G162" t="s">
        <v>2302</v>
      </c>
      <c r="K162" s="9"/>
      <c r="M162" s="7">
        <v>29158</v>
      </c>
      <c r="N162" s="8"/>
      <c r="O162" s="3"/>
      <c r="P162" s="98" t="s">
        <v>2303</v>
      </c>
      <c r="Q162" s="20"/>
      <c r="R162" s="21" t="str">
        <f t="shared" si="25"/>
        <v>70ba</v>
      </c>
      <c r="S162" s="17"/>
      <c r="T162" s="23" t="s">
        <v>2814</v>
      </c>
      <c r="U162">
        <f t="shared" si="22"/>
        <v>7</v>
      </c>
      <c r="V162">
        <f t="shared" si="18"/>
        <v>5</v>
      </c>
      <c r="W162">
        <f t="shared" si="21"/>
        <v>4</v>
      </c>
    </row>
    <row r="163" spans="2:48" ht="19">
      <c r="B163" t="s">
        <v>865</v>
      </c>
      <c r="D163">
        <f t="shared" si="26"/>
        <v>70</v>
      </c>
      <c r="E163" s="2" t="s">
        <v>2296</v>
      </c>
      <c r="F163" t="s">
        <v>1483</v>
      </c>
      <c r="G163" t="s">
        <v>865</v>
      </c>
      <c r="K163" s="9"/>
      <c r="L163" s="5"/>
      <c r="M163" s="8">
        <v>32319</v>
      </c>
      <c r="N163" s="3"/>
      <c r="O163" s="3"/>
      <c r="P163" s="98" t="s">
        <v>2304</v>
      </c>
      <c r="Q163" s="20"/>
      <c r="R163" s="21" t="str">
        <f t="shared" si="25"/>
        <v>70ba</v>
      </c>
      <c r="S163" s="17"/>
      <c r="T163" s="23" t="s">
        <v>2815</v>
      </c>
      <c r="U163">
        <f t="shared" si="22"/>
        <v>7</v>
      </c>
      <c r="V163">
        <f t="shared" si="18"/>
        <v>5</v>
      </c>
      <c r="W163">
        <f t="shared" ref="W163:W184" si="27">VLOOKUP(D163,Generation,2,FALSE)</f>
        <v>4</v>
      </c>
      <c r="AG163" s="71"/>
      <c r="AH163" s="71"/>
      <c r="AI163" s="71"/>
      <c r="AJ163" s="71"/>
      <c r="AK163" s="71"/>
      <c r="AL163" s="71"/>
      <c r="AM163" s="71"/>
      <c r="AN163" s="71"/>
      <c r="AO163" s="2"/>
      <c r="AP163" s="2"/>
      <c r="AQ163" s="2"/>
      <c r="AR163" s="2"/>
      <c r="AS163" s="2"/>
      <c r="AT163" s="2"/>
      <c r="AU163" s="2"/>
      <c r="AV163" s="2"/>
    </row>
    <row r="164" spans="2:48" ht="19">
      <c r="D164">
        <f t="shared" si="26"/>
        <v>70</v>
      </c>
      <c r="E164" s="2" t="s">
        <v>2296</v>
      </c>
      <c r="F164" t="s">
        <v>903</v>
      </c>
      <c r="G164" t="s">
        <v>882</v>
      </c>
      <c r="H164" t="s">
        <v>1752</v>
      </c>
      <c r="K164" s="9"/>
      <c r="L164" s="5"/>
      <c r="M164" s="8">
        <v>21807</v>
      </c>
      <c r="N164" s="3">
        <v>31759</v>
      </c>
      <c r="O164" s="3"/>
      <c r="P164" s="98" t="s">
        <v>2305</v>
      </c>
      <c r="Q164" s="20"/>
      <c r="R164" s="21" t="str">
        <f t="shared" si="25"/>
        <v>70b</v>
      </c>
      <c r="S164" s="17"/>
      <c r="T164" s="23" t="s">
        <v>2814</v>
      </c>
      <c r="U164">
        <f t="shared" si="22"/>
        <v>6</v>
      </c>
      <c r="V164">
        <f t="shared" si="18"/>
        <v>4</v>
      </c>
      <c r="W164">
        <f t="shared" si="27"/>
        <v>4</v>
      </c>
      <c r="Y164" t="s">
        <v>2306</v>
      </c>
      <c r="Z164" s="71" t="s">
        <v>2531</v>
      </c>
      <c r="AG164" s="71" t="s">
        <v>2530</v>
      </c>
      <c r="AH164" s="71"/>
      <c r="AI164" s="71"/>
      <c r="AJ164" s="71"/>
      <c r="AK164" s="71"/>
      <c r="AL164" s="71"/>
      <c r="AM164" s="71"/>
      <c r="AO164" s="2"/>
    </row>
    <row r="165" spans="2:48" ht="19">
      <c r="D165">
        <f t="shared" si="26"/>
        <v>70</v>
      </c>
      <c r="E165" s="2" t="s">
        <v>2307</v>
      </c>
      <c r="F165" t="s">
        <v>1677</v>
      </c>
      <c r="G165" t="s">
        <v>903</v>
      </c>
      <c r="K165" s="9"/>
      <c r="L165" s="5"/>
      <c r="M165" s="8">
        <v>25229</v>
      </c>
      <c r="N165" s="3"/>
      <c r="O165" s="3"/>
      <c r="P165" s="98" t="s">
        <v>2308</v>
      </c>
      <c r="Q165" s="20"/>
      <c r="R165" s="21" t="str">
        <f t="shared" si="25"/>
        <v>70bb</v>
      </c>
      <c r="S165" s="17"/>
      <c r="T165" s="23" t="s">
        <v>2814</v>
      </c>
      <c r="U165">
        <f t="shared" si="22"/>
        <v>7</v>
      </c>
      <c r="V165">
        <f t="shared" si="18"/>
        <v>5</v>
      </c>
      <c r="W165">
        <f t="shared" si="27"/>
        <v>4</v>
      </c>
      <c r="AG165" s="71" t="s">
        <v>2532</v>
      </c>
      <c r="AH165" s="2"/>
      <c r="AJ165" s="2"/>
    </row>
    <row r="166" spans="2:48" ht="19">
      <c r="D166">
        <f t="shared" si="26"/>
        <v>70</v>
      </c>
      <c r="E166" s="2" t="s">
        <v>2307</v>
      </c>
      <c r="F166" t="s">
        <v>1376</v>
      </c>
      <c r="G166" t="s">
        <v>1014</v>
      </c>
      <c r="K166" s="9"/>
      <c r="L166" s="5"/>
      <c r="M166" s="8">
        <v>33668</v>
      </c>
      <c r="N166" s="3"/>
      <c r="O166" s="3"/>
      <c r="P166" s="98" t="s">
        <v>2309</v>
      </c>
      <c r="Q166" s="20"/>
      <c r="R166" s="21" t="str">
        <f t="shared" si="25"/>
        <v>70bb</v>
      </c>
      <c r="S166" s="17"/>
      <c r="T166" s="23" t="s">
        <v>2814</v>
      </c>
      <c r="U166">
        <f t="shared" si="22"/>
        <v>7</v>
      </c>
      <c r="V166">
        <f t="shared" si="18"/>
        <v>5</v>
      </c>
      <c r="W166">
        <f t="shared" si="27"/>
        <v>4</v>
      </c>
      <c r="AG166" s="71" t="s">
        <v>2533</v>
      </c>
      <c r="AH166" s="2"/>
      <c r="AJ166" s="2"/>
      <c r="AT166" s="2"/>
      <c r="AU166" s="2"/>
      <c r="AV166" s="2"/>
    </row>
    <row r="167" spans="2:48" ht="19">
      <c r="D167">
        <f t="shared" si="26"/>
        <v>70</v>
      </c>
      <c r="E167" s="2" t="s">
        <v>2307</v>
      </c>
      <c r="F167" t="s">
        <v>852</v>
      </c>
      <c r="G167" t="s">
        <v>2311</v>
      </c>
      <c r="K167" s="9"/>
      <c r="L167" s="5"/>
      <c r="M167" s="8">
        <v>36464</v>
      </c>
      <c r="N167" s="3"/>
      <c r="O167" s="3"/>
      <c r="P167" s="98" t="s">
        <v>2310</v>
      </c>
      <c r="Q167" s="20"/>
      <c r="R167" s="21" t="str">
        <f t="shared" si="25"/>
        <v>70bb</v>
      </c>
      <c r="S167" s="17"/>
      <c r="T167" s="23" t="s">
        <v>2815</v>
      </c>
      <c r="U167">
        <f t="shared" si="22"/>
        <v>7</v>
      </c>
      <c r="V167">
        <f t="shared" si="18"/>
        <v>5</v>
      </c>
      <c r="W167">
        <f t="shared" si="27"/>
        <v>4</v>
      </c>
      <c r="AG167" s="71" t="s">
        <v>2534</v>
      </c>
      <c r="AH167" s="2"/>
      <c r="AQ167" s="2"/>
      <c r="AR167" s="2"/>
      <c r="AS167" s="2"/>
      <c r="AT167" s="2"/>
      <c r="AU167" s="2"/>
      <c r="AV167" s="2"/>
    </row>
    <row r="168" spans="2:48" ht="19">
      <c r="D168">
        <f>D167</f>
        <v>70</v>
      </c>
      <c r="E168" s="2" t="s">
        <v>2278</v>
      </c>
      <c r="F168" t="s">
        <v>839</v>
      </c>
      <c r="G168" t="s">
        <v>799</v>
      </c>
      <c r="K168" s="9"/>
      <c r="L168" s="5"/>
      <c r="M168" s="8">
        <v>9399</v>
      </c>
      <c r="N168" s="3">
        <v>18606</v>
      </c>
      <c r="O168" s="3"/>
      <c r="P168" s="98" t="s">
        <v>2312</v>
      </c>
      <c r="Q168" s="20"/>
      <c r="R168" s="21" t="str">
        <f t="shared" si="25"/>
        <v>70</v>
      </c>
      <c r="S168" s="17"/>
      <c r="T168" s="23" t="s">
        <v>2814</v>
      </c>
      <c r="U168">
        <f t="shared" si="22"/>
        <v>5</v>
      </c>
      <c r="V168">
        <f t="shared" si="18"/>
        <v>3</v>
      </c>
      <c r="W168">
        <f t="shared" si="27"/>
        <v>4</v>
      </c>
      <c r="Y168" t="s">
        <v>2313</v>
      </c>
      <c r="Z168" s="2" t="s">
        <v>2536</v>
      </c>
      <c r="AG168" s="71" t="s">
        <v>2535</v>
      </c>
      <c r="AH168" s="2"/>
      <c r="AO168" s="2"/>
      <c r="AP168" s="2"/>
      <c r="AQ168" s="2"/>
      <c r="AR168" s="2"/>
      <c r="AS168" s="2"/>
      <c r="AT168" s="2"/>
      <c r="AU168" s="2"/>
      <c r="AV168" s="2"/>
    </row>
    <row r="169" spans="2:48" ht="19">
      <c r="B169" t="s">
        <v>2315</v>
      </c>
      <c r="D169">
        <f t="shared" si="26"/>
        <v>70</v>
      </c>
      <c r="E169" s="2" t="s">
        <v>2314</v>
      </c>
      <c r="F169" t="s">
        <v>804</v>
      </c>
      <c r="G169" t="s">
        <v>2315</v>
      </c>
      <c r="H169" t="s">
        <v>2293</v>
      </c>
      <c r="K169" s="9"/>
      <c r="L169" s="5"/>
      <c r="M169" s="8">
        <v>18887</v>
      </c>
      <c r="N169" s="3" t="s">
        <v>2316</v>
      </c>
      <c r="O169" s="3"/>
      <c r="P169" s="98" t="s">
        <v>2317</v>
      </c>
      <c r="Q169" s="20"/>
      <c r="R169" s="21" t="str">
        <f t="shared" si="25"/>
        <v>70c</v>
      </c>
      <c r="S169" s="17"/>
      <c r="T169" s="23" t="s">
        <v>2815</v>
      </c>
      <c r="U169">
        <f t="shared" si="22"/>
        <v>6</v>
      </c>
      <c r="V169">
        <f t="shared" si="18"/>
        <v>4</v>
      </c>
      <c r="W169">
        <f t="shared" si="27"/>
        <v>4</v>
      </c>
      <c r="Y169" t="s">
        <v>2318</v>
      </c>
      <c r="Z169" t="s">
        <v>2537</v>
      </c>
      <c r="AG169" s="71" t="s">
        <v>2538</v>
      </c>
      <c r="AI169" s="2"/>
      <c r="AJ169" s="2"/>
      <c r="AK169" s="2"/>
      <c r="AL169" s="2"/>
      <c r="AM169" s="2"/>
      <c r="AN169" s="2"/>
      <c r="AO169" s="2"/>
      <c r="AP169" s="2"/>
      <c r="AQ169" s="2"/>
      <c r="AR169" s="2"/>
      <c r="AS169" s="2"/>
      <c r="AT169" s="2"/>
      <c r="AU169" s="2"/>
      <c r="AV169" s="2"/>
    </row>
    <row r="170" spans="2:48" ht="19">
      <c r="B170" t="s">
        <v>2539</v>
      </c>
      <c r="D170">
        <f t="shared" si="26"/>
        <v>70</v>
      </c>
      <c r="E170" s="2" t="s">
        <v>2314</v>
      </c>
      <c r="F170" t="s">
        <v>842</v>
      </c>
      <c r="G170" t="s">
        <v>2319</v>
      </c>
      <c r="H170" t="s">
        <v>2293</v>
      </c>
      <c r="K170" s="9"/>
      <c r="L170" s="5"/>
      <c r="M170" s="8">
        <v>19709</v>
      </c>
      <c r="N170" s="3">
        <v>31094</v>
      </c>
      <c r="O170" s="3"/>
      <c r="P170" s="98" t="s">
        <v>2321</v>
      </c>
      <c r="Q170" s="20"/>
      <c r="R170" s="21" t="str">
        <f t="shared" si="25"/>
        <v>70cb</v>
      </c>
      <c r="S170" s="17"/>
      <c r="T170" s="23" t="s">
        <v>2815</v>
      </c>
      <c r="U170">
        <f t="shared" si="22"/>
        <v>7</v>
      </c>
      <c r="V170">
        <f t="shared" si="18"/>
        <v>5</v>
      </c>
      <c r="W170">
        <f t="shared" si="27"/>
        <v>4</v>
      </c>
      <c r="Y170" t="s">
        <v>2541</v>
      </c>
      <c r="Z170" t="s">
        <v>2542</v>
      </c>
      <c r="AG170" s="71" t="s">
        <v>2540</v>
      </c>
      <c r="AH170" s="1"/>
      <c r="AI170" s="1"/>
      <c r="AJ170" s="1"/>
      <c r="AK170" s="2"/>
      <c r="AL170" s="2"/>
      <c r="AM170" s="2"/>
      <c r="AN170" s="2"/>
      <c r="AO170" s="2"/>
      <c r="AP170" s="2"/>
      <c r="AQ170" s="2"/>
      <c r="AR170" s="2"/>
      <c r="AS170" s="2"/>
      <c r="AT170" s="2"/>
      <c r="AU170" s="2"/>
      <c r="AV170" s="2"/>
    </row>
    <row r="171" spans="2:48" ht="19">
      <c r="D171">
        <f t="shared" si="26"/>
        <v>70</v>
      </c>
      <c r="E171" s="2" t="s">
        <v>2314</v>
      </c>
      <c r="F171" t="s">
        <v>807</v>
      </c>
      <c r="G171" t="s">
        <v>917</v>
      </c>
      <c r="H171" t="s">
        <v>2293</v>
      </c>
      <c r="K171" s="9"/>
      <c r="L171" s="5"/>
      <c r="M171" s="8">
        <v>19709</v>
      </c>
      <c r="N171" s="3">
        <v>30536</v>
      </c>
      <c r="O171" s="3"/>
      <c r="P171" s="98" t="s">
        <v>2322</v>
      </c>
      <c r="Q171" s="20"/>
      <c r="R171" s="21" t="str">
        <f t="shared" si="25"/>
        <v>70cb</v>
      </c>
      <c r="S171" s="17"/>
      <c r="T171" s="23" t="s">
        <v>2815</v>
      </c>
      <c r="U171">
        <f t="shared" si="22"/>
        <v>7</v>
      </c>
      <c r="V171">
        <f t="shared" si="18"/>
        <v>5</v>
      </c>
      <c r="W171">
        <f t="shared" si="27"/>
        <v>4</v>
      </c>
      <c r="Y171" t="s">
        <v>2323</v>
      </c>
      <c r="Z171" t="s">
        <v>2544</v>
      </c>
      <c r="AG171" s="71" t="s">
        <v>2543</v>
      </c>
      <c r="AH171" s="1"/>
      <c r="AI171" s="1"/>
      <c r="AJ171" s="1"/>
      <c r="AK171" s="2"/>
      <c r="AL171" s="2"/>
      <c r="AM171" s="2"/>
      <c r="AN171" s="2"/>
      <c r="AO171" s="2"/>
      <c r="AP171" s="2"/>
      <c r="AQ171" s="2"/>
      <c r="AR171" s="2"/>
      <c r="AS171" s="2"/>
      <c r="AT171" s="2"/>
      <c r="AU171" s="2"/>
      <c r="AV171" s="2"/>
    </row>
    <row r="172" spans="2:48" ht="19">
      <c r="D172">
        <f t="shared" si="26"/>
        <v>70</v>
      </c>
      <c r="E172" s="2" t="s">
        <v>2314</v>
      </c>
      <c r="F172" t="s">
        <v>913</v>
      </c>
      <c r="G172" t="s">
        <v>804</v>
      </c>
      <c r="H172" t="s">
        <v>1390</v>
      </c>
      <c r="K172" s="9"/>
      <c r="L172" s="5"/>
      <c r="M172" s="8">
        <v>35882</v>
      </c>
      <c r="N172" s="3"/>
      <c r="O172" s="3"/>
      <c r="P172" s="98" t="s">
        <v>2324</v>
      </c>
      <c r="Q172" s="20"/>
      <c r="R172" s="21" t="str">
        <f t="shared" si="25"/>
        <v>70cb2</v>
      </c>
      <c r="S172" s="17"/>
      <c r="T172" s="23" t="s">
        <v>2815</v>
      </c>
      <c r="U172">
        <f t="shared" si="22"/>
        <v>8</v>
      </c>
      <c r="V172">
        <f t="shared" si="18"/>
        <v>6</v>
      </c>
      <c r="W172">
        <f t="shared" si="27"/>
        <v>4</v>
      </c>
      <c r="AG172" s="71"/>
      <c r="AH172" s="1"/>
      <c r="AI172" s="1"/>
      <c r="AJ172" s="1"/>
      <c r="AK172" s="2"/>
      <c r="AL172" s="2"/>
      <c r="AM172" s="2"/>
      <c r="AN172" s="2"/>
      <c r="AO172" s="2"/>
      <c r="AP172" s="2"/>
      <c r="AQ172" s="2"/>
      <c r="AR172" s="2"/>
      <c r="AS172" s="2"/>
      <c r="AT172" s="2"/>
      <c r="AU172" s="2"/>
      <c r="AV172" s="2"/>
    </row>
    <row r="173" spans="2:48" ht="19">
      <c r="D173">
        <f t="shared" si="26"/>
        <v>70</v>
      </c>
      <c r="E173" s="2" t="s">
        <v>2314</v>
      </c>
      <c r="F173" t="s">
        <v>971</v>
      </c>
      <c r="G173" t="s">
        <v>918</v>
      </c>
      <c r="H173" t="s">
        <v>1369</v>
      </c>
      <c r="K173" s="9"/>
      <c r="L173" s="5"/>
      <c r="M173" s="8">
        <v>23229</v>
      </c>
      <c r="N173" s="3"/>
      <c r="O173" s="3"/>
      <c r="P173" s="98" t="s">
        <v>2320</v>
      </c>
      <c r="Q173" s="20"/>
      <c r="R173" s="21" t="str">
        <f t="shared" si="25"/>
        <v>70c</v>
      </c>
      <c r="S173" s="17"/>
      <c r="T173" s="23" t="s">
        <v>2815</v>
      </c>
      <c r="U173">
        <f t="shared" si="22"/>
        <v>6</v>
      </c>
      <c r="V173">
        <f t="shared" si="18"/>
        <v>4</v>
      </c>
      <c r="W173">
        <f t="shared" si="27"/>
        <v>4</v>
      </c>
      <c r="Y173" t="s">
        <v>2325</v>
      </c>
      <c r="AG173" s="71" t="s">
        <v>2545</v>
      </c>
      <c r="AH173" s="1"/>
      <c r="AI173" s="1"/>
      <c r="AJ173" s="1"/>
      <c r="AK173" s="2"/>
      <c r="AL173" s="2"/>
      <c r="AM173" s="2"/>
      <c r="AN173" s="2"/>
      <c r="AO173" s="2"/>
      <c r="AP173" s="2"/>
      <c r="AQ173" s="2"/>
      <c r="AR173" s="2"/>
      <c r="AS173" s="2"/>
      <c r="AT173" s="2"/>
      <c r="AU173" s="2"/>
      <c r="AV173" s="2"/>
    </row>
    <row r="174" spans="2:48" ht="19">
      <c r="B174" t="s">
        <v>2327</v>
      </c>
      <c r="D174">
        <f t="shared" si="26"/>
        <v>70</v>
      </c>
      <c r="E174" s="2" t="s">
        <v>2278</v>
      </c>
      <c r="F174" t="s">
        <v>852</v>
      </c>
      <c r="G174" t="s">
        <v>917</v>
      </c>
      <c r="H174" t="s">
        <v>2326</v>
      </c>
      <c r="K174" s="9"/>
      <c r="L174" s="5"/>
      <c r="M174" s="8">
        <v>9805</v>
      </c>
      <c r="N174" s="3">
        <v>20986</v>
      </c>
      <c r="O174" s="3"/>
      <c r="P174" s="98" t="s">
        <v>2328</v>
      </c>
      <c r="Q174" s="20"/>
      <c r="R174" s="21" t="str">
        <f t="shared" si="25"/>
        <v>70</v>
      </c>
      <c r="S174" s="17"/>
      <c r="T174" s="23" t="s">
        <v>2815</v>
      </c>
      <c r="U174">
        <f t="shared" si="22"/>
        <v>5</v>
      </c>
      <c r="V174">
        <f t="shared" si="18"/>
        <v>3</v>
      </c>
      <c r="W174">
        <f t="shared" si="27"/>
        <v>4</v>
      </c>
      <c r="Y174" t="s">
        <v>2329</v>
      </c>
      <c r="AG174" s="71" t="s">
        <v>2546</v>
      </c>
      <c r="AH174" s="1"/>
      <c r="AI174" s="1"/>
      <c r="AJ174" s="1"/>
      <c r="AK174" s="2"/>
      <c r="AL174" s="2"/>
      <c r="AM174" s="2"/>
      <c r="AN174" s="2"/>
      <c r="AO174" s="2"/>
      <c r="AP174" s="2"/>
      <c r="AQ174" s="2"/>
      <c r="AR174" s="2"/>
      <c r="AS174" s="2"/>
      <c r="AT174" s="2"/>
      <c r="AU174" s="2"/>
      <c r="AV174" s="2"/>
    </row>
    <row r="175" spans="2:48" ht="20" customHeight="1">
      <c r="D175">
        <f t="shared" si="26"/>
        <v>70</v>
      </c>
      <c r="E175" s="2" t="s">
        <v>2278</v>
      </c>
      <c r="F175" t="s">
        <v>1490</v>
      </c>
      <c r="G175" t="s">
        <v>2330</v>
      </c>
      <c r="K175" s="9"/>
      <c r="L175" s="5"/>
      <c r="M175" s="8">
        <v>21452</v>
      </c>
      <c r="N175" s="3">
        <v>31494</v>
      </c>
      <c r="O175" s="3"/>
      <c r="P175" s="98" t="s">
        <v>2332</v>
      </c>
      <c r="Q175" s="20"/>
      <c r="R175" s="21" t="str">
        <f t="shared" si="25"/>
        <v>70d</v>
      </c>
      <c r="S175" s="17"/>
      <c r="T175" s="23" t="s">
        <v>2814</v>
      </c>
      <c r="U175">
        <f t="shared" si="22"/>
        <v>6</v>
      </c>
      <c r="V175">
        <f t="shared" si="18"/>
        <v>4</v>
      </c>
      <c r="W175">
        <f t="shared" si="27"/>
        <v>4</v>
      </c>
      <c r="Y175" t="s">
        <v>2331</v>
      </c>
      <c r="AG175" s="71"/>
      <c r="AH175" s="1"/>
      <c r="AI175" s="1"/>
      <c r="AJ175" s="1"/>
      <c r="AK175" s="2"/>
      <c r="AL175" s="2"/>
      <c r="AM175" s="2"/>
      <c r="AN175" s="2"/>
      <c r="AO175" s="2"/>
      <c r="AP175" s="2"/>
      <c r="AQ175" s="2"/>
      <c r="AR175" s="2"/>
      <c r="AS175" s="2"/>
      <c r="AT175" s="2"/>
      <c r="AU175" s="2"/>
      <c r="AV175" s="2"/>
    </row>
    <row r="176" spans="2:48" ht="20" customHeight="1">
      <c r="D176">
        <f t="shared" si="26"/>
        <v>70</v>
      </c>
      <c r="E176" s="2" t="s">
        <v>2278</v>
      </c>
      <c r="F176" t="s">
        <v>916</v>
      </c>
      <c r="G176" t="s">
        <v>917</v>
      </c>
      <c r="H176" t="s">
        <v>2333</v>
      </c>
      <c r="K176" s="9"/>
      <c r="L176" s="5"/>
      <c r="M176" s="8">
        <v>22318</v>
      </c>
      <c r="N176" s="3"/>
      <c r="O176" s="3"/>
      <c r="P176" s="98" t="s">
        <v>2334</v>
      </c>
      <c r="Q176" s="20"/>
      <c r="R176" s="21" t="str">
        <f t="shared" si="25"/>
        <v>70d</v>
      </c>
      <c r="S176" s="17"/>
      <c r="T176" s="23" t="s">
        <v>2815</v>
      </c>
      <c r="U176">
        <f t="shared" si="22"/>
        <v>6</v>
      </c>
      <c r="V176">
        <f t="shared" si="18"/>
        <v>4</v>
      </c>
      <c r="W176">
        <f t="shared" si="27"/>
        <v>4</v>
      </c>
      <c r="AG176" s="71"/>
      <c r="AH176" s="1"/>
      <c r="AI176" s="1"/>
      <c r="AJ176" s="1"/>
      <c r="AK176" s="2"/>
      <c r="AL176" s="2"/>
      <c r="AM176" s="2"/>
      <c r="AN176" s="2"/>
      <c r="AO176" s="2"/>
      <c r="AP176" s="2"/>
      <c r="AQ176" s="2"/>
      <c r="AR176" s="2"/>
      <c r="AS176" s="2"/>
      <c r="AT176" s="2"/>
      <c r="AU176" s="2"/>
      <c r="AV176" s="2"/>
    </row>
    <row r="177" spans="1:48" ht="20" customHeight="1">
      <c r="B177" t="s">
        <v>2337</v>
      </c>
      <c r="D177">
        <f t="shared" si="26"/>
        <v>70</v>
      </c>
      <c r="E177" s="2" t="s">
        <v>2278</v>
      </c>
      <c r="F177" t="s">
        <v>2335</v>
      </c>
      <c r="G177" t="s">
        <v>798</v>
      </c>
      <c r="H177" t="s">
        <v>2336</v>
      </c>
      <c r="K177" s="9"/>
      <c r="L177" s="5"/>
      <c r="M177" s="8">
        <v>23567</v>
      </c>
      <c r="N177" s="3">
        <v>31724</v>
      </c>
      <c r="O177" s="3"/>
      <c r="P177" s="98" t="s">
        <v>2338</v>
      </c>
      <c r="Q177" s="20"/>
      <c r="R177" s="21" t="str">
        <f t="shared" si="25"/>
        <v>70d</v>
      </c>
      <c r="S177" s="17"/>
      <c r="T177" s="23" t="s">
        <v>2814</v>
      </c>
      <c r="U177">
        <f t="shared" si="22"/>
        <v>6</v>
      </c>
      <c r="V177">
        <f t="shared" si="18"/>
        <v>4</v>
      </c>
      <c r="W177">
        <f t="shared" si="27"/>
        <v>4</v>
      </c>
      <c r="Y177" t="s">
        <v>2339</v>
      </c>
      <c r="AG177" s="71"/>
      <c r="AH177" s="1"/>
      <c r="AI177" s="1"/>
      <c r="AJ177" s="1"/>
      <c r="AK177" s="2"/>
      <c r="AL177" s="2"/>
      <c r="AM177" s="2"/>
      <c r="AN177" s="2"/>
      <c r="AO177" s="2"/>
      <c r="AP177" s="2"/>
      <c r="AQ177" s="2"/>
      <c r="AR177" s="2"/>
      <c r="AS177" s="2"/>
      <c r="AT177" s="2"/>
      <c r="AU177" s="2"/>
      <c r="AV177" s="2"/>
    </row>
    <row r="178" spans="1:48" ht="20" customHeight="1">
      <c r="D178">
        <f t="shared" si="26"/>
        <v>70</v>
      </c>
      <c r="E178" s="2" t="s">
        <v>2340</v>
      </c>
      <c r="F178" t="s">
        <v>2341</v>
      </c>
      <c r="G178" t="s">
        <v>2319</v>
      </c>
      <c r="H178" t="s">
        <v>925</v>
      </c>
      <c r="K178" s="9"/>
      <c r="L178" s="5"/>
      <c r="M178" s="8">
        <v>33169</v>
      </c>
      <c r="N178" s="3"/>
      <c r="O178" s="3"/>
      <c r="P178" s="98" t="s">
        <v>2343</v>
      </c>
      <c r="Q178" s="20"/>
      <c r="R178" s="21" t="str">
        <f t="shared" si="25"/>
        <v>70dc</v>
      </c>
      <c r="S178" s="17"/>
      <c r="T178" s="23" t="s">
        <v>2815</v>
      </c>
      <c r="U178">
        <f t="shared" si="22"/>
        <v>7</v>
      </c>
      <c r="V178">
        <f t="shared" si="18"/>
        <v>5</v>
      </c>
      <c r="W178">
        <f t="shared" si="27"/>
        <v>4</v>
      </c>
      <c r="AG178" s="71"/>
      <c r="AH178" s="1"/>
      <c r="AI178" s="1"/>
      <c r="AJ178" s="1"/>
      <c r="AK178" s="2"/>
      <c r="AL178" s="2"/>
      <c r="AM178" s="2"/>
      <c r="AN178" s="2"/>
      <c r="AO178" s="2"/>
      <c r="AP178" s="2"/>
      <c r="AQ178" s="2"/>
      <c r="AR178" s="2"/>
      <c r="AS178" s="2"/>
      <c r="AT178" s="2"/>
      <c r="AU178" s="2"/>
      <c r="AV178" s="2"/>
    </row>
    <row r="179" spans="1:48" ht="20" customHeight="1">
      <c r="D179">
        <f t="shared" si="26"/>
        <v>70</v>
      </c>
      <c r="E179" s="2" t="s">
        <v>2340</v>
      </c>
      <c r="F179" t="s">
        <v>866</v>
      </c>
      <c r="G179" t="s">
        <v>2342</v>
      </c>
      <c r="H179" t="s">
        <v>852</v>
      </c>
      <c r="K179" s="9"/>
      <c r="L179" s="5"/>
      <c r="M179" s="8">
        <v>35174</v>
      </c>
      <c r="N179" s="3"/>
      <c r="O179" s="3"/>
      <c r="P179" s="98" t="s">
        <v>2344</v>
      </c>
      <c r="Q179" s="20"/>
      <c r="R179" s="21" t="str">
        <f t="shared" si="25"/>
        <v>70dc</v>
      </c>
      <c r="S179" s="17"/>
      <c r="T179" s="23" t="s">
        <v>2815</v>
      </c>
      <c r="U179">
        <f t="shared" si="22"/>
        <v>7</v>
      </c>
      <c r="V179">
        <f t="shared" ref="V179:V184" si="28">LEN(P179)</f>
        <v>5</v>
      </c>
      <c r="W179">
        <f t="shared" si="27"/>
        <v>4</v>
      </c>
      <c r="AG179" s="71"/>
      <c r="AH179" s="1"/>
      <c r="AI179" s="1"/>
      <c r="AJ179" s="1"/>
      <c r="AK179" s="2"/>
      <c r="AL179" s="2"/>
      <c r="AM179" s="2"/>
      <c r="AN179" s="2"/>
      <c r="AO179" s="2"/>
      <c r="AP179" s="2"/>
      <c r="AQ179" s="2"/>
      <c r="AR179" s="2"/>
      <c r="AS179" s="2"/>
      <c r="AT179" s="2"/>
      <c r="AU179" s="2"/>
      <c r="AV179" s="2"/>
    </row>
    <row r="180" spans="1:48" ht="20" customHeight="1">
      <c r="D180">
        <f t="shared" si="26"/>
        <v>70</v>
      </c>
      <c r="E180" s="2" t="s">
        <v>2340</v>
      </c>
      <c r="F180" t="s">
        <v>936</v>
      </c>
      <c r="G180" t="s">
        <v>1436</v>
      </c>
      <c r="K180" s="9"/>
      <c r="L180" s="5"/>
      <c r="M180" s="8">
        <v>35929</v>
      </c>
      <c r="N180" s="3"/>
      <c r="O180" s="3"/>
      <c r="P180" s="98" t="s">
        <v>2345</v>
      </c>
      <c r="Q180" s="20"/>
      <c r="R180" s="21" t="str">
        <f t="shared" si="25"/>
        <v>70dc</v>
      </c>
      <c r="S180" s="17"/>
      <c r="T180" s="23" t="s">
        <v>2814</v>
      </c>
      <c r="U180">
        <f t="shared" si="22"/>
        <v>7</v>
      </c>
      <c r="V180">
        <f t="shared" si="28"/>
        <v>5</v>
      </c>
      <c r="W180">
        <f t="shared" si="27"/>
        <v>4</v>
      </c>
      <c r="AG180" s="102"/>
      <c r="AH180" s="1"/>
      <c r="AI180" s="1"/>
      <c r="AJ180" s="1"/>
      <c r="AK180" s="2"/>
      <c r="AL180" s="2"/>
      <c r="AM180" s="2"/>
      <c r="AN180" s="2"/>
      <c r="AO180" s="2"/>
      <c r="AP180" s="2"/>
      <c r="AQ180" s="2"/>
      <c r="AR180" s="2"/>
      <c r="AS180" s="2"/>
      <c r="AT180" s="2"/>
      <c r="AU180" s="2"/>
      <c r="AV180" s="2"/>
    </row>
    <row r="181" spans="1:48" ht="20" customHeight="1">
      <c r="D181">
        <f t="shared" si="26"/>
        <v>70</v>
      </c>
      <c r="E181" s="2" t="s">
        <v>2278</v>
      </c>
      <c r="F181" t="s">
        <v>952</v>
      </c>
      <c r="G181" t="s">
        <v>1752</v>
      </c>
      <c r="K181" s="9"/>
      <c r="L181" s="5"/>
      <c r="M181" s="8">
        <v>10640</v>
      </c>
      <c r="N181" s="3">
        <v>19784</v>
      </c>
      <c r="O181" s="3"/>
      <c r="P181" s="98" t="s">
        <v>2346</v>
      </c>
      <c r="Q181" s="20"/>
      <c r="R181" s="21" t="str">
        <f t="shared" si="25"/>
        <v>70</v>
      </c>
      <c r="S181" s="17"/>
      <c r="T181" s="23" t="s">
        <v>2814</v>
      </c>
      <c r="U181">
        <f t="shared" si="22"/>
        <v>5</v>
      </c>
      <c r="V181">
        <f t="shared" si="28"/>
        <v>3</v>
      </c>
      <c r="W181">
        <f t="shared" si="27"/>
        <v>4</v>
      </c>
      <c r="Y181" t="s">
        <v>2347</v>
      </c>
      <c r="Z181" t="s">
        <v>2547</v>
      </c>
      <c r="AG181" s="102"/>
      <c r="AH181" s="1"/>
      <c r="AI181" s="1"/>
      <c r="AJ181" s="1"/>
      <c r="AK181" s="2"/>
      <c r="AL181" s="2"/>
      <c r="AM181" s="2"/>
      <c r="AN181" s="2"/>
      <c r="AO181" s="2"/>
      <c r="AP181" s="2"/>
      <c r="AQ181" s="2"/>
      <c r="AR181" s="2"/>
      <c r="AS181" s="2"/>
      <c r="AT181" s="2"/>
      <c r="AU181" s="2"/>
      <c r="AV181" s="2"/>
    </row>
    <row r="182" spans="1:48" ht="20" customHeight="1">
      <c r="D182">
        <f t="shared" si="26"/>
        <v>70</v>
      </c>
      <c r="E182" s="2" t="s">
        <v>2278</v>
      </c>
      <c r="F182" t="s">
        <v>2319</v>
      </c>
      <c r="G182" t="s">
        <v>807</v>
      </c>
      <c r="H182" t="s">
        <v>2349</v>
      </c>
      <c r="K182" s="9"/>
      <c r="L182" s="5"/>
      <c r="M182" s="8">
        <v>11587</v>
      </c>
      <c r="N182" s="3" t="s">
        <v>797</v>
      </c>
      <c r="O182" s="3">
        <v>18546</v>
      </c>
      <c r="P182" s="98" t="s">
        <v>2348</v>
      </c>
      <c r="Q182" s="20"/>
      <c r="R182" s="21" t="str">
        <f t="shared" si="25"/>
        <v>70</v>
      </c>
      <c r="S182" s="17"/>
      <c r="T182" s="23" t="s">
        <v>2815</v>
      </c>
      <c r="U182">
        <f t="shared" si="22"/>
        <v>5</v>
      </c>
      <c r="V182">
        <f t="shared" si="28"/>
        <v>3</v>
      </c>
      <c r="W182">
        <f t="shared" si="27"/>
        <v>4</v>
      </c>
      <c r="AG182" s="71" t="s">
        <v>2548</v>
      </c>
      <c r="AH182" s="1"/>
      <c r="AI182" s="1"/>
      <c r="AJ182" s="1"/>
      <c r="AK182" s="2"/>
      <c r="AL182" s="2"/>
      <c r="AM182" s="2"/>
      <c r="AN182" s="2"/>
      <c r="AO182" s="2"/>
      <c r="AP182" s="2"/>
      <c r="AQ182" s="2"/>
      <c r="AR182" s="2"/>
      <c r="AS182" s="2"/>
      <c r="AT182" s="2"/>
      <c r="AU182" s="2"/>
      <c r="AV182" s="2"/>
    </row>
    <row r="183" spans="1:48" ht="20" customHeight="1">
      <c r="A183">
        <v>0</v>
      </c>
      <c r="D183">
        <v>74</v>
      </c>
      <c r="E183" s="2" t="s">
        <v>782</v>
      </c>
      <c r="F183" t="s">
        <v>813</v>
      </c>
      <c r="I183" t="s">
        <v>1940</v>
      </c>
      <c r="J183" s="32" t="s">
        <v>1940</v>
      </c>
      <c r="K183" s="9" t="s">
        <v>1941</v>
      </c>
      <c r="L183" s="5" t="s">
        <v>814</v>
      </c>
      <c r="M183" s="8" t="s">
        <v>814</v>
      </c>
      <c r="N183" s="3" t="s">
        <v>797</v>
      </c>
      <c r="O183" s="3" t="s">
        <v>814</v>
      </c>
      <c r="P183" s="98">
        <v>74</v>
      </c>
      <c r="Q183" s="20" t="s">
        <v>1942</v>
      </c>
      <c r="R183" s="16">
        <v>41</v>
      </c>
      <c r="S183" s="17" t="s">
        <v>1946</v>
      </c>
      <c r="T183" s="23" t="s">
        <v>2814</v>
      </c>
      <c r="U183">
        <f t="shared" si="22"/>
        <v>4</v>
      </c>
      <c r="V183">
        <f t="shared" si="28"/>
        <v>2</v>
      </c>
      <c r="W183">
        <f t="shared" si="27"/>
        <v>4</v>
      </c>
      <c r="Y183">
        <v>0</v>
      </c>
      <c r="Z183">
        <v>0</v>
      </c>
      <c r="AC183">
        <v>79</v>
      </c>
      <c r="AG183" s="71" t="s">
        <v>195</v>
      </c>
      <c r="AH183" s="2" t="s">
        <v>196</v>
      </c>
      <c r="AI183" s="2" t="s">
        <v>197</v>
      </c>
      <c r="AJ183" s="2" t="s">
        <v>198</v>
      </c>
    </row>
    <row r="184" spans="1:48" ht="19">
      <c r="A184">
        <v>79</v>
      </c>
      <c r="C184">
        <v>3281</v>
      </c>
      <c r="D184">
        <v>83</v>
      </c>
      <c r="E184" s="2" t="s">
        <v>782</v>
      </c>
      <c r="F184" t="s">
        <v>837</v>
      </c>
      <c r="G184" t="s">
        <v>800</v>
      </c>
      <c r="I184" t="s">
        <v>1943</v>
      </c>
      <c r="J184">
        <v>1977</v>
      </c>
      <c r="K184" s="9" t="s">
        <v>1944</v>
      </c>
      <c r="L184" s="5" t="s">
        <v>838</v>
      </c>
      <c r="M184" s="8" t="s">
        <v>838</v>
      </c>
      <c r="N184" t="s">
        <v>797</v>
      </c>
      <c r="O184" s="3">
        <v>28280</v>
      </c>
      <c r="P184" s="98">
        <v>83</v>
      </c>
      <c r="Q184" s="20" t="s">
        <v>1945</v>
      </c>
      <c r="R184" s="16">
        <v>45</v>
      </c>
      <c r="T184" s="23" t="s">
        <v>2814</v>
      </c>
      <c r="U184">
        <f t="shared" si="22"/>
        <v>4</v>
      </c>
      <c r="V184">
        <f t="shared" si="28"/>
        <v>2</v>
      </c>
      <c r="W184">
        <f t="shared" si="27"/>
        <v>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Data check lookup table</vt:lpstr>
      <vt:lpstr>Book Details - NO EDIT</vt:lpstr>
      <vt:lpstr>Mums of Loyd Edit&amp;Partner Edit</vt:lpstr>
      <vt:lpstr>Grandchildren</vt:lpstr>
      <vt:lpstr>Loyd Book 2022 - Print</vt:lpstr>
      <vt:lpstr>Hatch&amp;Match Details</vt:lpstr>
      <vt:lpstr>BiographyMarriageDetsCountries</vt:lpstr>
      <vt:lpstr>Lineage</vt:lpstr>
      <vt:lpstr>Loyd List 1-190 - Edit</vt:lpstr>
      <vt:lpstr>Siblings &amp; Children</vt:lpstr>
      <vt:lpstr>Siblings of those BORN Loyd</vt:lpstr>
      <vt:lpstr>All Girls &amp; Descendants</vt:lpstr>
      <vt:lpstr>All Girls &amp; Descendants - Edit</vt:lpstr>
      <vt:lpstr>All Girls &amp; Descendants - Print</vt:lpstr>
      <vt:lpstr>Updated Bios &amp; Spouse Details</vt:lpstr>
      <vt:lpstr>Generations&amp;Photos- CostsAT1</vt:lpstr>
      <vt:lpstr>Children of Female Loyds</vt:lpstr>
      <vt:lpstr>Grandchildren of Male Loyds</vt:lpstr>
      <vt:lpstr>Grandchildren of Female Loyds</vt:lpstr>
      <vt:lpstr>Grandchildren Loyd Daughters</vt:lpstr>
      <vt:lpstr>Children Female Loyds-NOT USED</vt:lpstr>
      <vt:lpstr>Contacts</vt:lpstr>
      <vt:lpstr>Women from #85 onwards</vt:lpstr>
      <vt:lpstr>Women before #85</vt:lpstr>
      <vt:lpstr>DateDeath</vt:lpstr>
      <vt:lpstr>Generation</vt:lpstr>
      <vt:lpstr>Loydname</vt:lpstr>
      <vt:lpstr>namewithfather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Loyd</dc:creator>
  <cp:lastModifiedBy>R Loyd</cp:lastModifiedBy>
  <dcterms:created xsi:type="dcterms:W3CDTF">2021-02-04T18:17:49Z</dcterms:created>
  <dcterms:modified xsi:type="dcterms:W3CDTF">2023-08-11T06:53:17Z</dcterms:modified>
</cp:coreProperties>
</file>